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roducts" sheetId="1" r:id="rId4"/>
    <sheet state="visible" name="ignore - raw data" sheetId="2" r:id="rId5"/>
  </sheets>
  <definedNames>
    <definedName hidden="1" localSheetId="0" name="_xlnm._FilterDatabase">Products!$A$1:$OC$1133</definedName>
    <definedName hidden="1" localSheetId="1" name="_xlnm._FilterDatabase">'ignore - raw data'!$A$2:$NJ$1134</definedName>
  </definedNames>
  <calcPr/>
</workbook>
</file>

<file path=xl/sharedStrings.xml><?xml version="1.0" encoding="utf-8"?>
<sst xmlns="http://schemas.openxmlformats.org/spreadsheetml/2006/main" count="153955" uniqueCount="25329">
  <si>
    <t>Command</t>
  </si>
  <si>
    <t>Title</t>
  </si>
  <si>
    <t>Body HTML</t>
  </si>
  <si>
    <t>Vendor</t>
  </si>
  <si>
    <t>Type</t>
  </si>
  <si>
    <t>Tags</t>
  </si>
  <si>
    <t>Tags Command</t>
  </si>
  <si>
    <t>Status</t>
  </si>
  <si>
    <t>Published</t>
  </si>
  <si>
    <t>Published Scope</t>
  </si>
  <si>
    <t>Template Suffix</t>
  </si>
  <si>
    <t>Gift Card</t>
  </si>
  <si>
    <t>Image Src</t>
  </si>
  <si>
    <t>Image Command</t>
  </si>
  <si>
    <t>Variant Command</t>
  </si>
  <si>
    <t>Option1 Name</t>
  </si>
  <si>
    <t>Option1 Value</t>
  </si>
  <si>
    <t>Option2 Name</t>
  </si>
  <si>
    <t>Option2 Value</t>
  </si>
  <si>
    <t>Variant Generate From Options</t>
  </si>
  <si>
    <t>Variant SKU</t>
  </si>
  <si>
    <t>Variant Weight</t>
  </si>
  <si>
    <t>Variant Weight Unit</t>
  </si>
  <si>
    <t>Variant Country of Origin</t>
  </si>
  <si>
    <t>Variant Price</t>
  </si>
  <si>
    <t>Variant Compare At Price</t>
  </si>
  <si>
    <t>Variant Cost</t>
  </si>
  <si>
    <t>Variant Requires Shipping</t>
  </si>
  <si>
    <t>Variant Taxable</t>
  </si>
  <si>
    <t>Variant Barcode</t>
  </si>
  <si>
    <t>Variant Image</t>
  </si>
  <si>
    <t>Variant Inventory Tracker</t>
  </si>
  <si>
    <t>Variant Inventory Policy</t>
  </si>
  <si>
    <t>Variant Fulfillment Service</t>
  </si>
  <si>
    <t>Variant Inventory Qty</t>
  </si>
  <si>
    <t>Metafield: title_tag [string]</t>
  </si>
  <si>
    <t>Metafield: description_tag [string]</t>
  </si>
  <si>
    <t>Metafield: custom.material [list.single_line_text_field]</t>
  </si>
  <si>
    <t>width</t>
  </si>
  <si>
    <t>Metafield: custom.width [dimension]</t>
  </si>
  <si>
    <t>depth</t>
  </si>
  <si>
    <t>Metafield:custom.depth[dimension]</t>
  </si>
  <si>
    <t>height</t>
  </si>
  <si>
    <t>Metafield:custom.height[dimension]</t>
  </si>
  <si>
    <t>Collection Name</t>
  </si>
  <si>
    <t>Color 1</t>
  </si>
  <si>
    <t>Color 2</t>
  </si>
  <si>
    <t>Color 3</t>
  </si>
  <si>
    <t>Metafield:custom.category[single_line_text_field]</t>
  </si>
  <si>
    <t>Metafield:custom.subcategory[single_line_text_field]</t>
  </si>
  <si>
    <t>Hospitality Grade (NO USE)</t>
  </si>
  <si>
    <t>Metafield:custom.hospitality_grade[boolean]</t>
  </si>
  <si>
    <t>Performance Fabric</t>
  </si>
  <si>
    <t>Metafield:custom.performance_fabric[boolean]</t>
  </si>
  <si>
    <t>Metafield:custom.description[multi_line_text_field]</t>
  </si>
  <si>
    <t>Country</t>
  </si>
  <si>
    <t>Metafield:custom.box_count[number_integer]</t>
  </si>
  <si>
    <t>Metafield:custom.box_1_contents[single_line_text_field]</t>
  </si>
  <si>
    <t>Width (No use)</t>
  </si>
  <si>
    <t>Metafield:custom.box_1_width[dimension]</t>
  </si>
  <si>
    <t>Box 1 depth</t>
  </si>
  <si>
    <t>Metafield:custom.box_1_depth[dimension]</t>
  </si>
  <si>
    <t>box 1 height</t>
  </si>
  <si>
    <t>Metafield:custom.box_1_height[dimension]</t>
  </si>
  <si>
    <t>box 1 weight</t>
  </si>
  <si>
    <t>Metafield:custom.box_1_weight[weight]</t>
  </si>
  <si>
    <t>Metafield:custom.box_2_contents[single_line_text_field]</t>
  </si>
  <si>
    <t>box 2 width</t>
  </si>
  <si>
    <t>Metafield:custom.box_2_width[dimension]</t>
  </si>
  <si>
    <t>box 2 depth</t>
  </si>
  <si>
    <t>Metafield:custom.box_2_depth[dimension]</t>
  </si>
  <si>
    <t>box 2 height</t>
  </si>
  <si>
    <t>Metafield:custom.box_2_height[dimension]</t>
  </si>
  <si>
    <t>box 2 weight</t>
  </si>
  <si>
    <t>Metafield:custom.box_2_weight[weight]</t>
  </si>
  <si>
    <t>Metafield:custom.box_3_contents[single_line_text_field]</t>
  </si>
  <si>
    <t>box 3 width</t>
  </si>
  <si>
    <t>Metafield:custom.box_3_width[dimension]</t>
  </si>
  <si>
    <t>box 3 depth</t>
  </si>
  <si>
    <t>Metafield:custom.box_3_depth[dimension]</t>
  </si>
  <si>
    <t>box 3 height</t>
  </si>
  <si>
    <t>Metafield:custom.box_3_height[dimension]</t>
  </si>
  <si>
    <t>box 3 weight</t>
  </si>
  <si>
    <t>Metafield:custom.box_3_weight[weight]</t>
  </si>
  <si>
    <t>Metafield:custom.box_4_contents[single_line_text_field]</t>
  </si>
  <si>
    <t>box 4 width</t>
  </si>
  <si>
    <t>Metafield:custom.box_4_width[dimension]</t>
  </si>
  <si>
    <t>box 4 depth</t>
  </si>
  <si>
    <t>Metafield:custom.box_4_depth[dimension]</t>
  </si>
  <si>
    <t>box 4 height</t>
  </si>
  <si>
    <t>Metafield:custom.box_4_height[dimension]</t>
  </si>
  <si>
    <t>box 4 weight</t>
  </si>
  <si>
    <t>Metafield:custom.box_4_weight[weight]</t>
  </si>
  <si>
    <t>Metafield:custom.volume_cubic_feet[number_decimal]</t>
  </si>
  <si>
    <t>Metafield:custom.volume_cubic_meters[number_decimal]</t>
  </si>
  <si>
    <t>Metafield:custom.item_class_rank[single_line_text_field]</t>
  </si>
  <si>
    <t>Fixed Shelf Depth 1</t>
  </si>
  <si>
    <t>Fixed Shelf Height 1</t>
  </si>
  <si>
    <t>Fixed Shelf Width 1</t>
  </si>
  <si>
    <t>Interior Section Depth 1</t>
  </si>
  <si>
    <t>Interior Section Height 1</t>
  </si>
  <si>
    <t>Interior Section Width 1</t>
  </si>
  <si>
    <t>Seat Cushion Depth 1</t>
  </si>
  <si>
    <t>Seat Cushion Thickness 1</t>
  </si>
  <si>
    <t>Seat Cushion Width 1</t>
  </si>
  <si>
    <t>seat depth</t>
  </si>
  <si>
    <t>Metafield:custom.seat_depth[dimension]</t>
  </si>
  <si>
    <t>seat height</t>
  </si>
  <si>
    <t>Metafield:custom.seat_height[dimension]</t>
  </si>
  <si>
    <t>seat width</t>
  </si>
  <si>
    <t>Metafield:custom.seat_width[dimension]</t>
  </si>
  <si>
    <t>Metafield:custom.arm_pillow_qty[number_integer]</t>
  </si>
  <si>
    <t>Metafield:custom.back_cushion_qty[number_integer]</t>
  </si>
  <si>
    <t>Metafield:custom.chair_arm_option[single_line_text_field]</t>
  </si>
  <si>
    <t>Cleaning Code (No Use)</t>
  </si>
  <si>
    <t>Metafield:custom.cleaning_description[single_line_text_field]</t>
  </si>
  <si>
    <t>Metafield:custom.cleaning_code[single_line_text_field]</t>
  </si>
  <si>
    <t>Drawer Glide Type</t>
  </si>
  <si>
    <t>Drawer Quantity</t>
  </si>
  <si>
    <t>Drawer Stop Material</t>
  </si>
  <si>
    <t>Filling in Seat</t>
  </si>
  <si>
    <t>Fixed Shelf Qty</t>
  </si>
  <si>
    <t>Fixed Shelves</t>
  </si>
  <si>
    <t>Frame Construction Joinery</t>
  </si>
  <si>
    <t>Functionality</t>
  </si>
  <si>
    <t>Lumbar Pillow Qty</t>
  </si>
  <si>
    <t>Recommended Shelf Capacity (kg)</t>
  </si>
  <si>
    <t>Recommended Shelf Capacity (lbs)</t>
  </si>
  <si>
    <t>Removable Shelf Qty</t>
  </si>
  <si>
    <t>Metafield:custom.rub_rate[number_integer]</t>
  </si>
  <si>
    <t>Seat Construction</t>
  </si>
  <si>
    <t>Seat Cushion Attachment</t>
  </si>
  <si>
    <t>Seat Cushion Detail</t>
  </si>
  <si>
    <t>Seat Cushion Qty</t>
  </si>
  <si>
    <t>Metafield:custom.seating_capacity[number_integer]</t>
  </si>
  <si>
    <t>Shape Type (No Use)</t>
  </si>
  <si>
    <t>Metafield: custom.shape [list.single_line_text_field]</t>
  </si>
  <si>
    <t>Suite</t>
  </si>
  <si>
    <t>Toss Pillow Qty</t>
  </si>
  <si>
    <t>weight capacity</t>
  </si>
  <si>
    <t>Metafield:custom.weight_capacity[weight]</t>
  </si>
  <si>
    <t>arm height floor</t>
  </si>
  <si>
    <t>Metafield:custom.arm_height_floor[dimension]</t>
  </si>
  <si>
    <t>Arm Height from Seat</t>
  </si>
  <si>
    <t>Arm Length</t>
  </si>
  <si>
    <t>Arm Pillow Depth</t>
  </si>
  <si>
    <t>Arm Pillow Height</t>
  </si>
  <si>
    <t>Arm Pillow Width</t>
  </si>
  <si>
    <t>Arm Width</t>
  </si>
  <si>
    <t>Back Cushion Depth 1</t>
  </si>
  <si>
    <t>Back Cushion Height 1</t>
  </si>
  <si>
    <t>Back Cushion Width 1</t>
  </si>
  <si>
    <t>Clearance from Floor 1</t>
  </si>
  <si>
    <t>Distance between Legs (Front to Back) 1</t>
  </si>
  <si>
    <t>Distance between Legs (Side to Side) 1</t>
  </si>
  <si>
    <t>Seat Back Height</t>
  </si>
  <si>
    <t>Arm Pillow Detail</t>
  </si>
  <si>
    <t>Arm Pillows</t>
  </si>
  <si>
    <t>Back Cushion Attachment</t>
  </si>
  <si>
    <t>Back Cushion Detail</t>
  </si>
  <si>
    <t>Filling in Back Cushion</t>
  </si>
  <si>
    <t>Filling in Body</t>
  </si>
  <si>
    <t>Toss Pillow Detail</t>
  </si>
  <si>
    <t>Leg/Base Depth 1</t>
  </si>
  <si>
    <t>Leg/Base Height 1</t>
  </si>
  <si>
    <t>Leg/Base Width 1</t>
  </si>
  <si>
    <t>Tabletop Thickness</t>
  </si>
  <si>
    <t>Has Leveler</t>
  </si>
  <si>
    <t>Interior Section Quantity</t>
  </si>
  <si>
    <t>Leaf Qty</t>
  </si>
  <si>
    <t>Seat Width (Back)</t>
  </si>
  <si>
    <t>Seat Width (Front)</t>
  </si>
  <si>
    <t>Minimum Number Of Plugs Required</t>
  </si>
  <si>
    <t>Number Of Motors Supported By Plug</t>
  </si>
  <si>
    <t>Upholstery Finishing Detail</t>
  </si>
  <si>
    <t>Wall Clearance</t>
  </si>
  <si>
    <t>Apron Height</t>
  </si>
  <si>
    <t>Opening for Seating Height</t>
  </si>
  <si>
    <t>Overhang Width 1</t>
  </si>
  <si>
    <t>Table Type</t>
  </si>
  <si>
    <t>Door Height 1</t>
  </si>
  <si>
    <t>Door Thickness 1</t>
  </si>
  <si>
    <t>Door Width 1</t>
  </si>
  <si>
    <t>Removable Shelf (Fixed or Adjustable) Depth 1</t>
  </si>
  <si>
    <t>Removable Shelf (Fixed or Adjustable) Height 1</t>
  </si>
  <si>
    <t>Removable Shelf (Fixed or Adjustable) Width 1</t>
  </si>
  <si>
    <t>Bottle Qty</t>
  </si>
  <si>
    <t>Cord Management</t>
  </si>
  <si>
    <t>Door Closure Catch Type</t>
  </si>
  <si>
    <t>Door Qty</t>
  </si>
  <si>
    <t>Door Type</t>
  </si>
  <si>
    <t>Hinge Type</t>
  </si>
  <si>
    <t>Num Of Stemware Racks</t>
  </si>
  <si>
    <t>Removable Shelf</t>
  </si>
  <si>
    <t>Cabinet Storage Type</t>
  </si>
  <si>
    <t>Door Panel Construction</t>
  </si>
  <si>
    <t>Has Soft Close Drawers</t>
  </si>
  <si>
    <t>Socket Qty</t>
  </si>
  <si>
    <t>Drawer Depth 1</t>
  </si>
  <si>
    <t>Drawer Depth 2</t>
  </si>
  <si>
    <t>Drawer Height 1</t>
  </si>
  <si>
    <t>Drawer Height 2</t>
  </si>
  <si>
    <t>Drawer Width 1</t>
  </si>
  <si>
    <t>Drawer Width 2</t>
  </si>
  <si>
    <t>Drawer Glide Color</t>
  </si>
  <si>
    <t>Drawer Inserts</t>
  </si>
  <si>
    <t>Drawer Joinery</t>
  </si>
  <si>
    <t>Drawer Stop Anti Tip Rail</t>
  </si>
  <si>
    <t>Interior Section Depth 2</t>
  </si>
  <si>
    <t>Interior Section Height 2</t>
  </si>
  <si>
    <t>Interior Section Width 2</t>
  </si>
  <si>
    <t>Filing Drawers Qty</t>
  </si>
  <si>
    <t>Large Table Depth</t>
  </si>
  <si>
    <t>Large Table Height</t>
  </si>
  <si>
    <t>Large Table Width</t>
  </si>
  <si>
    <t>Small Table Depth</t>
  </si>
  <si>
    <t>Small Table Height</t>
  </si>
  <si>
    <t>Small Table Width</t>
  </si>
  <si>
    <t>Back Cushion Depth 2</t>
  </si>
  <si>
    <t>Back Cushion Height 2</t>
  </si>
  <si>
    <t>Back Cushion Width 2</t>
  </si>
  <si>
    <t>Reversible</t>
  </si>
  <si>
    <t>Sectional Clip</t>
  </si>
  <si>
    <t>Sectional Configurations</t>
  </si>
  <si>
    <t>Interior Section Depth 3</t>
  </si>
  <si>
    <t>Interior Section Depth 4</t>
  </si>
  <si>
    <t>Interior Section Height 3</t>
  </si>
  <si>
    <t>Interior Section Height 4</t>
  </si>
  <si>
    <t>Interior Section Width 3</t>
  </si>
  <si>
    <t>Interior Section Width 4</t>
  </si>
  <si>
    <t>Distance between Pin Placements</t>
  </si>
  <si>
    <t>Drawer Depth 3</t>
  </si>
  <si>
    <t>Drawer Depth 4</t>
  </si>
  <si>
    <t>Drawer Height 3</t>
  </si>
  <si>
    <t>Drawer Height 4</t>
  </si>
  <si>
    <t>Drawer Width 3</t>
  </si>
  <si>
    <t>Drawer Width 4</t>
  </si>
  <si>
    <t>Removable Shelf (Fixed or Adjustable) Depth 2</t>
  </si>
  <si>
    <t>Removable Shelf (Fixed or Adjustable) Height 2</t>
  </si>
  <si>
    <t>Removable Shelf (Fixed or Adjustable) Width 2</t>
  </si>
  <si>
    <t>Can Be Floated</t>
  </si>
  <si>
    <t>Removable Shelf Adjustable?</t>
  </si>
  <si>
    <t>Trunk Interior Depth</t>
  </si>
  <si>
    <t>Trunk Interior Height</t>
  </si>
  <si>
    <t>Trunk Interior Width</t>
  </si>
  <si>
    <t>Swivel Mechanism</t>
  </si>
  <si>
    <t>Clearance from Footboard</t>
  </si>
  <si>
    <t>Clearance from Headboard</t>
  </si>
  <si>
    <t>Clearance from Side Rails</t>
  </si>
  <si>
    <t>Footboard Height</t>
  </si>
  <si>
    <t>Footboard Thickness</t>
  </si>
  <si>
    <t>Footboard Width</t>
  </si>
  <si>
    <t>Headboard Height</t>
  </si>
  <si>
    <t>Headboard Thickness</t>
  </si>
  <si>
    <t>Headboard Width</t>
  </si>
  <si>
    <t>Interior Dimension for Mattress Depth</t>
  </si>
  <si>
    <t>Interior Dimension for Mattress Height</t>
  </si>
  <si>
    <t>Interior Dimension for Mattress Width</t>
  </si>
  <si>
    <t>Side Rails Height</t>
  </si>
  <si>
    <t>Side Rails Length</t>
  </si>
  <si>
    <t>Side Rails Thickness</t>
  </si>
  <si>
    <t>Adjustable Bed Frame Compatible</t>
  </si>
  <si>
    <t>Bed Backing</t>
  </si>
  <si>
    <t>Bed Material</t>
  </si>
  <si>
    <t>Box Spring Required</t>
  </si>
  <si>
    <t>Size</t>
  </si>
  <si>
    <t>Lumbar Pillow Depth 1</t>
  </si>
  <si>
    <t>Lumbar Pillow Height 1</t>
  </si>
  <si>
    <t>Lumbar Pillow Width 1</t>
  </si>
  <si>
    <t>Lumbar Pillow Detail</t>
  </si>
  <si>
    <t>Lumbar Pillows</t>
  </si>
  <si>
    <t>Distance between Slats</t>
  </si>
  <si>
    <t>Floor to Top of Slat Height</t>
  </si>
  <si>
    <t>Slat Width</t>
  </si>
  <si>
    <t>Has Slats</t>
  </si>
  <si>
    <t>Slat Type</t>
  </si>
  <si>
    <t>Fully Reclined Depth</t>
  </si>
  <si>
    <t>Fully Reclined Height</t>
  </si>
  <si>
    <t>Interior Frame Depth (Without Slats and Center Rail)</t>
  </si>
  <si>
    <t>Interior Frame Width (Without Slats and Center Rail)</t>
  </si>
  <si>
    <t>Seat Height Adjustable (Max)</t>
  </si>
  <si>
    <t>Seat Height Adjustable (Min)</t>
  </si>
  <si>
    <t>Toss Pillow Depth 1</t>
  </si>
  <si>
    <t>Toss Pillow Height 1</t>
  </si>
  <si>
    <t>Toss Pillow Width 1</t>
  </si>
  <si>
    <t>Bottle Rack Depth</t>
  </si>
  <si>
    <t>Wine Bottle Rack</t>
  </si>
  <si>
    <t>Toss Pillows</t>
  </si>
  <si>
    <t>Fully Opened Sleeper Height</t>
  </si>
  <si>
    <t>Sleeping Surface Depth</t>
  </si>
  <si>
    <t>Sleeping Surface Width</t>
  </si>
  <si>
    <t>Adjustable Shelf Depth 1</t>
  </si>
  <si>
    <t>Adjustable Shelf Height 1</t>
  </si>
  <si>
    <t>Adjustable Shelf Width 1</t>
  </si>
  <si>
    <t>Distance 1 between Adjustable Shelves</t>
  </si>
  <si>
    <t>Distance between Legs (Back) 1</t>
  </si>
  <si>
    <t>Distance between Legs (Front) 1</t>
  </si>
  <si>
    <t>Fixed Shelf Depth 2</t>
  </si>
  <si>
    <t>Fixed Shelf Height 2</t>
  </si>
  <si>
    <t>Fixed Shelf Width 2</t>
  </si>
  <si>
    <t>Casters</t>
  </si>
  <si>
    <t>Width with Leaf</t>
  </si>
  <si>
    <t>Width without Leaf</t>
  </si>
  <si>
    <t>Extension Type</t>
  </si>
  <si>
    <t>Leaf Type</t>
  </si>
  <si>
    <t>Tray Depth</t>
  </si>
  <si>
    <t>Tray Height</t>
  </si>
  <si>
    <t>Tray Width</t>
  </si>
  <si>
    <t>Functional Ladder</t>
  </si>
  <si>
    <t>Interior Section Depth 5</t>
  </si>
  <si>
    <t>Interior Section Height 5</t>
  </si>
  <si>
    <t>Interior Section Width 5</t>
  </si>
  <si>
    <t>Object 1 Depth</t>
  </si>
  <si>
    <t>Object 1 Height</t>
  </si>
  <si>
    <t>Object 1 Width</t>
  </si>
  <si>
    <t>Num Of Pieces</t>
  </si>
  <si>
    <t>Anti-Tip Kit Included?</t>
  </si>
  <si>
    <t>Sliding Door Track</t>
  </si>
  <si>
    <t>Adjustable</t>
  </si>
  <si>
    <t>Door Height 2</t>
  </si>
  <si>
    <t>Door Thickness 2</t>
  </si>
  <si>
    <t>Door Width 2</t>
  </si>
  <si>
    <t>Interior Section Depth 6</t>
  </si>
  <si>
    <t>Interior Section Depth 7</t>
  </si>
  <si>
    <t>Interior Section Height 6</t>
  </si>
  <si>
    <t>Interior Section Height 7</t>
  </si>
  <si>
    <t>Interior Section Width 6</t>
  </si>
  <si>
    <t>Interior Section Width 7</t>
  </si>
  <si>
    <t>Headrest Motion</t>
  </si>
  <si>
    <t>Power Motion</t>
  </si>
  <si>
    <t>Toss Pillow Depth 2</t>
  </si>
  <si>
    <t>Toss Pillow Height 2</t>
  </si>
  <si>
    <t>Toss Pillow Width 2</t>
  </si>
  <si>
    <t>Overall Sofa &amp; Bed Depth</t>
  </si>
  <si>
    <t>Sleeping Surface Height</t>
  </si>
  <si>
    <t>Under Bed Clearance Height</t>
  </si>
  <si>
    <t>Interior Section Depth 10</t>
  </si>
  <si>
    <t>Interior Section Depth 11</t>
  </si>
  <si>
    <t>Interior Section Depth 12</t>
  </si>
  <si>
    <t>Interior Section Depth 8</t>
  </si>
  <si>
    <t>Interior Section Depth 9</t>
  </si>
  <si>
    <t>Interior Section Height 10</t>
  </si>
  <si>
    <t>Interior Section Height 11</t>
  </si>
  <si>
    <t>Interior Section Height 12</t>
  </si>
  <si>
    <t>Interior Section Height 8</t>
  </si>
  <si>
    <t>Interior Section Height 9</t>
  </si>
  <si>
    <t>Interior Section Width 10</t>
  </si>
  <si>
    <t>Interior Section Width 11</t>
  </si>
  <si>
    <t>Interior Section Width 12</t>
  </si>
  <si>
    <t>Interior Section Width 8</t>
  </si>
  <si>
    <t>Interior Section Width 9</t>
  </si>
  <si>
    <t>Sofa Back to Mattress Gap Depth</t>
  </si>
  <si>
    <t>10 Point Area Diameter</t>
  </si>
  <si>
    <t>20 Point Area Diameter</t>
  </si>
  <si>
    <t>50 Point Area Diameter</t>
  </si>
  <si>
    <t>Bullseye Diameter</t>
  </si>
  <si>
    <t>Dart Height</t>
  </si>
  <si>
    <t>Dart Width &amp; Depth</t>
  </si>
  <si>
    <t>Balls Included Qty</t>
  </si>
  <si>
    <t>Cupholders Included Qty</t>
  </si>
  <si>
    <t>Dart Material</t>
  </si>
  <si>
    <t>Darts Included Qty</t>
  </si>
  <si>
    <t>Dice Included Qty</t>
  </si>
  <si>
    <t>Entryway Openings Qty</t>
  </si>
  <si>
    <t>Game Type</t>
  </si>
  <si>
    <t>Paddles Included Qty</t>
  </si>
  <si>
    <t>Playing Pieces Included Qty</t>
  </si>
  <si>
    <t>Poker Chipholder Qty</t>
  </si>
  <si>
    <t>Pucks Included Qty</t>
  </si>
  <si>
    <t>Strikers Included Qty</t>
  </si>
  <si>
    <t>Dust Panel</t>
  </si>
  <si>
    <t>Ball Diameter</t>
  </si>
  <si>
    <t>Paddle Depth</t>
  </si>
  <si>
    <t>Paddle Height</t>
  </si>
  <si>
    <t>Paddle Width</t>
  </si>
  <si>
    <t>Removable Net Height</t>
  </si>
  <si>
    <t>Removable Net Width</t>
  </si>
  <si>
    <t>Table Height Adjustable (Max)</t>
  </si>
  <si>
    <t>Table Height Adjustable (Min)</t>
  </si>
  <si>
    <t>Fixed Shelf Depth 3</t>
  </si>
  <si>
    <t>Fixed Shelf Depth 4</t>
  </si>
  <si>
    <t>Fixed Shelf Depth 5</t>
  </si>
  <si>
    <t>Fixed Shelf Depth 6</t>
  </si>
  <si>
    <t>Fixed Shelf Height 3</t>
  </si>
  <si>
    <t>Fixed Shelf Height 4</t>
  </si>
  <si>
    <t>Fixed Shelf Height 5</t>
  </si>
  <si>
    <t>Fixed Shelf Height 6</t>
  </si>
  <si>
    <t>Fixed Shelf Width 3</t>
  </si>
  <si>
    <t>Fixed Shelf Width 4</t>
  </si>
  <si>
    <t>Fixed Shelf Width 5</t>
  </si>
  <si>
    <t>Fixed Shelf Width 6</t>
  </si>
  <si>
    <t>NEW</t>
  </si>
  <si>
    <t>Abaso 6-Drawer Dresser</t>
  </si>
  <si>
    <t>MERGE</t>
  </si>
  <si>
    <t>Active</t>
  </si>
  <si>
    <t>global</t>
  </si>
  <si>
    <t>https://dd3ka9h4chfr8.cloudfront.net/image/725136000567/image_gka2f84np541d52dk7vael803u/-FJPG/239844-002_FRT_1.jpg;https://dd3ka9h4chfr8.cloudfront.net/image/725136000567/image_od7fgelf190gp89vokk5slm836/-FJPG/239844-002_PRM_1.jpg;https://dd3ka9h4chfr8.cloudfront.net/image/725136000567/image_jpqfqujft144l6poot3eqice70/-FJPG/239844-002_SID_1.jpg;https://dd3ka9h4chfr8.cloudfront.net/image/725136000567/image_3v3ac2vu55667d3ackqot4952l/-FJPG/239844-002_ESS_1.jpg;https://dd3ka9h4chfr8.cloudfront.net/image/725136000567/image_fifcnjg2jd4fl9hhp85a22if6d/-FJPG/239844-002_DET_2.jpg;https://dd3ka9h4chfr8.cloudfront.net/image/725136000567/image_rafe38g82p0f95532d5d2qat6o/-FJPG/239844-002_BCK_1.jpg;https://dd3ka9h4chfr8.cloudfront.net/image/725136000567/image_np0cahrk7d41h83656qm26qo6r/-FJPG/Color Variance Card_Ebony Rustic Wormwood.jpg;https://dd3ka9h4chfr8.cloudfront.net/image/725136000567/image_drv98806555u54li4bukgaji4q/-FJPG/239844-002_DET_1.jpg;https://dd3ka9h4chfr8.cloudfront.net/image/725136000567/image_l6pokv08dh4fr0j4u0so9jad7r/-FJPG/239844-002_OPN_1.jpg;https://dd3ka9h4chfr8.cloudfront.net/image/725136000567/image_6inj2p2qed13557lftptr3460l/-FJPG/239844-002_TOP_1.jpg</t>
  </si>
  <si>
    <t>Color</t>
  </si>
  <si>
    <t>Ebony Rustic Wormwood Oak</t>
  </si>
  <si>
    <t>239844-002</t>
  </si>
  <si>
    <t>304.01</t>
  </si>
  <si>
    <t>lb</t>
  </si>
  <si>
    <t>MX</t>
  </si>
  <si>
    <t>https://dd3ka9h4chfr8.cloudfront.net/image/725136000567/image_gka2f84np541d52dk7vael803u/-FJPG/239844-002_FRT_1.jpg</t>
  </si>
  <si>
    <t>shopify</t>
  </si>
  <si>
    <t>deny</t>
  </si>
  <si>
    <t>manual</t>
  </si>
  <si>
    <t>["Thick Oak Veneer"]</t>
  </si>
  <si>
    <t>80</t>
  </si>
  <si>
    <t>20</t>
  </si>
  <si>
    <t>32</t>
  </si>
  <si>
    <t>Wesson</t>
  </si>
  <si>
    <t>Dressers &amp; Chests</t>
  </si>
  <si>
    <t>No</t>
  </si>
  <si>
    <t>Made from thick-cut oak veneer with a faux rustic finish made to emulate wormwood, this six-drawer dresser features chunky squared legs and dovetail joinery detailing.</t>
  </si>
  <si>
    <t>Mexico</t>
  </si>
  <si>
    <t>Complete Item</t>
  </si>
  <si>
    <t>C</t>
  </si>
  <si>
    <t>Undermount Metal</t>
  </si>
  <si>
    <t>None</t>
  </si>
  <si>
    <t>Butt Joint</t>
  </si>
  <si>
    <t>Drawers</t>
  </si>
  <si>
    <t>Wide</t>
  </si>
  <si>
    <t>Abaso</t>
  </si>
  <si>
    <t>200 lb</t>
  </si>
  <si>
    <t>1.75"</t>
  </si>
  <si>
    <t>Yes</t>
  </si>
  <si>
    <t>No Doors</t>
  </si>
  <si>
    <t>14.75"</t>
  </si>
  <si>
    <t>5.00"</t>
  </si>
  <si>
    <t>30.24"</t>
  </si>
  <si>
    <t>Silver</t>
  </si>
  <si>
    <t>Four Hands</t>
  </si>
  <si>
    <t>https://dd3ka9h4chfr8.cloudfront.net/image/725136000567/image_qdem071qcd167ckd0815jede35/-FJPG/239844-001_FRT_1.jpg;https://dd3ka9h4chfr8.cloudfront.net/image/725136000567/image_2ijs6dj42d4e1frt8452e5nr5k/-FJPG/239844-001_PRM_1.jpg;https://dd3ka9h4chfr8.cloudfront.net/image/725136000567/image_ek00ed0bqh76l0drdp56knkp6j/-FJPG/239844-001_SID_1.jpg;https://dd3ka9h4chfr8.cloudfront.net/image/725136000567/image_li60n6h6l55at53t7lhorscn73/-FJPG/239844-001_ESS_1.jpg;https://dd3ka9h4chfr8.cloudfront.net/image/725136000567/image_tj95c5v1jt013em34sk24knn4h/-FJPG/239844-001_DET_2.jpg;https://dd3ka9h4chfr8.cloudfront.net/image/725136000567/image_iurtlg64s956vd21h0m9f5p95p/-FJPG/239844-001_BCK_1.jpg;https://dd3ka9h4chfr8.cloudfront.net/image/725136000567/image_jddfbo3vt507rbt0ls1dko090r/-FJPG/239844-001_DET_1.jpg;https://dd3ka9h4chfr8.cloudfront.net/image/725136000567/image_ihu66i7hnt4hr23k4nf4gm6o3u/-FJPG/239844-001_TOP_1.jpg;https://dd3ka9h4chfr8.cloudfront.net/image/725136000567/image_2j8f8d5ro931j52qq0pmu93s09/-FJPG/239844-001_PRM_2.jpg</t>
  </si>
  <si>
    <t>Rustic Wormwood Oak</t>
  </si>
  <si>
    <t>239844-001</t>
  </si>
  <si>
    <t>https://dd3ka9h4chfr8.cloudfront.net/image/725136000567/image_qdem071qcd167ckd0815jede35/-FJPG/239844-001_FRT_1.jpg</t>
  </si>
  <si>
    <t>{"value":80,"unit":"in"}</t>
  </si>
  <si>
    <t>{"value":20,"unit":"in"}</t>
  </si>
  <si>
    <t>{"value":32,"unit":"in"}</t>
  </si>
  <si>
    <t>{"value":85.04,"unit":"in"}</t>
  </si>
  <si>
    <t>{"value":25.59,"unit":"in"}</t>
  </si>
  <si>
    <t>{"value":38.58,"unit":"in"}</t>
  </si>
  <si>
    <t>{"value":384.26,"unit":"lb"}</t>
  </si>
  <si>
    <t/>
  </si>
  <si>
    <t>["Wide"]</t>
  </si>
  <si>
    <t>{"value":200,"unit":"lb"}</t>
  </si>
  <si>
    <t>Abaso Accent Bench</t>
  </si>
  <si>
    <t>https://dd3ka9h4chfr8.cloudfront.net/image/725136000567/image_91v1a1ce395rdes09r0kjvg67q/-FJPG/239396-002_FRT_1.jpg;https://dd3ka9h4chfr8.cloudfront.net/image/725136000567/image_rk6qngc2dh4phedb7ru3ggno3i/-FJPG/239396-002_PRM_1.jpg;https://dd3ka9h4chfr8.cloudfront.net/image/725136000567/image_198i86qcih6j36m0v1aagmug1k/-FJPG/239396-002_SID_1.jpg;https://dd3ka9h4chfr8.cloudfront.net/image/725136000567/image_v160moces919v0qqfmguh6k95f/-FJPG/239396-002_ESS.tif;https://dd3ka9h4chfr8.cloudfront.net/image/725136000567/image_2el5978sr10f52bbgcbpacid7q/-FJPG/239396-002_DET_2.jpg;https://dd3ka9h4chfr8.cloudfront.net/image/725136000567/image_kuin0v575l5prb7tmoehlf0u7g/-FJPG/239396-002_BCK_1.jpg;https://dd3ka9h4chfr8.cloudfront.net/image/725136000567/image_np0cahrk7d41h83656qm26qo6r/-FJPG/Color Variance Card_Ebony Rustic Wormwood.jpg;https://dd3ka9h4chfr8.cloudfront.net/image/725136000567/image_1e97th6itd6l31suo14b2sch56/-FJPG/239396-002_DET_1.jpg;https://dd3ka9h4chfr8.cloudfront.net/image/725136000567/image_g8mgr5k0095mjbqtaeppspjv1v/-FJPG/239396-002_DET_3.jpg;https://dd3ka9h4chfr8.cloudfront.net/image/725136000567/image_pjs08ok2r961d51mam1ij5ob1h/-FJPG/239396-0021_TOP_1.jpg;https://dd3ka9h4chfr8.cloudfront.net/image/725136000567/image_peqj3b4i6h6b1cfrqbponr3m6h/-FJPG/239396-002_DET_4.jpg;https://dd3ka9h4chfr8.cloudfront.net/image/725136000567/image_doq81ecbdt1ap6abb20gl64p5q/-FJPG/239396-002_DET_5.jpg;https://dd3ka9h4chfr8.cloudfront.net/image/725136000567/image_43f7u0en3930lc20ejh6r31l4h/-FJPG/239396-002_DET_6.jpg;https://dd3ka9h4chfr8.cloudfront.net/image/725136000567/image_l4s3umpqhp1kh0ji24m6st502t/-FJPG/239396-002_DET_7.jpg;https://dd3ka9h4chfr8.cloudfront.net/image/725136000567/image_98m5pb6ei957f0d2jo359bis13/-FJPG/239396-002_DET_8.jpg</t>
  </si>
  <si>
    <t>239396-002</t>
  </si>
  <si>
    <t>99.16</t>
  </si>
  <si>
    <t>https://dd3ka9h4chfr8.cloudfront.net/image/725136000567/image_91v1a1ce395rdes09r0kjvg67q/-FJPG/239396-002_FRT_1.jpg</t>
  </si>
  <si>
    <t>70</t>
  </si>
  <si>
    <t>{"value":70,"unit":"in"}</t>
  </si>
  <si>
    <t>19.25</t>
  </si>
  <si>
    <t>{"value":19.25,"unit":"in"}</t>
  </si>
  <si>
    <t>19</t>
  </si>
  <si>
    <t>{"value":19,"unit":"in"}</t>
  </si>
  <si>
    <t>Benches</t>
  </si>
  <si>
    <t>Accent Benches</t>
  </si>
  <si>
    <t>Made from thick-cut oak veneer with a faux rustic finish made to emulate wormwood, with clean Parsons lines, chunky squared legs and dovetail joinery detailing.</t>
  </si>
  <si>
    <t>{"value":75.2,"unit":"in"}</t>
  </si>
  <si>
    <t>{"value":24.25,"unit":"in"}</t>
  </si>
  <si>
    <t>{"value":24.21,"unit":"in"}</t>
  </si>
  <si>
    <t>{"value":142.64,"unit":"lb"}</t>
  </si>
  <si>
    <t>B</t>
  </si>
  <si>
    <t>19.25"</t>
  </si>
  <si>
    <t>19.00"</t>
  </si>
  <si>
    <t>70.00"</t>
  </si>
  <si>
    <t>Armless</t>
  </si>
  <si>
    <t>Wooden Platform</t>
  </si>
  <si>
    <t>Rectangle</t>
  </si>
  <si>
    <t>["Rectangle"]</t>
  </si>
  <si>
    <t>525 lb</t>
  </si>
  <si>
    <t>{"value":525,"unit":"lb"}</t>
  </si>
  <si>
    <t>9.00"</t>
  </si>
  <si>
    <t>54.75"</t>
  </si>
  <si>
    <t>4.00"</t>
  </si>
  <si>
    <t>https://dd3ka9h4chfr8.cloudfront.net/image/725136000567/image_r2jqg1drk128hbt3tqc1rl1k6f/-FJPG/239396-001_FRT_1.jpg;https://dd3ka9h4chfr8.cloudfront.net/image/725136000567/image_lgpivettpt0qbfj5ih5ruh2u76/-FJPG/239396-001_PRM_1.jpg;https://dd3ka9h4chfr8.cloudfront.net/image/725136000567/image_kpeb9j429p5ujcvlk3civdad0r/-FJPG/239396-001_SID_1.tif;https://dd3ka9h4chfr8.cloudfront.net/image/725136000567/image_574bjlmna11td1snohvr534o77/-FJPG/239396-001_ESS_1.tif;https://dd3ka9h4chfr8.cloudfront.net/image/725136000567/image_mbl3l1fdbl56b22h6u3m2b356t/-FJPG/239396-001_DET_2.jpg;https://dd3ka9h4chfr8.cloudfront.net/image/725136000567/image_vh4grgfj4h65j6tc8eq1020p3m/-FJPG/239396-001_BCK_1.jpg;https://dd3ka9h4chfr8.cloudfront.net/image/725136000567/image_ontjrn7g850g1crk86hid1tl74/-FJPG/239396-001_DET_1.jpg;https://dd3ka9h4chfr8.cloudfront.net/image/725136000567/image_rbk5jjl1c93q9avmo10d8pqc1i/-FJPG/239396-001_DET_3.jpg;https://dd3ka9h4chfr8.cloudfront.net/image/725136000567/image_7jn0dv941d1gld845qnt8dkk3v/-FJPG/239396-001_TOP_1.tif;https://dd3ka9h4chfr8.cloudfront.net/image/725136000567/image_pv26cggb8d1k524qu1h4n1ou3j/-FJPG/239396-001_DET_4.jpg;https://dd3ka9h4chfr8.cloudfront.net/image/725136000567/image_32ghppec3h6bv06iftpk6f3n4l/-FJPG/239396-001_DET_5.jpg;https://dd3ka9h4chfr8.cloudfront.net/image/725136000567/image_5g32a2q0o504hbdv3mlmqt4600/-FJPG/239396-001_DET_6.jpg;https://dd3ka9h4chfr8.cloudfront.net/image/725136000567/image_h1v7nn3pu52v5e8npgd8rifp4p/-FJPG/239396-001_DET_7.jpg;https://dd3ka9h4chfr8.cloudfront.net/image/725136000567/image_19lkvgc54p5811us968rf4kf5m/-FJPG/239396-001_DET_8.jpg;https://dd3ka9h4chfr8.cloudfront.net/image/725136000567/image_n7qdn5fn0h511bd9mugina4q30/-FJPG/239396-001_DET_8.tif;https://dd3ka9h4chfr8.cloudfront.net/image/725136000567/image_o35vnqtjep37h7583t4li6ov6e/-FJPG/239396-001_DET_9.jpg;https://dd3ka9h4chfr8.cloudfront.net/image/725136000567/image_pvlm1qcu3h1n9ai238s6j0544j/-FJPG/239396-001_DET_9.tif;https://dd3ka9h4chfr8.cloudfront.net/image/725136000567/image_ljh3v0m1n15mr0hispol773a3o/-FJPG/239396-001_DET_10.tif</t>
  </si>
  <si>
    <t>239396-001</t>
  </si>
  <si>
    <t>https://dd3ka9h4chfr8.cloudfront.net/image/725136000567/image_r2jqg1drk128hbt3tqc1rl1k6f/-FJPG/239396-001_FRT_1.jpg</t>
  </si>
  <si>
    <t>Made from thick-cut oak veneer with a rustic finish made to emulate wormwood. Featuring clean Parsons lines, chunky squared legs and dovetail joinery detailing.</t>
  </si>
  <si>
    <t>Abaso Coffee Table</t>
  </si>
  <si>
    <t>https://dd3ka9h4chfr8.cloudfront.net/image/725136000567/image_mf83pvmap91h53mnbnnqb1to4k/-FJPG/232775-002_FRT_1.jpg;https://dd3ka9h4chfr8.cloudfront.net/image/725136000567/image_1suf8f0qpp2ljapjfgt98klm5k/-FJPG/232775-002_PRM_1.jpg;https://dd3ka9h4chfr8.cloudfront.net/image/725136000567/image_h4f03gucsd3j99e7n0oqeaiq2p/-FJPG/232775-002_SID_1.jpg;https://dd3ka9h4chfr8.cloudfront.net/image/725136000567/image_s7t03klhbt5ifcicnfbapecc1u/-FJPG/232775-002_ESS_1.jpg;https://dd3ka9h4chfr8.cloudfront.net/image/725136000567/image_ck3fdnbq8t5lf2nfk263auig2i/-FJPG/232775-002_DET_2.jpg;https://dd3ka9h4chfr8.cloudfront.net/image/725136000567/image_np0cahrk7d41h83656qm26qo6r/-FJPG/Color Variance Card_Ebony Rustic Wormwood.jpg;https://dd3ka9h4chfr8.cloudfront.net/image/725136000567/image_0p6b33us090s141an6a850ik20/-FJPG/232775-002_DET_1.jpg;https://dd3ka9h4chfr8.cloudfront.net/image/725136000567/image_2n3eg4hr8d7kh3t5phdpgbua2i/-FJPG/232775-002_DET_3.jpg;https://dd3ka9h4chfr8.cloudfront.net/image/725136000567/image_e88lc8h98h1pr0g1atknh7jt2q/-FJPG/232775-002_TOP_1.jpg;https://dd3ka9h4chfr8.cloudfront.net/image/725136000567/image_mk5h063cv57ln7tkakmrs17q0h/-FJPG/232775-002_DET_4.jpg;https://dd3ka9h4chfr8.cloudfront.net/image/725136000567/image_odsc56iv856vtb3nd9c8ee4a0h/-FJPG/232775-002_DET_5.jpg;https://dd3ka9h4chfr8.cloudfront.net/image/725136000567/image_p7ce3j9m9l1ilbb28ba9bbp45m/-FJPG/232775-002_DET_6.jpg</t>
  </si>
  <si>
    <t>232775-002</t>
  </si>
  <si>
    <t>168.87</t>
  </si>
  <si>
    <t>https://dd3ka9h4chfr8.cloudfront.net/image/725136000567/image_mf83pvmap91h53mnbnnqb1to4k/-FJPG/232775-002_FRT_1.jpg</t>
  </si>
  <si>
    <t>55</t>
  </si>
  <si>
    <t>{"value":55,"unit":"in"}</t>
  </si>
  <si>
    <t>15</t>
  </si>
  <si>
    <t>{"value":15,"unit":"in"}</t>
  </si>
  <si>
    <t>Coffee Tables</t>
  </si>
  <si>
    <t>Made from thick-cut oak veneer with a faux rustic finish made to emulate wormwood oak, this low, large-scale coffee table features chunky squared legs and dovetail joinery detailing.</t>
  </si>
  <si>
    <t>{"value":61.26,"unit":"in"}</t>
  </si>
  <si>
    <t>{"value":61.65,"unit":"in"}</t>
  </si>
  <si>
    <t>{"value":20.87,"unit":"in"}</t>
  </si>
  <si>
    <t>{"value":200.62,"unit":"lb"}</t>
  </si>
  <si>
    <t>A</t>
  </si>
  <si>
    <t>Square</t>
  </si>
  <si>
    <t>["Square"]</t>
  </si>
  <si>
    <t>100 lb</t>
  </si>
  <si>
    <t>{"value":100,"unit":"lb"}</t>
  </si>
  <si>
    <t>39.38"</t>
  </si>
  <si>
    <t>7.88"</t>
  </si>
  <si>
    <t>15.00"</t>
  </si>
  <si>
    <t>6.00"</t>
  </si>
  <si>
    <t>Abaso Console Table</t>
  </si>
  <si>
    <t>https://dd3ka9h4chfr8.cloudfront.net/image/725136000567/image_fntpsrdjg52152jftm5t4f3528/-FJPG/229656-003_FRT_1.jpg;https://dd3ka9h4chfr8.cloudfront.net/image/725136000567/image_s8m5ae5irp46ja124j86o7sb4e/-FJPG/229656-003_PRM_1.jpg;https://dd3ka9h4chfr8.cloudfront.net/image/725136000567/image_sue799auvd4u177d27p7p0va71/-FJPG/229656-003_SID_1.jpg;https://dd3ka9h4chfr8.cloudfront.net/image/725136000567/image_ei40rdmj65145epp0uj3od0d5g/-FJPG/229656-003_ESS_1.jpg;https://dd3ka9h4chfr8.cloudfront.net/image/725136000567/image_drnok33kbt11hf9mg1s2958158/-FJPG/229656-003_ESS.tif;https://dd3ka9h4chfr8.cloudfront.net/image/725136000567/image_3rq9fmvj4d3pr3jdidgj34d96d/-FJPG/229656-003_HOV_1.jpg;https://dd3ka9h4chfr8.cloudfront.net/image/725136000567/image_rphups9c055or6nj91uhf1l067/-FJPG/229656-003_DET_2.jpg;https://dd3ka9h4chfr8.cloudfront.net/image/725136000567/image_np0cahrk7d41h83656qm26qo6r/-FJPG/Color Variance Card_Ebony Rustic Wormwood.jpg;https://dd3ka9h4chfr8.cloudfront.net/image/725136000567/image_v8hb9o3jr15lv1v9mt200aak7s/-FJPG/229656-003_DET_1.jpg;https://dd3ka9h4chfr8.cloudfront.net/image/725136000567/image_538ooo7u4t0gdb84hscm23ol04/-FJPG/229656-003_DET_3.jpg;https://dd3ka9h4chfr8.cloudfront.net/image/725136000567/image_3hv90vton123p6b0j7j1f6st63/-FJPG/229656-003_DET_4.jpg;https://dd3ka9h4chfr8.cloudfront.net/image/725136000567/image_hpj4g1mnp14vja7h9a5bb79d6h/-FJPG/229656-003_DET_5.jpg</t>
  </si>
  <si>
    <t>Ebony Rustic Ash Oyster</t>
  </si>
  <si>
    <t>229656-003</t>
  </si>
  <si>
    <t>132.5</t>
  </si>
  <si>
    <t>https://dd3ka9h4chfr8.cloudfront.net/image/725136000567/image_fntpsrdjg52152jftm5t4f3528/-FJPG/229656-003_FRT_1.jpg</t>
  </si>
  <si>
    <t>["Thick Oyster Cut Ash Oyster Veneer","Thick Oak Veneer"]</t>
  </si>
  <si>
    <t>86</t>
  </si>
  <si>
    <t>{"value":86,"unit":"in"}</t>
  </si>
  <si>
    <t>20.25</t>
  </si>
  <si>
    <t>{"value":20.25,"unit":"in"}</t>
  </si>
  <si>
    <t>33</t>
  </si>
  <si>
    <t>{"value":33,"unit":"in"}</t>
  </si>
  <si>
    <t>Console Tables</t>
  </si>
  <si>
    <t>Made from thick-cut oak veneer with a faux rustic finish made to emulate wormwood oak, this low, large-scale console table features chunky squared legs and dovetail joinery detailing.</t>
  </si>
  <si>
    <t>{"value":79.53,"unit":"in"}</t>
  </si>
  <si>
    <t>{"value":25.98,"unit":"in"}</t>
  </si>
  <si>
    <t>{"value":39.37,"unit":"in"}</t>
  </si>
  <si>
    <t>{"value":227.96,"unit":"lb"}</t>
  </si>
  <si>
    <t>23.00"</t>
  </si>
  <si>
    <t>4.13"</t>
  </si>
  <si>
    <t>70.75"</t>
  </si>
  <si>
    <t>8.13"</t>
  </si>
  <si>
    <t>33.00"</t>
  </si>
  <si>
    <t>7.63"</t>
  </si>
  <si>
    <t>10.00"</t>
  </si>
  <si>
    <t>https://dd3ka9h4chfr8.cloudfront.net/image/725136000567/image_h7c6ihrsp556p3m76bmmb98i43/-FJPG/229656-002_FRT_1.jpg;https://dd3ka9h4chfr8.cloudfront.net/image/725136000567/image_lkocca1ghd5cre5i2t5na35i4d/-FJPG/229656-002_PRM_1.jpg;https://dd3ka9h4chfr8.cloudfront.net/image/725136000567/image_i6cblqu8ul5h1fol2860p2mo1b/-FJPG/229656-002_SID_1.jpg;https://dd3ka9h4chfr8.cloudfront.net/image/725136000567/image_cr5qnc2o597537f4olfp1j8o5u/-FJPG/229656-002_ESS_1.jpg;https://dd3ka9h4chfr8.cloudfront.net/image/725136000567/image_mb1hd2jmr51vv3uis9s506rp41/-FJPG/Page 10-TR_FHMPRJ_Q4LB22-0823_ALT.jpg;https://dd3ka9h4chfr8.cloudfront.net/image/725136000567/image_n562mo9eeh4lrbeaeucfrq6u32/-FJPG/229656-002_DET_2.jpg;https://dd3ka9h4chfr8.cloudfront.net/image/725136000567/image_17l9n7kurh24nd2fenpfts7r4p/-FJPG/229656-002_DET_1.jpg;https://dd3ka9h4chfr8.cloudfront.net/image/725136000567/image_bkkusddmep1bre67v14el03510/-FJPG/229656-002_DET_3.jpg;https://dd3ka9h4chfr8.cloudfront.net/image/725136000567/image_mubpndkst55l74afdl3egf8307/-FJPG/229656-002_DET_4.jpg;https://dd3ka9h4chfr8.cloudfront.net/image/725136000567/image_8ina3qdh7p7f326jj4n0fp8e0d/-FJPG/229656-002_DET_5.jpg</t>
  </si>
  <si>
    <t>Rustic Ash Oyster</t>
  </si>
  <si>
    <t>229656-002</t>
  </si>
  <si>
    <t>https://dd3ka9h4chfr8.cloudfront.net/image/725136000567/image_h7c6ihrsp556p3m76bmmb98i43/-FJPG/229656-002_FRT_1.jpg</t>
  </si>
  <si>
    <t>Made from thick-cut oak veneer with a faux rustic finish made to emulate wormwood, this low, large-scale console table features chunky squared legs and dovetail joinery detailing.</t>
  </si>
  <si>
    <t>Abaso Dining Table</t>
  </si>
  <si>
    <t>https://dd3ka9h4chfr8.cloudfront.net/image/725136000567/image_j9kg9tjo696j996n8tjehpp34a/-FJPG/233931-002_FRT_1.jpg;https://dd3ka9h4chfr8.cloudfront.net/image/725136000567/image_ha2fedp0th1nh38ce1djf7gr5u/-FJPG/233931-002_PRM_1.jpg;https://dd3ka9h4chfr8.cloudfront.net/image/725136000567/image_nsflja49il645b2cf8pcn0vp6q/-FJPG/233931-002_SID_1.jpg;https://dd3ka9h4chfr8.cloudfront.net/image/725136000567/image_7ocj5qajjd7i193qnu4pp9vn74/-FJPG/233931-002_ESS_1.jpg;https://dd3ka9h4chfr8.cloudfront.net/image/725136000567/image_oom363pd114339joa63rfums2a/-FJPG/233931-002_DET_2.jpg;https://dd3ka9h4chfr8.cloudfront.net/image/725136000567/image_np0cahrk7d41h83656qm26qo6r/-FJPG/Color Variance Card_Ebony Rustic Wormwood.jpg;https://dd3ka9h4chfr8.cloudfront.net/image/725136000567/image_j5quk463m55vrep98kgapf5d37/-FJPG/233931-002_DET_1.jpg;https://dd3ka9h4chfr8.cloudfront.net/image/725136000567/image_n0cfj54kkl1hn1qimoftufn45i/-FJPG/233931-002_DET_4.jpg;https://dd3ka9h4chfr8.cloudfront.net/image/725136000567/image_7ql55ive9t77ncqnbstfjc875o/-FJPG/233931-002_DET_5.jpg;https://dd3ka9h4chfr8.cloudfront.net/image/725136000567/image_vk77lh3npl7lb6lfo2aq80d817/-FJPG/233931-002_DET_6.jpg</t>
  </si>
  <si>
    <t>108</t>
  </si>
  <si>
    <t>233931-002</t>
  </si>
  <si>
    <t>235.89</t>
  </si>
  <si>
    <t>https://dd3ka9h4chfr8.cloudfront.net/image/725136000567/image_j9kg9tjo696j996n8tjehpp34a/-FJPG/233931-002_FRT_1.jpg</t>
  </si>
  <si>
    <t>{"value":108,"unit":"in"}</t>
  </si>
  <si>
    <t>43</t>
  </si>
  <si>
    <t>{"value":43,"unit":"in"}</t>
  </si>
  <si>
    <t>30</t>
  </si>
  <si>
    <t>{"value":30,"unit":"in"}</t>
  </si>
  <si>
    <t>Dining &amp; Kitchen Tables</t>
  </si>
  <si>
    <t>Dining Tables</t>
  </si>
  <si>
    <t>Made from thick-cut oak veneer with a faux rustic finish made to emulate wormwood oak, this clean-lined dining table features chunky squared legs and dovetail joinery detailing. Seats 10 comfortably.</t>
  </si>
  <si>
    <t>{"value":100,"unit":"in"}</t>
  </si>
  <si>
    <t>{"value":18.9,"unit":"in"}</t>
  </si>
  <si>
    <t>{"value":51.18,"unit":"in"}</t>
  </si>
  <si>
    <t>{"value":322.97,"unit":"lb"}</t>
  </si>
  <si>
    <t>25.00"</t>
  </si>
  <si>
    <t>26.88"</t>
  </si>
  <si>
    <t>92.75"</t>
  </si>
  <si>
    <t>30.00"</t>
  </si>
  <si>
    <t>Four Leg</t>
  </si>
  <si>
    <t>https://dd3ka9h4chfr8.cloudfront.net/image/725136000567/image_q3phvlbh715k53j27fe3djoc40/-FJPG/241459-002_FRT_1.jpg;https://dd3ka9h4chfr8.cloudfront.net/image/725136000567/image_735l1rmgpl7mp5itpd9bsv7d44/-FJPG/241459-002_PRM_1.jpg;https://dd3ka9h4chfr8.cloudfront.net/image/725136000567/image_fsdks0kolp0nt9qc73ds9hpk67/-FJPG/241459-002_SID_1.jpg;https://dd3ka9h4chfr8.cloudfront.net/image/725136000567/image_sg19rrcru17pfej53gai80lm2n/-FJPG/241459-002_ESS_1.jpg;https://dd3ka9h4chfr8.cloudfront.net/image/725136000567/image_c4tdth3ret4nh98casgl69ng4d/-FJPG/241459-002_DET_2.jpg;https://dd3ka9h4chfr8.cloudfront.net/image/725136000567/image_36flaun7m97up0s63knum5147e/-FJPG/241459-002_BCK_1.jpg;https://dd3ka9h4chfr8.cloudfront.net/image/725136000567/image_np0cahrk7d41h83656qm26qo6r/-FJPG/Color Variance Card_Ebony Rustic Wormwood.jpg;https://dd3ka9h4chfr8.cloudfront.net/image/725136000567/image_v0iqrbjqol3e7bp4e3ruf9pf29/-FJPG/241459-002_DET_1.jpg;https://dd3ka9h4chfr8.cloudfront.net/image/725136000567/image_dl2djo1tn52j3582gucuetfp38/-FJPG/241459-002_DET_3.jpg;https://dd3ka9h4chfr8.cloudfront.net/image/725136000567/image_qtgiphvj896o96grvgom9oa665/-FJPG/241459-002_TOP_1.jpg;https://dd3ka9h4chfr8.cloudfront.net/image/725136000567/image_6i6m8ngfht52rdf1tv99v6b86b/-FJPG/241459-002_DET_4.jpg</t>
  </si>
  <si>
    <t>241459-002</t>
  </si>
  <si>
    <t>188.27</t>
  </si>
  <si>
    <t>https://dd3ka9h4chfr8.cloudfront.net/image/725136000567/image_q3phvlbh715k53j27fe3djoc40/-FJPG/241459-002_FRT_1.jpg</t>
  </si>
  <si>
    <t>Made from thick-cut oak veneer with a faux rustic finish to emulate wormwood, this clean-lined dining table features chunky squared legs and dovetail joinery detailing.</t>
  </si>
  <si>
    <t>{"value":78.7,"unit":"in"}</t>
  </si>
  <si>
    <t>{"value":19.29,"unit":"in"}</t>
  </si>
  <si>
    <t>{"value":51.57,"unit":"in"}</t>
  </si>
  <si>
    <t>{"value":233.69,"unit":"lb"}</t>
  </si>
  <si>
    <t>https://dd3ka9h4chfr8.cloudfront.net/image/725136000567/image_uso7ga7ioh2vl4r4vbvqeqev1l/-FJPG/233931-001_FRT_1.jpg;https://dd3ka9h4chfr8.cloudfront.net/image/725136000567/image_1ri089la9p6mv9bcqs9m4iaf5v/-FJPG/233931-001_PRM_1.jpg;https://dd3ka9h4chfr8.cloudfront.net/image/725136000567/image_m69f04vrud0tv66qfjbafmbf4u/-FJPG/233931-001_SID_1.jpg;https://dd3ka9h4chfr8.cloudfront.net/image/725136000567/image_ppr5bedhmt7ll7atgkt29olj7a/-FJPG/233931-001_ESS_1.jpg;https://dd3ka9h4chfr8.cloudfront.net/image/725136000567/image_j4pfhibvcd34rdtqg2hh5r8p1k/-FJPG/233931-001_DET_2.jpg;https://dd3ka9h4chfr8.cloudfront.net/image/725136000567/image_k0shd0tse13l35op1l46aol079/-FJPG/233931-001_DET_1.jpg;https://dd3ka9h4chfr8.cloudfront.net/image/725136000567/image_p3m0m1dfgd1mp7lg6s5t6coc3d/-FJPG/233931-001_DET_4.jpg;https://dd3ka9h4chfr8.cloudfront.net/image/725136000567/image_uk8vm7apo11n7dmbj5194cdv1g/-FJPG/233931-001_DET_5.jpg;https://dd3ka9h4chfr8.cloudfront.net/image/725136000567/image_gk3mitfomh4075e9m8ctu2ga3l/-FJPG/233931-001_DET_6.jpg</t>
  </si>
  <si>
    <t>233931-001</t>
  </si>
  <si>
    <t>https://dd3ka9h4chfr8.cloudfront.net/image/725136000567/image_uso7ga7ioh2vl4r4vbvqeqev1l/-FJPG/233931-001_FRT_1.jpg</t>
  </si>
  <si>
    <t>Made from thick-cut oak veneer with a faux rustic finish made to emulate wormwood, this clean-lined dining table features chunky squared legs and dovetail joinery detailing. Seats 10 comfortably.</t>
  </si>
  <si>
    <t>https://dd3ka9h4chfr8.cloudfront.net/image/725136000567/image_e50jgmjm9d61d46vkje6b1pu5q/-FJPG/241459-001_FRT_1.jpg;https://dd3ka9h4chfr8.cloudfront.net/image/725136000567/image_utr3tefn4d43ja5f01bqoi3747/-FJPG/241459-001_PRM_1.jpg;https://dd3ka9h4chfr8.cloudfront.net/image/725136000567/image_aro3eiejjt7dd6csnh3vlfst5v/-FJPG/241459-001_SID_1.jpg;https://dd3ka9h4chfr8.cloudfront.net/image/725136000567/image_pt0dcu9d2d6rd636u1srvarc7m/-FJPG/241459-001_ESS.tif;https://dd3ka9h4chfr8.cloudfront.net/image/725136000567/image_sf0oikss4d5jl71lv75n4pv742/-FJPG/241459-001_DET_2.jpg;https://dd3ka9h4chfr8.cloudfront.net/image/725136000567/image_ghbmoh4hs16ih79uidle4p463k/-FJPG/241459-001_BCK_1.jpg;https://dd3ka9h4chfr8.cloudfront.net/image/725136000567/image_9uhhggskhp2t79s8t6r1hscp0a/-FJPG/241459-001_DET_1.jpg;https://dd3ka9h4chfr8.cloudfront.net/image/725136000567/image_210u19p1qt5bvcr3fe1v8rm31n/-FJPG/241459-001_DET_3.jpg;https://dd3ka9h4chfr8.cloudfront.net/image/725136000567/image_n55imqks2160jar53nb6gec319/-FJPG/241459-001_DET_4.jpg;https://dd3ka9h4chfr8.cloudfront.net/image/725136000567/image_afd8nn6cv168759kdefgh52k2d/-FJPG/241459-001_DET_5.jpg;https://dd3ka9h4chfr8.cloudfront.net/image/725136000567/image_9vqilqbl753l37f6m2vatnmn5s/-FJPG/241459-001_DET_6.jpg;https://dd3ka9h4chfr8.cloudfront.net/image/725136000567/image_7e8gdphkkp2up7i6bvsbibcj44/-FJPG/241459-001_DET_9.tif</t>
  </si>
  <si>
    <t>241459-001</t>
  </si>
  <si>
    <t>https://dd3ka9h4chfr8.cloudfront.net/image/725136000567/image_e50jgmjm9d61d46vkje6b1pu5q/-FJPG/241459-001_FRT_1.jpg</t>
  </si>
  <si>
    <t>Made from thick-cut oak veneer with a faux rustic finish made to emulate wormwood, this clean-lined dining table features chunky squared legs and dovetail joinery detailing.</t>
  </si>
  <si>
    <t>Abaso Large Accent Bench</t>
  </si>
  <si>
    <t>https://dd3ka9h4chfr8.cloudfront.net/image/725136000567/image_h234cpllr540l2elnatrl9il1p/-FJPG/239398-001_FRT_1.jpg;https://dd3ka9h4chfr8.cloudfront.net/image/725136000567/image_48soa7btbt4f3frvf9p73udc61/-FJPG/239398-001_PRM_1.jpg;https://dd3ka9h4chfr8.cloudfront.net/image/725136000567/image_bnmo79hetp7rb5hbaefsc70a66/-FJPG/239398-001_SID_1.jpg;https://dd3ka9h4chfr8.cloudfront.net/image/725136000567/image_bkdggio3f15b98uu49aiilia40/-FJPG/239398-001_ESS_1.jpg;https://dd3ka9h4chfr8.cloudfront.net/image/725136000567/image_fg59u00jlh3mndb18tg41k7n18/-FJPG/239398-001_DET_2.jpg;https://dd3ka9h4chfr8.cloudfront.net/image/725136000567/image_28lc9v83h15f98uuafm3p4og03/-FJPG/239398-001_DET_1.jpg;https://dd3ka9h4chfr8.cloudfront.net/image/725136000567/image_n0cicmqhih2f3cchloo3tuvf6g/-FJPG/239398-001_DET_3.jpg;https://dd3ka9h4chfr8.cloudfront.net/image/725136000567/image_7mllfv6nfp4p79e3os4gi7al72/-FJPG/239398-001_DET_4.jpg;https://dd3ka9h4chfr8.cloudfront.net/image/725136000567/image_s6mgtng0dd53f17ejt25al9n47/-FJPG/239398-001_DET_5.jpg;https://dd3ka9h4chfr8.cloudfront.net/image/725136000567/image_l6pnk413rd05p61o32ihlp151t/-FJPG/239398-001_DET_6.jpg;https://dd3ka9h4chfr8.cloudfront.net/image/725136000567/image_7dm9c52i6p1th0q9koi9hssd0v/-FJPG/239398-001_DET_7.jpg;https://dd3ka9h4chfr8.cloudfront.net/image/725136000567/image_h15kf5imap4dndrnaal2k0ad5k/-FJPG/239398-001_DET_8.jpg</t>
  </si>
  <si>
    <t>239398-001</t>
  </si>
  <si>
    <t>89.95</t>
  </si>
  <si>
    <t>https://dd3ka9h4chfr8.cloudfront.net/image/725136000567/image_h234cpllr540l2elnatrl9il1p/-FJPG/239398-001_FRT_1.jpg</t>
  </si>
  <si>
    <t>90</t>
  </si>
  <si>
    <t>{"value":90,"unit":"in"}</t>
  </si>
  <si>
    <t>{"value":96.06,"unit":"in"}</t>
  </si>
  <si>
    <t>{"value":25.2,"unit":"in"}</t>
  </si>
  <si>
    <t>{"value":169.31,"unit":"lb"}</t>
  </si>
  <si>
    <t>90.00"</t>
  </si>
  <si>
    <t>700 lb</t>
  </si>
  <si>
    <t>{"value":700,"unit":"lb"}</t>
  </si>
  <si>
    <t>74.75"</t>
  </si>
  <si>
    <t>Abaso Media Console</t>
  </si>
  <si>
    <t>https://dd3ka9h4chfr8.cloudfront.net/image/725136000567/image_8vrdutl081051bahd2c62trt4i/-FJPG/239400-002_FRT_1.jpg;https://dd3ka9h4chfr8.cloudfront.net/image/725136000567/image_4q9r1baf6958h8u9a3g7rbgo4j/-FJPG/239400-002_PRM_1.jpg;https://dd3ka9h4chfr8.cloudfront.net/image/725136000567/image_6rap7ga8jl1pjb6fh78ih16q41/-FJPG/239400-002_ESS_1.jpg;https://dd3ka9h4chfr8.cloudfront.net/image/725136000567/image_bmh0vbgjpp67n68j2c1l42b66q/-FJPG/239400-002_BCK_1.jpg;https://dd3ka9h4chfr8.cloudfront.net/image/725136000567/image_np0cahrk7d41h83656qm26qo6r/-FJPG/Color Variance Card_Ebony Rustic Wormwood.jpg;https://dd3ka9h4chfr8.cloudfront.net/image/725136000567/image_8rj6vhutah3v33hlaji42frt15/-FJPG/239400-002_DET_1.jpg;https://dd3ka9h4chfr8.cloudfront.net/image/725136000567/image_adntq5a1vt0gtco58ggckv941t/-FJPG/239400-002_DET_3.jpg;https://dd3ka9h4chfr8.cloudfront.net/image/725136000567/image_hlpjd8fh7p3ph039t6kbdp5o5i/-FJPG/239400-002_DET_4.jpg;https://dd3ka9h4chfr8.cloudfront.net/image/725136000567/image_l8b71u3kbp31ja2nvj67e3cb5t/-FJPG/239400-002_DET_5.jpg;https://dd3ka9h4chfr8.cloudfront.net/image/725136000567/image_lbdp6vr8ol0kb7gaorm59ibk5v/-FJPG/239400-002_DET_6.jpg;https://dd3ka9h4chfr8.cloudfront.net/image/725136000567/image_nn3kdv2tu9591esmocu9l0en53/-FJPG/239400-002_DET_7.jpg;https://dd3ka9h4chfr8.cloudfront.net/image/725136000567/image_uc0nnu4vit3vj9o4re9c6snt63/-FJPG/239400-002_DET_8.jpg;https://dd3ka9h4chfr8.cloudfront.net/image/725136000567/image_u18ip5gk1t2vj44bpnckjcns0q/-FJPG/239400-002_DET_10.jpg</t>
  </si>
  <si>
    <t>239400-002</t>
  </si>
  <si>
    <t>224.87</t>
  </si>
  <si>
    <t>https://dd3ka9h4chfr8.cloudfront.net/image/725136000567/image_8vrdutl081051bahd2c62trt4i/-FJPG/239400-002_FRT_1.jpg</t>
  </si>
  <si>
    <t>94.5</t>
  </si>
  <si>
    <t>{"value":94.5,"unit":"in"}</t>
  </si>
  <si>
    <t>19.75</t>
  </si>
  <si>
    <t>{"value":19.75,"unit":"in"}</t>
  </si>
  <si>
    <t>27</t>
  </si>
  <si>
    <t>{"value":27,"unit":"in"}</t>
  </si>
  <si>
    <t>Media Consoles</t>
  </si>
  <si>
    <t>Made from thick-cut oak veneer with a rustic ebony finish, this spacious media console features chunky squared legs and dovetail joinery detailing.</t>
  </si>
  <si>
    <t>{"value":100.59,"unit":"in"}</t>
  </si>
  <si>
    <t>{"value":34.25,"unit":"in"}</t>
  </si>
  <si>
    <t>{"value":308.86,"unit":"lb"}</t>
  </si>
  <si>
    <t>17.13"</t>
  </si>
  <si>
    <t>18.38"</t>
  </si>
  <si>
    <t>38.88"</t>
  </si>
  <si>
    <t>Doors</t>
  </si>
  <si>
    <t>20.13"</t>
  </si>
  <si>
    <t>0.75"</t>
  </si>
  <si>
    <t>19.63"</t>
  </si>
  <si>
    <t>Hinged</t>
  </si>
  <si>
    <t>Cabinetry</t>
  </si>
  <si>
    <t>Solid</t>
  </si>
  <si>
    <t>Abaso Nightstand</t>
  </si>
  <si>
    <t>https://dd3ka9h4chfr8.cloudfront.net/image/725136000567/image_v875sehrop1qv05lmvjihuh55v/-FJPG/239842-002_FRT_1.jpg;https://dd3ka9h4chfr8.cloudfront.net/image/725136000567/image_dc6h5f5g6p13vd2lbrjcdviq0q/-FJPG/239842-002_PRM_1.jpg;https://dd3ka9h4chfr8.cloudfront.net/image/725136000567/image_q9s82p54ap4nnf6rsjk564a87n/-FJPG/239842-002_SID_1.jpg;https://dd3ka9h4chfr8.cloudfront.net/image/725136000567/image_4r5jf99n3p2vl1c8ehnvv2c072/-FJPG/239842-002_ESS.tif;https://dd3ka9h4chfr8.cloudfront.net/image/725136000567/image_kqsou95cvh5tr4emks53ukdk4r/-FJPG/239842-002_ESS.tif;https://dd3ka9h4chfr8.cloudfront.net/image/725136000567/image_on7p9o2j393shec1qli5p0pd5j/-FJPG/239842-002_DET_2.jpg;https://dd3ka9h4chfr8.cloudfront.net/image/725136000567/image_6gginor8np1490raeriqp10p73/-FJPG/239842-002_BCK_1.jpg;https://dd3ka9h4chfr8.cloudfront.net/image/725136000567/image_np0cahrk7d41h83656qm26qo6r/-FJPG/Color Variance Card_Ebony Rustic Wormwood.jpg;https://dd3ka9h4chfr8.cloudfront.net/image/725136000567/image_nt3hgbtg2573r7tt0tilbtf57v/-FJPG/239842-002_DET_1.jpg;https://dd3ka9h4chfr8.cloudfront.net/image/725136000567/image_0pcvjbpmv53t7704bfgocg7p4g/-FJPG/239842-002_DET_3.jpg;https://dd3ka9h4chfr8.cloudfront.net/image/725136000567/image_4ujfoarivd3d32vprdcs8a1u1t/-FJPG/239842-002_OPN_1.jpg;https://dd3ka9h4chfr8.cloudfront.net/image/725136000567/image_g779553m5h3o94dhbf79irr16u/-FJPG/239842-002_TOP_1.jpg;https://dd3ka9h4chfr8.cloudfront.net/image/725136000567/image_dqaqg3pf7t5vh4unp91i7ckc0b/-FJPG/239842-002_DET_4.jpg;https://dd3ka9h4chfr8.cloudfront.net/image/725136000567/image_gmm590kidl6tl73djh74qmj846/-FJPG/239842-002_DET_5.jpg;https://dd3ka9h4chfr8.cloudfront.net/image/725136000567/image_i2b3vhjfsl7efft1n8c43nks54/-FJPG/239842-002_DET_6.jpg;https://dd3ka9h4chfr8.cloudfront.net/image/725136000567/image_p0a0udgn2d1pb7uhpdhcsa3664/-FJPG/239842-002_DET_7.jpg;https://dd3ka9h4chfr8.cloudfront.net/image/725136000567/image_uardcdr0g17ohasqa2otdpg042/-FJPG/239842-002_DET_8.jpg;https://dd3ka9h4chfr8.cloudfront.net/image/725136000567/image_gbqro3ikuh15h33id7g57ace6e/-FJPG/239842-002_DET_9.tif</t>
  </si>
  <si>
    <t>239842-002</t>
  </si>
  <si>
    <t>87.3</t>
  </si>
  <si>
    <t>https://dd3ka9h4chfr8.cloudfront.net/image/725136000567/image_v875sehrop1qv05lmvjihuh55v/-FJPG/239842-002_FRT_1.jpg</t>
  </si>
  <si>
    <t>36</t>
  </si>
  <si>
    <t>{"value":36,"unit":"in"}</t>
  </si>
  <si>
    <t>20.75</t>
  </si>
  <si>
    <t>{"value":20.75,"unit":"in"}</t>
  </si>
  <si>
    <t>22.75</t>
  </si>
  <si>
    <t>{"value":22.75,"unit":"in"}</t>
  </si>
  <si>
    <t>Nightstands</t>
  </si>
  <si>
    <t>Made from thick-cut oak veneer with a faux rustic finish made to emulate wormwood oak, this low, large-scale nightstand features chunky squared corner posts with dovetail joinery detailing visible from the top. Cutout drawer hardware keeps the look minimal.</t>
  </si>
  <si>
    <t>{"value":41.34,"unit":"in"}</t>
  </si>
  <si>
    <t>{"value":25.79,"unit":"in"}</t>
  </si>
  <si>
    <t>{"value":28.94,"unit":"in"}</t>
  </si>
  <si>
    <t>{"value":116.07,"unit":"lb"}</t>
  </si>
  <si>
    <t>12.88"</t>
  </si>
  <si>
    <t>3.50"</t>
  </si>
  <si>
    <t>24.38"</t>
  </si>
  <si>
    <t>https://dd3ka9h4chfr8.cloudfront.net/image/725136000567/image_ivsih6rb515vrcp7vdcdr7f16m/-FJPG/239842-001_FRT_1.jpg;https://dd3ka9h4chfr8.cloudfront.net/image/725136000567/image_ikqn620am14pb18ma1sousgb6r/-FJPG/239842-001_PRM_1.jpg;https://dd3ka9h4chfr8.cloudfront.net/image/725136000567/image_j31jopvem57ot0crofieqrri2r/-FJPG/239842-001_SID_1.jpg;https://dd3ka9h4chfr8.cloudfront.net/image/725136000567/image_a49308dpbd1jt0hhf7a8uecu6q/-FJPG/239842-001_ESS_1.jpg;https://dd3ka9h4chfr8.cloudfront.net/image/725136000567/image_ijc3kfq6ad56j1tde1jbdkje1d/-FJPG/239842-001_ESS_1.tif;https://dd3ka9h4chfr8.cloudfront.net/image/725136000567/image_jscldv39493gnf5qk7jmtbva09/-FJPG/240042-006_ESS_1.jpg;https://dd3ka9h4chfr8.cloudfront.net/image/725136000567/image_2f272ngs1d71ldfm5ft5oqvk62/-FJPG/239842-001_DET_2.jpg;https://dd3ka9h4chfr8.cloudfront.net/image/725136000567/image_66mu9q5krd56p249vrrjtupm6r/-FJPG/239842-001_BCK_1.jpg;https://dd3ka9h4chfr8.cloudfront.net/image/725136000567/image_o0c4csssvt26919421gq8hg80h/-FJPG/239842-001_DET_1.jpg;https://dd3ka9h4chfr8.cloudfront.net/image/725136000567/image_kofrb9h6gp53t3caoeghmuqv7q/-FJPG/239842-001_DET_3.jpg;https://dd3ka9h4chfr8.cloudfront.net/image/725136000567/image_6iil6fog5t1h57adfcdilccg3e/-FJPG/239842-001_OPN_1.jpg;https://dd3ka9h4chfr8.cloudfront.net/image/725136000567/image_eigagv4glh7bf8hpctj13pgd2t/-FJPG/239842-001_TOP_1.jpg;https://dd3ka9h4chfr8.cloudfront.net/image/725136000567/image_8pov0blmut3a7e80oivp0kk03q/-FJPG/239842-001_DET_4.jpg;https://dd3ka9h4chfr8.cloudfront.net/image/725136000567/image_7585i5j8np0kjamkvrjmsi1v5e/-FJPG/239842-001_DET_6.jpg;https://dd3ka9h4chfr8.cloudfront.net/image/725136000567/image_0k896k722h2fnaukdrgjkbo161/-FJPG/239842-001_DET_7.jpg;https://dd3ka9h4chfr8.cloudfront.net/image/725136000567/image_dov67tvmo15njf94ktq1c5sj2m/-FJPG/239842-001_DET_8.jpg;https://dd3ka9h4chfr8.cloudfront.net/image/725136000567/image_oijrs63mn92dpd0r6fuauo881u/-FJPG/239842-001_DET_9.tif</t>
  </si>
  <si>
    <t>239842-001</t>
  </si>
  <si>
    <t>https://dd3ka9h4chfr8.cloudfront.net/image/725136000567/image_ivsih6rb515vrcp7vdcdr7f16m/-FJPG/239842-001_FRT_1.jpg</t>
  </si>
  <si>
    <t>Abaso Rectangular Coffee Table</t>
  </si>
  <si>
    <t>https://dd3ka9h4chfr8.cloudfront.net/image/725136000567/image_p5fou4rghl03d4mmsgceqqi01n/-FJPG/238571-002_FRT_1.jpg;https://dd3ka9h4chfr8.cloudfront.net/image/725136000567/image_oiest7ris17tn2124fe06k7a5l/-FJPG/238571-002_PRM_1.jpg;https://dd3ka9h4chfr8.cloudfront.net/image/725136000567/image_ieanquk7hh0e7aducqpgrcpi1k/-FJPG/238571-002_SID_1.jpg;https://dd3ka9h4chfr8.cloudfront.net/image/725136000567/image_knpselatb95n72unkr099jfk11/-FJPG/238571-002_DET_2.jpg;https://dd3ka9h4chfr8.cloudfront.net/image/725136000567/image_np0cahrk7d41h83656qm26qo6r/-FJPG/Color Variance Card_Ebony Rustic Wormwood.jpg;https://dd3ka9h4chfr8.cloudfront.net/image/725136000567/image_phaalr0h79233eknhfm7onei6r/-FJPG/238571-002_DET_1.jpg;https://dd3ka9h4chfr8.cloudfront.net/image/725136000567/image_0ot2rnp0q90dv7a92hnb2uec6o/-FJPG/238571-002_DET_3.jpg;https://dd3ka9h4chfr8.cloudfront.net/image/725136000567/image_amk5kp230p72j5j7rhn53b196u/-FJPG/238571-002_DET_4.jpg;https://dd3ka9h4chfr8.cloudfront.net/image/725136000567/image_enafqihfc17at0qmopbqicad5p/-FJPG/238571-002_DET_5.jpg;https://dd3ka9h4chfr8.cloudfront.net/image/725136000567/image_gvtgeglgn165r5bm6emsrnf96q/-FJPG/238571-002_DET_6.jpg;https://dd3ka9h4chfr8.cloudfront.net/image/725136000567/image_qfm3f9rug560374h6sfobato27/-FJPG/238571-002_DET_7.jpg;https://dd3ka9h4chfr8.cloudfront.net/image/725136000567/image_efcf8731hh2cv4pufmamg2aq1a/-FJPG/238571-002_DET_8.jpg</t>
  </si>
  <si>
    <t>238571-002</t>
  </si>
  <si>
    <t>110.67</t>
  </si>
  <si>
    <t>https://dd3ka9h4chfr8.cloudfront.net/image/725136000567/image_p5fou4rghl03d4mmsgceqqi01n/-FJPG/238571-002_FRT_1.jpg</t>
  </si>
  <si>
    <t>35</t>
  </si>
  <si>
    <t>{"value":35,"unit":"in"}</t>
  </si>
  <si>
    <t>Made from thick-cut oak veneer with a rustic ebony finish, this large rectangular coffee table features chunky squared legs and dovetail joinery detailing.</t>
  </si>
  <si>
    <t>{"value":40.94,"unit":"in"}</t>
  </si>
  <si>
    <t>{"value":208.89,"unit":"lb"}</t>
  </si>
  <si>
    <t>19.50"</t>
  </si>
  <si>
    <t>54.50"</t>
  </si>
  <si>
    <t>7.75"</t>
  </si>
  <si>
    <t>https://dd3ka9h4chfr8.cloudfront.net/image/725136000567/image_2r1t7bqtmd2nt0l3u04mhg5j5u/-FJPG/238571-001_FRT_1.jpg;https://dd3ka9h4chfr8.cloudfront.net/image/725136000567/image_526lvaq5c92tt0n1sh226nv47a/-FJPG/238571-001_PRM_1.jpg;https://dd3ka9h4chfr8.cloudfront.net/image/725136000567/image_ps287kvul90lddtg6tibkrgs7l/-FJPG/238571-001_SID_1.jpg;https://dd3ka9h4chfr8.cloudfront.net/image/725136000567/image_5s7bq4kgsh42p88al4ua00t94f/-FJPG/238571-001_ESS_1.jpg;https://dd3ka9h4chfr8.cloudfront.net/image/725136000567/image_r90grh9cqp5hpc4q76rc7n1774/-FJPG/238571-001_DET_2.jpg;https://dd3ka9h4chfr8.cloudfront.net/image/725136000567/image_mno1tkittd515951vln5l1km6k/-FJPG/238571-001_DET_1.jpg;https://dd3ka9h4chfr8.cloudfront.net/image/725136000567/image_cfo04m1gvh7jndovjvut4c7g1h/-FJPG/238571-001_DET_3.jpg;https://dd3ka9h4chfr8.cloudfront.net/image/725136000567/image_j2kouaj3c10sb7qakg4u5iga4j/-FJPG/238571-001_DET_4.jpg;https://dd3ka9h4chfr8.cloudfront.net/image/725136000567/image_l2spmoeeah19576b155kqm5n7m/-FJPG/238571-001_DET_5.jpg;https://dd3ka9h4chfr8.cloudfront.net/image/725136000567/image_8k8kpa23up11letiov74pqvs2l/-FJPG/238571-001_DET_6.jpg;https://dd3ka9h4chfr8.cloudfront.net/image/725136000567/image_edipocigb16cd8ooor5evkku2d/-FJPG/238571-001_DET_7.jpg;https://dd3ka9h4chfr8.cloudfront.net/image/725136000567/image_5p7h8udlb95l79d8e9q7r5as7v/-FJPG/238571-001_DET_8.jpg</t>
  </si>
  <si>
    <t>238571-001</t>
  </si>
  <si>
    <t>https://dd3ka9h4chfr8.cloudfront.net/image/725136000567/image_2r1t7bqtmd2nt0l3u04mhg5j5u/-FJPG/238571-001_FRT_1.jpg</t>
  </si>
  <si>
    <t>Made from thick-cut oak veneer with a faux rustic finish made to emulate wormwood, this large, rectangular coffee table features chunky squared legs and dovetail joinery detailing.</t>
  </si>
  <si>
    <t>Abaso Sideboard</t>
  </si>
  <si>
    <t>https://dd3ka9h4chfr8.cloudfront.net/image/725136000567/image_lacovukib12pdc70heba6otd5o/-FJPG/229169-003_FRT_1.jpg;https://dd3ka9h4chfr8.cloudfront.net/image/725136000567/image_1snich2l8t6enb12eilejkut4g/-FJPG/229169-003_PRM_1.jpg;https://dd3ka9h4chfr8.cloudfront.net/image/725136000567/image_tac569im4h3k3c814h7t1vsk1f/-FJPG/229169-003_SID_1.jpg;https://dd3ka9h4chfr8.cloudfront.net/image/725136000567/image_bvsi0k7qml35nat4nd0ger8p34/-FJPG/229169-003_ESS_1.jpg;https://dd3ka9h4chfr8.cloudfront.net/image/725136000567/image_13ra3951vd4bfd68d5b4u2hb7f/-FJPG/229169-003_DET_2.jpg;https://dd3ka9h4chfr8.cloudfront.net/image/725136000567/image_np0cahrk7d41h83656qm26qo6r/-FJPG/Color Variance Card_Ebony Rustic Wormwood.jpg;https://dd3ka9h4chfr8.cloudfront.net/image/725136000567/image_3v01dkhb1p4cjebi04cedb1s3d/-FJPG/229169-003_DET_1.jpg;https://dd3ka9h4chfr8.cloudfront.net/image/725136000567/image_labfrmv6dt0s32hdc0tmd1g82r/-FJPG/229169-003_DET_3.jpg;https://dd3ka9h4chfr8.cloudfront.net/image/725136000567/image_mf93eavd0t3oj60lcota8jf23d/-FJPG/229169-003_OPN_1.jpg;https://dd3ka9h4chfr8.cloudfront.net/image/725136000567/image_mlcqmf8hul5stckb0i8uscqa52/-FJPG/229169-003_DET_4.jpg;https://dd3ka9h4chfr8.cloudfront.net/image/725136000567/image_lubpt8atil2vr10s61ub5hqh08/-FJPG/229169-003_DET_5.jpg;https://dd3ka9h4chfr8.cloudfront.net/image/725136000567/image_3r9a0p966d0m5f1l19cvfnru23/-FJPG/229169-003_ESS_2.jpg</t>
  </si>
  <si>
    <t>229169-003</t>
  </si>
  <si>
    <t>285.5</t>
  </si>
  <si>
    <t>https://dd3ka9h4chfr8.cloudfront.net/image/725136000567/image_lacovukib12pdc70heba6otd5o/-FJPG/229169-003_FRT_1.jpg</t>
  </si>
  <si>
    <t>33.25</t>
  </si>
  <si>
    <t>{"value":33.25,"unit":"in"}</t>
  </si>
  <si>
    <t xml:space="preserve">Credenzas &amp; Sideboards  </t>
  </si>
  <si>
    <t>Made from thick-cut oak veneer with a faux rustic finish made to emulate wormwood oak, this low, large-scale sideboard features chunky squared legs and dovetail joinery detailing.</t>
  </si>
  <si>
    <t>{"value":100.79,"unit":"in"}</t>
  </si>
  <si>
    <t>{"value":40.16,"unit":"in"}</t>
  </si>
  <si>
    <t>{"value":334.44,"unit":"lb"}</t>
  </si>
  <si>
    <t>16.38"</t>
  </si>
  <si>
    <t>10.63"</t>
  </si>
  <si>
    <t>39.00"</t>
  </si>
  <si>
    <t>2.00"</t>
  </si>
  <si>
    <t>26.38"</t>
  </si>
  <si>
    <t>Abaso Small Square Coffee Table</t>
  </si>
  <si>
    <t>https://dd3ka9h4chfr8.cloudfront.net/image/725136000567/image_gqdh3rrna52j59cug3rj7jf17u/-FJPG/239394-002_PRM_1.jpg;https://dd3ka9h4chfr8.cloudfront.net/image/725136000567/image_e246ijf3b57ftela356t7gvb50/-FJPG/239394-002_SID_1.jpg;https://dd3ka9h4chfr8.cloudfront.net/image/725136000567/image_40t34ul6e504p0uacs4r9q9u33/-FJPG/239394-002_ESS.tif;https://dd3ka9h4chfr8.cloudfront.net/image/725136000567/image_np0cahrk7d41h83656qm26qo6r/-FJPG/Color Variance Card_Ebony Rustic Wormwood.jpg;https://dd3ka9h4chfr8.cloudfront.net/image/725136000567/image_hv3qp1a64p6h18hco8m3vamh3g/-FJPG/239394-002_DET_1.jpg;https://dd3ka9h4chfr8.cloudfront.net/image/725136000567/image_9rqjkth1q9579b63kfnevah17i/-FJPG/239394-002_DET_3.jpg;https://dd3ka9h4chfr8.cloudfront.net/image/725136000567/image_jur3jm8v752mn1sdrrmhe5re1q/-FJPG/239394-002_DET_4.jpg;https://dd3ka9h4chfr8.cloudfront.net/image/725136000567/image_tjnaq0ggh90kn04n83p5sldu73/-FJPG/239394-002_DET_5.jpg;https://dd3ka9h4chfr8.cloudfront.net/image/725136000567/image_m2bu5sd1d17eb251qejeo66g59/-FJPG/239394-002_DET_6.jpg;https://dd3ka9h4chfr8.cloudfront.net/image/725136000567/image_6c7f3929vd5o5da84psnv5152u/-FJPG/239394-002_DET_7.jpg;https://dd3ka9h4chfr8.cloudfront.net/image/725136000567/image_kfj21b13vd6qr5dvbnclreg07b/-FJPG/239394-002_DET_8.jpg</t>
  </si>
  <si>
    <t>239394-002</t>
  </si>
  <si>
    <t>85.85</t>
  </si>
  <si>
    <t>https://dd3ka9h4chfr8.cloudfront.net/image/725136000567/image_gqdh3rrna52j59cug3rj7jf17u/-FJPG/239394-002_PRM_1.jpg</t>
  </si>
  <si>
    <t>40</t>
  </si>
  <si>
    <t>{"value":40,"unit":"in"}</t>
  </si>
  <si>
    <t>Made from thick-cut oak veneer with a rustic ebony finish, this low, large-scale coffee table features chunky squared legs and dovetail joinery detailing.</t>
  </si>
  <si>
    <t>{"value":45.28,"unit":"in"}</t>
  </si>
  <si>
    <t>{"value":45.67,"unit":"in"}</t>
  </si>
  <si>
    <t>{"value":21.26,"unit":"in"}</t>
  </si>
  <si>
    <t>{"value":129.52,"unit":"lb"}</t>
  </si>
  <si>
    <t>https://dd3ka9h4chfr8.cloudfront.net/image/725136000567/image_rj69253t9h1b77hns2dvu2m47j/-FJPG/239394-001_PRM_1.jpg;https://dd3ka9h4chfr8.cloudfront.net/image/725136000567/image_p671564gp9073fvva7lje4b80p/-FJPG/239394-001_SID_1.jpg;https://dd3ka9h4chfr8.cloudfront.net/image/725136000567/image_jhjfsqt2pp5vr4v0nokbkd1424/-FJPG/239394-001_ESS_1.jpg;https://dd3ka9h4chfr8.cloudfront.net/image/725136000567/image_lo1ehg16s97l3578qpob8p6e5u/-FJPG/239394-001_DET_1.jpg;https://dd3ka9h4chfr8.cloudfront.net/image/725136000567/image_4vbcgvmbip1cl7l5n47vpe2810/-FJPG/239394-001 _DET_1.jpg;https://dd3ka9h4chfr8.cloudfront.net/image/725136000567/image_4okvsqea0d5eba978u35nva01f/-FJPG/239394-001_DET_3.jpg;https://dd3ka9h4chfr8.cloudfront.net/image/725136000567/image_jono83ciep5f74dfjuipp8at05/-FJPG/239394-001_DET_4.jpg;https://dd3ka9h4chfr8.cloudfront.net/image/725136000567/image_asnn4kivd90o50oa2b7qftu16l/-FJPG/239394-001_DET_5.jpg;https://dd3ka9h4chfr8.cloudfront.net/image/725136000567/image_dn68e4oskd73rejcnoq7nhf905/-FJPG/239394-001_DET_6.jpg;https://dd3ka9h4chfr8.cloudfront.net/image/725136000567/image_tf3a6veqe14qr1c5qkepdmro01/-FJPG/239394-001_DET_7.jpg;https://dd3ka9h4chfr8.cloudfront.net/image/725136000567/image_bgnlsbnu4t22dfpapqf2o11e07/-FJPG/239394-001_DET_8.jpg</t>
  </si>
  <si>
    <t>239394-001</t>
  </si>
  <si>
    <t>https://dd3ka9h4chfr8.cloudfront.net/image/725136000567/image_rj69253t9h1b77hns2dvu2m47j/-FJPG/239394-001_PRM_1.jpg</t>
  </si>
  <si>
    <t>Made from thick-cut oak veneer with a faux rustic finish made to emulate wormwood, this low, square-shaped coffee table features chunky squared legs and dovetail joinery detailing. Perfectly sized for smaller spaces.</t>
  </si>
  <si>
    <t>Abbott Club Chair</t>
  </si>
  <si>
    <t>https://dd3ka9h4chfr8.cloudfront.net/image/725136000567/image_j2grvr1imh1356r9dd22apai2g/-FJPG/100129-002_FRT_1.jpg;https://dd3ka9h4chfr8.cloudfront.net/image/725136000567/image_j28b52tl5l1up0nggifnan3h04/-FJPG/100129-002_PRM_1.jpg;https://dd3ka9h4chfr8.cloudfront.net/image/725136000567/image_uhq00tnm415ll9pa4nnrb65071/-FJPG/100129-002_SID_1.jpg;https://dd3ka9h4chfr8.cloudfront.net/image/725136000567/image_01ecth6pdd21f11r8sb1ne8p1u/-FJPG/100129-002_ESS_1.jpg;https://dd3ka9h4chfr8.cloudfront.net/image/725136000567/image_ngvhv6pjqt4kj9ea0079895l49/-FJPG/100129-002_DET_2.jpg;https://dd3ka9h4chfr8.cloudfront.net/image/725136000567/image_9eeaoi0nep7t56f4ti7s4kkm6v/-FJPG/100129-002_BCK_1.jpg;https://dd3ka9h4chfr8.cloudfront.net/image/725136000567/image_s1de5pi2p91dl4novalip8lu3i/-FJPG/100129-002_DET_1.jpg;https://dd3ka9h4chfr8.cloudfront.net/image/725136000567/image_m1skhtqbdd3mp41gkthetqmr34/-FJPG/100129-002_DET_3.jpg</t>
  </si>
  <si>
    <t>Cigar</t>
  </si>
  <si>
    <t>100129-002</t>
  </si>
  <si>
    <t>68</t>
  </si>
  <si>
    <t>CN</t>
  </si>
  <si>
    <t>https://dd3ka9h4chfr8.cloudfront.net/image/725136000567/image_j2grvr1imh1356r9dd22apai2g/-FJPG/100129-002_FRT_1.jpg</t>
  </si>
  <si>
    <t>["Top Grain Leather","Solid Ash","Iron"]</t>
  </si>
  <si>
    <t>37</t>
  </si>
  <si>
    <t>{"value":37,"unit":"in"}</t>
  </si>
  <si>
    <t>34.25</t>
  </si>
  <si>
    <t>28.25</t>
  </si>
  <si>
    <t>{"value":28.25,"unit":"in"}</t>
  </si>
  <si>
    <t>Carnegie</t>
  </si>
  <si>
    <t>Antique Oak</t>
  </si>
  <si>
    <t>Antique Brass Nailhead</t>
  </si>
  <si>
    <t>Chairs</t>
  </si>
  <si>
    <t>Accent Chairs</t>
  </si>
  <si>
    <t>A staunchly traditional, English library-style club chair features perfectly distressed top-grain leather, with tufting for texture and brass nailhead trim for a modern touch.</t>
  </si>
  <si>
    <t>China</t>
  </si>
  <si>
    <t>{"value":35.63,"unit":"in"}</t>
  </si>
  <si>
    <t>{"value":24.8,"unit":"in"}</t>
  </si>
  <si>
    <t>{"value":84.66,"unit":"lb"}</t>
  </si>
  <si>
    <t>23.62"</t>
  </si>
  <si>
    <t>7.87"</t>
  </si>
  <si>
    <t>23.23"</t>
  </si>
  <si>
    <t>18.11"</t>
  </si>
  <si>
    <t>With Arm</t>
  </si>
  <si>
    <t>X (Vacuum or light brush, no cleaning products)</t>
  </si>
  <si>
    <t>X</t>
  </si>
  <si>
    <t>85% Polyurethane Foam Pad, 15% Polyester Fiber Batting</t>
  </si>
  <si>
    <t>Corner-block/Cleat</t>
  </si>
  <si>
    <t>Webbing</t>
  </si>
  <si>
    <t>Loose</t>
  </si>
  <si>
    <t>Boxed</t>
  </si>
  <si>
    <t>Abbott</t>
  </si>
  <si>
    <t>250 lb</t>
  </si>
  <si>
    <t>{"value":250,"unit":"lb"}</t>
  </si>
  <si>
    <t>28.15"</t>
  </si>
  <si>
    <t>10.04"</t>
  </si>
  <si>
    <t>34.25"</t>
  </si>
  <si>
    <t>7.09"</t>
  </si>
  <si>
    <t>4.72"</t>
  </si>
  <si>
    <t>25.51"</t>
  </si>
  <si>
    <t>31.50"</t>
  </si>
  <si>
    <t>100% Polyurethane Foam Pad</t>
  </si>
  <si>
    <t>Nailhead</t>
  </si>
  <si>
    <t>Adolfo 6 Drawer Dresser</t>
  </si>
  <si>
    <t>https://dd3ka9h4chfr8.cloudfront.net/image/725136000567/image_l2avacnhg12tp4tgnup1anjs4m/-FJPG/243911-001_FRT_1.jpg;https://dd3ka9h4chfr8.cloudfront.net/image/725136000567/image_hvisln44fp22lcvqi6h33ckt5u/-FJPG/243911-001_PRM_1.jpg;https://dd3ka9h4chfr8.cloudfront.net/image/725136000567/image_rflp8qor0d6k57ar1o86ggvq1h/-FJPG/243911-001_SID_1.jpg;https://dd3ka9h4chfr8.cloudfront.net/image/725136000567/image_h58m6h6l496v5ec1ilqc4to225/-FJPG/243911-001_ESS.tif;https://dd3ka9h4chfr8.cloudfront.net/image/725136000567/image_b17cpdgdc90390n883h287cp7e/-FJPG/243911-001_DET_2.jpg;https://dd3ka9h4chfr8.cloudfront.net/image/725136000567/image_i3u5rmttlh0t588adf4n69i472/-FJPG/243911-001_BCK_1.jpg;https://dd3ka9h4chfr8.cloudfront.net/image/725136000567/image_0b7je019st11l7i0nrtfm3687a/-FJPG/243911-001_DET_1.jpg;https://dd3ka9h4chfr8.cloudfront.net/image/725136000567/image_lm8tppv50p7ibful8elgeq8t10/-FJPG/243911-001_DET_3.jpg;https://dd3ka9h4chfr8.cloudfront.net/image/725136000567/image_90gu3cf5p12hbadsmal5jmfq7k/-FJPG/243911-001_OPN_1.jpg;https://dd3ka9h4chfr8.cloudfront.net/image/725136000567/image_p1uk5284rd16p3a4gc3um7bh2m/-FJPG/243911-001_TOP_1.jpg;https://dd3ka9h4chfr8.cloudfront.net/image/725136000567/image_mmt3mr08s13t77t4bqplqvsm64/-FJPG/243911-001_DET_4.jpg;https://dd3ka9h4chfr8.cloudfront.net/image/725136000567/image_8oas56u77160r0k0ktcmf5up0f/-FJPG/243911-001_DET_5.jpg;https://dd3ka9h4chfr8.cloudfront.net/image/725136000567/image_nfnierqend2u7a2ofh8981004f/-FJPG/243911-001_DET_6.jpg;https://dd3ka9h4chfr8.cloudfront.net/image/725136000567/image_n6p3fuff5p7c926lkf3gt3n673/-FJPG/243911-001_DET_9.tif;https://dd3ka9h4chfr8.cloudfront.net/image/725136000567/image_cdcgj1aui95s9bvrqsnnkfqi59/-FJPG/FHMPRJ-018_SCENE-7.tif</t>
  </si>
  <si>
    <t>Modern Black Ash</t>
  </si>
  <si>
    <t>243911-001</t>
  </si>
  <si>
    <t>306.44</t>
  </si>
  <si>
    <t>Vietnam</t>
  </si>
  <si>
    <t>https://dd3ka9h4chfr8.cloudfront.net/image/725136000567/image_l2avacnhg12tp4tgnup1anjs4m/-FJPG/243911-001_FRT_1.jpg</t>
  </si>
  <si>
    <t>["Ash Veneer","Solid Ash"]</t>
  </si>
  <si>
    <t>72</t>
  </si>
  <si>
    <t>{"value":72,"unit":"in"}</t>
  </si>
  <si>
    <t>21.5</t>
  </si>
  <si>
    <t>{"value":21.5,"unit":"in"}</t>
  </si>
  <si>
    <t>32.25</t>
  </si>
  <si>
    <t>{"value":32.25,"unit":"in"}</t>
  </si>
  <si>
    <t>Delft</t>
  </si>
  <si>
    <t>Modern Black Ash Solid</t>
  </si>
  <si>
    <t>Beautifully minimalist. A six-drawer dresser made from black-finished ash  features long, linear bronzed hardware for a smooth, clean look.</t>
  </si>
  <si>
    <t>{"value":77.76,"unit":"in"}</t>
  </si>
  <si>
    <t>{"value":24.02,"unit":"in"}</t>
  </si>
  <si>
    <t>{"value":37.8,"unit":"in"}</t>
  </si>
  <si>
    <t>{"value":340.61,"unit":"lb"}</t>
  </si>
  <si>
    <t>Adolfo</t>
  </si>
  <si>
    <t>2.76"</t>
  </si>
  <si>
    <t>13.31"</t>
  </si>
  <si>
    <t>5.51"</t>
  </si>
  <si>
    <t>6.50"</t>
  </si>
  <si>
    <t>32.80"</t>
  </si>
  <si>
    <t>English Dovetail</t>
  </si>
  <si>
    <t>Adolfo Media Console</t>
  </si>
  <si>
    <t>https://dd3ka9h4chfr8.cloudfront.net/image/725136000567/image_ua2jhurt15429av0a7uqfmdh62/-FJPG/243772-001_FRT_1.jpg;https://dd3ka9h4chfr8.cloudfront.net/image/725136000567/image_5pqmjk1uhh7fl0jo22ub62nt2p/-FJPG/243772-001_PRM_1.jpg;https://dd3ka9h4chfr8.cloudfront.net/image/725136000567/image_qt6lvvajrl6slf1ea06bn4n87n/-FJPG/243772-001_SID_1.jpg;https://dd3ka9h4chfr8.cloudfront.net/image/725136000567/image_c8mfm1908d1c37qk3v6pscq363/-FJPG/243772-001_DET_2.jpg;https://dd3ka9h4chfr8.cloudfront.net/image/725136000567/image_nie4no7m7t3otf07428kvptu6n/-FJPG/243772-001_BCK_1.jpg;https://dd3ka9h4chfr8.cloudfront.net/image/725136000567/image_jd7iais04l5in1ldh8kbvli17v/-FJPG/243772-001_DET_1.jpg;https://dd3ka9h4chfr8.cloudfront.net/image/725136000567/image_22etk7999147bdnn3bj2932k69/-FJPG/243772-001_DET_3.jpg;https://dd3ka9h4chfr8.cloudfront.net/image/725136000567/image_i320idqd051n18e9au2ctnnh0j/-FJPG/243772-001_OPN_1.jpg;https://dd3ka9h4chfr8.cloudfront.net/image/725136000567/image_go6fsi0mv570t65uf2m1s86i6t/-FJPG/243772-001_TOP_1.jpg;https://dd3ka9h4chfr8.cloudfront.net/image/725136000567/image_icmfised7t1kve7383g4bhne6n/-FJPG/243772-001_DET_4.jpg;https://dd3ka9h4chfr8.cloudfront.net/image/725136000567/image_fbkpohe44h7md8j1oqd2don34s/-FJPG/243772-001_DET_5.jpg;https://dd3ka9h4chfr8.cloudfront.net/image/725136000567/image_hoct86etnh595bo1696d34nk20/-FJPG/243772-001_DET_6.jpg;https://dd3ka9h4chfr8.cloudfront.net/image/725136000567/image_76gb6ienlt3nhfe80a3b66tj38/-FJPG/243772-001_DET_7.jpg;https://dd3ka9h4chfr8.cloudfront.net/image/725136000567/image_qgio0t41hl5bv7n5mrjfv24c5r/-FJPG/FHMPRJ-018_SCENE-8.tif</t>
  </si>
  <si>
    <t>243772-001</t>
  </si>
  <si>
    <t>272.27</t>
  </si>
  <si>
    <t>https://dd3ka9h4chfr8.cloudfront.net/image/725136000567/image_ua2jhurt15429av0a7uqfmdh62/-FJPG/243772-001_FRT_1.jpg</t>
  </si>
  <si>
    <t>94</t>
  </si>
  <si>
    <t>{"value":94,"unit":"in"}</t>
  </si>
  <si>
    <t>27.25</t>
  </si>
  <si>
    <t>{"value":27.25,"unit":"in"}</t>
  </si>
  <si>
    <t>Beautifully minimalist. A storage-driven media console made from black-finished ash  features long, linear bronzed hardware for a smooth, clean look. Side cabinetry on both sides plus center drawers offer generous space for media storage and more. Rear cutouts for cord management.</t>
  </si>
  <si>
    <t>{"value":99.61,"unit":"in"}</t>
  </si>
  <si>
    <t>{"value":32.87,"unit":"in"}</t>
  </si>
  <si>
    <t>{"value":319.67,"unit":"lb"}</t>
  </si>
  <si>
    <t>16.54"</t>
  </si>
  <si>
    <t>20.47"</t>
  </si>
  <si>
    <t>36.02"</t>
  </si>
  <si>
    <t>21.81"</t>
  </si>
  <si>
    <t>0.71"</t>
  </si>
  <si>
    <t>17.68"</t>
  </si>
  <si>
    <t>1.50"</t>
  </si>
  <si>
    <t>Magnetic</t>
  </si>
  <si>
    <t>Barrel</t>
  </si>
  <si>
    <t>3.74"</t>
  </si>
  <si>
    <t>16.50"</t>
  </si>
  <si>
    <t>2.52"</t>
  </si>
  <si>
    <t>Adolfo Sideboard</t>
  </si>
  <si>
    <t>https://dd3ka9h4chfr8.cloudfront.net/image/725136000567/image_u9ksmbepjl1p13bgv4ss9bvp27/-FJPG/244202-001_FRT_1.jpg;https://dd3ka9h4chfr8.cloudfront.net/image/725136000567/image_sncoon8s6d4hn5v2os54fl816d/-FJPG/244202-001_PRM_1.jpg;https://dd3ka9h4chfr8.cloudfront.net/image/725136000567/image_cq5d3emm5p25t6321kr10q331e/-FJPG/244202-001_SID_1.jpg;https://dd3ka9h4chfr8.cloudfront.net/image/725136000567/image_a4nj3q4jld4h1ej34p58o4p94h/-FJPG/244202-001_ESS.tif;https://dd3ka9h4chfr8.cloudfront.net/image/725136000567/image_a8k4s4hh457656i45jn9ov8d6o/-FJPG/244202-001_DET_2.jpg;https://dd3ka9h4chfr8.cloudfront.net/image/725136000567/image_h14gu762tl1al5r9j8u747be03/-FJPG/244202-001_BCK_1.jpg;https://dd3ka9h4chfr8.cloudfront.net/image/725136000567/image_n5kuju0svt07faqk3c242v3l72/-FJPG/244202-001_DET_1.jpg;https://dd3ka9h4chfr8.cloudfront.net/image/725136000567/image_5lq0ogupm949p8evcr57peaq5o/-FJPG/244202-001_DET_3.jpg;https://dd3ka9h4chfr8.cloudfront.net/image/725136000567/image_uak1chmn2h4vl6917hlfuicc2a/-FJPG/244202-001_OPN_1.jpg;https://dd3ka9h4chfr8.cloudfront.net/image/725136000567/image_ohot2ppfhh2rnd4ibf5h72j65a/-FJPG/244202-001_TOP_1.jpg;https://dd3ka9h4chfr8.cloudfront.net/image/725136000567/image_ugpvemtitt3lbdnt4di8lulg6t/-FJPG/244202-001_DET_4.jpg;https://dd3ka9h4chfr8.cloudfront.net/image/725136000567/image_bq84ll2j6526f1ai830r8ean66/-FJPG/244202-001_DET_5.jpg;https://dd3ka9h4chfr8.cloudfront.net/image/725136000567/image_lpndkuo0i10j7blovchu6j8j35/-FJPG/244202-001_DET_6.jpg;https://dd3ka9h4chfr8.cloudfront.net/image/725136000567/image_9252udfsm53vl0hskfuj00346s/-FJPG/244202-001_DET_9.tif;https://dd3ka9h4chfr8.cloudfront.net/image/725136000567/image_8ktjt5eocl50j7dbuo8ic5mg2r/-FJPG/244202-001_DET_9.tif;https://dd3ka9h4chfr8.cloudfront.net/image/725136000567/image_f2ao59kspt46d7ruvv8jj0sc6r/-FJPG/244202-001_DET_10.tif</t>
  </si>
  <si>
    <t>244202-001</t>
  </si>
  <si>
    <t>262.35</t>
  </si>
  <si>
    <t>https://dd3ka9h4chfr8.cloudfront.net/image/725136000567/image_u9ksmbepjl1p13bgv4ss9bvp27/-FJPG/244202-001_FRT_1.jpg</t>
  </si>
  <si>
    <t>Made from black-finished ash with bronzed hardware, a clean-lined sideaboard is rich with natural presence. Step detailing adds an architectural touch to this streamlined shape.</t>
  </si>
  <si>
    <t>{"value":24.41,"unit":"in"}</t>
  </si>
  <si>
    <t>{"value":341.72,"unit":"lb"}</t>
  </si>
  <si>
    <t>25.47"</t>
  </si>
  <si>
    <t>45.87"</t>
  </si>
  <si>
    <t>26.81"</t>
  </si>
  <si>
    <t>22.48"</t>
  </si>
  <si>
    <t>Aesop Magazine Rack</t>
  </si>
  <si>
    <t>https://dd3ka9h4chfr8.cloudfront.net/image/725136000567/image_j9ll3v51tp2hd2nocpl7do3g2b/-FJPG/CBSH-013-031_PRM_1.jpg;https://dd3ka9h4chfr8.cloudfront.net/image/725136000567/image_4ok3efu8vd1jt8786e60i4v57i/-FJPG/CBSH-013-031_PRM_2.jpg;https://dd3ka9h4chfr8.cloudfront.net/image/725136000567/image_s2jq5vvr1d0kj0ido9c95qtg17/-FJPG/CBSH-013-031_DET_1.jpg;https://dd3ka9h4chfr8.cloudfront.net/image/725136000567/image_c8f45ds6ul195dsh7l3i9vqj6g/-FJPG/CBSH-013-031_ESS_1.jpg;https://dd3ka9h4chfr8.cloudfront.net/image/725136000567/image_e9ncifuadd4d7e6khio4uubf06/-FJPG/CBSH-013-031_DET_2.jpg;https://dd3ka9h4chfr8.cloudfront.net/image/725136000567/image_jum3o6ttsh7s56dlso9qf8335j/-FJPG/CBSH-013-031_DET_3.jpg;https://dd3ka9h4chfr8.cloudfront.net/image/725136000567/image_ruamtanm7p2j53mngd850hp55a/-FJPG/CBSH-013-031_DET_4.jpg;https://dd3ka9h4chfr8.cloudfront.net/image/725136000567/image_kp72u2l83p7h34vb8ag2rmtm0g/-FJPG/CBSH-013-031_VIG_1.jpg;https://dd3ka9h4chfr8.cloudfront.net/image/725136000567/image_332sm6j7h9053bt59ej5jma167/-FJPG/CBSH-013-031_SID_1.jpg;https://dd3ka9h4chfr8.cloudfront.net/image/725136000567/image_74hqeq7jp95clbi7u70p90bs6m/-FJPG/CBSH-013-031_FRT_1.jpg</t>
  </si>
  <si>
    <t>Patina Brown</t>
  </si>
  <si>
    <t>CBSH-013-031</t>
  </si>
  <si>
    <t>4.41</t>
  </si>
  <si>
    <t>https://dd3ka9h4chfr8.cloudfront.net/image/725136000567/image_j9ll3v51tp2hd2nocpl7do3g2b/-FJPG/CBSH-013-031_PRM_1.jpg</t>
  </si>
  <si>
    <t>["Top Grain Leather","Iron"]</t>
  </si>
  <si>
    <t>18.5</t>
  </si>
  <si>
    <t>{"value":18.5,"unit":"in"}</t>
  </si>
  <si>
    <t>11.75</t>
  </si>
  <si>
    <t>{"value":11.75,"unit":"in"}</t>
  </si>
  <si>
    <t>Bishop</t>
  </si>
  <si>
    <t>Smooth Jet Black</t>
  </si>
  <si>
    <t>Room Décor</t>
  </si>
  <si>
    <t>Decorative Objects</t>
  </si>
  <si>
    <t>Mid-century styling meets modern detail. Brown leather slings from a slim, black metal frame to hold papers and periodicals. Top handle is leather-bound for easy transport. Cross-stitching adds an artisan touch.</t>
  </si>
  <si>
    <t>{"value":20.47,"unit":"in"}</t>
  </si>
  <si>
    <t>{"value":12.6,"unit":"in"}</t>
  </si>
  <si>
    <t>{"value":8.82,"unit":"lb"}</t>
  </si>
  <si>
    <t>Aesop</t>
  </si>
  <si>
    <t>11.81"</t>
  </si>
  <si>
    <t>18.90"</t>
  </si>
  <si>
    <t>18.50"</t>
  </si>
  <si>
    <t>Aidan Bed</t>
  </si>
  <si>
    <t>https://dd3ka9h4chfr8.cloudfront.net/image/725136000567/image_i3pg1on15955v59v07ouo0an52/-FJPG/106185-045_FRT_1.jpg;https://dd3ka9h4chfr8.cloudfront.net/image/725136000567/image_7s2e2nkbp53rv7c9bgdp86fm0a/-FJPG/106185-045_PRM_1.jpg;https://dd3ka9h4chfr8.cloudfront.net/image/725136000567/image_5m15qe5t713cnbkmgm5a7jes4g/-FJPG/106185-045_SID_1.jpg;https://dd3ka9h4chfr8.cloudfront.net/image/725136000567/image_b85b7fpio52096d5h52gr4l142/-FJPG/106185-045_DET_2.jpg;https://dd3ka9h4chfr8.cloudfront.net/image/725136000567/image_sl2us64bkh66t3531taf1g6h74/-FJPG/106185-045_BCK_1.jpg;https://dd3ka9h4chfr8.cloudfront.net/image/725136000567/image_tr7bcjqgj92fl6g7hllret2b0p/-FJPG/106185-045_DET_1.jpg;https://dd3ka9h4chfr8.cloudfront.net/image/725136000567/image_qhlvk6glbl4el4cnqo6uk7dm1c/-FJPG/106185-045_DET_3.jpg;https://dd3ka9h4chfr8.cloudfront.net/image/725136000567/image_i6h57vs1mh123fgh93lbcsuq6e/-FJPG/106185-045_DET_4.jpg;https://dd3ka9h4chfr8.cloudfront.net/image/725136000567/image_j68idnini520v1dk7boimof16a/-FJPG/106185-045_DET_5.jpg;https://dd3ka9h4chfr8.cloudfront.net/image/725136000567/image_flerdvl5bh6odd40nfsfaugv5c/-FJPG/106185-045_DET_6.jpg;https://dd3ka9h4chfr8.cloudfront.net/image/725136000567/image_cue1bed7ed7av5c50b1m3d670e/-FJPG/106185-045_DET_7.jpg</t>
  </si>
  <si>
    <t>Plushtone Linen</t>
  </si>
  <si>
    <t>King</t>
  </si>
  <si>
    <t>106185-045</t>
  </si>
  <si>
    <t>169.97</t>
  </si>
  <si>
    <t>https://dd3ka9h4chfr8.cloudfront.net/image/725136000567/image_i3pg1on15955v59v07ouo0an52/-FJPG/106185-045_FRT_1.jpg</t>
  </si>
  <si>
    <t>["100% Polyester","Solid Parawood"]</t>
  </si>
  <si>
    <t>82.75</t>
  </si>
  <si>
    <t>{"value":82.75,"unit":"in"}</t>
  </si>
  <si>
    <t>35.25</t>
  </si>
  <si>
    <t>{"value":35.25,"unit":"in"}</t>
  </si>
  <si>
    <t>Easton</t>
  </si>
  <si>
    <t>Black</t>
  </si>
  <si>
    <t>Beds</t>
  </si>
  <si>
    <t>Low-profile luxury. Modern Italian design inspires this textural, chenille-like upholstered bed that feels both substantial and plush, with clean lines for a dramatically comfortable statement.</t>
  </si>
  <si>
    <t>Headboard</t>
  </si>
  <si>
    <t>{"value":83.9,"unit":"in"}</t>
  </si>
  <si>
    <t>{"value":34.45,"unit":"in"}</t>
  </si>
  <si>
    <t>{"value":12.01,"unit":"in"}</t>
  </si>
  <si>
    <t>{"value":70.55,"unit":"lb"}</t>
  </si>
  <si>
    <t>Footboard</t>
  </si>
  <si>
    <t>{"value":85.24,"unit":"in"}</t>
  </si>
  <si>
    <t>{"value":11.22,"unit":"in"}</t>
  </si>
  <si>
    <t>{"value":8.07,"unit":"in"}</t>
  </si>
  <si>
    <t>{"value":69.67,"unit":"lb"}</t>
  </si>
  <si>
    <t>Siderails/ Center Rails</t>
  </si>
  <si>
    <t>{"value":84.65,"unit":"in"}</t>
  </si>
  <si>
    <t>{"value":11.42,"unit":"in"}</t>
  </si>
  <si>
    <t>{"value":59.52,"unit":"lb"}</t>
  </si>
  <si>
    <t>S (Solvent-based)</t>
  </si>
  <si>
    <t>S</t>
  </si>
  <si>
    <t>Aidan</t>
  </si>
  <si>
    <t>550 lb</t>
  </si>
  <si>
    <t>{"value":550,"unit":"lb"}</t>
  </si>
  <si>
    <t>90% Polyurethane Foam, 10% Fiber</t>
  </si>
  <si>
    <t>1.89"</t>
  </si>
  <si>
    <t>10.83"</t>
  </si>
  <si>
    <t>2.87"</t>
  </si>
  <si>
    <t>82.76"</t>
  </si>
  <si>
    <t>35.24"</t>
  </si>
  <si>
    <t>12.01"</t>
  </si>
  <si>
    <t>81.50"</t>
  </si>
  <si>
    <t>2.60"</t>
  </si>
  <si>
    <t>77.01"</t>
  </si>
  <si>
    <t>8.86"</t>
  </si>
  <si>
    <t>Fully Finished</t>
  </si>
  <si>
    <t>Upholstered</t>
  </si>
  <si>
    <t>Not Required</t>
  </si>
  <si>
    <t>8.23"</t>
  </si>
  <si>
    <t>Posture Slats</t>
  </si>
  <si>
    <t>https://dd3ka9h4chfr8.cloudfront.net/image/725136000567/image_3heur320a14jn4rhtvqvvcup62/-FJPG/106185-046_FRT_1.jpg;https://dd3ka9h4chfr8.cloudfront.net/image/725136000567/image_333vedbg9h5h38mf6asoiar71k/-FJPG/106185-046_PRM_1.jpg;https://dd3ka9h4chfr8.cloudfront.net/image/725136000567/image_hav36bdtrl18h889acu9uarp5n/-FJPG/106185-046_SID_1.jpg;https://dd3ka9h4chfr8.cloudfront.net/image/725136000567/image_iu5o1e7a9d4f96pp7e9lv88b75/-FJPG/106185-046_DET_2.jpg;https://dd3ka9h4chfr8.cloudfront.net/image/725136000567/image_idehekkajd3q1dnd84ar07qc6n/-FJPG/106185-046_BCK_1.jpg;https://dd3ka9h4chfr8.cloudfront.net/image/725136000567/image_t88crfvfm51p5e3gevvi0d7f4t/-FJPG/106185-046_DET_1.jpg;https://dd3ka9h4chfr8.cloudfront.net/image/725136000567/image_gl34eajbmd3itckb6sjbosvg0g/-FJPG/106185-046_DET_3.jpg;https://dd3ka9h4chfr8.cloudfront.net/image/725136000567/image_0eft9qf4kt4o76vnda55e8m02c/-FJPG/106185-046_DET_4.jpg;https://dd3ka9h4chfr8.cloudfront.net/image/725136000567/image_n7va2isml14nv1c56hs57l1d4m/-FJPG/106185-046_DET_5.jpg;https://dd3ka9h4chfr8.cloudfront.net/image/725136000567/image_ifmobsgplh643froc7a53rs34e/-FJPG/106185-046_DET_6.jpg;https://dd3ka9h4chfr8.cloudfront.net/image/725136000567/image_muipqbhfmd77d38rp7bldgtu7k/-FJPG/106185-046_DET_7.jpg</t>
  </si>
  <si>
    <t>Queen</t>
  </si>
  <si>
    <t>106185-046</t>
  </si>
  <si>
    <t>138.89</t>
  </si>
  <si>
    <t>https://dd3ka9h4chfr8.cloudfront.net/image/725136000567/image_3heur320a14jn4rhtvqvvcup62/-FJPG/106185-046_FRT_1.jpg</t>
  </si>
  <si>
    <t>66.5</t>
  </si>
  <si>
    <t>{"value":66.5,"unit":"in"}</t>
  </si>
  <si>
    <t>{"value":67.91,"unit":"in"}</t>
  </si>
  <si>
    <t>{"value":59.97,"unit":"lb"}</t>
  </si>
  <si>
    <t>{"value":69.25,"unit":"in"}</t>
  </si>
  <si>
    <t>{"value":54.67,"unit":"lb"}</t>
  </si>
  <si>
    <t>Siderails/ Center Rail</t>
  </si>
  <si>
    <t>{"value":54.01,"unit":"lb"}</t>
  </si>
  <si>
    <t>66.61"</t>
  </si>
  <si>
    <t>60.87"</t>
  </si>
  <si>
    <t>https://dd3ka9h4chfr8.cloudfront.net/image/725136000567/image_d3ka6j74l922565rqfuvbrfi1i/-FJPG/106185-047_FRT_1.jpg;https://dd3ka9h4chfr8.cloudfront.net/image/725136000567/image_kbks11d69p4r94gkuo48s8m85i/-FJPG/106185-047_PRM_1.jpg;https://dd3ka9h4chfr8.cloudfront.net/image/725136000567/image_es5976jtst4hp8ndgogjr3en4k/-FJPG/106185-047_SID_1.jpg;https://dd3ka9h4chfr8.cloudfront.net/image/725136000567/image_s9710ult1d4hl4o4uehbpo097o/-FJPG/106185-047_DET_2.jpg;https://dd3ka9h4chfr8.cloudfront.net/image/725136000567/image_9u6ip5332h1g1e0ndo7aq65g7q/-FJPG/106185-047_DET_1.jpg;https://dd3ka9h4chfr8.cloudfront.net/image/725136000567/image_un2qs62vut0ah9qdo5osv1082j/-FJPG/106185-047_DET_3.jpg;https://dd3ka9h4chfr8.cloudfront.net/image/725136000567/image_0e0jd0ikv540j1955p4quuo67v/-FJPG/106185-047_DET_4.jpg;https://dd3ka9h4chfr8.cloudfront.net/image/725136000567/image_uc53vjhk7l20h7f6ts2ges2508/-FJPG/106185-047_DET_5.jpg;https://dd3ka9h4chfr8.cloudfront.net/image/725136000567/image_j46r3nmuk16uh4ai5tbfjvu67n/-FJPG/106185-047_DET_6.jpg</t>
  </si>
  <si>
    <t>Vintage Tobacco</t>
  </si>
  <si>
    <t>106185-047</t>
  </si>
  <si>
    <t>https://dd3ka9h4chfr8.cloudfront.net/image/725136000567/image_d3ka6j74l922565rqfuvbrfi1i/-FJPG/106185-047_FRT_1.jpg</t>
  </si>
  <si>
    <t>["95% Polyester","5% Polyurethane Fibre","Solid Parawood"]</t>
  </si>
  <si>
    <t>Low-profile luxury. With plush clean lines, tobacco-colored faux leather meets modern Italian styling with subtle masculine undertones to make a dramatically comfortable statement.</t>
  </si>
  <si>
    <t>W (Water-based)</t>
  </si>
  <si>
    <t>W</t>
  </si>
  <si>
    <t>https://dd3ka9h4chfr8.cloudfront.net/image/725136000567/image_rmp23tqaal0spbunh6a1649p1k/-FJPG/106185-048_FRT_1.jpg;https://dd3ka9h4chfr8.cloudfront.net/image/725136000567/image_vnmdbdjt6d5s30n3122ktq7730/-FJPG/106185-048_PRM_1.jpg;https://dd3ka9h4chfr8.cloudfront.net/image/725136000567/image_2vqdd6d1jp3b7drc41mhn84h73/-FJPG/106185-048_SID_1.jpg;https://dd3ka9h4chfr8.cloudfront.net/image/725136000567/image_5e4dfb040511def8ds1tuotl28/-FJPG/106185-048_DET_2.jpg;https://dd3ka9h4chfr8.cloudfront.net/image/725136000567/image_j5q3arlfgd4k3ekbvk74e0bk5e/-FJPG/106185-048_BCK_1.jpg;https://dd3ka9h4chfr8.cloudfront.net/image/725136000567/image_jeg9mj1rhd139eh13a43sfbi6p/-FJPG/106185-048_DET_1.jpg;https://dd3ka9h4chfr8.cloudfront.net/image/725136000567/image_99qr3t30dh6tj6qnak31b0si5q/-FJPG/106185-048_DET_3.jpg;https://dd3ka9h4chfr8.cloudfront.net/image/725136000567/image_0ucfrvbl896hp2om37ll0fkc4j/-FJPG/106185-048_DET_4.jpg;https://dd3ka9h4chfr8.cloudfront.net/image/725136000567/image_s9t9vntovp2mf1cbp4sbopin6j/-FJPG/106185-048_DET_5.jpg;https://dd3ka9h4chfr8.cloudfront.net/image/725136000567/image_9akjrj0go13cbchnu00bai9j44/-FJPG/106185-048_DET_6.jpg;https://dd3ka9h4chfr8.cloudfront.net/image/725136000567/image_jg1165ces50c14cohggpbumh24/-FJPG/106185-048_DET_7.jpg</t>
  </si>
  <si>
    <t>106185-048</t>
  </si>
  <si>
    <t>https://dd3ka9h4chfr8.cloudfront.net/image/725136000567/image_rmp23tqaal0spbunh6a1649p1k/-FJPG/106185-048_FRT_1.jpg</t>
  </si>
  <si>
    <t>Aidan Slipcover Bed</t>
  </si>
  <si>
    <t>https://dd3ka9h4chfr8.cloudfront.net/image/725136000567/image_ejbb64f60p3bd3k75ag1mv9r1e/-FJPG/234707-009_FRT_1.jpg;https://dd3ka9h4chfr8.cloudfront.net/image/725136000567/image_79t28o2upt5q9d7dqujoudka02/-FJPG/234707-009_PRM_1.jpg;https://dd3ka9h4chfr8.cloudfront.net/image/725136000567/image_157t2hj8q14mv2bs45v8scv20t/-FJPG/234707-009_SID_1.jpg;https://dd3ka9h4chfr8.cloudfront.net/image/725136000567/image_b58qcqhdn91vvcr024v1vn7k28/-FJPG/234707-009_ESS_1.jpg;https://dd3ka9h4chfr8.cloudfront.net/image/725136000567/image_07sdi7hpp54ab5bg0bncdkf241/-FJPG/234707-009_DET_2.jpg;https://dd3ka9h4chfr8.cloudfront.net/image/725136000567/image_4iv04rr0k5003d0e924ch78d0c/-FJPG/234707-009_BCK_1.jpg;https://dd3ka9h4chfr8.cloudfront.net/image/725136000567/image_3arengpa2100pdr9ubjppv2l16/-FJPG/234707-009_INF_1.jpg;https://dd3ka9h4chfr8.cloudfront.net/image/725136000567/image_0mu10s7ppd0l10iroeg4k3kf65/-FJPG/234707-009_DET_1.jpg;https://dd3ka9h4chfr8.cloudfront.net/image/725136000567/image_mf3o73h58h6ul6hb6ovuunab3a/-FJPG/234707-009_DET_3.jpg;https://dd3ka9h4chfr8.cloudfront.net/image/725136000567/image_s9llg8l8dd5699ssfn9ijmhn7o/-FJPG/234707-009_DET_4.jpg;https://dd3ka9h4chfr8.cloudfront.net/image/725136000567/image_jqu3vtj6rp4fb9gs7s2aluub51/-FJPG/234707-009_DET_5.jpg;https://dd3ka9h4chfr8.cloudfront.net/image/725136000567/image_2ld0kor4od1f15nrmsm2isj14o/-FJPG/234707-009_DET_6.jpg;https://dd3ka9h4chfr8.cloudfront.net/image/725136000567/image_32p2cc9ktp1mje7ho91boao14g/-FJPG/234707-009_DET_7.jpg;https://dd3ka9h4chfr8.cloudfront.net/image/725136000567/image_cfbc861e110mjcs1iricd2dc1n/-FJPG/234707-009_PRM_2.jpg;https://dd3ka9h4chfr8.cloudfront.net/image/725136000567/image_pjj07i85113aj8mt0lrnpfe25t/-FJPG/234707-009_SID_2.jpg;https://dd3ka9h4chfr8.cloudfront.net/image/725136000567/image_sl8nb3hdqp79n8rehdtbtr4h68/-FJPG/234707-009_FRT_2.jpg</t>
  </si>
  <si>
    <t>Brussels Coffee</t>
  </si>
  <si>
    <t>234707-009</t>
  </si>
  <si>
    <t>154.32</t>
  </si>
  <si>
    <t>https://dd3ka9h4chfr8.cloudfront.net/image/725136000567/image_ejbb64f60p3bd3k75ag1mv9r1e/-FJPG/234707-009_FRT_1.jpg</t>
  </si>
  <si>
    <t>["100% Flax/Linen"]</t>
  </si>
  <si>
    <t>84.25</t>
  </si>
  <si>
    <t>{"value":84.25,"unit":"in"}</t>
  </si>
  <si>
    <t>93.75</t>
  </si>
  <si>
    <t>{"value":93.75,"unit":"in"}</t>
  </si>
  <si>
    <t>35.5</t>
  </si>
  <si>
    <t>{"value":35.5,"unit":"in"}</t>
  </si>
  <si>
    <t>Kensington</t>
  </si>
  <si>
    <t>Crafted for comfort. A low, slipcovered bed features luxurious and sustainably made Belgian linen. Durable and soft to the touch, Libecoâ„¢-sourced linens and linen blends are artisan-made without toxic chemicals. Slipcovered styles are fully removable and machine-washable for easy care.</t>
  </si>
  <si>
    <t>Slats</t>
  </si>
  <si>
    <t>{"value":81.73,"unit":"in"}</t>
  </si>
  <si>
    <t>{"value":5.39,"unit":"in"}</t>
  </si>
  <si>
    <t>{"value":40.35,"unit":"in"}</t>
  </si>
  <si>
    <t>{"value":52.91,"unit":"lb"}</t>
  </si>
  <si>
    <t>Cover</t>
  </si>
  <si>
    <t>{"value":7.87,"unit":"in"}</t>
  </si>
  <si>
    <t>{"value":28.35,"unit":"in"}</t>
  </si>
  <si>
    <t>{"value":12.79,"unit":"lb"}</t>
  </si>
  <si>
    <t>Headboard/Footboard</t>
  </si>
  <si>
    <t>{"value":38.98,"unit":"in"}</t>
  </si>
  <si>
    <t>{"value":85.98,"unit":"lb"}</t>
  </si>
  <si>
    <t>Side Rails, Center Rails &amp; Hardware</t>
  </si>
  <si>
    <t>{"value":83.07,"unit":"in"}</t>
  </si>
  <si>
    <t>{"value":10.63,"unit":"in"}</t>
  </si>
  <si>
    <t>{"value":11.02,"unit":"in"}</t>
  </si>
  <si>
    <t>{"value":41.89,"unit":"lb"}</t>
  </si>
  <si>
    <t>WS (Water-based or Solvents)</t>
  </si>
  <si>
    <t>WS</t>
  </si>
  <si>
    <t>Slipcover</t>
  </si>
  <si>
    <t>87% Polyurethane Foam Pad, 13% Polyester Fiber Batting</t>
  </si>
  <si>
    <t>Slipcovered</t>
  </si>
  <si>
    <t>10.75"</t>
  </si>
  <si>
    <t>3.25"</t>
  </si>
  <si>
    <t>83.25"</t>
  </si>
  <si>
    <t>35.50"</t>
  </si>
  <si>
    <t>11.75"</t>
  </si>
  <si>
    <t>84.25"</t>
  </si>
  <si>
    <t>81.00"</t>
  </si>
  <si>
    <t>76.75"</t>
  </si>
  <si>
    <t>Fully Upholstered (In selected Colored Material)</t>
  </si>
  <si>
    <t>https://dd3ka9h4chfr8.cloudfront.net/image/725136000567/image_au7sn54d0p2j94dlhq79db0d57/-FJPG/234707-010_FRT_1.jpg;https://dd3ka9h4chfr8.cloudfront.net/image/725136000567/image_cuopkeb0l943lf1cc3kqjr9u0v/-FJPG/234707-010_PRM_1.jpg;https://dd3ka9h4chfr8.cloudfront.net/image/725136000567/image_8qqvaol8jt1cdels9il5bva90b/-FJPG/234707-010_SID_1.jpg;https://dd3ka9h4chfr8.cloudfront.net/image/725136000567/image_ko6ufn93ft5nn509r3mcgr3e7p/-FJPG/234707-010_ESS.jpg;https://dd3ka9h4chfr8.cloudfront.net/image/725136000567/image_0v10jkq56d39l84nlm1md9ns24/-FJPG/234707-010_ESS_1.jpg;https://dd3ka9h4chfr8.cloudfront.net/image/725136000567/image_ds2lrp9h897t3aadm7hvmi8a5m/-FJPG/234707-010_DET_2.jpg;https://dd3ka9h4chfr8.cloudfront.net/image/725136000567/image_b8fgtccndl4up2n1u5jqa59k52/-FJPG/234707-010_BCK_1.jpg;https://dd3ka9h4chfr8.cloudfront.net/image/725136000567/image_oasu7dkpol3h35i81lmss1fr71/-FJPG/234707-010_INF_1.jpg;https://dd3ka9h4chfr8.cloudfront.net/image/725136000567/image_58hml1u95l2j33gor1a9mdgs79/-FJPG/234707-010_DET_1.jpg;https://dd3ka9h4chfr8.cloudfront.net/image/725136000567/image_qg4u9f6oi91spdhnd1oam4ia7m/-FJPG/234707-010_DET_3.jpg;https://dd3ka9h4chfr8.cloudfront.net/image/725136000567/image_jqd29qcrcp2eheid80lr287070/-FJPG/234707-010_DET_4.jpg;https://dd3ka9h4chfr8.cloudfront.net/image/725136000567/image_a0ug230is97vvfd3up9g92867r/-FJPG/234707-010_DET_5.jpg;https://dd3ka9h4chfr8.cloudfront.net/image/725136000567/image_nln2nm5rj96ovdu3v4dgn9op1k/-FJPG/234707-010_DET_6.jpg;https://dd3ka9h4chfr8.cloudfront.net/image/725136000567/image_jt9vugoqmt6s93vgq2at6gev3a/-FJPG/234707-010_DET_7.jpg;https://dd3ka9h4chfr8.cloudfront.net/image/725136000567/image_oop4groj0d6pf1l49v64s8f02u/-FJPG/234707-010_FRT_2.jpg;https://dd3ka9h4chfr8.cloudfront.net/image/725136000567/image_am3m2v0p3d5s52o4cko4ivg543/-FJPG/234707-010_PRM_2.jpg;https://dd3ka9h4chfr8.cloudfront.net/image/725136000567/image_oo8m9g4r515hf9dv1t743jdu11/-FJPG/234707-010_SID_2.jpg</t>
  </si>
  <si>
    <t>234707-010</t>
  </si>
  <si>
    <t>127.43</t>
  </si>
  <si>
    <t>https://dd3ka9h4chfr8.cloudfront.net/image/725136000567/image_au7sn54d0p2j94dlhq79db0d57/-FJPG/234707-010_FRT_1.jpg</t>
  </si>
  <si>
    <t>{"value":68,"unit":"in"}</t>
  </si>
  <si>
    <t>Crafted for comfort. A low, slipcovered bed features luxurious and sustainably made Belgian Linenâ„¢. Durable and soft to the touch, Libecoâ„¢-sourced linens and linen blends are artisan-made without toxic chemicals. Slipcovered styles are fully removable and machine-washable for easy care.</t>
  </si>
  <si>
    <t>{"value":32.28,"unit":"in"}</t>
  </si>
  <si>
    <t>{"value":43.87,"unit":"lb"}</t>
  </si>
  <si>
    <t>{"value":10.05,"unit":"lb"}</t>
  </si>
  <si>
    <t>{"value":70.08,"unit":"in"}</t>
  </si>
  <si>
    <t>{"value":66.14,"unit":"lb"}</t>
  </si>
  <si>
    <t>67.00"</t>
  </si>
  <si>
    <t>68.00"</t>
  </si>
  <si>
    <t>60.50"</t>
  </si>
  <si>
    <t>https://dd3ka9h4chfr8.cloudfront.net/image/725136000567/image_lhd9gc74r92j99anfpjehfhk39/-FJPG/234707-001_FRT_1.jpg;https://dd3ka9h4chfr8.cloudfront.net/image/725136000567/image_5jvha7cv354db57oafkkkovf1m/-FJPG/234707-001_PRM_1.jpg;https://dd3ka9h4chfr8.cloudfront.net/image/725136000567/image_936no20vhp5kn5sgt9porgs922/-FJPG/234707-001_SID_1.jpg;https://dd3ka9h4chfr8.cloudfront.net/image/725136000567/image_qom9mn4aup6s3b0omfhnjpbm5m/-FJPG/234707-002_ESS_1.jpg;https://dd3ka9h4chfr8.cloudfront.net/image/725136000567/image_l6p88spcep7glelauudoadh84u/-FJPG/234707-001_ESS_1.jpg;https://dd3ka9h4chfr8.cloudfront.net/image/725136000567/image_7vgl35qn0947teuqdr4rmk302k/-FJPG/234707-001_DET_2.jpg;https://dd3ka9h4chfr8.cloudfront.net/image/725136000567/image_9ivq0bfjop39b7ji663lk61n31/-FJPG/234707-001_BCK_1.jpg;https://dd3ka9h4chfr8.cloudfront.net/image/725136000567/image_8uq157amb129bbvqf317e91i3h/-FJPG/234707-001_INF_1.jpg;https://dd3ka9h4chfr8.cloudfront.net/image/725136000567/image_di0icrt83h4fh5jeohjgj9mo20/-FJPG/234707-001_DET_1.jpg;https://dd3ka9h4chfr8.cloudfront.net/image/725136000567/image_ecve6lrji10j19r76n5goh5i0m/-FJPG/234707-001_DET_3.jpg;https://dd3ka9h4chfr8.cloudfront.net/image/725136000567/image_g2uirtuuip2b1bg3qdm7q76e0u/-FJPG/234707-001_DET_4.jpg;https://dd3ka9h4chfr8.cloudfront.net/image/725136000567/image_gqasroskph0d1calan68stm510/-FJPG/234707-001_DET_7.jpg</t>
  </si>
  <si>
    <t>Brussels Natural</t>
  </si>
  <si>
    <t>234707-001</t>
  </si>
  <si>
    <t>https://dd3ka9h4chfr8.cloudfront.net/image/725136000567/image_lhd9gc74r92j99anfpjehfhk39/-FJPG/234707-001_FRT_1.jpg</t>
  </si>
  <si>
    <t>https://dd3ka9h4chfr8.cloudfront.net/image/725136000567/image_liihcqu7o157l3f9vn7loltq4v/-FJPG/234707-002_FRT_1.jpg;https://dd3ka9h4chfr8.cloudfront.net/image/725136000567/image_b7ht4efvcd46lcut0crf5jg32p/-FJPG/234707-002_PRM_1.jpg;https://dd3ka9h4chfr8.cloudfront.net/image/725136000567/image_t80iaq699t1ht0naq05e89q81s/-FJPG/234707-002_SID_1.jpg;https://dd3ka9h4chfr8.cloudfront.net/image/725136000567/image_qom9mn4aup6s3b0omfhnjpbm5m/-FJPG/234707-002_ESS_1.jpg;https://dd3ka9h4chfr8.cloudfront.net/image/725136000567/image_4cmd5nesmt7ltdpgmfag5etd0v/-FJPG/234707-002_DET_2.jpg;https://dd3ka9h4chfr8.cloudfront.net/image/725136000567/image_54ttogb1bd49n84la4q1aitv0n/-FJPG/234707-002_BCK_1.jpg;https://dd3ka9h4chfr8.cloudfront.net/image/725136000567/image_pi5664snpt4il6614aqhp46n7t/-FJPG/234707-002_INF_1.jpg;https://dd3ka9h4chfr8.cloudfront.net/image/725136000567/image_iaa9t1e1u14f351pf8jv58744i/-FJPG/234707-002_DET_1.jpg;https://dd3ka9h4chfr8.cloudfront.net/image/725136000567/image_kjfani5hb96l3a4kv4a6d05e1f/-FJPG/234707-002_DET_3.jpg;https://dd3ka9h4chfr8.cloudfront.net/image/725136000567/image_2aefti4knh1m120lhs6ksdqp6n/-FJPG/234707-002_DET_4.jpg;https://dd3ka9h4chfr8.cloudfront.net/image/725136000567/image_5c8r99lok57n3bl9ooeru4kk4j/-FJPG/234707-002_ESS_2.jpg</t>
  </si>
  <si>
    <t>234707-002</t>
  </si>
  <si>
    <t>https://dd3ka9h4chfr8.cloudfront.net/image/725136000567/image_liihcqu7o157l3f9vn7loltq4v/-FJPG/234707-002_FRT_1.jpg</t>
  </si>
  <si>
    <t>Alec Chair &amp; Half</t>
  </si>
  <si>
    <t>https://dd3ka9h4chfr8.cloudfront.net/image/725136000567/image_a197218hfl049cab1or1cnci5v/-FJPG/234820-005_FRT_1.jpg;https://dd3ka9h4chfr8.cloudfront.net/image/725136000567/image_rto8h4159p22h5t5rf72lv6u14/-FJPG/234820-005_PRM_1.jpg;https://dd3ka9h4chfr8.cloudfront.net/image/725136000567/image_p7pk8cr3bt6ah50ufaogr75a32/-FJPG/234820-005_SID_1.jpg;https://dd3ka9h4chfr8.cloudfront.net/image/725136000567/image_c18qq0oim10p3ehggb7d2o9322/-FJPG/234820-005_DET_2.jpg;https://dd3ka9h4chfr8.cloudfront.net/image/725136000567/image_laqs347h0l1b1c5tmidkluq25b/-FJPG/234820-005_BCK_1.jpg;https://dd3ka9h4chfr8.cloudfront.net/image/725136000567/image_7vs3odslm106r5jmgl7idlgk2l/-FJPG/234820-005_DET_1.jpg;https://dd3ka9h4chfr8.cloudfront.net/image/725136000567/image_ujbql6783l5apdu1g25s037a71/-FJPG/234820-005_DET_3.jpg;https://dd3ka9h4chfr8.cloudfront.net/image/725136000567/image_tt4f0v96b563b2ndqaehsch27o/-FJPG/234820-005_DET_4.jpg;https://dd3ka9h4chfr8.cloudfront.net/image/725136000567/image_oqoroiehbp3jr1e0vmqgct1o0c/-FJPG/234820-005_DET_5.jpg;https://dd3ka9h4chfr8.cloudfront.net/image/725136000567/image_87r5rmtrih6239elosmu2m921j/-FJPG/234820-005_DET_6.jpg;https://dd3ka9h4chfr8.cloudfront.net/image/725136000567/image_oton5jk1ep2of9i8vkbo0j0c1f/-FJPG/234820-005_DET_7.jpg</t>
  </si>
  <si>
    <t>Dulane Mahogany</t>
  </si>
  <si>
    <t>234820-005</t>
  </si>
  <si>
    <t>116.4</t>
  </si>
  <si>
    <t>https://dd3ka9h4chfr8.cloudfront.net/image/725136000567/image_a197218hfl049cab1or1cnci5v/-FJPG/234820-005_FRT_1.jpg</t>
  </si>
  <si>
    <t>["Top Grain Leather","Solid Parawood"]</t>
  </si>
  <si>
    <t>36.5</t>
  </si>
  <si>
    <t>{"value":36.5,"unit":"in"}</t>
  </si>
  <si>
    <t>Almond</t>
  </si>
  <si>
    <t>Chair-and-a-half adopts dramatic channeling in rich mahogany top-grain leather for trend-forward texture and a comfortable sit.</t>
  </si>
  <si>
    <t>Oneitem</t>
  </si>
  <si>
    <t>{"value":57.48,"unit":"in"}</t>
  </si>
  <si>
    <t>{"value":30.31,"unit":"in"}</t>
  </si>
  <si>
    <t>{"value":134.48,"unit":"lb"}</t>
  </si>
  <si>
    <t>24.53"</t>
  </si>
  <si>
    <t>9.06"</t>
  </si>
  <si>
    <t>37.99"</t>
  </si>
  <si>
    <t>25.98"</t>
  </si>
  <si>
    <t>70% Polyurethane Foam, 15% Fiber, 15% Duck Feather</t>
  </si>
  <si>
    <t>Nails</t>
  </si>
  <si>
    <t>S-Spring</t>
  </si>
  <si>
    <t>Alec</t>
  </si>
  <si>
    <t>27.48"</t>
  </si>
  <si>
    <t>8.98"</t>
  </si>
  <si>
    <t>35.87"</t>
  </si>
  <si>
    <t>8.50"</t>
  </si>
  <si>
    <t>45.00"</t>
  </si>
  <si>
    <t>80% Polyurethane Foam, 20% Fiber</t>
  </si>
  <si>
    <t>Alec Storage Ottoman</t>
  </si>
  <si>
    <t>https://dd3ka9h4chfr8.cloudfront.net/image/725136000567/image_bfrl9odpod7u7dorvlopvrhb3e/-FJPG/234865-005_FRT_1.jpg;https://dd3ka9h4chfr8.cloudfront.net/image/725136000567/image_2kjjkhlh993kd5rdua1r3mca0e/-FJPG/234865-005_PRM_1.jpg;https://dd3ka9h4chfr8.cloudfront.net/image/725136000567/image_1kq0388c8l7mn4irqbr2qn6r1a/-FJPG/234865-005_SID_1.jpg;https://dd3ka9h4chfr8.cloudfront.net/image/725136000567/image_sgagn2otjl4393i0at9lg48g29/-FJPG/234865-005_DET_2.jpg;https://dd3ka9h4chfr8.cloudfront.net/image/725136000567/image_ssko08kvhh3l9263dn2eau3l4p/-FJPG/234865-005_DET_1.jpg;https://dd3ka9h4chfr8.cloudfront.net/image/725136000567/image_q0o2p9pm4164t7qvf9djff4063/-FJPG/234865-005_DET_3.jpg;https://dd3ka9h4chfr8.cloudfront.net/image/725136000567/image_1ooepv5ik15u50va1j1inss71e/-FJPG/234865-005_OPN_1.jpg;https://dd3ka9h4chfr8.cloudfront.net/image/725136000567/image_1vr0fcdhnd5i5d1fd690u1v17a/-FJPG/234865-005_DET_4.jpg;https://dd3ka9h4chfr8.cloudfront.net/image/725136000567/image_9j8of22d2l2kv3udr8a75p2c5q/-FJPG/234865-005_DET_5.jpg;https://dd3ka9h4chfr8.cloudfront.net/image/725136000567/image_3055745gnt1il8c4v4cic4tn4u/-FJPG/234865-005_DET_6.jpg</t>
  </si>
  <si>
    <t>234865-005</t>
  </si>
  <si>
    <t>97</t>
  </si>
  <si>
    <t>https://dd3ka9h4chfr8.cloudfront.net/image/725136000567/image_bfrl9odpod7u7dorvlopvrhb3e/-FJPG/234865-005_FRT_1.jpg</t>
  </si>
  <si>
    <t>56</t>
  </si>
  <si>
    <t>{"value":56,"unit":"in"}</t>
  </si>
  <si>
    <t>29.75</t>
  </si>
  <si>
    <t>{"value":29.75,"unit":"in"}</t>
  </si>
  <si>
    <t>18</t>
  </si>
  <si>
    <t>{"value":18,"unit":"in"}</t>
  </si>
  <si>
    <t>Ottomans &amp; Stools</t>
  </si>
  <si>
    <t>Wrapped in rich mahogany top-grain leather, this ottoman pairs everyday durability with cleverly concealed storage for life's essentials.</t>
  </si>
  <si>
    <t>{"value":59.25,"unit":"in"}</t>
  </si>
  <si>
    <t>{"value":116.84,"unit":"lb"}</t>
  </si>
  <si>
    <t>29.80"</t>
  </si>
  <si>
    <t>17.99"</t>
  </si>
  <si>
    <t>56.10"</t>
  </si>
  <si>
    <t>Fixed</t>
  </si>
  <si>
    <t>19.53"</t>
  </si>
  <si>
    <t>45.98"</t>
  </si>
  <si>
    <t>Alessio Sideboard</t>
  </si>
  <si>
    <t>https://dd3ka9h4chfr8.cloudfront.net/image/725136000567/image_l42ashbvt10gj3bno2r92dj21h/-FJPG/245348-005_FRT_1.jpg;https://dd3ka9h4chfr8.cloudfront.net/image/725136000567/image_vf6mcqd25l03nf4d2c69napa7m/-FJPG/245348-005_PRM_1.jpg;https://dd3ka9h4chfr8.cloudfront.net/image/725136000567/image_6d4clib2ep0up1gev4d1hvus13/-FJPG/245348-005_SID_1.jpg;https://dd3ka9h4chfr8.cloudfront.net/image/725136000567/image_f1nqukskn16rrbd9coginqne7a/-FJPG/245348-005_ESS.tif;https://dd3ka9h4chfr8.cloudfront.net/image/725136000567/image_pcftsa2as10898kh5v5te8lj6d/-FJPG/245348-005_DET_2.jpg;https://dd3ka9h4chfr8.cloudfront.net/image/725136000567/image_3v5p66bkud30vde9emsrnul57u/-FJPG/245348-005_BCK_1.jpg;https://dd3ka9h4chfr8.cloudfront.net/image/725136000567/image_6u3ns5llnl025a5glr1srut73t/-FJPG/245348-005_DET_1.jpg;https://dd3ka9h4chfr8.cloudfront.net/image/725136000567/image_p6gb97nh3l4l5diie5ejb7es4a/-FJPG/245348-005_DET_3.jpg;https://dd3ka9h4chfr8.cloudfront.net/image/725136000567/image_pmudpghaah56v0r61dmau3nc3r/-FJPG/245348-005_OPN_1.jpg;https://dd3ka9h4chfr8.cloudfront.net/image/725136000567/image_bm4p2l5mtp36rbbrhk3lukqi0i/-FJPG/245348-005_TOP_1.jpg;https://dd3ka9h4chfr8.cloudfront.net/image/725136000567/image_0ar9uvkl0t4ij7jpmccv1dun6a/-FJPG/245348-005_DET_4.jpg;https://dd3ka9h4chfr8.cloudfront.net/image/725136000567/image_sjoarc4cd10hd1k14nbuod0m2b/-FJPG/245348-005_DET_5.jpg;https://dd3ka9h4chfr8.cloudfront.net/image/725136000567/image_3apllsiait2ardv7e54v90g53b/-FJPG/245348-005_DET_6.jpg;https://dd3ka9h4chfr8.cloudfront.net/image/725136000567/image_4tfubqg5l531bbe1higdlfm26k/-FJPG/245348-005_DET_7.jpg;https://dd3ka9h4chfr8.cloudfront.net/image/725136000567/image_jc11k1ln453vhdaqdhqcusoa58/-FJPG/245348-005_DET_9.tif;https://dd3ka9h4chfr8.cloudfront.net/image/725136000567/image_bn0lf1ubvt7rf2m5hrbeu8kn6a/-FJPG/FHMPRJ-018_SCENE-11.tif</t>
  </si>
  <si>
    <t>Aged Natural Oak Veneer</t>
  </si>
  <si>
    <t>245348-005</t>
  </si>
  <si>
    <t>203.93</t>
  </si>
  <si>
    <t>https://dd3ka9h4chfr8.cloudfront.net/image/725136000567/image_l42ashbvt10gj3bno2r92dj21h/-FJPG/245348-005_FRT_1.jpg</t>
  </si>
  <si>
    <t>["Thick Oak Veneer","Solid Oak"]</t>
  </si>
  <si>
    <t>82</t>
  </si>
  <si>
    <t>{"value":82,"unit":"in"}</t>
  </si>
  <si>
    <t>34.75</t>
  </si>
  <si>
    <t>{"value":34.75,"unit":"in"}</t>
  </si>
  <si>
    <t>Berman</t>
  </si>
  <si>
    <t>A transitional piece that works into your collection with ease. This solid oak sideboard features a light finish that highlights natural wood cracks and graining inherent to rich character woods. Grid-like patterned doors bring dimension to clean, simple shaping, while interior shelving awaits storage of serveware, table linens and more. Pieces vary; knots and cracks are common and reflect the beautifully natural character of oak.</t>
  </si>
  <si>
    <t>{"value":87.4,"unit":"in"}</t>
  </si>
  <si>
    <t>{"value":24.61,"unit":"in"}</t>
  </si>
  <si>
    <t>{"value":35.43,"unit":"in"}</t>
  </si>
  <si>
    <t>{"value":249.12,"unit":"lb"}</t>
  </si>
  <si>
    <t>16.73"</t>
  </si>
  <si>
    <t>24.65"</t>
  </si>
  <si>
    <t>39.25"</t>
  </si>
  <si>
    <t>Alessio</t>
  </si>
  <si>
    <t>6.02"</t>
  </si>
  <si>
    <t>24.49"</t>
  </si>
  <si>
    <t>0.98"</t>
  </si>
  <si>
    <t>19.27"</t>
  </si>
  <si>
    <t>Ball-and-catch</t>
  </si>
  <si>
    <t>Cabinetry-soft close</t>
  </si>
  <si>
    <t>Alexandria Accent Chair</t>
  </si>
  <si>
    <t>https://dd3ka9h4chfr8.cloudfront.net/image/725136000567/image_2c9204gm5h065f22tnuh57fm13/-FJPG/CABT-79-40_FRT_1.jpg;https://dd3ka9h4chfr8.cloudfront.net/image/725136000567/image_qu51m4lldd3mf2mihphe9de76l/-FJPG/CABT-79-40_PRM_1.jpg;https://dd3ka9h4chfr8.cloudfront.net/image/725136000567/image_5j2jbs529179jetf4qke7cn67g/-FJPG/CABT-79-40_SID_1.jpg;https://dd3ka9h4chfr8.cloudfront.net/image/725136000567/image_l01jpd3s4h5nhfckj4ha7l4m2b/-FJPG/CABT-79-40_DET_2.jpg;https://dd3ka9h4chfr8.cloudfront.net/image/725136000567/image_87bjrrg3i16q72je5q75tf8a7b/-FJPG/CABT-79-40_BCK_1.jpg;https://dd3ka9h4chfr8.cloudfront.net/image/725136000567/image_ktn2pgdh516tt9527u5ijaje7i/-FJPG/CABT-79-40_DET_1.jpg;https://dd3ka9h4chfr8.cloudfront.net/image/725136000567/image_3dpjr0gmed2ch29qku320p3j2h/-FJPG/CABT-79-40_DET_3.jpg;https://dd3ka9h4chfr8.cloudfront.net/image/725136000567/image_oh9n8i727h5nfb576oq5o79v4s/-FJPG/CABT-79-40_DET_4.jpg;https://dd3ka9h4chfr8.cloudfront.net/image/725136000567/image_c26jcv22ct3g9dt8p0kgchg472/-FJPG/CABT-79-40_DET_5.jpg;https://dd3ka9h4chfr8.cloudfront.net/image/725136000567/image_n89jm9sn69139cjdl7q4sojr19/-FJPG/CABT-79-40_DET_6.jpg;https://dd3ka9h4chfr8.cloudfront.net/image/725136000567/image_0fu05gru0t5il2ag0o1bdmnn0k/-FJPG/CABT-79-40_ROM_1.jpg</t>
  </si>
  <si>
    <t>Honey Wheat</t>
  </si>
  <si>
    <t>CABT-79-40</t>
  </si>
  <si>
    <t>25.35</t>
  </si>
  <si>
    <t>https://dd3ka9h4chfr8.cloudfront.net/image/725136000567/image_2c9204gm5h065f22tnuh57fm13/-FJPG/CABT-79-40_FRT_1.jpg</t>
  </si>
  <si>
    <t>["70% Polyester","30% Viscose (Rayon)","Solid Parawood","Cane"]</t>
  </si>
  <si>
    <t>26.75</t>
  </si>
  <si>
    <t>{"value":26.75,"unit":"in"}</t>
  </si>
  <si>
    <t>27.5</t>
  </si>
  <si>
    <t>{"value":27.5,"unit":"in"}</t>
  </si>
  <si>
    <t>30.25</t>
  </si>
  <si>
    <t>{"value":30.25,"unit":"in"}</t>
  </si>
  <si>
    <t>Burnt Birch</t>
  </si>
  <si>
    <t>Burnt Birch Cane</t>
  </si>
  <si>
    <t>Mid-century modern inspiration with a French twist. Sleek, hand-shaped birch framing is accented by textural woven rattan back.</t>
  </si>
  <si>
    <t>{"value":29.53,"unit":"in"}</t>
  </si>
  <si>
    <t>{"value":37.26,"unit":"lb"}</t>
  </si>
  <si>
    <t>27.00"</t>
  </si>
  <si>
    <t>18.00"</t>
  </si>
  <si>
    <t>50% Polyurethane Foam Pad, 25% Polyester Fiber Batting, 25% Waterfowl Feather</t>
  </si>
  <si>
    <t>Alexandria</t>
  </si>
  <si>
    <t>24.80"</t>
  </si>
  <si>
    <t>5.50"</t>
  </si>
  <si>
    <t>17.72"</t>
  </si>
  <si>
    <t>1.20"</t>
  </si>
  <si>
    <t>22.00"</t>
  </si>
  <si>
    <t>12.25"</t>
  </si>
  <si>
    <t>22.05"</t>
  </si>
  <si>
    <t>13.75"</t>
  </si>
  <si>
    <t>Knife Edge</t>
  </si>
  <si>
    <t>50% Polyester Fiber Batting</t>
  </si>
  <si>
    <t xml:space="preserve"> 50% Waterfowl Feather</t>
  </si>
  <si>
    <t>80% Polyurethane Foam, 20% Polyester Fiber</t>
  </si>
  <si>
    <t>https://dd3ka9h4chfr8.cloudfront.net/image/725136000567/image_q2i8msafi933vb39h8s0c96o00/-FJPG/CABT-79-493_FRT_1.jpg;https://dd3ka9h4chfr8.cloudfront.net/image/725136000567/image_lt5cpkjhmp0gv98g9sm07kmh3q/-FJPG/CABT-79-493_PRM_1.jpg;https://dd3ka9h4chfr8.cloudfront.net/image/725136000567/image_45s6ms8bcp1450m2fq4enbfm5k/-FJPG/CABT-79-493_SID_1.jpg;https://dd3ka9h4chfr8.cloudfront.net/image/725136000567/image_j4dq9o98th1q34f851lrp8165r/-FJPG/CABT-79-493_ESS_1.jpg;https://dd3ka9h4chfr8.cloudfront.net/image/725136000567/image_aavi9lho355gpbv56u17o4bq2p/-FJPG/CABT-79-493_DET_2.jpg;https://dd3ka9h4chfr8.cloudfront.net/image/725136000567/image_mk8h873e9152hbtsoibi9rn54o/-FJPG/CABT-79-493_BCK_1.jpg;https://dd3ka9h4chfr8.cloudfront.net/image/725136000567/image_djf5rdnunp29v22gdmflo23f2l/-FJPG/CABT-79-493_INF_1.jpg;https://dd3ka9h4chfr8.cloudfront.net/image/725136000567/image_2bakcr2ppl4i31b3854p6pme72/-FJPG/CABT-79-493_DET_1.jpg;https://dd3ka9h4chfr8.cloudfront.net/image/725136000567/image_kg1b1shpl13hjdrbqlb3f8on3u/-FJPG/CABT-79-493_DET_3.jpg;https://dd3ka9h4chfr8.cloudfront.net/image/725136000567/image_ils6eckcmp10r4pepn8n9bt165/-FJPG/CABT-79-493_DET_4.jpg;https://dd3ka9h4chfr8.cloudfront.net/image/725136000567/image_ge4cbe2e4h5ef12fva7e7ejc2n/-FJPG/CABT-79-493_DET_5.jpg;https://dd3ka9h4chfr8.cloudfront.net/image/725136000567/image_o0q6d520ep0of1l5lifj374v71/-FJPG/CABT-79-493_DET_6.jpg;https://dd3ka9h4chfr8.cloudfront.net/image/725136000567/image_igdalod5dh5q1d0ol707h49a62/-FJPG/CABT-79-493_DET_7.jpg</t>
  </si>
  <si>
    <t>Knoll Natural</t>
  </si>
  <si>
    <t>CABT-79-493</t>
  </si>
  <si>
    <t>https://dd3ka9h4chfr8.cloudfront.net/image/725136000567/image_q2i8msafi933vb39h8s0c96o00/-FJPG/CABT-79-493_FRT_1.jpg</t>
  </si>
  <si>
    <t>["95% Polyester","5% Acrylic","Solid Parawood","Cane"]</t>
  </si>
  <si>
    <t>28</t>
  </si>
  <si>
    <t>{"value":28,"unit":"in"}</t>
  </si>
  <si>
    <t>Distressed Natural</t>
  </si>
  <si>
    <t>Distressed Natural Cane</t>
  </si>
  <si>
    <t>Mid-century modern inspiration with a French twist. Sleek, hand-shaped parawood framing is accented by a textural woven rattan back.</t>
  </si>
  <si>
    <t>{"value":29.33,"unit":"in"}</t>
  </si>
  <si>
    <t>{"value":33.07,"unit":"in"}</t>
  </si>
  <si>
    <t>{"value":39.68,"unit":"lb"}</t>
  </si>
  <si>
    <t>Alfie Dining Table</t>
  </si>
  <si>
    <t>https://dd3ka9h4chfr8.cloudfront.net/image/725136000567/image_hsv4usvrph0jbbsi1dg2qj3334/-FJPG/229886-003_FRT_1.jpg;https://dd3ka9h4chfr8.cloudfront.net/image/725136000567/image_5m8nj4ifop0p72crhf4f3qcu0j/-FJPG/229886-003_PRM_1.jpg;https://dd3ka9h4chfr8.cloudfront.net/image/725136000567/image_ve908m2su132508o1ud2fq483v/-FJPG/229886-003_SID_1.jpg;https://dd3ka9h4chfr8.cloudfront.net/image/725136000567/image_j2abvt7ft90olfhi6lj5453961/-FJPG/229886-003_ESS.tif;https://dd3ka9h4chfr8.cloudfront.net/image/725136000567/image_dmh8h7vtgl2i94tjufsnp8sm1k/-FJPG/229886-003_DET_2.jpg;https://dd3ka9h4chfr8.cloudfront.net/image/725136000567/image_lqa3gt3vnt3f95cm8ge8m7q613/-FJPG/229886-003_DET_1.jpg;https://dd3ka9h4chfr8.cloudfront.net/image/725136000567/image_9fu2rsb9613ft17nf5rdobdl5h/-FJPG/229886-003_DET_3.jpg;https://dd3ka9h4chfr8.cloudfront.net/image/725136000567/image_2au4ncdial4fh1l2hs43pr4430/-FJPG/229886-003_DET_4.jpg;https://dd3ka9h4chfr8.cloudfront.net/image/725136000567/image_hc4qousfad2o58le48kjai3q58/-FJPG/229886-003_DET_5.jpg;https://dd3ka9h4chfr8.cloudfront.net/image/725136000567/image_nmp46rm4nl6i128e58ionqss2g/-FJPG/229886-003_DET_6.jpg</t>
  </si>
  <si>
    <t>Black Pine</t>
  </si>
  <si>
    <t>110.25</t>
  </si>
  <si>
    <t>229886-003</t>
  </si>
  <si>
    <t>https://dd3ka9h4chfr8.cloudfront.net/image/725136000567/image_hsv4usvrph0jbbsi1dg2qj3334/-FJPG/229886-003_FRT_1.jpg</t>
  </si>
  <si>
    <t>["Solid Pine"]</t>
  </si>
  <si>
    <t>{"value":110.25,"unit":"in"}</t>
  </si>
  <si>
    <t>Collins</t>
  </si>
  <si>
    <t>Made from solid pine that's been weathered for a distressed, farmhouse-style look then finished in a classic black. Simple tapered legs support an oval top with a stretcher and apron for a beautifully traditional look.</t>
  </si>
  <si>
    <t>Onetop</t>
  </si>
  <si>
    <t>{"value":113.98,"unit":"in"}</t>
  </si>
  <si>
    <t>{"value":39.17,"unit":"in"}</t>
  </si>
  <si>
    <t>{"value":8.27,"unit":"in"}</t>
  </si>
  <si>
    <t>{"value":145.51,"unit":"lb"}</t>
  </si>
  <si>
    <t>Onebase</t>
  </si>
  <si>
    <t>{"value":33.46,"unit":"in"}</t>
  </si>
  <si>
    <t>{"value":38.58,"unit":"lb"}</t>
  </si>
  <si>
    <t>Mortise and Tenon</t>
  </si>
  <si>
    <t>Oval</t>
  </si>
  <si>
    <t>["Oval"]</t>
  </si>
  <si>
    <t>Alfie</t>
  </si>
  <si>
    <t>5.63"</t>
  </si>
  <si>
    <t>25.59"</t>
  </si>
  <si>
    <t>82.68"</t>
  </si>
  <si>
    <t>29.53"</t>
  </si>
  <si>
    <t>28.54"</t>
  </si>
  <si>
    <t>86.61"</t>
  </si>
  <si>
    <t>1.38"</t>
  </si>
  <si>
    <t>3.54"</t>
  </si>
  <si>
    <t>Trestle</t>
  </si>
  <si>
    <t>https://dd3ka9h4chfr8.cloudfront.net/image/725136000567/image_f6aeceebhd6u9a7fg873s4ja54/-FJPG/229887-002_FRT_1.jpg;https://dd3ka9h4chfr8.cloudfront.net/image/725136000567/image_lvaoc8m11d3e1c37tbm6tr7p51/-FJPG/229887-002_PRM_1.jpg;https://dd3ka9h4chfr8.cloudfront.net/image/725136000567/image_8i6frl9eh54tr6d4q1gbld7163/-FJPG/229887-002_SID_1.jpg;https://dd3ka9h4chfr8.cloudfront.net/image/725136000567/image_i4ab9k4v1h6c96r7hblm004k4b/-FJPG/229887-002_DET_2.jpg;https://dd3ka9h4chfr8.cloudfront.net/image/725136000567/image_8iimfqon4t1et5madhdovilf4q/-FJPG/229887-002_DET_1.jpg;https://dd3ka9h4chfr8.cloudfront.net/image/725136000567/image_o5tqhkpdlt681dcjbqe312aj65/-FJPG/229887-002_DET_3.jpg;https://dd3ka9h4chfr8.cloudfront.net/image/725136000567/image_2eirj1kdvd28neq1n6hnrsmp29/-FJPG/229887-002_DET_4.jpg;https://dd3ka9h4chfr8.cloudfront.net/image/725136000567/image_3ovb2suqe56518ul114qbcfj1k/-FJPG/229887-002_DET_5.jpg;https://dd3ka9h4chfr8.cloudfront.net/image/725136000567/image_atb77pq1hl48h2ak3ev0cffv7p/-FJPG/229887-002_DET_6.jpg</t>
  </si>
  <si>
    <t>86.5</t>
  </si>
  <si>
    <t>229887-002</t>
  </si>
  <si>
    <t>109.13</t>
  </si>
  <si>
    <t>https://dd3ka9h4chfr8.cloudfront.net/image/725136000567/image_f6aeceebhd6u9a7fg873s4ja54/-FJPG/229887-002_FRT_1.jpg</t>
  </si>
  <si>
    <t>{"value":86.5,"unit":"in"}</t>
  </si>
  <si>
    <t>{"value":90.94,"unit":"in"}</t>
  </si>
  <si>
    <t>{"value":110.23,"unit":"lb"}</t>
  </si>
  <si>
    <t>5.71"</t>
  </si>
  <si>
    <t>59.06"</t>
  </si>
  <si>
    <t>62.99"</t>
  </si>
  <si>
    <t>https://dd3ka9h4chfr8.cloudfront.net/image/725136000567/image_fsqs9tr6hl3cb7h4tndjoa2f1t/-FJPG/229886-001_FRT_1.jpg;https://dd3ka9h4chfr8.cloudfront.net/image/725136000567/image_kbhqp282u13tjdis8lt2tnqh5j/-FJPG/229886-001_PRM_1.jpg;https://dd3ka9h4chfr8.cloudfront.net/image/725136000567/image_dkqtm62a4143f23m7ahpkqn37l/-FJPG/229886-001_SID_1.jpg;https://dd3ka9h4chfr8.cloudfront.net/image/725136000567/image_s19ku43kqp5g550fs01tint578/-FJPG/229886-001_DET_2.jpg;https://dd3ka9h4chfr8.cloudfront.net/image/725136000567/image_jco90aapd96ehcl6pfskhu8v7k/-FJPG/229886-001_DET_1.jpg;https://dd3ka9h4chfr8.cloudfront.net/image/725136000567/image_n9rqis7u7t0r59ua2fa82hr06r/-FJPG/229886-001_DET_3.jpg;https://dd3ka9h4chfr8.cloudfront.net/image/725136000567/image_lli03or9qd6nl96qhagoudql0l/-FJPG/229886-001_DET_4.jpg;https://dd3ka9h4chfr8.cloudfront.net/image/725136000567/image_4vl6vhpe6t0r7a632mvk5qe90s/-FJPG/229886-001_DET_5.jpg;https://dd3ka9h4chfr8.cloudfront.net/image/725136000567/image_s3hpupmuu57ep348qgtntsgp4a/-FJPG/229886-001_DET_6.jpg;https://dd3ka9h4chfr8.cloudfront.net/image/725136000567/image_7splh8o7pd441ekm13dt3p1o7c/-FJPG/229886-001_ROM_1.jpg</t>
  </si>
  <si>
    <t>Waxed Pine</t>
  </si>
  <si>
    <t>229886-001</t>
  </si>
  <si>
    <t>https://dd3ka9h4chfr8.cloudfront.net/image/725136000567/image_fsqs9tr6hl3cb7h4tndjoa2f1t/-FJPG/229886-001_FRT_1.jpg</t>
  </si>
  <si>
    <t>Honey Pine</t>
  </si>
  <si>
    <t>Made from solid pine that's been weathered for a distressed, farmhouse-style look then finished in a warm honey. Simple tapered legs support an oval top with a stretcher and apron for a beautifully traditional look. Seats 10 comfortably.</t>
  </si>
  <si>
    <t>https://dd3ka9h4chfr8.cloudfront.net/image/725136000567/image_a0059t9kv50o551hbkuhef1v4j/-FJPG/229887-001_FRT_1.jpg;https://dd3ka9h4chfr8.cloudfront.net/image/725136000567/image_c9457pj4vd3fd1sa5nk0o0u412/-FJPG/229887-001_PRM_1.jpg;https://dd3ka9h4chfr8.cloudfront.net/image/725136000567/image_9g6mp0dh017cb6roa2cjj5tf6c/-FJPG/229887-001_SID_1.jpg;https://dd3ka9h4chfr8.cloudfront.net/image/725136000567/image_btk6j9m8l13bbe06mf046alj5n/-FJPG/229887-001_ESS_1.jpg;https://dd3ka9h4chfr8.cloudfront.net/image/725136000567/image_rtlnb3ci250fv4h7t24gne5o65/-FJPG/229887-001_DET_2.jpg;https://dd3ka9h4chfr8.cloudfront.net/image/725136000567/image_blovh9ibit69v37jfd5t4d0u5b/-FJPG/229887-001_DET_1.jpg;https://dd3ka9h4chfr8.cloudfront.net/image/725136000567/image_k89vanlq114gdacrb91s6tiu2f/-FJPG/229887-001_DET_3.jpg;https://dd3ka9h4chfr8.cloudfront.net/image/725136000567/image_h9dphdd7n96ld9n9c8qvorg84f/-FJPG/229887-001_DET_4.jpg;https://dd3ka9h4chfr8.cloudfront.net/image/725136000567/image_rob4kphlj53eh7p9c03n8inb7n/-FJPG/229887-001_DET_5.jpg;https://dd3ka9h4chfr8.cloudfront.net/image/725136000567/image_bhsg5qh499713apjr7r15lcg5p/-FJPG/229887-001_DET_6.jpg</t>
  </si>
  <si>
    <t>229887-001</t>
  </si>
  <si>
    <t>https://dd3ka9h4chfr8.cloudfront.net/image/725136000567/image_a0059t9kv50o551hbkuhef1v4j/-FJPG/229887-001_FRT_1.jpg</t>
  </si>
  <si>
    <t>Made from solid pine that's been weathered for a distressed, farmhouse-style look then finished in a warm honey. Simple tapered legs support an oval top with a stretcher and apron for a beautifully traditional look. Seats 8 comfortably.</t>
  </si>
  <si>
    <t>Aliza End Table</t>
  </si>
  <si>
    <t>https://dd3ka9h4chfr8.cloudfront.net/image/725136000567/image_bpe8ijc8cd22relve2801pnq51/-FJPG/100093-002_PRM_1.jpg;https://dd3ka9h4chfr8.cloudfront.net/image/725136000567/image_l3trl7ke7h4hr1vqnfbg11h90a/-FJPG/100093-002_ESS.jpg;https://dd3ka9h4chfr8.cloudfront.net/image/725136000567/image_h77huoaknp38jcj7ggrdjvm41k/-FJPG/Color Variance Card_Pagoda.jpg;https://dd3ka9h4chfr8.cloudfront.net/image/725136000567/image_r1h99og3r91av7ei255vlspe7t/-FJPG/100093-002_DET_1.jpg;https://dd3ka9h4chfr8.cloudfront.net/image/725136000567/image_6jug6980ah3ofd6qr7750efe6k/-FJPG/100093-002_DET_3.jpg;https://dd3ka9h4chfr8.cloudfront.net/image/725136000567/image_rqv51ivar93qffiprdngoal50k/-FJPG/100093-002_DET_4.jpg;https://dd3ka9h4chfr8.cloudfront.net/image/725136000567/image_9hmd5a8d7h0hf6e2hm6gcedf1a/-FJPG/100093-002_DET_5.jpg;https://dd3ka9h4chfr8.cloudfront.net/image/725136000567/image_mvvrlgfipt3u58hui9q2mhaf1e/-FJPG/100093-002_ROM_1.jpg;https://dd3ka9h4chfr8.cloudfront.net/image/725136000567/image_04k6am5a297d77452olcnh7v7v/-FJPG/100093-002_VIG_1.jpg</t>
  </si>
  <si>
    <t>100093-002</t>
  </si>
  <si>
    <t>37.48</t>
  </si>
  <si>
    <t>https://dd3ka9h4chfr8.cloudfront.net/image/725136000567/image_bpe8ijc8cd22relve2801pnq51/-FJPG/100093-002_PRM_1.jpg</t>
  </si>
  <si>
    <t>15.5</t>
  </si>
  <si>
    <t>{"value":15.5,"unit":"in"}</t>
  </si>
  <si>
    <t>17</t>
  </si>
  <si>
    <t>{"value":17,"unit":"in"}</t>
  </si>
  <si>
    <t>Side &amp; End Tables</t>
  </si>
  <si>
    <t>Solid black-finished pine sculpts an hourglass silhouette for an organic look with shapely allure. Makes for a handy extra surface solo or paired. Due to materials' natural essence, cracks are to be expected and may develop over time. Knots, color variance and stain will vary from piece to piece - no two are alike.</t>
  </si>
  <si>
    <t>{"value":22.44,"unit":"in"}</t>
  </si>
  <si>
    <t>Round</t>
  </si>
  <si>
    <t>["Round"]</t>
  </si>
  <si>
    <t>Aliza</t>
  </si>
  <si>
    <t>15.50"</t>
  </si>
  <si>
    <t>17.00"</t>
  </si>
  <si>
    <t>https://dd3ka9h4chfr8.cloudfront.net/image/725136000567/image_vdktbe3rct0fv0jg7n8688sb5a/-FJPG/CBSH-024_PRM_1.jpg;https://dd3ka9h4chfr8.cloudfront.net/image/725136000567/image_dnsbc0trhl2s37vfg64ve1eq5b/-FJPG/CBSH-024_DET_2.jpg;https://dd3ka9h4chfr8.cloudfront.net/image/725136000567/image_mq4bcuipop7pn7va4e3ricqu09/-FJPG/CBSH-024_DET_1.jpg;https://dd3ka9h4chfr8.cloudfront.net/image/725136000567/image_tur2iq8fgd09tdvkj7pj98oj4l/-FJPG/CBSH-024_DET_3.jpg;https://dd3ka9h4chfr8.cloudfront.net/image/725136000567/image_ho44r20m1l79f8q124lkcnf07a/-FJPG/CBSH-024_TOP_1.jpg;https://dd3ka9h4chfr8.cloudfront.net/image/725136000567/image_0c77bku0op6lfaqo95mf6p4m1m/-FJPG/CBSH-024_DET_4.jpg;https://dd3ka9h4chfr8.cloudfront.net/image/725136000567/image_4pulr4rslt2b5a11b1911kas5u/-FJPG/CBSH-024_DET_5.jpg;https://dd3ka9h4chfr8.cloudfront.net/image/725136000567/image_ptl8cdvqnt52t56fliao8egm00/-FJPG/CBSH-024_DET_9.jpg;https://dd3ka9h4chfr8.cloudfront.net/image/725136000567/image_83bc1cusd91f50u8i5v5d2e87q/-FJPG/CBSH-024_ROM_1.jpg;https://dd3ka9h4chfr8.cloudfront.net/image/725136000567/image_gkqgmfgtj50b37i66mod3shr5u/-FJPG/CBSH-024_ROM_2.jpg;https://dd3ka9h4chfr8.cloudfront.net/image/725136000567/image_i2ae77cjq161b0sf2mbcm1iu7s/-FJPG/CBSH-024_VIG_1.jpg</t>
  </si>
  <si>
    <t>Natural Pine</t>
  </si>
  <si>
    <t>CBSH-024</t>
  </si>
  <si>
    <t>https://dd3ka9h4chfr8.cloudfront.net/image/725136000567/image_vdktbe3rct0fv0jg7n8688sb5a/-FJPG/CBSH-024_PRM_1.jpg</t>
  </si>
  <si>
    <t>Solid natural pine fashions into an hourglass silhouette for an organic look with shapely allure. Makes for a handy extra surface solo or paired. Due to materials' natural essence, cracks are to be expected and may develop over time. Knots, color variance and blue stain will vary from piece to piece - no two are alike.</t>
  </si>
  <si>
    <t>Amelia Oval Nightstand</t>
  </si>
  <si>
    <t>https://dd3ka9h4chfr8.cloudfront.net/image/725136000567/image_sjvf5l6fat4v5cssuhtodfpj3h/-FJPG/245941-002_FRT_1.jpg;https://dd3ka9h4chfr8.cloudfront.net/image/725136000567/image_7pm6c4jmr55plchr3kck21hh4g/-FJPG/245941-002_PRM_1.jpg;https://dd3ka9h4chfr8.cloudfront.net/image/725136000567/image_9dcuuen7id4kncuksc14r5293r/-FJPG/245941-002_SID_1.jpg;https://dd3ka9h4chfr8.cloudfront.net/image/725136000567/image_74vh8m60qt09j3spqb8aleod56/-FJPG/245941-002_DET_2.jpg;https://dd3ka9h4chfr8.cloudfront.net/image/725136000567/image_8hl3ar6s4p6559s1h9h61a237m/-FJPG/245941-002_BCK_1.jpg;https://dd3ka9h4chfr8.cloudfront.net/image/725136000567/image_7ge8rdh1f11a5cf17irtf0482n/-FJPG/245941-002_DET_1.jpg;https://dd3ka9h4chfr8.cloudfront.net/image/725136000567/image_t5b61cvi4d641c561njmr6ap6q/-FJPG/245941-002_DET_3.jpg;https://dd3ka9h4chfr8.cloudfront.net/image/725136000567/image_a84jdekt3t4kpafvc73uv3ui41/-FJPG/245941-002_OPN_1.jpg;https://dd3ka9h4chfr8.cloudfront.net/image/725136000567/image_0v974ugli556h2mdhn7fgjv40a/-FJPG/245941-002_DET_4.jpg;https://dd3ka9h4chfr8.cloudfront.net/image/725136000567/image_e1jvkcnj1l34f39or0birett4i/-FJPG/245941-002_DET_5.jpg</t>
  </si>
  <si>
    <t>Black Linen</t>
  </si>
  <si>
    <t>245941-002</t>
  </si>
  <si>
    <t>87.08</t>
  </si>
  <si>
    <t>ID</t>
  </si>
  <si>
    <t>https://dd3ka9h4chfr8.cloudfront.net/image/725136000567/image_sjvf5l6fat4v5cssuhtodfpj3h/-FJPG/245941-002_FRT_1.jpg</t>
  </si>
  <si>
    <t>["Painted Linen"]</t>
  </si>
  <si>
    <t>26</t>
  </si>
  <si>
    <t>{"value":26,"unit":"in"}</t>
  </si>
  <si>
    <t>24</t>
  </si>
  <si>
    <t>{"value":24,"unit":"in"}</t>
  </si>
  <si>
    <t>Callahan</t>
  </si>
  <si>
    <t>Uniquely made from black-painted linen, a beautifully curved nightstand shapes four drawers for generous bedside storage.</t>
  </si>
  <si>
    <t>Indonesia</t>
  </si>
  <si>
    <t>{"value":31.3,"unit":"in"}</t>
  </si>
  <si>
    <t>{"value":31.89,"unit":"in"}</t>
  </si>
  <si>
    <t>{"value":112.21,"unit":"lb"}</t>
  </si>
  <si>
    <t>Metal</t>
  </si>
  <si>
    <t>Bore and Dowel</t>
  </si>
  <si>
    <t>Amelia</t>
  </si>
  <si>
    <t>1.00"</t>
  </si>
  <si>
    <t>14.34"</t>
  </si>
  <si>
    <t>French Dovetail</t>
  </si>
  <si>
    <t>https://dd3ka9h4chfr8.cloudfront.net/image/725136000567/image_56ip9pfba55ov8bvs43b3mce4q/-FJPG/245941-001_FRT_1.jpg;https://dd3ka9h4chfr8.cloudfront.net/image/725136000567/image_u2dvrmj2hd7k1d9ksti9t02v0s/-FJPG/245941-001_PRM_1.jpg;https://dd3ka9h4chfr8.cloudfront.net/image/725136000567/image_71tdbq15ul4rhat5tn1ee9lc0e/-FJPG/245941-001_SID_1.jpg;https://dd3ka9h4chfr8.cloudfront.net/image/725136000567/image_uce2c2ivh166l2kphsgtjtbs3f/-FJPG/245941-001_ESS.tif;https://dd3ka9h4chfr8.cloudfront.net/image/725136000567/image_vio8fcdimd0qd1khuhcovvsc3j/-FJPG/245941-001_DET_2.jpg;https://dd3ka9h4chfr8.cloudfront.net/image/725136000567/image_78is43j4ph22r0r7cc6lem575c/-FJPG/245941-001_BCK_1.jpg;https://dd3ka9h4chfr8.cloudfront.net/image/725136000567/image_5tp2aej81h1k7e7iieibphfd5h/-FJPG/245941-001_DET_1.jpg;https://dd3ka9h4chfr8.cloudfront.net/image/725136000567/image_ee3088mmel0lrdm2p8ua0uc93j/-FJPG/245941-001_DET_3.jpg;https://dd3ka9h4chfr8.cloudfront.net/image/725136000567/image_17ir6ok4t17g9fk5kio9b0ns5g/-FJPG/245941-001_OPN_1.jpg;https://dd3ka9h4chfr8.cloudfront.net/image/725136000567/image_uipj4q8akd4gn68i9oru3aqi2d/-FJPG/245941-001_TOP_1.jpg;https://dd3ka9h4chfr8.cloudfront.net/image/725136000567/image_qv8pb4trul7jfdgtqq2t0s6658/-FJPG/245941-001_DET_4.jpg;https://dd3ka9h4chfr8.cloudfront.net/image/725136000567/image_ap4hklk58137bcmd1gav5bfh16/-FJPG/245941-001_DET_5.jpg;https://dd3ka9h4chfr8.cloudfront.net/image/725136000567/image_i62p3vm1ld76d0blvbqcj13o64/-FJPG/245941-001_DET_6.jpg;https://dd3ka9h4chfr8.cloudfront.net/image/725136000567/image_ec4oum1nf548vb4a7r5r3fne4b/-FJPG/245941-001_DET_7.jpg;https://dd3ka9h4chfr8.cloudfront.net/image/725136000567/image_rb4j0vo6n11q11mf1p01uupq48/-FJPG/FHMPRJ-018_SCENE-9.tif</t>
  </si>
  <si>
    <t>Ivory Painted Linen</t>
  </si>
  <si>
    <t>245941-001</t>
  </si>
  <si>
    <t>https://dd3ka9h4chfr8.cloudfront.net/image/725136000567/image_56ip9pfba55ov8bvs43b3mce4q/-FJPG/245941-001_FRT_1.jpg</t>
  </si>
  <si>
    <t>Uniquely made from ivory-painted linen, a beautifully curved nightstand shapes four drawers for generous bedside storage.</t>
  </si>
  <si>
    <t>Amelie Chair</t>
  </si>
  <si>
    <t>https://dd3ka9h4chfr8.cloudfront.net/image/725136000567/image_pbfdh3en697l730mamak38o96e/-FJPG/247168-002_FRT_1.JPG;https://dd3ka9h4chfr8.cloudfront.net/image/725136000567/image_9besc7sec949t920f4dooqg039/-FJPG/247168-002_PRM_1.JPG;https://dd3ka9h4chfr8.cloudfront.net/image/725136000567/image_72tu37gj4t6nt57g8e45c5i97c/-FJPG/247168-002_SID_1.JPG;https://dd3ka9h4chfr8.cloudfront.net/image/725136000567/image_sqhuauf5s91glebhk5l3u1162t/-FJPG/247168-002_ESS.tif;https://dd3ka9h4chfr8.cloudfront.net/image/725136000567/image_jtq1n6ega90h3bc3ur8bio4450/-FJPG/247168-002_ESS.tif;https://dd3ka9h4chfr8.cloudfront.net/image/725136000567/image_t7i6ve1cut1k7doh8qpj0po554/-FJPG/247168-002_DET_2.JPG;https://dd3ka9h4chfr8.cloudfront.net/image/725136000567/image_1j4tl8vfmp2plaqi96sdk6qq26/-FJPG/247168-002_BCK_1.JPG;https://dd3ka9h4chfr8.cloudfront.net/image/725136000567/image_ar560vc4bl07rf32uvhs35e11i/-FJPG/247168-002_DET_1.JPG;https://dd3ka9h4chfr8.cloudfront.net/image/725136000567/image_kpe0ht5col6cratolef0763u2e/-FJPG/247168-002_DET_3.JPG;https://dd3ka9h4chfr8.cloudfront.net/image/725136000567/image_mtkdnpop7h31fe6g95nq78av28/-FJPG/247168-002_DET_4.JPG;https://dd3ka9h4chfr8.cloudfront.net/image/725136000567/image_prfk0m65gl6r987oo7foj4kk30/-FJPG/247168-002_DET_5.JPG;https://dd3ka9h4chfr8.cloudfront.net/image/725136000567/image_ri7bf4n5b9319340ob50if191b/-FJPG/247168-002_DET_6.JPG;https://dd3ka9h4chfr8.cloudfront.net/image/725136000567/image_dp12on2sh51o9fnr24sck8im3l/-FJPG/247168-002_DET_9.tif</t>
  </si>
  <si>
    <t>Beige Shearling</t>
  </si>
  <si>
    <t>247168-002</t>
  </si>
  <si>
    <t>68.34</t>
  </si>
  <si>
    <t>https://dd3ka9h4chfr8.cloudfront.net/image/725136000567/image_pbfdh3en697l730mamak38o96e/-FJPG/247168-002_FRT_1.JPG</t>
  </si>
  <si>
    <t>["Shearling"]</t>
  </si>
  <si>
    <t>33.75</t>
  </si>
  <si>
    <t>{"value":33.75,"unit":"in"}</t>
  </si>
  <si>
    <t>38.5</t>
  </si>
  <si>
    <t>{"value":38.5,"unit":"in"}</t>
  </si>
  <si>
    <t>Relax into the curved arms and subtle wingback shape of this classic reading chair. Upholstered in an ethically sourced, natural beige shearling for extra comfort and texture. Crafted with S-spring suspension, a loose cushion and hidden legs beneath.</t>
  </si>
  <si>
    <t>Complete Item,L Shape Box</t>
  </si>
  <si>
    <t>{"value":33.86,"unit":"in"}</t>
  </si>
  <si>
    <t>Amelie</t>
  </si>
  <si>
    <t>24.00"</t>
  </si>
  <si>
    <t>25.50"</t>
  </si>
  <si>
    <t>16.00"</t>
  </si>
  <si>
    <t>21.75"</t>
  </si>
  <si>
    <t>No swivel</t>
  </si>
  <si>
    <t>Aniston Chaise</t>
  </si>
  <si>
    <t>https://dd3ka9h4chfr8.cloudfront.net/image/725136000567/image_9hoqj9ii9t7opa0drl8dov3d4q/-FJPG/243056-001_FRT_1.jpg;https://dd3ka9h4chfr8.cloudfront.net/image/725136000567/image_vemgu7c7ep0075b0scdgk63j2a/-FJPG/243056-001_PRM_1.jpg;https://dd3ka9h4chfr8.cloudfront.net/image/725136000567/image_8fb72ksgrh7jnbqch6cn1an35j/-FJPG/243056-001_SID_1.jpg;https://dd3ka9h4chfr8.cloudfront.net/image/725136000567/image_j9eqp1tbe973r8kjb8qb8htv2i/-FJPG/243056-001_ESS.tif;https://dd3ka9h4chfr8.cloudfront.net/image/725136000567/image_afatgb8udl00dc55gi7emog31e/-FJPG/243056-001_DET_2.jpg;https://dd3ka9h4chfr8.cloudfront.net/image/725136000567/image_se1krbps1d1532bqadl3refj4t/-FJPG/243056-001_BCK_1.jpg;https://dd3ka9h4chfr8.cloudfront.net/image/725136000567/image_ionpgmgqu56e33jbcnv7gr1t2v/-FJPG/243056-001_DET_1.jpg;https://dd3ka9h4chfr8.cloudfront.net/image/725136000567/image_dftgicejfp08h0124e5s6q165o/-FJPG/243056-001_DET_3.jpg;https://dd3ka9h4chfr8.cloudfront.net/image/725136000567/image_8uu6elpui13ct9otouea5mqq7m/-FJPG/243056-001_DET_4.jpg;https://dd3ka9h4chfr8.cloudfront.net/image/725136000567/image_sv33viuve94un6oa1mkr23ht24/-FJPG/243056-001_DET_5.jpg;https://dd3ka9h4chfr8.cloudfront.net/image/725136000567/image_0ge4bt9125629cpm7142v41v3h/-FJPG/243056-001_DET_6.jpg</t>
  </si>
  <si>
    <t>Andes Natural</t>
  </si>
  <si>
    <t>243056-001</t>
  </si>
  <si>
    <t>72.75</t>
  </si>
  <si>
    <t>https://dd3ka9h4chfr8.cloudfront.net/image/725136000567/image_9hoqj9ii9t7opa0drl8dov3d4q/-FJPG/243056-001_FRT_1.jpg</t>
  </si>
  <si>
    <t>33.5</t>
  </si>
  <si>
    <t>{"value":33.5,"unit":"in"}</t>
  </si>
  <si>
    <t>65</t>
  </si>
  <si>
    <t>{"value":65,"unit":"in"}</t>
  </si>
  <si>
    <t>Chaises</t>
  </si>
  <si>
    <t>This versatile accent chair is upholstered in a faux Mongolian shearling with a textural high pile. A contrasting, chunky parawood frame hugs the seat and is wire-brushed for a warm, vintage feel.</t>
  </si>
  <si>
    <t>Complete Item, L Shape Box: H1=820mm, H2=530mm.</t>
  </si>
  <si>
    <t>{"value":34.65,"unit":"in"}</t>
  </si>
  <si>
    <t>{"value":66.93,"unit":"in"}</t>
  </si>
  <si>
    <t>{"value":94.8,"unit":"lb"}</t>
  </si>
  <si>
    <t>50.00"</t>
  </si>
  <si>
    <t>Aniston</t>
  </si>
  <si>
    <t>24.25"</t>
  </si>
  <si>
    <t>5.75"</t>
  </si>
  <si>
    <t>3.00"</t>
  </si>
  <si>
    <t>20.50"</t>
  </si>
  <si>
    <t>13.50"</t>
  </si>
  <si>
    <t>90% Polyurethane Foam Pad, 10% Polyester Fiber Batting</t>
  </si>
  <si>
    <t>30.50"</t>
  </si>
  <si>
    <t>Aniston Ottoman</t>
  </si>
  <si>
    <t>https://dd3ka9h4chfr8.cloudfront.net/image/725136000567/image_2u482hd2r93c7f3s2l26elv676/-FJPG/230810-002_FRT_1.jpg;https://dd3ka9h4chfr8.cloudfront.net/image/725136000567/image_dmi20prrsl4b3calqdcekbo314/-FJPG/230810-002_PRM_1.jpg;https://dd3ka9h4chfr8.cloudfront.net/image/725136000567/image_4bjujjg1ud5e1d49edo9lec80o/-FJPG/230810-002_SID_1.jpg;https://dd3ka9h4chfr8.cloudfront.net/image/725136000567/image_80p0l1pdbd20t1251k8dnf0h64/-FJPG/230810-002_ESS_1.jpg;https://dd3ka9h4chfr8.cloudfront.net/image/725136000567/image_pqh3dt0o455s756a9em08dsa7l/-FJPG/230810-002_DET_2.jpg;https://dd3ka9h4chfr8.cloudfront.net/image/725136000567/image_tg3u664khp0rrc0i9a37ittl7a/-FJPG/230810-002_DET_3.jpg;https://dd3ka9h4chfr8.cloudfront.net/image/725136000567/image_iebufeijl90brd6upihvccb37j/-FJPG/230810-002_DET_4.jpg</t>
  </si>
  <si>
    <t>230810-002</t>
  </si>
  <si>
    <t>17.64</t>
  </si>
  <si>
    <t>https://dd3ka9h4chfr8.cloudfront.net/image/725136000567/image_2u482hd2r93c7f3s2l26elv676/-FJPG/230810-002_FRT_1.jpg</t>
  </si>
  <si>
    <t>22.5</t>
  </si>
  <si>
    <t>{"value":22.5,"unit":"in"}</t>
  </si>
  <si>
    <t>20.5</t>
  </si>
  <si>
    <t>{"value":20.5,"unit":"in"}</t>
  </si>
  <si>
    <t>Place this round ottoman just about anywhere for a subtle retro vibe. Upholstered in a faux Mongolian shearling with a high pile fur. Parawood legs are wirebrushed for a warm, vintage feel.</t>
  </si>
  <si>
    <t>{"value":16.14,"unit":"in"}</t>
  </si>
  <si>
    <t>{"value":22.71,"unit":"lb"}</t>
  </si>
  <si>
    <t>22.50"</t>
  </si>
  <si>
    <t>9.25"</t>
  </si>
  <si>
    <t>90% Polyurethane Foam, 10% Polyester Fiber</t>
  </si>
  <si>
    <t>https://dd3ka9h4chfr8.cloudfront.net/image/725136000567/image_eoshm85m1p6adfonhg4g1bae3d/-FJPG/230810-004_FRT_1.JPG;https://dd3ka9h4chfr8.cloudfront.net/image/725136000567/image_lmcvjsb7rt0rr0v7f24tu2ad1s/-FJPG/230810-004_PRM_1.JPG;https://dd3ka9h4chfr8.cloudfront.net/image/725136000567/image_qh4jcarcq151vd7i8u6vop2g3u/-FJPG/230810-004_SID_1.JPG;https://dd3ka9h4chfr8.cloudfront.net/image/725136000567/image_1b675l7jph57j000mgikir867j/-FJPG/230810-004_ESS.tif;https://dd3ka9h4chfr8.cloudfront.net/image/725136000567/image_umto8dac2l5sp0ff6e0139776m/-FJPG/230810-004_DET_2.JPG;https://dd3ka9h4chfr8.cloudfront.net/image/725136000567/image_4g8uvgghm94j14i51m91334u26/-FJPG/230810-004_DET_1.jpg;https://dd3ka9h4chfr8.cloudfront.net/image/725136000567/image_o8aovain513dj2spiuok8m2d3b/-FJPG/FHMPRJ-007_SCENE_26_V1-NO-DOG.tif;https://dd3ka9h4chfr8.cloudfront.net/image/725136000567/image_sdvgoe600d4v199opegqf4nd3t/-FJPG/FHMPRJ-007_SCENE_26_V2-DOG.tif</t>
  </si>
  <si>
    <t>Andes Toast</t>
  </si>
  <si>
    <t>230810-004</t>
  </si>
  <si>
    <t>https://dd3ka9h4chfr8.cloudfront.net/image/725136000567/image_eoshm85m1p6adfonhg4g1bae3d/-FJPG/230810-004_FRT_1.JPG</t>
  </si>
  <si>
    <t>Place this round ottoman just about anywhere. Upholstered in a faux Mongolian shearling with a high pile fur in a toasty tan neutral hue. Burnt birch parawood legs add a touch of contrast.</t>
  </si>
  <si>
    <t>https://dd3ka9h4chfr8.cloudfront.net/image/725136000567/image_f71u5jsg7l6lf5lll48fhq8o3c/-FJPG/230810-006_FRT_1.jpg;https://dd3ka9h4chfr8.cloudfront.net/image/725136000567/image_bdlulapnip61b6tia9uceqr17f/-FJPG/230810-006_PRM_1.jpg;https://dd3ka9h4chfr8.cloudfront.net/image/725136000567/image_7dg82nhi490m5e8jhb1vjl5u1u/-FJPG/230810-006_SID_1.jpg;https://dd3ka9h4chfr8.cloudfront.net/image/725136000567/image_kencq2i0td7sp6l8j7gdoo9266/-FJPG/230810-006_ESS.tif;https://dd3ka9h4chfr8.cloudfront.net/image/725136000567/image_mrr7p3t2qt70jfap0uiochr15g/-FJPG/230810-006_DET_2.jpg;https://dd3ka9h4chfr8.cloudfront.net/image/725136000567/image_4h0sbvd0154lvf37ep3kasst6d/-FJPG/230810-006_BCK_1.jpg;https://dd3ka9h4chfr8.cloudfront.net/image/725136000567/image_n8a4rpb95d2tt6ppdt9ogn7970/-FJPG/230810-006_DET_1.jpg;https://dd3ka9h4chfr8.cloudfront.net/image/725136000567/image_97eluvpkk96or7trsdfcg2dd7h/-FJPG/230810-006_DET_3.jpg;https://dd3ka9h4chfr8.cloudfront.net/image/725136000567/image_k1co9ptq3h51harkec176j486r/-FJPG/230810-006_DET_4.jpg</t>
  </si>
  <si>
    <t>Solema Cream</t>
  </si>
  <si>
    <t>230810-006</t>
  </si>
  <si>
    <t>https://dd3ka9h4chfr8.cloudfront.net/image/725136000567/image_f71u5jsg7l6lf5lll48fhq8o3c/-FJPG/230810-006_FRT_1.jpg</t>
  </si>
  <si>
    <t>["65% Acrylic","21% Polyester","10% Wool","3% Cotton","and 1% Rayon","Solid Parawood"]</t>
  </si>
  <si>
    <t>Place this round ottoman just about anywhere for a subtle retro vibe. Upholstered in an exaggerated boucle fabric with extra depth and texture throughout. Parawood legs are wirebrushed for a warm, vintage feel.</t>
  </si>
  <si>
    <t>Ariel Chair</t>
  </si>
  <si>
    <t>https://dd3ka9h4chfr8.cloudfront.net/image/725136000567/image_hvnv4h6mh528p94efsf9csu80h/-FJPG/CKEN-329N-829P_FRT_1.jpg;https://dd3ka9h4chfr8.cloudfront.net/image/725136000567/image_3gbkfrt4v50fr6j1ufu16n1u68/-FJPG/CKEN-329N-829P_PRM_1.jpg;https://dd3ka9h4chfr8.cloudfront.net/image/725136000567/image_nen9pk13893gp6qppu8s5itm7j/-FJPG/CKEN-329N-829P_SID_1.jpg;https://dd3ka9h4chfr8.cloudfront.net/image/725136000567/image_2hftlp25vl0h1b96ms5oplo05a/-FJPG/CKEN-329N-829P_ESS_1.jpg;https://dd3ka9h4chfr8.cloudfront.net/image/725136000567/image_eceg1ghat978ralrv4kecf2n20/-FJPG/CKEN-329N-829P_DET_2.jpg;https://dd3ka9h4chfr8.cloudfront.net/image/725136000567/image_bn3umi8cht6et8p20isu1nm42a/-FJPG/CKEN-329N-829P_BCK_1.jpg;https://dd3ka9h4chfr8.cloudfront.net/image/725136000567/image_06h6rbrial2q749um3lujc0q1k/-FJPG/CKEN-329N-829P_INF_1.jpg;https://dd3ka9h4chfr8.cloudfront.net/image/725136000567/image_7mllfor6tl4afctkrhnccgq77r/-FJPG/CKEN-329N-829P_DET_1.jpg;https://dd3ka9h4chfr8.cloudfront.net/image/725136000567/image_i0evu8lb2t4vt3mfj01ovahq62/-FJPG/CKEN-329N-829P_DET_3.jpg;https://dd3ka9h4chfr8.cloudfront.net/image/725136000567/image_q23sbcd10l2j12eoqo1b2mqt7h/-FJPG/CKEN-329N-829P_DET_4.jpg;https://dd3ka9h4chfr8.cloudfront.net/image/725136000567/image_e4s0se4hht35h3ai59ed03r83h/-FJPG/CKEN-329N-829P_DET_5.jpg;https://dd3ka9h4chfr8.cloudfront.net/image/725136000567/image_3s8vreftt55atd17hds6ib5r2m/-FJPG/CKEN-329N-829P_DET_6.jpg</t>
  </si>
  <si>
    <t>Thames Coal</t>
  </si>
  <si>
    <t>CKEN-329N-829P</t>
  </si>
  <si>
    <t>33.07</t>
  </si>
  <si>
    <t>https://dd3ka9h4chfr8.cloudfront.net/image/725136000567/image_hvnv4h6mh528p94efsf9csu80h/-FJPG/CKEN-329N-829P_FRT_1.jpg</t>
  </si>
  <si>
    <t>["66% Polyester","19% Acrylic","15% Flax/Linen","Solid Parawood"]</t>
  </si>
  <si>
    <t>29</t>
  </si>
  <si>
    <t>{"value":29,"unit":"in"}</t>
  </si>
  <si>
    <t>31</t>
  </si>
  <si>
    <t>{"value":31,"unit":"in"}</t>
  </si>
  <si>
    <t>Natural</t>
  </si>
  <si>
    <t>Spindle detailing for an airy look, with angular wooden arms and cleverly positioned legs, plus feather-blend cushioning covered in a textural performance-grade upholstery exclusive to Four Hands.</t>
  </si>
  <si>
    <t>{"value":40.75,"unit":"in"}</t>
  </si>
  <si>
    <t>{"value":30.71,"unit":"in"}</t>
  </si>
  <si>
    <t>{"value":56.88,"unit":"lb"}</t>
  </si>
  <si>
    <t>26.50"</t>
  </si>
  <si>
    <t>Finger Joint</t>
  </si>
  <si>
    <t>Ariel</t>
  </si>
  <si>
    <t>23.50"</t>
  </si>
  <si>
    <t>14.50"</t>
  </si>
  <si>
    <t>13.00"</t>
  </si>
  <si>
    <t>50% Waterfowl Feather, 50% Polyester Fiber</t>
  </si>
  <si>
    <t>80% Polyurethane Foam Pad, 20% Polyester Fiber Batting</t>
  </si>
  <si>
    <t>Arlington 6 Door Sideboard</t>
  </si>
  <si>
    <t>https://dd3ka9h4chfr8.cloudfront.net/image/725136000567/image_gbdcgd252l2or79f90f2mcoi7k/-FJPG/236129-001_FRT_1.jpg;https://dd3ka9h4chfr8.cloudfront.net/image/725136000567/image_s5j1san3ll37742bmn8g1up44d/-FJPG/236129-001_PRM_1.jpg;https://dd3ka9h4chfr8.cloudfront.net/image/725136000567/image_napuu7mpil2hn5r6kjghtdmg6k/-FJPG/236129-001_SID_1.jpg;https://dd3ka9h4chfr8.cloudfront.net/image/725136000567/image_7vi2db1cfd0drdnigqk9uofm2m/-FJPG/236129-001_ESS.tif;https://dd3ka9h4chfr8.cloudfront.net/image/725136000567/image_e8nntub9g142tbmmg9pqu4f26l/-FJPG/236129-001_DET_2.jpg;https://dd3ka9h4chfr8.cloudfront.net/image/725136000567/image_5qts40jlkh7mn02k6agqbk0470/-FJPG/236129-001_BCK_1.jpg;https://dd3ka9h4chfr8.cloudfront.net/image/725136000567/image_7nl69ot3gl78p1o55mfbfnc018/-FJPG/236129-001_DET_1.jpg;https://dd3ka9h4chfr8.cloudfront.net/image/725136000567/image_a16kamit756f7bilic8bs07d0k/-FJPG/236129-001_DET_3.jpg;https://dd3ka9h4chfr8.cloudfront.net/image/725136000567/image_pjcrrog1896qn5i2durjrkvm25/-FJPG/236129-001_OPN_1.jpg;https://dd3ka9h4chfr8.cloudfront.net/image/725136000567/image_pfeilp09q14ct2o53c6lsvge47/-FJPG/236129-001_TOP_1.jpg;https://dd3ka9h4chfr8.cloudfront.net/image/725136000567/image_9503k56t9d325d1pndhmbfea5t/-FJPG/236129-001_DET_4.jpg;https://dd3ka9h4chfr8.cloudfront.net/image/725136000567/image_384vdrgsd13m53nvk1k2iote5u/-FJPG/236129-001_DET_5.jpg;https://dd3ka9h4chfr8.cloudfront.net/image/725136000567/image_3poamkodgl1pfdksg323roh00e/-FJPG/236129-001_DET_6.jpg;https://dd3ka9h4chfr8.cloudfront.net/image/725136000567/image_fm6gusl8b11o33ihvjp798uh5j/-FJPG/236129-001_DET_7.jpg;https://dd3ka9h4chfr8.cloudfront.net/image/725136000567/image_pg6cn4uu8l2sve9hse2i0nh07k/-FJPG/236129-001_DET_8.jpg;https://dd3ka9h4chfr8.cloudfront.net/image/725136000567/image_l3o7gi8dd118ndkc5k6uq9p54f/-FJPG/236129-001_DET_9.tif;https://dd3ka9h4chfr8.cloudfront.net/image/725136000567/image_ga63dc3jop6njaq9pr8v854k0h/-FJPG/236129-001_DET_10.tif;https://dd3ka9h4chfr8.cloudfront.net/image/725136000567/image_rbdk4t0jop2kteaul5kmc1dt73/-FJPG/FHMPRJ016_SCENE-5.tif;https://dd3ka9h4chfr8.cloudfront.net/image/725136000567/image_2qdd2l5c0h3v7433k1ac8plp4d/-FJPG/FHMPRJ016_SCENE-15-CROP-1.tif</t>
  </si>
  <si>
    <t>Espresso Oak Veneer</t>
  </si>
  <si>
    <t>236129-001</t>
  </si>
  <si>
    <t>224.45</t>
  </si>
  <si>
    <t>IN</t>
  </si>
  <si>
    <t>https://dd3ka9h4chfr8.cloudfront.net/image/725136000567/image_gbdcgd252l2or79f90f2mcoi7k/-FJPG/236129-001_FRT_1.jpg</t>
  </si>
  <si>
    <t>["Oak Veneer"]</t>
  </si>
  <si>
    <t>96</t>
  </si>
  <si>
    <t>{"value":96,"unit":"in"}</t>
  </si>
  <si>
    <t>Truett</t>
  </si>
  <si>
    <t>Espresso-finished oak casing pairs with six coffee-colored iron door fronts, for an intriguing material mix. With bullnose waterfall framing and offset metal hardware, this spacious sideboard offers an elevated industrial look. Three rear cutouts for cord management.</t>
  </si>
  <si>
    <t>India</t>
  </si>
  <si>
    <t>{"value":99.5,"unit":"in"}</t>
  </si>
  <si>
    <t>{"value":321.76,"unit":"lb"}</t>
  </si>
  <si>
    <t>25.25"</t>
  </si>
  <si>
    <t>Miter Joint</t>
  </si>
  <si>
    <t>Arlington</t>
  </si>
  <si>
    <t>0.50"</t>
  </si>
  <si>
    <t>Arnett Chair</t>
  </si>
  <si>
    <t>https://dd3ka9h4chfr8.cloudfront.net/image/725136000567/image_38krec98fl45n2cmnahu6e8g37/-FJPG/106085-022_FRT_1.jpg;https://dd3ka9h4chfr8.cloudfront.net/image/725136000567/image_ulf3g0257h79n5q7p8jfil1c4q/-FJPG/106085-022_PRM_1.jpg;https://dd3ka9h4chfr8.cloudfront.net/image/725136000567/image_lj12mtunfl1qb78o5l74phne3s/-FJPG/106085-022_SID_1.jpg;https://dd3ka9h4chfr8.cloudfront.net/image/725136000567/image_pm648tate57fl5k5rd0ute9u3c/-FJPG/106085-022_ESS_1.jpg;https://dd3ka9h4chfr8.cloudfront.net/image/725136000567/image_3je6gind4h017bfo6lr5caka3k/-FJPG/106085-022_DET_2.jpg;https://dd3ka9h4chfr8.cloudfront.net/image/725136000567/image_p9dfnevblp5q7ai7jedoo24652/-FJPG/106085-022_BCK_1.jpg;https://dd3ka9h4chfr8.cloudfront.net/image/725136000567/image_3nhgeedqut6i7bhs9ngt15jj3e/-FJPG/106085-022_DET_1.jpg;https://dd3ka9h4chfr8.cloudfront.net/image/725136000567/image_grmioh64g56fj3mm1s8ivdlo2a/-FJPG/106085-022_DET_3.jpg;https://dd3ka9h4chfr8.cloudfront.net/image/725136000567/image_l5dm54aig5641f6guocqgscn6s/-FJPG/106085-022_DET_4.jpg;https://dd3ka9h4chfr8.cloudfront.net/image/725136000567/image_3v6e1etdod2st8pr2e09s0mv7d/-FJPG/106085-022_DET_5.jpg;https://dd3ka9h4chfr8.cloudfront.net/image/725136000567/image_ejasmunpvl6sj1s30fdue4657i/-FJPG/106085-022_DET_6.jpg</t>
  </si>
  <si>
    <t>Alcala Fawn</t>
  </si>
  <si>
    <t>106085-022</t>
  </si>
  <si>
    <t>32.41</t>
  </si>
  <si>
    <t>https://dd3ka9h4chfr8.cloudfront.net/image/725136000567/image_38krec98fl45n2cmnahu6e8g37/-FJPG/106085-022_FRT_1.jpg</t>
  </si>
  <si>
    <t>["70% Polyester","20% Viscose (Rayon)","10% Flax/Linen","Solid Parawood","Top Grain Leather"]</t>
  </si>
  <si>
    <t>Westgate</t>
  </si>
  <si>
    <t>Vintage Parawood</t>
  </si>
  <si>
    <t>Dakota Tobacco</t>
  </si>
  <si>
    <t>Natural linen seating offers cool, comfortable seating, with wire-brushed parawood framing forming a slim U shape. Two posterior top-grain leather straps add a stylish finishing touch. Performance fabrics are specially created to withstand spills, stains, high traffic and wear, ensuring long-term comfort and unmatched durability.</t>
  </si>
  <si>
    <t>{"value":29.92,"unit":"in"}</t>
  </si>
  <si>
    <t>{"value":31.5,"unit":"in"}</t>
  </si>
  <si>
    <t>{"value":51.37,"unit":"lb"}</t>
  </si>
  <si>
    <t>20.00"</t>
  </si>
  <si>
    <t>18.25"</t>
  </si>
  <si>
    <t>Arnett</t>
  </si>
  <si>
    <t>5.25"</t>
  </si>
  <si>
    <t>27.50"</t>
  </si>
  <si>
    <t>12.50"</t>
  </si>
  <si>
    <t>28.50"</t>
  </si>
  <si>
    <t>21.00"</t>
  </si>
  <si>
    <t>https://dd3ka9h4chfr8.cloudfront.net/image/725136000567/image_lfn6qdsmcp4c50shej7o9tlv05/-FJPG/106085-016_FRT_1.jpg;https://dd3ka9h4chfr8.cloudfront.net/image/725136000567/image_bapcdoj61d1rd3l15f01it7209/-FJPG/106085-016_PRM_1.jpg;https://dd3ka9h4chfr8.cloudfront.net/image/725136000567/image_pkfie2pq5l00t6cblf2vbrhm3a/-FJPG/106085-016_SID_1.jpg;https://dd3ka9h4chfr8.cloudfront.net/image/725136000567/image_66q0lqmqp1729ddtjm8ll0uu02/-FJPG/106085-016_DET_2.jpg;https://dd3ka9h4chfr8.cloudfront.net/image/725136000567/image_6papfrgr8h70t4ar81lolh322q/-FJPG/106085-016_BCK_1.jpg;https://dd3ka9h4chfr8.cloudfront.net/image/725136000567/image_t6v62b2n016cjaiot1q4cdoo3i/-FJPG/106085-016_DET_1.jpg;https://dd3ka9h4chfr8.cloudfront.net/image/725136000567/image_9qc6vbgib54lta1qh40id2ov5i/-FJPG/106085-016_DET_3.jpg;https://dd3ka9h4chfr8.cloudfront.net/image/725136000567/image_n07imhou352br4mccf6m3s5q0d/-FJPG/106085-016_DET_4.jpg;https://dd3ka9h4chfr8.cloudfront.net/image/725136000567/image_192n0eh1fp7v70n49k98arkb1p/-FJPG/106085-016_DET_5.jpg;https://dd3ka9h4chfr8.cloudfront.net/image/725136000567/image_fnutufs9856cfcbkapfhlqvn6q/-FJPG/106085-016_DET_6.jpg;https://dd3ka9h4chfr8.cloudfront.net/image/725136000567/image_fbmlfc9nnt0qj0u23foai1ls3o/-FJPG/106085-016_DET_7.jpg;https://dd3ka9h4chfr8.cloudfront.net/image/725136000567/image_inhaj6o08t4gr6q2de4524nn34/-FJPG/106085-016_ROM_1.jpg</t>
  </si>
  <si>
    <t>Dakota Black</t>
  </si>
  <si>
    <t>106085-016</t>
  </si>
  <si>
    <t>https://dd3ka9h4chfr8.cloudfront.net/image/725136000567/image_lfn6qdsmcp4c50shej7o9tlv05/-FJPG/106085-016_FRT_1.jpg</t>
  </si>
  <si>
    <t>Nothing compares to the classic cool of black and tan. At a perfect lean, black top-grain leather cradles into natural parawood framing, for a stylishly straightforward look with high contrast and a hip mid-century vibe.</t>
  </si>
  <si>
    <t>https://dd3ka9h4chfr8.cloudfront.net/image/725136000567/image_e5o4t1erq55urbcrrbr73b2k1q/-FJPG/106085-012_FRT_1.jpg;https://dd3ka9h4chfr8.cloudfront.net/image/725136000567/image_pl2c0f55up2qvc109fgqf3tl1i/-FJPG/106085-012_PRM_1.jpg;https://dd3ka9h4chfr8.cloudfront.net/image/725136000567/image_52nsnh06oh16f50egb2q5tp60l/-FJPG/106085-012_SID_1.jpg;https://dd3ka9h4chfr8.cloudfront.net/image/725136000567/image_9claqf0mdd1s56bgv5a9eo8t57/-FJPG/106085-012_ESS_1.jpg;https://dd3ka9h4chfr8.cloudfront.net/image/725136000567/image_cctu1r316t6ejbiv54u4tfl756/-FJPG/106085-012_DET_2.jpg;https://dd3ka9h4chfr8.cloudfront.net/image/725136000567/image_f255qan6al2ep3m6ekdnc54o0v/-FJPG/106085-012_BCK_1.jpg;https://dd3ka9h4chfr8.cloudfront.net/image/725136000567/image_d0h47bbseh6u14sn64bvrmmh5q/-FJPG/106085-012_DET_1.jpg;https://dd3ka9h4chfr8.cloudfront.net/image/725136000567/image_k9tr0efm8d7s511309soacm85i/-FJPG/106085-012_DET_3.jpg;https://dd3ka9h4chfr8.cloudfront.net/image/725136000567/image_eq82bl75at0abesffu07mvv61g/-FJPG/106085-012_DET_4.jpg;https://dd3ka9h4chfr8.cloudfront.net/image/725136000567/image_f9hlver8tt1972nipmrf1tc441/-FJPG/106085-012_DET_5.jpg;https://dd3ka9h4chfr8.cloudfront.net/image/725136000567/image_rlucsc5q1d2on8ag6csce0be7u/-FJPG/106085-012_DET_6.jpg</t>
  </si>
  <si>
    <t>Harness Burlap</t>
  </si>
  <si>
    <t>106085-012</t>
  </si>
  <si>
    <t>https://dd3ka9h4chfr8.cloudfront.net/image/725136000567/image_e5o4t1erq55urbcrrbr73b2k1q/-FJPG/106085-012_FRT_1.jpg</t>
  </si>
  <si>
    <t>["Top Grain Leather","Solid Ash"]</t>
  </si>
  <si>
    <t>Natural Whitewash Ash</t>
  </si>
  <si>
    <t>Top-grain leather seating offers a sumptuous sit, with complementary wire-brushed solid ash framing forming a slim U shape. Two posterior top-grain leather straps add a stylish finishing touch.</t>
  </si>
  <si>
    <t>https://dd3ka9h4chfr8.cloudfront.net/image/725136000567/image_3a5klnui9p7cd7acr18ap73d2k/-FJPG/106085-017_FRT_1.jpg;https://dd3ka9h4chfr8.cloudfront.net/image/725136000567/image_sm0t0b77ft52d24i19ttklbg58/-FJPG/106085-017_PRM_1.jpg;https://dd3ka9h4chfr8.cloudfront.net/image/725136000567/image_j078dlp7td69rbi12ecp9bkf2n/-FJPG/106085-017_SID_1.jpg;https://dd3ka9h4chfr8.cloudfront.net/image/725136000567/image_e4mgc489i96p94lq1n26uib52f/-FJPG/106085-017_ESS_1.jpg;https://dd3ka9h4chfr8.cloudfront.net/image/725136000567/image_cu30euuj5h329eot196jtp734c/-FJPG/106085-017_DET_2.jpg;https://dd3ka9h4chfr8.cloudfront.net/image/725136000567/image_3sr9ovvt410qnfnplbb63irv6b/-FJPG/106085-017_BCK_1.jpg;https://dd3ka9h4chfr8.cloudfront.net/image/725136000567/image_05pt9r7so95mpdmrr0of78fl1l/-FJPG/106085-017_INF_1.jpg;https://dd3ka9h4chfr8.cloudfront.net/image/725136000567/image_55r93b87b56st2utbjnberfl4l/-FJPG/106085-017_DET_1.jpg;https://dd3ka9h4chfr8.cloudfront.net/image/725136000567/image_9q9n512dl54mh7d4csvab35b6k/-FJPG/106085-017_DET_3.jpg;https://dd3ka9h4chfr8.cloudfront.net/image/725136000567/image_hpe58vhq3h6g9coaioavdi9o78/-FJPG/106085-017_DET_4.jpg;https://dd3ka9h4chfr8.cloudfront.net/image/725136000567/image_vbq2vn2at910nfe722lrisbt3v/-FJPG/106085-017_DET_5.jpg;https://dd3ka9h4chfr8.cloudfront.net/image/725136000567/image_pu2togu5692gn8gqlsra9mis3t/-FJPG/106085-017_DET_6.jpg;https://dd3ka9h4chfr8.cloudfront.net/image/725136000567/image_e64clli8g979denbv81n80mn4m/-FJPG/106085-017_DET_7.jpg;https://dd3ka9h4chfr8.cloudfront.net/image/725136000567/image_3ds7rti041575br5t38ap2td0q/-FJPG/106085-017_ROM_1.jpg;https://dd3ka9h4chfr8.cloudfront.net/image/725136000567/image_e9kitsnsbp0o34d8mnm72o6q6t/-FJPG/106085-017_VIG_1.jpg</t>
  </si>
  <si>
    <t>106085-017</t>
  </si>
  <si>
    <t>https://dd3ka9h4chfr8.cloudfront.net/image/725136000567/image_3a5klnui9p7cd7acr18ap73d2k/-FJPG/106085-017_FRT_1.jpg</t>
  </si>
  <si>
    <t>["95% Polyester","5% Acrylic","Solid Parawood","Top Grain Leather"]</t>
  </si>
  <si>
    <t>Textural cream bouclé seating offers a sumptuous sit, with complementary wire-brushed parawood framing forming a slim U shape. Two posterior top-grain leather straps add a stylish finishing touch.</t>
  </si>
  <si>
    <t>https://dd3ka9h4chfr8.cloudfront.net/image/725136000567/image_enahmq2s354nle76mm7hf7j37b/-FJPG/106085-026_FRT_1.jpg;https://dd3ka9h4chfr8.cloudfront.net/image/725136000567/image_c05kgi2tg16hl3ugfg98r9gs7v/-FJPG/106085-026_PRM_1.jpg;https://dd3ka9h4chfr8.cloudfront.net/image/725136000567/image_00gnmt87vd0tl7akgne9rj5t0i/-FJPG/106085-026_SID_1.jpg;https://dd3ka9h4chfr8.cloudfront.net/image/725136000567/image_uorjthijmh4qdaei8hnb8i7k4r/-FJPG/106085-026_DET_2.jpg;https://dd3ka9h4chfr8.cloudfront.net/image/725136000567/image_9uggvr5ebd4mh67f5np4hujl5h/-FJPG/106085-026_BCK_1.jpg;https://dd3ka9h4chfr8.cloudfront.net/image/725136000567/image_sksbi2jp916o18gakn8778op7c/-FJPG/106085-026_DET_1.jpg;https://dd3ka9h4chfr8.cloudfront.net/image/725136000567/image_12cv6pa1vp22fdccsontc9ur0k/-FJPG/106085-026_DET_3.jpg;https://dd3ka9h4chfr8.cloudfront.net/image/725136000567/image_l5r9qkec3p6r792pct8u9trh0n/-FJPG/106085-026_DET_4.jpg;https://dd3ka9h4chfr8.cloudfront.net/image/725136000567/image_fhsl7ujdk97d1fgh4ni4f00f36/-FJPG/106085-026_DET_5.jpg</t>
  </si>
  <si>
    <t>Sheffield Ivory</t>
  </si>
  <si>
    <t>106085-026</t>
  </si>
  <si>
    <t>https://dd3ka9h4chfr8.cloudfront.net/image/725136000567/image_enahmq2s354nle76mm7hf7j37b/-FJPG/106085-026_FRT_1.jpg</t>
  </si>
  <si>
    <t>["100% Polyester","Solid Parawood","Top Grain Leather"]</t>
  </si>
  <si>
    <t>Upholstered in traditional ivory fabric with a classic box print, this seating offers a sumptuous sit, with complementary wire-vintage parawood framing forming a slim U shape. Two posterior top-grain leather straps add a stylish finishing touch.</t>
  </si>
  <si>
    <t>Arturo 6 Drawer Dresser</t>
  </si>
  <si>
    <t>https://dd3ka9h4chfr8.cloudfront.net/image/725136000567/image_97blriktt123h14l8sodhfvd1t/-FJPG/234477-001_FRT_1.jpg;https://dd3ka9h4chfr8.cloudfront.net/image/725136000567/image_fjbid8mect5qd3q1bag349qd2u/-FJPG/234477-001_PRM_1.jpg;https://dd3ka9h4chfr8.cloudfront.net/image/725136000567/image_bgf002f8vh3ub69d3569h2n35m/-FJPG/234477-001_SID_1.jpg;https://dd3ka9h4chfr8.cloudfront.net/image/725136000567/image_d0o87rgn5119nbihb8g82t7c35/-FJPG/234477-001_ESS_1.jpg;https://dd3ka9h4chfr8.cloudfront.net/image/725136000567/image_q7of52l5fl4r1e7eihhoigq95o/-FJPG/234477-001_DET_2.jpg;https://dd3ka9h4chfr8.cloudfront.net/image/725136000567/image_amkkomsl9d0bnbsedijo5vnh3h/-FJPG/234477-001_BCK_1.jpg;https://dd3ka9h4chfr8.cloudfront.net/image/725136000567/image_dau7j5t9j15sb7kr8oroemte7i/-FJPG/234477-001_DET_1.jpg;https://dd3ka9h4chfr8.cloudfront.net/image/725136000567/image_v4mblba8sh02713ud1kblohv1k/-FJPG/234477-001_DET_3.jpg;https://dd3ka9h4chfr8.cloudfront.net/image/725136000567/image_7u0nrhd1ep0ab1t1580vu1av4d/-FJPG/234477-001_OPN_1.jpg;https://dd3ka9h4chfr8.cloudfront.net/image/725136000567/image_132lqm5qj13e7aufrt38me3l6q/-FJPG/234477-001_DET_4.jpg;https://dd3ka9h4chfr8.cloudfront.net/image/725136000567/image_jf3kt4fjr501bcbuqrnpn0f805/-FJPG/234477-001_DET_5.jpg;https://dd3ka9h4chfr8.cloudfront.net/image/725136000567/image_vujc4invnp3tv7qpc14rfevo0n/-FJPG/234477-001_DET_6.jpg;https://dd3ka9h4chfr8.cloudfront.net/image/725136000567/image_kpaesksv7l6pd8sgqfp0cq5a2f/-FJPG/234477-001_DET_7.jpg;https://dd3ka9h4chfr8.cloudfront.net/image/725136000567/image_ljdk3l1u357392tvrdnl27m97m/-FJPG/234477-001_DET_8.jpg;https://dd3ka9h4chfr8.cloudfront.net/image/725136000567/image_p8otf55od95pf56h81a14shc57/-FJPG/234477-001_DET_9.jpg;https://dd3ka9h4chfr8.cloudfront.net/image/725136000567/image_vm7j9rvr5h5bf54tamtr3khd6k/-FJPG/234477-001_DET_10.jpg</t>
  </si>
  <si>
    <t>Natural Walnut Veneer</t>
  </si>
  <si>
    <t>234477-001</t>
  </si>
  <si>
    <t>231.48</t>
  </si>
  <si>
    <t>https://dd3ka9h4chfr8.cloudfront.net/image/725136000567/image_97blriktt123h14l8sodhfvd1t/-FJPG/234477-001_FRT_1.jpg</t>
  </si>
  <si>
    <t>["Walnut Veneer","Solid Walnut"]</t>
  </si>
  <si>
    <t>70.5</t>
  </si>
  <si>
    <t>{"value":70.5,"unit":"in"}</t>
  </si>
  <si>
    <t>34</t>
  </si>
  <si>
    <t>{"value":34,"unit":"in"}</t>
  </si>
  <si>
    <t>Wallis</t>
  </si>
  <si>
    <t>Inspired by campaign-style furniture of the 1800s â€” packable pieces first designed for traveling military use â€” a simply shaped dresser of natural walnut features a subtly inset top and rounded legs, finished with wooden hardware. This item has been modified to comply with the STURDY Act. See a full list of modified products and data changes in the â€œSTURDY Actâ€_x009d_ file in the Downloads section below.</t>
  </si>
  <si>
    <t>6d Dresser</t>
  </si>
  <si>
    <t>{"value":73.43,"unit":"in"}</t>
  </si>
  <si>
    <t>{"value":262.35,"unit":"lb"}</t>
  </si>
  <si>
    <t>Sidemount Metal</t>
  </si>
  <si>
    <t>Arturo</t>
  </si>
  <si>
    <t>8.46"</t>
  </si>
  <si>
    <t>13.39"</t>
  </si>
  <si>
    <t>31.89"</t>
  </si>
  <si>
    <t>Arturo 9 Drawer Dresser</t>
  </si>
  <si>
    <t>https://dd3ka9h4chfr8.cloudfront.net/image/725136000567/image_iobnf4g7c950v1hgersj7p5c3j/-FJPG/234479-001_FRT_1.jpg;https://dd3ka9h4chfr8.cloudfront.net/image/725136000567/image_mkun5139817u16o42je1b7ld5o/-FJPG/234479-001_PRM_1.jpg;https://dd3ka9h4chfr8.cloudfront.net/image/725136000567/image_cb61jheai96kd5eb8701un5i1f/-FJPG/234479-001_SID_1.jpg;https://dd3ka9h4chfr8.cloudfront.net/image/725136000567/image_opb7d468ct1qb70amlp8l2nc07/-FJPG/234479-001_DET_2.jpg;https://dd3ka9h4chfr8.cloudfront.net/image/725136000567/image_bqiq5e7af53pn2urcjc1jgua6q/-FJPG/234479-001_BCK_1.jpg;https://dd3ka9h4chfr8.cloudfront.net/image/725136000567/image_tdlof45and26fdha85odhn6b5o/-FJPG/234479-001_DET_1.jpg;https://dd3ka9h4chfr8.cloudfront.net/image/725136000567/image_mknpusual15hn360fehmnek62g/-FJPG/234479-001_DET_3.jpg;https://dd3ka9h4chfr8.cloudfront.net/image/725136000567/image_vqgrgv04dt7cpfgqpmt139c61p/-FJPG/234479-001_OPN_1.jpg;https://dd3ka9h4chfr8.cloudfront.net/image/725136000567/image_476db3fgah6ed609dhmkcbqf49/-FJPG/234479-001_TOP_1.jpg;https://dd3ka9h4chfr8.cloudfront.net/image/725136000567/image_dniv16qmsh54jal9vc7fevqj2q/-FJPG/234479-001_DET_4.jpg;https://dd3ka9h4chfr8.cloudfront.net/image/725136000567/image_mioj0tr2ot53b4hkbmq28gd97e/-FJPG/234479-001_DET_5.jpg;https://dd3ka9h4chfr8.cloudfront.net/image/725136000567/image_42ajor05ah5u19126f59ribr0s/-FJPG/234479-001_DET_6.jpg;https://dd3ka9h4chfr8.cloudfront.net/image/725136000567/image_4pf92bbv395bd3023pl03nvk6u/-FJPG/234479-001_DET_7.jpg</t>
  </si>
  <si>
    <t>234479-001</t>
  </si>
  <si>
    <t>291.01</t>
  </si>
  <si>
    <t>https://dd3ka9h4chfr8.cloudfront.net/image/725136000567/image_iobnf4g7c950v1hgersj7p5c3j/-FJPG/234479-001_FRT_1.jpg</t>
  </si>
  <si>
    <t>85</t>
  </si>
  <si>
    <t>{"value":85,"unit":"in"}</t>
  </si>
  <si>
    <t>9d Dresser</t>
  </si>
  <si>
    <t>{"value":88.39,"unit":"in"}</t>
  </si>
  <si>
    <t>{"value":21.46,"unit":"in"}</t>
  </si>
  <si>
    <t>{"value":31.1,"unit":"in"}</t>
  </si>
  <si>
    <t>{"value":326.28,"unit":"lb"}</t>
  </si>
  <si>
    <t>Edge Glueing and Lamination</t>
  </si>
  <si>
    <t>8.35"</t>
  </si>
  <si>
    <t>13.46"</t>
  </si>
  <si>
    <t>5.16"</t>
  </si>
  <si>
    <t>25.01"</t>
  </si>
  <si>
    <t>25.41"</t>
  </si>
  <si>
    <t>Arturo Chest</t>
  </si>
  <si>
    <t>https://dd3ka9h4chfr8.cloudfront.net/image/725136000567/image_ff5vdser4h3rf38hf3tpl9sv5t/-FJPG/247037-001_FRT_1.jpg;https://dd3ka9h4chfr8.cloudfront.net/image/725136000567/image_kmh81lgi911afbek889p0o0344/-FJPG/247037-001_PRM_1.jpg;https://dd3ka9h4chfr8.cloudfront.net/image/725136000567/image_3uvl7enaup70115bs9512df425/-FJPG/247037-001_SID_1.jpg;https://dd3ka9h4chfr8.cloudfront.net/image/725136000567/image_8lcr9v36et2sddjmu62lgjms21/-FJPG/247037-001_DET_2.jpg;https://dd3ka9h4chfr8.cloudfront.net/image/725136000567/image_gi4hf3f4u106d3o6cpr6gk5l76/-FJPG/247037-001_BCK_1.jpg;https://dd3ka9h4chfr8.cloudfront.net/image/725136000567/image_g4g7dr6m097lncm3fgcng9po3p/-FJPG/247037-001_DET_1.jpg;https://dd3ka9h4chfr8.cloudfront.net/image/725136000567/image_uvk42eliap1ftd7bi8dhjh4448/-FJPG/247037-001_DET_3.jpg;https://dd3ka9h4chfr8.cloudfront.net/image/725136000567/image_6n0hu5k2111t14ioirpvm0cf31/-FJPG/247037-001_OPN_1.jpg;https://dd3ka9h4chfr8.cloudfront.net/image/725136000567/image_0ptu0o9gjd3u197nk2h5bfs76l/-FJPG/247037-001_TOP_1.jpg;https://dd3ka9h4chfr8.cloudfront.net/image/725136000567/image_h8c8f9dqul2bn48el7t011sh09/-FJPG/247037-001_DET_4.jpg;https://dd3ka9h4chfr8.cloudfront.net/image/725136000567/image_541mr35adt4l71mkel9in4l62o/-FJPG/247037-001_DET_5.jpg</t>
  </si>
  <si>
    <t>247037-001</t>
  </si>
  <si>
    <t>158.73</t>
  </si>
  <si>
    <t>https://dd3ka9h4chfr8.cloudfront.net/image/725136000567/image_ff5vdser4h3rf38hf3tpl9sv5t/-FJPG/247037-001_FRT_1.jpg</t>
  </si>
  <si>
    <t>31.75</t>
  </si>
  <si>
    <t>{"value":31.75,"unit":"in"}</t>
  </si>
  <si>
    <t>41.5</t>
  </si>
  <si>
    <t>{"value":41.5,"unit":"in"}</t>
  </si>
  <si>
    <t>Inspired by campaign-style furniture of the 1800s â€” packable pieces first designed for traveling military use â€” a simply shaped chest of natural walnut features a subtly inset top and rounded legs, finished with wooden hardware. This item has been modified to comply with the STURDY Act. See a full list of modified products and data changes in the â€œSTURDY Actâ€_x009d_ file in the Downloads section below.</t>
  </si>
  <si>
    <t>{"value":35.04,"unit":"in"}</t>
  </si>
  <si>
    <t>{"value":21.85,"unit":"in"}</t>
  </si>
  <si>
    <t>{"value":38.78,"unit":"in"}</t>
  </si>
  <si>
    <t>{"value":178.57,"unit":"lb"}</t>
  </si>
  <si>
    <t>Chest</t>
  </si>
  <si>
    <t>["Chest"]</t>
  </si>
  <si>
    <t>3.90"</t>
  </si>
  <si>
    <t>28.03"</t>
  </si>
  <si>
    <t>Arturo Media Console</t>
  </si>
  <si>
    <t>https://dd3ka9h4chfr8.cloudfront.net/image/725136000567/image_2vpind1d0l5cddajrbvlf9ff64/-FJPG/234206-001_FRT_1.jpg;https://dd3ka9h4chfr8.cloudfront.net/image/725136000567/image_eo33r1hls50djcl2vssmbrjk0h/-FJPG/234206-001_PRM_1.jpg;https://dd3ka9h4chfr8.cloudfront.net/image/725136000567/image_d53i4c1okt6ij4seou55vani7f/-FJPG/234206-001_SID_1.jpg;https://dd3ka9h4chfr8.cloudfront.net/image/725136000567/image_dk36cf7eu96g34t822m5lvgd1m/-FJPG/234206-001_DET_2.jpg;https://dd3ka9h4chfr8.cloudfront.net/image/725136000567/image_eh9tmmpokt0o926a2fc01oa90e/-FJPG/234206-001_BCK_1.jpg;https://dd3ka9h4chfr8.cloudfront.net/image/725136000567/image_98kpjj92kp1fb3i1s8eas2oa0r/-FJPG/234206-001_DET_1.jpg;https://dd3ka9h4chfr8.cloudfront.net/image/725136000567/image_sro66h8vrl0vp15p13411ana0o/-FJPG/234206-001_DET_3.jpg;https://dd3ka9h4chfr8.cloudfront.net/image/725136000567/image_5ta92gq8g54i142kdttk13so5p/-FJPG/234206-001_OPN_1.jpg;https://dd3ka9h4chfr8.cloudfront.net/image/725136000567/image_ovmr9koa9l0sbbbejh4pvshe5e/-FJPG/234206-001_TOP_1.jpg;https://dd3ka9h4chfr8.cloudfront.net/image/725136000567/image_dbdob716550q75933cigp2ge2j/-FJPG/234206-001_DET_4.jpg;https://dd3ka9h4chfr8.cloudfront.net/image/725136000567/image_ors6r2tvnl08b2398h6e3oe62e/-FJPG/234206-001_DET_5.jpg;https://dd3ka9h4chfr8.cloudfront.net/image/725136000567/image_fcrh7ivqpp3e51t6pj31bc6q1h/-FJPG/234206-001_DET_6.jpg;https://dd3ka9h4chfr8.cloudfront.net/image/725136000567/image_akhs1jtc8l453eogl7n4q2s40u/-FJPG/234206-001_DET_7.jpg</t>
  </si>
  <si>
    <t>234206-001</t>
  </si>
  <si>
    <t>187.39</t>
  </si>
  <si>
    <t>https://dd3ka9h4chfr8.cloudfront.net/image/725136000567/image_2vpind1d0l5cddajrbvlf9ff64/-FJPG/234206-001_FRT_1.jpg</t>
  </si>
  <si>
    <t>["Walnut Veneer"]</t>
  </si>
  <si>
    <t>77.75</t>
  </si>
  <si>
    <t>{"value":77.75,"unit":"in"}</t>
  </si>
  <si>
    <t>With clean lines and plenty of interior storage for media needs, made from walnut veneer with a natural finish. Rear cutout for cord management.</t>
  </si>
  <si>
    <t>Media Console</t>
  </si>
  <si>
    <t>{"value":81.5,"unit":"in"}</t>
  </si>
  <si>
    <t>{"value":22.24,"unit":"in"}</t>
  </si>
  <si>
    <t>{"value":224.87,"unit":"lb"}</t>
  </si>
  <si>
    <t>16.14"</t>
  </si>
  <si>
    <t>17.44"</t>
  </si>
  <si>
    <t>37.87"</t>
  </si>
  <si>
    <t>6.42"</t>
  </si>
  <si>
    <t>17.40"</t>
  </si>
  <si>
    <t>14.02"</t>
  </si>
  <si>
    <t>6.71"</t>
  </si>
  <si>
    <t>17.20"</t>
  </si>
  <si>
    <t>Arturo Nightstand</t>
  </si>
  <si>
    <t>https://dd3ka9h4chfr8.cloudfront.net/image/725136000567/image_g60fu2tia54kb9mm8ng83rij5v/-FJPG/234480-001_FRT_1.jpg;https://dd3ka9h4chfr8.cloudfront.net/image/725136000567/image_6oejcj2hu54jva5hq5ab797s0j/-FJPG/234480-001_PRM_1.jpg;https://dd3ka9h4chfr8.cloudfront.net/image/725136000567/image_q3rjm1rjlt6c3an25cpobjc94h/-FJPG/234480-001_SID_1.jpg;https://dd3ka9h4chfr8.cloudfront.net/image/725136000567/image_g2b0hdjpg96pf6h4bvuir09a0p/-FJPG/234480-001_ESS_1.jpg;https://dd3ka9h4chfr8.cloudfront.net/image/725136000567/image_rsoggrmta56h3d1a2aoj7ncr5a/-FJPG/234480-001_ESS_1.tif;https://dd3ka9h4chfr8.cloudfront.net/image/725136000567/image_ailnj3462h4qt6veltbhqpve1l/-FJPG/234480-001_DET_2.jpg;https://dd3ka9h4chfr8.cloudfront.net/image/725136000567/image_smot2qgmed03rc2sh0dmfkiv67/-FJPG/234480-001_BCK_1.jpg;https://dd3ka9h4chfr8.cloudfront.net/image/725136000567/image_joo8gohr292bba2u4im3l8b94a/-FJPG/234480-001_DET_1.jpg;https://dd3ka9h4chfr8.cloudfront.net/image/725136000567/image_rj5ri2q28l2cn2vd07pmhqss3q/-FJPG/234480-001_DET_3.jpg;https://dd3ka9h4chfr8.cloudfront.net/image/725136000567/image_mm9au0e6ut4u71s7opop0ian32/-FJPG/234480-001_OPN_1.jpg;https://dd3ka9h4chfr8.cloudfront.net/image/725136000567/image_fpfljdd91h7vddp0hcc7io3l0g/-FJPG/234480-001_DET_4.jpg;https://dd3ka9h4chfr8.cloudfront.net/image/725136000567/image_st4a0d8af95tr2toclg8mra56a/-FJPG/234480-001_DET_5.jpg;https://dd3ka9h4chfr8.cloudfront.net/image/725136000567/image_c3rcm2ie8t6d7951u8kscc4r5s/-FJPG/234480-001_DET_6.jpg;https://dd3ka9h4chfr8.cloudfront.net/image/725136000567/image_igtt1qo1c5411ejcucd2etv64i/-FJPG/234480-001_DET_7.jpg;https://dd3ka9h4chfr8.cloudfront.net/image/725136000567/image_21l1omt1o962fcc0oj6ernro6n/-FJPG/234480-001_DET_8.jpg;https://dd3ka9h4chfr8.cloudfront.net/image/725136000567/image_8s3r166pf911j5c8m5ao446l3g/-FJPG/234480-001_ROM_1.jpg</t>
  </si>
  <si>
    <t>234480-001</t>
  </si>
  <si>
    <t>63.93</t>
  </si>
  <si>
    <t>https://dd3ka9h4chfr8.cloudfront.net/image/725136000567/image_g60fu2tia54kb9mm8ng83rij5v/-FJPG/234480-001_FRT_1.jpg</t>
  </si>
  <si>
    <t>Inspired by campaign-style furniture of the 1800s â€” packable pieces first designed for traveling military use â€” a simply shaped nightstand of natural walnut features a subtly inset top and rounded legs, finished with wooden hardware.</t>
  </si>
  <si>
    <t>Nightstand</t>
  </si>
  <si>
    <t>{"value":19.09,"unit":"in"}</t>
  </si>
  <si>
    <t>{"value":79.37,"unit":"lb"}</t>
  </si>
  <si>
    <t>12.91"</t>
  </si>
  <si>
    <t>12.76"</t>
  </si>
  <si>
    <t>3.15"</t>
  </si>
  <si>
    <t>27.95"</t>
  </si>
  <si>
    <t>Arturo Sideboard</t>
  </si>
  <si>
    <t>https://dd3ka9h4chfr8.cloudfront.net/image/725136000567/image_6jv0glicmp7o9efa5kasaimv7t/-FJPG/230393-001_FRT_1.jpg;https://dd3ka9h4chfr8.cloudfront.net/image/725136000567/image_5ovgh990i52cv0ugj2lj851n2t/-FJPG/230393-001_PRM_1.jpg;https://dd3ka9h4chfr8.cloudfront.net/image/725136000567/image_8rg8phs2pd10vcds14sfglb13r/-FJPG/230393-001_SID_1.jpg;https://dd3ka9h4chfr8.cloudfront.net/image/725136000567/image_buhchke6k17k38f7cctgan6r70/-FJPG/230393-001_ESS.tif;https://dd3ka9h4chfr8.cloudfront.net/image/725136000567/image_tcorf7cv8d29n35v7fnb511336/-FJPG/230393-001_DET_2.jpg;https://dd3ka9h4chfr8.cloudfront.net/image/725136000567/image_h47dbq5qih0rh3cqnlc17c0d21/-FJPG/230393-001_BCK_1.jpg;https://dd3ka9h4chfr8.cloudfront.net/image/725136000567/image_omcit5keet6kb81ov61vf1g11r/-FJPG/230393-001_DET_1.jpg;https://dd3ka9h4chfr8.cloudfront.net/image/725136000567/image_opk5c2la5t1g5b8dpbstv3q97s/-FJPG/230393-001_DET_3.jpg;https://dd3ka9h4chfr8.cloudfront.net/image/725136000567/image_daoorq15h92ir0983rg2ucrn4i/-FJPG/230393-001_OPN_1.jpg;https://dd3ka9h4chfr8.cloudfront.net/image/725136000567/image_d06fc6h8g16v54acguerhumg3k/-FJPG/230393-001_DET_4.jpg;https://dd3ka9h4chfr8.cloudfront.net/image/725136000567/image_1thtrfsje57vl9qscbd29dbh0v/-FJPG/230393-001_DET_5.jpg;https://dd3ka9h4chfr8.cloudfront.net/image/725136000567/image_e2gog362d50h130nl6pmdkab5p/-FJPG/230393-001_DET_6.jpg;https://dd3ka9h4chfr8.cloudfront.net/image/725136000567/image_6u0b2jkql57fpf5vm72ibqf94p/-FJPG/230393-001_DET_7.jpg;https://dd3ka9h4chfr8.cloudfront.net/image/725136000567/image_5v3j1ni4jd25v325keini3d529/-FJPG/230393-001_DET_10.jpg</t>
  </si>
  <si>
    <t>230393-001</t>
  </si>
  <si>
    <t>https://dd3ka9h4chfr8.cloudfront.net/image/725136000567/image_6jv0glicmp7o9efa5kasaimv7t/-FJPG/230393-001_FRT_1.jpg</t>
  </si>
  <si>
    <t>85.5</t>
  </si>
  <si>
    <t>{"value":85.5,"unit":"in"}</t>
  </si>
  <si>
    <t>17.5</t>
  </si>
  <si>
    <t>{"value":17.5,"unit":"in"}</t>
  </si>
  <si>
    <t>Inspired by campaign-style furniture of the 1800s â€” packable pieces first designed for traveling military use â€” a simply shaped sideboard of natural walnut features a subtly inset top and rounded legs, finished with wooden hardware.</t>
  </si>
  <si>
    <t>Sideboard</t>
  </si>
  <si>
    <t>{"value":89.17,"unit":"in"}</t>
  </si>
  <si>
    <t>{"value":26.97,"unit":"in"}</t>
  </si>
  <si>
    <t>{"value":229.28,"unit":"lb"}</t>
  </si>
  <si>
    <t>14.37"</t>
  </si>
  <si>
    <t>19.49"</t>
  </si>
  <si>
    <t>27.32"</t>
  </si>
  <si>
    <t>13.90"</t>
  </si>
  <si>
    <t>Ashland Armchair</t>
  </si>
  <si>
    <t>https://dd3ka9h4chfr8.cloudfront.net/image/725136000567/image_aidtvpleil00lcnokgfukq2171/-FJPG/100637-002_FRT_1.jpg;https://dd3ka9h4chfr8.cloudfront.net/image/725136000567/image_n511n8egul6h1aeeggp0ac462j/-FJPG/100637-002_PRM_1.jpg;https://dd3ka9h4chfr8.cloudfront.net/image/725136000567/image_as3pku0u690rp79bpilb6i6e3j/-FJPG/100637-002_SID_1.jpg;https://dd3ka9h4chfr8.cloudfront.net/image/725136000567/image_vs83jn8qi91pbcme4hepcbvm14/-FJPG/100637-002_DET_2.jpg;https://dd3ka9h4chfr8.cloudfront.net/image/725136000567/image_c1a79ivdft5p71jc3o36obv337/-FJPG/100637-002_BCK_1.jpg;https://dd3ka9h4chfr8.cloudfront.net/image/725136000567/image_3oreblha9l3rp1gt6a2b6i4h5v/-FJPG/100637-002_DET_1.jpg;https://dd3ka9h4chfr8.cloudfront.net/image/725136000567/image_b397q37l9d0e5fgohpsmbo9e6v/-FJPG/100637-002_DET_3.jpg;https://dd3ka9h4chfr8.cloudfront.net/image/725136000567/image_a4st6q1i3511d3ttsessnqcb17/-FJPG/100637-002_DET_4.jpg;https://dd3ka9h4chfr8.cloudfront.net/image/725136000567/image_h7opf506g9093fgen35ac24m0j/-FJPG/100637-002_DET_5.jpg;https://dd3ka9h4chfr8.cloudfront.net/image/725136000567/image_tp6d7dp0pp72542a22m9bon51h/-FJPG/100637-002_DET_6.jpg;https://dd3ka9h4chfr8.cloudfront.net/image/725136000567/image_cuii0repe5007cg2rdbmhhbr7a/-FJPG/100637-002_ROM_1.jpg</t>
  </si>
  <si>
    <t>Drifted Oak Solid</t>
  </si>
  <si>
    <t>100637-002</t>
  </si>
  <si>
    <t>30.2</t>
  </si>
  <si>
    <t>https://dd3ka9h4chfr8.cloudfront.net/image/725136000567/image_aidtvpleil00lcnokgfukq2171/-FJPG/100637-002_FRT_1.jpg</t>
  </si>
  <si>
    <t>["Mongolia Fur","Solid Oak"]</t>
  </si>
  <si>
    <t>24.5</t>
  </si>
  <si>
    <t>{"value":24.5,"unit":"in"}</t>
  </si>
  <si>
    <t>29.25</t>
  </si>
  <si>
    <t>{"value":29.25,"unit":"in"}</t>
  </si>
  <si>
    <t>Irondale</t>
  </si>
  <si>
    <t>Mongolia Cream Fur</t>
  </si>
  <si>
    <t>The modern statement-maker. Sculpted arms of drifted oak emerge from shaggy, cream-colored seating of Mongolian fur.</t>
  </si>
  <si>
    <t>Complete Item, L Shape Box</t>
  </si>
  <si>
    <t>{"value":27.17,"unit":"in"}</t>
  </si>
  <si>
    <t>{"value":44.53,"unit":"lb"}</t>
  </si>
  <si>
    <t>19.02"</t>
  </si>
  <si>
    <t>Ashland</t>
  </si>
  <si>
    <t>24.41"</t>
  </si>
  <si>
    <t>5.91"</t>
  </si>
  <si>
    <t>19.88"</t>
  </si>
  <si>
    <t>2.20"</t>
  </si>
  <si>
    <t>20.67"</t>
  </si>
  <si>
    <t>17.24"</t>
  </si>
  <si>
    <t>20.87"</t>
  </si>
  <si>
    <t>https://dd3ka9h4chfr8.cloudfront.net/image/725136000567/image_amhuffe5rl4rv57ejmltmp7d0n/-FJPG/100637-004_FRT_1.jpg;https://dd3ka9h4chfr8.cloudfront.net/image/725136000567/image_bvpnqptbgp15t0bi1kuf6hm02e/-FJPG/100637-004_PRM_1.jpg;https://dd3ka9h4chfr8.cloudfront.net/image/725136000567/image_4k98n7s5657jv3ibftrqsfh30m/-FJPG/100637-004_SID_1.jpg;https://dd3ka9h4chfr8.cloudfront.net/image/725136000567/image_5r874tcvnh0d595nrssecl8a72/-FJPG/100637-004_ESS_1.jpg;https://dd3ka9h4chfr8.cloudfront.net/image/725136000567/image_mbc20r64ml2hjcidlll0q21p4p/-FJPG/100637-004_DET_2.jpg;https://dd3ka9h4chfr8.cloudfront.net/image/725136000567/image_6qmehdnrt93b77qvskva2h9v11/-FJPG/100637-004_BCK_1.jpg;https://dd3ka9h4chfr8.cloudfront.net/image/725136000567/image_brmf5jbpfp6sb855bg0jo7rq36/-FJPG/100637-004_DET_1.jpg;https://dd3ka9h4chfr8.cloudfront.net/image/725136000567/image_som96dtde90rjeomri0duf523b/-FJPG/100637-004_DET_3.jpg;https://dd3ka9h4chfr8.cloudfront.net/image/725136000567/image_m8prt21gl96kr6pa51o7p60437/-FJPG/100637-004_DET_4.jpg;https://dd3ka9h4chfr8.cloudfront.net/image/725136000567/image_7ddnoisoi517ndpbco62m3id3r/-FJPG/100637-004_DET_5.jpg;https://dd3ka9h4chfr8.cloudfront.net/image/725136000567/image_79av50s7fl70lb1md5f7rgp967/-FJPG/100637-004_DET_6.jpg</t>
  </si>
  <si>
    <t>Drifted Matte Black</t>
  </si>
  <si>
    <t>100637-004</t>
  </si>
  <si>
    <t>https://dd3ka9h4chfr8.cloudfront.net/image/725136000567/image_amhuffe5rl4rv57ejmltmp7d0n/-FJPG/100637-004_FRT_1.jpg</t>
  </si>
  <si>
    <t>The modern statement-maker. Sculpted arms of drifted matte black oak emerge from shaggy, cream-colored seating of Mongolian fur.</t>
  </si>
  <si>
    <t>L Shaped Box</t>
  </si>
  <si>
    <t>Ashton Nightstand</t>
  </si>
  <si>
    <t>https://dd3ka9h4chfr8.cloudfront.net/image/725136000567/image_vkrfhemhoh47p7jie6ua7lk167/-FJPG/245943-001_FRT_1.jpg;https://dd3ka9h4chfr8.cloudfront.net/image/725136000567/image_nls3p7s5ip6bbfi6m72fra8963/-FJPG/245943-001_PRM_1.jpg;https://dd3ka9h4chfr8.cloudfront.net/image/725136000567/image_6takk2daqp1h35djuh6gbd6b0b/-FJPG/245943-001_SID_1.jpg;https://dd3ka9h4chfr8.cloudfront.net/image/725136000567/image_s1dshcm7rt6cb3lg8e0ice1r2p/-FJPG/245943-001_ESS.tif;https://dd3ka9h4chfr8.cloudfront.net/image/725136000567/image_upqi0och8d23jbir37qpahj621/-FJPG/245943-001_DET_2.jpg;https://dd3ka9h4chfr8.cloudfront.net/image/725136000567/image_6mgu78dm6p6gdc1uiduiluba7j/-FJPG/245943-001_BCK_1.jpg;https://dd3ka9h4chfr8.cloudfront.net/image/725136000567/image_0f79vjt3qt1a16i4uu2v3jji2f/-FJPG/245943-001_DET_1.jpg;https://dd3ka9h4chfr8.cloudfront.net/image/725136000567/image_hjunpmiaql03fb3kar5kq0um5q/-FJPG/245943-001_DET_3.jpg;https://dd3ka9h4chfr8.cloudfront.net/image/725136000567/image_58acsvvjt53ibdsjd2mkcenn1q/-FJPG/245943-001_OPN_1.jpg;https://dd3ka9h4chfr8.cloudfront.net/image/725136000567/image_hdgdv44b3t3bj2iguja8cad459/-FJPG/245943-001_TOP_1.jpg;https://dd3ka9h4chfr8.cloudfront.net/image/725136000567/image_shll9mjnu97st17v7imcb3mh3d/-FJPG/245943-001_DET_4.jpg;https://dd3ka9h4chfr8.cloudfront.net/image/725136000567/image_l96lmrf76h1d52pc7ne2jld26v/-FJPG/245943-001_DET_5.jpg;https://dd3ka9h4chfr8.cloudfront.net/image/725136000567/image_tkil1b1f8161lfv16lp5ugn21l/-FJPG/245943-001_DET_6.jpg;https://dd3ka9h4chfr8.cloudfront.net/image/725136000567/image_ggc306d5dh6r10ehdvdfvq1v20/-FJPG/245943-001_DET_7.jpg;https://dd3ka9h4chfr8.cloudfront.net/image/725136000567/image_pd2f5cg7gh5jv2hn9amnfltv52/-FJPG/245943-001_DET_9.tif;https://dd3ka9h4chfr8.cloudfront.net/image/725136000567/image_ub652sltp97e1cu522i5foie7f/-FJPG/245943-001_DET_10.tif</t>
  </si>
  <si>
    <t>Cream Marble</t>
  </si>
  <si>
    <t>245943-001</t>
  </si>
  <si>
    <t>83.77</t>
  </si>
  <si>
    <t>https://dd3ka9h4chfr8.cloudfront.net/image/725136000567/image_vkrfhemhoh47p7jie6ua7lk167/-FJPG/245943-001_FRT_1.jpg</t>
  </si>
  <si>
    <t>["Solid Marble","Oak Veneer"]</t>
  </si>
  <si>
    <t>Barton</t>
  </si>
  <si>
    <t>Dusted Oak Thin Veneer</t>
  </si>
  <si>
    <t>Bring a unique look to your bedroom with a demilune nightstand. An oak veneer base opens to generous storage space with removable shelving, while a single drawer keeps your items within reach. A crescent tray-style top of cream marble elevates the whole look. Rear cutout for cord management.</t>
  </si>
  <si>
    <t>{"value":35.83,"unit":"in"}</t>
  </si>
  <si>
    <t>{"value":21.65,"unit":"in"}</t>
  </si>
  <si>
    <t>{"value":99.21,"unit":"lb"}</t>
  </si>
  <si>
    <t>14.41"</t>
  </si>
  <si>
    <t>Frame and Panel Construction</t>
  </si>
  <si>
    <t>Ashton</t>
  </si>
  <si>
    <t>14.61"</t>
  </si>
  <si>
    <t>0.63"</t>
  </si>
  <si>
    <t>12.46"</t>
  </si>
  <si>
    <t>13.98"</t>
  </si>
  <si>
    <t>19.37"</t>
  </si>
  <si>
    <t>2.68"</t>
  </si>
  <si>
    <t>1.26"</t>
  </si>
  <si>
    <t>https://dd3ka9h4chfr8.cloudfront.net/image/725136000567/image_2n0t44e6q97ct34fghg6se7s4c/-FJPG/245943-002_PRM_1.jpg;https://dd3ka9h4chfr8.cloudfront.net/image/725136000567/image_7p6gra1cu14uha5tpneq2i8121/-FJPG/245943-002_SID_1.jpg;https://dd3ka9h4chfr8.cloudfront.net/image/725136000567/image_73hmnrl05l5vhae02fuuqe904a/-FJPG/245943_002_ESS.tif;https://dd3ka9h4chfr8.cloudfront.net/image/725136000567/image_6clra544dl1b79q5b8d68mfk3e/-FJPG/245943-002_BCK_1.jpg;https://dd3ka9h4chfr8.cloudfront.net/image/725136000567/image_7f0iuhh7qt6dp327dcq2pf3007/-FJPG/245943-002_DET_4.jpg;https://dd3ka9h4chfr8.cloudfront.net/image/725136000567/image_fh3rr6ommd6u37uecaru3e2j72/-FJPG/245943-002_DET_7.jpg;https://dd3ka9h4chfr8.cloudfront.net/image/725136000567/image_qsp20o5vrd19t432agabrvs939/-FJPG/245943_002_DET_9.tif</t>
  </si>
  <si>
    <t>Natural Poplar Burl</t>
  </si>
  <si>
    <t>245943-002</t>
  </si>
  <si>
    <t>74.96</t>
  </si>
  <si>
    <t>https://dd3ka9h4chfr8.cloudfront.net/image/725136000567/image_2n0t44e6q97ct34fghg6se7s4c/-FJPG/245943-002_PRM_1.jpg</t>
  </si>
  <si>
    <t>["Poplar Burl Veneer"]</t>
  </si>
  <si>
    <t>A demilune-shaped nightstand of natural poplar burl brings storage to your bedside, with spacious cabinetry with removable shelving plus a top drawer. Topped off with a tray-style surface, this nightstands will be a beautiful, organic look to your bedroom collection.</t>
  </si>
  <si>
    <t>{"value":90.39,"unit":"lb"}</t>
  </si>
  <si>
    <t>Aspen Bench</t>
  </si>
  <si>
    <t>https://dd3ka9h4chfr8.cloudfront.net/image/725136000567/image_rremieimit28vctajser8nae5h/-FJPG/VBFS-020B_FRT_1.jpg;https://dd3ka9h4chfr8.cloudfront.net/image/725136000567/image_bq4r9ra7s54a1fne5dlisoq54n/-FJPG/VBFS-020B_PRM_1.jpg;https://dd3ka9h4chfr8.cloudfront.net/image/725136000567/image_pdpf0r56j55gf8ho67qesr2l2h/-FJPG/VBFS-020B_SID_1.jpg;https://dd3ka9h4chfr8.cloudfront.net/image/725136000567/image_c11ns5ji5p50l4c3oucqd2u52e/-FJPG/VBFS-020B_DET_2.jpg;https://dd3ka9h4chfr8.cloudfront.net/image/725136000567/image_8r44tvkosl751cln15t96lim1d/-FJPG/VBFS-020B_BCK_1.jpg;https://dd3ka9h4chfr8.cloudfront.net/image/725136000567/image_eu9uqdl5b17or4j083ppcud51j/-FJPG/VBFS-020B_DET_1.jpg;https://dd3ka9h4chfr8.cloudfront.net/image/725136000567/image_pud9bgq9lh6irf4ihd0jcakc7r/-FJPG/VBFS-020B_DET_3.jpg;https://dd3ka9h4chfr8.cloudfront.net/image/725136000567/image_44tb226i5t1hbcb6s3580bjm2d/-FJPG/VBFS-020B_DET_4.jpg;https://dd3ka9h4chfr8.cloudfront.net/image/725136000567/image_v7grs1dl8h4rhb778h3u09i810/-FJPG/VBFS-020B_DET_5.jpg;https://dd3ka9h4chfr8.cloudfront.net/image/725136000567/image_uq2krsliit0v169uju9ckm0p0h/-FJPG/VBFS-020B_ROM_2.jpg;https://dd3ka9h4chfr8.cloudfront.net/image/725136000567/image_bi4o7qceu55631nq7u1ublmb4t/-FJPG/VBFS-020B_PRM_2.jpg</t>
  </si>
  <si>
    <t>Sandy Oak</t>
  </si>
  <si>
    <t>VBFS-020B</t>
  </si>
  <si>
    <t>39.68</t>
  </si>
  <si>
    <t>https://dd3ka9h4chfr8.cloudfront.net/image/725136000567/image_rremieimit28vctajser8nae5h/-FJPG/VBFS-020B_FRT_1.jpg</t>
  </si>
  <si>
    <t>["Solid Oak","Oak Veneer"]</t>
  </si>
  <si>
    <t>53.25</t>
  </si>
  <si>
    <t>{"value":53.25,"unit":"in"}</t>
  </si>
  <si>
    <t>21.25</t>
  </si>
  <si>
    <t>{"value":21.25,"unit":"in"}</t>
  </si>
  <si>
    <t>35.75</t>
  </si>
  <si>
    <t>{"value":35.75,"unit":"in"}</t>
  </si>
  <si>
    <t>Belfast</t>
  </si>
  <si>
    <t>Sandy Oak Veneer</t>
  </si>
  <si>
    <t>This fresh take on Windsor-style seating has a sculptural silhouette and sandy finish, highlighting oak's natural luster.</t>
  </si>
  <si>
    <t>{"value":58.07,"unit":"in"}</t>
  </si>
  <si>
    <t>{"value":22.83,"unit":"in"}</t>
  </si>
  <si>
    <t>Aspen</t>
  </si>
  <si>
    <t>400 lb</t>
  </si>
  <si>
    <t>{"value":400,"unit":"lb"}</t>
  </si>
  <si>
    <t>9.37"</t>
  </si>
  <si>
    <t>11.42"</t>
  </si>
  <si>
    <t>11.14"</t>
  </si>
  <si>
    <t>16.77"</t>
  </si>
  <si>
    <t>49.88"</t>
  </si>
  <si>
    <t>47.24"</t>
  </si>
  <si>
    <t>53.15"</t>
  </si>
  <si>
    <t>Atlas Console Table</t>
  </si>
  <si>
    <t>https://dd3ka9h4chfr8.cloudfront.net/image/725136000567/image_m8qmq453dp4l1fh6q0gk44vu7q/-FJPG/239183-002_FRT_1.jpg;https://dd3ka9h4chfr8.cloudfront.net/image/725136000567/image_ebu3toajsh3bfck1gosa7n0q5a/-FJPG/239183-002_PRM_1.jpg;https://dd3ka9h4chfr8.cloudfront.net/image/725136000567/image_kg0o565so12qfatefie0eruo34/-FJPG/239183-002_SID_1.jpg;https://dd3ka9h4chfr8.cloudfront.net/image/725136000567/image_r7eoapptoh5th1n8ghfbjnor0e/-FJPG/239183-002_ESS.tif;https://dd3ka9h4chfr8.cloudfront.net/image/725136000567/image_60eku6sgb91g90tvmv4jer9h1c/-FJPG/239183-002_DET_2.jpg;https://dd3ka9h4chfr8.cloudfront.net/image/725136000567/image_fbievpqe6d6ab9pa0hifebm650/-FJPG/239183-002_BCK_1.jpg;https://dd3ka9h4chfr8.cloudfront.net/image/725136000567/image_in946didnt2br0lbtemrvl742d/-FJPG/239183-002_DET_1.jpg;https://dd3ka9h4chfr8.cloudfront.net/image/725136000567/image_inpcb0dn1t77lb1s0q0fl8fj70/-FJPG/239183-002_DET_3.jpg;https://dd3ka9h4chfr8.cloudfront.net/image/725136000567/image_f0icpanvkp1g1ej151mp2h9d5b/-FJPG/239183-002_DET_4.jpg;https://dd3ka9h4chfr8.cloudfront.net/image/725136000567/image_7m4ej0mrat487d65qhtcfp8a4i/-FJPG/239183-002_DET_5.jpg</t>
  </si>
  <si>
    <t>Bleached Alder</t>
  </si>
  <si>
    <t>239183-002</t>
  </si>
  <si>
    <t>136.46</t>
  </si>
  <si>
    <t>https://dd3ka9h4chfr8.cloudfront.net/image/725136000567/image_m8qmq453dp4l1fh6q0gk44vu7q/-FJPG/239183-002_FRT_1.jpg</t>
  </si>
  <si>
    <t>["Resawn Alder Veneer"]</t>
  </si>
  <si>
    <t>22</t>
  </si>
  <si>
    <t>{"value":22,"unit":"in"}</t>
  </si>
  <si>
    <t>Bleached alder shapes a streamlined console table, with angular lines and wide proportions for a clean look with substance.</t>
  </si>
  <si>
    <t>Top</t>
  </si>
  <si>
    <t>{"value":101.18,"unit":"in"}</t>
  </si>
  <si>
    <t>{"value":29.13,"unit":"in"}</t>
  </si>
  <si>
    <t>{"value":109.13,"unit":"lb"}</t>
  </si>
  <si>
    <t>Base, Hardware, Ai</t>
  </si>
  <si>
    <t>{"value":43.78,"unit":"in"}</t>
  </si>
  <si>
    <t>{"value":23.62,"unit":"in"}</t>
  </si>
  <si>
    <t>{"value":34.06,"unit":"in"}</t>
  </si>
  <si>
    <t>{"value":93.7,"unit":"lb"}</t>
  </si>
  <si>
    <t>Atlas</t>
  </si>
  <si>
    <t>28.00"</t>
  </si>
  <si>
    <t>40.00"</t>
  </si>
  <si>
    <t>11.00"</t>
  </si>
  <si>
    <t>https://dd3ka9h4chfr8.cloudfront.net/image/725136000567/image_t1hk0v0cl52albtnfdk0s3r53o/-FJPG/239183-001_FRT_1.jpg;https://dd3ka9h4chfr8.cloudfront.net/image/725136000567/image_phv3st9p85415c79p8b8ege32j/-FJPG/239183-001_PRM_1.jpg;https://dd3ka9h4chfr8.cloudfront.net/image/725136000567/image_qqc38uo23p4hh3h9cf2cnhqu6a/-FJPG/239183-001_SID_1.jpg;https://dd3ka9h4chfr8.cloudfront.net/image/725136000567/image_p0mjmgdjh12sv8dad9ioe4ik0o/-FJPG/239183-001_ESS_1.tif;https://dd3ka9h4chfr8.cloudfront.net/image/725136000567/image_puv758abuh0sn2st8hbnr4hj0s/-FJPG/239183-001_DET_2.jpg;https://dd3ka9h4chfr8.cloudfront.net/image/725136000567/image_opnv9jqi7l1e14rhsgu7emd80h/-FJPG/239183-001_BCK_1.jpg;https://dd3ka9h4chfr8.cloudfront.net/image/725136000567/image_023r25ee0974lcd0ae243bud60/-FJPG/239183-001_DET_1.jpg;https://dd3ka9h4chfr8.cloudfront.net/image/725136000567/image_a6222fnuvl7adfpv07tfv2n00h/-FJPG/239183-001_DET_3.jpg;https://dd3ka9h4chfr8.cloudfront.net/image/725136000567/image_8a8h832gmt0qp4v5adlge0b97l/-FJPG/239183-001_TOP_1.jpg;https://dd3ka9h4chfr8.cloudfront.net/image/725136000567/image_chn1kp016p64lbg6qs8cnoan2j/-FJPG/239183-001_DET_4.jpg;https://dd3ka9h4chfr8.cloudfront.net/image/725136000567/image_51vjtbo17d0a911fm2le4k7l72/-FJPG/239183-001_DET_5.jpg;https://dd3ka9h4chfr8.cloudfront.net/image/725136000567/image_p1cjdevg0l44v9fjiam31fno3e/-FJPG/239183-001_DET_6.jpg;https://dd3ka9h4chfr8.cloudfront.net/image/725136000567/image_q2g3327gi507p7m0he142gmv5s/-FJPG/239183-001_DET_7.jpg;https://dd3ka9h4chfr8.cloudfront.net/image/725136000567/image_bdorq40pkp0l79ao4m9j1qs35p/-FJPG/239183-001_DET_9.tif;https://dd3ka9h4chfr8.cloudfront.net/image/725136000567/image_nd22i7pleh4ab6ht3mqtr44j7n/-FJPG/239183-001_DET_10.tif;https://dd3ka9h4chfr8.cloudfront.net/image/725136000567/image_c91dud4td97br7klfsvak3666l/-FJPG/FHMPRJ-007_SCENE_6_V2.tif</t>
  </si>
  <si>
    <t>Smoked Alder</t>
  </si>
  <si>
    <t>239183-001</t>
  </si>
  <si>
    <t>136.35</t>
  </si>
  <si>
    <t>https://dd3ka9h4chfr8.cloudfront.net/image/725136000567/image_t1hk0v0cl52albtnfdk0s3r53o/-FJPG/239183-001_FRT_1.jpg</t>
  </si>
  <si>
    <t>Smoked alder shapes a streamlined console table, with angular lines and wide proportions for a clean look with substance.</t>
  </si>
  <si>
    <t>https://dd3ka9h4chfr8.cloudfront.net/image/725136000567/image_393oqh9pap4aba5ebos7tpht3a/-FJPG/247001-001_FRT_1.jpg;https://dd3ka9h4chfr8.cloudfront.net/image/725136000567/image_8s1vo1iicp5u942llmpsi8sn0u/-FJPG/247001-001_PRM_1.jpg;https://dd3ka9h4chfr8.cloudfront.net/image/725136000567/image_41g1nh4fqt0evatdlmmcbt3l3u/-FJPG/247001-001_SID_1.jpg;https://dd3ka9h4chfr8.cloudfront.net/image/725136000567/image_6gifpc7ld16f5d4epmqidtme6k/-FJPG/247001-001_ESS.tif;https://dd3ka9h4chfr8.cloudfront.net/image/725136000567/image_q0voens7gt4o73nkbapt77sv34/-FJPG/247001-001_DET_2.jpg;https://dd3ka9h4chfr8.cloudfront.net/image/725136000567/image_dq0sa3fv9h6a10qv0fsj1mpp73/-FJPG/247001-001_BCK_1.jpg;https://dd3ka9h4chfr8.cloudfront.net/image/725136000567/image_vgp9hcu9411jf9db0isalqd51v/-FJPG/247001-001_DET_1.jpg;https://dd3ka9h4chfr8.cloudfront.net/image/725136000567/image_0erp527f9d04f9j4p9p5b3n43c/-FJPG/247001-001_DET_3.jpg;https://dd3ka9h4chfr8.cloudfront.net/image/725136000567/image_3tvnfgsp6175p7qj2jkrn4b07a/-FJPG/247001-001_TOP_1.jpg;https://dd3ka9h4chfr8.cloudfront.net/image/725136000567/image_b5r9nq7ivl29p25gfr1skgmt05/-FJPG/247001-001_DET_4.jpg</t>
  </si>
  <si>
    <t>247001-001</t>
  </si>
  <si>
    <t>101.41</t>
  </si>
  <si>
    <t>https://dd3ka9h4chfr8.cloudfront.net/image/725136000567/image_393oqh9pap4aba5ebos7tpht3a/-FJPG/247001-001_FRT_1.jpg</t>
  </si>
  <si>
    <t>Smoked alder shapes a streamlined console table, with angular lines and dramatically wide proportions for a clean, substantial look.</t>
  </si>
  <si>
    <t>{"value":76.38,"unit":"in"}</t>
  </si>
  <si>
    <t>{"value":67.57,"unit":"lb"}</t>
  </si>
  <si>
    <t>Bases</t>
  </si>
  <si>
    <t>{"value":84.99,"unit":"lb"}</t>
  </si>
  <si>
    <t>14.00"</t>
  </si>
  <si>
    <t>11.50"</t>
  </si>
  <si>
    <t>Audie Swivel Chair</t>
  </si>
  <si>
    <t>https://dd3ka9h4chfr8.cloudfront.net/image/725136000567/image_0ana3tl8pp6td8r4h1ef6dgl3f/-FJPG/226408-005_FRT_1.jpg;https://dd3ka9h4chfr8.cloudfront.net/image/725136000567/image_o7cpcgt9s16b144irs7e2u7l4o/-FJPG/226408-005_PRM_1.jpg;https://dd3ka9h4chfr8.cloudfront.net/image/725136000567/image_oaou32ce357u14lnbhkpg8ep36/-FJPG/226408-005_SID_1.jpg;https://dd3ka9h4chfr8.cloudfront.net/image/725136000567/image_rigkdljchd1pbai7tv3np2je2t/-FJPG/226408-005_ESS_1.jpg;https://dd3ka9h4chfr8.cloudfront.net/image/725136000567/image_94i2ullm0l27h9c9bjt5l8aj1d/-FJPG/226408-005_DET_2.jpg;https://dd3ka9h4chfr8.cloudfront.net/image/725136000567/image_7o9fh4jb057r56bdsm8o2a9s20/-FJPG/226408-005_BCK_1.jpg;https://dd3ka9h4chfr8.cloudfront.net/image/725136000567/image_s617rj0n956fv85h4d9bj6pu13/-FJPG/Color Variance Card_Heirloom Sienna.png;https://dd3ka9h4chfr8.cloudfront.net/image/725136000567/image_ifu8ef02ah5et6spigec6gq62n/-FJPG/226408-005_DET_1.jpg;https://dd3ka9h4chfr8.cloudfront.net/image/725136000567/image_k2titpbrbl1v1e3dkjvr5n6951/-FJPG/226408-005_DET_3.jpg;https://dd3ka9h4chfr8.cloudfront.net/image/725136000567/image_rolg8geoeh7i79nacv87755n2v/-FJPG/226408-005_DET_4.jpg;https://dd3ka9h4chfr8.cloudfront.net/image/725136000567/image_t6jkcp1h095in6a84sq2s45m2n/-FJPG/226408-005_DET_5.jpg;https://dd3ka9h4chfr8.cloudfront.net/image/725136000567/image_vd442hu0st6nfb26gcgbfni048/-FJPG/226408-005_DET_6.jpg</t>
  </si>
  <si>
    <t>Heirloom Sienna</t>
  </si>
  <si>
    <t>226408-005</t>
  </si>
  <si>
    <t>66.14</t>
  </si>
  <si>
    <t>https://dd3ka9h4chfr8.cloudfront.net/image/725136000567/image_0ana3tl8pp6td8r4h1ef6dgl3f/-FJPG/226408-005_FRT_1.jpg</t>
  </si>
  <si>
    <t>["Top Grain Leather"]</t>
  </si>
  <si>
    <t>For a new spin on traditional barrel seating, tailored top-grain leather and dramatic channeling make a major style statement. Hidden 360-degree swivel adds a modern finishing touch. Sourced from one of the oldest family-owned tanneries in Italyâ€™s Bassano del Grappa, our heirloom leather is salvaged and processed from upcycled hides featuring an abundance of natural markings, scars and color variations. The result? Supple, buttery-soft hides with an unmatched depth of color and authentic lived-in look.</t>
  </si>
  <si>
    <t>{"value":38.39,"unit":"in"}</t>
  </si>
  <si>
    <t>22.83"</t>
  </si>
  <si>
    <t>16.93"</t>
  </si>
  <si>
    <t>Swivel</t>
  </si>
  <si>
    <t>Audie</t>
  </si>
  <si>
    <t>1.57"</t>
  </si>
  <si>
    <t>12.40"</t>
  </si>
  <si>
    <t>Channeled</t>
  </si>
  <si>
    <t>360-degree swivel</t>
  </si>
  <si>
    <t>https://dd3ka9h4chfr8.cloudfront.net/image/725136000567/image_b70qpf2b690rbdkkc15b5aq85r/-FJPG/226408-007_FRT_1.jpg;https://dd3ka9h4chfr8.cloudfront.net/image/725136000567/image_tp40g71k7966vb3cales2cen32/-FJPG/226408-007_PRM_1.jpg;https://dd3ka9h4chfr8.cloudfront.net/image/725136000567/image_bjul42onol4qf1utcd0apum74c/-FJPG/226408-007_SID_1.jpg;https://dd3ka9h4chfr8.cloudfront.net/image/725136000567/image_5pn5oh8j5h7jv2a92q54m2o57r/-FJPG/226408-007_ESS_1.jpg;https://dd3ka9h4chfr8.cloudfront.net/image/725136000567/image_24m2p1ldml5cnbkveoeqouou26/-FJPG/226408-007_DET_2.jpg;https://dd3ka9h4chfr8.cloudfront.net/image/725136000567/image_lvc8c1c5351s18t3kul9s2un2f/-FJPG/226408-007_BCK_1.jpg;https://dd3ka9h4chfr8.cloudfront.net/image/725136000567/image_n7m0b4dd1134teh7ho1k7qnj4b/-FJPG/226408-007_DET_1.jpg;https://dd3ka9h4chfr8.cloudfront.net/image/725136000567/image_0598ij502h6nlf75rjp7cs0n4g/-FJPG/226408-007_DET_3.jpg;https://dd3ka9h4chfr8.cloudfront.net/image/725136000567/image_ra6batol956epc2hgbp80s6n7e/-FJPG/226408-007_DET_4.jpg;https://dd3ka9h4chfr8.cloudfront.net/image/725136000567/image_6p8s7r79sl57bahb31dnrd0e69/-FJPG/226408-007_DET_5.jpg</t>
  </si>
  <si>
    <t>Surrey Olive</t>
  </si>
  <si>
    <t>226408-007</t>
  </si>
  <si>
    <t>https://dd3ka9h4chfr8.cloudfront.net/image/725136000567/image_b70qpf2b690rbdkkc15b5aq85r/-FJPG/226408-007_FRT_1.jpg</t>
  </si>
  <si>
    <t>["76.8% Cotton","23.2% Polyester"]</t>
  </si>
  <si>
    <t>Velvety olive fabric and dramatic channeling make update traditional barrel seating while a hidden 360-degree swivel adds a modern finishing touch. Fabric features subtle highs and lows that change in appearance depending on the direction of the fabric's nap.</t>
  </si>
  <si>
    <t>Augustine 3-Piece Sectional</t>
  </si>
  <si>
    <t>https://dd3ka9h4chfr8.cloudfront.net/image/725136000567/image_vvqg5ns1dp7cb4v4gdoaigdc6d/-FJPG/234067-006_FRT_1.JPG;https://dd3ka9h4chfr8.cloudfront.net/image/725136000567/image_s3lci2oid564d14j2sl131ga4q/-FJPG/234067-006_PRM_1.JPG;https://dd3ka9h4chfr8.cloudfront.net/image/725136000567/image_l36rcqo22t6o3103sb157h3c2t/-FJPG/234067-006_SID_1.JPG;https://dd3ka9h4chfr8.cloudfront.net/image/725136000567/image_is44ttpvvh6ll55vl8ve0lhf20/-FJPG/234067-006_BCK_1.JPG;https://dd3ka9h4chfr8.cloudfront.net/image/725136000567/image_3tamlq9bjp0n7a3l6tmphovd0d/-FJPG/234067-006_DET_1.JPG</t>
  </si>
  <si>
    <t>Crypton Nomad Taupe</t>
  </si>
  <si>
    <t>234067-006</t>
  </si>
  <si>
    <t>249.13</t>
  </si>
  <si>
    <t>https://dd3ka9h4chfr8.cloudfront.net/image/725136000567/image_vvqg5ns1dp7cb4v4gdoaigdc6d/-FJPG/234067-006_FRT_1.JPG</t>
  </si>
  <si>
    <t>["92% Polyester","8% Flax/Linen"]</t>
  </si>
  <si>
    <t>105.5</t>
  </si>
  <si>
    <t>{"value":105.5,"unit":"in"}</t>
  </si>
  <si>
    <t>26.5</t>
  </si>
  <si>
    <t>{"value":26.5,"unit":"in"}</t>
  </si>
  <si>
    <t>Grayson</t>
  </si>
  <si>
    <t>Sectionals</t>
  </si>
  <si>
    <t>L- Shaped</t>
  </si>
  <si>
    <t>Neutral performance fabric features dramatic channeling, for total texture and a linear look. Free of PFAS, soft and easy to clean, Crypton® performance fabric is specially engineered for protection against stains, moisture and odor.</t>
  </si>
  <si>
    <t>{"value":72.05,"unit":"in"}</t>
  </si>
  <si>
    <t>Corner 3 Piece</t>
  </si>
  <si>
    <t>["Corner 3 Piece"]</t>
  </si>
  <si>
    <t>Augustine</t>
  </si>
  <si>
    <t>875 lb</t>
  </si>
  <si>
    <t>{"value":875,"unit":"lb"}</t>
  </si>
  <si>
    <t>Alligator Clip</t>
  </si>
  <si>
    <t>L-Shaped</t>
  </si>
  <si>
    <t>https://dd3ka9h4chfr8.cloudfront.net/image/725136000567/image_oe9sfom9353894df60fjfrr30d/-FJPG/234067-003_FRT_1.jpg;https://dd3ka9h4chfr8.cloudfront.net/image/725136000567/image_n6jsvnfb0t6b17i2dqvtovtp01/-FJPG/234067-003_PRM_1.jpg;https://dd3ka9h4chfr8.cloudfront.net/image/725136000567/image_adcnrfndnp5894u87pu7ud0h0g/-FJPG/234067-003_SID_1.jpg;https://dd3ka9h4chfr8.cloudfront.net/image/725136000567/image_gv008rihvp45p59e78ba13265h/-FJPG/234067-003_ESS_1.jpg;https://dd3ka9h4chfr8.cloudfront.net/image/725136000567/image_70in9hek4l15d33orl0609bn1a/-FJPG/234067-003_BCK_1.jpg;https://dd3ka9h4chfr8.cloudfront.net/image/725136000567/image_j545j1bjhp2vv2ug9d55fvv54e/-FJPG/234067-003_TOP_1.jpg</t>
  </si>
  <si>
    <t>Deacon Wolf</t>
  </si>
  <si>
    <t>234067-003</t>
  </si>
  <si>
    <t>https://dd3ka9h4chfr8.cloudfront.net/image/725136000567/image_oe9sfom9353894df60fjfrr30d/-FJPG/234067-003_FRT_1.jpg</t>
  </si>
  <si>
    <t>A dramatically channeled sofa wrapped in dark top-grain leather creates a mature, clean look inspired by modern menswear. This three-piece sectional is perfectly sized for smaller spaces.</t>
  </si>
  <si>
    <t>https://dd3ka9h4chfr8.cloudfront.net/image/725136000567/image_civ2hnlc9h70t1lvunqptcuu65/-FJPG/234067-002_FRT_1.jpg;https://dd3ka9h4chfr8.cloudfront.net/image/725136000567/image_bmb0l5qpj52bb4abdn1bjcvs65/-FJPG/234067-002_PRM_1.jpg;https://dd3ka9h4chfr8.cloudfront.net/image/725136000567/image_josnse1ahh5gl0u7pok3id1i6q/-FJPG/234067-002_SID_1.jpg;https://dd3ka9h4chfr8.cloudfront.net/image/725136000567/image_qi2skrb6g92lhfjqm3v3gfd33j/-FJPG/234067-002_ESS_1.jpg;https://dd3ka9h4chfr8.cloudfront.net/image/725136000567/image_oqqmg72e1p22hcruqcjeecjv7p/-FJPG/234067-002_BCK_1.jpg;https://dd3ka9h4chfr8.cloudfront.net/image/725136000567/image_m6h7bi1r9d0r75sp0h5agbjb72/-FJPG/234067-002_INF_1.jpg;https://dd3ka9h4chfr8.cloudfront.net/image/725136000567/image_kofqu7i76l3kb6fcn60hfm2d2t/-FJPG/234067-002_TOP_1.jpg</t>
  </si>
  <si>
    <t>Dover Crescent</t>
  </si>
  <si>
    <t>234067-002</t>
  </si>
  <si>
    <t>https://dd3ka9h4chfr8.cloudfront.net/image/725136000567/image_civ2hnlc9h70t1lvunqptcuu65/-FJPG/234067-002_FRT_1.jpg</t>
  </si>
  <si>
    <t>["71% Viscose (Rayon)","17% Polyester","12% Flax/Linen"]</t>
  </si>
  <si>
    <t>A dramatically channeled sofa with white linen-blend upholstery offers a crisp, clean look and sumptuous sit. Three-piece L sectional, perfectly sized for smaller spaces.</t>
  </si>
  <si>
    <t>https://dd3ka9h4chfr8.cloudfront.net/image/725136000567/image_atm8pd29rl6bv50lpm9i27da2l/-FJPG/234067-001_FRT_1.jpg;https://dd3ka9h4chfr8.cloudfront.net/image/725136000567/image_lome9gvggd0uhemfr93ngrnv5k/-FJPG/234067-001_PRM_1.jpg;https://dd3ka9h4chfr8.cloudfront.net/image/725136000567/image_fbksfpnk7p74b1lq578150966s/-FJPG/234067-001_SID_1.jpg;https://dd3ka9h4chfr8.cloudfront.net/image/725136000567/image_ebr3jqh5ap7u3e1d8djlbms801/-FJPG/234067-001_ESS_1.jpg;https://dd3ka9h4chfr8.cloudfront.net/image/725136000567/image_geqktm1qfh44p64539jr510h2f/-FJPG/234067-001_BCK_1.jpg;https://dd3ka9h4chfr8.cloudfront.net/image/725136000567/image_afq7cr59u978p4vsn7tlp53n54/-FJPG/234067-001_TOP_1.jpg</t>
  </si>
  <si>
    <t>Orly Natural</t>
  </si>
  <si>
    <t>234067-001</t>
  </si>
  <si>
    <t>https://dd3ka9h4chfr8.cloudfront.net/image/725136000567/image_atm8pd29rl6bv50lpm9i27da2l/-FJPG/234067-001_FRT_1.jpg</t>
  </si>
  <si>
    <t>["100% Polyester"]</t>
  </si>
  <si>
    <t>A dramatically channeled sofa with textural grey upholstery offers a crisp, clean look inspired by modern menswear. This three-piece sectional is perfectly sized for smaller spaces.</t>
  </si>
  <si>
    <t>https://dd3ka9h4chfr8.cloudfront.net/image/725136000567/image_domojqkrgl5735kojdieamvc68/-FJPG/234067-005_FRT_1.jpg;https://dd3ka9h4chfr8.cloudfront.net/image/725136000567/image_bab2ps17s53c90tc5kuffu4e6r/-FJPG/234067-005_PRM_1.jpg;https://dd3ka9h4chfr8.cloudfront.net/image/725136000567/image_7gima1lvdt59rempt5v3hkpd0b/-FJPG/234067-005_SID_1.jpg;https://dd3ka9h4chfr8.cloudfront.net/image/725136000567/image_soq8lva3kt02n7sfsfn81has67/-FJPG/234067-005_ESS_1.jpg;https://dd3ka9h4chfr8.cloudfront.net/image/725136000567/image_9lqik2a9j133f3sqtdv3i3gm7r/-FJPG/234067-005_BCK_1.jpg;https://dd3ka9h4chfr8.cloudfront.net/image/725136000567/image_e9uvp7c7dl50716n2pcoaqh57n/-FJPG/234067-005_TOP_1.jpg</t>
  </si>
  <si>
    <t>Palermo Drift</t>
  </si>
  <si>
    <t>234067-005</t>
  </si>
  <si>
    <t>https://dd3ka9h4chfr8.cloudfront.net/image/725136000567/image_domojqkrgl5735kojdieamvc68/-FJPG/234067-005_FRT_1.jpg</t>
  </si>
  <si>
    <t>A dramatically channeled sofa wrapped in a tan top-grain leather creates a mature, clean look inspired by modern menswear. This three-piece sectional is perfectly sized for smaller spaces.</t>
  </si>
  <si>
    <t>https://dd3ka9h4chfr8.cloudfront.net/image/725136000567/image_8l4e2qm5kl2jj8tleljpegie5e/-FJPG/234067-004_FRT_1.jpeg;https://dd3ka9h4chfr8.cloudfront.net/image/725136000567/image_j6vljf8q0p4k9d1qj5bkp8356i/-FJPG/234067-004_FRT_1.jpg;https://dd3ka9h4chfr8.cloudfront.net/image/725136000567/image_mfj98o7t2t0nhen0lavoid5k21/-FJPG/234067-004_PRM_1.jpeg;https://dd3ka9h4chfr8.cloudfront.net/image/725136000567/image_rqan2pfveh3j5abrkuajaq8h58/-FJPG/234067-004_PRM_1.jpg;https://dd3ka9h4chfr8.cloudfront.net/image/725136000567/image_ur0pb1iatp2kjbd1lo9el9vl0t/-FJPG/234067-004_SID_1.jpeg;https://dd3ka9h4chfr8.cloudfront.net/image/725136000567/image_ni6tc4gj5p7ef3ko4kq9ajh41a/-FJPG/234067-004_SID_1.jpg;https://dd3ka9h4chfr8.cloudfront.net/image/725136000567/image_4mgb97rod92ad3ne6s6eglqi77/-FJPG/234067-004_ESS_1.jpg;https://dd3ka9h4chfr8.cloudfront.net/image/725136000567/image_qgvaes5dsd1rj618vbnc5lar28/-FJPG/234067-004_BCK_1.jpg;https://dd3ka9h4chfr8.cloudfront.net/image/725136000567/image_3cus1buqvp0irdcr26rvo3sa7c/-FJPG/234067-004_BCK_1.jpeg;https://dd3ka9h4chfr8.cloudfront.net/image/725136000567/image_tscemi109h7sb0o4gfqa8c7p04/-FJPG/234067-004_TOP_1.jpg;https://dd3ka9h4chfr8.cloudfront.net/image/725136000567/image_hodqp24hrl0qp88pgc22p7kr0f/-FJPG/234067-004_TOP_1.jpeg</t>
  </si>
  <si>
    <t>Sapphire Navy</t>
  </si>
  <si>
    <t>234067-004</t>
  </si>
  <si>
    <t>https://dd3ka9h4chfr8.cloudfront.net/image/725136000567/image_8l4e2qm5kl2jj8tleljpegie5e/-FJPG/234067-004_FRT_1.jpeg</t>
  </si>
  <si>
    <t>["95% Polyester","5% Cotton"]</t>
  </si>
  <si>
    <t>Velvety poly-blend seating features heavy channeling and rich navy hue. Three-piece sectional, perfect for lounging and entertaining in smaller-scale spaces.</t>
  </si>
  <si>
    <t>Augustine Bench</t>
  </si>
  <si>
    <t>https://dd3ka9h4chfr8.cloudfront.net/image/725136000567/image_8ep9jkvg9h0utc5kf8ik5tb42m/-FJPG/230152-001_FRT_1.jpg;https://dd3ka9h4chfr8.cloudfront.net/image/725136000567/image_hvqqiivp4116rd7iqgcuk7n97i/-FJPG/230152-001_PRM_1.jpg;https://dd3ka9h4chfr8.cloudfront.net/image/725136000567/image_nt98mj88s11g5bnn45ji1rrv6n/-FJPG/230152-001_SID_1.jpg;https://dd3ka9h4chfr8.cloudfront.net/image/725136000567/image_77g4a5akp12pf4gkipjmoncu66/-FJPG/230152-001_ESS.tif;https://dd3ka9h4chfr8.cloudfront.net/image/725136000567/image_m9ip8jofch5dv87f90e9pl6o7l/-FJPG/230152-001_DET_2.jpg;https://dd3ka9h4chfr8.cloudfront.net/image/725136000567/image_gohehrvnkh1519bh2d4bko0a2u/-FJPG/230152-001_DET_1.jpg;https://dd3ka9h4chfr8.cloudfront.net/image/725136000567/image_fqlmi78mjd3ovcckvrt3s17g39/-FJPG/230152-001_DET_3.jpg;https://dd3ka9h4chfr8.cloudfront.net/image/725136000567/image_jfrr0svnbp3mv0soaigdmqd21m/-FJPG/230152-001_TOP_1.jpg;https://dd3ka9h4chfr8.cloudfront.net/image/725136000567/image_69bau4so8h2sjb3t068aoa7714/-FJPG/230152-001_DET_4.jpg;https://dd3ka9h4chfr8.cloudfront.net/image/725136000567/image_0c64nb2ku94tpc5nktohev5q4c/-FJPG/230152-001_DET_5.jpg;https://dd3ka9h4chfr8.cloudfront.net/image/725136000567/image_es9pi2ntlh7q525t34ss9osc4l/-FJPG/230152-001_DET_6.jpg</t>
  </si>
  <si>
    <t>230152-001</t>
  </si>
  <si>
    <t>49.6</t>
  </si>
  <si>
    <t>https://dd3ka9h4chfr8.cloudfront.net/image/725136000567/image_8ep9jkvg9h0utc5kf8ik5tb42m/-FJPG/230152-001_FRT_1.jpg</t>
  </si>
  <si>
    <t>61</t>
  </si>
  <si>
    <t>{"value":61,"unit":"in"}</t>
  </si>
  <si>
    <t>21</t>
  </si>
  <si>
    <t>{"value":21,"unit":"in"}</t>
  </si>
  <si>
    <t>Versatile accent bench. Layer in an extra surface or added seating by way of a top-grain leather bench in a rich deep brown with dramatic channeling for great texture.</t>
  </si>
  <si>
    <t>Completer Item</t>
  </si>
  <si>
    <t>{"value":62.6,"unit":"in"}</t>
  </si>
  <si>
    <t>{"value":19.69,"unit":"in"}</t>
  </si>
  <si>
    <t>{"value":62.83,"unit":"lb"}</t>
  </si>
  <si>
    <t>61.00"</t>
  </si>
  <si>
    <t>51.00"</t>
  </si>
  <si>
    <t>https://dd3ka9h4chfr8.cloudfront.net/image/725136000567/image_17gsglkcmp1rv23i1amvps3b2p/-FJPG/230152-003_FRT_1.JPG;https://dd3ka9h4chfr8.cloudfront.net/image/725136000567/image_7bie1unkll7gd73e7gfbpogf3k/-FJPG/230152-003_PRM_1.JPG;https://dd3ka9h4chfr8.cloudfront.net/image/725136000567/image_donvriljmt20bdghith6cam332/-FJPG/230152-003_SID_1.JPG;https://dd3ka9h4chfr8.cloudfront.net/image/725136000567/image_vbemi1ro0l7qf6b27no47rmq3f/-FJPG/230152-003_ESS.tif;https://dd3ka9h4chfr8.cloudfront.net/image/725136000567/image_dgbeahas992ff77p0hgt1bdf4b/-FJPG/230152-003_DET_2.JPG;https://dd3ka9h4chfr8.cloudfront.net/image/725136000567/image_i8ru9juu752kb9nfoca7qtg34n/-FJPG/230152-003_DET_1.JPG;https://dd3ka9h4chfr8.cloudfront.net/image/725136000567/image_d0fnndl89h27b247v3fj90ef2l/-FJPG/230152-003_DET_3.JPG;https://dd3ka9h4chfr8.cloudfront.net/image/725136000567/image_b4850789mp2vp1odk6m1cume5j/-FJPG/230152-003_DET_4.JPG;https://dd3ka9h4chfr8.cloudfront.net/image/725136000567/image_3coohldl0p1od9khv6it0jtu31/-FJPG/230152-003_PRM_2.JPG</t>
  </si>
  <si>
    <t>230152-003</t>
  </si>
  <si>
    <t>https://dd3ka9h4chfr8.cloudfront.net/image/725136000567/image_17gsglkcmp1rv23i1amvps3b2p/-FJPG/230152-003_FRT_1.JPG</t>
  </si>
  <si>
    <t>Versatile accent bench. Layer in an extra surface or added seating by way of a velvet-like bench in a crisp, clean navy with dramatic channeling for great texture.</t>
  </si>
  <si>
    <t>https://dd3ka9h4chfr8.cloudfront.net/image/725136000567/image_e90u2adbm56rbc9b8rd9euuq02/-FJPG/230152-004_FRT_1.jpg;https://dd3ka9h4chfr8.cloudfront.net/image/725136000567/image_vl2iivags509nb2asvakhmrq1m/-FJPG/230152-004_PRM_1.jpg;https://dd3ka9h4chfr8.cloudfront.net/image/725136000567/image_cpvgutag215srdp4ffpp58qc5l/-FJPG/230152-004_SID_1.jpg;https://dd3ka9h4chfr8.cloudfront.net/image/725136000567/image_3ob6aqfqeh1nb4tm4qjgs2qc6n/-FJPG/230152-004_ESS_1.jpg;https://dd3ka9h4chfr8.cloudfront.net/image/725136000567/image_omhuurb4ap16h6pr9lar6ls935/-FJPG/230152-004_DET_2.jpg;https://dd3ka9h4chfr8.cloudfront.net/image/725136000567/image_l22atg3cmp0kp4qe05ob8t262t/-FJPG/230152-004_DET_1.jpg;https://dd3ka9h4chfr8.cloudfront.net/image/725136000567/image_621ou83m4t3u55of4a71ra9c1u/-FJPG/230152-004_DET_3.jpg;https://dd3ka9h4chfr8.cloudfront.net/image/725136000567/image_is4qp8vq7120lfhrassbr3l054/-FJPG/230152-004_DET_4.jpg;https://dd3ka9h4chfr8.cloudfront.net/image/725136000567/image_9ctunik68100t5fu1gsijccu7j/-FJPG/230152-004_DET_5.jpg;https://dd3ka9h4chfr8.cloudfront.net/image/725136000567/image_1drt0b5k9d36he84srtpg75774/-FJPG/230152-004_DET_6.jpg</t>
  </si>
  <si>
    <t>Surrey Auburn</t>
  </si>
  <si>
    <t>230152-004</t>
  </si>
  <si>
    <t>https://dd3ka9h4chfr8.cloudfront.net/image/725136000567/image_e90u2adbm56rbc9b8rd9euuq02/-FJPG/230152-004_FRT_1.jpg</t>
  </si>
  <si>
    <t>Versatile accent bench. Layer in an extra surface or added seating by way of a velvet-like bench in a rich auburn hue with dramatic channeling for great texture.</t>
  </si>
  <si>
    <t>Augustine Ottoman-21"</t>
  </si>
  <si>
    <t>https://dd3ka9h4chfr8.cloudfront.net/image/725136000567/image_e03geddjl95nt6lspql0h1qd78/-FJPG/108563-016_FRT_1.JPG;https://dd3ka9h4chfr8.cloudfront.net/image/725136000567/image_rg7ma4u5l948n95e3sf35fgi6p/-FJPG/108563-016_PRM_1.JPG;https://dd3ka9h4chfr8.cloudfront.net/image/725136000567/image_fhc24ogful0s19jkod5uh3pl6f/-FJPG/108563-016_SID_1.JPG;https://dd3ka9h4chfr8.cloudfront.net/image/725136000567/image_hmvvonp5jp483cup29qkndgt4t/-FJPG/108563-016_DET_2.JPG;https://dd3ka9h4chfr8.cloudfront.net/image/725136000567/image_0tf8irn7ql0uh3jv36vdddmr52/-FJPG/108563-016_DET_1.JPG;https://dd3ka9h4chfr8.cloudfront.net/image/725136000567/image_52h7lr43t976j49t397ne8g61v/-FJPG/108563-016_DET_3.JPG;https://dd3ka9h4chfr8.cloudfront.net/image/725136000567/image_bgtc96a8e908t8nllp9tqm8o04/-FJPG/108563-016_DET_4.JPG;https://dd3ka9h4chfr8.cloudfront.net/image/725136000567/image_5a81fbibmt1b344g2jnmtchp6u/-FJPG/108563-016_DET_5.JPG</t>
  </si>
  <si>
    <t>108563-016</t>
  </si>
  <si>
    <t>24.91</t>
  </si>
  <si>
    <t>https://dd3ka9h4chfr8.cloudfront.net/image/725136000567/image_e03geddjl95nt6lspql0h1qd78/-FJPG/108563-016_FRT_1.JPG</t>
  </si>
  <si>
    <t>Layer in an extra surface or seat with a channeled ottoman upholstered in a pet- and family-friendly performance fabric. Free of PFAS, soft and easy to clean, Crypton® performance fabric is specially engineered for protection against stains, moisture and odor.</t>
  </si>
  <si>
    <t>{"value":30.86,"unit":"lb"}</t>
  </si>
  <si>
    <t>21.50"</t>
  </si>
  <si>
    <t>Welted</t>
  </si>
  <si>
    <t>https://dd3ka9h4chfr8.cloudfront.net/image/725136000567/image_1hh9ni89qh03n8c91eicqvrc1f/-FJPG/108563-001_FRT_1.jpg;https://dd3ka9h4chfr8.cloudfront.net/image/725136000567/image_11iclhbcr12lldnae32g8bl31d/-FJPG/108563-001_PRM_1.jpg;https://dd3ka9h4chfr8.cloudfront.net/image/725136000567/image_sfitlng3rh2ifffcka9ctujr35/-FJPG/108563-001_SID_1.jpg;https://dd3ka9h4chfr8.cloudfront.net/image/725136000567/image_ah44bdego127p65n0vvc3o145p/-FJPG/108563-001_ESS_1.jpg;https://dd3ka9h4chfr8.cloudfront.net/image/725136000567/image_bdc31sh0lp7m316c9p50892c1q/-FJPG/108563-001_BCK_1.jpg;https://dd3ka9h4chfr8.cloudfront.net/image/725136000567/image_qjaud9fblt7c90aa0d6qos1u31/-FJPG/108563-001_TOP_1.jpg</t>
  </si>
  <si>
    <t>108563-001</t>
  </si>
  <si>
    <t>https://dd3ka9h4chfr8.cloudfront.net/image/725136000567/image_1hh9ni89qh03n8c91eicqvrc1f/-FJPG/108563-001_FRT_1.jpg</t>
  </si>
  <si>
    <t>Layer in an extra surface or added seating by way of a top-grain leather ottoman in a rich deep brown, with dramatic channeling for great texture.</t>
  </si>
  <si>
    <t>https://dd3ka9h4chfr8.cloudfront.net/image/725136000567/image_llntmrgkct18572eqqqeeja12h/-FJPG/108563-002_FRT_1.jpg;https://dd3ka9h4chfr8.cloudfront.net/image/725136000567/image_k54umlkbs93317ou0rscrka30p/-FJPG/108563-002_PRM_1.jpg;https://dd3ka9h4chfr8.cloudfront.net/image/725136000567/image_sqvt4123jd42jauisekr20487k/-FJPG/108563-002_SID_1.jpg;https://dd3ka9h4chfr8.cloudfront.net/image/725136000567/image_b7300enojl3oh7ccc75hq02p55/-FJPG/108563-002_ESS_1.jpg;https://dd3ka9h4chfr8.cloudfront.net/image/725136000567/image_5149neu3b1051b16iktf7ilg1j/-FJPG/108563-002_BCK_1.jpg;https://dd3ka9h4chfr8.cloudfront.net/image/725136000567/image_kv5kmm4ae11r78ntkenki0qa14/-FJPG/108563-002_INF_1.jpg;https://dd3ka9h4chfr8.cloudfront.net/image/725136000567/image_5qnp2qm5lt2r71rppl31pa5613/-FJPG/108563-002_TOP_1.jpg</t>
  </si>
  <si>
    <t>108563-002</t>
  </si>
  <si>
    <t>https://dd3ka9h4chfr8.cloudfront.net/image/725136000567/image_llntmrgkct18572eqqqeeja12h/-FJPG/108563-002_FRT_1.jpg</t>
  </si>
  <si>
    <t>Layer in an extra surface or added seating by way of a linen-blend ottoman in a crisp, clean off-white, with dramatic channeling for great texture.</t>
  </si>
  <si>
    <t>https://dd3ka9h4chfr8.cloudfront.net/image/725136000567/image_ggm9qs56jh6ab2ija0ch709n5c/-FJPG/108563-004_FRT_1.jpg;https://dd3ka9h4chfr8.cloudfront.net/image/725136000567/image_pdbvpk936t42raukpeekdkuc7n/-FJPG/108563-004_PRM_1.jpg;https://dd3ka9h4chfr8.cloudfront.net/image/725136000567/image_476qkoltv97fn3m2dijsja2m19/-FJPG/108563-004_SID_1.jpg;https://dd3ka9h4chfr8.cloudfront.net/image/725136000567/image_dbp51aqanp2dp21h2gmg7u2j64/-FJPG/108563-004_ESS_1.jpg;https://dd3ka9h4chfr8.cloudfront.net/image/725136000567/image_4o7oqbljcd06h8k69s6b5pi308/-FJPG/108563-004_BCK_1.jpg;https://dd3ka9h4chfr8.cloudfront.net/image/725136000567/image_9405sfv49p1kf0v7itg4s2nd7b/-FJPG/108563-004_TOP_1.jpg;https://dd3ka9h4chfr8.cloudfront.net/image/725136000567/image_9e5qusa68p6tf2ts4lddc0kr63/-FJPG/108563-004_DET_4.jpg;https://dd3ka9h4chfr8.cloudfront.net/image/725136000567/image_agh4n3g3ol779efv5oe6lg7n7c/-FJPG/108563-004_VIG_1.jpg</t>
  </si>
  <si>
    <t>108563-004</t>
  </si>
  <si>
    <t>https://dd3ka9h4chfr8.cloudfront.net/image/725136000567/image_ggm9qs56jh6ab2ija0ch709n5c/-FJPG/108563-004_FRT_1.jpg</t>
  </si>
  <si>
    <t>Layer in an extra surface or seat with a linen-blend ottoman in a crisp heathered grey, with heavy channeling for texture.</t>
  </si>
  <si>
    <t>https://dd3ka9h4chfr8.cloudfront.net/image/725136000567/image_8775tq1ucp4j7b5giat4tt6d04/-FJPG/108563-007_FRT_1.jpg;https://dd3ka9h4chfr8.cloudfront.net/image/725136000567/image_8mg09n7rod4271rmtolgmstt26/-FJPG/108563-007_PRM_1.jpg;https://dd3ka9h4chfr8.cloudfront.net/image/725136000567/image_b5emac1sl548vb0ea0apavll76/-FJPG/108563-007_SID_1.jpg;https://dd3ka9h4chfr8.cloudfront.net/image/725136000567/image_kgbvaojef11e33n86r5f6o126h/-FJPG/108563-007_ESS_1.jpg;https://dd3ka9h4chfr8.cloudfront.net/image/725136000567/image_s0gd8qc8211cdc71if19lusg2d/-FJPG/108563-007_BCK_1.jpg;https://dd3ka9h4chfr8.cloudfront.net/image/725136000567/image_b8sl7te34d60h5mdlr8ku2br1m/-FJPG/108563-007_TOP_1.jpg</t>
  </si>
  <si>
    <t>108563-007</t>
  </si>
  <si>
    <t>https://dd3ka9h4chfr8.cloudfront.net/image/725136000567/image_8775tq1ucp4j7b5giat4tt6d04/-FJPG/108563-007_FRT_1.jpg</t>
  </si>
  <si>
    <t>Layer in an extra surface or seat with  a channeled ottoman made from top-grain leather with a plump, pronounced grain.</t>
  </si>
  <si>
    <t>https://dd3ka9h4chfr8.cloudfront.net/image/725136000567/image_v7k6im7tv95opetdkjasqf9934/-FJPG/108563-005_FRT_1.jpg;https://dd3ka9h4chfr8.cloudfront.net/image/725136000567/image_2kgavf90p56s1d4d4plcqunr4u/-FJPG/108563-005_PRM_1.jpg;https://dd3ka9h4chfr8.cloudfront.net/image/725136000567/image_adb8j23v2t0in0ruq7dln4ma75/-FJPG/108563-005_SID_1.jpg;https://dd3ka9h4chfr8.cloudfront.net/image/725136000567/image_1mre21sqbt0cv0kpsdrja5vt2d/-FJPG/108563-005_ESS_1.jpg;https://dd3ka9h4chfr8.cloudfront.net/image/725136000567/image_8t8j3mrhgt23p9eppm383c6o51/-FJPG/108563-005_BCK_1.jpg;https://dd3ka9h4chfr8.cloudfront.net/image/725136000567/image_2cslfi96dl66935dlrrnvlp37f/-FJPG/108563-005_TOP_1.jpg</t>
  </si>
  <si>
    <t>108563-005</t>
  </si>
  <si>
    <t>https://dd3ka9h4chfr8.cloudfront.net/image/725136000567/image_v7k6im7tv95opetdkjasqf9934/-FJPG/108563-005_FRT_1.jpg</t>
  </si>
  <si>
    <t>Layer in an extra surface or seat with a channeled ottoman made from a velvety poly blend.</t>
  </si>
  <si>
    <t>https://dd3ka9h4chfr8.cloudfront.net/image/725136000567/image_ngeuu0m0up5g7dsilkmsh0tk6g/-FJPG/108563-006_PRM_1.jpg;https://dd3ka9h4chfr8.cloudfront.net/image/725136000567/image_qt6nc8uiml27t0qqqp8ig2of7r/-FJPG/108563-006_SID_1.jpg;https://dd3ka9h4chfr8.cloudfront.net/image/725136000567/image_54rpg7jqmt7hjd4eluu4uhsk49/-FJPG/108563-006_ESS_1.jpg;https://dd3ka9h4chfr8.cloudfront.net/image/725136000567/image_4jdtat38lh7uvboraco70ce83b/-FJPG/108563-006_DET_2.jpg;https://dd3ka9h4chfr8.cloudfront.net/image/725136000567/image_auq0t984cl533bgmnojnpdad6i/-FJPG/108563-006_DET_1.jpg;https://dd3ka9h4chfr8.cloudfront.net/image/725136000567/image_3mnno6csjh3ut6u3i43urtl43h/-FJPG/108563-006_DET_3.jpg;https://dd3ka9h4chfr8.cloudfront.net/image/725136000567/image_bic4575b3d4ur7remrb2tbej0o/-FJPG/108563-006_DET_4.jpg;https://dd3ka9h4chfr8.cloudfront.net/image/725136000567/image_5n4ek21tn517d9bvqtm6ju5r04/-FJPG/108563-006_PRM_2.jpg</t>
  </si>
  <si>
    <t>108563-006</t>
  </si>
  <si>
    <t>https://dd3ka9h4chfr8.cloudfront.net/image/725136000567/image_ngeuu0m0up5g7dsilkmsh0tk6g/-FJPG/108563-006_PRM_1.jpg</t>
  </si>
  <si>
    <t>Layer in an extra surface or seat with a channeled ottoman made from a velvety cotton blend.</t>
  </si>
  <si>
    <t>Augustine Sofa</t>
  </si>
  <si>
    <t>https://dd3ka9h4chfr8.cloudfront.net/image/725136000567/image_5bkpr78gr11vl74fltunp39l7e/-FJPG/105769-011_PRM_1.JPG;https://dd3ka9h4chfr8.cloudfront.net/image/725136000567/image_54ff2o7g3551j50d04jcup2j4r/-FJPG/105769-011_SID_1.JPG;https://dd3ka9h4chfr8.cloudfront.net/image/725136000567/image_6fnmgsn8b51gje6ji4samhkl1l/-FJPG/105769-011_DET_2.JPG;https://dd3ka9h4chfr8.cloudfront.net/image/725136000567/image_tup51amjop013chs4rj27fuo18/-FJPG/105769-011_BCK_1.JPG;https://dd3ka9h4chfr8.cloudfront.net/image/725136000567/image_6j2qcb5f315lp1iilh3oe85c0k/-FJPG/105769-011_DET_1.JPG;https://dd3ka9h4chfr8.cloudfront.net/image/725136000567/image_3fk9kk77c90q530pn8uolm7e60/-FJPG/105769-011_DET_3.JPG;https://dd3ka9h4chfr8.cloudfront.net/image/725136000567/image_u4cf3mfvq10r1cn9nkibka922d/-FJPG/105769-011_DET_4.JPG;https://dd3ka9h4chfr8.cloudfront.net/image/725136000567/image_qtpfg2omnd20vc7um7ddtu317s/-FJPG/105769-011_DET_5.JPG;https://dd3ka9h4chfr8.cloudfront.net/image/725136000567/image_aaqphbt1rh6cvejrf7oghs410v/-FJPG/105769-011_DET_6.JPG;https://dd3ka9h4chfr8.cloudfront.net/image/725136000567/image_37qn3enh9h7ddbvip50qojj54l/-FJPG/105769-011_DET_7.JPG;https://dd3ka9h4chfr8.cloudfront.net/image/725136000567/image_r3t8kl9u2d01h8tj91mktacn0f/-FJPG/105769-011_DET_8.JPG</t>
  </si>
  <si>
    <t>105769-011</t>
  </si>
  <si>
    <t>123.02</t>
  </si>
  <si>
    <t>https://dd3ka9h4chfr8.cloudfront.net/image/725136000567/image_5bkpr78gr11vl74fltunp39l7e/-FJPG/105769-011_PRM_1.JPG</t>
  </si>
  <si>
    <t>{"value":97,"unit":"in"}</t>
  </si>
  <si>
    <t>Sofas</t>
  </si>
  <si>
    <t>{"value":99.21,"unit":"in"}</t>
  </si>
  <si>
    <t>{"value":36.61,"unit":"in"}</t>
  </si>
  <si>
    <t>{"value":26.38,"unit":"in"}</t>
  </si>
  <si>
    <t>{"value":149.47,"unit":"lb"}</t>
  </si>
  <si>
    <t>85.00"</t>
  </si>
  <si>
    <t>9.50"</t>
  </si>
  <si>
    <t>34.00"</t>
  </si>
  <si>
    <t>86.75"</t>
  </si>
  <si>
    <t>https://dd3ka9h4chfr8.cloudfront.net/image/725136000567/image_7637mckp5l0sra3ihfuec52e4p/-FJPG/CGRY-013-660_FRT_1.jpg;https://dd3ka9h4chfr8.cloudfront.net/image/725136000567/image_ej209ptvf551jfkq72q8j8tv68/-FJPG/CGRY-013-660_PRM_1.jpg;https://dd3ka9h4chfr8.cloudfront.net/image/725136000567/image_reaurfnd4t527bj20pr260d02q/-FJPG/CGRY-013-660_SID_1.jpg;https://dd3ka9h4chfr8.cloudfront.net/image/725136000567/image_gladqn8cph6h99pleol4cmc958/-FJPG/CGRY-013-660_ESS_1.jpg;https://dd3ka9h4chfr8.cloudfront.net/image/725136000567/image_c6a4cv6i6p20132jp1npug9717/-FJPG/CGRY-013-660_BCK_1.jpg;https://dd3ka9h4chfr8.cloudfront.net/image/725136000567/image_1pfgk0lhr523nafrjb5ugfld5i/-FJPG/CGRY-013-660_TOP_1.jpg;https://dd3ka9h4chfr8.cloudfront.net/image/725136000567/image_v07u9i6ngp5fnch1h6ibqvfg5c/-FJPG/CGRY-013-660_ROM_2.jpg</t>
  </si>
  <si>
    <t>CGRY-013-660</t>
  </si>
  <si>
    <t>https://dd3ka9h4chfr8.cloudfront.net/image/725136000567/image_7637mckp5l0sra3ihfuec52e4p/-FJPG/CGRY-013-660_FRT_1.jpg</t>
  </si>
  <si>
    <t>Luxurious top-grain leather seating takes on a deep brown hue with dramatic channeling, for trend-forward texture and sumptuous sit.</t>
  </si>
  <si>
    <t>https://dd3ka9h4chfr8.cloudfront.net/image/725136000567/image_1vfir603c50rddga9as68pm12r/-FJPG/100239-006_FRT_1.jpg;https://dd3ka9h4chfr8.cloudfront.net/image/725136000567/image_qk6bjj3u2h26jcf6i1fd37vk3r/-FJPG/100239-006_PRM_1.jpg;https://dd3ka9h4chfr8.cloudfront.net/image/725136000567/image_jm6rfqlpl54oh7i0jl9j1sp92i/-FJPG/100239-006_SID_1.jpg;https://dd3ka9h4chfr8.cloudfront.net/image/725136000567/image_ki0efvrpi54m7fivioslr54d0f/-FJPG/100239-006_ESS_1.jpg;https://dd3ka9h4chfr8.cloudfront.net/image/725136000567/image_20ihkfedfp0gpa16ndngn5k97n/-FJPG/100239-006_BCK_1.jpg;https://dd3ka9h4chfr8.cloudfront.net/image/725136000567/image_jd418mf07h32p4lae3t9a0ko1u/-FJPG/100239-006_INF_1.jpg;https://dd3ka9h4chfr8.cloudfront.net/image/725136000567/image_0glan268c158l9unmk8caqkc7t/-FJPG/100239-006_TOP_1.jpg</t>
  </si>
  <si>
    <t>88</t>
  </si>
  <si>
    <t>100239-006</t>
  </si>
  <si>
    <t>105.82</t>
  </si>
  <si>
    <t>https://dd3ka9h4chfr8.cloudfront.net/image/725136000567/image_1vfir603c50rddga9as68pm12r/-FJPG/100239-006_FRT_1.jpg</t>
  </si>
  <si>
    <t>{"value":88,"unit":"in"}</t>
  </si>
  <si>
    <t>A dramatically channeled sofa with dover crescent linen-blend upholstery offers a crisp, clean look and sumptuous sit. Performance fabrics are specially created to withstand spills, stains, high traffic and wear, ensuring long-term comfort and unmatched durability.</t>
  </si>
  <si>
    <t>{"value":88.98,"unit":"in"}</t>
  </si>
  <si>
    <t>{"value":127.87,"unit":"lb"}</t>
  </si>
  <si>
    <t>77.00"</t>
  </si>
  <si>
    <t>76.00"</t>
  </si>
  <si>
    <t>https://dd3ka9h4chfr8.cloudfront.net/image/725136000567/image_jsqhfekoqt7a1163undvhodj5f/-FJPG/CGRY-013-213_FRT_1.jpg;https://dd3ka9h4chfr8.cloudfront.net/image/725136000567/image_ch17vb2ln93htatfkbsmg8gt2e/-FJPG/CGRY-013-213_PRM_1.jpg;https://dd3ka9h4chfr8.cloudfront.net/image/725136000567/image_p4c7is79st14f0db2utlgqmm0r/-FJPG/CGRY-013-213_SID_1.jpg;https://dd3ka9h4chfr8.cloudfront.net/image/725136000567/image_3vs1isf1sp4udbcegavhjgnv5u/-FJPG/CGRY-013-213_ESS_1.jpg;https://dd3ka9h4chfr8.cloudfront.net/image/725136000567/image_g0abu3i9r91f11vlul9j9rkn04/-FJPG/CGRY-013-213_BCK_1.jpg;https://dd3ka9h4chfr8.cloudfront.net/image/725136000567/image_cqj6oo2kth371egvgh3tf7lp6j/-FJPG/CGRY-013-213_INF_1.jpg;https://dd3ka9h4chfr8.cloudfront.net/image/725136000567/image_9qsololjol199f77h6s9kj895b/-FJPG/CGRY-013-213_TOP_1.jpg;https://dd3ka9h4chfr8.cloudfront.net/image/725136000567/image_oup1euh5lh1tv3gb3sv3m0l30l/-FJPG/CGRY-013-213_ROM_1.jpg</t>
  </si>
  <si>
    <t>CGRY-013-213</t>
  </si>
  <si>
    <t>https://dd3ka9h4chfr8.cloudfront.net/image/725136000567/image_jsqhfekoqt7a1163undvhodj5f/-FJPG/CGRY-013-213_FRT_1.jpg</t>
  </si>
  <si>
    <t>A dramatically channeled sofa with white linen-blend upholstery offers a crisp, clean look and sumptuous sit.</t>
  </si>
  <si>
    <t>https://dd3ka9h4chfr8.cloudfront.net/image/725136000567/image_8garr7kfvh3s114hmeaakaf437/-FJPG/CGRY-013-092_FRT_1.jpg;https://dd3ka9h4chfr8.cloudfront.net/image/725136000567/image_kvn9de5dtp1djae9uf8dnmrt30/-FJPG/CGRY-013-092_PRM_1.jpg;https://dd3ka9h4chfr8.cloudfront.net/image/725136000567/image_s7l8q9135l6dr12g2se4ldm64s/-FJPG/CGRY-013-092_SID_1.jpg;https://dd3ka9h4chfr8.cloudfront.net/image/725136000567/image_prtfqur5n13o9f86i7rete3s2o/-FJPG/CGRY-013-092_ESS_1.jpg;https://dd3ka9h4chfr8.cloudfront.net/image/725136000567/image_2vr5943co56sb2ib2d3g1pbo27/-FJPG/CGRY-013-092_BCK_1.jpg;https://dd3ka9h4chfr8.cloudfront.net/image/725136000567/image_u7vjt9clpl5jj0ss57u4q94t3v/-FJPG/CGRY-013-092_TOP_1.jpg</t>
  </si>
  <si>
    <t>CGRY-013-092</t>
  </si>
  <si>
    <t>116.84</t>
  </si>
  <si>
    <t>https://dd3ka9h4chfr8.cloudfront.net/image/725136000567/image_8garr7kfvh3s114hmeaakaf437/-FJPG/CGRY-013-092_FRT_1.jpg</t>
  </si>
  <si>
    <t>A dramatically channeled sofa with textural grey upholstery offers a clean look inspired by modern menswear.</t>
  </si>
  <si>
    <t>https://dd3ka9h4chfr8.cloudfront.net/image/725136000567/image_fqhh04plkp6ql21qk22gqafo19/-FJPG/105769-009_FRT_1.jpg;https://dd3ka9h4chfr8.cloudfront.net/image/725136000567/image_e8jl52jd411cj5gkp470k2od0m/-FJPG/105769-009_PRM_1.jpg;https://dd3ka9h4chfr8.cloudfront.net/image/725136000567/image_eb1eouo4u10jbb53gnpblp3447/-FJPG/105769-009_SID_1.jpg;https://dd3ka9h4chfr8.cloudfront.net/image/725136000567/image_85qj3dk9mt6j114rvem7nr2g0e/-FJPG/105769-009_ESS_1.jpg;https://dd3ka9h4chfr8.cloudfront.net/image/725136000567/image_vndplu26q528b9hs8s7sh42732/-FJPG/105769-009_BCK_1.jpg;https://dd3ka9h4chfr8.cloudfront.net/image/725136000567/image_8pcsk2ftld2j9bo4ip40d7ff19/-FJPG/105769-009_TOP_1.jpg;https://dd3ka9h4chfr8.cloudfront.net/image/725136000567/image_gpbtdir6m52rhd30k9ensml802/-FJPG/105769-009_ROM_1.jpg</t>
  </si>
  <si>
    <t>105769-009</t>
  </si>
  <si>
    <t>https://dd3ka9h4chfr8.cloudfront.net/image/725136000567/image_fqhh04plkp6ql21qk22gqafo19/-FJPG/105769-009_FRT_1.jpg</t>
  </si>
  <si>
    <t>A dramatically channeled sofa upholstered in taupe top-grain leather offers a crisp, clean look and sumptuous sit.</t>
  </si>
  <si>
    <t>https://dd3ka9h4chfr8.cloudfront.net/image/725136000567/image_hqi03mf92t6p16fbiqbrql4n7m/-FJPG/105769-008_FRT_1.jpg;https://dd3ka9h4chfr8.cloudfront.net/image/725136000567/image_30vplgsj2p3db4a2nb2hf2ok56/-FJPG/105769-008_PRM_1.jpg;https://dd3ka9h4chfr8.cloudfront.net/image/725136000567/image_blirvbulcl5h97oog6a3a0jn6v/-FJPG/105769-008_SID_1.jpg;https://dd3ka9h4chfr8.cloudfront.net/image/725136000567/image_84fe6tc0ep6v96184kal2hf35r/-FJPG/105769-008_ESS_1.jpg;https://dd3ka9h4chfr8.cloudfront.net/image/725136000567/image_57fa95uklp6tb315d7qd7i053k/-FJPG/105769-008_DET_2.jpg;https://dd3ka9h4chfr8.cloudfront.net/image/725136000567/image_kpdej947c90rhca5sefhoqro0u/-FJPG/105769-008_BCK_1.jpg;https://dd3ka9h4chfr8.cloudfront.net/image/725136000567/image_4n37af9oeh6tj8t25csc3muk5s/-FJPG/105769-008_DET_1.jpg;https://dd3ka9h4chfr8.cloudfront.net/image/725136000567/image_apdvnnjrh13of8ks4jc94tle7f/-FJPG/105769-008_DET_3.jpg;https://dd3ka9h4chfr8.cloudfront.net/image/725136000567/image_hi9tatdrmh6m1f61d5f0704l1s/-FJPG/105769-008_DET_4.jpg;https://dd3ka9h4chfr8.cloudfront.net/image/725136000567/image_sfk3jviu49075env4jupp73r55/-FJPG/105769-008_DET_5.jpg</t>
  </si>
  <si>
    <t>105769-008</t>
  </si>
  <si>
    <t>https://dd3ka9h4chfr8.cloudfront.net/image/725136000567/image_hqi03mf92t6p16fbiqbrql4n7m/-FJPG/105769-008_FRT_1.jpg</t>
  </si>
  <si>
    <t>Velvety poly-blend in a rich auburn hue takes on dramatic channeling, lending trend-forward texture to this sumptuous extended length sofa.</t>
  </si>
  <si>
    <t>Augustine Swivel Chair</t>
  </si>
  <si>
    <t>https://dd3ka9h4chfr8.cloudfront.net/image/725136000567/image_t5a853r4a91kbaqnngs7fid83l/-FJPG/105768-017_FRT_1.JPG;https://dd3ka9h4chfr8.cloudfront.net/image/725136000567/image_flnon7mccl5715me3elte6ii2a/-FJPG/105768-017_PRM_1.JPG;https://dd3ka9h4chfr8.cloudfront.net/image/725136000567/image_a88q8locdp2fr5cdet4i10qe45/-FJPG/105768-017_SID_1.JPG;https://dd3ka9h4chfr8.cloudfront.net/image/725136000567/image_n4buksgeal5vj90mb2a255rr39/-FJPG/105768-017_DET_2.JPG;https://dd3ka9h4chfr8.cloudfront.net/image/725136000567/image_8n77hgcd294p5do70aj0sug11u/-FJPG/105768-017_BCK_1.JPG;https://dd3ka9h4chfr8.cloudfront.net/image/725136000567/image_hlck35luhl1fb1drdk32gtu85o/-FJPG/105768-017_DET_1.JPG;https://dd3ka9h4chfr8.cloudfront.net/image/725136000567/image_usijf8hq8l3fj9poes7krg0p5v/-FJPG/105768-017_DET_3.JPG;https://dd3ka9h4chfr8.cloudfront.net/image/725136000567/image_9cnho5p715693063lm4qv6e05s/-FJPG/105768-017_DET_4.JPG;https://dd3ka9h4chfr8.cloudfront.net/image/725136000567/image_5opfbj7a3h7jt4t9vv4i8f7l3t/-FJPG/105768-017_DET_5.JPG;https://dd3ka9h4chfr8.cloudfront.net/image/725136000567/image_flge2r58jp10ldhlu93ej88n6u/-FJPG/105768-017_DET_6.JPG</t>
  </si>
  <si>
    <t>105768-017</t>
  </si>
  <si>
    <t>71.65</t>
  </si>
  <si>
    <t>https://dd3ka9h4chfr8.cloudfront.net/image/725136000567/image_t5a853r4a91kbaqnngs7fid83l/-FJPG/105768-017_FRT_1.JPG</t>
  </si>
  <si>
    <t>A modern take on the classic library chair, luxurious, Italian-inspired seating features dramatic channeling for trend-forward texture and a sumptuous sit. A 360-degree swivel delivers fresh appeal from every angle. Free of PFAS, soft and easy to clean, Crypton® performance fabric is specially engineered for protection against stains, moisture and odor.</t>
  </si>
  <si>
    <t>{"value":36.22,"unit":"in"}</t>
  </si>
  <si>
    <t>{"value":27.56,"unit":"in"}</t>
  </si>
  <si>
    <t>{"value":82.67,"unit":"lb"}</t>
  </si>
  <si>
    <t>https://dd3ka9h4chfr8.cloudfront.net/image/725136000567/image_n05l5ubr154of9ro393eqe0i7u/-FJPG/105768-014_FRT_1.jpg;https://dd3ka9h4chfr8.cloudfront.net/image/725136000567/image_i9qshnk01l5gpbfeq9vhv8l00i/-FJPG/105768-014_PRM_1.jpg;https://dd3ka9h4chfr8.cloudfront.net/image/725136000567/image_dv2m1p06355m18aj5b3k1fd421/-FJPG/105768-014_SID_1.jpg;https://dd3ka9h4chfr8.cloudfront.net/image/725136000567/image_q0hocr32217dr56tl5cekr1e1b/-FJPG/105768-014_ESS_1.jpg;https://dd3ka9h4chfr8.cloudfront.net/image/725136000567/image_d4i9jch6u97jheho3rndo5p65o/-FJPG/105768-014_BCK_1.jpg;https://dd3ka9h4chfr8.cloudfront.net/image/725136000567/image_l7oncc8t4t4rp8ipluumm1mh06/-FJPG/105768-014_TOP_1.jpg</t>
  </si>
  <si>
    <t>105768-014</t>
  </si>
  <si>
    <t>https://dd3ka9h4chfr8.cloudfront.net/image/725136000567/image_n05l5ubr154of9ro393eqe0i7u/-FJPG/105768-014_FRT_1.jpg</t>
  </si>
  <si>
    <t>A modern take on the classic library chair, luxurious, Italian-inspired seating features dramatic channeling for trend-forward texture and a sumptuous sit. Upholstered in top-grain leather. A 360-degree swivel delivers fresh appeal from every angle.</t>
  </si>
  <si>
    <t>https://dd3ka9h4chfr8.cloudfront.net/image/725136000567/image_k46nkmv9gl6kr2o10o4ckbfi6f/-FJPG/105768-007_FRT_1.jpg;https://dd3ka9h4chfr8.cloudfront.net/image/725136000567/image_oi0alfsjch5cv293phn9qc3f49/-FJPG/105768-007_PRM_1.jpg;https://dd3ka9h4chfr8.cloudfront.net/image/725136000567/image_nlcorqd8710t560ib5ql4nt915/-FJPG/105768-007_SID_1.jpg;https://dd3ka9h4chfr8.cloudfront.net/image/725136000567/image_npo51pvckd759717mqc5e6eg13/-FJPG/105768-007_ESS_1.jpg;https://dd3ka9h4chfr8.cloudfront.net/image/725136000567/image_9hek35je957t55rust3bd66b7t/-FJPG/105768-007_BCK_1.jpg;https://dd3ka9h4chfr8.cloudfront.net/image/725136000567/image_cvaa89j16l0cv39s7h0hlrjp2f/-FJPG/105768-007_TOP_1.jpg</t>
  </si>
  <si>
    <t>105768-007</t>
  </si>
  <si>
    <t>https://dd3ka9h4chfr8.cloudfront.net/image/725136000567/image_k46nkmv9gl6kr2o10o4ckbfi6f/-FJPG/105768-007_FRT_1.jpg</t>
  </si>
  <si>
    <t>A modern take on the classic library chair, luxurious, Italian-inspired seating features dramatic channeling for trend-forward texture and a sumptuous sit. Upholstered in a neutral fabric with subtle herringbone pattern. A 360-degree swivel delivers fresh appeal from every angle.</t>
  </si>
  <si>
    <t>https://dd3ka9h4chfr8.cloudfront.net/image/725136000567/image_6dt786vfop6l591tmjcg5ca67d/-FJPG/105768-011_FRT_1.jpg;https://dd3ka9h4chfr8.cloudfront.net/image/725136000567/image_ukhc5sa6d14ub3bk7kocrurq1b/-FJPG/105768-011_PRM_1.jpg;https://dd3ka9h4chfr8.cloudfront.net/image/725136000567/image_sm2osv6rpt5dlfq1hceot7gh1j/-FJPG/105768-011_SID_1.jpg;https://dd3ka9h4chfr8.cloudfront.net/image/725136000567/image_2bmam8dn894q3ekrk25orcbn75/-FJPG/105768-011_ESS_1.jpg;https://dd3ka9h4chfr8.cloudfront.net/image/725136000567/image_q5j43s5ii900bcj7r0eformn34/-FJPG/105768-011_BCK_1.jpg;https://dd3ka9h4chfr8.cloudfront.net/image/725136000567/image_i7opc3gi993qf7p12d5rpep50h/-FJPG/105768-011_TOP_1.jpg</t>
  </si>
  <si>
    <t>105768-011</t>
  </si>
  <si>
    <t>https://dd3ka9h4chfr8.cloudfront.net/image/725136000567/image_6dt786vfop6l591tmjcg5ca67d/-FJPG/105768-011_FRT_1.jpg</t>
  </si>
  <si>
    <t>AA</t>
  </si>
  <si>
    <t>Aurora Swivel Chair</t>
  </si>
  <si>
    <t>https://dd3ka9h4chfr8.cloudfront.net/image/725136000567/image_rk56d7gsud7b94p6o9m8bt7a24/-FJPG/106102-037_FRT_1.JPG;https://dd3ka9h4chfr8.cloudfront.net/image/725136000567/image_gvc73emqk565fd7rni98vo2s2r/-FJPG/106102-037_PRM_1.JPG;https://dd3ka9h4chfr8.cloudfront.net/image/725136000567/image_uqbbnci69p1gt5659c26ppti2c/-FJPG/106102-037_SID_1.JPG;https://dd3ka9h4chfr8.cloudfront.net/image/725136000567/image_m4qb78ljeh32raogbntmcnco11/-FJPG/106102-037_ESS.tif;https://dd3ka9h4chfr8.cloudfront.net/image/725136000567/image_8rebgcng993q91c3q8a34jk05r/-FJPG/106102-037_DET_2.JPG;https://dd3ka9h4chfr8.cloudfront.net/image/725136000567/image_bi63hs04e55a7be1iedcbqvm12/-FJPG/106102-037_BCK_1.JPG;https://dd3ka9h4chfr8.cloudfront.net/image/725136000567/image_127at9a91p1gre90r8f0619j34/-FJPG/106102-037_DET_1.JPG;https://dd3ka9h4chfr8.cloudfront.net/image/725136000567/image_385vi2et1l1hdbmopnvnvim33n/-FJPG/106102-037_DET_3.JPG;https://dd3ka9h4chfr8.cloudfront.net/image/725136000567/image_i6ecorcujd10lc58f2eeos665h/-FJPG/106102-037_DET_4.JPG;https://dd3ka9h4chfr8.cloudfront.net/image/725136000567/image_ba5s897bnd3f5blhoj1bk2ro2v/-FJPG/106102-037_DET_5.JPG;https://dd3ka9h4chfr8.cloudfront.net/image/725136000567/image_258p5audop29deeou5ug8u0c1l/-FJPG/FHMPRJ-018_SCENE-5.tif</t>
  </si>
  <si>
    <t>Balkan Ochre</t>
  </si>
  <si>
    <t>106102-037</t>
  </si>
  <si>
    <t>48.5</t>
  </si>
  <si>
    <t>https://dd3ka9h4chfr8.cloudfront.net/image/725136000567/image_rk56d7gsud7b94p6o9m8bt7a24/-FJPG/106102-037_FRT_1.JPG</t>
  </si>
  <si>
    <t>["60% Viscose (Rayon)","40% Polyester","Solid Parawood"]</t>
  </si>
  <si>
    <t>31.5</t>
  </si>
  <si>
    <t>Intriguing and inviting, this drum-style, 360-degee swivel chair is coveredÂ in an abstract, Tibetan-inspired landscape motif, woven from soft chenille yarns with subtle texture for added depth, dimension and drama.</t>
  </si>
  <si>
    <t>Complete Item/ L-Shape Box</t>
  </si>
  <si>
    <t>17.50"</t>
  </si>
  <si>
    <t>Aurora</t>
  </si>
  <si>
    <t>26.00"</t>
  </si>
  <si>
    <t>2.50"</t>
  </si>
  <si>
    <t>0.00"</t>
  </si>
  <si>
    <t>https://dd3ka9h4chfr8.cloudfront.net/image/725136000567/image_ln278ktf6l48bapcqnskgvpv17/-FJPG/106102-024_FRT_1.jpg;https://dd3ka9h4chfr8.cloudfront.net/image/725136000567/image_5grq6ftvmt7sv3c8euqv6tcc0u/-FJPG/106102-024_PRM_1.jpg;https://dd3ka9h4chfr8.cloudfront.net/image/725136000567/image_pof3av57ll09daj0rgp7b0li60/-FJPG/106102-024_SID_1.jpg;https://dd3ka9h4chfr8.cloudfront.net/image/725136000567/image_p2ejupgb0l1e11uklu0ulv0j7q/-FJPG/106102-024_ESS_1.jpg;https://dd3ka9h4chfr8.cloudfront.net/image/725136000567/image_mm6fgujrpt3ttf2ia1hvg19n7i/-FJPG/106102-024_DET_2.jpg;https://dd3ka9h4chfr8.cloudfront.net/image/725136000567/image_2lq6t55fj13990pf888l85516n/-FJPG/106102-024_BCK_1.jpg;https://dd3ka9h4chfr8.cloudfront.net/image/725136000567/image_1cfiphohp93h988b0aig9gp80v/-FJPG/106102-024_DET_1.jpg;https://dd3ka9h4chfr8.cloudfront.net/image/725136000567/image_oj37akul011dn8rcqk80fus84s/-FJPG/106102-024_DET_3.jpg;https://dd3ka9h4chfr8.cloudfront.net/image/725136000567/image_v0jkq64agd3832ngebkrp4oq3b/-FJPG/106102-024_DET_4.jpg</t>
  </si>
  <si>
    <t>Copenhagen Indigo</t>
  </si>
  <si>
    <t>106102-024</t>
  </si>
  <si>
    <t>https://dd3ka9h4chfr8.cloudfront.net/image/725136000567/image_ln278ktf6l48bapcqnskgvpv17/-FJPG/106102-024_FRT_1.jpg</t>
  </si>
  <si>
    <t>Intriguing and inviting. Drum-style seating is upholstered in a soothing and textural indigo bouclé. A 360-degree swivel base of solid parawood places a fresh spin on a feminine form.</t>
  </si>
  <si>
    <t>Complete Item/Lshape</t>
  </si>
  <si>
    <t>https://dd3ka9h4chfr8.cloudfront.net/image/725136000567/image_hj3q8jb8e12gv9d24jo4h35q0i/-FJPG/106102-036_FRT_1.jpg;https://dd3ka9h4chfr8.cloudfront.net/image/725136000567/image_8i5rhf254h029207jmtjrhge2f/-FJPG/106102-036_PRM_1.jpg;https://dd3ka9h4chfr8.cloudfront.net/image/725136000567/image_1vn3r90h5557j7nm8o1bq91762/-FJPG/106102-036_SID_1.jpg;https://dd3ka9h4chfr8.cloudfront.net/image/725136000567/image_j7agg26fs11u35aca8h5659719/-FJPG/106102-036_ESS_1.jpg;https://dd3ka9h4chfr8.cloudfront.net/image/725136000567/image_cnbeup6cqp7lbblkgtfg4k6f5h/-FJPG/106102-036_DET_2.jpg;https://dd3ka9h4chfr8.cloudfront.net/image/725136000567/image_emcs5qfmc93nvdhan68pju2947/-FJPG/106102-036_BCK_1.jpg;https://dd3ka9h4chfr8.cloudfront.net/image/725136000567/image_nqi7fs1vrt2kt38jdje9c3pp19/-FJPG/106102-036_DET_1.jpg;https://dd3ka9h4chfr8.cloudfront.net/image/725136000567/image_mrao8205ch5v14o9e099htrq2i/-FJPG/106102-036_DET_3.jpg;https://dd3ka9h4chfr8.cloudfront.net/image/725136000567/image_vp19hm8gqh3rl7t8faqlvoii0i/-FJPG/106102-036_DET_4.jpg;https://dd3ka9h4chfr8.cloudfront.net/image/725136000567/image_5pe2lhkgi55o3fuui8upiclf70/-FJPG/106102-036_DET_5.jpg;https://dd3ka9h4chfr8.cloudfront.net/image/725136000567/image_ns4fo5kafh48va61cgg2s0sn1n/-FJPG/106102-036_DET_6.jpg;https://dd3ka9h4chfr8.cloudfront.net/image/725136000567/image_4g8qd8001p32fe8ouv23sg7u6r/-FJPG/106102-036_PRM_2.jpg</t>
  </si>
  <si>
    <t>FIQA Boucle Olive</t>
  </si>
  <si>
    <t>106102-036</t>
  </si>
  <si>
    <t>https://dd3ka9h4chfr8.cloudfront.net/image/725136000567/image_hj3q8jb8e12gv9d24jo4h35q0i/-FJPG/106102-036_FRT_1.jpg</t>
  </si>
  <si>
    <t>Intriguing while inviting. Drum-style seating is upholstered in a soothing and textural olive boucle. A swivel base of distressed natural parawood places a fresh spin on a feminine form. Easy to clean and made from fully recyclable materials, Fiqa fabrics are machine-washable, stain-resistant, water-repellent and antimicrobial.</t>
  </si>
  <si>
    <t>https://dd3ka9h4chfr8.cloudfront.net/image/725136000567/image_ffhpmu7t993n19m98fjnm7kv0f/-FJPG/106102-025_FRT_1.jpg;https://dd3ka9h4chfr8.cloudfront.net/image/725136000567/image_9n69duhvcd5tr6160ob3f1jo1j/-FJPG/106102-025_PRM_1.jpg;https://dd3ka9h4chfr8.cloudfront.net/image/725136000567/image_51qt4jnglh3d36rls0sqkgtc6p/-FJPG/106102-025_SID_1.jpg;https://dd3ka9h4chfr8.cloudfront.net/image/725136000567/image_vt91bno2l900ddm8shsoudod46/-FJPG/106102-025_ESS.tif;https://dd3ka9h4chfr8.cloudfront.net/image/725136000567/image_ocha4n5u0d5f92q6rvrtn6p56b/-FJPG/106102-025_DET_2.jpg;https://dd3ka9h4chfr8.cloudfront.net/image/725136000567/image_hpqeeb6r5t575cpvhibh9ucj6k/-FJPG/106102-025_BCK_1.jpg;https://dd3ka9h4chfr8.cloudfront.net/image/725136000567/image_lfkf3s1ccp0e77hsns1kdp8b2u/-FJPG/106102-025_INF_1.jpg;https://dd3ka9h4chfr8.cloudfront.net/image/725136000567/image_esn4f1gftd3lfcdb0pt97c020h/-FJPG/106102-025_DET_1.jpg;https://dd3ka9h4chfr8.cloudfront.net/image/725136000567/image_2p10nm1hj51it1pjave59ash16/-FJPG/106102-025_DET_3.jpg;https://dd3ka9h4chfr8.cloudfront.net/image/725136000567/image_ml6bslrvdh0kj2kcj47m9g3530/-FJPG/106102-025_DET_4.jpg</t>
  </si>
  <si>
    <t>Gibson Silver</t>
  </si>
  <si>
    <t>106102-025</t>
  </si>
  <si>
    <t>https://dd3ka9h4chfr8.cloudfront.net/image/725136000567/image_ffhpmu7t993n19m98fjnm7kv0f/-FJPG/106102-025_FRT_1.jpg</t>
  </si>
  <si>
    <t>["97% Polyester","3% Acrylic","Solid Parawood"]</t>
  </si>
  <si>
    <t>Intriguing while inviting. Drum-style seating is upholstered in a soothing and textural grey. A swivel base of natural, wire-brushed parawood places a fresh spin on a feminine form. Performance fabrics are specially created to withstand spills, stains, high traffic and wear, ensuring long-term comfort and unmatched durability.</t>
  </si>
  <si>
    <t>Complete Item/L-Shape</t>
  </si>
  <si>
    <t>https://dd3ka9h4chfr8.cloudfront.net/image/725136000567/image_l1knamfo6p53ld3nmd6u6nfk37/-FJPG/106102-022_FRT_1.jpg;https://dd3ka9h4chfr8.cloudfront.net/image/725136000567/image_3qvt6civl9577eal5plb256963/-FJPG/106102-022_PRM_1.jpg;https://dd3ka9h4chfr8.cloudfront.net/image/725136000567/image_i1cddssvcd27v0fecfqbk62d2l/-FJPG/106102-022_SID_1.jpg;https://dd3ka9h4chfr8.cloudfront.net/image/725136000567/image_f2qpkp04316u303299fpqmgo7p/-FJPG/106102-022_ESS_1.jpg;https://dd3ka9h4chfr8.cloudfront.net/image/725136000567/image_03eqnhkgdl27ndbkmee2hood1i/-FJPG/106102-022_DET_2.jpg;https://dd3ka9h4chfr8.cloudfront.net/image/725136000567/image_hnq1135ok96b5faa6lu5onm644/-FJPG/106102-022_BCK_1.jpg;https://dd3ka9h4chfr8.cloudfront.net/image/725136000567/image_p3keq3bsft47p9it3tfeh3b576/-FJPG/106102-022_INF_1.jpg;https://dd3ka9h4chfr8.cloudfront.net/image/725136000567/image_vk2i13k1fd4jd2mmufsv1hn92p/-FJPG/106102-022_DET_1.jpg;https://dd3ka9h4chfr8.cloudfront.net/image/725136000567/image_9fi8dp35ep1gj6oj8rc3v6ei2d/-FJPG/106102-022_DET_3.jpg;https://dd3ka9h4chfr8.cloudfront.net/image/725136000567/image_vj9qhvnot105j97jbrjn034861/-FJPG/106102-022_DET_4.jpg;https://dd3ka9h4chfr8.cloudfront.net/image/725136000567/image_es5a6l61596817v95tf1c19a55/-FJPG/106102-022_DET_5.jpg;https://dd3ka9h4chfr8.cloudfront.net/image/725136000567/image_96pdul3sot37v29leorndcvr7v/-FJPG/106102-022_DET_6.jpg;https://dd3ka9h4chfr8.cloudfront.net/image/725136000567/image_dk74cp9atp54t7ojkd92bk3o61/-FJPG/106102-022_ROM_1.jpg;https://dd3ka9h4chfr8.cloudfront.net/image/725136000567/image_pttj3j6eat3s30j3juuvonaq6a/-FJPG/106102-022_VIG_1.jpg</t>
  </si>
  <si>
    <t>106102-022</t>
  </si>
  <si>
    <t>https://dd3ka9h4chfr8.cloudfront.net/image/725136000567/image_l1knamfo6p53ld3nmd6u6nfk37/-FJPG/106102-022_FRT_1.jpg</t>
  </si>
  <si>
    <t>["95% Polyester","5% Acrylic","Solid Parawood"]</t>
  </si>
  <si>
    <t>Intriguing while inviting. Drum-style seating is upholstered in a soothing and textural off-white bouclé. A 360-degree swivel base of natural parawood places a fresh spin on a feminine form.</t>
  </si>
  <si>
    <t>https://dd3ka9h4chfr8.cloudfront.net/image/725136000567/image_npqm2sf1a56ln8bui65jsme67b/-FJPG/106102-035_FRT_1.jpg;https://dd3ka9h4chfr8.cloudfront.net/image/725136000567/image_8h80ma4a7126tad6v11nbjoa7v/-FJPG/106102-035_PRM_1.jpg;https://dd3ka9h4chfr8.cloudfront.net/image/725136000567/image_rkc2bc03hd6k93fprkiqc25c7o/-FJPG/106102-035_SID_1.jpg;https://dd3ka9h4chfr8.cloudfront.net/image/725136000567/image_shk6aqkjr10759qnouh8iqpf1k/-FJPG/106102-035_ESS_1.jpg;https://dd3ka9h4chfr8.cloudfront.net/image/725136000567/image_s3fknm19u51hl6jqk9ghv54e2m/-FJPG/106102-035_DET_2.jpg;https://dd3ka9h4chfr8.cloudfront.net/image/725136000567/image_6mqu5cbrv14fd0prer2vggp71i/-FJPG/106102-035_BCK_1.jpg;https://dd3ka9h4chfr8.cloudfront.net/image/725136000567/image_2l26e74mnt49r2fq5954hpv40o/-FJPG/106102-035_DET_1.jpg;https://dd3ka9h4chfr8.cloudfront.net/image/725136000567/image_u8kc0mpcrh3djddd5vernpr02a/-FJPG/106102-035_DET_3.jpg;https://dd3ka9h4chfr8.cloudfront.net/image/725136000567/image_30t3jn420548t55h2u6i9mo52b/-FJPG/106102-035_DET_4.jpg;https://dd3ka9h4chfr8.cloudfront.net/image/725136000567/image_oetsrestip7tp73tdu9mbtbk7q/-FJPG/106102-035_DET_5.jpg</t>
  </si>
  <si>
    <t>Patton Burnish</t>
  </si>
  <si>
    <t>106102-035</t>
  </si>
  <si>
    <t>https://dd3ka9h4chfr8.cloudfront.net/image/725136000567/image_npqm2sf1a56ln8bui65jsme67b/-FJPG/106102-035_FRT_1.jpg</t>
  </si>
  <si>
    <t>Intriguing while inviting. Drum-style seating is upholstered in a soothing and warm rust umber hue. A swivel base of natural parawood places a fresh spin on a feminine form.</t>
  </si>
  <si>
    <t>DC (dry clean only)</t>
  </si>
  <si>
    <t>DC</t>
  </si>
  <si>
    <t>Avett Coffee Table Set</t>
  </si>
  <si>
    <t>https://dd3ka9h4chfr8.cloudfront.net/image/725136000567/image_9oonflkemp2d9d9ug1uct34t70/-FJPG/223615-001_FRT_1.jpg;https://dd3ka9h4chfr8.cloudfront.net/image/725136000567/image_l5e1kjapel4fl7pmn59j0a716m/-FJPG/223615-001_PRM_1.jpg;https://dd3ka9h4chfr8.cloudfront.net/image/725136000567/image_g9ka8eogi91vt4fd4o62011a50/-FJPG/223615-001_SID_1.jpg;https://dd3ka9h4chfr8.cloudfront.net/image/725136000567/image_a81ldt5vt90vvcdbntg2bpcd3h/-FJPG/223615-001_ESS_1.jpg;https://dd3ka9h4chfr8.cloudfront.net/image/725136000567/image_7g58af6p4p2ff66uqt9p7r6o1l/-FJPG/223615-001_DET_2.jpg;https://dd3ka9h4chfr8.cloudfront.net/image/725136000567/image_o93gks5nqh3pr86ntbvbodlb4a/-FJPG/223615-001_BCK_1.jpg;https://dd3ka9h4chfr8.cloudfront.net/image/725136000567/image_de7oheer1p2mlertr21gdg3o78/-FJPG/223615-001_DET_1.jpg;https://dd3ka9h4chfr8.cloudfront.net/image/725136000567/image_3ejquvqjn12l9e329k78c5v038/-FJPG/223615-001_DET_3.jpg;https://dd3ka9h4chfr8.cloudfront.net/image/725136000567/image_eubts20m7t275dgp13l0pnti5o/-FJPG/223615-001_TOP_1.jpg;https://dd3ka9h4chfr8.cloudfront.net/image/725136000567/image_utlhdt3bkl7m30knic88751721/-FJPG/223615-001_DET_4.jpg;https://dd3ka9h4chfr8.cloudfront.net/image/725136000567/image_r31lkvf5k94lp0qjtvt4mqd32m/-FJPG/223615-001_DET_5.jpg;https://dd3ka9h4chfr8.cloudfront.net/image/725136000567/image_dmig6sgctl0ejddjedad4ep00v/-FJPG/223615-001_DET_6.jpg;https://dd3ka9h4chfr8.cloudfront.net/image/725136000567/image_kcgcbauhdl1ehfse8nfnn1vn00/-FJPG/223615-001_DET_7.jpg;https://dd3ka9h4chfr8.cloudfront.net/image/725136000567/image_jvl9f0mbp91un1q8r92o4udd62/-FJPG/223615-001_DET_10.jpg;https://dd3ka9h4chfr8.cloudfront.net/image/725136000567/image_tsvj8jtcd14kh9mq4c7q0gcr7b/-FJPG/223615-001_DET_11.jpg;https://dd3ka9h4chfr8.cloudfront.net/image/725136000567/image_bn9nq2dv2t61ld3anakss0o93n/-FJPG/223615-001_DET_12.jpg;https://dd3ka9h4chfr8.cloudfront.net/image/725136000567/image_kcailt4rgl7377bprd1gl0b540/-FJPG/223615-001_DET_13.jpg;https://dd3ka9h4chfr8.cloudfront.net/image/725136000567/image_tehhurk64d3ir88qek02b9ib6b/-FJPG/223615-001_DET_14.jpg;https://dd3ka9h4chfr8.cloudfront.net/image/725136000567/image_ut3vthcmbl1999285pdqm2tk1i/-FJPG/223615-001_DET_15.jpg</t>
  </si>
  <si>
    <t>Bleached Guanacaste Oyster</t>
  </si>
  <si>
    <t>223615-001</t>
  </si>
  <si>
    <t>77.16</t>
  </si>
  <si>
    <t>https://dd3ka9h4chfr8.cloudfront.net/image/725136000567/image_9oonflkemp2d9d9ug1uct34t70/-FJPG/223615-001_FRT_1.jpg</t>
  </si>
  <si>
    <t>["Thick Oyster Cut Guanacaste Veneer","Iron","Thick Guanacaste Veneer"]</t>
  </si>
  <si>
    <t>49.5</t>
  </si>
  <si>
    <t>{"value":49.5,"unit":"in"}</t>
  </si>
  <si>
    <t>15.75</t>
  </si>
  <si>
    <t>{"value":15.75,"unit":"in"}</t>
  </si>
  <si>
    <t>Gunmetal</t>
  </si>
  <si>
    <t>Natural beauty - total novelty. Oyster-cut Guanacaste forms kidney-shaped coffee tables in varied heights, creating a beautifully layered look. Visible veneer rings speak to woods' natural graining, while a dark gunmetal-finished base provides clean contrast to the whole look. Tables sold separately or as a set. Tall table measures 49.5"x24"x15.75"; short table measures 49.5"x24"x11.75".</t>
  </si>
  <si>
    <t>Tall Piece</t>
  </si>
  <si>
    <t>{"value":54.92,"unit":"in"}</t>
  </si>
  <si>
    <t>{"value":23.39,"unit":"in"}</t>
  </si>
  <si>
    <t>{"value":84.22,"unit":"lb"}</t>
  </si>
  <si>
    <t>Short Piece</t>
  </si>
  <si>
    <t>Geometric/Organic</t>
  </si>
  <si>
    <t>["Geometric","Organic"]</t>
  </si>
  <si>
    <t>Avett</t>
  </si>
  <si>
    <t>https://dd3ka9h4chfr8.cloudfront.net/image/725136000567/image_rqe48ndpt50rtcj3f8gu9a0j1j/-FJPG/223615-002_FRT_1.jpg;https://dd3ka9h4chfr8.cloudfront.net/image/725136000567/image_rc811pq0cp0aj92nmiotncsp32/-FJPG/223615-002_PRM_1.jpg;https://dd3ka9h4chfr8.cloudfront.net/image/725136000567/image_p6cutp7b6d0u1eq62ba5dbn653/-FJPG/223615-002_SID_1.jpg;https://dd3ka9h4chfr8.cloudfront.net/image/725136000567/image_rstd0gu7dt60da2o0ui9jsk650/-FJPG/223615-002_ESS_1.jpg;https://dd3ka9h4chfr8.cloudfront.net/image/725136000567/image_ouc0d6ihkl079d0ktq96752l63/-FJPG/223615-002_BCK_1.jpg;https://dd3ka9h4chfr8.cloudfront.net/image/725136000567/image_j8nu5qsm6911f87f43kukpd92q/-FJPG/223615-002_DET_1.jpg;https://dd3ka9h4chfr8.cloudfront.net/image/725136000567/image_p4uv3jida97rfc1iu7oihi3r5h/-FJPG/223615-002_DET_3.jpg;https://dd3ka9h4chfr8.cloudfront.net/image/725136000567/image_220thscpup74l6ir0k2hl96u68/-FJPG/223615-002_DET_4.jpg;https://dd3ka9h4chfr8.cloudfront.net/image/725136000567/image_f6qf0mkpdl44r02or3i66rpv1i/-FJPG/223615-002_DET_5.jpg;https://dd3ka9h4chfr8.cloudfront.net/image/725136000567/image_ttlmfjlugp3f10sqe3hdod6j50/-FJPG/223615-002_DET_6.jpg;https://dd3ka9h4chfr8.cloudfront.net/image/725136000567/image_n5kc0ttl651er68mto8atbt95l/-FJPG/223615-002_DET_7.jpg</t>
  </si>
  <si>
    <t>Smoked Guanacaste Oyster</t>
  </si>
  <si>
    <t>223615-002</t>
  </si>
  <si>
    <t>https://dd3ka9h4chfr8.cloudfront.net/image/725136000567/image_rqe48ndpt50rtcj3f8gu9a0j1j/-FJPG/223615-002_FRT_1.jpg</t>
  </si>
  <si>
    <t>Natural beauty. Total novelty. Oyster-cut Guanacaste forms kidney-shaped coffee tables in varied heights, creating a beautifully layered look. Visible veneer rings speak to woods' natural graining, with a dark gunmetal-finished base. Tables sold separately or as a set. Tall table measures 49.5"x24"x15.75"; short table measures 49.5"x24"x11.75".</t>
  </si>
  <si>
    <t>Bahari Sideboard</t>
  </si>
  <si>
    <t>https://dd3ka9h4chfr8.cloudfront.net/image/725136000567/image_us31e7k5jt0opdupjddcucr34l/-FJPG/237906-002_FRT_1.jpg;https://dd3ka9h4chfr8.cloudfront.net/image/725136000567/image_lttqt6l72t0lne6lqlnpds0d3i/-FJPG/237906-002_PRM_1.jpg;https://dd3ka9h4chfr8.cloudfront.net/image/725136000567/image_csnou3o0857cd274m6an0thl4n/-FJPG/237906-002_SID_1.jpg;https://dd3ka9h4chfr8.cloudfront.net/image/725136000567/image_tghcp657ol4638siob8knbv85i/-FJPG/237906-002_ESS.tif;https://dd3ka9h4chfr8.cloudfront.net/image/725136000567/image_5ag6415q5t6mdfotdt1c398d5m/-FJPG/237906-002_DET_2.jpg;https://dd3ka9h4chfr8.cloudfront.net/image/725136000567/image_45ohj9o91d3v33tj7dorgrab2k/-FJPG/237906-002_BCK_1.jpg;https://dd3ka9h4chfr8.cloudfront.net/image/725136000567/image_54lml9v6rt76t0ehgubgbpf257/-FJPG/237906-002_DET_1.jpg;https://dd3ka9h4chfr8.cloudfront.net/image/725136000567/image_1upts8hhu92ih3ltb0t823hn3h/-FJPG/237906-002_DET_3.jpg;https://dd3ka9h4chfr8.cloudfront.net/image/725136000567/image_mnt4v459752l3277ae90tjsc62/-FJPG/237906-002_OPN_1.jpg;https://dd3ka9h4chfr8.cloudfront.net/image/725136000567/image_06abepaevd24942pl8i3td8l4q/-FJPG/237906-002_TOP_1.jpg;https://dd3ka9h4chfr8.cloudfront.net/image/725136000567/image_h3ab9kvmah48tf4rtmhmlp4f57/-FJPG/237906-002_DET_8.jpg;https://dd3ka9h4chfr8.cloudfront.net/image/725136000567/image_j1sf25720p5k500fan3qv5en2a/-FJPG/237906-002_DET_9.tif;https://dd3ka9h4chfr8.cloudfront.net/image/725136000567/image_vi956pj0up2ph99v09vaemgv2s/-FJPG/237906-002_DET_9.jpg;https://dd3ka9h4chfr8.cloudfront.net/image/725136000567/image_ttp0fdis3958beap7ad15g5u68/-FJPG/FHMPRJ-013_SCENE_1.tif</t>
  </si>
  <si>
    <t>Light Warm Maple Veneer</t>
  </si>
  <si>
    <t>237906-002</t>
  </si>
  <si>
    <t>247.91</t>
  </si>
  <si>
    <t>https://dd3ka9h4chfr8.cloudfront.net/image/725136000567/image_us31e7k5jt0opdupjddcucr34l/-FJPG/237906-002_FRT_1.jpg</t>
  </si>
  <si>
    <t>["Light Maple Veneer"]</t>
  </si>
  <si>
    <t>98</t>
  </si>
  <si>
    <t>{"value":98,"unit":"in"}</t>
  </si>
  <si>
    <t>17.75</t>
  </si>
  <si>
    <t>{"value":17.75,"unit":"in"}</t>
  </si>
  <si>
    <t>Carving detail adds depth and texture to this simple, streamlined design. Made from Guanacaste with a light, natural finish, bringing rich character and an organic look to any room.</t>
  </si>
  <si>
    <t>{"value":102.76,"unit":"in"}</t>
  </si>
  <si>
    <t>{"value":346.12,"unit":"lb"}</t>
  </si>
  <si>
    <t>15.63"</t>
  </si>
  <si>
    <t>30.25"</t>
  </si>
  <si>
    <t>Bahari</t>
  </si>
  <si>
    <t>25.75"</t>
  </si>
  <si>
    <t>Push Latch</t>
  </si>
  <si>
    <t>Bane Bookshelf</t>
  </si>
  <si>
    <t>https://dd3ka9h4chfr8.cloudfront.net/image/725136000567/image_d2f4id2pkl1s9877vb7d0vtf4o/-FJPG/223550-001_FRT_1.jpg;https://dd3ka9h4chfr8.cloudfront.net/image/725136000567/image_bt6ti6ka4p32bcjh61ofr9de3g/-FJPG/223550-001_PRM_1.jpg;https://dd3ka9h4chfr8.cloudfront.net/image/725136000567/image_va9rbikn3t5d18i5gt48l90l2t/-FJPG/223550-001_SID_1.jpg;https://dd3ka9h4chfr8.cloudfront.net/image/725136000567/image_5oibh0q1o54e12tr3m1a4ov460/-FJPG/223550-001_ESS.tif;https://dd3ka9h4chfr8.cloudfront.net/image/725136000567/image_ehckm1noct51tf1q8ircvra745/-FJPG/223550-001_BCK_1.jpg;https://dd3ka9h4chfr8.cloudfront.net/image/725136000567/image_48tbcodjp51ppdrn9utufe7t6k/-FJPG/223550-001_DET_1.jpg;https://dd3ka9h4chfr8.cloudfront.net/image/725136000567/image_4spskj5o254p32q0ho7un6c73b/-FJPG/223550-001_DET_3.jpg;https://dd3ka9h4chfr8.cloudfront.net/image/725136000567/image_00c1lvivv12aj3sh3ha3roha5o/-FJPG/223550-001_OPN_1.jpg;https://dd3ka9h4chfr8.cloudfront.net/image/725136000567/image_qch2pk192t083450s6ja29sd2b/-FJPG/223550-001_DET_4.jpg;https://dd3ka9h4chfr8.cloudfront.net/image/725136000567/image_rk6etqdp8t6uvb099tsd1tas6f/-FJPG/223550-001_DET_5.jpg;https://dd3ka9h4chfr8.cloudfront.net/image/725136000567/image_u0dpabid7t5er4k51pvqlgur4b/-FJPG/223550-001_DET_6.jpg;https://dd3ka9h4chfr8.cloudfront.net/image/725136000567/image_uqe4avntkl0uf9scl5pdid3n6d/-FJPG/223550-001_DET_7.jpg;https://dd3ka9h4chfr8.cloudfront.net/image/725136000567/image_a9ol1l8rm568v40e8r6606aa2l/-FJPG/223550-001_DET_8.jpg;https://dd3ka9h4chfr8.cloudfront.net/image/725136000567/image_lbe6egs4g14g7foaahatejnp1l/-FJPG/223550-001_ROM_2.jpg;https://dd3ka9h4chfr8.cloudfront.net/image/725136000567/image_0313744nal6df8kgq2i0kej87t/-FJPG/223550-001_VIG_1.jpg</t>
  </si>
  <si>
    <t>Black Iron with ladder</t>
  </si>
  <si>
    <t>35 with ladder</t>
  </si>
  <si>
    <t>223550-001</t>
  </si>
  <si>
    <t>169.75</t>
  </si>
  <si>
    <t>https://dd3ka9h4chfr8.cloudfront.net/image/725136000567/image_d2f4id2pkl1s9877vb7d0vtf4o/-FJPG/223550-001_FRT_1.jpg</t>
  </si>
  <si>
    <t>["Solid Pine","Iron"]</t>
  </si>
  <si>
    <t>39.25</t>
  </si>
  <si>
    <t>{"value":39.25,"unit":"in"}</t>
  </si>
  <si>
    <t>101.25</t>
  </si>
  <si>
    <t>{"value":101.25,"unit":"in"}</t>
  </si>
  <si>
    <t>Haiden</t>
  </si>
  <si>
    <t>Smoked Pine</t>
  </si>
  <si>
    <t>Black Iron</t>
  </si>
  <si>
    <t>Bookcases</t>
  </si>
  <si>
    <t>Made from smoked solid pine, five specious shelves are ready to store favorite books and treasures. Removable ledges slant at an angle on each shelf, for even-better display of art- and coffee table-size books, plus a decorative-only slide ladder.</t>
  </si>
  <si>
    <t>{"value":110.24,"unit":"in"}</t>
  </si>
  <si>
    <t>{"value":189.6,"unit":"lb"}</t>
  </si>
  <si>
    <t>{"value":100.98,"unit":"in"}</t>
  </si>
  <si>
    <t>{"value":4.92,"unit":"in"}</t>
  </si>
  <si>
    <t>{"value":28.66,"unit":"lb"}</t>
  </si>
  <si>
    <t>Single</t>
  </si>
  <si>
    <t>["Single"]</t>
  </si>
  <si>
    <t>Bane</t>
  </si>
  <si>
    <t>https://dd3ka9h4chfr8.cloudfront.net/image/725136000567/image_gdgn750u4918la7uk941s6rv4m/-FJPG/223749-001_FRT_1.jpg;https://dd3ka9h4chfr8.cloudfront.net/image/725136000567/image_dlc7u1jrnh0uj1c9tnk3qhql5b/-FJPG/223749-001_PRM_1.jpg;https://dd3ka9h4chfr8.cloudfront.net/image/725136000567/image_ncuh70v4ol12n988leqo928q26/-FJPG/223749-001_SID_1.jpg;https://dd3ka9h4chfr8.cloudfront.net/image/725136000567/image_qo3o2m4m590pp2ptlf8mfoil6l/-FJPG/223749-001_ESS_1.jpg;https://dd3ka9h4chfr8.cloudfront.net/image/725136000567/image_fomebd9kep1754d1ttiokln51q/-FJPG/223749-001_DET_2.jpg;https://dd3ka9h4chfr8.cloudfront.net/image/725136000567/image_mubdflr8ih2lp55388ho53k95q/-FJPG/223749-001_BCK_1.jpg;https://dd3ka9h4chfr8.cloudfront.net/image/725136000567/image_0tv2psnrb95edbkbs9270q7l7e/-FJPG/223749-001_DET_1.jpg;https://dd3ka9h4chfr8.cloudfront.net/image/725136000567/image_0bsttheprh76v36crldlelsk72/-FJPG/223749-001_DET_3.jpg;https://dd3ka9h4chfr8.cloudfront.net/image/725136000567/image_va0k511b291edch65t34p2dt6k/-FJPG/223749-001_OPN_1.jpg;https://dd3ka9h4chfr8.cloudfront.net/image/725136000567/image_oif7a4de516dl8lcib7s3fks7b/-FJPG/223749-001_DET_4.jpg;https://dd3ka9h4chfr8.cloudfront.net/image/725136000567/image_kcbt04ibnl4vhfjh9adjip1f1n/-FJPG/223749-001_DET_5.jpg;https://dd3ka9h4chfr8.cloudfront.net/image/725136000567/image_eo571il03516f10c7i9j269k4v/-FJPG/223749-001_DET_6.jpg;https://dd3ka9h4chfr8.cloudfront.net/image/725136000567/image_47v2a2jsk95ul4hvqbcqkg374h/-FJPG/223749-001_PRM_2.jpg;https://dd3ka9h4chfr8.cloudfront.net/image/725136000567/image_r57g2advvh0o7230v1o0fpmd7a/-FJPG/223749-001_FRT_2.jpg;https://dd3ka9h4chfr8.cloudfront.net/image/725136000567/image_618b091d117sf98b053sokmv38/-FJPG/223749-001_PRM_3.jpg</t>
  </si>
  <si>
    <t>223749-001</t>
  </si>
  <si>
    <t>319.66</t>
  </si>
  <si>
    <t>https://dd3ka9h4chfr8.cloudfront.net/image/725136000567/image_gdgn750u4918la7uk941s6rv4m/-FJPG/223749-001_FRT_1.jpg</t>
  </si>
  <si>
    <t>Ten roomy shelves are ready to store favorite books and treasures, made with smoked solid pine suited for any space. Removable ledges slant at an angle on each shelf for a better display of art and coffee table-size books, plus an optional slide ladder (for decorative use only) to complete the look.</t>
  </si>
  <si>
    <t>Shelves</t>
  </si>
  <si>
    <t>Double</t>
  </si>
  <si>
    <t>["Double"]</t>
  </si>
  <si>
    <t>https://dd3ka9h4chfr8.cloudfront.net/image/725136000567/image_7r8ef119s53mt6o5403spkc93t/-FJPG/223750-001_FRT_1.jpg;https://dd3ka9h4chfr8.cloudfront.net/image/725136000567/image_7gpsgd8gcd47v8f8cll0urlj79/-FJPG/223750-001_PRM_1.jpg;https://dd3ka9h4chfr8.cloudfront.net/image/725136000567/image_ho9b3pulet3cd5m82p4ec07g17/-FJPG/223750-001_SID_1.jpg;https://dd3ka9h4chfr8.cloudfront.net/image/725136000567/image_trajevcjkd55j4jbcbr2r0sj1m/-FJPG/223750-001_BCK_1.jpg;https://dd3ka9h4chfr8.cloudfront.net/image/725136000567/image_k8ale0egtd0b3a1rvqkc2bv35h/-FJPG/223750-001_DET_1.jpg;https://dd3ka9h4chfr8.cloudfront.net/image/725136000567/image_pkdb20cjup71r3iuvvivihel5j/-FJPG/223750-001_DET_3.jpg;https://dd3ka9h4chfr8.cloudfront.net/image/725136000567/image_887gg461ld36b40kirajpapr3b/-FJPG/223750-001_OPN_1.jpg;https://dd3ka9h4chfr8.cloudfront.net/image/725136000567/image_lk2osgpjml64b80c4up0k9ru03/-FJPG/223750-001_DET_4.jpg;https://dd3ka9h4chfr8.cloudfront.net/image/725136000567/image_t40g1hnr7177n2bv2qs1dtjb6n/-FJPG/223750-001_DET_5.jpg;https://dd3ka9h4chfr8.cloudfront.net/image/725136000567/image_37dr3csdal7h76s3m6hnag0n4q/-FJPG/223750-001_DET_6.jpg;https://dd3ka9h4chfr8.cloudfront.net/image/725136000567/image_6ih5tjm5rt53d5o23u9htkag7d/-FJPG/223750-001_DET_7.jpg;https://dd3ka9h4chfr8.cloudfront.net/image/725136000567/image_0htgth85rp40d6kqdj5isboi7t/-FJPG/223750-001_DET_8.jpg;https://dd3ka9h4chfr8.cloudfront.net/image/725136000567/image_ok7t4ql24l05j1nq8s7vh4744k/-FJPG/223750-001_DET_9.jpg;https://dd3ka9h4chfr8.cloudfront.net/image/725136000567/image_ea8136g9gp5d1btepf4lc7u246/-FJPG/223750-001_DET_10.jpg;https://dd3ka9h4chfr8.cloudfront.net/image/725136000567/image_dtck5meda15g7bk7vsc0hhsq62/-FJPG/223750-001_DET_11.jpg;https://dd3ka9h4chfr8.cloudfront.net/image/725136000567/image_9bnleeoibd5ala6ku0lefr2n7f/-FJPG/223750-001_DET_12.jpg;https://dd3ka9h4chfr8.cloudfront.net/image/725136000567/image_3a33u3aaah2ld2rpmb57vbbn0k/-FJPG/223750-001_OPN_2.jpg</t>
  </si>
  <si>
    <t>223750-001</t>
  </si>
  <si>
    <t>469.57</t>
  </si>
  <si>
    <t>https://dd3ka9h4chfr8.cloudfront.net/image/725136000567/image_7r8ef119s53mt6o5403spkc93t/-FJPG/223750-001_FRT_1.jpg</t>
  </si>
  <si>
    <t>105</t>
  </si>
  <si>
    <t>{"value":105,"unit":"in"}</t>
  </si>
  <si>
    <t>Made from smoked solid pine, three side-by-side bookshelves, each with five spacious shelves, are ready to store favorite books and treasures. Removable ledges slant at an angle on each shelf, for even-better display of art and coffee table-size books, plus an optional slide ladder (for decorative use only) to complete the look.</t>
  </si>
  <si>
    <t>https://dd3ka9h4chfr8.cloudfront.net/image/725136000567/image_risrqig6oh67va1ek8au4irm3t/-FJPG/VHDN-039_FRT_1.jpg;https://dd3ka9h4chfr8.cloudfront.net/image/725136000567/image_6m0ndg37d12ibbqbbe004hgv31/-FJPG/VHDN-039_PRM_1.jpg;https://dd3ka9h4chfr8.cloudfront.net/image/725136000567/image_7li4l46o6p7qjejlgmgrgmds47/-FJPG/VHDN-039_SID_1.jpg;https://dd3ka9h4chfr8.cloudfront.net/image/725136000567/image_l3hctcf54h43p6i4mfkfrvp173/-FJPG/VHDN-039_ESS_1.jpg;https://dd3ka9h4chfr8.cloudfront.net/image/725136000567/image_1juqed2ebl1a5483p1bm4brm7d/-FJPG/VHDN-039_DET_2.jpg;https://dd3ka9h4chfr8.cloudfront.net/image/725136000567/image_ulhi0ajfgl5o1fhj94cpmdgs6v/-FJPG/VHDN-039_BCK_1.jpg;https://dd3ka9h4chfr8.cloudfront.net/image/725136000567/image_ufhh1fdskt72ve8vqd24q4380d/-FJPG/VHDN-039_DET_1.jpg;https://dd3ka9h4chfr8.cloudfront.net/image/725136000567/image_ucvk3qcs6571rf7bbmphs5712s/-FJPG/VHDN-039_DET_3.jpg;https://dd3ka9h4chfr8.cloudfront.net/image/725136000567/image_itc4tcniq55o15tibk8t2tag5b/-FJPG/VHDN-039_OPN_1.jpg;https://dd3ka9h4chfr8.cloudfront.net/image/725136000567/image_1jdhfglqod54ncgi3r9m6imf6g/-FJPG/VHDN-039_DET_4.jpg;https://dd3ka9h4chfr8.cloudfront.net/image/725136000567/image_nra9i22j054od9arnm6dfv9q79/-FJPG/VHDN-039_DET_5.jpg;https://dd3ka9h4chfr8.cloudfront.net/image/725136000567/image_ql89ct3th57f5a9foia598i96e/-FJPG/VHDN-039_DET_6.jpg;https://dd3ka9h4chfr8.cloudfront.net/image/725136000567/image_5of3a0c8mh47jc0756mjbp9579/-FJPG/VHDN-039_DET_7.jpg;https://dd3ka9h4chfr8.cloudfront.net/image/725136000567/image_2lsci4781l17d1lhlaukoo8j12/-FJPG/VHDN-039_DET_8.jpg;https://dd3ka9h4chfr8.cloudfront.net/image/725136000567/image_t4nlcirkq13ddb9011gh6pu36b/-FJPG/VHDN-039_DET_9.jpg;https://dd3ka9h4chfr8.cloudfront.net/image/725136000567/image_vh63rod2b10ejdsd6jc3m16337/-FJPG/VHDN-039_VIG_2.jpg;https://dd3ka9h4chfr8.cloudfront.net/image/725136000567/image_9dck0dcm0p6l32js1ddj6rsq49/-FJPG/VHDN-039_PRM_2.jpg</t>
  </si>
  <si>
    <t>VHDN-039</t>
  </si>
  <si>
    <t>149.91</t>
  </si>
  <si>
    <t>https://dd3ka9h4chfr8.cloudfront.net/image/725136000567/image_risrqig6oh67va1ek8au4irm3t/-FJPG/VHDN-039_FRT_1.jpg</t>
  </si>
  <si>
    <t>98.5</t>
  </si>
  <si>
    <t>{"value":98.5,"unit":"in"}</t>
  </si>
  <si>
    <t>Made from smoked solid pine, five spacious shelves are ready to store favorite books and treasures. Removable ledges slant at an angle on each shelf, for even-better display of art and coffee table-size books.</t>
  </si>
  <si>
    <t>16.46"</t>
  </si>
  <si>
    <t>34.37"</t>
  </si>
  <si>
    <t>15.24"</t>
  </si>
  <si>
    <t>33.58"</t>
  </si>
  <si>
    <t>15.08"</t>
  </si>
  <si>
    <t>16.65"</t>
  </si>
  <si>
    <t>Banks Slipcover Swivel Chair</t>
  </si>
  <si>
    <t>https://dd3ka9h4chfr8.cloudfront.net/image/725136000567/image_b6hnpp5s7h4abaoei3m2241s3c/-FJPG/106182-096_FRT_1.jpg;https://dd3ka9h4chfr8.cloudfront.net/image/725136000567/image_dtfcsq7vml1813qlblfs65997t/-FJPG/106182-096_PRM_1.jpg;https://dd3ka9h4chfr8.cloudfront.net/image/725136000567/image_3aqkt3ch5p0t512s74902f8k3a/-FJPG/106182-096_SID_1.jpg;https://dd3ka9h4chfr8.cloudfront.net/image/725136000567/image_g2r5ls5ivl1sba8952s2jvig2m/-FJPG/106182-096_ESS_1.jpg;https://dd3ka9h4chfr8.cloudfront.net/image/725136000567/image_3abbutfp1p3h50s6gmsri0ra5c/-FJPG/106182-096_DET_2.jpg;https://dd3ka9h4chfr8.cloudfront.net/image/725136000567/image_pvv5m5nq152n10fnqpgbug6s2d/-FJPG/106182-096_BCK_1.jpg;https://dd3ka9h4chfr8.cloudfront.net/image/725136000567/image_0kk7uskm5h6c7adqavdtd5vr5c/-FJPG/106182-096_DET_1.jpg;https://dd3ka9h4chfr8.cloudfront.net/image/725136000567/image_l66s4ko7td7490aai0ispe5e1f/-FJPG/106182-096_DET_3.jpg;https://dd3ka9h4chfr8.cloudfront.net/image/725136000567/image_vg7ausalkd4qr6r9eqe7eiat65/-FJPG/106182-096_DET_4.jpg;https://dd3ka9h4chfr8.cloudfront.net/image/725136000567/image_pb4nafcevh42lbu1o409318i7u/-FJPG/106182-096_DET_5.jpg;https://dd3ka9h4chfr8.cloudfront.net/image/725136000567/image_hcgrq0uhud3j56gpojg1avit4e/-FJPG/106182-096_DET_6.jpg;https://dd3ka9h4chfr8.cloudfront.net/image/725136000567/image_e9g48sugd91ib5e5vt9pksf629/-FJPG/106182-096_DET_7.jpg</t>
  </si>
  <si>
    <t>Alcala Taupe</t>
  </si>
  <si>
    <t>106182-096</t>
  </si>
  <si>
    <t>54.5</t>
  </si>
  <si>
    <t>https://dd3ka9h4chfr8.cloudfront.net/image/725136000567/image_b6hnpp5s7h4abaoei3m2241s3c/-FJPG/106182-096_FRT_1.jpg</t>
  </si>
  <si>
    <t>["70% Polyester","20% Viscose (Rayon)","10% Flax/Linen"]</t>
  </si>
  <si>
    <t>32.75</t>
  </si>
  <si>
    <t>{"value":32.75,"unit":"in"}</t>
  </si>
  <si>
    <t>A modern take on the 360-degree swivel chair is small in scale and big in comfort. A durable taupe slipcover of high-performance fabric is created to withstand spills, stains and high traffic wear.</t>
  </si>
  <si>
    <t>L Shape Box, Complete Item</t>
  </si>
  <si>
    <t>{"value":61.73,"unit":"lb"}</t>
  </si>
  <si>
    <t>27.36"</t>
  </si>
  <si>
    <t>7.99"</t>
  </si>
  <si>
    <t>20.35"</t>
  </si>
  <si>
    <t>80% Polyurethane Foam, 10% Fiber, 10% Waterfowl Feather</t>
  </si>
  <si>
    <t>Banks</t>
  </si>
  <si>
    <t>23.98"</t>
  </si>
  <si>
    <t>5.98"</t>
  </si>
  <si>
    <t>18.70"</t>
  </si>
  <si>
    <t>1.97"</t>
  </si>
  <si>
    <t>11.10"</t>
  </si>
  <si>
    <t>60% Polyester Fiber Batting, 40% Waterfowl Feather</t>
  </si>
  <si>
    <t>https://dd3ka9h4chfr8.cloudfront.net/image/725136000567/image_k6fun3kdnl5bb744addcfgnb1m/-FJPG/106182-087_FRT_1.jpg;https://dd3ka9h4chfr8.cloudfront.net/image/725136000567/image_458bno6qa53btag42grpoend1b/-FJPG/106182-087_PRM_1.jpg;https://dd3ka9h4chfr8.cloudfront.net/image/725136000567/image_0743iqn0ll5rp0q7498mno7n5s/-FJPG/106182-087_SID_1.jpg;https://dd3ka9h4chfr8.cloudfront.net/image/725136000567/image_rj5r2rh7bl5r1ecrcmrb0hbr1p/-FJPG/106182-087_DET_2.jpg;https://dd3ka9h4chfr8.cloudfront.net/image/725136000567/image_t5lr43lcmd4a7c9cn2gqedue0n/-FJPG/106182-087_BCK_1.jpg;https://dd3ka9h4chfr8.cloudfront.net/image/725136000567/image_c3dqpfdq0t2b5cp2d4ogc2eh7r/-FJPG/106182-087_INF_1.jpg;https://dd3ka9h4chfr8.cloudfront.net/image/725136000567/image_ujbrmcggu52vjbk3fvn9n19859/-FJPG/106182-087_DET_1.jpg;https://dd3ka9h4chfr8.cloudfront.net/image/725136000567/image_au5ntd37jl6kh3kaeluqj7bu1u/-FJPG/106182-087_DET_3.jpg;https://dd3ka9h4chfr8.cloudfront.net/image/725136000567/image_fquqhipjhh5iff0v93l9a4es3u/-FJPG/106182-087_DET_4.jpg;https://dd3ka9h4chfr8.cloudfront.net/image/725136000567/image_vvqan0nc3t5o9bbtgsfmppg501/-FJPG/106182-087_DET_5.jpg;https://dd3ka9h4chfr8.cloudfront.net/image/725136000567/image_gnpv37ols51dpcc38haeuekj2o/-FJPG/106182-087_DET_6.jpg;https://dd3ka9h4chfr8.cloudfront.net/image/725136000567/image_14juoco69h7m13kqpopngml20f/-FJPG/106182-087_DET_7.jpg;https://dd3ka9h4chfr8.cloudfront.net/image/725136000567/image_3lkh92l289279d5u50hb8l1b17/-FJPG/106182-087_ROM_1.jpg;https://dd3ka9h4chfr8.cloudfront.net/image/725136000567/image_usbg125vtd5vvd7prm54mac13c/-FJPG/106182-087_ROM_2.jpg</t>
  </si>
  <si>
    <t>Cambric Ivory</t>
  </si>
  <si>
    <t>106182-087</t>
  </si>
  <si>
    <t>https://dd3ka9h4chfr8.cloudfront.net/image/725136000567/image_k6fun3kdnl5bb744addcfgnb1m/-FJPG/106182-087_FRT_1.jpg</t>
  </si>
  <si>
    <t>["90% Polyester","10% Flax/Linen"]</t>
  </si>
  <si>
    <t>A new take on the 360-degree swivel chair is small in scale and big in comfort. A performance slipcover of linen-blend ivory meets high style with clever practicality. Performance fabrics are specially created to withstand spills, stains, high traffic and wear, ensuring long-term comfort and unmatched durability.</t>
  </si>
  <si>
    <t>Complete Item, L Shaped Box</t>
  </si>
  <si>
    <t>https://dd3ka9h4chfr8.cloudfront.net/image/725136000567/image_8b2npb5g550gl08uf8c70d1t5n/-FJPG/106182-091_FRT_1.jpg;https://dd3ka9h4chfr8.cloudfront.net/image/725136000567/image_1bimrq4n7543f931msci7qo53t/-FJPG/106182-091_PRM_1.jpg;https://dd3ka9h4chfr8.cloudfront.net/image/725136000567/image_v8ih993g8l421ejfkricngcf7o/-FJPG/106182-091_SID_1.jpg;https://dd3ka9h4chfr8.cloudfront.net/image/725136000567/image_v36a9hnc497gn15rai5tpie53r/-FJPG/106182-091_DET_2.jpg;https://dd3ka9h4chfr8.cloudfront.net/image/725136000567/image_dgi0ugsq351qh3bu3katuv761g/-FJPG/106182-091_BCK_1.jpg;https://dd3ka9h4chfr8.cloudfront.net/image/725136000567/image_0qdfjiajl94616j2qi55aahj1e/-FJPG/106182-091_DET_1.jpg;https://dd3ka9h4chfr8.cloudfront.net/image/725136000567/image_s56avjqgh95j36is98td8fck66/-FJPG/106182-091_DET_3.jpg;https://dd3ka9h4chfr8.cloudfront.net/image/725136000567/image_tcbgpretld7k177o9vl11bbv3e/-FJPG/106182-091_DET_4.jpg;https://dd3ka9h4chfr8.cloudfront.net/image/725136000567/image_8vhagsr3lt1nr59qqchb7dm55t/-FJPG/106182-091_DET_5.jpg;https://dd3ka9h4chfr8.cloudfront.net/image/725136000567/image_l17ujsr5i15u15qoqbkqtnrb7h/-FJPG/106182-091_DET_6.jpg;https://dd3ka9h4chfr8.cloudfront.net/image/725136000567/image_i2ib07t35d0epb1ko7s6hm2p23/-FJPG/106182-091_ESS.tif</t>
  </si>
  <si>
    <t>106182-091</t>
  </si>
  <si>
    <t>https://dd3ka9h4chfr8.cloudfront.net/image/725136000567/image_8b2npb5g550gl08uf8c70d1t5n/-FJPG/106182-091_FRT_1.jpg</t>
  </si>
  <si>
    <t>A modern take on the 360-degree swivel chair is small in scale and big in comfort. Luxuriously slipcovered in tan top-grain leather with a plump, pronounced grain.</t>
  </si>
  <si>
    <t>Bates Bunching Table</t>
  </si>
  <si>
    <t>https://dd3ka9h4chfr8.cloudfront.net/image/725136000567/image_m5np4f14711hfcd26rljq1m85n/-FJPG/223616-001_FRT_1.jpg;https://dd3ka9h4chfr8.cloudfront.net/image/725136000567/image_g2rn8q036d4lvd50meg1eakt7c/-FJPG/223616-001_PRM_1.jpg;https://dd3ka9h4chfr8.cloudfront.net/image/725136000567/image_7hkjr26db10np2j8dq8i78312n/-FJPG/223616-001_SID_1.jpg;https://dd3ka9h4chfr8.cloudfront.net/image/725136000567/image_efk73p0tsd7s9bgokf3c60ee1l/-FJPG/223616-001_ESS_1.jpg;https://dd3ka9h4chfr8.cloudfront.net/image/725136000567/image_c5eidodvst2bd85cer6rap0p2o/-FJPG/223616-001_DET_2.jpg;https://dd3ka9h4chfr8.cloudfront.net/image/725136000567/image_mrrgicslb56bb4svv3frismb25/-FJPG/223616-001_BCK_1.jpg;https://dd3ka9h4chfr8.cloudfront.net/image/725136000567/image_h3hfr0d3ah0anbg7jgd3cv2l0r/-FJPG/223616-001_DET_1.jpg;https://dd3ka9h4chfr8.cloudfront.net/image/725136000567/image_209kvskff50496o37stlh76841/-FJPG/223616-001_DET_3.jpg;https://dd3ka9h4chfr8.cloudfront.net/image/725136000567/image_09efhdiqh94br7kq6jhr217d29/-FJPG/223616-001_TOP_1.jpg;https://dd3ka9h4chfr8.cloudfront.net/image/725136000567/image_2cb4elrq516atfh8hvq2eo0s4u/-FJPG/223616-001_DET_4.jpg;https://dd3ka9h4chfr8.cloudfront.net/image/725136000567/image_t8rj97afc90d95duoe8dj15l2r/-FJPG/223616-001_DET_5.jpg;https://dd3ka9h4chfr8.cloudfront.net/image/725136000567/image_e4u97hjdqh1pjdaaaidiijqm3e/-FJPG/223616-001_PRM_2.jpg</t>
  </si>
  <si>
    <t>Caramel Oak Veneer</t>
  </si>
  <si>
    <t>223616-001</t>
  </si>
  <si>
    <t>23.04</t>
  </si>
  <si>
    <t>https://dd3ka9h4chfr8.cloudfront.net/image/725136000567/image_m5np4f14711hfcd26rljq1m85n/-FJPG/223616-001_FRT_1.jpg</t>
  </si>
  <si>
    <t>["Thick Oyster Cut Oak Veneer","Thick Eucalyptus Veneer"]</t>
  </si>
  <si>
    <t>Natural Yukas</t>
  </si>
  <si>
    <t>Visible oyster cutting lends naturally beautiful depth to a stepped bunching table of natural yukas and caramel-colored oak.</t>
  </si>
  <si>
    <t>{"value":47.51,"unit":"lb"}</t>
  </si>
  <si>
    <t>Bates</t>
  </si>
  <si>
    <t>12.75"</t>
  </si>
  <si>
    <t>Bauer Chair</t>
  </si>
  <si>
    <t>https://dd3ka9h4chfr8.cloudfront.net/image/725136000567/image_2655rpdifp2977qvbv14htsl3d/-FJPG/105572-007_FRT_1.JPG;https://dd3ka9h4chfr8.cloudfront.net/image/725136000567/image_quntsqbh9h2b11m9ifdes8ko15/-FJPG/105572-007_PRM_1.JPG;https://dd3ka9h4chfr8.cloudfront.net/image/725136000567/image_3bv0e8886p74t78p7b7lo1qi0m/-FJPG/105572-007_SID_1.JPG;https://dd3ka9h4chfr8.cloudfront.net/image/725136000567/image_fb1vfhstn94or5u7q65tro7c32/-FJPG/105572-007_DET_2.JPG;https://dd3ka9h4chfr8.cloudfront.net/image/725136000567/image_5bd0qvme05705ecpuamalr1d3p/-FJPG/105572-007_BCK_1.JPG;https://dd3ka9h4chfr8.cloudfront.net/image/725136000567/image_lu6uhfpd5158ndvf5tuah0f90f/-FJPG/105572-007_DET_1.JPG;https://dd3ka9h4chfr8.cloudfront.net/image/725136000567/image_79ic9t54fl7o7b0fjr8133225v/-FJPG/105572-007_DET_3.JPG;https://dd3ka9h4chfr8.cloudfront.net/image/725136000567/image_ur7fean5392sbbgdrg6fpmd14s/-FJPG/105572-007_DET_4.JPG;https://dd3ka9h4chfr8.cloudfront.net/image/725136000567/image_vl26l38cft32tc7s9s17ctum35/-FJPG/105572-007_DET_5.JPG</t>
  </si>
  <si>
    <t>Dakota Warm Taupe</t>
  </si>
  <si>
    <t>105572-007</t>
  </si>
  <si>
    <t>39.46</t>
  </si>
  <si>
    <t>https://dd3ka9h4chfr8.cloudfront.net/image/725136000567/image_2655rpdifp2977qvbv14htsl3d/-FJPG/105572-007_FRT_1.JPG</t>
  </si>
  <si>
    <t>Lush seating of taupe top-grain leather fastens to almond-finished parawood framing via trend-forward buckles. Angular arms honor mid-century design, adding a throwback feel to a cutting-edge look.</t>
  </si>
  <si>
    <t>{"value":37.01,"unit":"in"}</t>
  </si>
  <si>
    <t>{"value":57.32,"unit":"lb"}</t>
  </si>
  <si>
    <t>Bauer</t>
  </si>
  <si>
    <t>32.50"</t>
  </si>
  <si>
    <t>32.00"</t>
  </si>
  <si>
    <t>24.75"</t>
  </si>
  <si>
    <t>12.00"</t>
  </si>
  <si>
    <t>22.35"</t>
  </si>
  <si>
    <t>23.75"</t>
  </si>
  <si>
    <t>https://dd3ka9h4chfr8.cloudfront.net/image/725136000567/image_kp8egkrrrt6st71u57vosklp46/-FJPG/105572-004_FRT_1.jpg;https://dd3ka9h4chfr8.cloudfront.net/image/725136000567/image_bjoq6np54d39p709sfsclc0f1d/-FJPG/105572-004_PRM_1.jpg;https://dd3ka9h4chfr8.cloudfront.net/image/725136000567/image_aoddt80k656857aaj8gu5hc722/-FJPG/105572-004_SID_1.jpg;https://dd3ka9h4chfr8.cloudfront.net/image/725136000567/image_km3ag084dh3jp462klpov4fc38/-FJPG/105572-004_ESS_1.jpg;https://dd3ka9h4chfr8.cloudfront.net/image/725136000567/image_8jj46it6tp75ncero1p408i160/-FJPG/105572-004_DET_2.jpg;https://dd3ka9h4chfr8.cloudfront.net/image/725136000567/image_3c44ooi0g97m737smn2ctd2b3l/-FJPG/105572-004_BCK_1.jpg;https://dd3ka9h4chfr8.cloudfront.net/image/725136000567/image_280quvr6st7m994m6dsn49j033/-FJPG/105572-004_INF_1.jpg;https://dd3ka9h4chfr8.cloudfront.net/image/725136000567/image_3ij16322652gj6vkad9n0is650/-FJPG/105572-004_DET_1.jpg;https://dd3ka9h4chfr8.cloudfront.net/image/725136000567/image_1qrcdefu5t7e95e8mo5bq3m36j/-FJPG/105572-004_DET_3.jpg;https://dd3ka9h4chfr8.cloudfront.net/image/725136000567/image_5dngnhcs5h5lbea7rgtgp3ge5e/-FJPG/105572-004_DET_4.jpg</t>
  </si>
  <si>
    <t>Thames Cream</t>
  </si>
  <si>
    <t>105572-004</t>
  </si>
  <si>
    <t>https://dd3ka9h4chfr8.cloudfront.net/image/725136000567/image_kp8egkrrrt6st71u57vosklp46/-FJPG/105572-004_FRT_1.jpg</t>
  </si>
  <si>
    <t>["66% Polyester","19% Acrylic","15% Flax/Linen","Solid Parawood","Top Grain Leather"]</t>
  </si>
  <si>
    <t>Sonoma Coco</t>
  </si>
  <si>
    <t>Cream-colored upholstery exclusive to Four Hands fastens to parawood framing by way of trend-forward buckles. Angular arms honor mid-century design, adding a throwback feel to a cutting-edge look.</t>
  </si>
  <si>
    <t>Beckwith Sofa</t>
  </si>
  <si>
    <t>https://dd3ka9h4chfr8.cloudfront.net/image/725136000567/image_0k362po3ll6r96s2l97golnk7d/-FJPG/105714-003_FRT_1.jpg;https://dd3ka9h4chfr8.cloudfront.net/image/725136000567/image_1pt1m8ig8d5534k0g9q5ouig2r/-FJPG/105714-003_PRM_1.jpg;https://dd3ka9h4chfr8.cloudfront.net/image/725136000567/image_in13mch5j51un4hf4acidkjd16/-FJPG/105714-003_SID_1.jpg;https://dd3ka9h4chfr8.cloudfront.net/image/725136000567/image_ps86siqvcd5qh2i24neatvdp4n/-FJPG/105714-003_ESS_1.jpg;https://dd3ka9h4chfr8.cloudfront.net/image/725136000567/image_8ha6v8pu8l0096grfgucs07c1c/-FJPG/105714-003_DET_2.jpg;https://dd3ka9h4chfr8.cloudfront.net/image/725136000567/image_louc644qa13ojfm08bk0nsi57u/-FJPG/105714-003_BCK_1.jpg;https://dd3ka9h4chfr8.cloudfront.net/image/725136000567/image_nor0fen3t50sd88mql6k9n6i1h/-FJPG/105714-003_DET_1.jpg;https://dd3ka9h4chfr8.cloudfront.net/image/725136000567/image_3klki2jdgl7q33r4ma1jr3qc2s/-FJPG/105714-003_DET_3.jpg;https://dd3ka9h4chfr8.cloudfront.net/image/725136000567/image_4d5lgvsibp08jb1387v44rqo7o/-FJPG/105714-003_DET_4.jpg;https://dd3ka9h4chfr8.cloudfront.net/image/725136000567/image_29hdfkcue51ib5q85pkpiuda43/-FJPG/105714-003_DET_5.jpg;https://dd3ka9h4chfr8.cloudfront.net/image/725136000567/image_f40n01v3s12f958i29ljdagn3a/-FJPG/105714-003_DET_6.jpg;https://dd3ka9h4chfr8.cloudfront.net/image/725136000567/image_fn2j1o0q7971b5v3nto0f5l16o/-FJPG/105714-003_DET_7.jpg;https://dd3ka9h4chfr8.cloudfront.net/image/725136000567/image_5s0qkr315t2uh883pn7fk4ss57/-FJPG/105714-003_ROM_1.jpg;https://dd3ka9h4chfr8.cloudfront.net/image/725136000567/image_87dg2jgpb12c7682qhdueq5e5q/-FJPG/105714-003_VIG_1.jpg</t>
  </si>
  <si>
    <t>Natural Washed Camel</t>
  </si>
  <si>
    <t>105714-003</t>
  </si>
  <si>
    <t>148.5</t>
  </si>
  <si>
    <t>https://dd3ka9h4chfr8.cloudfront.net/image/725136000567/image_0k362po3ll6r96s2l97golnk7d/-FJPG/105714-003_FRT_1.jpg</t>
  </si>
  <si>
    <t>28.5</t>
  </si>
  <si>
    <t>{"value":28.5,"unit":"in"}</t>
  </si>
  <si>
    <t>Weathered Ash</t>
  </si>
  <si>
    <t>Mid-century modern undergoes a trend-forward refresh. Top-grain leather takes on a camel hue for a soft, buttery sit. Legs of weathered oak stay stout, allowing leather to stand front-and-center.</t>
  </si>
  <si>
    <t>{"value":194,"unit":"lb"}</t>
  </si>
  <si>
    <t>27.56"</t>
  </si>
  <si>
    <t>42.32"</t>
  </si>
  <si>
    <t>21.65"</t>
  </si>
  <si>
    <t>15.75"</t>
  </si>
  <si>
    <t>68.90"</t>
  </si>
  <si>
    <t>45% Waterfowl Feather, 30% Polyester Fiber, 25% Polyurethane Foam Pad</t>
  </si>
  <si>
    <t>Beckwith</t>
  </si>
  <si>
    <t>32.68"</t>
  </si>
  <si>
    <t>38.19"</t>
  </si>
  <si>
    <t>6.30"</t>
  </si>
  <si>
    <t>85.83"</t>
  </si>
  <si>
    <t>60% Waterfowl Feather, 40% Polyester Fiber</t>
  </si>
  <si>
    <t>56% Polyurethane Foam Pad, 44% Polyester Fiber Batting</t>
  </si>
  <si>
    <t>Beckwourth Coffee Table-60"</t>
  </si>
  <si>
    <t>https://dd3ka9h4chfr8.cloudfront.net/image/725136000567/image_bghe5u2end375ej3ph1617op7n/-FJPG/105023-005_FRT_1.jpg;https://dd3ka9h4chfr8.cloudfront.net/image/725136000567/image_vi72tacoip2vvbulir8gddl547/-FJPG/105023-005_PRM_1.jpg;https://dd3ka9h4chfr8.cloudfront.net/image/725136000567/image_jjrhkmr3ul309849vfdd31ac4o/-FJPG/105023-005_SID_1.jpg;https://dd3ka9h4chfr8.cloudfront.net/image/725136000567/image_p0vhnh8qrh4836fdhhddr16m4t/-FJPG/105023-005_DET_2.jpg;https://dd3ka9h4chfr8.cloudfront.net/image/725136000567/image_d1p0oi7g290m1927c1rdelec5b/-FJPG/105023-005_DET_1.jpg;https://dd3ka9h4chfr8.cloudfront.net/image/725136000567/image_lcfitfv6590gp32hqedcugnc06/-FJPG/105023-005_DET_3.jpg;https://dd3ka9h4chfr8.cloudfront.net/image/725136000567/image_u33nbkrf393o54sdh845cemo4j/-FJPG/105023-005_DET_4.jpg;https://dd3ka9h4chfr8.cloudfront.net/image/725136000567/image_gk4b0ushfh4npcoiiuomm7g55i/-FJPG/105023-005_DET_5.jpg;https://dd3ka9h4chfr8.cloudfront.net/image/725136000567/image_agc45702st1jfa1hq7ccukqq0g/-FJPG/105023-005_DET_6.jpg;https://dd3ka9h4chfr8.cloudfront.net/image/725136000567/image_sms8odme0h46961kunimct682l/-FJPG/105023-005_DET_7.jpg</t>
  </si>
  <si>
    <t>Sierra Rustic Natural</t>
  </si>
  <si>
    <t>105023-005</t>
  </si>
  <si>
    <t>73.85</t>
  </si>
  <si>
    <t>https://dd3ka9h4chfr8.cloudfront.net/image/725136000567/image_bghe5u2end375ej3ph1617op7n/-FJPG/105023-005_FRT_1.jpg</t>
  </si>
  <si>
    <t>["Solid Reclaimed Pine"]</t>
  </si>
  <si>
    <t>60</t>
  </si>
  <si>
    <t>{"value":60,"unit":"in"}</t>
  </si>
  <si>
    <t>16</t>
  </si>
  <si>
    <t>{"value":16,"unit":"in"}</t>
  </si>
  <si>
    <t>Sierra</t>
  </si>
  <si>
    <t>Reclaimed character woods are fashioned into the quintessential rustic coffee table. Lower shelving ups storage space, while materials' natural graining stays intact for authenticity.</t>
  </si>
  <si>
    <t>Complete</t>
  </si>
  <si>
    <t>{"value":64.17,"unit":"in"}</t>
  </si>
  <si>
    <t>{"value":103.62,"unit":"lb"}</t>
  </si>
  <si>
    <t>0.79"</t>
  </si>
  <si>
    <t>54.53"</t>
  </si>
  <si>
    <t>Floating Construction</t>
  </si>
  <si>
    <t>Beckwourth</t>
  </si>
  <si>
    <t>3.94"</t>
  </si>
  <si>
    <t>15.98"</t>
  </si>
  <si>
    <t>60.04"</t>
  </si>
  <si>
    <t>Belmont 2 Drawer Nightstand</t>
  </si>
  <si>
    <t>https://dd3ka9h4chfr8.cloudfront.net/image/725136000567/image_luis8v4vh51rl13b6417634i7d/-FJPG/104440-003_FRT_1.jpg;https://dd3ka9h4chfr8.cloudfront.net/image/725136000567/image_enbedvk8m95cldefgqrc131m5g/-FJPG/104440-003_PRM_1.jpg;https://dd3ka9h4chfr8.cloudfront.net/image/725136000567/image_nqp81v7jhp1dhar5bt85ls5i6r/-FJPG/104440-003_SID_1.jpg;https://dd3ka9h4chfr8.cloudfront.net/image/725136000567/image_2sfmq9s8ml7jh5ebpb0p7gge5c/-FJPG/104440-003_ESS.tif;https://dd3ka9h4chfr8.cloudfront.net/image/725136000567/image_rgcpaktjkl71j4dabmhk08ch03/-FJPG/104440-003_DET_2.jpg;https://dd3ka9h4chfr8.cloudfront.net/image/725136000567/image_5kgmvo0a311mjdn4ad2r0rio4d/-FJPG/104440-003_BCK_1.jpg;https://dd3ka9h4chfr8.cloudfront.net/image/725136000567/image_ep9c69r0u91a9bk4tju2fr9e57/-FJPG/104440-003_DET_1.jpg;https://dd3ka9h4chfr8.cloudfront.net/image/725136000567/image_e4r910un1953v3kpuruiftta59/-FJPG/104440-003_DET_3.jpg;https://dd3ka9h4chfr8.cloudfront.net/image/725136000567/image_5vedam9hop13nb5m7hsp149d5a/-FJPG/104440-003_OPN_1.jpg;https://dd3ka9h4chfr8.cloudfront.net/image/725136000567/image_m01k188p3p3h1089he6vjt4k3p/-FJPG/104440-003_DET_4.jpg</t>
  </si>
  <si>
    <t>104440-003</t>
  </si>
  <si>
    <t>79.37</t>
  </si>
  <si>
    <t>https://dd3ka9h4chfr8.cloudfront.net/image/725136000567/image_luis8v4vh51rl13b6417634i7d/-FJPG/104440-003_FRT_1.jpg</t>
  </si>
  <si>
    <t>["Iron"]</t>
  </si>
  <si>
    <t>23.5</t>
  </si>
  <si>
    <t>{"value":23.5,"unit":"in"}</t>
  </si>
  <si>
    <t>25.5</t>
  </si>
  <si>
    <t>{"value":25.5,"unit":"in"}</t>
  </si>
  <si>
    <t>Bolton</t>
  </si>
  <si>
    <t>Weathered Bronze</t>
  </si>
  <si>
    <t>{"value":27.36,"unit":"in"}</t>
  </si>
  <si>
    <t>{"value":32.68,"unit":"in"}</t>
  </si>
  <si>
    <t>17.66"</t>
  </si>
  <si>
    <t>Belmont</t>
  </si>
  <si>
    <t>14.04"</t>
  </si>
  <si>
    <t>6.83"</t>
  </si>
  <si>
    <t>20.12"</t>
  </si>
  <si>
    <t>Belmont 8 Drawer Metal Dresser</t>
  </si>
  <si>
    <t>https://dd3ka9h4chfr8.cloudfront.net/image/725136000567/image_0fqnt1bvn912d7mkotiog4ik3m/-FJPG/104448-002_FRT_1.jpg;https://dd3ka9h4chfr8.cloudfront.net/image/725136000567/image_mv6kf8pdb906j106cs32itae40/-FJPG/104448-002_PRM_1.jpg;https://dd3ka9h4chfr8.cloudfront.net/image/725136000567/image_6ra42f03614kt48ce2fbvst60d/-FJPG/104448-002_SID_1.jpg;https://dd3ka9h4chfr8.cloudfront.net/image/725136000567/image_dj46uecjf52s93clbiodeqmd3o/-FJPG/104448-002_DET_2.jpg;https://dd3ka9h4chfr8.cloudfront.net/image/725136000567/image_sdtajlkm8l5rt7hk8tcit3si5c/-FJPG/104448-002_BCK_1.jpg;https://dd3ka9h4chfr8.cloudfront.net/image/725136000567/image_4nq749f8it68dbit4d1o5do96h/-FJPG/104448-002_DET_1.jpg;https://dd3ka9h4chfr8.cloudfront.net/image/725136000567/image_n6cuuhlfhl68t8u6ncfggl7v5d/-FJPG/104448-002_DET_3.jpg;https://dd3ka9h4chfr8.cloudfront.net/image/725136000567/image_g6rj2f0p5922tf810792dmc434/-FJPG/104448-002_OPN_1.jpg;https://dd3ka9h4chfr8.cloudfront.net/image/725136000567/image_bkr551eooh1lvetf95sbak8o6i/-FJPG/104448-002_DET_4.jpg;https://dd3ka9h4chfr8.cloudfront.net/image/725136000567/image_hvn5i9oo5911h2om3gku69n40e/-FJPG/104448-002_DET_5.jpg;https://dd3ka9h4chfr8.cloudfront.net/image/725136000567/image_aoe2r6l2214qr4uu6q9pjuep26/-FJPG/104448-002_DET_6.jpg;https://dd3ka9h4chfr8.cloudfront.net/image/725136000567/image_a8r6o6hla970hcj215q3kfqv4n/-FJPG/104448-002_DET_7.jpg</t>
  </si>
  <si>
    <t>104448-002</t>
  </si>
  <si>
    <t>321.87</t>
  </si>
  <si>
    <t>https://dd3ka9h4chfr8.cloudfront.net/image/725136000567/image_0fqnt1bvn912d7mkotiog4ik3m/-FJPG/104448-002_FRT_1.jpg</t>
  </si>
  <si>
    <t>Industrial-inspired, black iron forms a spacious wide and roomy eight-drawer dresser, with bronzed knobs for contrast. This item has been modified to comply with the STURDY Act. See a full list of modified products and data changes in the â€œSTURDY Actâ€_x009d_ file in the Downloads section below.</t>
  </si>
  <si>
    <t>{"value":73.62,"unit":"in"}</t>
  </si>
  <si>
    <t>{"value":368.17,"unit":"lb"}</t>
  </si>
  <si>
    <t>16.81"</t>
  </si>
  <si>
    <t>6.97"</t>
  </si>
  <si>
    <t>31.93"</t>
  </si>
  <si>
    <t>Belmont 8 Drawer Tall Dresser</t>
  </si>
  <si>
    <t>https://dd3ka9h4chfr8.cloudfront.net/image/725136000567/image_0rib5k91111or36qqdr43nf87j/-FJPG/104428-003_FRT_1.jpg;https://dd3ka9h4chfr8.cloudfront.net/image/725136000567/image_q0i1d42au97773gctirbk6q311/-FJPG/104428-003_PRM_1.jpg;https://dd3ka9h4chfr8.cloudfront.net/image/725136000567/image_rr671aanfl7tf3vnhfa4mbja6g/-FJPG/104428-003_SID_1.jpg;https://dd3ka9h4chfr8.cloudfront.net/image/725136000567/image_6d85nse0i10fp1v2ie31u4cm21/-FJPG/104428-003_DET_2.jpg;https://dd3ka9h4chfr8.cloudfront.net/image/725136000567/image_3isvvref0p7p169n0uerdane4k/-FJPG/104428-003_BCK_1.jpg;https://dd3ka9h4chfr8.cloudfront.net/image/725136000567/image_bklvt1ufah5830re3iq4jc6035/-FJPG/104428-003_DET_1.jpg;https://dd3ka9h4chfr8.cloudfront.net/image/725136000567/image_8pm7rond5h1nffcq7hv90vld6f/-FJPG/104428-003_DET_3.jpg;https://dd3ka9h4chfr8.cloudfront.net/image/725136000567/image_cijkksl3n12pv47ncefleqvd15/-FJPG/104428-003_OPN_1.jpg;https://dd3ka9h4chfr8.cloudfront.net/image/725136000567/image_h00e0lc8814un6eq7rfohbja5l/-FJPG/104428-003_DET_4.jpg;https://dd3ka9h4chfr8.cloudfront.net/image/725136000567/image_clfqp5en1p0s725841oh58954c/-FJPG/104428-003_DET_5.jpg;https://dd3ka9h4chfr8.cloudfront.net/image/725136000567/image_rkede2lgjt50rebvo7heren95e/-FJPG/104428-003_DET_6.jpg;https://dd3ka9h4chfr8.cloudfront.net/image/725136000567/image_8q269an6nt7n7030jlqpunk00u/-FJPG/104428-003_DET_7.jpg;https://dd3ka9h4chfr8.cloudfront.net/image/725136000567/image_10cd1spptt3gb0ligtkcd9755c/-FJPG/104428-003_DET_8.jpg;https://dd3ka9h4chfr8.cloudfront.net/image/725136000567/image_ffafk0sva95q59vuoug0ap756q/-FJPG/104428-003_ESS.jpg</t>
  </si>
  <si>
    <t>104428-003</t>
  </si>
  <si>
    <t>249.12</t>
  </si>
  <si>
    <t>https://dd3ka9h4chfr8.cloudfront.net/image/725136000567/image_0rib5k91111or36qqdr43nf87j/-FJPG/104428-003_FRT_1.jpg</t>
  </si>
  <si>
    <t>48</t>
  </si>
  <si>
    <t>{"value":48,"unit":"in"}</t>
  </si>
  <si>
    <t>Sleek and industrial-inspired, black iron forms a tall, spacious eight-drawer dresser, with brass knobs for contrast. This item has been modified to comply with the STURDY Act. See a full list of modified products and data changes in the â€œSTURDY Actâ€_x009d_ file in the Downloads section below.</t>
  </si>
  <si>
    <t>{"value":23.43,"unit":"in"}</t>
  </si>
  <si>
    <t>{"value":54.13,"unit":"in"}</t>
  </si>
  <si>
    <t>{"value":273.37,"unit":"lb"}</t>
  </si>
  <si>
    <t>Tall</t>
  </si>
  <si>
    <t>["Tall"]</t>
  </si>
  <si>
    <t>3.62"</t>
  </si>
  <si>
    <t>16.79"</t>
  </si>
  <si>
    <t>3.58"</t>
  </si>
  <si>
    <t>6.57"</t>
  </si>
  <si>
    <t>14.65"</t>
  </si>
  <si>
    <t>32.01"</t>
  </si>
  <si>
    <t>Benito Sofa</t>
  </si>
  <si>
    <t>https://dd3ka9h4chfr8.cloudfront.net/image/725136000567/image_htmmca9ce97qre9inbe3hen31g/-FJPG/108952-002_FRT_1.jpg;https://dd3ka9h4chfr8.cloudfront.net/image/725136000567/image_makoabs6al5mbeiqvqfhf7as16/-FJPG/108952-002_PRM_1.jpg;https://dd3ka9h4chfr8.cloudfront.net/image/725136000567/image_6e7cbj31l55of4kkvcuaia5b1b/-FJPG/108952-002_SID_1.jpg;https://dd3ka9h4chfr8.cloudfront.net/image/725136000567/image_eo64ddi88h49v9nudfnboto935/-FJPG/108952-002_ESS.tif;https://dd3ka9h4chfr8.cloudfront.net/image/725136000567/image_rvp226rs997vv55d04bvppao3m/-FJPG/108952-002_DET_2.jpg;https://dd3ka9h4chfr8.cloudfront.net/image/725136000567/image_t1bi82qp6l43j7pkqr2c7d1a23/-FJPG/108952-002_BCK_1.jpg;https://dd3ka9h4chfr8.cloudfront.net/image/725136000567/image_qq5vc3cf3l2e56kfbcvef82m2g/-FJPG/108952-002_DET_3.jpg;https://dd3ka9h4chfr8.cloudfront.net/image/725136000567/image_imaj8skjlt6ircv61t4fdgq814/-FJPG/108952-002_DET_4.jpg;https://dd3ka9h4chfr8.cloudfront.net/image/725136000567/image_asu1odgv9h1o92kjemf7h4cu1u/-FJPG/108952-002_DET_5.jpg;https://dd3ka9h4chfr8.cloudfront.net/image/725136000567/image_v2euljc85t33tdqnv5uejog35e/-FJPG/108952-002_DET_6.jpg;https://dd3ka9h4chfr8.cloudfront.net/image/725136000567/image_o2kj8qpq2d6b53q9n24fhd1b26/-FJPG/108952-002_VIG_1.jpg;https://dd3ka9h4chfr8.cloudfront.net/image/725136000567/image_uknlb3t98l7hf74bp5ftjp213g/-FJPG/108952-002_VIG_2.jpg</t>
  </si>
  <si>
    <t>108952-002</t>
  </si>
  <si>
    <t>184.08</t>
  </si>
  <si>
    <t>https://dd3ka9h4chfr8.cloudfront.net/image/725136000567/image_htmmca9ce97qre9inbe3hen31g/-FJPG/108952-002_FRT_1.jpg</t>
  </si>
  <si>
    <t>["100% Polyester","Solid Rosa Morada"]</t>
  </si>
  <si>
    <t>Centrale</t>
  </si>
  <si>
    <t>Distressed Sienna</t>
  </si>
  <si>
    <t>Pump up the volume. Sculptural, statement-making sofa seating meets shapely curves with fine tailoring. Plush chenille-like upholstery emits highs and lows for a refined look and textural feel with eye-catching highs and lows. Rounded edges and roomy seating space, plus pleated back cushions for comfort.</t>
  </si>
  <si>
    <t>{"value":91.97,"unit":"in"}</t>
  </si>
  <si>
    <t>{"value":44.09,"unit":"in"}</t>
  </si>
  <si>
    <t>{"value":28.74,"unit":"in"}</t>
  </si>
  <si>
    <t>{"value":208.33,"unit":"lb"}</t>
  </si>
  <si>
    <t>Benito</t>
  </si>
  <si>
    <t>7.00"</t>
  </si>
  <si>
    <t>60% Polyester Fiber</t>
  </si>
  <si>
    <t xml:space="preserve"> 40% Waterfowl Feather</t>
  </si>
  <si>
    <t>https://dd3ka9h4chfr8.cloudfront.net/image/725136000567/image_9m49gdsrvl7cd822gh41gdc63b/-FJPG/108952-010_FRT_1.jpg;https://dd3ka9h4chfr8.cloudfront.net/image/725136000567/image_4st12vkr9t0cn981ogb6rdnp60/-FJPG/108952-010_PRM_1.jpg;https://dd3ka9h4chfr8.cloudfront.net/image/725136000567/image_148t0305rh39fae3ilugpl6f3p/-FJPG/108952-010_SID_1.jpg;https://dd3ka9h4chfr8.cloudfront.net/image/725136000567/image_b0o30eb24l5p111kfb503c5t6b/-FJPG/108952-010_ESS.tif;https://dd3ka9h4chfr8.cloudfront.net/image/725136000567/image_r2ds93lb3t2o9431hma0dsus37/-FJPG/108952-010_DET_2.jpg;https://dd3ka9h4chfr8.cloudfront.net/image/725136000567/image_gqkn29plgd2cpd5t74o0dk3h16/-FJPG/108952-010_BCK_1.jpg;https://dd3ka9h4chfr8.cloudfront.net/image/725136000567/image_fvsv49dl2d1f90lt91g9ichi32/-FJPG/108952-010_DET_1.jpg;https://dd3ka9h4chfr8.cloudfront.net/image/725136000567/image_ip38kf5plt18fecrdshdu30434/-FJPG/108952-010_DET_3.jpg;https://dd3ka9h4chfr8.cloudfront.net/image/725136000567/image_r2agd2b25p4jlaa50fp0lqit0r/-FJPG/108952-010_DET_4.jpg;https://dd3ka9h4chfr8.cloudfront.net/image/725136000567/image_66fbvhpekd1vh9gfrckpk3oc6k/-FJPG/108952-010_DET_9.tif</t>
  </si>
  <si>
    <t>Surrey Cocoa</t>
  </si>
  <si>
    <t>108952-010</t>
  </si>
  <si>
    <t>https://dd3ka9h4chfr8.cloudfront.net/image/725136000567/image_9m49gdsrvl7cd822gh41gdc63b/-FJPG/108952-010_FRT_1.jpg</t>
  </si>
  <si>
    <t>["76.8% Cotton","23.2% Polyester","Solid Rosa Morada"]</t>
  </si>
  <si>
    <t>Pump up the volume. Sculptural, shapely and finely tailored. Plush chenille-like upholstery emits highs and lows for a refined look and textural feel with eye-catching highs and lows. Rounded edges and roomy seating space, plus pleated back cushions for comfort.</t>
  </si>
  <si>
    <t>https://dd3ka9h4chfr8.cloudfront.net/image/725136000567/image_scohchcpph7bn5p4rjikcbd81n/-FJPG/108952-004_FRT_1.jpg;https://dd3ka9h4chfr8.cloudfront.net/image/725136000567/image_r8ug07d79d6rn5ft045tj9fg79/-FJPG/108952-004_PRM_1.jpg;https://dd3ka9h4chfr8.cloudfront.net/image/725136000567/image_up8kbtki0t38t3har80e1cev5q/-FJPG/108952-004_SID_1.jpg;https://dd3ka9h4chfr8.cloudfront.net/image/725136000567/image_n3gqrrl22l3b72m00mnsvnge1m/-FJPG/108952-004_ESS_1.jpg;https://dd3ka9h4chfr8.cloudfront.net/image/725136000567/image_65ske1rgu55hvacupe0d6jp52j/-FJPG/108952-004_DET_2.jpg;https://dd3ka9h4chfr8.cloudfront.net/image/725136000567/image_oched1jvkl0h1435d2srs6j42r/-FJPG/108952-004_BCK_1.jpg;https://dd3ka9h4chfr8.cloudfront.net/image/725136000567/image_mr4166ulu92bn26d18npqgka1e/-FJPG/108952-004_DET_1.jpg;https://dd3ka9h4chfr8.cloudfront.net/image/725136000567/image_81t7g830550mtfjj5c55mh7o3u/-FJPG/108952-004_DET_3.jpg;https://dd3ka9h4chfr8.cloudfront.net/image/725136000567/image_r2j9p92ke97lnadvjsqi4oek61/-FJPG/108952-004_DET_4.jpg;https://dd3ka9h4chfr8.cloudfront.net/image/725136000567/image_oiptugeqdd1jlfsok9n7eo0005/-FJPG/108952-004_DET_5.jpg;https://dd3ka9h4chfr8.cloudfront.net/image/725136000567/image_1g3t9dakep6fn55ijhf135pq31/-FJPG/108952-004_DET_6.jpg;https://dd3ka9h4chfr8.cloudfront.net/image/725136000567/image_jdescjv0hl49r57oohlb0hsp0b/-FJPG/108952-004_DET_11.jpg</t>
  </si>
  <si>
    <t>108952-004</t>
  </si>
  <si>
    <t>https://dd3ka9h4chfr8.cloudfront.net/image/725136000567/image_scohchcpph7bn5p4rjikcbd81n/-FJPG/108952-004_FRT_1.jpg</t>
  </si>
  <si>
    <t>Bergstrom Desk</t>
  </si>
  <si>
    <t>https://dd3ka9h4chfr8.cloudfront.net/image/725136000567/image_6elqtc3qah5tv42af1nem3kq07/-FJPG/243658-001_FRT_1.jpg;https://dd3ka9h4chfr8.cloudfront.net/image/725136000567/image_bft6sbp04124d2dq9s7iqcqq7u/-FJPG/243658-001_PRM_1.jpg;https://dd3ka9h4chfr8.cloudfront.net/image/725136000567/image_550lp6f7615d96anhf7nd0aq08/-FJPG/243658-001_SID_1.jpg;https://dd3ka9h4chfr8.cloudfront.net/image/725136000567/image_srd4rt8p596279oc6l1vdkge7d/-FJPG/243658-001_ESS.tif;https://dd3ka9h4chfr8.cloudfront.net/image/725136000567/image_2lo1ejtr315aj30il7qjk31a1g/-FJPG/243658-001_DET_2.jpg;https://dd3ka9h4chfr8.cloudfront.net/image/725136000567/image_i7lc9goiel0q720j1ndp734d78/-FJPG/243658-001_BCK_1.jpg;https://dd3ka9h4chfr8.cloudfront.net/image/725136000567/image_esrlsnrruh68j7t6f07vnhlh5u/-FJPG/243658-001_DET_1.jpg;https://dd3ka9h4chfr8.cloudfront.net/image/725136000567/image_sutb5ncs2h0gr5mmveapesq61l/-FJPG/243658-001_DET_3.jpg;https://dd3ka9h4chfr8.cloudfront.net/image/725136000567/image_nn8cq54hrl66r5m0qi73e4db0p/-FJPG/243658-001_OPN_1.jpg;https://dd3ka9h4chfr8.cloudfront.net/image/725136000567/image_7ns86hant11g1dna95dos30j68/-FJPG/243658-001_TOP_1.jpg;https://dd3ka9h4chfr8.cloudfront.net/image/725136000567/image_u4shp2c0s93qb9kms78t57s13p/-FJPG/243658-001_DET_4.jpg;https://dd3ka9h4chfr8.cloudfront.net/image/725136000567/image_4qfr4igo7970jcvl522e6g9c19/-FJPG/243658-001_DET_5.jpg;https://dd3ka9h4chfr8.cloudfront.net/image/725136000567/image_l6tmrqtp4p2tnd4cdkpj3vj03a/-FJPG/243658-001_DET_6.jpg;https://dd3ka9h4chfr8.cloudfront.net/image/725136000567/image_7pqd09u2cl6pnetd351mu90n18/-FJPG/243658-001_DET_7.jpg;https://dd3ka9h4chfr8.cloudfront.net/image/725136000567/image_vij67leiup7srb5lr4tvph4l67/-FJPG/243658-001_DET_8.jpg;https://dd3ka9h4chfr8.cloudfront.net/image/725136000567/image_tj3jnhcjs93it7ghrn89fl2v2b/-FJPG/243658-001_DET_9.tif</t>
  </si>
  <si>
    <t>Warm Natural Oak Veneer</t>
  </si>
  <si>
    <t>243658-001</t>
  </si>
  <si>
    <t>180.78</t>
  </si>
  <si>
    <t>https://dd3ka9h4chfr8.cloudfront.net/image/725136000567/image_6elqtc3qah5tv42af1nem3kq07/-FJPG/243658-001_FRT_1.jpg</t>
  </si>
  <si>
    <t>Desks</t>
  </si>
  <si>
    <t>Executive Desks</t>
  </si>
  <si>
    <t>Warm up your workspace with this light-finished writing desk of rich character oak. Tapered legs and subtle corner relief details create a simplified look that complements a home office or flex space. Complete with thoughtful touches like built-in cord management, a flip-top outlet with USB charging and an inductive charger to keep your devices powered throughout your workday.</t>
  </si>
  <si>
    <t>Executive</t>
  </si>
  <si>
    <t>["Executive"]</t>
  </si>
  <si>
    <t>Bergstrom</t>
  </si>
  <si>
    <t>21.26"</t>
  </si>
  <si>
    <t>27.40"</t>
  </si>
  <si>
    <t>67.40"</t>
  </si>
  <si>
    <t>15.04"</t>
  </si>
  <si>
    <t>1.77"</t>
  </si>
  <si>
    <t>15.67"</t>
  </si>
  <si>
    <t>Bergstrom Media Console</t>
  </si>
  <si>
    <t>https://dd3ka9h4chfr8.cloudfront.net/image/725136000567/image_dagmnjfagt48pecctkhvm3217o/-FJPG/243560-001_FRT_1.jpg;https://dd3ka9h4chfr8.cloudfront.net/image/725136000567/image_ekoftasnsd1u1715mn0ek5385e/-FJPG/243560-001_PRM_1.jpg;https://dd3ka9h4chfr8.cloudfront.net/image/725136000567/image_f03uur0hmd369523koecmra94e/-FJPG/243560-001_SID_1.jpg;https://dd3ka9h4chfr8.cloudfront.net/image/725136000567/image_pd9nkounr57af7jpa8np7dh50o/-FJPG/243560-001_ESS.tif;https://dd3ka9h4chfr8.cloudfront.net/image/725136000567/image_apgl9d9t6h6apd2r14uqq50e2m/-FJPG/243560-001_DET_2.jpg;https://dd3ka9h4chfr8.cloudfront.net/image/725136000567/image_rfa1lfl2et3nbfs0a170r90p69/-FJPG/243560-001_BCK_1.jpg;https://dd3ka9h4chfr8.cloudfront.net/image/725136000567/image_8qgnlvqs0d4ul1ep2s6109o53k/-FJPG/243560-001_DET_1.jpg;https://dd3ka9h4chfr8.cloudfront.net/image/725136000567/image_356b553nit7fhc7nh33rdcdb21/-FJPG/243560-001_DET_3.jpg;https://dd3ka9h4chfr8.cloudfront.net/image/725136000567/image_2gk6vahbvp4bt9qpfsdlor4t2m/-FJPG/243560-001_OPN_1.jpg;https://dd3ka9h4chfr8.cloudfront.net/image/725136000567/image_0qth58l75968te1bauhm3jh33v/-FJPG/243560-001_TOP_1.jpg;https://dd3ka9h4chfr8.cloudfront.net/image/725136000567/image_ti85evb9r15175peoj8cekan5m/-FJPG/243560-001_DET_4.jpg;https://dd3ka9h4chfr8.cloudfront.net/image/725136000567/image_ic47dpnooh4if9r7ct3tg1kg5p/-FJPG/243560-001_DET_5.jpg;https://dd3ka9h4chfr8.cloudfront.net/image/725136000567/image_vne76umcrl05515qargj70dh53/-FJPG/243560-001_DET_6.jpg;https://dd3ka9h4chfr8.cloudfront.net/image/725136000567/image_2mpub6b9pl4lvck3di34suv24n/-FJPG/243560-001_DET_7.jpg;https://dd3ka9h4chfr8.cloudfront.net/image/725136000567/image_oj0vndf7hd6vledh64v2kg4e1m/-FJPG/243560-001_DET_8.jpg;https://dd3ka9h4chfr8.cloudfront.net/image/725136000567/image_6qoqdbub9p1c5bmdi1pjrocg0s/-FJPG/243560-001_DET_9.tif</t>
  </si>
  <si>
    <t>243560-001</t>
  </si>
  <si>
    <t>213.85</t>
  </si>
  <si>
    <t>https://dd3ka9h4chfr8.cloudfront.net/image/725136000567/image_dagmnjfagt48pecctkhvm3217o/-FJPG/243560-001_FRT_1.jpg</t>
  </si>
  <si>
    <t>84</t>
  </si>
  <si>
    <t>{"value":84,"unit":"in"}</t>
  </si>
  <si>
    <t>Light, natural oak reflects the New American inspiration behind this storage-driven console of warm, natural oak. Elevated on tapered legs with corner relief accents, its asymmetrical design offers storage for your media needs and more.</t>
  </si>
  <si>
    <t>{"value":23.03,"unit":"in"}</t>
  </si>
  <si>
    <t>{"value":255.74,"unit":"lb"}</t>
  </si>
  <si>
    <t>12.99"</t>
  </si>
  <si>
    <t>40.51"</t>
  </si>
  <si>
    <t>9.49"</t>
  </si>
  <si>
    <t>13.78"</t>
  </si>
  <si>
    <t>20.08"</t>
  </si>
  <si>
    <t>13.03"</t>
  </si>
  <si>
    <t>2.24"</t>
  </si>
  <si>
    <t>5.47"</t>
  </si>
  <si>
    <t>17.93"</t>
  </si>
  <si>
    <t>17.91"</t>
  </si>
  <si>
    <t>Bergstrom Secretary Desk</t>
  </si>
  <si>
    <t>https://dd3ka9h4chfr8.cloudfront.net/image/725136000567/image_ir1tmfcfat45teuv8r6jeu6m6k/-FJPG/243797-001_FRT_1.jpg;https://dd3ka9h4chfr8.cloudfront.net/image/725136000567/image_prtl4u2ki928faequctv52jv59/-FJPG/243797-001_PRM_1.jpg;https://dd3ka9h4chfr8.cloudfront.net/image/725136000567/image_k0ucqtdqmd2v10qfketqtm0i7m/-FJPG/243797-001_SID_1.jpg;https://dd3ka9h4chfr8.cloudfront.net/image/725136000567/image_bo3c1kd6bh6qhe336jsbsl161g/-FJPG/243797-001_ESS.tif;https://dd3ka9h4chfr8.cloudfront.net/image/725136000567/image_hsc1ehdihl10n4k34l2dn2dc6o/-FJPG/243797-001_DET_2.jpg;https://dd3ka9h4chfr8.cloudfront.net/image/725136000567/image_e8mmcct7095613crf6945duq0b/-FJPG/243797-001_BCK_1.jpg;https://dd3ka9h4chfr8.cloudfront.net/image/725136000567/image_ptqluiofbt607c3r0c0a9avp7j/-FJPG/243797-001_DET_1.jpg;https://dd3ka9h4chfr8.cloudfront.net/image/725136000567/image_of6i1odpep4911qa0s95lj5v28/-FJPG/243797-001_DET_3.jpg;https://dd3ka9h4chfr8.cloudfront.net/image/725136000567/image_c88pvj5qeh6s1e7n8tvcoi5i7o/-FJPG/243797-001_OPN_1.jpg;https://dd3ka9h4chfr8.cloudfront.net/image/725136000567/image_rktr95p79d4r51n24jq3bf5p48/-FJPG/243797-001_TOP_1.jpg;https://dd3ka9h4chfr8.cloudfront.net/image/725136000567/image_p1ii8chnm556f4aucgdvje5j4h/-FJPG/243797-001_DET_4.jpg;https://dd3ka9h4chfr8.cloudfront.net/image/725136000567/image_ecdvcnf3d56jh60osqhraksc0j/-FJPG/243797-001_DET_5.jpg;https://dd3ka9h4chfr8.cloudfront.net/image/725136000567/image_g5msc9l0td5evcd4tgtkjl7459/-FJPG/243797-001_DET_6.jpg;https://dd3ka9h4chfr8.cloudfront.net/image/725136000567/image_3gqj5s46cd1rrctgp0ehtoon31/-FJPG/243797-001_DET_7.jpg;https://dd3ka9h4chfr8.cloudfront.net/image/725136000567/image_cn7g4d66l53m91obgras2kmm3c/-FJPG/243797-001_DET_8.jpg;https://dd3ka9h4chfr8.cloudfront.net/image/725136000567/image_cijodu7iih3np8tu4qsphsvq4a/-FJPG/243797-001_DET_9.tif</t>
  </si>
  <si>
    <t>243797-001</t>
  </si>
  <si>
    <t>120.15</t>
  </si>
  <si>
    <t>https://dd3ka9h4chfr8.cloudfront.net/image/725136000567/image_ir1tmfcfat45teuv8r6jeu6m6k/-FJPG/243797-001_FRT_1.jpg</t>
  </si>
  <si>
    <t>Writing Desks</t>
  </si>
  <si>
    <t>A fresh take on the traditional secretary desk, made from warm natural oak. A flip-down top creates a wide writing surface, offering the perfect place to pen a handwritten note.</t>
  </si>
  <si>
    <t>Upper Section</t>
  </si>
  <si>
    <t>{"value":32.09,"unit":"in"}</t>
  </si>
  <si>
    <t>{"value":132.28,"unit":"lb"}</t>
  </si>
  <si>
    <t>Lower Section (legs)</t>
  </si>
  <si>
    <t>{"value":42.99,"unit":"lb"}</t>
  </si>
  <si>
    <t>15.94"</t>
  </si>
  <si>
    <t>15.16"</t>
  </si>
  <si>
    <t>33.03"</t>
  </si>
  <si>
    <t>Secretary</t>
  </si>
  <si>
    <t>["Secretary"]</t>
  </si>
  <si>
    <t>15.39"</t>
  </si>
  <si>
    <t>32.40"</t>
  </si>
  <si>
    <t>14.19"</t>
  </si>
  <si>
    <t>Bethan Chair</t>
  </si>
  <si>
    <t>https://dd3ka9h4chfr8.cloudfront.net/image/725136000567/image_s1e3o69bd50fbe4c78qt4etp4n/-FJPG/243117-001_FRT_1.jpg;https://dd3ka9h4chfr8.cloudfront.net/image/725136000567/image_2is30onjj952teii8i7f44qv78/-FJPG/243117-001_PRM_1.jpg;https://dd3ka9h4chfr8.cloudfront.net/image/725136000567/image_vfu3fpj8jt7fd7sb7j1ucm9v17/-FJPG/243117-001_SID_1.jpg;https://dd3ka9h4chfr8.cloudfront.net/image/725136000567/image_imuja4d7od0cbbl66gi5tnu35a/-FJPG/243117-001_ESS.tif;https://dd3ka9h4chfr8.cloudfront.net/image/725136000567/image_bnnrkgqesh1lp4i6ii442rtm2d/-FJPG/243117-001_DET_2.jpg;https://dd3ka9h4chfr8.cloudfront.net/image/725136000567/image_709m55809147l4nredifpe3o48/-FJPG/243117-001_BCK_1.jpg;https://dd3ka9h4chfr8.cloudfront.net/image/725136000567/image_oe0fjpe2fp57p8hukgb949pk7a/-FJPG/243117-001_DET_1.jpg;https://dd3ka9h4chfr8.cloudfront.net/image/725136000567/image_gd39pjptbl4ur46o84gqgqij0g/-FJPG/243117-001_DET_3.jpg;https://dd3ka9h4chfr8.cloudfront.net/image/725136000567/image_4mi2dh5spl3i9797ftbvjpfu4g/-FJPG/243117-001_DET_4.jpg;https://dd3ka9h4chfr8.cloudfront.net/image/725136000567/image_rl2tiuvn9h7sn0vp1fke7jlp2r/-FJPG/243117-001_DET_5.jpg;https://dd3ka9h4chfr8.cloudfront.net/image/725136000567/image_12758oeri53or438ak2ftv860j/-FJPG/243117-001_DET_9.tif;https://dd3ka9h4chfr8.cloudfront.net/image/725136000567/image_ifmf00uac12ltegmvo2fngld1n/-FJPG/243117-001_DET_10.tif</t>
  </si>
  <si>
    <t>Antwerp Taupe</t>
  </si>
  <si>
    <t>243117-001</t>
  </si>
  <si>
    <t>39.24</t>
  </si>
  <si>
    <t>https://dd3ka9h4chfr8.cloudfront.net/image/725136000567/image_s1e3o69bd50fbe4c78qt4etp4n/-FJPG/243117-001_FRT_1.jpg</t>
  </si>
  <si>
    <t>["39% Linen","35% Cotton","26% Polyester","Solid Ash","Rush"]</t>
  </si>
  <si>
    <t>Allston</t>
  </si>
  <si>
    <t>Distressed Sable</t>
  </si>
  <si>
    <t>Natural Paper Rush</t>
  </si>
  <si>
    <t>Unique texture modernizes this vintage-inspired design. On its back, natural paper cord is woven into a geometric windowpane, for a truly unique touch. Paddle arms, eased edges and petite finials reflect the expert artisanship behind this versatile piece, while feather-blend box cushions invite you to sit and stay a while. Steam fabric regularly for a tailored look. Performance fabrics are specially created to withstand spills, stains, high traffic and wear, ensuring long-term comfort and unmatched durability.</t>
  </si>
  <si>
    <t>{"value":58.42,"unit":"lb"}</t>
  </si>
  <si>
    <t>21.25"</t>
  </si>
  <si>
    <t>45% Polyurethane Foam Pad, 40% Polyester Fiber Batting, 15% Waterfowl Feather</t>
  </si>
  <si>
    <t>Removable Casing</t>
  </si>
  <si>
    <t>Bethan</t>
  </si>
  <si>
    <t>22.25"</t>
  </si>
  <si>
    <t>45% Polyester Fiber Batting, 30% Polyurethane Foam Pad, 25% Waterfowl Feather</t>
  </si>
  <si>
    <t>Bevin End Table</t>
  </si>
  <si>
    <t>https://dd3ka9h4chfr8.cloudfront.net/image/725136000567/image_mhti9mdhmt7ef498hk79m2770a/-FJPG/227724-001_FRT_1.jpg;https://dd3ka9h4chfr8.cloudfront.net/image/725136000567/image_o5dkng8u5943d10dok87lqbj1h/-FJPG/227724-001_PRM_1.jpg;https://dd3ka9h4chfr8.cloudfront.net/image/725136000567/image_tpbot06on91et1rnp6mrid0r61/-FJPG/227724-001_ESS.tif;https://dd3ka9h4chfr8.cloudfront.net/image/725136000567/image_s8er2gcvol22rfpq0kl2bkh261/-FJPG/227724-001_DET_2.jpg;https://dd3ka9h4chfr8.cloudfront.net/image/725136000567/image_dfal5tlb3t12fdkasrt2v3bu4p/-FJPG/227724-001_DET_1.jpg;https://dd3ka9h4chfr8.cloudfront.net/image/725136000567/image_l8924v7n0h2gbaomjno21ss922/-FJPG/227724-001_DET_3.jpg;https://dd3ka9h4chfr8.cloudfront.net/image/725136000567/image_us4tn5a9gh1khc7nnv4dl5985o/-FJPG/227724-001_TOP_1.jpg;https://dd3ka9h4chfr8.cloudfront.net/image/725136000567/image_ub6gqktrm52bdad1c3stal9s2o/-FJPG/227724-001_DET_4.jpg;https://dd3ka9h4chfr8.cloudfront.net/image/725136000567/image_m5f66fhhrl09v7hib90onbfk59/-FJPG/227724-001_DET_6.jpg;https://dd3ka9h4chfr8.cloudfront.net/image/725136000567/image_06g61vff2p3dj4q938po7vfp77/-FJPG/227724-001_VIG_1.jpg</t>
  </si>
  <si>
    <t>Dark Petrified Wood</t>
  </si>
  <si>
    <t>227724-001</t>
  </si>
  <si>
    <t>26.46</t>
  </si>
  <si>
    <t>https://dd3ka9h4chfr8.cloudfront.net/image/725136000567/image_mhti9mdhmt7ef498hk79m2770a/-FJPG/227724-001_FRT_1.jpg</t>
  </si>
  <si>
    <t>["Petrified Wood","Stainless Steel"]</t>
  </si>
  <si>
    <t>8.25</t>
  </si>
  <si>
    <t>{"value":8.25,"unit":"in"}</t>
  </si>
  <si>
    <t>25</t>
  </si>
  <si>
    <t>{"value":25,"unit":"in"}</t>
  </si>
  <si>
    <t>Palu</t>
  </si>
  <si>
    <t>Shiny Brass</t>
  </si>
  <si>
    <t>Go natural. Go bold. Made from fossilized petrified woods with a brass-finished stainless steel post, a slim silhouette works into any space with ease.</t>
  </si>
  <si>
    <t>{"value":11.81,"unit":"in"}</t>
  </si>
  <si>
    <t>Bevin</t>
  </si>
  <si>
    <t>23.43"</t>
  </si>
  <si>
    <t>5.12"</t>
  </si>
  <si>
    <t>Bibianna Dining Table</t>
  </si>
  <si>
    <t>https://dd3ka9h4chfr8.cloudfront.net/image/725136000567/image_sijq7c2hg57mbf48pdg4p3g76g/-FJPG/224556-001_PRM_1.jpg;https://dd3ka9h4chfr8.cloudfront.net/image/725136000567/image_tp2kqufsuh11b9r6jr7a18gd14/-FJPG/224556-001_ESS.tif;https://dd3ka9h4chfr8.cloudfront.net/image/725136000567/image_7c97ruffnh6h92rbk2a67i8e1e/-FJPG/224556-001_ESS_1.jpg;https://dd3ka9h4chfr8.cloudfront.net/image/725136000567/image_o0old46vlp4mr5sg8tm7p5p61k/-FJPG/224556-001_DET_2.jpg;https://dd3ka9h4chfr8.cloudfront.net/image/725136000567/image_6fqk3ef1pl1ffdaop0fquatj4m/-FJPG/224556-001_INF_1.jpg;https://dd3ka9h4chfr8.cloudfront.net/image/725136000567/image_cmv5imktpp31n7hls0scbqic6o/-FJPG/224556-001_DET_1.jpg;https://dd3ka9h4chfr8.cloudfront.net/image/725136000567/image_m4b31uq9m138p9vj7brur97u2l/-FJPG/224556-001_DET_3.jpg;https://dd3ka9h4chfr8.cloudfront.net/image/725136000567/image_vbb471ic0t0ll2j0ggk7aahp02/-FJPG/224556-001_DET_4.jpg;https://dd3ka9h4chfr8.cloudfront.net/image/725136000567/image_g765h9m8o90ktarhhcjege137p/-FJPG/224556-001_DET_5.jpg;https://dd3ka9h4chfr8.cloudfront.net/image/725136000567/image_378t7hu5kd6fd73on3a1ecr34d/-FJPG/224556-001_DET_6.jpg;https://dd3ka9h4chfr8.cloudfront.net/image/725136000567/image_drmh5dvcgd3abf6ti4kpdkge7i/-FJPG/224556-001_DET_7.jpg;https://dd3ka9h4chfr8.cloudfront.net/image/725136000567/image_8o0d1r2i5h4kh4l4ntukjg997r/-FJPG/224556-001_DET_8.jpg;https://dd3ka9h4chfr8.cloudfront.net/image/725136000567/image_kc8uf4hc291tvcqc2l5qmkre79/-FJPG/FourHands2_7239.tif;https://dd3ka9h4chfr8.cloudfront.net/image/725136000567/image_l22deei1q12o723i8u9iq6t00l/-FJPG/224556-001_VIG_3.jpg</t>
  </si>
  <si>
    <t>Blush Marble</t>
  </si>
  <si>
    <t>224556-001</t>
  </si>
  <si>
    <t>285.81</t>
  </si>
  <si>
    <t>https://dd3ka9h4chfr8.cloudfront.net/image/725136000567/image_sijq7c2hg57mbf48pdg4p3g76g/-FJPG/224556-001_PRM_1.jpg</t>
  </si>
  <si>
    <t>["Solid Parawood","Solid Marble"]</t>
  </si>
  <si>
    <t>30.5</t>
  </si>
  <si>
    <t>{"value":30.5,"unit":"in"}</t>
  </si>
  <si>
    <t>Merritt</t>
  </si>
  <si>
    <t>Smoked Honey</t>
  </si>
  <si>
    <t>A sculptural showstopper inspired by Italian design. Finished in a smoked honey, a cone-tapered parawood base supports a rounded tabletop separated by blush-finished marble detailing. Seats four comfortably.</t>
  </si>
  <si>
    <t>{"value":63.5,"unit":"in"}</t>
  </si>
  <si>
    <t>{"value":64,"unit":"in"}</t>
  </si>
  <si>
    <t>{"value":5,"unit":"in"}</t>
  </si>
  <si>
    <t>{"value":135.36,"unit":"lb"}</t>
  </si>
  <si>
    <t>Base</t>
  </si>
  <si>
    <t>{"value":34.5,"unit":"in"}</t>
  </si>
  <si>
    <t>Centre Marble</t>
  </si>
  <si>
    <t>{"value":17.25,"unit":"in"}</t>
  </si>
  <si>
    <t>{"value":66.13,"unit":"lb"}</t>
  </si>
  <si>
    <t>Bibianna</t>
  </si>
  <si>
    <t>Pedestal</t>
  </si>
  <si>
    <t>https://dd3ka9h4chfr8.cloudfront.net/image/725136000567/image_chm43h13kt3ddf6mm5667gmi5p/-FJPG/224556-002_PRM_1.jpg;https://dd3ka9h4chfr8.cloudfront.net/image/725136000567/image_1bstu78ua96lr27ab6blufu958/-FJPG/224556-002_ESS_1.jpg;https://dd3ka9h4chfr8.cloudfront.net/image/725136000567/image_4mj5e95ur550peb20aelsthm1s/-FJPG/224556-002_DET_2.jpg;https://dd3ka9h4chfr8.cloudfront.net/image/725136000567/image_mm8mfr0mm970b6cnn8qfqhoq2q/-FJPG/224556-002_DET_1.jpg;https://dd3ka9h4chfr8.cloudfront.net/image/725136000567/image_cppt4b1bjt1171m0v1gmbi7s0d/-FJPG/224556-002_DET_3.jpg</t>
  </si>
  <si>
    <t>Honed White Marble</t>
  </si>
  <si>
    <t>224556-002</t>
  </si>
  <si>
    <t>https://dd3ka9h4chfr8.cloudfront.net/image/725136000567/image_chm43h13kt3ddf6mm5667gmi5p/-FJPG/224556-002_PRM_1.jpg</t>
  </si>
  <si>
    <t>A sculptural showstopper inspired by Italian design. Finished in a smoked honey, a cone-tapered parawood base supports a rounded tabletop separated by honed white-finished marble detailing. Seats four comfortably.</t>
  </si>
  <si>
    <t>https://dd3ka9h4chfr8.cloudfront.net/image/725136000567/image_3ddbc0g3k10vd3772v6ofn1f2d/-FJPG/224556-003_PRM_1.jpg;https://dd3ka9h4chfr8.cloudfront.net/image/725136000567/image_fojsb3uaop04b319k7qaolot41/-FJPG/224556-003_ESS_1.jpg;https://dd3ka9h4chfr8.cloudfront.net/image/725136000567/image_kvbffpt5cd7gd7bn7ktp4o6d63/-FJPG/224556-003_DET_2.jpg;https://dd3ka9h4chfr8.cloudfront.net/image/725136000567/image_1lv2o97o990q77g698noctd56g/-FJPG/224556-003_DET_1.jpg;https://dd3ka9h4chfr8.cloudfront.net/image/725136000567/image_4q7l5ch07t7610vt2q4aedd90n/-FJPG/224556-003_DET_3.jpg;https://dd3ka9h4chfr8.cloudfront.net/image/725136000567/image_siv28daj1904f54uvuu2c04812/-FJPG/224556-003_DET_4.jpg;https://dd3ka9h4chfr8.cloudfront.net/image/725136000567/image_goqn3msl4h3371rudup8578r3l/-FJPG/224556-003_DET_5.jpg;https://dd3ka9h4chfr8.cloudfront.net/image/725136000567/image_7gsgsadlm56ur7433krgqc2b05/-FJPG/224556-003_DET_6.jpg;https://dd3ka9h4chfr8.cloudfront.net/image/725136000567/image_h07ii1nug16snf54gcaiqpph3a/-FJPG/224556-003_DET_7.jpg</t>
  </si>
  <si>
    <t>Worn Black Parawood</t>
  </si>
  <si>
    <t>224556-003</t>
  </si>
  <si>
    <t>https://dd3ka9h4chfr8.cloudfront.net/image/725136000567/image_3ddbc0g3k10vd3772v6ofn1f2d/-FJPG/224556-003_PRM_1.jpg</t>
  </si>
  <si>
    <t>Black Marble</t>
  </si>
  <si>
    <t>A sculptural showstopper inspired by Italian design. Finished in classic black, a cone-tapered parawood base supports a rounded tabletop separated by black-finished marble detailing. Seats four comfortably.</t>
  </si>
  <si>
    <t>{"value":135.47,"unit":"lb"}</t>
  </si>
  <si>
    <t>Bindi Sideboard</t>
  </si>
  <si>
    <t>https://dd3ka9h4chfr8.cloudfront.net/image/725136000567/image_m2npk7houp6v36s5pj296hbj74/-FJPG/245350-001_FRT_1.jpg;https://dd3ka9h4chfr8.cloudfront.net/image/725136000567/image_hh9oa064sl2v96uv12dgog562n/-FJPG/245350-001_PRM_1.jpg;https://dd3ka9h4chfr8.cloudfront.net/image/725136000567/image_2i682p73m94freaobrtn4qej5t/-FJPG/245350-001_SID_1.jpg;https://dd3ka9h4chfr8.cloudfront.net/image/725136000567/image_os4nhjdchd0hrc52jr3muapj2v/-FJPG/245350-001_ESS.tif;https://dd3ka9h4chfr8.cloudfront.net/image/725136000567/image_ivg6ntpdd175t9bc4asjq4786c/-FJPG/245350-001_DET_2.jpg;https://dd3ka9h4chfr8.cloudfront.net/image/725136000567/image_09dt0bttr57bhfb2kdt4qvs66u/-FJPG/245350-001_BCK_1.jpg;https://dd3ka9h4chfr8.cloudfront.net/image/725136000567/image_f5a5nuuf0d0jhbm3snkgrn182u/-FJPG/245350-001_DET_1.jpg;https://dd3ka9h4chfr8.cloudfront.net/image/725136000567/image_il202n6nrh6b74qvsgvpqddt3i/-FJPG/245350-001_DET_3.jpg;https://dd3ka9h4chfr8.cloudfront.net/image/725136000567/image_d91loqo9j90vd6euo568t5fa62/-FJPG/245350-001_OPN_1.jpg;https://dd3ka9h4chfr8.cloudfront.net/image/725136000567/image_2o7tnpvehd0e5fja1afroc1p37/-FJPG/245350-001_TOP_1.jpg;https://dd3ka9h4chfr8.cloudfront.net/image/725136000567/image_26f987sjl513p9mu8928qnd74k/-FJPG/245350-001_DET_4.jpg;https://dd3ka9h4chfr8.cloudfront.net/image/725136000567/image_lamvurvr111879csaq740tab7v/-FJPG/245350-001_DET_5.jpg;https://dd3ka9h4chfr8.cloudfront.net/image/725136000567/image_htige494112l1cng1hsc81sk48/-FJPG/245350-001_DET_6.jpg;https://dd3ka9h4chfr8.cloudfront.net/image/725136000567/image_maoqcfhl6d6fh7e5hd7gk3mj0t/-FJPG/245350-001_DET_7.jpg;https://dd3ka9h4chfr8.cloudfront.net/image/725136000567/image_1ojpodd8vh47n3rqlguu25n25m/-FJPG/245350-001_DET_9.tif</t>
  </si>
  <si>
    <t>Umber Brown Veneer</t>
  </si>
  <si>
    <t>245350-001</t>
  </si>
  <si>
    <t>268.96</t>
  </si>
  <si>
    <t>https://dd3ka9h4chfr8.cloudfront.net/image/725136000567/image_m2npk7houp6v36s5pj296hbj74/-FJPG/245350-001_FRT_1.jpg</t>
  </si>
  <si>
    <t>["Thick Oak Veneer","Solid Oak","Stainless Steel"]</t>
  </si>
  <si>
    <t>Black Stainless Steel</t>
  </si>
  <si>
    <t>A spacious, storage-driven sideboard inspired by New American design. Clean lines are softened by subtle curves on the front corners, adding character to a streamlined silhouette. Behind four doors, four hidden drawers, offer smart storage for everything for table linens and dinnerware. Finished in a beautifully rich brown sure to complement your collection.</t>
  </si>
  <si>
    <t>{"value":87.99,"unit":"in"}</t>
  </si>
  <si>
    <t>{"value":297.62,"unit":"lb"}</t>
  </si>
  <si>
    <t>13.62"</t>
  </si>
  <si>
    <t>20.71"</t>
  </si>
  <si>
    <t>39.76"</t>
  </si>
  <si>
    <t>Bindi</t>
  </si>
  <si>
    <t>6.26"</t>
  </si>
  <si>
    <t>26.73"</t>
  </si>
  <si>
    <t>16.85"</t>
  </si>
  <si>
    <t>3.07"</t>
  </si>
  <si>
    <t>13.05"</t>
  </si>
  <si>
    <t>Bingham Coffee Table</t>
  </si>
  <si>
    <t>https://dd3ka9h4chfr8.cloudfront.net/image/725136000567/image_ib8jgskc6p2e72flus1fcfud66/-FJPG/223619-001_FRT_1.jpg;https://dd3ka9h4chfr8.cloudfront.net/image/725136000567/image_lr619bj0fp5rrbb2bvcdo0t72j/-FJPG/223619-001_PRM_1.jpg;https://dd3ka9h4chfr8.cloudfront.net/image/725136000567/image_6uncj8cos17bhbrm2gspumtb25/-FJPG/223619-001_SID_1.jpg;https://dd3ka9h4chfr8.cloudfront.net/image/725136000567/image_67fpacpce52t1de8814a360m1o/-FJPG/223619-001_ESS_1.jpg;https://dd3ka9h4chfr8.cloudfront.net/image/725136000567/image_6nkrjc72f53dren2f0kv7c123c/-FJPG/223619-001_DET_2.jpg;https://dd3ka9h4chfr8.cloudfront.net/image/725136000567/image_bq4rrasqdt40v1id7gomli887s/-FJPG/223619-001_DET_1.jpg;https://dd3ka9h4chfr8.cloudfront.net/image/725136000567/image_9oik2jrta142r9903ceo0msn38/-FJPG/223619-001_DET_3.jpg;https://dd3ka9h4chfr8.cloudfront.net/image/725136000567/image_c6mcbhstit3slc9r74dlqdhp2h/-FJPG/223619-001_TOP_1.jpg;https://dd3ka9h4chfr8.cloudfront.net/image/725136000567/image_v567n75j796gd4nulas6s3e87l/-FJPG/223619-001_DET_4.jpg;https://dd3ka9h4chfr8.cloudfront.net/image/725136000567/image_3ps81qr9397ud17sb21ml2h86k/-FJPG/223619-001_DET_5.jpg;https://dd3ka9h4chfr8.cloudfront.net/image/725136000567/image_nigdtcrp9h2jh56uunuq5loh3h/-FJPG/223619-001_DET_6.jpg;https://dd3ka9h4chfr8.cloudfront.net/image/725136000567/image_k23pr3u6ct7tp1as5as4bpo971/-FJPG/223619-001_ROM_1.jpg</t>
  </si>
  <si>
    <t>Distressed Iron</t>
  </si>
  <si>
    <t>223619-001</t>
  </si>
  <si>
    <t>102.51</t>
  </si>
  <si>
    <t>https://dd3ka9h4chfr8.cloudfront.net/image/725136000567/image_ib8jgskc6p2e72flus1fcfud66/-FJPG/223619-001_FRT_1.jpg</t>
  </si>
  <si>
    <t>["Thick Oak Veneer","Iron"]</t>
  </si>
  <si>
    <t>Rustic Oak Veneer</t>
  </si>
  <si>
    <t>An organic-spirited statement piece. A drum-style coffee table of distressed iron rests within a sculptural cradle base of rustic, character-rich oak with beautiful highs and lows.</t>
  </si>
  <si>
    <t>{"value":46.85,"unit":"in"}</t>
  </si>
  <si>
    <t>{"value":47.24,"unit":"in"}</t>
  </si>
  <si>
    <t>{"value":147.05,"unit":"lb"}</t>
  </si>
  <si>
    <t>Bingham</t>
  </si>
  <si>
    <t>9.13"</t>
  </si>
  <si>
    <t>41.38"</t>
  </si>
  <si>
    <t>17.75"</t>
  </si>
  <si>
    <t>2.13"</t>
  </si>
  <si>
    <t>8.63"</t>
  </si>
  <si>
    <t>https://dd3ka9h4chfr8.cloudfront.net/image/725136000567/image_am6er8l2pl7vneskd6b44dnm42/-FJPG/223619-002_FRT_1.jpg;https://dd3ka9h4chfr8.cloudfront.net/image/725136000567/image_j6ssi532s501vcg1dlngjojk5u/-FJPG/223619-002_PRM_1.jpg;https://dd3ka9h4chfr8.cloudfront.net/image/725136000567/image_n765n1r5p10t7ctffgn7sgo23g/-FJPG/223619-002_ESS_1.jpg;https://dd3ka9h4chfr8.cloudfront.net/image/725136000567/image_dffipp53nh2ah68aknq91fk63v/-FJPG/223619-002_DET_2.jpg;https://dd3ka9h4chfr8.cloudfront.net/image/725136000567/image_cq357ska0t4n77n677pvsfoq50/-FJPG/223619-002_DET_1.jpg;https://dd3ka9h4chfr8.cloudfront.net/image/725136000567/image_ucj018mhg96bf4gmdj9258lf3c/-FJPG/223619-002_DET_3.jpg;https://dd3ka9h4chfr8.cloudfront.net/image/725136000567/image_0optd2hvdt1dt15pqivtbjg91l/-FJPG/223619-002_DET_4.jpg;https://dd3ka9h4chfr8.cloudfront.net/image/725136000567/image_llapojhjut0n1fiou8qcjolc2l/-FJPG/223619-002_DET_5.jpg;https://dd3ka9h4chfr8.cloudfront.net/image/725136000567/image_enc4g2ibdd46nahrbfhtj7aq2i/-FJPG/223619-002_DET_7.jpg</t>
  </si>
  <si>
    <t>223619-002</t>
  </si>
  <si>
    <t>https://dd3ka9h4chfr8.cloudfront.net/image/725136000567/image_am6er8l2pl7vneskd6b44dnm42/-FJPG/223619-002_FRT_1.jpg</t>
  </si>
  <si>
    <t>An organic-spirited statement piece. A drum-style coffee table of character-rich oak and veneers rests within a sculptural cradle base of matching rustic oak with beautiful highs and lows.</t>
  </si>
  <si>
    <t>Bingham Console Table</t>
  </si>
  <si>
    <t>https://dd3ka9h4chfr8.cloudfront.net/image/725136000567/image_fsj13g128p0pne0bg28see480l/-FJPG/223621-001_FRT_1.jpg;https://dd3ka9h4chfr8.cloudfront.net/image/725136000567/image_akvrpnl7u932v5bv6of4el2a1q/-FJPG/223621-001_PRM_1.jpg;https://dd3ka9h4chfr8.cloudfront.net/image/725136000567/image_pub523mddl6ohco6kcmsv3bt05/-FJPG/223621-001_SID_1.jpg;https://dd3ka9h4chfr8.cloudfront.net/image/725136000567/image_s9mfj962c50opf97ebtl7dlo75/-FJPG/223621-001_ESS_1.jpg;https://dd3ka9h4chfr8.cloudfront.net/image/725136000567/image_hq6hqv1rj109n2asjimtnstq63/-FJPG/223621-001_DET_2.jpg;https://dd3ka9h4chfr8.cloudfront.net/image/725136000567/image_44do4vbjqd0df84njcngmnht3e/-FJPG/223621-001_DET_1.jpg;https://dd3ka9h4chfr8.cloudfront.net/image/725136000567/image_6jg6ilko0l25r4q06onfir793j/-FJPG/223621-001_DET_3.jpg;https://dd3ka9h4chfr8.cloudfront.net/image/725136000567/image_poaitbqm5116n78u5pgeiv5c6q/-FJPG/223621-001_DET_4.jpg;https://dd3ka9h4chfr8.cloudfront.net/image/725136000567/image_fah38k6qqp61l8b15ijqvtld14/-FJPG/223621-001_DET_5.jpg;https://dd3ka9h4chfr8.cloudfront.net/image/725136000567/image_ipdp6h8lrh24r4etdld1f5887f/-FJPG/223621-001_DET_6.jpg;https://dd3ka9h4chfr8.cloudfront.net/image/725136000567/image_7av1l783at2fb08er18m214a1l/-FJPG/223621-001_DET_7.jpg;https://dd3ka9h4chfr8.cloudfront.net/image/725136000567/image_6jbu98v8vt3hjb5hssout14r53/-FJPG/223621-001_DET_8.jpg;https://dd3ka9h4chfr8.cloudfront.net/image/725136000567/image_tmk1hn4lpt0u5er832hg691j16/-FJPG/223621-001_ROM_1.jpg;https://dd3ka9h4chfr8.cloudfront.net/image/725136000567/image_adk7bm1nbl275bd6eidml23o1g/-FJPG/223621-001_PRM_2.jpg</t>
  </si>
  <si>
    <t>223621-001</t>
  </si>
  <si>
    <t>157.19</t>
  </si>
  <si>
    <t>https://dd3ka9h4chfr8.cloudfront.net/image/725136000567/image_fsj13g128p0pne0bg28see480l/-FJPG/223621-001_FRT_1.jpg</t>
  </si>
  <si>
    <t>78.75</t>
  </si>
  <si>
    <t>{"value":78.75,"unit":"in"}</t>
  </si>
  <si>
    <t>29.5</t>
  </si>
  <si>
    <t>{"value":29.5,"unit":"in"}</t>
  </si>
  <si>
    <t>An organic-spirited statement piece. With thick, wide proportions, a rectangular console table of distressed iron tops an intersecting base of rustic, character-rich oak with beautiful highs and lows.</t>
  </si>
  <si>
    <t>{"value":86.61,"unit":"in"}</t>
  </si>
  <si>
    <t>{"value":22.05,"unit":"in"}</t>
  </si>
  <si>
    <t>{"value":227.74,"unit":"lb"}</t>
  </si>
  <si>
    <t>20.75"</t>
  </si>
  <si>
    <t>51.50"</t>
  </si>
  <si>
    <t>29.50"</t>
  </si>
  <si>
    <t>78.75"</t>
  </si>
  <si>
    <t>Bingham End Table</t>
  </si>
  <si>
    <t>https://dd3ka9h4chfr8.cloudfront.net/image/725136000567/image_nb09l8a02h3nv04mlr0fqolt3v/-FJPG/223620-001_FRT_1.jpg;https://dd3ka9h4chfr8.cloudfront.net/image/725136000567/image_vqm6ssa12t4ft9654vqsnqfd3u/-FJPG/223620-001_PRM_1.jpg;https://dd3ka9h4chfr8.cloudfront.net/image/725136000567/image_fl3cuqf1n976tcj24rbt8s4m20/-FJPG/223620-001_SID_1.jpg;https://dd3ka9h4chfr8.cloudfront.net/image/725136000567/image_4qbeq9s5fd5r52kn6i17llev3k/-FJPG/223620-001_ESS.tif;https://dd3ka9h4chfr8.cloudfront.net/image/725136000567/image_n6slkrg2gd2cpe6oa4q1o5ll60/-FJPG/223620-001_DET_2.jpg;https://dd3ka9h4chfr8.cloudfront.net/image/725136000567/image_htpapa59710or8sau6ku3jkq2k/-FJPG/223620-001_DET_1.jpg;https://dd3ka9h4chfr8.cloudfront.net/image/725136000567/image_el2iqhvrol1et0o0v8mu6g486d/-FJPG/223620-001_DET_3.jpg;https://dd3ka9h4chfr8.cloudfront.net/image/725136000567/image_2u9gdc3j815pp3r4p6bha0ln22/-FJPG/223620-001_TOP_1.jpg;https://dd3ka9h4chfr8.cloudfront.net/image/725136000567/image_641lbpjng10q75oc3ssvelk31s/-FJPG/223620-001_DET_4.jpg;https://dd3ka9h4chfr8.cloudfront.net/image/725136000567/image_0e998n8rq110n6qohgvdmmm70l/-FJPG/223620-001_DET_5.jpg</t>
  </si>
  <si>
    <t>223620-001</t>
  </si>
  <si>
    <t>49.56</t>
  </si>
  <si>
    <t>https://dd3ka9h4chfr8.cloudfront.net/image/725136000567/image_nb09l8a02h3nv04mlr0fqolt3v/-FJPG/223620-001_FRT_1.jpg</t>
  </si>
  <si>
    <t>An organic-spirited statement piece. A round tabletop of distressed iron rests within a sculptural cradle base of rustic, character-rich oak with beautiful highs and lows.</t>
  </si>
  <si>
    <t>{"value":26.77,"unit":"in"}</t>
  </si>
  <si>
    <t>{"value":74.56,"unit":"lb"}</t>
  </si>
  <si>
    <t>11.94"</t>
  </si>
  <si>
    <t>https://dd3ka9h4chfr8.cloudfront.net/image/725136000567/image_nb09l8a02h3nv04mlr0fqolt3v/-FJPG/223620-001_FRT_1.jpg;https://dd3ka9h4chfr8.cloudfront.net/image/725136000567/image_5eeed7690t33t0149arepfgr30/-FJPG/223620-002_PRM_1.jpg;https://dd3ka9h4chfr8.cloudfront.net/image/725136000567/image_fc1me0ed8p1vn2prh8qpcoen3l/-FJPG/223620-002_ESS.tif;https://dd3ka9h4chfr8.cloudfront.net/image/725136000567/image_j6ddckh2r13k9ehvl7o81ima2v/-FJPG/223620-002_DET_2.jpg;https://dd3ka9h4chfr8.cloudfront.net/image/725136000567/image_f23o8quocd36v65r79kk2n8b5p/-FJPG/223620-002_DET_1.jpg;https://dd3ka9h4chfr8.cloudfront.net/image/725136000567/image_msip3bl2dh5u38g794uj80rk3s/-FJPG/223620-002_DET_3.jpg;https://dd3ka9h4chfr8.cloudfront.net/image/725136000567/image_hk6ice3ndl4jvdt67toct44n4p/-FJPG/223620-002_DET_4.jpg;https://dd3ka9h4chfr8.cloudfront.net/image/725136000567/image_cvua24o8tl3a5ft16k1m1fso4p/-FJPG/223620-002_DET_5.jpg;https://dd3ka9h4chfr8.cloudfront.net/image/725136000567/image_r24nd3vs3t6cvf9i1jpg2s710u/-FJPG/223620-002_DET_6.jpg</t>
  </si>
  <si>
    <t>223620-002</t>
  </si>
  <si>
    <t>Bingham Large Coffee Table</t>
  </si>
  <si>
    <t>https://dd3ka9h4chfr8.cloudfront.net/image/725136000567/image_57lrrmnci51p335dscj8nri04i/-FJPG/239681-001_FRT_1.jpg;https://dd3ka9h4chfr8.cloudfront.net/image/725136000567/image_ss06i8sb6h4l3biu3aure4731u/-FJPG/239681-001_PRM_1.jpg;https://dd3ka9h4chfr8.cloudfront.net/image/725136000567/image_njki7elkjp3ap0fu7rfnvg5g51/-FJPG/239681-001_SID_1.jpg;https://dd3ka9h4chfr8.cloudfront.net/image/725136000567/image_vojfj2qbk90r5d1mh2jufgva1h/-FJPG/239681-001_ESS_1.tif;https://dd3ka9h4chfr8.cloudfront.net/image/725136000567/image_beuid6bhl14qp22814coqvrs6b/-FJPG/239681-001_DET_2.jpg;https://dd3ka9h4chfr8.cloudfront.net/image/725136000567/image_jk61h7raet2hn1nrn7dh69ur5v/-FJPG/239681-001_BCK_1.jpg;https://dd3ka9h4chfr8.cloudfront.net/image/725136000567/image_3g475mua697u9cp4bi1kreb13c/-FJPG/239681-001_DET_1.jpg;https://dd3ka9h4chfr8.cloudfront.net/image/725136000567/image_5es1ls1rql06p2amaml0lfsk4h/-FJPG/239681-001_DET_3.jpg;https://dd3ka9h4chfr8.cloudfront.net/image/725136000567/image_vmoij071n932t5vq15mnom0q2n/-FJPG/239681-001_TOP_1.jpg;https://dd3ka9h4chfr8.cloudfront.net/image/725136000567/image_95uomgb011169e6lac4rgrrp2j/-FJPG/239681-001_DET_4.jpg;https://dd3ka9h4chfr8.cloudfront.net/image/725136000567/image_9pdlaanm0p04r5koms13not34e/-FJPG/239681-001_DET_5.jpg;https://dd3ka9h4chfr8.cloudfront.net/image/725136000567/image_kofbroplh108745splrcjfim08/-FJPG/239681-001_DET_6.jpg;https://dd3ka9h4chfr8.cloudfront.net/image/725136000567/image_mrbksj82tp12pdk5or5gd88t69/-FJPG/239681-001_DET_9.tif</t>
  </si>
  <si>
    <t>239681-001</t>
  </si>
  <si>
    <t>146.61</t>
  </si>
  <si>
    <t>https://dd3ka9h4chfr8.cloudfront.net/image/725136000567/image_57lrrmnci51p335dscj8nri04i/-FJPG/239681-001_FRT_1.jpg</t>
  </si>
  <si>
    <t>["Iron","Thick Oak Veneer"]</t>
  </si>
  <si>
    <t>An organic-spirited statement piece. A drum-style coffee table of distressed iron rests within a sculptural cradle base of rustic oak with beautiful highs and lows.</t>
  </si>
  <si>
    <t>{"value":62.99,"unit":"in"}</t>
  </si>
  <si>
    <t>{"value":63.39,"unit":"in"}</t>
  </si>
  <si>
    <t>{"value":214.18,"unit":"lb"}</t>
  </si>
  <si>
    <t>55.00"</t>
  </si>
  <si>
    <t>Binx Swivel Chair</t>
  </si>
  <si>
    <t>https://dd3ka9h4chfr8.cloudfront.net/image/725136000567/image_rihnlogir57ppcv7d8qovhr260/-FJPG/226429-002_FRT_1.jpg;https://dd3ka9h4chfr8.cloudfront.net/image/725136000567/image_hl0obdf9rp3vvc9o758l8v9i6l/-FJPG/226429-002_PRM_1.jpg;https://dd3ka9h4chfr8.cloudfront.net/image/725136000567/image_nfc3fgo4ql0a3em7an2b45ot1k/-FJPG/226429-002_SID_1.jpg;https://dd3ka9h4chfr8.cloudfront.net/image/725136000567/image_0s85ehhifh37lfr4jqkgq0pj11/-FJPG/226429-002_ESS_1.jpg;https://dd3ka9h4chfr8.cloudfront.net/image/725136000567/image_a32pqtfffl6ofaqt8e64lphc5n/-FJPG/226429-002_DET_2.jpg;https://dd3ka9h4chfr8.cloudfront.net/image/725136000567/image_cvkn0hbkkd0jfev9rgj7pjkt01/-FJPG/226429-002_BCK_1.jpg;https://dd3ka9h4chfr8.cloudfront.net/image/725136000567/image_s617rj0n956fv85h4d9bj6pu13/-FJPG/Color Variance Card_Heirloom Sienna.png;https://dd3ka9h4chfr8.cloudfront.net/image/725136000567/image_i0bin5b0ll70jdekaeh3uplv7r/-FJPG/226429-002_DET_1.jpg;https://dd3ka9h4chfr8.cloudfront.net/image/725136000567/image_8c22fm32gp46t2cecfl01oif6s/-FJPG/226429-002_DET_3.jpg;https://dd3ka9h4chfr8.cloudfront.net/image/725136000567/image_94vcenblod15b8jdtenhv27i3b/-FJPG/226429-002_DET_4.jpg;https://dd3ka9h4chfr8.cloudfront.net/image/725136000567/image_s1d59covpd5phel9rngir8n93o/-FJPG/226429-002_DET_5.jpg;https://dd3ka9h4chfr8.cloudfront.net/image/725136000567/image_2ruicia0qp309an0bkhb9gpj0q/-FJPG/FHMPRJ22-005_234875-006_226429-002_230874-002_.jpg;https://dd3ka9h4chfr8.cloudfront.net/image/725136000567/image_o5qt7ff3a9325d5aea58uutl49/-FJPG/234875-006_226429-002_230874-002_.jpg</t>
  </si>
  <si>
    <t>226429-002</t>
  </si>
  <si>
    <t>73.63</t>
  </si>
  <si>
    <t>https://dd3ka9h4chfr8.cloudfront.net/image/725136000567/image_rihnlogir57ppcv7d8qovhr260/-FJPG/226429-002_FRT_1.jpg</t>
  </si>
  <si>
    <t>Norwood</t>
  </si>
  <si>
    <t>Tightly tailored top-grain leather and horizontal channeling make a major statement that's fun and sophisticated alike. A 360-degree plinth swivel adds makes it modern. Sourced from one of the oldest family-owned tanneries in Italyâ€™s Bassano del Grappa, our heirloom leather is salvaged and processed from upcycled hides featuring an abundance of natural markings, scars and color variations. The result? Supple, buttery-soft hides with an unmatched depth of color and authentic lived-in look.</t>
  </si>
  <si>
    <t>Binx</t>
  </si>
  <si>
    <t>21.06"</t>
  </si>
  <si>
    <t>8.66"</t>
  </si>
  <si>
    <t>14.96"</t>
  </si>
  <si>
    <t>Bloomfield Media Console</t>
  </si>
  <si>
    <t>https://dd3ka9h4chfr8.cloudfront.net/image/725136000567/image_fotrmekr1p7cn8llh75hg3n756/-FJPG/248140-001_FRT_1.jpg;https://dd3ka9h4chfr8.cloudfront.net/image/725136000567/image_5fupf2vt294p12os0un9sjeq6q/-FJPG/248140-001_PRM_1.jpg;https://dd3ka9h4chfr8.cloudfront.net/image/725136000567/image_gsvjbkhi717plfe1ab2h5q0o4s/-FJPG/248140-001_SID_1.jpg;https://dd3ka9h4chfr8.cloudfront.net/image/725136000567/image_anls7gdpal0nt3pssg4h97ld2m/-FJPG/248140-001_ESS.tif;https://dd3ka9h4chfr8.cloudfront.net/image/725136000567/image_8mhb45l6d531fauhtfom86o627/-FJPG/248140-001_DET_2.jpg;https://dd3ka9h4chfr8.cloudfront.net/image/725136000567/image_bmpso6ai5l29t1akncsii41c0a/-FJPG/248140-001_BCK_1.jpg;https://dd3ka9h4chfr8.cloudfront.net/image/725136000567/image_ntaup2cm5l1c99d8r7jis75m7c/-FJPG/248140-001_DET_1.jpg;https://dd3ka9h4chfr8.cloudfront.net/image/725136000567/image_v8fbran81t4n36m2ho2b2ef53i/-FJPG/248140-001_DET_3.jpg;https://dd3ka9h4chfr8.cloudfront.net/image/725136000567/image_7ih4rcfsqh4jtc2404287fnd5d/-FJPG/248140-001_OPN_1.jpg;https://dd3ka9h4chfr8.cloudfront.net/image/725136000567/image_iqa1i940gl0r7fdsb584s2mh3b/-FJPG/248140-001_TOP_1.jpg;https://dd3ka9h4chfr8.cloudfront.net/image/725136000567/image_u0bifspe110af3t3mkh1dvtb7p/-FJPG/248140-001_DET_4.jpg;https://dd3ka9h4chfr8.cloudfront.net/image/725136000567/image_32hm67mpah0an3l351vpde2l15/-FJPG/248140-001_DET_5.jpg;https://dd3ka9h4chfr8.cloudfront.net/image/725136000567/image_8pi6vfqmtd4t7b4ildm7a8k715/-FJPG/248140-001_DET_7.jpg;https://dd3ka9h4chfr8.cloudfront.net/image/725136000567/image_a7s1fousol3f16t0su524ot26q/-FJPG/248140-001_DET_9.tif;https://dd3ka9h4chfr8.cloudfront.net/image/725136000567/image_41shngen555o1echptc661535u/-FJPG/248140-001_DET_10.tif</t>
  </si>
  <si>
    <t>Worn Oak Veneer</t>
  </si>
  <si>
    <t>248140-001</t>
  </si>
  <si>
    <t>https://dd3ka9h4chfr8.cloudfront.net/image/725136000567/image_fotrmekr1p7cn8llh75hg3n756/-FJPG/248140-001_FRT_1.jpg</t>
  </si>
  <si>
    <t>["Oak Veneer","Solid Oak"]</t>
  </si>
  <si>
    <t>78</t>
  </si>
  <si>
    <t>{"value":78,"unit":"in"}</t>
  </si>
  <si>
    <t>A curved cradle base brings an elevated, artisan look to this worn oak media console. Generous interior storage creates endless space for your media needs, with rear cutouts for cord management.</t>
  </si>
  <si>
    <t>{"value":81.89,"unit":"in"}</t>
  </si>
  <si>
    <t>{"value":250.22,"unit":"lb"}</t>
  </si>
  <si>
    <t>35.67"</t>
  </si>
  <si>
    <t>Bloomfield</t>
  </si>
  <si>
    <t>18.43"</t>
  </si>
  <si>
    <t>Bloor Sleeper Sofa-95''</t>
  </si>
  <si>
    <t>https://dd3ka9h4chfr8.cloudfront.net/image/725136000567/image_3ht9cu20qp16ff5il26g1s1a72/-FJPG/109525-009_FRT_1.jpg;https://dd3ka9h4chfr8.cloudfront.net/image/725136000567/image_udrbtn9av556h7g3l09c8fil04/-FJPG/109525-009_PRM_1.jpg;https://dd3ka9h4chfr8.cloudfront.net/image/725136000567/image_0kaeadq4et3u3epho9i5bqus11/-FJPG/109525-009_SID_1.jpg;https://dd3ka9h4chfr8.cloudfront.net/image/725136000567/image_0t1p8m2bqh7pv3gcbjp88hdk45/-FJPG/109525-009_ESS_1.jpg;https://dd3ka9h4chfr8.cloudfront.net/image/725136000567/image_486thvobld1ojcungig47t084f/-FJPG/109525-009_BCK_1.jpg;https://dd3ka9h4chfr8.cloudfront.net/image/725136000567/image_d02dsbckcd2i374tf5mdajes03/-FJPG/109525-009_TOP_1.jpg;https://dd3ka9h4chfr8.cloudfront.net/image/725136000567/image_kialv1cuk16jn7t3ehdinr7d71/-FJPG/109525-009_ESS_2.jpg;https://dd3ka9h4chfr8.cloudfront.net/image/725136000567/image_vki8ta54bl1517ilvq215di46g/-FJPG/109525-009_PRM_2.jpg;https://dd3ka9h4chfr8.cloudfront.net/image/725136000567/image_hpcunm1qrd71tck9f0lkmkm02q/-FJPG/109525-009_PRM_3.jpg</t>
  </si>
  <si>
    <t>Essence Natural</t>
  </si>
  <si>
    <t>109525-009</t>
  </si>
  <si>
    <t>205.03</t>
  </si>
  <si>
    <t>https://dd3ka9h4chfr8.cloudfront.net/image/725136000567/image_3ht9cu20qp16ff5il26g1s1a72/-FJPG/109525-009_FRT_1.jpg</t>
  </si>
  <si>
    <t>["49% Viscose (Rayon)","22% Flax/Linen","18% Polyester","11% Cotton"]</t>
  </si>
  <si>
    <t>95</t>
  </si>
  <si>
    <t>{"value":95,"unit":"in"}</t>
  </si>
  <si>
    <t>38</t>
  </si>
  <si>
    <t>{"value":38,"unit":"in"}</t>
  </si>
  <si>
    <t>Atelier</t>
  </si>
  <si>
    <t>Deep, modern and seductive. A Queen-size sofa bed is covered in a light, durable woven fabric. Pull out with ease for overnight guests.</t>
  </si>
  <si>
    <t>{"value":101,"unit":"in"}</t>
  </si>
  <si>
    <t>{"value":41,"unit":"in"}</t>
  </si>
  <si>
    <t>{"value":213.85,"unit":"lb"}</t>
  </si>
  <si>
    <t>79.00"</t>
  </si>
  <si>
    <t>63% Polyurethane Foam Pad, 30% Polyester Fiber, 7% Waterfowl Feathers</t>
  </si>
  <si>
    <t>Sleeper</t>
  </si>
  <si>
    <t>Sofa Bed</t>
  </si>
  <si>
    <t>Bloor</t>
  </si>
  <si>
    <t>24.50"</t>
  </si>
  <si>
    <t>38.00"</t>
  </si>
  <si>
    <t>86.00"</t>
  </si>
  <si>
    <t>100% Polyurethane Foam</t>
  </si>
  <si>
    <t>60.00"</t>
  </si>
  <si>
    <t>Locking</t>
  </si>
  <si>
    <t>Bloor Sofa</t>
  </si>
  <si>
    <t>https://dd3ka9h4chfr8.cloudfront.net/image/725136000567/image_hpoa5r09i513f1iqcose4dvs0s/-FJPG/UATR-064-377_FRT_1.jpg;https://dd3ka9h4chfr8.cloudfront.net/image/725136000567/image_njh44311dl7cnekcios95pgt45/-FJPG/UATR-064-377_PRM_1.jpg;https://dd3ka9h4chfr8.cloudfront.net/image/725136000567/image_4kjulagq4h3dv7g0kgfpcl2d78/-FJPG/UATR-064-377_SID_1.jpg;https://dd3ka9h4chfr8.cloudfront.net/image/725136000567/image_u36mrotch54npeop7k768j6c5k/-FJPG/UATR-064-377_ESS_1.jpg;https://dd3ka9h4chfr8.cloudfront.net/image/725136000567/image_i1dbrg2kq92st8c6vekepium4e/-FJPG/UATR-064-377_BCK_1.jpg;https://dd3ka9h4chfr8.cloudfront.net/image/725136000567/image_jp8glaimt126jagiq8jfarfo21/-FJPG/UATR-064-377_DET_3.jpg;https://dd3ka9h4chfr8.cloudfront.net/image/725136000567/image_1nndmperl5739ago0rmomnqa55/-FJPG/UATR-064-377_TOP_1.jpg;https://dd3ka9h4chfr8.cloudfront.net/image/725136000567/image_fdqfr3edpd76tbb4t04l3csh3l/-FJPG/UATR-064-377_DET_4.jpg;https://dd3ka9h4chfr8.cloudfront.net/image/725136000567/image_bdtf57ivm17edad14tkd36me0g/-FJPG/UATR-064-377_DET_5.jpg;https://dd3ka9h4chfr8.cloudfront.net/image/725136000567/image_jm23e78s157gtckd71em9ic647/-FJPG/UATR-064-377_VIG_1.jpg</t>
  </si>
  <si>
    <t>UATR-064-377</t>
  </si>
  <si>
    <t>https://dd3ka9h4chfr8.cloudfront.net/image/725136000567/image_hpoa5r09i513f1iqcose4dvs0s/-FJPG/UATR-064-377_FRT_1.jpg</t>
  </si>
  <si>
    <t>46</t>
  </si>
  <si>
    <t>{"value":46,"unit":"in"}</t>
  </si>
  <si>
    <t>Deep, modern and seductive. This dramatic, spacious sofa is covered in a durable light neutral woven fabric that mixes well with any color palette.</t>
  </si>
  <si>
    <t>{"value":49,"unit":"in"}</t>
  </si>
  <si>
    <t>{"value":165.35,"unit":"lb"}</t>
  </si>
  <si>
    <t>41.00"</t>
  </si>
  <si>
    <t>82.00"</t>
  </si>
  <si>
    <t>46.00"</t>
  </si>
  <si>
    <t>8.00"</t>
  </si>
  <si>
    <t>37.00"</t>
  </si>
  <si>
    <t>89.00"</t>
  </si>
  <si>
    <t>https://dd3ka9h4chfr8.cloudfront.net/image/725136000567/image_o9p7nec4p16a7778rjhl1d5o4g/-FJPG/105941-022_FRT_1.jpg;https://dd3ka9h4chfr8.cloudfront.net/image/725136000567/image_ug52404odh46tdj8icjmu8br1h/-FJPG/105941-022_PRM_1.jpg;https://dd3ka9h4chfr8.cloudfront.net/image/725136000567/image_5hbfmvbipd5h55oh6ahr49985q/-FJPG/105941-022_SID_1.jpg;https://dd3ka9h4chfr8.cloudfront.net/image/725136000567/image_cim7f682pd59j8kbqj2hb5h569/-FJPG/105941-022_BCK_1.jpg;https://dd3ka9h4chfr8.cloudfront.net/image/725136000567/image_55pr8j5jbd071bjc7colovnm59/-FJPG/105941-022_TOP_1.jpg</t>
  </si>
  <si>
    <t>Landale Charcoal</t>
  </si>
  <si>
    <t>105941-022</t>
  </si>
  <si>
    <t>https://dd3ka9h4chfr8.cloudfront.net/image/725136000567/image_o9p7nec4p16a7778rjhl1d5o4g/-FJPG/105941-022_FRT_1.jpg</t>
  </si>
  <si>
    <t>Deep, low seating says relax. An inviting sectional is covered in a durable woven fabric. Modular components allow the perfect combination for any space.</t>
  </si>
  <si>
    <t>Boden Chair</t>
  </si>
  <si>
    <t>https://dd3ka9h4chfr8.cloudfront.net/image/725136000567/image_ju1uuki0n129d7m08vshqrqe0m/-FJPG/238567-003_FRT_1.jpg;https://dd3ka9h4chfr8.cloudfront.net/image/725136000567/image_89qb5i2hml5k5c308aj83jpr6q/-FJPG/238567-003_PRM_1.jpg;https://dd3ka9h4chfr8.cloudfront.net/image/725136000567/image_85s6m371il4vb2ri0cid5d7a6n/-FJPG/238567-003_SID_1.jpg;https://dd3ka9h4chfr8.cloudfront.net/image/725136000567/image_r96lnmqs317pd9j7bc0j14h65b/-FJPG/238567-003_ESS.tif;https://dd3ka9h4chfr8.cloudfront.net/image/725136000567/image_e1u3kuag552utan6gofahmvr2h/-FJPG/238567-003_DET_2.jpg;https://dd3ka9h4chfr8.cloudfront.net/image/725136000567/image_kf3ul0mqk518n6eamse89eaj39/-FJPG/238567-003_BCK_1.jpg;https://dd3ka9h4chfr8.cloudfront.net/image/725136000567/image_9aqulp4k3d5g54mvreaqlg531h/-FJPG/238567-003_DET_1.jpg;https://dd3ka9h4chfr8.cloudfront.net/image/725136000567/image_d0qdbcbq7d74t5fbbftj7vla5u/-FJPG/238567-003_DET_3.jpg;https://dd3ka9h4chfr8.cloudfront.net/image/725136000567/image_1ae589ebf95d3djopl25cih22k/-FJPG/238567-003_DET_4.jpg;https://dd3ka9h4chfr8.cloudfront.net/image/725136000567/image_04bf00bvhd4f32ged0uv54906r/-FJPG/238567-003_DET_5.jpg;https://dd3ka9h4chfr8.cloudfront.net/image/725136000567/image_7a19olle9d7er082meipvmoa2l/-FJPG/238567-003_DET_9.tif</t>
  </si>
  <si>
    <t>Palermo Cigar</t>
  </si>
  <si>
    <t>238567-003</t>
  </si>
  <si>
    <t>76.06</t>
  </si>
  <si>
    <t>https://dd3ka9h4chfr8.cloudfront.net/image/725136000567/image_ju1uuki0n129d7m08vshqrqe0m/-FJPG/238567-003_FRT_1.jpg</t>
  </si>
  <si>
    <t>40.5</t>
  </si>
  <si>
    <t>{"value":40.5,"unit":"in"}</t>
  </si>
  <si>
    <t>Terra Brown Parawood</t>
  </si>
  <si>
    <t>This vintage-inspired chair features deep cushioning for a relaxed, sink-in feel. Designed with cushion-wrapped arms and upholstered in a signature leather in a rich cigar shade. Parawood frame brings a monotone moment to the entire piece.</t>
  </si>
  <si>
    <t>{"value":100.31,"unit":"lb"}</t>
  </si>
  <si>
    <t>Boden</t>
  </si>
  <si>
    <t>29.25"</t>
  </si>
  <si>
    <t>Boone Sofa</t>
  </si>
  <si>
    <t>https://dd3ka9h4chfr8.cloudfront.net/image/725136000567/image_tobekvm93d33vbs7j36u52po57/-FJPG/CKEN-29864-829P_FRT_1.jpg;https://dd3ka9h4chfr8.cloudfront.net/image/725136000567/image_sfqhv2q3mt1k5bonhlur4gib2c/-FJPG/CKEN-29864-829P_PRM_1.jpg;https://dd3ka9h4chfr8.cloudfront.net/image/725136000567/image_up9lloi6894jj6gkukt6sruc2h/-FJPG/CKEN-29864-829P_SID_1.jpg;https://dd3ka9h4chfr8.cloudfront.net/image/725136000567/image_47e7qvkcqd27ven6ta8luj0k5q/-FJPG/CKEN-29864-829P_ESS_1.jpg;https://dd3ka9h4chfr8.cloudfront.net/image/725136000567/image_v7kkav3ahl4a5boudk501mvs6h/-FJPG/CKEN-29864-829P_DET_2.jpg;https://dd3ka9h4chfr8.cloudfront.net/image/725136000567/image_4q3c7d689h4v3e5br2u7lst44v/-FJPG/CKEN-29864-829P_BCK_1.jpg;https://dd3ka9h4chfr8.cloudfront.net/image/725136000567/image_2riam03lrh5rjcfq96l52dhi5o/-FJPG/CKEN-29864-829P_INF_1.jpg;https://dd3ka9h4chfr8.cloudfront.net/image/725136000567/image_pn1kl66p3915hf4mvjui1j9v4r/-FJPG/CKEN-29864-829P_DET_1.jpg;https://dd3ka9h4chfr8.cloudfront.net/image/725136000567/image_h9h99bh5ql0er5ddv5379q1t5a/-FJPG/CKEN-29864-829P_DET_3.jpg;https://dd3ka9h4chfr8.cloudfront.net/image/725136000567/image_m5830thga530leoup3sktbrl7c/-FJPG/CKEN-29864-829P_DET_4.jpg;https://dd3ka9h4chfr8.cloudfront.net/image/725136000567/image_6541gdc3c57and7491etgg8d3d/-FJPG/CKEN-29864-829P_DET_5.jpg;https://dd3ka9h4chfr8.cloudfront.net/image/725136000567/image_imf6l1gqbd3sf0n0kcavvbgt0p/-FJPG/CKEN-29864-829P_DET_6.jpg</t>
  </si>
  <si>
    <t>CKEN-29864-829P</t>
  </si>
  <si>
    <t>132.28</t>
  </si>
  <si>
    <t>https://dd3ka9h4chfr8.cloudfront.net/image/725136000567/image_tobekvm93d33vbs7j36u52po57/-FJPG/CKEN-29864-829P_FRT_1.jpg</t>
  </si>
  <si>
    <t>Washed Espresso</t>
  </si>
  <si>
    <t>Sink-right-in seating ideal for daily lounging, with grey performance-grade upholstery exclusive to Four Hands.</t>
  </si>
  <si>
    <t>{"value":158.95,"unit":"lb"}</t>
  </si>
  <si>
    <t>50% Polyurethane Foam, 25% Fiber, 25% Duck Feather</t>
  </si>
  <si>
    <t>Boone</t>
  </si>
  <si>
    <t>39.50"</t>
  </si>
  <si>
    <t>35.00"</t>
  </si>
  <si>
    <t>71.00"</t>
  </si>
  <si>
    <t>Reversible Cushions</t>
  </si>
  <si>
    <t>https://dd3ka9h4chfr8.cloudfront.net/image/725136000567/image_p00kua08157hn1gcp3o9hejd08/-FJPG/100939-003_FRT_1.JPG;https://dd3ka9h4chfr8.cloudfront.net/image/725136000567/image_f6shhv1f0p5p5331a9i0f4064n/-FJPG/100939-003_PRM_1.JPG;https://dd3ka9h4chfr8.cloudfront.net/image/725136000567/image_2uha834e7p6ovfeml98o8pgb4t/-FJPG/100939-003_SID_1.JPG;https://dd3ka9h4chfr8.cloudfront.net/image/725136000567/image_3nub4cjer95hv910im7geoks1l/-FJPG/100939-003_ESS_1.jpg;https://dd3ka9h4chfr8.cloudfront.net/image/725136000567/image_51ae3199b95g517kbt24v6fh1c/-FJPG/100939-003_DET_2.JPG;https://dd3ka9h4chfr8.cloudfront.net/image/725136000567/image_bdf7ftpv5h2spfa8cr1at0ig3l/-FJPG/100939-003_BCK_1.JPG;https://dd3ka9h4chfr8.cloudfront.net/image/725136000567/image_sp14r6si3t6v538f9dkbs9vb5t/-FJPG/100939-003_INF_1.jpg;https://dd3ka9h4chfr8.cloudfront.net/image/725136000567/image_1c0rcaisal29nedjao6pvf5e34/-FJPG/100939-003_DET_1.JPG;https://dd3ka9h4chfr8.cloudfront.net/image/725136000567/image_kaetbp776l3fvc7l72h0t7eo0s/-FJPG/100939-003_DET_3.JPG</t>
  </si>
  <si>
    <t>100939-003</t>
  </si>
  <si>
    <t>https://dd3ka9h4chfr8.cloudfront.net/image/725136000567/image_p00kua08157hn1gcp3o9hejd08/-FJPG/100939-003_FRT_1.JPG</t>
  </si>
  <si>
    <t>Sink-right-in seating ideal for daily lounging, with cream performance-grade upholstery exclusive to Four Hands.</t>
  </si>
  <si>
    <t>Bowen Bed</t>
  </si>
  <si>
    <t>https://dd3ka9h4chfr8.cloudfront.net/image/725136000567/image_05kl7jukft2pd2fpf1fi3s585g/-FJPG/226071-006_FRT_1.jpg;https://dd3ka9h4chfr8.cloudfront.net/image/725136000567/image_iqfbk4q1116pha0143sv97g518/-FJPG/226071-006_PRM_1.jpg;https://dd3ka9h4chfr8.cloudfront.net/image/725136000567/image_tae2ou8iup0p361fh66aa9ov2j/-FJPG/226071-006_SID_1.jpg;https://dd3ka9h4chfr8.cloudfront.net/image/725136000567/image_0vnpk93o114cnec2r423bkjd5h/-FJPG/226071-006_DET_2.jpg;https://dd3ka9h4chfr8.cloudfront.net/image/725136000567/image_lo7q1m87554epagsc2al2p5g60/-FJPG/226071-006_BCK_1.jpg;https://dd3ka9h4chfr8.cloudfront.net/image/725136000567/image_37fammpsv11jvest24n1r3ih5l/-FJPG/226071-006_DET_1.jpg;https://dd3ka9h4chfr8.cloudfront.net/image/725136000567/image_8epvekpds95pjbntlcfc6ugl1k/-FJPG/226071-006_DET_3.jpg;https://dd3ka9h4chfr8.cloudfront.net/image/725136000567/image_m1705n0uh536l8kc85hgu1c32l/-FJPG/226071-006_DET_4.jpg;https://dd3ka9h4chfr8.cloudfront.net/image/725136000567/image_aq1qfcte956andnul2ij9khh4j/-FJPG/226071-006_DET_5.jpg;https://dd3ka9h4chfr8.cloudfront.net/image/725136000567/image_pceehkn4o94tj7a1ikroj8ss2d/-FJPG/226071-006_DET_6.jpg;https://dd3ka9h4chfr8.cloudfront.net/image/725136000567/image_8brnjjdq7h5418ju1ibmdvq64l/-FJPG/226071-006_DET_7.jpg;https://dd3ka9h4chfr8.cloudfront.net/image/725136000567/image_irgosq9uhp3lv15c6qguks3l6v/-FJPG/226071-006_DET_8.jpg;https://dd3ka9h4chfr8.cloudfront.net/image/725136000567/image_iffsu9f70h33v7vk4ig0gm7u3n/-FJPG/226071-006_ROM_2.jpg;https://dd3ka9h4chfr8.cloudfront.net/image/725136000567/image_53djg9mg5l7hhemtkgbdte8e2n/-FJPG/226071-006_PRM_2.jpg;https://dd3ka9h4chfr8.cloudfront.net/image/725136000567/image_ck1fo9c2ht2or7qjl8gmui7t03/-FJPG/226071-006_SID_2.jpg;https://dd3ka9h4chfr8.cloudfront.net/image/725136000567/image_n7ob2je5f92hbfmudnb2a2b25k/-FJPG/226071-006_FRT_2.jpg</t>
  </si>
  <si>
    <t>Sheepskin Natural</t>
  </si>
  <si>
    <t>226071-006</t>
  </si>
  <si>
    <t>238.1</t>
  </si>
  <si>
    <t>https://dd3ka9h4chfr8.cloudfront.net/image/725136000567/image_05kl7jukft2pd2fpf1fi3s585g/-FJPG/226071-006_FRT_1.jpg</t>
  </si>
  <si>
    <t>["100% Polyester","Solid Oak","Oak Veneer"]</t>
  </si>
  <si>
    <t>80.25</t>
  </si>
  <si>
    <t>{"value":80.25,"unit":"in"}</t>
  </si>
  <si>
    <t>87.25</t>
  </si>
  <si>
    <t>{"value":87.25,"unit":"in"}</t>
  </si>
  <si>
    <t>Buff Oak</t>
  </si>
  <si>
    <t>Buff Oak Veneer</t>
  </si>
  <si>
    <t>Bring a cozy hygge vibe to the bedroom. Framed by light-finished solid oak, a sling-style bed features faux shearling head and foot boards, for welcoming warmth and trend-forward texture alike.</t>
  </si>
  <si>
    <t>Hb/Fb</t>
  </si>
  <si>
    <t>{"value":83.46,"unit":"in"}</t>
  </si>
  <si>
    <t>{"value":9.25,"unit":"in"}</t>
  </si>
  <si>
    <t>{"value":51.38,"unit":"in"}</t>
  </si>
  <si>
    <t>{"value":154.32,"unit":"lb"}</t>
  </si>
  <si>
    <t>Siderails/Slats</t>
  </si>
  <si>
    <t>{"value":6.69,"unit":"in"}</t>
  </si>
  <si>
    <t>{"value":112.44,"unit":"lb"}</t>
  </si>
  <si>
    <t>Bowen</t>
  </si>
  <si>
    <t>5.31"</t>
  </si>
  <si>
    <t>2.36"</t>
  </si>
  <si>
    <t>80.35"</t>
  </si>
  <si>
    <t>48.03"</t>
  </si>
  <si>
    <t>4.33"</t>
  </si>
  <si>
    <t>80.55"</t>
  </si>
  <si>
    <t>83.35"</t>
  </si>
  <si>
    <t>Dark Fabric</t>
  </si>
  <si>
    <t>3.03"</t>
  </si>
  <si>
    <t>9.84"</t>
  </si>
  <si>
    <t>Slat Roll</t>
  </si>
  <si>
    <t>https://dd3ka9h4chfr8.cloudfront.net/image/725136000567/image_14le8clbpp01ddu5gjt8k1q25m/-FJPG/226071-007_FRT_1.jpg;https://dd3ka9h4chfr8.cloudfront.net/image/725136000567/image_6br0m2772p00n5og7pks06cq5e/-FJPG/226071-007_PRM_1.jpg;https://dd3ka9h4chfr8.cloudfront.net/image/725136000567/image_8hmi088dmp4jta2vkgo5kg9l6s/-FJPG/226071-007_SID_1.jpg;https://dd3ka9h4chfr8.cloudfront.net/image/725136000567/image_cmd0ao512t4s59cv9is9ebu70d/-FJPG/226071-007_ESS_1.jpg;https://dd3ka9h4chfr8.cloudfront.net/image/725136000567/image_p4ikneocbp0bj6bdjivg9p9c37/-FJPG/226071-007_DET_2.jpg;https://dd3ka9h4chfr8.cloudfront.net/image/725136000567/image_4n4pa1671p32j8saaha76vsl4f/-FJPG/226071-007_BCK_1.jpg;https://dd3ka9h4chfr8.cloudfront.net/image/725136000567/image_7sbdv0hjo90hp7a8fvm241og2k/-FJPG/226071-007_DET_1.jpg;https://dd3ka9h4chfr8.cloudfront.net/image/725136000567/image_99q3oi9qf15fle1l1h58b4sn4b/-FJPG/226071-007_DET_3.jpg;https://dd3ka9h4chfr8.cloudfront.net/image/725136000567/image_5frisdn9p53611qo2gh6kukk0f/-FJPG/226071-007_DET_4.jpg;https://dd3ka9h4chfr8.cloudfront.net/image/725136000567/image_h0a9e8hs192hh42qfagj484141/-FJPG/226071-007_DET_5.jpg;https://dd3ka9h4chfr8.cloudfront.net/image/725136000567/image_nflpn4jol50gnfgak0tk4sq04o/-FJPG/226071-007_DET_6.jpg;https://dd3ka9h4chfr8.cloudfront.net/image/725136000567/image_gtl2jlciup4q1ch7446fo96b54/-FJPG/226071-007_DET_7.jpg;https://dd3ka9h4chfr8.cloudfront.net/image/725136000567/image_vgvno9r4494e1btiglia2e6g3d/-FJPG/226071-007_DET_8.jpg;https://dd3ka9h4chfr8.cloudfront.net/image/725136000567/image_71drmnqdjd27r5r3e0n3htri39/-FJPG/226071-007_SID_2.jpg;https://dd3ka9h4chfr8.cloudfront.net/image/725136000567/image_f1e6cv74n12v74voah1nk2p31o/-FJPG/226071-007_FRT_2.jpg;https://dd3ka9h4chfr8.cloudfront.net/image/725136000567/image_e8le0rnc3p2un0ld5d9762884g/-FJPG/226071-007_PRM_2.jpg</t>
  </si>
  <si>
    <t>226071-007</t>
  </si>
  <si>
    <t>189.62</t>
  </si>
  <si>
    <t>https://dd3ka9h4chfr8.cloudfront.net/image/725136000567/image_14le8clbpp01ddu5gjt8k1q25m/-FJPG/226071-007_FRT_1.jpg</t>
  </si>
  <si>
    <t>64.25</t>
  </si>
  <si>
    <t>{"value":64.25,"unit":"in"}</t>
  </si>
  <si>
    <t>{"value":9.06,"unit":"in"}</t>
  </si>
  <si>
    <t>{"value":124.34,"unit":"lb"}</t>
  </si>
  <si>
    <t>{"value":94.58,"unit":"lb"}</t>
  </si>
  <si>
    <t>64.21"</t>
  </si>
  <si>
    <t>Braden Chair</t>
  </si>
  <si>
    <t>https://dd3ka9h4chfr8.cloudfront.net/image/725136000567/image_2sbf72hptt1797dnrfvfn41c7r/-FJPG/105660-019_FRT_1.jpg;https://dd3ka9h4chfr8.cloudfront.net/image/725136000567/image_kaa7858fk14d94un9vmvp8ln7s/-FJPG/105660-019_PRM_1.jpg;https://dd3ka9h4chfr8.cloudfront.net/image/725136000567/image_0jv632if416a148mpua7ket64t/-FJPG/105660-019_SID_1.jpg;https://dd3ka9h4chfr8.cloudfront.net/image/725136000567/image_dsh96ugelh1v79dl6leglttm32/-FJPG/105660-019_DET_2.jpg;https://dd3ka9h4chfr8.cloudfront.net/image/725136000567/image_1n20t9isll3un87qmvodrrnj2l/-FJPG/105660-019_BCK_1.jpg;https://dd3ka9h4chfr8.cloudfront.net/image/725136000567/image_ltc4ijripl2e541vhv559hmc49/-FJPG/105660-019_DET_1.jpg;https://dd3ka9h4chfr8.cloudfront.net/image/725136000567/image_0ahi9rpmgl6dtep4kulmfq9g4k/-FJPG/105660-019_DET_3.jpg;https://dd3ka9h4chfr8.cloudfront.net/image/725136000567/image_4k20i6ogut6110t1hegaud666o/-FJPG/105660-019_DET_4.jpg;https://dd3ka9h4chfr8.cloudfront.net/image/725136000567/image_houpa2jei12gd96di1m02j1a5c/-FJPG/105660-019_DET_5.jpg;https://dd3ka9h4chfr8.cloudfront.net/image/725136000567/image_7usmd8nboh1110srp83516n209/-FJPG/105660-019_DET_6.jpg;https://dd3ka9h4chfr8.cloudfront.net/image/725136000567/image_79ji8q605p0lte9dn7adhp6h5o/-FJPG/105660-019_DET_7.jpg;https://dd3ka9h4chfr8.cloudfront.net/image/725136000567/image_sonanjqsfl5sne0c0bk9hnu34h/-FJPG/105660-019_ROM_1.jpg;https://dd3ka9h4chfr8.cloudfront.net/image/725136000567/image_0e9iuq66up025a1pke8lrh3c1m/-FJPG/105660-019_ESS.tif</t>
  </si>
  <si>
    <t>Brandy</t>
  </si>
  <si>
    <t>105660-019</t>
  </si>
  <si>
    <t>30.42</t>
  </si>
  <si>
    <t>https://dd3ka9h4chfr8.cloudfront.net/image/725136000567/image_2sbf72hptt1797dnrfvfn41c7r/-FJPG/105660-019_FRT_1.jpg</t>
  </si>
  <si>
    <t>["Top Grain Leather","Solid Oak"]</t>
  </si>
  <si>
    <t>Ashford</t>
  </si>
  <si>
    <t>Warm Oak</t>
  </si>
  <si>
    <t>Dramatic arms and a deeper seat offer relaxation with mid-century modern sophistication. Sculpted nettlewood frame adds an architectural feel to brandy top-grain leather.</t>
  </si>
  <si>
    <t>Complete  Item,L Shape Box</t>
  </si>
  <si>
    <t>{"value":47.84,"unit":"lb"}</t>
  </si>
  <si>
    <t>21.73"</t>
  </si>
  <si>
    <t>4.25"</t>
  </si>
  <si>
    <t>18.54"</t>
  </si>
  <si>
    <t>22.52"</t>
  </si>
  <si>
    <t>18.15"</t>
  </si>
  <si>
    <t>93% Polyurethane Foam Pad, 7% Polyester Fiber Batting</t>
  </si>
  <si>
    <t>Braden</t>
  </si>
  <si>
    <t>20.24"</t>
  </si>
  <si>
    <t>2.99"</t>
  </si>
  <si>
    <t>14.13"</t>
  </si>
  <si>
    <t>19.76"</t>
  </si>
  <si>
    <t>22.76"</t>
  </si>
  <si>
    <t>https://dd3ka9h4chfr8.cloudfront.net/image/725136000567/image_rpecghlrh509fc1cep7b1iat5g/-FJPG/105660-024_FRT_1.jpg;https://dd3ka9h4chfr8.cloudfront.net/image/725136000567/image_smclht5ftd3it14nuggn8p0m4f/-FJPG/105660-024_PRM_1.jpg;https://dd3ka9h4chfr8.cloudfront.net/image/725136000567/image_ircm4g2d3d577b85o9n71kki10/-FJPG/105660-024_ESS_1.jpg;https://dd3ka9h4chfr8.cloudfront.net/image/725136000567/image_e956nb28qp22pembn3q3ftv930/-FJPG/105660-024_DET_2.jpg;https://dd3ka9h4chfr8.cloudfront.net/image/725136000567/image_78r4n3ck2175l78nb58pdvjr2b/-FJPG/105660-024_DET_1.jpg;https://dd3ka9h4chfr8.cloudfront.net/image/725136000567/image_9rkmpso6tt5356rla2gm7m380a/-FJPG/105660-024_DET_3.jpg;https://dd3ka9h4chfr8.cloudfront.net/image/725136000567/image_1mqlm8bprh4p91o3cmp0g2ps0r/-FJPG/105660-024_DET_4.jpg;https://dd3ka9h4chfr8.cloudfront.net/image/725136000567/image_ccbqulo1lh3gh7ork4gd3n8u0l/-FJPG/105660-024_DET_5.jpg;https://dd3ka9h4chfr8.cloudfront.net/image/725136000567/image_n828iaar0t7hf4jr0rt98lgt0e/-FJPG/105660-024_ROM_1.jpg;https://dd3ka9h4chfr8.cloudfront.net/image/725136000567/image_vjlp3s05bd1b3cbv9q7sdtjm1s/-FJPG/105660-024_ROM_2.jpg</t>
  </si>
  <si>
    <t>Durango Smoke</t>
  </si>
  <si>
    <t>105660-024</t>
  </si>
  <si>
    <t>29.32</t>
  </si>
  <si>
    <t>https://dd3ka9h4chfr8.cloudfront.net/image/725136000567/image_rpecghlrh509fc1cep7b1iat5g/-FJPG/105660-024_FRT_1.jpg</t>
  </si>
  <si>
    <t>Dramatic arms and a deeper seat offer relaxation with mid-century modern sophistication. Sculpted frame adds an architectural feel to rich, black top-grain leather.</t>
  </si>
  <si>
    <t>{"value":42.11,"unit":"lb"}</t>
  </si>
  <si>
    <t>https://dd3ka9h4chfr8.cloudfront.net/image/725136000567/image_ilfteq7ltt009584urnkndq31l/-FJPG/CASH-8317-889_FRT_1.jpg;https://dd3ka9h4chfr8.cloudfront.net/image/725136000567/image_h2is3bi67h7jtf3besfd281141/-FJPG/CASH-8317-889_PRM_1.jpg;https://dd3ka9h4chfr8.cloudfront.net/image/725136000567/image_0bc0ddmrm92g58l1em68hsuk4u/-FJPG/CASH-8317-889_SID_1.jpg;https://dd3ka9h4chfr8.cloudfront.net/image/725136000567/image_43hss96291101b5p69hkh13h2r/-FJPG/CASH-8317-889_ESS_1.jpg;https://dd3ka9h4chfr8.cloudfront.net/image/725136000567/image_dkcvlg7ko53vtc9erqu9hji22d/-FJPG/CASH-8317-889_DET_2.jpg;https://dd3ka9h4chfr8.cloudfront.net/image/725136000567/image_b2cue9vvc94s1232qjengfin5e/-FJPG/CASH-8317-889_BCK_1.jpg;https://dd3ka9h4chfr8.cloudfront.net/image/725136000567/image_665r6r4mnt37la0gfudn8r962k/-FJPG/CASH-8317-889_DET_1.jpg;https://dd3ka9h4chfr8.cloudfront.net/image/725136000567/image_k3iv03vdqh4up4vtgfq70ltm3e/-FJPG/CASH-8317-889_DET_3.jpg;https://dd3ka9h4chfr8.cloudfront.net/image/725136000567/image_u3g6stevk12qt2uof4ej9pnc0v/-FJPG/CASH-8317-889_DET_4.jpg;https://dd3ka9h4chfr8.cloudfront.net/image/725136000567/image_115ep8n5m57gjdvvn9hsuljn55/-FJPG/CASH-8317-889_DET_5.jpg;https://dd3ka9h4chfr8.cloudfront.net/image/725136000567/image_ba30pdmg7168jbvvcn9hrf7o3n/-FJPG/CASH-8317-889_DET_6.jpg;https://dd3ka9h4chfr8.cloudfront.net/image/725136000567/image_7712enjkkl6ar7kb6ukm826t4g/-FJPG/CASH-8317-889_ROM_1.jpg</t>
  </si>
  <si>
    <t>Eden Sage</t>
  </si>
  <si>
    <t>CASH-8317-889</t>
  </si>
  <si>
    <t>https://dd3ka9h4chfr8.cloudfront.net/image/725136000567/image_ilfteq7ltt009584urnkndq31l/-FJPG/CASH-8317-889_FRT_1.jpg</t>
  </si>
  <si>
    <t>Toasted Oak</t>
  </si>
  <si>
    <t>Dramatic arms and a deeper seat offer relaxation with mid-century modern sophistication. Sculpted oak framing adds an architectural feel to rich top-grain leather in a mossy sage.</t>
  </si>
  <si>
    <t>Complete Item/ L-Shape</t>
  </si>
  <si>
    <t>https://dd3ka9h4chfr8.cloudfront.net/image/725136000567/image_trpbjq3ast6eveai5hh94hum0f/-FJPG/105660-025_FRT_1.jpg;https://dd3ka9h4chfr8.cloudfront.net/image/725136000567/image_l2h97b87il72t10ljti37epa2l/-FJPG/105660-025_PRM_1.jpg;https://dd3ka9h4chfr8.cloudfront.net/image/725136000567/image_qm0s81kteh6gl5153pl69th00l/-FJPG/105660-025_SID_1.jpg;https://dd3ka9h4chfr8.cloudfront.net/image/725136000567/image_5jl4on4ai9499aqtnpbt9u3c0p/-FJPG/105660-025_ESS_1.jpg;https://dd3ka9h4chfr8.cloudfront.net/image/725136000567/image_37pquk0vu55vb0cdvi9e8k5b3b/-FJPG/105660-025_DET_2.jpg;https://dd3ka9h4chfr8.cloudfront.net/image/725136000567/image_9bfd6lcg3p5b719qq7lo7d5o5u/-FJPG/105660-025_BCK_1.jpg;https://dd3ka9h4chfr8.cloudfront.net/image/725136000567/image_92k018cj7t61j1red2s5og6k39/-FJPG/105660-025_DET_1.jpg;https://dd3ka9h4chfr8.cloudfront.net/image/725136000567/image_2rhf0ij9c133jbtkrm7jesml4u/-FJPG/105660-025_DET_4.jpg;https://dd3ka9h4chfr8.cloudfront.net/image/725136000567/image_h2uclq3ps9745b0bhrd401f317/-FJPG/105660-025_DET_5.jpg;https://dd3ka9h4chfr8.cloudfront.net/image/725136000567/image_gghc25ufb52j9cacikuc067k4t/-FJPG/105660-025_DET_6.jpg;https://dd3ka9h4chfr8.cloudfront.net/image/725136000567/image_0u7kivub792d53qcfdcq2ial54/-FJPG/105660-025_DET_7.jpg;https://dd3ka9h4chfr8.cloudfront.net/image/725136000567/image_eucklkbtg13t337ct1b74ubi2e/-FJPG/105660-025_ROM_1.jpg</t>
  </si>
  <si>
    <t>Light Camel</t>
  </si>
  <si>
    <t>105660-025</t>
  </si>
  <si>
    <t>https://dd3ka9h4chfr8.cloudfront.net/image/725136000567/image_trpbjq3ast6eveai5hh94hum0f/-FJPG/105660-025_FRT_1.jpg</t>
  </si>
  <si>
    <t>["100% Polyester","Solid Oak"]</t>
  </si>
  <si>
    <t>Dramatic arms and a deeper seat offer relaxation with mid-century modern sophistication. Sculpted frame adds an architectural feel to light camel upholstery.</t>
  </si>
  <si>
    <t>https://dd3ka9h4chfr8.cloudfront.net/image/725136000567/image_5hgsbc8dtp0gpevvmkfbp07h1g/-FJPG/105660-023_FRT_1.jpg;https://dd3ka9h4chfr8.cloudfront.net/image/725136000567/image_nddbvqclgl3n1652shdka5737t/-FJPG/105660-023_PRM_1.jpg;https://dd3ka9h4chfr8.cloudfront.net/image/725136000567/image_4vct6vpkql5g5e5t0sd1ntks04/-FJPG/105660-023_SID_1.jpg;https://dd3ka9h4chfr8.cloudfront.net/image/725136000567/image_6cio991lj15rh1hskqu83cv62t/-FJPG/105660-023_ESS_1.jpg;https://dd3ka9h4chfr8.cloudfront.net/image/725136000567/image_406l5m0rsl7cd2soju8fis712k/-FJPG/105660-023_DET_2.jpg;https://dd3ka9h4chfr8.cloudfront.net/image/725136000567/image_3brar0giup37r6v1ffb6q94r2c/-FJPG/105660-023_BCK_1.jpg;https://dd3ka9h4chfr8.cloudfront.net/image/725136000567/image_1tgc0h6f9p5ehee3g1f7ne2a4f/-FJPG/105660-023_DET_1.jpg;https://dd3ka9h4chfr8.cloudfront.net/image/725136000567/image_svak76r4tt60hf1kmjg5cf2r4o/-FJPG/105660-023_DET_3.jpg;https://dd3ka9h4chfr8.cloudfront.net/image/725136000567/image_is0ptekr955ep1uakvt70fjf17/-FJPG/105660-023_DET_4.jpg;https://dd3ka9h4chfr8.cloudfront.net/image/725136000567/image_f52hl4eo3l24vfr12feij9gm3k/-FJPG/105660-023_DET_5.jpg;https://dd3ka9h4chfr8.cloudfront.net/image/725136000567/image_98ij0o7l6d3mpekungl9aotk1l/-FJPG/105660-023_ROM_1.jpg;https://dd3ka9h4chfr8.cloudfront.net/image/725136000567/image_7vl6dd91vh5mp9ctmfmdk1r05g/-FJPG/105660-023_ROM_2.jpg</t>
  </si>
  <si>
    <t>Modern Velvet Shadow</t>
  </si>
  <si>
    <t>105660-023</t>
  </si>
  <si>
    <t>https://dd3ka9h4chfr8.cloudfront.net/image/725136000567/image_5hgsbc8dtp0gpevvmkfbp07h1g/-FJPG/105660-023_FRT_1.jpg</t>
  </si>
  <si>
    <t>Dramatic arms and deep seat offer relaxation with mid-century modern sophistication. Sculpted cedar frame adds an architectural feel to neutral-toned velvet upholstery.</t>
  </si>
  <si>
    <t>Braden Recliner</t>
  </si>
  <si>
    <t>https://dd3ka9h4chfr8.cloudfront.net/image/725136000567/image_pkbnmkor7h3un1juv9gvkogu5l/-FJPG/223406-052_FRT_1.jpg;https://dd3ka9h4chfr8.cloudfront.net/image/725136000567/image_g5b1vl6os90hv4hd3m7ep9u575/-FJPG/223406-052_PRM_1.jpg;https://dd3ka9h4chfr8.cloudfront.net/image/725136000567/image_e286c7rsp13r96slibtp7d8i0d/-FJPG/223406-052_SID_1.jpg;https://dd3ka9h4chfr8.cloudfront.net/image/725136000567/image_gpe4kqaq5t24100c4kjdoinp6f/-FJPG/223406-052_ESS.tif;https://dd3ka9h4chfr8.cloudfront.net/image/725136000567/image_p251gguch56vh7orkr5n4qqn0k/-FJPG/223406-052_DET_2.jpg;https://dd3ka9h4chfr8.cloudfront.net/image/725136000567/image_luh114tv0p7i1crdj8l6ujma59/-FJPG/223406-052_BCK_1.jpg;https://dd3ka9h4chfr8.cloudfront.net/image/725136000567/image_b9uvvoie094cfeh4tao82vbv2t/-FJPG/223406-052_DET_1.jpg;https://dd3ka9h4chfr8.cloudfront.net/image/725136000567/image_bu77mhnj0h7cjf37mihvh4tl2r/-FJPG/223406-052_DET_3.jpg;https://dd3ka9h4chfr8.cloudfront.net/image/725136000567/image_6ra0btfaed3s74ij101npc2o3m/-FJPG/223406-052_DET_4.jpg;https://dd3ka9h4chfr8.cloudfront.net/image/725136000567/image_gsivofk5r56jteuqnf7oo7ks1l/-FJPG/223406-052_DET_5.jpg;https://dd3ka9h4chfr8.cloudfront.net/image/725136000567/image_oni4ueond57e9bl0mmoji4qs3t/-FJPG/223406-052_DET_6.jpg;https://dd3ka9h4chfr8.cloudfront.net/image/725136000567/image_pq5sk36ktt2bfe0e6ealbvn62n/-FJPG/223406-052_DET_7.jpg;https://dd3ka9h4chfr8.cloudfront.net/image/725136000567/image_i89e3k0rgh2bt75k2ucst8vm65/-FJPG/223406-052_DET_8.jpg;https://dd3ka9h4chfr8.cloudfront.net/image/725136000567/image_64l47saf0d12f1ao6v5apbf02c/-FJPG/223406-052_DET_9.tif;https://dd3ka9h4chfr8.cloudfront.net/image/725136000567/image_g2vmrovcqt1b3c1b9fd7g7j228/-FJPG/223406-052_DET_9.jpg;https://dd3ka9h4chfr8.cloudfront.net/image/725136000567/image_p0a7mgkult66l6t1vmg7aslo0l/-FJPG/223406-052_PRM_2.jpg;https://dd3ka9h4chfr8.cloudfront.net/image/725136000567/image_tfd15s30dt7s70ubk60jpopl4u/-FJPG/223406-052_SID_2.jpg;https://dd3ka9h4chfr8.cloudfront.net/image/725136000567/image_6o99tc4sdp2af42mdhihsabh0v/-FJPG/223406-052_FRT_2.jpg;https://dd3ka9h4chfr8.cloudfront.net/image/725136000567/image_a1kl4bkonh6rr8s3o47bc5jo3n/-FJPG/223406-052_BCK_2.jpg;https://dd3ka9h4chfr8.cloudfront.net/image/725136000567/image_o1l3misp2p5330031uavudsh0f/-FJPG/223406-052_ESS_2.tif</t>
  </si>
  <si>
    <t>Sattley Fog</t>
  </si>
  <si>
    <t>223406-052</t>
  </si>
  <si>
    <t>55.1</t>
  </si>
  <si>
    <t>https://dd3ka9h4chfr8.cloudfront.net/image/725136000567/image_pkbnmkor7h3un1juv9gvkogu5l/-FJPG/223406-052_FRT_1.jpg</t>
  </si>
  <si>
    <t>["96% Polyester","4% Acrylic","Solid Parawood"]</t>
  </si>
  <si>
    <t>Rubbed Sienna Brown</t>
  </si>
  <si>
    <t>L Box : H1 38.25"h2 27.5"</t>
  </si>
  <si>
    <t>{"value":31.13,"unit":"in"}</t>
  </si>
  <si>
    <t>{"value":38.25,"unit":"in"}</t>
  </si>
  <si>
    <t>{"value":73.9,"unit":"lb"}</t>
  </si>
  <si>
    <t>Recliner</t>
  </si>
  <si>
    <t>7.50"</t>
  </si>
  <si>
    <t>4.75"</t>
  </si>
  <si>
    <t>57.00"</t>
  </si>
  <si>
    <t>Brennan Dining Table</t>
  </si>
  <si>
    <t>https://dd3ka9h4chfr8.cloudfront.net/image/725136000567/image_65dtm1vcqd5td1rpimic7cv708/-FJPG/223086-006_FRT_1.jpg;https://dd3ka9h4chfr8.cloudfront.net/image/725136000567/image_4qis8ass3917951lvhc0l6gh7d/-FJPG/223086-006_PRM_1.jpg;https://dd3ka9h4chfr8.cloudfront.net/image/725136000567/image_uker38h2o95mv1agbcqp7rgj1i/-FJPG/223086-006_SID_1.jpg;https://dd3ka9h4chfr8.cloudfront.net/image/725136000567/image_stf48lpkc144fcglrplimf9e7b/-FJPG/223086-006_DET_1.jpg;https://dd3ka9h4chfr8.cloudfront.net/image/725136000567/image_tpe9allald3t155utjmjij503m/-FJPG/223086-006_DET_3.jpg;https://dd3ka9h4chfr8.cloudfront.net/image/725136000567/image_o41m0h13tp2in8fpveqnqmag1l/-FJPG/223086-006_DET_4.jpg;https://dd3ka9h4chfr8.cloudfront.net/image/725136000567/image_gqkeuic6u91552gf2377plmh60/-FJPG/223086-006_DET_5.jpg;https://dd3ka9h4chfr8.cloudfront.net/image/725136000567/image_prch77t9ah33jfrr4468d32p5s/-FJPG/223086-006_DET_6.jpg;https://dd3ka9h4chfr8.cloudfront.net/image/725136000567/image_li919at0654k7e36013iojfl3i/-FJPG/223086-006_DET_7.jpg;https://dd3ka9h4chfr8.cloudfront.net/image/725136000567/image_2sg99fif09097ehltb7gjlll3j/-FJPG/223086-006_DET_8.jpg;https://dd3ka9h4chfr8.cloudfront.net/image/725136000567/image_9cnmlubsc91478oqis897i3n14/-FJPG/223086-006_VIG_1.jpg;https://dd3ka9h4chfr8.cloudfront.net/image/725136000567/image_7b9c4gv2kt57j3r5mnhvucqp7n/-FJPG/223086-006_VIG_2.jpg</t>
  </si>
  <si>
    <t>Dove Oak</t>
  </si>
  <si>
    <t>223086-006</t>
  </si>
  <si>
    <t>231.24</t>
  </si>
  <si>
    <t>https://dd3ka9h4chfr8.cloudfront.net/image/725136000567/image_65dtm1vcqd5td1rpimic7cv708/-FJPG/223086-006_FRT_1.jpg</t>
  </si>
  <si>
    <t>["Solid Oak","Iron"]</t>
  </si>
  <si>
    <t>42</t>
  </si>
  <si>
    <t>{"value":42,"unit":"in"}</t>
  </si>
  <si>
    <t>Ombre Antique Pewter</t>
  </si>
  <si>
    <t>Wide, plank-style legs of pewter-finishedÂ steel features an ombre pattern for eye-catching effect, with an intersecting beam adding intrigue. A rectangular soft-grey oak tabletop flaunts its materials' natural graining, for a richly organic takeaway.</t>
  </si>
  <si>
    <t>{"value":5.5,"unit":"in"}</t>
  </si>
  <si>
    <t>{"value":45.75,"unit":"in"}</t>
  </si>
  <si>
    <t>{"value":166.77,"unit":"lb"}</t>
  </si>
  <si>
    <t>Stretcher</t>
  </si>
  <si>
    <t>{"value":7,"unit":"in"}</t>
  </si>
  <si>
    <t>{"value":7.5,"unit":"in"}</t>
  </si>
  <si>
    <t>{"value":32.4,"unit":"lb"}</t>
  </si>
  <si>
    <t>{"value":83.2,"unit":"lb"}</t>
  </si>
  <si>
    <t>Brennan</t>
  </si>
  <si>
    <t>66.00"</t>
  </si>
  <si>
    <t>28.25"</t>
  </si>
  <si>
    <t>28.38"</t>
  </si>
  <si>
    <t>Bria Chair</t>
  </si>
  <si>
    <t>https://dd3ka9h4chfr8.cloudfront.net/image/725136000567/image_osqtl2t3kh4precjmi646sra5l/-FJPG/225440-008_FRT_1.jpg;https://dd3ka9h4chfr8.cloudfront.net/image/725136000567/image_6jkm3e2t194v900ijpjatosu2i/-FJPG/225440-008_PRM_1.jpg;https://dd3ka9h4chfr8.cloudfront.net/image/725136000567/image_98l8tdfc6d3h7cumhasult8i7f/-FJPG/225440-008_SID_1.jpg;https://dd3ka9h4chfr8.cloudfront.net/image/725136000567/image_1tvs3f7te11epfam57m7egr95u/-FJPG/225440-008_ESS_1.jpg;https://dd3ka9h4chfr8.cloudfront.net/image/725136000567/image_4sgulvjl095tf5o2mocti43s67/-FJPG/225440-008_DET_2.jpg;https://dd3ka9h4chfr8.cloudfront.net/image/725136000567/image_4bjuk9ioq15uv8lm6qmauofi6d/-FJPG/225440-008_BCK_1.jpg;https://dd3ka9h4chfr8.cloudfront.net/image/725136000567/image_qab238jsn14ft4db2h7gj02l6q/-FJPG/225440-008_DET_1.jpg;https://dd3ka9h4chfr8.cloudfront.net/image/725136000567/image_ms02fjnral1f1c1jm8thqjrc79/-FJPG/225440-008_DET_3.jpg;https://dd3ka9h4chfr8.cloudfront.net/image/725136000567/image_sb46pqs2rt6ut50ln0tj9qan59/-FJPG/225440-008_DET_4.jpg;https://dd3ka9h4chfr8.cloudfront.net/image/725136000567/image_02gqapes5d6rfb2ir07pcslm63/-FJPG/225440-008_DET_5.jpg;https://dd3ka9h4chfr8.cloudfront.net/image/725136000567/image_4cu8q23abh751001ql9pe8g74d/-FJPG/225440-008_DET_6.jpg</t>
  </si>
  <si>
    <t>Heirloom Black</t>
  </si>
  <si>
    <t>225440-008</t>
  </si>
  <si>
    <t>https://dd3ka9h4chfr8.cloudfront.net/image/725136000567/image_osqtl2t3kh4precjmi646sra5l/-FJPG/225440-008_FRT_1.jpg</t>
  </si>
  <si>
    <t>["Top Grain Leather","Solid Parawood","Iron"]</t>
  </si>
  <si>
    <t>Gris Gunmetal</t>
  </si>
  <si>
    <t>A playful take on Italian modernism. Solid parawood crafts a slim, curved frame and rear mock-tripod. Upholstered in black top-grain leather. Sourced from one of the oldest family-owned tanneries in Italyâ€™s Bassano del Grappa, our heirloom leather covering is salvaged and processed from upcycled hides featuring an abundance of natural markings, scars and color variations. The result? Beautifully supple, buttery soft hides with an unmatched depth of color and richness, and an authentic lived-in look.</t>
  </si>
  <si>
    <t>{"value":46.08,"unit":"lb"}</t>
  </si>
  <si>
    <t>Bria</t>
  </si>
  <si>
    <t>https://dd3ka9h4chfr8.cloudfront.net/image/725136000567/image_3ul1bk6gul12h5i7e98fq4lr0u/-FJPG/225440-009_FRT_1.jpg;https://dd3ka9h4chfr8.cloudfront.net/image/725136000567/image_ktajsplub57jbfpm2kbptm717o/-FJPG/225440-009_PRM_1.jpg;https://dd3ka9h4chfr8.cloudfront.net/image/725136000567/image_vbamamlpuh45523vdoqolqq03h/-FJPG/225440-009_SID_1.jpg;https://dd3ka9h4chfr8.cloudfront.net/image/725136000567/image_3cabsinslh4nlfju7v72k0gn78/-FJPG/225440-009_ESS_1.jpg;https://dd3ka9h4chfr8.cloudfront.net/image/725136000567/image_l6fmr2s3714ch4ms36u3eflg4t/-FJPG/225440-009_DET_2.jpg;https://dd3ka9h4chfr8.cloudfront.net/image/725136000567/image_7765p6pcm11sd4m4iqkipjtf1e/-FJPG/225440-009_BCK_1.jpg;https://dd3ka9h4chfr8.cloudfront.net/image/725136000567/image_if0s84bt8t6692gu3u17t9j376/-FJPG/225440-009_DET_1.jpg;https://dd3ka9h4chfr8.cloudfront.net/image/725136000567/image_u14l6cb55d7hh32uk1vq2qii1e/-FJPG/225440-009_DET_3.jpg;https://dd3ka9h4chfr8.cloudfront.net/image/725136000567/image_jmuafn5p9p10jd5l6tr77b6q3d/-FJPG/225440-009_DET_4.jpg;https://dd3ka9h4chfr8.cloudfront.net/image/725136000567/image_n1rkqrngq539baus7eje0hrl6i/-FJPG/225440-009_DET_5.jpg;https://dd3ka9h4chfr8.cloudfront.net/image/725136000567/image_dcm8easu1h1k36g94702k9kg2v/-FJPG/225440-009_DET_6.jpg</t>
  </si>
  <si>
    <t>225440-009</t>
  </si>
  <si>
    <t>https://dd3ka9h4chfr8.cloudfront.net/image/725136000567/image_3ul1bk6gul12h5i7e98fq4lr0u/-FJPG/225440-009_FRT_1.jpg</t>
  </si>
  <si>
    <t>["76.8% Cotton","23.2% Polyester","Solid Parawood","Iron"]</t>
  </si>
  <si>
    <t>A playful take on Italian modernism. Solid parawood crafts a slim, curved frame and rear mock-tripod. Upholstered in a velvety olive-colored cotton-poly with subtle highs and lows that change in appearance depending on the direction of the fabric's nap.</t>
  </si>
  <si>
    <t>Briarbrook Sideboard</t>
  </si>
  <si>
    <t>https://dd3ka9h4chfr8.cloudfront.net/image/725136000567/image_m8piiq1ghl2rj8c9d2rsv75829/-FJPG/235918-001_FRT_1.jpg;https://dd3ka9h4chfr8.cloudfront.net/image/725136000567/image_i2k0ufq98l4gf0rjigigs3is30/-FJPG/235918-001_PRM_1.jpg;https://dd3ka9h4chfr8.cloudfront.net/image/725136000567/image_f3vuivvt495t77tb88o16r4b7c/-FJPG/235918-001_SID_1.jpg;https://dd3ka9h4chfr8.cloudfront.net/image/725136000567/image_sfru7027vt0v730uq6237gdj7r/-FJPG/235918-001_ESS_1.tif;https://dd3ka9h4chfr8.cloudfront.net/image/725136000567/image_q6jik2bfo91prcmqb1gtqn6a2r/-FJPG/235918-001_DET_2.jpg;https://dd3ka9h4chfr8.cloudfront.net/image/725136000567/image_3to6e7isfh1iv40p0u0obp6m6l/-FJPG/235918-001_BCK_1.jpg;https://dd3ka9h4chfr8.cloudfront.net/image/725136000567/image_g8jfoi5uo17tfcngpri1rl576f/-FJPG/235918-001_DET_1.jpg;https://dd3ka9h4chfr8.cloudfront.net/image/725136000567/image_gfl5osuje1157brsjplfqtjv4t/-FJPG/235918-001_DET_3.jpg;https://dd3ka9h4chfr8.cloudfront.net/image/725136000567/image_hfijt7uva91gd9ottpg7jtvc0b/-FJPG/235918-001_TOP_1.jpg;https://dd3ka9h4chfr8.cloudfront.net/image/725136000567/image_g917or1u4d3qjf6bavpv18634e/-FJPG/235918-001_DET_4.jpg;https://dd3ka9h4chfr8.cloudfront.net/image/725136000567/image_ma463ahkmt1hf0bv9cf1vqsa61/-FJPG/235918-001_DET_5.jpg;https://dd3ka9h4chfr8.cloudfront.net/image/725136000567/image_7jpon0ldj979p21e2g530k3k3v/-FJPG/235918-001_DET_6.jpg;https://dd3ka9h4chfr8.cloudfront.net/image/725136000567/image_pue5qbn2lh551es8u9h6i0h745/-FJPG/235918-001_DET_9.tif</t>
  </si>
  <si>
    <t>Distressed Light Pine</t>
  </si>
  <si>
    <t>235918-001</t>
  </si>
  <si>
    <t>235.01</t>
  </si>
  <si>
    <t>https://dd3ka9h4chfr8.cloudfront.net/image/725136000567/image_m8piiq1ghl2rj8c9d2rsv75829/-FJPG/235918-001_FRT_1.jpg</t>
  </si>
  <si>
    <t>Wells</t>
  </si>
  <si>
    <t>A large, waterfall-style sideboard inspired by Chinese antiques is made from solid pine with a light, distressed finish and butterfly joint connections. Rear cutouts for cord management.</t>
  </si>
  <si>
    <t>{"value":96.85,"unit":"in"}</t>
  </si>
  <si>
    <t>{"value":270.95,"unit":"lb"}</t>
  </si>
  <si>
    <t>15.35"</t>
  </si>
  <si>
    <t>30.75"</t>
  </si>
  <si>
    <t>Sidemount Wood</t>
  </si>
  <si>
    <t>Plastic</t>
  </si>
  <si>
    <t>Briarbrook</t>
  </si>
  <si>
    <t>4.02"</t>
  </si>
  <si>
    <t>Wood</t>
  </si>
  <si>
    <t>Brimley Sideboard</t>
  </si>
  <si>
    <t>https://dd3ka9h4chfr8.cloudfront.net/image/725136000567/image_ponus4g4392c523rrae13nc02c/-FJPG/244662-001_FRT_1.jpg;https://dd3ka9h4chfr8.cloudfront.net/image/725136000567/image_42ed5670n112d9uu9tn9bfdv34/-FJPG/244662-001_PRM_1.jpg;https://dd3ka9h4chfr8.cloudfront.net/image/725136000567/image_9dhktf9fht2grd3t712lgd3a2c/-FJPG/244662-001_SID_1.jpg;https://dd3ka9h4chfr8.cloudfront.net/image/725136000567/image_c4d69mbbvd2tv9q5ila1nq6510/-FJPG/244662-001_ESS.tif;https://dd3ka9h4chfr8.cloudfront.net/image/725136000567/image_n2b3vbv3996gjej5fefop18e60/-FJPG/244662-001_DET_2.jpg;https://dd3ka9h4chfr8.cloudfront.net/image/725136000567/image_7iqh8ukojd4rf0b7fbp8jubi2s/-FJPG/244662-001_BCK_1.jpg;https://dd3ka9h4chfr8.cloudfront.net/image/725136000567/image_7qha135i8h4152k5s1m3g6613o/-FJPG/244662-001_DET_1.jpg;https://dd3ka9h4chfr8.cloudfront.net/image/725136000567/image_auufv47jfl7e5cauiengbb094f/-FJPG/244662-001_DET_3.jpg;https://dd3ka9h4chfr8.cloudfront.net/image/725136000567/image_00fjtil7e51lbf4rb96hgpke0l/-FJPG/244662-001_OPN_1.jpg;https://dd3ka9h4chfr8.cloudfront.net/image/725136000567/image_vvciono4f1363cln455shhjm0j/-FJPG/244662-001_DET_4.jpg;https://dd3ka9h4chfr8.cloudfront.net/image/725136000567/image_qqi5rvktll7rn9jkj2g6nlil01/-FJPG/244662-001_DET_5.jpg;https://dd3ka9h4chfr8.cloudfront.net/image/725136000567/image_t64ita42ih3p79o3doe4m2r73k/-FJPG/244662-001_DET_6.jpg;https://dd3ka9h4chfr8.cloudfront.net/image/725136000567/image_gbks21u1il40h1ge1vrdlr6v6e/-FJPG/244662-001_DET_7.jpg;https://dd3ka9h4chfr8.cloudfront.net/image/725136000567/image_povctaq2ph4r566t055oed740m/-FJPG/244662-001_DET_9.tif;https://dd3ka9h4chfr8.cloudfront.net/image/725136000567/image_23onum70gl4dn7v9k7ki288r7j/-FJPG/244662-001_OPN_2.jpg</t>
  </si>
  <si>
    <t>Aged Light Pine</t>
  </si>
  <si>
    <t>244662-001</t>
  </si>
  <si>
    <t>120.4</t>
  </si>
  <si>
    <t>https://dd3ka9h4chfr8.cloudfront.net/image/725136000567/image_ponus4g4392c523rrae13nc02c/-FJPG/244662-001_FRT_1.jpg</t>
  </si>
  <si>
    <t>["Solid Pine","Copper Cladding"]</t>
  </si>
  <si>
    <t>Cordella</t>
  </si>
  <si>
    <t>Distressed Copper</t>
  </si>
  <si>
    <t>Inspired by clean Scandinavian design, a light finish pairs with the simple lines of this classic sideboard. Interior shelving behind dual cabinet door pairings create bonus storage options in your dining space and beyond.</t>
  </si>
  <si>
    <t>{"value":87.8,"unit":"in"}</t>
  </si>
  <si>
    <t>{"value":23.23,"unit":"in"}</t>
  </si>
  <si>
    <t>{"value":157.41,"unit":"lb"}</t>
  </si>
  <si>
    <t>15.25"</t>
  </si>
  <si>
    <t>38.94"</t>
  </si>
  <si>
    <t>Brimley</t>
  </si>
  <si>
    <t>19.47"</t>
  </si>
  <si>
    <t>39.57"</t>
  </si>
  <si>
    <t>Brisa Round Dining Table 55"</t>
  </si>
  <si>
    <t>https://dd3ka9h4chfr8.cloudfront.net/image/725136000567/image_q058eemh9t14376t3krheu0u7g/-FJPG/233555-001_FRT_1.jpg;https://dd3ka9h4chfr8.cloudfront.net/image/725136000567/image_j5s8mgbpm17bl6ulofnsepj42l/-FJPG/233555-001_PRM_1.jpg;https://dd3ka9h4chfr8.cloudfront.net/image/725136000567/image_7ubjjrbbcp0al7inhr3jq81508/-FJPG/231882-007_ESS_1.jpg;https://dd3ka9h4chfr8.cloudfront.net/image/725136000567/image_47bg9mo6bd2s92cvddn1o8ta12/-FJPG/233555-001_ESS_1.jpg;https://dd3ka9h4chfr8.cloudfront.net/image/725136000567/image_ev8cc2bgel7h7ddilci935fp7t/-FJPG/233555-001_DET_2.jpg;https://dd3ka9h4chfr8.cloudfront.net/image/725136000567/image_149728n5al4u945d0gc1mb3s78/-FJPG/233555-001_DET_1.jpg;https://dd3ka9h4chfr8.cloudfront.net/image/725136000567/image_t7l02mgmal5c155j0k0dnfmt78/-FJPG/233555-001_DET_3.jpg;https://dd3ka9h4chfr8.cloudfront.net/image/725136000567/image_mtfffb3t9532ldibv75ftoej6p/-FJPG/233555-001_DET_4.jpg;https://dd3ka9h4chfr8.cloudfront.net/image/725136000567/image_mmc8748ilt4kl8eea5ntggvr1d/-FJPG/233555-001_DET_5.jpg;https://dd3ka9h4chfr8.cloudfront.net/image/725136000567/image_88mmpf7t25165afba9gc8tk514/-FJPG/233555-001_DET_6.jpg;https://dd3ka9h4chfr8.cloudfront.net/image/725136000567/image_v1r78qhf4h4050jr8cf345lp4v/-FJPG/233555-001_DET_7.jpg;https://dd3ka9h4chfr8.cloudfront.net/image/725136000567/image_1thh4s5l250pra77k4eq18h847/-FJPG/233555-001_DET_8.jpg;https://dd3ka9h4chfr8.cloudfront.net/image/725136000567/image_fcgkgt3svl1av5r1ng6evlbs3c/-FJPG/FHMPRJ-007_SCENE_3_V1.tif</t>
  </si>
  <si>
    <t>Dune Onyx</t>
  </si>
  <si>
    <t>233555-001</t>
  </si>
  <si>
    <t>265.64</t>
  </si>
  <si>
    <t>https://dd3ka9h4chfr8.cloudfront.net/image/725136000567/image_q058eemh9t14376t3krheu0u7g/-FJPG/233555-001_FRT_1.jpg</t>
  </si>
  <si>
    <t>["Onyx","Solid Oak"]</t>
  </si>
  <si>
    <t>Rockwell</t>
  </si>
  <si>
    <t>Grey Tobacco Oak</t>
  </si>
  <si>
    <t>A geometric solid oak base supports an onyx tabletop for an earthy, transitional look. Each tabletop is unique with differences in tone, including varied shades and amounts of grey, clear and yellow, plus linear graining reflective of natural materials.</t>
  </si>
  <si>
    <t>{"value":11,"unit":"in"}</t>
  </si>
  <si>
    <t>{"value":341.05,"unit":"lb"}</t>
  </si>
  <si>
    <t>{"value":78.81,"unit":"lb"}</t>
  </si>
  <si>
    <t>Brisa</t>
  </si>
  <si>
    <t>28.75"</t>
  </si>
  <si>
    <t>1.25"</t>
  </si>
  <si>
    <t>Brodie Chair</t>
  </si>
  <si>
    <t>https://dd3ka9h4chfr8.cloudfront.net/image/725136000567/image_hgucugnnkh7dr7kuc9884vjr3c/-FJPG/235235-003_FRT_1.jpg;https://dd3ka9h4chfr8.cloudfront.net/image/725136000567/image_s34hjf679535b51407glhd2j1s/-FJPG/235235-003_PRM_1.jpg;https://dd3ka9h4chfr8.cloudfront.net/image/725136000567/image_0pr88oload0c70no1c3t4jpc3s/-FJPG/235235-003_SID_1.jpg;https://dd3ka9h4chfr8.cloudfront.net/image/725136000567/image_lbsms09tkt2gt8gcvvbvvo1039/-FJPG/235235-003_ESS.tif;https://dd3ka9h4chfr8.cloudfront.net/image/725136000567/image_3rhth5ub2t1an9v2a6c6gi9f2b/-FJPG/235235-003_DET_2.jpg;https://dd3ka9h4chfr8.cloudfront.net/image/725136000567/image_g0a4n5tpi92hf94ta5gva3o76a/-FJPG/235235-003_BCK_1.jpg;https://dd3ka9h4chfr8.cloudfront.net/image/725136000567/image_u554q6v7q918tanhlijls7ni3j/-FJPG/235235-003_DET_1.jpg;https://dd3ka9h4chfr8.cloudfront.net/image/725136000567/image_u4ef22om7d4bte0r8278c5o53v/-FJPG/235235-003_DET_3.jpg;https://dd3ka9h4chfr8.cloudfront.net/image/725136000567/image_73m1a6tsk908n14c9vdgn8hp46/-FJPG/235235-003_DET_4.jpg;https://dd3ka9h4chfr8.cloudfront.net/image/725136000567/image_ffsp321gd13pj386j3jl0d646m/-FJPG/235235-003_DET_5.jpg;https://dd3ka9h4chfr8.cloudfront.net/image/725136000567/image_3ebdttfr855kn5nfger6t3gm7v/-FJPG/235235-003_DET_6.jpg</t>
  </si>
  <si>
    <t>235235-003</t>
  </si>
  <si>
    <t>35.49</t>
  </si>
  <si>
    <t>https://dd3ka9h4chfr8.cloudfront.net/image/725136000567/image_hgucugnnkh7dr7kuc9884vjr3c/-FJPG/235235-003_FRT_1.jpg</t>
  </si>
  <si>
    <t>Smoked Grey</t>
  </si>
  <si>
    <t>This cozy, textural update to 1970s seating meets faux Mongolian shearling with a solid oak frame.</t>
  </si>
  <si>
    <t>{"value":45.86,"unit":"lb"}</t>
  </si>
  <si>
    <t>25.20"</t>
  </si>
  <si>
    <t>16.97"</t>
  </si>
  <si>
    <t>Brodie</t>
  </si>
  <si>
    <t>25.63"</t>
  </si>
  <si>
    <t>11.02"</t>
  </si>
  <si>
    <t>24.02"</t>
  </si>
  <si>
    <t>12.95"</t>
  </si>
  <si>
    <t>17.01"</t>
  </si>
  <si>
    <t>24.61"</t>
  </si>
  <si>
    <t>https://dd3ka9h4chfr8.cloudfront.net/image/725136000567/image_urnsq177i15fl244nb6pr4591e/-FJPG/235235-005_FRT_1.jpg;https://dd3ka9h4chfr8.cloudfront.net/image/725136000567/image_o8b1jlgj210rp5mj29lghp9k3g/-FJPG/235235-005_PRM_1.jpg;https://dd3ka9h4chfr8.cloudfront.net/image/725136000567/image_cl6gaht97530lblecb7ik6r20o/-FJPG/235235-005_SID_1.jpg;https://dd3ka9h4chfr8.cloudfront.net/image/725136000567/image_d2ji5jb5u93vb4uspt5nt2bp72/-FJPG/235235-005_DET_2.jpg;https://dd3ka9h4chfr8.cloudfront.net/image/725136000567/image_qul768rk250u937st0el89oj4q/-FJPG/235235-005_BCK_1.jpg;https://dd3ka9h4chfr8.cloudfront.net/image/725136000567/image_1hclvtekfh0p5bcuii58kpg61f/-FJPG/235235-005_DET_1.jpg;https://dd3ka9h4chfr8.cloudfront.net/image/725136000567/image_31lu6338515k76scvoapoqif2s/-FJPG/235235-005_DET_3.jpg;https://dd3ka9h4chfr8.cloudfront.net/image/725136000567/image_d0snior8355cndlsluapqtfq1a/-FJPG/235235-005_DET_4.jpg;https://dd3ka9h4chfr8.cloudfront.net/image/725136000567/image_ga16ngdobt6175arrvn0nbbd7p/-FJPG/235235-005_DET_5.jpg;https://dd3ka9h4chfr8.cloudfront.net/image/725136000567/image_90vem416bt1f97gj558rpg9t59/-FJPG/235235-005_DET_6.jpg</t>
  </si>
  <si>
    <t>Ivan Granite</t>
  </si>
  <si>
    <t>235235-005</t>
  </si>
  <si>
    <t>https://dd3ka9h4chfr8.cloudfront.net/image/725136000567/image_urnsq177i15fl244nb6pr4591e/-FJPG/235235-005_FRT_1.jpg</t>
  </si>
  <si>
    <t>["60% Acrylic","33% Cotton","7% Polyester","Solid Oak"]</t>
  </si>
  <si>
    <t>Almond Oak</t>
  </si>
  <si>
    <t>https://dd3ka9h4chfr8.cloudfront.net/image/725136000567/image_d6iiak0ttt33j8u9sekl3qaj1o/-FJPG/235235-001_FRT_1.jpg;https://dd3ka9h4chfr8.cloudfront.net/image/725136000567/image_gfr8ad7ill32d68htogehmib3j/-FJPG/235235-001_PRM_1.jpg;https://dd3ka9h4chfr8.cloudfront.net/image/725136000567/image_vo7a2c8pg95o18t8rje17b3v4i/-FJPG/235235-001_SID_1.jpg;https://dd3ka9h4chfr8.cloudfront.net/image/725136000567/image_e0o3libhl51739mto367m5d161/-FJPG/235235-001_ESS_1.jpg;https://dd3ka9h4chfr8.cloudfront.net/image/725136000567/image_h6567vu80119p2nh1634ddvp5d/-FJPG/235235-001_DET_2.jpg;https://dd3ka9h4chfr8.cloudfront.net/image/725136000567/image_uheolj13md3l5c036b0fn06u6o/-FJPG/235235-001_BCK_1.jpg;https://dd3ka9h4chfr8.cloudfront.net/image/725136000567/image_2q2nusrtf55ot7m10a017tjg58/-FJPG/235235-001_DET_1.jpg;https://dd3ka9h4chfr8.cloudfront.net/image/725136000567/image_8iljuip1td3cpcrs5g45ua804q/-FJPG/235235-001_DET_3.jpg;https://dd3ka9h4chfr8.cloudfront.net/image/725136000567/image_aathlnpo7l4pb1qrre7p2nvu0r/-FJPG/235235-001_DET_4.jpg;https://dd3ka9h4chfr8.cloudfront.net/image/725136000567/image_seccv0elk562t29fpikk684m66/-FJPG/235235-001_DET_5.jpg;https://dd3ka9h4chfr8.cloudfront.net/image/725136000567/image_1neo4uip8d2f964t3ajhs83h43/-FJPG/235235-001_PRM_2.jpg</t>
  </si>
  <si>
    <t>Sheldon Ivory</t>
  </si>
  <si>
    <t>235235-001</t>
  </si>
  <si>
    <t>https://dd3ka9h4chfr8.cloudfront.net/image/725136000567/image_d6iiak0ttt33j8u9sekl3qaj1o/-FJPG/235235-001_FRT_1.jpg</t>
  </si>
  <si>
    <t>["95% Polyester","5% Cotton","Solid Oak"]</t>
  </si>
  <si>
    <t>A cozy spot to lounge with its high-pile texture and bulky taper, a sculpted chair is a modern take on 1970s seating. A solid oak frame in neutral grey complements soft, ivory upholstery.</t>
  </si>
  <si>
    <t>Bronx Dining Table</t>
  </si>
  <si>
    <t>https://dd3ka9h4chfr8.cloudfront.net/image/725136000567/image_3l9agbm0sh31b52sobgkbg4367/-FJPG/101447-002_PRM_1.jpg;https://dd3ka9h4chfr8.cloudfront.net/image/725136000567/image_fe45s9k0p57j77nunds574aj4g/-FJPG/101447-002_DET_2.jpg;https://dd3ka9h4chfr8.cloudfront.net/image/725136000567/image_d9js0sild57ate5o907b353t18/-FJPG/101447-002_DET_1.jpg;https://dd3ka9h4chfr8.cloudfront.net/image/725136000567/image_irj9u3kjmh28bfnsoh0icufk1r/-FJPG/101447-002_DET_3.jpg;https://dd3ka9h4chfr8.cloudfront.net/image/725136000567/image_9e7dibg5l123tajrjh6n74s23r/-FJPG/101447-002_TOP_1.jpg;https://dd3ka9h4chfr8.cloudfront.net/image/725136000567/image_99uurjl9n546hb7bdnvptmm60a/-FJPG/101447-002_DET_4.jpg;https://dd3ka9h4chfr8.cloudfront.net/image/725136000567/image_ponajtqi0517f4fv4icrd5ph1g/-FJPG/101447-002_DET_5.jpg;https://dd3ka9h4chfr8.cloudfront.net/image/725136000567/image_ls84gnbafd0ctcv21qfkrapo29/-FJPG/101447-002_DET_6.jpg;https://dd3ka9h4chfr8.cloudfront.net/image/725136000567/image_8i0d7guvu52bp5q87dh79s5a35/-FJPG/101447-002_DET_7.jpg;https://dd3ka9h4chfr8.cloudfront.net/image/725136000567/image_498h51vghh0dd0f85rae36qi1u/-FJPG/101447-002_DET_8.jpg</t>
  </si>
  <si>
    <t>Light Brushed Parawood</t>
  </si>
  <si>
    <t>101447-002</t>
  </si>
  <si>
    <t>117.06</t>
  </si>
  <si>
    <t>https://dd3ka9h4chfr8.cloudfront.net/image/725136000567/image_3l9agbm0sh31b52sobgkbg4367/-FJPG/101447-002_PRM_1.jpg</t>
  </si>
  <si>
    <t>["Solid Parawood","Solid Mixed Reclaimed Wood"]</t>
  </si>
  <si>
    <t>54</t>
  </si>
  <si>
    <t>{"value":54,"unit":"in"}</t>
  </si>
  <si>
    <t>Harmon</t>
  </si>
  <si>
    <t>Dark Brown</t>
  </si>
  <si>
    <t>Organically shaped pedestal table takes aesthetic cues from nature. The character-rich knots and grains from mixed reclaimed woods are retained for display on a dramatically tapered base, while a dark brown-finished base pairs with a lighter tabletop for a fresh contrast of tone.</t>
  </si>
  <si>
    <t>{"value":47.62,"unit":"lb"}</t>
  </si>
  <si>
    <t>{"value":57.5,"unit":"in"}</t>
  </si>
  <si>
    <t>{"value":118.72,"unit":"lb"}</t>
  </si>
  <si>
    <t>Bronx</t>
  </si>
  <si>
    <t>https://dd3ka9h4chfr8.cloudfront.net/image/725136000567/image_i5hf6kph5t3fdc4p6i6ifmrj0o/-FJPG/IHRM-074_FRT_1.jpg;https://dd3ka9h4chfr8.cloudfront.net/image/725136000567/image_ckccpb8int2il7kdpbbd4a4v3c/-FJPG/IHRM-074_PRM_1.jpg;https://dd3ka9h4chfr8.cloudfront.net/image/725136000567/image_osc1r9pmn55e51mfoa6jq30l0m/-FJPG/IHRM-074_DET_2.jpg;https://dd3ka9h4chfr8.cloudfront.net/image/725136000567/image_sickc175j95g3e9ioij413kv65/-FJPG/IHRM-074_DET_1.jpg;https://dd3ka9h4chfr8.cloudfront.net/image/725136000567/image_vdu7723m8t5697oom9hn59bp4i/-FJPG/IHRM-074_DET_3.jpg;https://dd3ka9h4chfr8.cloudfront.net/image/725136000567/image_p7n1at16ph3it0ohmol12vvs67/-FJPG/IHRM-074_DET_4.jpg;https://dd3ka9h4chfr8.cloudfront.net/image/725136000567/image_cl2picurfd7974sv6q7asan902/-FJPG/IHRM-074_DET_5.jpg;https://dd3ka9h4chfr8.cloudfront.net/image/725136000567/image_pu11pt375t0sdcupg6cfhgft71/-FJPG/IHRM-074_DET_6.jpg;https://dd3ka9h4chfr8.cloudfront.net/image/725136000567/image_2mnt0aai116b1865sgamsnth75/-FJPG/IHRM-074_DET_7.jpg;https://dd3ka9h4chfr8.cloudfront.net/image/725136000567/image_ddspcl8lu12u1b2nniq7jeph1s/-FJPG/IHRM-074_ROM_1.jpg</t>
  </si>
  <si>
    <t>Tanner Brown</t>
  </si>
  <si>
    <t>IHRM-074</t>
  </si>
  <si>
    <t>151.24</t>
  </si>
  <si>
    <t>https://dd3ka9h4chfr8.cloudfront.net/image/725136000567/image_i5hf6kph5t3fdc4p6i6ifmrj0o/-FJPG/IHRM-074_FRT_1.jpg</t>
  </si>
  <si>
    <t>["Solid Mixed Reclaimed Wood"]</t>
  </si>
  <si>
    <t>Organically shaped pedestal table takes aesthetic cues from nature. Character-rich knots and grains innate to India-sourced reclaimed woods are retained for display on a dramatically tapered base, then smoothed across the table top for a modern feel.</t>
  </si>
  <si>
    <t>{"value":47.18,"unit":"lb"}</t>
  </si>
  <si>
    <t>{"value":57.25,"unit":"in"}</t>
  </si>
  <si>
    <t>{"value":7.25,"unit":"in"}</t>
  </si>
  <si>
    <t>{"value":133.82,"unit":"lb"}</t>
  </si>
  <si>
    <t>Brooklyn Coffee Table</t>
  </si>
  <si>
    <t>https://dd3ka9h4chfr8.cloudfront.net/image/725136000567/image_hes6uir95p5av9j1c8t6h0l907/-FJPG/107561-007_FRT_1.jpg;https://dd3ka9h4chfr8.cloudfront.net/image/725136000567/image_nli6jo1vt53k77ol0nlv57ve5k/-FJPG/107561-007_PRM_1.jpg;https://dd3ka9h4chfr8.cloudfront.net/image/725136000567/image_1ik472vael7nj5pdpnbliejp0d/-FJPG/107561-007_SID_1.jpg;https://dd3ka9h4chfr8.cloudfront.net/image/725136000567/image_tjag4t3eid6j920ac03em3uq5m/-FJPG/107561-007_ESS_1.jpg;https://dd3ka9h4chfr8.cloudfront.net/image/725136000567/image_9n8bk8qcm90g51o0ohj17c503r/-FJPG/107561-007_DET_2.jpg;https://dd3ka9h4chfr8.cloudfront.net/image/725136000567/image_e5c9uftg455jp975eqei3vch0r/-FJPG/Color Variance Card_Ashen Walnut.jpg;https://dd3ka9h4chfr8.cloudfront.net/image/725136000567/image_f8bmfm9r016a9bovcvtv09c11b/-FJPG/107561-007_DET_1.jpg;https://dd3ka9h4chfr8.cloudfront.net/image/725136000567/image_e70fdls97h45b7o6cr8joak05d/-FJPG/107561-007_TOP_1.jpg;https://dd3ka9h4chfr8.cloudfront.net/image/725136000567/image_oh5b1mh8m17rh95p0r8olei04i/-FJPG/107561-007_DET_4.jpg;https://dd3ka9h4chfr8.cloudfront.net/image/725136000567/image_edgafeagk537lbvjacb9og8t0v/-FJPG/107561-007_DET_5.jpg;https://dd3ka9h4chfr8.cloudfront.net/image/725136000567/image_q6ql61uqgh1cp5bd3qna3l3645/-FJPG/107561-007_DET_6.jpg;https://dd3ka9h4chfr8.cloudfront.net/image/725136000567/image_4205kuqepp7ul7oc8l96t24g5m/-FJPG/107561-007_ESS_2.jpg</t>
  </si>
  <si>
    <t>Ashen Walnut</t>
  </si>
  <si>
    <t>107561-007</t>
  </si>
  <si>
    <t>https://dd3ka9h4chfr8.cloudfront.net/image/725136000567/image_hes6uir95p5av9j1c8t6h0l907/-FJPG/107561-007_FRT_1.jpg</t>
  </si>
  <si>
    <t>["Thick Walnut Veneer"]</t>
  </si>
  <si>
    <t>50.75</t>
  </si>
  <si>
    <t>{"value":50.75,"unit":"in"}</t>
  </si>
  <si>
    <t>16.5</t>
  </si>
  <si>
    <t>{"value":16.5,"unit":"in"}</t>
  </si>
  <si>
    <t>A shape-centric statement piece. Light walnut veneer is blended and smoothed for a soft look rich with innate depth. Asymmetric sides form a casual octagon, bringing reimagined geometry to the table. Each style slightly unique, thanks to materials' natural quality.</t>
  </si>
  <si>
    <t>{"value":59.45,"unit":"in"}</t>
  </si>
  <si>
    <t>{"value":57.87,"unit":"in"}</t>
  </si>
  <si>
    <t>{"value":101.85,"unit":"lb"}</t>
  </si>
  <si>
    <t>Base, Assembly Hardware, Assembly Instructions</t>
  </si>
  <si>
    <t>{"value":43.47,"unit":"lb"}</t>
  </si>
  <si>
    <t>Brooklyn</t>
  </si>
  <si>
    <t>27.25"</t>
  </si>
  <si>
    <t>2.64"</t>
  </si>
  <si>
    <t>12.94"</t>
  </si>
  <si>
    <t>https://dd3ka9h4chfr8.cloudfront.net/image/725136000567/image_ekhdql2cnt33pap3f8dilemk2b/-FJPG/UWES-156_FRT_1.jpg;https://dd3ka9h4chfr8.cloudfront.net/image/725136000567/image_3f45u8tkol1kjes41a4aoekf04/-FJPG/UWES-156_PRM_1.jpg;https://dd3ka9h4chfr8.cloudfront.net/image/725136000567/image_tf555r8k0d7j76vagc4qjcer1e/-FJPG/UWES-156_DET_2.jpg;https://dd3ka9h4chfr8.cloudfront.net/image/725136000567/image_v571ret2sl1eff5eiq25922u0h/-FJPG/UWES-156_DET_1.jpg;https://dd3ka9h4chfr8.cloudfront.net/image/725136000567/image_et1h9ob38p573b7hemfo249e4n/-FJPG/UWES-156_DET_3.jpg;https://dd3ka9h4chfr8.cloudfront.net/image/725136000567/image_2ldefmvq9d7irfskvpfusoc55n/-FJPG/UWES-156_DET_4.jpg;https://dd3ka9h4chfr8.cloudfront.net/image/725136000567/image_e97mlitma57et4dc5bobg5mv63/-FJPG/UWES-156_ROM_1.jpg;https://dd3ka9h4chfr8.cloudfront.net/image/725136000567/image_4u7tvnmkn90vrfakvrfm2cac4i/-FJPG/UWES-156_ESS.tif;https://dd3ka9h4chfr8.cloudfront.net/image/725136000567/image_4ne2g8f84t60j4tqbd958c5l1i/-FJPG/UWES-156_ESS_9.tif</t>
  </si>
  <si>
    <t>Blonde Yukas</t>
  </si>
  <si>
    <t>UWES-156</t>
  </si>
  <si>
    <t>https://dd3ka9h4chfr8.cloudfront.net/image/725136000567/image_ekhdql2cnt33pap3f8dilemk2b/-FJPG/UWES-156_FRT_1.jpg</t>
  </si>
  <si>
    <t>["Thick Eucalyptus Veneer"]</t>
  </si>
  <si>
    <t>A shape-centric statement piece. Blonde yukas woods are blended and smoothed for a soft look rich with innate depth. Asymmetric sides form a casual octagon, bringing reimagined geometry to the table. Each style slightly unique, thanks to materials' natural quality.</t>
  </si>
  <si>
    <t>Brooks Lounge Chair</t>
  </si>
  <si>
    <t>https://dd3ka9h4chfr8.cloudfront.net/image/725136000567/image_crrp62jied7r50jqgl5nfq0p16/-FJPG/105917-010_FRT_1.jpg;https://dd3ka9h4chfr8.cloudfront.net/image/725136000567/image_1sb3bgc5mt0g9f2l48jqlcsd2d/-FJPG/105917-010_PRM_1.jpg;https://dd3ka9h4chfr8.cloudfront.net/image/725136000567/image_mtl5k1kqh11rl0gc2jpbnu6d7m/-FJPG/105917-010_SID_1.jpg;https://dd3ka9h4chfr8.cloudfront.net/image/725136000567/image_ns5afhlu7h52rbejub540s0r23/-FJPG/105917-010_DET_2.jpg;https://dd3ka9h4chfr8.cloudfront.net/image/725136000567/image_ljescctf813dr78qfca2d0i674/-FJPG/105917-010_BCK_1.jpg;https://dd3ka9h4chfr8.cloudfront.net/image/725136000567/image_kl9ctv6uk50tddj26oq4jg0i18/-FJPG/105917-010_DET_1.jpg;https://dd3ka9h4chfr8.cloudfront.net/image/725136000567/image_s4uo37aitt30r3v1oha0nfaj5g/-FJPG/105917-010_DET_3.jpg;https://dd3ka9h4chfr8.cloudfront.net/image/725136000567/image_ht3e2qpq7d3gndup36husvft7l/-FJPG/105917-010_DET_4.jpg;https://dd3ka9h4chfr8.cloudfront.net/image/725136000567/image_gol6sna50l04j8k5afupkudp6h/-FJPG/105917-010_DET_5.jpg;https://dd3ka9h4chfr8.cloudfront.net/image/725136000567/image_bpcfk634995n1cjkgc31ogfr5p/-FJPG/105917-010_DET_6.jpg;https://dd3ka9h4chfr8.cloudfront.net/image/725136000567/image_30gh8s40lh48tda4t3hidbdi55/-FJPG/105917-010_ROM_1.jpg;https://dd3ka9h4chfr8.cloudfront.net/image/725136000567/image_acv106emv17nnc5vga0ge64i07/-FJPG/105917-010_ROM_2.jpg</t>
  </si>
  <si>
    <t>Avant Natural</t>
  </si>
  <si>
    <t>105917-010</t>
  </si>
  <si>
    <t>34.17</t>
  </si>
  <si>
    <t>https://dd3ka9h4chfr8.cloudfront.net/image/725136000567/image_crrp62jied7r50jqgl5nfq0p16/-FJPG/105917-010_FRT_1.jpg</t>
  </si>
  <si>
    <t>["74% Polyester","26% Acrylic","Solid Oak","67% Cotton","33% Flax/Linen"]</t>
  </si>
  <si>
    <t>Honey Grey Oak</t>
  </si>
  <si>
    <t>Linen/Cotton-Black</t>
  </si>
  <si>
    <t>A fresh take on the classic Adirondack emphasizes comfort with thick, neutral cushioning. Wire-brushed oak is finished in a honey grey and hand-distressed for a naturally weathered patina.</t>
  </si>
  <si>
    <t>{"value":59.8,"unit":"lb"}</t>
  </si>
  <si>
    <t>22.75"</t>
  </si>
  <si>
    <t>Slatted</t>
  </si>
  <si>
    <t>Brooks</t>
  </si>
  <si>
    <t>23.25"</t>
  </si>
  <si>
    <t>6.75"</t>
  </si>
  <si>
    <t>3.75"</t>
  </si>
  <si>
    <t>19.29"</t>
  </si>
  <si>
    <t>10.50"</t>
  </si>
  <si>
    <t>https://dd3ka9h4chfr8.cloudfront.net/image/725136000567/image_fmb904obsl7619rb8dfpmkll0t/-FJPG/105917-007_FRT_1.jpg;https://dd3ka9h4chfr8.cloudfront.net/image/725136000567/image_7ovquu6eb51ure53ar6il1e616/-FJPG/105917-007_PRM_1.jpg;https://dd3ka9h4chfr8.cloudfront.net/image/725136000567/image_naahk60mat5p32fnep5p5c9n08/-FJPG/105917-007_SID_1.jpg;https://dd3ka9h4chfr8.cloudfront.net/image/725136000567/image_pll9h2biid3n562e34mibpd505/-FJPG/105917-007_ESS_1.jpg;https://dd3ka9h4chfr8.cloudfront.net/image/725136000567/image_jktj10pjk94hr2t89qee54pl23/-FJPG/105917-007_DET_2.jpg;https://dd3ka9h4chfr8.cloudfront.net/image/725136000567/image_ts7vnb39p57e95c6cepr660n7k/-FJPG/105917-007_BCK_1.jpg;https://dd3ka9h4chfr8.cloudfront.net/image/725136000567/image_qtnaifr82t2ghfdvq3stojof2p/-FJPG/105917-007_DET_1.jpg;https://dd3ka9h4chfr8.cloudfront.net/image/725136000567/image_89335t6tld34r3btp5df4cke1u/-FJPG/105917-007_DET_3.jpg;https://dd3ka9h4chfr8.cloudfront.net/image/725136000567/image_uf9kg4b5mt64n8gi53pgngmo22/-FJPG/105917-007_ROM_1.jpg;https://dd3ka9h4chfr8.cloudfront.net/image/725136000567/image_67chvard9d7nt1636qsr5gka1e/-FJPG/105917-007_ROM_2.jpg;https://dd3ka9h4chfr8.cloudfront.net/image/725136000567/image_na4fhc17ph0it9i3812i3mrm5b/-FJPG/105917-007_ROM_3.jpg;https://dd3ka9h4chfr8.cloudfront.net/image/725136000567/image_09g14edtot43b5f14u450ls441/-FJPG/105917-007_ROM_4.jpg</t>
  </si>
  <si>
    <t>Rialto Ebony</t>
  </si>
  <si>
    <t>105917-007</t>
  </si>
  <si>
    <t>37.17</t>
  </si>
  <si>
    <t>https://dd3ka9h4chfr8.cloudfront.net/image/725136000567/image_fmb904obsl7619rb8dfpmkll0t/-FJPG/105917-007_FRT_1.jpg</t>
  </si>
  <si>
    <t>["Top Grain Leather","Solid Oak","67% Cotton","33% Flax/Linen"]</t>
  </si>
  <si>
    <t>Black Wash</t>
  </si>
  <si>
    <t>Our take on the classic Adirondack emphasizes comfort with thick, top-grain leather cushioning. Wire-brushed oak is finished in black and hand-distressed for a naturally weathered patina.</t>
  </si>
  <si>
    <t>{"value":55.51,"unit":"lb"}</t>
  </si>
  <si>
    <t>40% Waterfowl Feather, 40% Polyester Fiber Batting, 20% Polyurethane Foam Pad</t>
  </si>
  <si>
    <t>Brynn Dresser</t>
  </si>
  <si>
    <t>https://dd3ka9h4chfr8.cloudfront.net/image/725136000567/image_n0fr7h8hpd1gpet9l9dg777u5d/-FJPG/242182-001_FRT_1.jpg;https://dd3ka9h4chfr8.cloudfront.net/image/725136000567/image_v4jphisoot7t3f9lictcqga659/-FJPG/242182-001_PRM_1.jpg;https://dd3ka9h4chfr8.cloudfront.net/image/725136000567/image_3469l24hkh2p15knhhs2op7t1a/-FJPG/242182-001_SID_1.jpg;https://dd3ka9h4chfr8.cloudfront.net/image/725136000567/image_bb7tct3rg94dd7i82qo7pvgh3k/-FJPG/242182-001_DET_2.jpg;https://dd3ka9h4chfr8.cloudfront.net/image/725136000567/image_2kovjvjnf160f8s50m4f0g106q/-FJPG/242182-001_BCK_1.jpg;https://dd3ka9h4chfr8.cloudfront.net/image/725136000567/image_ptihnqjqp14ob7nvlqe0migp5j/-FJPG/242182-001_DET_1.jpg;https://dd3ka9h4chfr8.cloudfront.net/image/725136000567/image_bqoo70bp351g7ci2iqeteglr63/-FJPG/242182-001_DET_3.jpg;https://dd3ka9h4chfr8.cloudfront.net/image/725136000567/image_0idgo5cdfh0fp2llaj76m5483j/-FJPG/242182-001_OPN_1.jpg;https://dd3ka9h4chfr8.cloudfront.net/image/725136000567/image_qloukrhjr973rcr3k252ke1911/-FJPG/242182-001_DET_4.jpg;https://dd3ka9h4chfr8.cloudfront.net/image/725136000567/image_44j03gjob55l7dm410p5ihs517/-FJPG/242182-001_DET_5.jpg;https://dd3ka9h4chfr8.cloudfront.net/image/725136000567/image_v1k5ao72e109l92b7l5ancud10/-FJPG/242182-001_DET_6.jpg;https://dd3ka9h4chfr8.cloudfront.net/image/725136000567/image_th9hahfd917vrd8h4ujet0r50a/-FJPG/242182-001_DET_7.jpg;https://dd3ka9h4chfr8.cloudfront.net/image/725136000567/image_5mrrgndaa16jvb2dps88uoor6p/-FJPG/242182-001_DET_8.jpg</t>
  </si>
  <si>
    <t>Dark Walnut Veneer</t>
  </si>
  <si>
    <t>242182-001</t>
  </si>
  <si>
    <t>293.65</t>
  </si>
  <si>
    <t>https://dd3ka9h4chfr8.cloudfront.net/image/725136000567/image_n0fr7h8hpd1gpet9l9dg777u5d/-FJPG/242182-001_FRT_1.jpg</t>
  </si>
  <si>
    <t>["Walnut Veneer","Solid Oak"]</t>
  </si>
  <si>
    <t>74</t>
  </si>
  <si>
    <t>{"value":74,"unit":"in"}</t>
  </si>
  <si>
    <t>Bina</t>
  </si>
  <si>
    <t>Dark Oak</t>
  </si>
  <si>
    <t>Designed by Thomas Bina and Ronald Sasson, a design partnership blending both modern minimalist and Brazilian influences. Extra-wide dresser is crafted from a solid oak frame with beautiful graining and subtly rounded edges throughout. Wide smooth-gliding drawers finished with French dovetail joinery.</t>
  </si>
  <si>
    <t>{"value":76.97,"unit":"in"}</t>
  </si>
  <si>
    <t>{"value":37.99,"unit":"in"}</t>
  </si>
  <si>
    <t>{"value":343.04,"unit":"lb"}</t>
  </si>
  <si>
    <t>Brynn</t>
  </si>
  <si>
    <t>14.80"</t>
  </si>
  <si>
    <t>5.59"</t>
  </si>
  <si>
    <t>32.60"</t>
  </si>
  <si>
    <t>Buck End Table</t>
  </si>
  <si>
    <t>https://dd3ka9h4chfr8.cloudfront.net/image/725136000567/image_k931dv3mqp29f8kr84p73tc957/-FJPG/227730-001_FRT_1.jpg;https://dd3ka9h4chfr8.cloudfront.net/image/725136000567/image_l8iridqadl5op07mcbus1a9i4g/-FJPG/227730-001_PRM_1.jpg;https://dd3ka9h4chfr8.cloudfront.net/image/725136000567/image_tp0kaanhj54s369n7cinbjau4l/-FJPG/227730-001_SID_1.jpg;https://dd3ka9h4chfr8.cloudfront.net/image/725136000567/image_cigoiopnep2k15t78b9qkbqv7q/-FJPG/227730-001_ESS_1.jpg;https://dd3ka9h4chfr8.cloudfront.net/image/725136000567/image_voosuuq7dl6o170h574cmp8h35/-FJPG/227730-001_DET_2.jpg;https://dd3ka9h4chfr8.cloudfront.net/image/725136000567/image_0b2gc3jgth3t9fu3l8jja8eg33/-FJPG/227730-001_DET_1.jpg;https://dd3ka9h4chfr8.cloudfront.net/image/725136000567/image_nd541i2ul11ud7a9qtuvlp4b65/-FJPG/227730-001_DET_3.jpg;https://dd3ka9h4chfr8.cloudfront.net/image/725136000567/image_l1sjhq97b90pvd9hc67qn6kb29/-FJPG/227730-001_DET_4.jpg;https://dd3ka9h4chfr8.cloudfront.net/image/725136000567/image_agkg5kpke533hc1j83rsteog3n/-FJPG/227730-001_DET_5.jpg;https://dd3ka9h4chfr8.cloudfront.net/image/725136000567/image_25kmlj0f5p2nh4nccrus1c4q1g/-FJPG/227730-001_DET_6.jpg;https://dd3ka9h4chfr8.cloudfront.net/image/725136000567/image_tgbl125o3h7c1443uinadatu4v/-FJPG/227730-001_DET_7.jpg;https://dd3ka9h4chfr8.cloudfront.net/image/725136000567/image_f5hvnb0jr94gfc29qs2ad2p86d/-FJPG/227730-001_VIG_2.jpg</t>
  </si>
  <si>
    <t>227730-001</t>
  </si>
  <si>
    <t>198.41</t>
  </si>
  <si>
    <t>https://dd3ka9h4chfr8.cloudfront.net/image/725136000567/image_k931dv3mqp29f8kr84p73tc957/-FJPG/227730-001_FRT_1.jpg</t>
  </si>
  <si>
    <t>["Petrified Wood"]</t>
  </si>
  <si>
    <t>Made from dark petrified woods, a rectangular end table flaunts natural cracks and graining for a rich, organic look reflective ofÂ  unique, nature-based materials. A variance in color and texture is to be expected from piece to piece.</t>
  </si>
  <si>
    <t>{"value":17.32,"unit":"in"}</t>
  </si>
  <si>
    <t>{"value":220.46,"unit":"lb"}</t>
  </si>
  <si>
    <t>Buck</t>
  </si>
  <si>
    <t>Cain Floating Shelf</t>
  </si>
  <si>
    <t>https://dd3ka9h4chfr8.cloudfront.net/image/725136000567/image_mnaodjpgk13g141pn6cj09ti0n/-FJPG/226970-005_PRM_1.jpg;https://dd3ka9h4chfr8.cloudfront.net/image/725136000567/image_tjne3bj32t3pf7ngbba2f57a7l/-FJPG/226970-005_DET_1.jpg;https://dd3ka9h4chfr8.cloudfront.net/image/725136000567/image_h5nun4jg151ah938vvaqqflb6u/-FJPG/226970-005_DET_3.jpg;https://dd3ka9h4chfr8.cloudfront.net/image/725136000567/image_pa21763a5l0v922ljs7slrus45/-FJPG/226970-005_DET_4.jpg;https://dd3ka9h4chfr8.cloudfront.net/image/725136000567/image_4p0h37a1q12qjbuouj7olhb864/-FJPG/226970-005_DET_5.jpg;https://dd3ka9h4chfr8.cloudfront.net/image/725136000567/image_erj167j3190el7bh4oqbnnsa06/-FJPG/226970-005_DET_6.jpg;https://dd3ka9h4chfr8.cloudfront.net/image/725136000567/image_q93ja51v611v3d7sqqkul4df2t/-FJPG/226970-005_DET_7.jpg</t>
  </si>
  <si>
    <t>Gold Guanacaste</t>
  </si>
  <si>
    <t>226970-005</t>
  </si>
  <si>
    <t>15.43</t>
  </si>
  <si>
    <t>https://dd3ka9h4chfr8.cloudfront.net/image/725136000567/image_mnaodjpgk13g141pn6cj09ti0n/-FJPG/226970-005_PRM_1.jpg</t>
  </si>
  <si>
    <t>["Thick Guanacaste Veneer"]</t>
  </si>
  <si>
    <t>8</t>
  </si>
  <si>
    <t>{"value":8,"unit":"in"}</t>
  </si>
  <si>
    <t>3</t>
  </si>
  <si>
    <t>{"value":3,"unit":"in"}</t>
  </si>
  <si>
    <t>{"value":22.05,"unit":"lb"}</t>
  </si>
  <si>
    <t>Cain</t>
  </si>
  <si>
    <t>48.00"</t>
  </si>
  <si>
    <t>Cairo Chair</t>
  </si>
  <si>
    <t>https://dd3ka9h4chfr8.cloudfront.net/image/725136000567/image_ds3d73dim95frehl2d5k0mm223/-FJPG/229370-007_FRT_1.JPG;https://dd3ka9h4chfr8.cloudfront.net/image/725136000567/image_jksu6mnu3l25ragpuku57ikj1f/-FJPG/229370-007_PRM_1.jpg;https://dd3ka9h4chfr8.cloudfront.net/image/725136000567/image_koplpknr991uhbpqdiosqf7q5n/-FJPG/229370-007_SID_1.JPG;https://dd3ka9h4chfr8.cloudfront.net/image/725136000567/image_sd44n52pkl1up5cfm1dm4mha7q/-FJPG/229370-007_ESS_1.jpg;https://dd3ka9h4chfr8.cloudfront.net/image/725136000567/image_dimd4tpjkd3pp825qcajdqor2d/-FJPG/229370-007_DET_2.JPG;https://dd3ka9h4chfr8.cloudfront.net/image/725136000567/image_1dfcv00qn141t3r6b6bha3br6o/-FJPG/229370-007_BCK_1.JPG;https://dd3ka9h4chfr8.cloudfront.net/image/725136000567/image_m3trj84sgt6en6quip535ltu4l/-FJPG/229370-007_DET_1.JPG;https://dd3ka9h4chfr8.cloudfront.net/image/725136000567/image_3tqp89j6dp0jv0sk31prcsti69/-FJPG/229370-007_DET_3.JPG;https://dd3ka9h4chfr8.cloudfront.net/image/725136000567/image_liusqeiodh0fr0uhd54l963s3v/-FJPG/229370-007_DET_4.JPG</t>
  </si>
  <si>
    <t>Harrison Black</t>
  </si>
  <si>
    <t>229370-007</t>
  </si>
  <si>
    <t>77.6</t>
  </si>
  <si>
    <t>https://dd3ka9h4chfr8.cloudfront.net/image/725136000567/image_ds3d73dim95frehl2d5k0mm223/-FJPG/229370-007_FRT_1.JPG</t>
  </si>
  <si>
    <t>["Top Grain Leather","Solid Beech"]</t>
  </si>
  <si>
    <t>Townsend</t>
  </si>
  <si>
    <t>Sienna Brown</t>
  </si>
  <si>
    <t>A silhouette that commands attention from all angles. Inspired by vintage Brazilian designs, wide plank legs form an architectural tripod and frame for a floating cushioned seat. Made from black top-grain leather, with a tight upholstered back, wraparound arms and a loose, plush seat cushion.</t>
  </si>
  <si>
    <t>1 Pc Chair</t>
  </si>
  <si>
    <t>{"value":98.11,"unit":"lb"}</t>
  </si>
  <si>
    <t>8.25"</t>
  </si>
  <si>
    <t>Cairo</t>
  </si>
  <si>
    <t>26.75"</t>
  </si>
  <si>
    <t>10.43"</t>
  </si>
  <si>
    <t>https://dd3ka9h4chfr8.cloudfront.net/image/725136000567/image_7fk11v5bf17jj4m5v4l2186f04/-FJPG/229370-003_FRT_1.jpg;https://dd3ka9h4chfr8.cloudfront.net/image/725136000567/image_2fd0akv9e13g91a3asrvaq8306/-FJPG/229370-003_PRM_1.jpg;https://dd3ka9h4chfr8.cloudfront.net/image/725136000567/image_p9t0k8dkmp41r7d88fe67co67i/-FJPG/229370-003_SID_1.jpg;https://dd3ka9h4chfr8.cloudfront.net/image/725136000567/image_614ots8dnh0d94a11io98ark42/-FJPG/229370-003_ESS_1.jpg;https://dd3ka9h4chfr8.cloudfront.net/image/725136000567/image_b6tkelank54ff6692r14chq87f/-FJPG/229370-003_DET_2.jpg;https://dd3ka9h4chfr8.cloudfront.net/image/725136000567/image_tro9qkctv15l7fk7c5g6enao14/-FJPG/229370-003_BCK_1.jpg;https://dd3ka9h4chfr8.cloudfront.net/image/725136000567/image_j2s0tp1mft2mb109ca43e81k54/-FJPG/229370-003_DET_1.jpg;https://dd3ka9h4chfr8.cloudfront.net/image/725136000567/image_h2cd1drqod6k7amclg8i41gi54/-FJPG/229370-003_DET_3.jpg;https://dd3ka9h4chfr8.cloudfront.net/image/725136000567/image_2qvqfvf8l508j9ecn8utc4ug3v/-FJPG/229370-003_DET_4.jpg;https://dd3ka9h4chfr8.cloudfront.net/image/725136000567/image_imkhthts3t69j8bfba28mi2u6c/-FJPG/229370-003_DET_5.jpg;https://dd3ka9h4chfr8.cloudfront.net/image/725136000567/image_a83hapcap132v9a0k0mh8e801k/-FJPG/229370-003_DET_6.jpg;https://dd3ka9h4chfr8.cloudfront.net/image/725136000567/image_m17e6v15eh6ubd057k0n0n201r/-FJPG/229370-003_VIG_1.jpg</t>
  </si>
  <si>
    <t>Modern Velvet Smoke</t>
  </si>
  <si>
    <t>229370-003</t>
  </si>
  <si>
    <t>https://dd3ka9h4chfr8.cloudfront.net/image/725136000567/image_7fk11v5bf17jj4m5v4l2186f04/-FJPG/229370-003_FRT_1.jpg</t>
  </si>
  <si>
    <t>["100% Polyester","Solid Beech"]</t>
  </si>
  <si>
    <t>A striking silhouette that commands attention from all angles. Inspired by vintage Brazilian designs, wide plank legs form an architectural tripod and frame for a floating cushioned seat. Tight upholstered back with wraparound arms and a loose, plush seat cushion.</t>
  </si>
  <si>
    <t>1pc Chair</t>
  </si>
  <si>
    <t>{"value":98.1,"unit":"lb"}</t>
  </si>
  <si>
    <t>https://dd3ka9h4chfr8.cloudfront.net/image/725136000567/image_quvi1l4mql77n1ckvqlo6i0e6d/-FJPG/229370-005_FRT_1.jpg;https://dd3ka9h4chfr8.cloudfront.net/image/725136000567/image_buappp4rhd3i14t3utgbh3ds0f/-FJPG/229370-005_PRM_1.jpg;https://dd3ka9h4chfr8.cloudfront.net/image/725136000567/image_k6ivd5ejbp28n68s23eg83477t/-FJPG/229370-005_SID_1.jpg;https://dd3ka9h4chfr8.cloudfront.net/image/725136000567/image_l455ir3ih96c5fcfc2roed5q4t/-FJPG/229370-005_ESS_1.jpg;https://dd3ka9h4chfr8.cloudfront.net/image/725136000567/image_qaitks96t96i54kk9s24mkt274/-FJPG/229370-005_DET_2.jpg;https://dd3ka9h4chfr8.cloudfront.net/image/725136000567/image_me7uksn3al1end5acchf3g2j3l/-FJPG/229370-005_BCK_1.jpg;https://dd3ka9h4chfr8.cloudfront.net/image/725136000567/image_sll36nijch4abcbgt5dq2n092q/-FJPG/Color Variance Card_Palermo Cognac.jpg;https://dd3ka9h4chfr8.cloudfront.net/image/725136000567/image_pel4pu9e3l3h5c5fqbq0rp4710/-FJPG/229370-005_DET_1.jpg;https://dd3ka9h4chfr8.cloudfront.net/image/725136000567/image_01gp498id12rrbp38aaoae7235/-FJPG/229370-005_DET_3.jpg;https://dd3ka9h4chfr8.cloudfront.net/image/725136000567/image_kki6ou0p8t0ch0murde0651344/-FJPG/229370-005_DET_4.jpg;https://dd3ka9h4chfr8.cloudfront.net/image/725136000567/image_sl97utleu90md7er9rqmdh5411/-FJPG/229370-005_DET_5.jpg;https://dd3ka9h4chfr8.cloudfront.net/image/725136000567/image_8tubhvkpk51k735hhsoeah8215/-FJPG/229370-005_DET_6.jpg;https://dd3ka9h4chfr8.cloudfront.net/image/725136000567/image_ar9qqeq8o55dr58o9gfmgq5e0t/-FJPG/229370-005_ROM_1.jpg</t>
  </si>
  <si>
    <t>Palermo Cognac</t>
  </si>
  <si>
    <t>229370-005</t>
  </si>
  <si>
    <t>https://dd3ka9h4chfr8.cloudfront.net/image/725136000567/image_quvi1l4mql77n1ckvqlo6i0e6d/-FJPG/229370-005_FRT_1.jpg</t>
  </si>
  <si>
    <t>A silhouette that commands attention from all angles. Inspired by vintage Brazilian designs, wide plank legs form an architectural tripod and frame for a floating cushioned seat of tan top-grain leather. Tight upholstered back with wraparound arms and a loose, plush seat cushion.</t>
  </si>
  <si>
    <t>https://dd3ka9h4chfr8.cloudfront.net/image/725136000567/image_1tksm246jd3ib4e1s6ip2tg23h/-FJPG/229370-006_FRT_1.jpg;https://dd3ka9h4chfr8.cloudfront.net/image/725136000567/image_7koqpf5dfp17henfu377kf871g/-FJPG/229370-006_PRM_1.jpg;https://dd3ka9h4chfr8.cloudfront.net/image/725136000567/image_54bhs87lml6k398sp7ql3htq4q/-FJPG/229370-006_SID_1.jpg;https://dd3ka9h4chfr8.cloudfront.net/image/725136000567/image_g58hpapfq577n8d2qhq69hjl7j/-FJPG/229370-006_ESS_1.jpg;https://dd3ka9h4chfr8.cloudfront.net/image/725136000567/image_r0gsa6r4t57cvaln1jbum4hs1l/-FJPG/229370-006_DET_2.jpg;https://dd3ka9h4chfr8.cloudfront.net/image/725136000567/image_2mo8i841153tnfml7gbucneb6q/-FJPG/229370-006_BCK_1.jpg;https://dd3ka9h4chfr8.cloudfront.net/image/725136000567/image_ctmov6rt357q92msncu929126n/-FJPG/229370-006_DET_1.jpg;https://dd3ka9h4chfr8.cloudfront.net/image/725136000567/image_9cuaengle57k3da3ukksq87p13/-FJPG/229370-006_DET_3.jpg;https://dd3ka9h4chfr8.cloudfront.net/image/725136000567/image_u0dq0l1glp0q56lnhn924sti6c/-FJPG/229370-006_DET_4.jpg</t>
  </si>
  <si>
    <t>229370-006</t>
  </si>
  <si>
    <t>https://dd3ka9h4chfr8.cloudfront.net/image/725136000567/image_1tksm246jd3ib4e1s6ip2tg23h/-FJPG/229370-006_FRT_1.jpg</t>
  </si>
  <si>
    <t>["66% Polyester","19% Acrylic","15% Flax/Linen","Solid Beech"]</t>
  </si>
  <si>
    <t>A silhouette that commands attention from all angles. Inspired by vintage Brazilian designs, wide plank legs form an architectural tripod and frame for a floating cushioned seat of cream high-performance fabric. Tight upholstered back with wraparound arms and a loose, plush seat cushion. Performance fabrics are specially created to withstand spills, stains, high traffic and wear, ensuring long-term comfort and unmatched durability.</t>
  </si>
  <si>
    <t>Cairo Sofa</t>
  </si>
  <si>
    <t>https://dd3ka9h4chfr8.cloudfront.net/image/725136000567/image_09itijrv1h3n76nhhb1l8efl5j/-FJPG/236088-004_FRT_1.jpg;https://dd3ka9h4chfr8.cloudfront.net/image/725136000567/image_a58icfqk554ltd1ej2hpgh9n1g/-FJPG/236088-004_PRM_1.jpg;https://dd3ka9h4chfr8.cloudfront.net/image/725136000567/image_bnhim5i7gl4l19jp7pgasavk0k/-FJPG/236088-004_SID_1.jpg;https://dd3ka9h4chfr8.cloudfront.net/image/725136000567/image_bgbpqbu1910cl10d8bljsl7175/-FJPG/236088-004_ESS_1.jpg;https://dd3ka9h4chfr8.cloudfront.net/image/725136000567/image_cflr10bu6h3a9adh2f5l4k3d28/-FJPG/236088-004_DET_2.jpg;https://dd3ka9h4chfr8.cloudfront.net/image/725136000567/image_3kfqsaeuv50sr8d4lk9sp5ac1k/-FJPG/236088-004_BCK_1.jpg;https://dd3ka9h4chfr8.cloudfront.net/image/725136000567/image_keblr3m4dd2dvfs92n5m606r0d/-FJPG/236088-004_DET_1.jpg;https://dd3ka9h4chfr8.cloudfront.net/image/725136000567/image_ndmc2s06j96hd75sqcmkn7cb16/-FJPG/236088-004_DET_3.jpg;https://dd3ka9h4chfr8.cloudfront.net/image/725136000567/image_pems30hd017elc94o6une5ne0p/-FJPG/236088-004_DET_4.jpg;https://dd3ka9h4chfr8.cloudfront.net/image/725136000567/image_uu1qio4v8d18p44i0tu5doh564/-FJPG/236088-004_DET_5.jpg;https://dd3ka9h4chfr8.cloudfront.net/image/725136000567/image_5ee9v3emfl5h9cupsbltq1mt7n/-FJPG/236088-004_DET_6.jpg</t>
  </si>
  <si>
    <t>236088-004</t>
  </si>
  <si>
    <t>134.04</t>
  </si>
  <si>
    <t>https://dd3ka9h4chfr8.cloudfront.net/image/725136000567/image_09itijrv1h3n76nhhb1l8efl5j/-FJPG/236088-004_FRT_1.jpg</t>
  </si>
  <si>
    <t>90.5</t>
  </si>
  <si>
    <t>{"value":90.5,"unit":"in"}</t>
  </si>
  <si>
    <t>34.5</t>
  </si>
  <si>
    <t>A silhouette that commands attention from all angles. Inspired by vintage Brazilian designs, wide plank legs form an architectural frame for floating cushion seats. Tight upholstered back with wraparound arms and plush feather-blend cushions.</t>
  </si>
  <si>
    <t>{"value":173.5,"unit":"lb"}</t>
  </si>
  <si>
    <t>24.21"</t>
  </si>
  <si>
    <t>79.72"</t>
  </si>
  <si>
    <t>29.00"</t>
  </si>
  <si>
    <t>32.75"</t>
  </si>
  <si>
    <t>8.27"</t>
  </si>
  <si>
    <t>20.98"</t>
  </si>
  <si>
    <t>84.06"</t>
  </si>
  <si>
    <t>https://dd3ka9h4chfr8.cloudfront.net/image/725136000567/image_q1au1e0vd946rekracn2ag081v/-FJPG/236088-002_FRT_1.jpg;https://dd3ka9h4chfr8.cloudfront.net/image/725136000567/image_id3gi8bd0t05pfrrg6vfh8qg01/-FJPG/236088-002_PRM_1.jpg;https://dd3ka9h4chfr8.cloudfront.net/image/725136000567/image_41kk16h78l7sr4douo7et18u5q/-FJPG/236088-002_SID_1.jpg;https://dd3ka9h4chfr8.cloudfront.net/image/725136000567/image_qrllr5b1013rj3orao7q2ffl3h/-FJPG/236088-002_ESS_1.jpg;https://dd3ka9h4chfr8.cloudfront.net/image/725136000567/image_kj8n7dmq7l2f9d3g701u39jp5q/-FJPG/236088-002_DET_2.jpg;https://dd3ka9h4chfr8.cloudfront.net/image/725136000567/image_8eqhj7lmkp6nd5l826i45bqu6u/-FJPG/236088-002_BCK_1.jpg;https://dd3ka9h4chfr8.cloudfront.net/image/725136000567/image_geligb201h5cb5889omcantq2l/-FJPG/236088-002_DET_1.jpg;https://dd3ka9h4chfr8.cloudfront.net/image/725136000567/image_kv92rf8kp55v93f1aeigu43n6q/-FJPG/236088-002_DET_3.jpg;https://dd3ka9h4chfr8.cloudfront.net/image/725136000567/image_5qiibdbv810890f18a358jc913/-FJPG/236088-002_DET_4.jpg;https://dd3ka9h4chfr8.cloudfront.net/image/725136000567/image_fh217ltci52ld39q9g24e52r2c/-FJPG/236088-002_DET_5.jpg;https://dd3ka9h4chfr8.cloudfront.net/image/725136000567/image_u0kv92mqvd1fvf299guvftaj21/-FJPG/236088-002_DET_6.jpg</t>
  </si>
  <si>
    <t>236088-002</t>
  </si>
  <si>
    <t>https://dd3ka9h4chfr8.cloudfront.net/image/725136000567/image_q1au1e0vd946rekracn2ag081v/-FJPG/236088-002_FRT_1.jpg</t>
  </si>
  <si>
    <t>https://dd3ka9h4chfr8.cloudfront.net/image/725136000567/image_ca31osdogh5d3510vnfa1crn3s/-FJPG/236088-003_FRT_1.jpg;https://dd3ka9h4chfr8.cloudfront.net/image/725136000567/image_i9bflbn8d557d43jnm4l948j1l/-FJPG/236088-003_PRM_1.jpg;https://dd3ka9h4chfr8.cloudfront.net/image/725136000567/image_icqql04avd20p2gsr9ig3pts63/-FJPG/236088-003_SID_1.jpg;https://dd3ka9h4chfr8.cloudfront.net/image/725136000567/image_7sb7fnbknd15l587974agtsl4r/-FJPG/236088-003_ESS_1.tif;https://dd3ka9h4chfr8.cloudfront.net/image/725136000567/image_sak06mg0sd5fhel7m934m81d08/-FJPG/236088-003_DET_2.jpg;https://dd3ka9h4chfr8.cloudfront.net/image/725136000567/image_c0q4h226t94j1db09f20j5l26p/-FJPG/236088-003_BCK_1.jpg;https://dd3ka9h4chfr8.cloudfront.net/image/725136000567/image_94oonrmivd5avd39b86jfmu501/-FJPG/236088-003_DET_1.jpg;https://dd3ka9h4chfr8.cloudfront.net/image/725136000567/image_9codn42r316jn31ldaherrt751/-FJPG/236088-003_DET_3.jpg;https://dd3ka9h4chfr8.cloudfront.net/image/725136000567/image_48d8b0ka6h71d8rf0g6sl60o6v/-FJPG/236088-003_DET_4.jpg;https://dd3ka9h4chfr8.cloudfront.net/image/725136000567/image_56npjgoo0d337b36dsi930tg6d/-FJPG/236088-003_DET_5.jpg;https://dd3ka9h4chfr8.cloudfront.net/image/725136000567/image_c98r18aad53ctfecemadsl2l75/-FJPG/236088-003_ESS.tif</t>
  </si>
  <si>
    <t>236088-003</t>
  </si>
  <si>
    <t>https://dd3ka9h4chfr8.cloudfront.net/image/725136000567/image_ca31osdogh5d3510vnfa1crn3s/-FJPG/236088-003_FRT_1.jpg</t>
  </si>
  <si>
    <t>A silhouette that commands attention from all angles. Inspired by vintage Brazilian designs, wide plank legs form an architectural frame for floating cushion seats. Tight back is upholstered in high-performance fabric, with wraparound arms and plush feather-blend cushions.</t>
  </si>
  <si>
    <t>Cameron End Table</t>
  </si>
  <si>
    <t>https://dd3ka9h4chfr8.cloudfront.net/image/725136000567/image_tnusv6ajlh0av1230vlvthi104/-FJPG/106310-005_PRM_1.jpg;https://dd3ka9h4chfr8.cloudfront.net/image/725136000567/image_qdm0jie5753njdcl265aq8ds0e/-FJPG/106310-005_DET_2.jpg;https://dd3ka9h4chfr8.cloudfront.net/image/725136000567/image_vf4na11bg92t5ad7emv2870p3j/-FJPG/106310-005_DET_1.jpg;https://dd3ka9h4chfr8.cloudfront.net/image/725136000567/image_mq0vp7stbp255d3621q95coq7r/-FJPG/106310-005_DET_4.jpg;https://dd3ka9h4chfr8.cloudfront.net/image/725136000567/image_7816a81rl15hv1fddt0r8goh7f/-FJPG/106310-005_ROM_1.jpg</t>
  </si>
  <si>
    <t>Ombre Antique Brass</t>
  </si>
  <si>
    <t>106310-005</t>
  </si>
  <si>
    <t>19.4</t>
  </si>
  <si>
    <t>https://dd3ka9h4chfr8.cloudfront.net/image/725136000567/image_tnusv6ajlh0av1230vlvthi104/-FJPG/106310-005_PRM_1.jpg</t>
  </si>
  <si>
    <t>Asher</t>
  </si>
  <si>
    <t>An antique brass finish highlights iron's gradual blending of hues, delivering a distinctive ombre effect to the cylindrical end table. Great solo or in pairs.</t>
  </si>
  <si>
    <t>{"value":23.25,"unit":"in"}</t>
  </si>
  <si>
    <t>{"value":36.38,"unit":"lb"}</t>
  </si>
  <si>
    <t>Cameron</t>
  </si>
  <si>
    <t>https://dd3ka9h4chfr8.cloudfront.net/image/725136000567/image_brln6vpr6h1pvduup86rka9a4p/-FJPG/IASR-107A_PRM_1.jpg;https://dd3ka9h4chfr8.cloudfront.net/image/725136000567/image_c7h7dib73924d6112vpp4la94i/-FJPG/106310-001_ESS_1.jpg;https://dd3ka9h4chfr8.cloudfront.net/image/725136000567/image_lnt3l5n5l50sr3vvtr4encdt43/-FJPG/IASR-107A_DET_2.jpg;https://dd3ka9h4chfr8.cloudfront.net/image/725136000567/image_i8buautfct6mh59vecimch7d3b/-FJPG/IASR-107A_DET_1.jpg;https://dd3ka9h4chfr8.cloudfront.net/image/725136000567/image_dv75p2095l3tra6ro3vbctlh2j/-FJPG/IASR-107A_DET_3.jpg;https://dd3ka9h4chfr8.cloudfront.net/image/725136000567/image_28cdci088h58580bk7foldps2u/-FJPG/IASR-107A_TOP_1.jpg;https://dd3ka9h4chfr8.cloudfront.net/image/725136000567/image_u7abttafop3a31pq2gl32jrj5n/-FJPG/IASR-107A_DET_4.jpg;https://dd3ka9h4chfr8.cloudfront.net/image/725136000567/image_9vuh44ktq553738htuc427r57o/-FJPG/IASR-107A_DET_5.jpg;https://dd3ka9h4chfr8.cloudfront.net/image/725136000567/image_2u0jn98m6d7qh480gb5br8bf2n/-FJPG/IASR-107A_VIG_1.jpg</t>
  </si>
  <si>
    <t>IASR-107A</t>
  </si>
  <si>
    <t>https://dd3ka9h4chfr8.cloudfront.net/image/725136000567/image_brln6vpr6h1pvduup86rka9a4p/-FJPG/IASR-107A_PRM_1.jpg</t>
  </si>
  <si>
    <t>An antique brass finish highlights iron's gradual blending of hues, delivering a distinctive ombre effect to the rounded end table.</t>
  </si>
  <si>
    <t>Carlisle 6 Drawer Dresser</t>
  </si>
  <si>
    <t>https://dd3ka9h4chfr8.cloudfront.net/image/725136000567/image_3nmoa2r1st4ub4bbjc1os36v2o/-FJPG/101353-002_FRT_1.jpg;https://dd3ka9h4chfr8.cloudfront.net/image/725136000567/image_p9hco1ti4h5odesh7g00t6624m/-FJPG/101353-002_PRM_1.jpg;https://dd3ka9h4chfr8.cloudfront.net/image/725136000567/image_svqpvorsf16plfpm73pqgbjm11/-FJPG/101353-002_SID_1.jpg;https://dd3ka9h4chfr8.cloudfront.net/image/725136000567/image_t5i5d6a7t934pfv7ip1v4jni0r/-FJPG/101353-002_DET_2.jpg;https://dd3ka9h4chfr8.cloudfront.net/image/725136000567/image_7qkp6chqqt3ar2dqbbtvd6c26a/-FJPG/101353-002_DET_1.jpg;https://dd3ka9h4chfr8.cloudfront.net/image/725136000567/image_rvtc9m1ogp6k5dus5t5jnocr7h/-FJPG/101353-002_DET_3.jpg;https://dd3ka9h4chfr8.cloudfront.net/image/725136000567/image_tf68ib8g1t3e1f2vl9irafr42i/-FJPG/101353-002_OPN_1.jpg;https://dd3ka9h4chfr8.cloudfront.net/image/725136000567/image_d498g72hfp401flim3albhuj1i/-FJPG/101353-002_DET_4.jpg;https://dd3ka9h4chfr8.cloudfront.net/image/725136000567/image_q1echnsjhl02n5t1vvmq2gjf3o/-FJPG/101353-002_DET_5.jpg;https://dd3ka9h4chfr8.cloudfront.net/image/725136000567/image_7mlsr3ic2t4qjcb50r5juca84n/-FJPG/101353-002_DET_6.jpg;https://dd3ka9h4chfr8.cloudfront.net/image/725136000567/image_j46gado8th41pabovkkk4fsf6p/-FJPG/101353-002_DET_7.jpg;https://dd3ka9h4chfr8.cloudfront.net/image/725136000567/image_8frrli0gtd7o5a16f3lc7t426u/-FJPG/101353-002_DET_8.jpg;https://dd3ka9h4chfr8.cloudfront.net/image/725136000567/image_ktd47mkso17t3djse74k61to03/-FJPG/101353-002_DET_9.jpg;https://dd3ka9h4chfr8.cloudfront.net/image/725136000567/image_i87sth2tn522n58eq25q6k3j29/-FJPG/101353-002_DET_10.jpg;https://dd3ka9h4chfr8.cloudfront.net/image/725136000567/image_m4omcr9kbl0u91b5opsnc7mr3a/-FJPG/101353-002_ROM_1.jpg</t>
  </si>
  <si>
    <t>Natural Oak</t>
  </si>
  <si>
    <t>101353-005</t>
  </si>
  <si>
    <t>187.83</t>
  </si>
  <si>
    <t>https://dd3ka9h4chfr8.cloudfront.net/image/725136000567/image_3nmoa2r1st4ub4bbjc1os36v2o/-FJPG/101353-002_FRT_1.jpg</t>
  </si>
  <si>
    <t>["Solid Oak"]</t>
  </si>
  <si>
    <t>62</t>
  </si>
  <si>
    <t>{"value":62,"unit":"in"}</t>
  </si>
  <si>
    <t>Bennett</t>
  </si>
  <si>
    <t>Style meets simplicity in this Danish-inspired design. Six drawers of solid natural oak welcome squared iron hardware in a satin brass finish, bringing ample storage space to the bedroom.</t>
  </si>
  <si>
    <t>{"value":65.25,"unit":"in"}</t>
  </si>
  <si>
    <t>{"value":21.75,"unit":"in"}</t>
  </si>
  <si>
    <t>{"value":207.45,"unit":"lb"}</t>
  </si>
  <si>
    <t>Carlisle</t>
  </si>
  <si>
    <t>3.66"</t>
  </si>
  <si>
    <t>Carmel Small Cabinet</t>
  </si>
  <si>
    <t>https://dd3ka9h4chfr8.cloudfront.net/image/725136000567/image_rn54emrom16e5bdm3abfnghl07/-FJPG/106692-004_FRT_1.jpg;https://dd3ka9h4chfr8.cloudfront.net/image/725136000567/image_01qkvvrchp1p1e1ccrqg71v806/-FJPG/106692-004_PRM_1.jpg;https://dd3ka9h4chfr8.cloudfront.net/image/725136000567/image_48mr935ho50nffqpkup1ppid2q/-FJPG/106692-004_SID_1.jpg;https://dd3ka9h4chfr8.cloudfront.net/image/725136000567/image_8lhvbf6m1l47p0vrh3aodv7j3b/-FJPG/106692-004_ESS.tif;https://dd3ka9h4chfr8.cloudfront.net/image/725136000567/image_jau9rvlasp6gtefk2foj6g1128/-FJPG/106692-004_DET_2.jpg;https://dd3ka9h4chfr8.cloudfront.net/image/725136000567/image_4hpbss6m0h7dt591bjofu6uo6c/-FJPG/106692-004_BCK_1.jpg;https://dd3ka9h4chfr8.cloudfront.net/image/725136000567/image_g22ksh9tkh30rf3qbqimmse55b/-FJPG/106692-004_DET_1.jpg;https://dd3ka9h4chfr8.cloudfront.net/image/725136000567/image_q3kb3npsml0gr59bp1fverq67v/-FJPG/106692-004_DET_3.jpg;https://dd3ka9h4chfr8.cloudfront.net/image/725136000567/image_ipdo0nuie531b1rdb9vu3hsr1q/-FJPG/106692-004_OPN_1.jpg;https://dd3ka9h4chfr8.cloudfront.net/image/725136000567/image_ohl7ebs9ll6gl6s87s36nfij46/-FJPG/106692-004_DET_4.jpg;https://dd3ka9h4chfr8.cloudfront.net/image/725136000567/image_6jm0atimj94qf2mej2fbcqsk0q/-FJPG/106692-004_DET_5.jpg;https://dd3ka9h4chfr8.cloudfront.net/image/725136000567/image_iqdh2tnhk56d13ho668bs8i159/-FJPG/106692-004_DET_6.jpg;https://dd3ka9h4chfr8.cloudfront.net/image/725136000567/image_r4oqh1s26h2kt1aulo94hlqf71/-FJPG/106692-004_DET_7.jpg</t>
  </si>
  <si>
    <t>106692-004</t>
  </si>
  <si>
    <t>85.76</t>
  </si>
  <si>
    <t>https://dd3ka9h4chfr8.cloudfront.net/image/725136000567/image_rn54emrom16e5bdm3abfnghl07/-FJPG/106692-004_FRT_1.jpg</t>
  </si>
  <si>
    <t>["Solid Mango","Cane","Iron"]</t>
  </si>
  <si>
    <t>Prescott</t>
  </si>
  <si>
    <t>Black Cane</t>
  </si>
  <si>
    <t>Charcoal Grey</t>
  </si>
  <si>
    <t>Cabinets</t>
  </si>
  <si>
    <t>Surrounded by solid, black-finished mango casing, black woven cane door fronts place a textural twist on midcentury-inspired styling. Airy and angular, charcoal-finished iron legs bring just-right balance to the whole look.</t>
  </si>
  <si>
    <t>{"value":32.5,"unit":"in"}</t>
  </si>
  <si>
    <t>{"value":98.9,"unit":"lb"}</t>
  </si>
  <si>
    <t>11.70"</t>
  </si>
  <si>
    <t>16.90"</t>
  </si>
  <si>
    <t>Carmel</t>
  </si>
  <si>
    <t>Filing</t>
  </si>
  <si>
    <t>6.25"</t>
  </si>
  <si>
    <t>https://dd3ka9h4chfr8.cloudfront.net/image/725136000567/image_drabiliss1731c77sdgl4a6d2m/-FJPG/106692-003_FRT_1.jpg;https://dd3ka9h4chfr8.cloudfront.net/image/725136000567/image_lfu3l7v9rl6ppe7t2ld7a3a00e/-FJPG/106692-003_PRM_1.jpg;https://dd3ka9h4chfr8.cloudfront.net/image/725136000567/image_jn84fl5sgt2070313jkhg4gd0q/-FJPG/106692-003_SID_1.jpg;https://dd3ka9h4chfr8.cloudfront.net/image/725136000567/image_ukg7r7juap5gleru7ck5ta7560/-FJPG/106692-003_ESS_1.jpg;https://dd3ka9h4chfr8.cloudfront.net/image/725136000567/image_7740mf136t5v12edf1kqb85b4p/-FJPG/106692-003_DET_2.jpg;https://dd3ka9h4chfr8.cloudfront.net/image/725136000567/image_flju30rvb52r32r8ilugrstd4j/-FJPG/106692-003_BCK_1.jpg;https://dd3ka9h4chfr8.cloudfront.net/image/725136000567/image_fj808vfo2t5ppe8ks5orp63664/-FJPG/106692-003_DET_1.jpg;https://dd3ka9h4chfr8.cloudfront.net/image/725136000567/image_5vlhgbfro907pbns0bovcppv2h/-FJPG/106692-003_DET_3.jpg;https://dd3ka9h4chfr8.cloudfront.net/image/725136000567/image_03o31kcetp2pd52uj8ielk903q/-FJPG/106692-003_OPN_1.jpg;https://dd3ka9h4chfr8.cloudfront.net/image/725136000567/image_4m9m9cp3o92rn01apahhfuen41/-FJPG/106692-003_DET_4.jpg;https://dd3ka9h4chfr8.cloudfront.net/image/725136000567/image_jelvm66it527pbb9kmarru005l/-FJPG/106692-003_DET_5.jpg;https://dd3ka9h4chfr8.cloudfront.net/image/725136000567/image_nnr9qedqo1303faoa2s6pe9l4o/-FJPG/106692-003_DET_6.jpg;https://dd3ka9h4chfr8.cloudfront.net/image/725136000567/image_qj0ple1d994459uttoc1a3ln3k/-FJPG/106692-003_DET_7.jpg;https://dd3ka9h4chfr8.cloudfront.net/image/725136000567/image_mrrirgv2up11nbdh6jt97pos7s/-FJPG/106692-003_DET_8.jpg</t>
  </si>
  <si>
    <t>Brown Wash</t>
  </si>
  <si>
    <t>106692-003</t>
  </si>
  <si>
    <t>https://dd3ka9h4chfr8.cloudfront.net/image/725136000567/image_drabiliss1731c77sdgl4a6d2m/-FJPG/106692-003_FRT_1.jpg</t>
  </si>
  <si>
    <t>Brown Cane</t>
  </si>
  <si>
    <t>Surrounded by solid mango casing, brown cane door fronts place a textural twist on midcentury-inspired styling. Airy and angular, charcoal-finished iron legs bring just-right balance to the whole look.</t>
  </si>
  <si>
    <t>https://dd3ka9h4chfr8.cloudfront.net/image/725136000567/image_b3v089gufh1ad4iog9ad48qn48/-FJPG/IPRS-039_FRT_1.jpg;https://dd3ka9h4chfr8.cloudfront.net/image/725136000567/image_5nkn38n1m57t909dfjeaig1b70/-FJPG/IPRS-039_PRM_1.jpg;https://dd3ka9h4chfr8.cloudfront.net/image/725136000567/image_o9qkmv9opt2fh76ih86kcrnl3u/-FJPG/IPRS-039_SID_1.jpg;https://dd3ka9h4chfr8.cloudfront.net/image/725136000567/image_trstbce3015a99tbk8ro3vj86b/-FJPG/IPRS-039_ESS_1.jpg;https://dd3ka9h4chfr8.cloudfront.net/image/725136000567/image_lbbtrv83m91pb1hll84g6qgb4m/-FJPG/IPRS-039_DET_2.jpg;https://dd3ka9h4chfr8.cloudfront.net/image/725136000567/image_mrh34t9ao91bb39ci9r7ga4p48/-FJPG/IPRS-039_DET_1.jpg;https://dd3ka9h4chfr8.cloudfront.net/image/725136000567/image_kv7ler38k55q3a2asnlvgitn2r/-FJPG/IPRS-039_DET_3.jpg;https://dd3ka9h4chfr8.cloudfront.net/image/725136000567/image_54ijp29t511td580t32gi0n728/-FJPG/IPRS-039_OPN_1.jpg;https://dd3ka9h4chfr8.cloudfront.net/image/725136000567/image_e0ph5o5vod3nfdem4b0foibs15/-FJPG/IPRS-039_DET_4.jpg;https://dd3ka9h4chfr8.cloudfront.net/image/725136000567/image_q2gec8chod4jhe1vf2jpjuqc7d/-FJPG/IPRS-039_DET_5.jpg;https://dd3ka9h4chfr8.cloudfront.net/image/725136000567/image_flfvr1n40h50n7jsd9seqprp23/-FJPG/IPRS-039_DET_6.jpg;https://dd3ka9h4chfr8.cloudfront.net/image/725136000567/image_cpkuvdgqi133747mkgm2eqfg3s/-FJPG/IPRS-039_DET_7.jpg;https://dd3ka9h4chfr8.cloudfront.net/image/725136000567/image_p6otq6qff15235t2ordt0oa743/-FJPG/IPRS-039_DET_8.jpg</t>
  </si>
  <si>
    <t>Natural Mango</t>
  </si>
  <si>
    <t>IPRS-039</t>
  </si>
  <si>
    <t>https://dd3ka9h4chfr8.cloudfront.net/image/725136000567/image_b3v089gufh1ad4iog9ad48qn48/-FJPG/IPRS-039_FRT_1.jpg</t>
  </si>
  <si>
    <t>Natural Cane</t>
  </si>
  <si>
    <t>Mid-century style with an organic twist. Surrounded by mango casing, light cane weaves for a fresh look with natural depth. Angular gunmetal-finished iron legs offer an intriguing contrast of texture and tone. Perfect solo or paired up.</t>
  </si>
  <si>
    <t>Carmela Chaise</t>
  </si>
  <si>
    <t>https://dd3ka9h4chfr8.cloudfront.net/image/725136000567/image_kslqsci4fd5en1islsb6ocbb0m/-FJPG/227699-002_FRT_1.jpg;https://dd3ka9h4chfr8.cloudfront.net/image/725136000567/image_sirjbg6tfh6o18pqv9s7256675/-FJPG/227699-002_PRM_1.jpg;https://dd3ka9h4chfr8.cloudfront.net/image/725136000567/image_6an7emruk97p93pu2pdu44c049/-FJPG/227699-002_SID_1.jpg;https://dd3ka9h4chfr8.cloudfront.net/image/725136000567/image_8b2j0aqc5d29t1hh5i4gov240i/-FJPG/227699-002_ESS_1.jpg;https://dd3ka9h4chfr8.cloudfront.net/image/725136000567/image_4ep59egq755h1bjpqefjlob36k/-FJPG/227699-002_DET_2.jpg;https://dd3ka9h4chfr8.cloudfront.net/image/725136000567/image_6dgkrmjgf94nf8tbh5m5cd0t0s/-FJPG/227699-002_BCK_1.jpg;https://dd3ka9h4chfr8.cloudfront.net/image/725136000567/image_t1ub4hrd4l7o39pgk7525rch62/-FJPG/227699-002_DET_1.jpg;https://dd3ka9h4chfr8.cloudfront.net/image/725136000567/image_lqv2sn0p7h0p964ji4iontf80t/-FJPG/227699-002_DET_3.jpg;https://dd3ka9h4chfr8.cloudfront.net/image/725136000567/image_nsdcas10895f3fabluln969o1l/-FJPG/227699-002_DET_4.jpg;https://dd3ka9h4chfr8.cloudfront.net/image/725136000567/image_sb1se5n1b912jbpefjdca8171f/-FJPG/227699-002_DET_5.jpg;https://dd3ka9h4chfr8.cloudfront.net/image/725136000567/image_q9vshp48gp5lfe6d1faff6en24/-FJPG/227699-002_DET_6.jpg;https://dd3ka9h4chfr8.cloudfront.net/image/725136000567/image_ak7o49dhft6d71pnp296qgke7m/-FJPG/227699-002_DET_7.jpg;https://dd3ka9h4chfr8.cloudfront.net/image/725136000567/image_bbvgovffbh4ej8ecnqirc5a467/-FJPG/227699-002_DET_8.jpg;https://dd3ka9h4chfr8.cloudfront.net/image/725136000567/image_n5uiadofn511haomipv5pmi14l/-FJPG/227699-002_SID_2.jpg</t>
  </si>
  <si>
    <t>Carbon Black</t>
  </si>
  <si>
    <t>Side</t>
  </si>
  <si>
    <t>Left Chaise</t>
  </si>
  <si>
    <t>227699-002</t>
  </si>
  <si>
    <t>88.18</t>
  </si>
  <si>
    <t>https://dd3ka9h4chfr8.cloudfront.net/image/725136000567/image_kslqsci4fd5en1islsb6ocbb0m/-FJPG/227699-002_FRT_1.jpg</t>
  </si>
  <si>
    <t>["56% Polyester","44% Acrylic","Stainless Steel"]</t>
  </si>
  <si>
    <t>77</t>
  </si>
  <si>
    <t>{"value":77,"unit":"in"}</t>
  </si>
  <si>
    <t>Irving Taupe</t>
  </si>
  <si>
    <t>Pristinely upholstered in a cozy, chunky high-performance fabric, soft pill shaping speaks to the grand Parisian inspiration behind this unique statement chaise, with cross-base stretchers and splayed legs of black stainless steel. Performance fabrics are specially created to withstand spills, stains, high traffic and wear, ensuring long-term comfort and unmatched durability.</t>
  </si>
  <si>
    <t>{"value":77.17,"unit":"in"}</t>
  </si>
  <si>
    <t>{"value":127.43,"unit":"lb"}</t>
  </si>
  <si>
    <t>Semi-Attached</t>
  </si>
  <si>
    <t>Carmela</t>
  </si>
  <si>
    <t>45.50"</t>
  </si>
  <si>
    <t>56.00"</t>
  </si>
  <si>
    <t>49.00"</t>
  </si>
  <si>
    <t>https://dd3ka9h4chfr8.cloudfront.net/image/725136000567/image_0ugcjnfs3529j5cnpfpt2hqk07/-FJPG/227701-002_FRT_1.jpg;https://dd3ka9h4chfr8.cloudfront.net/image/725136000567/image_om3vuddv215nfaeees4f0fd90q/-FJPG/227701-002_PRM_1.jpg;https://dd3ka9h4chfr8.cloudfront.net/image/725136000567/image_1p899nui8502500pnh1b4hft5u/-FJPG/227701-002_SID_1.jpg;https://dd3ka9h4chfr8.cloudfront.net/image/725136000567/image_vm9ppqrn657ejef100c5f0ah0e/-FJPG/227701-002_ESS_1.jpg;https://dd3ka9h4chfr8.cloudfront.net/image/725136000567/image_udnkoid9112lv3bi96k3r7dn45/-FJPG/227701-002_DET_2.jpg;https://dd3ka9h4chfr8.cloudfront.net/image/725136000567/image_plkdebtdt56kh6kfou1bjt7b1t/-FJPG/227701-002_BCK_1.jpg;https://dd3ka9h4chfr8.cloudfront.net/image/725136000567/image_kg84d545kt2kb5utcg7vrg1c5j/-FJPG/227701-002_DET_1.jpg;https://dd3ka9h4chfr8.cloudfront.net/image/725136000567/image_rrev8l1s0d5cvc85onfmhfmp42/-FJPG/227701-002_DET_3.jpg;https://dd3ka9h4chfr8.cloudfront.net/image/725136000567/image_d7l8k8p6kt231cktss7us1581r/-FJPG/227701-002_DET_4.jpg;https://dd3ka9h4chfr8.cloudfront.net/image/725136000567/image_cet3oqhqdp5obb1t8i7jni535l/-FJPG/227701-002_DET_5.jpg;https://dd3ka9h4chfr8.cloudfront.net/image/725136000567/image_79jihrkfm94k1928n6jmd3s526/-FJPG/227701-002_DET_6.jpg</t>
  </si>
  <si>
    <t>Right Chaise</t>
  </si>
  <si>
    <t>227701-002</t>
  </si>
  <si>
    <t>https://dd3ka9h4chfr8.cloudfront.net/image/725136000567/image_0ugcjnfs3529j5cnpfpt2hqk07/-FJPG/227701-002_FRT_1.jpg</t>
  </si>
  <si>
    <t>Caroline 6 Drawer Dresser</t>
  </si>
  <si>
    <t>https://dd3ka9h4chfr8.cloudfront.net/image/725136000567/image_reslqg37jh70n2bl96327hkm5a/-FJPG/227882-002_FRT_1.jpg;https://dd3ka9h4chfr8.cloudfront.net/image/725136000567/image_492hcph42l2rp7a4lvt9ed484o/-FJPG/227882-002_PRM_1.jpg;https://dd3ka9h4chfr8.cloudfront.net/image/725136000567/image_s647ohg0fp69h1dc95o7i8co4j/-FJPG/227882-002_SID_1.jpg;https://dd3ka9h4chfr8.cloudfront.net/image/725136000567/image_3sgkc45pmt7tn74qb1t8jkud6h/-FJPG/227882-002_ESS_1.jpg;https://dd3ka9h4chfr8.cloudfront.net/image/725136000567/image_12qvctdom92u560jrpugkl0305/-FJPG/227882-002_DET_2.jpg;https://dd3ka9h4chfr8.cloudfront.net/image/725136000567/image_83l8np6j6l6tl15sqicnpq580b/-FJPG/227882-002_BCK_1.jpg;https://dd3ka9h4chfr8.cloudfront.net/image/725136000567/image_cu61h40k9t5974ee8cc851rc2p/-FJPG/227882-002_DET_1.jpg;https://dd3ka9h4chfr8.cloudfront.net/image/725136000567/image_n1r2c0b0t57o99a7hn4ktkag24/-FJPG/227882-002_DET_3.jpg;https://dd3ka9h4chfr8.cloudfront.net/image/725136000567/image_88hg5ci5450f5a4squpnkm611b/-FJPG/227882-002_OPN_1.jpg;https://dd3ka9h4chfr8.cloudfront.net/image/725136000567/image_i8hqcd2g3d5bp2150dr5usfn6v/-FJPG/227882-002_DET_4.jpg;https://dd3ka9h4chfr8.cloudfront.net/image/725136000567/image_ma5e1t9kd91272ovusbnuq426a/-FJPG/227882-002_DET_5.jpg</t>
  </si>
  <si>
    <t>Smoked Oak Veneer</t>
  </si>
  <si>
    <t>227882-002</t>
  </si>
  <si>
    <t>228.18</t>
  </si>
  <si>
    <t>https://dd3ka9h4chfr8.cloudfront.net/image/725136000567/image_reslqg37jh70n2bl96327hkm5a/-FJPG/227882-002_FRT_1.jpg</t>
  </si>
  <si>
    <t>Made from light-smoked oak, six spacious drawers bring generous storage to the bedroom. Cradle-style base ups the intrigue. This item has been modified to comply with the STURDY Act. See a full list of modified products and data changes in the â€œSTURDY Actâ€_x009d_ file in the Downloads section below.</t>
  </si>
  <si>
    <t>6 Drawer Dresser</t>
  </si>
  <si>
    <t>{"value":75.79,"unit":"in"}</t>
  </si>
  <si>
    <t>{"value":276.68,"unit":"lb"}</t>
  </si>
  <si>
    <t>Caroline</t>
  </si>
  <si>
    <t>6.22"</t>
  </si>
  <si>
    <t>29.70"</t>
  </si>
  <si>
    <t>Caroline Bed</t>
  </si>
  <si>
    <t>https://dd3ka9h4chfr8.cloudfront.net/image/725136000567/image_th0csuv19t7th1e3cru87lpd4u/-FJPG/226453-003_FRT_1.jpg;https://dd3ka9h4chfr8.cloudfront.net/image/725136000567/image_ib6t4tsf5l1557aikv9rtb036o/-FJPG/226453-003_PRM_1.jpg;https://dd3ka9h4chfr8.cloudfront.net/image/725136000567/image_20g8cohvnh10383g0fr8vbsd42/-FJPG/226453-003_SID_1.jpg;https://dd3ka9h4chfr8.cloudfront.net/image/725136000567/image_9gire3t2n561n8s7u1mvcr8s0i/-FJPG/226453-003_ESS_1.jpg;https://dd3ka9h4chfr8.cloudfront.net/image/725136000567/image_a4lb98jeut7sbe6a7iq9vod629/-FJPG/226453-003_DET_2.jpg;https://dd3ka9h4chfr8.cloudfront.net/image/725136000567/image_ci2bpvnbph4i3d2pk6g7qq066t/-FJPG/226453-003_BCK_1.jpg;https://dd3ka9h4chfr8.cloudfront.net/image/725136000567/image_cj12r4b46h6ll8lupmg790j41c/-FJPG/226453-003_DET_1.jpg;https://dd3ka9h4chfr8.cloudfront.net/image/725136000567/image_ltajiijqcl4pp69pl1qip0mu09/-FJPG/226453-003_DET_3.jpg;https://dd3ka9h4chfr8.cloudfront.net/image/725136000567/image_f6kjlj6rj5511fetvmfci3jl5k/-FJPG/226453-003_DET_4.jpg;https://dd3ka9h4chfr8.cloudfront.net/image/725136000567/image_74egvrqg5p5s9ajq153hjhsn06/-FJPG/226453-003_DET_5.jpg;https://dd3ka9h4chfr8.cloudfront.net/image/725136000567/image_c2msl6omg15hd6142f87s40o4e/-FJPG/226453-003_DET_6.jpg;https://dd3ka9h4chfr8.cloudfront.net/image/725136000567/image_u3m6o51251191auhc52pa7de6b/-FJPG/226453-003_DET_7.jpg;https://dd3ka9h4chfr8.cloudfront.net/image/725136000567/image_bdibbj2b1t5ij1nvme3jeu6r03/-FJPG/226453-003_DET_8.jpg;https://dd3ka9h4chfr8.cloudfront.net/image/725136000567/image_g38aakdgkt02l0ul4d6751jl3s/-FJPG/226453-003_DET_9.jpg;https://dd3ka9h4chfr8.cloudfront.net/image/725136000567/image_h7pp7qsoj15jr6fuppu7omql25/-FJPG/226453-003_DET_10.jpg;https://dd3ka9h4chfr8.cloudfront.net/image/725136000567/image_skj7iud18d08736ede6frri96t/-FJPG/226453-003_DET_11.jpg;https://dd3ka9h4chfr8.cloudfront.net/image/725136000567/image_rn6k3ebjrh0dh9psqfueqbo96c/-FJPG/226453-003_PRM_2.jpg;https://dd3ka9h4chfr8.cloudfront.net/image/725136000567/image_gtrm18eslp0qtbmlromulrp76i/-FJPG/226453-003_FRT_2.jpg;https://dd3ka9h4chfr8.cloudfront.net/image/725136000567/image_3um7flclsd1u5e3s28d0e5uc0n/-FJPG/226453-003_SID_2.jpg;https://dd3ka9h4chfr8.cloudfront.net/image/725136000567/image_6ufgk1ro9h3qr8micco0ujth4h/-FJPG/226453-003_BCK_2.jpg</t>
  </si>
  <si>
    <t>Kerbey Ivory</t>
  </si>
  <si>
    <t>226453-003</t>
  </si>
  <si>
    <t>171.96</t>
  </si>
  <si>
    <t>https://dd3ka9h4chfr8.cloudfront.net/image/725136000567/image_th0csuv19t7th1e3cru87lpd4u/-FJPG/226453-003_FRT_1.jpg</t>
  </si>
  <si>
    <t>["96% Polyester","4% Acrylic","Solid Oak","Oak Veneer"]</t>
  </si>
  <si>
    <t>47.25</t>
  </si>
  <si>
    <t>{"value":47.25,"unit":"in"}</t>
  </si>
  <si>
    <t>Smoked Oak</t>
  </si>
  <si>
    <t>Smoked oak frames a headboard upholstered with ivory high-performance fabric, brining texture and contrast to the bedroom.</t>
  </si>
  <si>
    <t>{"value":7.36,"unit":"in"}</t>
  </si>
  <si>
    <t>{"value":105.82,"unit":"lb"}</t>
  </si>
  <si>
    <t>Footboard &amp; Slats</t>
  </si>
  <si>
    <t>{"value":16.34,"unit":"in"}</t>
  </si>
  <si>
    <t>{"value":9.84,"unit":"in"}</t>
  </si>
  <si>
    <t>{"value":63.93,"unit":"lb"}</t>
  </si>
  <si>
    <t>Siderails</t>
  </si>
  <si>
    <t>{"value":86.02,"unit":"in"}</t>
  </si>
  <si>
    <t>12.20"</t>
  </si>
  <si>
    <t>2.17"</t>
  </si>
  <si>
    <t>80.16"</t>
  </si>
  <si>
    <t>80.51"</t>
  </si>
  <si>
    <t>86.12"</t>
  </si>
  <si>
    <t>Sealant/Stain (Canâ€™t be floated)</t>
  </si>
  <si>
    <t>10.24"</t>
  </si>
  <si>
    <t>https://dd3ka9h4chfr8.cloudfront.net/image/725136000567/image_uqu448ju9919fc8ssrb3qcuo7l/-FJPG/226453-004_FRT_1.jpg;https://dd3ka9h4chfr8.cloudfront.net/image/725136000567/image_1mgdot22jh7qt9g6rbok2k771v/-FJPG/226453-004_PRM_1.jpg;https://dd3ka9h4chfr8.cloudfront.net/image/725136000567/image_e8rpp8p8op3752esneohd2q83b/-FJPG/226453-004_SID_1.jpg;https://dd3ka9h4chfr8.cloudfront.net/image/725136000567/image_c7c0miqjh94lt1pg0qb83gle12/-FJPG/226453-004_ESS_1.jpg;https://dd3ka9h4chfr8.cloudfront.net/image/725136000567/image_uu564bktmd4if4akr4qpeeet50/-FJPG/226453-004_DET_2.jpg;https://dd3ka9h4chfr8.cloudfront.net/image/725136000567/image_i399jp9kk91iv0936bi8ordf72/-FJPG/226453-004_BCK_1.jpg;https://dd3ka9h4chfr8.cloudfront.net/image/725136000567/image_eq6tgba9194gdb5aj8qls33870/-FJPG/226453-004_DET_1.jpg;https://dd3ka9h4chfr8.cloudfront.net/image/725136000567/image_gc6evk4qrh78h5jb3210tdf007/-FJPG/226453-004_DET_3.jpg;https://dd3ka9h4chfr8.cloudfront.net/image/725136000567/image_3g66uhhk0d2v14tvhveoohjm07/-FJPG/226453-004_DET_4.jpg;https://dd3ka9h4chfr8.cloudfront.net/image/725136000567/image_rqpsi88rrd18td2k1bb8uuo43p/-FJPG/226453-004_DET_5.jpg;https://dd3ka9h4chfr8.cloudfront.net/image/725136000567/image_ivkisma3m56dp9tfmoc4330a7j/-FJPG/226453-004_DET_6.jpg;https://dd3ka9h4chfr8.cloudfront.net/image/725136000567/image_u8fr1u71r52arfrgp91uqm1129/-FJPG/226453-004_DET_7.jpg;https://dd3ka9h4chfr8.cloudfront.net/image/725136000567/image_ol3h4bu6g535natlvnask6450d/-FJPG/226453-004_DET_8.jpg;https://dd3ka9h4chfr8.cloudfront.net/image/725136000567/image_k04jfut4qp35j1gs246evhs028/-FJPG/226453-004_DET_9.jpg;https://dd3ka9h4chfr8.cloudfront.net/image/725136000567/image_v5f9ci5tf90ibccm5ub8thuf1j/-FJPG/226453-004_DET_10.jpg;https://dd3ka9h4chfr8.cloudfront.net/image/725136000567/image_u0ps6q6j3p4tr8bdv53sffpf7u/-FJPG/226453-004_DET_11.jpg;https://dd3ka9h4chfr8.cloudfront.net/image/725136000567/image_9234uj23cl7s3cnunl3qiocl03/-FJPG/226453-004_FRT_2.jpg;https://dd3ka9h4chfr8.cloudfront.net/image/725136000567/image_cnn449lhvl3cl05qv3mppssv0h/-FJPG/226453-004_SID_2.jpg;https://dd3ka9h4chfr8.cloudfront.net/image/725136000567/image_k032vchjt13sve823ab61r3l2h/-FJPG/226453-004_PRM_2.jpg;https://dd3ka9h4chfr8.cloudfront.net/image/725136000567/image_rt2llsa3852713vqh54dmab17g/-FJPG/226453-004_BCK_2.jpg</t>
  </si>
  <si>
    <t>226453-004</t>
  </si>
  <si>
    <t>142.2</t>
  </si>
  <si>
    <t>https://dd3ka9h4chfr8.cloudfront.net/image/725136000567/image_uqu448ju9919fc8ssrb3qcuo7l/-FJPG/226453-004_FRT_1.jpg</t>
  </si>
  <si>
    <t>64</t>
  </si>
  <si>
    <t>{"value":68.11,"unit":"in"}</t>
  </si>
  <si>
    <t>{"value":84.88,"unit":"lb"}</t>
  </si>
  <si>
    <t>{"value":31.97,"unit":"lb"}</t>
  </si>
  <si>
    <t>64.02"</t>
  </si>
  <si>
    <t>Casey Bed</t>
  </si>
  <si>
    <t>https://dd3ka9h4chfr8.cloudfront.net/image/725136000567/image_7sjo8fppbh42h1taj1eo6lbu41/-FJPG/ICAP-K7_FRT_1.jpg;https://dd3ka9h4chfr8.cloudfront.net/image/725136000567/image_rshk471dtd6fh7q66ackangm41/-FJPG/ICAP-K7_PRM_1.jpg;https://dd3ka9h4chfr8.cloudfront.net/image/725136000567/image_gigm9h65hd6c395pjcl23lbb4p/-FJPG/ICAP-K7_SID_1.jpg;https://dd3ka9h4chfr8.cloudfront.net/image/725136000567/image_v71ar3bp2h5ln3n64qr8u0kv10/-FJPG/ICAP-K7_DET_2.jpg;https://dd3ka9h4chfr8.cloudfront.net/image/725136000567/image_ulgrhcsbvl4hpfct2rh41cmm37/-FJPG/ICAP-K7_DET_1.jpg;https://dd3ka9h4chfr8.cloudfront.net/image/725136000567/image_a2eqka0p5t5k7b9d9277801f3t/-FJPG/ICAP-K7_DET_3.jpg;https://dd3ka9h4chfr8.cloudfront.net/image/725136000567/image_ulbd3pr9bh5h9cqecu54305i3k/-FJPG/ICAP-K7_DET_4.jpg;https://dd3ka9h4chfr8.cloudfront.net/image/725136000567/image_8t1nkl8jr54ir0okptclinnk6c/-FJPG/ICAP-K7_DET_5.jpg;https://dd3ka9h4chfr8.cloudfront.net/image/725136000567/image_oii533igjl6tt29bo6btgrn534/-FJPG/ICAP-K7_ROM_1.jpg</t>
  </si>
  <si>
    <t>Sandblasted Vintage Black</t>
  </si>
  <si>
    <t>ICAP-K7</t>
  </si>
  <si>
    <t>149.77</t>
  </si>
  <si>
    <t>https://dd3ka9h4chfr8.cloudfront.net/image/725136000567/image_7sjo8fppbh42h1taj1eo6lbu41/-FJPG/ICAP-K7_FRT_1.jpg</t>
  </si>
  <si>
    <t>77.5</t>
  </si>
  <si>
    <t>{"value":77.5,"unit":"in"}</t>
  </si>
  <si>
    <t>83.5</t>
  </si>
  <si>
    <t>{"value":83.5,"unit":"in"}</t>
  </si>
  <si>
    <t>51.5</t>
  </si>
  <si>
    <t>{"value":51.5,"unit":"in"}</t>
  </si>
  <si>
    <t>Modern geometric patterns update a design inspired by vintage European hospital beds. Simple iron tubing looks airy and feels substantial. Low-profile box spring recommended.</t>
  </si>
  <si>
    <t>Head Board And Footboard</t>
  </si>
  <si>
    <t>{"value":81,"unit":"in"}</t>
  </si>
  <si>
    <t>{"value":6,"unit":"in"}</t>
  </si>
  <si>
    <t>{"value":52,"unit":"in"}</t>
  </si>
  <si>
    <t>{"value":77.16,"unit":"lb"}</t>
  </si>
  <si>
    <t>Side Rails/Center Rails/Slats</t>
  </si>
  <si>
    <t>{"value":83.25,"unit":"in"}</t>
  </si>
  <si>
    <t>{"value":5.25,"unit":"in"}</t>
  </si>
  <si>
    <t>{"value":104.5,"unit":"lb"}</t>
  </si>
  <si>
    <t>Casey</t>
  </si>
  <si>
    <t>77.50"</t>
  </si>
  <si>
    <t>0.90"</t>
  </si>
  <si>
    <t>Low-profile Box Spring</t>
  </si>
  <si>
    <t>4.38"</t>
  </si>
  <si>
    <t>9.75"</t>
  </si>
  <si>
    <t>https://dd3ka9h4chfr8.cloudfront.net/image/725136000567/image_vhb9jih1hh3734kron9mdt2744/-FJPG/ICAP-Q7_FRT_1.jpg;https://dd3ka9h4chfr8.cloudfront.net/image/725136000567/image_en4j586nb508hcrjba6q479o7r/-FJPG/ICAP-Q7_PRM_1.jpg;https://dd3ka9h4chfr8.cloudfront.net/image/725136000567/image_o8fmhtn7nd4oj3nicf30ll4i26/-FJPG/ICAP-Q7_SID_1.jpg;https://dd3ka9h4chfr8.cloudfront.net/image/725136000567/image_5h9mfkng3p685fvag2ebcmtl5r/-FJPG/ICAP-Q7_DET_2.jpg;https://dd3ka9h4chfr8.cloudfront.net/image/725136000567/image_3u095fvenp6jbe0tklrvs1pv7f/-FJPG/ICAP-Q7_DET_1.jpg;https://dd3ka9h4chfr8.cloudfront.net/image/725136000567/image_te09nsqvi96op9pqhh2072f86i/-FJPG/ICAP-Q7_DET_3.jpg;https://dd3ka9h4chfr8.cloudfront.net/image/725136000567/image_ig4b4lmm7h5mp7rsmui24b094p/-FJPG/ICAP-Q7_DET_4.jpg;https://dd3ka9h4chfr8.cloudfront.net/image/725136000567/image_7f13pb20ud4bf83athoqql6j1m/-FJPG/ICAP-Q7_DET_5.jpg;https://dd3ka9h4chfr8.cloudfront.net/image/725136000567/image_rqusmo32355b7c0hl7qqsih90p/-FJPG/ICAP-Q7_ROM_1.jpg</t>
  </si>
  <si>
    <t>ICAP-Q7</t>
  </si>
  <si>
    <t>118.94</t>
  </si>
  <si>
    <t>https://dd3ka9h4chfr8.cloudfront.net/image/725136000567/image_vhb9jih1hh3734kron9mdt2744/-FJPG/ICAP-Q7_FRT_1.jpg</t>
  </si>
  <si>
    <t>61.5</t>
  </si>
  <si>
    <t>{"value":61.5,"unit":"in"}</t>
  </si>
  <si>
    <t>Headboard And Footboard</t>
  </si>
  <si>
    <t>{"value":53,"unit":"in"}</t>
  </si>
  <si>
    <t>{"value":66.58,"unit":"lb"}</t>
  </si>
  <si>
    <t>Side Rails/Center Rail/Hardware</t>
  </si>
  <si>
    <t>{"value":72.75,"unit":"lb"}</t>
  </si>
  <si>
    <t>61.50"</t>
  </si>
  <si>
    <t>https://dd3ka9h4chfr8.cloudfront.net/image/725136000567/image_vgp1a92bcd1fd1tim58b5kd877/-FJPG/ICAP-T7_FRT_1.jpg;https://dd3ka9h4chfr8.cloudfront.net/image/725136000567/image_a927fhsf857k9ebkc1cc8pf60t/-FJPG/ICAP-T7_PRM_1.jpg;https://dd3ka9h4chfr8.cloudfront.net/image/725136000567/image_tpv5euqjjp70t7j6rr0duiat26/-FJPG/ICAP-T7_SID_1.jpg;https://dd3ka9h4chfr8.cloudfront.net/image/725136000567/image_n870gs89sh42l7996q4hk2ik59/-FJPG/ICAP-T7_DET_2.jpg;https://dd3ka9h4chfr8.cloudfront.net/image/725136000567/image_qm5dp8s8kl6ll5dgoe5kldbt7q/-FJPG/ICAP-T7_DET_1.jpg;https://dd3ka9h4chfr8.cloudfront.net/image/725136000567/image_b3qto5ij691ff30qicgjia950c/-FJPG/ICAP-T7_DET_3.jpg;https://dd3ka9h4chfr8.cloudfront.net/image/725136000567/image_088l02sfrp0l5cbglga2a9mt5j/-FJPG/ICAP-T7_DET_4.jpg;https://dd3ka9h4chfr8.cloudfront.net/image/725136000567/image_f2skm42qkd00tema0tg72tsp75/-FJPG/ICAP-T7_DET_5.jpg;https://dd3ka9h4chfr8.cloudfront.net/image/725136000567/image_ojua6d3cmd263akj9s174t1h51/-FJPG/ICAP-T7_PRM_2.jpg</t>
  </si>
  <si>
    <t>Twin</t>
  </si>
  <si>
    <t>ICAP-T7</t>
  </si>
  <si>
    <t>90.3</t>
  </si>
  <si>
    <t>https://dd3ka9h4chfr8.cloudfront.net/image/725136000567/image_vgp1a92bcd1fd1tim58b5kd877/-FJPG/ICAP-T7_FRT_1.jpg</t>
  </si>
  <si>
    <t>78.5</t>
  </si>
  <si>
    <t>{"value":78.5,"unit":"in"}</t>
  </si>
  <si>
    <t>Modern geometric patterns update a design inspired by vintage European hospital beds. Simple iron tubing looks airy and feels substantial. Twin size stunning when paired. Low-profile box spring recommended.</t>
  </si>
  <si>
    <t>{"value":43.5,"unit":"in"}</t>
  </si>
  <si>
    <t>{"value":51.15,"unit":"lb"}</t>
  </si>
  <si>
    <t>Side Rails, Center Rails, Hardware</t>
  </si>
  <si>
    <t>{"value":67.02,"unit":"lb"}</t>
  </si>
  <si>
    <t>40.50"</t>
  </si>
  <si>
    <t>Caspian 6 Drawer Dresser</t>
  </si>
  <si>
    <t>https://dd3ka9h4chfr8.cloudfront.net/image/725136000567/image_ceiqaadrel18je9pdgouse7r21/-FJPG/231263-002_FRT_1.jpg;https://dd3ka9h4chfr8.cloudfront.net/image/725136000567/image_v8hp4rlgct3p3c467q4mu8g70o/-FJPG/231263-002_PRM_1.jpg;https://dd3ka9h4chfr8.cloudfront.net/image/725136000567/image_o2fc4ua1613odb3nmp4si44q2s/-FJPG/231263-002_SID_1.jpg;https://dd3ka9h4chfr8.cloudfront.net/image/725136000567/image_po8mdcdatp79l39tjdc5gjo874/-FJPG/231263-002_ESS.tif;https://dd3ka9h4chfr8.cloudfront.net/image/725136000567/image_bt4fdmmnkh7dv6qs7vsl9i3157/-FJPG/231263-002_DET_2.jpg;https://dd3ka9h4chfr8.cloudfront.net/image/725136000567/image_3rj6odt0857cram4cor4ort91f/-FJPG/231263-002_BCK_1.jpg;https://dd3ka9h4chfr8.cloudfront.net/image/725136000567/image_6lf04daejl4etcua75sv77o33s/-FJPG/231263-002_DET_1.jpg;https://dd3ka9h4chfr8.cloudfront.net/image/725136000567/image_4s97ojfcr10bd7l3vd8l01vq5a/-FJPG/231263-002_DET_3.jpg;https://dd3ka9h4chfr8.cloudfront.net/image/725136000567/image_h6pbtrb88h7lpfrpbge9fvee2j/-FJPG/231263-002_OPN_1.jpg;https://dd3ka9h4chfr8.cloudfront.net/image/725136000567/image_lg7ea1dnft44h5npt9g141uv34/-FJPG/231263-002_DET_4.jpg;https://dd3ka9h4chfr8.cloudfront.net/image/725136000567/image_cb3pvjncnl6d9addcaij5i4j38/-FJPG/231263-002_DET_5.jpg;https://dd3ka9h4chfr8.cloudfront.net/image/725136000567/image_fnfls8hpm90grde6edl8u9c96v/-FJPG/231263-002_DET_6.jpg;https://dd3ka9h4chfr8.cloudfront.net/image/725136000567/image_c6pqtc006177r9898t2fmbdh1q/-FJPG/231263-002_DET_7.jpg;https://dd3ka9h4chfr8.cloudfront.net/image/725136000567/image_1qpl21qf9p029734ffuumntr7u/-FJPG/231263-002_DET_9.tif</t>
  </si>
  <si>
    <t>Black Ash</t>
  </si>
  <si>
    <t>231263-002</t>
  </si>
  <si>
    <t>https://dd3ka9h4chfr8.cloudfront.net/image/725136000567/image_ceiqaadrel18je9pdgouse7r21/-FJPG/231263-002_FRT_1.jpg</t>
  </si>
  <si>
    <t>["Resawn Ash Veneer","Iron"]</t>
  </si>
  <si>
    <t>Black Ash Veneer</t>
  </si>
  <si>
    <t>Satin Brass</t>
  </si>
  <si>
    <t>Modern dresser, sleek and timeless design with plenty of storage. Black ash veneer with satin brass handles. This item has been modified to comply with the STURDY Act. See a full list of modified products and data changes in the â€œSTURDY Actâ€_x009d_ file in the Downloads section below.</t>
  </si>
  <si>
    <t>{"value":36.42,"unit":"in"}</t>
  </si>
  <si>
    <t>{"value":221.56,"unit":"lb"}</t>
  </si>
  <si>
    <t>7.95"</t>
  </si>
  <si>
    <t>58.50"</t>
  </si>
  <si>
    <t>Caspian</t>
  </si>
  <si>
    <t>13.54"</t>
  </si>
  <si>
    <t>6.89"</t>
  </si>
  <si>
    <t>16.30"</t>
  </si>
  <si>
    <t>https://dd3ka9h4chfr8.cloudfront.net/image/725136000567/image_c1bth5u2513jp06rgabgmrlo4i/-FJPG/231263-001_FRT_1.jpg;https://dd3ka9h4chfr8.cloudfront.net/image/725136000567/image_8b8lif5q6d07l9aclh2gshrl5q/-FJPG/231263-001_PRM_1.jpg;https://dd3ka9h4chfr8.cloudfront.net/image/725136000567/image_755uogi7d14nr76t63jqp3ji1h/-FJPG/231263-001_SID_1.jpg;https://dd3ka9h4chfr8.cloudfront.net/image/725136000567/image_02an0g7ql17c7bb74o0pl0co6b/-FJPG/231263-001_DET_2.jpg;https://dd3ka9h4chfr8.cloudfront.net/image/725136000567/image_btgn87tsf925fckk7tu2rns843/-FJPG/231263-001_BCK_1.jpg;https://dd3ka9h4chfr8.cloudfront.net/image/725136000567/image_mpgb2d2rr51jp9tqb3q52u8t7q/-FJPG/231263-001_DET_1.jpg;https://dd3ka9h4chfr8.cloudfront.net/image/725136000567/image_s1kov086sp32378ccs6mf3pa6j/-FJPG/231263-001_DET_3.jpg;https://dd3ka9h4chfr8.cloudfront.net/image/725136000567/image_uktd4flrkd4qp04apo4unm173h/-FJPG/231263-001_OPN_1.jpg;https://dd3ka9h4chfr8.cloudfront.net/image/725136000567/image_cjci32hfkd4s561ofpmu0b8d2v/-FJPG/231263-001_DET_4.jpg;https://dd3ka9h4chfr8.cloudfront.net/image/725136000567/image_363gbjpd9d2t9eoj7fpbcg3a22/-FJPG/231263-001_DET_5.jpg;https://dd3ka9h4chfr8.cloudfront.net/image/725136000567/image_rrr85i94t154rd8ahdqn5h5u3r/-FJPG/231263-001_DET_6.jpg;https://dd3ka9h4chfr8.cloudfront.net/image/725136000567/image_hmctjiao5902pb8qo6ugacgh3p/-FJPG/231263-001_DET_7.jpg;https://dd3ka9h4chfr8.cloudfront.net/image/725136000567/image_plbg3c4fjd4ol59vjkpc53j17r/-FJPG/102648-002_VIG_1.jpg;https://dd3ka9h4chfr8.cloudfront.net/image/725136000567/image_upu6vjn3r56mv71ida67tefp0k/-FJPG/231263-001_VIG_1.jpg</t>
  </si>
  <si>
    <t>Natural Ash</t>
  </si>
  <si>
    <t>231263-001</t>
  </si>
  <si>
    <t>https://dd3ka9h4chfr8.cloudfront.net/image/725136000567/image_c1bth5u2513jp06rgabgmrlo4i/-FJPG/231263-001_FRT_1.jpg</t>
  </si>
  <si>
    <t>Natural Ash Veneer</t>
  </si>
  <si>
    <t>Modern dresser, sleek and timeless design with plenty of storage. Natural ash veneer with satin brass handles. This item has been modified to comply with the STURDY Act. See a full list of modified products and data changes in the â€œSTURDY Actâ€_x009d_ file in the Downloads section below.</t>
  </si>
  <si>
    <t>Caspian Coffee Table</t>
  </si>
  <si>
    <t>https://dd3ka9h4chfr8.cloudfront.net/image/725136000567/image_gb83evr7f52dvds2imf7p0s41d/-FJPG/231405-002_FRT_1.jpg;https://dd3ka9h4chfr8.cloudfront.net/image/725136000567/image_b4c1m1rrcd6dlducthhqqgoj3b/-FJPG/231405-002_PRM_1.jpg;https://dd3ka9h4chfr8.cloudfront.net/image/725136000567/image_rg778jf9j137dckc418q9t6n12/-FJPG/231405-002_ESS_1.jpg;https://dd3ka9h4chfr8.cloudfront.net/image/725136000567/image_gs9765srat4hhca8pbmjdokt23/-FJPG/231405-002_DET_2.jpg;https://dd3ka9h4chfr8.cloudfront.net/image/725136000567/image_gdtcn18sop75bccae6il21ht2s/-FJPG/231405-002_DET_1.jpg;https://dd3ka9h4chfr8.cloudfront.net/image/725136000567/image_nvh3rtfuhh4216cvlgri0cg735/-FJPG/231405-002_DET_3.jpg;https://dd3ka9h4chfr8.cloudfront.net/image/725136000567/image_id7m2k636d5j53bvr7djkpga4f/-FJPG/231405-002_TOP_1.jpg;https://dd3ka9h4chfr8.cloudfront.net/image/725136000567/image_ne8i083spd7t7861marhe44772/-FJPG/231405-002_DET_4.jpg;https://dd3ka9h4chfr8.cloudfront.net/image/725136000567/image_65nso131gh477aldbn2vjkf55f/-FJPG/231405-002_DET_5.jpg;https://dd3ka9h4chfr8.cloudfront.net/image/725136000567/image_djkto8qji560b63r3phevu3d19/-FJPG/231405-002_DET_6.jpg</t>
  </si>
  <si>
    <t>231405-002</t>
  </si>
  <si>
    <t>119.05</t>
  </si>
  <si>
    <t>https://dd3ka9h4chfr8.cloudfront.net/image/725136000567/image_gb83evr7f52dvds2imf7p0s41d/-FJPG/231405-002_FRT_1.jpg</t>
  </si>
  <si>
    <t>["Resawn Ash Veneer"]</t>
  </si>
  <si>
    <t>Complete your living space with this minimalistic coffee table. Crafted with clean lines, chamfered corners and a black ash base, this serves as timeless centerpiece for your coffee breaks and gatherings.</t>
  </si>
  <si>
    <t>{"value":157.63,"unit":"lb"}</t>
  </si>
  <si>
    <t>12.24"</t>
  </si>
  <si>
    <t>52.09"</t>
  </si>
  <si>
    <t>https://dd3ka9h4chfr8.cloudfront.net/image/725136000567/image_4br9ro24cd2rhdnacavsh7m857/-FJPG/231405-001_FRT_1.jpg;https://dd3ka9h4chfr8.cloudfront.net/image/725136000567/image_fsdb0sj8i165tdar8fp4ciof3p/-FJPG/231405-001_PRM_1.jpg;https://dd3ka9h4chfr8.cloudfront.net/image/725136000567/image_vsi8qud6nd4fvfuanff0p5iv5u/-FJPG/231405-001_SID_1.jpg;https://dd3ka9h4chfr8.cloudfront.net/image/725136000567/image_nscqdp2pd94mp8n1ecntcmt73p/-FJPG/231405-001_ESS_1.jpg;https://dd3ka9h4chfr8.cloudfront.net/image/725136000567/image_6gi4qfuce90a96ch9dkb5or93p/-FJPG/231405-001_DET_2.jpg;https://dd3ka9h4chfr8.cloudfront.net/image/725136000567/image_b66v8janjd0ab6mvkc6dpbvn4i/-FJPG/231405-001_DET_1.jpg;https://dd3ka9h4chfr8.cloudfront.net/image/725136000567/image_s8ti5sp5813dnffubg5ntcht7n/-FJPG/231405-001_DET_3.jpg;https://dd3ka9h4chfr8.cloudfront.net/image/725136000567/image_oru40ers2d6eh321avttc6ht6n/-FJPG/231405-001_TOP_1.jpg;https://dd3ka9h4chfr8.cloudfront.net/image/725136000567/image_p8pnk8ul1t0gn3f5lecj0qps7p/-FJPG/231405-001_DET_4.jpg;https://dd3ka9h4chfr8.cloudfront.net/image/725136000567/image_434btavkd16l3dpc1bsh5dbc4m/-FJPG/231405-001_DET_5.jpg;https://dd3ka9h4chfr8.cloudfront.net/image/725136000567/image_smk61liknl00vc1e25tjhdkq3d/-FJPG/231405-001_DET_6.jpg;https://dd3ka9h4chfr8.cloudfront.net/image/725136000567/image_n7q9okhq214q31n6ihu12l1s3p/-FJPG/231405-001_DET_7.jpg;https://dd3ka9h4chfr8.cloudfront.net/image/725136000567/image_kicjin1rql52f9fc9dkg74ao5b/-FJPG/231405-001_ESS_2.jpg</t>
  </si>
  <si>
    <t>231405-001</t>
  </si>
  <si>
    <t>https://dd3ka9h4chfr8.cloudfront.net/image/725136000567/image_4br9ro24cd2rhdnacavsh7m857/-FJPG/231405-001_FRT_1.jpg</t>
  </si>
  <si>
    <t>Complete your living space with this minimalistic coffee table. Crafted with clean lines, chamfered corners and a natural ash base, this serves as timeless centerpiece for your coffee breaks and gatherings.</t>
  </si>
  <si>
    <t>Caspian Console Table</t>
  </si>
  <si>
    <t>https://dd3ka9h4chfr8.cloudfront.net/image/725136000567/image_1b6i44bbkl7hb2vvclopaqb43g/-FJPG/231408-002_FRT_1.jpg;https://dd3ka9h4chfr8.cloudfront.net/image/725136000567/image_am5j7g1b611ad9dqd10catqi5m/-FJPG/231408-002_PRM_1.jpg;https://dd3ka9h4chfr8.cloudfront.net/image/725136000567/image_imb6qdrlj13cn0lt7016natc6s/-FJPG/231408-002_SID_1.jpg;https://dd3ka9h4chfr8.cloudfront.net/image/725136000567/image_ibemveh06d54f3fq9b8ue7jc2t/-FJPG/231408-002_ESS_1.jpg;https://dd3ka9h4chfr8.cloudfront.net/image/725136000567/image_1bg2j8thb10vd24off5ljh4b47/-FJPG/231408-002_DET_2.jpg;https://dd3ka9h4chfr8.cloudfront.net/image/725136000567/image_oub1e29vuh7npf31htkv52tp7c/-FJPG/231408-002_DET_1.jpg;https://dd3ka9h4chfr8.cloudfront.net/image/725136000567/image_sg8ni64ao107t21q811vnraf5o/-FJPG/231408-002_DET_3.jpg;https://dd3ka9h4chfr8.cloudfront.net/image/725136000567/image_mben0lkubh61n7q4dtdgv1157n/-FJPG/231408-002_OPN_1.jpg;https://dd3ka9h4chfr8.cloudfront.net/image/725136000567/image_ga52ct9k8p6lhfuk4j79nmqd6f/-FJPG/231408-002_DET_4.jpg;https://dd3ka9h4chfr8.cloudfront.net/image/725136000567/image_r1qnu90tv12ur65f594dk7545k/-FJPG/231408-002_DET_5.jpg;https://dd3ka9h4chfr8.cloudfront.net/image/725136000567/image_9buais36n17uhfsmlqpu01q82a/-FJPG/231408-002_DET_6.jpg;https://dd3ka9h4chfr8.cloudfront.net/image/725136000567/image_f1c3i5522l6m94bhii3ngtpe5n/-FJPG/231408-002_DET_7.jpg</t>
  </si>
  <si>
    <t>231408-002</t>
  </si>
  <si>
    <t>https://dd3ka9h4chfr8.cloudfront.net/image/725136000567/image_1b6i44bbkl7hb2vvclopaqb43g/-FJPG/231408-002_FRT_1.jpg</t>
  </si>
  <si>
    <t>["Ash Veneer","Resawn Ash Veneer","Iron"]</t>
  </si>
  <si>
    <t>{"value":64.37,"unit":"in"}</t>
  </si>
  <si>
    <t>{"value":147.71,"unit":"lb"}</t>
  </si>
  <si>
    <t>58.54"</t>
  </si>
  <si>
    <t>14.88"</t>
  </si>
  <si>
    <t>1.85"</t>
  </si>
  <si>
    <t>https://dd3ka9h4chfr8.cloudfront.net/image/725136000567/image_inbt03tr3h5vh2rc0u1iksq207/-FJPG/231408-001_FRT_1.jpg;https://dd3ka9h4chfr8.cloudfront.net/image/725136000567/image_1f2ig10tv57av3ukufc1ma9e52/-FJPG/231408-001_PRM_1.jpg;https://dd3ka9h4chfr8.cloudfront.net/image/725136000567/image_ckaf5dtkb150b8eedlb37glr5n/-FJPG/231408-001_SID_1.jpg;https://dd3ka9h4chfr8.cloudfront.net/image/725136000567/image_et87grq4vh5r3etpu61q6p827q/-FJPG/231408-001_ESS_1.jpg;https://dd3ka9h4chfr8.cloudfront.net/image/725136000567/image_hoif0voghh7e73loe7t3gar94i/-FJPG/231408-001_DET_2.jpg;https://dd3ka9h4chfr8.cloudfront.net/image/725136000567/image_rb7qv3tnkh2kd0mbkidn53623a/-FJPG/231408-001_BCK_1.jpg;https://dd3ka9h4chfr8.cloudfront.net/image/725136000567/image_6ttrk6alip0id7c4hfku1g9c2s/-FJPG/231408-001_DET_1.jpg;https://dd3ka9h4chfr8.cloudfront.net/image/725136000567/image_5chonm8dml6clag6rfom2vju24/-FJPG/231408-001_DET_3.jpg;https://dd3ka9h4chfr8.cloudfront.net/image/725136000567/image_qecim3s4e93al348hr75e5bt48/-FJPG/231408-001_OPN_1.jpg;https://dd3ka9h4chfr8.cloudfront.net/image/725136000567/image_b2dlmh3ig166bbl9i91lnsc064/-FJPG/231408-001_DET_4.jpg;https://dd3ka9h4chfr8.cloudfront.net/image/725136000567/image_84hs8q1ljp50h6qh67chto247c/-FJPG/231408-001_DET_5.jpg;https://dd3ka9h4chfr8.cloudfront.net/image/725136000567/image_j2s45jks6l2ov3108a8vrc0m68/-FJPG/231408-001_DET_6.jpg;https://dd3ka9h4chfr8.cloudfront.net/image/725136000567/image_2i38uhlcf11oh6qr94cbc1nu09/-FJPG/231408-001_DET_7.jpg;https://dd3ka9h4chfr8.cloudfront.net/image/725136000567/image_8arcud3pu94dt2v24vbj081r1j/-FJPG/231408-001_DET_8.jpg</t>
  </si>
  <si>
    <t>231408-001</t>
  </si>
  <si>
    <t>https://dd3ka9h4chfr8.cloudfront.net/image/725136000567/image_inbt03tr3h5vh2rc0u1iksq207/-FJPG/231408-001_FRT_1.jpg</t>
  </si>
  <si>
    <t>Caspian Media Console</t>
  </si>
  <si>
    <t>https://dd3ka9h4chfr8.cloudfront.net/image/725136000567/image_nmh5gre3kd76v8kk9nhr48bs59/-FJPG/231266-001_FRT_1.jpg;https://dd3ka9h4chfr8.cloudfront.net/image/725136000567/image_5b4bo555v111va99gubtna7b24/-FJPG/231266-001_PRM_1.jpg;https://dd3ka9h4chfr8.cloudfront.net/image/725136000567/image_5aarp0aa315jjcdltuivoja049/-FJPG/231266-001_SID_1.jpg;https://dd3ka9h4chfr8.cloudfront.net/image/725136000567/image_f1k2d7o4l165nf89h7h64bvm2k/-FJPG/231266-001_ESS_1.jpg;https://dd3ka9h4chfr8.cloudfront.net/image/725136000567/image_qbsvern8ch2q95honk2uj1721t/-FJPG/231266-001_DET_2.jpg;https://dd3ka9h4chfr8.cloudfront.net/image/725136000567/image_favb794ko15thefrcn9ahses01/-FJPG/231266-001_BCK_1.jpg;https://dd3ka9h4chfr8.cloudfront.net/image/725136000567/image_o1d5thoftt5dr6kbkah7ucus19/-FJPG/231266-001_DET_1.jpg;https://dd3ka9h4chfr8.cloudfront.net/image/725136000567/image_8kh18qifkh4u95bbcs513af672/-FJPG/231266-001_DET_3.jpg;https://dd3ka9h4chfr8.cloudfront.net/image/725136000567/image_b57pfbljel253ed0v0k3l0nm6f/-FJPG/231266-001_OPN_1.jpg;https://dd3ka9h4chfr8.cloudfront.net/image/725136000567/image_orblh24sr52ipct2635a1cqc1f/-FJPG/231266-001_DET_4.jpg;https://dd3ka9h4chfr8.cloudfront.net/image/725136000567/image_7kss5g9uu103v6f632nld1v36u/-FJPG/231266-001_DET_5.jpg;https://dd3ka9h4chfr8.cloudfront.net/image/725136000567/image_50h6tichrp6kjd1mgsco5qj82f/-FJPG/231266-001_DET_6.jpg;https://dd3ka9h4chfr8.cloudfront.net/image/725136000567/image_5sfenk061p64j97h3pcsrbvr4m/-FJPG/231266-001_DET_7.jpg;https://dd3ka9h4chfr8.cloudfront.net/image/725136000567/image_8qm3u787995491cp15rvtuc44r/-FJPG/231266-001_OPN_2.jpg</t>
  </si>
  <si>
    <t>231266-001</t>
  </si>
  <si>
    <t>221.56</t>
  </si>
  <si>
    <t>https://dd3ka9h4chfr8.cloudfront.net/image/725136000567/image_nmh5gre3kd76v8kk9nhr48bs59/-FJPG/231266-001_FRT_1.jpg</t>
  </si>
  <si>
    <t>85.75</t>
  </si>
  <si>
    <t>{"value":85.75,"unit":"in"}</t>
  </si>
  <si>
    <t>Channeling inspiration from the Seventies, a media console of natural ash adopts petite reeding for a linear look, with chamfered edging and an extended base for an open look with bonus storage.</t>
  </si>
  <si>
    <t>{"value":90.16,"unit":"in"}</t>
  </si>
  <si>
    <t>{"value":265.66,"unit":"lb"}</t>
  </si>
  <si>
    <t>16.57"</t>
  </si>
  <si>
    <t>16.42"</t>
  </si>
  <si>
    <t>0.91"</t>
  </si>
  <si>
    <t>27.44"</t>
  </si>
  <si>
    <t>5.20"</t>
  </si>
  <si>
    <t>24.76"</t>
  </si>
  <si>
    <t>27.60"</t>
  </si>
  <si>
    <t>27.64"</t>
  </si>
  <si>
    <t>Caspian Nightstand</t>
  </si>
  <si>
    <t>https://dd3ka9h4chfr8.cloudfront.net/image/725136000567/image_0n3010cnch0kp8n0jlpi2v0b1j/-FJPG/231262-002_FRT_1.jpg;https://dd3ka9h4chfr8.cloudfront.net/image/725136000567/image_d271cii6v97cp9u01eo5vl5t3q/-FJPG/231262-002_PRM_1.jpg;https://dd3ka9h4chfr8.cloudfront.net/image/725136000567/image_t0oj13fqs13nta22tgu5tega6e/-FJPG/231262-002_SID_1.jpg;https://dd3ka9h4chfr8.cloudfront.net/image/725136000567/image_jic3am7v2p785ds0tec86rij25/-FJPG/231262-002_ESS.tif;https://dd3ka9h4chfr8.cloudfront.net/image/725136000567/image_7ijflpp5bp7db7usfhtuh63j6k/-FJPG/231262-002_DET_2.jpg;https://dd3ka9h4chfr8.cloudfront.net/image/725136000567/image_a38aa7lsfp7450hfiri12j3b0l/-FJPG/231262-002_BCK_1.jpg;https://dd3ka9h4chfr8.cloudfront.net/image/725136000567/image_pmd9vc1a353sjdbmbjnmt0pf04/-FJPG/231262-002_DET_1.jpg;https://dd3ka9h4chfr8.cloudfront.net/image/725136000567/image_sti6m72rs92lr0r10sr12tnd6t/-FJPG/231262-002_DET_3.jpg;https://dd3ka9h4chfr8.cloudfront.net/image/725136000567/image_4dtdkbnjjd17r9rj4d3gi11q6o/-FJPG/231262-002_OPN_1.jpg;https://dd3ka9h4chfr8.cloudfront.net/image/725136000567/image_0at19to5l14c9erqpso2t5og6e/-FJPG/231262-002_DET_4.jpg;https://dd3ka9h4chfr8.cloudfront.net/image/725136000567/image_g7tq43kobt39b98sm23g10rv67/-FJPG/231262-002_DET_5.jpg;https://dd3ka9h4chfr8.cloudfront.net/image/725136000567/image_do7a58eqep3l573sdpt2e6ft3a/-FJPG/231262-002_DET_6.jpg</t>
  </si>
  <si>
    <t>231262-002</t>
  </si>
  <si>
    <t>62.83</t>
  </si>
  <si>
    <t>https://dd3ka9h4chfr8.cloudfront.net/image/725136000567/image_0n3010cnch0kp8n0jlpi2v0b1j/-FJPG/231262-002_FRT_1.jpg</t>
  </si>
  <si>
    <t>{"value":31.69,"unit":"in"}</t>
  </si>
  <si>
    <t>18.98"</t>
  </si>
  <si>
    <t>15.79"</t>
  </si>
  <si>
    <t>https://dd3ka9h4chfr8.cloudfront.net/image/725136000567/image_0ftvnm97kt75ffs1q49b07201q/-FJPG/231262-001_FRT_1.jpg;https://dd3ka9h4chfr8.cloudfront.net/image/725136000567/image_v7p9ho6v793vh83fgf563cgt4f/-FJPG/231262-001_PRM_1.jpg;https://dd3ka9h4chfr8.cloudfront.net/image/725136000567/image_19rr4i52f530p1eb3umsae0i27/-FJPG/231262-001_SID_1.jpg;https://dd3ka9h4chfr8.cloudfront.net/image/725136000567/image_b1ul7gunrd5n97dqr8n5kot432/-FJPG/231262-001_DET_2.jpg;https://dd3ka9h4chfr8.cloudfront.net/image/725136000567/image_bf1j8br8ql5qr279m1ioput53j/-FJPG/231262-001_BCK_1.jpg;https://dd3ka9h4chfr8.cloudfront.net/image/725136000567/image_u7hpfuu8h153t1s0v5jpf36b17/-FJPG/231262-001_DET_1.jpg;https://dd3ka9h4chfr8.cloudfront.net/image/725136000567/image_0tbnfj1h314jlenorfq4d6b20m/-FJPG/231262-001_DET_3.jpg;https://dd3ka9h4chfr8.cloudfront.net/image/725136000567/image_ecd5f1mrqd7mnbq9uc12rerh04/-FJPG/231262-001_OPN_1.jpg;https://dd3ka9h4chfr8.cloudfront.net/image/725136000567/image_jmsh34vjpp5lfdlev26q0cp93s/-FJPG/231262-001_DET_4.jpg;https://dd3ka9h4chfr8.cloudfront.net/image/725136000567/image_sqgkiiuqvl1ul274ihudhd6c4f/-FJPG/231262-001_DET_5.jpg</t>
  </si>
  <si>
    <t>231262-001</t>
  </si>
  <si>
    <t>https://dd3ka9h4chfr8.cloudfront.net/image/725136000567/image_0ftvnm97kt75ffs1q49b07201q/-FJPG/231262-001_FRT_1.jpg</t>
  </si>
  <si>
    <t>Caspian Sideboard</t>
  </si>
  <si>
    <t>https://dd3ka9h4chfr8.cloudfront.net/image/725136000567/image_jc5ca831cl6m5153657jv92j61/-FJPG/231265-002_FRT_1.jpg;https://dd3ka9h4chfr8.cloudfront.net/image/725136000567/image_i4imsiebu95vnb6edacl92h32g/-FJPG/231265-002_PRM_1.jpg;https://dd3ka9h4chfr8.cloudfront.net/image/725136000567/image_02a49i39hh32v5er7eok6h2i00/-FJPG/231265-002_SID_1.jpg;https://dd3ka9h4chfr8.cloudfront.net/image/725136000567/image_fjn31rchmd66t73i3dhv802e3j/-FJPG/231265-002_ESS_1.jpg;https://dd3ka9h4chfr8.cloudfront.net/image/725136000567/image_8qnprul0ut0330m87klcmu9608/-FJPG/231265-002_DET_2.jpg;https://dd3ka9h4chfr8.cloudfront.net/image/725136000567/image_kl4ih1tdu176l9sok5e0275i54/-FJPG/231265-002_BCK_1.jpg;https://dd3ka9h4chfr8.cloudfront.net/image/725136000567/image_7g5tsjb2f53bfbufhdqs4saj25/-FJPG/231265-002_DET_1.jpg;https://dd3ka9h4chfr8.cloudfront.net/image/725136000567/image_7msg0opoll143cq13aegfrc402/-FJPG/231265-002_DET_3.jpg;https://dd3ka9h4chfr8.cloudfront.net/image/725136000567/image_d10ha2f9tl5otd3nn72js9oq6r/-FJPG/231265-002_OPN_1.jpg;https://dd3ka9h4chfr8.cloudfront.net/image/725136000567/image_m42bkc3u3l3mfdi7elolpnt75s/-FJPG/231265-002_DET_4.jpg;https://dd3ka9h4chfr8.cloudfront.net/image/725136000567/image_502l0usl1l6j1ccpfhhdsjbd6t/-FJPG/231265-002_DET_5.jpg;https://dd3ka9h4chfr8.cloudfront.net/image/725136000567/image_litkp0282p45pdgio4g3i1fe4j/-FJPG/231265-002_DET_6.jpg;https://dd3ka9h4chfr8.cloudfront.net/image/725136000567/image_v45oj4mo5d7hf90gehj2gd2t0p/-FJPG/231265-002_DET_7.jpg</t>
  </si>
  <si>
    <t>231265-002</t>
  </si>
  <si>
    <t>https://dd3ka9h4chfr8.cloudfront.net/image/725136000567/image_jc5ca831cl6m5153657jv92j61/-FJPG/231265-002_FRT_1.jpg</t>
  </si>
  <si>
    <t>68.5</t>
  </si>
  <si>
    <t>{"value":68.5,"unit":"in"}</t>
  </si>
  <si>
    <t>Channeling inspiration from the Seventies, a sideboard of black ash adopts petite reeding for linear pattern, with chamfered edging and an extended base for an open look with bonus storage.</t>
  </si>
  <si>
    <t>{"value":72.24,"unit":"in"}</t>
  </si>
  <si>
    <t>{"value":22.76,"unit":"in"}</t>
  </si>
  <si>
    <t>{"value":36.3,"unit":"in"}</t>
  </si>
  <si>
    <t>{"value":218.26,"unit":"lb"}</t>
  </si>
  <si>
    <t>17.85"</t>
  </si>
  <si>
    <t>32.93"</t>
  </si>
  <si>
    <t>19.69"</t>
  </si>
  <si>
    <t>0.87"</t>
  </si>
  <si>
    <t>16.45"</t>
  </si>
  <si>
    <t>0.59"</t>
  </si>
  <si>
    <t>Barrister</t>
  </si>
  <si>
    <t>7.83"</t>
  </si>
  <si>
    <t>67.01"</t>
  </si>
  <si>
    <t>https://dd3ka9h4chfr8.cloudfront.net/image/725136000567/image_14hhigivpd2m7bm179q77r190v/-FJPG/231265-001_FRT_1.jpg;https://dd3ka9h4chfr8.cloudfront.net/image/725136000567/image_8v5qga4uk51jvf6664ul1efm5c/-FJPG/231265-001_PRM_1.jpg;https://dd3ka9h4chfr8.cloudfront.net/image/725136000567/image_065gpr7hcp2lndgf8dn6vp0q0m/-FJPG/231265-001_SID_1.jpg;https://dd3ka9h4chfr8.cloudfront.net/image/725136000567/image_nh4mejs6453v3db7qact55791l/-FJPG/231265-001_DET_2.jpg;https://dd3ka9h4chfr8.cloudfront.net/image/725136000567/image_1d81ci4drp69h8b7bsu5c0hd2k/-FJPG/231265-001_BCK_1.jpg;https://dd3ka9h4chfr8.cloudfront.net/image/725136000567/image_svesm0cmot6f1a2162bvorev2i/-FJPG/231265-001_DET_1.jpg;https://dd3ka9h4chfr8.cloudfront.net/image/725136000567/image_7rffdt57613qj0v16gqh8sdj2g/-FJPG/231265-001_DET_3.jpg;https://dd3ka9h4chfr8.cloudfront.net/image/725136000567/image_4uo84ui39d4f51js59jcgil30v/-FJPG/231265-001_OPN_1.jpg;https://dd3ka9h4chfr8.cloudfront.net/image/725136000567/image_ghs8v3htv964lbkc338uh0vr46/-FJPG/231265-001_DET_4.jpg;https://dd3ka9h4chfr8.cloudfront.net/image/725136000567/image_89qdobba2h1obaps1i7o5u1h4q/-FJPG/231265-001_DET_5.jpg;https://dd3ka9h4chfr8.cloudfront.net/image/725136000567/image_bqqg3ol9rt4o31gr2c640cse7i/-FJPG/231265-001_DET_6.jpg;https://dd3ka9h4chfr8.cloudfront.net/image/725136000567/image_h036hgoamp4mh0ek8vvta22168/-FJPG/231265-001_DET_7.jpg;https://dd3ka9h4chfr8.cloudfront.net/image/725136000567/image_56n0hve4it6j31sumlae836j5m/-FJPG/231265-001_VIG_1.jpg;https://dd3ka9h4chfr8.cloudfront.net/image/725136000567/image_1ns5kpgg1118p9cre3c3d8eh0m/-FJPG/231265-001_VIG_2.jpg;https://dd3ka9h4chfr8.cloudfront.net/image/725136000567/image_pu75gjgtj52gjau2jr6pud0c5r/-FJPG/231265-001_VIG_3.jpg</t>
  </si>
  <si>
    <t>231265-001</t>
  </si>
  <si>
    <t>https://dd3ka9h4chfr8.cloudfront.net/image/725136000567/image_14hhigivpd2m7bm179q77r190v/-FJPG/231265-001_FRT_1.jpg</t>
  </si>
  <si>
    <t>Channeling inspiration from the Seventies, a sideboard of natural ash adopts petite reeding for a linear look, with chamfered edging and an extended base for an open look with bonus storage.</t>
  </si>
  <si>
    <t>Cassio Dresser</t>
  </si>
  <si>
    <t>https://dd3ka9h4chfr8.cloudfront.net/image/725136000567/image_5ap7a9oka54fd6hng5cmlp5605/-FJPG/242188-001_FRT_1.jpg;https://dd3ka9h4chfr8.cloudfront.net/image/725136000567/image_9t4hastqnd5djbi22uviktu10t/-FJPG/242188-001_PRM_1.jpg;https://dd3ka9h4chfr8.cloudfront.net/image/725136000567/image_f9110s295d7i3ck4ppej11ho68/-FJPG/242188-001_SID_1.jpg;https://dd3ka9h4chfr8.cloudfront.net/image/725136000567/image_rpb2qaitl15k9a6qgvbd5pmf63/-FJPG/242188-001_ESS.tif;https://dd3ka9h4chfr8.cloudfront.net/image/725136000567/image_ndcdkmtj4p0h9ebmti5rh17r7v/-FJPG/242188-001_DET_2.jpg;https://dd3ka9h4chfr8.cloudfront.net/image/725136000567/image_klop0t7c8d38f38jgg936r9t0k/-FJPG/242188-001_BCK_1.jpg;https://dd3ka9h4chfr8.cloudfront.net/image/725136000567/image_9d9l60htqt2s198k559orb177b/-FJPG/242188-001_DET_1.jpg;https://dd3ka9h4chfr8.cloudfront.net/image/725136000567/image_b9ae5bjucp5pb65g5v2g0h8i3s/-FJPG/242188-001_DET_3.jpg;https://dd3ka9h4chfr8.cloudfront.net/image/725136000567/image_9kq2rk4til11t1o27c8ks46c0c/-FJPG/242188-001_OPN_1.jpg;https://dd3ka9h4chfr8.cloudfront.net/image/725136000567/image_f2kdsqtkjl2616rt5dl3djjt0h/-FJPG/242188-001_TOP_1.jpg;https://dd3ka9h4chfr8.cloudfront.net/image/725136000567/image_olndlkdvcp7lt2m0runb2omu6l/-FJPG/242188-001_DET_4.jpg;https://dd3ka9h4chfr8.cloudfront.net/image/725136000567/image_iseanin91p1atcg2cjavme6520/-FJPG/242188-001_DET_5.jpg;https://dd3ka9h4chfr8.cloudfront.net/image/725136000567/image_0hvmd429bt54l3id81ggmbkg6f/-FJPG/242188-001_DET_6.jpg;https://dd3ka9h4chfr8.cloudfront.net/image/725136000567/image_i9brgviv1l5rb1kfrm6736ad5q/-FJPG/242188-001_DET_7.jpg;https://dd3ka9h4chfr8.cloudfront.net/image/725136000567/image_17hdfbj8i51a33uiiric6lsk4h/-FJPG/242188-001_DET_8.jpg</t>
  </si>
  <si>
    <t>Natural Reclaimed French Oak</t>
  </si>
  <si>
    <t>242188-001</t>
  </si>
  <si>
    <t>281.97</t>
  </si>
  <si>
    <t>https://dd3ka9h4chfr8.cloudfront.net/image/725136000567/image_5ap7a9oka54fd6hng5cmlp5605/-FJPG/242188-001_FRT_1.jpg</t>
  </si>
  <si>
    <t>["Solid Reclaimed Oak","Brass"]</t>
  </si>
  <si>
    <t>88.5</t>
  </si>
  <si>
    <t>{"value":88.5,"unit":"in"}</t>
  </si>
  <si>
    <t>Dark Brass</t>
  </si>
  <si>
    <t>Designed by Thomas Bina and Ronald Sasson, a design partnership blending both modern minimalist and Brazilian influences. This grand-scale dresser is crafted from natural reclaimed French oak with plenty of graining, cracking and movement across the drawer fronts. Detailed with angled legs and exposed joinery on the top. Drawers are fully finished on the interior so each piece is beautiful inside and out.</t>
  </si>
  <si>
    <t>{"value":91.34,"unit":"in"}</t>
  </si>
  <si>
    <t>{"value":341.28,"unit":"lb"}</t>
  </si>
  <si>
    <t>Cassio</t>
  </si>
  <si>
    <t>12.80"</t>
  </si>
  <si>
    <t>5.39"</t>
  </si>
  <si>
    <t>37.32"</t>
  </si>
  <si>
    <t>Cassio Nightstand</t>
  </si>
  <si>
    <t>https://dd3ka9h4chfr8.cloudfront.net/image/725136000567/image_b3fv8qdvv11btdmfsnqcqhmh20/-FJPG/242186-001_FRT_1.jpg;https://dd3ka9h4chfr8.cloudfront.net/image/725136000567/image_5bc4ff2lnp6gb3k8cc6vi04r3e/-FJPG/242186-001_PRM_1.jpg;https://dd3ka9h4chfr8.cloudfront.net/image/725136000567/image_r17q3ji4ed07f5mn7657lhil20/-FJPG/242186-001_SID_1.jpg;https://dd3ka9h4chfr8.cloudfront.net/image/725136000567/image_qrrlil1ut947b7jm6i2klqi44i/-FJPG/242186-001_ESS_1.tif;https://dd3ka9h4chfr8.cloudfront.net/image/725136000567/image_2e62bul2rt73rfabotbad6576h/-FJPG/242186-001_DET_2.jpg;https://dd3ka9h4chfr8.cloudfront.net/image/725136000567/image_vb4f5acu1d1r7ff6b3gai5e36h/-FJPG/242186-001_BCK_1.jpg;https://dd3ka9h4chfr8.cloudfront.net/image/725136000567/image_idep95fff107faqedph5i4s868/-FJPG/242186-001_DET_1.jpg;https://dd3ka9h4chfr8.cloudfront.net/image/725136000567/image_p7dgd291t1503a03svmkkjg940/-FJPG/242186-001_DET_3.jpg;https://dd3ka9h4chfr8.cloudfront.net/image/725136000567/image_6djp5tpbnh6rf81a70uj7ob145/-FJPG/242186-001_OPN_1.jpg;https://dd3ka9h4chfr8.cloudfront.net/image/725136000567/image_qeokhbaul56n70shi5dhdb3i1a/-FJPG/242186-001_DET_4.jpg;https://dd3ka9h4chfr8.cloudfront.net/image/725136000567/image_64ilb61pft6a53h89fc2d34s1p/-FJPG/242186-001_DET_5.jpg;https://dd3ka9h4chfr8.cloudfront.net/image/725136000567/image_ns7tc4e9dp69pee65dupn6as6m/-FJPG/242186-001_DET_6.jpg;https://dd3ka9h4chfr8.cloudfront.net/image/725136000567/image_g8uti9a7j54epevleasjok7a5j/-FJPG/242186-001_DET_7.jpg;https://dd3ka9h4chfr8.cloudfront.net/image/725136000567/image_os9mr17a6t1p7amaq355sq306v/-FJPG/242186-001_DET_9.tif</t>
  </si>
  <si>
    <t>242186-001</t>
  </si>
  <si>
    <t>https://dd3ka9h4chfr8.cloudfront.net/image/725136000567/image_b3fv8qdvv11btdmfsnqcqhmh20/-FJPG/242186-001_FRT_1.jpg</t>
  </si>
  <si>
    <t>Designed by Thomas Bina and Ronald Sasson, a design partnership blending both modern minimalist and Brazilian influences. Nightstand is crafted from natural reclaimed French oak with plenty of graining, cracking and movement across the drawer fronts. Detailed with angled legs and exposed joinery on the top. Drawers are fully finished on the interior so each piece is beautiful inside and out.</t>
  </si>
  <si>
    <t>{"value":93.26,"unit":"lb"}</t>
  </si>
  <si>
    <t>9.72"</t>
  </si>
  <si>
    <t>2.95"</t>
  </si>
  <si>
    <t>20.16"</t>
  </si>
  <si>
    <t>Cassius Chair</t>
  </si>
  <si>
    <t>https://dd3ka9h4chfr8.cloudfront.net/image/725136000567/image_v4eft2u3jt3uhdmcd1jpbiri0m/-FJPG/226548-001_FRT_1.jpg;https://dd3ka9h4chfr8.cloudfront.net/image/725136000567/image_b9u7j20emp1qd5351vpa9d9j2q/-FJPG/226548-001_PRM_1.jpg;https://dd3ka9h4chfr8.cloudfront.net/image/725136000567/image_48eophaa317nn7icipmlbnr360/-FJPG/226548-001_SID_1.jpg;https://dd3ka9h4chfr8.cloudfront.net/image/725136000567/image_t5tsbd5ggp03h1n19ad9pgb333/-FJPG/226548-001_ESS_1.jpg;https://dd3ka9h4chfr8.cloudfront.net/image/725136000567/image_lk0qo5cd7h16tbfh80ej573m4m/-FJPG/226548-001_BCK_1.jpg;https://dd3ka9h4chfr8.cloudfront.net/image/725136000567/image_s4kvf5du8t0unbi0auilc5ra5f/-FJPG/226548-001_INF_1.jpg;https://dd3ka9h4chfr8.cloudfront.net/image/725136000567/image_ajpg64ohel57f329o97i1unu77/-FJPG/226548-001_DET_1.jpg;https://dd3ka9h4chfr8.cloudfront.net/image/725136000567/image_39ocknahkt259b329qe98f8v73/-FJPG/226548-001_DET_3.jpg;https://dd3ka9h4chfr8.cloudfront.net/image/725136000567/image_0li7c48p2t6avb5s90v39er042/-FJPG/226548-001_DET_4.jpg;https://dd3ka9h4chfr8.cloudfront.net/image/725136000567/image_3p21o5eqa13l79v5j81ob5rv7a/-FJPG/226548-001_DET_5.jpg;https://dd3ka9h4chfr8.cloudfront.net/image/725136000567/image_bg11j0skgp2rv08v89vh9ck73f/-FJPG/226548-001_DET_6.jpg</t>
  </si>
  <si>
    <t>Torrance Silver</t>
  </si>
  <si>
    <t>226548-001</t>
  </si>
  <si>
    <t>79.81</t>
  </si>
  <si>
    <t>https://dd3ka9h4chfr8.cloudfront.net/image/725136000567/image_v4eft2u3jt3uhdmcd1jpbiri0m/-FJPG/226548-001_FRT_1.jpg</t>
  </si>
  <si>
    <t>["100% Recycled Olefin","Acrylic","Solid Parawood"]</t>
  </si>
  <si>
    <t>Clear Acrylic</t>
  </si>
  <si>
    <t>Mixed materials for total modernity. Clear acrylic forms panel-style framing for curved parawood dowels, with float-like seating made from 100% recycled olefin from Turkey.</t>
  </si>
  <si>
    <t>{"value":37.4,"unit":"in"}</t>
  </si>
  <si>
    <t>{"value":100.09,"unit":"lb"}</t>
  </si>
  <si>
    <t>Cassius</t>
  </si>
  <si>
    <t>Caya End Table</t>
  </si>
  <si>
    <t>https://dd3ka9h4chfr8.cloudfront.net/image/725136000567/image_qnkl4lja2t021drlnfsh3pfo1l/-FJPG/243829-001_FRT_1.jpg;https://dd3ka9h4chfr8.cloudfront.net/image/725136000567/image_ghlvu4su4p0tbabiiioauh2n6e/-FJPG/243829-001_PRM_1.jpg;https://dd3ka9h4chfr8.cloudfront.net/image/725136000567/image_ad8dcebv5l6bt8f9f8ndm6t525/-FJPG/243829-001_SID_1.jpg;https://dd3ka9h4chfr8.cloudfront.net/image/725136000567/image_qjq6ae9sa56713btbbo4sjos07/-FJPG/243829-001_ESS.tif;https://dd3ka9h4chfr8.cloudfront.net/image/725136000567/image_nte0v2d1ip0mvchui2csmhdb5t/-FJPG/243829-001_DET_2.jpg;https://dd3ka9h4chfr8.cloudfront.net/image/725136000567/image_cqpclb4bjl3995j0t82nbg431h/-FJPG/243829-001_BCK_1.jpg;https://dd3ka9h4chfr8.cloudfront.net/image/725136000567/image_2mqm6nrq6h6ehfsbhv10a46i0r/-FJPG/243829-001_DET_1.jpg;https://dd3ka9h4chfr8.cloudfront.net/image/725136000567/image_3pqh9b6mi57tbfiphsf4fm8668/-FJPG/243829-001_DET_3.jpg;https://dd3ka9h4chfr8.cloudfront.net/image/725136000567/image_ibg9thhq4l6qh4iv51if5o6f11/-FJPG/243829-001_DET_4.jpg;https://dd3ka9h4chfr8.cloudfront.net/image/725136000567/image_grvoulhs3l1hn7ksop5v9uvf39/-FJPG/243829-001_DET_5.jpg;https://dd3ka9h4chfr8.cloudfront.net/image/725136000567/image_77t5desurl6jh4ht1ssi42rd7p/-FJPG/243829-001_DET_10.tif</t>
  </si>
  <si>
    <t>Caramel Burl</t>
  </si>
  <si>
    <t>243829-001</t>
  </si>
  <si>
    <t>22.05</t>
  </si>
  <si>
    <t>https://dd3ka9h4chfr8.cloudfront.net/image/725136000567/image_qnkl4lja2t021drlnfsh3pfo1l/-FJPG/243829-001_FRT_1.jpg</t>
  </si>
  <si>
    <t>21.75</t>
  </si>
  <si>
    <t>Hughes</t>
  </si>
  <si>
    <t>A simple drum shape showcases the natural artistry of the richly grained caramel burl veneer. Its compact size is ideal for smaller spaces.</t>
  </si>
  <si>
    <t>{"value":21.06,"unit":"in"}</t>
  </si>
  <si>
    <t>{"value":33.07,"unit":"lb"}</t>
  </si>
  <si>
    <t>Caya</t>
  </si>
  <si>
    <t>Celeste Accent Bench</t>
  </si>
  <si>
    <t>https://dd3ka9h4chfr8.cloudfront.net/image/725136000567/image_hqg6t0dq454on2hhlgb49rtc5d/-FJPG/247961-001_FRT_1.JPG;https://dd3ka9h4chfr8.cloudfront.net/image/725136000567/image_co7j7n8o9l4sn2tkgco5iht92c/-FJPG/247961-001_PRM_1.JPG;https://dd3ka9h4chfr8.cloudfront.net/image/725136000567/image_l6864ve7qp6p5atskdscb0s82e/-FJPG/247961-001_SID_1.JPG;https://dd3ka9h4chfr8.cloudfront.net/image/725136000567/image_5rnf10lssd4f91ej54p8a4rv6n/-FJPG/247961-001_ESS.tif;https://dd3ka9h4chfr8.cloudfront.net/image/725136000567/image_3k8t8a512l0nv3tc3mmo4ohq3i/-FJPG/247961-001_DET_2.JPG;https://dd3ka9h4chfr8.cloudfront.net/image/725136000567/image_75bkoks4r50r5bjbflu6du705o/-FJPG/247961-001_BCK_1.JPG;https://dd3ka9h4chfr8.cloudfront.net/image/725136000567/image_5oeic6ngh920h0e3utej61ut2s/-FJPG/247961-001_DET_1.JPG;https://dd3ka9h4chfr8.cloudfront.net/image/725136000567/image_hrfc16irbd7er35a61f4v8pj0l/-FJPG/247961-001_DET_3.JPG;https://dd3ka9h4chfr8.cloudfront.net/image/725136000567/image_p7b7cupr590idd3jo6868grk2d/-FJPG/247961-001_DET_4.JPG;https://dd3ka9h4chfr8.cloudfront.net/image/725136000567/image_dr817pqloh75t9m7tkg6q70t3g/-FJPG/247961-001_DET_5.JPG;https://dd3ka9h4chfr8.cloudfront.net/image/725136000567/image_p3ld1o0i656gp6sejt2u81pt4t/-FJPG/247961-001_DET_6.JPG;https://dd3ka9h4chfr8.cloudfront.net/image/725136000567/image_1qajp6nlh57b9fskn1ibpq3h0g/-FJPG/247961-001_DET_9.tif</t>
  </si>
  <si>
    <t>Altair Mushroom</t>
  </si>
  <si>
    <t>247961-001</t>
  </si>
  <si>
    <t>78.7</t>
  </si>
  <si>
    <t>https://dd3ka9h4chfr8.cloudfront.net/image/725136000567/image_hqg6t0dq454on2hhlgb49rtc5d/-FJPG/247961-001_FRT_1.JPG</t>
  </si>
  <si>
    <t>["100% Polyester","Thick Ash Veneer"]</t>
  </si>
  <si>
    <t>73</t>
  </si>
  <si>
    <t>{"value":73,"unit":"in"}</t>
  </si>
  <si>
    <t>Toasted Ash Thick Veneer</t>
  </si>
  <si>
    <t>Elevate any room with a curvy statement bench. Made from a kidney-shaped base of toasted ash veneer and a soft, velvety seat.</t>
  </si>
  <si>
    <t>{"value":74.02,"unit":"in"}</t>
  </si>
  <si>
    <t>{"value":109.35,"unit":"lb"}</t>
  </si>
  <si>
    <t>20.25"</t>
  </si>
  <si>
    <t>73.00"</t>
  </si>
  <si>
    <t>Celeste</t>
  </si>
  <si>
    <t>Celine Chair</t>
  </si>
  <si>
    <t>https://dd3ka9h4chfr8.cloudfront.net/image/725136000567/image_h05pbendf146d79upp5uvppe43/-FJPG/245887-001_FRT_1.jpg;https://dd3ka9h4chfr8.cloudfront.net/image/725136000567/image_8qfn2jeald2hbfuichiiubph3b/-FJPG/245887-001_PRM_1.jpg;https://dd3ka9h4chfr8.cloudfront.net/image/725136000567/image_h1phvhoubd6vt2ljs34so6bd67/-FJPG/245887-001_SID_1.jpg;https://dd3ka9h4chfr8.cloudfront.net/image/725136000567/image_96mbfven952nh3olapim72i374/-FJPG/245887-001_ESS.tif;https://dd3ka9h4chfr8.cloudfront.net/image/725136000567/image_8f81mj7p157klersk4f0h3vj05/-FJPG/245887-001_DET_2.jpg;https://dd3ka9h4chfr8.cloudfront.net/image/725136000567/image_skge2f0k6h5m39a3qd3l44kr7o/-FJPG/245887-001_BCK_1.jpg;https://dd3ka9h4chfr8.cloudfront.net/image/725136000567/image_9b0h5bhr5h37396m7gurbeln5f/-FJPG/245887-001_DET_1.jpg;https://dd3ka9h4chfr8.cloudfront.net/image/725136000567/image_f0bi312bcd5ar9upi12nbiit66/-FJPG/245887-001_DET_3.jpg;https://dd3ka9h4chfr8.cloudfront.net/image/725136000567/image_5s31pgb5m56pv1pjauj28p7v6u/-FJPG/245887-001_DET_4.jpg;https://dd3ka9h4chfr8.cloudfront.net/image/725136000567/image_25bfflbhcp3of9pcfl5nk68r79/-FJPG/245887-001_DET_5.jpg;https://dd3ka9h4chfr8.cloudfront.net/image/725136000567/image_vcq4284m3h019f3p28pmmhql77/-FJPG/245887-001_DET_6.jpg;https://dd3ka9h4chfr8.cloudfront.net/image/725136000567/image_s1ooenuikt1th9vr3efvb5980d/-FJPG/245887-001_DET_9.tif;https://dd3ka9h4chfr8.cloudfront.net/image/725136000567/image_cvarudf1kl2dt0v4sl97qgg219/-FJPG/FHMPRJ-018_SCENE_2.tif</t>
  </si>
  <si>
    <t>Monte Olive</t>
  </si>
  <si>
    <t>245887-001</t>
  </si>
  <si>
    <t>https://dd3ka9h4chfr8.cloudfront.net/image/725136000567/image_h05pbendf146d79upp5uvppe43/-FJPG/245887-001_FRT_1.jpg</t>
  </si>
  <si>
    <t>["50% Viscose","50% Wool","Solid Oak"]</t>
  </si>
  <si>
    <t>This perfect accent chair, designed for unwinding. Upholstered in a velvety olive chenille made from recycled materials, with wide proportions and cozy curves and cushioning. Slim, tapered wooden legs balance the look.</t>
  </si>
  <si>
    <t>{"value":48.72,"unit":"lb"}</t>
  </si>
  <si>
    <t>Celine</t>
  </si>
  <si>
    <t>Chalmers Media Console</t>
  </si>
  <si>
    <t>https://dd3ka9h4chfr8.cloudfront.net/image/725136000567/image_4o0akq3drp7r55h900ckh5354l/-FJPG/241031-001_FRT_1.jpg;https://dd3ka9h4chfr8.cloudfront.net/image/725136000567/image_tif1n5ago57vrfhms0vul8n81m/-FJPG/241031-001_PRM_1.jpg;https://dd3ka9h4chfr8.cloudfront.net/image/725136000567/image_8ifpik43ld43v59niinm69jb7g/-FJPG/241031-001_SID_1.jpg;https://dd3ka9h4chfr8.cloudfront.net/image/725136000567/image_hoolsbuon94s7ad230igd7di0f/-FJPG/241031-001_DET_2.jpg;https://dd3ka9h4chfr8.cloudfront.net/image/725136000567/image_vd5t8mejm53vjcnobvi30lpn20/-FJPG/241031-001_BCK_1.jpg;https://dd3ka9h4chfr8.cloudfront.net/image/725136000567/image_sjq2h9hool1df7mqtms9qoe227/-FJPG/241031-001_DET_1.jpg;https://dd3ka9h4chfr8.cloudfront.net/image/725136000567/image_t4rlnrh52l1ajfdgqu5rgo5t1p/-FJPG/241031-001_DET_3.jpg;https://dd3ka9h4chfr8.cloudfront.net/image/725136000567/image_cfq7qc01u577v7rqdlbgv0do0r/-FJPG/241031-001_OPN_1.jpg;https://dd3ka9h4chfr8.cloudfront.net/image/725136000567/image_9dks3clan503n57vkp41u39i73/-FJPG/241031-001_DET_4.jpg;https://dd3ka9h4chfr8.cloudfront.net/image/725136000567/image_djn7pfo18d6ljb4879nv073q69/-FJPG/241031-001_DET_5.jpg;https://dd3ka9h4chfr8.cloudfront.net/image/725136000567/image_t255i626q15ur19joakh2p9q3c/-FJPG/241031-001_DET_6.jpg;https://dd3ka9h4chfr8.cloudfront.net/image/725136000567/image_a0ibhmd8lt1kj4hdblnl2jm373/-FJPG/241031-001_DET_7.jpg;https://dd3ka9h4chfr8.cloudfront.net/image/725136000567/image_bdrcfid90t49d7bcek1ms6hi06/-FJPG/241031-001_ESS.tif</t>
  </si>
  <si>
    <t>Weathered Oak Veneer</t>
  </si>
  <si>
    <t>241031-001</t>
  </si>
  <si>
    <t>194</t>
  </si>
  <si>
    <t>https://dd3ka9h4chfr8.cloudfront.net/image/725136000567/image_4o0akq3drp7r55h900ckh5354l/-FJPG/241031-001_FRT_1.jpg</t>
  </si>
  <si>
    <t>Anchored by a wide, stately frame with clever relief detail, this media console celebrates the natural beauty of oak. Push-latch doors create a clean, modern profile, placing emphasis on a warm, weathered finish.</t>
  </si>
  <si>
    <t>{"value":88.19,"unit":"in"}</t>
  </si>
  <si>
    <t>{"value":33.27,"unit":"in"}</t>
  </si>
  <si>
    <t>{"value":248.02,"unit":"lb"}</t>
  </si>
  <si>
    <t>18.35"</t>
  </si>
  <si>
    <t>38.80"</t>
  </si>
  <si>
    <t>Chalmers</t>
  </si>
  <si>
    <t>19.40"</t>
  </si>
  <si>
    <t>Chance Chair</t>
  </si>
  <si>
    <t>https://dd3ka9h4chfr8.cloudfront.net/image/725136000567/image_dqu5u84o4d6ld89hrjhao75h0h/-FJPG/CKEN-11247-08_FRT_1.jpg;https://dd3ka9h4chfr8.cloudfront.net/image/725136000567/image_jbe5i5vcq12n90uplltp4ovo48/-FJPG/CKEN-11247-08_PRM_1.jpg;https://dd3ka9h4chfr8.cloudfront.net/image/725136000567/image_a2uhascfbl3175almlitcpst16/-FJPG/CKEN-11247-08_SID_1.jpg;https://dd3ka9h4chfr8.cloudfront.net/image/725136000567/image_872biiab3l44l30sc80lept52n/-FJPG/CKEN-11247-08_DET_2.jpg;https://dd3ka9h4chfr8.cloudfront.net/image/725136000567/image_so9buqdu457gl0tunvu3q8b37l/-FJPG/CKEN-11247-08_BCK_1.jpg;https://dd3ka9h4chfr8.cloudfront.net/image/725136000567/image_0muvtdst2p6t756panlk526l39/-FJPG/CKEN-11247-08_DET_1.jpg;https://dd3ka9h4chfr8.cloudfront.net/image/725136000567/image_8ttpsge6g97473h4an8eu3lc42/-FJPG/CKEN-11247-08_DET_3.jpg;https://dd3ka9h4chfr8.cloudfront.net/image/725136000567/image_4bfgou995t6f9evtnkobqedu5b/-FJPG/CKEN-11247-08_DET_4.jpg;https://dd3ka9h4chfr8.cloudfront.net/image/725136000567/image_gghfng85q55v3ci2t02mb90p36/-FJPG/CKEN-11247-08_DET_5.jpg;https://dd3ka9h4chfr8.cloudfront.net/image/725136000567/image_9teslm0li14296f979brsnnn5t/-FJPG/CKEN-11247-08_DET_6.jpg;https://dd3ka9h4chfr8.cloudfront.net/image/725136000567/image_f4t3t1ojn52r5fgr2mmgj4l16a/-FJPG/CKEN-11247-08_DET_7.jpg;https://dd3ka9h4chfr8.cloudfront.net/image/725136000567/image_a71al8v47l5rp02v2mf9hgcv1j/-FJPG/CKEN-11247-08_ROM_1.jpg;https://dd3ka9h4chfr8.cloudfront.net/image/725136000567/image_h6ple0jj0d4sha18iibg0no152/-FJPG/CKEN-11247-08_ROM_2.jpg;https://dd3ka9h4chfr8.cloudfront.net/image/725136000567/image_9etjvmcrft5on1ppqhe93rgn2u/-FJPG/CKEN-11247-08_BCK_2.jpg</t>
  </si>
  <si>
    <t>CKEN-11247-08</t>
  </si>
  <si>
    <t>36.38</t>
  </si>
  <si>
    <t>https://dd3ka9h4chfr8.cloudfront.net/image/725136000567/image_dqu5u84o4d6ld89hrjhao75h0h/-FJPG/CKEN-11247-08_FRT_1.jpg</t>
  </si>
  <si>
    <t>36.25</t>
  </si>
  <si>
    <t>{"value":36.25,"unit":"in"}</t>
  </si>
  <si>
    <t>Invitingly curved seat with dramatic horizontal channels is covered in soft, camel-colored top-grain leather. Rich, tonal frame captures alluring negativeâ€”and positiveâ€”spaces.</t>
  </si>
  <si>
    <t>L Shape Box</t>
  </si>
  <si>
    <t>16.75"</t>
  </si>
  <si>
    <t>Chance</t>
  </si>
  <si>
    <t>7.25"</t>
  </si>
  <si>
    <t>8.75"</t>
  </si>
  <si>
    <t>Chance Recliner</t>
  </si>
  <si>
    <t>https://dd3ka9h4chfr8.cloudfront.net/image/725136000567/image_3b3l797ubl5o3d9bepiueqsk1u/-FJPG/CKEN-17371-849_FRT_1.jpg;https://dd3ka9h4chfr8.cloudfront.net/image/725136000567/image_2hek6hl4e97rf2p5d2gfgelr7k/-FJPG/CKEN-17371-849_PRM_1.jpg;https://dd3ka9h4chfr8.cloudfront.net/image/725136000567/image_rk2gcpoifl39lc7s9ii0p7ol7n/-FJPG/CKEN-17371-849_SID_1.jpg;https://dd3ka9h4chfr8.cloudfront.net/image/725136000567/image_575b3llue519p176ck0vkh5b65/-FJPG/CKEN-17371-849_ESS_1.jpg;https://dd3ka9h4chfr8.cloudfront.net/image/725136000567/image_075eaoolo5371b4u70mu1vfm0i/-FJPG/CKEN-17371-849_DET_2.jpg;https://dd3ka9h4chfr8.cloudfront.net/image/725136000567/image_149nudpk2d0sr03ub11pbv276i/-FJPG/CKEN-17371-849_BCK_1.jpg;https://dd3ka9h4chfr8.cloudfront.net/image/725136000567/image_0p56q89d2l6m34264htqpj1e6h/-FJPG/CKEN-17371-849_DET_1.jpg;https://dd3ka9h4chfr8.cloudfront.net/image/725136000567/image_n67445nfrl607ave8mlvsudm5b/-FJPG/CKEN-17371-849_DET_3.jpg;https://dd3ka9h4chfr8.cloudfront.net/image/725136000567/image_tvgnrdrqip5dvdvhrs5o92kq7t/-FJPG/CKEN-17371-849_DET_4.jpg;https://dd3ka9h4chfr8.cloudfront.net/image/725136000567/image_i87cgtfq254stcje8fvuju1a37/-FJPG/CKEN-17371-849_DET_5.jpg;https://dd3ka9h4chfr8.cloudfront.net/image/725136000567/image_hsihmtl9fh7kn0g5qjq6j84o6t/-FJPG/CKEN-17371-849_DET_6.jpg;https://dd3ka9h4chfr8.cloudfront.net/image/725136000567/image_gmpq5ehlud09vbkatqp72lu02i/-FJPG/CKEN-17371-849_DET_7.jpg;https://dd3ka9h4chfr8.cloudfront.net/image/725136000567/image_mgfshqaetp5c16echra36a4g3b/-FJPG/CKEN-17371-849_ESS_2.jpg;https://dd3ka9h4chfr8.cloudfront.net/image/725136000567/image_tefhb5uls90ab9a8si8unecm43/-FJPG/CKEN-17371-849_PRM_2.jpg;https://dd3ka9h4chfr8.cloudfront.net/image/725136000567/image_vn9n7g64615rn2nruaionj5071/-FJPG/CKEN-17371-849_SID_2.jpg;https://dd3ka9h4chfr8.cloudfront.net/image/725136000567/image_90vqrhakr17epdo8e8umq7gr1o/-FJPG/CKEN-17371-849_PRM_3.jpg</t>
  </si>
  <si>
    <t>CKEN-17371-849</t>
  </si>
  <si>
    <t>57.32</t>
  </si>
  <si>
    <t>https://dd3ka9h4chfr8.cloudfront.net/image/725136000567/image_3b3l797ubl5o3d9bepiueqsk1u/-FJPG/CKEN-17371-849_FRT_1.jpg</t>
  </si>
  <si>
    <t>A dramatically shaped mid-century frame, modernized by channel tufting. Black top-grain leather contrasts with natural parawood, for a clean, cool look with vintage airs. A push recliner takes this forward-thinking lounger to the next level.</t>
  </si>
  <si>
    <t>Complete Item, L Shape</t>
  </si>
  <si>
    <t>{"value":80.47,"unit":"lb"}</t>
  </si>
  <si>
    <t>57.50"</t>
  </si>
  <si>
    <t>https://dd3ka9h4chfr8.cloudfront.net/image/725136000567/image_al41o91o716d14vj5dva8jbh0s/-FJPG/CKEN-17347-208_FRT_1.jpg;https://dd3ka9h4chfr8.cloudfront.net/image/725136000567/image_fjj9pfbpn14in77echag3rsr62/-FJPG/CKEN-17347-208_PRM_1.jpg;https://dd3ka9h4chfr8.cloudfront.net/image/725136000567/image_knfo954hv91qn6rqmn39b6do43/-FJPG/CKEN-17347-208_SID_1.jpg;https://dd3ka9h4chfr8.cloudfront.net/image/725136000567/image_gp3pfaqkil20765lu88na4uq31/-FJPG/CKEN-17347-208_DET_2.jpg;https://dd3ka9h4chfr8.cloudfront.net/image/725136000567/image_s8e92qvdl50at4fbhehbtgaj1p/-FJPG/CKEN-17347-208_BCK_1.jpg;https://dd3ka9h4chfr8.cloudfront.net/image/725136000567/image_vjq9bqbda96r13skrkjk0fb66d/-FJPG/CKEN-17347-208_DET_1.jpg;https://dd3ka9h4chfr8.cloudfront.net/image/725136000567/image_7l4h3496ih32990dvplfcnan1l/-FJPG/CKEN-17347-208_DET_3.jpg;https://dd3ka9h4chfr8.cloudfront.net/image/725136000567/image_332uajn9kh2rh5rb4car769s0i/-FJPG/CKEN-17347-208_OPN_1.jpg;https://dd3ka9h4chfr8.cloudfront.net/image/725136000567/image_ut6t07p5n93ml3grvp4rstid2h/-FJPG/CKEN-17347-208_DET_4.jpg;https://dd3ka9h4chfr8.cloudfront.net/image/725136000567/image_buiqdkug6t3indr3tg6b9fjp4a/-FJPG/CKEN-17347-208_DET_5.jpg;https://dd3ka9h4chfr8.cloudfront.net/image/725136000567/image_qngft9o2up1blb565hqdi2d14f/-FJPG/CKEN-17347-208_DET_6.jpg;https://dd3ka9h4chfr8.cloudfront.net/image/725136000567/image_j8f9nsph990116f06rji06s065/-FJPG/CKEN-17347-208_DET_7.jpg;https://dd3ka9h4chfr8.cloudfront.net/image/725136000567/image_4rp0nccusd3dp3tpu5orhmnk7q/-FJPG/CKEN-17347-208_ROM_1.jpg;https://dd3ka9h4chfr8.cloudfront.net/image/725136000567/image_qk0akbq4b9569ct0p4l32jgp4f/-FJPG/CKEN-17347-208_ROM_2.jpg;https://dd3ka9h4chfr8.cloudfront.net/image/725136000567/image_403p2cg07h25p4j3p6v5m08c2q/-FJPG/CKEN-17347-208_OPN_2.jpg;https://dd3ka9h4chfr8.cloudfront.net/image/725136000567/image_51n7jril9h3fb2ta8hnq14j10d/-FJPG/CKEN-17347-208_PRM_3.gif</t>
  </si>
  <si>
    <t>CKEN-17347-208</t>
  </si>
  <si>
    <t>https://dd3ka9h4chfr8.cloudfront.net/image/725136000567/image_al41o91o716d14vj5dva8jbh0s/-FJPG/CKEN-17347-208_FRT_1.jpg</t>
  </si>
  <si>
    <t>Invitingly curved seat with dramatic horizontal channels is covered in soft, camel-colored top-grain leather. Rich, tonal frame captures alluring negativeâ€”and positiveâ€”spaces. A push recliner takes this forward-thinking lounger to the next level.</t>
  </si>
  <si>
    <t>https://dd3ka9h4chfr8.cloudfront.net/image/725136000567/image_at3b068km51gvb06j12u03n71c/-FJPG/CKEN-17347-188_FRT_1.jpg;https://dd3ka9h4chfr8.cloudfront.net/image/725136000567/image_akke4vlepd2rvbl2ol2d46kj5q/-FJPG/CKEN-17347-188_PRM_1.jpg;https://dd3ka9h4chfr8.cloudfront.net/image/725136000567/image_0htt1sj3455jl1mkodmc3ct04g/-FJPG/CKEN-17347-188_SID_1.jpg;https://dd3ka9h4chfr8.cloudfront.net/image/725136000567/image_6mo9t7ni3h08j59vrgjhjuip1v/-FJPG/CKEN-17347-188_DET_2.jpg;https://dd3ka9h4chfr8.cloudfront.net/image/725136000567/image_t6oq3g3nhd0r9ao1mc5a8jae17/-FJPG/CKEN-17347-188_BCK_1.jpg;https://dd3ka9h4chfr8.cloudfront.net/image/725136000567/image_eu2v07rcb958jctig991pdsf47/-FJPG/CKEN-17347-188_DET_1.jpg;https://dd3ka9h4chfr8.cloudfront.net/image/725136000567/image_vns4tkc9vp5lvernhj1sgbq83s/-FJPG/CKEN-17347-188_DET_3.jpg;https://dd3ka9h4chfr8.cloudfront.net/image/725136000567/image_9j9118r0c91hbcossjra36r85s/-FJPG/CKEN-17347-188_OPN_1.jpg;https://dd3ka9h4chfr8.cloudfront.net/image/725136000567/image_hdhvamfd952b903sa858lofg4u/-FJPG/CKEN-17347-188_DET_4.jpg;https://dd3ka9h4chfr8.cloudfront.net/image/725136000567/image_5ek886nbd56m35bneap472622p/-FJPG/CKEN-17347-188_DET_5.jpg;https://dd3ka9h4chfr8.cloudfront.net/image/725136000567/image_4jju0enffh70d79icunqpmnj2u/-FJPG/CKEN-17347-188_DET_6.jpg;https://dd3ka9h4chfr8.cloudfront.net/image/725136000567/image_aat50aaot929t3ee85u8na275o/-FJPG/CKEN-17347-188_DET_7.jpg;https://dd3ka9h4chfr8.cloudfront.net/image/725136000567/image_ilkdf835qh0b956a8hm6j5vu6o/-FJPG/CKEN-17347-188_ROM_1.jpg;https://dd3ka9h4chfr8.cloudfront.net/image/725136000567/image_bk9q6b44ap6pl43r79pojsj46t/-FJPG/CKEN-17347-188_ROM_2.jpg</t>
  </si>
  <si>
    <t>Linen Natural</t>
  </si>
  <si>
    <t>CKEN-17347-188</t>
  </si>
  <si>
    <t>https://dd3ka9h4chfr8.cloudfront.net/image/725136000567/image_at3b068km51gvb06j12u03n71c/-FJPG/CKEN-17347-188_FRT_1.jpg</t>
  </si>
  <si>
    <t>["82% Viscose (Rayon)","14% Flax/Linen","4% Polyester","Solid Parawood"]</t>
  </si>
  <si>
    <t>A dramatically shaped mid-century frame meets with on-trend channel tufting. Pale, neutral upholstery contrasts with dark sienna brown parawood. A push recliner takes this forward-thinking lounger to the next level.</t>
  </si>
  <si>
    <t>https://dd3ka9h4chfr8.cloudfront.net/image/725136000567/image_ks2u8uhcil72jfc8apf17ct01r/-FJPG/106051-010_FRT_1.jpg;https://dd3ka9h4chfr8.cloudfront.net/image/725136000567/image_dtdac61nn91bv696d3fcsggj79/-FJPG/106051-010_PRM_1.jpg;https://dd3ka9h4chfr8.cloudfront.net/image/725136000567/image_8lkugtl0il62d5166gjccntl1m/-FJPG/106051-010_SID_1.jpg;https://dd3ka9h4chfr8.cloudfront.net/image/725136000567/image_c319339a057pn0t1djbr43tu2l/-FJPG/106051-010_ESS_1.jpg;https://dd3ka9h4chfr8.cloudfront.net/image/725136000567/image_pfrmqq3fm93cj2mdr9nmemag2d/-FJPG/106051-010_DET_2.jpg;https://dd3ka9h4chfr8.cloudfront.net/image/725136000567/image_smdci666m96qlab2c1ums59e5n/-FJPG/106051-010_BCK_1.jpg;https://dd3ka9h4chfr8.cloudfront.net/image/725136000567/image_h8h39hi63d7af3qftk095o794k/-FJPG/106051-010_DET_1.jpg;https://dd3ka9h4chfr8.cloudfront.net/image/725136000567/image_ciacj0rpbd2m7178mmur1k4v76/-FJPG/106051-010_DET_3.jpg;https://dd3ka9h4chfr8.cloudfront.net/image/725136000567/image_ckrtadjdnh7r3edo2rh7k1lt0l/-FJPG/106051-010_OPN_1.jpg;https://dd3ka9h4chfr8.cloudfront.net/image/725136000567/image_47bk2blu816ov75enb1uqc267r/-FJPG/106051-010_DET_4.jpg;https://dd3ka9h4chfr8.cloudfront.net/image/725136000567/image_i5f1hqm9s52pdfljusr3l1p536/-FJPG/106051-010_DET_5.jpg;https://dd3ka9h4chfr8.cloudfront.net/image/725136000567/image_id85dj3gcp5sbdmoa6trmoos0f/-FJPG/106051-010_DET_6.jpg;https://dd3ka9h4chfr8.cloudfront.net/image/725136000567/image_9v48gkcjtt60hfi761q8ba6o26/-FJPG/106051-010_DET_7.jpg;https://dd3ka9h4chfr8.cloudfront.net/image/725136000567/image_m10kpia0eh6958rdvmjqj2gn1n/-FJPG/106051-010_DET_8.jpg</t>
  </si>
  <si>
    <t>Palermo Nude</t>
  </si>
  <si>
    <t>106051-010</t>
  </si>
  <si>
    <t>https://dd3ka9h4chfr8.cloudfront.net/image/725136000567/image_ks2u8uhcil72jfc8apf17ct01r/-FJPG/106051-010_FRT_1.jpg</t>
  </si>
  <si>
    <t>A dramatically shaped midcentury silhouette, modernized with channel tufting. Upholstered in a nude hue top-grain leather with natural whitewashed ash framing for a clean, monochromatic look. A push recliner takes this forward-thinking lounger to the next level.</t>
  </si>
  <si>
    <t>Channing Chaise</t>
  </si>
  <si>
    <t>https://dd3ka9h4chfr8.cloudfront.net/image/725136000567/image_bs8i1h1nqd39tf6tmuqn5t4m70/-FJPG/243413-002_FRT_1.jpg;https://dd3ka9h4chfr8.cloudfront.net/image/725136000567/image_dtcbncsddp1190p23apeei5l2v/-FJPG/243413-002_PRM_1.jpg;https://dd3ka9h4chfr8.cloudfront.net/image/725136000567/image_tivtqjlpch3vn065ovb4u2t556/-FJPG/243413-002_SID_1.jpg;https://dd3ka9h4chfr8.cloudfront.net/image/725136000567/image_336ogipd4p0p1286r41e805f3j/-FJPG/243413-002_DET_2.jpg;https://dd3ka9h4chfr8.cloudfront.net/image/725136000567/image_nnbjhqcoe53vr89d7kh6vrog3v/-FJPG/243413-002_BCK_1.jpg;https://dd3ka9h4chfr8.cloudfront.net/image/725136000567/image_0eea6eo13l7mlf6j1ptpd5fv6s/-FJPG/243413-002_DET_1.jpg;https://dd3ka9h4chfr8.cloudfront.net/image/725136000567/image_3ofita8a8p7jd634jlm0inag5j/-FJPG/243413-002_DET_3.jpg;https://dd3ka9h4chfr8.cloudfront.net/image/725136000567/image_76cv9chuht5399n7fau9i08f15/-FJPG/243413-002_TOP_1.jpg;https://dd3ka9h4chfr8.cloudfront.net/image/725136000567/image_qc6djamb254530bgmg2erf864b/-FJPG/243413-002_DET_4.jpg;https://dd3ka9h4chfr8.cloudfront.net/image/725136000567/image_nnofr3id095fjc0es29kmgh10j/-FJPG/243413-002_DET_5.jpg;https://dd3ka9h4chfr8.cloudfront.net/image/725136000567/image_d26d25app11dhf6i7ng9f3l828/-FJPG/243413-002_DET_6.jpg;https://dd3ka9h4chfr8.cloudfront.net/image/725136000567/image_u9ic3n271h4a3d5lkodk4s4220/-FJPG/243413-002_DET_7.jpg</t>
  </si>
  <si>
    <t>Crypton Nomad Mushroom</t>
  </si>
  <si>
    <t>243413-002</t>
  </si>
  <si>
    <t>153.22</t>
  </si>
  <si>
    <t>https://dd3ka9h4chfr8.cloudfront.net/image/725136000567/image_bs8i1h1nqd39tf6tmuqn5t4m70/-FJPG/243413-002_FRT_1.jpg</t>
  </si>
  <si>
    <t>["92% Polyester","8% Flax/Linen","Solid Parawood"]</t>
  </si>
  <si>
    <t>76.5</t>
  </si>
  <si>
    <t>{"value":76.5,"unit":"in"}</t>
  </si>
  <si>
    <t>30.75</t>
  </si>
  <si>
    <t>{"value":30.75,"unit":"in"}</t>
  </si>
  <si>
    <t>Whitmore</t>
  </si>
  <si>
    <t>Black Parawood</t>
  </si>
  <si>
    <t>Meet modern comfort. Clean curves, impeccable tailoring and specialized high-performance fabric bring an elevated, vintage European-inspired look to this chaise. Crypton® performance fabric is specially engineered for protection against stains, moisture and odor.</t>
  </si>
  <si>
    <t>{"value":54.53,"unit":"in"}</t>
  </si>
  <si>
    <t>{"value":77.36,"unit":"in"}</t>
  </si>
  <si>
    <t>{"value":31.38,"unit":"in"}</t>
  </si>
  <si>
    <t>{"value":205.03,"unit":"lb"}</t>
  </si>
  <si>
    <t>61.02"</t>
  </si>
  <si>
    <t>49.21"</t>
  </si>
  <si>
    <t>Channing</t>
  </si>
  <si>
    <t>30.71"</t>
  </si>
  <si>
    <t>41.14"</t>
  </si>
  <si>
    <t>1.61"</t>
  </si>
  <si>
    <t>47.56"</t>
  </si>
  <si>
    <t>26.30"</t>
  </si>
  <si>
    <t>70% Polyester Fiber Batting, 30% Polyurethane Foam Pad</t>
  </si>
  <si>
    <t>36.61"</t>
  </si>
  <si>
    <t>Charlotte Bench</t>
  </si>
  <si>
    <t>https://dd3ka9h4chfr8.cloudfront.net/image/725136000567/image_iedu9tn1ud4hn5f6s9lm338p0e/-FJPG/108543-003_FRT_1.JPG;https://dd3ka9h4chfr8.cloudfront.net/image/725136000567/image_skldkis88l1j99o3i54i9hki54/-FJPG/108543-003_PRM_1.JPG;https://dd3ka9h4chfr8.cloudfront.net/image/725136000567/image_pc6hlimtsh7k353p76n416tp22/-FJPG/108543-003_SID_1.JPG;https://dd3ka9h4chfr8.cloudfront.net/image/725136000567/image_jjngtk60rh1790v3rk0g6iga24/-FJPG/108543-003_ESS_1.jpg;https://dd3ka9h4chfr8.cloudfront.net/image/725136000567/image_bpbln1nfjh2ijcttje9tbfpr4e/-FJPG/108543-003_DET_2.JPG;https://dd3ka9h4chfr8.cloudfront.net/image/725136000567/image_9bg9m6j7c15891ql1rijhpdd0a/-FJPG/108543-003_DET_1.JPG;https://dd3ka9h4chfr8.cloudfront.net/image/725136000567/image_7o7o711ei92hd3dmgb6svjis3a/-FJPG/108543-003_DET_3.JPG</t>
  </si>
  <si>
    <t>Mongolian Cream Fur</t>
  </si>
  <si>
    <t>108543-003</t>
  </si>
  <si>
    <t>35.3</t>
  </si>
  <si>
    <t>https://dd3ka9h4chfr8.cloudfront.net/image/725136000567/image_iedu9tn1ud4hn5f6s9lm338p0e/-FJPG/108543-003_FRT_1.JPG</t>
  </si>
  <si>
    <t>["100% Polyester","Stainless Steel","Solid Oak"]</t>
  </si>
  <si>
    <t>59</t>
  </si>
  <si>
    <t>{"value":59,"unit":"in"}</t>
  </si>
  <si>
    <t>Smart in shape and style, slim-profile bench seating features solid oak framing, black-finished steel legs and soft, textural seating. Ideal in an entryway, living area or at the foot of the bed.</t>
  </si>
  <si>
    <t>{"value":61.42,"unit":"in"}</t>
  </si>
  <si>
    <t>4.50"</t>
  </si>
  <si>
    <t>Flange</t>
  </si>
  <si>
    <t>Charlotte</t>
  </si>
  <si>
    <t>13.25"</t>
  </si>
  <si>
    <t>https://dd3ka9h4chfr8.cloudfront.net/image/725136000567/image_e57q6gbmg53ur0qej4vviaki7s/-FJPG/108543-002_FRT_1.jpg;https://dd3ka9h4chfr8.cloudfront.net/image/725136000567/image_0eidmthtfd5ejfkijqear0080o/-FJPG/108543-002_PRM_1.jpg;https://dd3ka9h4chfr8.cloudfront.net/image/725136000567/image_cssbueu3lh21p3bl3j8n4sij0s/-FJPG/108543-002_SID_1.jpg;https://dd3ka9h4chfr8.cloudfront.net/image/725136000567/image_grb48mg84h02r9fssljgg2em1d/-FJPG/108543-002_ESS_1.jpg;https://dd3ka9h4chfr8.cloudfront.net/image/725136000567/image_265a5qd5t157h15h8mgn4l674c/-FJPG/108543-002_DET_2.jpg;https://dd3ka9h4chfr8.cloudfront.net/image/725136000567/image_htg2eepgbd3kd8rirvm7o0co75/-FJPG/108543-002_DET_1.jpg;https://dd3ka9h4chfr8.cloudfront.net/image/725136000567/image_214o21pu9h6214lmvueb90l961/-FJPG/108543-002_DET_3.jpg</t>
  </si>
  <si>
    <t>108543-002</t>
  </si>
  <si>
    <t>https://dd3ka9h4chfr8.cloudfront.net/image/725136000567/image_e57q6gbmg53ur0qej4vviaki7s/-FJPG/108543-002_FRT_1.jpg</t>
  </si>
  <si>
    <t>["Top Grain Leather","Stainless Steel","Solid Ash"]</t>
  </si>
  <si>
    <t>Smart in shape and style, slim-profile bench seating features solid whitewashed ash framing, black-finished steel legs and soft, chic seating of tan top-grain leather. Ideal in an entryway, living area or at the foot of the bed.</t>
  </si>
  <si>
    <t>https://dd3ka9h4chfr8.cloudfront.net/image/725136000567/image_o3q5d17k752c72darh0eimkj27/-FJPG/108543-004_FRT_1.jpg;https://dd3ka9h4chfr8.cloudfront.net/image/725136000567/image_36m2dpji8d0t73e6jh121lpa7q/-FJPG/108543-004_PRM_1.jpg;https://dd3ka9h4chfr8.cloudfront.net/image/725136000567/image_rm8534oovt7336eg7cdoek6q1s/-FJPG/108543-004_SID_1.jpg;https://dd3ka9h4chfr8.cloudfront.net/image/725136000567/image_j13ra2588d1hp7l9ugumhl3n6u/-FJPG/108543-004_DET_2.jpg;https://dd3ka9h4chfr8.cloudfront.net/image/725136000567/image_t5macfm15t4bt3age096gc5773/-FJPG/108543-004_INF_1.jpg;https://dd3ka9h4chfr8.cloudfront.net/image/725136000567/image_9o37o0e06t6r1c6g7jmk94sv47/-FJPG/108543-004_DET_1.jpg;https://dd3ka9h4chfr8.cloudfront.net/image/725136000567/image_a4tihd7rbt1mh1n3v35dui3i4p/-FJPG/108543-004_DET_3.jpg;https://dd3ka9h4chfr8.cloudfront.net/image/725136000567/image_5bfub6e4055210d75up936e03e/-FJPG/108543-004_DET_4.jpg;https://dd3ka9h4chfr8.cloudfront.net/image/725136000567/image_miv3j2vjsh4ij0g22rds8v3q6k/-FJPG/108543-004_DET_5.jpg;https://dd3ka9h4chfr8.cloudfront.net/image/725136000567/image_q0dpvnpku53abaav71haolod3t/-FJPG/108543-004_DET_6.jpg</t>
  </si>
  <si>
    <t>Thames Raven</t>
  </si>
  <si>
    <t>108543-004</t>
  </si>
  <si>
    <t>35.27</t>
  </si>
  <si>
    <t>https://dd3ka9h4chfr8.cloudfront.net/image/725136000567/image_o3q5d17k752c72darh0eimkj27/-FJPG/108543-004_FRT_1.jpg</t>
  </si>
  <si>
    <t>["66% Polyester","19% Acrylic","15% Flax/Linen","Stainless Steel","Solid Oak"]</t>
  </si>
  <si>
    <t>Smart in shape and style, slim-profile bench seating features solid oak framing, black-finished steel legs and soft, textural seating in a speckled black. Ideal in an entryway, living area or at the foot of the bed.</t>
  </si>
  <si>
    <t>Chloe Media Lounger</t>
  </si>
  <si>
    <t>https://dd3ka9h4chfr8.cloudfront.net/image/725136000567/image_qf8bb64if57ujb3uthompae44m/-FJPG/102766-014_FRT_1.jpg;https://dd3ka9h4chfr8.cloudfront.net/image/725136000567/image_942rs6uar15f9crbcgtni3ba5g/-FJPG/102766-014_PRM_1.jpg;https://dd3ka9h4chfr8.cloudfront.net/image/725136000567/image_8p2tejkull0u16m549ceh7fh0h/-FJPG/102766-014_SID_1.jpg;https://dd3ka9h4chfr8.cloudfront.net/image/725136000567/image_c5mipfrtfd4nl35e3ikb10qt44/-FJPG/102766-014_ESS.jpg;https://dd3ka9h4chfr8.cloudfront.net/image/725136000567/image_tktjpv6aj95cp8v39aeed2h742/-FJPG/102766-014_BCK_1.jpg;https://dd3ka9h4chfr8.cloudfront.net/image/725136000567/image_8d6ugg142p64bd8ks10512fi0o/-FJPG/102766-014_TOP_1.jpg</t>
  </si>
  <si>
    <t>Crypton Henry Coffee</t>
  </si>
  <si>
    <t>102766-014</t>
  </si>
  <si>
    <t>https://dd3ka9h4chfr8.cloudfront.net/image/725136000567/image_qf8bb64if57ujb3uthompae44m/-FJPG/102766-014_FRT_1.jpg</t>
  </si>
  <si>
    <t>66</t>
  </si>
  <si>
    <t>{"value":66,"unit":"in"}</t>
  </si>
  <si>
    <t>Roomy style. Rich, chocolate high-performance fabric covers a dramatic U shape for a spacious, sink-in sit. Throw pillows make this your go-to lounger for movie nights. Performance fabrics are specially created to withstand spills, stains, high traffic and wear, ensuring long-term comfort and unmatched durability.</t>
  </si>
  <si>
    <t>{"value":63,"unit":"in"}</t>
  </si>
  <si>
    <t>{"value":67.5,"unit":"in"}</t>
  </si>
  <si>
    <t>{"value":130.07,"unit":"lb"}</t>
  </si>
  <si>
    <t>42.00"</t>
  </si>
  <si>
    <t>50% Polyurethane Foam Pad, 50% Resinated Polyester Fiber Batting</t>
  </si>
  <si>
    <t>Chloe</t>
  </si>
  <si>
    <t>59.50"</t>
  </si>
  <si>
    <t>37.50"</t>
  </si>
  <si>
    <t>50% Polyurethane Foam, 50% Fiber</t>
  </si>
  <si>
    <t>54.00"</t>
  </si>
  <si>
    <t>Chloe Swivel Chair</t>
  </si>
  <si>
    <t>https://dd3ka9h4chfr8.cloudfront.net/image/725136000567/image_0tur720tvl4eb3ska5p6lep57i/-FJPG/228290-001_FRT_1.jpg;https://dd3ka9h4chfr8.cloudfront.net/image/725136000567/image_5fvprsghot7qvcv0fpu1lum93e/-FJPG/228290-001_PRM_1.jpg;https://dd3ka9h4chfr8.cloudfront.net/image/725136000567/image_4osu8pam0h21r2qj49ddeve104/-FJPG/228290-001_SID_1.jpg;https://dd3ka9h4chfr8.cloudfront.net/image/725136000567/image_0prhg6k88d7etfetg9q0df3s2e/-FJPG/228290-001_ESS.tif;https://dd3ka9h4chfr8.cloudfront.net/image/725136000567/image_vh472m4n590oj7t5d2il58vn5v/-FJPG/228290-001_DET_2.jpg;https://dd3ka9h4chfr8.cloudfront.net/image/725136000567/image_ci3g3ti7v154d81kkhf2k8uk1i/-FJPG/228290-001_BCK_1.jpg;https://dd3ka9h4chfr8.cloudfront.net/image/725136000567/image_6frqtvb6t955rambrremup8q4m/-FJPG/228290-001_INF_1.jpg;https://dd3ka9h4chfr8.cloudfront.net/image/725136000567/image_e7k1vs4g5d7nhfodjmv9j0ri6n/-FJPG/228290-001_DET_1.jpg;https://dd3ka9h4chfr8.cloudfront.net/image/725136000567/image_ceue1tdv3p2c5a7mesgj9jpj2d/-FJPG/228290-001_DET_3.jpg;https://dd3ka9h4chfr8.cloudfront.net/image/725136000567/image_u6i9cf7g0p5dp523bi85hdp76a/-FJPG/228290-001_DET_4.jpg;https://dd3ka9h4chfr8.cloudfront.net/image/725136000567/image_p3ppv81ep564farcta8pkc1h2b/-FJPG/228290-001_DET_5.jpg;https://dd3ka9h4chfr8.cloudfront.net/image/725136000567/image_5ei0dg3me90pnfp654hkm0ps0p/-FJPG/228290-001_DET_6.jpg;https://dd3ka9h4chfr8.cloudfront.net/image/725136000567/image_i7esf1nm3912dauqs7p6lb6j1p/-FJPG/228290-001_DET_9.tif</t>
  </si>
  <si>
    <t>Delta Bisque</t>
  </si>
  <si>
    <t>228290-001</t>
  </si>
  <si>
    <t>https://dd3ka9h4chfr8.cloudfront.net/image/725136000567/image_0tur720tvl4eb3ska5p6lep57i/-FJPG/228290-001_FRT_1.jpg</t>
  </si>
  <si>
    <t>["97% Olefin","3% Polyester"]</t>
  </si>
  <si>
    <t>42.5</t>
  </si>
  <si>
    <t>{"value":42.5,"unit":"in"}</t>
  </si>
  <si>
    <t>Neutral performance fabric covers a dramatic U shape for a sink-in sit. Throw pillows add a touch of comfort to this 360-degree swivel chair. Performance fabrics are specially created to withstand spills, stains, high traffic and wear, ensuring long-term comfort and unmatched durability.</t>
  </si>
  <si>
    <t>{"value":92.59,"unit":"lb"}</t>
  </si>
  <si>
    <t>https://dd3ka9h4chfr8.cloudfront.net/image/725136000567/image_4nhr16rfpl3r770ajtht2rn74n/-FJPG/228290-005_FRT_1.jpg;https://dd3ka9h4chfr8.cloudfront.net/image/725136000567/image_cmfk5noodp5e10v4057bnbkv36/-FJPG/228290-005_PRM_1.jpg;https://dd3ka9h4chfr8.cloudfront.net/image/725136000567/image_clgojsio295l38u8kjvci8u348/-FJPG/228290-005_SID_1.jpg;https://dd3ka9h4chfr8.cloudfront.net/image/725136000567/image_jmq88p8us1265ed91iho66dj40/-FJPG/228290-005_ESS.tif;https://dd3ka9h4chfr8.cloudfront.net/image/725136000567/image_4ugcn14p2t6f1ei3g021ntgt3j/-FJPG/228290-005_DET_2.jpg;https://dd3ka9h4chfr8.cloudfront.net/image/725136000567/image_9m190qd4lh0sv9ohvscp91vi5u/-FJPG/228290-005_BCK_1.jpg;https://dd3ka9h4chfr8.cloudfront.net/image/725136000567/image_sj29f1nkf90br3373mdaljqb4t/-FJPG/228290-005_DET_1.jpg;https://dd3ka9h4chfr8.cloudfront.net/image/725136000567/image_dasfllsrrh6kv52rf3lj9pan0u/-FJPG/228290-005_DET_3.jpg;https://dd3ka9h4chfr8.cloudfront.net/image/725136000567/image_agnkfhpvm566dc70ts78viu83d/-FJPG/228290-005_DET_4.jpg;https://dd3ka9h4chfr8.cloudfront.net/image/725136000567/image_rfcf5cmhk14gh4vd0qsdp5pl6q/-FJPG/228290-005_DET_5.jpg;https://dd3ka9h4chfr8.cloudfront.net/image/725136000567/image_mef331ep6d0vhe7ci32g0cpt6h/-FJPG/228290-005_DET_6.jpg;https://dd3ka9h4chfr8.cloudfront.net/image/725136000567/image_honfoqjusl5t16qoltbj3pm868/-FJPG/228290-005_DET_7.jpg;https://dd3ka9h4chfr8.cloudfront.net/image/725136000567/image_u35hdt91eh5s1dekl9btphn327/-FJPG/228290-005_DET_9.tif</t>
  </si>
  <si>
    <t>228290-005</t>
  </si>
  <si>
    <t>https://dd3ka9h4chfr8.cloudfront.net/image/725136000567/image_4nhr16rfpl3r770ajtht2rn74n/-FJPG/228290-005_FRT_1.jpg</t>
  </si>
  <si>
    <t>["60% Acrylic","33% Cotton","7% Polyester"]</t>
  </si>
  <si>
    <t>High-texture cotton-blend upholstery covers the smooth curves of this welcoming chair, with throw pillows and a 360-degree swivel.</t>
  </si>
  <si>
    <t>Clermont Chair</t>
  </si>
  <si>
    <t>https://dd3ka9h4chfr8.cloudfront.net/image/725136000567/image_9m94juaurp3jhbnaorpcigj42e/-FJPG/CKEN-L1Y-003_FRT_1.jpg;https://dd3ka9h4chfr8.cloudfront.net/image/725136000567/image_55jg8g75ll1tp4c7cks15vsa2b/-FJPG/CKEN-L1Y-003_PRM_1.jpg;https://dd3ka9h4chfr8.cloudfront.net/image/725136000567/image_0so37041m94cvajokbi2fstq1k/-FJPG/CKEN-L1Y-003_SID_1.jpg;https://dd3ka9h4chfr8.cloudfront.net/image/725136000567/image_kmevkrh32h5q98i4vjj2gb884p/-FJPG/CKEN-L1Y-003_ESS_1.jpg;https://dd3ka9h4chfr8.cloudfront.net/image/725136000567/image_1u58f1q6r92pp8esmknamtfo7s/-FJPG/CKEN-L1Y-003_DET_2.jpg;https://dd3ka9h4chfr8.cloudfront.net/image/725136000567/image_mgl74g5lf95u98di3mm6j3d97m/-FJPG/CKEN-L1Y-003_BCK_1.jpg;https://dd3ka9h4chfr8.cloudfront.net/image/725136000567/image_q78n2841v50grfglr2geitqb79/-FJPG/CKEN-L1Y-003_INF_1.jpg;https://dd3ka9h4chfr8.cloudfront.net/image/725136000567/image_343j00hrb53bhc20buu0mkaj5l/-FJPG/CKEN-L1Y-003_DET_1.jpg;https://dd3ka9h4chfr8.cloudfront.net/image/725136000567/image_41sq941qqd1ejec8p6o11n5n0i/-FJPG/CKEN-L1Y-003_DET_3.jpg;https://dd3ka9h4chfr8.cloudfront.net/image/725136000567/image_vc4id1thjt2ln994sp9atrii0a/-FJPG/CKEN-L1Y-003_DET_4.jpg;https://dd3ka9h4chfr8.cloudfront.net/image/725136000567/image_dmef7j15th66remm1t0mg7h75n/-FJPG/CKEN-L1Y-003_DET_5.jpg</t>
  </si>
  <si>
    <t>Charcoal Worn Velvet</t>
  </si>
  <si>
    <t>CKEN-L1Y-003</t>
  </si>
  <si>
    <t>https://dd3ka9h4chfr8.cloudfront.net/image/725136000567/image_9m94juaurp3jhbnaorpcigj42e/-FJPG/CKEN-L1Y-003_FRT_1.jpg</t>
  </si>
  <si>
    <t>An elegant, mid-century twist on the traditional wing chair, with hand-button tufting, accent seaming, and sophisticated charcoal grey upholstery.</t>
  </si>
  <si>
    <t>Clermont</t>
  </si>
  <si>
    <t>25.39"</t>
  </si>
  <si>
    <t>Tufted</t>
  </si>
  <si>
    <t>Cobain Dining Table</t>
  </si>
  <si>
    <t>https://dd3ka9h4chfr8.cloudfront.net/image/725136000567/image_13ivv6b7qp2snd6p9eu8jpri3k/-FJPG/237191-002_FRT_1.jpg;https://dd3ka9h4chfr8.cloudfront.net/image/725136000567/image_b4irin0qq146n5ea864fju7337/-FJPG/237191-002_PRM_1.jpg;https://dd3ka9h4chfr8.cloudfront.net/image/725136000567/image_l0b5r1d27d3gb95maipcc0mr72/-FJPG/237191-002_SID_1.jpg;https://dd3ka9h4chfr8.cloudfront.net/image/725136000567/image_usuoedrgjp7r17qaum0dfotk4a/-FJPG/237191-002_ESS.tif;https://dd3ka9h4chfr8.cloudfront.net/image/725136000567/image_rd9eftoo2p37lda6pbquibc83r/-FJPG/237191-002_DET_2.jpg;https://dd3ka9h4chfr8.cloudfront.net/image/725136000567/image_u3kdb8ajgd6p57uldul8emla2b/-FJPG/237191-002_DET_1.jpg;https://dd3ka9h4chfr8.cloudfront.net/image/725136000567/image_b6jbpud37924f976empf3v9v44/-FJPG/237191-002_DET_3.jpg;https://dd3ka9h4chfr8.cloudfront.net/image/725136000567/image_ngcagcsl6539f4beuopvc9t55m/-FJPG/237191-002_TOP_1.jpg;https://dd3ka9h4chfr8.cloudfront.net/image/725136000567/image_9l259vm43945382fslf2bep828/-FJPG/237191-002_DET_4.jpg;https://dd3ka9h4chfr8.cloudfront.net/image/725136000567/image_c9r2d0ufqt0lrdral86qleeu57/-FJPG/237191-002_DET_5.jpg;https://dd3ka9h4chfr8.cloudfront.net/image/725136000567/image_hanjq0spfl7qf0asv2kr5gt61t/-FJPG/237191-002_DET_10.tif</t>
  </si>
  <si>
    <t>Flint Black</t>
  </si>
  <si>
    <t>237191-002</t>
  </si>
  <si>
    <t>209.65</t>
  </si>
  <si>
    <t>https://dd3ka9h4chfr8.cloudfront.net/image/725136000567/image_13ivv6b7qp2snd6p9eu8jpri3k/-FJPG/237191-002_FRT_1.jpg</t>
  </si>
  <si>
    <t>["Solid Mango"]</t>
  </si>
  <si>
    <t>A table of solid mango wood forms purposefully burnished edges, producing a warm black patina.</t>
  </si>
  <si>
    <t>{"value":75.5,"unit":"in"}</t>
  </si>
  <si>
    <t>{"value":199.07,"unit":"lb"}</t>
  </si>
  <si>
    <t>{"value":30.64,"unit":"lb"}</t>
  </si>
  <si>
    <t>Pillet</t>
  </si>
  <si>
    <t>{"value":45.19,"unit":"lb"}</t>
  </si>
  <si>
    <t>Cobain</t>
  </si>
  <si>
    <t>Colson Chair</t>
  </si>
  <si>
    <t>https://dd3ka9h4chfr8.cloudfront.net/image/725136000567/image_94e5371hrp5a17g84277o5n013/-FJPG/231368-001_FRT_1.jpg;https://dd3ka9h4chfr8.cloudfront.net/image/725136000567/image_2mbfr200i50n7f3r9cct2uf550/-FJPG/231368-001_PRM_1.jpg;https://dd3ka9h4chfr8.cloudfront.net/image/725136000567/image_mn123d3uuh1bt6af8olm4j2o19/-FJPG/231368-001_SID_1.jpg;https://dd3ka9h4chfr8.cloudfront.net/image/725136000567/image_tg3ni7h5dh1392gb5tfohnfg5q/-FJPG/231368-001_ESS_1.jpg;https://dd3ka9h4chfr8.cloudfront.net/image/725136000567/image_t3alce68l12771rq07mgcgjp11/-FJPG/231368-001_DET_2.jpg;https://dd3ka9h4chfr8.cloudfront.net/image/725136000567/image_0f7gvh39g53sb6u3p2a47bob2v/-FJPG/231368-001_BCK_1.jpg;https://dd3ka9h4chfr8.cloudfront.net/image/725136000567/image_54t8ftgv6h7tde3vtddheafv33/-FJPG/231368-001_DET_1.jpg;https://dd3ka9h4chfr8.cloudfront.net/image/725136000567/image_llpuehvgrh1jnem1krffr3fv6e/-FJPG/231368-001_DET_3.jpg;https://dd3ka9h4chfr8.cloudfront.net/image/725136000567/image_7r3mpfkr2h6sj0da56688mor22/-FJPG/231368-001_DET_4.jpg;https://dd3ka9h4chfr8.cloudfront.net/image/725136000567/image_cecqqk24fp7770gi4t8kuc8n5j/-FJPG/231368-001_DET_5.jpg;https://dd3ka9h4chfr8.cloudfront.net/image/725136000567/image_g7eltlennl1qh9m7gudno3vg3i/-FJPG/231368-001_PRM_2.jpg</t>
  </si>
  <si>
    <t>Raleigh Chestnut</t>
  </si>
  <si>
    <t>231368-001</t>
  </si>
  <si>
    <t>54.01</t>
  </si>
  <si>
    <t>https://dd3ka9h4chfr8.cloudfront.net/image/725136000567/image_94e5371hrp5a17g84277o5n013/-FJPG/231368-001_FRT_1.jpg</t>
  </si>
  <si>
    <t>Inspired by a variety of vintage finds, exposed wood frames and trend-forward box jointing bring a primitive, handmade look to this low-slung chair. Upholstered in a new Italian leather featuring a mix of warm and light hues that highlight the fabric's natural imperfections.</t>
  </si>
  <si>
    <t>Sling</t>
  </si>
  <si>
    <t>Colson</t>
  </si>
  <si>
    <t>50% Polyester Fiber, 50% Duck Feather</t>
  </si>
  <si>
    <t>Colt 2-Piece Sectional</t>
  </si>
  <si>
    <t>https://dd3ka9h4chfr8.cloudfront.net/image/725136000567/image_8dn1o1siv55lra4chs03kop60a/-FJPG/102878-002_FRT_1.jpg;https://dd3ka9h4chfr8.cloudfront.net/image/725136000567/image_49lafjl6f94oh8u7bic1clk33s/-FJPG/102878-002_PRM_1.jpg;https://dd3ka9h4chfr8.cloudfront.net/image/725136000567/image_f08ape2h4t2on284lv5hb2uf6o/-FJPG/102878-002_SID_1.jpg;https://dd3ka9h4chfr8.cloudfront.net/image/725136000567/image_215uo3g6ll57ncsm8nsi82q50q/-FJPG/102878-002_ESS_1.jpg;https://dd3ka9h4chfr8.cloudfront.net/image/725136000567/image_cj0pjrtvat1dv2ispi2fi32m5s/-FJPG/102878-002_DET_2.jpg;https://dd3ka9h4chfr8.cloudfront.net/image/725136000567/image_ueqbine87159b9her7u02n0j2f/-FJPG/102878-002_BCK_1.jpg;https://dd3ka9h4chfr8.cloudfront.net/image/725136000567/image_0qpghjh3th5off6tuc5ba7n936/-FJPG/102878-002_DET_1.jpg;https://dd3ka9h4chfr8.cloudfront.net/image/725136000567/image_02go7387ll28f3jd1hhn0cek68/-FJPG/102878-002_DET_3.jpg;https://dd3ka9h4chfr8.cloudfront.net/image/725136000567/image_l0df3e0pet05145gvkiu3g9p4j/-FJPG/102878-002_DET_4.jpg;https://dd3ka9h4chfr8.cloudfront.net/image/725136000567/image_9i2fcu244p3sr5enoo1v37s65a/-FJPG/102878-002_DET_5.jpg;https://dd3ka9h4chfr8.cloudfront.net/image/725136000567/image_rhuso2k3rd0vtck00r6iqsq45o/-FJPG/102878-002_DET_6.jpg</t>
  </si>
  <si>
    <t>Aldred Silver</t>
  </si>
  <si>
    <t>102878-002</t>
  </si>
  <si>
    <t>281.53</t>
  </si>
  <si>
    <t>https://dd3ka9h4chfr8.cloudfront.net/image/725136000567/image_8dn1o1siv55lra4chs03kop60a/-FJPG/102878-002_FRT_1.jpg</t>
  </si>
  <si>
    <t>["95% Polyester","5% Flax/Linen","Solid Rosa Morada"]</t>
  </si>
  <si>
    <t>129</t>
  </si>
  <si>
    <t>{"value":129,"unit":"in"}</t>
  </si>
  <si>
    <t>32.5</t>
  </si>
  <si>
    <t>Aged Sienna</t>
  </si>
  <si>
    <t>Simply styled for everyday lounging. A textural poly/linen blend covering is made for comfort, with subtly flared sides for shapely effect and a wrapped plinth base. Left arm facing piece to matching sectional.</t>
  </si>
  <si>
    <t>1 Piece</t>
  </si>
  <si>
    <t>{"value":56.3,"unit":"in"}</t>
  </si>
  <si>
    <t>{"value":75.59,"unit":"in"}</t>
  </si>
  <si>
    <t>{"value":149.91,"unit":"lb"}</t>
  </si>
  <si>
    <t>{"value":152.12,"unit":"lb"}</t>
  </si>
  <si>
    <t>95% Polyurethane Foam, 5% Fiber</t>
  </si>
  <si>
    <t>2 PC Chaise</t>
  </si>
  <si>
    <t>["2 PC Chaise"]</t>
  </si>
  <si>
    <t>Colt</t>
  </si>
  <si>
    <t>100% Polyester Fiber</t>
  </si>
  <si>
    <t>Interlocking</t>
  </si>
  <si>
    <t>Left-Facing Chaise</t>
  </si>
  <si>
    <t>https://dd3ka9h4chfr8.cloudfront.net/image/725136000567/image_crl7h4mk091m382qmnarb6hs6g/-FJPG/UCEN-01102-789-S3_FRT_1.jpg;https://dd3ka9h4chfr8.cloudfront.net/image/725136000567/image_oq3vqc9vs914pd077p5hhmkd70/-FJPG/UCEN-01102-789-S3_PRM_1.jpg;https://dd3ka9h4chfr8.cloudfront.net/image/725136000567/image_aqk7jlh1pp15l29mlu663vt92b/-FJPG/UCEN-01102-789-S3_SID_1.jpg;https://dd3ka9h4chfr8.cloudfront.net/image/725136000567/image_1b6i0c44rl0gl9m14lglndej0h/-FJPG/UCEN-01102-789-S3_ESS_1.jpg;https://dd3ka9h4chfr8.cloudfront.net/image/725136000567/image_82ku9ov33p74j29ar8ritg1n5o/-FJPG/UCEN-01102-789-S3_DET_2.jpg;https://dd3ka9h4chfr8.cloudfront.net/image/725136000567/image_2ne7qpkedp0v14he9b6b22sj4f/-FJPG/UCEN-01102-789-S3_BCK_1.jpg;https://dd3ka9h4chfr8.cloudfront.net/image/725136000567/image_bqjpik9j591nl8jjnt1cpvc83q/-FJPG/UCEN-01102-789-S3_DET_1.jpg;https://dd3ka9h4chfr8.cloudfront.net/image/725136000567/image_fgd2c51hol33117pokildr5q08/-FJPG/UCEN-01102-789-S3_DET_3.jpg;https://dd3ka9h4chfr8.cloudfront.net/image/725136000567/image_b08so3a6t50hreu3d3rfnj051a/-FJPG/UCEN-01102-789-S3_DET_4.jpg;https://dd3ka9h4chfr8.cloudfront.net/image/725136000567/image_e1h4q83o3d2031p7no5o28kp7h/-FJPG/UCEN-01102-789-S3_DET_5.jpg;https://dd3ka9h4chfr8.cloudfront.net/image/725136000567/image_l10fpot8115e3750kuggtid15c/-FJPG/UCEN-01102-789-S3_DET_6.jpg</t>
  </si>
  <si>
    <t>UCEN-01102-789-S3</t>
  </si>
  <si>
    <t>https://dd3ka9h4chfr8.cloudfront.net/image/725136000567/image_crl7h4mk091m382qmnarb6hs6g/-FJPG/UCEN-01102-789-S3_FRT_1.jpg</t>
  </si>
  <si>
    <t>Simply styled for everyday lounging. A textural poly/linen blend covering is made for comfort, with subtly flared sides for shapely effect and a wrapped plinth base. Right arm facing piece to matching sectional.</t>
  </si>
  <si>
    <t>Right-Facing Chaise</t>
  </si>
  <si>
    <t>https://dd3ka9h4chfr8.cloudfront.net/image/725136000567/image_cou4q2qnn9139bl5m8o1df7e24/-FJPG/102878-023_FRT_1.jpg;https://dd3ka9h4chfr8.cloudfront.net/image/725136000567/image_pq2mgdd6e91tddk5on32arc52j/-FJPG/102878-023_PRM_1.jpg;https://dd3ka9h4chfr8.cloudfront.net/image/725136000567/image_hbf56tmmrh5e539b8h160op10i/-FJPG/102878-023_SID_1.jpg;https://dd3ka9h4chfr8.cloudfront.net/image/725136000567/image_ja64p0gthd4s910erlaq834h26/-FJPG/102878-023_ESS_1.jpg;https://dd3ka9h4chfr8.cloudfront.net/image/725136000567/image_po8auocc114jv3r21ub9rch54j/-FJPG/102878-023_ESS.tif;https://dd3ka9h4chfr8.cloudfront.net/image/725136000567/image_tfhbfkfjol0bt8n3p1985j6926/-FJPG/102878-023_DET_2.jpg;https://dd3ka9h4chfr8.cloudfront.net/image/725136000567/image_33c77ff90l1hpd8865hkgk570l/-FJPG/102878-023_BCK_1.jpg;https://dd3ka9h4chfr8.cloudfront.net/image/725136000567/image_hvcpkt9uh57ibeqob5j05ur74d/-FJPG/102878-023_DET_1.jpg;https://dd3ka9h4chfr8.cloudfront.net/image/725136000567/image_kp5qakqdgd05vadjf0kmus8b4s/-FJPG/102878-023_DET_3.jpg;https://dd3ka9h4chfr8.cloudfront.net/image/725136000567/image_hn70ttkrap2aj368socahspi2u/-FJPG/102878-023_DET_4.jpg;https://dd3ka9h4chfr8.cloudfront.net/image/725136000567/image_3s239o6ihp1k96s0adlmrl9275/-FJPG/102878-023_DET_5.jpg;https://dd3ka9h4chfr8.cloudfront.net/image/725136000567/image_5cbtg28c2l285fopbdc176hq12/-FJPG/102878-023_DET_6.jpg;https://dd3ka9h4chfr8.cloudfront.net/image/725136000567/image_lnb3mljq752blenrfb4mgds35u/-FJPG/102878-023_DET_9.tif</t>
  </si>
  <si>
    <t>Heirloom Cigar</t>
  </si>
  <si>
    <t>102878-023</t>
  </si>
  <si>
    <t>https://dd3ka9h4chfr8.cloudfront.net/image/725136000567/image_cou4q2qnn9139bl5m8o1df7e24/-FJPG/102878-023_FRT_1.jpg</t>
  </si>
  <si>
    <t>["Top Grain Leather","Solid Rosa Morada"]</t>
  </si>
  <si>
    <t>Simply styled for everyday lounging. Rich top grain leather makes for a polished presentation, with subtly flared sides for shapely effect, all grounded by a wrapped plinth base. Left arm-facing chaise to matching modular sectional.</t>
  </si>
  <si>
    <t>https://dd3ka9h4chfr8.cloudfront.net/image/725136000567/image_pqgrv2glep7b3640p7stmi5m0r/-FJPG/107271-023_FRT_1.jpg;https://dd3ka9h4chfr8.cloudfront.net/image/725136000567/image_sn8v6rhkn10dp35o7aksqte714/-FJPG/107271-023_PRM_1.jpg;https://dd3ka9h4chfr8.cloudfront.net/image/725136000567/image_elhscha3sl7u9587ei9k0fvl4j/-FJPG/107271-023_SID_1.jpg;https://dd3ka9h4chfr8.cloudfront.net/image/725136000567/image_oigh10q1bt4ur3qjekmabink7j/-FJPG/107271-023_ESS_1.jpg;https://dd3ka9h4chfr8.cloudfront.net/image/725136000567/image_vhpj3qodhd1jp0ig56dv4qbd7d/-FJPG/107271-023_DET_2.jpg;https://dd3ka9h4chfr8.cloudfront.net/image/725136000567/image_ebntgr033d7rr905mpi0hjuo0p/-FJPG/107271-023_BCK_1.jpg;https://dd3ka9h4chfr8.cloudfront.net/image/725136000567/image_2ta52ibkvd7bb9lkd2dru8kq6i/-FJPG/107271-023_DET_1.jpg;https://dd3ka9h4chfr8.cloudfront.net/image/725136000567/image_7a59aae8dl2ut972m4mvcapb3a/-FJPG/107271-023_DET_3.jpg;https://dd3ka9h4chfr8.cloudfront.net/image/725136000567/image_dd5macnuol2c79hhs47folrq24/-FJPG/107271-023_DET_4.jpg;https://dd3ka9h4chfr8.cloudfront.net/image/725136000567/image_mlmirbgtc95050etq253a09e7o/-FJPG/107271-023_DET_5.jpg;https://dd3ka9h4chfr8.cloudfront.net/image/725136000567/image_9c2e095ffd0h9duoibl489b33r/-FJPG/107271-023_DET_6.jpg</t>
  </si>
  <si>
    <t>107271-023</t>
  </si>
  <si>
    <t>https://dd3ka9h4chfr8.cloudfront.net/image/725136000567/image_pqgrv2glep7b3640p7stmi5m0r/-FJPG/107271-023_FRT_1.jpg</t>
  </si>
  <si>
    <t>Simply styled for everyday lounging. Rich top grain leather makes for a polished presentation, with subtly flared sides for shapely effect, all grounded by a wrapped plinth base.</t>
  </si>
  <si>
    <t>https://dd3ka9h4chfr8.cloudfront.net/image/725136000567/image_c7tle7c3610tt9aeotauk68u0u/-FJPG/102878-014_FRT_1.jpg;https://dd3ka9h4chfr8.cloudfront.net/image/725136000567/image_iaj83ro6b92odes18ngo5bec1v/-FJPG/102878-014_PRM_1.jpg;https://dd3ka9h4chfr8.cloudfront.net/image/725136000567/image_sga758bibh3f7bh52foeic392h/-FJPG/102878-014_SID_1.jpg;https://dd3ka9h4chfr8.cloudfront.net/image/725136000567/image_j12brb6cad0j952nsfpcko583c/-FJPG/102878-014_ESS.tif;https://dd3ka9h4chfr8.cloudfront.net/image/725136000567/image_14bvbb7aap6l39aep5024c6c62/-FJPG/102878-014_BCK_1.jpg;https://dd3ka9h4chfr8.cloudfront.net/image/725136000567/image_2jknmuj06l5l1e6sauuvmqe805/-FJPG/102878-014_INF_1.jpg</t>
  </si>
  <si>
    <t>Merino Cotton</t>
  </si>
  <si>
    <t>102878-014</t>
  </si>
  <si>
    <t>https://dd3ka9h4chfr8.cloudfront.net/image/725136000567/image_c7tle7c3610tt9aeotauk68u0u/-FJPG/102878-014_FRT_1.jpg</t>
  </si>
  <si>
    <t>Simply styled for everyday lounging. A soft cotton covering is made for comfort, with subtly flared sides for shapely effect, all grounded by a wrapped plinth base. Left arm-facing chaise to matching modular sectional.</t>
  </si>
  <si>
    <t>https://dd3ka9h4chfr8.cloudfront.net/image/725136000567/image_bprkvlca716o3atunfp4nio62o/-FJPG/107271-014_FRT_1.jpg;https://dd3ka9h4chfr8.cloudfront.net/image/725136000567/image_1u84jdpb353u97kd3fac41nn2f/-FJPG/107271-014_PRM_1.jpg;https://dd3ka9h4chfr8.cloudfront.net/image/725136000567/image_7b573qfndl4rt1gu2tebav6a0j/-FJPG/107271-014_SID_1.jpg;https://dd3ka9h4chfr8.cloudfront.net/image/725136000567/image_6nvfudqe9d6fh9lhgc3c72ep07/-FJPG/107271-014_BCK_1.jpg;https://dd3ka9h4chfr8.cloudfront.net/image/725136000567/image_3jhcn8ibh13vf36jes7om7k209/-FJPG/107271-014_INF_1.jpg</t>
  </si>
  <si>
    <t>107271-014</t>
  </si>
  <si>
    <t>https://dd3ka9h4chfr8.cloudfront.net/image/725136000567/image_bprkvlca716o3atunfp4nio62o/-FJPG/107271-014_FRT_1.jpg</t>
  </si>
  <si>
    <t>Simply styled for everyday lounging. A soft cotton covering is made for comfort, with subtly flared sides for shapely effect, all grounded by a wrapped plinth base. Right arm-facing chaise to matching modular sectional.</t>
  </si>
  <si>
    <t>Colt 3-Piece Sectional</t>
  </si>
  <si>
    <t>https://dd3ka9h4chfr8.cloudfront.net/image/725136000567/image_p6j9v9qlm16hh5a1rk3m92b93k/-FJPG/UCEN-01102-789-S1_PRM_1.jpg;https://dd3ka9h4chfr8.cloudfront.net/image/725136000567/image_43jv0oh90h16f8dsvt2mhnpa27/-FJPG/UCEN-01102-789-S1_SID_1.jpg;https://dd3ka9h4chfr8.cloudfront.net/image/725136000567/image_eo1hrr1s6d0bb1oj1crtapks5f/-FJPG/UCEN-01102-789-S1_DET_2.jpg;https://dd3ka9h4chfr8.cloudfront.net/image/725136000567/image_7f46vgretd0i34u8qsc4q9m51j/-FJPG/UCEN-01102-789-S1_DIM_1.jpg;https://dd3ka9h4chfr8.cloudfront.net/image/725136000567/image_e28qo29icd20l7h8c2k97v433k/-FJPG/UCEN-01102-789-S1_BCK_1.jpg;https://dd3ka9h4chfr8.cloudfront.net/image/725136000567/image_7k0c8t85bh0q3722s35h6tpv6q/-FJPG/UCEN-01102-789-S1_DET_1.jpg;https://dd3ka9h4chfr8.cloudfront.net/image/725136000567/image_ib9m7ec87h2gda489i917eas47/-FJPG/UCEN-01102-789-S1_DET_4.jpg;https://dd3ka9h4chfr8.cloudfront.net/image/725136000567/image_d6fuf7eat96nb5715qj96i3s1l/-FJPG/UCEN-01102-789-S1_DET_5.jpg;https://dd3ka9h4chfr8.cloudfront.net/image/725136000567/image_bs7i3j5emh0nt9ftfq0doul536/-FJPG/UCEN-01102-789-S1_DET_6.jpg;https://dd3ka9h4chfr8.cloudfront.net/image/725136000567/image_h8pp9ci7ft17377698gtvh186k/-FJPG/UCEN-01102-789-S1_ROM_1.jpg</t>
  </si>
  <si>
    <t>UCEN-01102-789-S1</t>
  </si>
  <si>
    <t>367.9</t>
  </si>
  <si>
    <t>https://dd3ka9h4chfr8.cloudfront.net/image/725136000567/image_p6j9v9qlm16hh5a1rk3m92b93k/-FJPG/UCEN-01102-789-S1_PRM_1.jpg</t>
  </si>
  <si>
    <t>120</t>
  </si>
  <si>
    <t>{"value":120,"unit":"in"}</t>
  </si>
  <si>
    <t>39</t>
  </si>
  <si>
    <t>{"value":39,"unit":"in"}</t>
  </si>
  <si>
    <t>A simply styled three-piece sectional, fit for everyday lounging. Upholstered in a textural poly/linen blend covering, with subtly flared sides and a plinth-style, wrapped wooden base.</t>
  </si>
  <si>
    <t>{"value":44.88,"unit":"in"}</t>
  </si>
  <si>
    <t>{"value":43.31,"unit":"in"}</t>
  </si>
  <si>
    <t>{"value":87.52,"unit":"lb"}</t>
  </si>
  <si>
    <t>https://dd3ka9h4chfr8.cloudfront.net/image/725136000567/image_gsi6le1t8p22t0deh0i8qma81l/-FJPG/107269-024_FRT_1.jpg;https://dd3ka9h4chfr8.cloudfront.net/image/725136000567/image_pektiug8np3jl66qs1i51re424/-FJPG/107269-024_PRM_1.jpg;https://dd3ka9h4chfr8.cloudfront.net/image/725136000567/image_pih35iqma51mr4jfa7lavi3i4r/-FJPG/107269-024_ESS.jpg;https://dd3ka9h4chfr8.cloudfront.net/image/725136000567/image_8lijloo8cd1md1s4a71ke6r560/-FJPG/107269-024_ESS.tif;https://dd3ka9h4chfr8.cloudfront.net/image/725136000567/image_ohibq373ap4aledvsibqkc0r62/-FJPG/107269-024_ESS_1.jpg;https://dd3ka9h4chfr8.cloudfront.net/image/725136000567/image_dutmc4u7j95rn2o8pa4hioll5f/-FJPG/107269-024_DET_2.jpg;https://dd3ka9h4chfr8.cloudfront.net/image/725136000567/image_pjtg87723101tbkjq6uu8j810a/-FJPG/107269-024_BCK_1.jpg;https://dd3ka9h4chfr8.cloudfront.net/image/725136000567/image_3fl15vm5i93rh7fm4a6eaaqd0j/-FJPG/107269-024_DET_1.jpg;https://dd3ka9h4chfr8.cloudfront.net/image/725136000567/image_d8dg077pd12i55vtejufdfs12h/-FJPG/107269-024_DET_3.jpg;https://dd3ka9h4chfr8.cloudfront.net/image/725136000567/image_mdn4ks3rc14br91qiein205e5p/-FJPG/107269-024_DET_4.jpg;https://dd3ka9h4chfr8.cloudfront.net/image/725136000567/image_kmeihcj8vt7lf1i6o8fl1g9340/-FJPG/107269-024_DET_5.jpg;https://dd3ka9h4chfr8.cloudfront.net/image/725136000567/image_g2q9s24rrp3rp9spld6hmu8700/-FJPG/107269-024_DET_6.jpg;https://dd3ka9h4chfr8.cloudfront.net/image/725136000567/image_1q6r91o9j91d349p9ovu1snb0v/-FJPG/107269-024_DET_7.jpg</t>
  </si>
  <si>
    <t>107269-024</t>
  </si>
  <si>
    <t>367.95</t>
  </si>
  <si>
    <t>https://dd3ka9h4chfr8.cloudfront.net/image/725136000567/image_gsi6le1t8p22t0deh0i8qma81l/-FJPG/107269-024_FRT_1.jpg</t>
  </si>
  <si>
    <t>A simply styled sectional, perfect for everyday lounging. Rich top grain leather makes for a polished presentation, with subtly flared sides for shapely effect, all grounded by a wrapped plinth base.</t>
  </si>
  <si>
    <t>https://dd3ka9h4chfr8.cloudfront.net/image/725136000567/image_213d75vlgl7095voudn6c88832/-FJPG/107269-015_FRT_1.jpg;https://dd3ka9h4chfr8.cloudfront.net/image/725136000567/image_ck5siq8h491f3elep1g70jj76h/-FJPG/107269-015_PRM_1.jpg;https://dd3ka9h4chfr8.cloudfront.net/image/725136000567/image_8h53uo1li15apfl49do7dg8c3v/-FJPG/107269-015_SID_1.jpg;https://dd3ka9h4chfr8.cloudfront.net/image/725136000567/image_g69sh0up610dl12bolkog0qa66/-FJPG/107269-015_ESS.tif;https://dd3ka9h4chfr8.cloudfront.net/image/725136000567/image_98tot7m9i96lt1fedghsjhuv2f/-FJPG/107269-015_BCK_1.jpg</t>
  </si>
  <si>
    <t>107269-015</t>
  </si>
  <si>
    <t>https://dd3ka9h4chfr8.cloudfront.net/image/725136000567/image_213d75vlgl7095voudn6c88832/-FJPG/107269-015_FRT_1.jpg</t>
  </si>
  <si>
    <t>Simply styled for everyday lounging. A soft cotton covering is made for comfort, with subtly flared sides for shapely effect, all grounded by a wrapped plinth base.</t>
  </si>
  <si>
    <t>Colt Sleeper Sofa</t>
  </si>
  <si>
    <t>https://dd3ka9h4chfr8.cloudfront.net/image/725136000567/image_n9gcdf01p91o7b2umr6amtql3e/-FJPG/227991-002_FRT_1.jpg;https://dd3ka9h4chfr8.cloudfront.net/image/725136000567/image_gdderc63rd7tbagviekcd2km4q/-FJPG/227991-002_PRM_1.jpg;https://dd3ka9h4chfr8.cloudfront.net/image/725136000567/image_vn926fijel1pp15dcdtc6p0g11/-FJPG/227991-002_SID_1.jpg;https://dd3ka9h4chfr8.cloudfront.net/image/725136000567/image_010u5fmo0d7mpatkqo4ao50746/-FJPG/227991-002_ESS_1.jpg;https://dd3ka9h4chfr8.cloudfront.net/image/725136000567/image_bg2quauelp0kp2gqh3kkgn055p/-FJPG/227991-002_DET_2.jpg;https://dd3ka9h4chfr8.cloudfront.net/image/725136000567/image_k6b9vk7uip5k1dr2l91gs39s2a/-FJPG/227991-002_BCK_1.jpg;https://dd3ka9h4chfr8.cloudfront.net/image/725136000567/image_9vui7e6u0h6ulcmke7gont2e0o/-FJPG/227991-002_DET_1.jpg;https://dd3ka9h4chfr8.cloudfront.net/image/725136000567/image_ch8jk64a8l1jd1d156gldvuc36/-FJPG/227991-002_DET_3.jpg;https://dd3ka9h4chfr8.cloudfront.net/image/725136000567/image_cbf4t3fn5l4hpc3i8kuqgjfu4j/-FJPG/227991-002_OPN_1.jpg;https://dd3ka9h4chfr8.cloudfront.net/image/725136000567/image_c2r7htjl5d2atc3esssroqla78/-FJPG/227991-002_DET_4.jpg;https://dd3ka9h4chfr8.cloudfront.net/image/725136000567/image_3g2tmdv9hh2jr1hckdsgf34819/-FJPG/227991-002_DET_5.jpg;https://dd3ka9h4chfr8.cloudfront.net/image/725136000567/image_dsbnnsu56p2tt4oeae1lfdl44g/-FJPG/227991-002_DET_6.jpg;https://dd3ka9h4chfr8.cloudfront.net/image/725136000567/image_ilrij05pul1j5a55blrpohs87s/-FJPG/227991-002_ROM_1.jpg;https://dd3ka9h4chfr8.cloudfront.net/image/725136000567/image_800k4t72eh1673vmjmt9u0hs45/-FJPG/227991-002_ESS_2.jpg;https://dd3ka9h4chfr8.cloudfront.net/image/725136000567/image_930k09t28d3g3326a9cv1ctu2i/-FJPG/227991-002_OPN_2.jpg;https://dd3ka9h4chfr8.cloudfront.net/image/725136000567/image_s4l0eh4jcl6blf9gvkah4fum0e/-FJPG/227991-002_OPN_3.jpg</t>
  </si>
  <si>
    <t>227991-002</t>
  </si>
  <si>
    <t>227.07</t>
  </si>
  <si>
    <t>https://dd3ka9h4chfr8.cloudfront.net/image/725136000567/image_n9gcdf01p91o7b2umr6amtql3e/-FJPG/227991-002_FRT_1.jpg</t>
  </si>
  <si>
    <t>Simply styled with a convenient Queen-size pullout bed for guests. A soft cotton covering is made for comfort, with subtly flared sides for shapely effect, all grounded by a wrapped plinth base. Performance fabrics withstand spills, stains, high traffic and wear, ensuring long-term comfort and unmatched durability.</t>
  </si>
  <si>
    <t>{"value":94.09,"unit":"in"}</t>
  </si>
  <si>
    <t>{"value":248.15,"unit":"lb"}</t>
  </si>
  <si>
    <t>35.25"</t>
  </si>
  <si>
    <t>68.50"</t>
  </si>
  <si>
    <t>https://dd3ka9h4chfr8.cloudfront.net/image/725136000567/image_v64ere2te945l7tgd5fodova7o/-FJPG/227991-005_FRT_1.jpg;https://dd3ka9h4chfr8.cloudfront.net/image/725136000567/image_meje38telt345acusl7g65r02u/-FJPG/227991-005_PRM_1.jpg;https://dd3ka9h4chfr8.cloudfront.net/image/725136000567/image_5spjbijg6d26t94edqd97op879/-FJPG/227991-005_SID_1.jpg;https://dd3ka9h4chfr8.cloudfront.net/image/725136000567/image_57vcm2748d7m93bp77v481de1d/-FJPG/227991-005_ESS.tif;https://dd3ka9h4chfr8.cloudfront.net/image/725136000567/image_nkakbd48u571pfas2a7qt5pb7u/-FJPG/227991-005_DET_2.jpg;https://dd3ka9h4chfr8.cloudfront.net/image/725136000567/image_v1f6ttfivt3ntd9aa254th6p30/-FJPG/227991-005_BCK_1.jpg;https://dd3ka9h4chfr8.cloudfront.net/image/725136000567/image_f4d5lncjd57c9ealqfr8btdb3l/-FJPG/227991-005_INF_1.jpg;https://dd3ka9h4chfr8.cloudfront.net/image/725136000567/image_7okin0o48p6u31l5nrip68ct77/-FJPG/227991-005_DET_1.jpg;https://dd3ka9h4chfr8.cloudfront.net/image/725136000567/image_uhjc6utsc10pn80fsip3bbpr1j/-FJPG/227991-005_DET_3.jpg;https://dd3ka9h4chfr8.cloudfront.net/image/725136000567/image_eun1bi6rm14r75cou8e55iir70/-FJPG/227991-005_OPN_1.jpg;https://dd3ka9h4chfr8.cloudfront.net/image/725136000567/image_rt9t9inivd4tr7g4pbkiim7f4v/-FJPG/227991-005_DET_4.jpg;https://dd3ka9h4chfr8.cloudfront.net/image/725136000567/image_9r9o7vjve50bt7g5g6b9j0l13v/-FJPG/227991-005_DET_5.jpg;https://dd3ka9h4chfr8.cloudfront.net/image/725136000567/image_ht2tu80bel77l56u23u2jq364e/-FJPG/227991-005_DET_6.jpg;https://dd3ka9h4chfr8.cloudfront.net/image/725136000567/image_v8j22ougi56lvak5ev4tfkqb2o/-FJPG/227991-005_OPN_2.jpg;https://dd3ka9h4chfr8.cloudfront.net/image/725136000567/image_2hg2higbr97jnc2rlb1l32713f/-FJPG/227991-005_PRM_2.jpg;https://dd3ka9h4chfr8.cloudfront.net/image/725136000567/image_5o2c7igpnl2irbb1169gkpvt1q/-FJPG/227991-005_ESS_2.tif;https://dd3ka9h4chfr8.cloudfront.net/image/725136000567/image_ual19v292h1r58fj9ncgsi3i7e/-FJPG/227991-005_OPN_3.jpg</t>
  </si>
  <si>
    <t>227991-005</t>
  </si>
  <si>
    <t>https://dd3ka9h4chfr8.cloudfront.net/image/725136000567/image_v64ere2te945l7tgd5fodova7o/-FJPG/227991-005_FRT_1.jpg</t>
  </si>
  <si>
    <t>Simply styled with a convenient Queen-size pullout bed for guests. A soft cotton, boucle-yarn covering is made for comfort, with subtly flared sides for shapely effect, all grounded by a wrapped plinth base. Performance fabrics withstand spills, stains, high traffic and wear, ensuring long-term comfort and unmatched durability.</t>
  </si>
  <si>
    <t>{"value":248.24,"unit":"lb"}</t>
  </si>
  <si>
    <t>Colt Sofa</t>
  </si>
  <si>
    <t>https://dd3ka9h4chfr8.cloudfront.net/image/725136000567/image_rfmegbtfe12kh352fv8dlh8a2l/-FJPG/107261-031_FRT_1.jpg;https://dd3ka9h4chfr8.cloudfront.net/image/725136000567/image_kpvjl8fd3901f9j9f49bm02s3u/-FJPG/107261-031_PRM_1.jpg;https://dd3ka9h4chfr8.cloudfront.net/image/725136000567/image_pie7qtof114e33l306kbsjo90g/-FJPG/107261-031_SID_1.jpg;https://dd3ka9h4chfr8.cloudfront.net/image/725136000567/image_ikcpaimcj11vbclg2en1gtmp1i/-FJPG/107261-031_DET_2.jpg;https://dd3ka9h4chfr8.cloudfront.net/image/725136000567/image_0qoe9dhc8t7updalvouu24fu27/-FJPG/107261-031_BCK_1.jpg;https://dd3ka9h4chfr8.cloudfront.net/image/725136000567/image_6cf3j4jjcd7ur5lidml542m148/-FJPG/107261-031_DET_1.jpg;https://dd3ka9h4chfr8.cloudfront.net/image/725136000567/image_n78v8e2hk97a5aq0bfgbdd8r2e/-FJPG/107261-031_DET_3.jpg;https://dd3ka9h4chfr8.cloudfront.net/image/725136000567/image_f9i2kc159l6prcihbjkrnvvn28/-FJPG/107261-031_DET_4.jpg;https://dd3ka9h4chfr8.cloudfront.net/image/725136000567/image_o040cfm7qp0efejjfa22vffc3a/-FJPG/107261-031_DET_5.jpg;https://dd3ka9h4chfr8.cloudfront.net/image/725136000567/image_67v543i3ll0j32cmnug9usal3e/-FJPG/107261-031_DET_6.jpg</t>
  </si>
  <si>
    <t>Canton Dove</t>
  </si>
  <si>
    <t>107261-031</t>
  </si>
  <si>
    <t>175.3</t>
  </si>
  <si>
    <t>https://dd3ka9h4chfr8.cloudfront.net/image/725136000567/image_rfmegbtfe12kh352fv8dlh8a2l/-FJPG/107261-031_FRT_1.jpg</t>
  </si>
  <si>
    <t>{"value":101.97,"unit":"in"}</t>
  </si>
  <si>
    <t>{"value":43.3,"unit":"in"}</t>
  </si>
  <si>
    <t>{"value":182.54,"unit":"lb"}</t>
  </si>
  <si>
    <t>78.00"</t>
  </si>
  <si>
    <t>24.40"</t>
  </si>
  <si>
    <t>91.00"</t>
  </si>
  <si>
    <t>https://dd3ka9h4chfr8.cloudfront.net/image/725136000567/image_q1q8ej6m5p7kvbthpgqj7meu2e/-FJPG/107261-020_FRT_1.jpg;https://dd3ka9h4chfr8.cloudfront.net/image/725136000567/image_87djlvhn9t6epar2ofdkeusq6m/-FJPG/107261-020_PRM_1.jpg;https://dd3ka9h4chfr8.cloudfront.net/image/725136000567/image_nmabcolarp30l3rou4q9pmlf73/-FJPG/107261-020_SID_1.jpg;https://dd3ka9h4chfr8.cloudfront.net/image/725136000567/image_cokls95kpd2ihd5dblp21cjc09/-FJPG/107261-020_ESS_1.jpg;https://dd3ka9h4chfr8.cloudfront.net/image/725136000567/image_3753p2psr533b83msdj7r6ju6j/-FJPG/107261-020_BCK_1.jpg</t>
  </si>
  <si>
    <t>107261-020</t>
  </si>
  <si>
    <t>https://dd3ka9h4chfr8.cloudfront.net/image/725136000567/image_q1q8ej6m5p7kvbthpgqj7meu2e/-FJPG/107261-020_FRT_1.jpg</t>
  </si>
  <si>
    <t>Columbus Trunk Console</t>
  </si>
  <si>
    <t>https://dd3ka9h4chfr8.cloudfront.net/image/725136000567/image_svea0f61a13lb9e11ge9lhn317/-FJPG/IMYA-002_FRT_1.jpg;https://dd3ka9h4chfr8.cloudfront.net/image/725136000567/image_mr55cchgc97f724mfbmnmk4j1m/-FJPG/IMYA-002_PRM_1.jpg;https://dd3ka9h4chfr8.cloudfront.net/image/725136000567/image_ksgbb6jucl2m1cqkebic17nr5b/-FJPG/IMYA-002_SID_1.jpg;https://dd3ka9h4chfr8.cloudfront.net/image/725136000567/image_qv6dao0rod4tlc30g4omvp6n18/-FJPG/IMYA-002_DET_2.jpg;https://dd3ka9h4chfr8.cloudfront.net/image/725136000567/image_oh74madf1h1hlbrknbc1sugo67/-FJPG/IMYA-002_DET_1.jpg;https://dd3ka9h4chfr8.cloudfront.net/image/725136000567/image_jr265u5r914k9br0r7fe08ij5d/-FJPG/IMYA-002_DET_3.jpg;https://dd3ka9h4chfr8.cloudfront.net/image/725136000567/image_nuiffmhe616l57jppsl7pnia62/-FJPG/IMYA-002_OPN_1.jpg;https://dd3ka9h4chfr8.cloudfront.net/image/725136000567/image_telcam3kr55jtdrlbfqom0tb29/-FJPG/IMYA-002_DET_5.jpg;https://dd3ka9h4chfr8.cloudfront.net/image/725136000567/image_dbv7nc48hp34h1h4l7r8l4ci10/-FJPG/IMYA-002_ROM_1.jpg;https://dd3ka9h4chfr8.cloudfront.net/image/725136000567/image_fm28sabqjl1j1drmtqh5vq6v65/-FJPG/IMYA-002_ROM_2.jpg</t>
  </si>
  <si>
    <t>Dark Totem</t>
  </si>
  <si>
    <t>IMYA-002</t>
  </si>
  <si>
    <t>106.26</t>
  </si>
  <si>
    <t>https://dd3ka9h4chfr8.cloudfront.net/image/725136000567/image_svea0f61a13lb9e11ge9lhn317/-FJPG/IMYA-002_FRT_1.jpg</t>
  </si>
  <si>
    <t>49</t>
  </si>
  <si>
    <t>Maya</t>
  </si>
  <si>
    <t>Reclaimed woods retain their deep totem tone for a global-rich look. Inspired by authentic Indian antiques, intricate hand carving delivers a modern air via fresh geometric patterns. Versatile, conversation-starting storage piece suits any room in the house.</t>
  </si>
  <si>
    <t>{"value":18.75,"unit":"in"}</t>
  </si>
  <si>
    <t>{"value":144.51,"unit":"lb"}</t>
  </si>
  <si>
    <t>11.25"</t>
  </si>
  <si>
    <t>Columbus</t>
  </si>
  <si>
    <t>31.00"</t>
  </si>
  <si>
    <t>Drop-Down</t>
  </si>
  <si>
    <t>Conrad Sofa</t>
  </si>
  <si>
    <t>https://dd3ka9h4chfr8.cloudfront.net/image/725136000567/image_j7fku4q4h576v1nlbdd4ek4c5u/-FJPG/CCAR-36_FRT_1.jpg;https://dd3ka9h4chfr8.cloudfront.net/image/725136000567/image_3ao3mub7n949l9q3245o4i5350/-FJPG/CCAR-36_PRM_1.jpg;https://dd3ka9h4chfr8.cloudfront.net/image/725136000567/image_k0e825s8v51t5b3554djj6rm1l/-FJPG/CCAR-36_SID_1.jpg;https://dd3ka9h4chfr8.cloudfront.net/image/725136000567/image_u0kpj43qj97hn7r12mrut59m1g/-FJPG/CCAR-36_DET_2.jpg;https://dd3ka9h4chfr8.cloudfront.net/image/725136000567/image_05er1rv6p93653bik2ee2uje17/-FJPG/CCAR-36_BCK_1.jpg;https://dd3ka9h4chfr8.cloudfront.net/image/725136000567/image_83ev9pfv750kpcsv7cvcj6562q/-FJPG/CCAR-36_DET_1.jpg;https://dd3ka9h4chfr8.cloudfront.net/image/725136000567/image_4umitua3l53tn0om3nl8vhki4p/-FJPG/CCAR-36_DET_3.jpg</t>
  </si>
  <si>
    <t>CCAR-36</t>
  </si>
  <si>
    <t>137.13</t>
  </si>
  <si>
    <t>https://dd3ka9h4chfr8.cloudfront.net/image/725136000567/image_j7fku4q4h576v1nlbdd4ek4c5u/-FJPG/CCAR-36_FRT_1.jpg</t>
  </si>
  <si>
    <t>This dramatic Chesterfield sofa has a grand, men's club feel. Saddle-toned, top-grain leather is lovingly aged â€” an effect that will intensify beautifully in time.</t>
  </si>
  <si>
    <t>{"value":204,"unit":"lb"}</t>
  </si>
  <si>
    <t>85% Polyurethane Foam Pad, 15% Polyester Fiber</t>
  </si>
  <si>
    <t>Conrad</t>
  </si>
  <si>
    <t>38.58"</t>
  </si>
  <si>
    <t>28.35"</t>
  </si>
  <si>
    <t>31.30"</t>
  </si>
  <si>
    <t>Buttoned</t>
  </si>
  <si>
    <t>94% Polyurethane Foam Pad, 6% Polyester Fiber Batting</t>
  </si>
  <si>
    <t>360-degree spin</t>
  </si>
  <si>
    <t>https://dd3ka9h4chfr8.cloudfront.net/image/725136000567/image_2q9unhgt712u384ejvcr00lr0h/-FJPG/CCAR-36-OSB_FRT_1.jpg;https://dd3ka9h4chfr8.cloudfront.net/image/725136000567/image_j1l932ue0956rdm04h2pa4hv6i/-FJPG/CCAR-36-OSB_PRM_1.jpg;https://dd3ka9h4chfr8.cloudfront.net/image/725136000567/image_dkmdrpiqpt777053ioh1stdv3s/-FJPG/CCAR-36-OSB_SID_1.jpg;https://dd3ka9h4chfr8.cloudfront.net/image/725136000567/image_sk61m8t17t6j34r2rn5vtl4f6g/-FJPG/CCAR-36-OSB_DET_2.jpg;https://dd3ka9h4chfr8.cloudfront.net/image/725136000567/image_8gn5gsbvot79t003posri4ru3j/-FJPG/CCAR-36-OSB_BCK_1.jpg;https://dd3ka9h4chfr8.cloudfront.net/image/725136000567/image_ln68llrt2h39p9iv934ibmse7k/-FJPG/CCAR-36-OSB_DET_1.jpg;https://dd3ka9h4chfr8.cloudfront.net/image/725136000567/image_a75oghi44549faop4ujqifro5c/-FJPG/CCAR-36-OSB_DET_3.jpg</t>
  </si>
  <si>
    <t>Rider Black</t>
  </si>
  <si>
    <t>CCAR-36-OSB</t>
  </si>
  <si>
    <t>https://dd3ka9h4chfr8.cloudfront.net/image/725136000567/image_2q9unhgt712u384ejvcr00lr0h/-FJPG/CCAR-36-OSB_FRT_1.jpg</t>
  </si>
  <si>
    <t>This dramatic Chesterfield sofa has a grand, men's club feel. Black saddle-toned, top-grain leather is lovingly aged â€” an effect that will intensify beautifully in time.</t>
  </si>
  <si>
    <t>Contessa Console Table</t>
  </si>
  <si>
    <t>https://dd3ka9h4chfr8.cloudfront.net/image/725136000567/image_ci5qdib6dp1m152jl07shtpe48/-FJPG/247376-001_FRT_1.jpg;https://dd3ka9h4chfr8.cloudfront.net/image/725136000567/image_5amcpk4tq14jh07oues62bsb18/-FJPG/247376-001_PRM_1.jpg;https://dd3ka9h4chfr8.cloudfront.net/image/725136000567/image_0uc9nhopul4cvdg62151iqha6v/-FJPG/247376-001_SID_1.jpg;https://dd3ka9h4chfr8.cloudfront.net/image/725136000567/image_bqhuehserh4kp4kn84t7fp0g7c/-FJPG/247376-001_ESS.tif;https://dd3ka9h4chfr8.cloudfront.net/image/725136000567/image_5m9egnp3jh4lr1ubsg05vopo7n/-FJPG/247376-001_DET_2.jpg;https://dd3ka9h4chfr8.cloudfront.net/image/725136000567/image_i37d1agusl52p2t1obfudr983p/-FJPG/247376-001_BCK_1.jpg;https://dd3ka9h4chfr8.cloudfront.net/image/725136000567/image_48pbp7qo3l0kd1v4apf7651q61/-FJPG/247376-001_DET_1.jpg;https://dd3ka9h4chfr8.cloudfront.net/image/725136000567/image_5tfsjj2g6t2j576p18msvl5l6q/-FJPG/247376-001_DET_3.jpg;https://dd3ka9h4chfr8.cloudfront.net/image/725136000567/image_enne11h3pd41h0naj5i9kage42/-FJPG/247376-001_DET_4.jpg;https://dd3ka9h4chfr8.cloudfront.net/image/725136000567/image_d4cogjbrdp1kpebgt0bpri5r0i/-FJPG/247376-001_DET_5.jpg;https://dd3ka9h4chfr8.cloudfront.net/image/725136000567/image_s9lpic2chl0o9a76fuvm8f9i3d/-FJPG/247376-001_DET_6.jpg;https://dd3ka9h4chfr8.cloudfront.net/image/725136000567/image_olmplmn6qh5rp22ckqmauffn4u/-FJPG/247376-001_DET_7.jpg;https://dd3ka9h4chfr8.cloudfront.net/image/725136000567/image_impeqbl7gp41p8s431g1lpne7k/-FJPG/247376-001_DET_8.jpg;https://dd3ka9h4chfr8.cloudfront.net/image/725136000567/image_ieu959i4hd2v18si1n7cl5ha48/-FJPG/247376-001_DET_9.tif;https://dd3ka9h4chfr8.cloudfront.net/image/725136000567/image_87c67t246d7dhbr931cm80bk6v/-FJPG/247376-001_PRM_2.jpg</t>
  </si>
  <si>
    <t>247376-001</t>
  </si>
  <si>
    <t>105.38</t>
  </si>
  <si>
    <t>https://dd3ka9h4chfr8.cloudfront.net/image/725136000567/image_ci5qdib6dp1m152jl07shtpe48/-FJPG/247376-001_FRT_1.jpg</t>
  </si>
  <si>
    <t>["Resawn Alder Veneer","Solid Alder"]</t>
  </si>
  <si>
    <t>Smoked Alder Solid</t>
  </si>
  <si>
    <t>Crafted from smoked alder, this Wabi Sabi-inspired console brings an organic look to your space. With staggered legs, chamfered edges and a central stretcher, this piece is perfect for media display or styled in the living room or entryway.</t>
  </si>
  <si>
    <t>Box Contents</t>
  </si>
  <si>
    <t>{"value":38.19,"unit":"in"}</t>
  </si>
  <si>
    <t>{"value":201.06,"unit":"lb"}</t>
  </si>
  <si>
    <t>66.38"</t>
  </si>
  <si>
    <t>Contessa</t>
  </si>
  <si>
    <t>17.88"</t>
  </si>
  <si>
    <t>Copeland Chair</t>
  </si>
  <si>
    <t>https://dd3ka9h4chfr8.cloudfront.net/image/725136000567/image_pbcu8a7k6d4d1cdtm1vrtmch06/-FJPG/CABT-10849-092_FRT_1.jpg;https://dd3ka9h4chfr8.cloudfront.net/image/725136000567/image_qmmm39ns8d1ej8md8nttvt3t1u/-FJPG/CABT-10849-092_PRM_1.jpg;https://dd3ka9h4chfr8.cloudfront.net/image/725136000567/image_vmsjjnke4d1tj80au7d3pfjs64/-FJPG/CABT-10849-092_SID_1.jpg;https://dd3ka9h4chfr8.cloudfront.net/image/725136000567/image_6kvr00rhgl1if8k7qplkbpbc64/-FJPG/CABT-10849-092_DET_2.jpg;https://dd3ka9h4chfr8.cloudfront.net/image/725136000567/image_orrfjtm5rd3pbab00g0jen057r/-FJPG/CABT-10849-092_BCK_1.jpg;https://dd3ka9h4chfr8.cloudfront.net/image/725136000567/image_564t1f54ap2p775ff86bftoi5k/-FJPG/CABT-10849-092_DET_1.jpg;https://dd3ka9h4chfr8.cloudfront.net/image/725136000567/image_38pip9a8a108te7kg5d1sg5p2m/-FJPG/CABT-10849-092_DET_3.jpg;https://dd3ka9h4chfr8.cloudfront.net/image/725136000567/image_ldmd72kifl19f1eahiod1c3d3a/-FJPG/CABT-10849-092_DET_4.jpg;https://dd3ka9h4chfr8.cloudfront.net/image/725136000567/image_3vehrrqopl1bda6sl77bsfro2d/-FJPG/CABT-10849-092_DET_5.jpg;https://dd3ka9h4chfr8.cloudfront.net/image/725136000567/image_nlk99c2j0161dc2piag3t3k73c/-FJPG/CABT-10849-092_ROM_1.jpg</t>
  </si>
  <si>
    <t>CABT-10849-092</t>
  </si>
  <si>
    <t>50.71</t>
  </si>
  <si>
    <t>https://dd3ka9h4chfr8.cloudfront.net/image/725136000567/image_pbcu8a7k6d4d1cdtm1vrtmch06/-FJPG/CABT-10849-092_FRT_1.jpg</t>
  </si>
  <si>
    <t>Black Oak</t>
  </si>
  <si>
    <t>A tailored look inspired by modern menswear. Slim, cradled framing of black oak supports neutral grey-toned seating with a subtle herringbone pattern.</t>
  </si>
  <si>
    <t>50% Waterfowl Feather, 30% Polyurethane Foam Pad, 20% Polyester Fiber Batting</t>
  </si>
  <si>
    <t>Copeland</t>
  </si>
  <si>
    <t>2.75"</t>
  </si>
  <si>
    <t>29.75"</t>
  </si>
  <si>
    <t>https://dd3ka9h4chfr8.cloudfront.net/image/725136000567/image_nucven97qd4mrbnittnh67924t/-FJPG/105570-005_FRT_1.JPG;https://dd3ka9h4chfr8.cloudfront.net/image/725136000567/image_i8vh17l9kd6jdef1s99qpfv47g/-FJPG/105570-005_PRM_1.JPG;https://dd3ka9h4chfr8.cloudfront.net/image/725136000567/image_3h8ruq6c995uf2cmj1uf1qgn4j/-FJPG/105570-005_SID_1.JPG;https://dd3ka9h4chfr8.cloudfront.net/image/725136000567/image_not0kjfgmd21dfd26tr70l9p6q/-FJPG/105570-005_ESS_1.jpg;https://dd3ka9h4chfr8.cloudfront.net/image/725136000567/image_32809f3m6d10b8ncke6q5i0p2g/-FJPG/105570-005_DET_2.JPG;https://dd3ka9h4chfr8.cloudfront.net/image/725136000567/image_rp19ddv9uh1u97fule1pp7ue61/-FJPG/105570-005_BCK_1.JPG;https://dd3ka9h4chfr8.cloudfront.net/image/725136000567/image_nposm08d1t31j0lrvjhokee53t/-FJPG/105570-005_DET_1.JPG;https://dd3ka9h4chfr8.cloudfront.net/image/725136000567/image_7lskkrg1o11ed85ji769jeb11d/-FJPG/105570-005_DET_3.JPG</t>
  </si>
  <si>
    <t>105570-005</t>
  </si>
  <si>
    <t>https://dd3ka9h4chfr8.cloudfront.net/image/725136000567/image_nucven97qd4mrbnittnh67924t/-FJPG/105570-005_FRT_1.JPG</t>
  </si>
  <si>
    <t>["66% Polyester","19% Acrylic","15% Flax/Linen","Solid Oak"]</t>
  </si>
  <si>
    <t>A tailored look inspired by modern menswear. Slim, cradled framing of toasted oak supports cream colored textured seating with a single pillow for added comfort.</t>
  </si>
  <si>
    <t>Cora Chair</t>
  </si>
  <si>
    <t>https://dd3ka9h4chfr8.cloudfront.net/image/725136000567/image_41nd1lo3751ft5rfo65dggje3u/-FJPG/239249-001_FRT_1.jpg;https://dd3ka9h4chfr8.cloudfront.net/image/725136000567/image_1u4mujlgjt507bnhm479h86q7b/-FJPG/239249-001_PRM_1.jpg;https://dd3ka9h4chfr8.cloudfront.net/image/725136000567/image_533uj5vbc56rpb4cvl2rt0cd4q/-FJPG/239249-001_SID_1.jpg;https://dd3ka9h4chfr8.cloudfront.net/image/725136000567/image_d8ohoehc753v72g0jtk1mnsi7p/-FJPG/239249-001_ESS.tif;https://dd3ka9h4chfr8.cloudfront.net/image/725136000567/image_cokvb5pp8d3ldc0krdl6455h23/-FJPG/239249-001_DET_2.jpg;https://dd3ka9h4chfr8.cloudfront.net/image/725136000567/image_abdffe6a4p2vl7cpoi6ib83n5k/-FJPG/239249-001_BCK_1.jpg;https://dd3ka9h4chfr8.cloudfront.net/image/725136000567/image_jgvh94s6m93pr1i7rrqf9dts2n/-FJPG/239249-001_DET_1.jpg;https://dd3ka9h4chfr8.cloudfront.net/image/725136000567/image_4hmtkup9m13f1akvt0k8anm666/-FJPG/239249-001_DET_3.jpg;https://dd3ka9h4chfr8.cloudfront.net/image/725136000567/image_fr9h1nc6ql4unfpmmhmmj7lp6t/-FJPG/239249-001_DET_4.jpg;https://dd3ka9h4chfr8.cloudfront.net/image/725136000567/image_k4po3htbc11od3n0dgjut2e35t/-FJPG/239249-001_DET_5.jpg;https://dd3ka9h4chfr8.cloudfront.net/image/725136000567/image_goj897j9294el2nlvu05f93b4u/-FJPG/239249-001_DET_6.jpg</t>
  </si>
  <si>
    <t>Conroe Cigar</t>
  </si>
  <si>
    <t>239249-001</t>
  </si>
  <si>
    <t>https://dd3ka9h4chfr8.cloudfront.net/image/725136000567/image_41nd1lo3751ft5rfo65dggje3u/-FJPG/239249-001_FRT_1.jpg</t>
  </si>
  <si>
    <t>Terra Brown Ash</t>
  </si>
  <si>
    <t>This found fireside chair is the embodiment of comfort with its S-spring seating construction, plush seat and back, and feather fiber-filled arm cushions. Blind tufts on the arms and back lend a subtle detail that elevates the overall style.</t>
  </si>
  <si>
    <t>{"value":74.96,"unit":"lb"}</t>
  </si>
  <si>
    <t>Cora</t>
  </si>
  <si>
    <t>Blind-pull</t>
  </si>
  <si>
    <t>https://dd3ka9h4chfr8.cloudfront.net/image/725136000567/image_09qq1s28qp5dn4664jg0065024/-FJPG/239249-002_FRT_1.JPG;https://dd3ka9h4chfr8.cloudfront.net/image/725136000567/image_p4m0pf2q3h3jd65dohu3nv5v6k/-FJPG/239249-002_PRM_1.JPG;https://dd3ka9h4chfr8.cloudfront.net/image/725136000567/image_p822sld2bt69b7k1e5e6q0gq4g/-FJPG/239249-002_SID_1.JPG;https://dd3ka9h4chfr8.cloudfront.net/image/725136000567/image_r3r7bka1dp5g1c19jm6co9hv25/-FJPG/239249-002_ESS.tif;https://dd3ka9h4chfr8.cloudfront.net/image/725136000567/image_p3jcdsrbv55975hj9ejf7n5q72/-FJPG/239249-002_DET_2.JPG;https://dd3ka9h4chfr8.cloudfront.net/image/725136000567/image_m8ipgt81rp1058nl5lgkgq0f5m/-FJPG/239249-002_BCK_1.JPG;https://dd3ka9h4chfr8.cloudfront.net/image/725136000567/image_4pca3kcu0t2gpft3i52b8mf52i/-FJPG/239249-002_DET_1.JPG;https://dd3ka9h4chfr8.cloudfront.net/image/725136000567/image_kq3cpqvfkh04j3035roer3c92e/-FJPG/239249-002_DET_3.JPG;https://dd3ka9h4chfr8.cloudfront.net/image/725136000567/image_90fnjavakh1hh5qgdgjffqha5c/-FJPG/239249-002_DET_4.JPG;https://dd3ka9h4chfr8.cloudfront.net/image/725136000567/image_s9necvv70p101bfq1g7e6un44t/-FJPG/239249-002_DET_5.JPG;https://dd3ka9h4chfr8.cloudfront.net/image/725136000567/image_je2142obel7rpasd1743veco3u/-FJPG/239249-002_DET_6.JPG</t>
  </si>
  <si>
    <t>Hasselt Taupe</t>
  </si>
  <si>
    <t>239249-002</t>
  </si>
  <si>
    <t>https://dd3ka9h4chfr8.cloudfront.net/image/725136000567/image_09qq1s28qp5dn4664jg0065024/-FJPG/239249-002_FRT_1.JPG</t>
  </si>
  <si>
    <t>["51% Linen","49% Wool-Stonewash","Solid Ash"]</t>
  </si>
  <si>
    <t>Cora Nesting End Tables</t>
  </si>
  <si>
    <t>https://dd3ka9h4chfr8.cloudfront.net/image/725136000567/image_8s3284kfo50mt8qt1fg7f7if4k/-FJPG/248340-001_FRT_1.jpg;https://dd3ka9h4chfr8.cloudfront.net/image/725136000567/image_duj21cevad71j0tn0l5et39j1l/-FJPG/248340-001_PRM_1.jpg;https://dd3ka9h4chfr8.cloudfront.net/image/725136000567/image_khrrn7ecbd6nvadfj4k9n9611r/-FJPG/248340-001_SID_1.jpg;https://dd3ka9h4chfr8.cloudfront.net/image/725136000567/image_dqpq89hf652in1knefcs677q2f/-FJPG/248340-001_ESS.tif;https://dd3ka9h4chfr8.cloudfront.net/image/725136000567/image_e4p547jsl145j1dmlt8lbmvn6h/-FJPG/248340-001_DET_2.jpg;https://dd3ka9h4chfr8.cloudfront.net/image/725136000567/image_n5vgaeumjd5p3f9kbr6qoloi4n/-FJPG/248340-001_DET_1.jpg;https://dd3ka9h4chfr8.cloudfront.net/image/725136000567/image_sdgnnkmu8t603bagrjbvcqp049/-FJPG/248340-001_DET_3.jpg;https://dd3ka9h4chfr8.cloudfront.net/image/725136000567/image_70t1mqlfg96kl0v7ogehnhfi4j/-FJPG/248340-001_TOP_1.jpg;https://dd3ka9h4chfr8.cloudfront.net/image/725136000567/image_pui0mnofuh6r30enc5kd2gic3k/-FJPG/248340-001_DET_4.jpg;https://dd3ka9h4chfr8.cloudfront.net/image/725136000567/image_h2a7olnjgl1gnek09jcbg1r83f/-FJPG/248340-001_DET_5.jpg</t>
  </si>
  <si>
    <t>Textured Sandy Grey</t>
  </si>
  <si>
    <t>248340-001</t>
  </si>
  <si>
    <t>74.95</t>
  </si>
  <si>
    <t>https://dd3ka9h4chfr8.cloudfront.net/image/725136000567/image_8s3284kfo50mt8qt1fg7f7if4k/-FJPG/248340-001_FRT_1.jpg</t>
  </si>
  <si>
    <t>["Solid Concrete"]</t>
  </si>
  <si>
    <t>12.75</t>
  </si>
  <si>
    <t>{"value":12.75,"unit":"in"}</t>
  </si>
  <si>
    <t>Chandler</t>
  </si>
  <si>
    <t>Inspired by antiques, a set of nesting end tables features sculptural silhouettes that draw upon the shape of classic vessels. Made from concrete and finished with a stone-like water transfer technique, bringing a  beautifully textured look to your space.</t>
  </si>
  <si>
    <t>{"value":48.5,"unit":"lb"}</t>
  </si>
  <si>
    <t>Corbett Coffee Table</t>
  </si>
  <si>
    <t>https://dd3ka9h4chfr8.cloudfront.net/image/725136000567/image_46h29onf0p1hl0at7vbfbo9c73/-FJPG/224138-001_PRM_1.jpg;https://dd3ka9h4chfr8.cloudfront.net/image/725136000567/image_mpqraq8osp5rf37auqhec0hh1m/-FJPG/224138-001_DET_2.jpg;https://dd3ka9h4chfr8.cloudfront.net/image/725136000567/image_qbunhuq4513490a1rh5u72en74/-FJPG/224138-001_INF_1.png;https://dd3ka9h4chfr8.cloudfront.net/image/725136000567/image_ajp25bilf13e1aelriu4kloa0f/-FJPG/224138-001_DET_3.jpg;https://dd3ka9h4chfr8.cloudfront.net/image/725136000567/image_mh9s4ihtd137hd8gpn2bqodo3p/-FJPG/224138-001_DET_4.jpg;https://dd3ka9h4chfr8.cloudfront.net/image/725136000567/image_dlvskis3c57jjb96envs7eh842/-FJPG/224138-001_DET_5.jpg;https://dd3ka9h4chfr8.cloudfront.net/image/725136000567/image_lc6krl2p7h6df2r196o47ooq5j/-FJPG/224138-001_ROM_1.jpg;https://dd3ka9h4chfr8.cloudfront.net/image/725136000567/image_qcaima5o0d6ihb690ec0t59m79/-FJPG/224138-001_VIG_2.jpg;https://dd3ka9h4chfr8.cloudfront.net/image/725136000567/image_bhuf669qht4kf99glu4md0583r/-FJPG/224138-001_ESS_3.jpg;https://dd3ka9h4chfr8.cloudfront.net/image/725136000567/image_jnh8cqnhu154n3roq7k1l1m82q/-FJPG/224138-001_VIG_4.jpg</t>
  </si>
  <si>
    <t>Hammered Grey</t>
  </si>
  <si>
    <t>224138-001</t>
  </si>
  <si>
    <t>110.23</t>
  </si>
  <si>
    <t>https://dd3ka9h4chfr8.cloudfront.net/image/725136000567/image_46h29onf0p1hl0at7vbfbo9c73/-FJPG/224138-001_PRM_1.jpg</t>
  </si>
  <si>
    <t>["Solid Marble","Aluminum"]</t>
  </si>
  <si>
    <t>Marlow</t>
  </si>
  <si>
    <t>Creamy Taupe Marble</t>
  </si>
  <si>
    <t>A sculptural play on shape. Hammered grey-finished aluminum base supports a grand, rounded tabletop of creamy taupe marble with beautiful natural veining.</t>
  </si>
  <si>
    <t>{"value":67.24,"unit":"lb"}</t>
  </si>
  <si>
    <t>{"value":42.25,"unit":"in"}</t>
  </si>
  <si>
    <t>{"value":41.75,"unit":"in"}</t>
  </si>
  <si>
    <t>{"value":97.66,"unit":"lb"}</t>
  </si>
  <si>
    <t>Corbett</t>
  </si>
  <si>
    <t>https://dd3ka9h4chfr8.cloudfront.net/image/725136000567/image_iksdu655gt2chfmio761b57l40/-FJPG/224138-002_PRM_1.jpg;https://dd3ka9h4chfr8.cloudfront.net/image/725136000567/image_l9gh8sbva965l49t9scme2ho40/-FJPG/224138-002_ESS_1.jpg;https://dd3ka9h4chfr8.cloudfront.net/image/725136000567/image_jbjgn4ch1l3ft9s5eet9ok0e6u/-FJPG/224138-002_DET_2.jpg;https://dd3ka9h4chfr8.cloudfront.net/image/725136000567/image_rgouk1tbmd6bndof5sooo6fc7r/-FJPG/224138-002_DET_1.jpg;https://dd3ka9h4chfr8.cloudfront.net/image/725136000567/image_sqg1holiuh6h34s2m1h17kbd42/-FJPG/224138-002_DET_3.jpg;https://dd3ka9h4chfr8.cloudfront.net/image/725136000567/image_k0ga35popp1qfd4vv2rtgojn5p/-FJPG/224138-002_DET_4.jpg;https://dd3ka9h4chfr8.cloudfront.net/image/725136000567/image_q011fnfo2d03nfk0bkqb54301h/-FJPG/224138-002_DET_5.jpg;https://dd3ka9h4chfr8.cloudfront.net/image/725136000567/image_29jdc228n54fpfq3vcuipktj37/-FJPG/224138-002_DET_6.jpg</t>
  </si>
  <si>
    <t>Textured Matte White</t>
  </si>
  <si>
    <t>224138-002</t>
  </si>
  <si>
    <t>https://dd3ka9h4chfr8.cloudfront.net/image/725136000567/image_iksdu655gt2chfmio761b57l40/-FJPG/224138-002_PRM_1.jpg</t>
  </si>
  <si>
    <t>A sculptural play on shape. Textured matte white-finished aluminum base supports a grand, rounded tabletop of creamy taupe marble with beautiful natural veining.</t>
  </si>
  <si>
    <t>https://dd3ka9h4chfr8.cloudfront.net/image/725136000567/image_kdg5ue8vdd6or82udh89flsc4q/-FJPG/224138-005_FRT_1.jpg;https://dd3ka9h4chfr8.cloudfront.net/image/725136000567/image_pdgb8bh6ap4m59vu8fv163b86p/-FJPG/224138-005_PRM_1.jpg;https://dd3ka9h4chfr8.cloudfront.net/image/725136000567/image_03bl8hvpq165rb5u4pm8dka10n/-FJPG/224138-005_SID_1.jpg;https://dd3ka9h4chfr8.cloudfront.net/image/725136000567/image_mn3cfqiu0p4nvf1qj99lf1jj23/-FJPG/224138-005_DET_2.jpg;https://dd3ka9h4chfr8.cloudfront.net/image/725136000567/image_r42l45d52p4nr6olkc3bju7l79/-FJPG/224138-005_DET_1.jpg;https://dd3ka9h4chfr8.cloudfront.net/image/725136000567/image_34bi4lgjeh3bt2atctkqpe666v/-FJPG/224138-005_DET_3.jpg;https://dd3ka9h4chfr8.cloudfront.net/image/725136000567/image_rsl5o4nqj17nt84bck1ej79d0f/-FJPG/224138-005_TOP_1.jpg;https://dd3ka9h4chfr8.cloudfront.net/image/725136000567/image_6dcs9uo2313r3asp0kejegcl02/-FJPG/224138-005_DET_4.jpg</t>
  </si>
  <si>
    <t>Polished Black Marble</t>
  </si>
  <si>
    <t>224138-005</t>
  </si>
  <si>
    <t>https://dd3ka9h4chfr8.cloudfront.net/image/725136000567/image_kdg5ue8vdd6or82udh89flsc4q/-FJPG/224138-005_FRT_1.jpg</t>
  </si>
  <si>
    <t>For a sculptural play on shape, a hammered grey aluminum base supports a rounded tabletop of black solid marble with swirls of natural veining.</t>
  </si>
  <si>
    <t>https://dd3ka9h4chfr8.cloudfront.net/image/725136000567/image_jghp3id8p16ut7amavms19j75v/-FJPG/224138-003_PRM_1.jpg;https://dd3ka9h4chfr8.cloudfront.net/image/725136000567/image_oi4qu75da97tn8kp7oatgpbg6k/-FJPG/224138-003_ESS_1.jpg;https://dd3ka9h4chfr8.cloudfront.net/image/725136000567/image_nr08269nqd4lr49svmablrh859/-FJPG/224138-003_DET_2.jpg;https://dd3ka9h4chfr8.cloudfront.net/image/725136000567/image_mta929gj553mn13shqas90i874/-FJPG/224138-003_INF_1.jpg;https://dd3ka9h4chfr8.cloudfront.net/image/725136000567/image_hb0gjpbci57b96g20k5vbakk3r/-FJPG/224138-003_DET_1.jpg;https://dd3ka9h4chfr8.cloudfront.net/image/725136000567/image_nvm99spd516fr38qslt7b22f5o/-FJPG/224138-003_DET_3.jpg;https://dd3ka9h4chfr8.cloudfront.net/image/725136000567/image_b9fmvgd7l52tde585gd76fkd3o/-FJPG/224138-003_DET_4.jpg;https://dd3ka9h4chfr8.cloudfront.net/image/725136000567/image_sb09imhl1h6o5f82q99l3mk506/-FJPG/224138-003_DET_5.jpg</t>
  </si>
  <si>
    <t>River Grey Marble</t>
  </si>
  <si>
    <t>224138-003</t>
  </si>
  <si>
    <t>https://dd3ka9h4chfr8.cloudfront.net/image/725136000567/image_jghp3id8p16ut7amavms19j75v/-FJPG/224138-003_PRM_1.jpg</t>
  </si>
  <si>
    <t>A sculptural play on shape. Hammered grey-finished aluminum base supports a solid marble tabletop in complementary grey with striking natural veining.</t>
  </si>
  <si>
    <t>Corbett Large Coffee Table</t>
  </si>
  <si>
    <t>https://dd3ka9h4chfr8.cloudfront.net/image/725136000567/image_bq6p2fg6ed7al8fhpgb3f6nc66/-FJPG/236723-001_PRM_1.jpg;https://dd3ka9h4chfr8.cloudfront.net/image/725136000567/image_g5339i4unl5pdd3jt6fj09hv00/-FJPG/236723-001_ESS_1.jpg;https://dd3ka9h4chfr8.cloudfront.net/image/725136000567/image_d4pr091g3t1ghbd7lnlvedje79/-FJPG/236723-001_DET_2.jpg;https://dd3ka9h4chfr8.cloudfront.net/image/725136000567/image_5lqdti36ct7sl6mci3nd79jg75/-FJPG/236723-001_INF_1.png;https://dd3ka9h4chfr8.cloudfront.net/image/725136000567/image_pv9jbjkntt77f5bjf0v15vhk57/-FJPG/236723-001_DET_1.jpg;https://dd3ka9h4chfr8.cloudfront.net/image/725136000567/image_69pnkh72tl09v99l25evv42r18/-FJPG/236723-001_DET_3.jpg;https://dd3ka9h4chfr8.cloudfront.net/image/725136000567/image_mbptm5l9n11653ni73dt41d431/-FJPG/236723-001_DET_4.jpg</t>
  </si>
  <si>
    <t>236723-001</t>
  </si>
  <si>
    <t>191.58</t>
  </si>
  <si>
    <t>https://dd3ka9h4chfr8.cloudfront.net/image/725136000567/image_bq6p2fg6ed7al8fhpgb3f6nc66/-FJPG/236723-001_PRM_1.jpg</t>
  </si>
  <si>
    <t>47</t>
  </si>
  <si>
    <t>{"value":47,"unit":"in"}</t>
  </si>
  <si>
    <t>For a sculptural play on shape, a hammered grey aluminum base supports a large, rounded tabletop of creamy taupe solid marble with swirls of natural veining.</t>
  </si>
  <si>
    <t>{"value":55.25,"unit":"in"}</t>
  </si>
  <si>
    <t>{"value":9,"unit":"in"}</t>
  </si>
  <si>
    <t>{"value":182.94,"unit":"lb"}</t>
  </si>
  <si>
    <t>{"value":51,"unit":"in"}</t>
  </si>
  <si>
    <t>{"value":125.27,"unit":"lb"}</t>
  </si>
  <si>
    <t>12.13"</t>
  </si>
  <si>
    <t>Corin End Table</t>
  </si>
  <si>
    <t>https://dd3ka9h4chfr8.cloudfront.net/image/725136000567/image_1b41no5n1l4rp9acs96d0s7o4c/-FJPG/CIMP-181_PRM_1.jpg;https://dd3ka9h4chfr8.cloudfront.net/image/725136000567/image_13teban9tl2q10auksjgdosi2q/-FJPG/CIMP-181_BCK_1.jpg;https://dd3ka9h4chfr8.cloudfront.net/image/725136000567/image_a1ruhe3pm1185eb8g5bq2rnj6f/-FJPG/CIMP-181_INF_1.jpg;https://dd3ka9h4chfr8.cloudfront.net/image/725136000567/image_9t88j4uo6l5clftocdu3gscg2m/-FJPG/CIMP-181_DET_1.jpg;https://dd3ka9h4chfr8.cloudfront.net/image/725136000567/image_he6pvoe6nt2td1ohvdci6pqs2n/-FJPG/CIMP-181_DET_6.jpg;https://dd3ka9h4chfr8.cloudfront.net/image/725136000567/image_9alssruv294p3d9ln34v5l2777/-FJPG/CIMP-181_ROM_1.jpg;https://dd3ka9h4chfr8.cloudfront.net/image/725136000567/image_267gr30rgh5mndl4av89dk7p4e/-FJPG/CIMP-181_ROM_2.jpg</t>
  </si>
  <si>
    <t>Bluestone</t>
  </si>
  <si>
    <t>CIMP-181</t>
  </si>
  <si>
    <t>https://dd3ka9h4chfr8.cloudfront.net/image/725136000567/image_1b41no5n1l4rp9acs96d0s7o4c/-FJPG/CIMP-181_PRM_1.jpg</t>
  </si>
  <si>
    <t>["Solid Bluestone","Iron"]</t>
  </si>
  <si>
    <t>13.75</t>
  </si>
  <si>
    <t>{"value":13.75,"unit":"in"}</t>
  </si>
  <si>
    <t>Powder Black</t>
  </si>
  <si>
    <t>A classic tripod base of powder black-finished iron supports a rounded bluestone top, adding elegance to slim, simple styling. White mineral lines and subtle color, texture and pattern variations are to be expected and speak to each stone's individual nature.</t>
  </si>
  <si>
    <t>{"value":17.72,"unit":"in"}</t>
  </si>
  <si>
    <t>Corin</t>
  </si>
  <si>
    <t>10.25"</t>
  </si>
  <si>
    <t>Cristopher Sideboard</t>
  </si>
  <si>
    <t>https://dd3ka9h4chfr8.cloudfront.net/image/725136000567/image_pju665hqpt44v29mq6afmher38/-FJPG/237543-001_FRT_1.jpg;https://dd3ka9h4chfr8.cloudfront.net/image/725136000567/image_dp1ouesh3l73l4omre0uoruf6s/-FJPG/237543-001_PRM_1.jpg;https://dd3ka9h4chfr8.cloudfront.net/image/725136000567/image_a40b3qn8bl6g7cicta4cei5933/-FJPG/237543-001_SID_1.jpg;https://dd3ka9h4chfr8.cloudfront.net/image/725136000567/image_bqtdb2h3op50j163fm331a265d/-FJPG/237543-001_ESS.tif;https://dd3ka9h4chfr8.cloudfront.net/image/725136000567/image_1jnsj1v0hp6nna6mtrtpl1kg0e/-FJPG/237543-001_DET_2.jpg;https://dd3ka9h4chfr8.cloudfront.net/image/725136000567/image_fhcphd9ej51kh6o81tbt2ibt1r/-FJPG/237543-001_BCK_1.jpg;https://dd3ka9h4chfr8.cloudfront.net/image/725136000567/image_0q02ac7to1765ecm39a2kv0e6i/-FJPG/237543-001_DET_1.jpg;https://dd3ka9h4chfr8.cloudfront.net/image/725136000567/image_vo2mnv5m417ldcog71crmput5g/-FJPG/237543-001_DET_3.jpg;https://dd3ka9h4chfr8.cloudfront.net/image/725136000567/image_52293bc2q15urd16i9lt1dqj3j/-FJPG/237543-001_OPN_1.jpg;https://dd3ka9h4chfr8.cloudfront.net/image/725136000567/image_c5rkpfo89l7rd8716nsta4na20/-FJPG/237543-001_DET_4.jpg;https://dd3ka9h4chfr8.cloudfront.net/image/725136000567/image_01g4ga5rhd45rfetjta9e4qr5c/-FJPG/237543-001_DET_5.jpg;https://dd3ka9h4chfr8.cloudfront.net/image/725136000567/image_tevnin82kl0kfe859bt4vda52a/-FJPG/237543-001_DET_6.jpg;https://dd3ka9h4chfr8.cloudfront.net/image/725136000567/image_erqu8kpbrp3gfa3co350ddpo5b/-FJPG/237543-001_DET_7.jpg</t>
  </si>
  <si>
    <t>Rubbed Light Oak Veneer</t>
  </si>
  <si>
    <t>237543-001</t>
  </si>
  <si>
    <t>https://dd3ka9h4chfr8.cloudfront.net/image/725136000567/image_pju665hqpt44v29mq6afmher38/-FJPG/237543-001_FRT_1.jpg</t>
  </si>
  <si>
    <t>Bronze Antimony</t>
  </si>
  <si>
    <t>A playful placement of rounded shapes and clean lines, this sideboard captivates with half-cylinder legs seamlessly blending into the storage case and top, complete with curved metal hardware. Finished in light oak for warm, light look that can move between styles with ease.</t>
  </si>
  <si>
    <t>{"value":235.89,"unit":"lb"}</t>
  </si>
  <si>
    <t>29.76"</t>
  </si>
  <si>
    <t>Cristopher</t>
  </si>
  <si>
    <t>24.37"</t>
  </si>
  <si>
    <t>Crosby Round Coffee Table</t>
  </si>
  <si>
    <t>https://dd3ka9h4chfr8.cloudfront.net/image/725136000567/image_ptib30iant01t7bancj22e4227/-FJPG/VBNA-CT998_PRM_1.jpg;https://dd3ka9h4chfr8.cloudfront.net/image/725136000567/image_p04m19a27t397fh5k7mvhctp4d/-FJPG/VBNA-CT998_DET_2.jpg;https://dd3ka9h4chfr8.cloudfront.net/image/725136000567/image_bcr51vpfcd2vfedd2945t1n37a/-FJPG/VBNA-CT998_DET_1.jpg;https://dd3ka9h4chfr8.cloudfront.net/image/725136000567/image_m5bll7h3ml7op8qj0l1v3ahm3h/-FJPG/VBNA-CT998_DET_3.jpg;https://dd3ka9h4chfr8.cloudfront.net/image/725136000567/image_epql96n5ph29h614ofddvbd55h/-FJPG/VBNA-CT998_TOP_1.jpg;https://dd3ka9h4chfr8.cloudfront.net/image/725136000567/image_lckonogkf94kv3p9obgi4lnh3e/-FJPG/VBNA-CT998_DET_4.jpg;https://dd3ka9h4chfr8.cloudfront.net/image/725136000567/image_9deak4c6qh3gr9ip3a0s31nt25/-FJPG/VBNA-CT998_DET_5.jpg;https://dd3ka9h4chfr8.cloudfront.net/image/725136000567/image_d0shlj8qp113vbl6lrhs7b010k/-FJPG/VBNA-CT998_ROM_1.jpg</t>
  </si>
  <si>
    <t>Natural Peroba</t>
  </si>
  <si>
    <t>VBNA-CT998</t>
  </si>
  <si>
    <t>https://dd3ka9h4chfr8.cloudfront.net/image/725136000567/image_ptib30iant01t7bancj22e4227/-FJPG/VBNA-CT998_PRM_1.jpg</t>
  </si>
  <si>
    <t>["Reclaimed  Resawn Peroba Veneer","Solid Acacia","Faux Shagreen"]</t>
  </si>
  <si>
    <t>Rust Acacia</t>
  </si>
  <si>
    <t>Charcoal Shagreen</t>
  </si>
  <si>
    <t>Mixed materials and the simplest of shapes offer a dramatic centerpiece for any space. Reclaimed peroba wood is supported by a textural faux shagreen base in soft grey. This piece is designed in collaboration with Thomas Bina. Four Handsâ€™ partnership with the renowned Los Angeles furniture designer began in the early 2000s, producing several unique collections including reclaimed wood-driven case goods and Brazilian-inspired upholstery.</t>
  </si>
  <si>
    <t>{"value":22.99,"unit":"in"}</t>
  </si>
  <si>
    <t>Crosby</t>
  </si>
  <si>
    <t>2.48"</t>
  </si>
  <si>
    <t>26.18"</t>
  </si>
  <si>
    <t>0.16"</t>
  </si>
  <si>
    <t>Crosby Side Table</t>
  </si>
  <si>
    <t>https://dd3ka9h4chfr8.cloudfront.net/image/725136000567/image_vmdogu7a615cn5svbjmr1v3648/-FJPG/VBNA-ST267_FRT_1.jpg;https://dd3ka9h4chfr8.cloudfront.net/image/725136000567/image_nmc33iujvl1v71ll7kft4nc63j/-FJPG/VBNA-ST267_PRM_1.jpg;https://dd3ka9h4chfr8.cloudfront.net/image/725136000567/image_irrn9has150pj68f0ecv27t236/-FJPG/VBNA-ST267_DET_2.jpg;https://dd3ka9h4chfr8.cloudfront.net/image/725136000567/image_9n3itfgnmp7cv4kedph2m1v066/-FJPG/VBNA-ST267_DET_1.jpg;https://dd3ka9h4chfr8.cloudfront.net/image/725136000567/image_36i5qis9gp12fb9kjn2veuu75s/-FJPG/VBNA-ST267_DET_3.jpg;https://dd3ka9h4chfr8.cloudfront.net/image/725136000567/image_8htep6nsdl7ida8h4safgg2d3h/-FJPG/VBNA-ST267_ROM_1.jpg;https://dd3ka9h4chfr8.cloudfront.net/image/725136000567/image_51jlhoi0h1391blk5r00bbpe2e/-FJPG/VBNA-ST267_ROM_2.jpg</t>
  </si>
  <si>
    <t>VBNA-ST267</t>
  </si>
  <si>
    <t>https://dd3ka9h4chfr8.cloudfront.net/image/725136000567/image_vmdogu7a615cn5svbjmr1v3648/-FJPG/VBNA-ST267_FRT_1.jpg</t>
  </si>
  <si>
    <t>24.25</t>
  </si>
  <si>
    <t>Mixed materials and the simplest of shapes are sized to make a perfect side table. Reclaimed peroba wood is supported by a textural faux shagreen base in soft grey. This piece is designed in collaboration with Thomas Bina. Four Handsâ€™ partnership with the renowned Los Angeles furniture designer began in the early 2000s, producing several unique collections including reclaimed wood-driven case goods and Brazilian-inspired upholstery.</t>
  </si>
  <si>
    <t>{"value":20.28,"unit":"in"}</t>
  </si>
  <si>
    <t>0.20"</t>
  </si>
  <si>
    <t>https://dd3ka9h4chfr8.cloudfront.net/image/725136000567/image_qi7f8vgs8l1gp1632774eko326/-FJPG/104629-002_PRM_1.jpg;https://dd3ka9h4chfr8.cloudfront.net/image/725136000567/image_n4dbe53kf57hdbdpgvl03kol6u/-FJPG/104629-002_ESS_1.jpg;https://dd3ka9h4chfr8.cloudfront.net/image/725136000567/image_bahs2g9sl57dh93p56bbupcd3g/-FJPG/104629-002_DET_2.jpg;https://dd3ka9h4chfr8.cloudfront.net/image/725136000567/image_qsgs97jn650mr4qp6jkfdonq0q/-FJPG/104629-002_DET_1.jpg;https://dd3ka9h4chfr8.cloudfront.net/image/725136000567/image_c0vgeq2imh4jv7ab5sj7cr5v6s/-FJPG/104629-002_DET_3.jpg</t>
  </si>
  <si>
    <t>Natural Resawn Oak</t>
  </si>
  <si>
    <t>104629-002</t>
  </si>
  <si>
    <t>https://dd3ka9h4chfr8.cloudfront.net/image/725136000567/image_qi7f8vgs8l1gp1632774eko326/-FJPG/104629-002_PRM_1.jpg</t>
  </si>
  <si>
    <t>["Resawn Oak Veneer","Solid Oak","Faux Shagreen"]</t>
  </si>
  <si>
    <t>Natural Oak Solid</t>
  </si>
  <si>
    <t>Light Cream Shagreen</t>
  </si>
  <si>
    <t>Mixed materials and the simplest of shapes are sized to make a perfect side table. Solid natural oak is supported by a faux shagreen base in a light cream. This piece is designed in collaboration with Thomas Bina. Four Handsâ€™ partnership with the renowned Los Angeles furniture designer began in the early 2000s, producing several unique collections including reclaimed wood-driven case goods and Brazilian-inspired upholstery.</t>
  </si>
  <si>
    <t>Cross Dining Table</t>
  </si>
  <si>
    <t>https://dd3ka9h4chfr8.cloudfront.net/image/725136000567/image_p3b2a6qlg9787eu5v57dtp646b/-FJPG/UWES-116_FRT_1.jpg;https://dd3ka9h4chfr8.cloudfront.net/image/725136000567/image_ou9btd89gt1jdfoa66ahb2bh3n/-FJPG/UWES-116_PRM_1.jpg;https://dd3ka9h4chfr8.cloudfront.net/image/725136000567/image_22gktm7cl160fanaq5tngri823/-FJPG/UWES-116_SID_1.jpg;https://dd3ka9h4chfr8.cloudfront.net/image/725136000567/image_rp9m6os8dt7o5den6scfhf0t1s/-FJPG/UWES-116_DET_2.jpg;https://dd3ka9h4chfr8.cloudfront.net/image/725136000567/image_biia4afp7t13l2tin4tu36ka01/-FJPG/UWES-116_DET_1.jpg;https://dd3ka9h4chfr8.cloudfront.net/image/725136000567/image_meu6eo1kb158v1lj3hhejie80d/-FJPG/UWES-116_DET_3.jpg;https://dd3ka9h4chfr8.cloudfront.net/image/725136000567/image_2p0hmv0dhd0c37e08ekco6n91f/-FJPG/UWES-116_TOP_1.jpg;https://dd3ka9h4chfr8.cloudfront.net/image/725136000567/image_utqd2un63h1pt9hgkvcs3sq52u/-FJPG/UWES-116_DET_4.jpg;https://dd3ka9h4chfr8.cloudfront.net/image/725136000567/image_k5ru4pa2gl6qvcqutt98cbf31i/-FJPG/UWES-116_DET_5.jpg;https://dd3ka9h4chfr8.cloudfront.net/image/725136000567/image_taqoa11jmd3sb1au3gfk0mcd4c/-FJPG/UWES-116_DET_6.jpg;https://dd3ka9h4chfr8.cloudfront.net/image/725136000567/image_33q2i0448p6ah0diomumnk6a0k/-FJPG/UWES-116_ROM_1.jpg</t>
  </si>
  <si>
    <t>Dark Spalted Primavera</t>
  </si>
  <si>
    <t>UWES-116</t>
  </si>
  <si>
    <t>182.98</t>
  </si>
  <si>
    <t>https://dd3ka9h4chfr8.cloudfront.net/image/725136000567/image_p3b2a6qlg9787eu5v57dtp646b/-FJPG/UWES-116_FRT_1.jpg</t>
  </si>
  <si>
    <t>["Thick Primavera Veneer","Iron"]</t>
  </si>
  <si>
    <t>Gold Brush</t>
  </si>
  <si>
    <t>Iron strapping with a brushed gold finish adds a rustic, industrial edge to a substantial plank table. Beautiful graining marks simple, cross-shaped trestles and table top.</t>
  </si>
  <si>
    <t>{"value":72.53,"unit":"lb"}</t>
  </si>
  <si>
    <t>{"value":48.82,"unit":"in"}</t>
  </si>
  <si>
    <t>{"value":191.8,"unit":"lb"}</t>
  </si>
  <si>
    <t>Cross</t>
  </si>
  <si>
    <t>28.39"</t>
  </si>
  <si>
    <t>65.98"</t>
  </si>
  <si>
    <t>28.30"</t>
  </si>
  <si>
    <t>1.63"</t>
  </si>
  <si>
    <t>Double Pedestal</t>
  </si>
  <si>
    <t>Cruz End Table</t>
  </si>
  <si>
    <t>https://dd3ka9h4chfr8.cloudfront.net/image/725136000567/image_053n7mbpgt4ir1g38su0tctg6q/-FJPG/106516-003_PRM_1.jpg;https://dd3ka9h4chfr8.cloudfront.net/image/725136000567/image_01hlcms4ed7t146e9666fgsj38/-FJPG/106516-003_DET_2.jpg;https://dd3ka9h4chfr8.cloudfront.net/image/725136000567/image_nsgvfaq9qh1c37086mislqk259/-FJPG/106516-003_DET_1.jpg;https://dd3ka9h4chfr8.cloudfront.net/image/725136000567/image_5nq1hhl4rp769eetcb2e8nbg3b/-FJPG/106516-003_DET_3.jpg;https://dd3ka9h4chfr8.cloudfront.net/image/725136000567/image_5g4sd2p8b503t215t8e3i6e52p/-FJPG/106516-003_DET_4.jpg;https://dd3ka9h4chfr8.cloudfront.net/image/725136000567/image_bvuu1pig056ut6kc8vu4cdt544/-FJPG/106516-003_ROM_1.jpg;https://dd3ka9h4chfr8.cloudfront.net/image/725136000567/image_q7sed0dkad51jd6jpu4dpo457d/-FJPG/106516-003_VIG_1.jpg;https://dd3ka9h4chfr8.cloudfront.net/image/725136000567/image_f6to9olk5l4jt6okqnvf74h27q/-FJPG/106516-003_ROM_3.jpg;https://dd3ka9h4chfr8.cloudfront.net/image/725136000567/image_cr7oeh7vkd47n9tk9ogagkr078/-FJPG/106516-003_ROM_4.jpg</t>
  </si>
  <si>
    <t>Antique Rust</t>
  </si>
  <si>
    <t>106516-003</t>
  </si>
  <si>
    <t>12.68</t>
  </si>
  <si>
    <t>https://dd3ka9h4chfr8.cloudfront.net/image/725136000567/image_053n7mbpgt4ir1g38su0tctg6q/-FJPG/106516-003_PRM_1.jpg</t>
  </si>
  <si>
    <t>["Aluminum"]</t>
  </si>
  <si>
    <t>14</t>
  </si>
  <si>
    <t>{"value":14,"unit":"in"}</t>
  </si>
  <si>
    <t>Precise curves add up to modern presence, indoors or out. Swirls of color add depth to the antique rust finish. Safe for outdoor spaces â€” cover or store indoors during inclement weather and when not in use.</t>
  </si>
  <si>
    <t>{"value":16.75,"unit":"in"}</t>
  </si>
  <si>
    <t>{"value":16.71,"unit":"lb"}</t>
  </si>
  <si>
    <t>Cruz</t>
  </si>
  <si>
    <t>Cybil Sideboard</t>
  </si>
  <si>
    <t>https://dd3ka9h4chfr8.cloudfront.net/image/725136000567/image_6gfnejhgip19f3s80u742vr34u/-FJPG/CIMP-209_FRT_1.jpg;https://dd3ka9h4chfr8.cloudfront.net/image/725136000567/image_spgscndblt1v94v22mi3ah996o/-FJPG/CIMP-209_PRM_1.jpg;https://dd3ka9h4chfr8.cloudfront.net/image/725136000567/image_fmpq0h2inp1659oa985nen495l/-FJPG/CIMP-209_SID_1.jpg;https://dd3ka9h4chfr8.cloudfront.net/image/725136000567/image_oiiu4655494t1a2545e33mq90c/-FJPG/CIMP-209_ESS_1.jpg;https://dd3ka9h4chfr8.cloudfront.net/image/725136000567/image_jcjknfsi0106vfb6jie78auf6l/-FJPG/CIMP-209_DET_2.jpg;https://dd3ka9h4chfr8.cloudfront.net/image/725136000567/image_l2rumvq5pt4vb06f6u0a2jhr3h/-FJPG/CIMP-209_DET_1.jpg;https://dd3ka9h4chfr8.cloudfront.net/image/725136000567/image_cg1au644d10jt5i79bg7khfv1p/-FJPG/CIMP-209_OPN_1.jpg;https://dd3ka9h4chfr8.cloudfront.net/image/725136000567/image_chvs710c1h0b9b5joj0po3c054/-FJPG/CIMP-209_ROM_1.jpg;https://dd3ka9h4chfr8.cloudfront.net/image/725136000567/image_r0qvns5rtd6g76gu6b143hsa1l/-FJPG/CIMP-209_ROM_2.jpg</t>
  </si>
  <si>
    <t>Dark Walnut</t>
  </si>
  <si>
    <t>CIMP-209</t>
  </si>
  <si>
    <t>244.71</t>
  </si>
  <si>
    <t>https://dd3ka9h4chfr8.cloudfront.net/image/725136000567/image_6gfnejhgip19f3s80u742vr34u/-FJPG/CIMP-209_FRT_1.jpg</t>
  </si>
  <si>
    <t>["Walnut Veneer","Stainless Steel","Glass"]</t>
  </si>
  <si>
    <t>Polished Brass</t>
  </si>
  <si>
    <t>Antique Mirror</t>
  </si>
  <si>
    <t>Ornate detailing places a trend-forward spin on streamlined shaping. Dark walnut encases glass doors of antique mirror with a honeycomb pattern, adding artistic intrigue to statement storage. Stainless steel hardware is finished in polished brass for a look of effortless sophistication.</t>
  </si>
  <si>
    <t>{"value":26.57,"unit":"in"}</t>
  </si>
  <si>
    <t>{"value":310.85,"unit":"lb"}</t>
  </si>
  <si>
    <t>29.13"</t>
  </si>
  <si>
    <t>Cybil</t>
  </si>
  <si>
    <t>Glass</t>
  </si>
  <si>
    <t>Dalston Nesting End Table Set</t>
  </si>
  <si>
    <t>https://dd3ka9h4chfr8.cloudfront.net/image/725136000567/image_33tplfh9id7t50d3tnkp5rh67v/-FJPG/101650-003_PRM_1.jpg;https://dd3ka9h4chfr8.cloudfront.net/image/725136000567/image_kgclbrtna12gbfmij34tbsg222/-FJPG/101650-003_DET_2.jpg;https://dd3ka9h4chfr8.cloudfront.net/image/725136000567/image_a3tjhe3o895k7a7kaed88s3e0t/-FJPG/101650-003_DET_1.jpg;https://dd3ka9h4chfr8.cloudfront.net/image/725136000567/image_f9p3ifu8452tp45fpoj20tfa0r/-FJPG/101650-003_DET_3.jpg;https://dd3ka9h4chfr8.cloudfront.net/image/725136000567/image_c66c8kngfl0gheg7l22mcp941b/-FJPG/101650-003_DET_4.jpg;https://dd3ka9h4chfr8.cloudfront.net/image/725136000567/image_tdjnrv1fe965r7shu4pf38ee6g/-FJPG/101650-003_DET_5.jpg;https://dd3ka9h4chfr8.cloudfront.net/image/725136000567/image_71076g4v9t6el62e08a3e7t46v/-FJPG/101650-003_DET_6.jpg;https://dd3ka9h4chfr8.cloudfront.net/image/725136000567/image_i7olsvfl3p7792eqn4d08o1l09/-FJPG/101650-003_DET_7.jpg</t>
  </si>
  <si>
    <t>Raw Black</t>
  </si>
  <si>
    <t>101650-003</t>
  </si>
  <si>
    <t>29.63</t>
  </si>
  <si>
    <t>https://dd3ka9h4chfr8.cloudfront.net/image/725136000567/image_33tplfh9id7t50d3tnkp5rh67v/-FJPG/101650-003_PRM_1.jpg</t>
  </si>
  <si>
    <t>["Aluminum","Iron"]</t>
  </si>
  <si>
    <t>Iron Matte Black</t>
  </si>
  <si>
    <t>Tapered legs with rounded feet bring balanced footing to streamlined shaping. Aluminum tops are squared-off and finished in a sleek raw black. 
Large nesting table measures 16"W x 21.25"H. 
Small table measures 12.5"W x 18.25"H.</t>
  </si>
  <si>
    <t>{"value":19.5,"unit":"in"}</t>
  </si>
  <si>
    <t>{"value":44.67,"unit":"lb"}</t>
  </si>
  <si>
    <t>Dalston</t>
  </si>
  <si>
    <t>14.25"</t>
  </si>
  <si>
    <t>Danya Chair</t>
  </si>
  <si>
    <t>https://dd3ka9h4chfr8.cloudfront.net/image/725136000567/image_s0klsrbvo114l9bgm5acmmql4d/-FJPG/105938-119_FRT_1.jpg;https://dd3ka9h4chfr8.cloudfront.net/image/725136000567/image_jbh1hcuo1t3kv2jlfb0pogst2n/-FJPG/105938-119_PRM_1.jpg;https://dd3ka9h4chfr8.cloudfront.net/image/725136000567/image_qksjit4cgt5mp23cg1k5b19e1s/-FJPG/105938-119_SID_1.jpg;https://dd3ka9h4chfr8.cloudfront.net/image/725136000567/image_fedjv3j6ap6tl3llvic15lhe6d/-FJPG/105938-119_DET_2.jpg;https://dd3ka9h4chfr8.cloudfront.net/image/725136000567/image_kja6cpihc55e37jssduu8gt052/-FJPG/105938-119_BCK_1.jpg;https://dd3ka9h4chfr8.cloudfront.net/image/725136000567/image_f43svibh4l74jeckb5mulro558/-FJPG/105938-119_DET_1.jpg;https://dd3ka9h4chfr8.cloudfront.net/image/725136000567/image_da1al7ht7p6i1ap7a3kksgrb2n/-FJPG/105938-119_DET_3.jpg;https://dd3ka9h4chfr8.cloudfront.net/image/725136000567/image_te8kk5dan9621435cvn8ltoh46/-FJPG/105938-119_DET_4.jpg;https://dd3ka9h4chfr8.cloudfront.net/image/725136000567/image_dlsf6uk1el5qvajbjkrarif84p/-FJPG/105938-119_DET_5.jpg;https://dd3ka9h4chfr8.cloudfront.net/image/725136000567/image_f4v7r5joc94r32aavpmqbnlj5k/-FJPG/105938-119_DET_6.jpg;https://dd3ka9h4chfr8.cloudfront.net/image/725136000567/image_dv7e4g1fl57anfi3det0g5t34e/-FJPG/105938-119_DET_7.jpg;https://dd3ka9h4chfr8.cloudfront.net/image/725136000567/image_pstvna6ba93jdf3t6gpkeaun5s/-FJPG/105938-119_ROM_1.jpg</t>
  </si>
  <si>
    <t>105938-119</t>
  </si>
  <si>
    <t>https://dd3ka9h4chfr8.cloudfront.net/image/725136000567/image_s0klsrbvo114l9bgm5acmmql4d/-FJPG/105938-119_FRT_1.jpg</t>
  </si>
  <si>
    <t>Mid-century shaping offers comfortably molded curves to the wing chair. Handpicked hides and hand-staining techniques celebrate the natural hallmarks of nature. Soft, buttery top-grain leather in rich camel pairs with classically tapered parawood legs.</t>
  </si>
  <si>
    <t>Competes Item- L-Shape Box</t>
  </si>
  <si>
    <t>{"value":36.81,"unit":"in"}</t>
  </si>
  <si>
    <t>{"value":32.48,"unit":"in"}</t>
  </si>
  <si>
    <t>{"value":68.34,"unit":"lb"}</t>
  </si>
  <si>
    <t>Danya</t>
  </si>
  <si>
    <t>23.15"</t>
  </si>
  <si>
    <t>90% Polyurethane Foam Pad, 10% Polyester Fiber Pad</t>
  </si>
  <si>
    <t>19.75"</t>
  </si>
  <si>
    <t>30.31"</t>
  </si>
  <si>
    <t>Darian Console Table</t>
  </si>
  <si>
    <t>https://dd3ka9h4chfr8.cloudfront.net/image/725136000567/image_0gjrlp966d4h91pq2jnialdu6t/-FJPG/228917-001_FRT_1.jpg;https://dd3ka9h4chfr8.cloudfront.net/image/725136000567/image_8smrjql2hl1rd7q8m1pitdv368/-FJPG/228917-001_PRM_1.jpg;https://dd3ka9h4chfr8.cloudfront.net/image/725136000567/image_qp23k49bdl7v530eresiup3c5v/-FJPG/228917-001_SID_1.jpg;https://dd3ka9h4chfr8.cloudfront.net/image/725136000567/image_aebc6i03sl723ckkdnls2ujt1f/-FJPG/228917-001_ESS_1.jpg;https://dd3ka9h4chfr8.cloudfront.net/image/725136000567/image_tqrn7f055p19b8qbdqq54vgs6a/-FJPG/228917-001_DET_2.jpg;https://dd3ka9h4chfr8.cloudfront.net/image/725136000567/image_f7p3o9uu15787f1v5l2gnndp5g/-FJPG/228917-001_DET_1.jpg;https://dd3ka9h4chfr8.cloudfront.net/image/725136000567/image_9jl9f8es815kr1tfbbmen82u4h/-FJPG/228917-001_DET_3.jpg;https://dd3ka9h4chfr8.cloudfront.net/image/725136000567/image_7i6vi1p1n94lf4o1c8nefahd0p/-FJPG/228917-001_TOP_1.jpg;https://dd3ka9h4chfr8.cloudfront.net/image/725136000567/image_nf4otfhta93qlcf4sjn6fqgg3u/-FJPG/228917-001_DET_4.jpg;https://dd3ka9h4chfr8.cloudfront.net/image/725136000567/image_jhaavepscp03p1gdang8bfq807/-FJPG/228917-001_DET_5.jpg;https://dd3ka9h4chfr8.cloudfront.net/image/725136000567/image_uf9rora6r527tcn1o05nssp435/-FJPG/228917-001_DET_6.jpg;https://dd3ka9h4chfr8.cloudfront.net/image/725136000567/image_dq5bqbn4uh5h79tiol8c8m496i/-FJPG/228917-001_DET_7.jpg;https://dd3ka9h4chfr8.cloudfront.net/image/725136000567/image_8j7a1npkop42p9dgjjer9p9s4r/-FJPG/228917-001_DET_8.jpg</t>
  </si>
  <si>
    <t>White Mahogany</t>
  </si>
  <si>
    <t>228917-001</t>
  </si>
  <si>
    <t>89.29</t>
  </si>
  <si>
    <t>https://dd3ka9h4chfr8.cloudfront.net/image/725136000567/image_0gjrlp966d4h91pq2jnialdu6t/-FJPG/228917-001_FRT_1.jpg</t>
  </si>
  <si>
    <t>["Thick Mahogany Veneer","Thick Ash Burl Veneer"]</t>
  </si>
  <si>
    <t>Bleached Burl</t>
  </si>
  <si>
    <t>Minimalist gone modern. White-finished mahogany forms a cantilever-like C shape, while an accent leg of bleached ash burl veneer speaks subtly to Brutalist inspiration. Color variance in sun-bleached finishes is expected and reflects woods' naturally unique character.</t>
  </si>
  <si>
    <t>{"value":73.23,"unit":"in"}</t>
  </si>
  <si>
    <t>{"value":159.61,"unit":"lb"}</t>
  </si>
  <si>
    <t>Darian</t>
  </si>
  <si>
    <t>1.13"</t>
  </si>
  <si>
    <t>65.00"</t>
  </si>
  <si>
    <t>Darrow Bench</t>
  </si>
  <si>
    <t>https://dd3ka9h4chfr8.cloudfront.net/image/725136000567/image_vm61ma5cth5j7ek7vhj2b5ar4c/-FJPG/106189-009_FRT_1.jpg;https://dd3ka9h4chfr8.cloudfront.net/image/725136000567/image_nuc3g4j46p5f71i25004g57d65/-FJPG/106189-009_PRM_1.jpg;https://dd3ka9h4chfr8.cloudfront.net/image/725136000567/image_r8lv7e53f54fn7tm7e6vsmhb21/-FJPG/106189-009_SID_1.jpg;https://dd3ka9h4chfr8.cloudfront.net/image/725136000567/image_pcr0m83je15470t3v2ei716c3o/-FJPG/106189-009_ESS.tif;https://dd3ka9h4chfr8.cloudfront.net/image/725136000567/image_brdjkv003l7qt18v0ge0etuk7s/-FJPG/106189-009_DET_2.jpg;https://dd3ka9h4chfr8.cloudfront.net/image/725136000567/image_sll36nijch4abcbgt5dq2n092q/-FJPG/Color Variance Card_Palermo Cognac.jpg;https://dd3ka9h4chfr8.cloudfront.net/image/725136000567/image_v15rjkn25t4t16svke8gikbh3c/-FJPG/106189-009_DET_1.jpg;https://dd3ka9h4chfr8.cloudfront.net/image/725136000567/image_gq8rogobhl3f7d2t0nu9t2t40g/-FJPG/106189-009_DET_3.jpg;https://dd3ka9h4chfr8.cloudfront.net/image/725136000567/image_l222jacv8p5ilccts0g1tusc19/-FJPG/106189-009_DET_4.jpg;https://dd3ka9h4chfr8.cloudfront.net/image/725136000567/image_53g0g7gdvd3v71ff5de4m52o0l/-FJPG/106189-009_DET_5.jpg</t>
  </si>
  <si>
    <t>106189-009</t>
  </si>
  <si>
    <t>42.99</t>
  </si>
  <si>
    <t>https://dd3ka9h4chfr8.cloudfront.net/image/725136000567/image_vm61ma5cth5j7ek7vhj2b5ar4c/-FJPG/106189-009_FRT_1.jpg</t>
  </si>
  <si>
    <t>63.5</t>
  </si>
  <si>
    <t>Light Gunmetal</t>
  </si>
  <si>
    <t>The time-honored bench, reinvented. With fresh, clever shaping, angular gunmetal-finished iron supports spare-yet-comfortable top-grain leather cushioning in a rich cognac.</t>
  </si>
  <si>
    <t>{"value":63.78,"unit":"in"}</t>
  </si>
  <si>
    <t>{"value":18.11,"unit":"in"}</t>
  </si>
  <si>
    <t>{"value":60.19,"unit":"lb"}</t>
  </si>
  <si>
    <t>17.60"</t>
  </si>
  <si>
    <t>63.46"</t>
  </si>
  <si>
    <t>17.83"</t>
  </si>
  <si>
    <t>60% Polyurethane Foam Pad, 20% Waterfowl Feather, 20% Polyester Fiber</t>
  </si>
  <si>
    <t>Metal Platform</t>
  </si>
  <si>
    <t>Darrow</t>
  </si>
  <si>
    <t>14.17"</t>
  </si>
  <si>
    <t>37.01"</t>
  </si>
  <si>
    <t>Darts Cabinet</t>
  </si>
  <si>
    <t>https://dd3ka9h4chfr8.cloudfront.net/image/725136000567/image_8tdn69lsp5755f93n1lk9ild38/-FJPG/246282-001_PRM_1.JPG;https://dd3ka9h4chfr8.cloudfront.net/image/725136000567/image_qmhdv5f68p2up2im0qf4pb8923/-FJPG/246282-001_PRM_2.JPG;https://dd3ka9h4chfr8.cloudfront.net/image/725136000567/image_s7op9dbhft54l95iavtvaesa6k/-FJPG/246282-001_DET_1.JPG;https://dd3ka9h4chfr8.cloudfront.net/image/725136000567/image_8r3jhl9pad3497n6votlhihg4c/-FJPG/246282-001_ESS.tif;https://dd3ka9h4chfr8.cloudfront.net/image/725136000567/image_hpprjb2g791njb0lvkk7tj8n0n/-FJPG/246282-001_DET_2.JPG;https://dd3ka9h4chfr8.cloudfront.net/image/725136000567/image_b3tboec76150723vcj5fn6iq0m/-FJPG/246282-001_DET_3.JPG;https://dd3ka9h4chfr8.cloudfront.net/image/725136000567/image_nu14mqba953652c8oose3da73k/-FJPG/246282-001_DET_4.JPG;https://dd3ka9h4chfr8.cloudfront.net/image/725136000567/image_8p5b7fisml7ul752bg8q9ov324/-FJPG/246282-001_DET_5.JPG;https://dd3ka9h4chfr8.cloudfront.net/image/725136000567/image_g27mtm4h4h27l2lhm331p6673e/-FJPG/246282-001_DET_6.JPG;https://dd3ka9h4chfr8.cloudfront.net/image/725136000567/image_ae8f599d7900943tulrdd77v57/-FJPG/246282-001_DET_7.JPG;https://dd3ka9h4chfr8.cloudfront.net/image/725136000567/image_aret4sq2l1791ahumuvjvlgq3q/-FJPG/246282-001_DET_8.JPG;https://dd3ka9h4chfr8.cloudfront.net/image/725136000567/image_0qs1ea8hsh7fn7ogd22lpmrr2j/-FJPG/246282-001_DET_9.JPG;https://dd3ka9h4chfr8.cloudfront.net/image/725136000567/image_u40bbplo8h2f306gr51cb4f40e/-FJPG/246282-001_DET_9.tif;https://dd3ka9h4chfr8.cloudfront.net/image/725136000567/image_8ol9n1dio5201053sh0ivktt0p/-FJPG/246282-001_DET_10.tif;https://dd3ka9h4chfr8.cloudfront.net/image/725136000567/image_fg1lc1a0g10v1apfckdl03h11b/-FJPG/246282-001_BCK_1.JPG;https://dd3ka9h4chfr8.cloudfront.net/image/725136000567/image_ijuvuhk4d93e31vus61nba7t5h/-FJPG/246282-001_SID_1.JPG;https://dd3ka9h4chfr8.cloudfront.net/image/725136000567/image_ogc6kgh1897qn6gnldas2c2846/-FJPG/246282-001_OPN_1.JPG;https://dd3ka9h4chfr8.cloudfront.net/image/725136000567/image_74jh0neorh4l5bgkde4b71p47c/-FJPG/246282-001_FRT_1.JPG;https://dd3ka9h4chfr8.cloudfront.net/image/725136000567/image_4q53k72dfh0hd05vkumajioo5r/-FJPG/246282-001_BCK_2.JPG</t>
  </si>
  <si>
    <t>Tonal Dartboard</t>
  </si>
  <si>
    <t>246282-001</t>
  </si>
  <si>
    <t>252.43</t>
  </si>
  <si>
    <t>https://dd3ka9h4chfr8.cloudfront.net/image/725136000567/image_8tdn69lsp5755f93n1lk9ild38/-FJPG/246282-001_PRM_1.JPG</t>
  </si>
  <si>
    <t>["Agave Fiber","Engineered Hardwood","Iron"]</t>
  </si>
  <si>
    <t>Black MDF</t>
  </si>
  <si>
    <t>Brushed Brass</t>
  </si>
  <si>
    <t>Games &amp; Game Tables</t>
  </si>
  <si>
    <t>Sleek and full of surprises. This arched cabinet features lockable top doors that open to reveal a regulation size, mounting height sisal dart board, surrounded by cork backing. A full set of tungsten darts comes in an enclosed drawer, with a built-in chalk scoreboard and ample bar storage with adjustable shelving. Mounting access for the dart board is reachable on the back of the case for easy personalization and replacement.</t>
  </si>
  <si>
    <t>{"value":42.13,"unit":"in"}</t>
  </si>
  <si>
    <t>{"value":93.7,"unit":"in"}</t>
  </si>
  <si>
    <t>{"value":294.31,"unit":"lb"}</t>
  </si>
  <si>
    <t>Darts</t>
  </si>
  <si>
    <t>34.50"</t>
  </si>
  <si>
    <t>88.00"</t>
  </si>
  <si>
    <t>1.30"</t>
  </si>
  <si>
    <t>Metal and Plastic</t>
  </si>
  <si>
    <t>Wall</t>
  </si>
  <si>
    <t>Dash Chair</t>
  </si>
  <si>
    <t>https://dd3ka9h4chfr8.cloudfront.net/image/725136000567/image_9e3kmaftoh577417dtke7u4o35/-FJPG/100198-003_FRT_1.jpg;https://dd3ka9h4chfr8.cloudfront.net/image/725136000567/image_8gssv7uvih2ah7edoj448i426q/-FJPG/100198-003_PRM_1.jpg;https://dd3ka9h4chfr8.cloudfront.net/image/725136000567/image_acjis3qd9h5ivdjln4ihm6ko6c/-FJPG/100198-003_SID_1.jpg;https://dd3ka9h4chfr8.cloudfront.net/image/725136000567/image_5ug4skp33p343b2iqds9cit45i/-FJPG/100198-003_ESS_1.jpg;https://dd3ka9h4chfr8.cloudfront.net/image/725136000567/image_lg2iadk53l06n8r73jb0cqfu21/-FJPG/100198-003_DET_2.jpg;https://dd3ka9h4chfr8.cloudfront.net/image/725136000567/image_rjmhc8rvbl0qn3nl0lj2nsjo1c/-FJPG/100198-003_BCK_1.jpg;https://dd3ka9h4chfr8.cloudfront.net/image/725136000567/image_aojg2is0e16j187tmtmkji9j05/-FJPG/100198-003_DET_1.jpg;https://dd3ka9h4chfr8.cloudfront.net/image/725136000567/image_0hbb479jfp7dn6ka1vf370rj69/-FJPG/100198-003_DET_3.jpg;https://dd3ka9h4chfr8.cloudfront.net/image/725136000567/image_s1ms18b6052kl1vc7saads9p0e/-FJPG/100198-003_DET_4.jpg;https://dd3ka9h4chfr8.cloudfront.net/image/725136000567/image_lgk4h88kat55nfk74ob1012l56/-FJPG/100198-003_DET_5.jpg;https://dd3ka9h4chfr8.cloudfront.net/image/725136000567/image_td1jvul8rt2dj9ob6e4toa5o7a/-FJPG/100198-003_DET_6.jpg;https://dd3ka9h4chfr8.cloudfront.net/image/725136000567/image_ctbibiavjl27n88mruet6l8t0c/-FJPG/100198-003_DET_7.jpg</t>
  </si>
  <si>
    <t>100198-003</t>
  </si>
  <si>
    <t>61.73</t>
  </si>
  <si>
    <t>https://dd3ka9h4chfr8.cloudfront.net/image/725136000567/image_9e3kmaftoh577417dtke7u4o35/-FJPG/100198-003_FRT_1.jpg</t>
  </si>
  <si>
    <t>Simple, streamlined beauty from all angles. Pecan-finished birch wood cleanly cradles top-grain leather, for a sophisticated look with monochromatic allure.</t>
  </si>
  <si>
    <t>{"value":76.06,"unit":"lb"}</t>
  </si>
  <si>
    <t>Dash</t>
  </si>
  <si>
    <t>26.25"</t>
  </si>
  <si>
    <t>Dax Accent Stool</t>
  </si>
  <si>
    <t>https://dd3ka9h4chfr8.cloudfront.net/image/725136000567/image_a7krrj78hh27jfeqs3emhjl92d/-FJPG/229392-002_FRT_1.jpg;https://dd3ka9h4chfr8.cloudfront.net/image/725136000567/image_3l2uka8o9d7v5356admuudjc6t/-FJPG/229392-002_PRM_1.jpg;https://dd3ka9h4chfr8.cloudfront.net/image/725136000567/image_t6fkb9vrs15ij8qf2kcvtmgn29/-FJPG/229392-002_SID_1.jpg;https://dd3ka9h4chfr8.cloudfront.net/image/725136000567/image_67525uj5h94f15cdbeql22685r/-FJPG/229392-002_DET_2.jpg;https://dd3ka9h4chfr8.cloudfront.net/image/725136000567/image_a8964qmjh11nf7qtpo8parqh1e/-FJPG/229392-002_INF_1.jpg;https://dd3ka9h4chfr8.cloudfront.net/image/725136000567/image_677rmbkdrl4areio43v6e9o30p/-FJPG/229392-002_DET_1.jpg;https://dd3ka9h4chfr8.cloudfront.net/image/725136000567/image_7tbfs5nbc11bf928sk825eek2r/-FJPG/229392-002_DET_3.jpg;https://dd3ka9h4chfr8.cloudfront.net/image/725136000567/image_6drgj33sdh1fjfcqdnksmbse2i/-FJPG/229392-002_TOP_1.jpg;https://dd3ka9h4chfr8.cloudfront.net/image/725136000567/image_l2m9s4pjf97vlc0uqcpn3v3m00/-FJPG/229392-002_DET_4.jpg;https://dd3ka9h4chfr8.cloudfront.net/image/725136000567/image_a6o7mlsb2d4c71imf435ro0p4u/-FJPG/229392-002_DET_5.jpg;https://dd3ka9h4chfr8.cloudfront.net/image/725136000567/image_lgo4rh7eid5hb0jp2doogd705e/-FJPG/229392-002_ESS.tif</t>
  </si>
  <si>
    <t>Gibson Wheat</t>
  </si>
  <si>
    <t>229392-002</t>
  </si>
  <si>
    <t>19.84</t>
  </si>
  <si>
    <t>https://dd3ka9h4chfr8.cloudfront.net/image/725136000567/image_a7krrj78hh27jfeqs3emhjl92d/-FJPG/229392-002_FRT_1.jpg</t>
  </si>
  <si>
    <t>["97% Polyester","3% Acrylic","Solid Ash"]</t>
  </si>
  <si>
    <t>Toasted Ash Solid</t>
  </si>
  <si>
    <t>X marks the spot for extra seating or a soft place for propped feet. Drum-shaped cushioning in a liquid-repellent performance fabric is cradled in a trendy X-base made from solid ash.</t>
  </si>
  <si>
    <t>Dax</t>
  </si>
  <si>
    <t>Delray Slipcover Sofa-97"</t>
  </si>
  <si>
    <t>https://dd3ka9h4chfr8.cloudfront.net/image/725136000567/image_ca8mqnh4f55l3e8j5mrd25nj75/-FJPG/237973-001_FRT_1.jpg;https://dd3ka9h4chfr8.cloudfront.net/image/725136000567/image_qjsmic54fl4np1u14dm9s6kp0t/-FJPG/237973-001_PRM_1.jpg;https://dd3ka9h4chfr8.cloudfront.net/image/725136000567/image_ci1ldmb0753tf06p0h1ukdmj2v/-FJPG/237973-001_SID_1.jpg;https://dd3ka9h4chfr8.cloudfront.net/image/725136000567/image_qsc4kg5nqd42nfketkmkf1f65f/-FJPG/237973-001_ESS_1.jpg;https://dd3ka9h4chfr8.cloudfront.net/image/725136000567/image_s8td5ppe8p3grej18scc239v0k/-FJPG/237973-001_DET_2.jpg;https://dd3ka9h4chfr8.cloudfront.net/image/725136000567/image_djgfd1bvj16872jrbrv8ebq137/-FJPG/237973-001_BCK_1.jpg;https://dd3ka9h4chfr8.cloudfront.net/image/725136000567/image_u449n0mlrl2150qpg10hu64m0d/-FJPG/237973-001_INF_1.jpg;https://dd3ka9h4chfr8.cloudfront.net/image/725136000567/image_pc0klm31452fbbafqk6k04nl7c/-FJPG/237973-001_DET_1.jpg;https://dd3ka9h4chfr8.cloudfront.net/image/725136000567/image_86n7tjgn0128f1dh3smu3cel64/-FJPG/237973-001_DET_3.jpg;https://dd3ka9h4chfr8.cloudfront.net/image/725136000567/image_nfijhh1fol4992s1m9vu0ccu6s/-FJPG/237973-001_DET_4.jpg;https://dd3ka9h4chfr8.cloudfront.net/image/725136000567/image_68jjjjkfb95jf2304g0jmcoj3d/-FJPG/237973-001_DET_5.jpg;https://dd3ka9h4chfr8.cloudfront.net/image/725136000567/image_6d1akdj2gp3o3cfffpcb1ils4t/-FJPG/237973-001_ROM_1.jpg</t>
  </si>
  <si>
    <t>Evere Creme</t>
  </si>
  <si>
    <t>237973-001</t>
  </si>
  <si>
    <t>160</t>
  </si>
  <si>
    <t>US</t>
  </si>
  <si>
    <t>https://dd3ka9h4chfr8.cloudfront.net/image/725136000567/image_ca8mqnh4f55l3e8j5mrd25nj75/-FJPG/237973-001_FRT_1.jpg</t>
  </si>
  <si>
    <t>["51% Rayon","22% Linen","16% Polyester","11% Cotton","Solid Parawood"]</t>
  </si>
  <si>
    <t>44</t>
  </si>
  <si>
    <t>{"value":44,"unit":"in"}</t>
  </si>
  <si>
    <t>Helm</t>
  </si>
  <si>
    <t>Mocha</t>
  </si>
  <si>
    <t>Proudly built by American makers using US-sourced materials and mechanisms. Slightly flared and rolled arms lend a traditional look to this upholstered sofa. Slipcovered styles are fully removable and can be dry cleaned. Performance fabrics are specially created to withstand spills, stains, high traffic and wear, ensuring long-term comfort and unmatched durability. Crafted in the USA.</t>
  </si>
  <si>
    <t>United States</t>
  </si>
  <si>
    <t>1 Slipcover Sofa</t>
  </si>
  <si>
    <t>{"value":45.5,"unit":"in"}</t>
  </si>
  <si>
    <t>{"value":188.93,"unit":"lb"}</t>
  </si>
  <si>
    <t>84.00"</t>
  </si>
  <si>
    <t>Delray</t>
  </si>
  <si>
    <t>44.00"</t>
  </si>
  <si>
    <t>85.50"</t>
  </si>
  <si>
    <t>50% Polyester Fiber, 50% Polyurethane Foam</t>
  </si>
  <si>
    <t>75% Polyurethane Foam Pad, 25% Polyester Fiber</t>
  </si>
  <si>
    <t>Dexter Chair</t>
  </si>
  <si>
    <t>https://dd3ka9h4chfr8.cloudfront.net/image/725136000567/image_ug21t38nk94r3egesqe8vqv367/-FJPG/224908-005_FRT_1.JPG;https://dd3ka9h4chfr8.cloudfront.net/image/725136000567/image_alhcfo6e4h3cn99psruongpc0p/-FJPG/224908-014_FRT_1.jpg;https://dd3ka9h4chfr8.cloudfront.net/image/725136000567/image_m19h5fradt4q98psgqaij4vu6s/-FJPG/224908-014_PRM_1.jpg;https://dd3ka9h4chfr8.cloudfront.net/image/725136000567/image_rss0imn3d164f8ujongv9vee7f/-FJPG/224908-005_PRM_1.jpg;https://dd3ka9h4chfr8.cloudfront.net/image/725136000567/image_ob35khri0l053d4cvj9cfkd434/-FJPG/224908-014_SID_1.jpg;https://dd3ka9h4chfr8.cloudfront.net/image/725136000567/image_f40feo6lap7flb45bi2t0efl6c/-FJPG/224908-005_SID_1.JPG;https://dd3ka9h4chfr8.cloudfront.net/image/725136000567/image_b1kav4kma95knap6cbrcic5m2v/-FJPG/224908-005_ESS_1.jpg;https://dd3ka9h4chfr8.cloudfront.net/image/725136000567/image_4f5ns2sq9p79dd6mpj47ianm48/-FJPG/224908-014_ESS_1.jpg;https://dd3ka9h4chfr8.cloudfront.net/image/725136000567/image_lvrg3tmjd97695spsv2oa0576n/-FJPG/224908-014_DET_2.jpg;https://dd3ka9h4chfr8.cloudfront.net/image/725136000567/image_4lf74bifbd5r9ffjlg2dld9156/-FJPG/224908-005_DET_2.JPG;https://dd3ka9h4chfr8.cloudfront.net/image/725136000567/image_inb3n6ljnt2lnfdqjfgc47c56j/-FJPG/224908-005_BCK_1.JPG;https://dd3ka9h4chfr8.cloudfront.net/image/725136000567/image_qmlj1qvsq11prcncnmvi8igu1k/-FJPG/224908-014_BCK_1.jpg;https://dd3ka9h4chfr8.cloudfront.net/image/725136000567/image_qs0raj1ecl2gb4r8barjapne1o/-FJPG/224908-014_INF_1.jpg;https://dd3ka9h4chfr8.cloudfront.net/image/725136000567/image_85117ofikh7hv4em5ulvqprc0e/-FJPG/224908-005_INF_1.jpg;https://dd3ka9h4chfr8.cloudfront.net/image/725136000567/image_03judljre52ubc9vorjan0cd5c/-FJPG/224908-014_DET_1.jpg;https://dd3ka9h4chfr8.cloudfront.net/image/725136000567/image_1646e8u121615b72j7mt1mke2v/-FJPG/224908-005_DET_1.JPG;https://dd3ka9h4chfr8.cloudfront.net/image/725136000567/image_usfjij0aah4cfdqibl6p2gg14t/-FJPG/224908-014_DET_3.jpg;https://dd3ka9h4chfr8.cloudfront.net/image/725136000567/image_50u86k58dd22j7urufnnupmp4i/-FJPG/224908-005_DET_3.JPG;https://dd3ka9h4chfr8.cloudfront.net/image/725136000567/image_3pmajpu6l11ip9igmlkhnfet0d/-FJPG/224908-005_DET_4.JPG;https://dd3ka9h4chfr8.cloudfront.net/image/725136000567/image_9h131tpbgl4uhc1h7fcnee307a/-FJPG/224908-014_DET_4.jpg;https://dd3ka9h4chfr8.cloudfront.net/image/725136000567/image_nldtipu8ih7dh0du75qn1u7l3t/-FJPG/224908-005_DET_5.JPG;https://dd3ka9h4chfr8.cloudfront.net/image/725136000567/image_cpi8hj955d3vn20a14vao12444/-FJPG/224908-014_DET_5.jpg;https://dd3ka9h4chfr8.cloudfront.net/image/725136000567/image_her03db8bt7p134l0hpaubma6p/-FJPG/224908-014_PRM_2.jpg;https://dd3ka9h4chfr8.cloudfront.net/image/725136000567/image_3sice5rcs54gtd9ncpeobfu12q/-FJPG/224908-005_PRM_2.JPG</t>
  </si>
  <si>
    <t>224908-014</t>
  </si>
  <si>
    <t>36.6</t>
  </si>
  <si>
    <t>https://dd3ka9h4chfr8.cloudfront.net/image/725136000567/image_ug21t38nk94r3egesqe8vqv367/-FJPG/224908-005_FRT_1.JPG</t>
  </si>
  <si>
    <t>["97% Polyester","3% Acrylic","Solid Nettlewood"]</t>
  </si>
  <si>
    <t>28.75</t>
  </si>
  <si>
    <t>{"value":28.75,"unit":"in"}</t>
  </si>
  <si>
    <t>Vintage Sienna Nettlewood</t>
  </si>
  <si>
    <t>{"value":52.69,"unit":"lb"}</t>
  </si>
  <si>
    <t>Dexter</t>
  </si>
  <si>
    <t>6.69"</t>
  </si>
  <si>
    <t>9.45"</t>
  </si>
  <si>
    <t>26.97"</t>
  </si>
  <si>
    <t>https://dd3ka9h4chfr8.cloudfront.net/image/725136000567/image_pto5l1eptp0phfuog5776nal72/-FJPG/224908-015_FRT_1.jpg;https://dd3ka9h4chfr8.cloudfront.net/image/725136000567/image_jruherl6hl0q520d418gs0tb6i/-FJPG/224908-015_PRM_1.jpg;https://dd3ka9h4chfr8.cloudfront.net/image/725136000567/image_qa3dsmvd6l7vhfqcr2htehd16c/-FJPG/224908-015_SID_1.jpg;https://dd3ka9h4chfr8.cloudfront.net/image/725136000567/image_jjlj4p33qh7516intgnfs30v5j/-FJPG/224908-015_DET_2.jpg;https://dd3ka9h4chfr8.cloudfront.net/image/725136000567/image_pm7d87nmtp35p9805k63qmhv0h/-FJPG/224908-015_BCK_1.jpg;https://dd3ka9h4chfr8.cloudfront.net/image/725136000567/image_0gf9l1v84p0ulblieci7eobj67/-FJPG/224908-015_INF_1.jpg;https://dd3ka9h4chfr8.cloudfront.net/image/725136000567/image_ljjoe8dlgd0bt8ru39mqnlsp1k/-FJPG/224908-015_DET_1.jpg;https://dd3ka9h4chfr8.cloudfront.net/image/725136000567/image_hphrsrfn2d2u35ga3ra8lleh4h/-FJPG/224908-015_DET_3.jpg;https://dd3ka9h4chfr8.cloudfront.net/image/725136000567/image_ddukcj9och5m9ft6h0r3rfph5c/-FJPG/224908-015_DET_4.jpg;https://dd3ka9h4chfr8.cloudfront.net/image/725136000567/image_v68bsum70t6fldojeci0s4ir3g/-FJPG/224908-015_DET_5.jpg;https://dd3ka9h4chfr8.cloudfront.net/image/725136000567/image_2q5o5i27et7i3cpnd4v3dlim0r/-FJPG/224908-015_DET_6.jpg;https://dd3ka9h4chfr8.cloudfront.net/image/725136000567/image_pedboqls5p1qpani6nas4hmg6g/-FJPG/224908-015_ROM_1.jpg;https://dd3ka9h4chfr8.cloudfront.net/image/725136000567/image_5s9q3igd7t4lp6ujlf32puq16k/-FJPG/224908-015_VIG_1.jpg;https://dd3ka9h4chfr8.cloudfront.net/image/725136000567/image_0qjfbi4nct09pe7krnl58q9q5q/-FJPG/224908-015_VIG_2.jpg</t>
  </si>
  <si>
    <t>Gibson White</t>
  </si>
  <si>
    <t>224908-015</t>
  </si>
  <si>
    <t>https://dd3ka9h4chfr8.cloudfront.net/image/725136000567/image_pto5l1eptp0phfuog5776nal72/-FJPG/224908-015_FRT_1.jpg</t>
  </si>
  <si>
    <t>Light Honey Nettlewood</t>
  </si>
  <si>
    <t>With a wrapped frame of honey-finished solid oak, midcentury-inspired seating gets modernized by way of high-performance fabric in a crisp, creamy white. Performance fabrics are specially created to withstand spills, stains, high traffic and wear, ensuring long-term comfort and unmatched durability.</t>
  </si>
  <si>
    <t>Diana Chair</t>
  </si>
  <si>
    <t>https://dd3ka9h4chfr8.cloudfront.net/image/725136000567/image_s150prom354rt0s4ios8a7bo50/-FJPG/106103-005_FRT_1.JPG;https://dd3ka9h4chfr8.cloudfront.net/image/725136000567/image_khq32l25113lf43sags68a0v74/-FJPG/106103-005_PRM_1.JPG;https://dd3ka9h4chfr8.cloudfront.net/image/725136000567/image_kms8d34tbd2r1659uhfb3lk67h/-FJPG/106103-005_SID_1.JPG;https://dd3ka9h4chfr8.cloudfront.net/image/725136000567/image_4qe4643n017ltamvo7n6dfpg15/-FJPG/106103-005_ESS_1.jpg;https://dd3ka9h4chfr8.cloudfront.net/image/725136000567/image_cv7ndtal15157dmn0p7pko4i37/-FJPG/106103-005_DET_2.JPG;https://dd3ka9h4chfr8.cloudfront.net/image/725136000567/image_s3as21kopd3f54vge1g1digv2i/-FJPG/106103-005_BCK_1.JPG;https://dd3ka9h4chfr8.cloudfront.net/image/725136000567/image_nlqfpeqoed0at0605uigsrd069/-FJPG/106103-005_DET_1.JPG;https://dd3ka9h4chfr8.cloudfront.net/image/725136000567/image_6fu2sptq1h2m9ch7ala1o6o343/-FJPG/106103-005_DET_3.JPG;https://dd3ka9h4chfr8.cloudfront.net/image/725136000567/image_1hfs43rnt92vh73cm86mk34n6e/-FJPG/106103-005_DET_4.JPG;https://dd3ka9h4chfr8.cloudfront.net/image/725136000567/image_ma5d3cb4od0lt8h8du9ov6432r/-FJPG/106103-005_DET_5.JPG;https://dd3ka9h4chfr8.cloudfront.net/image/725136000567/image_kl7ulk4b7h2t51qjimc7e80o26/-FJPG/106103-005_PRM_2.JPG</t>
  </si>
  <si>
    <t>106103-005</t>
  </si>
  <si>
    <t>52.91</t>
  </si>
  <si>
    <t>https://dd3ka9h4chfr8.cloudfront.net/image/725136000567/image_s150prom354rt0s4ios8a7bo50/-FJPG/106103-005_FRT_1.JPG</t>
  </si>
  <si>
    <t>Effortlessly cool. Upholstered in black heirloom leather, angular track arms complement supple cushioning, with exposed wood framing for contrast and effect. Sourced from one of the oldest family-owned tanneries in Italyâ€™s Bassano del Grappa, heirloom leather is salvaged and processed from upcycled hides featuring an abundance of natural markings, scars and color variations. The result? Beautifully supple, buttery soft hides with an unmatched depth of color and richness, and an authentic lived-in look.</t>
  </si>
  <si>
    <t>{"value":71.65,"unit":"lb"}</t>
  </si>
  <si>
    <t>Diana</t>
  </si>
  <si>
    <t>https://dd3ka9h4chfr8.cloudfront.net/image/725136000567/image_fppsvvvmcp21t6au645tgl224v/-FJPG/CKEN-294N-671_FRT_1.jpg;https://dd3ka9h4chfr8.cloudfront.net/image/725136000567/image_s7r4b9d2ap4fpbk2cj77udk31s/-FJPG/CKEN-294N-671_PRM_1.jpg;https://dd3ka9h4chfr8.cloudfront.net/image/725136000567/image_rcbgpcvlpp4o7dqtss1fnqe65s/-FJPG/CKEN-294N-671_SID_1.jpg;https://dd3ka9h4chfr8.cloudfront.net/image/725136000567/image_vok2cj3k3h6ql6oilvg7f38l3b/-FJPG/CKEN-294N-671_ESS_1.jpg;https://dd3ka9h4chfr8.cloudfront.net/image/725136000567/image_t0dn8hiv5h0c99matgg5a0b10f/-FJPG/CKEN-294N-671_BCK_1.jpg;https://dd3ka9h4chfr8.cloudfront.net/image/725136000567/image_6g1m8o4irt7gh98i8kdtbic50j/-FJPG/CKEN-294N-671_DET_1.jpg;https://dd3ka9h4chfr8.cloudfront.net/image/725136000567/image_ko1svs5epl2fj90buss5ghl003/-FJPG/CKEN-294N-671_DET_3.jpg;https://dd3ka9h4chfr8.cloudfront.net/image/725136000567/image_ncuura1buh5dh1865rfsfamf2j/-FJPG/CKEN-294N-671_GRP_1.jpg;https://dd3ka9h4chfr8.cloudfront.net/image/725136000567/image_9ap73qpstt6nff96onmpek2902/-FJPG/CKEN-294N-671_DET_4.jpg;https://dd3ka9h4chfr8.cloudfront.net/image/725136000567/image_e7bi2h55kh5jtfddvmsth76k2m/-FJPG/CKEN-294N-671_DET_5.jpg;https://dd3ka9h4chfr8.cloudfront.net/image/725136000567/image_sp4kqmledl2dn7q79ab3tvol7u/-FJPG/CKEN-294N-671_DET_6.jpg</t>
  </si>
  <si>
    <t>Sonoma Butterscotch</t>
  </si>
  <si>
    <t>CKEN-294N-671</t>
  </si>
  <si>
    <t>https://dd3ka9h4chfr8.cloudfront.net/image/725136000567/image_fppsvvvmcp21t6au645tgl224v/-FJPG/CKEN-294N-671_FRT_1.jpg</t>
  </si>
  <si>
    <t>Effortlessly cool. Upholstered in a butterscotch top-grain leather exclusive to Four Hands, angular track arms complement supple cushioning, with exposed parawood framing delivering the drama.</t>
  </si>
  <si>
    <t>Diana Sofa</t>
  </si>
  <si>
    <t>https://dd3ka9h4chfr8.cloudfront.net/image/725136000567/image_464f2931b14q38h0snotuqfl7m/-FJPG/228734-006_FRT_1.jpg;https://dd3ka9h4chfr8.cloudfront.net/image/725136000567/image_gp5etoh10h11n9dgetna5e1q0t/-FJPG/228734-006_PRM_1.jpg;https://dd3ka9h4chfr8.cloudfront.net/image/725136000567/image_2789u8ej9l76v71utuvmqg9m0h/-FJPG/228734-006_SID_1.jpg;https://dd3ka9h4chfr8.cloudfront.net/image/725136000567/image_4t0r86mub50jb6gaemj27jm05f/-FJPG/228734-006_ESS.tif;https://dd3ka9h4chfr8.cloudfront.net/image/725136000567/image_s4kliisuip4ft7km6dcnkv5275/-FJPG/228734-006_DET_2.jpg;https://dd3ka9h4chfr8.cloudfront.net/image/725136000567/image_j0kgmonrih7c55ic8udaf5jo03/-FJPG/228734-006_BCK_1.jpg;https://dd3ka9h4chfr8.cloudfront.net/image/725136000567/image_ajpbk277251tp5mqd55sr2a160/-FJPG/228734-006_DET_1.jpg;https://dd3ka9h4chfr8.cloudfront.net/image/725136000567/image_07vods26ph1q91gldbi47i671r/-FJPG/228734-006_DET_3.jpg;https://dd3ka9h4chfr8.cloudfront.net/image/725136000567/image_cdiuufqav910lcd7m1g3aou47v/-FJPG/228734-006_DET_4.jpg;https://dd3ka9h4chfr8.cloudfront.net/image/725136000567/image_4dimu0dc417839rclqsekn7f40/-FJPG/228734-006_DET_5.jpg;https://dd3ka9h4chfr8.cloudfront.net/image/725136000567/image_so8992k1i576hegkdb2hjgv77c/-FJPG/228734-006_DET_6.jpg;https://dd3ka9h4chfr8.cloudfront.net/image/725136000567/image_023p5l1ctd32j1khbh373bsj32/-FJPG/228734-006_DET_7.jpg;https://dd3ka9h4chfr8.cloudfront.net/image/725136000567/image_dcbtcj823d5iddk0aqt2efb03f/-FJPG/228734-006_DET_8.jpg</t>
  </si>
  <si>
    <t>228734-006</t>
  </si>
  <si>
    <t>134.48</t>
  </si>
  <si>
    <t>https://dd3ka9h4chfr8.cloudfront.net/image/725136000567/image_464f2931b14q38h0snotuqfl7m/-FJPG/228734-006_FRT_1.jpg</t>
  </si>
  <si>
    <t>Thick-cut top-grain leather with a plump, pronounced grain is framed by almond-finished parawood with a splayed, angular look. Sourced from one of the oldest family-owned tanneries in Italyâ€™s Bassano del Grappa, our heirloom leather covering is salvaged and processed from upcycled hides featuring an abundance of natural markings, scars and color variations. The result? Beautifully supple, buttery soft hides with an unmatched depth of color and richness, and an authentic lived-in look.</t>
  </si>
  <si>
    <t>{"value":87.01,"unit":"in"}</t>
  </si>
  <si>
    <t>{"value":30.91,"unit":"in"}</t>
  </si>
  <si>
    <t>{"value":167.55,"unit":"lb"}</t>
  </si>
  <si>
    <t>https://dd3ka9h4chfr8.cloudfront.net/image/725136000567/image_1kmof72bf934ja9s8tshrm4852/-FJPG/228734-002_FRT_1.jpg;https://dd3ka9h4chfr8.cloudfront.net/image/725136000567/image_papst0ucd52j791eiqsc452k6j/-FJPG/228734-002_PRM_1.jpg;https://dd3ka9h4chfr8.cloudfront.net/image/725136000567/image_60l8qvrsh52cr6lpqn0653dt2m/-FJPG/228734-002_SID_1.jpg;https://dd3ka9h4chfr8.cloudfront.net/image/725136000567/image_mukp41ll9102p0vgcknmjtpr78/-FJPG/228734-002_ESS_1.jpg;https://dd3ka9h4chfr8.cloudfront.net/image/725136000567/image_fhqjsoqe3d48h405vlq2bl6125/-FJPG/228734-002_DET_2.jpg;https://dd3ka9h4chfr8.cloudfront.net/image/725136000567/image_2p74ic9vkh4fr3i9ufuo9qbe36/-FJPG/228734-002_BCK_1.jpg;https://dd3ka9h4chfr8.cloudfront.net/image/725136000567/image_p2r2h6ngdd4g17rl381rk0h27l/-FJPG/228734-002_DET_1.jpg;https://dd3ka9h4chfr8.cloudfront.net/image/725136000567/image_ma3ajtin0536h7qu1415gg3v0d/-FJPG/228734-002_DET_3.jpg;https://dd3ka9h4chfr8.cloudfront.net/image/725136000567/image_dtug5oaoi561r7bpmgbspn9q4g/-FJPG/228734-002_DET_4.jpg;https://dd3ka9h4chfr8.cloudfront.net/image/725136000567/image_75tmuc9a5h1c9459vkk0jge53f/-FJPG/228734-002_DET_5.jpg;https://dd3ka9h4chfr8.cloudfront.net/image/725136000567/image_nu1kbs66k938l928d4rnptad4o/-FJPG/228734-002_DET_6.jpg;https://dd3ka9h4chfr8.cloudfront.net/image/725136000567/image_bcnhcs8bjd5r111oor62g2e90a/-FJPG/228734-002_DET_7.jpg</t>
  </si>
  <si>
    <t>228734-002</t>
  </si>
  <si>
    <t>https://dd3ka9h4chfr8.cloudfront.net/image/725136000567/image_1kmof72bf934ja9s8tshrm4852/-FJPG/228734-002_FRT_1.jpg</t>
  </si>
  <si>
    <t>https://dd3ka9h4chfr8.cloudfront.net/image/725136000567/image_e5sfn2ddep1ujbi564j98h157i/-FJPG/228734-004_FRT_1.JPG;https://dd3ka9h4chfr8.cloudfront.net/image/725136000567/image_fkl92rsfcd5n9aud6tkao1al2l/-FJPG/228734-004_PRM_1.JPG;https://dd3ka9h4chfr8.cloudfront.net/image/725136000567/image_pk8ubfq0kh46j4tshvdra80p33/-FJPG/228734-004_SID_1.JPG;https://dd3ka9h4chfr8.cloudfront.net/image/725136000567/image_a1lq3h0nmp0mvf8vvlipmc643p/-FJPG/228734-004_DET_2.JPG;https://dd3ka9h4chfr8.cloudfront.net/image/725136000567/image_2ifv8r9lsl2a93c0nhis2tog7l/-FJPG/228734-004_BCK_1.JPG;https://dd3ka9h4chfr8.cloudfront.net/image/725136000567/image_oij8q3h6u916vaq6p4utqioj2a/-FJPG/228734-004_DET_1.JPG;https://dd3ka9h4chfr8.cloudfront.net/image/725136000567/image_d1sn21agv90jdaev0n33e09c7c/-FJPG/228734-004_DET_3.JPG;https://dd3ka9h4chfr8.cloudfront.net/image/725136000567/image_q2lqia8j45103dgnaj54j9mu1p/-FJPG/228734-004_DET_4.JPG</t>
  </si>
  <si>
    <t>228734-004</t>
  </si>
  <si>
    <t>https://dd3ka9h4chfr8.cloudfront.net/image/725136000567/image_e5sfn2ddep1ujbi564j98h157i/-FJPG/228734-004_FRT_1.JPG</t>
  </si>
  <si>
    <t>Doss Media Lounger</t>
  </si>
  <si>
    <t>https://dd3ka9h4chfr8.cloudfront.net/image/725136000567/image_ou6fgtf30t3m1aakckaiob973f/-FJPG/240660-001_FRT_1.jpg;https://dd3ka9h4chfr8.cloudfront.net/image/725136000567/image_ag32h826k51890rng302mqqs76/-FJPG/240660-001_PRM_1.jpg;https://dd3ka9h4chfr8.cloudfront.net/image/725136000567/image_46oh37d6nt76n9imfchu3g9a22/-FJPG/240660-001_SID_1.jpg;https://dd3ka9h4chfr8.cloudfront.net/image/725136000567/image_r2slsu2ced5od32gdo4rnl885p/-FJPG/240660-001_ESS.tif;https://dd3ka9h4chfr8.cloudfront.net/image/725136000567/image_6s7nuikcqt4132d170928q5p02/-FJPG/240660-001_DET_2.jpg;https://dd3ka9h4chfr8.cloudfront.net/image/725136000567/image_oqtqm20vul0adbb28ofe3f1f6i/-FJPG/240660-001_BCK_1.jpg;https://dd3ka9h4chfr8.cloudfront.net/image/725136000567/image_81r4oess9527b72eu7ej2gsr1v/-FJPG/240660-001_DET_1.jpg;https://dd3ka9h4chfr8.cloudfront.net/image/725136000567/image_vjkbvf0sjd0o347cu7l2hg4a0u/-FJPG/240660-001_DET_3.jpg;https://dd3ka9h4chfr8.cloudfront.net/image/725136000567/image_1b5ukqoi9p2tl1v88ppknat14r/-FJPG/240660-001_TOP_1.jpg;https://dd3ka9h4chfr8.cloudfront.net/image/725136000567/image_5qurrmi7k94vd3oevrfu3din5s/-FJPG/240660-001_DET_4.jpg;https://dd3ka9h4chfr8.cloudfront.net/image/725136000567/image_u8mdp7f7p93al62l1bv8p6js42/-FJPG/240660-001_DET_5.jpg;https://dd3ka9h4chfr8.cloudfront.net/image/725136000567/image_o8727h3kdd6vp3an32tgf6sh5k/-FJPG/240660-001_DET_6.jpg</t>
  </si>
  <si>
    <t>Altro Snow</t>
  </si>
  <si>
    <t>240660-001</t>
  </si>
  <si>
    <t>https://dd3ka9h4chfr8.cloudfront.net/image/725136000567/image_ou6fgtf30t3m1aakckaiob973f/-FJPG/240660-001_FRT_1.jpg</t>
  </si>
  <si>
    <t>["95% Polyester","5% Acrylic","Solid Oak"]</t>
  </si>
  <si>
    <t>57</t>
  </si>
  <si>
    <t>{"value":57,"unit":"in"}</t>
  </si>
  <si>
    <t>Farrow</t>
  </si>
  <si>
    <t>Terra Brown Oak</t>
  </si>
  <si>
    <t>The ultimate in polished media style seating has arrived. Framed in oak, this lounger is constructed with two separate pieces â€” the seat and the back â€” and accompanied by four toss cushions. The lounger features evenly spaced spring suspension and a heavy boucle upholstery stitched into 5.5-inch channels for stylish comfort.</t>
  </si>
  <si>
    <t>{"value":185.19,"unit":"lb"}</t>
  </si>
  <si>
    <t>37.40"</t>
  </si>
  <si>
    <t>41.34"</t>
  </si>
  <si>
    <t>Doss</t>
  </si>
  <si>
    <t>28.74"</t>
  </si>
  <si>
    <t>45.04"</t>
  </si>
  <si>
    <t>11.34"</t>
  </si>
  <si>
    <t>1.22"</t>
  </si>
  <si>
    <t>31.46"</t>
  </si>
  <si>
    <t>34.88"</t>
  </si>
  <si>
    <t>70% Polyurethane Foam Pad, 30% Polyester Fiber Batting</t>
  </si>
  <si>
    <t>41.73"</t>
  </si>
  <si>
    <t>Dottie Swivel Chair</t>
  </si>
  <si>
    <t>https://dd3ka9h4chfr8.cloudfront.net/image/725136000567/image_6pm44hboeh3gd3blphif448d57/-FJPG/241281-001_FRT_1.jpg;https://dd3ka9h4chfr8.cloudfront.net/image/725136000567/image_ojvpo2teo966n5us23fm9qc07r/-FJPG/241281-001_PRM_1.jpg;https://dd3ka9h4chfr8.cloudfront.net/image/725136000567/image_gual79ho8t70f2dpi8n87eui2d/-FJPG/241281-001_SID_1.jpg;https://dd3ka9h4chfr8.cloudfront.net/image/725136000567/image_teqg5qkfr50rhbmpdtl3o0nu23/-FJPG/241281-001_DET_2.jpg;https://dd3ka9h4chfr8.cloudfront.net/image/725136000567/image_k0s7jg8h7h62v714levrrj0b5n/-FJPG/241281-001_BCK_1.jpg;https://dd3ka9h4chfr8.cloudfront.net/image/725136000567/image_m7d6vfslsd7m11up82fhm2sj5k/-FJPG/241281-001_DET_1.jpg;https://dd3ka9h4chfr8.cloudfront.net/image/725136000567/image_4p5a0r4l0t7mj6606vlvt0797r/-FJPG/241281-001_DET_3.jpg;https://dd3ka9h4chfr8.cloudfront.net/image/725136000567/image_8j6n5bckcd49f94phs81bfos10/-FJPG/241281-001_TOP_1.jpg;https://dd3ka9h4chfr8.cloudfront.net/image/725136000567/image_7g8pddfv652k9454b0fti8uo34/-FJPG/241281-001_DET_4.jpg;https://dd3ka9h4chfr8.cloudfront.net/image/725136000567/image_g476l75d9922ba3ld7c5qf0475/-FJPG/241281-001_DET_5.jpg;https://dd3ka9h4chfr8.cloudfront.net/image/725136000567/image_4h0i5pvc211khaijfn68iqdp4q/-FJPG/241281-001_DET_6.jpg;https://dd3ka9h4chfr8.cloudfront.net/image/725136000567/image_52fclnvd7p5c31qk3r9065pp4g/-FJPG/241281-001_DET_8.jpg;https://dd3ka9h4chfr8.cloudfront.net/image/725136000567/image_mur7e9nbkp2gl5io5ue0ucap3q/-FJPG/241281-001_ESS.tif</t>
  </si>
  <si>
    <t>Berber Oatmeal</t>
  </si>
  <si>
    <t>241281-001</t>
  </si>
  <si>
    <t>https://dd3ka9h4chfr8.cloudfront.net/image/725136000567/image_6pm44hboeh3gd3blphif448d57/-FJPG/241281-001_FRT_1.jpg</t>
  </si>
  <si>
    <t>["71% Flax/Linen","13.5% Wool","9.5% Viscose (Rayon)","6% Polyester","Solid Parawood"]</t>
  </si>
  <si>
    <t>The continuous form of this swivel chair, with no additional cushions creates a sleek, modern look that elevates everyday seating. The wood pedestal swivel adds a functional detail for a mixed media moment.</t>
  </si>
  <si>
    <t>{"value":28.54,"unit":"in"}</t>
  </si>
  <si>
    <t>22.01"</t>
  </si>
  <si>
    <t>Dottie</t>
  </si>
  <si>
    <t>27.17"</t>
  </si>
  <si>
    <t>22.44"</t>
  </si>
  <si>
    <t>4.20"</t>
  </si>
  <si>
    <t>28.98"</t>
  </si>
  <si>
    <t>https://dd3ka9h4chfr8.cloudfront.net/image/725136000567/image_0k6974csid4sheeul6cvbb6v5q/-FJPG/241281-002_FRT_1.jpg;https://dd3ka9h4chfr8.cloudfront.net/image/725136000567/image_lfean4hfnh06h4vpid1aojle74/-FJPG/241281-002_PRM_1.jpg;https://dd3ka9h4chfr8.cloudfront.net/image/725136000567/image_6h4igq10rt1gd144dtqmv9mf22/-FJPG/241281-002_SID_1.jpg;https://dd3ka9h4chfr8.cloudfront.net/image/725136000567/image_3vk81evp1h3qb9cb548ko4nr1v/-FJPG/241281-002_ESS.tif;https://dd3ka9h4chfr8.cloudfront.net/image/725136000567/image_ghjgfi07it7flaqc8ed7tde06r/-FJPG/241281-002_DET_2.jpg;https://dd3ka9h4chfr8.cloudfront.net/image/725136000567/image_jjbefm4ft50nb524dul6te7o7o/-FJPG/241281-002_BCK_1.jpg;https://dd3ka9h4chfr8.cloudfront.net/image/725136000567/image_55rs6l58ch019632eqj5kiuc6n/-FJPG/241281-002_DET_1.jpg;https://dd3ka9h4chfr8.cloudfront.net/image/725136000567/image_ttjlenhdb10nh3c931n19bog25/-FJPG/241281-002_DET_3.jpg;https://dd3ka9h4chfr8.cloudfront.net/image/725136000567/image_qsei3ot6ld2rl923d9tat2nl24/-FJPG/241281-002_TOP_1.jpg;https://dd3ka9h4chfr8.cloudfront.net/image/725136000567/image_0n95ht7jj97112d5gquf3ven32/-FJPG/241281-002_DET_4.jpg;https://dd3ka9h4chfr8.cloudfront.net/image/725136000567/image_va20ctj6gd7b51h2l7k2gvue0a/-FJPG/241281-002_DET_5.jpg;https://dd3ka9h4chfr8.cloudfront.net/image/725136000567/image_thi4vsdfsl64hcinboce6som18/-FJPG/241281-002_DET_6.jpg;https://dd3ka9h4chfr8.cloudfront.net/image/725136000567/image_9m9j6fam6h7gj6mab91iseol73/-FJPG/241281-002_DET_9.tif</t>
  </si>
  <si>
    <t>Monte Navy</t>
  </si>
  <si>
    <t>241281-002</t>
  </si>
  <si>
    <t>https://dd3ka9h4chfr8.cloudfront.net/image/725136000567/image_0k6974csid4sheeul6cvbb6v5q/-FJPG/241281-002_FRT_1.jpg</t>
  </si>
  <si>
    <t>["50% Viscose","50% Wool","Solid Parawood"]</t>
  </si>
  <si>
    <t>The continuous form of this swivel chair creates a sleek look that elevates everyday seating. Upholstered in navy wool blend, its sleek design is complemented by a 360-degree swivel and pedestal base of solid parawood for a mixed media moment.</t>
  </si>
  <si>
    <t>Dover Bed</t>
  </si>
  <si>
    <t>https://dd3ka9h4chfr8.cloudfront.net/image/725136000567/image_78cc07o4714jh6s1qc11c0p517/-FJPG/243216-003_FRT_1.jpg;https://dd3ka9h4chfr8.cloudfront.net/image/725136000567/image_olu8qvgdcd12v9h3aag86dlb1u/-FJPG/243216-003_PRM_1.jpg;https://dd3ka9h4chfr8.cloudfront.net/image/725136000567/image_o906rmarth7d7238jvbtt67f0n/-FJPG/243216-003_SID_1.jpg;https://dd3ka9h4chfr8.cloudfront.net/image/725136000567/image_laoul1s2u52sb89vrmmlrmrf2j/-FJPG/243216-003_ESS.tif;https://dd3ka9h4chfr8.cloudfront.net/image/725136000567/image_n8gf5bq3b947v5lp3qhjdclh3i/-FJPG/243216-003_ESS_1.tif;https://dd3ka9h4chfr8.cloudfront.net/image/725136000567/image_iidd88cgl117jcach4sjinbk07/-FJPG/243216-003_DET_2.jpg;https://dd3ka9h4chfr8.cloudfront.net/image/725136000567/image_c3uq56pobd3on3fj3cv284u93b/-FJPG/243216-003_BCK_1.jpg;https://dd3ka9h4chfr8.cloudfront.net/image/725136000567/image_r003bo312d7mfdes97pjo5n16j/-FJPG/243216-003_BCK_1.jpg;https://dd3ka9h4chfr8.cloudfront.net/image/725136000567/image_u28e861e0d6sp1nt1cer0n7723/-FJPG/243216-003_DET_1.jpg;https://dd3ka9h4chfr8.cloudfront.net/image/725136000567/image_mikj19n3nl75n151rv8b1j0s3e/-FJPG/243216-003_DET_3.jpg;https://dd3ka9h4chfr8.cloudfront.net/image/725136000567/image_120b02vg8h43f659qcnfsvji32/-FJPG/243216-003_DET_4.jpg;https://dd3ka9h4chfr8.cloudfront.net/image/725136000567/image_jt02lbidq95gj98u2uua13425u/-FJPG/243216-003_DET_5.jpg;https://dd3ka9h4chfr8.cloudfront.net/image/725136000567/image_ip56deeofh3svc29at4iqg1n6a/-FJPG/243216-003_DET_6.jpg;https://dd3ka9h4chfr8.cloudfront.net/image/725136000567/image_t014p99uuh5fbd380ktkr11p0l/-FJPG/243216-003_DET_7.jpg;https://dd3ka9h4chfr8.cloudfront.net/image/725136000567/image_uqi0bpurbh1cbck4eiit0fn32f/-FJPG/243216-003_DET_9.tif;https://dd3ka9h4chfr8.cloudfront.net/image/725136000567/image_64118e5ffh0k9040c6f7s28g5q/-FJPG/243216-003_DET_10.tif;https://dd3ka9h4chfr8.cloudfront.net/image/725136000567/image_rb4j0vo6n11q11mf1p01uupq48/-FJPG/FHMPRJ-018_SCENE-9.tif</t>
  </si>
  <si>
    <t>Hockney Linen</t>
  </si>
  <si>
    <t>243216-003</t>
  </si>
  <si>
    <t>216.05</t>
  </si>
  <si>
    <t>https://dd3ka9h4chfr8.cloudfront.net/image/725136000567/image_78cc07o4714jh6s1qc11c0p517/-FJPG/243216-003_FRT_1.jpg</t>
  </si>
  <si>
    <t>["86% Polyester","14% Flax/Linen","Thick Oak Veneer","Solid Oak"]</t>
  </si>
  <si>
    <t>65.75</t>
  </si>
  <si>
    <t>{"value":65.75,"unit":"in"}</t>
  </si>
  <si>
    <t>Rustic Amber Oak Veneer</t>
  </si>
  <si>
    <t>A heritage-inspired bed features soft curves and intricate carving along a rustic oak frame. A light, linen-upholstered headboard brings a touch a warmth to bedroom styling. Performance fabrics are specially created to withstand spills, stains, high traffic and wear, ensuring long-term comfort and unmatched durability.</t>
  </si>
  <si>
    <t>{"value":70.28,"unit":"in"}</t>
  </si>
  <si>
    <t>{"value":9.45,"unit":"in"}</t>
  </si>
  <si>
    <t>{"value":52.76,"unit":"in"}</t>
  </si>
  <si>
    <t>{"value":143.3,"unit":"lb"}</t>
  </si>
  <si>
    <t>Side Rails, Slats, Middle Support Slats</t>
  </si>
  <si>
    <t>Pocket Joint with Screws</t>
  </si>
  <si>
    <t>Dover</t>
  </si>
  <si>
    <t>2.80"</t>
  </si>
  <si>
    <t>23.03"</t>
  </si>
  <si>
    <t>65.63"</t>
  </si>
  <si>
    <t>48.90"</t>
  </si>
  <si>
    <t>82.99"</t>
  </si>
  <si>
    <t>13.27"</t>
  </si>
  <si>
    <t>78.54"</t>
  </si>
  <si>
    <t>58.90"</t>
  </si>
  <si>
    <t>https://dd3ka9h4chfr8.cloudfront.net/image/725136000567/image_78cc07o4714jh6s1qc11c0p517/-FJPG/243216-003_FRT_1.jpg;https://dd3ka9h4chfr8.cloudfront.net/image/725136000567/image_olu8qvgdcd12v9h3aag86dlb1u/-FJPG/243216-003_PRM_1.jpg;https://dd3ka9h4chfr8.cloudfront.net/image/725136000567/image_o906rmarth7d7238jvbtt67f0n/-FJPG/243216-003_SID_1.jpg;https://dd3ka9h4chfr8.cloudfront.net/image/725136000567/image_laoul1s2u52sb89vrmmlrmrf2j/-FJPG/243216-003_ESS.tif;https://dd3ka9h4chfr8.cloudfront.net/image/725136000567/image_iidd88cgl117jcach4sjinbk07/-FJPG/243216-003_DET_2.jpg;https://dd3ka9h4chfr8.cloudfront.net/image/725136000567/image_c3uq56pobd3on3fj3cv284u93b/-FJPG/243216-003_BCK_1.jpg;https://dd3ka9h4chfr8.cloudfront.net/image/725136000567/image_r003bo312d7mfdes97pjo5n16j/-FJPG/243216-003_BCK_1.jpg;https://dd3ka9h4chfr8.cloudfront.net/image/725136000567/image_u28e861e0d6sp1nt1cer0n7723/-FJPG/243216-003_DET_1.jpg;https://dd3ka9h4chfr8.cloudfront.net/image/725136000567/image_mikj19n3nl75n151rv8b1j0s3e/-FJPG/243216-003_DET_3.jpg;https://dd3ka9h4chfr8.cloudfront.net/image/725136000567/image_120b02vg8h43f659qcnfsvji32/-FJPG/243216-003_DET_4.jpg;https://dd3ka9h4chfr8.cloudfront.net/image/725136000567/image_jt02lbidq95gj98u2uua13425u/-FJPG/243216-003_DET_5.jpg;https://dd3ka9h4chfr8.cloudfront.net/image/725136000567/image_ip56deeofh3svc29at4iqg1n6a/-FJPG/243216-003_DET_6.jpg;https://dd3ka9h4chfr8.cloudfront.net/image/725136000567/image_t014p99uuh5fbd380ktkr11p0l/-FJPG/243216-003_DET_7.jpg;https://dd3ka9h4chfr8.cloudfront.net/image/725136000567/image_uqi0bpurbh1cbck4eiit0fn32f/-FJPG/243216-003_DET_9.tif;https://dd3ka9h4chfr8.cloudfront.net/image/725136000567/image_64118e5ffh0k9040c6f7s28g5q/-FJPG/243216-003_DET_10.tif;https://dd3ka9h4chfr8.cloudfront.net/image/725136000567/image_rb4j0vo6n11q11mf1p01uupq48/-FJPG/FHMPRJ-018_SCENE-9.tif</t>
  </si>
  <si>
    <t>243216-004</t>
  </si>
  <si>
    <t>246.92</t>
  </si>
  <si>
    <t>81.75</t>
  </si>
  <si>
    <t>{"value":81.75,"unit":"in"}</t>
  </si>
  <si>
    <t>{"value":85.43,"unit":"in"}</t>
  </si>
  <si>
    <t>{"value":10.83,"unit":"in"}</t>
  </si>
  <si>
    <t>{"value":124.56,"unit":"lb"}</t>
  </si>
  <si>
    <t>81.77"</t>
  </si>
  <si>
    <t>75.04"</t>
  </si>
  <si>
    <t>Drake Coffee Table</t>
  </si>
  <si>
    <t>https://dd3ka9h4chfr8.cloudfront.net/image/725136000567/image_jbbnb0q6el4v38kj4b8demq06o/-FJPG/IHRM-047C_FRT_1.jpg;https://dd3ka9h4chfr8.cloudfront.net/image/725136000567/image_61d3cf4sk904147veetkpn1d3g/-FJPG/IHRM-047C_PRM_1.jpg;https://dd3ka9h4chfr8.cloudfront.net/image/725136000567/image_h743u9t0cl1tj0mqkhops7p34o/-FJPG/IHRM-047C_ESS_1.jpg;https://dd3ka9h4chfr8.cloudfront.net/image/725136000567/image_74ladc5kjd5h75r2b0as7d5v52/-FJPG/IHRM-047C_DET_2.jpg;https://dd3ka9h4chfr8.cloudfront.net/image/725136000567/image_h3di01s9qt1uh5krhees48677o/-FJPG/IHRM-047C_DET_1.jpg;https://dd3ka9h4chfr8.cloudfront.net/image/725136000567/image_ce69omfct14k52che97jn5f63b/-FJPG/IHRM-047C_DET_3.jpg;https://dd3ka9h4chfr8.cloudfront.net/image/725136000567/image_njctq3c6bt6vpe24ivobb3h52q/-FJPG/IHRM-047C_DET_4.jpg;https://dd3ka9h4chfr8.cloudfront.net/image/725136000567/image_3cfvg12r8l2iv2llqg4rivg955/-FJPG/IHRM-047C_VIG_2.jpg</t>
  </si>
  <si>
    <t>Aged Brown</t>
  </si>
  <si>
    <t>IHRM-047C</t>
  </si>
  <si>
    <t>86.64</t>
  </si>
  <si>
    <t>https://dd3ka9h4chfr8.cloudfront.net/image/725136000567/image_jbbnb0q6el4v38kj4b8demq06o/-FJPG/IHRM-047C_FRT_1.jpg</t>
  </si>
  <si>
    <t>A simple take on balance and grace. Finished in an aged brown, mixed reclaimed woods play up inviting angles with a broad, recessed top.</t>
  </si>
  <si>
    <t>{"value":118.28,"unit":"lb"}</t>
  </si>
  <si>
    <t>Drake</t>
  </si>
  <si>
    <t>https://dd3ka9h4chfr8.cloudfront.net/image/725136000567/image_v9ctnohioh7j9ahl0ih6071650/-FJPG/IHRM-047_FRT_1.jpg;https://dd3ka9h4chfr8.cloudfront.net/image/725136000567/image_rl3954305t57bd8aoelajntj2o/-FJPG/IHRM-047_PRM_1.jpg;https://dd3ka9h4chfr8.cloudfront.net/image/725136000567/image_jegb5jbcqd2v7fnnqk2punm32g/-FJPG/IHRM-047_ESS_1.jpg;https://dd3ka9h4chfr8.cloudfront.net/image/725136000567/image_l0nbl4lmmh1u7bed2s7fhuvc2f/-FJPG/IHRM-047_DET_2.jpg;https://dd3ka9h4chfr8.cloudfront.net/image/725136000567/image_fq07mklpi95ot51m60vli5g038/-FJPG/IHRM-047_DET_1.jpg;https://dd3ka9h4chfr8.cloudfront.net/image/725136000567/image_mcs0779vvh76tei050hiltbr0a/-FJPG/IHRM-047_DET_3.jpg;https://dd3ka9h4chfr8.cloudfront.net/image/725136000567/image_vj7kq7fnl921d5t0nrsot82q30/-FJPG/IHRM-047_DET_4.jpg;https://dd3ka9h4chfr8.cloudfront.net/image/725136000567/image_pr1pn4q4fp52ddr21slnmliq7k/-FJPG/IHRM-047_DET_6.jpg;https://dd3ka9h4chfr8.cloudfront.net/image/725136000567/image_e7plqoq80l0td9si5uvtnesj28/-FJPG/IHRM-047_ROM_1.jpg;https://dd3ka9h4chfr8.cloudfront.net/image/725136000567/image_k6tf2q9bip4r1cl1uhl852d41n/-FJPG/IHRM-047_PRM_2.jpg;https://dd3ka9h4chfr8.cloudfront.net/image/725136000567/image_ukutj1fobd5m97ep3avjnn0c6r/-FJPG/IHRM-047_FRT_2.jpg</t>
  </si>
  <si>
    <t>Reclaimed Fruitwood</t>
  </si>
  <si>
    <t>IHRM-047</t>
  </si>
  <si>
    <t>https://dd3ka9h4chfr8.cloudfront.net/image/725136000567/image_v9ctnohioh7j9ahl0ih6071650/-FJPG/IHRM-047_FRT_1.jpg</t>
  </si>
  <si>
    <t>A simple take on balance and grace. Mixed reclaimed woods play up inviting angles and offer a broad, recessed top.</t>
  </si>
  <si>
    <t>Duncan End Table</t>
  </si>
  <si>
    <t>https://dd3ka9h4chfr8.cloudfront.net/image/725136000567/image_g36mqk5g0122b8b64i3l6avr5c/-FJPG/106438-010_FRT_1.jpg;https://dd3ka9h4chfr8.cloudfront.net/image/725136000567/image_0ajjhr8gt56md2a0v9gcjft015/-FJPG/106438-010_PRM_1.jpg;https://dd3ka9h4chfr8.cloudfront.net/image/725136000567/image_c3gumeg27t33r0tmrv6qun4s4l/-FJPG/106438-010_DET_2.jpg;https://dd3ka9h4chfr8.cloudfront.net/image/725136000567/image_6rhqabitft1if71c3lqkvfjt1n/-FJPG/106438-010_DET_1.jpg;https://dd3ka9h4chfr8.cloudfront.net/image/725136000567/image_vq6ajis8ft7u5cp4afiq9eug4m/-FJPG/106438-010_DET_3.jpg;https://dd3ka9h4chfr8.cloudfront.net/image/725136000567/image_gnd4fhgh251td7f3khf0cl4a6c/-FJPG/106438-010_DET_4.jpg;https://dd3ka9h4chfr8.cloudfront.net/image/725136000567/image_cpjp580ik125dd614hctr0n612/-FJPG/106438-010_ROM_1.jpg;https://dd3ka9h4chfr8.cloudfront.net/image/725136000567/image_0tpcavb74t6vn8a1q198h4fg1v/-FJPG/106438-010_VIG_1.jpg</t>
  </si>
  <si>
    <t>106438-010</t>
  </si>
  <si>
    <t>31.2</t>
  </si>
  <si>
    <t>https://dd3ka9h4chfr8.cloudfront.net/image/725136000567/image_g36mqk5g0122b8b64i3l6avr5c/-FJPG/106438-010_FRT_1.jpg</t>
  </si>
  <si>
    <t>Rich, reclaimed woods deliver depth beyond simple shaping. Warm brown tones reveal natural knots and graining for a distinctively found feel.</t>
  </si>
  <si>
    <t>{"value":23.75,"unit":"in"}</t>
  </si>
  <si>
    <t>{"value":43.65,"unit":"lb"}</t>
  </si>
  <si>
    <t>Duncan</t>
  </si>
  <si>
    <t>Duncan Storage Coffee Table</t>
  </si>
  <si>
    <t>https://dd3ka9h4chfr8.cloudfront.net/image/725136000567/image_g5s6v45u0d0hj132s155qc3a3r/-FJPG/IHRM-068_FRT_1.jpg;https://dd3ka9h4chfr8.cloudfront.net/image/725136000567/image_tvgsm9dkup07n54lqi1jnon20b/-FJPG/IHRM-068_PRM_1.jpg;https://dd3ka9h4chfr8.cloudfront.net/image/725136000567/image_o777tmg6jp79ldlqmd0nlgkp52/-FJPG/IHRM-068_SID_1.jpg;https://dd3ka9h4chfr8.cloudfront.net/image/725136000567/image_es1ne9l5od3fnevecd70nmrh4r/-FJPG/IHRM-068_DET_2.jpg;https://dd3ka9h4chfr8.cloudfront.net/image/725136000567/image_fv1b3031593t91of3nm6gss118/-FJPG/IHRM-068_DET_1.jpg;https://dd3ka9h4chfr8.cloudfront.net/image/725136000567/image_oq71fochth5sb5pivu0eg8lj09/-FJPG/IHRM-068_DET_3.jpg;https://dd3ka9h4chfr8.cloudfront.net/image/725136000567/image_p6m7rdhbs55nha5cqufbut0l41/-FJPG/IHRM-068_OPN_1.jpg;https://dd3ka9h4chfr8.cloudfront.net/image/725136000567/image_90g96tuhap23jadeill4g6ab18/-FJPG/IHRM-068_DET_4.jpg;https://dd3ka9h4chfr8.cloudfront.net/image/725136000567/image_iog91fbrp5387fi0fhafobv31k/-FJPG/IHRM-068_DET_5.jpg;https://dd3ka9h4chfr8.cloudfront.net/image/725136000567/image_1l4ebbgent3tj5p1dl9fjs896d/-FJPG/IHRM-068_DET_6.jpg;https://dd3ka9h4chfr8.cloudfront.net/image/725136000567/image_9d47dlc8lt37v8hc42t63jve2o/-FJPG/IHRM-068_DET_7.jpg;https://dd3ka9h4chfr8.cloudfront.net/image/725136000567/image_9091gbodkp27fd3ji6grj8jm7i/-FJPG/IHRM-068_DET_8.jpg;https://dd3ka9h4chfr8.cloudfront.net/image/725136000567/image_7o29e63ehh7dfcgphjgqj9cv2m/-FJPG/IHRM-068_DET_9.jpg;https://dd3ka9h4chfr8.cloudfront.net/image/725136000567/image_rtf1ip21e17jn0k2hsnm8ief13/-FJPG/IHRM-068_ROM_1.jpg;https://dd3ka9h4chfr8.cloudfront.net/image/725136000567/image_6lps9m11f50fjdoa5onjd2m370/-FJPG/IHRM-068_OPN_2.jpg</t>
  </si>
  <si>
    <t>IHRM-068</t>
  </si>
  <si>
    <t>176.4</t>
  </si>
  <si>
    <t>https://dd3ka9h4chfr8.cloudfront.net/image/725136000567/image_g5s6v45u0d0hj132s155qc3a3r/-FJPG/IHRM-068_FRT_1.jpg</t>
  </si>
  <si>
    <t>Rich, reclaimed woods deliver depth beyond streamlined shaping. Warm brown tones reveal natural knots and graining for a distinctively found feel. Spacious drawers are concealed to serve up this coffee tableâ€™s finest features. Plinth base adds a modern touch.</t>
  </si>
  <si>
    <t>{"value":208.56,"unit":"lb"}</t>
  </si>
  <si>
    <t>Undermount Wood</t>
  </si>
  <si>
    <t>Duncan Trunk</t>
  </si>
  <si>
    <t>https://dd3ka9h4chfr8.cloudfront.net/image/725136000567/image_2iitqaun597o93v218dca5f95r/-FJPG/IHRM-156_FRT_1.jpg;https://dd3ka9h4chfr8.cloudfront.net/image/725136000567/image_k09qejeppd5pvbagfks5ubqs45/-FJPG/IHRM-156_PRM_1.jpg;https://dd3ka9h4chfr8.cloudfront.net/image/725136000567/image_t6nhmklib11rn353192uclvn0a/-FJPG/IHRM-156_SID_1.jpg;https://dd3ka9h4chfr8.cloudfront.net/image/725136000567/image_akmncpp5bh0cbb6oq1p262v662/-FJPG/IHRM-156_ESS_1.jpg;https://dd3ka9h4chfr8.cloudfront.net/image/725136000567/image_4dpfscs7th69525bkfsm8ps26i/-FJPG/IHRM-156_DET_2.jpg;https://dd3ka9h4chfr8.cloudfront.net/image/725136000567/image_m2qmgh29155pl5k53u3diu0957/-FJPG/IHRM-156_DET_1.jpg;https://dd3ka9h4chfr8.cloudfront.net/image/725136000567/image_uej6hs4pbt5lre2l80fr0q7b74/-FJPG/IHRM-156_DET_3.jpg;https://dd3ka9h4chfr8.cloudfront.net/image/725136000567/image_asco66edtt7hb007n3cjlqcb45/-FJPG/IHRM-156_OPN_1.jpg;https://dd3ka9h4chfr8.cloudfront.net/image/725136000567/image_10vvsstoa90mbbdkk77uj5hb5r/-FJPG/IHRM-156_DET_4.jpg;https://dd3ka9h4chfr8.cloudfront.net/image/725136000567/image_6bt785d8b176763teiqibu3g6e/-FJPG/IHRM-156_DET_5.jpg;https://dd3ka9h4chfr8.cloudfront.net/image/725136000567/image_c7lgsj1ba13v9bt7r3jfh6og44/-FJPG/IHRM-156_OPN_2.jpg</t>
  </si>
  <si>
    <t>IHRM-156</t>
  </si>
  <si>
    <t>115.74</t>
  </si>
  <si>
    <t>https://dd3ka9h4chfr8.cloudfront.net/image/725136000567/image_2iitqaun597o93v218dca5f95r/-FJPG/IHRM-156_FRT_1.jpg</t>
  </si>
  <si>
    <t>63</t>
  </si>
  <si>
    <t>Trunks</t>
  </si>
  <si>
    <t>Rich, reclaimed woods deliver depth beyond streamlined shaping. Warm brown tones reveal natural knots and graining for a distinctively found feel. Spacious trunk space perfect in entryway or at the foot of the bed. Plinth base adds a modern touch.</t>
  </si>
  <si>
    <t>{"value":67,"unit":"in"}</t>
  </si>
  <si>
    <t>{"value":149.36,"unit":"lb"}</t>
  </si>
  <si>
    <t>Durham Dining Table</t>
  </si>
  <si>
    <t>https://dd3ka9h4chfr8.cloudfront.net/image/725136000567/image_6ue7bujtkh2fb7qakvnov2sm0r/-FJPG/CIMP-C52-BO_FRT_1.jpg;https://dd3ka9h4chfr8.cloudfront.net/image/725136000567/image_jgcqimliqh4qt2dfkjtgf27l7c/-FJPG/CIMP-C52-BO_PRM_1.jpg;https://dd3ka9h4chfr8.cloudfront.net/image/725136000567/image_k5ncahn9el2a906rii8dkt2960/-FJPG/CIMP-C52-BO_SID_1.jpg;https://dd3ka9h4chfr8.cloudfront.net/image/725136000567/image_fhnm4nf2mt09r2r5nqdtso4l16/-FJPG/CIMP-C52-BO_ESS_1.jpg;https://dd3ka9h4chfr8.cloudfront.net/image/725136000567/image_3ddvqcakj17056lvbd6e1ves4p/-FJPG/CIMP-C52-BO_DET_2.jpg;https://dd3ka9h4chfr8.cloudfront.net/image/725136000567/image_kd58anu1ah7o57s4mepa2bq821/-FJPG/CIMP-C52-BO_DET_1.jpg;https://dd3ka9h4chfr8.cloudfront.net/image/725136000567/image_qel1q1clep47754utrpr8tpb6n/-FJPG/CIMP-C52-BO_DET_3.jpg;https://dd3ka9h4chfr8.cloudfront.net/image/725136000567/image_ca1hd182j13qp696333r827r0v/-FJPG/CIMP-C52-BO_ROM_1.jpg;https://dd3ka9h4chfr8.cloudfront.net/image/725136000567/image_354an25q9d5ah178jdcli4182c/-FJPG/CIMP-C52-BO_ROM_2.jpg;https://dd3ka9h4chfr8.cloudfront.net/image/725136000567/image_q0adrbts616ibfb1potevv0o7t/-FJPG/CIMP-C52-BO_ROM_3.jpg</t>
  </si>
  <si>
    <t>Waxed Bleached Reclaimed Pine</t>
  </si>
  <si>
    <t>CIMP-C52-BO</t>
  </si>
  <si>
    <t>220.46</t>
  </si>
  <si>
    <t>https://dd3ka9h4chfr8.cloudfront.net/image/725136000567/image_6ue7bujtkh2fb7qakvnov2sm0r/-FJPG/CIMP-C52-BO_FRT_1.jpg</t>
  </si>
  <si>
    <t>["Solid Reclaimed Pine","Solid Pine"]</t>
  </si>
  <si>
    <t>Turned trestle legs and a thick, honey-finished pine table top create a fine-dining focal point. Reclaimed woods are bleached to remove years of paint and stain, then finished with a neutral stain, soft lacquer, and layers of wax.</t>
  </si>
  <si>
    <t>{"value":81.13,"unit":"lb"}</t>
  </si>
  <si>
    <t>{"value":114.17,"unit":"in"}</t>
  </si>
  <si>
    <t>{"value":5.31,"unit":"in"}</t>
  </si>
  <si>
    <t>{"value":47.44,"unit":"in"}</t>
  </si>
  <si>
    <t>{"value":181,"unit":"lb"}</t>
  </si>
  <si>
    <t>Durham</t>
  </si>
  <si>
    <t>74.02"</t>
  </si>
  <si>
    <t>33.46"</t>
  </si>
  <si>
    <t>87.40"</t>
  </si>
  <si>
    <t>Dustin Chair</t>
  </si>
  <si>
    <t>https://dd3ka9h4chfr8.cloudfront.net/image/725136000567/image_jrb4nqqqe12sp4d9hdml7ch50k/-FJPG/231320-001_FRT_1.jpg;https://dd3ka9h4chfr8.cloudfront.net/image/725136000567/image_o3c3h4ek6l68l5fnui1hbs4p2i/-FJPG/231320-001_PRM_1.jpg;https://dd3ka9h4chfr8.cloudfront.net/image/725136000567/image_94u7v0jpbp5j9eudajliiau72s/-FJPG/231320-001_SID_1.jpg;https://dd3ka9h4chfr8.cloudfront.net/image/725136000567/image_bnqkfj6nhd3p99tq9dt4o39k6v/-FJPG/231320-001_ESS.tif;https://dd3ka9h4chfr8.cloudfront.net/image/725136000567/image_60o74gkjmd0qb9kri7pdufk64g/-FJPG/231320-001_DET_2.jpg;https://dd3ka9h4chfr8.cloudfront.net/image/725136000567/image_pkm8d561dt2u9e9os2ljrdbi5l/-FJPG/231320-001_BCK_1.jpg;https://dd3ka9h4chfr8.cloudfront.net/image/725136000567/image_sll36nijch4abcbgt5dq2n092q/-FJPG/Color Variance Card_Palermo Cognac.jpg;https://dd3ka9h4chfr8.cloudfront.net/image/725136000567/image_ns0n5d791t5pvdgid4ju6vbm0n/-FJPG/231320-001_DET_1.jpg;https://dd3ka9h4chfr8.cloudfront.net/image/725136000567/image_gaun1v08sh2v58mqg591cqbe2t/-FJPG/231320-001_DET_3.jpg;https://dd3ka9h4chfr8.cloudfront.net/image/725136000567/image_btqv88shed4952i0d815g3k77n/-FJPG/231320-001_DET_4.jpg;https://dd3ka9h4chfr8.cloudfront.net/image/725136000567/image_5sdovhn8i97mlbas2ajd2off1m/-FJPG/231320-001_DET_5.jpg;https://dd3ka9h4chfr8.cloudfront.net/image/725136000567/image_rce4hsubi50435q1kecubq0f15/-FJPG/231320-001_ROM_1.jpg</t>
  </si>
  <si>
    <t>231320-001</t>
  </si>
  <si>
    <t>56.44</t>
  </si>
  <si>
    <t>https://dd3ka9h4chfr8.cloudfront.net/image/725136000567/image_jrb4nqqqe12sp4d9hdml7ch50k/-FJPG/231320-001_FRT_1.jpg</t>
  </si>
  <si>
    <t>["Top Grain Leather","Solid Ash","100% Polyester"]</t>
  </si>
  <si>
    <t>38.25</t>
  </si>
  <si>
    <t>Umber Ash</t>
  </si>
  <si>
    <t>Tan Rope</t>
  </si>
  <si>
    <t>Vintage sling seating gets a Brazilian midcentury update. Exposed frame is crafted from solid ash and accented with thick rope that suspends sling seating. Upholstered in 100% top-grain leather in cognac for a monochromatic look. Loose feather-blend cushions offer plush sink-in comfort.</t>
  </si>
  <si>
    <t>{"value":73.55,"unit":"lb"}</t>
  </si>
  <si>
    <t>42% Polyurethane Foam Pad, 30% Polyester Fiber Batting, 28% Waterfowl Feather</t>
  </si>
  <si>
    <t>Dustin</t>
  </si>
  <si>
    <t>36.25"</t>
  </si>
  <si>
    <t>31.95"</t>
  </si>
  <si>
    <t>66% Polyurethane Foam Pad, 34% Polyester Fiber</t>
  </si>
  <si>
    <t>Dylan Chair</t>
  </si>
  <si>
    <t>https://dd3ka9h4chfr8.cloudfront.net/image/725136000567/image_6mfhcphg9532rc8taorf9is36e/-FJPG/106139-009_FRT_1.jpg;https://dd3ka9h4chfr8.cloudfront.net/image/725136000567/image_sb03uk21r53id7ptsqnnmsn33e/-FJPG/106139-009_PRM_1.jpg;https://dd3ka9h4chfr8.cloudfront.net/image/725136000567/image_64oniof8094sd5foh4l2qpan64/-FJPG/106139-009_SID_1.jpg;https://dd3ka9h4chfr8.cloudfront.net/image/725136000567/image_jsb2rnru3906lcp3p26skqna09/-FJPG/106139-009_DET_2.jpg;https://dd3ka9h4chfr8.cloudfront.net/image/725136000567/image_ru1jvbs43d5e5es8bgvabpm34a/-FJPG/106139-009_BCK_1.jpg;https://dd3ka9h4chfr8.cloudfront.net/image/725136000567/image_cigs7neqph06veba2k0ffpm16o/-FJPG/106139-009_DET_1.jpg;https://dd3ka9h4chfr8.cloudfront.net/image/725136000567/image_b30n4ub645589cj8tja7opul5b/-FJPG/106139-009_DET_3.jpg;https://dd3ka9h4chfr8.cloudfront.net/image/725136000567/image_dpt3rl98017272v4i6unugvt40/-FJPG/106139-009_DET_4.jpg;https://dd3ka9h4chfr8.cloudfront.net/image/725136000567/image_v5ce6d65cl25b5ti4lr74i051d/-FJPG/106139-009_DET_5.jpg;https://dd3ka9h4chfr8.cloudfront.net/image/725136000567/image_cmp5d5mp2d4vtce12n3f3lb652/-FJPG/106139-009_DET_6.jpg</t>
  </si>
  <si>
    <t>106139-009</t>
  </si>
  <si>
    <t>57.54</t>
  </si>
  <si>
    <t>https://dd3ka9h4chfr8.cloudfront.net/image/725136000567/image_6mfhcphg9532rc8taorf9is36e/-FJPG/106139-009_FRT_1.jpg</t>
  </si>
  <si>
    <t>25.25</t>
  </si>
  <si>
    <t>{"value":25.25,"unit":"in"}</t>
  </si>
  <si>
    <t>{"value":36.02,"unit":"in"}</t>
  </si>
  <si>
    <t>{"value":71.21,"unit":"lb"}</t>
  </si>
  <si>
    <t>Dylan</t>
  </si>
  <si>
    <t>26.57"</t>
  </si>
  <si>
    <t>31.12"</t>
  </si>
  <si>
    <t>30.91"</t>
  </si>
  <si>
    <t>34.75"</t>
  </si>
  <si>
    <t>https://dd3ka9h4chfr8.cloudfront.net/image/725136000567/image_qkvhkeqfmh6hb8906df98b5l7j/-FJPG/CKEN-52C-557_FRT_1.jpg;https://dd3ka9h4chfr8.cloudfront.net/image/725136000567/image_mbm4aiv5mp1pv4r4k9njesvs3r/-FJPG/CKEN-52C-557_PRM_1.jpg;https://dd3ka9h4chfr8.cloudfront.net/image/725136000567/image_ok2t3tdcuh0t773hbn2gh1nj64/-FJPG/CKEN-52C-557_SID_1.jpg;https://dd3ka9h4chfr8.cloudfront.net/image/725136000567/image_esuns35t8t6t9fi84rfmh99u5d/-FJPG/CKEN-52C-557_DET_2.jpg;https://dd3ka9h4chfr8.cloudfront.net/image/725136000567/image_ke2jo8ebv93jre65ujvdtoe52o/-FJPG/CKEN-52C-557_BCK_1.jpg;https://dd3ka9h4chfr8.cloudfront.net/image/725136000567/image_b9enbnb2r157j3cp6accm8h64a/-FJPG/CKEN-52C-557_DET_1.jpg;https://dd3ka9h4chfr8.cloudfront.net/image/725136000567/image_4e19jgjoh54gb895o3spd4cr6k/-FJPG/CKEN-52C-557_DET_3.jpg;https://dd3ka9h4chfr8.cloudfront.net/image/725136000567/image_5vnh4afnfd6rhbt1msg7smel6h/-FJPG/CKEN-52C-557_DET_4.jpg;https://dd3ka9h4chfr8.cloudfront.net/image/725136000567/image_3o0c8kfdil1ap7f6ck2f6k494r/-FJPG/CKEN-52C-557_DET_5.jpg;https://dd3ka9h4chfr8.cloudfront.net/image/725136000567/image_r638g42us92rr72c7g28d5s91j/-FJPG/CKEN-52C-557_DET_6.jpg;https://dd3ka9h4chfr8.cloudfront.net/image/725136000567/image_lemrict6bt4tf7mg4ii9i2is4l/-FJPG/CKEN-52C-557_DET_7.jpg</t>
  </si>
  <si>
    <t>Sapphire Olive</t>
  </si>
  <si>
    <t>CKEN-52C-557</t>
  </si>
  <si>
    <t>https://dd3ka9h4chfr8.cloudfront.net/image/725136000567/image_qkvhkeqfmh6hb8906df98b5l7j/-FJPG/CKEN-52C-557_FRT_1.jpg</t>
  </si>
  <si>
    <t>["95% Polyester","5% Cotton","Solid Parawood"]</t>
  </si>
  <si>
    <t>Aspen Grey</t>
  </si>
  <si>
    <t>A low, spacious mid-century silhouette is covered in velvety upholstery in an intriguing sapphire olive, with blind tufting.</t>
  </si>
  <si>
    <t>Dylan Chaise Lounge</t>
  </si>
  <si>
    <t>https://dd3ka9h4chfr8.cloudfront.net/image/725136000567/image_vehr88ge7939568bt080654h6u/-FJPG/105997-012_FRT_1.jpg;https://dd3ka9h4chfr8.cloudfront.net/image/725136000567/image_u5fmehlkqt5rp4veto6kbf157q/-FJPG/105997-012_PRM_1.jpg;https://dd3ka9h4chfr8.cloudfront.net/image/725136000567/image_s6ufkgk5g165bc7ri60qhsl655/-FJPG/105997-012_SID_1.jpg;https://dd3ka9h4chfr8.cloudfront.net/image/725136000567/image_aoeil628052td5igth5pgah25p/-FJPG/105997-012_ESS.tif;https://dd3ka9h4chfr8.cloudfront.net/image/725136000567/image_njhs5o47sh4m58lefuogqo0a4k/-FJPG/105997-012_DET_2.jpg;https://dd3ka9h4chfr8.cloudfront.net/image/725136000567/image_svr55ocl913bfdinebm4n1305n/-FJPG/105997-012_BCK_1.jpg;https://dd3ka9h4chfr8.cloudfront.net/image/725136000567/image_5iq104800p4p59fu6q2qq3353d/-FJPG/105997-012_DET_1.jpg;https://dd3ka9h4chfr8.cloudfront.net/image/725136000567/image_sgcsqhf2hh2sb2las2op2isn70/-FJPG/105997-012_DET_3.jpg;https://dd3ka9h4chfr8.cloudfront.net/image/725136000567/image_tb84a2q2r150j1fitdgdr6jl32/-FJPG/105997-012_DET_4.jpg;https://dd3ka9h4chfr8.cloudfront.net/image/725136000567/image_6qvja05t6130f25tqa8jsorq72/-FJPG/105997-012_DET_5.jpg;https://dd3ka9h4chfr8.cloudfront.net/image/725136000567/image_onds7mpn852s1143hf3pooco41/-FJPG/105997-012_DET_6.jpg;https://dd3ka9h4chfr8.cloudfront.net/image/725136000567/image_i6km11lmbp7d7cqhakb3t1fn1s/-FJPG/105997-012_DET_9.tif</t>
  </si>
  <si>
    <t>105997-012</t>
  </si>
  <si>
    <t>113.54</t>
  </si>
  <si>
    <t>https://dd3ka9h4chfr8.cloudfront.net/image/725136000567/image_vehr88ge7939568bt080654h6u/-FJPG/105997-012_FRT_1.jpg</t>
  </si>
  <si>
    <t>A low, spacious midcentury-style chaise is upholstered in an beautifully versatile tan top-grain leather, with blind tufting for texture.</t>
  </si>
  <si>
    <t>Complete Item/L-Shape Box</t>
  </si>
  <si>
    <t>58.00"</t>
  </si>
  <si>
    <t>https://dd3ka9h4chfr8.cloudfront.net/image/725136000567/image_v81hpbo2912kj8u30keqi0vg7k/-FJPG/CKEN-154C-557_FRT_1.jpg;https://dd3ka9h4chfr8.cloudfront.net/image/725136000567/image_33r6d4tk5l4k33fkvpj5ssvq7n/-FJPG/CKEN-154C-557_PRM_1.jpg;https://dd3ka9h4chfr8.cloudfront.net/image/725136000567/image_3in978h39174feepifeqq64812/-FJPG/CKEN-154C-557_SID_1.jpg;https://dd3ka9h4chfr8.cloudfront.net/image/725136000567/image_1fgl20561l27d5csbi2mbdf028/-FJPG/CKEN-154C-557_DET_2.jpg;https://dd3ka9h4chfr8.cloudfront.net/image/725136000567/image_h3glrnofj11ad534pc73gt0057/-FJPG/CKEN-154C-557_BCK_1.jpg;https://dd3ka9h4chfr8.cloudfront.net/image/725136000567/image_elh0frf2kt6qh3og98l4qa124s/-FJPG/CKEN-154C-557_DET_1.jpg;https://dd3ka9h4chfr8.cloudfront.net/image/725136000567/image_o2vsekh54168779t5s15tru33m/-FJPG/CKEN-154C-557_DET_3.jpg;https://dd3ka9h4chfr8.cloudfront.net/image/725136000567/image_duq066uj315ff3bkd25om8ol52/-FJPG/CKEN-154C-557_DET_4.jpg;https://dd3ka9h4chfr8.cloudfront.net/image/725136000567/image_0tm9jd5nbl01rbvpcjqae4r450/-FJPG/CKEN-154C-557_DET_5.jpg;https://dd3ka9h4chfr8.cloudfront.net/image/725136000567/image_2b4m7sg8g12vj7oh1vahbqe56g/-FJPG/CKEN-154C-557_DET_6.jpg;https://dd3ka9h4chfr8.cloudfront.net/image/725136000567/image_0e0c4ivbm555neoichgipg1v2c/-FJPG/CKEN-154C-557_DET_7.jpg;https://dd3ka9h4chfr8.cloudfront.net/image/725136000567/image_1dcqh55vvd16tb659e5amq803t/-FJPG/CKEN-154C-557_ROM_1.jpg</t>
  </si>
  <si>
    <t>CKEN-154C-557</t>
  </si>
  <si>
    <t>https://dd3ka9h4chfr8.cloudfront.net/image/725136000567/image_v81hpbo2912kj8u30keqi0vg7k/-FJPG/CKEN-154C-557_FRT_1.jpg</t>
  </si>
  <si>
    <t>A low, spacious mid-century chaise silhouette is covered in velvety upholstery in an intriguing sapphire olive, with blind tufting.</t>
  </si>
  <si>
    <t>Dylan Sofa</t>
  </si>
  <si>
    <t>https://dd3ka9h4chfr8.cloudfront.net/image/725136000567/image_tp51mq0j1l4s74e4hmnbf7291s/-FJPG/106172-018_FRT_1.jpg;https://dd3ka9h4chfr8.cloudfront.net/image/725136000567/image_bdnsi3sto90qtcocoevdhctl5s/-FJPG/106172-018_PRM_1.jpg;https://dd3ka9h4chfr8.cloudfront.net/image/725136000567/image_f3trvfuucd4q13dvf9h4m3ol0s/-FJPG/106172-018_SID_1.jpg;https://dd3ka9h4chfr8.cloudfront.net/image/725136000567/image_5jblr05s4d1rp7p6urpmqedv7b/-FJPG/106172-018_DET_2.jpg;https://dd3ka9h4chfr8.cloudfront.net/image/725136000567/image_lqkno9kgg15lffi7q6tve3lu14/-FJPG/106172-018_BCK_1.jpg;https://dd3ka9h4chfr8.cloudfront.net/image/725136000567/image_lj3thftb1d2pf341ebl0bjmn60/-FJPG/106172-018_DET_1.jpg;https://dd3ka9h4chfr8.cloudfront.net/image/725136000567/image_1e2j3064d94th84t506i34h53h/-FJPG/106172-018_DET_3.jpg;https://dd3ka9h4chfr8.cloudfront.net/image/725136000567/image_7t4rl2f8q90fd9bd0qq9kt9p0r/-FJPG/106172-018_DET_4.jpg;https://dd3ka9h4chfr8.cloudfront.net/image/725136000567/image_khaung3t8d0955f27ial0pbs1g/-FJPG/106172-018_DET_5.jpg;https://dd3ka9h4chfr8.cloudfront.net/image/725136000567/image_eqfajl7f194c92bqeq2ie0sg0j/-FJPG/106172-018_DET_6.jpg;https://dd3ka9h4chfr8.cloudfront.net/image/725136000567/image_r2knld1o9l3rj6s19obm31rn77/-FJPG/106172-018_DET_7.jpg;https://dd3ka9h4chfr8.cloudfront.net/image/725136000567/image_14v1rlq6fp4b1f964o2ssno052/-FJPG/106172-018_DET_8.jpg</t>
  </si>
  <si>
    <t>Kerbey Taupe</t>
  </si>
  <si>
    <t>106172-018</t>
  </si>
  <si>
    <t>https://dd3ka9h4chfr8.cloudfront.net/image/725136000567/image_tp51mq0j1l4s74e4hmnbf7291s/-FJPG/106172-018_FRT_1.jpg</t>
  </si>
  <si>
    <t>91.25</t>
  </si>
  <si>
    <t>{"value":91.25,"unit":"in"}</t>
  </si>
  <si>
    <t>{"value":90.55,"unit":"in"}</t>
  </si>
  <si>
    <t>{"value":139.99,"unit":"lb"}</t>
  </si>
  <si>
    <t>86.25"</t>
  </si>
  <si>
    <t>91.25"</t>
  </si>
  <si>
    <t>https://dd3ka9h4chfr8.cloudfront.net/image/725136000567/image_3m9ju1fnnh50h8kksbbdg0bv61/-FJPG/106172-017_FRT_1.jpg;https://dd3ka9h4chfr8.cloudfront.net/image/725136000567/image_c0cjla3g15771et9ab6pudkh6j/-FJPG/106172-017_PRM_1.jpg;https://dd3ka9h4chfr8.cloudfront.net/image/725136000567/image_e99j57fdit2mh9iscnbjdme04l/-FJPG/106172-017_SID_1.jpg;https://dd3ka9h4chfr8.cloudfront.net/image/725136000567/image_6jm5b3on3114f7drrlsvnb0b3r/-FJPG/106172-017_DET_2.jpg;https://dd3ka9h4chfr8.cloudfront.net/image/725136000567/image_eeafj1k84h5bldi94tevn5922r/-FJPG/106172-017_BCK_1.jpg;https://dd3ka9h4chfr8.cloudfront.net/image/725136000567/image_mmv57bjujt75j0nh06boe0a73t/-FJPG/106172-017_DET_1.jpg;https://dd3ka9h4chfr8.cloudfront.net/image/725136000567/image_u8f30bakih2o38c4j0jmnv8e1u/-FJPG/106172-017_DET_3.jpg;https://dd3ka9h4chfr8.cloudfront.net/image/725136000567/image_6c1pnqcms96pd3igcmdm0eef2b/-FJPG/106172-017_DET_4.jpg;https://dd3ka9h4chfr8.cloudfront.net/image/725136000567/image_2muvv7nrf965j9afilv7du6o3h/-FJPG/106172-017_DET_5.jpg;https://dd3ka9h4chfr8.cloudfront.net/image/725136000567/image_devcl9jjs17p9fbcrlmdqe520r/-FJPG/106172-017_DET_6.jpg;https://dd3ka9h4chfr8.cloudfront.net/image/725136000567/image_pj04p3vut51bnfmscnd6ae1d2f/-FJPG/106172-017_DET_7.jpg;https://dd3ka9h4chfr8.cloudfront.net/image/725136000567/image_knqjqpa0pl2g1dne9t4kpjv60i/-FJPG/106172-017_DET_8.jpg;https://dd3ka9h4chfr8.cloudfront.net/image/725136000567/image_bkfskj7gu53lfehrnduo709c7g/-FJPG/106172-017_DET_9.tif;https://dd3ka9h4chfr8.cloudfront.net/image/725136000567/image_pk7esnaa7172f5pci69qantd4s/-FJPG/106172-017_DET_9.jpg;https://dd3ka9h4chfr8.cloudfront.net/image/725136000567/image_saa973b3e5359fp8soukh0tb23/-FJPG/106172-017_DET_10.tif;https://dd3ka9h4chfr8.cloudfront.net/image/725136000567/image_sbrhqcf2k907f727bo6vj57n5u/-FJPG/106172-017_ESS.tif</t>
  </si>
  <si>
    <t>106172-017</t>
  </si>
  <si>
    <t>https://dd3ka9h4chfr8.cloudfront.net/image/725136000567/image_3m9ju1fnnh50h8kksbbdg0bv61/-FJPG/106172-017_FRT_1.jpg</t>
  </si>
  <si>
    <t>https://dd3ka9h4chfr8.cloudfront.net/image/725136000567/image_btdf2q1bqp6hfdvmu7pmmg053t/-FJPG/CKEN-F7C-396_FRT_1.jpg;https://dd3ka9h4chfr8.cloudfront.net/image/725136000567/image_a9rt2cmu7h2b90od9ajmcljb4q/-FJPG/CKEN-F7C-396_PRM_1.jpg;https://dd3ka9h4chfr8.cloudfront.net/image/725136000567/image_pa68ru9ent6jf8rs8jhd912d73/-FJPG/CKEN-F7C-396_SID_1.jpg;https://dd3ka9h4chfr8.cloudfront.net/image/725136000567/image_gt6qh8lvsh3opbnp4p1surmj4d/-FJPG/CKEN-F7C-396_DET_2.jpg;https://dd3ka9h4chfr8.cloudfront.net/image/725136000567/image_5g6unkk6rt3d99c9gj88spnb6a/-FJPG/CKEN-F7C-396_BCK_1.jpg;https://dd3ka9h4chfr8.cloudfront.net/image/725136000567/image_874hdsm9bd3i96m3d98r0j6a50/-FJPG/CKEN-F7C-396_DET_1.jpg;https://dd3ka9h4chfr8.cloudfront.net/image/725136000567/image_5sssp7raal7qtbnddratdla543/-FJPG/CKEN-F7C-396_DET_3.jpg;https://dd3ka9h4chfr8.cloudfront.net/image/725136000567/image_gvmto3plmt4d9cjd2hqu498d7u/-FJPG/CKEN-F7C-396_ROM_1.jpg</t>
  </si>
  <si>
    <t>CKEN-F7C-396</t>
  </si>
  <si>
    <t>https://dd3ka9h4chfr8.cloudfront.net/image/725136000567/image_btdf2q1bqp6hfdvmu7pmmg053t/-FJPG/CKEN-F7C-396_FRT_1.jpg</t>
  </si>
  <si>
    <t>https://dd3ka9h4chfr8.cloudfront.net/image/725136000567/image_k4c27l5jvd0hrfk9qu2kjet16k/-FJPG/106172-012_FRT_1.jpg;https://dd3ka9h4chfr8.cloudfront.net/image/725136000567/image_mh8sic351t1a7dfm5riomj1g3c/-FJPG/106172-012_PRM_1.jpg;https://dd3ka9h4chfr8.cloudfront.net/image/725136000567/image_4iante16p57p18bm9u3e6i427q/-FJPG/106172-012_SID_1.jpg;https://dd3ka9h4chfr8.cloudfront.net/image/725136000567/image_ts4g29q1414637cuh92joqd507/-FJPG/106172-012_DET_2.jpg;https://dd3ka9h4chfr8.cloudfront.net/image/725136000567/image_up2fr4ds7t7h7f0neaunkk0s6u/-FJPG/106172-012_BCK_1.jpg;https://dd3ka9h4chfr8.cloudfront.net/image/725136000567/image_cs8mvr5ib932t4satjsnk1no1q/-FJPG/106172-012_DET_1.jpg;https://dd3ka9h4chfr8.cloudfront.net/image/725136000567/image_gos110rdpt5b97tig4qggnab6k/-FJPG/106172-012_DET_3.jpg;https://dd3ka9h4chfr8.cloudfront.net/image/725136000567/image_514k2l04490i3abbr3s7g0bs1s/-FJPG/106172-012_DET_4.jpg;https://dd3ka9h4chfr8.cloudfront.net/image/725136000567/image_8nhtt2iqr94dvbssi3tjta6k60/-FJPG/106172-012_DET_5.jpg;https://dd3ka9h4chfr8.cloudfront.net/image/725136000567/image_mjfbjsjdfh0v9e51eua47hmp3h/-FJPG/106172-012_DET_6.jpg</t>
  </si>
  <si>
    <t>106172-012</t>
  </si>
  <si>
    <t>https://dd3ka9h4chfr8.cloudfront.net/image/725136000567/image_k4c27l5jvd0hrfk9qu2kjet16k/-FJPG/106172-012_FRT_1.jpg</t>
  </si>
  <si>
    <t>https://dd3ka9h4chfr8.cloudfront.net/image/725136000567/image_msfuo0m6d53rd2an6lh3ud4k59/-FJPG/CKEN-E1C-557_FRT_1.jpg;https://dd3ka9h4chfr8.cloudfront.net/image/725136000567/image_hdj0lmp70p33b0rjp151fipr4l/-FJPG/CKEN-E1C-557_PRM_1.jpg;https://dd3ka9h4chfr8.cloudfront.net/image/725136000567/image_8bhp6pv7l52jleinr4qa8t4j5u/-FJPG/CKEN-E1C-557_SID_1.jpg;https://dd3ka9h4chfr8.cloudfront.net/image/725136000567/image_lssq1ketrh47781892okjqus4h/-FJPG/CKEN-E1C-557_ESS_1.jpg;https://dd3ka9h4chfr8.cloudfront.net/image/725136000567/image_1t2kkmpiit23tal6sfr0krkv5l/-FJPG/CKEN-E1C-557_DET_2.jpg;https://dd3ka9h4chfr8.cloudfront.net/image/725136000567/image_odtfl8n3u95b1ct7qi1dm87s2e/-FJPG/CKEN-E1C-557_BCK_1.jpg;https://dd3ka9h4chfr8.cloudfront.net/image/725136000567/image_bvtcrnr74h5sh558vj67l3c96f/-FJPG/CKEN-E1C-557_DET_1.jpg;https://dd3ka9h4chfr8.cloudfront.net/image/725136000567/image_io2sgro07d4vreg8ltafccmo6a/-FJPG/CKEN-E1C-557_DET_3.jpg;https://dd3ka9h4chfr8.cloudfront.net/image/725136000567/image_3br93t66ul7o9culcp1r2a903i/-FJPG/CKEN-E1C-557_DET_4.jpg;https://dd3ka9h4chfr8.cloudfront.net/image/725136000567/image_ek9aa0h7dh57ff3gha43scp71m/-FJPG/CKEN-E1C-557_DET_5.jpg;https://dd3ka9h4chfr8.cloudfront.net/image/725136000567/image_07lrp3riot2r5etbjgiap5em4u/-FJPG/CKEN-E1C-557_DET_6.jpg;https://dd3ka9h4chfr8.cloudfront.net/image/725136000567/image_t00m61n8id665854fs9dq91h00/-FJPG/CKEN-E1C-557_DET_7.jpg;https://dd3ka9h4chfr8.cloudfront.net/image/725136000567/image_ko2d9e34rt17r721vdu36q1s22/-FJPG/CKEN-E1C-557_DET_8.jpg;https://dd3ka9h4chfr8.cloudfront.net/image/725136000567/image_tbeumtk5ch76d6o77160o11513/-FJPG/CKEN-E1C-557_DET_9.jpg;https://dd3ka9h4chfr8.cloudfront.net/image/725136000567/image_4k4sitjv1l0srakqfraqs5dl40/-FJPG/CKEN-E1C-557_ROM_1.jpg</t>
  </si>
  <si>
    <t>CKEN-E1C-557</t>
  </si>
  <si>
    <t>https://dd3ka9h4chfr8.cloudfront.net/image/725136000567/image_msfuo0m6d53rd2an6lh3ud4k59/-FJPG/CKEN-E1C-557_FRT_1.jpg</t>
  </si>
  <si>
    <t>Eaton 5 Drawer Dresser</t>
  </si>
  <si>
    <t>https://dd3ka9h4chfr8.cloudfront.net/image/725136000567/image_bpls39tam10o75hp0ngub6a72e/-FJPG/109284-002_FRT_1.jpg;https://dd3ka9h4chfr8.cloudfront.net/image/725136000567/image_i0lgkmf96t6h12q4sqn37u3a3r/-FJPG/109284-002_PRM_1.jpg;https://dd3ka9h4chfr8.cloudfront.net/image/725136000567/image_frj5r9bvdl2f5dmfpjnu4s9a3o/-FJPG/109284-002_SID_1.jpg;https://dd3ka9h4chfr8.cloudfront.net/image/725136000567/image_0dgh0ob6v12db61cntk6qr5c2d/-FJPG/109284-002_ESS_1.jpg;https://dd3ka9h4chfr8.cloudfront.net/image/725136000567/image_bcgpg3pb2p1jne397fld0uk26n/-FJPG/109284-002_DET_2.jpg;https://dd3ka9h4chfr8.cloudfront.net/image/725136000567/image_tls14at4v57ghafnus1j7hvg4v/-FJPG/109284-002_BCK_1.jpg;https://dd3ka9h4chfr8.cloudfront.net/image/725136000567/image_lfigd4of1p1pt947b1321b8m7g/-FJPG/109284-002_DET_1.jpg;https://dd3ka9h4chfr8.cloudfront.net/image/725136000567/image_5v1qu0d0nd2krc0cq8pnvhnt4e/-FJPG/109284-002_DET_3.jpg;https://dd3ka9h4chfr8.cloudfront.net/image/725136000567/image_4vocir219l1e50vgr3pbvl6m0h/-FJPG/109284-002_OPN_1.jpg;https://dd3ka9h4chfr8.cloudfront.net/image/725136000567/image_57mdnr2qud3nt4icik513h5j3a/-FJPG/109284-002_DET_4.jpg;https://dd3ka9h4chfr8.cloudfront.net/image/725136000567/image_4hil51n66t64r236gm2lmiqi3u/-FJPG/109284-002_DET_5.jpg;https://dd3ka9h4chfr8.cloudfront.net/image/725136000567/image_k60ajatni15av5rn15ipbl9m5e/-FJPG/109284-002_DET_6.jpg;https://dd3ka9h4chfr8.cloudfront.net/image/725136000567/image_c61o3uos996s3ac2ehh8i2cl3l/-FJPG/109284-002_DET_7.jpg;https://dd3ka9h4chfr8.cloudfront.net/image/725136000567/image_qonmbkm8kp7bv8v0btftftpj7q/-FJPG/109284-002_DET_8.jpg</t>
  </si>
  <si>
    <t>Amber Oak Resin</t>
  </si>
  <si>
    <t>109284-002</t>
  </si>
  <si>
    <t>177.47</t>
  </si>
  <si>
    <t>https://dd3ka9h4chfr8.cloudfront.net/image/725136000567/image_bpls39tam10o75hp0ngub6a72e/-FJPG/109284-002_FRT_1.jpg</t>
  </si>
  <si>
    <t>46.5</t>
  </si>
  <si>
    <t>{"value":46.5,"unit":"in"}</t>
  </si>
  <si>
    <t>Dark Gunmetal</t>
  </si>
  <si>
    <t>This item has been modified to comply with the STURDY Act. See a full list of modified products and data changes in the â€œSTURDY Actâ€_x009d_ file in the Downloads section below.</t>
  </si>
  <si>
    <t>{"value":44.29,"unit":"in"}</t>
  </si>
  <si>
    <t>{"value":46.46,"unit":"in"}</t>
  </si>
  <si>
    <t>{"value":207.23,"unit":"lb"}</t>
  </si>
  <si>
    <t>Eaton</t>
  </si>
  <si>
    <t>6.65"</t>
  </si>
  <si>
    <t>36.85"</t>
  </si>
  <si>
    <t>Eaton 9 Drawer Dresser</t>
  </si>
  <si>
    <t>https://dd3ka9h4chfr8.cloudfront.net/image/725136000567/image_7d8olki07l27d01pem3dnt6i0j/-FJPG/109283-002_FRT_1.jpg;https://dd3ka9h4chfr8.cloudfront.net/image/725136000567/image_kkj6a1r4np1a99cskpetu6ei5e/-FJPG/109283-002_PRM_1.jpg;https://dd3ka9h4chfr8.cloudfront.net/image/725136000567/image_nni81mnsol53r5e81o6qqpdj1i/-FJPG/109283-002_SID_1.jpg;https://dd3ka9h4chfr8.cloudfront.net/image/725136000567/image_jhds7ocq4t6j3bhvm3lrb0cb34/-FJPG/109283-002_ESS_1.jpg;https://dd3ka9h4chfr8.cloudfront.net/image/725136000567/image_liro5tc0b10kd7tp8805glp92l/-FJPG/109283-002_DET_2.jpg;https://dd3ka9h4chfr8.cloudfront.net/image/725136000567/image_ubc1km445p66v0g7brsjt3ro28/-FJPG/109283-002_BCK_1.jpg;https://dd3ka9h4chfr8.cloudfront.net/image/725136000567/image_rl5bn2lrfp3qh0omv1v22umc0j/-FJPG/109283-002_DET_1.jpg;https://dd3ka9h4chfr8.cloudfront.net/image/725136000567/image_gn4v96pe8t35b6t9vte40qtg2d/-FJPG/109283-002_DET_3.jpg;https://dd3ka9h4chfr8.cloudfront.net/image/725136000567/image_7t4sq3f7651330nrt8qln3ef66/-FJPG/109283-002_OPN_1.jpg;https://dd3ka9h4chfr8.cloudfront.net/image/725136000567/image_e6hr8bkb9t4hfd7hbicua0fs1o/-FJPG/109283-002_DET_4.jpg;https://dd3ka9h4chfr8.cloudfront.net/image/725136000567/image_c2kcs462q93creu9papemmhq7l/-FJPG/109283-002_DET_5.jpg;https://dd3ka9h4chfr8.cloudfront.net/image/725136000567/image_8o7olr69993k53cu27n0t06p21/-FJPG/109283-002_DET_6.jpg;https://dd3ka9h4chfr8.cloudfront.net/image/725136000567/image_gqoug6a9jd4gfc3edko21dq10m/-FJPG/109283-002_DET_7.jpg</t>
  </si>
  <si>
    <t>109283-002</t>
  </si>
  <si>
    <t>200.62</t>
  </si>
  <si>
    <t>https://dd3ka9h4chfr8.cloudfront.net/image/725136000567/image_7d8olki07l27d01pem3dnt6i0j/-FJPG/109283-002_FRT_1.jpg</t>
  </si>
  <si>
    <t>65.5</t>
  </si>
  <si>
    <t>{"value":65.5,"unit":"in"}</t>
  </si>
  <si>
    <t>{"value":67.72,"unit":"in"}</t>
  </si>
  <si>
    <t>{"value":234.79,"unit":"lb"}</t>
  </si>
  <si>
    <t>5.28"</t>
  </si>
  <si>
    <t>15.20"</t>
  </si>
  <si>
    <t>Eaton Drum Coffee Table</t>
  </si>
  <si>
    <t>https://dd3ka9h4chfr8.cloudfront.net/image/725136000567/image_vqois717pl0nv56qr5825mjh4c/-FJPG/228346-001_FRT_1.jpg;https://dd3ka9h4chfr8.cloudfront.net/image/725136000567/image_6fee2hct9h4o39eqi2ppsif46s/-FJPG/228346-001_PRM_1.jpg;https://dd3ka9h4chfr8.cloudfront.net/image/725136000567/image_iq5uosa0t94sh0njf8lekofj7h/-FJPG/228346-001_DET_2.jpg;https://dd3ka9h4chfr8.cloudfront.net/image/725136000567/image_2tibuflk6t2knaom55rm73kj35/-FJPG/228346-001_DET_1.jpg;https://dd3ka9h4chfr8.cloudfront.net/image/725136000567/image_526slfq3rt4756rgcbolc4834l/-FJPG/228346-001_DET_3.jpg;https://dd3ka9h4chfr8.cloudfront.net/image/725136000567/image_8ism6ouan50lb8b4gpf2sfj40m/-FJPG/228346-001_DET_4.jpg;https://dd3ka9h4chfr8.cloudfront.net/image/725136000567/image_mu5m84p4ld3ejbm9f83itnpo56/-FJPG/228346-001_DET_5.jpg;https://dd3ka9h4chfr8.cloudfront.net/image/725136000567/image_takqjnr7bd6gfbv81fe84ulj0r/-FJPG/228346-001_VIG_1.jpg;https://dd3ka9h4chfr8.cloudfront.net/image/725136000567/image_kugarr76gh2mrbcju9be0vko0p/-FJPG/228346-001_ESS.tif</t>
  </si>
  <si>
    <t>Light Oak Resin</t>
  </si>
  <si>
    <t>228346-001</t>
  </si>
  <si>
    <t>55.12</t>
  </si>
  <si>
    <t>https://dd3ka9h4chfr8.cloudfront.net/image/725136000567/image_vqois717pl0nv56qr5825mjh4c/-FJPG/228346-001_FRT_1.jpg</t>
  </si>
  <si>
    <t>A slight cradle base of gunmetal-finished iron supports a beautifully rounded coffee table shaped from thick oak veneer. For a rich, one-of-a-kind look, black resin fills woods' natural cracks and graining. A subtle variance of resin placement and amount is to be expected, and reflective of materials' character-rich roots.</t>
  </si>
  <si>
    <t>{"value":41.14,"unit":"in"}</t>
  </si>
  <si>
    <t>{"value":14.76,"unit":"in"}</t>
  </si>
  <si>
    <t>19.74"</t>
  </si>
  <si>
    <t>9.96"</t>
  </si>
  <si>
    <t>Eaton Executive Desk</t>
  </si>
  <si>
    <t>https://dd3ka9h4chfr8.cloudfront.net/image/725136000567/image_d27kuj6cbt29vb7e6v93hdot32/-FJPG/227862-002_FRT_1.jpg;https://dd3ka9h4chfr8.cloudfront.net/image/725136000567/image_65b3f7hktp4ep788uudi801p74/-FJPG/227862-002_PRM_1.jpg;https://dd3ka9h4chfr8.cloudfront.net/image/725136000567/image_77u95ujrq91op3rtjoflabr22t/-FJPG/227862-002_SID_1.jpg;https://dd3ka9h4chfr8.cloudfront.net/image/725136000567/image_3q3napf53d14d5mdkb3degs146/-FJPG/227862-002_ESS_1.jpg;https://dd3ka9h4chfr8.cloudfront.net/image/725136000567/image_l8spv6sv7151jaug44mla1fh01/-FJPG/227862-002_DET_2.jpg;https://dd3ka9h4chfr8.cloudfront.net/image/725136000567/image_1fd21li975123cm4lh1mqr7c53/-FJPG/227862-002_BCK_1.jpg;https://dd3ka9h4chfr8.cloudfront.net/image/725136000567/image_9pk4hhc97p2n17a7jr1g31hc27/-FJPG/227862-002_DET_1.jpg;https://dd3ka9h4chfr8.cloudfront.net/image/725136000567/image_r4a6pdlett2cva8q3birn7lo50/-FJPG/227862-002_DET_3.jpg;https://dd3ka9h4chfr8.cloudfront.net/image/725136000567/image_13tjohlb890jv7ahs84bqnn346/-FJPG/227862-002_OPN_1.jpg;https://dd3ka9h4chfr8.cloudfront.net/image/725136000567/image_26kela2kmp28n399g2sb7d290a/-FJPG/227862-002_DET_4.jpg;https://dd3ka9h4chfr8.cloudfront.net/image/725136000567/image_jd9joj81jt505e34imqlgnne4b/-FJPG/227862-002_DET_5.jpg;https://dd3ka9h4chfr8.cloudfront.net/image/725136000567/image_qgfl9p7hit3gp8p0q5bp8jet4l/-FJPG/227862-002_DET_6.jpg;https://dd3ka9h4chfr8.cloudfront.net/image/725136000567/image_titu7ubdb50rv9o6cq9qg5o251/-FJPG/227862-002_DET_7.jpg</t>
  </si>
  <si>
    <t>227862-002</t>
  </si>
  <si>
    <t>189.6</t>
  </si>
  <si>
    <t>https://dd3ka9h4chfr8.cloudfront.net/image/725136000567/image_d27kuj6cbt29vb7e6v93hdot32/-FJPG/227862-002_FRT_1.jpg</t>
  </si>
  <si>
    <t>Amber oak and contrasting resin form a fashionable executive desk with roomy cabinetry plus four total drawers for ample storage space. A modesty panel and fully finished back grant the option to style anywhere in the room.</t>
  </si>
  <si>
    <t>18.74"</t>
  </si>
  <si>
    <t>23.31"</t>
  </si>
  <si>
    <t>Roller Catch</t>
  </si>
  <si>
    <t>2.72"</t>
  </si>
  <si>
    <t>9.33"</t>
  </si>
  <si>
    <t>16.61"</t>
  </si>
  <si>
    <t>https://dd3ka9h4chfr8.cloudfront.net/image/725136000567/image_palltgf1mt66tfu27q52h7851v/-FJPG/227862-001_FRT_1.jpg;https://dd3ka9h4chfr8.cloudfront.net/image/725136000567/image_69c2bkacft6930h078vt9u583u/-FJPG/227862-001_PRM_1.jpg;https://dd3ka9h4chfr8.cloudfront.net/image/725136000567/image_0lhu6u7h7h5dnfl5noe12b1u23/-FJPG/227862-001_SID_1.jpg;https://dd3ka9h4chfr8.cloudfront.net/image/725136000567/image_5hq78grrg16lv1mnfcb9k6rq5k/-FJPG/227862-001_ESS_1.jpg;https://dd3ka9h4chfr8.cloudfront.net/image/725136000567/image_mt69sga7bp19r8hklq241v3t0p/-FJPG/227862-001_DET_2.jpg;https://dd3ka9h4chfr8.cloudfront.net/image/725136000567/image_kh0jral4e50ir79vf5ti65f53k/-FJPG/227862-001_BCK_1.jpg;https://dd3ka9h4chfr8.cloudfront.net/image/725136000567/image_uv63qbelft63l0pr4p43m5rv18/-FJPG/227862-001_DET_1.jpg;https://dd3ka9h4chfr8.cloudfront.net/image/725136000567/image_7vmjip5u7l2kra1oobosvhf37n/-FJPG/227862-001_DET_3.jpg;https://dd3ka9h4chfr8.cloudfront.net/image/725136000567/image_3f4n519j0t5vt7emsfcffju82j/-FJPG/227862-001_OPN_1.jpg;https://dd3ka9h4chfr8.cloudfront.net/image/725136000567/image_n7ri082le120dfvk8tdpq79g2n/-FJPG/227862-001_DET_4.jpg;https://dd3ka9h4chfr8.cloudfront.net/image/725136000567/image_urotu4a2jp5r763n2so0qv4p6n/-FJPG/227862-001_DET_5.jpg;https://dd3ka9h4chfr8.cloudfront.net/image/725136000567/image_c7o9kevj7964n663s355pc4546/-FJPG/227862-001_DET_6.jpg;https://dd3ka9h4chfr8.cloudfront.net/image/725136000567/image_a84t6harp97a9atq1ga1p04h3t/-FJPG/227862-001_DET_7.jpg</t>
  </si>
  <si>
    <t>227862-001</t>
  </si>
  <si>
    <t>https://dd3ka9h4chfr8.cloudfront.net/image/725136000567/image_palltgf1mt66tfu27q52h7851v/-FJPG/227862-001_FRT_1.jpg</t>
  </si>
  <si>
    <t>Streamlined and stylish. Light-finished oak and contrasting resin form a fashionable executive desk with roomy cabinetry plus four total drawers for ample storage space. A modesty panel and fully finished back grant the option to style anywhere in the room.</t>
  </si>
  <si>
    <t>Eaton Large Nightstand</t>
  </si>
  <si>
    <t>https://dd3ka9h4chfr8.cloudfront.net/image/725136000567/image_ogdsgobhst3qb4t9d4ra4a3l65/-FJPG/234770-002_FRT_1.jpg;https://dd3ka9h4chfr8.cloudfront.net/image/725136000567/image_ebjnd88ih51ph1bpu7gb9ehg6h/-FJPG/234770-002_PRM_1.jpg;https://dd3ka9h4chfr8.cloudfront.net/image/725136000567/image_n87dasj0jt4g52f59fd4jj391o/-FJPG/234770-002_SID_1.jpg;https://dd3ka9h4chfr8.cloudfront.net/image/725136000567/image_m1dkqe6r410s5bllt6bhtie75g/-FJPG/234770-002_ESS.tif;https://dd3ka9h4chfr8.cloudfront.net/image/725136000567/image_u76jl99qpd1t71i3l7vjmps52u/-FJPG/234770-002_DET_2.jpg;https://dd3ka9h4chfr8.cloudfront.net/image/725136000567/image_38npn5np2h0of67jnp430lj35b/-FJPG/234770-002_BCK_1.jpg;https://dd3ka9h4chfr8.cloudfront.net/image/725136000567/image_22k7e3ifkl70tdmmq1jrknu22p/-FJPG/234770-002_DET_1.jpg;https://dd3ka9h4chfr8.cloudfront.net/image/725136000567/image_stpgg2gt0l3f52mbvp2da4br4h/-FJPG/234770-002_DET_3.jpg;https://dd3ka9h4chfr8.cloudfront.net/image/725136000567/image_mm52mogd3h19v5aduok4g48q6v/-FJPG/234770-002_OPN_1.jpg;https://dd3ka9h4chfr8.cloudfront.net/image/725136000567/image_uegcjcdui50j36qgbp3d8j727n/-FJPG/234770-002_DET_4.jpg;https://dd3ka9h4chfr8.cloudfront.net/image/725136000567/image_6f34vq25u920l1499nvjcgf070/-FJPG/234770-002_DET_5.jpg;https://dd3ka9h4chfr8.cloudfront.net/image/725136000567/image_61t6q3l8i91q7fqn9o1htkar0p/-FJPG/234770-002_DET_6.jpg;https://dd3ka9h4chfr8.cloudfront.net/image/725136000567/image_3a1mdrtotd12v2eunlijskp70l/-FJPG/234770-002_DET_7.jpg</t>
  </si>
  <si>
    <t>234770-002</t>
  </si>
  <si>
    <t>https://dd3ka9h4chfr8.cloudfront.net/image/725136000567/image_ogdsgobhst3qb4t9d4ra4a3l65/-FJPG/234770-002_FRT_1.jpg</t>
  </si>
  <si>
    <t>Clean and streamlined. Amber-finished oak features three large drawers plus gunmetal-finished hardware, for a look that's always in style. Dark resin plays up woods' natural graining.</t>
  </si>
  <si>
    <t>{"value":95.9,"unit":"lb"}</t>
  </si>
  <si>
    <t>14.49"</t>
  </si>
  <si>
    <t>3.82"</t>
  </si>
  <si>
    <t>28.94"</t>
  </si>
  <si>
    <t>https://dd3ka9h4chfr8.cloudfront.net/image/725136000567/image_8c6el2odkd4rn6e439rtgtdc23/-FJPG/234770-001_FRT_1.jpg;https://dd3ka9h4chfr8.cloudfront.net/image/725136000567/image_drh20r516960h6v73qdhdj263a/-FJPG/234770-001_PRM_1.jpg;https://dd3ka9h4chfr8.cloudfront.net/image/725136000567/image_n0dcsp3drl0rfb7bnsvbsv0s0n/-FJPG/234770-001_SID_1.jpg;https://dd3ka9h4chfr8.cloudfront.net/image/725136000567/image_s3splavrrd3fj19gmtkm8ho718/-FJPG/234770-001_ESS_1.jpg;https://dd3ka9h4chfr8.cloudfront.net/image/725136000567/image_o94d81r9695l5abpb86cjpuj2e/-FJPG/234770-001_DET_2.jpg;https://dd3ka9h4chfr8.cloudfront.net/image/725136000567/image_b4b8dk3d8l46954vfdup1fvq5s/-FJPG/234770-001_BCK_1.jpg;https://dd3ka9h4chfr8.cloudfront.net/image/725136000567/image_56g2qe6tjd6t96t0lc9qetn85e/-FJPG/234770-001_DET_1.jpg;https://dd3ka9h4chfr8.cloudfront.net/image/725136000567/image_2tmc2os5u90at5ebu4dsqpd122/-FJPG/234770-001_DET_3.jpg;https://dd3ka9h4chfr8.cloudfront.net/image/725136000567/image_t04civoj8h65309qsk8arc9v1i/-FJPG/234770-001_OPN_1.jpg;https://dd3ka9h4chfr8.cloudfront.net/image/725136000567/image_ecjgqfqal13udarant362jcv6q/-FJPG/234770-001_DET_4.jpg;https://dd3ka9h4chfr8.cloudfront.net/image/725136000567/image_pov73pf85t3s1842qg37sgqp1j/-FJPG/234770-001_DET_5.jpg;https://dd3ka9h4chfr8.cloudfront.net/image/725136000567/image_pss0aqssjd4m7b8a8pv2f5kq1o/-FJPG/234770-001_DET_6.jpg;https://dd3ka9h4chfr8.cloudfront.net/image/725136000567/image_alpbbdmfp907h2i2iqp0am455v/-FJPG/234770-001_DET_7.jpg</t>
  </si>
  <si>
    <t>234770-001</t>
  </si>
  <si>
    <t>https://dd3ka9h4chfr8.cloudfront.net/image/725136000567/image_8c6el2odkd4rn6e439rtgtdc23/-FJPG/234770-001_FRT_1.jpg</t>
  </si>
  <si>
    <t>Clean and streamlined. Light-finished oak features three drawers plus gunmetal-finished hardware, for a crisp look that's always in style. Dark resin plays up natural graining for texture and authenticity.</t>
  </si>
  <si>
    <t>Eaton Media</t>
  </si>
  <si>
    <t>https://dd3ka9h4chfr8.cloudfront.net/image/725136000567/image_0ko7pr6rnd6ql127ml883o647c/-FJPG/228349-002_FRT_1.jpg;https://dd3ka9h4chfr8.cloudfront.net/image/725136000567/image_flcgnf96q9621fte4d22uv0b2l/-FJPG/228349-002_PRM_1.jpg;https://dd3ka9h4chfr8.cloudfront.net/image/725136000567/image_hace7rsj1p4o788lnobr1mkr66/-FJPG/228349-002_SID_1.jpg;https://dd3ka9h4chfr8.cloudfront.net/image/725136000567/image_uqoh4jn84d7ale922cigtg2j10/-FJPG/228349-002_ESS_1.jpg;https://dd3ka9h4chfr8.cloudfront.net/image/725136000567/image_3vhps776h5333528lhun2ia47q/-FJPG/228349-002_DET_2.jpg;https://dd3ka9h4chfr8.cloudfront.net/image/725136000567/image_pmt1dd7iep5qhbk8932uhh5s6q/-FJPG/228349-002_BCK_1.jpg;https://dd3ka9h4chfr8.cloudfront.net/image/725136000567/image_ba7v4579up5bbbcd7u3helj57q/-FJPG/228349-002_DET_1.jpg;https://dd3ka9h4chfr8.cloudfront.net/image/725136000567/image_g9mo6cnn1l2trann39oms62535/-FJPG/228349-002_DET_3.jpg;https://dd3ka9h4chfr8.cloudfront.net/image/725136000567/image_oepchkdvsl1e1c8d9tdqom8r5j/-FJPG/228349-002_OPN_1.jpg;https://dd3ka9h4chfr8.cloudfront.net/image/725136000567/image_u4e0n87vnh0q3bkagibtkkb66q/-FJPG/228349-002_DET_4.jpg;https://dd3ka9h4chfr8.cloudfront.net/image/725136000567/image_l67d3ftk3t0or4a3812301eu6f/-FJPG/228349-002_DET_5.jpg;https://dd3ka9h4chfr8.cloudfront.net/image/725136000567/image_0olq3i3s2t051cvgmlmjr3kf5v/-FJPG/228349-002_DET_6.jpg;https://dd3ka9h4chfr8.cloudfront.net/image/725136000567/image_6qpbe2ese124vdulbldu3p7b6n/-FJPG/228349-002_DET_7.jpg;https://dd3ka9h4chfr8.cloudfront.net/image/725136000567/image_llhi7qdshd4fd5h3vse4cg2n6h/-FJPG/228349-002_ESS_2.jpg</t>
  </si>
  <si>
    <t>228349-002</t>
  </si>
  <si>
    <t>139.99</t>
  </si>
  <si>
    <t>https://dd3ka9h4chfr8.cloudfront.net/image/725136000567/image_0ko7pr6rnd6ql127ml883o647c/-FJPG/228349-002_FRT_1.jpg</t>
  </si>
  <si>
    <t>79.5</t>
  </si>
  <si>
    <t>{"value":79.5,"unit":"in"}</t>
  </si>
  <si>
    <t>Framed by slim iron finished in a dark gunmetal, amber oak and contrasting resin form a modern media console.</t>
  </si>
  <si>
    <t>{"value":174.17,"unit":"lb"}</t>
  </si>
  <si>
    <t>16.34"</t>
  </si>
  <si>
    <t>16.10"</t>
  </si>
  <si>
    <t>17.32"</t>
  </si>
  <si>
    <t>12.32"</t>
  </si>
  <si>
    <t>Eaton Nightstand</t>
  </si>
  <si>
    <t>https://dd3ka9h4chfr8.cloudfront.net/image/725136000567/image_cdvn37sh515dr7tbojlcvnvl01/-FJPG/109286-002_FRT_1.jpg;https://dd3ka9h4chfr8.cloudfront.net/image/725136000567/image_am8efff2g156r56qfic32hrs1a/-FJPG/109286-002_PRM_1.jpg;https://dd3ka9h4chfr8.cloudfront.net/image/725136000567/image_qq2q88j65l54f1c2au5ki5sq02/-FJPG/109286-002_SID_1.jpg;https://dd3ka9h4chfr8.cloudfront.net/image/725136000567/image_tv4f9dgdct1hf9l8sh6ho7g42i/-FJPG/109286-002_ESS_1.jpg;https://dd3ka9h4chfr8.cloudfront.net/image/725136000567/image_ml6sclpa3p02vcfn5ioqdcvb19/-FJPG/109286-002_DET_2.jpg;https://dd3ka9h4chfr8.cloudfront.net/image/725136000567/image_dhqi5g5ep96nv9bksdc6sms900/-FJPG/109286-002_BCK_1.jpg;https://dd3ka9h4chfr8.cloudfront.net/image/725136000567/image_n3g5mkq5jl6sv2ap4dhbufvo7p/-FJPG/109286-002_DET_1.jpg;https://dd3ka9h4chfr8.cloudfront.net/image/725136000567/image_nkpov7jj6l5q134gm0drc1644s/-FJPG/109286-002_DET_3.jpg;https://dd3ka9h4chfr8.cloudfront.net/image/725136000567/image_mncfg5v4mp6id6f12m68tbtv6o/-FJPG/109286-002_OPN_1.jpg;https://dd3ka9h4chfr8.cloudfront.net/image/725136000567/image_gs4fc7m40970hd4k8089oa6n06/-FJPG/109286-002_DET_4.jpg;https://dd3ka9h4chfr8.cloudfront.net/image/725136000567/image_kkg26hdjb17tj56j0rn6q42u7n/-FJPG/109286-002_DET_5.jpg;https://dd3ka9h4chfr8.cloudfront.net/image/725136000567/image_bpevob1mb90fp3903e7ojahu6m/-FJPG/109286-002_DET_6.jpg;https://dd3ka9h4chfr8.cloudfront.net/image/725136000567/image_mcj8tvjdrh66t78sj1dq7v5b4g/-FJPG/109286-002_DET_7.jpg</t>
  </si>
  <si>
    <t>109286-002</t>
  </si>
  <si>
    <t>https://dd3ka9h4chfr8.cloudfront.net/image/725136000567/image_cdvn37sh515dr7tbojlcvnvl01/-FJPG/109286-002_FRT_1.jpg</t>
  </si>
  <si>
    <t>6.06"</t>
  </si>
  <si>
    <t>18.86"</t>
  </si>
  <si>
    <t>https://dd3ka9h4chfr8.cloudfront.net/image/725136000567/image_j3cseng9d50jd760cldan7au6i/-FJPG/109286-003_FRT_1.jpg;https://dd3ka9h4chfr8.cloudfront.net/image/725136000567/image_ra76n1trfd1e34ffnkugac0v75/-FJPG/109286-003_PRM_1.jpg;https://dd3ka9h4chfr8.cloudfront.net/image/725136000567/image_7222b8s5lt5cfck1cjou3drj0u/-FJPG/109286-003_SID_1.jpg;https://dd3ka9h4chfr8.cloudfront.net/image/725136000567/image_f4du0jm9tp4k94mlv6g5evcu52/-FJPG/109286-003_ESS_1.jpg;https://dd3ka9h4chfr8.cloudfront.net/image/725136000567/image_oc6nfgostd41jfas266btjtp1e/-FJPG/109286-003_DET_2.jpg;https://dd3ka9h4chfr8.cloudfront.net/image/725136000567/image_jslco11i9139t74spneo8bs607/-FJPG/109286-003_DET_1.jpg;https://dd3ka9h4chfr8.cloudfront.net/image/725136000567/image_rglggutka93932cttl3tgbhl1g/-FJPG/109286-003_DET_3.jpg;https://dd3ka9h4chfr8.cloudfront.net/image/725136000567/image_ff5nemniut15vbmbd16n7ihq6h/-FJPG/109286-003_OPN_1.jpg;https://dd3ka9h4chfr8.cloudfront.net/image/725136000567/image_2scuuqoiih23h49o9l6bnhgu7a/-FJPG/109286-003_DET_4.jpg;https://dd3ka9h4chfr8.cloudfront.net/image/725136000567/image_f563obvn5h4g96dsav86957b1o/-FJPG/109286-003_DET_5.jpg;https://dd3ka9h4chfr8.cloudfront.net/image/725136000567/image_ku1hd6nuc524j9s7vdrqctjc6i/-FJPG/109286-003_DET_6.jpg;https://dd3ka9h4chfr8.cloudfront.net/image/725136000567/image_5l46qb9tn149pcd2f0m5s50j50/-FJPG/109286-003_VIG_1.jpg</t>
  </si>
  <si>
    <t>109286-003</t>
  </si>
  <si>
    <t>https://dd3ka9h4chfr8.cloudfront.net/image/725136000567/image_j3cseng9d50jd760cldan7au6i/-FJPG/109286-003_FRT_1.jpg</t>
  </si>
  <si>
    <t>Eaton Sideboard</t>
  </si>
  <si>
    <t>https://dd3ka9h4chfr8.cloudfront.net/image/725136000567/image_vsiavoh3cl6ud96n68deq9i70u/-FJPG/228016-003_FRT_1.jpg;https://dd3ka9h4chfr8.cloudfront.net/image/725136000567/image_pvd3k2d6jt5c51q9qe83hd0v5g/-FJPG/228016-003_PRM_1.jpg;https://dd3ka9h4chfr8.cloudfront.net/image/725136000567/image_tvvj6ftmp54114aievs7uprg07/-FJPG/228016-003_SID_1.jpg;https://dd3ka9h4chfr8.cloudfront.net/image/725136000567/image_30s2d6bq2t5h3665b8b3jemo1c/-FJPG/228016-003_ESS_1.jpg;https://dd3ka9h4chfr8.cloudfront.net/image/725136000567/image_4mf3rq4lmh6gp8ab68bj260m2s/-FJPG/228016-003_DET_2.jpg;https://dd3ka9h4chfr8.cloudfront.net/image/725136000567/image_d638868s3d58n79jnka91ot16n/-FJPG/228016-003_BCK_1.jpg;https://dd3ka9h4chfr8.cloudfront.net/image/725136000567/image_9ohcu448c500j3v4541aju8a4v/-FJPG/228016-003_DET_1.jpg;https://dd3ka9h4chfr8.cloudfront.net/image/725136000567/image_4gc96uqtpd7fl5h8vskh4p5s3r/-FJPG/228016-003_DET_3.jpg;https://dd3ka9h4chfr8.cloudfront.net/image/725136000567/image_copk6n5ggl69rdgjun0b0gjc7l/-FJPG/228016-003_OPN_1.jpg;https://dd3ka9h4chfr8.cloudfront.net/image/725136000567/image_pbhthn7qp90tr446js4mook538/-FJPG/228016-003_DET_4.jpg;https://dd3ka9h4chfr8.cloudfront.net/image/725136000567/image_glm40b534h7dd41f34u4f16v08/-FJPG/228016-003_DET_5.jpg;https://dd3ka9h4chfr8.cloudfront.net/image/725136000567/image_o74qj8qlil1q15f8tc92pc8v3l/-FJPG/228016-003_DET_6.jpg;https://dd3ka9h4chfr8.cloudfront.net/image/725136000567/image_utgjvrqedt0gd3bj1v14rvc806/-FJPG/228016-003_DET_7.jpg;https://dd3ka9h4chfr8.cloudfront.net/image/725136000567/image_jnrc8dm0790mr62ua1h9v80r7g/-FJPG/228016-003_DET_8.jpg</t>
  </si>
  <si>
    <t>228016-003</t>
  </si>
  <si>
    <t>160.94</t>
  </si>
  <si>
    <t>https://dd3ka9h4chfr8.cloudfront.net/image/725136000567/image_vsiavoh3cl6ud96n68deq9i70u/-FJPG/228016-003_FRT_1.jpg</t>
  </si>
  <si>
    <t>75.5</t>
  </si>
  <si>
    <t>Midcentury lines and ample storage blend style and practicality in this amber oak sideboard. Gunmetal iron knobs are subtle and clean, while the piece's coordinating legs cradle the exterior cabinets and provide architectural interest.</t>
  </si>
  <si>
    <t>{"value":78.35,"unit":"in"}</t>
  </si>
  <si>
    <t>{"value":199.52,"unit":"lb"}</t>
  </si>
  <si>
    <t>22.56"</t>
  </si>
  <si>
    <t>23.82"</t>
  </si>
  <si>
    <t>Edmon Bench</t>
  </si>
  <si>
    <t>https://dd3ka9h4chfr8.cloudfront.net/image/725136000567/image_retfjqsbad7anbuhlkbhbvta0b/-FJPG/CASH-143J-084P_FRT_1.jpg;https://dd3ka9h4chfr8.cloudfront.net/image/725136000567/image_tfh2620glt7891fsqh1fr8lj0f/-FJPG/CASH-143J-084P_PRM_1.jpg;https://dd3ka9h4chfr8.cloudfront.net/image/725136000567/image_tn1ovl7evh75pbtru37gnhbk7q/-FJPG/CASH-143J-084P_SID_1.jpg;https://dd3ka9h4chfr8.cloudfront.net/image/725136000567/image_na74554no13033t1qb130g5m1h/-FJPG/CASH-143J-084P_DET_2.jpg;https://dd3ka9h4chfr8.cloudfront.net/image/725136000567/image_11u93ufm9127l3rdj8u774q45u/-FJPG/CASH-143J-084P_INF_1.jpg;https://dd3ka9h4chfr8.cloudfront.net/image/725136000567/image_rvmk64sd6l771b3vmvvrd3k20f/-FJPG/CASH-143J-084P_DET_1.jpg;https://dd3ka9h4chfr8.cloudfront.net/image/725136000567/image_cf5arae9tt4qpfbs3edc88tc5e/-FJPG/CASH-143J-084P_DET_3.jpg;https://dd3ka9h4chfr8.cloudfront.net/image/725136000567/image_rf61jhn5rl04b082bc194c3474/-FJPG/CASH-143J-084P_DET_4.jpg;https://dd3ka9h4chfr8.cloudfront.net/image/725136000567/image_a04rfsuml120h71jdss2jo2p1h/-FJPG/CASH-143J-084P_DET_5.jpg;https://dd3ka9h4chfr8.cloudfront.net/image/725136000567/image_rm9uq5qin5669b9120j9dd6o1a/-FJPG/CASH-143J-084P_ROM_1.jpg</t>
  </si>
  <si>
    <t>Savile Flax</t>
  </si>
  <si>
    <t>CASH-143J-084P</t>
  </si>
  <si>
    <t>59.52</t>
  </si>
  <si>
    <t>https://dd3ka9h4chfr8.cloudfront.net/image/725136000567/image_retfjqsbad7anbuhlkbhbvta0b/-FJPG/CASH-143J-084P_FRT_1.jpg</t>
  </si>
  <si>
    <t>["92% Polyester","8% Flax/Linen","Solid Oak"]</t>
  </si>
  <si>
    <t>67</t>
  </si>
  <si>
    <t>Mixed materials and open styling allows for versatile placement options. Warm cedar-finished nettlewood forms clean lines to support performance-grade seating in a neutral flax. As perfect for dining as in entryway.</t>
  </si>
  <si>
    <t>{"value":69.69,"unit":"in"}</t>
  </si>
  <si>
    <t>66.39"</t>
  </si>
  <si>
    <t>Edmon</t>
  </si>
  <si>
    <t>https://dd3ka9h4chfr8.cloudfront.net/image/725136000567/image_ps1334s57p07r0d3r281s5rr39/-FJPG/100039-002_FRT_1.jpg;https://dd3ka9h4chfr8.cloudfront.net/image/725136000567/image_6pfssg35jt2iv50c3nbod4li5e/-FJPG/100039-002_PRM_1.jpg;https://dd3ka9h4chfr8.cloudfront.net/image/725136000567/image_3ocuo1j4n10nj1vj477ivmrd1l/-FJPG/100039-002_SID_1.jpg;https://dd3ka9h4chfr8.cloudfront.net/image/725136000567/image_vlolaeuuoh0p7bp03f414bsn22/-FJPG/100039-002_ESS.tif;https://dd3ka9h4chfr8.cloudfront.net/image/725136000567/image_efunrj5olh2atblgaihice925e/-FJPG/100039-002_DET_2.jpg;https://dd3ka9h4chfr8.cloudfront.net/image/725136000567/image_bed4hht4h90qr1nuvtbb6put1b/-FJPG/100039-002_DET_1.jpg;https://dd3ka9h4chfr8.cloudfront.net/image/725136000567/image_fgs30lk61l1ed8jnqjduhakr29/-FJPG/100039-002_DET_3.jpg;https://dd3ka9h4chfr8.cloudfront.net/image/725136000567/image_53p6593fcd6apega7m72flhp33/-FJPG/100039-002_DET_4.jpg;https://dd3ka9h4chfr8.cloudfront.net/image/725136000567/image_jf0en1dh8155hb3rjgrlc0dt2v/-FJPG/100039-002_DET_5.jpg;https://dd3ka9h4chfr8.cloudfront.net/image/725136000567/image_78fobfkiup1qd0s2g7db1c2o5b/-FJPG/100039-002_DET_6.jpg;https://dd3ka9h4chfr8.cloudfront.net/image/725136000567/image_ihl877gkq933n83aveeaast248/-FJPG/100039-002_DET_7.jpg;https://dd3ka9h4chfr8.cloudfront.net/image/725136000567/image_i0uujlo8ep5qb8851u0f55dt1u/-FJPG/100039-002_DET_8.jpg</t>
  </si>
  <si>
    <t>100039-002</t>
  </si>
  <si>
    <t>https://dd3ka9h4chfr8.cloudfront.net/image/725136000567/image_ps1334s57p07r0d3r281s5rr39/-FJPG/100039-002_FRT_1.jpg</t>
  </si>
  <si>
    <t>Mixed materials and open styling allows for versatile placement options. A warm oak frame forms clean lines to support a cushion upholstered in traditional ivory fabric with a classic box print. As perfect for dining as in entryway.</t>
  </si>
  <si>
    <t>Edwyn Large Ottoman</t>
  </si>
  <si>
    <t>https://dd3ka9h4chfr8.cloudfront.net/image/725136000567/image_hu19mnr2j117fcu6a5fgf3of6d/-FJPG/224315-001_FRT_1.jpg;https://dd3ka9h4chfr8.cloudfront.net/image/725136000567/image_4atfghjbh96rvdq6luopn3ht19/-FJPG/224315-001_PRM_1.jpg;https://dd3ka9h4chfr8.cloudfront.net/image/725136000567/image_jakkk20p0171738htloiupqf44/-FJPG/224315-001_SID_1.jpg;https://dd3ka9h4chfr8.cloudfront.net/image/725136000567/image_j5445sito54k54fn6ojr7bh52f/-FJPG/224315-001_ESS_1.jpg;https://dd3ka9h4chfr8.cloudfront.net/image/725136000567/image_b6jj623c351r3dr4l6n6g7f72b/-FJPG/224315-001_DET_2.jpg;https://dd3ka9h4chfr8.cloudfront.net/image/725136000567/image_uq034qclvp7id0d6qee72ofi0m/-FJPG/224315-001_INF_1.jpg;https://dd3ka9h4chfr8.cloudfront.net/image/725136000567/image_9luuvkmjlp64v0hkctk85bi95t/-FJPG/224315-001_DET_1.jpg;https://dd3ka9h4chfr8.cloudfront.net/image/725136000567/image_l49bfejnfd1nd36pvh8g7jcn2h/-FJPG/224315-001_DET_3.jpg;https://dd3ka9h4chfr8.cloudfront.net/image/725136000567/image_mv52u1osqd1i380dcprtk4et5f/-FJPG/224315-001_TOP_1.jpg;https://dd3ka9h4chfr8.cloudfront.net/image/725136000567/image_tvi6enbdk90cj1hvmprph6fo0k/-FJPG/224315-001_DET_4.jpg;https://dd3ka9h4chfr8.cloudfront.net/image/725136000567/image_1kr0v9csfp66fcun6aj5phmo75/-FJPG/224315-001_DET_5.jpg;https://dd3ka9h4chfr8.cloudfront.net/image/725136000567/image_f2amqsvva532j9bc5hsvvtlj7g/-FJPG/224315-001_DET_6.jpg;https://dd3ka9h4chfr8.cloudfront.net/image/725136000567/image_lmf1fg6g0p7ivdn0lbnsvcko0v/-FJPG/224315-001_PRM_2.jpg</t>
  </si>
  <si>
    <t>224315-001</t>
  </si>
  <si>
    <t>34.61</t>
  </si>
  <si>
    <t>https://dd3ka9h4chfr8.cloudfront.net/image/725136000567/image_hu19mnr2j117fcu6a5fgf3of6d/-FJPG/224315-001_FRT_1.jpg</t>
  </si>
  <si>
    <t>["97% Polyester","3% Acrylic","Iron","Solid Beech"]</t>
  </si>
  <si>
    <t>16.25</t>
  </si>
  <si>
    <t>{"value":16.25,"unit":"in"}</t>
  </si>
  <si>
    <t>Vintage Sienna</t>
  </si>
  <si>
    <t>Stylish versatility. An airy base of gunmetal-finished iron supports rounded beech wood with textural wheat-colored upholstery. Perfectly scaled to create additional seating or an extra surface when topped with a tray.</t>
  </si>
  <si>
    <t>{"value":54.45,"unit":"lb"}</t>
  </si>
  <si>
    <t>Edwyn</t>
  </si>
  <si>
    <t>https://dd3ka9h4chfr8.cloudfront.net/image/725136000567/image_esfm8hesih69fda9cejsnnmu7q/-FJPG/224315-002_FRT_1.jpg;https://dd3ka9h4chfr8.cloudfront.net/image/725136000567/image_3hudl6efg11qdat8ha14c0gt1v/-FJPG/224315-002_PRM_1.jpg;https://dd3ka9h4chfr8.cloudfront.net/image/725136000567/image_7f68ppo2197r16pdjb0duoir2n/-FJPG/224315-002_SID_1.jpg;https://dd3ka9h4chfr8.cloudfront.net/image/725136000567/image_emivfmb3490d78mb6bba8ecv2p/-FJPG/224315-002_ESS.tif;https://dd3ka9h4chfr8.cloudfront.net/image/725136000567/image_hr1ke7gnph26hd7b50rss38v79/-FJPG/224315-002_DET_2.jpg;https://dd3ka9h4chfr8.cloudfront.net/image/725136000567/image_3ptv31hl7104td5luks7nl347v/-FJPG/224315-002_DET_1.jpg;https://dd3ka9h4chfr8.cloudfront.net/image/725136000567/image_4gsahdf4rp13re07tcv68rhm1p/-FJPG/224315-002_DET_3.jpg</t>
  </si>
  <si>
    <t>Sonoma Black</t>
  </si>
  <si>
    <t>224315-002</t>
  </si>
  <si>
    <t>https://dd3ka9h4chfr8.cloudfront.net/image/725136000567/image_esfm8hesih69fda9cejsnnmu7q/-FJPG/224315-002_FRT_1.jpg</t>
  </si>
  <si>
    <t>["Top Grain Leather","Iron","Solid Beech"]</t>
  </si>
  <si>
    <t>Sable Beech</t>
  </si>
  <si>
    <t>Stylish versatility. An airy base of gunmetal-finished iron supports rounded beech wood with top-grain leather upholstery. Perfectly scaled to create additional seating or an extra surface when topped with a tray.</t>
  </si>
  <si>
    <t>Elena Sideboard and Hutch</t>
  </si>
  <si>
    <t>https://dd3ka9h4chfr8.cloudfront.net/image/725136000567/image_o548ifg53p0557ul2hfcmjiq5c/-FJPG/IPRS-027_FRT_1.jpg;https://dd3ka9h4chfr8.cloudfront.net/image/725136000567/image_b6n5i4l2jl2ijfmmp788soh53c/-FJPG/IPRS-027_PRM_1.jpg;https://dd3ka9h4chfr8.cloudfront.net/image/725136000567/image_8llp1o38vp76j5i67r7vhc9003/-FJPG/IPRS-027_SID_1.jpg;https://dd3ka9h4chfr8.cloudfront.net/image/725136000567/image_6iuoesbd0h0f95afeuhv0m391c/-FJPG/IPRS-027_ESS_1.jpg;https://dd3ka9h4chfr8.cloudfront.net/image/725136000567/image_hmrmlmhbm57qtdd8ae7tg5tc31/-FJPG/IPRS-027_DET_2.jpg;https://dd3ka9h4chfr8.cloudfront.net/image/725136000567/image_niqa0or4p57dt8crqemuu0u37o/-FJPG/IPRS-027_DET_1.jpg;https://dd3ka9h4chfr8.cloudfront.net/image/725136000567/image_uql5fqn0it3k75oj97ln5mgu6t/-FJPG/IPRS-027_DET_3.jpg;https://dd3ka9h4chfr8.cloudfront.net/image/725136000567/image_h9cd5tsrup7c583s9gm0aqfd2b/-FJPG/IPRS-027_OPN_1.jpg;https://dd3ka9h4chfr8.cloudfront.net/image/725136000567/image_u6s0hq89ft6b328o9iql2lhq3p/-FJPG/IPRS-027_DET_4.jpg;https://dd3ka9h4chfr8.cloudfront.net/image/725136000567/image_4tpk34lif904rd5veu8dskp21e/-FJPG/IPRS-027_DET_5.jpg;https://dd3ka9h4chfr8.cloudfront.net/image/725136000567/image_9ks0r56a214grf6982d4ks0i5m/-FJPG/IPRS-027_DET_6.jpg;https://dd3ka9h4chfr8.cloudfront.net/image/725136000567/image_akvvq12ul95pfen4v0013f8m2i/-FJPG/IPRS-027_DET_7.jpg;https://dd3ka9h4chfr8.cloudfront.net/image/725136000567/image_c4uvno527t08p8nvpjri2m4o6i/-FJPG/IPRS-027_DET_8.jpg;https://dd3ka9h4chfr8.cloudfront.net/image/725136000567/image_f7hgpbb3v945j7qf4jb8fpo440/-FJPG/IPRS-027_ROM_1.jpg</t>
  </si>
  <si>
    <t>Satin Black</t>
  </si>
  <si>
    <t>IPRS-027</t>
  </si>
  <si>
    <t>174.17</t>
  </si>
  <si>
    <t>https://dd3ka9h4chfr8.cloudfront.net/image/725136000567/image_o548ifg53p0557ul2hfcmjiq5c/-FJPG/IPRS-027_FRT_1.jpg</t>
  </si>
  <si>
    <t>["Iron","Solid Mango"]</t>
  </si>
  <si>
    <t>76.75</t>
  </si>
  <si>
    <t>{"value":76.75,"unit":"in"}</t>
  </si>
  <si>
    <t>Slim, simple style with organic airs. Natural mango and gunmetal-finished iron merge for eye-catching contrast. Clean and modern, a spacious hutch brings even more storage to this stylish sideboard.</t>
  </si>
  <si>
    <t>Cabinet</t>
  </si>
  <si>
    <t>{"value":181.84,"unit":"lb"}</t>
  </si>
  <si>
    <t>Hutch</t>
  </si>
  <si>
    <t>{"value":41.67,"unit":"lb"}</t>
  </si>
  <si>
    <t>16.33"</t>
  </si>
  <si>
    <t>63.78"</t>
  </si>
  <si>
    <t>14.56"</t>
  </si>
  <si>
    <t>Elena</t>
  </si>
  <si>
    <t>5.53"</t>
  </si>
  <si>
    <t>0.39"</t>
  </si>
  <si>
    <t>15.74"</t>
  </si>
  <si>
    <t>11.73"</t>
  </si>
  <si>
    <t>Elio Accent Bench</t>
  </si>
  <si>
    <t>https://dd3ka9h4chfr8.cloudfront.net/image/725136000567/image_dgbab8hh1t28v7177uqc5nbv0v/-FJPG/243471-001_FRT_1.jpg;https://dd3ka9h4chfr8.cloudfront.net/image/725136000567/image_uasgk1h3313ahf9aekanit3k5n/-FJPG/243471-001_PRM_1.jpg;https://dd3ka9h4chfr8.cloudfront.net/image/725136000567/image_okjpggjd2p3mvd1h690ssi1l2j/-FJPG/243471-001_SID_1.jpg;https://dd3ka9h4chfr8.cloudfront.net/image/725136000567/image_clhrrt89191anad6gfmg3c4f6g/-FJPG/243471-001_ESS.tif;https://dd3ka9h4chfr8.cloudfront.net/image/725136000567/image_m91tmhb90l1cf8qc26nqlrg97g/-FJPG/011515 Burnt Bleached Oak 1.jpg;https://dd3ka9h4chfr8.cloudfront.net/image/725136000567/image_ug14i08ho504f4r999o7g5o33t/-FJPG/243471-001_BCK_1.jpg;https://dd3ka9h4chfr8.cloudfront.net/image/725136000567/image_n03nauugqp1frctsrsqatdqs0t/-FJPG/Color Variance Card_Burnt Bleached Oak.jpg;https://dd3ka9h4chfr8.cloudfront.net/image/725136000567/image_88m2s6v8th5vd883gp22kj433c/-FJPG/243471-001_DET_1.jpg;https://dd3ka9h4chfr8.cloudfront.net/image/725136000567/image_8tig1iaoph5v94fk9hh45vv42a/-FJPG/243471-001_DET_3.jpg;https://dd3ka9h4chfr8.cloudfront.net/image/725136000567/image_94femd47u950b9k07p5b5fnh0r/-FJPG/243471-001_TOP_1.jpg;https://dd3ka9h4chfr8.cloudfront.net/image/725136000567/image_b1tg349hdl0p949t6ggip1qi5h/-FJPG/243471-001_DET_4.jpg;https://dd3ka9h4chfr8.cloudfront.net/image/725136000567/image_33v8ds0nkl2r39bo0l53p8ij5e/-FJPG/243471-001_DET_5.jpg;https://dd3ka9h4chfr8.cloudfront.net/image/725136000567/image_h39o146vjh3jja6jsnjsdhsv1i/-FJPG/243471-001_DET_6.jpg;https://dd3ka9h4chfr8.cloudfront.net/image/725136000567/image_5qolla4km14ub1nt75s0qc7g0b/-FJPG/243471-001_DET_7.jpg;https://dd3ka9h4chfr8.cloudfront.net/image/725136000567/image_kun5ra79592jbf6cp3kekln76a/-FJPG/243471-001_DET_9.tif</t>
  </si>
  <si>
    <t>Burnt Bleached Oak</t>
  </si>
  <si>
    <t>243471-001</t>
  </si>
  <si>
    <t>69.56</t>
  </si>
  <si>
    <t>https://dd3ka9h4chfr8.cloudfront.net/image/725136000567/image_dgbab8hh1t28v7177uqc5nbv0v/-FJPG/243471-001_FRT_1.jpg</t>
  </si>
  <si>
    <t>This Wabi Sabi-inspired accent bench feels like a family heirloom, thanks to the timeless look of burnt bleached oak. A trellis base, wide planked top and natural cracks and graining reflect the artisanship behind this special found-feeling pieces.</t>
  </si>
  <si>
    <t>{"value":118.94,"unit":"lb"}</t>
  </si>
  <si>
    <t>Elio</t>
  </si>
  <si>
    <t>33.75"</t>
  </si>
  <si>
    <t>Elio Coffee Table Small</t>
  </si>
  <si>
    <t>https://dd3ka9h4chfr8.cloudfront.net/image/725136000567/image_civo5bd8854t1eg2ns5oh07r7n/-FJPG/246955-001_FRT_1.jpg;https://dd3ka9h4chfr8.cloudfront.net/image/725136000567/image_1f5hbl5qi163t6pshp6enkgt68/-FJPG/246955-001_PRM_1.jpg;https://dd3ka9h4chfr8.cloudfront.net/image/725136000567/image_m57q2hhgg96vdf9m902v89co1h/-FJPG/246955-001_SID_1.jpg;https://dd3ka9h4chfr8.cloudfront.net/image/725136000567/image_a9akceoo550up8d2lajf8ta41t/-FJPG/246955-001_ESS.tif;https://dd3ka9h4chfr8.cloudfront.net/image/725136000567/image_gjv0u0tccd3od6ve45nup59j1j/-FJPG/011515 Burnt Bleached Oak 2.jpg;https://dd3ka9h4chfr8.cloudfront.net/image/725136000567/image_3ifmf5rbpt3dteqtke9lj96c3m/-FJPG/246955-001_BCK_1.jpg;https://dd3ka9h4chfr8.cloudfront.net/image/725136000567/image_n03nauugqp1frctsrsqatdqs0t/-FJPG/Color Variance Card_Burnt Bleached Oak.jpg;https://dd3ka9h4chfr8.cloudfront.net/image/725136000567/image_nga573vo3l1813pblj79ns5g7j/-FJPG/246955-001_DET_1.jpg;https://dd3ka9h4chfr8.cloudfront.net/image/725136000567/image_pukjcvsm514htbvmeksu06lc5p/-FJPG/246955-001_DET_3.jpg;https://dd3ka9h4chfr8.cloudfront.net/image/725136000567/image_scke905c7p0n75vdmcl26unj47/-FJPG/246955-001_TOP_1.jpg;https://dd3ka9h4chfr8.cloudfront.net/image/725136000567/image_16jog4apsh7570g03btmr0uu76/-FJPG/246955-001_DET_4.jpg;https://dd3ka9h4chfr8.cloudfront.net/image/725136000567/image_smffbc4o5h7gn3cod8mvdoc17t/-FJPG/246955-001_DET_5.jpg;https://dd3ka9h4chfr8.cloudfront.net/image/725136000567/image_oe5kl1u9fp3kt8f05s8f1nnn5q/-FJPG/246955-001_DET_11.tif</t>
  </si>
  <si>
    <t>246955-001</t>
  </si>
  <si>
    <t>54.89</t>
  </si>
  <si>
    <t>https://dd3ka9h4chfr8.cloudfront.net/image/725136000567/image_civo5bd8854t1eg2ns5oh07r7n/-FJPG/246955-001_FRT_1.jpg</t>
  </si>
  <si>
    <t>Center your living space with a Wabi Sabi-inspired coffee table. Crafted from burnt bleached oak with a trellis base and wide plank top, this artisanal piece embraces the natural cracks and graining reflective of organic materials to bring a beautiful, character-rich look to your space.</t>
  </si>
  <si>
    <t>{"value":130.84,"unit":"lb"}</t>
  </si>
  <si>
    <t>2.88"</t>
  </si>
  <si>
    <t>37.75"</t>
  </si>
  <si>
    <t>5.13"</t>
  </si>
  <si>
    <t>Elio End Table</t>
  </si>
  <si>
    <t>https://dd3ka9h4chfr8.cloudfront.net/image/725136000567/image_heres33rhp15d12otqiqm9q378/-FJPG/246956-001_FRT_1.jpg;https://dd3ka9h4chfr8.cloudfront.net/image/725136000567/image_3i8fu03f6t54b389a38nsko66u/-FJPG/246956-001_PRM_1.jpg;https://dd3ka9h4chfr8.cloudfront.net/image/725136000567/image_u1o7512fb177d11eprqmbrgj6o/-FJPG/246956-001_SID_1.jpg;https://dd3ka9h4chfr8.cloudfront.net/image/725136000567/image_rud7e1lsoh7k53fqkaqfc63c4b/-FJPG/246956-001_ESS.tif;https://dd3ka9h4chfr8.cloudfront.net/image/725136000567/image_tgmeed6kgh3tjc0o6a95oljn7k/-FJPG/011515 Burnt Bleached Oak 3.jpg;https://dd3ka9h4chfr8.cloudfront.net/image/725136000567/image_it58injbld381evs61h6q3gm0b/-FJPG/246956-001_BCK_1.jpg;https://dd3ka9h4chfr8.cloudfront.net/image/725136000567/image_n03nauugqp1frctsrsqatdqs0t/-FJPG/Color Variance Card_Burnt Bleached Oak.jpg;https://dd3ka9h4chfr8.cloudfront.net/image/725136000567/image_do5ugcpuq52q5ddo5r1f7l0s20/-FJPG/246956-001_DET_1.jpg;https://dd3ka9h4chfr8.cloudfront.net/image/725136000567/image_6a8v0oca2d1sb7bn755uuklo1j/-FJPG/246956-001_DET_3.jpg;https://dd3ka9h4chfr8.cloudfront.net/image/725136000567/image_0l312seded6of97903d19lss4n/-FJPG/246956-001_TOP_1.jpg;https://dd3ka9h4chfr8.cloudfront.net/image/725136000567/image_10tlcptqfp679abq15makqqm50/-FJPG/246956-001_DET_4.jpg;https://dd3ka9h4chfr8.cloudfront.net/image/725136000567/image_e4ses1ksup6cr0b7k5glg1a97u/-FJPG/246956-001_DET_5.jpg;https://dd3ka9h4chfr8.cloudfront.net/image/725136000567/image_a82lct5kot5kd3g97asbhji64d/-FJPG/246956-001_DET_6.jpg;https://dd3ka9h4chfr8.cloudfront.net/image/725136000567/image_cl5j1fvudt4t1epokk7m5ks62s/-FJPG/246956-001_DET_7.jpg;https://dd3ka9h4chfr8.cloudfront.net/image/725136000567/image_ft515903rp5kbc8es9glrain68/-FJPG/246956-001_DET_8.jpg</t>
  </si>
  <si>
    <t>246956-001</t>
  </si>
  <si>
    <t>https://dd3ka9h4chfr8.cloudfront.net/image/725136000567/image_heres33rhp15d12otqiqm9q378/-FJPG/246956-001_FRT_1.jpg</t>
  </si>
  <si>
    <t>23</t>
  </si>
  <si>
    <t>{"value":23,"unit":"in"}</t>
  </si>
  <si>
    <t>Accent your living space with a Wabi Sabi-inspired end table. Crafted from burnt bleached oak with a trellis base and wide plank top, this artisanal piece embraces the natural cracks and graining reflective of organic materials to bring a beautiful, character-rich look to your space.</t>
  </si>
  <si>
    <t>13.88"</t>
  </si>
  <si>
    <t>Elle Media Console</t>
  </si>
  <si>
    <t>https://dd3ka9h4chfr8.cloudfront.net/image/725136000567/image_6es2k8njph2c78864k3g3kkm72/-FJPG/241763-001_FRT_1.jpg;https://dd3ka9h4chfr8.cloudfront.net/image/725136000567/image_dv1rdjid2d5t9161cqnhvhai0k/-FJPG/241763-001_PRM_1.jpg;https://dd3ka9h4chfr8.cloudfront.net/image/725136000567/image_lvaltb16pp6qlanljqjji1ar04/-FJPG/241763-001_SID_1.jpg;https://dd3ka9h4chfr8.cloudfront.net/image/725136000567/image_lduafhori129fell40givn1n7n/-FJPG/241763-001_ESS.tif;https://dd3ka9h4chfr8.cloudfront.net/image/725136000567/image_b0135itrp10mt7300u59vc843g/-FJPG/241763-001_DET_2.jpg;https://dd3ka9h4chfr8.cloudfront.net/image/725136000567/image_15nti9r8i95k112ff5c4h9jj27/-FJPG/241763-001_BCK_1.jpg;https://dd3ka9h4chfr8.cloudfront.net/image/725136000567/image_hhusegvnk9603e15qk3pcq690a/-FJPG/241763-001_DET_1.jpg;https://dd3ka9h4chfr8.cloudfront.net/image/725136000567/image_ov2qc7dcbl4g7epgagh8drul32/-FJPG/241763-001_DET_3.jpg;https://dd3ka9h4chfr8.cloudfront.net/image/725136000567/image_406ae4kj59363ff1koa71b4p19/-FJPG/241763-001_OPN_1.jpg;https://dd3ka9h4chfr8.cloudfront.net/image/725136000567/image_joerl6ke5d1hn8mvrkd5eilg2q/-FJPG/241763-001_TOP_1.jpg;https://dd3ka9h4chfr8.cloudfront.net/image/725136000567/image_kkng3ga5nt6npd09065gaa4i05/-FJPG/241763-001_DET_4.jpg;https://dd3ka9h4chfr8.cloudfront.net/image/725136000567/image_d4m46obdh15np6adcm8d5bmp6s/-FJPG/241763-001_DET_5.jpg;https://dd3ka9h4chfr8.cloudfront.net/image/725136000567/image_d84r2komsp1kf7nio470trhm2n/-FJPG/241763-001_DET_6.jpg;https://dd3ka9h4chfr8.cloudfront.net/image/725136000567/image_2i3ohui7tp5nd1v6gj7qogch4q/-FJPG/241763-001_DET_7.jpg;https://dd3ka9h4chfr8.cloudfront.net/image/725136000567/image_e69cvrbsad0l31htqucagbk15j/-FJPG/241763-001_DET_8.jpg;https://dd3ka9h4chfr8.cloudfront.net/image/725136000567/image_a6s4069r993c98a2nc66955m1p/-FJPG/241763-001_DET_9.tif;https://dd3ka9h4chfr8.cloudfront.net/image/725136000567/image_2fn5ci48hl0il1ia65j1c9v951/-FJPG/FHMPRJ016_SCENE-9.jpg</t>
  </si>
  <si>
    <t>Tawny Oak</t>
  </si>
  <si>
    <t>241763-001</t>
  </si>
  <si>
    <t>212.52</t>
  </si>
  <si>
    <t>https://dd3ka9h4chfr8.cloudfront.net/image/725136000567/image_6es2k8njph2c78864k3g3kkm72/-FJPG/241763-001_FRT_1.jpg</t>
  </si>
  <si>
    <t>92</t>
  </si>
  <si>
    <t>{"value":92,"unit":"in"}</t>
  </si>
  <si>
    <t>Tawny Oak Veneer</t>
  </si>
  <si>
    <t>A clean-styled media console made from warm, grain-rich oak. Six doors feature subtle finger grooves for easy open. Gentle curves soften up the look, while a floating design keeps things feeling light and fresh. Inside, generous shelving awaits storage of media and more.</t>
  </si>
  <si>
    <t>{"value":95.25,"unit":"in"}</t>
  </si>
  <si>
    <t>{"value":258.38,"unit":"lb"}</t>
  </si>
  <si>
    <t>Elle</t>
  </si>
  <si>
    <t>3.37"</t>
  </si>
  <si>
    <t>Elliana Swivel Chair</t>
  </si>
  <si>
    <t>https://dd3ka9h4chfr8.cloudfront.net/image/725136000567/image_6fg20ggjqt4gje141c9fq4lv76/-FJPG/235243-009_FRT_1.jpg;https://dd3ka9h4chfr8.cloudfront.net/image/725136000567/image_gs2v2pkgn94oj5bkaj3h4k6515/-FJPG/235243-009_PRM_1.jpg;https://dd3ka9h4chfr8.cloudfront.net/image/725136000567/image_9qdngj6mod0fd267382s9v2m7k/-FJPG/235243-009_SID_1.jpg;https://dd3ka9h4chfr8.cloudfront.net/image/725136000567/image_sh6ru99sst39d5kn91uhkiua20/-FJPG/235243-009_ESS.tif;https://dd3ka9h4chfr8.cloudfront.net/image/725136000567/image_e3so000c6p2119lh5jvolel454/-FJPG/235243-009_DET_2.jpg;https://dd3ka9h4chfr8.cloudfront.net/image/725136000567/image_ip0vligrop2bddr49iu6jdm36b/-FJPG/235243-009_BCK_1.jpg;https://dd3ka9h4chfr8.cloudfront.net/image/725136000567/image_a48e1c8jdl3np796u6sfs67a52/-FJPG/235243-009_DET_1.jpg;https://dd3ka9h4chfr8.cloudfront.net/image/725136000567/image_n5v42vdde51ipb57cs4gkh2o0p/-FJPG/235243-009_DET_3.jpg;https://dd3ka9h4chfr8.cloudfront.net/image/725136000567/image_18osgjjj3d4i71l50psh9mea4d/-FJPG/235243-009_DET_4.jpg;https://dd3ka9h4chfr8.cloudfront.net/image/725136000567/image_peoko0upgt0h9avi7htbtsl359/-FJPG/235243-009_DET_5.jpg;https://dd3ka9h4chfr8.cloudfront.net/image/725136000567/image_r7k6gra65l5ll9vtlbenvjat72/-FJPG/235243-009_DET_9.tif</t>
  </si>
  <si>
    <t>Blamont Cream</t>
  </si>
  <si>
    <t>235243-009</t>
  </si>
  <si>
    <t>https://dd3ka9h4chfr8.cloudfront.net/image/725136000567/image_6fg20ggjqt4gje141c9fq4lv76/-FJPG/235243-009_FRT_1.jpg</t>
  </si>
  <si>
    <t>Meet the chair that offers it all: curves, color, texture, durability, and sustainability. All atop a modern 360-degree swivel. Easy to clean and made from fully recyclable materials, FIQA fabrics are machine-washable, stain-resistant, water-repellent and antimicrobial.</t>
  </si>
  <si>
    <t>Complete Item,Bevel Box, H1=790mm,H2=610mm</t>
  </si>
  <si>
    <t>Elliana</t>
  </si>
  <si>
    <t>https://dd3ka9h4chfr8.cloudfront.net/image/725136000567/image_s4lt64mqr94mrd0j9gg11q6h7j/-FJPG/235243-003_FRT_1.JPG;https://dd3ka9h4chfr8.cloudfront.net/image/725136000567/image_j0rmv4v9ml0ifa4g53jp30uv2i/-FJPG/235243-003_PRM_1.JPG;https://dd3ka9h4chfr8.cloudfront.net/image/725136000567/image_noscft0en57ebe5rg9hi55f321/-FJPG/235243-003_SID_1.JPG;https://dd3ka9h4chfr8.cloudfront.net/image/725136000567/image_c1upethjr54sn5hdajd3285r5k/-FJPG/235243-003_ESS_1.jpg;https://dd3ka9h4chfr8.cloudfront.net/image/725136000567/image_r634209au901h4sjmvs16gme6a/-FJPG/235243-003_DET_2.JPG;https://dd3ka9h4chfr8.cloudfront.net/image/725136000567/image_oflact58ap0rn1c687c2o9cp5j/-FJPG/235243-003_BCK_1.JPG;https://dd3ka9h4chfr8.cloudfront.net/image/725136000567/image_50gga0vi197210oqdk6kmsas3r/-FJPG/235243-003_INF_1.jpg;https://dd3ka9h4chfr8.cloudfront.net/image/725136000567/image_e83uneeksd4v1ek7elhh1mem77/-FJPG/235243-003_DET_1.JPG;https://dd3ka9h4chfr8.cloudfront.net/image/725136000567/image_30cambdms57t363qmcmcq59h7c/-FJPG/235243-003_DET_3.JPG</t>
  </si>
  <si>
    <t>FIQA Boucle Natural</t>
  </si>
  <si>
    <t>235243-003</t>
  </si>
  <si>
    <t>https://dd3ka9h4chfr8.cloudfront.net/image/725136000567/image_s4lt64mqr94mrd0j9gg11q6h7j/-FJPG/235243-003_FRT_1.JPG</t>
  </si>
  <si>
    <t>Meet the chair that offers it all: curves, texture, durability, and sustainability. All atop a modern 360-degree swivel. Easy to clean and made from fully recyclable materials, FIQA fabrics are machine-washable, stain-resistant, water-repellent and antimicrobial.</t>
  </si>
  <si>
    <t>https://dd3ka9h4chfr8.cloudfront.net/image/725136000567/image_urp5ljdv9p1q368p2m3prdk25j/-FJPG/235243-007_FRT_1.JPG;https://dd3ka9h4chfr8.cloudfront.net/image/725136000567/image_qhb2p0ral92sfap2jvmu9fft4a/-FJPG/235243-007_PRM_1.jpg;https://dd3ka9h4chfr8.cloudfront.net/image/725136000567/image_5f2je9bu9d2vj9cme4b9s23v24/-FJPG/235243-007_SID_1.jpg;https://dd3ka9h4chfr8.cloudfront.net/image/725136000567/image_2f4qa3hu8d5k33t0b8tu76su2g/-FJPG/235243-007_ESS_1.jpg;https://dd3ka9h4chfr8.cloudfront.net/image/725136000567/image_drahe007kt4q15hdrhnbohov69/-FJPG/235243-007_DET_2.jpg;https://dd3ka9h4chfr8.cloudfront.net/image/725136000567/image_g7ljla3g7p35f5b99qfjtagm4d/-FJPG/235243-007_BCK_1.jpg;https://dd3ka9h4chfr8.cloudfront.net/image/725136000567/image_tvrfdsq4o90cf1jhuhmldf8p17/-FJPG/235243-007_INF_1.jpg;https://dd3ka9h4chfr8.cloudfront.net/image/725136000567/image_84sjaltit94c97jb6i4es6ib32/-FJPG/235243-007_DET_1.jpg;https://dd3ka9h4chfr8.cloudfront.net/image/725136000567/image_0fm5g448bl62naqvj4m4liun68/-FJPG/235243-007_DET_3.jpg;https://dd3ka9h4chfr8.cloudfront.net/image/725136000567/image_410egu59ht5dh8bmfvuk6c3b4j/-FJPG/235243-007_DET_4.jpg;https://dd3ka9h4chfr8.cloudfront.net/image/725136000567/image_s5c9126qvp0cj4nlqfk4f1fk77/-FJPG/235243-007_DET_5.jpg;https://dd3ka9h4chfr8.cloudfront.net/image/725136000567/image_06djtvjgnt2uj3dhqfn61l3a0v/-FJPG/FHMPRJ-007_SCENE_7.tif</t>
  </si>
  <si>
    <t>235243-007</t>
  </si>
  <si>
    <t>https://dd3ka9h4chfr8.cloudfront.net/image/725136000567/image_urp5ljdv9p1q368p2m3prdk25j/-FJPG/235243-007_FRT_1.JPG</t>
  </si>
  <si>
    <t>https://dd3ka9h4chfr8.cloudfront.net/image/725136000567/image_op1oelstlp5oj46kafor56l61o/-FJPG/235243-008_FRT_1.JPG;https://dd3ka9h4chfr8.cloudfront.net/image/725136000567/image_scvqfrelmd3uh8kual9ukkfr3h/-FJPG/235243-008_PRM_1.JPG;https://dd3ka9h4chfr8.cloudfront.net/image/725136000567/image_l6b1prk6qp43p4qisjnkfvgk4s/-FJPG/235243-008_SID_1.JPG;https://dd3ka9h4chfr8.cloudfront.net/image/725136000567/image_33nat5hlfd7g3d27pp9ep6p637/-FJPG/235243-008_DET_2.JPG;https://dd3ka9h4chfr8.cloudfront.net/image/725136000567/image_pd66ah6mmd09n4jgpa1qfk6s0f/-FJPG/235243-008_BCK_1.JPG;https://dd3ka9h4chfr8.cloudfront.net/image/725136000567/image_l4mop45vdt4dr531tg9rtj0n6j/-FJPG/235243-008_DET_1.JPG;https://dd3ka9h4chfr8.cloudfront.net/image/725136000567/image_qr4uguv2o17thfe1pv4a3ka962/-FJPG/235243-008_DET_3.JPG;https://dd3ka9h4chfr8.cloudfront.net/image/725136000567/image_kv9q7f05ih55d87lop926fri4k/-FJPG/235243-008_DET_4.JPG</t>
  </si>
  <si>
    <t>235243-008</t>
  </si>
  <si>
    <t>https://dd3ka9h4chfr8.cloudfront.net/image/725136000567/image_op1oelstlp5oj46kafor56l61o/-FJPG/235243-008_FRT_1.JPG</t>
  </si>
  <si>
    <t>Elora Chair</t>
  </si>
  <si>
    <t>https://dd3ka9h4chfr8.cloudfront.net/image/725136000567/image_5ou4perd5t5td435nhpqcg7p0b/-FJPG/231386-003_FRT_1.jpg;https://dd3ka9h4chfr8.cloudfront.net/image/725136000567/image_bhqo9da5dl13n44uucb1vmbc22/-FJPG/231386-003_PRM_1.jpg;https://dd3ka9h4chfr8.cloudfront.net/image/725136000567/image_gp5duprh2p095b6rsdrk934o5d/-FJPG/231386-003_SID_1.jpg;https://dd3ka9h4chfr8.cloudfront.net/image/725136000567/image_4m13kbqvsd6pj101h0gfbfuv0n/-FJPG/231386-003_ESS_1.jpg;https://dd3ka9h4chfr8.cloudfront.net/image/725136000567/image_rnbpfabq3p5p3dfe2c3udkoo3m/-FJPG/231386-003_DET_2.jpg;https://dd3ka9h4chfr8.cloudfront.net/image/725136000567/image_4kgbj9iued3fnfuun9c3p2k61j/-FJPG/231386-003_BCK_1.jpg;https://dd3ka9h4chfr8.cloudfront.net/image/725136000567/image_62didpf1at2mlbbl9mm188bu3l/-FJPG/231386-003_DET_1.jpg;https://dd3ka9h4chfr8.cloudfront.net/image/725136000567/image_8k59g65dgp4b734cfng2jqpf7n/-FJPG/231386-003_DET_3.jpg;https://dd3ka9h4chfr8.cloudfront.net/image/725136000567/image_1n541mili52np8jo67pet2vv5f/-FJPG/231386-003_DET_4.jpg;https://dd3ka9h4chfr8.cloudfront.net/image/725136000567/image_2hi9ofeg0t65ta9v90akudr760/-FJPG/231386-003_DET_5.jpg</t>
  </si>
  <si>
    <t>Sheepskin Camel</t>
  </si>
  <si>
    <t>231386-003</t>
  </si>
  <si>
    <t>https://dd3ka9h4chfr8.cloudfront.net/image/725136000567/image_5ou4perd5t5td435nhpqcg7p0b/-FJPG/231386-003_FRT_1.jpg</t>
  </si>
  <si>
    <t>The classic wing-back club chair adopts heavy channeling for an even-comfier sit. Highly textural poly fiber fabric brings this retro lounge-inspired chair up to modern speed.</t>
  </si>
  <si>
    <t>Complete Item, L Box Shape</t>
  </si>
  <si>
    <t>{"value":65.04,"unit":"lb"}</t>
  </si>
  <si>
    <t>Elora</t>
  </si>
  <si>
    <t>Emery Sofa</t>
  </si>
  <si>
    <t>https://dd3ka9h4chfr8.cloudfront.net/image/725136000567/image_2ufi6du8ll1avb8n1nj1rb770r/-FJPG/109573-019_FRT_1.jpg;https://dd3ka9h4chfr8.cloudfront.net/image/725136000567/image_ak9625ueid5bd3vgsg3gmbo34g/-FJPG/109573-019_PRM_1.jpg;https://dd3ka9h4chfr8.cloudfront.net/image/725136000567/image_lgrujn54nl1rpfo6qmdgkgjt76/-FJPG/109573-019_SID_1.jpg;https://dd3ka9h4chfr8.cloudfront.net/image/725136000567/image_fduqma48nd5sffmrvbg0ub8j34/-FJPG/109573-019_DET_2.jpg;https://dd3ka9h4chfr8.cloudfront.net/image/725136000567/image_qo9v0a3bbh6pre6tk1e85v7u5a/-FJPG/109573-019_BCK_1.jpg;https://dd3ka9h4chfr8.cloudfront.net/image/725136000567/image_iinc4fqhmt4ht67rio2nlkak40/-FJPG/109573-019_DET_1.jpg;https://dd3ka9h4chfr8.cloudfront.net/image/725136000567/image_put01dk8pl7r35j2gdviotp151/-FJPG/109573-019_DET_3.jpg;https://dd3ka9h4chfr8.cloudfront.net/image/725136000567/image_rtqtqamvch2d5dm0evrenc2s4f/-FJPG/109573-019_DET_4.jpg;https://dd3ka9h4chfr8.cloudfront.net/image/725136000567/image_abr99385j10off32kh47k3r77s/-FJPG/109573-019_DET_5.jpg;https://dd3ka9h4chfr8.cloudfront.net/image/725136000567/image_d2c50eeu9522hf7a3eb7jf2v1d/-FJPG/109573-019_ROM_1.jpg</t>
  </si>
  <si>
    <t>Sapphire Bay</t>
  </si>
  <si>
    <t>109573-019</t>
  </si>
  <si>
    <t>109.35</t>
  </si>
  <si>
    <t>https://dd3ka9h4chfr8.cloudfront.net/image/725136000567/image_2ufi6du8ll1avb8n1nj1rb770r/-FJPG/109573-019_FRT_1.jpg</t>
  </si>
  <si>
    <t>["95% Polyester","5% Cotton","Aluminum"]</t>
  </si>
  <si>
    <t>Antique Brass</t>
  </si>
  <si>
    <t>Clean, mid-century styling adopts regality via jewel tone upholstery. A velvety blend of polyester and cotton forms tailored lines while slim legs of antique brass add a sophisticated finishing touch.</t>
  </si>
  <si>
    <t>{"value":128.31,"unit":"lb"}</t>
  </si>
  <si>
    <t>36.00"</t>
  </si>
  <si>
    <t>Emery</t>
  </si>
  <si>
    <t>https://dd3ka9h4chfr8.cloudfront.net/image/725136000567/image_q77t2596fp7q317fitmfio167i/-FJPG/109573-020_FRT_1.jpg;https://dd3ka9h4chfr8.cloudfront.net/image/725136000567/image_e7p214tac55lpfcrgjbgsbqf0i/-FJPG/109573-020_PRM_1.jpg;https://dd3ka9h4chfr8.cloudfront.net/image/725136000567/image_hsld3i3bq91kfejvb5p2o8sl7i/-FJPG/109573-020_SID_1.jpg;https://dd3ka9h4chfr8.cloudfront.net/image/725136000567/image_r68ik6g1vd3tr996qf63fpa07r/-FJPG/109573-020_ESS_1.jpg;https://dd3ka9h4chfr8.cloudfront.net/image/725136000567/image_1v8p4c09mh7q51ho9mahvo1n2m/-FJPG/109573-020_DET_2.jpg;https://dd3ka9h4chfr8.cloudfront.net/image/725136000567/image_9ab69movjp7b103h3h15j12v7e/-FJPG/109573-020_BCK_1.jpg;https://dd3ka9h4chfr8.cloudfront.net/image/725136000567/image_ch53t24gol061aekl9dampvl18/-FJPG/Color Variance Card_Sapphire Birch.jpg;https://dd3ka9h4chfr8.cloudfront.net/image/725136000567/image_n97hcflak94aj5hq85mvjn6m22/-FJPG/109573-020_DET_1.jpg;https://dd3ka9h4chfr8.cloudfront.net/image/725136000567/image_qlg54ccj1t791757o7n01jks6k/-FJPG/109573-020_DET_3.jpg;https://dd3ka9h4chfr8.cloudfront.net/image/725136000567/image_gfqnmp9gml2mf5ctjcecjb6r1d/-FJPG/109573-020_DET_4.jpg;https://dd3ka9h4chfr8.cloudfront.net/image/725136000567/image_e2irpvjom559f6sfe3r0qkr51o/-FJPG/109573-020_DET_5.jpg;https://dd3ka9h4chfr8.cloudfront.net/image/725136000567/image_iq7vnln1u91i913q1gqmddts41/-FJPG/109573-020_DET_6.jpg;https://dd3ka9h4chfr8.cloudfront.net/image/725136000567/image_q7ht0c8df15tdf1pbaahmuhi2h/-FJPG/109573-020_ROM_1.jpg</t>
  </si>
  <si>
    <t>Sapphire Birch</t>
  </si>
  <si>
    <t>109573-020</t>
  </si>
  <si>
    <t>https://dd3ka9h4chfr8.cloudfront.net/image/725136000567/image_q77t2596fp7q317fitmfio167i/-FJPG/109573-020_FRT_1.jpg</t>
  </si>
  <si>
    <t>Clean, mid-century styling adopts regality via plush birch-grey upholstery. A soft blend of polyester and cotton forms tailored lines while slim legs of antique brass add a sophisticated finishing touch. Distressed velvet upholstery with subtle highs and lows that change in appearance depending on the direction of the fabric's nap and the lighting in the room.</t>
  </si>
  <si>
    <t>https://dd3ka9h4chfr8.cloudfront.net/image/725136000567/image_d677fjtajt74f4g3ugstkuj11q/-FJPG/109573-022_FRT_1.jpg;https://dd3ka9h4chfr8.cloudfront.net/image/725136000567/image_6at2sud7sh0k59c94qbvof6f4b/-FJPG/109573-022_PRM_1.jpg;https://dd3ka9h4chfr8.cloudfront.net/image/725136000567/image_rt99fdp99932h8jpujfppcc06a/-FJPG/109573-022_SID_1.jpg;https://dd3ka9h4chfr8.cloudfront.net/image/725136000567/image_oaan47t09p04ha2ag2g7jucj6b/-FJPG/109573-022_DET_2.jpg;https://dd3ka9h4chfr8.cloudfront.net/image/725136000567/image_fk4ebd2vt95a91eguqjjm73519/-FJPG/109573-022_BCK_1.jpg;https://dd3ka9h4chfr8.cloudfront.net/image/725136000567/image_6bueh4u6td7d1a03f3sufi2m57/-FJPG/109573-022_DET_1.jpg;https://dd3ka9h4chfr8.cloudfront.net/image/725136000567/image_hke011r2dl3kl2tbiqmpfa9r3g/-FJPG/109573-022_DET_3.jpg;https://dd3ka9h4chfr8.cloudfront.net/image/725136000567/image_7nld22fj4h57h6tlr07eo2rm3j/-FJPG/109573-022_DET_4.jpg;https://dd3ka9h4chfr8.cloudfront.net/image/725136000567/image_qpmsufeked6dn1utng61l5p45i/-FJPG/109573-022_DET_5.jpg;https://dd3ka9h4chfr8.cloudfront.net/image/725136000567/image_8l7emfe5it79vc33rdvqlajh42/-FJPG/109573-022_ROM_1.jpg</t>
  </si>
  <si>
    <t>109573-022</t>
  </si>
  <si>
    <t>https://dd3ka9h4chfr8.cloudfront.net/image/725136000567/image_d677fjtajt74f4g3ugstkuj11q/-FJPG/109573-022_FRT_1.jpg</t>
  </si>
  <si>
    <t>["Top Grain Leather","Aluminum"]</t>
  </si>
  <si>
    <t>Clean, mid-century styling adopts regality via jewel tone upholstery. Rich butterscotch top-grain leather forms tailored lines while slim legs of antique brass add a sophisticated finishing touch.</t>
  </si>
  <si>
    <t>https://dd3ka9h4chfr8.cloudfront.net/image/725136000567/image_v6c0ssncdh3qv57ek8plb6hj00/-FJPG/109573-024_FRT_1.jpg;https://dd3ka9h4chfr8.cloudfront.net/image/725136000567/image_f8gpvo7rs9429ab3t907uete32/-FJPG/109573-024_PRM_1.jpg;https://dd3ka9h4chfr8.cloudfront.net/image/725136000567/image_d7ppor39d907p211qcg2bcgn2v/-FJPG/109573-024_SID_1.jpg;https://dd3ka9h4chfr8.cloudfront.net/image/725136000567/image_b5si56uph52nd8b2kkm69itj45/-FJPG/109573-024_DET_2.jpg;https://dd3ka9h4chfr8.cloudfront.net/image/725136000567/image_rl6te75drl11r8cqlcphdmvs5c/-FJPG/109573-024_BCK_1.jpg;https://dd3ka9h4chfr8.cloudfront.net/image/725136000567/image_pfbjk0am0p18h5rdnsfoc4uq6u/-FJPG/109573-024_INF_1.jpg;https://dd3ka9h4chfr8.cloudfront.net/image/725136000567/image_io8kmgv0s54i7645a4siub217j/-FJPG/109573-024_DET_1.jpg;https://dd3ka9h4chfr8.cloudfront.net/image/725136000567/image_lkl98kvmbl0rb8bkp89191ub0s/-FJPG/109573-024_DET_3.jpg;https://dd3ka9h4chfr8.cloudfront.net/image/725136000567/image_mv9bt7ip4t1ofcnfelulpkh643/-FJPG/109573-024_DET_4.jpg;https://dd3ka9h4chfr8.cloudfront.net/image/725136000567/image_2rbass80el5v1fujnb1s8l4h1j/-FJPG/109573-024_DET_5.jpg;https://dd3ka9h4chfr8.cloudfront.net/image/725136000567/image_rcou48gh5d0n9aonp0458ibk77/-FJPG/109573-024_DET_6.jpg;https://dd3ka9h4chfr8.cloudfront.net/image/725136000567/image_bqq0ajvp5d3hn4lm8366kt3v27/-FJPG/109573-024_DET_7.jpg</t>
  </si>
  <si>
    <t>109573-024</t>
  </si>
  <si>
    <t>https://dd3ka9h4chfr8.cloudfront.net/image/725136000567/image_v6c0ssncdh3qv57ek8plb6hj00/-FJPG/109573-024_FRT_1.jpg</t>
  </si>
  <si>
    <t>["66% Polyester","19% Acrylic","15% Flax/Linen","Aluminum"]</t>
  </si>
  <si>
    <t>Brushed Bronze</t>
  </si>
  <si>
    <t>Clean, mid-century styling adopts modernity via textural upholstery in an inviting cream-infused grey. Tailored lines meet slim legs of bronze-finished aluminum for a sophisticated finishing touch.</t>
  </si>
  <si>
    <t>Emma Bed</t>
  </si>
  <si>
    <t>https://dd3ka9h4chfr8.cloudfront.net/image/725136000567/image_6l4lrqcj214rv1n0rq5v7idi2f/-FJPG/227886-003_FRT_1.jpg;https://dd3ka9h4chfr8.cloudfront.net/image/725136000567/image_v24qkkfm293vl3jouui5qo2a4c/-FJPG/227886-003_PRM_1.jpg;https://dd3ka9h4chfr8.cloudfront.net/image/725136000567/image_t9s1loucjt4p58vptkc2g7s86q/-FJPG/227886-003_SID_1.jpg;https://dd3ka9h4chfr8.cloudfront.net/image/725136000567/image_o3rr1sl6bh1gremnq3qsisc50o/-FJPG/227886-003_ESS.tif;https://dd3ka9h4chfr8.cloudfront.net/image/725136000567/image_1dqf4vdshp2jt8kjg75erjnt0f/-FJPG/227886-003_DET_2.jpg;https://dd3ka9h4chfr8.cloudfront.net/image/725136000567/image_0itdms07ul5rta4s93t9gsld4h/-FJPG/227886-003_BCK_1.jpg;https://dd3ka9h4chfr8.cloudfront.net/image/725136000567/image_oiioojggd14st7fni6025sh33s/-FJPG/227886-003_DET_1.jpg;https://dd3ka9h4chfr8.cloudfront.net/image/725136000567/image_uu0qojb9rd67h0mhbviopo9m6r/-FJPG/227886-003_DET_3.jpg;https://dd3ka9h4chfr8.cloudfront.net/image/725136000567/image_1a1ejplb2l69veoek3lgbo4k7f/-FJPG/227886-003_DET_4.jpg;https://dd3ka9h4chfr8.cloudfront.net/image/725136000567/image_hfhpceqa7l0dhc03eklesis04n/-FJPG/227886-003_DET_5.jpg;https://dd3ka9h4chfr8.cloudfront.net/image/725136000567/image_l7ed4btn091fj7tk896h39bu1q/-FJPG/227886-003_DET_6.jpg</t>
  </si>
  <si>
    <t>Knoll Sand</t>
  </si>
  <si>
    <t>227886-003</t>
  </si>
  <si>
    <t>https://dd3ka9h4chfr8.cloudfront.net/image/725136000567/image_6l4lrqcj214rv1n0rq5v7idi2f/-FJPG/227886-003_FRT_1.jpg</t>
  </si>
  <si>
    <t>70.25</t>
  </si>
  <si>
    <t>{"value":70.25,"unit":"in"}</t>
  </si>
  <si>
    <t>Weathered Sepia</t>
  </si>
  <si>
    <t>Channel surfing. Upholstered with boucle-like fabric in a neutral sand, parawood legs run the height of a heavily channeled headboard, for a lengthy look with textural depth.</t>
  </si>
  <si>
    <t>Slats/ Siderails</t>
  </si>
  <si>
    <t>{"value":82.09,"unit":"in"}</t>
  </si>
  <si>
    <t>{"value":73.03,"unit":"in"}</t>
  </si>
  <si>
    <t>{"value":50.59,"unit":"in"}</t>
  </si>
  <si>
    <t>{"value":77.82,"unit":"lb"}</t>
  </si>
  <si>
    <t>{"value":5.12,"unit":"in"}</t>
  </si>
  <si>
    <t>{"value":70.99,"unit":"lb"}</t>
  </si>
  <si>
    <t>Emma</t>
  </si>
  <si>
    <t>70.35"</t>
  </si>
  <si>
    <t>4.92"</t>
  </si>
  <si>
    <t>2.28"</t>
  </si>
  <si>
    <t>9.02"</t>
  </si>
  <si>
    <t>83.50"</t>
  </si>
  <si>
    <t>https://dd3ka9h4chfr8.cloudfront.net/image/725136000567/image_69nvv3ndud2938cgsuqdo0mr25/-FJPG/227886-004_FRT_1.jpg;https://dd3ka9h4chfr8.cloudfront.net/image/725136000567/image_fikkblh9053rf510f636pq7r65/-FJPG/227886-004_PRM_1.jpg;https://dd3ka9h4chfr8.cloudfront.net/image/725136000567/image_053dt3stfh3ah4921ladeluc23/-FJPG/227886-004_SID_1.jpg;https://dd3ka9h4chfr8.cloudfront.net/image/725136000567/image_o3rr1sl6bh1gremnq3qsisc50o/-FJPG/227886-003_ESS.tif;https://dd3ka9h4chfr8.cloudfront.net/image/725136000567/image_1j8f8oh3st7q911324vf5ltf2o/-FJPG/227886-004_DET_2.jpg;https://dd3ka9h4chfr8.cloudfront.net/image/725136000567/image_krdfbgt4ud66f76r1on07n1i45/-FJPG/227886-004_BCK_1.jpg;https://dd3ka9h4chfr8.cloudfront.net/image/725136000567/image_orlpqem5dp0c18lgdi6rtn601n/-FJPG/227886-004_DET_1.jpg;https://dd3ka9h4chfr8.cloudfront.net/image/725136000567/image_i5654f2hut1sf7dlm3n1j6jj5t/-FJPG/227886-004_DET_3.jpg;https://dd3ka9h4chfr8.cloudfront.net/image/725136000567/image_5fm4jrah7d2vdctqf0errp3i50/-FJPG/227886-004_DET_4.jpg;https://dd3ka9h4chfr8.cloudfront.net/image/725136000567/image_nt52imp7u56lpb9decqv8eii32/-FJPG/227886-004_DET_5.jpg;https://dd3ka9h4chfr8.cloudfront.net/image/725136000567/image_h4cou9l7el08b7c9rr19i8ko5j/-FJPG/227886-004_DET_6.jpg</t>
  </si>
  <si>
    <t>227886-004</t>
  </si>
  <si>
    <t>https://dd3ka9h4chfr8.cloudfront.net/image/725136000567/image_69nvv3ndud2938cgsuqdo0mr25/-FJPG/227886-004_FRT_1.jpg</t>
  </si>
  <si>
    <t>Channel surfing. A lux take on a vintage-inspired style, upholstered with boucle-like fabric in a neutral sand. Parawood legs run the height of a heavily channeled headboard, for a lengthy look with textural depth.</t>
  </si>
  <si>
    <t>86.50"</t>
  </si>
  <si>
    <t>76.85"</t>
  </si>
  <si>
    <t>Emmett Sling Chair</t>
  </si>
  <si>
    <t>https://dd3ka9h4chfr8.cloudfront.net/image/725136000567/image_vtdqnn36816shef50ohil1qm0g/-FJPG/105995-014_FRT_1.jpg;https://dd3ka9h4chfr8.cloudfront.net/image/725136000567/image_f0es5c9u213dj24qsek4vi7e5h/-FJPG/105995-014_PRM_1.jpg;https://dd3ka9h4chfr8.cloudfront.net/image/725136000567/image_0ph91cdjh16q1aamushtrpui60/-FJPG/105995-014_SID_1.jpg;https://dd3ka9h4chfr8.cloudfront.net/image/725136000567/image_f9o9nmp46p5m5723jh5qegjq37/-FJPG/105995-014_ESS_1.tif;https://dd3ka9h4chfr8.cloudfront.net/image/725136000567/image_8m8hupi2id58nf6j2l4fqljc2q/-FJPG/105995-014_DET_2.jpg;https://dd3ka9h4chfr8.cloudfront.net/image/725136000567/image_r1i2oj74v90fnfbrlaqnr1rs7p/-FJPG/105995-014_DET_1.jpg;https://dd3ka9h4chfr8.cloudfront.net/image/725136000567/image_26scfbir994kf59q6cj5st8b6h/-FJPG/105995-014_DET_3.jpg;https://dd3ka9h4chfr8.cloudfront.net/image/725136000567/image_90a41pdoll18jd3sj6llquuc0k/-FJPG/105995-014_DET_4.jpg;https://dd3ka9h4chfr8.cloudfront.net/image/725136000567/image_19v1ktfob94qb32nhiguafuv1l/-FJPG/105995-014_DET_5.jpg;https://dd3ka9h4chfr8.cloudfront.net/image/725136000567/image_cm5a2403f90g73ekbn09b8o15a/-FJPG/105995-014_DET_6.jpg;https://dd3ka9h4chfr8.cloudfront.net/image/725136000567/image_oksilan7g93bdcapdh1rhc5309/-FJPG/105995-014_ROM_1.jpg</t>
  </si>
  <si>
    <t>Umber Natural</t>
  </si>
  <si>
    <t>105995-014</t>
  </si>
  <si>
    <t>51.81</t>
  </si>
  <si>
    <t>https://dd3ka9h4chfr8.cloudfront.net/image/725136000567/image_vtdqnn36816shef50ohil1qm0g/-FJPG/105995-014_FRT_1.jpg</t>
  </si>
  <si>
    <t>Super stylish, effortlessly cool. Sling-style seating of light leather sits low and curved for a fresh take on a throwback form. Slim, gunmetal-finished iron framing ups the drama factor of an innately hip design.</t>
  </si>
  <si>
    <t>{"value":64.59,"unit":"lb"}</t>
  </si>
  <si>
    <t>Emmett</t>
  </si>
  <si>
    <t>Erie Bar + Counter Table</t>
  </si>
  <si>
    <t>https://dd3ka9h4chfr8.cloudfront.net/image/725136000567/image_vtat3qhie54hb6sej1ovn38m2n/-FJPG/106411-003_FRT_1.jpg;https://dd3ka9h4chfr8.cloudfront.net/image/725136000567/image_qi38toc1097hha3490sdn3c130/-FJPG/106411-003_PRM_1.jpg;https://dd3ka9h4chfr8.cloudfront.net/image/725136000567/image_d1an08hng93336rn1kh2vvlp5u/-FJPG/106411-003_SID_1.jpg;https://dd3ka9h4chfr8.cloudfront.net/image/725136000567/image_r7p0b8dj6971fb4uittgbhmb5t/-FJPG/106411-003_DET_2.jpg;https://dd3ka9h4chfr8.cloudfront.net/image/725136000567/image_qj8qht8o7l1h99a0ltl6jtb26e/-FJPG/106411-003_DET_1.jpg;https://dd3ka9h4chfr8.cloudfront.net/image/725136000567/image_k25u9oie192r7fnav5ogh0aj1i/-FJPG/106411-003_DET_3.jpg;https://dd3ka9h4chfr8.cloudfront.net/image/725136000567/image_g30r1eu24l2fr50ieq2u8rb86u/-FJPG/106411-003_DET_4.jpg;https://dd3ka9h4chfr8.cloudfront.net/image/725136000567/image_a6bcm2srl956pcmvog43ot4s4d/-FJPG/106411-003_DET_5.jpg;https://dd3ka9h4chfr8.cloudfront.net/image/725136000567/image_5lm521k3795ula0bg3ioi7ak2u/-FJPG/106411-003_DET_6.jpg;https://dd3ka9h4chfr8.cloudfront.net/image/725136000567/image_fgcm5s562d5f102d1cc1dvbp48/-FJPG/106411-003_DET_7.jpg;https://dd3ka9h4chfr8.cloudfront.net/image/725136000567/image_qchvhrj9rt2959ojqbnd042u01/-FJPG/106411-003_DET_8.jpg;https://dd3ka9h4chfr8.cloudfront.net/image/725136000567/image_0trb9gcq2h7ib3247pk471ls5q/-FJPG/106411-003_DET_9.jpg;https://dd3ka9h4chfr8.cloudfront.net/image/725136000567/image_tq81espsnl5kbf7tqr4g8mrc57/-FJPG/106411-003_VIG_1.jpg</t>
  </si>
  <si>
    <t>Dark Smoked Oak</t>
  </si>
  <si>
    <t>106411-003</t>
  </si>
  <si>
    <t>178.65</t>
  </si>
  <si>
    <t>https://dd3ka9h4chfr8.cloudfront.net/image/725136000567/image_vtat3qhie54hb6sej1ovn38m2n/-FJPG/106411-003_FRT_1.jpg</t>
  </si>
  <si>
    <t>Glenwood</t>
  </si>
  <si>
    <t>Bar Tables</t>
  </si>
  <si>
    <t>Dark-smoked oak forms clean, structured lines, crafting the finest of bar tables with rustic, ombre-evocative undertones. Streak-like highlights are common, and speak to woods which have been specially selected for their unique natural patterns and graining. A subtle variance in color and pattern is to be expected from piece to piece, and is reflective of materialsâ€™ organic sourcing.</t>
  </si>
  <si>
    <t>{"value":75.25,"unit":"in"}</t>
  </si>
  <si>
    <t>{"value":110.01,"unit":"lb"}</t>
  </si>
  <si>
    <t>{"value":15.25,"unit":"in"}</t>
  </si>
  <si>
    <t>{"value":24.75,"unit":"in"}</t>
  </si>
  <si>
    <t>{"value":92.5,"unit":"lb"}</t>
  </si>
  <si>
    <t>Erie</t>
  </si>
  <si>
    <t>18.63"</t>
  </si>
  <si>
    <t>45.25"</t>
  </si>
  <si>
    <t>40.38"</t>
  </si>
  <si>
    <t>Bar</t>
  </si>
  <si>
    <t>https://dd3ka9h4chfr8.cloudfront.net/image/725136000567/image_186liroetd05bfpps2bu5opn4c/-FJPG/106411-004_FRT_1.jpg;https://dd3ka9h4chfr8.cloudfront.net/image/725136000567/image_6kn1tfv3kd18p70mg6mhrhth1d/-FJPG/106411-004_PRM_1.jpg;https://dd3ka9h4chfr8.cloudfront.net/image/725136000567/image_q6a77r8cd505rea8iapvchba6p/-FJPG/106411-004_SID_1.jpg;https://dd3ka9h4chfr8.cloudfront.net/image/725136000567/image_deeqgs84rt2s98mn3qr9v1010r/-FJPG/106411-004_DET_2.jpg;https://dd3ka9h4chfr8.cloudfront.net/image/725136000567/image_atdpnl82t55ip96bson6bmct5t/-FJPG/106411-004_DET_1.jpg;https://dd3ka9h4chfr8.cloudfront.net/image/725136000567/image_cujsqbi56949569novakidfm2a/-FJPG/106411-004_DET_3.jpg;https://dd3ka9h4chfr8.cloudfront.net/image/725136000567/image_svfvf2l1rl40v4vdfn434g4t5f/-FJPG/106411-004_TOP_1.jpg;https://dd3ka9h4chfr8.cloudfront.net/image/725136000567/image_a1nidhnett239afo0vs1ov861n/-FJPG/106411-004_DET_4.jpg;https://dd3ka9h4chfr8.cloudfront.net/image/725136000567/image_1pva39m9st74v1c9t2enfusr5u/-FJPG/106411-004_DET_5.jpg;https://dd3ka9h4chfr8.cloudfront.net/image/725136000567/image_v34ah28an54v127b9caik0jc38/-FJPG/106411-004_DET_6.jpg;https://dd3ka9h4chfr8.cloudfront.net/image/725136000567/image_eapam42iah1db483si1djust64/-FJPG/106411-004_DET_7.jpg;https://dd3ka9h4chfr8.cloudfront.net/image/725136000567/image_jfsrjaspfd3s95rbe0u1a6pr7p/-FJPG/106411-004_DET_8.jpg;https://dd3ka9h4chfr8.cloudfront.net/image/725136000567/image_lv1q381nt16ob9i6jt6ghjdl5j/-FJPG/106411-004_VIG_1.jpg</t>
  </si>
  <si>
    <t>106411-004</t>
  </si>
  <si>
    <t>177.65</t>
  </si>
  <si>
    <t>https://dd3ka9h4chfr8.cloudfront.net/image/725136000567/image_186liroetd05bfpps2bu5opn4c/-FJPG/106411-004_FRT_1.jpg</t>
  </si>
  <si>
    <t>Dark-smoked oak forms clean, structured lines, crafting the finest of counter tables with beautiful rustic undertones.</t>
  </si>
  <si>
    <t>{"value":82.89,"unit":"lb"}</t>
  </si>
  <si>
    <t>Erie Coffee Table</t>
  </si>
  <si>
    <t>https://dd3ka9h4chfr8.cloudfront.net/image/725136000567/image_b8ikppn8313297lsqbt32i4t2v/-FJPG/101405-003_FRT_1.jpg;https://dd3ka9h4chfr8.cloudfront.net/image/725136000567/image_psf3id928l6b3b7t6s6v552q4h/-FJPG/101405-003_PRM_1.jpg;https://dd3ka9h4chfr8.cloudfront.net/image/725136000567/image_t3uetefehd3s97tj9r8j426c4q/-FJPG/101405-003_SID_1.jpg;https://dd3ka9h4chfr8.cloudfront.net/image/725136000567/image_l0svkkctu90954itksb54sik2k/-FJPG/101405-003_DET_2.jpg;https://dd3ka9h4chfr8.cloudfront.net/image/725136000567/image_tujif3e2kh3q588vosvp89vc07/-FJPG/101405-003_DET_1.jpg;https://dd3ka9h4chfr8.cloudfront.net/image/725136000567/image_qs07nf4ki90ptag7mnn2uvcf74/-FJPG/101405-003_DET_3.jpg;https://dd3ka9h4chfr8.cloudfront.net/image/725136000567/image_je3bn12i0t5331trvo65b4ls3e/-FJPG/101405-003_DET_4.jpg;https://dd3ka9h4chfr8.cloudfront.net/image/725136000567/image_le6jggvhph4l758ade769gih2d/-FJPG/101405-003_VIG_1.jpg</t>
  </si>
  <si>
    <t>101405-003</t>
  </si>
  <si>
    <t>76.54</t>
  </si>
  <si>
    <t>https://dd3ka9h4chfr8.cloudfront.net/image/725136000567/image_b8ikppn8313297lsqbt32i4t2v/-FJPG/101405-003_FRT_1.jpg</t>
  </si>
  <si>
    <t>51</t>
  </si>
  <si>
    <t>Dark-smoked oak forms clean, structured lines, crafting the finest of coffee tables with rustic, ombre-evocative undertones. Streak-like highlights are common, and speak to woods which have been specially selected for their unique natural patterns and graining. A subtle variance in color and pattern is to be expected from piece to piece, and is reflective of materialsâ€™ organic sourcing.</t>
  </si>
  <si>
    <t>{"value":54.25,"unit":"in"}</t>
  </si>
  <si>
    <t>{"value":57.58,"unit":"lb"}</t>
  </si>
  <si>
    <t>{"value":10,"unit":"in"}</t>
  </si>
  <si>
    <t>{"value":32.49,"unit":"lb"}</t>
  </si>
  <si>
    <t>43.25"</t>
  </si>
  <si>
    <t>3.88"</t>
  </si>
  <si>
    <t>Esben Storage Ottoman-39"</t>
  </si>
  <si>
    <t>https://dd3ka9h4chfr8.cloudfront.net/image/725136000567/image_9tqu0kt3n510t063rkntgsl22u/-FJPG/231476-001_FRT_1.jpg;https://dd3ka9h4chfr8.cloudfront.net/image/725136000567/image_25pngknk0h3c19ced8oo361h4e/-FJPG/231476-001_PRM_1.jpg;https://dd3ka9h4chfr8.cloudfront.net/image/725136000567/image_b764po06i13ch4226e7epmuj19/-FJPG/231476-001_SID_1.jpg;https://dd3ka9h4chfr8.cloudfront.net/image/725136000567/image_40jrbtvo3d1uh0v7m0jhn4qd7o/-FJPG/231476-001_ESS_1.jpg;https://dd3ka9h4chfr8.cloudfront.net/image/725136000567/image_vr2tgoulk90jrdkb1qb97iqv6p/-FJPG/231476-001_DET_2.jpg;https://dd3ka9h4chfr8.cloudfront.net/image/725136000567/image_hq4b6vsng50l7f18mhvsvepi3s/-FJPG/231476-001_DET_1.jpg;https://dd3ka9h4chfr8.cloudfront.net/image/725136000567/image_e6g9und5c13k9d8vh45fub9f2f/-FJPG/231476-001_DET_3.jpg;https://dd3ka9h4chfr8.cloudfront.net/image/725136000567/image_e04mr86det2vbc7jj1gg273r4a/-FJPG/231476-001_DET_4.jpg;https://dd3ka9h4chfr8.cloudfront.net/image/725136000567/image_vurqje4fr96kf53cingits146c/-FJPG/231476-001_DET_5.jpg;https://dd3ka9h4chfr8.cloudfront.net/image/725136000567/image_dpcl581jl96p70hs6qanfeci0b/-FJPG/231476-001_ESS_2.jpg</t>
  </si>
  <si>
    <t>231476-001</t>
  </si>
  <si>
    <t>58.86</t>
  </si>
  <si>
    <t>https://dd3ka9h4chfr8.cloudfront.net/image/725136000567/image_9tqu0kt3n510t063rkntgsl22u/-FJPG/231476-001_FRT_1.jpg</t>
  </si>
  <si>
    <t>["96% Polyester","4% Acrylic","Solid Oak"]</t>
  </si>
  <si>
    <t>Get extra storage and an extra spot for lounging or propped feet in one. This coffee table-sized storage ottoman features a loose top to store extra blankets and more. Upholstered in a textural boucle-like performance fabric, perfect for everyday messes. Finished with an X-frame parawood base in a walnut-inspired finish. Performance fabrics are specially created to withstand spills, stains, high traffic and wear, ensuring long-term comfort and unmatched durability.</t>
  </si>
  <si>
    <t>{"value":78.92,"unit":"lb"}</t>
  </si>
  <si>
    <t>6.77"</t>
  </si>
  <si>
    <t>17.52"</t>
  </si>
  <si>
    <t>Esben</t>
  </si>
  <si>
    <t>Esmi Console Table</t>
  </si>
  <si>
    <t>https://dd3ka9h4chfr8.cloudfront.net/image/725136000567/image_6j562u877p01vba8qess3l8j1u/-FJPG/243351-001_FRT_1.jpg;https://dd3ka9h4chfr8.cloudfront.net/image/725136000567/image_fvu2ovrhm92n94n4826g6lh90i/-FJPG/243351-001_PRM_1.jpg;https://dd3ka9h4chfr8.cloudfront.net/image/725136000567/image_86np44gf4p2ltcsv0534pt3v6q/-FJPG/243351-001_SID_1.jpg;https://dd3ka9h4chfr8.cloudfront.net/image/725136000567/image_5pp03nsbhh5ff77jsfrso6ah54/-FJPG/243351-001_ESS.tif;https://dd3ka9h4chfr8.cloudfront.net/image/725136000567/image_617u50ldlp3ptcuj0tmv0mta6q/-FJPG/243351-001_DET_2.jpg;https://dd3ka9h4chfr8.cloudfront.net/image/725136000567/image_2v0p9ms43t2i1b88fi2e8t6c03/-FJPG/243351-001_BCK_1.jpg;https://dd3ka9h4chfr8.cloudfront.net/image/725136000567/image_lvjhibassd26p53ejonuisj31b/-FJPG/243351-001_DET_1.jpg;https://dd3ka9h4chfr8.cloudfront.net/image/725136000567/image_8rqncv85hd1gp39026nltj7v7p/-FJPG/243351-001_DET_3.jpg;https://dd3ka9h4chfr8.cloudfront.net/image/725136000567/image_lhk6j6lan560j5h8tdenib3i3p/-FJPG/243351-001_TOP_1.jpg</t>
  </si>
  <si>
    <t>Bleached Spalted Primavera</t>
  </si>
  <si>
    <t>243351-001</t>
  </si>
  <si>
    <t>144.62</t>
  </si>
  <si>
    <t>https://dd3ka9h4chfr8.cloudfront.net/image/725136000567/image_6j562u877p01vba8qess3l8j1u/-FJPG/243351-001_FRT_1.jpg</t>
  </si>
  <si>
    <t>["Thick Primavera Veneer"]</t>
  </si>
  <si>
    <t>Make a statement with this console table of spalted primavera with a clean, bleached finish. An exaggerated overhang top elevates otherwise simple shaping, for a dramatic look that can move between spaces with ease.</t>
  </si>
  <si>
    <t>Top, Plate</t>
  </si>
  <si>
    <t>{"value":56.48,"unit":"lb"}</t>
  </si>
  <si>
    <t>Base/ Ai/ Hardware</t>
  </si>
  <si>
    <t>{"value":134.04,"unit":"lb"}</t>
  </si>
  <si>
    <t>Esmi</t>
  </si>
  <si>
    <t>Etro Media Console</t>
  </si>
  <si>
    <t>https://dd3ka9h4chfr8.cloudfront.net/image/725136000567/image_5bsg2jr6h90eb6u69mrt2hca4f/-FJPG/234724-002_FRT_1.jpg;https://dd3ka9h4chfr8.cloudfront.net/image/725136000567/image_vthj9tjh456b16a8fbf1s29h58/-FJPG/234724-002_PRM_1.jpg;https://dd3ka9h4chfr8.cloudfront.net/image/725136000567/image_b1kqp794hp6tt0tb28m6nqck14/-FJPG/234724-002_SID_1.jpg;https://dd3ka9h4chfr8.cloudfront.net/image/725136000567/image_hg8r98gslt4sdfmoum3la4lf3n/-FJPG/234724-002_ESS.tif;https://dd3ka9h4chfr8.cloudfront.net/image/725136000567/image_ga4f233bj51dbbmgvlaf95c621/-FJPG/234724-002_ESS_1.jpg;https://dd3ka9h4chfr8.cloudfront.net/image/725136000567/image_fdnsmmj91p7vh6pvbeahuivl40/-FJPG/234724-002_DET_2.jpg;https://dd3ka9h4chfr8.cloudfront.net/image/725136000567/image_fis5nfbd1t021ekje84a14o770/-FJPG/234724-002_BCK_1.jpg;https://dd3ka9h4chfr8.cloudfront.net/image/725136000567/image_l6grjinrhh1bp58hm0ltkkrb28/-FJPG/234724-002_DET_1.jpg;https://dd3ka9h4chfr8.cloudfront.net/image/725136000567/image_vv0d01jnap7jr2e48pv48c0602/-FJPG/234724-002_DET_3.jpg;https://dd3ka9h4chfr8.cloudfront.net/image/725136000567/image_86l7bm11lh7jfb0bhnicvli52b/-FJPG/234724-002_OPN_1.jpg;https://dd3ka9h4chfr8.cloudfront.net/image/725136000567/image_ier9j867pt7j1aid61p26c2543/-FJPG/234724-002_DET_4.jpg;https://dd3ka9h4chfr8.cloudfront.net/image/725136000567/image_960hn7ddat0nje5uilhklodu5s/-FJPG/234724-002_DET_5.jpg;https://dd3ka9h4chfr8.cloudfront.net/image/725136000567/image_ui1v63qpvh1m5cv3v878cauv62/-FJPG/234724-002_DET_6.jpg;https://dd3ka9h4chfr8.cloudfront.net/image/725136000567/image_ej3uuhi7lp7tt2rmqpf2hdo964/-FJPG/234724-002_DET_7.jpg</t>
  </si>
  <si>
    <t>Tawny Pine</t>
  </si>
  <si>
    <t>234724-004</t>
  </si>
  <si>
    <t>127.87</t>
  </si>
  <si>
    <t>https://dd3ka9h4chfr8.cloudfront.net/image/725136000567/image_5bsg2jr6h90eb6u69mrt2hca4f/-FJPG/234724-002_FRT_1.jpg</t>
  </si>
  <si>
    <t>["Solid Pine","Top Grain Leather"]</t>
  </si>
  <si>
    <t>Fulton</t>
  </si>
  <si>
    <t>Natural Leather</t>
  </si>
  <si>
    <t>Inspired by retro European design, a character-rich media console is made from solid pine, with mortise and tenon joinery spanning its sides. Door pulls of top-grain leather add a textural finishing touch, while three rear cutouts keep cords out of sight.</t>
  </si>
  <si>
    <t>{"value":145.5,"unit":"lb"}</t>
  </si>
  <si>
    <t>19.09"</t>
  </si>
  <si>
    <t>Etro</t>
  </si>
  <si>
    <t>1.18"</t>
  </si>
  <si>
    <t>12.60"</t>
  </si>
  <si>
    <t>Etro Nightstand</t>
  </si>
  <si>
    <t>https://dd3ka9h4chfr8.cloudfront.net/image/725136000567/image_cueho7ba4d1ph56vid7ho4uv34/-FJPG/234728-003_FRT_1.jpg;https://dd3ka9h4chfr8.cloudfront.net/image/725136000567/image_8kfu7q4785377edk9qamo3nn03/-FJPG/234728-003_PRM_1.jpg;https://dd3ka9h4chfr8.cloudfront.net/image/725136000567/image_9au1ddm9cl6lt36cvcebu3qt30/-FJPG/234728-003_SID_1.jpg;https://dd3ka9h4chfr8.cloudfront.net/image/725136000567/image_btsmglujjd13f6p4see8lrsi4q/-FJPG/234728-003_ESS.tif;https://dd3ka9h4chfr8.cloudfront.net/image/725136000567/image_av7f45nbgt4vdeaii8mkqc8m5s/-FJPG/234728-003_DET_2.jpg;https://dd3ka9h4chfr8.cloudfront.net/image/725136000567/image_jco391rf555r37tu27o01mda3t/-FJPG/234728-003_BCK_1.jpg;https://dd3ka9h4chfr8.cloudfront.net/image/725136000567/image_sm9kncdg317nr69od2uatcgh0n/-FJPG/234728-003_DET_1.jpg;https://dd3ka9h4chfr8.cloudfront.net/image/725136000567/image_81pnv6j3cp6l551tg5gvbur17e/-FJPG/234728-003_DET_3.jpg;https://dd3ka9h4chfr8.cloudfront.net/image/725136000567/image_sn0ipp6h3t38h0524j29hirf2a/-FJPG/234728-003_TOP_1.jpg;https://dd3ka9h4chfr8.cloudfront.net/image/725136000567/image_59run8bd2p5vv065dm50isvg7a/-FJPG/234728-003_DET_9.tif</t>
  </si>
  <si>
    <t>234728-003</t>
  </si>
  <si>
    <t>https://dd3ka9h4chfr8.cloudfront.net/image/725136000567/image_cueho7ba4d1ph56vid7ho4uv34/-FJPG/234728-003_FRT_1.jpg</t>
  </si>
  <si>
    <t>Inspired by retro European design, a character-rich nightstand is made from solid pine, with mortise and tenon joinery spanning its sides. Door pulls of top-grain leather add a textural finishing touch.</t>
  </si>
  <si>
    <t>29.72"</t>
  </si>
  <si>
    <t>13.38"</t>
  </si>
  <si>
    <t>Etro Sideboard</t>
  </si>
  <si>
    <t>https://dd3ka9h4chfr8.cloudfront.net/image/725136000567/image_pt8duqut290dlf9i5agua6mf23/-FJPG/233904-002_FRT_1.jpg;https://dd3ka9h4chfr8.cloudfront.net/image/725136000567/image_qrpm42nn0l26l3t3u4a9k4v224/-FJPG/233904-002_PRM_1.jpg;https://dd3ka9h4chfr8.cloudfront.net/image/725136000567/image_47l6qdkbh96hl04dlntmpd8u13/-FJPG/233904-002_SID_1.jpg;https://dd3ka9h4chfr8.cloudfront.net/image/725136000567/image_89vf0fik2d0et3ql7b3efrhq48/-FJPG/233904-002_ESS_1.jpg;https://dd3ka9h4chfr8.cloudfront.net/image/725136000567/image_v4tqbgtbvt4unaqk2u94u4er4k/-FJPG/233904-002_DET_2.jpg;https://dd3ka9h4chfr8.cloudfront.net/image/725136000567/image_7i3hc0qgr55jrctp8ofc4ip571/-FJPG/233904-002_BCK_1.jpg;https://dd3ka9h4chfr8.cloudfront.net/image/725136000567/image_q5donf2jc14c55qpkif4jrkh18/-FJPG/233904-002_DET_1.jpg;https://dd3ka9h4chfr8.cloudfront.net/image/725136000567/image_0cib8ea4493evatjvhhf14k54d/-FJPG/233904-002_DET_3.jpg;https://dd3ka9h4chfr8.cloudfront.net/image/725136000567/image_qe52uolicd1319df1dm7s5tc67/-FJPG/233904-002_OPN_1.jpg;https://dd3ka9h4chfr8.cloudfront.net/image/725136000567/image_oh91fbar1d6gl5c15aq02fov1p/-FJPG/233904-002_DET_4.jpg;https://dd3ka9h4chfr8.cloudfront.net/image/725136000567/image_0u12u7661t5j17rhu7bg05pl70/-FJPG/233904-002_DET_5.jpg;https://dd3ka9h4chfr8.cloudfront.net/image/725136000567/image_b3q6ub79e13u303sq79q1cum01/-FJPG/233904-002_DET_6.jpg</t>
  </si>
  <si>
    <t>233904-005</t>
  </si>
  <si>
    <t>https://dd3ka9h4chfr8.cloudfront.net/image/725136000567/image_pt8duqut290dlf9i5agua6mf23/-FJPG/233904-002_FRT_1.jpg</t>
  </si>
  <si>
    <t>Inspired by retro European design, a character-rich media sideboard is made from solid pine, with mortise and tenon joinery spanning its sides. Door pulls of top-grain leather add a textural finishing touch, while three rear cutouts keep cords out of sight.</t>
  </si>
  <si>
    <t>Etta Chair</t>
  </si>
  <si>
    <t>https://dd3ka9h4chfr8.cloudfront.net/image/725136000567/image_98mhakeei54md37icgu8am2027/-FJPG/108728-010_FRT_1.jpg;https://dd3ka9h4chfr8.cloudfront.net/image/725136000567/image_pu4hkfo6v97755uebopb9kq85l/-FJPG/108728-010_PRM_1.jpg;https://dd3ka9h4chfr8.cloudfront.net/image/725136000567/image_janne1s53d3cn8t4kef82pq62l/-FJPG/108728-010_SID_1.jpg;https://dd3ka9h4chfr8.cloudfront.net/image/725136000567/image_jpk348du9l0kv454452rm76a03/-FJPG/108728-010_ESS_1.jpg;https://dd3ka9h4chfr8.cloudfront.net/image/725136000567/image_61bb6i6jud64j3f1q2j9a90j6s/-FJPG/108728-010_DET_2.jpg;https://dd3ka9h4chfr8.cloudfront.net/image/725136000567/image_t50smpdu9l6b93q49ihugvmo5m/-FJPG/108728-010_BCK_1.jpg;https://dd3ka9h4chfr8.cloudfront.net/image/725136000567/image_j7tkaj9tlh3ihcfn9gqcchml03/-FJPG/108728-010_DET_1.jpg;https://dd3ka9h4chfr8.cloudfront.net/image/725136000567/image_23rakl68sh75ta3uhvaoqho319/-FJPG/108728-010_DET_3.jpg;https://dd3ka9h4chfr8.cloudfront.net/image/725136000567/image_ucfjguqicd0g70u0canl19663r/-FJPG/108728-010_TOP_1.jpg;https://dd3ka9h4chfr8.cloudfront.net/image/725136000567/image_j4vdi3dsa90vl9ggnc45jfgc30/-FJPG/108728-010_DET_4.jpg;https://dd3ka9h4chfr8.cloudfront.net/image/725136000567/image_p2njvr4jdl3jlffar96vmnue25/-FJPG/108728-010_DET_5.jpg;https://dd3ka9h4chfr8.cloudfront.net/image/725136000567/image_1j2mbh8f3h0hf0mq5oibljq759/-FJPG/108728-010_DET_6.jpg;https://dd3ka9h4chfr8.cloudfront.net/image/725136000567/image_dgo8qufd215j12o50qiptm2760/-FJPG/108728-010_DET_7.jpg;https://dd3ka9h4chfr8.cloudfront.net/image/725136000567/image_r47dso6mm90qr9t9bd2dr76g3i/-FJPG/108728-010_DET_8.jpg</t>
  </si>
  <si>
    <t>108728-010</t>
  </si>
  <si>
    <t>https://dd3ka9h4chfr8.cloudfront.net/image/725136000567/image_98mhakeei54md37icgu8am2027/-FJPG/108728-010_FRT_1.jpg</t>
  </si>
  <si>
    <t>["Top Grain Leather","Iron","Solid Parawood"]</t>
  </si>
  <si>
    <t>Yucca Parawood</t>
  </si>
  <si>
    <t>Deco-driven elegance. An "updated" take on the traditional cigar chair, impeccably tailored top-grain leather forms a curvy U shape, with solid parawood detailing and a gunmetal-finished iron frame.</t>
  </si>
  <si>
    <t>Onechair</t>
  </si>
  <si>
    <t>{"value":35.24,"unit":"in"}</t>
  </si>
  <si>
    <t>Etta</t>
  </si>
  <si>
    <t>8.07"</t>
  </si>
  <si>
    <t>https://dd3ka9h4chfr8.cloudfront.net/image/725136000567/image_iee5jdl0o13b96fpkhps9sh33q/-FJPG/108728-003_FRT_1.jpg;https://dd3ka9h4chfr8.cloudfront.net/image/725136000567/image_afgqhtar3523h2lgpv8cjmcd4p/-FJPG/108728-003_PRM_1.jpg;https://dd3ka9h4chfr8.cloudfront.net/image/725136000567/image_upoiv3gdj93k942a2qjndj6h17/-FJPG/108728-003_SID_1.jpg;https://dd3ka9h4chfr8.cloudfront.net/image/725136000567/image_mtni35jgtp50n55aduqn8oit10/-FJPG/108728-003_ESS_1.jpg;https://dd3ka9h4chfr8.cloudfront.net/image/725136000567/image_6c785potdt20p0320o1t6g3q2v/-FJPG/108728-003_DET_2.jpg;https://dd3ka9h4chfr8.cloudfront.net/image/725136000567/image_sneeka8gol1gd52masgrvho60p/-FJPG/108728-003_BCK_1.jpg;https://dd3ka9h4chfr8.cloudfront.net/image/725136000567/image_hn19fbcad55vj9iuu9or8guu0h/-FJPG/108728-003_DET_1.jpg;https://dd3ka9h4chfr8.cloudfront.net/image/725136000567/image_v1n3ma4la92v9bkv6rb51coj46/-FJPG/108728-003_DET_3.jpg;https://dd3ka9h4chfr8.cloudfront.net/image/725136000567/image_v5brm540kd6gt6u500fm159l65/-FJPG/108728-003_DET_4.jpg;https://dd3ka9h4chfr8.cloudfront.net/image/725136000567/image_8e9mg17r5151pd7bota1qj300v/-FJPG/108728-003_DET_5.jpg;https://dd3ka9h4chfr8.cloudfront.net/image/725136000567/image_rvoubknghp3255lutcuhcfvk5t/-FJPG/108728-003_DET_6.jpg;https://dd3ka9h4chfr8.cloudfront.net/image/725136000567/image_b94jvnagit1hl3b82tk1e32r7l/-FJPG/108728-003_DET_7.jpg</t>
  </si>
  <si>
    <t>Winchester Beige</t>
  </si>
  <si>
    <t>108728-003</t>
  </si>
  <si>
    <t>https://dd3ka9h4chfr8.cloudfront.net/image/725136000567/image_iee5jdl0o13b96fpkhps9sh33q/-FJPG/108728-003_FRT_1.jpg</t>
  </si>
  <si>
    <t>Deco-driven elegance. A fresh take on the traditional cigar chair, impeccably tailored tan top-grain leather forms a curvy U shape, with solid parawood detailing adding interest to gunmetal-finished iron framing.</t>
  </si>
  <si>
    <t>Everly Sofa</t>
  </si>
  <si>
    <t>https://dd3ka9h4chfr8.cloudfront.net/image/725136000567/image_0spdufqlip0gt79f032cb1t05q/-FJPG/100938-005_FRT_1.jpg;https://dd3ka9h4chfr8.cloudfront.net/image/725136000567/image_h46gd33f6p50peeu3vqjk5hs7r/-FJPG/100938-005_PRM_1.jpg;https://dd3ka9h4chfr8.cloudfront.net/image/725136000567/image_l3bkejqdpt3h57svr7nisqjq02/-FJPG/100938-005_SID_1.jpg;https://dd3ka9h4chfr8.cloudfront.net/image/725136000567/image_1a3t1t7rsp0n1b308p7dfod37h/-FJPG/100938-005_DET_2.jpg;https://dd3ka9h4chfr8.cloudfront.net/image/725136000567/image_vhmhtnglet0fteugbk97m0re7j/-FJPG/100938-005_BCK_1.jpg;https://dd3ka9h4chfr8.cloudfront.net/image/725136000567/image_936v5e7gn9385f6bsf68b96c3d/-FJPG/100938-005_DET_1.jpg;https://dd3ka9h4chfr8.cloudfront.net/image/725136000567/image_hoie5c40dd1851565aacqvo06p/-FJPG/100938-005_DET_3.jpg;https://dd3ka9h4chfr8.cloudfront.net/image/725136000567/image_j5uaat67t9757067uop1ebo01l/-FJPG/100938-005_DET_4.jpg;https://dd3ka9h4chfr8.cloudfront.net/image/725136000567/image_dd2iksa8154mj9e0paovc6m238/-FJPG/100938-005_DET_5.jpg;https://dd3ka9h4chfr8.cloudfront.net/image/725136000567/image_cmrvop0j4170pbkshk6loaa30j/-FJPG/100938-005_DET_6.jpg;https://dd3ka9h4chfr8.cloudfront.net/image/725136000567/image_mjvcofir912cb6oqcn0i4s1t4j/-FJPG/100938-005_DET_7.jpg</t>
  </si>
  <si>
    <t>Antwerp Cafe</t>
  </si>
  <si>
    <t>100938-005</t>
  </si>
  <si>
    <t>https://dd3ka9h4chfr8.cloudfront.net/image/725136000567/image_0spdufqlip0gt79f032cb1t05q/-FJPG/100938-005_FRT_1.jpg</t>
  </si>
  <si>
    <t>["39% Linen","35% Cotton","26% Polyester","Solid Parawood"]</t>
  </si>
  <si>
    <t>Classic goes contemporary. A brown-finished parawood base supports low, deep seating of high-performance fabric, with track arms for a clean touch.</t>
  </si>
  <si>
    <t>{"value":43.7,"unit":"in"}</t>
  </si>
  <si>
    <t>{"value":158.73,"unit":"lb"}</t>
  </si>
  <si>
    <t>75.00"</t>
  </si>
  <si>
    <t>Everly</t>
  </si>
  <si>
    <t>42.50"</t>
  </si>
  <si>
    <t>68.25"</t>
  </si>
  <si>
    <t>https://dd3ka9h4chfr8.cloudfront.net/image/725136000567/image_rr2v1tl7815gja24naoec5jr3l/-FJPG/CKEN-297A6-663P_FRT_1.jpg;https://dd3ka9h4chfr8.cloudfront.net/image/725136000567/image_mvhc217i0d0c51u4k12m01bu6q/-FJPG/CKEN-297A6-663P_PRM_1.jpg;https://dd3ka9h4chfr8.cloudfront.net/image/725136000567/image_lsmhmtd3n11qbd3mf5cdrnsr1d/-FJPG/CKEN-297A6-663P_SID_1.jpg;https://dd3ka9h4chfr8.cloudfront.net/image/725136000567/image_evsaug1e052ghcj261bt98gh5r/-FJPG/CKEN-297A6-663P_ESS_1.jpg;https://dd3ka9h4chfr8.cloudfront.net/image/725136000567/image_49b22nefkt30rai355bdlra37i/-FJPG/CKEN-297A6-663P_DET_2.jpg;https://dd3ka9h4chfr8.cloudfront.net/image/725136000567/image_l2fvttphe546henim032cevf4b/-FJPG/CKEN-297A6-663P_BCK_1.jpg;https://dd3ka9h4chfr8.cloudfront.net/image/725136000567/image_t5bdmqr6m119v45di2hnn9jh2m/-FJPG/CKEN-297A6-663P_INF_1.jpg;https://dd3ka9h4chfr8.cloudfront.net/image/725136000567/image_1bp18ntse13qn0cbupq7mum825/-FJPG/CKEN-297A6-663P_DET_1.jpg;https://dd3ka9h4chfr8.cloudfront.net/image/725136000567/image_999oabn6rt6djc65kmromb8p44/-FJPG/CKEN-297A6-663P_DET_3.jpg;https://dd3ka9h4chfr8.cloudfront.net/image/725136000567/image_ovhcnc2o5p5195i4oonlarfn77/-FJPG/CKEN-297A6-663P_DET_4.jpg;https://dd3ka9h4chfr8.cloudfront.net/image/725136000567/image_8t4nif0q212jv89r8o3eip1d7q/-FJPG/CKEN-297A6-663P_DET_5.jpg;https://dd3ka9h4chfr8.cloudfront.net/image/725136000567/image_t5b7b4vjn96l9a32g08teu0960/-FJPG/CKEN-297A6-663P_DET_6.jpg</t>
  </si>
  <si>
    <t>CKEN-297A6-663P</t>
  </si>
  <si>
    <t>https://dd3ka9h4chfr8.cloudfront.net/image/725136000567/image_rr2v1tl7815gja24naoec5jr3l/-FJPG/CKEN-297A6-663P_FRT_1.jpg</t>
  </si>
  <si>
    <t>["56% Polyester","44% Acrylic","Solid Parawood"]</t>
  </si>
  <si>
    <t>Antique Cocoa</t>
  </si>
  <si>
    <t>Classic goes contemporary. A cocoa-finished parawood base supports low, deep seating of performance-grade upholstery in an invitingly neutral taupe, with track arms for a clean touch.</t>
  </si>
  <si>
    <t>Everly Tete A Tete Chaise</t>
  </si>
  <si>
    <t>https://dd3ka9h4chfr8.cloudfront.net/image/725136000567/image_iudgj6f3ap2650ckfk35beug1n/-FJPG/236209-003_FRT_1.jpg;https://dd3ka9h4chfr8.cloudfront.net/image/725136000567/image_usaioo46ph2sd091kftf47p65o/-FJPG/236209-003_PRM_1.jpg;https://dd3ka9h4chfr8.cloudfront.net/image/725136000567/image_5h53sdafnh17bb1510ctkej26c/-FJPG/236209-003_SID_1.jpg;https://dd3ka9h4chfr8.cloudfront.net/image/725136000567/image_fe8rbm06cd1o11rjlvsungdu6d/-FJPG/236209-003_DET_2.jpg;https://dd3ka9h4chfr8.cloudfront.net/image/725136000567/image_60niuh0fqd6d76qo8ta8bde131/-FJPG/236209-003_DET_1.jpg;https://dd3ka9h4chfr8.cloudfront.net/image/725136000567/image_ramke37mdt33t63q8dmb07hq33/-FJPG/236209-003_DET_3.jpg;https://dd3ka9h4chfr8.cloudfront.net/image/725136000567/image_8oqqun3jpp65l5j11pgdkpuo1s/-FJPG/236209-003_DET_4.jpg;https://dd3ka9h4chfr8.cloudfront.net/image/725136000567/image_i6ovqqh1ed0lh4tejaurdimi18/-FJPG/236209-003_DET_5.jpg;https://dd3ka9h4chfr8.cloudfront.net/image/725136000567/image_nrim0lgroh5bf61cgj5nnu3v6n/-FJPG/236209-003_DET_6.jpg</t>
  </si>
  <si>
    <t>236209-003</t>
  </si>
  <si>
    <t>https://dd3ka9h4chfr8.cloudfront.net/image/725136000567/image_iudgj6f3ap2650ckfk35beug1n/-FJPG/236209-003_FRT_1.jpg</t>
  </si>
  <si>
    <t>81</t>
  </si>
  <si>
    <t>26.25</t>
  </si>
  <si>
    <t>{"value":26.25,"unit":"in"}</t>
  </si>
  <si>
    <t>Classic goes contemporary. A cocoa-finished parawood base supports low, deep seating of performance-grade upholstery. Designed with track arms on both ends for a clean touch. Performance fabrics are specially created to withstand spills, stains, high traffic and wear, ensuring long-term comfort and unmatched durability.</t>
  </si>
  <si>
    <t>{"value":48.03,"unit":"in"}</t>
  </si>
  <si>
    <t>{"value":204.15,"unit":"lb"}</t>
  </si>
  <si>
    <t>47.00"</t>
  </si>
  <si>
    <t>72.50"</t>
  </si>
  <si>
    <t>44.50"</t>
  </si>
  <si>
    <t>63.00"</t>
  </si>
  <si>
    <t>https://dd3ka9h4chfr8.cloudfront.net/image/725136000567/image_7n6192o17l4s74m131qnrjvo63/-FJPG/236209-001_FRT_1.jpg;https://dd3ka9h4chfr8.cloudfront.net/image/725136000567/image_bu48rhnc0h52d0umoosqjgei7n/-FJPG/236209-001_PRM_1.jpg;https://dd3ka9h4chfr8.cloudfront.net/image/725136000567/image_udloqqqgkt2bl6jiq4auh88m5q/-FJPG/236209-001_SID_1.jpg;https://dd3ka9h4chfr8.cloudfront.net/image/725136000567/image_1kof1kkvt562nf4cacph76vh63/-FJPG/236209-001_ESS_1.tif;https://dd3ka9h4chfr8.cloudfront.net/image/725136000567/image_5tqvpvmgrp3en5l82fhvipv70n/-FJPG/236209-001_DET_2.jpg;https://dd3ka9h4chfr8.cloudfront.net/image/725136000567/image_3st4uhuigh5vf4l82i402u0265/-FJPG/236209-001_DET_1.jpg;https://dd3ka9h4chfr8.cloudfront.net/image/725136000567/image_rvbkga9nf949j82qulp8f6370s/-FJPG/236209-001_DET_3.jpg;https://dd3ka9h4chfr8.cloudfront.net/image/725136000567/image_1608f37jat30v6j3fi5gae675b/-FJPG/236209-001_DET_4.jpg;https://dd3ka9h4chfr8.cloudfront.net/image/725136000567/image_sqksiqjcr16op5upsbhai8696a/-FJPG/236209-001_DET_5.jpg</t>
  </si>
  <si>
    <t>236209-001</t>
  </si>
  <si>
    <t>https://dd3ka9h4chfr8.cloudfront.net/image/725136000567/image_7n6192o17l4s74m131qnrjvo63/-FJPG/236209-001_FRT_1.jpg</t>
  </si>
  <si>
    <t>Classic goes contemporary. A cocoa-finished parawood base supports low, deep seating of performance-grade upholstery in an invitingly neutral taupe. Designed with track arms on both ends for a clean touch. Performance fabrics are specially created to withstand spills, stains, high traffic and wear, ensuring long-term comfort and unmatched durability.</t>
  </si>
  <si>
    <t>Everson 71" Extension Dining Table</t>
  </si>
  <si>
    <t>https://dd3ka9h4chfr8.cloudfront.net/image/725136000567/image_mj4rfg8q0t671c2aejci6ss56u/-FJPG/228471-001_FRT_1.jpg;https://dd3ka9h4chfr8.cloudfront.net/image/725136000567/image_6daspdjvvh2apcfpib9f3pl55j/-FJPG/228471-001_PRM_1.jpg;https://dd3ka9h4chfr8.cloudfront.net/image/725136000567/image_gvpd6e6ao97411er6qfvm0p954/-FJPG/228471-001_SID_1.jpg;https://dd3ka9h4chfr8.cloudfront.net/image/725136000567/image_2au74gd6jd3b1063nj85o56i13/-FJPG/228471-001_DET_2.jpg;https://dd3ka9h4chfr8.cloudfront.net/image/725136000567/image_74l3lqpheh25p5t6ppcnahi917/-FJPG/228471-001_DET_1.jpg;https://dd3ka9h4chfr8.cloudfront.net/image/725136000567/image_nvqhps1uih2fdcatfnco6dk91p/-FJPG/228471-001_DET_3.jpg;https://dd3ka9h4chfr8.cloudfront.net/image/725136000567/image_t0q2j0jih923j7vvchcho4c808/-FJPG/228471-001_OPN_1.jpg;https://dd3ka9h4chfr8.cloudfront.net/image/725136000567/image_n3eveuqrdd38fe5ks5p2kko07q/-FJPG/228471-001_DET_4.jpg;https://dd3ka9h4chfr8.cloudfront.net/image/725136000567/image_431v2o0rid5kn2pqhbtvh2d02q/-FJPG/228471-001_FRT_2.jpg</t>
  </si>
  <si>
    <t>Scrubbed Teak</t>
  </si>
  <si>
    <t>228471-001</t>
  </si>
  <si>
    <t>155.42</t>
  </si>
  <si>
    <t>https://dd3ka9h4chfr8.cloudfront.net/image/725136000567/image_mj4rfg8q0t671c2aejci6ss56u/-FJPG/228471-001_FRT_1.jpg</t>
  </si>
  <si>
    <t>70.75</t>
  </si>
  <si>
    <t>{"value":70.75,"unit":"in"}</t>
  </si>
  <si>
    <t>Reclaimed</t>
  </si>
  <si>
    <t>Solid reclaimed woods form a beautifully simple Parsons-style dining table, with a butterfly leaf allowing easy extension from 71" to 87".</t>
  </si>
  <si>
    <t>{"value":11.61,"unit":"in"}</t>
  </si>
  <si>
    <t>{"value":173.06,"unit":"lb"}</t>
  </si>
  <si>
    <t>Extension</t>
  </si>
  <si>
    <t>Everson</t>
  </si>
  <si>
    <t>33.07"</t>
  </si>
  <si>
    <t>64.57"</t>
  </si>
  <si>
    <t>29.92"</t>
  </si>
  <si>
    <t>4.53"</t>
  </si>
  <si>
    <t>70.87"</t>
  </si>
  <si>
    <t>Wood Glide</t>
  </si>
  <si>
    <t>Self-Storing</t>
  </si>
  <si>
    <t>Everson Cabinet</t>
  </si>
  <si>
    <t>https://dd3ka9h4chfr8.cloudfront.net/image/725136000567/image_1lasoc9r3l1l99344lgbfhj97r/-FJPG/228452-001_FRT_1.jpg;https://dd3ka9h4chfr8.cloudfront.net/image/725136000567/image_nd4v3j9le928fc05fecfkbls0r/-FJPG/228452-001_PRM_1.jpg;https://dd3ka9h4chfr8.cloudfront.net/image/725136000567/image_m6b7kfidp100d7cuio3bfh805o/-FJPG/228452-001_SID_1.jpg;https://dd3ka9h4chfr8.cloudfront.net/image/725136000567/image_mdb8m9loqp6q3ef856a1iuh860/-FJPG/228452-001_ESS_1.jpg;https://dd3ka9h4chfr8.cloudfront.net/image/725136000567/image_381h3paja51ah8oe0borkibh3p/-FJPG/228452-001_DET_2.jpg;https://dd3ka9h4chfr8.cloudfront.net/image/725136000567/image_6ap2eu38op4f5a9prkgi829m63/-FJPG/228452-001_BCK_1.jpg;https://dd3ka9h4chfr8.cloudfront.net/image/725136000567/image_ractjahp3940l6qsup7g3hmo26/-FJPG/228452-001_DET_1.jpg;https://dd3ka9h4chfr8.cloudfront.net/image/725136000567/image_l4vvqmca71209868a6u7oker1m/-FJPG/228452-001_DET_3.jpg;https://dd3ka9h4chfr8.cloudfront.net/image/725136000567/image_qe44c3ruj93bl4g0vqcihcl25n/-FJPG/228452-001_OPN_1.jpg;https://dd3ka9h4chfr8.cloudfront.net/image/725136000567/image_brg7ogtc0p4g7eevbp16ifbs5j/-FJPG/228452-001_DET_4.jpg;https://dd3ka9h4chfr8.cloudfront.net/image/725136000567/image_86nhs5tl4913l9vlke1ms12s54/-FJPG/228452-001_DET_5.jpg;https://dd3ka9h4chfr8.cloudfront.net/image/725136000567/image_0tj4rsqqp10nv9u4mtkvgp530p/-FJPG/228452-001_DET_6.jpg</t>
  </si>
  <si>
    <t>228452-001</t>
  </si>
  <si>
    <t>https://dd3ka9h4chfr8.cloudfront.net/image/725136000567/image_1lasoc9r3l1l99344lgbfhj97r/-FJPG/228452-001_FRT_1.jpg</t>
  </si>
  <si>
    <t>40.25</t>
  </si>
  <si>
    <t>{"value":40.25,"unit":"in"}</t>
  </si>
  <si>
    <t>Storage Cabinets</t>
  </si>
  <si>
    <t>Simple and natural-spirited. Light-finished reclaimed woods shape stately cabinetry with rounded corners for a softened look. Inside, generous space and adjustable shelving fuse for ample storage ideal in any room.</t>
  </si>
  <si>
    <t>{"value":78.15,"unit":"in"}</t>
  </si>
  <si>
    <t>{"value":12.2,"unit":"in"}</t>
  </si>
  <si>
    <t>{"value":166.45,"unit":"lb"}</t>
  </si>
  <si>
    <t>18.31"</t>
  </si>
  <si>
    <t>67.48"</t>
  </si>
  <si>
    <t>36.81"</t>
  </si>
  <si>
    <t>70.28"</t>
  </si>
  <si>
    <t>1.06"</t>
  </si>
  <si>
    <t>Storage</t>
  </si>
  <si>
    <t>13.35"</t>
  </si>
  <si>
    <t>Everton Kitchen Island</t>
  </si>
  <si>
    <t>https://dd3ka9h4chfr8.cloudfront.net/image/725136000567/image_mluoj5jkl555h02qovnuulrc1h/-FJPG/IHRM-164_FRT_1.jpg;https://dd3ka9h4chfr8.cloudfront.net/image/725136000567/image_6v26cu26hp6rj3foc41cfr271e/-FJPG/IHRM-164_PRM_1.jpg;https://dd3ka9h4chfr8.cloudfront.net/image/725136000567/image_h87nu3nsmp2dj74srftm3ij514/-FJPG/IHRM-164_SID_1.jpg;https://dd3ka9h4chfr8.cloudfront.net/image/725136000567/image_936lviufmt7j17pegvn7h48p6k/-FJPG/IHRM-164_DET_2.jpg;https://dd3ka9h4chfr8.cloudfront.net/image/725136000567/image_jovjb1mnht2pd13amr9pccas7b/-FJPG/IHRM-164_DET_1.jpg;https://dd3ka9h4chfr8.cloudfront.net/image/725136000567/image_mkacmnb88l257ekmasl78gio2d/-FJPG/IHRM-164_DET_3.jpg;https://dd3ka9h4chfr8.cloudfront.net/image/725136000567/image_5cab0q4ekt6rt6ckujnqpbnd7d/-FJPG/IHRM-164_OPN_1.jpg;https://dd3ka9h4chfr8.cloudfront.net/image/725136000567/image_nl44eu5b4l3u1bseedijl25d6t/-FJPG/IHRM-164_DET_4.jpg;https://dd3ka9h4chfr8.cloudfront.net/image/725136000567/image_lrash0auu93l91kkoh36k7n923/-FJPG/IHRM-164_DET_5.jpg;https://dd3ka9h4chfr8.cloudfront.net/image/725136000567/image_fsrfbhr5ep6s17t94in9v4gj54/-FJPG/IHRM-164_DET_6.jpg;https://dd3ka9h4chfr8.cloudfront.net/image/725136000567/image_osnbfbbrfl73r8r1sdna2ho166/-FJPG/IHRM-164_DET_7.jpg</t>
  </si>
  <si>
    <t>Polished White Marble</t>
  </si>
  <si>
    <t>IHRM-164</t>
  </si>
  <si>
    <t>363.19</t>
  </si>
  <si>
    <t>https://dd3ka9h4chfr8.cloudfront.net/image/725136000567/image_mluoj5jkl555h02qovnuulrc1h/-FJPG/IHRM-164_FRT_1.jpg</t>
  </si>
  <si>
    <t>["Solid Marble","Solid Acacia"]</t>
  </si>
  <si>
    <t>Light Tanner Brown Acacia</t>
  </si>
  <si>
    <t>Kitchen Islands</t>
  </si>
  <si>
    <t>A clever fusion of function and style. Solid brown-finished acacia welcomes six total drawers â€“ three on each side â€“ with a polished white marble tabletop keeping things smooth and sophisticated.</t>
  </si>
  <si>
    <t>{"value":314.38,"unit":"lb"}</t>
  </si>
  <si>
    <t>Structure /Stretcher</t>
  </si>
  <si>
    <t>{"value":14.5,"unit":"in"}</t>
  </si>
  <si>
    <t>{"value":161.27,"unit":"lb"}</t>
  </si>
  <si>
    <t>Everton</t>
  </si>
  <si>
    <t>62.00"</t>
  </si>
  <si>
    <t>72.00"</t>
  </si>
  <si>
    <t>17.63"</t>
  </si>
  <si>
    <t>Counter</t>
  </si>
  <si>
    <t>Ezri 6 Drawer Dresser</t>
  </si>
  <si>
    <t>https://dd3ka9h4chfr8.cloudfront.net/image/725136000567/image_e0vqbh3drp4vjbnckt168rsq26/-FJPG/241430-002_FRT_1.jpg;https://dd3ka9h4chfr8.cloudfront.net/image/725136000567/image_9vphakvrj569l9fjseucelu804/-FJPG/241430-002_PRM_1.jpg;https://dd3ka9h4chfr8.cloudfront.net/image/725136000567/image_crci9r9ni11nt0r7giccd27t02/-FJPG/241430-002_SID_1.jpg;https://dd3ka9h4chfr8.cloudfront.net/image/725136000567/image_5nqp353lht3ph3fcsqhufof335/-FJPG/241430-002_DET_2.jpg;https://dd3ka9h4chfr8.cloudfront.net/image/725136000567/image_vbmg7op6qt0656rf2j853r9i76/-FJPG/241430-002_BCK_1.jpg;https://dd3ka9h4chfr8.cloudfront.net/image/725136000567/image_75qlgtgkmd3997v0ook5m9ii67/-FJPG/241430-002_DET_1.jpg;https://dd3ka9h4chfr8.cloudfront.net/image/725136000567/image_33roqa04j10precdct952s0f1u/-FJPG/241430-002_DET_3.jpg;https://dd3ka9h4chfr8.cloudfront.net/image/725136000567/image_2kjb8cl98p0qva14k9vsk3ci52/-FJPG/241430-002_OPN_1.jpg;https://dd3ka9h4chfr8.cloudfront.net/image/725136000567/image_qnfoa7m0lt3s72h0o10o7q387d/-FJPG/241430-002_TOP_1.jpg;https://dd3ka9h4chfr8.cloudfront.net/image/725136000567/image_3ig250sqv93pr0d748e0f67f4q/-FJPG/241430-002_DET_4.jpg;https://dd3ka9h4chfr8.cloudfront.net/image/725136000567/image_t257086nqh5nvfimoavv8cep0t/-FJPG/241430-002_DET_5.jpg;https://dd3ka9h4chfr8.cloudfront.net/image/725136000567/image_gintasone93rretc2hhq4unp0m/-FJPG/241430-002_DET_6.jpg;https://dd3ka9h4chfr8.cloudfront.net/image/725136000567/image_tt56t2dsb50prcfdc8j04a9r7q/-FJPG/241430-002_DET_7.jpg</t>
  </si>
  <si>
    <t>Carved Black Oak</t>
  </si>
  <si>
    <t>241430-002</t>
  </si>
  <si>
    <t>271.39</t>
  </si>
  <si>
    <t>https://dd3ka9h4chfr8.cloudfront.net/image/725136000567/image_e0vqbh3drp4vjbnckt168rsq26/-FJPG/241430-002_FRT_1.jpg</t>
  </si>
  <si>
    <t>Aiden</t>
  </si>
  <si>
    <t>Black oak, organic carving and cylinder legs fuse for a primitive look, while wood's varying grain colors add unique character to each piece.</t>
  </si>
  <si>
    <t>{"value":323.3,"unit":"lb"}</t>
  </si>
  <si>
    <t>Ezri</t>
  </si>
  <si>
    <t>https://dd3ka9h4chfr8.cloudfront.net/image/725136000567/image_fr3doefshd6sv3ihitht31ks19/-FJPG/241430-001_FRT_1.jpg;https://dd3ka9h4chfr8.cloudfront.net/image/725136000567/image_g8dk6fuust5op90vmdkd5ovv3h/-FJPG/241430-001_PRM_1.jpg;https://dd3ka9h4chfr8.cloudfront.net/image/725136000567/image_62gejqf4ot7953s3s6b1hquk7q/-FJPG/241430-001_SID_1.jpg;https://dd3ka9h4chfr8.cloudfront.net/image/725136000567/image_3mufdjov993fn9vsfpovaubb2g/-FJPG/241430-001_ESS.tif;https://dd3ka9h4chfr8.cloudfront.net/image/725136000567/image_s6vot1s5k950fbficj422ivd4j/-FJPG/241430-001_DET_2.jpg;https://dd3ka9h4chfr8.cloudfront.net/image/725136000567/image_mgg545v0f93ll338kavqbjck2n/-FJPG/241430-001_BCK_1.jpg;https://dd3ka9h4chfr8.cloudfront.net/image/725136000567/image_5rqet11o414o1dh1ado387o606/-FJPG/241430-001_DET_1.jpg;https://dd3ka9h4chfr8.cloudfront.net/image/725136000567/image_u5q17qurk54nfcujhg2e8iu529/-FJPG/241430-001_DET_3.jpg;https://dd3ka9h4chfr8.cloudfront.net/image/725136000567/image_crpjjgn87l11j3qe9ooq25hf7q/-FJPG/241430-001_OPN_1.jpg;https://dd3ka9h4chfr8.cloudfront.net/image/725136000567/image_9saqj5pm352vp8p7fhof70i87v/-FJPG/241430-001_TOP_1.jpg;https://dd3ka9h4chfr8.cloudfront.net/image/725136000567/image_cf6hrucsmd5vd482lj5v8ntg42/-FJPG/241430-001_DET_4.jpg;https://dd3ka9h4chfr8.cloudfront.net/image/725136000567/image_jalibqrf7t7bn0lc6ltm3ep74l/-FJPG/241430-001_DET_5.jpg;https://dd3ka9h4chfr8.cloudfront.net/image/725136000567/image_m68gq6jqe94kp7ugkr59ksd26j/-FJPG/241430-001_DET_6.jpg;https://dd3ka9h4chfr8.cloudfront.net/image/725136000567/image_iiqidudnbh51161nbvqufuok6i/-FJPG/241430-001_DET_7.jpg;https://dd3ka9h4chfr8.cloudfront.net/image/725136000567/image_avhajjf5il79r9s82qs86tlv0s/-FJPG/241430-001_DET_9.tif</t>
  </si>
  <si>
    <t>Carved Cocoa Oak</t>
  </si>
  <si>
    <t>241430-001</t>
  </si>
  <si>
    <t>https://dd3ka9h4chfr8.cloudfront.net/image/725136000567/image_fr3doefshd6sv3ihitht31ks19/-FJPG/241430-001_FRT_1.jpg</t>
  </si>
  <si>
    <t>Cocoa-finished oak, organic carving and cylinder legs fuse for  a primitive look, while wood's varying grain colors add unique character to each piece.</t>
  </si>
  <si>
    <t>Ezri Cabinet</t>
  </si>
  <si>
    <t>https://dd3ka9h4chfr8.cloudfront.net/image/725136000567/image_s884d0sjsd0trd24v4ktig177o/-FJPG/241253-002_FRT_1.jpg;https://dd3ka9h4chfr8.cloudfront.net/image/725136000567/image_ld8q58v8tp5spe14360jingm1r/-FJPG/241253-002_PRM_1.jpg;https://dd3ka9h4chfr8.cloudfront.net/image/725136000567/image_tpe2gslj9h12323o9tk7ja7o61/-FJPG/241253-002_SID_1.jpg;https://dd3ka9h4chfr8.cloudfront.net/image/725136000567/image_ke9b7au1c53kd2uh2u68979j1a/-FJPG/241253-002_DET_2.jpg;https://dd3ka9h4chfr8.cloudfront.net/image/725136000567/image_tkj08dejp559n37lg0jpddsa67/-FJPG/241253-002_BCK_1.jpg;https://dd3ka9h4chfr8.cloudfront.net/image/725136000567/image_46v5r5hll57s9d52e94p986k66/-FJPG/241253-002_DET_1.jpg;https://dd3ka9h4chfr8.cloudfront.net/image/725136000567/image_rnmoqv0uh54snd78sli49ja91j/-FJPG/241253-002_DET_3.jpg;https://dd3ka9h4chfr8.cloudfront.net/image/725136000567/image_4208a4m21h4hrejd2hu58emq6u/-FJPG/241253-002_OPN_1.jpg;https://dd3ka9h4chfr8.cloudfront.net/image/725136000567/image_rbe37l0sk50s9dk2q65m28fb6i/-FJPG/241253-002_TOP_1.jpg;https://dd3ka9h4chfr8.cloudfront.net/image/725136000567/image_ovvunht7nl3kn2mv9lsa74g15p/-FJPG/241253-002_DET_4.jpg;https://dd3ka9h4chfr8.cloudfront.net/image/725136000567/image_ga5ia6285p5lp2ss8e70nsao77/-FJPG/241253-002_DET_5.jpg</t>
  </si>
  <si>
    <t>241253-002</t>
  </si>
  <si>
    <t>222.33</t>
  </si>
  <si>
    <t>https://dd3ka9h4chfr8.cloudfront.net/image/725136000567/image_s884d0sjsd0trd24v4ktig177o/-FJPG/241253-002_FRT_1.jpg</t>
  </si>
  <si>
    <t>45</t>
  </si>
  <si>
    <t>{"value":45,"unit":"in"}</t>
  </si>
  <si>
    <t>Made from solid oak and finished in a classic black, tall cabinetry is carved with a unique grid-like pattern, for an organic look and textural touch. Interior shelving offers bonus storage to any room. Subtle variations in natural wood graining to be expected.</t>
  </si>
  <si>
    <t>{"value":304.68,"unit":"lb"}</t>
  </si>
  <si>
    <t>Ezri Nightstand</t>
  </si>
  <si>
    <t>https://dd3ka9h4chfr8.cloudfront.net/image/725136000567/image_gac37bslq1337cmm53vh3srm0d/-FJPG/241432-002_FRT_1.jpg;https://dd3ka9h4chfr8.cloudfront.net/image/725136000567/image_29j7svegct6jj1iis789jb4j3t/-FJPG/241432-002_PRM_1.jpg;https://dd3ka9h4chfr8.cloudfront.net/image/725136000567/image_c6ksg8db7d3vb3ckcbgcjuqb31/-FJPG/241432-002_SID_1.jpg;https://dd3ka9h4chfr8.cloudfront.net/image/725136000567/image_kfpss27g7d74v2u8gg6hc2km26/-FJPG/241432-002_DET_2.jpg;https://dd3ka9h4chfr8.cloudfront.net/image/725136000567/image_18udl66ng10lh8bejt2fq6ld0f/-FJPG/241432-002_BCK_1.jpg;https://dd3ka9h4chfr8.cloudfront.net/image/725136000567/image_fg0ehfufsl1m980cskl6mv9478/-FJPG/241432-002_DET_1.jpg;https://dd3ka9h4chfr8.cloudfront.net/image/725136000567/image_mrij42rv0115r8v6jrd1497e0k/-FJPG/241432-002_DET_3.jpg;https://dd3ka9h4chfr8.cloudfront.net/image/725136000567/image_0vfc2udr9l7lf7a0g07gemob1l/-FJPG/241432-002_OPN_1.jpg;https://dd3ka9h4chfr8.cloudfront.net/image/725136000567/image_pprtrdrc456hja6mjaqa3qtk12/-FJPG/241432-002_TOP_1.jpg;https://dd3ka9h4chfr8.cloudfront.net/image/725136000567/image_3l6imbtpdh0a77h8bshkmevj1v/-FJPG/241432-002_DET_4.jpg;https://dd3ka9h4chfr8.cloudfront.net/image/725136000567/image_jhgll1m0i15j578q64t5h8t41o/-FJPG/241432-002_DET_5.jpg;https://dd3ka9h4chfr8.cloudfront.net/image/725136000567/image_v4819ns9rl563d7rathudjco4c/-FJPG/241432-002_DET_6.jpg</t>
  </si>
  <si>
    <t>241432-002</t>
  </si>
  <si>
    <t>90.83</t>
  </si>
  <si>
    <t>https://dd3ka9h4chfr8.cloudfront.net/image/725136000567/image_gac37bslq1337cmm53vh3srm0d/-FJPG/241432-002_FRT_1.jpg</t>
  </si>
  <si>
    <t>Black-finished oak, unique geometric carving and cylinder legs craft a primitive look, while wood's varying grain colors bring unique character to each piece.</t>
  </si>
  <si>
    <t>{"value":109.67,"unit":"lb"}</t>
  </si>
  <si>
    <t>https://dd3ka9h4chfr8.cloudfront.net/image/725136000567/image_ubvj0aa8kd0tpao6i15gpo7f0a/-FJPG/241432-001_FRT_1.jpg;https://dd3ka9h4chfr8.cloudfront.net/image/725136000567/image_eah286r83l52b2npaqq2rluh0q/-FJPG/241432-001_PRM_1.jpg;https://dd3ka9h4chfr8.cloudfront.net/image/725136000567/image_qhs5nu9d3p6913mokchmcafi7i/-FJPG/241432-001_SID_1.jpg;https://dd3ka9h4chfr8.cloudfront.net/image/725136000567/image_vk70cmirs91sba6328fju4tu73/-FJPG/241432-001_ESS.tif;https://dd3ka9h4chfr8.cloudfront.net/image/725136000567/image_ahqiqtputl4el60r9vd4av8d6k/-FJPG/241432-001_DET_2.jpg;https://dd3ka9h4chfr8.cloudfront.net/image/725136000567/image_gahqo5ih55111dha09jajdqf20/-FJPG/241432-001_BCK_1.jpg;https://dd3ka9h4chfr8.cloudfront.net/image/725136000567/image_soin4fdo854lpd5224jvojfk50/-FJPG/241432-001_DET_1.jpg;https://dd3ka9h4chfr8.cloudfront.net/image/725136000567/image_mk6phnm71110d09okrh53j7328/-FJPG/241432-001_DET_3.jpg;https://dd3ka9h4chfr8.cloudfront.net/image/725136000567/image_2i40ftnqnt5i33cplt1if2hh7n/-FJPG/241432-001_OPN_1.jpg;https://dd3ka9h4chfr8.cloudfront.net/image/725136000567/image_jdjr6dt8s524b8ocr7jndlie4h/-FJPG/241432-001_TOP_1.jpg;https://dd3ka9h4chfr8.cloudfront.net/image/725136000567/image_tq87cv5e313d90q6uk11f7s04s/-FJPG/241432-001_DET_4.jpg;https://dd3ka9h4chfr8.cloudfront.net/image/725136000567/image_hktapl16ol74j1mjqmjodefi29/-FJPG/241432-001_DET_5.jpg;https://dd3ka9h4chfr8.cloudfront.net/image/725136000567/image_pqgusqono93pv2oltmettcmq78/-FJPG/241432-001_DET_6.jpg;https://dd3ka9h4chfr8.cloudfront.net/image/725136000567/image_q16iib8l7h7p340qf98hbkb022/-FJPG/241432-001_DET_7.jpg;https://dd3ka9h4chfr8.cloudfront.net/image/725136000567/image_fqldjqbr1d1ob1f6c4v5mqg36m/-FJPG/241432-001_DET_8.jpg;https://dd3ka9h4chfr8.cloudfront.net/image/725136000567/image_7ub24hrb6t5ejbu5knfriuhs1q/-FJPG/FHMPRJ-013_SCENE_4A.tif;https://dd3ka9h4chfr8.cloudfront.net/image/725136000567/image_vi0n2brgmp2k371s0p42eg5c2g/-FJPG/FHMPRJ-013_SCENE_4B.if.tif</t>
  </si>
  <si>
    <t>Cocoa Oak</t>
  </si>
  <si>
    <t>241432-001</t>
  </si>
  <si>
    <t>https://dd3ka9h4chfr8.cloudfront.net/image/725136000567/image_ubvj0aa8kd0tpao6i15gpo7f0a/-FJPG/241432-001_FRT_1.jpg</t>
  </si>
  <si>
    <t>Cocoa-finished oak, organic carving and cylinder legs craft a primitive look, while wood's varying grain colors bring unique character to each piece.</t>
  </si>
  <si>
    <t>Ezri Sideboard</t>
  </si>
  <si>
    <t>https://dd3ka9h4chfr8.cloudfront.net/image/725136000567/image_k22ul4jqqt32j4r1g3ef3rha0s/-FJPG/240888-002_FRT_1.jpg;https://dd3ka9h4chfr8.cloudfront.net/image/725136000567/image_t6mrdujps57qj94kpkihps6r3h/-FJPG/240888-002_PRM_1.jpg;https://dd3ka9h4chfr8.cloudfront.net/image/725136000567/image_0fl65jhged1spdh838qblorh1a/-FJPG/240888-002_SID_1.jpg;https://dd3ka9h4chfr8.cloudfront.net/image/725136000567/image_pelp9nfseh6h1519em9fj1sb75/-FJPG/240888-002_DET_2.jpg;https://dd3ka9h4chfr8.cloudfront.net/image/725136000567/image_t1722a1fhl7ete9rfgi6c2v67m/-FJPG/240888-002_BCK_1.jpg;https://dd3ka9h4chfr8.cloudfront.net/image/725136000567/image_p5uu4fmlml2ep1ke1l3djlm75l/-FJPG/240888-002_DET_1.jpg;https://dd3ka9h4chfr8.cloudfront.net/image/725136000567/image_up6d5rhso949n798k9ub7hii5v/-FJPG/240888-002_OPN_1.jpg;https://dd3ka9h4chfr8.cloudfront.net/image/725136000567/image_icu2lmfpuh7afcs0c2lk62qg74/-FJPG/240888-002_TOP_1.jpg;https://dd3ka9h4chfr8.cloudfront.net/image/725136000567/image_m8qqtm06u15qvbenrbd7120g6i/-FJPG/240888-002_DET_4.jpg;https://dd3ka9h4chfr8.cloudfront.net/image/725136000567/image_ecfuru2u2t7u7f5co4i71k3n4n/-FJPG/240888-002_DET_5.jpg;https://dd3ka9h4chfr8.cloudfront.net/image/725136000567/image_imtbgq60016s933in48qtfk201/-FJPG/240888-002_DET_6.jpg</t>
  </si>
  <si>
    <t>240888-002</t>
  </si>
  <si>
    <t>https://dd3ka9h4chfr8.cloudfront.net/image/725136000567/image_k22ul4jqqt32j4r1g3ef3rha0s/-FJPG/240888-002_FRT_1.jpg</t>
  </si>
  <si>
    <t>Grain and character variation within a solid oak finish give this sideboard organic visual interest. The carved design and floor-to-top cylinder legs give a primitive look that balances the movement of the wood pattern.</t>
  </si>
  <si>
    <t>{"value":107.25,"unit":"in"}</t>
  </si>
  <si>
    <t>{"value":308.31,"unit":"lb"}</t>
  </si>
  <si>
    <t>https://dd3ka9h4chfr8.cloudfront.net/image/725136000567/image_890k0ocdcd20t2dkabps54gh57/-FJPG/240888-001_FRT_1.jpg;https://dd3ka9h4chfr8.cloudfront.net/image/725136000567/image_53rn05nmh51uv7t2k6h21erc0g/-FJPG/240888-001_PRM_1.jpg;https://dd3ka9h4chfr8.cloudfront.net/image/725136000567/image_ain3osj80p4j7e37ahpuqpqa6f/-FJPG/240888-001_SID_1.jpg;https://dd3ka9h4chfr8.cloudfront.net/image/725136000567/image_258r5okeud3hn2ef48ottch96a/-FJPG/240888-001_ESS.tif;https://dd3ka9h4chfr8.cloudfront.net/image/725136000567/image_9m73kd1atd3a11bb85fqdndh08/-FJPG/240888-001_DET_2.jpg;https://dd3ka9h4chfr8.cloudfront.net/image/725136000567/image_srgpqviqd556p4ftu7ad5t4q14/-FJPG/240888-001_BCK_1.JPG;https://dd3ka9h4chfr8.cloudfront.net/image/725136000567/image_5k9hjmab2h6b98bb2nltskr851/-FJPG/240888-001_DET_1.jpg;https://dd3ka9h4chfr8.cloudfront.net/image/725136000567/image_lv5pldcnpd15b43gm5o944cs3r/-FJPG/240888-001_DET_3.jpg;https://dd3ka9h4chfr8.cloudfront.net/image/725136000567/image_hilb9t7oap1ir6f9i3rg6lo515/-FJPG/240888-001_TOP_1.JPG;https://dd3ka9h4chfr8.cloudfront.net/image/725136000567/image_s8apovcjg542h42kbkcbm30650/-FJPG/240888-001_DET_4.jpg;https://dd3ka9h4chfr8.cloudfront.net/image/725136000567/image_m6rhpciu5l1dt97ro2kvktkj50/-FJPG/240888-001_DET_5.jpg;https://dd3ka9h4chfr8.cloudfront.net/image/725136000567/image_3cnl4lqrfp0993nlfttj5q5514/-FJPG/240888-001_DET_9.tif;https://dd3ka9h4chfr8.cloudfront.net/image/725136000567/image_hkqif388n1273a5a0ls8bo5f5q/-FJPG/240888-001_DET_10.tif;https://dd3ka9h4chfr8.cloudfront.net/image/725136000567/image_scpndg7pvd36b3nutlgsvtpb72/-FJPG/240888-001_OPN_2.jpg</t>
  </si>
  <si>
    <t>240888-001</t>
  </si>
  <si>
    <t>https://dd3ka9h4chfr8.cloudfront.net/image/725136000567/image_890k0ocdcd20t2dkabps54gh57/-FJPG/240888-001_FRT_1.jpg</t>
  </si>
  <si>
    <t>Farrah Chaise Lounge</t>
  </si>
  <si>
    <t>https://dd3ka9h4chfr8.cloudfront.net/image/725136000567/image_5l3m9fv11d73d83lhfn9lv9d7v/-FJPG/233370-009_FRT_1.jpg;https://dd3ka9h4chfr8.cloudfront.net/image/725136000567/image_75qludi2kl1q532drpf7uf3k1f/-FJPG/233370-009_PRM_1.jpg;https://dd3ka9h4chfr8.cloudfront.net/image/725136000567/image_0dso07h1i14pjcfndpfru4bh6c/-FJPG/233370-009_SID_1.jpg;https://dd3ka9h4chfr8.cloudfront.net/image/725136000567/image_2183fsvn993j3eb0dj0v73g019/-FJPG/233370-009_ESS_1.jpg;https://dd3ka9h4chfr8.cloudfront.net/image/725136000567/image_83dvrbto8d2a1duivq05bj0m78/-FJPG/233370-009_ESS_1.jpg;https://dd3ka9h4chfr8.cloudfront.net/image/725136000567/image_g6hlrnea1d6qrercnlhe0m344v/-FJPG/233370-009_DET_2.jpg;https://dd3ka9h4chfr8.cloudfront.net/image/725136000567/image_v0l2npuob50kh6v8ljpk86aj59/-FJPG/233370-009_BCK_1.jpg;https://dd3ka9h4chfr8.cloudfront.net/image/725136000567/image_as7dmbatst5up26p9tvps26q72/-FJPG/233370-009_DET_1.jpg;https://dd3ka9h4chfr8.cloudfront.net/image/725136000567/image_i2a99047793911dsp96aikgs5j/-FJPG/233370-009_DET_3.jpg;https://dd3ka9h4chfr8.cloudfront.net/image/725136000567/image_eh8533edf14t5crbh726qj5s73/-FJPG/233370-009_DET_4.jpg;https://dd3ka9h4chfr8.cloudfront.net/image/725136000567/image_j8u6ov5b510dt76rj9lr08qr5u/-FJPG/233370-009_DET_5.jpg;https://dd3ka9h4chfr8.cloudfront.net/image/725136000567/image_9g0jvc9ek55qb8ogpvgss93j2v/-FJPG/233370-009_DET_6.jpg</t>
  </si>
  <si>
    <t>233370-009</t>
  </si>
  <si>
    <t>81.57</t>
  </si>
  <si>
    <t>https://dd3ka9h4chfr8.cloudfront.net/image/725136000567/image_5l3m9fv11d73d83lhfn9lv9d7v/-FJPG/233370-009_FRT_1.jpg</t>
  </si>
  <si>
    <t>58.5</t>
  </si>
  <si>
    <t>{"value":58.5,"unit":"in"}</t>
  </si>
  <si>
    <t>{"value":43.07,"unit":"in"}</t>
  </si>
  <si>
    <t>{"value":61.54,"unit":"in"}</t>
  </si>
  <si>
    <t>{"value":31.97,"unit":"in"}</t>
  </si>
  <si>
    <t>{"value":95.46,"unit":"lb"}</t>
  </si>
  <si>
    <t>33.25"</t>
  </si>
  <si>
    <t>Farrah</t>
  </si>
  <si>
    <t>46.50"</t>
  </si>
  <si>
    <t>https://dd3ka9h4chfr8.cloudfront.net/image/725136000567/image_krsl1ic34p1odckhkd4hanub03/-FJPG/233370-010_FRT_1.jpg;https://dd3ka9h4chfr8.cloudfront.net/image/725136000567/image_4htlrac1p110t7evm69prdqs7v/-FJPG/233370-010_PRM_1.jpg;https://dd3ka9h4chfr8.cloudfront.net/image/725136000567/image_eluirksp4d6o3ci11kbvts4n5t/-FJPG/233370-010_SID_1.jpg;https://dd3ka9h4chfr8.cloudfront.net/image/725136000567/image_cr5e36ue0h0l79hg3p9526ov0s/-FJPG/233370-010_ESS.tif;https://dd3ka9h4chfr8.cloudfront.net/image/725136000567/image_5g15ui4qv5065de6e9cqkl9m52/-FJPG/233370-010_DET_2.jpg;https://dd3ka9h4chfr8.cloudfront.net/image/725136000567/image_hnbr69b5nd75n2gq6of0ggl972/-FJPG/233370-010_BCK_1.jpg;https://dd3ka9h4chfr8.cloudfront.net/image/725136000567/image_16pi3olqq90l3ba3t4fa5boq7n/-FJPG/233370-010_DET_1.jpg;https://dd3ka9h4chfr8.cloudfront.net/image/725136000567/image_49p76qi7jp5ih572kd84hu0d0f/-FJPG/233370-010_DET_3.jpg;https://dd3ka9h4chfr8.cloudfront.net/image/725136000567/image_i1g13cus7p3jh4nmc0kjrjb23u/-FJPG/233370-010_TOP_1.jpg;https://dd3ka9h4chfr8.cloudfront.net/image/725136000567/image_pqg3nb51vh5a54h77ag7fs7922/-FJPG/233370-010_DET_4.jpg;https://dd3ka9h4chfr8.cloudfront.net/image/725136000567/image_503cg348012bv4qffij87sqa5n/-FJPG/233370-010_DET_5.jpg;https://dd3ka9h4chfr8.cloudfront.net/image/725136000567/image_cbmkfdn5ih2gh4ijaafo2gj40c/-FJPG/233370-010_DET_6.jpg;https://dd3ka9h4chfr8.cloudfront.net/image/725136000567/image_5j4dpjg9rh42bd49l6dauf3r25/-FJPG/233370-010_DET_7.jpg;https://dd3ka9h4chfr8.cloudfront.net/image/725136000567/image_7a51bq2d053bp97itjs97r467m/-FJPG/233370-010_DET_8.jpg;https://dd3ka9h4chfr8.cloudfront.net/image/725136000567/image_637ge2mk5t4u531ri72gcfsq37/-FJPG/233370-010_DET_9.tif</t>
  </si>
  <si>
    <t>Ingram Ochre</t>
  </si>
  <si>
    <t>233370-010</t>
  </si>
  <si>
    <t>https://dd3ka9h4chfr8.cloudfront.net/image/725136000567/image_krsl1ic34p1odckhkd4hanub03/-FJPG/233370-010_FRT_1.jpg</t>
  </si>
  <si>
    <t>Velvety, burnt orange polyester covers this sculpted pill shape lounger, with a single pillow for added comfort.</t>
  </si>
  <si>
    <t>{"value":93.48,"unit":"lb"}</t>
  </si>
  <si>
    <t>https://dd3ka9h4chfr8.cloudfront.net/image/725136000567/image_5fbqqfhcul6ch8quqfrrovgu3g/-FJPG/233370-001_FRT_1.jpg;https://dd3ka9h4chfr8.cloudfront.net/image/725136000567/image_353v915jq50r17s3hohvqgde73/-FJPG/233370-001_PRM_1.jpg;https://dd3ka9h4chfr8.cloudfront.net/image/725136000567/image_0ve4jrqvnl6b52880he8nta51r/-FJPG/233370-001_SID_1.jpg;https://dd3ka9h4chfr8.cloudfront.net/image/725136000567/image_vem117ltfd7ah07afd2ecovu0m/-FJPG/233370-001_ESS_1.jpg;https://dd3ka9h4chfr8.cloudfront.net/image/725136000567/image_svmk9jup4p2fpeuij89d3rnf1i/-FJPG/233370-001_DET_2.jpg;https://dd3ka9h4chfr8.cloudfront.net/image/725136000567/image_h501k7tt2h2t71tg2duc837h2p/-FJPG/233370-001_BCK_1.jpg;https://dd3ka9h4chfr8.cloudfront.net/image/725136000567/image_d7sc0tv7qh7pf3rci55ub4rv39/-FJPG/233370-001_INF_1.jpg;https://dd3ka9h4chfr8.cloudfront.net/image/725136000567/image_gnenpt37vh3jfbrad5boauu54u/-FJPG/233370-001_DET_1.jpg;https://dd3ka9h4chfr8.cloudfront.net/image/725136000567/image_ab4k46ia2l0npfh3igi1mlia1t/-FJPG/233370-001_DET_3.jpg;https://dd3ka9h4chfr8.cloudfront.net/image/725136000567/image_5gllvoilhd4ff6oltd1chg2e2n/-FJPG/233370-001_DET_4.jpg;https://dd3ka9h4chfr8.cloudfront.net/image/725136000567/image_75r34ecq3p5p1a8d97vqkals1k/-FJPG/233370-001_DET_5.jpg;https://dd3ka9h4chfr8.cloudfront.net/image/725136000567/image_90rbv3u29t34b4u7ghte40n929/-FJPG/233370-001_DET_6.jpg</t>
  </si>
  <si>
    <t>233370-001</t>
  </si>
  <si>
    <t>https://dd3ka9h4chfr8.cloudfront.net/image/725136000567/image_5fbqqfhcul6ch8quqfrrovgu3g/-FJPG/233370-001_FRT_1.jpg</t>
  </si>
  <si>
    <t>Casual and sculpted, high-performance fabric and a pill-shaped chaise take this lounger to the next level.</t>
  </si>
  <si>
    <t>https://dd3ka9h4chfr8.cloudfront.net/image/725136000567/image_hct2aeuv6p0bh2vpu1pbbkgn0s/-FJPG/233370-006_FRT_1.jpg;https://dd3ka9h4chfr8.cloudfront.net/image/725136000567/image_lv0u0c60u11gp7tdc34bfq9f2s/-FJPG/233370-006_PRM_1.jpg;https://dd3ka9h4chfr8.cloudfront.net/image/725136000567/image_eanj1i4bsp02tc2abpq96jft0u/-FJPG/233370-006_SID_1.jpg;https://dd3ka9h4chfr8.cloudfront.net/image/725136000567/image_4sosa79cn54o55ufi1p1ov5d7m/-FJPG/233370-006_ESS_1.jpg;https://dd3ka9h4chfr8.cloudfront.net/image/725136000567/image_e2eap6ooih6alcu4v912b7t43r/-FJPG/233370-006_DET_2.jpg;https://dd3ka9h4chfr8.cloudfront.net/image/725136000567/image_k0r4nkhgnl48h276krifss786k/-FJPG/233370-006_BCK_1.jpg;https://dd3ka9h4chfr8.cloudfront.net/image/725136000567/image_brf6a8f8ih3qtb9pgf5k6gb85k/-FJPG/233370-006_DET_1.jpg;https://dd3ka9h4chfr8.cloudfront.net/image/725136000567/image_qloeqajisl365di5jqkg3kt31d/-FJPG/233370-006_DET_3.jpg;https://dd3ka9h4chfr8.cloudfront.net/image/725136000567/image_58ikstv5o15i9auo23ot45tn60/-FJPG/233370-006_DET_4.jpg;https://dd3ka9h4chfr8.cloudfront.net/image/725136000567/image_hrd37rvkht4r7egrkvf0ktu85u/-FJPG/233370-006_DET_5.jpg;https://dd3ka9h4chfr8.cloudfront.net/image/725136000567/image_603tnsv5u126r3kdconi2ubt2s/-FJPG/233370-006_DET_6.jpg;https://dd3ka9h4chfr8.cloudfront.net/image/725136000567/image_r46sj380g10916f283jhjeav5s/-FJPG/233370-006_DET_7.jpg;https://dd3ka9h4chfr8.cloudfront.net/image/725136000567/image_q24s1au8o50qtcatagjbhl3p7e/-FJPG/233370-006_DET_8.jpg</t>
  </si>
  <si>
    <t>233370-006</t>
  </si>
  <si>
    <t>https://dd3ka9h4chfr8.cloudfront.net/image/725136000567/image_hct2aeuv6p0bh2vpu1pbbkgn0s/-FJPG/233370-006_FRT_1.jpg</t>
  </si>
  <si>
    <t>In a unique olive hue, a velvety blend of cotton and polyester covers this sculpted pill shape lounger, with a single pillow for added comfort.</t>
  </si>
  <si>
    <t>Farrow Console Table</t>
  </si>
  <si>
    <t>https://dd3ka9h4chfr8.cloudfront.net/image/725136000567/image_9s5oijofbd1e59pdkltsmj1a56/-FJPG/248000-001_FRT_1.jpg;https://dd3ka9h4chfr8.cloudfront.net/image/725136000567/image_d4tq5uqckh0nt90k6qvsgo0v58/-FJPG/248000-001_PRM_1.jpg;https://dd3ka9h4chfr8.cloudfront.net/image/725136000567/image_7p9jpt77ht55pe78l4k72e4m2g/-FJPG/248000-001_SID_1.jpg;https://dd3ka9h4chfr8.cloudfront.net/image/725136000567/image_t5ufcuitlt4ila3gps485o774c/-FJPG/248000-001_ESS.tif;https://dd3ka9h4chfr8.cloudfront.net/image/725136000567/image_bu8uenmsp91hl34f8pi4n83m1e/-FJPG/248000-001_DET_2.jpg;https://dd3ka9h4chfr8.cloudfront.net/image/725136000567/image_v3sph2m1i16kn86gu79skhn60t/-FJPG/248000-001_BCK_1.jpg;https://dd3ka9h4chfr8.cloudfront.net/image/725136000567/image_lvl50s0ot11qv86vd8t54ags6u/-FJPG/248000-001_DET_1.jpg;https://dd3ka9h4chfr8.cloudfront.net/image/725136000567/image_s6munski9t12l30b9ut3s1fr35/-FJPG/248000-001_DET_3.jpg;https://dd3ka9h4chfr8.cloudfront.net/image/725136000567/image_66dlcencet6kve4bnm6vdqk31s/-FJPG/248000-001_OPN_1.jpg;https://dd3ka9h4chfr8.cloudfront.net/image/725136000567/image_gt4hko085p671fvqvmkbkte95q/-FJPG/248000-001_TOP_1.jpg;https://dd3ka9h4chfr8.cloudfront.net/image/725136000567/image_qbbingbtu13shep00pie1h0s6s/-FJPG/248000-001_DET_4.jpg;https://dd3ka9h4chfr8.cloudfront.net/image/725136000567/image_4iku395cet7rpcotnk41ekfd5g/-FJPG/248000-001_DET_5.jpg;https://dd3ka9h4chfr8.cloudfront.net/image/725136000567/image_qiah9keg1t61tdfpm3fmvhde45/-FJPG/248000-001_DET_6.jpg;https://dd3ka9h4chfr8.cloudfront.net/image/725136000567/image_rd0b3k4sut5vj88603ojqogv60/-FJPG/248000-001_DET_7.jpg;https://dd3ka9h4chfr8.cloudfront.net/image/725136000567/image_69bud06at560t2ras4329d1e0a/-FJPG/248000-001_DET_9.tif;https://dd3ka9h4chfr8.cloudfront.net/image/725136000567/image_gkhk482b710671rqmtp399nb6e/-FJPG/248000-001_DET_10.tif</t>
  </si>
  <si>
    <t>Drifted Oak Veneer</t>
  </si>
  <si>
    <t>248000-001</t>
  </si>
  <si>
    <t>136.69</t>
  </si>
  <si>
    <t>https://dd3ka9h4chfr8.cloudfront.net/image/725136000567/image_9s5oijofbd1e59pdkltsmj1a56/-FJPG/248000-001_FRT_1.jpg</t>
  </si>
  <si>
    <t>79</t>
  </si>
  <si>
    <t>{"value":79,"unit":"in"}</t>
  </si>
  <si>
    <t>A simple pill-shaped console table, refreshed with intriguing design details. Made from warm, light-finished oak, open lower shelving creates endless storage and styling options for your living or media room. Three drawers bring even more storage, while bullnose and relief detailing adds an artisan touch to this piece.</t>
  </si>
  <si>
    <t>{"value":82.87,"unit":"in"}</t>
  </si>
  <si>
    <t>{"value":37.2,"unit":"in"}</t>
  </si>
  <si>
    <t>{"value":176.37,"unit":"lb"}</t>
  </si>
  <si>
    <t>75.47"</t>
  </si>
  <si>
    <t>22.28"</t>
  </si>
  <si>
    <t>59.96"</t>
  </si>
  <si>
    <t>0.51"</t>
  </si>
  <si>
    <t>12.83"</t>
  </si>
  <si>
    <t>2.01"</t>
  </si>
  <si>
    <t>Fawkes Bench</t>
  </si>
  <si>
    <t>https://dd3ka9h4chfr8.cloudfront.net/image/725136000567/image_th6o1oomld40l7vlem794q8d14/-FJPG/223315-003_FRT_1.jpg;https://dd3ka9h4chfr8.cloudfront.net/image/725136000567/image_5fdd591jrd0cr1e7ec84anlg4b/-FJPG/223315-003_PRM_1.jpg;https://dd3ka9h4chfr8.cloudfront.net/image/725136000567/image_vmj8vajcj55fhdkrggoolu9e3u/-FJPG/223315-003_SID_1.jpg;https://dd3ka9h4chfr8.cloudfront.net/image/725136000567/image_nuatga9v9912v8ujk9s67bfs0r/-FJPG/223315-003_DET_2.jpg;https://dd3ka9h4chfr8.cloudfront.net/image/725136000567/image_rkg5acc3ol36le2jsi4vl9nb1d/-FJPG/223315-003_DET_1.jpg;https://dd3ka9h4chfr8.cloudfront.net/image/725136000567/image_2nv3k0o8tl7ov814mat8l5a031/-FJPG/223315-003_DET_3.jpg;https://dd3ka9h4chfr8.cloudfront.net/image/725136000567/image_42skvic7054ov3eg6kih3pio0l/-FJPG/223315-003_DET_4.jpg;https://dd3ka9h4chfr8.cloudfront.net/image/725136000567/image_22tf68vmrl1790j3hp2uonqc1i/-FJPG/223315-003_DET_5.jpg;https://dd3ka9h4chfr8.cloudfront.net/image/725136000567/image_ndj0nthb556ndfn3mhllfhl97j/-FJPG/223315-003_DET_9.tif;https://dd3ka9h4chfr8.cloudfront.net/image/725136000567/image_20fv0givil6trds653cn2i6r0s/-FJPG/223315-003_ESS.tif</t>
  </si>
  <si>
    <t>223315-003</t>
  </si>
  <si>
    <t>59.72</t>
  </si>
  <si>
    <t>https://dd3ka9h4chfr8.cloudfront.net/image/725136000567/image_th6o1oomld40l7vlem794q8d14/-FJPG/223315-003_FRT_1.jpg</t>
  </si>
  <si>
    <t>Brushed Ebony</t>
  </si>
  <si>
    <t>A uniquely modern statement piece inspired by the functional mid-centuryâ€“style telephone bench, top-grain leather seating features a sliding tray of solid beechwood â€“ the perfect place for a favorite book or cocktail. Great in the entryway or living room.</t>
  </si>
  <si>
    <t>{"value":79.72,"unit":"in"}</t>
  </si>
  <si>
    <t>{"value":29.72,"unit":"in"}</t>
  </si>
  <si>
    <t>{"value":89.53,"unit":"lb"}</t>
  </si>
  <si>
    <t>78.74"</t>
  </si>
  <si>
    <t>Fawkes</t>
  </si>
  <si>
    <t>55.12"</t>
  </si>
  <si>
    <t>Fawkes Rectangle Ottoman</t>
  </si>
  <si>
    <t>https://dd3ka9h4chfr8.cloudfront.net/image/725136000567/image_it5a2dj0v11b9epn0slthqqv5h/-FJPG/234275-001_FRT_1.jpg;https://dd3ka9h4chfr8.cloudfront.net/image/725136000567/image_mv99hns3qh0n95gh2knm9e2k4m/-FJPG/234275-001_PRM_1.jpg;https://dd3ka9h4chfr8.cloudfront.net/image/725136000567/image_kc75cetmm548f7ge6rn5i4kr3a/-FJPG/234275-001_SID_1.jpg;https://dd3ka9h4chfr8.cloudfront.net/image/725136000567/image_ei7fsr7as97c7fvu3vcjopeq1i/-FJPG/234275-001_ESS_1.jpg;https://dd3ka9h4chfr8.cloudfront.net/image/725136000567/image_l2v68h540d4fpb1bpjj96dea7t/-FJPG/234275-001_DET_2.jpg;https://dd3ka9h4chfr8.cloudfront.net/image/725136000567/image_qevju24vs15dn3an5h49sren2o/-FJPG/234275-001_DET_1.jpg;https://dd3ka9h4chfr8.cloudfront.net/image/725136000567/image_5giokf09ip0n5fpg4hrl91pn7r/-FJPG/234275-001_DET_3.jpg;https://dd3ka9h4chfr8.cloudfront.net/image/725136000567/image_5edh01lkt15nr3525umrh4er61/-FJPG/234275-001_DET_4.jpg;https://dd3ka9h4chfr8.cloudfront.net/image/725136000567/image_nq93oice4p5o7blb1s3oef7864/-FJPG/234275-001_DET_5.jpg</t>
  </si>
  <si>
    <t>Brunswick Pebble</t>
  </si>
  <si>
    <t>234275-001</t>
  </si>
  <si>
    <t>https://dd3ka9h4chfr8.cloudfront.net/image/725136000567/image_it5a2dj0v11b9epn0slthqqv5h/-FJPG/234275-001_FRT_1.jpg</t>
  </si>
  <si>
    <t>["89% Polyester","11% Acrylic","Solid Beech"]</t>
  </si>
  <si>
    <t>A uniquely modern statement piece inspired by the functional midcentury-style telephone bench, textural white-grey seating features a sliding tray of solid beechwood â€“ the perfect place for enjoying a favorite book or cocktail.</t>
  </si>
  <si>
    <t>{"value":67.13,"unit":"in"}</t>
  </si>
  <si>
    <t>{"value":18.31,"unit":"in"}</t>
  </si>
  <si>
    <t>65.75"</t>
  </si>
  <si>
    <t>32.48"</t>
  </si>
  <si>
    <t>32.28"</t>
  </si>
  <si>
    <t>Fay Accent Table</t>
  </si>
  <si>
    <t>https://dd3ka9h4chfr8.cloudfront.net/image/725136000567/image_13g9c5uf152vb7p5ojcfckie1c/-FJPG/226157-002_FRT_1.jpg;https://dd3ka9h4chfr8.cloudfront.net/image/725136000567/image_imire725d55k75tln4do2pbe3q/-FJPG/226157-002_PRM_1.jpg;https://dd3ka9h4chfr8.cloudfront.net/image/725136000567/image_9n58tmhgel6ata5dnonvrgdh5t/-FJPG/226157-002_SID_1.jpg;https://dd3ka9h4chfr8.cloudfront.net/image/725136000567/image_dht6d4gj792v16ph3qdq0m8o0u/-FJPG/226157-002_ESS.tif;https://dd3ka9h4chfr8.cloudfront.net/image/725136000567/image_pnpq150vbh3539i8l8l4j0ji22/-FJPG/226157-002_ESS.tif;https://dd3ka9h4chfr8.cloudfront.net/image/725136000567/image_7k22bubech72770b4upo1p874h/-FJPG/226157-002_DET_2.jpg;https://dd3ka9h4chfr8.cloudfront.net/image/725136000567/image_m1j0jmd8dt0378vd5c4s2v2g3c/-FJPG/226157-002_DET_3.jpg;https://dd3ka9h4chfr8.cloudfront.net/image/725136000567/image_5usp2odvo95r188kjcbd8pon2c/-FJPG/226157-002_DET_4.jpg;https://dd3ka9h4chfr8.cloudfront.net/image/725136000567/image_egr04m5u4h3t1dfbccd9gted0h/-FJPG/226157-002_DET_5.jpg;https://dd3ka9h4chfr8.cloudfront.net/image/725136000567/image_59g8ebvv71325f7pc4jf8q3205/-FJPG/226157-002_DET_6.jpg;https://dd3ka9h4chfr8.cloudfront.net/image/725136000567/image_91277g2bj978bde5vn100gum24/-FJPG/226157-002_DET_9.tif;https://dd3ka9h4chfr8.cloudfront.net/image/725136000567/image_cduqb33iv15qlce038teaj9d32/-FJPG/226157-002_VIG_1.jpg</t>
  </si>
  <si>
    <t>226157-002</t>
  </si>
  <si>
    <t>51.58</t>
  </si>
  <si>
    <t>https://dd3ka9h4chfr8.cloudfront.net/image/725136000567/image_13g9c5uf152vb7p5ojcfckie1c/-FJPG/226157-002_FRT_1.jpg</t>
  </si>
  <si>
    <t>["Solid Oak","Solid Marble","Iron"]</t>
  </si>
  <si>
    <t>Dark Kettle Black</t>
  </si>
  <si>
    <t>Perfectly sized to keep a favorite book or drink within reach, black-finished solid marble forms a playfully shaped base and slim iron post, with a natural oak tabletop rounding things out.</t>
  </si>
  <si>
    <t>{"value":65.36,"unit":"lb"}</t>
  </si>
  <si>
    <t>Fay</t>
  </si>
  <si>
    <t>Felix Oval Nightstand</t>
  </si>
  <si>
    <t>https://dd3ka9h4chfr8.cloudfront.net/image/725136000567/image_tkl8p0h6ph5373erb0jesv9h7d/-FJPG/IMAR-259_FRT_1.jpg;https://dd3ka9h4chfr8.cloudfront.net/image/725136000567/image_4nhc2200bp34168g571s0dv01e/-FJPG/IMAR-259_PRM_1.jpg;https://dd3ka9h4chfr8.cloudfront.net/image/725136000567/image_v6srg57l695sp9r124ktdf2p60/-FJPG/IMAR-259_SID_1.jpg;https://dd3ka9h4chfr8.cloudfront.net/image/725136000567/image_18f1tfsm7d6p3ahvgl1k7m413a/-FJPG/IMAR-259_DET_2.jpg;https://dd3ka9h4chfr8.cloudfront.net/image/725136000567/image_bn7qkgk5353tbbi1v74ltkb25e/-FJPG/IMAR-259_DET_1.jpg;https://dd3ka9h4chfr8.cloudfront.net/image/725136000567/image_nio59b3dmt0o1c2aq5er50ln19/-FJPG/IMAR-259_DET_4.jpg;https://dd3ka9h4chfr8.cloudfront.net/image/725136000567/image_tctfd2nqkd2lj5oj1rfv17r65j/-FJPG/IMAR-259_DET_5.jpg;https://dd3ka9h4chfr8.cloudfront.net/image/725136000567/image_b2rddhfcul4u54r49j75eifo2s/-FJPG/IMAR-259_ROM_1.jpg</t>
  </si>
  <si>
    <t>IMAR-259</t>
  </si>
  <si>
    <t>64.9</t>
  </si>
  <si>
    <t>https://dd3ka9h4chfr8.cloudfront.net/image/725136000567/image_tkl8p0h6ph5373erb0jesv9h7d/-FJPG/IMAR-259_FRT_1.jpg</t>
  </si>
  <si>
    <t>["Solid Marble","Iron"]</t>
  </si>
  <si>
    <t>Add a pop of sophistication to any space. Polished white marble lays three tiers of oval-shaped shelving,  with brass-finished iron framing bringing a feminine feel to bedside storage.</t>
  </si>
  <si>
    <t>{"value":9.49,"unit":"in"}</t>
  </si>
  <si>
    <t>{"value":27.01,"unit":"in"}</t>
  </si>
  <si>
    <t>Frame</t>
  </si>
  <si>
    <t>{"value":22.27,"unit":"lb"}</t>
  </si>
  <si>
    <t>10.38"</t>
  </si>
  <si>
    <t>Felix</t>
  </si>
  <si>
    <t>Felix Round Coffee Table</t>
  </si>
  <si>
    <t>https://dd3ka9h4chfr8.cloudfront.net/image/725136000567/image_j9v1mc93ph7c72kuo1oipb6d0g/-FJPG/ISD-0199_PRM_1.jpg;https://dd3ka9h4chfr8.cloudfront.net/image/725136000567/image_i5htk4311h40f5usea8c44jv3e/-FJPG/ISD-0199_SID_1.jpg;https://dd3ka9h4chfr8.cloudfront.net/image/725136000567/image_e6blm4e9gd2j7dvuh9031e3107/-FJPG/ISD-0199_DET_2.jpg;https://dd3ka9h4chfr8.cloudfront.net/image/725136000567/image_nq8j9ouvfl1shebs1n5p96dm6t/-FJPG/ISD-0199_DET_1.jpg;https://dd3ka9h4chfr8.cloudfront.net/image/725136000567/image_9i9t43sl717sp28ku4i7fdl413/-FJPG/ISD-0199_DET_3.jpg;https://dd3ka9h4chfr8.cloudfront.net/image/725136000567/image_7q04oldhpl1kv5mju8uont2j55/-FJPG/ISD-0199_DET_4.jpg;https://dd3ka9h4chfr8.cloudfront.net/image/725136000567/image_474s2rbsst0gn7t9c2cnhjcq4t/-FJPG/ISD-0199_DET_5.jpg;https://dd3ka9h4chfr8.cloudfront.net/image/725136000567/image_e1lsm5nift5tv3nchjmq4cif64/-FJPG/ISD-0199_DET_10.tif;https://dd3ka9h4chfr8.cloudfront.net/image/725136000567/image_04mnho14d55bbeovldhi1vvh7j/-FJPG/ISD-0199_DET_10.jpg;https://dd3ka9h4chfr8.cloudfront.net/image/725136000567/image_rdhsrjdf3p2pf3s0c71bjc3h1a/-FJPG/ISD-0199_ROM_1.jpg;https://dd3ka9h4chfr8.cloudfront.net/image/725136000567/image_ou359vnl1p2kndkj25bckuie57/-FJPG/ISD-0199_ROM_2.jpg;https://dd3ka9h4chfr8.cloudfront.net/image/725136000567/image_rdfg7sapv124r5jsg32vm57c72/-FJPG/ISD-0199_ESS.tif</t>
  </si>
  <si>
    <t>Sandblasted White Marble</t>
  </si>
  <si>
    <t>ISD-0199</t>
  </si>
  <si>
    <t>https://dd3ka9h4chfr8.cloudfront.net/image/725136000567/image_j9v1mc93ph7c72kuo1oipb6d0g/-FJPG/ISD-0199_PRM_1.jpg</t>
  </si>
  <si>
    <t>Theory</t>
  </si>
  <si>
    <t>Rustic Fossil</t>
  </si>
  <si>
    <t>A raw, rustic iron base supports a round, white marble top, which is sandblasted for texture and polish.</t>
  </si>
  <si>
    <t>{"value":44.25,"unit":"in"}</t>
  </si>
  <si>
    <t>{"value":56.5,"unit":"in"}</t>
  </si>
  <si>
    <t>Fiona 6 Drawer Dresser</t>
  </si>
  <si>
    <t>https://dd3ka9h4chfr8.cloudfront.net/image/725136000567/image_2felns4l415epbct8tr2c50g54/-FJPG/233278-001_FRT_1.jpg;https://dd3ka9h4chfr8.cloudfront.net/image/725136000567/image_9lnc55k2vl31h7ol459tfvda4s/-FJPG/233278-001_PRM_1.jpg;https://dd3ka9h4chfr8.cloudfront.net/image/725136000567/image_spe2u9soa14nd72irf6lfelb4c/-FJPG/233278-001_SID_1.jpg;https://dd3ka9h4chfr8.cloudfront.net/image/725136000567/image_3brpcobo0l2ub97o3979bsg44m/-FJPG/233278-001_ESS_1.jpg;https://dd3ka9h4chfr8.cloudfront.net/image/725136000567/image_skcv18ib6p2gf0sgnqui3uk95f/-FJPG/233278-001_DET_2.jpg;https://dd3ka9h4chfr8.cloudfront.net/image/725136000567/image_fimmljh07t0gf2lli6anvolr3l/-FJPG/233278-001_BCK_1.jpg;https://dd3ka9h4chfr8.cloudfront.net/image/725136000567/image_ngst7gui2p09pd4v0un0e8g86k/-FJPG/233278-001_DET_1.jpg;https://dd3ka9h4chfr8.cloudfront.net/image/725136000567/image_54ln473fo907vaqevuc9maan5q/-FJPG/233278-001_DET_3.jpg;https://dd3ka9h4chfr8.cloudfront.net/image/725136000567/image_oa8f21q4d148l9q6qjn3f0u83i/-FJPG/233278-001_OPN_1.jpg;https://dd3ka9h4chfr8.cloudfront.net/image/725136000567/image_f1b7phbvsl4bd495hechej5v72/-FJPG/233278-001_DET_4.jpg;https://dd3ka9h4chfr8.cloudfront.net/image/725136000567/image_69dkbj3eah1nn247olj0tddg2h/-FJPG/233278-001_DET_5.jpg;https://dd3ka9h4chfr8.cloudfront.net/image/725136000567/image_4dhp170oap32l6t1frpie0dt68/-FJPG/233278-001_DET_6.jpg;https://dd3ka9h4chfr8.cloudfront.net/image/725136000567/image_pcc5t8fdst181egag6po0re31l/-FJPG/233278-001_DET_7.jpg;https://dd3ka9h4chfr8.cloudfront.net/image/725136000567/image_di6rs6dcol4pn2r43obh3oq861/-FJPG/233278-001_DET_8.jpg;https://dd3ka9h4chfr8.cloudfront.net/image/725136000567/image_h839h3eint3q12pjpcvv803n1h/-FJPG/233278-001_DET_9.jpg;https://dd3ka9h4chfr8.cloudfront.net/image/725136000567/image_77h50lum594s7fhbqd1n1esi2f/-FJPG/233278-001_ESS_2.jpg;https://dd3ka9h4chfr8.cloudfront.net/image/725136000567/image_7hpqaaumfp7f98ju83p1o33j61/-FJPG/233278-001_ESS_3.jpg;https://dd3ka9h4chfr8.cloudfront.net/image/725136000567/image_j6b6qqgnv56up0f7j8taj65815/-FJPG/233278-001_ESS_4.jpg;https://dd3ka9h4chfr8.cloudfront.net/image/725136000567/image_cdlev0ahu130rebthp1lk1ne2a/-FJPG/233278-001_ESS_5.jpg</t>
  </si>
  <si>
    <t>Black Raffia</t>
  </si>
  <si>
    <t>233278-001</t>
  </si>
  <si>
    <t>180.56</t>
  </si>
  <si>
    <t>https://dd3ka9h4chfr8.cloudfront.net/image/725136000567/image_2felns4l415epbct8tr2c50g54/-FJPG/233278-001_FRT_1.jpg</t>
  </si>
  <si>
    <t>["Sugar Palm","Solid Mahogany","Iron"]</t>
  </si>
  <si>
    <t>Russet Mahogany</t>
  </si>
  <si>
    <t>Light Antique Brass</t>
  </si>
  <si>
    <t>Woven black raffia offers a texture-driven take on bedroom storage. Antique brass-finished iron hardware adorns six spacious drawers, all supported by a solid mahogany base. This item has been modified to comply with the STURDY Act. See a full list of modified products and data changes in the â€œSTURDY Actâ€_x009d_ file in the Downloads section below.</t>
  </si>
  <si>
    <t>{"value":67.32,"unit":"in"}</t>
  </si>
  <si>
    <t>{"value":42.91,"unit":"in"}</t>
  </si>
  <si>
    <t>{"value":235.01,"unit":"lb"}</t>
  </si>
  <si>
    <t>Fiona</t>
  </si>
  <si>
    <t>3.39"</t>
  </si>
  <si>
    <t>27.87"</t>
  </si>
  <si>
    <t>Fiona Desk</t>
  </si>
  <si>
    <t>https://dd3ka9h4chfr8.cloudfront.net/image/725136000567/image_prj2fkqmvh0bb81g0fnmu46l0c/-FJPG/233438-001_FRT_1.jpg;https://dd3ka9h4chfr8.cloudfront.net/image/725136000567/image_mp4p10qktd26p8jfl4jbsgej2f/-FJPG/233438-001_PRM_1.jpg;https://dd3ka9h4chfr8.cloudfront.net/image/725136000567/image_u4imuvvqap2tfbji6hinj2946l/-FJPG/233438-001_SID_1.jpg;https://dd3ka9h4chfr8.cloudfront.net/image/725136000567/image_f33f6v56e5047frd66t8nfc92e/-FJPG/233438-001_ESS_1.jpg;https://dd3ka9h4chfr8.cloudfront.net/image/725136000567/image_uhkf6t033h48bcvl2hnrgpl30e/-FJPG/233438-001_DET_2.jpg;https://dd3ka9h4chfr8.cloudfront.net/image/725136000567/image_nq8egckflh7s71b9scak30u03b/-FJPG/233438-001_BCK_1.jpg;https://dd3ka9h4chfr8.cloudfront.net/image/725136000567/image_s6p67r75h575t038t6s2ge6s64/-FJPG/233438-001_DET_1.jpg;https://dd3ka9h4chfr8.cloudfront.net/image/725136000567/image_2g5vgsutrl3n3dpsr8o4am710q/-FJPG/233438-001_DET_3.jpg;https://dd3ka9h4chfr8.cloudfront.net/image/725136000567/image_v4vs30pu2d60r9qr16oin3rl74/-FJPG/233438-001_OPN_1.jpg;https://dd3ka9h4chfr8.cloudfront.net/image/725136000567/image_jc0uh2ih2p44ddmdrl95dudl6g/-FJPG/233438-001_DET_4.jpg;https://dd3ka9h4chfr8.cloudfront.net/image/725136000567/image_ocqjrd5g8l6h3c8s8cg915ir6h/-FJPG/233438-001_DET_6.jpg;https://dd3ka9h4chfr8.cloudfront.net/image/725136000567/image_er65cq64a552378243bl958j3m/-FJPG/233438-001_DET_7.jpg;https://dd3ka9h4chfr8.cloudfront.net/image/725136000567/image_d4mkjd7g7t51ja4t5vo2af8s7o/-FJPG/233438-001_DET_8.jpg;https://dd3ka9h4chfr8.cloudfront.net/image/725136000567/image_vicj9ph56p22fbp319gr0bln6j/-FJPG/233438-001_DET_9.jpg</t>
  </si>
  <si>
    <t>233438-001</t>
  </si>
  <si>
    <t>88.62</t>
  </si>
  <si>
    <t>https://dd3ka9h4chfr8.cloudfront.net/image/725136000567/image_prj2fkqmvh0bb81g0fnmu46l0c/-FJPG/233438-001_FRT_1.jpg</t>
  </si>
  <si>
    <t>Solid mahogany and black sugar palm fuse for a complementary material mix. Three drawers keep frequently used desk items within reach.</t>
  </si>
  <si>
    <t>{"value":60.83,"unit":"in"}</t>
  </si>
  <si>
    <t>{"value":142.68,"unit":"lb"}</t>
  </si>
  <si>
    <t>Writing</t>
  </si>
  <si>
    <t>["Writing"]</t>
  </si>
  <si>
    <t>52.00"</t>
  </si>
  <si>
    <t>23.33"</t>
  </si>
  <si>
    <t>Fiona Nightstand</t>
  </si>
  <si>
    <t>https://dd3ka9h4chfr8.cloudfront.net/image/725136000567/image_sat9e1r46l1nt70n2o0f8m0j1f/-FJPG/233437-001_FRT_1.jpg;https://dd3ka9h4chfr8.cloudfront.net/image/725136000567/image_s8qlbcq7m50vb5cl92si9ps648/-FJPG/233437-001_PRM_1.jpg;https://dd3ka9h4chfr8.cloudfront.net/image/725136000567/image_sn3n56ecth761frhqauois8f40/-FJPG/233437-001_SID_1.jpg;https://dd3ka9h4chfr8.cloudfront.net/image/725136000567/image_39i01q0ort5mr0jk9hi2njls2u/-FJPG/233437-001_ESS_1.jpg;https://dd3ka9h4chfr8.cloudfront.net/image/725136000567/image_ogssmqn54d7it8s33geen22g5q/-FJPG/233437-001_DET_2.jpg;https://dd3ka9h4chfr8.cloudfront.net/image/725136000567/image_csup3eqgqd56f6g48b3tqr9r2o/-FJPG/233437-001_BCK_1.jpg;https://dd3ka9h4chfr8.cloudfront.net/image/725136000567/image_lkd7qfg1k14mf19da87kafiv3b/-FJPG/233437-001_DET_1.jpg;https://dd3ka9h4chfr8.cloudfront.net/image/725136000567/image_o5dm1pcnfl6ml5u3kq3h0n5c0t/-FJPG/233437-001_DET_3.jpg;https://dd3ka9h4chfr8.cloudfront.net/image/725136000567/image_covijcm5tl2or7q8aikcj1c112/-FJPG/233437-001_OPN_1.jpg;https://dd3ka9h4chfr8.cloudfront.net/image/725136000567/image_hcvrohr8ud04j5ar32s7aq001s/-FJPG/233437-001_DET_4.jpg;https://dd3ka9h4chfr8.cloudfront.net/image/725136000567/image_j29fpsc2p17e9bg4j5akua207n/-FJPG/233437-001_DET_5.jpg;https://dd3ka9h4chfr8.cloudfront.net/image/725136000567/image_joj4s8ltq9551308rvelv4a919/-FJPG/233437-001_DET_6.jpg;https://dd3ka9h4chfr8.cloudfront.net/image/725136000567/image_irhdnj24ll01pbavm8i6odip37/-FJPG/233437-001_DET_7.jpg;https://dd3ka9h4chfr8.cloudfront.net/image/725136000567/image_rqknqn0v9h7rhdhm5qieuef50l/-FJPG/233437-001_DET_8.jpg</t>
  </si>
  <si>
    <t>233437-001</t>
  </si>
  <si>
    <t>59.74</t>
  </si>
  <si>
    <t>https://dd3ka9h4chfr8.cloudfront.net/image/725136000567/image_sat9e1r46l1nt70n2o0f8m0j1f/-FJPG/233437-001_FRT_1.jpg</t>
  </si>
  <si>
    <t>Woven black raffia offers a texture-driven take on bedside storage. Antique brass-finished iron hardware adorns dual drawers supported by a solid mahogany base.</t>
  </si>
  <si>
    <t>{"value":88.8,"unit":"lb"}</t>
  </si>
  <si>
    <t>4.01"</t>
  </si>
  <si>
    <t>https://dd3ka9h4chfr8.cloudfront.net/image/725136000567/image_43teafhv693jn442bfguo3834r/-FJPG/233437-002_FRT_1.jpg;https://dd3ka9h4chfr8.cloudfront.net/image/725136000567/image_rmenl2o6eh6hn0r39uah683244/-FJPG/233437-002_PRM_1.jpg;https://dd3ka9h4chfr8.cloudfront.net/image/725136000567/image_026uvspd9t0u15c9nans0tek2r/-FJPG/233437-002_SID_1.jpg;https://dd3ka9h4chfr8.cloudfront.net/image/725136000567/image_2ag13h7pm50uf4g4oobdnl6s21/-FJPG/233437-002_DET_2.jpg;https://dd3ka9h4chfr8.cloudfront.net/image/725136000567/image_8hmtkfv3ot2dn9v5jttkc3ii65/-FJPG/233437-002_BCK_1.jpg;https://dd3ka9h4chfr8.cloudfront.net/image/725136000567/image_0uubhc0r851hr5kpktllsbi91m/-FJPG/233437-002_DET_1.jpg;https://dd3ka9h4chfr8.cloudfront.net/image/725136000567/image_nf2d0flped5urbqmrjr12npr4n/-FJPG/233437-002_DET_3.jpg;https://dd3ka9h4chfr8.cloudfront.net/image/725136000567/image_gdoij7a95d5r15f80o4j9npf5n/-FJPG/233437-002_OPN_1.jpg;https://dd3ka9h4chfr8.cloudfront.net/image/725136000567/image_gdj4k41nmh43357rtb24619054/-FJPG/233437-002_DET_4.jpg;https://dd3ka9h4chfr8.cloudfront.net/image/725136000567/image_ombv3ehnk90gd81pjglte3go14/-FJPG/233437-002_DET_5.jpg;https://dd3ka9h4chfr8.cloudfront.net/image/725136000567/image_4lllbcrn29791crvbsrto7mk1p/-FJPG/233437-002_DET_6.jpg;https://dd3ka9h4chfr8.cloudfront.net/image/725136000567/image_dqcrnorqbh58hdgcp5kal6qg02/-FJPG/233437-002_DET_7.jpg;https://dd3ka9h4chfr8.cloudfront.net/image/725136000567/image_c0kgdp88c14d73agldkled7j1c/-FJPG/233437-002_OPN_2.jpg</t>
  </si>
  <si>
    <t>Ivory Painted Raffia</t>
  </si>
  <si>
    <t>233437-002</t>
  </si>
  <si>
    <t>https://dd3ka9h4chfr8.cloudfront.net/image/725136000567/image_43teafhv693jn442bfguo3834r/-FJPG/233437-002_FRT_1.jpg</t>
  </si>
  <si>
    <t>Fiona Tall Dresser</t>
  </si>
  <si>
    <t>https://dd3ka9h4chfr8.cloudfront.net/image/725136000567/image_pcsf2nlkop15ra368qteur1674/-FJPG/246170-001_FRT_1.jpg;https://dd3ka9h4chfr8.cloudfront.net/image/725136000567/image_3ro4ignoc56cb9kaur4v1u6o5r/-FJPG/246170-001_PRM_1.jpg;https://dd3ka9h4chfr8.cloudfront.net/image/725136000567/image_l47ea21ijd2rj3o59e71ig905t/-FJPG/246170-001_SID_1.jpg;https://dd3ka9h4chfr8.cloudfront.net/image/725136000567/image_5hub1j2s794uf8admg9sqg950q/-FJPG/246170-001_ESS.tif;https://dd3ka9h4chfr8.cloudfront.net/image/725136000567/image_1nenmq50ml5bb4f3f4hgu6k429/-FJPG/246170-001_DET_2.jpg;https://dd3ka9h4chfr8.cloudfront.net/image/725136000567/image_tr9egurs9p4sd46t0kcn70of5e/-FJPG/246170-001_BCK_1.jpg;https://dd3ka9h4chfr8.cloudfront.net/image/725136000567/image_o7np4kcnc95b33c7no2i7pgl09/-FJPG/246170-001_DET_1.jpg;https://dd3ka9h4chfr8.cloudfront.net/image/725136000567/image_cuds2kdp2d7a9agmffs5mfn420/-FJPG/246170-001_DET_3.jpg;https://dd3ka9h4chfr8.cloudfront.net/image/725136000567/image_9vb7pfcsdt4c3etvr9l6dcap6p/-FJPG/246170-001_OPN_1.jpg;https://dd3ka9h4chfr8.cloudfront.net/image/725136000567/image_icah9gen6h3g5947cdn2aql21g/-FJPG/246170-001_DET_4.jpg;https://dd3ka9h4chfr8.cloudfront.net/image/725136000567/image_2q4usmfgbh4111ak37ri3gdj5a/-FJPG/246170-001_DET_5.jpg;https://dd3ka9h4chfr8.cloudfront.net/image/725136000567/image_9mo23v1ka53vn58cfl110gae5f/-FJPG/246170-001_DET_6.jpg;https://dd3ka9h4chfr8.cloudfront.net/image/725136000567/image_975e86o5m14o56pe77umqibu7t/-FJPG/246170-001_DET_9.tif</t>
  </si>
  <si>
    <t>246170-001</t>
  </si>
  <si>
    <t>189.33</t>
  </si>
  <si>
    <t>https://dd3ka9h4chfr8.cloudfront.net/image/725136000567/image_pcsf2nlkop15ra368qteur1674/-FJPG/246170-001_FRT_1.jpg</t>
  </si>
  <si>
    <t>["Sugar Palm","Solid Mahogany"]</t>
  </si>
  <si>
    <t>47.5</t>
  </si>
  <si>
    <t>{"value":47.5,"unit":"in"}</t>
  </si>
  <si>
    <t>A woven black raffia dresser offers a texture-driven take on bedroom storage. Antique brass-finished hardware adds a touch of vintage detailing, all grounded by a solid mahogany base.</t>
  </si>
  <si>
    <t>30.27"</t>
  </si>
  <si>
    <t>Fisher Bookcase</t>
  </si>
  <si>
    <t>https://dd3ka9h4chfr8.cloudfront.net/image/725136000567/image_oq3k62iett7s35m0jlimv41m3j/-FJPG/248134-001_FRT_1.jpg;https://dd3ka9h4chfr8.cloudfront.net/image/725136000567/image_bmekbb6erp2in9dq88nrs10d7p/-FJPG/248134-001_PRM_1.jpg;https://dd3ka9h4chfr8.cloudfront.net/image/725136000567/image_ji3n266mu10i397l7dent3l323/-FJPG/248134-001_SID_1.jpg;https://dd3ka9h4chfr8.cloudfront.net/image/725136000567/image_ajkp91t7dp1rv40m3ormcvka7c/-FJPG/248134-001_ESS.tif;https://dd3ka9h4chfr8.cloudfront.net/image/725136000567/image_ia6q6buvf95554dnjm69j13k48/-FJPG/248134-001_DET_2.jpg;https://dd3ka9h4chfr8.cloudfront.net/image/725136000567/image_kqohrg10j531543dsg46sg8h6b/-FJPG/248134-001_BCK_1.jpg;https://dd3ka9h4chfr8.cloudfront.net/image/725136000567/image_8d07ntqha16l98gg007iooun10/-FJPG/248134-001_DET_1.jpg;https://dd3ka9h4chfr8.cloudfront.net/image/725136000567/image_mplked7pi946b19tq16lbkam49/-FJPG/248134-001_DET_3.jpg;https://dd3ka9h4chfr8.cloudfront.net/image/725136000567/image_fpo6udcj1l74r7p91hdufk1t2h/-FJPG/248134-001_OPN_1.jpg;https://dd3ka9h4chfr8.cloudfront.net/image/725136000567/image_b8nmhnasbp4r73v5kkgle0856p/-FJPG/248134-001_DET_4.jpg;https://dd3ka9h4chfr8.cloudfront.net/image/725136000567/image_ag63h61p5t6mpde5u3q6cj8k6b/-FJPG/248134-001_DET_5.jpg;https://dd3ka9h4chfr8.cloudfront.net/image/725136000567/image_s1t9gpavd13g9calnb0t0q9v3b/-FJPG/248134-001_DET_6.jpg;https://dd3ka9h4chfr8.cloudfront.net/image/725136000567/image_3r4tbnvmel199bgfb38nbnrk4m/-FJPG/248134-001_DET_9.tif</t>
  </si>
  <si>
    <t>248134-001</t>
  </si>
  <si>
    <t>336.2</t>
  </si>
  <si>
    <t>https://dd3ka9h4chfr8.cloudfront.net/image/725136000567/image_oq3k62iett7s35m0jlimv41m3j/-FJPG/248134-001_FRT_1.jpg</t>
  </si>
  <si>
    <t>53</t>
  </si>
  <si>
    <t>18.25</t>
  </si>
  <si>
    <t>{"value":18.25,"unit":"in"}</t>
  </si>
  <si>
    <t>Organize your favorite books and belongings in this stately bookcase of solid oak and thick oak veneer. Rich with natural cracks and wood graining, with long, oversized legs flanking wide open shelves. Lower cabinetry brings bonus storage to this timeless, versatile piece.</t>
  </si>
  <si>
    <t>Bookcase</t>
  </si>
  <si>
    <t>{"value":59.84,"unit":"in"}</t>
  </si>
  <si>
    <t>{"value":94.88,"unit":"in"}</t>
  </si>
  <si>
    <t>{"value":402.34,"unit":"lb"}</t>
  </si>
  <si>
    <t>18.03"</t>
  </si>
  <si>
    <t>41.02"</t>
  </si>
  <si>
    <t>Fisher</t>
  </si>
  <si>
    <t>39.45"</t>
  </si>
  <si>
    <t>15.89"</t>
  </si>
  <si>
    <t>17.80"</t>
  </si>
  <si>
    <t>39.61"</t>
  </si>
  <si>
    <t>https://dd3ka9h4chfr8.cloudfront.net/image/725136000567/image_5all17gt4t39v6n6fotdijbh3i/-FJPG/248134-002_FRT_1.jpg;https://dd3ka9h4chfr8.cloudfront.net/image/725136000567/image_oftc0i9i9t32helu3i4bsrcj1d/-FJPG/248134-002_PRM_1.jpg;https://dd3ka9h4chfr8.cloudfront.net/image/725136000567/image_64flr8vr1l3vb5vghf8uoava5l/-FJPG/248134-002_SID_1.jpg;https://dd3ka9h4chfr8.cloudfront.net/image/725136000567/image_vulh89a6ph6e59kp1pghulv502/-FJPG/248134-002_ESS.tif;https://dd3ka9h4chfr8.cloudfront.net/image/725136000567/image_4urd7aedi53u95r2ubeeff674r/-FJPG/248134-002_DET_2.jpg;https://dd3ka9h4chfr8.cloudfront.net/image/725136000567/image_asv3rkigad5qrefsur0q0lgu26/-FJPG/248134-002_BCK_1.jpg;https://dd3ka9h4chfr8.cloudfront.net/image/725136000567/image_lmm3k2brst6e34e8uqpfeb7j5l/-FJPG/248134-002_DET_1.jpg;https://dd3ka9h4chfr8.cloudfront.net/image/725136000567/image_se9rmcrpjt5qnbo0m5vsaqq258/-FJPG/248134-002_DET_3.jpg;https://dd3ka9h4chfr8.cloudfront.net/image/725136000567/image_h9fa9sam7519l3eiv2ll7v7o2i/-FJPG/248134-002_OPN_1.jpg;https://dd3ka9h4chfr8.cloudfront.net/image/725136000567/image_rbhve201jt2o3802gftjqn115v/-FJPG/248134-002_DET_4.jpg;https://dd3ka9h4chfr8.cloudfront.net/image/725136000567/image_ri7o79ddr928d2u553qb6d0d57/-FJPG/248134-002_DET_5.jpg;https://dd3ka9h4chfr8.cloudfront.net/image/725136000567/image_2j22db7jht1a309goljvdta13v/-FJPG/248134-002_DET_6.jpg;https://dd3ka9h4chfr8.cloudfront.net/image/725136000567/image_fnfj8c8kh12nvdc67dioa2nd59/-FJPG/248134-002_DET_9.tif</t>
  </si>
  <si>
    <t>Smoked Black Veneer</t>
  </si>
  <si>
    <t>248134-002</t>
  </si>
  <si>
    <t>https://dd3ka9h4chfr8.cloudfront.net/image/725136000567/image_5all17gt4t39v6n6fotdijbh3i/-FJPG/248134-002_FRT_1.jpg</t>
  </si>
  <si>
    <t>Crafted from a mix of solid oak and smoked black veneer, this grand-scale bookcase becomes a focal point, showcasing the natural graining and character of the wood. Its wide frame and clean push-latch cabinet doors ground the room while offering the perfect backdrop for favorite books and treasured keepsakes.</t>
  </si>
  <si>
    <t>Fisher Media Console</t>
  </si>
  <si>
    <t>https://dd3ka9h4chfr8.cloudfront.net/image/725136000567/image_7mrmh28fhh37h5l0rqqaievc15/-FJPG/239728-001_FRT_1.jpg;https://dd3ka9h4chfr8.cloudfront.net/image/725136000567/image_fm35bkoqp13uv044nvoikvu96g/-FJPG/239728-001_PRM_1.jpg;https://dd3ka9h4chfr8.cloudfront.net/image/725136000567/image_lm42mkrb397b31qvosf790i21g/-FJPG/239728-001_SID_1.jpg;https://dd3ka9h4chfr8.cloudfront.net/image/725136000567/image_jj9725m5v108d139gs7mc8g81p/-FJPG/239728-001_ESS_1.tif;https://dd3ka9h4chfr8.cloudfront.net/image/725136000567/image_p8ij2gnjah67pdp8fa7qvot440/-FJPG/239728-001_DET_2.jpg;https://dd3ka9h4chfr8.cloudfront.net/image/725136000567/image_kajqmqrk0d12f1i23h7kuhbk4k/-FJPG/239728-001_BCK_1.jpg;https://dd3ka9h4chfr8.cloudfront.net/image/725136000567/image_vlah985n2p1kh9v5iv1v8f7t72/-FJPG/239728-001_DET_1.jpg;https://dd3ka9h4chfr8.cloudfront.net/image/725136000567/image_reuag3rp1t5cd3babhn635ep0f/-FJPG/239728-001_DET_3.jpg;https://dd3ka9h4chfr8.cloudfront.net/image/725136000567/image_c79e9aghp11arfvtc5dp6bie2h/-FJPG/239728-001_OPN_1.jpg;https://dd3ka9h4chfr8.cloudfront.net/image/725136000567/image_2nf15ld4ep3j3btolm59bdjr51/-FJPG/239728-001_DET_4.jpg;https://dd3ka9h4chfr8.cloudfront.net/image/725136000567/image_m2es6ojv4t6rh09rrorpfbin5j/-FJPG/239728-001_DET_5.jpg;https://dd3ka9h4chfr8.cloudfront.net/image/725136000567/image_crbni70c3l3m3fo42ttk3r021g/-FJPG/239728-001_DET_6.jpg;https://dd3ka9h4chfr8.cloudfront.net/image/725136000567/image_qa6s3puun522f8f84vujpg1d0f/-FJPG/239728-001_DET_7.jpg;https://dd3ka9h4chfr8.cloudfront.net/image/725136000567/image_j79ntf8qg93f3a8j3cq711iv5a/-FJPG/239728-001_DET_8.jpg;https://dd3ka9h4chfr8.cloudfront.net/image/725136000567/image_ru2e7rrksl7arbpda1gieaaf57/-FJPG/239728-001_DET_9.tif</t>
  </si>
  <si>
    <t>239728-001</t>
  </si>
  <si>
    <t>https://dd3ka9h4chfr8.cloudfront.net/image/725136000567/image_7mrmh28fhh37h5l0rqqaievc15/-FJPG/239728-001_FRT_1.jpg</t>
  </si>
  <si>
    <t>Crafted from a mix of solid oak and thick oak veneer, the contemporary shaping of this grand-scale media console lets the natural graining, cracking and character of the woods take center stage. Designed with oversized legs and cantilevered doors, with push latch doors.</t>
  </si>
  <si>
    <t>{"value":98.43,"unit":"in"}</t>
  </si>
  <si>
    <t>{"value":20.08,"unit":"in"}</t>
  </si>
  <si>
    <t>{"value":264.55,"unit":"lb"}</t>
  </si>
  <si>
    <t>14.09"</t>
  </si>
  <si>
    <t>12.36"</t>
  </si>
  <si>
    <t>17.48"</t>
  </si>
  <si>
    <t>Fleming Sofa</t>
  </si>
  <si>
    <t>https://dd3ka9h4chfr8.cloudfront.net/image/725136000567/image_89q7m5b9e97lh6d1ctmh58og09/-FJPG/229878-001_FRT_1.jpg;https://dd3ka9h4chfr8.cloudfront.net/image/725136000567/image_d020409jud6hpfv62hhmoqsf41/-FJPG/229878-001_PRM_1.jpg;https://dd3ka9h4chfr8.cloudfront.net/image/725136000567/image_2uf812ccgl6vv6dmumggkcqs1q/-FJPG/229878-001_SID_1.jpg;https://dd3ka9h4chfr8.cloudfront.net/image/725136000567/image_os27uo33q56mr0116li5s6up22/-FJPG/229878-001_ESS_1.jpg;https://dd3ka9h4chfr8.cloudfront.net/image/725136000567/image_7uavj7e9r94crf61kd1c8srb17/-FJPG/229878-001_DET_2.jpg;https://dd3ka9h4chfr8.cloudfront.net/image/725136000567/image_91c2sdmtvd4cdebse9lrsupp2h/-FJPG/229878-001_BCK_1.jpg;https://dd3ka9h4chfr8.cloudfront.net/image/725136000567/image_jblbjtsh2p4pr8u06c01nd974p/-FJPG/229878-001_DET_1.jpg;https://dd3ka9h4chfr8.cloudfront.net/image/725136000567/image_g28jllo00943del83mcfj71h2e/-FJPG/229878-001_DET_3.jpg;https://dd3ka9h4chfr8.cloudfront.net/image/725136000567/image_565rc9lhft2tr701a6u4upgk0n/-FJPG/229878-001_DET_4.jpg;https://dd3ka9h4chfr8.cloudfront.net/image/725136000567/image_6096rbaqb52f5af48gr6vmfm59/-FJPG/229878-001_DET_5.jpg;https://dd3ka9h4chfr8.cloudfront.net/image/725136000567/image_gsavqbvfrp6qp82nb912jgc019/-FJPG/229878-001_DET_6.jpg;https://dd3ka9h4chfr8.cloudfront.net/image/725136000567/image_1nq9bu571d1efbumcv2a976s14/-FJPG/229878-001_DET_7.jpg;https://dd3ka9h4chfr8.cloudfront.net/image/725136000567/image_scsiojm0fh7ej7a8411gdjoi66/-FJPG/229878-001_ESS_2.jpg;https://dd3ka9h4chfr8.cloudfront.net/image/725136000567/image_b9bvlm8vid2458k2lj73ji0f65/-FJPG/229878-001_PRM_2.jpg</t>
  </si>
  <si>
    <t>Alcala Wheat</t>
  </si>
  <si>
    <t>229878-001</t>
  </si>
  <si>
    <t>https://dd3ka9h4chfr8.cloudfront.net/image/725136000567/image_89q7m5b9e97lh6d1ctmh58og09/-FJPG/229878-001_FRT_1.jpg</t>
  </si>
  <si>
    <t>["70% Polyester","20% Viscose (Rayon)","10% Flax/Linen","Solid Ash"]</t>
  </si>
  <si>
    <t>37.5</t>
  </si>
  <si>
    <t>{"value":37.5,"unit":"in"}</t>
  </si>
  <si>
    <t>Coastal casual meets the folded trend. Wide folded wrap arms and slim wooden legs bring sleek drama to a traditional frame. Upholstered in a soft poly/linen blend with soft, subtle texture for a casual look and feel.</t>
  </si>
  <si>
    <t>{"value":94.49,"unit":"in"}</t>
  </si>
  <si>
    <t>{"value":161.82,"unit":"lb"}</t>
  </si>
  <si>
    <t>50% Polyurethane Foam Pad, 25% Waterfowl Feather, 25% Polyester Fiber Batting</t>
  </si>
  <si>
    <t>Fleming</t>
  </si>
  <si>
    <t>43.00"</t>
  </si>
  <si>
    <t>82.50"</t>
  </si>
  <si>
    <t>Flint Bunching Table</t>
  </si>
  <si>
    <t>https://dd3ka9h4chfr8.cloudfront.net/image/725136000567/image_aq5cmusjat1gh213i0koglun60/-FJPG/105675-003_PRM_1.jpg;https://dd3ka9h4chfr8.cloudfront.net/image/725136000567/image_4oip838fb131f03ff118kp0e4r/-FJPG/105675-003_DET_2.jpg;https://dd3ka9h4chfr8.cloudfront.net/image/725136000567/image_mfea8kos2l7fh7tpgbhu5ca620/-FJPG/105675-003_DET_1.jpg;https://dd3ka9h4chfr8.cloudfront.net/image/725136000567/image_dtv4b4pbkp57j5l5hfnl8rq12h/-FJPG/105675-003_DET_3.jpg;https://dd3ka9h4chfr8.cloudfront.net/image/725136000567/image_06tvpoo26t2bn1rpkmp3oop42r/-FJPG/105675-003_DET_4.jpg;https://dd3ka9h4chfr8.cloudfront.net/image/725136000567/image_3e1dfolmb16br7gd8u2nec2s15/-FJPG/105675-003_VIG_1.jpg</t>
  </si>
  <si>
    <t>Bright Brass</t>
  </si>
  <si>
    <t>105675-003</t>
  </si>
  <si>
    <t>https://dd3ka9h4chfr8.cloudfront.net/image/725136000567/image_aq5cmusjat1gh213i0koglun60/-FJPG/105675-003_PRM_1.jpg</t>
  </si>
  <si>
    <t>["Brass","Top Grain Leather"]</t>
  </si>
  <si>
    <t>Patina Copper</t>
  </si>
  <si>
    <t>Details add depth to a deceptively simple shape. Hand-stitched copper leather offsets a bright brass base with rivet detail for a striking material mix and mid-century spirit. Perfect in pairs as the new alternative to the traditional coffee table.</t>
  </si>
  <si>
    <t>Flint</t>
  </si>
  <si>
    <t>Flip Top Console Table</t>
  </si>
  <si>
    <t>https://dd3ka9h4chfr8.cloudfront.net/image/725136000567/image_2d4vfur4753a32j0orh6qggm7n/-FJPG/236048-001_PRM_1.jpg;https://dd3ka9h4chfr8.cloudfront.net/image/725136000567/image_cqkjq1k2o911v10c6on7flji01/-FJPG/236048-001_SID_1.jpg;https://dd3ka9h4chfr8.cloudfront.net/image/725136000567/image_qsc6dnbh9t6lda6i36ar9poh0d/-FJPG/236048-001_ESS_1.jpg;https://dd3ka9h4chfr8.cloudfront.net/image/725136000567/image_js32clc7vp44re0ejc07cfnj7o/-FJPG/236048-001_DET_2.jpg;https://dd3ka9h4chfr8.cloudfront.net/image/725136000567/image_p5mg9oe39d03t52h6sk3217c31/-FJPG/236048-001_DET_1.jpg;https://dd3ka9h4chfr8.cloudfront.net/image/725136000567/image_39i8g5dpc913td7gavv2dhs87s/-FJPG/236048-001_DET_3.jpg;https://dd3ka9h4chfr8.cloudfront.net/image/725136000567/image_oolcbi1bs93p73kqrq9glslh1m/-FJPG/236048-001_DET_4.jpg;https://dd3ka9h4chfr8.cloudfront.net/image/725136000567/image_btq2klrur148naurb41q5v7v1n/-FJPG/236048-001_DET_5.jpg;https://dd3ka9h4chfr8.cloudfront.net/image/725136000567/image_sttvjhev6l7n703ceidpkf3232/-FJPG/236048-001_DET_6.jpg;https://dd3ka9h4chfr8.cloudfront.net/image/725136000567/image_v5u3l3oni53p9ej1lipmbknl0r/-FJPG/236048-001_DET_7.jpg;https://dd3ka9h4chfr8.cloudfront.net/image/725136000567/image_b88eishdeh0jb2l4vvojl3u73e/-FJPG/236048-001_DET_8.jpg;https://dd3ka9h4chfr8.cloudfront.net/image/725136000567/image_dv48o1te114ud9e9jmncbq9u4u/-FJPG/236048-001_SID_2.jpg;https://dd3ka9h4chfr8.cloudfront.net/image/725136000567/image_ahejl1v3q917lfk9sma54eof3n/-FJPG/236048-001_ESS_2.jpg;https://dd3ka9h4chfr8.cloudfront.net/image/725136000567/image_3rk56k9jn109dfc003te06mq59/-FJPG/236048-001_ESS_3.jpg;https://dd3ka9h4chfr8.cloudfront.net/image/725136000567/image_76o9ndslil1bb9qoqtikq8i459/-FJPG/236048-001_ESS_4.jpg;https://dd3ka9h4chfr8.cloudfront.net/image/725136000567/image_ftd3qqvra91pjap016g7c8680b/-FJPG/236048-001_ESS_5.jpg</t>
  </si>
  <si>
    <t>Toasted Ash</t>
  </si>
  <si>
    <t>236048-001</t>
  </si>
  <si>
    <t>138.67</t>
  </si>
  <si>
    <t>https://dd3ka9h4chfr8.cloudfront.net/image/725136000567/image_2d4vfur4753a32j0orh6qggm7n/-FJPG/236048-001_PRM_1.jpg</t>
  </si>
  <si>
    <t>["Solid Ash","Iron"]</t>
  </si>
  <si>
    <t>The classic flip-top table, reimagined. Made from solid ash with a light, toasted finish, with inset hinges. Routing detail on legs modernizes the whole look of this anchoring piece. Depth with one side extended measures 33"; depth with both sides extended measures 44".</t>
  </si>
  <si>
    <t>1 Complete Item</t>
  </si>
  <si>
    <t>{"value":160.05,"unit":"lb"}</t>
  </si>
  <si>
    <t>Flip Top</t>
  </si>
  <si>
    <t>83.00"</t>
  </si>
  <si>
    <t>FlipTop/ Refectory/ Breadboard</t>
  </si>
  <si>
    <t>Butterfly self-storing</t>
  </si>
  <si>
    <t>Florent Sideboard</t>
  </si>
  <si>
    <t>https://dd3ka9h4chfr8.cloudfront.net/image/725136000567/image_g5tpulb359209dk1tj4dd0jt2o/-FJPG/237714-001_FRT_1.jpg;https://dd3ka9h4chfr8.cloudfront.net/image/725136000567/image_0l3bbbrost6h7erm0mqetfv84c/-FJPG/237714-001_PRM_1.jpg;https://dd3ka9h4chfr8.cloudfront.net/image/725136000567/image_u384gl6v1l6l7f4n491gnvns2c/-FJPG/237714-001_SID_1.jpg;https://dd3ka9h4chfr8.cloudfront.net/image/725136000567/image_vtnhroaiih1gvcnj7brfri4f6c/-FJPG/237714-001_ESS.tif;https://dd3ka9h4chfr8.cloudfront.net/image/725136000567/image_vf15dc1vu95td49cki1e89j72g/-FJPG/237714-001_DET_2.jpg;https://dd3ka9h4chfr8.cloudfront.net/image/725136000567/image_rv1ng30nil5fd729t689fh6b5f/-FJPG/237714-001_BCK_1.jpg;https://dd3ka9h4chfr8.cloudfront.net/image/725136000567/image_31jonb8hhp6q55gh2n6608o21l/-FJPG/237714-001_DET_1.jpg;https://dd3ka9h4chfr8.cloudfront.net/image/725136000567/image_tqld3eb8v92u79kujddo3j0808/-FJPG/237714-001_DET_3.jpg;https://dd3ka9h4chfr8.cloudfront.net/image/725136000567/image_h0s8t2gpl51dtc0ve0m9pn460l/-FJPG/237714-001_OPN_1.jpg;https://dd3ka9h4chfr8.cloudfront.net/image/725136000567/image_ca5afqud814m5crnji37f0cm37/-FJPG/237714-001_DET_4.jpg;https://dd3ka9h4chfr8.cloudfront.net/image/725136000567/image_4t8kvfn6ad7dl4r1lfdv6a4f3b/-FJPG/237714-001_DET_5.jpg;https://dd3ka9h4chfr8.cloudfront.net/image/725136000567/image_ft0ptltlud3sh0iekcr6gnjf62/-FJPG/237714-001_DET_6.jpg;https://dd3ka9h4chfr8.cloudfront.net/image/725136000567/image_kdikos3qn517bccq8ta8ampa10/-FJPG/237714-001_DET_7.jpg;https://dd3ka9h4chfr8.cloudfront.net/image/725136000567/image_bbt2opmoo949t66v9rc2af126j/-FJPG/237714-001_DET_8.jpg;https://dd3ka9h4chfr8.cloudfront.net/image/725136000567/image_b1qapcerrl26lealejnhj4la5s/-FJPG/237714-001_DET_9.tif;https://dd3ka9h4chfr8.cloudfront.net/image/725136000567/image_17dd5n5k154fbcg1pek93h6r6f/-FJPG/237714-001_DET_10.tif;https://dd3ka9h4chfr8.cloudfront.net/image/725136000567/image_8fe7k714b53291gqctj792l51k/-FJPG/237714-001_DET_11.tif;https://dd3ka9h4chfr8.cloudfront.net/image/725136000567/image_ce15o5nin56tt6qqn9m9vhhs3e/-FJPG/FHMPRJ-013_SCENE_5.tif</t>
  </si>
  <si>
    <t>Amber Oak</t>
  </si>
  <si>
    <t>237714-001</t>
  </si>
  <si>
    <t>209.44</t>
  </si>
  <si>
    <t>https://dd3ka9h4chfr8.cloudfront.net/image/725136000567/image_g5tpulb359209dk1tj4dd0jt2o/-FJPG/237714-001_FRT_1.jpg</t>
  </si>
  <si>
    <t>["Solid Oak","Thick Oak Veneer"]</t>
  </si>
  <si>
    <t>Amber Oak Veneer</t>
  </si>
  <si>
    <t>Large cylinder framework defines this oak sideboard with a warm oak finish. Curved lines add softness, while delicate hardware provides a visual contrast against the sideboard's substantial size.</t>
  </si>
  <si>
    <t>{"value":89.57,"unit":"in"}</t>
  </si>
  <si>
    <t>{"value":253.53,"unit":"lb"}</t>
  </si>
  <si>
    <t>14.69"</t>
  </si>
  <si>
    <t>23.27"</t>
  </si>
  <si>
    <t>35.08"</t>
  </si>
  <si>
    <t>Florent</t>
  </si>
  <si>
    <t>4.29"</t>
  </si>
  <si>
    <t>23.11"</t>
  </si>
  <si>
    <t>Freddie Chest</t>
  </si>
  <si>
    <t>https://dd3ka9h4chfr8.cloudfront.net/image/725136000567/image_cq3rfb0eul2i59vahki525s41m/-FJPG/241551-001_FRT_1.jpg;https://dd3ka9h4chfr8.cloudfront.net/image/725136000567/image_gcndh9rsqp5p19n3q5fagr4l2i/-FJPG/241551-001_PRM_1.jpg;https://dd3ka9h4chfr8.cloudfront.net/image/725136000567/image_lcurpc38m94ff6vnkqddjdr81b/-FJPG/241551-001_SID_1.jpg;https://dd3ka9h4chfr8.cloudfront.net/image/725136000567/image_r7u9udqnqh7ddajjlco12me051/-FJPG/241551-001_ESS.tif;https://dd3ka9h4chfr8.cloudfront.net/image/725136000567/image_a665kfjcat0bt52vk4r2hmpi05/-FJPG/241551-001_DET_2.jpg;https://dd3ka9h4chfr8.cloudfront.net/image/725136000567/image_vtaivjqcs109v1fuf0849b7701/-FJPG/241551-001_BCK_1.jpg;https://dd3ka9h4chfr8.cloudfront.net/image/725136000567/image_nf1ggp22r11s596i479k478v3o/-FJPG/241551-001_DET_1.jpg;https://dd3ka9h4chfr8.cloudfront.net/image/725136000567/image_p9tpuvd91p157cv82g6i4l165q/-FJPG/241551-001_DET_3.jpg;https://dd3ka9h4chfr8.cloudfront.net/image/725136000567/image_tpjc2fcqu12rvembkvi1r2gn62/-FJPG/241551-001_OPN_1.jpg;https://dd3ka9h4chfr8.cloudfront.net/image/725136000567/image_0n7q17p5s11mvdclki6sartg7g/-FJPG/241551-001_TOP_1.jpg;https://dd3ka9h4chfr8.cloudfront.net/image/725136000567/image_v9d2nk3l593mpcf78aght5nj0l/-FJPG/241551-001_DET_4.jpg;https://dd3ka9h4chfr8.cloudfront.net/image/725136000567/image_8ieppv0pdp3e17fdtcd0b12646/-FJPG/241551-001_DET_5.jpg;https://dd3ka9h4chfr8.cloudfront.net/image/725136000567/image_j7h19vatr122n8v6p0ino70r3e/-FJPG/241551-001_DET_6.jpg;https://dd3ka9h4chfr8.cloudfront.net/image/725136000567/image_49ttuuv5911rp6pfij35018t3f/-FJPG/241551-001_DET_7.jpg;https://dd3ka9h4chfr8.cloudfront.net/image/725136000567/image_bkujrp8v4t7njds038iitgi56l/-FJPG/241551-001_DET_8.jpg</t>
  </si>
  <si>
    <t>Brown</t>
  </si>
  <si>
    <t>241551-001</t>
  </si>
  <si>
    <t>108.03</t>
  </si>
  <si>
    <t>https://dd3ka9h4chfr8.cloudfront.net/image/725136000567/image_cq3rfb0eul2i59vahki525s41m/-FJPG/241551-001_FRT_1.jpg</t>
  </si>
  <si>
    <t>["Solid Mango","Iron"]</t>
  </si>
  <si>
    <t>Inspired by French antique design, this dresser stands on round tapered legs with a prominent overhang top. Made of mango wood with cast iron key ring pulls, three drawers make it a versatile choice as a dresser or nightstand.</t>
  </si>
  <si>
    <t>{"value":130.95,"unit":"lb"}</t>
  </si>
  <si>
    <t>Freddie</t>
  </si>
  <si>
    <t>31.75"</t>
  </si>
  <si>
    <t>https://dd3ka9h4chfr8.cloudfront.net/image/725136000567/image_fb1q3ld0s50gpfng08jifmo933/-FJPG/241551-003_FRT_1.jpg;https://dd3ka9h4chfr8.cloudfront.net/image/725136000567/image_9q3aq0qqr50sf6a949kmo8t25j/-FJPG/241551-003_PRM_1.jpg;https://dd3ka9h4chfr8.cloudfront.net/image/725136000567/image_7laj8a5e8p4udfegeqhgufbe3a/-FJPG/241551-003_SID_1.jpg;https://dd3ka9h4chfr8.cloudfront.net/image/725136000567/image_p0nsktlqrh6fn3hij7bhnhaa33/-FJPG/241551-003_DET_2.jpg;https://dd3ka9h4chfr8.cloudfront.net/image/725136000567/image_ljptpglc0t183cflhv1sejc35j/-FJPG/241551-003_BCK_1.jpg;https://dd3ka9h4chfr8.cloudfront.net/image/725136000567/image_rhl40mpe8p2i19bmv3hlj0hk5h/-FJPG/241551-003_DET_1.jpg;https://dd3ka9h4chfr8.cloudfront.net/image/725136000567/image_dh5sflitd92hjbfia9jetf1f5q/-FJPG/241551-003_DET_3.jpg;https://dd3ka9h4chfr8.cloudfront.net/image/725136000567/image_j18ir1m5fh6r3e8253j8eqkh5b/-FJPG/241551-003_OPN_1.jpg;https://dd3ka9h4chfr8.cloudfront.net/image/725136000567/image_47idfhet4l175dptjc7sjh7j6h/-FJPG/241551-003_TOP_1.jpg;https://dd3ka9h4chfr8.cloudfront.net/image/725136000567/image_2ppt2fok89509dfslsts7i6a3q/-FJPG/241551-003_DET_4.jpg</t>
  </si>
  <si>
    <t>Caramel Mango</t>
  </si>
  <si>
    <t>241551-003</t>
  </si>
  <si>
    <t>https://dd3ka9h4chfr8.cloudfront.net/image/725136000567/image_fb1q3ld0s50gpfng08jifmo933/-FJPG/241551-003_FRT_1.jpg</t>
  </si>
  <si>
    <t>Freddie Nightstand</t>
  </si>
  <si>
    <t>https://dd3ka9h4chfr8.cloudfront.net/image/725136000567/image_dc5cgenq3t2t1fdrn224d02s23/-FJPG/241434-001_FRT_1.jpg;https://dd3ka9h4chfr8.cloudfront.net/image/725136000567/image_0go5rdt6a56477fr6hen2u0a2a/-FJPG/241434-001_PRM_1.jpg;https://dd3ka9h4chfr8.cloudfront.net/image/725136000567/image_gnoa0c547h47b6rhlj91g9di0d/-FJPG/241434-001_SID_1.jpg;https://dd3ka9h4chfr8.cloudfront.net/image/725136000567/image_q3960hgm717930uag1cv4sla6u/-FJPG/241434-001_ESS.tif;https://dd3ka9h4chfr8.cloudfront.net/image/725136000567/image_g4iaqj5vnp1b52tt8u8of9bl7t/-FJPG/241434-001_DET_2.jpg;https://dd3ka9h4chfr8.cloudfront.net/image/725136000567/image_ancmqm5juh14v1bolkefcs010d/-FJPG/241434-001_BCK_1.jpg;https://dd3ka9h4chfr8.cloudfront.net/image/725136000567/image_8bjg5g5qr970d02aduf6he1n2g/-FJPG/241434-001_DET_1.jpg;https://dd3ka9h4chfr8.cloudfront.net/image/725136000567/image_st89plvos56ur1ivs6jo1lod4f/-FJPG/241434-001_DET_3.jpg;https://dd3ka9h4chfr8.cloudfront.net/image/725136000567/image_b8k8ocnn5l4sdec2pib7lpes3o/-FJPG/241434-001_OPN_1.jpg;https://dd3ka9h4chfr8.cloudfront.net/image/725136000567/image_nakcodni5p225ahkmlrqgc2i4v/-FJPG/241434-001_TOP_1.jpg;https://dd3ka9h4chfr8.cloudfront.net/image/725136000567/image_etndjca5st0dndv3bgeslf3l47/-FJPG/241434-001_DET_4.jpg;https://dd3ka9h4chfr8.cloudfront.net/image/725136000567/image_5iolpfi4ed4o7a4h1do0mpos78/-FJPG/241434-001_DET_5.jpg;https://dd3ka9h4chfr8.cloudfront.net/image/725136000567/image_qm3e2ejuh91f7426e3ajsu8u1f/-FJPG/241434-001_DET_6.jpg;https://dd3ka9h4chfr8.cloudfront.net/image/725136000567/image_6f3n21vc3d2i7eoq64q2pjk40i/-FJPG/241434-001_DET_7.jpg</t>
  </si>
  <si>
    <t>241434-001</t>
  </si>
  <si>
    <t>https://dd3ka9h4chfr8.cloudfront.net/image/725136000567/image_dc5cgenq3t2t1fdrn224d02s23/-FJPG/241434-001_FRT_1.jpg</t>
  </si>
  <si>
    <t>Inspired by French antique design, this dresser stands on round tapered legs with a prominent overhang top. Made of mango wood with cast iron key ring pulls, two drawers make it a versatile choice as a dresser or nightstand.</t>
  </si>
  <si>
    <t>{"value":106.15,"unit":"lb"}</t>
  </si>
  <si>
    <t>https://dd3ka9h4chfr8.cloudfront.net/image/725136000567/image_cpd3mrt6ql7th4skeroefrk438/-FJPG/241434-003_FRT_1.jpg;https://dd3ka9h4chfr8.cloudfront.net/image/725136000567/image_vae73kaf5910jd1nhh4ehog372/-FJPG/241434-003_PRM_1.jpg;https://dd3ka9h4chfr8.cloudfront.net/image/725136000567/image_ppeumrv38h0kl3tpquhkgohj78/-FJPG/241434-003_SID_1.jpg;https://dd3ka9h4chfr8.cloudfront.net/image/725136000567/image_3mvrd8ah7h51t9160ejn9joq13/-FJPG/241434-003_DET_2.jpg;https://dd3ka9h4chfr8.cloudfront.net/image/725136000567/image_n0gt5ip8jp3f1781cmivq0hh3c/-FJPG/241434-003_BCK_1.jpg;https://dd3ka9h4chfr8.cloudfront.net/image/725136000567/image_s4ujfo6aqp7ih97dfiqfipaq6s/-FJPG/241434-003_DET_1.jpg;https://dd3ka9h4chfr8.cloudfront.net/image/725136000567/image_om47uouelh1aj1nbdobjjko23c/-FJPG/241434-003_DET_3.jpg;https://dd3ka9h4chfr8.cloudfront.net/image/725136000567/image_u7q5k0mb3529j8gabitmjsem41/-FJPG/241434-003_OPN_1.jpg;https://dd3ka9h4chfr8.cloudfront.net/image/725136000567/image_0rtcof7k4944b7u16766h8n55e/-FJPG/241434-003_TOP_1.jpg;https://dd3ka9h4chfr8.cloudfront.net/image/725136000567/image_f45bj99thh6vnasrcno65mit4r/-FJPG/241434-003_DET_4.jpg;https://dd3ka9h4chfr8.cloudfront.net/image/725136000567/image_ttutm9tcdt1bl682cmnm57va0n/-FJPG/241434-003_DET_5.jpg;https://dd3ka9h4chfr8.cloudfront.net/image/725136000567/image_b92nbsu7ct2c35ggm9qoed025u/-FJPG/241434-003_DET_6.jpg</t>
  </si>
  <si>
    <t>241434-003</t>
  </si>
  <si>
    <t>https://dd3ka9h4chfr8.cloudfront.net/image/725136000567/image_cpd3mrt6ql7th4skeroefrk438/-FJPG/241434-003_FRT_1.jpg</t>
  </si>
  <si>
    <t>Gaines Media Console</t>
  </si>
  <si>
    <t>https://dd3ka9h4chfr8.cloudfront.net/image/725136000567/image_nipebcvjcp1cr9rl9djn12qb10/-FJPG/233546-002_FRT_1.jpg;https://dd3ka9h4chfr8.cloudfront.net/image/725136000567/image_4b0a58uf8l2m35nj7bactakf4t/-FJPG/233546-002_PRM_1.jpg;https://dd3ka9h4chfr8.cloudfront.net/image/725136000567/image_9ruc804kv562rc3osvre7caa3e/-FJPG/233546-002_SID_1.jpg;https://dd3ka9h4chfr8.cloudfront.net/image/725136000567/image_oqrl8h1cq17q19hsbg2bu2vh7h/-FJPG/233546-002_ESS_1.jpg;https://dd3ka9h4chfr8.cloudfront.net/image/725136000567/image_031vov31457d900t7hft58od6a/-FJPG/233546-002_DET_2.jpg;https://dd3ka9h4chfr8.cloudfront.net/image/725136000567/image_ccar6nl19l7q7dcsaukp4eq51g/-FJPG/233546-002_BCK_1.jpg;https://dd3ka9h4chfr8.cloudfront.net/image/725136000567/image_r0m4m5ir491v35sjfomuq5d875/-FJPG/233546-002_DET_1.jpg;https://dd3ka9h4chfr8.cloudfront.net/image/725136000567/image_pi8b4rim3l5rjfbrvo3o8g4l0d/-FJPG/233546-002_DET_3.jpg;https://dd3ka9h4chfr8.cloudfront.net/image/725136000567/image_053alff2ql32t03dk0sg8qao4v/-FJPG/233546-002_OPN_1.jpg;https://dd3ka9h4chfr8.cloudfront.net/image/725136000567/image_cf97dpdfo91qdef0vd6fmlvn0l/-FJPG/233546-002_DET_4.jpg;https://dd3ka9h4chfr8.cloudfront.net/image/725136000567/image_fhb1vl5u815iv64vuclfaqmc15/-FJPG/233546-002_DET_5.jpg;https://dd3ka9h4chfr8.cloudfront.net/image/725136000567/image_516p97g5mt7111gq6b37nti264/-FJPG/233546-002_DET_6.jpg;https://dd3ka9h4chfr8.cloudfront.net/image/725136000567/image_i60ulr94kd7bjfsc3vl7ijeo29/-FJPG/233546-002_DET_7.jpg;https://dd3ka9h4chfr8.cloudfront.net/image/725136000567/image_o6hop0tag932hakiqk2ecv6v1f/-FJPG/233546-002_DET_8.jpg;https://dd3ka9h4chfr8.cloudfront.net/image/725136000567/image_qrri38eduh5cl6e2rfgbpk2t4d/-FJPG/233546-002_DET_9.jpg;https://dd3ka9h4chfr8.cloudfront.net/image/725136000567/image_k2rfm2d1id6cn1gue59073g83o/-FJPG/233546-002_ROM_1.jpg;https://dd3ka9h4chfr8.cloudfront.net/image/725136000567/image_usj288ngpt1id96mco42pr037k/-FJPG/233546-002_OPN_2.jpg</t>
  </si>
  <si>
    <t>233546-002</t>
  </si>
  <si>
    <t>144.4</t>
  </si>
  <si>
    <t>https://dd3ka9h4chfr8.cloudfront.net/image/725136000567/image_nipebcvjcp1cr9rl9djn12qb10/-FJPG/233546-002_FRT_1.jpg</t>
  </si>
  <si>
    <t>A simply shaped media console that's grand in scale. Light waxed pine finished with a distressed look and accented with distressed copper hardware.</t>
  </si>
  <si>
    <t>Regular Box</t>
  </si>
  <si>
    <t>{"value":95.47,"unit":"in"}</t>
  </si>
  <si>
    <t>{"value":179.02,"unit":"lb"}</t>
  </si>
  <si>
    <t>16.25"</t>
  </si>
  <si>
    <t>21.54"</t>
  </si>
  <si>
    <t>Gaines</t>
  </si>
  <si>
    <t>21.38"</t>
  </si>
  <si>
    <t>20.91"</t>
  </si>
  <si>
    <t>Galen End Table</t>
  </si>
  <si>
    <t>https://dd3ka9h4chfr8.cloudfront.net/image/725136000567/image_f2n89a7ggd5ml2ghm739ev4s1m/-FJPG/227725-002_FRT_1.jpg;https://dd3ka9h4chfr8.cloudfront.net/image/725136000567/image_cfb7nj0hmt4qb9rtdta8jsrg3n/-FJPG/227725-002_PRM_1.jpg;https://dd3ka9h4chfr8.cloudfront.net/image/725136000567/image_qr1u4gr47116jdaagcbq76vs2i/-FJPG/227725-002_ESS_1.jpg;https://dd3ka9h4chfr8.cloudfront.net/image/725136000567/image_jr4pevlcf1277flcig5uif644f/-FJPG/227725-002_DET_1.jpg;https://dd3ka9h4chfr8.cloudfront.net/image/725136000567/image_shipq2b6e53njfloao5irnp535/-FJPG/227725-002_DET_3.jpg;https://dd3ka9h4chfr8.cloudfront.net/image/725136000567/image_05nbijqm1t1i38lq8ifk8ioc6f/-FJPG/227725-002_TOP_1.jpg;https://dd3ka9h4chfr8.cloudfront.net/image/725136000567/image_gk50q3vtu540h1tc2slfagqi0e/-FJPG/227725-002_DET_4.jpg;https://dd3ka9h4chfr8.cloudfront.net/image/725136000567/image_qfl6q19cal6kr297q3aebb2c2g/-FJPG/227725-002_DET_5.jpg;https://dd3ka9h4chfr8.cloudfront.net/image/725136000567/image_4ted4an4eh7cn4dhi5ohakhe4f/-FJPG/227725-002_DET_6.jpg</t>
  </si>
  <si>
    <t>227725-002</t>
  </si>
  <si>
    <t>https://dd3ka9h4chfr8.cloudfront.net/image/725136000567/image_f2n89a7ggd5ml2ghm739ev4s1m/-FJPG/227725-002_FRT_1.jpg</t>
  </si>
  <si>
    <t>Galen</t>
  </si>
  <si>
    <t>https://dd3ka9h4chfr8.cloudfront.net/image/725136000567/image_m57e3dksc123nderfbf5c15064/-FJPG/227725-001_FRT_1.jpg;https://dd3ka9h4chfr8.cloudfront.net/image/725136000567/image_0v4o9bbt3h40r7ac7tggaaqn1u/-FJPG/227725-001_PRM_1.jpg;https://dd3ka9h4chfr8.cloudfront.net/image/725136000567/image_f6585dhb794n5cgqctqlldt313/-FJPG/227725-001_SID_1.jpg;https://dd3ka9h4chfr8.cloudfront.net/image/725136000567/image_b1agf9g6c123h7bc13fjbbcf7q/-FJPG/227725-001_ESS_1.jpg;https://dd3ka9h4chfr8.cloudfront.net/image/725136000567/image_2tluu2pktt1gdc8lmuu77v4q38/-FJPG/227725-001_DET_2.jpg;https://dd3ka9h4chfr8.cloudfront.net/image/725136000567/image_lu9fdgdm2p61dfkmksmcrf9455/-FJPG/227725-001_DET_1.jpg;https://dd3ka9h4chfr8.cloudfront.net/image/725136000567/image_c999ta9cvt3k9eb95vj6mvts5c/-FJPG/227725-001_DET_3.jpg;https://dd3ka9h4chfr8.cloudfront.net/image/725136000567/image_vckl3l8r6d533ebji80gbs2s40/-FJPG/227725-001_TOP_1.jpg;https://dd3ka9h4chfr8.cloudfront.net/image/725136000567/image_n6arh5dmsh62bdrm328hp21j4e/-FJPG/227725-001_DET_4.jpg;https://dd3ka9h4chfr8.cloudfront.net/image/725136000567/image_2o3k4049al16r03har3up9f76k/-FJPG/227725-001_VIG_2.jpg</t>
  </si>
  <si>
    <t>Light Petrified Wood</t>
  </si>
  <si>
    <t>227725-001</t>
  </si>
  <si>
    <t>https://dd3ka9h4chfr8.cloudfront.net/image/725136000567/image_m57e3dksc123nderfbf5c15064/-FJPG/227725-001_FRT_1.jpg</t>
  </si>
  <si>
    <t>Galini Sideboard</t>
  </si>
  <si>
    <t>https://dd3ka9h4chfr8.cloudfront.net/image/725136000567/image_iu0vf33mat15107v46iq8ovr7n/-FJPG/237737-001_FRT_1.jpg;https://dd3ka9h4chfr8.cloudfront.net/image/725136000567/image_st64enq86l5fl36023880is92c/-FJPG/237737-001_PRM_1.jpg;https://dd3ka9h4chfr8.cloudfront.net/image/725136000567/image_etvougqnt12hv38vbuhavr4i2i/-FJPG/237737-001_SID_1.jpg;https://dd3ka9h4chfr8.cloudfront.net/image/725136000567/image_07eh0v7i7l5e35past79gagb38/-FJPG/237737-001_DET_2.jpg;https://dd3ka9h4chfr8.cloudfront.net/image/725136000567/image_okshbdkpud3ovd6bv1su5vjk6v/-FJPG/237737-001_BCK_1.jpg;https://dd3ka9h4chfr8.cloudfront.net/image/725136000567/image_lov1s64ant1i522l3hbi87vb4m/-FJPG/237737-001_DET_1.jpg;https://dd3ka9h4chfr8.cloudfront.net/image/725136000567/image_rv0dh97rn97gj59dias64nqp62/-FJPG/237737-001_DET_3.jpg;https://dd3ka9h4chfr8.cloudfront.net/image/725136000567/image_dleq6fmmb54it1v9n0jgoiv632/-FJPG/237737-001_OPN_1.jpg;https://dd3ka9h4chfr8.cloudfront.net/image/725136000567/image_a1asvhvbfd7ar33t2shjtu935a/-FJPG/237737-001_DET_4.jpg;https://dd3ka9h4chfr8.cloudfront.net/image/725136000567/image_r7hqvpio5p2jj5jha6vor8a82m/-FJPG/237737-001_DET_5.jpg;https://dd3ka9h4chfr8.cloudfront.net/image/725136000567/image_1ald0mufgd6913r5o1q6da7729/-FJPG/237737-001_DET_6.jpg;https://dd3ka9h4chfr8.cloudfront.net/image/725136000567/image_7pfvv9u1r57btb1qgepfaes56b/-FJPG/237737-001_DET_7.jpg;https://dd3ka9h4chfr8.cloudfront.net/image/725136000567/image_jjf51ttq6l19r8d8p81tlb2i57/-FJPG/237737-001_DET_8.jpg;https://dd3ka9h4chfr8.cloudfront.net/image/725136000567/image_c7iachk6nd6rf57dcnmnh9io0k/-FJPG/237737-001_DET_9.tif;https://dd3ka9h4chfr8.cloudfront.net/image/725136000567/image_3j681j52f545f3s4tl3ngi547b/-FJPG/237737-001_DET_10.tif;https://dd3ka9h4chfr8.cloudfront.net/image/725136000567/image_8vk5j7i84p1o59run9q5e3fg3t/-FJPG/237737-001_ESS.tif;https://dd3ka9h4chfr8.cloudfront.net/image/725136000567/image_v86g0almfh61d884l6fl6hq72a/-FJPG/237737-001_OPN_2.jpg</t>
  </si>
  <si>
    <t>Weathered Dark Oak</t>
  </si>
  <si>
    <t>237737-001</t>
  </si>
  <si>
    <t>255.73</t>
  </si>
  <si>
    <t>https://dd3ka9h4chfr8.cloudfront.net/image/725136000567/image_iu0vf33mat15107v46iq8ovr7n/-FJPG/237737-001_FRT_1.jpg</t>
  </si>
  <si>
    <t>["Solid Oak","Solid Marble"]</t>
  </si>
  <si>
    <t>31.25</t>
  </si>
  <si>
    <t>{"value":31.25,"unit":"in"}</t>
  </si>
  <si>
    <t>White Marble</t>
  </si>
  <si>
    <t>With weathered dark oak and white marble, this pill-shaped sideboard pairs soft lines with wide sliding door panels. Groove cutouts on the ends of the doors serve as a substitute for hardware and maintain a clean, uninterrupted form.</t>
  </si>
  <si>
    <t>15.51"</t>
  </si>
  <si>
    <t>38.50"</t>
  </si>
  <si>
    <t>Galini</t>
  </si>
  <si>
    <t>23.74"</t>
  </si>
  <si>
    <t>30.98"</t>
  </si>
  <si>
    <t>Sliding</t>
  </si>
  <si>
    <t>Gardendale Sideboard</t>
  </si>
  <si>
    <t>https://dd3ka9h4chfr8.cloudfront.net/image/725136000567/image_qit58db4qt3ad2kohligg2du5n/-FJPG/247630-001_FRT_1.JPG;https://dd3ka9h4chfr8.cloudfront.net/image/725136000567/image_fb40kptokl42t8jkbtufeoqh2i/-FJPG/247630-001_PRM_1.JPG;https://dd3ka9h4chfr8.cloudfront.net/image/725136000567/image_v1d4sqh5212u17lqko7ukeca3h/-FJPG/247630-001_SID_1.JPG;https://dd3ka9h4chfr8.cloudfront.net/image/725136000567/image_fcssiln66d2999ram9qoes4m4n/-FJPG/247630-001_ESS.tif;https://dd3ka9h4chfr8.cloudfront.net/image/725136000567/image_j9rpdf8h3h1lp197fmhk86c54p/-FJPG/247630-001_DET_2.JPG;https://dd3ka9h4chfr8.cloudfront.net/image/725136000567/image_t5mct9u79p2hj653a3bfmq8r14/-FJPG/247630-001_BCK_1.JPG;https://dd3ka9h4chfr8.cloudfront.net/image/725136000567/image_oba93hfsm95rn4d38m4h3b432b/-FJPG/247630-001_DET_1.JPG;https://dd3ka9h4chfr8.cloudfront.net/image/725136000567/image_sebo9fk5bd7pjam9700phm7r1g/-FJPG/247630-001_DET_3.JPG;https://dd3ka9h4chfr8.cloudfront.net/image/725136000567/image_l4t1qaq3u97npekks52s85dd2t/-FJPG/247630-001_OPN_1.JPG;https://dd3ka9h4chfr8.cloudfront.net/image/725136000567/image_efqlpjumvt4s95ns9j6f9a2f4g/-FJPG/247630-001_DET_4.JPG;https://dd3ka9h4chfr8.cloudfront.net/image/725136000567/image_ocr5h1b55h6r5b252q71m4ga6a/-FJPG/247630-001_DET_5.JPG;https://dd3ka9h4chfr8.cloudfront.net/image/725136000567/image_a1p6b57lu51elcvt92vt1hta5p/-FJPG/247630-001_DET_7.JPG;https://dd3ka9h4chfr8.cloudfront.net/image/725136000567/image_o4nn72vish1ih36pm997iq9r55/-FJPG/247630-001_DET_8.JPG;https://dd3ka9h4chfr8.cloudfront.net/image/725136000567/image_g234ophhn15t57rd9mak5usj4p/-FJPG/247630-001_DET_9.tif;https://dd3ka9h4chfr8.cloudfront.net/image/725136000567/image_jje0qket4h2fb7eilusnmlvq3p/-FJPG/247630-001_OPN_2.JPG</t>
  </si>
  <si>
    <t>Tan Oak Veneer</t>
  </si>
  <si>
    <t>247630-001</t>
  </si>
  <si>
    <t>242.51</t>
  </si>
  <si>
    <t>https://dd3ka9h4chfr8.cloudfront.net/image/725136000567/image_qit58db4qt3ad2kohligg2du5n/-FJPG/247630-001_FRT_1.JPG</t>
  </si>
  <si>
    <t>["Oak Veneer","Solid Oak","Iron"]</t>
  </si>
  <si>
    <t>Store your favorite table linens and dinnerware in this storage-driven sideboard inspired by handcrafted antiques. Made from tan-finished oak with lower open shelving and exposed joint details on the legs. Finished out with simple iron hardware.</t>
  </si>
  <si>
    <t>{"value":313.05,"unit":"lb"}</t>
  </si>
  <si>
    <t>Gardendale</t>
  </si>
  <si>
    <t>35.75"</t>
  </si>
  <si>
    <t>Garland Swivel Chair</t>
  </si>
  <si>
    <t>https://dd3ka9h4chfr8.cloudfront.net/image/725136000567/image_gtesf9u2c96bv77git3g7f0868/-FJPG/245880-002_FRT_1.jpg;https://dd3ka9h4chfr8.cloudfront.net/image/725136000567/image_8jnhhp6j1t3d3ceskm7pqvnd6f/-FJPG/245880-002_PRM_1.jpg;https://dd3ka9h4chfr8.cloudfront.net/image/725136000567/image_gchiicflv12958219ghh8tq551/-FJPG/245880-002_SID_1.jpg;https://dd3ka9h4chfr8.cloudfront.net/image/725136000567/image_ghvu4aphqp6orejbkva0m6hs7q/-FJPG/245880-002_ESS.tif;https://dd3ka9h4chfr8.cloudfront.net/image/725136000567/image_f26oo11s2h6on6d978l2gdvg3g/-FJPG/245880-002_DET_2.jpg;https://dd3ka9h4chfr8.cloudfront.net/image/725136000567/image_87fsflcohh0enacl14p1db160g/-FJPG/245880-002_BCK_1.jpg;https://dd3ka9h4chfr8.cloudfront.net/image/725136000567/image_faa5basbph3a7d86elak7qse2s/-FJPG/245880-002_DET_1.jpg;https://dd3ka9h4chfr8.cloudfront.net/image/725136000567/image_2hn41k663l4ur0tp0cl93t8121/-FJPG/245880-002_DET_3.jpg;https://dd3ka9h4chfr8.cloudfront.net/image/725136000567/image_q5m6u3ehld461fmg8mu0n6gm0r/-FJPG/245880-002_DET_4.jpg;https://dd3ka9h4chfr8.cloudfront.net/image/725136000567/image_pgdco5oeut5bfed4ssh7d8gb46/-FJPG/245880-002_DET_5.jpg;https://dd3ka9h4chfr8.cloudfront.net/image/725136000567/image_phssua4a3h1cvefhll39qqct0m/-FJPG/245880-002_DET_6.jpg;https://dd3ka9h4chfr8.cloudfront.net/image/725136000567/image_oeb8bd3jr544fanap508no3p0b/-FJPG/245880-002_DET_9.tif;https://dd3ka9h4chfr8.cloudfront.net/image/725136000567/image_o7b6n53fm17jn3kbk147pmut4d/-FJPG/FHMPRJ-018_SCENE-4.tif</t>
  </si>
  <si>
    <t>245880-002</t>
  </si>
  <si>
    <t>91.49</t>
  </si>
  <si>
    <t>https://dd3ka9h4chfr8.cloudfront.net/image/725136000567/image_gtesf9u2c96bv77git3g7f0868/-FJPG/245880-002_FRT_1.jpg</t>
  </si>
  <si>
    <t>["50% Viscose","50% Wool"]</t>
  </si>
  <si>
    <t>Perfectly oversized for lounging, this reimagined wingback invites you to sink in and unwind, with its exaggerated arms, comfortable pitch and velvety olive fabric. A 360-degree swivel base makes it easy to turn toward conversation or take in the view.</t>
  </si>
  <si>
    <t>{"value":108.03,"unit":"lb"}</t>
  </si>
  <si>
    <t>Garland</t>
  </si>
  <si>
    <t>https://dd3ka9h4chfr8.cloudfront.net/image/725136000567/image_4nlrl7p0i13hj53p08m7kqep65/-FJPG/245880-001_FRT_1.jpg;https://dd3ka9h4chfr8.cloudfront.net/image/725136000567/image_uddpaml7st5il1okesna8am63q/-FJPG/245880-001_PRM_1.jpg;https://dd3ka9h4chfr8.cloudfront.net/image/725136000567/image_ir6tit0evl6q1drod1obfinu54/-FJPG/245880-001_SID_1.jpg;https://dd3ka9h4chfr8.cloudfront.net/image/725136000567/image_i3ke8ei6np4o1e7no4lh13r921/-FJPG/245880-001_ESS.tif;https://dd3ka9h4chfr8.cloudfront.net/image/725136000567/image_pcb4iclvlp1fh41cmapp36ho46/-FJPG/245880-001_DET_2.jpg;https://dd3ka9h4chfr8.cloudfront.net/image/725136000567/image_o8p0frc0sp2jv9lc407sv5q87u/-FJPG/245880-001_BCK_1.jpg;https://dd3ka9h4chfr8.cloudfront.net/image/725136000567/image_v6dgee786d7uhaqf7pscq82l6q/-FJPG/245880-001_DET_1.jpg;https://dd3ka9h4chfr8.cloudfront.net/image/725136000567/image_qd8nf1dos10f14abhc4lcj2p18/-FJPG/245880-001_DET_3.jpg;https://dd3ka9h4chfr8.cloudfront.net/image/725136000567/image_087ofrfk5p68r64ak78ppntj14/-FJPG/245880-001_DET_4.jpg;https://dd3ka9h4chfr8.cloudfront.net/image/725136000567/image_koi2um6js56if8ueldpb2jom08/-FJPG/245880-001_DET_5.jpg;https://dd3ka9h4chfr8.cloudfront.net/image/725136000567/image_57k2bdla3d011912n0oh9fta4g/-FJPG/245880-001_DET_6.jpg;https://dd3ka9h4chfr8.cloudfront.net/image/725136000567/image_qgio0t41hl5bv7n5mrjfv24c5r/-FJPG/FHMPRJ-018_SCENE-8.tif</t>
  </si>
  <si>
    <t>Saxon Sand</t>
  </si>
  <si>
    <t>245880-001</t>
  </si>
  <si>
    <t>https://dd3ka9h4chfr8.cloudfront.net/image/725136000567/image_4nlrl7p0i13hj53p08m7kqep65/-FJPG/245880-001_FRT_1.jpg</t>
  </si>
  <si>
    <t>["58% Polyester","39% Wool","3% Cotton"]</t>
  </si>
  <si>
    <t>Perfectly oversized for lounging, this reimagined wingback invites you to sink in and unwind, with its exaggerated arms, comfortable pitch and chunky basket weave. A 360-degree swivel base makes it easy to turn toward conversation or take in the view.</t>
  </si>
  <si>
    <t>Ginger Console Table</t>
  </si>
  <si>
    <t>https://dd3ka9h4chfr8.cloudfront.net/image/725136000567/image_ic6ce012rp629a333c0n4iai37/-FJPG/VBNA-CO102_FRT_1.jpg;https://dd3ka9h4chfr8.cloudfront.net/image/725136000567/image_k3hav9qta96s1f8r1fl565q536/-FJPG/VBNA-CO102_PRM_1.jpg;https://dd3ka9h4chfr8.cloudfront.net/image/725136000567/image_5e7va2s6mh4up8la0fnn298305/-FJPG/VBNA-CO102_SID_1.jpg;https://dd3ka9h4chfr8.cloudfront.net/image/725136000567/image_7m5ev8mvf50r56pj49eb8les31/-FJPG/VBNA-CO102_DET_2.jpg;https://dd3ka9h4chfr8.cloudfront.net/image/725136000567/image_9f0kjlq70p2edcte1evtd3ih64/-FJPG/VBNA-CO102_BCK_1.jpg;https://dd3ka9h4chfr8.cloudfront.net/image/725136000567/image_cuo1n8b81p3oj77fuopjfvi821/-FJPG/VBNA-CO102_DET_1.jpg;https://dd3ka9h4chfr8.cloudfront.net/image/725136000567/image_vhhort0t1p2hdc9khk4osk0308/-FJPG/VBNA-CO102_ROM_1.jpg;https://dd3ka9h4chfr8.cloudfront.net/image/725136000567/image_evnps5gi6t3m5cbo0esfrd2k0j/-FJPG/VBNA-CO102_ROM_2.jpg;https://dd3ka9h4chfr8.cloudfront.net/image/725136000567/image_j07gujc94t1kja7htn6ni92f0o/-FJPG/VBNA-CO102_ROM_6.jpg;https://dd3ka9h4chfr8.cloudfront.net/image/725136000567/image_7bbr1k5ep17a725fae7uvlke3d/-FJPG/VBNA-CO102_ROM_7.jpg</t>
  </si>
  <si>
    <t>Natural Walnut</t>
  </si>
  <si>
    <t>VBNA-CO102</t>
  </si>
  <si>
    <t>https://dd3ka9h4chfr8.cloudfront.net/image/725136000567/image_ic6ce012rp629a333c0n4iai37/-FJPG/VBNA-CO102_FRT_1.jpg</t>
  </si>
  <si>
    <t>["Solid Walnut"]</t>
  </si>
  <si>
    <t>An Asian-inspired, open design effortlessly mixes materials, weights, and placements to achieve an arresting balance. Solid walnut and reclaimed peroba woods. This piece is designed in collaboration with Thomas Bina. Four Handsâ€™ partnership with the renowned Los Angeles furniture designer began in the early 2000s, producing several unique collections including reclaimed wood-driven case goods and Brazilian-inspired upholstery.</t>
  </si>
  <si>
    <t>{"value":18.7,"unit":"in"}</t>
  </si>
  <si>
    <t>{"value":30.79,"unit":"in"}</t>
  </si>
  <si>
    <t>{"value":175.49,"unit":"lb"}</t>
  </si>
  <si>
    <t>10.67"</t>
  </si>
  <si>
    <t>Ginger</t>
  </si>
  <si>
    <t>26.77"</t>
  </si>
  <si>
    <t>25.79"</t>
  </si>
  <si>
    <t>Giorgio Accent Bench</t>
  </si>
  <si>
    <t>https://dd3ka9h4chfr8.cloudfront.net/image/725136000567/image_vn7huf4ifp6tl229lpnjdcer0i/-FJPG/225740-007_FRT_1.jpg;https://dd3ka9h4chfr8.cloudfront.net/image/725136000567/image_6amj0b4r1131r56tt2h5n90t5p/-FJPG/225740-007_PRM_1.jpg;https://dd3ka9h4chfr8.cloudfront.net/image/725136000567/image_5jaqmqrnhp4kh89qea8hpcid7g/-FJPG/225740-007_SID_1.jpg;https://dd3ka9h4chfr8.cloudfront.net/image/725136000567/image_o2gu013ea56lrdn8rciqf0004f/-FJPG/225740-007_ESS_1.jpg;https://dd3ka9h4chfr8.cloudfront.net/image/725136000567/image_3usvl9i2l939v5vf5rtkdd427q/-FJPG/225740-007_DET_2.jpg;https://dd3ka9h4chfr8.cloudfront.net/image/725136000567/image_ot4qoo07b51n7074i1mndlie5p/-FJPG/225740-007_BCK_1.jpg;https://dd3ka9h4chfr8.cloudfront.net/image/725136000567/image_l25r8gr9nd25p1k5ebbecltr10/-FJPG/225740-007_DET_1.jpg;https://dd3ka9h4chfr8.cloudfront.net/image/725136000567/image_f1qljap8151jldkhedo9rs6r7d/-FJPG/225740-007_DET_3.jpg;https://dd3ka9h4chfr8.cloudfront.net/image/725136000567/image_sp7n2sunc93kbchd2j4uoocg7q/-FJPG/225740-007_DET_4.jpg;https://dd3ka9h4chfr8.cloudfront.net/image/725136000567/image_glhgkn5b1l1slfcdjj3cps0856/-FJPG/225740-007_DET_5.jpg;https://dd3ka9h4chfr8.cloudfront.net/image/725136000567/image_sop9pj9mm13ltdpgt4hhd53b0t/-FJPG/225740-007_DET_6.jpg;https://dd3ka9h4chfr8.cloudfront.net/image/725136000567/image_saqdfivpo55dtbc6vlm2ffg73a/-FJPG/225740-007_SID_2.jpg</t>
  </si>
  <si>
    <t>225740-007</t>
  </si>
  <si>
    <t>61.95</t>
  </si>
  <si>
    <t>https://dd3ka9h4chfr8.cloudfront.net/image/725136000567/image_vn7huf4ifp6tl229lpnjdcer0i/-FJPG/225740-007_FRT_1.jpg</t>
  </si>
  <si>
    <t>25.75</t>
  </si>
  <si>
    <t>{"value":25.75,"unit":"in"}</t>
  </si>
  <si>
    <t>Waxed Black</t>
  </si>
  <si>
    <t>Palomino</t>
  </si>
  <si>
    <t>Ebony leather lends a high-end look to bench-style seating ideal in the entryway, living space or foot of the bed. Secured by top-grain leather buckle straps, a removable bolster can be positioned on either end of the bench with ease. A grey oak base and black iron framing finish things off for a sleek material mix.</t>
  </si>
  <si>
    <t>{"value":69.29,"unit":"in"}</t>
  </si>
  <si>
    <t>56.73"</t>
  </si>
  <si>
    <t>Pocket Coils</t>
  </si>
  <si>
    <t>Giorgio</t>
  </si>
  <si>
    <t>19.21"</t>
  </si>
  <si>
    <t>47.68"</t>
  </si>
  <si>
    <t>18.82"</t>
  </si>
  <si>
    <t>Glenview 6 Door Sideboard</t>
  </si>
  <si>
    <t>https://dd3ka9h4chfr8.cloudfront.net/image/725136000567/image_ka0ndecd1d3256c4qr25kmhc49/-FJPG/236124-002_FRT_1.jpg;https://dd3ka9h4chfr8.cloudfront.net/image/725136000567/image_l057993pl96llbham51hlqga6j/-FJPG/236124-002_PRM_1.jpg;https://dd3ka9h4chfr8.cloudfront.net/image/725136000567/image_p4dr91ot717e58etiv6l9k4c4j/-FJPG/236124-002_SID_1.jpg;https://dd3ka9h4chfr8.cloudfront.net/image/725136000567/image_o9nhkle0et4ht2piik7khi655i/-FJPG/236124-002_DET_2.jpg;https://dd3ka9h4chfr8.cloudfront.net/image/725136000567/image_pq4q2v96714q14dagmgn972b5n/-FJPG/236124-002_BCK_1.jpg;https://dd3ka9h4chfr8.cloudfront.net/image/725136000567/image_tc1cra79kd4mj3f0vg90n7es38/-FJPG/236124-002_DET_1.jpg;https://dd3ka9h4chfr8.cloudfront.net/image/725136000567/image_9chm2h2mvd3cdcc4qe8q8ils7f/-FJPG/236124-002_DET_3.jpg;https://dd3ka9h4chfr8.cloudfront.net/image/725136000567/image_md3pkhukmt6vt7rr9q7hi4pn43/-FJPG/236124-002_OPN_1.jpg;https://dd3ka9h4chfr8.cloudfront.net/image/725136000567/image_0q9m7resh102f708l7f943js14/-FJPG/236124-002_TOP_1.jpg;https://dd3ka9h4chfr8.cloudfront.net/image/725136000567/image_tvslhqmq8l5p3082f1envt9u3q/-FJPG/236124-002_DET_4.jpg;https://dd3ka9h4chfr8.cloudfront.net/image/725136000567/image_gnot3t34o154rde76qs3ohp653/-FJPG/236124-002_DET_5.jpg;https://dd3ka9h4chfr8.cloudfront.net/image/725136000567/image_uogkmb1sud4qd2c3guiqjcno2d/-FJPG/236124-002_DET_6.jpg;https://dd3ka9h4chfr8.cloudfront.net/image/725136000567/image_8siksvdbut2j19d8rm4i95mr2i/-FJPG/236124-002_DET_7.jpg</t>
  </si>
  <si>
    <t>Cracked Smoked Black Veneer</t>
  </si>
  <si>
    <t>236124-002</t>
  </si>
  <si>
    <t>222.66</t>
  </si>
  <si>
    <t>https://dd3ka9h4chfr8.cloudfront.net/image/725136000567/image_ka0ndecd1d3256c4qr25kmhc49/-FJPG/236124-002_FRT_1.jpg</t>
  </si>
  <si>
    <t>Smoked Black Oak</t>
  </si>
  <si>
    <t>Traditional, reimagined. Made from rustic weathered oak, a six-door sideboard brings generous storage space to the dining room and beyond. Simple cylindrical hardware is finished in an aged bronze.</t>
  </si>
  <si>
    <t>Glenview  Sideboard</t>
  </si>
  <si>
    <t>{"value":97.56,"unit":"in"}</t>
  </si>
  <si>
    <t>{"value":23.54,"unit":"in"}</t>
  </si>
  <si>
    <t>22.09"</t>
  </si>
  <si>
    <t>29.61"</t>
  </si>
  <si>
    <t>Glenview</t>
  </si>
  <si>
    <t>2.74"</t>
  </si>
  <si>
    <t>21.85"</t>
  </si>
  <si>
    <t>14.31"</t>
  </si>
  <si>
    <t>28.66"</t>
  </si>
  <si>
    <t>Glenview 9 Drawer Dresser</t>
  </si>
  <si>
    <t>https://dd3ka9h4chfr8.cloudfront.net/image/725136000567/image_nrrbev52c95np0k41ulvfpt558/-FJPG/237095-002_FRT_1.jpg;https://dd3ka9h4chfr8.cloudfront.net/image/725136000567/image_1vmjra01ad3mjdn1ss817cc03a/-FJPG/237095-002_PRM_1.jpg;https://dd3ka9h4chfr8.cloudfront.net/image/725136000567/image_og0qturgol2rpbi82rielaoi34/-FJPG/237095-002_SID_1.jpg;https://dd3ka9h4chfr8.cloudfront.net/image/725136000567/image_gp3jcuute933ja6a1ilpkuhp57/-FJPG/237095-002_DET_2.jpg;https://dd3ka9h4chfr8.cloudfront.net/image/725136000567/image_qf08c7qgtd5d923vecevskgu0q/-FJPG/237095-002_BCK_1.jpg;https://dd3ka9h4chfr8.cloudfront.net/image/725136000567/image_2304stbsph1833s49sgiaqr96k/-FJPG/237095-002_DET_1.jpg;https://dd3ka9h4chfr8.cloudfront.net/image/725136000567/image_kqa8a1677h6r159bq8qeoi2h23/-FJPG/237095-002_DET_3.jpg;https://dd3ka9h4chfr8.cloudfront.net/image/725136000567/image_7jb113q4vl6trds3gs0920pu2b/-FJPG/237095-002_OPN_1.jpg;https://dd3ka9h4chfr8.cloudfront.net/image/725136000567/image_gjp7gqt1t55mb17cpqkak9pk3s/-FJPG/237095-002_TOP_1.jpg;https://dd3ka9h4chfr8.cloudfront.net/image/725136000567/image_7als3vckm961l47sobmc2bgf1l/-FJPG/237095-002_DET_4.jpg;https://dd3ka9h4chfr8.cloudfront.net/image/725136000567/image_98gaqkf1ih4bl0llhn8lrqhb65/-FJPG/237095-002_DET_5.jpg;https://dd3ka9h4chfr8.cloudfront.net/image/725136000567/image_n13lvoqu611hj07nr1fdd7ti1p/-FJPG/237095-002_DET_6.jpg;https://dd3ka9h4chfr8.cloudfront.net/image/725136000567/image_b3on88fp8l10j49ehr80bk493l/-FJPG/237095-002_DET_7.jpg</t>
  </si>
  <si>
    <t>237095-002</t>
  </si>
  <si>
    <t>295.42</t>
  </si>
  <si>
    <t>https://dd3ka9h4chfr8.cloudfront.net/image/725136000567/image_nrrbev52c95np0k41ulvfpt558/-FJPG/237095-002_FRT_1.jpg</t>
  </si>
  <si>
    <t>The traditional spindle structure brought to modern speed. Made from smoked black oak, nine spacious drawers bring generous storage space to the bedroom. Simple cylindrical hardware is finished in an aged bronze.</t>
  </si>
  <si>
    <t>{"value":37.28,"unit":"in"}</t>
  </si>
  <si>
    <t>{"value":325.18,"unit":"lb"}</t>
  </si>
  <si>
    <t>2.70"</t>
  </si>
  <si>
    <t>23.86"</t>
  </si>
  <si>
    <t>https://dd3ka9h4chfr8.cloudfront.net/image/725136000567/image_gkj6vgv0i17kt1356som22sd37/-FJPG/237095-001_FRT_1.jpg;https://dd3ka9h4chfr8.cloudfront.net/image/725136000567/image_k803vbedip6qpcooo1osmsu31v/-FJPG/237095-001_PRM_1.jpg;https://dd3ka9h4chfr8.cloudfront.net/image/725136000567/image_j6amo546l54g11ftnj77lr6t2h/-FJPG/237095-001_SID_1.jpg;https://dd3ka9h4chfr8.cloudfront.net/image/725136000567/image_vqqk3cap4p7ajdn3stgfidv77m/-FJPG/237095-001_ESS.tif;https://dd3ka9h4chfr8.cloudfront.net/image/725136000567/image_6v5glr50qd2tl5n191l5j4av6r/-FJPG/237095-001_DET_2.jpg;https://dd3ka9h4chfr8.cloudfront.net/image/725136000567/image_kqp5e0mcvt23td5j09ldkfeg1l/-FJPG/237095-001_BCK_1.jpg;https://dd3ka9h4chfr8.cloudfront.net/image/725136000567/image_vn6qcv6a5l6ov7r2su9411os4e/-FJPG/237095-001_DET_1.jpg;https://dd3ka9h4chfr8.cloudfront.net/image/725136000567/image_58v7qtfq1l01h344ak4hp71h15/-FJPG/237095-001_DET_3.jpg;https://dd3ka9h4chfr8.cloudfront.net/image/725136000567/image_4rc8cvhamd2e3evlggkvlltf67/-FJPG/237095-001_OPN_1.jpg;https://dd3ka9h4chfr8.cloudfront.net/image/725136000567/image_hsgftm8bul4dd5sfuhbqfktu2a/-FJPG/237095-001_DET_4.jpg;https://dd3ka9h4chfr8.cloudfront.net/image/725136000567/image_cbamkjbhhl791cbhggr6hfuc42/-FJPG/237095-001_DET_5.jpg;https://dd3ka9h4chfr8.cloudfront.net/image/725136000567/image_iv6k4ss2ut2c78kk0ont92av42/-FJPG/237095-001_DET_6.jpg;https://dd3ka9h4chfr8.cloudfront.net/image/725136000567/image_t2abf2o1nh6qn8asfcrmnqb23l/-FJPG/237095-001_DET_7.jpg;https://dd3ka9h4chfr8.cloudfront.net/image/725136000567/image_jkfiftgist0vtcqvojeop6d71c/-FJPG/237095-001_DET_8.jpg;https://dd3ka9h4chfr8.cloudfront.net/image/725136000567/image_an60mc6h1l1un2cnqjr6vhsk2p/-FJPG/237095-001_DET_9.jpg</t>
  </si>
  <si>
    <t>237095-001</t>
  </si>
  <si>
    <t>https://dd3ka9h4chfr8.cloudfront.net/image/725136000567/image_gkj6vgv0i17kt1356som22sd37/-FJPG/237095-001_FRT_1.jpg</t>
  </si>
  <si>
    <t>The traditional spindle structure brought to modern speed. Made from weathered oak with a light, rustic finish, nine spacious drawers bring generous storage space to the bedroom. Simple cylindrical hardware is finished in an aged bronze.</t>
  </si>
  <si>
    <t>Glenview Bed</t>
  </si>
  <si>
    <t>https://dd3ka9h4chfr8.cloudfront.net/image/725136000567/image_7pk5sfu0td00v8ofo90gnfcq6p/-FJPG/236471-001_FRT_1.jpg;https://dd3ka9h4chfr8.cloudfront.net/image/725136000567/image_h67qs5cl3p6on4jiltdf3m6i3r/-FJPG/236471-001_PRM_1.jpg;https://dd3ka9h4chfr8.cloudfront.net/image/725136000567/image_n083pkr0i96ojbfhseer7hu70o/-FJPG/236471-001_SID_1.jpg;https://dd3ka9h4chfr8.cloudfront.net/image/725136000567/image_j3u7nugrr15d3e8uu1jdi8u24o/-FJPG/236471-001_DET_2.jpg;https://dd3ka9h4chfr8.cloudfront.net/image/725136000567/image_d09e8a34lp3b5eilb1j6krah3u/-FJPG/236471-001_BCK_1.jpg;https://dd3ka9h4chfr8.cloudfront.net/image/725136000567/image_sa6tl2ev7t6v94cuefia8eo357/-FJPG/236471-001_DET_1.jpg;https://dd3ka9h4chfr8.cloudfront.net/image/725136000567/image_159tiofo014137dlb96e03j072/-FJPG/236471-001_DET_3.jpg;https://dd3ka9h4chfr8.cloudfront.net/image/725136000567/image_2tt54f29l51u787ni3jc2prn79/-FJPG/236471-001_DET_4.jpg;https://dd3ka9h4chfr8.cloudfront.net/image/725136000567/image_4p533bate954les93rpljcj973/-FJPG/236471-001_DET_5.jpg;https://dd3ka9h4chfr8.cloudfront.net/image/725136000567/image_s5jmhtc22l2rd91tvt4953t40r/-FJPG/236471-001_DET_6.jpg</t>
  </si>
  <si>
    <t>Weathered Oak</t>
  </si>
  <si>
    <t>236471-001</t>
  </si>
  <si>
    <t>https://dd3ka9h4chfr8.cloudfront.net/image/725136000567/image_7pk5sfu0td00v8ofo90gnfcq6p/-FJPG/236471-001_FRT_1.jpg</t>
  </si>
  <si>
    <t>["49% Viscose (Rayon)","22% Flax/Linen","18% Polyester","11% Cotton","Solid Oak"]</t>
  </si>
  <si>
    <t>81.25</t>
  </si>
  <si>
    <t>{"value":81.25,"unit":"in"}</t>
  </si>
  <si>
    <t>87</t>
  </si>
  <si>
    <t>{"value":87,"unit":"in"}</t>
  </si>
  <si>
    <t>54.25</t>
  </si>
  <si>
    <t>Weathered oak and light, linen-like upholstery fuse for a new take on traditional.</t>
  </si>
  <si>
    <t>{"value":58.46,"unit":"in"}</t>
  </si>
  <si>
    <t>Sr, Slats</t>
  </si>
  <si>
    <t>{"value":14.57,"unit":"in"}</t>
  </si>
  <si>
    <t>4.51"</t>
  </si>
  <si>
    <t>29.88"</t>
  </si>
  <si>
    <t>3.35"</t>
  </si>
  <si>
    <t>81.22"</t>
  </si>
  <si>
    <t>54.17"</t>
  </si>
  <si>
    <t>8.03"</t>
  </si>
  <si>
    <t>11.54"</t>
  </si>
  <si>
    <t>https://dd3ka9h4chfr8.cloudfront.net/image/725136000567/image_jbq3p6fl2l4bt6iltg3e3hf368/-FJPG/236471-002_FRT_1.jpg;https://dd3ka9h4chfr8.cloudfront.net/image/725136000567/image_ld2iusjtu94al5naqm85f1f06d/-FJPG/236471-002_PRM_1.jpg;https://dd3ka9h4chfr8.cloudfront.net/image/725136000567/image_rdvug9hi913v33f44otb9aum7b/-FJPG/236471-002_SID_1.jpg;https://dd3ka9h4chfr8.cloudfront.net/image/725136000567/image_i6l08kpjj14i9cefol0n920d3v/-FJPG/236471-002_DET_2.jpg;https://dd3ka9h4chfr8.cloudfront.net/image/725136000567/image_e4f6fk1ea1717f23mehrt5on3m/-FJPG/236471-002_BCK_1.jpg;https://dd3ka9h4chfr8.cloudfront.net/image/725136000567/image_apcigmg2c916lbhtqf8102jc5r/-FJPG/236471-002_DET_1.jpg;https://dd3ka9h4chfr8.cloudfront.net/image/725136000567/image_kf7b25i9i11lh46r7g600pq20i/-FJPG/236471-002_DET_3.jpg;https://dd3ka9h4chfr8.cloudfront.net/image/725136000567/image_o5hnkpcldp0fna42g7dp4vic2n/-FJPG/236471-002_DET_4.jpg;https://dd3ka9h4chfr8.cloudfront.net/image/725136000567/image_fd6atf725t3lhck4uc6ttfvb6g/-FJPG/236471-002_DET_5.jpg;https://dd3ka9h4chfr8.cloudfront.net/image/725136000567/image_996htmtl7t2pfc0rr65ctap374/-FJPG/236471-002_DET_6.jpg</t>
  </si>
  <si>
    <t>236471-002</t>
  </si>
  <si>
    <t>179.67</t>
  </si>
  <si>
    <t>https://dd3ka9h4chfr8.cloudfront.net/image/725136000567/image_jbq3p6fl2l4bt6iltg3e3hf368/-FJPG/236471-002_FRT_1.jpg</t>
  </si>
  <si>
    <t>{"value":68.9,"unit":"in"}</t>
  </si>
  <si>
    <t>{"value":122.36,"unit":"lb"}</t>
  </si>
  <si>
    <t>{"value":84.84,"unit":"in"}</t>
  </si>
  <si>
    <t>{"value":13.98,"unit":"in"}</t>
  </si>
  <si>
    <t>65.08"</t>
  </si>
  <si>
    <t>https://dd3ka9h4chfr8.cloudfront.net/image/725136000567/image_32rf3f9p3109tbrlsi1rlqv37a/-FJPG/236471-004_FRT_1.jpg;https://dd3ka9h4chfr8.cloudfront.net/image/725136000567/image_2r5nq6matl6qd1hh78ev3ii104/-FJPG/236471-004_PRM_1.jpg;https://dd3ka9h4chfr8.cloudfront.net/image/725136000567/image_0cieku3fsp7g3arn98j0121a4a/-FJPG/236471-004_SID_1.jpg;https://dd3ka9h4chfr8.cloudfront.net/image/725136000567/image_jkfosjkdnt4td0t6capv2c5a7u/-FJPG/236471-004_DET_2.jpg;https://dd3ka9h4chfr8.cloudfront.net/image/725136000567/image_bertpra6l979ra6g0as0c5gp3s/-FJPG/236471-004_BCK_1.jpg;https://dd3ka9h4chfr8.cloudfront.net/image/725136000567/image_rqic229s7p7gr02ehuagnhcf58/-FJPG/236471-004_DET_1.jpg;https://dd3ka9h4chfr8.cloudfront.net/image/725136000567/image_nkg948blft29p8p0170v9fsh33/-FJPG/236471-004_DET_3.jpg;https://dd3ka9h4chfr8.cloudfront.net/image/725136000567/image_5jcqb705p14ovdiic76hp7f93q/-FJPG/236471-004_DET_4.jpg;https://dd3ka9h4chfr8.cloudfront.net/image/725136000567/image_blk7ltsqd109bfg5gmiqpn2f1p/-FJPG/236471-004_DET_5.jpg;https://dd3ka9h4chfr8.cloudfront.net/image/725136000567/image_lfr12vqivt53f7fl9tc1httv7i/-FJPG/236471-004_DET_6.jpg;https://dd3ka9h4chfr8.cloudfront.net/image/725136000567/image_thqsc78cnd0vr1q1msoqdlad2g/-FJPG/236471-004_DET_7.jpg;https://dd3ka9h4chfr8.cloudfront.net/image/725136000567/image_rdvq2oncep587e9ncc4r5jfl79/-FJPG/236471-004_DET_8.jpg</t>
  </si>
  <si>
    <t>236471-004</t>
  </si>
  <si>
    <t>https://dd3ka9h4chfr8.cloudfront.net/image/725136000567/image_32rf3f9p3109tbrlsi1rlqv37a/-FJPG/236471-004_FRT_1.jpg</t>
  </si>
  <si>
    <t>Smoked black oak and soft, cream-colored upholstery fuse for a new take on traditional.</t>
  </si>
  <si>
    <t>https://dd3ka9h4chfr8.cloudfront.net/image/725136000567/image_suvis3cp9954dd360gu0sseq1v/-FJPG/236471-005_FRT_1.jpg;https://dd3ka9h4chfr8.cloudfront.net/image/725136000567/image_ca49vgia7965f339p7002ar74h/-FJPG/236471-005_PRM_1.jpg;https://dd3ka9h4chfr8.cloudfront.net/image/725136000567/image_9fhrk4qheh5gjavvqv86gmlo1m/-FJPG/236471-005_SID_1.jpg;https://dd3ka9h4chfr8.cloudfront.net/image/725136000567/image_ajh7siq03h21tf4inbn0i2er0q/-FJPG/236471-005_DET_2.jpg;https://dd3ka9h4chfr8.cloudfront.net/image/725136000567/image_ldhha5mmi90mneukgi6sleo009/-FJPG/236471-005_BCK_1.jpg;https://dd3ka9h4chfr8.cloudfront.net/image/725136000567/image_p423jgqnut3ov207607to6h72l/-FJPG/236471-005_DET_1.jpg;https://dd3ka9h4chfr8.cloudfront.net/image/725136000567/image_c755dahdld6m1224pdsl4mti6k/-FJPG/236471-005_DET_3.jpg;https://dd3ka9h4chfr8.cloudfront.net/image/725136000567/image_63braijorh0lj1ldejlvnq1700/-FJPG/236471-005_DET_4.jpg;https://dd3ka9h4chfr8.cloudfront.net/image/725136000567/image_pfmmae642d0vv91stu2eccms36/-FJPG/236471-005_DET_5.jpg;https://dd3ka9h4chfr8.cloudfront.net/image/725136000567/image_25olksvp855t76qpij2p43ei4a/-FJPG/236471-005_DET_6.jpg;https://dd3ka9h4chfr8.cloudfront.net/image/725136000567/image_nl9085abct3ndd73j0lav4da19/-FJPG/236471-005_DET_7.jpg;https://dd3ka9h4chfr8.cloudfront.net/image/725136000567/image_og43a86pbt4fl1audolnbuqt4i/-FJPG/236471-005_DET_8.jpg</t>
  </si>
  <si>
    <t>236471-005</t>
  </si>
  <si>
    <t>https://dd3ka9h4chfr8.cloudfront.net/image/725136000567/image_suvis3cp9954dd360gu0sseq1v/-FJPG/236471-005_FRT_1.jpg</t>
  </si>
  <si>
    <t>Glenview Bookcase</t>
  </si>
  <si>
    <t>https://dd3ka9h4chfr8.cloudfront.net/image/725136000567/image_v4gl74uo1t6l506lt4290vc31t/-FJPG/236400-002_FRT_1.jpg;https://dd3ka9h4chfr8.cloudfront.net/image/725136000567/image_un9oibj6fp1q9bm1td3gl80i4l/-FJPG/236400-002_PRM_1.jpg;https://dd3ka9h4chfr8.cloudfront.net/image/725136000567/image_bpecm6fq0d2alcedn2iicrkl5o/-FJPG/236400-002_SID_1.jpg;https://dd3ka9h4chfr8.cloudfront.net/image/725136000567/image_61g76d7d9p36f244ffeluvue78/-FJPG/236400-002_DET_2.jpg;https://dd3ka9h4chfr8.cloudfront.net/image/725136000567/image_1mk1r6p5dd2f596is93f7ikp1m/-FJPG/236400-002_BCK_1.jpg;https://dd3ka9h4chfr8.cloudfront.net/image/725136000567/image_mdfv7bdovp233blsnqdn0pr94t/-FJPG/236400-002_DET_1.jpg;https://dd3ka9h4chfr8.cloudfront.net/image/725136000567/image_k83e8goa6h1ab8hv58vmbogr7r/-FJPG/236400-002_DET_3.jpg;https://dd3ka9h4chfr8.cloudfront.net/image/725136000567/image_la7a1emjmp7nr896invvcb391p/-FJPG/236400-002_OPN_1.jpg;https://dd3ka9h4chfr8.cloudfront.net/image/725136000567/image_jpp8kfcpvd7rlbeq5adf6ghv4k/-FJPG/236400-002_DET_4.jpg;https://dd3ka9h4chfr8.cloudfront.net/image/725136000567/image_8co5o2jj590uddqe4jr2l3mq2h/-FJPG/236400-002_DET_5.jpg;https://dd3ka9h4chfr8.cloudfront.net/image/725136000567/image_pmjc3nu0mh2m920qt51vp0ks73/-FJPG/236400-002_DET_6.jpg;https://dd3ka9h4chfr8.cloudfront.net/image/725136000567/image_2fccr3m24l0f39nil0pb9hmo0c/-FJPG/236400-002_DET_7.jpg</t>
  </si>
  <si>
    <t>236400-002</t>
  </si>
  <si>
    <t>https://dd3ka9h4chfr8.cloudfront.net/image/725136000567/image_v4gl74uo1t6l506lt4290vc31t/-FJPG/236400-002_FRT_1.jpg</t>
  </si>
  <si>
    <t>{"value":194.01,"unit":"lb"}</t>
  </si>
  <si>
    <t>36.50"</t>
  </si>
  <si>
    <t>19.57"</t>
  </si>
  <si>
    <t>17.36"</t>
  </si>
  <si>
    <t>https://dd3ka9h4chfr8.cloudfront.net/image/725136000567/image_5cqbdah3n50ah445jj56uadf35/-FJPG/236400-001_FRT_1.jpg;https://dd3ka9h4chfr8.cloudfront.net/image/725136000567/image_fve9q9rjq9519d0pqfojd96p4c/-FJPG/236400-001_PRM_1.jpg;https://dd3ka9h4chfr8.cloudfront.net/image/725136000567/image_3k8226q6314i961cp7guegke7n/-FJPG/236400-001_SID_1.jpg;https://dd3ka9h4chfr8.cloudfront.net/image/725136000567/image_pc47ckk2od6ejevigao0lfr077/-FJPG/236400-001_ESS.tif;https://dd3ka9h4chfr8.cloudfront.net/image/725136000567/image_qg8tltg7ol3l194eit1i9ou528/-FJPG/236400-001_DET_2.jpg;https://dd3ka9h4chfr8.cloudfront.net/image/725136000567/image_usgvsai5g13kr9a1dm5b7bph53/-FJPG/236400-001_BCK_1.jpg;https://dd3ka9h4chfr8.cloudfront.net/image/725136000567/image_l01nqdi8n939t79r5kecoebe1r/-FJPG/236400-001_DET_1.jpg;https://dd3ka9h4chfr8.cloudfront.net/image/725136000567/image_600icea7b16r1065lm7ip4sf77/-FJPG/236400-001_DET_3.jpg;https://dd3ka9h4chfr8.cloudfront.net/image/725136000567/image_k903ne3ted78ldft4ttjh4fa32/-FJPG/236400-001_OPN_1.jpg;https://dd3ka9h4chfr8.cloudfront.net/image/725136000567/image_vjhb9v0ju54o5aqsunvsiquf7r/-FJPG/236400-001_DET_4.jpg;https://dd3ka9h4chfr8.cloudfront.net/image/725136000567/image_5q413i3mql1db60p6mksji9a1t/-FJPG/236400-001_DET_5.jpg;https://dd3ka9h4chfr8.cloudfront.net/image/725136000567/image_612ca4por1433d34eureqaj57e/-FJPG/236400-001_DET_6.jpg;https://dd3ka9h4chfr8.cloudfront.net/image/725136000567/image_jcq0nrccep30rdanksgloodp4e/-FJPG/236400-001_DET_7.jpg</t>
  </si>
  <si>
    <t>236400-001</t>
  </si>
  <si>
    <t>https://dd3ka9h4chfr8.cloudfront.net/image/725136000567/image_5cqbdah3n50ah445jj56uadf35/-FJPG/236400-001_FRT_1.jpg</t>
  </si>
  <si>
    <t>A rustic oak bookcase with fixed shelves shapes subtly curved corners, bringing a handcrafted look to a minimalist form. Simple hardware is finished in an aged bronze.</t>
  </si>
  <si>
    <t>Glenview Coffee Table</t>
  </si>
  <si>
    <t>https://dd3ka9h4chfr8.cloudfront.net/image/725136000567/image_fr4bula02l4qv22uadc79v1960/-FJPG/236354-001_FRT_1.jpg;https://dd3ka9h4chfr8.cloudfront.net/image/725136000567/image_euo6cl5hj56qn99f8n2aj4a33p/-FJPG/236354-001_PRM_1.jpg;https://dd3ka9h4chfr8.cloudfront.net/image/725136000567/image_lllbjbbhjt6mjf1a6h6i160k4d/-FJPG/236354-001_SID_1.jpg;https://dd3ka9h4chfr8.cloudfront.net/image/725136000567/image_lntjbmf9c95t1a5c1qifj0u83h/-FJPG/236354-001_ESS.tif;https://dd3ka9h4chfr8.cloudfront.net/image/725136000567/image_vbb58b28r96kp9kn6v9s7cr331/-FJPG/236354-001_DET_2.jpg;https://dd3ka9h4chfr8.cloudfront.net/image/725136000567/image_491sam7v3976h5n6aq1tqvhb4o/-FJPG/236354-001_DET_1.jpg;https://dd3ka9h4chfr8.cloudfront.net/image/725136000567/image_8ukgolcrfp1np9qqkn41hhrh7m/-FJPG/236354-001_DET_3.jpg;https://dd3ka9h4chfr8.cloudfront.net/image/725136000567/image_o9ea6offll1gp5513ubuuja52t/-FJPG/236354-001_DET_4.jpg;https://dd3ka9h4chfr8.cloudfront.net/image/725136000567/image_uba8o98q5h2af6496mmdgc9r5r/-FJPG/236354-001_DET_5.jpg;https://dd3ka9h4chfr8.cloudfront.net/image/725136000567/image_61fft1rv652113f0gavn2opp59/-FJPG/236354-001_DET_6.jpg;https://dd3ka9h4chfr8.cloudfront.net/image/725136000567/image_i4gc889dnh3d32to88l1vag60c/-FJPG/236354-001_DET_7.jpg</t>
  </si>
  <si>
    <t>236354-001</t>
  </si>
  <si>
    <t>58.42</t>
  </si>
  <si>
    <t>https://dd3ka9h4chfr8.cloudfront.net/image/725136000567/image_fr4bula02l4qv22uadc79v1960/-FJPG/236354-001_FRT_1.jpg</t>
  </si>
  <si>
    <t>Traditional, reimagined. Made from rustic weathered oak, a simply structured coffee table brings a streamlined look to the living room.</t>
  </si>
  <si>
    <t>{"value":58.66,"unit":"in"}</t>
  </si>
  <si>
    <t>Glenview Console Table</t>
  </si>
  <si>
    <t>https://dd3ka9h4chfr8.cloudfront.net/image/725136000567/image_aoqpbvlaap41v73ckdq2ngum3p/-FJPG/236355-002_FRT_1.jpg;https://dd3ka9h4chfr8.cloudfront.net/image/725136000567/image_6ujb4os8bd1ah40j50h79p9c56/-FJPG/236355-002_PRM_1.jpg;https://dd3ka9h4chfr8.cloudfront.net/image/725136000567/image_nol9pfn9fp7fnamje05n2m5t0a/-FJPG/236355-002_SID_1.jpg;https://dd3ka9h4chfr8.cloudfront.net/image/725136000567/image_6lcbu7t9ep78v21m30ni4vit6k/-FJPG/236355-002_DET_2.jpg;https://dd3ka9h4chfr8.cloudfront.net/image/725136000567/image_2c9h0bl8qt6mlcahjbi1kj0v3f/-FJPG/236355-002_DET_1.jpg;https://dd3ka9h4chfr8.cloudfront.net/image/725136000567/image_ic4vlko0g57891v7euj9uf1n44/-FJPG/236355-002_DET_3.jpg;https://dd3ka9h4chfr8.cloudfront.net/image/725136000567/image_cb9nbphppt3t360uh2nd650f5p/-FJPG/236355-002_TOP_1.jpg;https://dd3ka9h4chfr8.cloudfront.net/image/725136000567/image_ltir2im7e13cl59m5e518snq50/-FJPG/236355-002_DET_4.jpg;https://dd3ka9h4chfr8.cloudfront.net/image/725136000567/image_uq5c8bcnb94l97hp14f5gcbs2o/-FJPG/236355-002_DET_5.jpg</t>
  </si>
  <si>
    <t>236355-002</t>
  </si>
  <si>
    <t>56.66</t>
  </si>
  <si>
    <t>https://dd3ka9h4chfr8.cloudfront.net/image/725136000567/image_aoqpbvlaap41v73ckdq2ngum3p/-FJPG/236355-002_FRT_1.jpg</t>
  </si>
  <si>
    <t>Console Table</t>
  </si>
  <si>
    <t>{"value":63.54,"unit":"in"}</t>
  </si>
  <si>
    <t>{"value":38.07,"unit":"in"}</t>
  </si>
  <si>
    <t>29.02"</t>
  </si>
  <si>
    <t>56.54"</t>
  </si>
  <si>
    <t>https://dd3ka9h4chfr8.cloudfront.net/image/725136000567/image_glbtp7366p1dh62h188l4ulj3d/-FJPG/236355-001_FRT_1.jpg;https://dd3ka9h4chfr8.cloudfront.net/image/725136000567/image_1nr04q77p57hj08fu6a7hag05e/-FJPG/236355-001_PRM_1.jpg;https://dd3ka9h4chfr8.cloudfront.net/image/725136000567/image_gka78prhid3obfoe66svdc4e0a/-FJPG/236355-001_SID_1.jpg;https://dd3ka9h4chfr8.cloudfront.net/image/725136000567/image_vmn672odol40d5hq09r76qrh4i/-FJPG/236355-001_ESS_1.jpg;https://dd3ka9h4chfr8.cloudfront.net/image/725136000567/image_rld3hephkd46vf2bfovp23ah20/-FJPG/236355-001_DET_2.jpg;https://dd3ka9h4chfr8.cloudfront.net/image/725136000567/image_hcdkn0cqot4d3ebs5gvtlihb46/-FJPG/236355-001_DET_1.jpg;https://dd3ka9h4chfr8.cloudfront.net/image/725136000567/image_9ek5bf04u56spdhoq7r8o8465m/-FJPG/236355-001_DET_3.jpg;https://dd3ka9h4chfr8.cloudfront.net/image/725136000567/image_8ru42sg9ol4h9b9qn5h3bk2m17/-FJPG/236355-001_DET_4.jpg;https://dd3ka9h4chfr8.cloudfront.net/image/725136000567/image_nuc32ju8gt5ub6p6p6evpjs956/-FJPG/236355-001_DET_5.jpg;https://dd3ka9h4chfr8.cloudfront.net/image/725136000567/image_bgatbdq0q969l1h56f4sq5285c/-FJPG/236355-001_DET_6.jpg;https://dd3ka9h4chfr8.cloudfront.net/image/725136000567/image_3og1bfrhr127d4l3i4vs7amv1a/-FJPG/236355-001_DET_7.jpg</t>
  </si>
  <si>
    <t>236355-001</t>
  </si>
  <si>
    <t>https://dd3ka9h4chfr8.cloudfront.net/image/725136000567/image_glbtp7366p1dh62h188l4ulj3d/-FJPG/236355-001_FRT_1.jpg</t>
  </si>
  <si>
    <t>Traditional, reimagined. Made from rustic weathered oak, a simply structured console table brings a streamlined look to the living room or entryway.</t>
  </si>
  <si>
    <t>Glenview Desk</t>
  </si>
  <si>
    <t>https://dd3ka9h4chfr8.cloudfront.net/image/725136000567/image_gc02scgrfl3p339hcdifvhbt0q/-FJPG/236402-001_FRT_1.jpg;https://dd3ka9h4chfr8.cloudfront.net/image/725136000567/image_9us20c6erd045bl1hvriikvi2b/-FJPG/236402-001_PRM_1.jpg;https://dd3ka9h4chfr8.cloudfront.net/image/725136000567/image_t5eegv0u9h1tfc8cosea3bqu28/-FJPG/236402-001_SID_1.jpg;https://dd3ka9h4chfr8.cloudfront.net/image/725136000567/image_b5dod2nvep291c3omj1odfim71/-FJPG/236402-001_ESS_1.jpg;https://dd3ka9h4chfr8.cloudfront.net/image/725136000567/image_f6gmbfrgq91jd0foq19ci68c6c/-FJPG/236402-001_DET_2.jpg;https://dd3ka9h4chfr8.cloudfront.net/image/725136000567/image_5m2jc8kpul7r7172umb0g41l7e/-FJPG/236402-001_BCK_1.jpg;https://dd3ka9h4chfr8.cloudfront.net/image/725136000567/image_pcg455icd95pl2b76ajpv4lv1h/-FJPG/236402-001_DET_1.jpg;https://dd3ka9h4chfr8.cloudfront.net/image/725136000567/image_ebp787b6h54p3d21ntrsauku7o/-FJPG/236402-001_DET_3.jpg;https://dd3ka9h4chfr8.cloudfront.net/image/725136000567/image_qtpqhlll4t0l34bmr2ekbivj4f/-FJPG/236402-001_OPN_1.jpg;https://dd3ka9h4chfr8.cloudfront.net/image/725136000567/image_aq2r3eb3e12jvdh0omdr3f7s3q/-FJPG/236402-001_DET_4.jpg;https://dd3ka9h4chfr8.cloudfront.net/image/725136000567/image_81tq8h50952ep0nqf0jlije05c/-FJPG/236402-001_DET_5.jpg;https://dd3ka9h4chfr8.cloudfront.net/image/725136000567/image_0uauta0afp4p3282k48vnqs900/-FJPG/236402-001_DET_6.jpg;https://dd3ka9h4chfr8.cloudfront.net/image/725136000567/image_jmg9td8v9t7f7566uj0mnhsh3m/-FJPG/236402-001_DET_7.jpg;https://dd3ka9h4chfr8.cloudfront.net/image/725136000567/image_letboijck57kffisie987ovq6r/-FJPG/236402-001_DET_8.jpg;https://dd3ka9h4chfr8.cloudfront.net/image/725136000567/image_11m6kggm4l2h93e6fdhh4gfv2f/-FJPG/236402-001_DET_9.jpg;https://dd3ka9h4chfr8.cloudfront.net/image/725136000567/image_0ensm024t50udbdi1q98o87b01/-FJPG/236402-001_DET_10.jpg</t>
  </si>
  <si>
    <t>236402-001</t>
  </si>
  <si>
    <t>148.37</t>
  </si>
  <si>
    <t>https://dd3ka9h4chfr8.cloudfront.net/image/725136000567/image_gc02scgrfl3p339hcdifvhbt0q/-FJPG/236402-001_FRT_1.jpg</t>
  </si>
  <si>
    <t>67.5</t>
  </si>
  <si>
    <t>Traditional, reimagined. Made from rustic weathered oak, this desk brings generous storage space to the office. Simple hardware is finished in an aged bronze.</t>
  </si>
  <si>
    <t>{"value":70.87,"unit":"in"}</t>
  </si>
  <si>
    <t>{"value":193.35,"unit":"lb"}</t>
  </si>
  <si>
    <t>2.97"</t>
  </si>
  <si>
    <t>63.98"</t>
  </si>
  <si>
    <t>27.52"</t>
  </si>
  <si>
    <t>1.54"</t>
  </si>
  <si>
    <t>3.43"</t>
  </si>
  <si>
    <t>16.02"</t>
  </si>
  <si>
    <t>Glenview Nightstand</t>
  </si>
  <si>
    <t>https://dd3ka9h4chfr8.cloudfront.net/image/725136000567/image_4i9mv0cutp30depijrte42qp38/-FJPG/236473-002_FRT_1.jpg;https://dd3ka9h4chfr8.cloudfront.net/image/725136000567/image_n6lug2unk90n1fhugguj7fon65/-FJPG/236473-002_PRM_1.jpg;https://dd3ka9h4chfr8.cloudfront.net/image/725136000567/image_t966a18d7h49v027qm0olg7p1j/-FJPG/236473-002_SID_1.jpg;https://dd3ka9h4chfr8.cloudfront.net/image/725136000567/image_qrccq0oc3p5nncairdlhniis4a/-FJPG/236473-002_DET_2.jpg;https://dd3ka9h4chfr8.cloudfront.net/image/725136000567/image_42l4rp9m9h0eb7c02uljutdp20/-FJPG/236473-002_BCK_1.jpg;https://dd3ka9h4chfr8.cloudfront.net/image/725136000567/image_c3r0jg4r6p4uvchlnt70j78g6t/-FJPG/236473-002_DET_1.jpg;https://dd3ka9h4chfr8.cloudfront.net/image/725136000567/image_ol4c2lsk1102db64v9ajkg7p1o/-FJPG/236473-002_DET_3.jpg;https://dd3ka9h4chfr8.cloudfront.net/image/725136000567/image_ogi76mg12p2bh0ok1l21dki07d/-FJPG/236473-002_OPN_1.jpg;https://dd3ka9h4chfr8.cloudfront.net/image/725136000567/image_t634st3fal65fb4jrbmvpm2969/-FJPG/236473-002_TOP_1.jpg;https://dd3ka9h4chfr8.cloudfront.net/image/725136000567/image_8aosip1ort6b91q7gd3pn0kq69/-FJPG/236473-002_DET_4.jpg;https://dd3ka9h4chfr8.cloudfront.net/image/725136000567/image_b9ga6qugt16rrbrae0tmvrev46/-FJPG/236473-002_DET_5.jpg;https://dd3ka9h4chfr8.cloudfront.net/image/725136000567/image_op45a305p52h78adhj62chgp1b/-FJPG/236473-002_DET_6.jpg;https://dd3ka9h4chfr8.cloudfront.net/image/725136000567/image_1ocpkaknhh1pvagqao18fe842n/-FJPG/236473-002_DET_7.jpg;https://dd3ka9h4chfr8.cloudfront.net/image/725136000567/image_fk9hceinp16gh397d0a70hiu13/-FJPG/236473-002_DET_8.jpg;https://dd3ka9h4chfr8.cloudfront.net/image/725136000567/image_ts0spr47jt61f8ofelqkmbo55c/-FJPG/236473-002_DET_9.jpg</t>
  </si>
  <si>
    <t>236473-002</t>
  </si>
  <si>
    <t>https://dd3ka9h4chfr8.cloudfront.net/image/725136000567/image_4i9mv0cutp30depijrte42qp38/-FJPG/236473-002_FRT_1.jpg</t>
  </si>
  <si>
    <t>Traditional, reimagined. Made from smoked black oak, a three-drawer nightstand inspired by spindle design brings bonus storage to the bedside.</t>
  </si>
  <si>
    <t>12.44"</t>
  </si>
  <si>
    <t>Goetz Bar + Counter Table</t>
  </si>
  <si>
    <t>https://dd3ka9h4chfr8.cloudfront.net/image/725136000567/image_cng33t4ek95gh98khhv7uebf1v/-FJPG/242923-005_PRM_1.jpg;https://dd3ka9h4chfr8.cloudfront.net/image/725136000567/image_m7o7bv2pc1281059mt14p31p5a/-FJPG/242923-005_PRM_1.JPG;https://dd3ka9h4chfr8.cloudfront.net/image/725136000567/image_tchmee4q7h2gp5db04t3oc0s1r/-FJPG/242923-006_ESS.tif;https://dd3ka9h4chfr8.cloudfront.net/image/725136000567/image_si80r0ocdt0ddbmanl9kc9gq3k/-FJPG/242923-005_DET_2.jpg;https://dd3ka9h4chfr8.cloudfront.net/image/725136000567/image_2r9v3h5hgt23191jc9c5349i3f/-FJPG/242923-005_DET_2.JPG;https://dd3ka9h4chfr8.cloudfront.net/image/725136000567/image_t93mtgdocl5e364791majbal4r/-FJPG/242923-005_DET_1.JPG;https://dd3ka9h4chfr8.cloudfront.net/image/725136000567/image_hukg4hhdhh0snfqgk0dhf8ie21/-FJPG/242923-005_DET_1.jpg;https://dd3ka9h4chfr8.cloudfront.net/image/725136000567/image_qf548401713ed72pgui8s7406h/-FJPG/242923-005_DET_3.JPG;https://dd3ka9h4chfr8.cloudfront.net/image/725136000567/image_1oi6qtkcqd2mn01rnrkqakvn18/-FJPG/242923-005_DET_3.jpg;https://dd3ka9h4chfr8.cloudfront.net/image/725136000567/image_anda82jo4969d4ue347bdoqn41/-FJPG/242923-005_DET_4.jpg;https://dd3ka9h4chfr8.cloudfront.net/image/725136000567/image_j6e024llrd1r78q6vhrol5u07d/-FJPG/242923-005_DET_4.JPG;https://dd3ka9h4chfr8.cloudfront.net/image/725136000567/image_7au0jqdhed6crdlqu4uc18ca64/-FJPG/242923-005_DET_5.jpg;https://dd3ka9h4chfr8.cloudfront.net/image/725136000567/image_4d9tl47mah7ar1ep4jcn4du544/-FJPG/242923-005_DET_5.JPG;https://dd3ka9h4chfr8.cloudfront.net/image/725136000567/image_u99kapgett2ub08vge9r31tg6j/-FJPG/242923-005_DET_6.jpg</t>
  </si>
  <si>
    <t>Brown Oak Veneer</t>
  </si>
  <si>
    <t>242923-005</t>
  </si>
  <si>
    <t>69.89</t>
  </si>
  <si>
    <t>https://dd3ka9h4chfr8.cloudfront.net/image/725136000567/image_cng33t4ek95gh98khhv7uebf1v/-FJPG/242923-005_PRM_1.jpg</t>
  </si>
  <si>
    <t>For this fresh take on traditional tulip shaping, a solid oak base with ring detailing pairs with an oak veneer tabletop. Perfectly sized for the bar.</t>
  </si>
  <si>
    <t>{"value":2.95,"unit":"in"}</t>
  </si>
  <si>
    <t>{"value":16.53,"unit":"lb"}</t>
  </si>
  <si>
    <t>{"value":43.43,"unit":"in"}</t>
  </si>
  <si>
    <t>Goetz</t>
  </si>
  <si>
    <t>41.75"</t>
  </si>
  <si>
    <t>https://dd3ka9h4chfr8.cloudfront.net/image/725136000567/image_eh8o3gn3r17idfhadtf13i9676/-FJPG/242923-006_PRM_1.JPG;https://dd3ka9h4chfr8.cloudfront.net/image/725136000567/image_tchmee4q7h2gp5db04t3oc0s1r/-FJPG/242923-006_ESS.tif;https://dd3ka9h4chfr8.cloudfront.net/image/725136000567/image_jrqsk6dus137f41379tu59jh1f/-FJPG/242923-006_DET_2.JPG;https://dd3ka9h4chfr8.cloudfront.net/image/725136000567/image_kea0ju4p5p3en8ujtnv2ei8s6j/-FJPG/242923-006_DET_1.JPG;https://dd3ka9h4chfr8.cloudfront.net/image/725136000567/image_bfh0e5vk3p5pte7ruf74r5g11c/-FJPG/242923-006_DET_3.JPG;https://dd3ka9h4chfr8.cloudfront.net/image/725136000567/image_mvntnoa4op27d64os4cg16tj1j/-FJPG/242923-006_DET_4.JPG;https://dd3ka9h4chfr8.cloudfront.net/image/725136000567/image_o92itojmt55dpfsnlotnmt0657/-FJPG/242923-006_DET_5.JPG</t>
  </si>
  <si>
    <t>242923-006</t>
  </si>
  <si>
    <t>65.7</t>
  </si>
  <si>
    <t>https://dd3ka9h4chfr8.cloudfront.net/image/725136000567/image_eh8o3gn3r17idfhadtf13i9676/-FJPG/242923-006_PRM_1.JPG</t>
  </si>
  <si>
    <t>For this fresh take on traditional tulip shaping, a solid oak base with ring detailing pairs with an oak veneer tabletop. Perfectly sized for the counter.</t>
  </si>
  <si>
    <t>{"value":37.44,"unit":"in"}</t>
  </si>
  <si>
    <t>https://dd3ka9h4chfr8.cloudfront.net/image/725136000567/image_r3ugfghcth6pl5icdosg8ctd3b/-FJPG/242923-001_PRM_1.JPG;https://dd3ka9h4chfr8.cloudfront.net/image/725136000567/image_k3nlmeso011gf20mjvavmkep6q/-FJPG/242923-002_ESS.tif;https://dd3ka9h4chfr8.cloudfront.net/image/725136000567/image_5ita6lhn1d3k5fqpd7n5oop32v/-FJPG/242923-001_DET_2.JPG;https://dd3ka9h4chfr8.cloudfront.net/image/725136000567/image_rt8s1nd8rh5r922f39499i464k/-FJPG/242923-001_DET_1.JPG;https://dd3ka9h4chfr8.cloudfront.net/image/725136000567/image_pp8pebn3n15rb6rgngeq0bg60b/-FJPG/242923-001_DET_3.JPG;https://dd3ka9h4chfr8.cloudfront.net/image/725136000567/image_5p55e0le9h6af8prs30on9r13c/-FJPG/242923-001_DET_4.JPG;https://dd3ka9h4chfr8.cloudfront.net/image/725136000567/image_p3r6t358mt3e360i4g719sj931/-FJPG/242923-001_DET_5.JPG</t>
  </si>
  <si>
    <t>Brown Oak</t>
  </si>
  <si>
    <t>242923-001</t>
  </si>
  <si>
    <t>108.47</t>
  </si>
  <si>
    <t>https://dd3ka9h4chfr8.cloudfront.net/image/725136000567/image_r3ugfghcth6pl5icdosg8ctd3b/-FJPG/242923-001_PRM_1.JPG</t>
  </si>
  <si>
    <t>["Solid Marble","Solid Oak"]</t>
  </si>
  <si>
    <t>For this fresh take on traditional tulip shaping, a solid oak base pairs with a solid marble tabletop.  Perfectly sized for the bar.</t>
  </si>
  <si>
    <t>{"value":3.94,"unit":"in"}</t>
  </si>
  <si>
    <t>https://dd3ka9h4chfr8.cloudfront.net/image/725136000567/image_el495b8obt7911litr4tnldp6i/-FJPG/242923-002_PRM_1.JPG;https://dd3ka9h4chfr8.cloudfront.net/image/725136000567/image_k3nlmeso011gf20mjvavmkep6q/-FJPG/242923-002_ESS.tif;https://dd3ka9h4chfr8.cloudfront.net/image/725136000567/image_7t9ffdspj53ob72si7kbvdbu2m/-FJPG/242923-002_DET_2.JPG;https://dd3ka9h4chfr8.cloudfront.net/image/725136000567/image_jls2g7jvgh6obdv682ukqdrc4n/-FJPG/242923-002_DET_1.JPG;https://dd3ka9h4chfr8.cloudfront.net/image/725136000567/image_osd4ds6ba952hfj7avf13s9s6e/-FJPG/242923-002_DET_3.JPG;https://dd3ka9h4chfr8.cloudfront.net/image/725136000567/image_u3rjp88lu51er5ttcg48aupl2i/-FJPG/242923-002_DET_4.JPG;https://dd3ka9h4chfr8.cloudfront.net/image/725136000567/image_hs6l5hkb6t3bn2cfba652kuc5m/-FJPG/242923-002_DET_5.JPG</t>
  </si>
  <si>
    <t>242923-002</t>
  </si>
  <si>
    <t>104.28</t>
  </si>
  <si>
    <t>https://dd3ka9h4chfr8.cloudfront.net/image/725136000567/image_el495b8obt7911litr4tnldp6i/-FJPG/242923-002_PRM_1.JPG</t>
  </si>
  <si>
    <t>For this fresh take on traditional tulip shaping, a solid oak base pairs with a solid marble tabletop. Perfectly sized for the counter.</t>
  </si>
  <si>
    <t>Goldthwaite Coffee Table</t>
  </si>
  <si>
    <t>https://dd3ka9h4chfr8.cloudfront.net/image/725136000567/image_rffaqqchjd2r31ekna4ktjhd7c/-FJPG/235391-002_FRT_1.jpg;https://dd3ka9h4chfr8.cloudfront.net/image/725136000567/image_5mv0qjlh9t4ir7hd1pkegsmd5b/-FJPG/235391-002_PRM_1.jpg;https://dd3ka9h4chfr8.cloudfront.net/image/725136000567/image_jde43dnes52mnap5c9hbu0211a/-FJPG/235391-002_SID_1.jpg;https://dd3ka9h4chfr8.cloudfront.net/image/725136000567/image_iobho0aji17iv3jas8qvjstg4r/-FJPG/235391-002_ESS_1.jpg;https://dd3ka9h4chfr8.cloudfront.net/image/725136000567/image_ko66kjkrgl0m75vtfsolvmuv7e/-FJPG/235391-002_DET_2.jpg;https://dd3ka9h4chfr8.cloudfront.net/image/725136000567/image_sfson3hv357l9d9jnak5osj705/-FJPG/235391-002_DET_1.jpg;https://dd3ka9h4chfr8.cloudfront.net/image/725136000567/image_vb72n097p57s3028j59pmbg61a/-FJPG/235391-002_DET_3.jpg;https://dd3ka9h4chfr8.cloudfront.net/image/725136000567/image_1dcf5u5d717mbcfkjioflr0c6s/-FJPG/235391-002_DET_4.jpg</t>
  </si>
  <si>
    <t>Sienna Brown Pine Veneer</t>
  </si>
  <si>
    <t>235391-002</t>
  </si>
  <si>
    <t>67.02</t>
  </si>
  <si>
    <t>https://dd3ka9h4chfr8.cloudfront.net/image/725136000567/image_rffaqqchjd2r31ekna4ktjhd7c/-FJPG/235391-002_FRT_1.jpg</t>
  </si>
  <si>
    <t>["Thick Pine Veneer","Solid Pine"]</t>
  </si>
  <si>
    <t>Hardworking industrial furniture inspired the hefty proportions of this solid wood coffee table. Structured, clean lines with exposed metal hardware add warm contrast.</t>
  </si>
  <si>
    <t>{"value":88.18,"unit":"lb"}</t>
  </si>
  <si>
    <t>Goldthwaite</t>
  </si>
  <si>
    <t>51.75"</t>
  </si>
  <si>
    <t>55.25"</t>
  </si>
  <si>
    <t>4.90"</t>
  </si>
  <si>
    <t>Goldthwaite Console Table</t>
  </si>
  <si>
    <t>https://dd3ka9h4chfr8.cloudfront.net/image/725136000567/image_295nmm3na153t7phbgvijqp82d/-FJPG/235529-002_FRT_1.jpg;https://dd3ka9h4chfr8.cloudfront.net/image/725136000567/image_i309rgoko51r3486mc3kkbap0u/-FJPG/235529-002_PRM_1.jpg;https://dd3ka9h4chfr8.cloudfront.net/image/725136000567/image_087rrdolt54vl63k94cd9ljv24/-FJPG/235529-002_SID_1.jpg;https://dd3ka9h4chfr8.cloudfront.net/image/725136000567/image_i5rga6brlt07b0j7dtele6tc5d/-FJPG/235529-002_ESS_1.jpg;https://dd3ka9h4chfr8.cloudfront.net/image/725136000567/image_fb7heie5tt2j34ft36mbs05c2i/-FJPG/235529-002_DET_2.jpg;https://dd3ka9h4chfr8.cloudfront.net/image/725136000567/image_nqgv4c39sp7pbcepi1md7djh1t/-FJPG/235529-002_DET_1.jpg;https://dd3ka9h4chfr8.cloudfront.net/image/725136000567/image_sdtfuj87851oj7ue92vah07i3g/-FJPG/235529-002_DET_3.jpg;https://dd3ka9h4chfr8.cloudfront.net/image/725136000567/image_qs424kl33h0pf1nc462ddumi1g/-FJPG/235529-002_DET_4.jpg</t>
  </si>
  <si>
    <t>Sienna Brown Pine</t>
  </si>
  <si>
    <t>235529-002</t>
  </si>
  <si>
    <t>62.61</t>
  </si>
  <si>
    <t>https://dd3ka9h4chfr8.cloudfront.net/image/725136000567/image_295nmm3na153t7phbgvijqp82d/-FJPG/235529-002_FRT_1.jpg</t>
  </si>
  <si>
    <t>Hardworking industrial furniture inspired the hefty proportions of this solid wood console table. Structured, clean lines with exposed metal hardware add warm contrast.</t>
  </si>
  <si>
    <t>{"value":80.91,"unit":"in"}</t>
  </si>
  <si>
    <t>{"value":9.65,"unit":"in"}</t>
  </si>
  <si>
    <t>{"value":80.91,"unit":"lb"}</t>
  </si>
  <si>
    <t>64.50"</t>
  </si>
  <si>
    <t>Goldthwaite End Table</t>
  </si>
  <si>
    <t>https://dd3ka9h4chfr8.cloudfront.net/image/725136000567/image_qfks7uatvt19p8p8d13o4edl1g/-FJPG/235528-002_FRT_1.jpg;https://dd3ka9h4chfr8.cloudfront.net/image/725136000567/image_jg93r8ndk17rf4bnk0d79ump50/-FJPG/235528-002_PRM_1.jpg;https://dd3ka9h4chfr8.cloudfront.net/image/725136000567/image_s76d2caoe55413mtjjev1m9a5e/-FJPG/235528-002_SID_1.jpg;https://dd3ka9h4chfr8.cloudfront.net/image/725136000567/image_cp8qave0m11r70hk57v8s6gk0m/-FJPG/235528-002_ESS_1.jpg;https://dd3ka9h4chfr8.cloudfront.net/image/725136000567/image_0itm5q20f55ml8nc01a71fbh6l/-FJPG/235528-002_DET_2.jpg;https://dd3ka9h4chfr8.cloudfront.net/image/725136000567/image_eo995i8p5l4p73oi31vb3dan50/-FJPG/235528-002_DET_1.jpg;https://dd3ka9h4chfr8.cloudfront.net/image/725136000567/image_rdj4uc0smd2133k0543o5egu00/-FJPG/235528-002_DET_3.jpg;https://dd3ka9h4chfr8.cloudfront.net/image/725136000567/image_plvf7rd6id1q7738mlk98lad05/-FJPG/235528-002_DET_4.jpg</t>
  </si>
  <si>
    <t>235528-002</t>
  </si>
  <si>
    <t>23.15</t>
  </si>
  <si>
    <t>https://dd3ka9h4chfr8.cloudfront.net/image/725136000567/image_qfks7uatvt19p8p8d13o4edl1g/-FJPG/235528-002_FRT_1.jpg</t>
  </si>
  <si>
    <t>Hardworking industrial furniture inspired the hefty proportions of this solid wood end table. Structured, clean lines with exposed metal hardware add warm contrast.</t>
  </si>
  <si>
    <t>{"value":32.63,"unit":"lb"}</t>
  </si>
  <si>
    <t>Graham Chair</t>
  </si>
  <si>
    <t>https://dd3ka9h4chfr8.cloudfront.net/image/725136000567/image_qo276394qd6bh649bbdmev6u59/-FJPG/235240-001_FRT_1.jpg;https://dd3ka9h4chfr8.cloudfront.net/image/725136000567/image_9b9cuujhql6ip1u1h0ngt7ce4p/-FJPG/235240-001_PRM_1.jpg;https://dd3ka9h4chfr8.cloudfront.net/image/725136000567/image_kto6vnug416e9774cj4skfbd69/-FJPG/235240-001_SID_1.jpg;https://dd3ka9h4chfr8.cloudfront.net/image/725136000567/image_cld24e38ml3on4kjohf8n6nq7e/-FJPG/235240-001_ESS_1.jpg;https://dd3ka9h4chfr8.cloudfront.net/image/725136000567/image_l0ccochkid2ab47ij70r2gom2t/-FJPG/235240-001_DET_2.jpg;https://dd3ka9h4chfr8.cloudfront.net/image/725136000567/image_lktg28ns9d1tv1agj5ro25kf2t/-FJPG/235240-001_BCK_1.jpg;https://dd3ka9h4chfr8.cloudfront.net/image/725136000567/image_thd6882s2d01hd338li7h3b60q/-FJPG/235240-001_DET_1.jpg;https://dd3ka9h4chfr8.cloudfront.net/image/725136000567/image_sh0087a1kt72b6pmd5on4vhj61/-FJPG/235240-001_DET_3.jpg;https://dd3ka9h4chfr8.cloudfront.net/image/725136000567/image_ca4ne2u3gt28162s2ts0ot5812/-FJPG/235240-001_DET_4.jpg;https://dd3ka9h4chfr8.cloudfront.net/image/725136000567/image_fpea8ranq16u5b6is7mks19j0b/-FJPG/235240-001_DET_5.jpg;https://dd3ka9h4chfr8.cloudfront.net/image/725136000567/image_sakv7ipim560398v017intn76c/-FJPG/235240-001_DET_6.jpg;https://dd3ka9h4chfr8.cloudfront.net/image/725136000567/image_4k2c80anv56dhbc0mf58j05s12/-FJPG/235240-001_DET_7.jpg;https://dd3ka9h4chfr8.cloudfront.net/image/725136000567/image_8alg495aa90nr8dan4vrqiri68/-FJPG/235240-001_ROM_1.jpg</t>
  </si>
  <si>
    <t>235240-001</t>
  </si>
  <si>
    <t>https://dd3ka9h4chfr8.cloudfront.net/image/725136000567/image_qo276394qd6bh649bbdmev6u59/-FJPG/235240-001_FRT_1.jpg</t>
  </si>
  <si>
    <t>38.75</t>
  </si>
  <si>
    <t>{"value":38.75,"unit":"in"}</t>
  </si>
  <si>
    <t>The classic high-back spindle chair gets a dramatic and comfy update with thick loose cushions covered in a plush, high-pile faux Mongolian shearling.</t>
  </si>
  <si>
    <t>40% Polyurethane Foam, 30% Polyester Fiber, 30% Duck Feather</t>
  </si>
  <si>
    <t>Graham</t>
  </si>
  <si>
    <t>https://dd3ka9h4chfr8.cloudfront.net/image/725136000567/image_rhfcg15uoh7vn6eff576n2gu7m/-FJPG/235240-005_FRT_1.jpg;https://dd3ka9h4chfr8.cloudfront.net/image/725136000567/image_jj1c4uufc93jbf2mn778k2rs1o/-FJPG/235240-005_PRM_1.jpg;https://dd3ka9h4chfr8.cloudfront.net/image/725136000567/image_micvvp5p3t03tblhucjn4jdk0l/-FJPG/235240-005_SID_1.jpg;https://dd3ka9h4chfr8.cloudfront.net/image/725136000567/image_navqm687nh3250c2ed2aab7k0f/-FJPG/235240-005_DET_2.jpg;https://dd3ka9h4chfr8.cloudfront.net/image/725136000567/image_4akq43vl3l5qp2ldfjv4ks0m5h/-FJPG/235240-005_BCK_1.jpg;https://dd3ka9h4chfr8.cloudfront.net/image/725136000567/image_7jpr0horgh3sp622esqufduf3s/-FJPG/235240-005_DET_1.jpg;https://dd3ka9h4chfr8.cloudfront.net/image/725136000567/image_mhmsm7mcrd0gtakqhqe313ug0j/-FJPG/235240-005_DET_3.jpg;https://dd3ka9h4chfr8.cloudfront.net/image/725136000567/image_drn7pbafpl4cf6lafbnhp45b3s/-FJPG/235240-005_DET_4.jpg;https://dd3ka9h4chfr8.cloudfront.net/image/725136000567/image_3ret6qqk490mpamd5iu9t45c52/-FJPG/235240-005_DET_5.jpg;https://dd3ka9h4chfr8.cloudfront.net/image/725136000567/image_39gmk8o2ct55v7v6720ino3h26/-FJPG/235240-005_DET_6.jpg</t>
  </si>
  <si>
    <t>Manchester Flint</t>
  </si>
  <si>
    <t>235240-005</t>
  </si>
  <si>
    <t>https://dd3ka9h4chfr8.cloudfront.net/image/725136000567/image_rhfcg15uoh7vn6eff576n2gu7m/-FJPG/235240-005_FRT_1.jpg</t>
  </si>
  <si>
    <t>["100% Flax/Linen","Solid Parawood"]</t>
  </si>
  <si>
    <t>The classic high-back spindle chair gets a dramatic and comfy update with thick loose cushions covered in a classic cream-and-grey striped flax/linen blend.</t>
  </si>
  <si>
    <t>Grammercy Sofa</t>
  </si>
  <si>
    <t>https://dd3ka9h4chfr8.cloudfront.net/image/725136000567/image_o403r4p2115hd2g4qoqr2u440v/-FJPG/UATR-002-BCH_FRT_1.jpg;https://dd3ka9h4chfr8.cloudfront.net/image/725136000567/image_u7vpvsn9c17hn1rrr016eap15k/-FJPG/UATR-002-BCH_PRM_1.jpg;https://dd3ka9h4chfr8.cloudfront.net/image/725136000567/image_dj2df0r5d553tfqcb11809l408/-FJPG/UATR-002-BCH_SID_1.jpg;https://dd3ka9h4chfr8.cloudfront.net/image/725136000567/image_uei0r2da1d2fvf4a68f2pn0o7r/-FJPG/UATR-002-BCH_ESS_1.jpg;https://dd3ka9h4chfr8.cloudfront.net/image/725136000567/image_64knl3o8rh06nalm5adskijm3g/-FJPG/UATR-002-BCH_DET_2.jpg;https://dd3ka9h4chfr8.cloudfront.net/image/725136000567/image_p1c91dcgpd01f8dnba7n9oir2l/-FJPG/UATR-002-BCH_BCK_1.jpg;https://dd3ka9h4chfr8.cloudfront.net/image/725136000567/image_itptvipq2t00t20fc4780hsb1u/-FJPG/UATR-002-BCH_DET_1.jpg;https://dd3ka9h4chfr8.cloudfront.net/image/725136000567/image_pr4fd3d8f15l97oqc38o1t8552/-FJPG/UATR-002-BCH_DET_3.jpg;https://dd3ka9h4chfr8.cloudfront.net/image/725136000567/image_pejmtc09k50dn38emck2ot291b/-FJPG/UATR-002-BCH_DET_4.jpg;https://dd3ka9h4chfr8.cloudfront.net/image/725136000567/image_8uarternht6775k4a5na6shr2v/-FJPG/UATR-002-BCH_DET_5.jpg;https://dd3ka9h4chfr8.cloudfront.net/image/725136000567/image_n4k6m8ctq14el031518iogjh50/-FJPG/UATR-002-BCH_ROM_1.jpg</t>
  </si>
  <si>
    <t>Bennett Charcoal</t>
  </si>
  <si>
    <t>UATR-002-BCH</t>
  </si>
  <si>
    <t>126.1</t>
  </si>
  <si>
    <t>https://dd3ka9h4chfr8.cloudfront.net/image/725136000567/image_o403r4p2115hd2g4qoqr2u440v/-FJPG/UATR-002-BCH_FRT_1.jpg</t>
  </si>
  <si>
    <t>["100% Polyester","Iron"]</t>
  </si>
  <si>
    <t>39.5</t>
  </si>
  <si>
    <t>{"value":39.5,"unit":"in"}</t>
  </si>
  <si>
    <t>Matte Black</t>
  </si>
  <si>
    <t>Flexible style with luxurious comfort. Clean, simple lines and a black iron base keep everything casual and chic.</t>
  </si>
  <si>
    <t>{"value":148.57,"unit":"lb"}</t>
  </si>
  <si>
    <t>67.50"</t>
  </si>
  <si>
    <t>Grammercy</t>
  </si>
  <si>
    <t>https://dd3ka9h4chfr8.cloudfront.net/image/725136000567/image_6oa4pen46l0sd851c1qfd4j12r/-FJPG/UATR-002_FRT_1.jpg;https://dd3ka9h4chfr8.cloudfront.net/image/725136000567/image_1p7sba4su56bv28u0bb8sp3k4i/-FJPG/UATR-002_PRM_1.jpg;https://dd3ka9h4chfr8.cloudfront.net/image/725136000567/image_nudbnj5dot5r71v39frfmdjj63/-FJPG/UATR-002_SID_1.jpg;https://dd3ka9h4chfr8.cloudfront.net/image/725136000567/image_qbbfpvun117d73d4tmtrrj2r5s/-FJPG/UATR-002_DET_2.jpg;https://dd3ka9h4chfr8.cloudfront.net/image/725136000567/image_9ujt9kmv8h3idf3u38g2g7lm0l/-FJPG/UATR-002_BCK_1.jpg;https://dd3ka9h4chfr8.cloudfront.net/image/725136000567/image_n8srhi5d692el8rdmhq58mh93f/-FJPG/UATR-002_DET_1.jpg;https://dd3ka9h4chfr8.cloudfront.net/image/725136000567/image_t2s8qmkqbt6l54aknee67hp922/-FJPG/UATR-002_DET_3.jpg;https://dd3ka9h4chfr8.cloudfront.net/image/725136000567/image_4es56pn32p3gn4gmvukdesba1h/-FJPG/UATR-002_DET_4.jpg;https://dd3ka9h4chfr8.cloudfront.net/image/725136000567/image_q4ensuiut52sj9sthnriusph50/-FJPG/UATR-002_VIG_1.jpg;https://dd3ka9h4chfr8.cloudfront.net/image/725136000567/image_es5kemh1mp3rh74vc0td3m6h5j/-FJPG/UATR-002_VIG_2.jpg;https://dd3ka9h4chfr8.cloudfront.net/image/725136000567/image_4ska9ojr0h7gv2apjfq5ng3i14/-FJPG/UATR-002_ROM_3.jpg</t>
  </si>
  <si>
    <t>Bennett Moon</t>
  </si>
  <si>
    <t>UATR-002</t>
  </si>
  <si>
    <t>https://dd3ka9h4chfr8.cloudfront.net/image/725136000567/image_6oa4pen46l0sd851c1qfd4j12r/-FJPG/UATR-002_FRT_1.jpg</t>
  </si>
  <si>
    <t>Grand 6 Drawer Dresser</t>
  </si>
  <si>
    <t>https://dd3ka9h4chfr8.cloudfront.net/image/725136000567/image_jl0l5ibcip5ef7cq7tg3j5tp1s/-FJPG/250177-001_FRT_1.jpg;https://dd3ka9h4chfr8.cloudfront.net/image/725136000567/image_auurrodhhp5r984cgkrv7e3b74/-FJPG/250177-001_PRM_1.jpg;https://dd3ka9h4chfr8.cloudfront.net/image/725136000567/image_4hptob4c193kpeglqv5ltrkd7r/-FJPG/250177-001_SID_1.jpg;https://dd3ka9h4chfr8.cloudfront.net/image/725136000567/image_u9uf78pe6l47hd5h3n1cqbbd34/-FJPG/250177-001_DET_2.jpg;https://dd3ka9h4chfr8.cloudfront.net/image/725136000567/image_fr4q9li3st2ar9pc6dqrd7en0u/-FJPG/250177-001_BCK_1.jpg;https://dd3ka9h4chfr8.cloudfront.net/image/725136000567/image_ag1algrku93i14beubl232nl5a/-FJPG/250177-001_OPN_1.jpg;https://dd3ka9h4chfr8.cloudfront.net/image/725136000567/image_jukruo2ad54et13umg3t3uqf78/-FJPG/250177-001_DET_5.jpg;https://dd3ka9h4chfr8.cloudfront.net/image/725136000567/image_qjunue7skd5ltefntg1i2fo41o/-FJPG/250177-001_DET_6.jpg;https://dd3ka9h4chfr8.cloudfront.net/image/725136000567/image_lf4426iuh93ct9695j97fsch1o/-FJPG/250177-001_DET_7.jpg</t>
  </si>
  <si>
    <t>Honey  Brown Oak Veneer</t>
  </si>
  <si>
    <t>250177-001</t>
  </si>
  <si>
    <t>https://dd3ka9h4chfr8.cloudfront.net/image/725136000567/image_jl0l5ibcip5ef7cq7tg3j5tp1s/-FJPG/250177-001_FRT_1.jpg</t>
  </si>
  <si>
    <t>Bring generous storage space to the bedroom with a six-drawer oak dresser. Finished in a light honey brown, to work seamlessly into a wide range of spaces and styles.</t>
  </si>
  <si>
    <t>{"value":71.65,"unit":"in"}</t>
  </si>
  <si>
    <t>{"value":267.86,"unit":"lb"}</t>
  </si>
  <si>
    <t>Grand</t>
  </si>
  <si>
    <t>4.84"</t>
  </si>
  <si>
    <t>28.58"</t>
  </si>
  <si>
    <t>Greta 6 Drawer Dresser</t>
  </si>
  <si>
    <t>https://dd3ka9h4chfr8.cloudfront.net/image/725136000567/image_vsdmfdclvp6pladth956ag565m/-FJPG/VHAD-034_FRT_1.jpg;https://dd3ka9h4chfr8.cloudfront.net/image/725136000567/image_divbbptlgt3if8h8ev9giuda7d/-FJPG/VHAD-034_PRM_1.jpg;https://dd3ka9h4chfr8.cloudfront.net/image/725136000567/image_9ktctkuko569l4jvv5kb71134a/-FJPG/VHAD-034_SID_1.jpg;https://dd3ka9h4chfr8.cloudfront.net/image/725136000567/image_0arbma1qcp0g375nmm3mj10f36/-FJPG/VHAD-034_ESS_1.jpg;https://dd3ka9h4chfr8.cloudfront.net/image/725136000567/image_4udbf649g51krd5r58up9ecc4o/-FJPG/VHAD-034_DET_2.jpg;https://dd3ka9h4chfr8.cloudfront.net/image/725136000567/image_kohkcuqldl7ota7aiim1q17v23/-FJPG/VHAD-034_DET_1.jpg;https://dd3ka9h4chfr8.cloudfront.net/image/725136000567/image_pe83nf4upp4a39d52cq1mr9o6e/-FJPG/VHAD-034_DET_3.jpg;https://dd3ka9h4chfr8.cloudfront.net/image/725136000567/image_qs6qlnvia93cf36k201ftjk45l/-FJPG/VHAD-034_OPN_1.jpg;https://dd3ka9h4chfr8.cloudfront.net/image/725136000567/image_ndikl0fudp0tfe72cqlt1kr70e/-FJPG/VHAD-034_DET_4.jpg;https://dd3ka9h4chfr8.cloudfront.net/image/725136000567/image_ln3eqavhq57a738kerq3c5nb7c/-FJPG/VHAD-034_DET_5.jpg;https://dd3ka9h4chfr8.cloudfront.net/image/725136000567/image_kel33t7uq100b5605s3f7ah33m/-FJPG/VHAD-034_DET_6.jpg</t>
  </si>
  <si>
    <t>Autumn Grey</t>
  </si>
  <si>
    <t>107747-004</t>
  </si>
  <si>
    <t>208.33</t>
  </si>
  <si>
    <t>https://dd3ka9h4chfr8.cloudfront.net/image/725136000567/image_vsdmfdclvp6pladth956ag565m/-FJPG/VHAD-034_FRT_1.jpg</t>
  </si>
  <si>
    <t>["Oak Veneer","Iron"]</t>
  </si>
  <si>
    <t>Brighton</t>
  </si>
  <si>
    <t>Rustic Brass</t>
  </si>
  <si>
    <t>A floating iron base lightens the natural depth of grey-finished oak, as clean lines lend a tailored look to warm rustic tones. Six spacious drawers bring plenty of storage options to the modernized bedroom.</t>
  </si>
  <si>
    <t>{"value":74.41,"unit":"in"}</t>
  </si>
  <si>
    <t>{"value":247.8,"unit":"lb"}</t>
  </si>
  <si>
    <t>Greta</t>
  </si>
  <si>
    <t>5.79"</t>
  </si>
  <si>
    <t>31.69"</t>
  </si>
  <si>
    <t>Grove Nightstand</t>
  </si>
  <si>
    <t>https://dd3ka9h4chfr8.cloudfront.net/image/725136000567/image_ok2mf73a7l3cvdqrpb1gscdm59/-FJPG/235100-001_FRT_1.jpg;https://dd3ka9h4chfr8.cloudfront.net/image/725136000567/image_tlvo9vsl794gne5an7a8cnm26c/-FJPG/235100-001_PRM_1.jpg;https://dd3ka9h4chfr8.cloudfront.net/image/725136000567/image_nq02qa1oc12c170jrplvoltj7n/-FJPG/235100-001_SID_1.jpg;https://dd3ka9h4chfr8.cloudfront.net/image/725136000567/image_edu41mkt7h5frffqkhin1ffr49/-FJPG/235100-001_ESS_1.jpg;https://dd3ka9h4chfr8.cloudfront.net/image/725136000567/image_991921kpot6i15mbo3vhi2kl2a/-FJPG/235100-001_DET_2.jpg;https://dd3ka9h4chfr8.cloudfront.net/image/725136000567/image_46m9ln5avl03barh2d5rfbi058/-FJPG/235100-001_BCK_1.jpg;https://dd3ka9h4chfr8.cloudfront.net/image/725136000567/image_628tln9oj115l6n4sodt43cc67/-FJPG/235100-001_DET_1.jpg;https://dd3ka9h4chfr8.cloudfront.net/image/725136000567/image_t531o4iil906n4tnh3qrb7ek3l/-FJPG/235100-001_DET_3.jpg;https://dd3ka9h4chfr8.cloudfront.net/image/725136000567/image_hj78om8eel3i901m4b432tcf0m/-FJPG/235100-001_OPN_1.jpg;https://dd3ka9h4chfr8.cloudfront.net/image/725136000567/image_pg1m5qjcr51l95s4c3jur12p19/-FJPG/235100-001_DET_4.jpg;https://dd3ka9h4chfr8.cloudfront.net/image/725136000567/image_p0s39r9t2t2sv65svcdgisp52l/-FJPG/235100-001_DET_5.jpg;https://dd3ka9h4chfr8.cloudfront.net/image/725136000567/image_41b6qiaf3t1ll078v0einjpm2q/-FJPG/235100-001_DET_6.jpg;https://dd3ka9h4chfr8.cloudfront.net/image/725136000567/image_71de8dqc5p7iv15sglt8ssbg56/-FJPG/235100-001_DET_7.jpg;https://dd3ka9h4chfr8.cloudfront.net/image/725136000567/image_cr09t8esh90a5d4eafmooi9h1j/-FJPG/235100-001_DET_8.jpg</t>
  </si>
  <si>
    <t>Russet Mahogany Veneer</t>
  </si>
  <si>
    <t>235100-001</t>
  </si>
  <si>
    <t>98.15</t>
  </si>
  <si>
    <t>https://dd3ka9h4chfr8.cloudfront.net/image/725136000567/image_ok2mf73a7l3cvdqrpb1gscdm59/-FJPG/235100-001_FRT_1.jpg</t>
  </si>
  <si>
    <t>["Mahogany Veneer","Painted Linen","Solid Mahogany"]</t>
  </si>
  <si>
    <t>Beige Painted Linen</t>
  </si>
  <si>
    <t>Simply shaped with a ski-leg base, painted linen drawer fronts complement the mahogany case. Three drawers allow for ample storage in this low, modern nightstand.</t>
  </si>
  <si>
    <t>{"value":37.24,"unit":"in"}</t>
  </si>
  <si>
    <t>{"value":125.57,"unit":"lb"}</t>
  </si>
  <si>
    <t>Grove</t>
  </si>
  <si>
    <t>Habitat Chaise Lounge</t>
  </si>
  <si>
    <t>https://dd3ka9h4chfr8.cloudfront.net/image/725136000567/image_pvigar95f5453fu227pn8br76f/-FJPG/236081-001_FRT_1.jpg;https://dd3ka9h4chfr8.cloudfront.net/image/725136000567/image_p1c2uj7pct7b1760mokiamkc0v/-FJPG/236081-001_PRM_1.jpg;https://dd3ka9h4chfr8.cloudfront.net/image/725136000567/image_r4rnkideo16brdmmc30t9q873o/-FJPG/236081-001_SID_1.jpg;https://dd3ka9h4chfr8.cloudfront.net/image/725136000567/image_8tpk29qc6l1ul4pu13kd7m335p/-FJPG/236081-001_DET_2.jpg;https://dd3ka9h4chfr8.cloudfront.net/image/725136000567/image_u6g28lgk9t1975e3g50c6t1s17/-FJPG/236081-001_BCK_1.jpg;https://dd3ka9h4chfr8.cloudfront.net/image/725136000567/image_40gbstm0j538bflbsa0oarhk3h/-FJPG/236081-001_DET_1.jpg;https://dd3ka9h4chfr8.cloudfront.net/image/725136000567/image_0of18dk6ud6u38c1aopfn5g248/-FJPG/236081-001_DET_3.jpg;https://dd3ka9h4chfr8.cloudfront.net/image/725136000567/image_flbl1j9nnt6s9f3oh5ce6gg07g/-FJPG/236081-001_DET_4.jpg;https://dd3ka9h4chfr8.cloudfront.net/image/725136000567/image_u0kvvspedd0krca9veaj54rb2c/-FJPG/236081-001_DET_5.jpg;https://dd3ka9h4chfr8.cloudfront.net/image/725136000567/image_cesnbni1590avcverlsr6jjc5o/-FJPG/236081-001_DET_6.jpg;https://dd3ka9h4chfr8.cloudfront.net/image/725136000567/image_i5lvn69bdh7gt540mfk1k7ha6b/-FJPG/236081-001_DET_7.jpg;https://dd3ka9h4chfr8.cloudfront.net/image/725136000567/image_m3bcc26qj53qd3v7s55p0vi25g/-FJPG/236081-001_ESS.jpg</t>
  </si>
  <si>
    <t>236081-001</t>
  </si>
  <si>
    <t>https://dd3ka9h4chfr8.cloudfront.net/image/725136000567/image_pvigar95f5453fu227pn8br76f/-FJPG/236081-001_FRT_1.jpg</t>
  </si>
  <si>
    <t>["100% Polyester","Solid Banak"]</t>
  </si>
  <si>
    <t>Espresso</t>
  </si>
  <si>
    <t>Designed for lounging. High-performance fabric covers shelter arms and pillow-inspired cushion. Performance fabrics are specially created to withstand spills, stains, high traffic and wear, ensuring long-term comfort and unmatched durability.</t>
  </si>
  <si>
    <t>{"value":141.09,"unit":"lb"}</t>
  </si>
  <si>
    <t>53.00"</t>
  </si>
  <si>
    <t>Habitat</t>
  </si>
  <si>
    <t>https://dd3ka9h4chfr8.cloudfront.net/image/725136000567/image_mbeff2ges13qb9cs7ogk8uq46m/-FJPG/236081-002_FRT_1.jpg;https://dd3ka9h4chfr8.cloudfront.net/image/725136000567/image_t9gekj9ojt2enah2cpnbu9tl0d/-FJPG/236081-002_PRM_1.jpg;https://dd3ka9h4chfr8.cloudfront.net/image/725136000567/image_bqd100push4u1a4bbnb736q73f/-FJPG/236081-002_SID_1.jpg;https://dd3ka9h4chfr8.cloudfront.net/image/725136000567/image_vlstncl4c96cf3hk85uam18h4g/-FJPG/236081-002_ESS_1.jpg;https://dd3ka9h4chfr8.cloudfront.net/image/725136000567/image_6a93o2eb6520hcvqsidstfb36q/-FJPG/236081-002_DET_2.jpg;https://dd3ka9h4chfr8.cloudfront.net/image/725136000567/image_j02e2dfbtl7grcobdcsemua67m/-FJPG/236081-002_BCK_1.jpg;https://dd3ka9h4chfr8.cloudfront.net/image/725136000567/image_s2cv7rds4p4314b2v7niusei7e/-FJPG/236081-002_DET_1.jpg;https://dd3ka9h4chfr8.cloudfront.net/image/725136000567/image_r1j68a8kk90jl5rd4lbhprsg0a/-FJPG/236081-002_DET_3.jpg;https://dd3ka9h4chfr8.cloudfront.net/image/725136000567/image_7qgnf9seip66n2fehpd22bf34f/-FJPG/236081-002_DET_4.jpg;https://dd3ka9h4chfr8.cloudfront.net/image/725136000567/image_3449g2pn1p4q507uv5hm7oav7m/-FJPG/236081-002_DET_5.jpg;https://dd3ka9h4chfr8.cloudfront.net/image/725136000567/image_vperi7dqgp367al12o7pkm5550/-FJPG/236081-002_DET_6.jpg</t>
  </si>
  <si>
    <t>Valley Nimbus</t>
  </si>
  <si>
    <t>236081-002</t>
  </si>
  <si>
    <t>https://dd3ka9h4chfr8.cloudfront.net/image/725136000567/image_mbeff2ges13qb9cs7ogk8uq46m/-FJPG/236081-002_FRT_1.jpg</t>
  </si>
  <si>
    <t>["53% Polyester","35% Viscose (Rayon)","12% Flax/Linen","Solid Banak"]</t>
  </si>
  <si>
    <t>Designed for lounging. High-performance fabric covers shelter arms and oversize pillow-inspired cushion. Performance fabrics are specially created to withstand spills, stains, high traffic and wear, ensuring long-term comfort and unmatched durability.</t>
  </si>
  <si>
    <t>Habitat Slipcover Chaise</t>
  </si>
  <si>
    <t>https://dd3ka9h4chfr8.cloudfront.net/image/725136000567/image_3uajp5g41103h9bmdg63dr1h52/-FJPG/107188-004_FRT_1.jpg;https://dd3ka9h4chfr8.cloudfront.net/image/725136000567/image_j3lem205el5a354k1uq4va2j0a/-FJPG/107188-004_PRM_1.jpg;https://dd3ka9h4chfr8.cloudfront.net/image/725136000567/image_c1s743hfml5ur6118itp948e4r/-FJPG/107188-004_SID_1.jpg;https://dd3ka9h4chfr8.cloudfront.net/image/725136000567/image_60ad80mcmp06h51qd8rkg2132p/-FJPG/107188-004_ESS_1.jpg;https://dd3ka9h4chfr8.cloudfront.net/image/725136000567/image_pgr1anrdih2hl2anhlqq6v5q2k/-FJPG/107188-004_DET_2.jpg;https://dd3ka9h4chfr8.cloudfront.net/image/725136000567/image_3vpdqnj4hd19f67ik463kprs29/-FJPG/107188-004_BCK_1.jpg;https://dd3ka9h4chfr8.cloudfront.net/image/725136000567/image_3m6k6s93j90rde2700k59kb534/-FJPG/107188-004_DET_1.jpg;https://dd3ka9h4chfr8.cloudfront.net/image/725136000567/image_pqda8al0i14aba7mbqcddppj4n/-FJPG/107188-004_DET_3.jpg;https://dd3ka9h4chfr8.cloudfront.net/image/725136000567/image_dt06rshn8h0e3fota122dvb92l/-FJPG/107188-004_DET_4.jpg;https://dd3ka9h4chfr8.cloudfront.net/image/725136000567/image_ov84q4i2v9185avb7jfm72n76l/-FJPG/107188-004_DET_5.jpg;https://dd3ka9h4chfr8.cloudfront.net/image/725136000567/image_p5vh7ms4a903d6p0b73ucuek3n/-FJPG/107188-004_DET_6.jpg</t>
  </si>
  <si>
    <t>107188-004</t>
  </si>
  <si>
    <t>139.2</t>
  </si>
  <si>
    <t>https://dd3ka9h4chfr8.cloudfront.net/image/725136000567/image_3uajp5g41103h9bmdg63dr1h52/-FJPG/107188-004_FRT_1.jpg</t>
  </si>
  <si>
    <t>{"value":92.5,"unit":"in"}</t>
  </si>
  <si>
    <t>{"value":146.61,"unit":"lb"}</t>
  </si>
  <si>
    <t>70.50"</t>
  </si>
  <si>
    <t>63% Polyurethane Foam, 30% Fiber, 7% Down</t>
  </si>
  <si>
    <t>13.14"</t>
  </si>
  <si>
    <t>75.20"</t>
  </si>
  <si>
    <t>https://dd3ka9h4chfr8.cloudfront.net/image/725136000567/image_n3ktji0pvt5andl2s5b3mj5g2b/-FJPG/UATR-047-150_FRT_1.jpg;https://dd3ka9h4chfr8.cloudfront.net/image/725136000567/image_5pj3ppvich15pdoj861tb06b7s/-FJPG/UATR-047-150_PRM_1.jpg;https://dd3ka9h4chfr8.cloudfront.net/image/725136000567/image_dup2i86hd14v73edd7la0hqp6d/-FJPG/UATR-047-150_SID_1.jpg;https://dd3ka9h4chfr8.cloudfront.net/image/725136000567/image_tvim2dcoht6h995mdjcdv6gt2r/-FJPG/UATR-047-150_DET_2.jpg;https://dd3ka9h4chfr8.cloudfront.net/image/725136000567/image_sbesn527s56e5a9tqlq64kbf15/-FJPG/UATR-047-150_BCK_1.jpg;https://dd3ka9h4chfr8.cloudfront.net/image/725136000567/image_j8gelo9ou53514r9alp97tcj3u/-FJPG/UATR-047-150_INF_1.jpg;https://dd3ka9h4chfr8.cloudfront.net/image/725136000567/image_80o3bqc7pp0ah6a085ci4ql310/-FJPG/UATR-047-150_DET_1.jpg;https://dd3ka9h4chfr8.cloudfront.net/image/725136000567/image_af3ebheheh2pn5ti9rertpuk02/-FJPG/UATR-047-150_DET_4.jpg;https://dd3ka9h4chfr8.cloudfront.net/image/725136000567/image_c36vvrs08506b0983qh6trnd72/-FJPG/UATR-047-150_DET_5.jpg</t>
  </si>
  <si>
    <t>UATR-047-150</t>
  </si>
  <si>
    <t>https://dd3ka9h4chfr8.cloudfront.net/image/725136000567/image_n3ktji0pvt5andl2s5b3mj5g2b/-FJPG/UATR-047-150_FRT_1.jpg</t>
  </si>
  <si>
    <t>Chaise-style lounging, made for modern living. Neutral-toned upholstery covers shelter arms and oversize pillow-inspired cushion.</t>
  </si>
  <si>
    <t>Halston 6 Drawer Dresser</t>
  </si>
  <si>
    <t>https://dd3ka9h4chfr8.cloudfront.net/image/725136000567/image_c915f1p7k17epft6k0trqp344d/-FJPG/232428-001_FRT_1.jpg;https://dd3ka9h4chfr8.cloudfront.net/image/725136000567/image_73ul1cm7hp2pr6nhk0mi1om34v/-FJPG/232428-001_PRM_1.jpg;https://dd3ka9h4chfr8.cloudfront.net/image/725136000567/image_pspki6513d0f7a7lea4ni7b17f/-FJPG/232428-001_SID_1.jpg;https://dd3ka9h4chfr8.cloudfront.net/image/725136000567/image_39erbf1f4904veldv42c8oqp7r/-FJPG/232428-001_ESS_1.jpg;https://dd3ka9h4chfr8.cloudfront.net/image/725136000567/image_mcke3vn8t95p5f4q0at19dp53a/-FJPG/232428-001_DET_2.jpg;https://dd3ka9h4chfr8.cloudfront.net/image/725136000567/image_l43a416td54f3en3b5oosot70o/-FJPG/232428-001_BCK_1.jpg;https://dd3ka9h4chfr8.cloudfront.net/image/725136000567/image_bu2384p5n51ep0cq42bvmppp63/-FJPG/232428-001_DET_1.jpg;https://dd3ka9h4chfr8.cloudfront.net/image/725136000567/image_uhvl7r67u924rftvj2v34gc40e/-FJPG/232428-001_DET_3.jpg;https://dd3ka9h4chfr8.cloudfront.net/image/725136000567/image_emamtjdo5t6453vl6gitf6164d/-FJPG/232428-001_OPN_1.jpg;https://dd3ka9h4chfr8.cloudfront.net/image/725136000567/image_p5raf4688h6hh88qr2gu4nds24/-FJPG/232428-001_DET_4.jpg;https://dd3ka9h4chfr8.cloudfront.net/image/725136000567/image_ee05o83pul5mnc55o94boi6763/-FJPG/232428-001_DET_5.jpg;https://dd3ka9h4chfr8.cloudfront.net/image/725136000567/image_li67nnnb4l38patcndme42sd36/-FJPG/232428-001_DET_6.jpg;https://dd3ka9h4chfr8.cloudfront.net/image/725136000567/image_rrdbahg9ih75bf0ki5hd068p26/-FJPG/232428-001_DET_7.jpg;https://dd3ka9h4chfr8.cloudfront.net/image/725136000567/image_q17gumrh0h7497gsgrbvjspq4j/-FJPG/232428-001_DET_8.jpg;https://dd3ka9h4chfr8.cloudfront.net/image/725136000567/image_rqsqibkett78p11dsgmp9i5q0g/-FJPG/232428-001_DET_9.jpg;https://dd3ka9h4chfr8.cloudfront.net/image/725136000567/image_bgi0fv0lml4df46ssg7t7jgl1n/-FJPG/232428-001_DET_10.jpg</t>
  </si>
  <si>
    <t>Terra Brown Ash Veneer</t>
  </si>
  <si>
    <t>232428-001</t>
  </si>
  <si>
    <t>https://dd3ka9h4chfr8.cloudfront.net/image/725136000567/image_c915f1p7k17epft6k0trqp344d/-FJPG/232428-001_FRT_1.jpg</t>
  </si>
  <si>
    <t>["Ash Veneer","Top Grain Leather"]</t>
  </si>
  <si>
    <t>Made from brown-finished ash with leather-wrapped hardware, wide scale and sculptural details reflect the Brazilian midcentury inspiration behind this spacious six-drawer dresser. This item has been modified to comply with the STURDY Act. See a full list of modified products and data changes in the â€œSTURDY Actâ€_x009d_ file in the Downloads section below.</t>
  </si>
  <si>
    <t>{"value":69.09,"unit":"in"}</t>
  </si>
  <si>
    <t>{"value":275.58,"unit":"lb"}</t>
  </si>
  <si>
    <t>Halston</t>
  </si>
  <si>
    <t>7.01"</t>
  </si>
  <si>
    <t>5.08"</t>
  </si>
  <si>
    <t>28.46"</t>
  </si>
  <si>
    <t>Halston Bed</t>
  </si>
  <si>
    <t>https://dd3ka9h4chfr8.cloudfront.net/image/725136000567/image_0g0e7vb6bp13jed6n7u28i1s41/-FJPG/232427-001_FRT_1.jpg;https://dd3ka9h4chfr8.cloudfront.net/image/725136000567/image_6m3c1gghkl2ur3vnmg2bmtuv48/-FJPG/232427-001_PRM_1.jpg;https://dd3ka9h4chfr8.cloudfront.net/image/725136000567/image_feed43llg12j3dahbj31tvln27/-FJPG/232427-001_SID_1.jpg;https://dd3ka9h4chfr8.cloudfront.net/image/725136000567/image_27qoiknril6ef8tppfqsl35o56/-FJPG/232427-001_ESS_1.jpg;https://dd3ka9h4chfr8.cloudfront.net/image/725136000567/image_d4aurcfr2d53lbn4memt0c0f0g/-FJPG/232427-001_DET_2.jpg;https://dd3ka9h4chfr8.cloudfront.net/image/725136000567/image_sli0nb4er96o57r3qfs0f1l81l/-FJPG/232427-001_BCK_1.jpg;https://dd3ka9h4chfr8.cloudfront.net/image/725136000567/image_hj91q03och5e1fc6ovvspncv5q/-FJPG/232427-001_DET_1.jpg;https://dd3ka9h4chfr8.cloudfront.net/image/725136000567/image_i9nvocj2bt24tdikojhtetbq6g/-FJPG/232427-001_DET_3.jpg;https://dd3ka9h4chfr8.cloudfront.net/image/725136000567/image_94m9qgb0ap76d5verk2r1g4j2q/-FJPG/232427-001_DET_4.jpg;https://dd3ka9h4chfr8.cloudfront.net/image/725136000567/image_egf0b5eqpt5ij8v5rsfjcqu72o/-FJPG/232427-001_DET_5.jpg;https://dd3ka9h4chfr8.cloudfront.net/image/725136000567/image_j629rqer8l3gp7tdcream0je4v/-FJPG/232427-001_DET_6.jpg;https://dd3ka9h4chfr8.cloudfront.net/image/725136000567/image_91c2vjp8ml11f1rm0ln7fgiv1p/-FJPG/232427-001_DET_7.jpg;https://dd3ka9h4chfr8.cloudfront.net/image/725136000567/image_hqr06f58kl3sh5vthg9f73ov0h/-FJPG/232427-001_DET_8.jpg;https://dd3ka9h4chfr8.cloudfront.net/image/725136000567/image_7bgvv6l6oh4q3575s6guuelt5c/-FJPG/232427-001_DET_9.jpg;https://dd3ka9h4chfr8.cloudfront.net/image/725136000567/image_bttjljdhs505te1dldjf9b605q/-FJPG/232427-001_SID_2.jpg;https://dd3ka9h4chfr8.cloudfront.net/image/725136000567/image_706rj6mvpd5od8sr0gbft9u47p/-FJPG/232427-001_BCK_2.jpg;https://dd3ka9h4chfr8.cloudfront.net/image/725136000567/image_kklfeeasfh3mb5jrsok94c8g0r/-FJPG/232427-001_FRT_2.jpg;https://dd3ka9h4chfr8.cloudfront.net/image/725136000567/image_4lveme34nl7u1fg5egmciqc32l/-FJPG/232427-001_PRM_2.jpg</t>
  </si>
  <si>
    <t>232427-001</t>
  </si>
  <si>
    <t>https://dd3ka9h4chfr8.cloudfront.net/image/725136000567/image_0g0e7vb6bp13jed6n7u28i1s41/-FJPG/232427-001_FRT_1.jpg</t>
  </si>
  <si>
    <t>["Top Grain Leather","Solid Ash","Ash Veneer"]</t>
  </si>
  <si>
    <t>Bold lines, a wide frame and heavy tufting speak to the Brazilian midcentury inspiration behind a bed of brown ash and black top-grain leather. Sourced from one of the oldest family-owned tanneries in Italy's Bassano del Grappa, heirloom leather is salvaged and processed from upcycled hides featuring an abundance of natural markings, scars and color variations. The result? Beautifully supple, buttery soft hides with an unmatched depth of color and richness, and an authentic lived-in look.</t>
  </si>
  <si>
    <t>Bed Assortment</t>
  </si>
  <si>
    <t>{"value":52.36,"unit":"in"}</t>
  </si>
  <si>
    <t>{"value":12.8,"unit":"in"}</t>
  </si>
  <si>
    <t>{"value":139.33,"unit":"lb"}</t>
  </si>
  <si>
    <t>{"value":88.58,"unit":"in"}</t>
  </si>
  <si>
    <t>{"value":123.46,"unit":"lb"}</t>
  </si>
  <si>
    <t>7.40"</t>
  </si>
  <si>
    <t>47.99"</t>
  </si>
  <si>
    <t>80.00"</t>
  </si>
  <si>
    <t>75.51"</t>
  </si>
  <si>
    <t>https://dd3ka9h4chfr8.cloudfront.net/image/725136000567/image_4kgjt7u01h7kn0r20druemo06r/-FJPG/232427-002_FRT_1.jpg;https://dd3ka9h4chfr8.cloudfront.net/image/725136000567/image_1bjp0r5bil4rdcggm9e0c7965p/-FJPG/232427-002_PRM_1.jpg;https://dd3ka9h4chfr8.cloudfront.net/image/725136000567/image_4724honbm115l22qvc247e5n5a/-FJPG/232427-002_SID_1.jpg;https://dd3ka9h4chfr8.cloudfront.net/image/725136000567/image_fidr8g15197er28pbsaupb5p3d/-FJPG/232427-002_ESS_1.jpg;https://dd3ka9h4chfr8.cloudfront.net/image/725136000567/image_mtnl4cnm0d40vb11ajcgv4j14l/-FJPG/232427-002_DET_2.jpg;https://dd3ka9h4chfr8.cloudfront.net/image/725136000567/image_armlphe0895udend8pfsg2i71i/-FJPG/232427-002_BCK_1.jpg;https://dd3ka9h4chfr8.cloudfront.net/image/725136000567/image_qmo9cmms7h04p0ha5jiiq25d61/-FJPG/232427-002_DET_1.jpg;https://dd3ka9h4chfr8.cloudfront.net/image/725136000567/image_t95biok5h95vlbm02vjeo0v820/-FJPG/232427-002_DET_3.jpg;https://dd3ka9h4chfr8.cloudfront.net/image/725136000567/image_caeporhv394tdenbl72753c83e/-FJPG/232427-002_DET_4.jpg;https://dd3ka9h4chfr8.cloudfront.net/image/725136000567/image_v29fdsrmit5a10s08p40uj6305/-FJPG/232427-002_DET_5.jpg;https://dd3ka9h4chfr8.cloudfront.net/image/725136000567/image_uc0jt8e5pd2hdd4ha61gcrpt2r/-FJPG/232427-002_DET_6.jpg;https://dd3ka9h4chfr8.cloudfront.net/image/725136000567/image_nt74039j4l0932a13blksq6535/-FJPG/232427-002_DET_7.jpg;https://dd3ka9h4chfr8.cloudfront.net/image/725136000567/image_i18pr68elh217eioldig6od079/-FJPG/232427-002_DET_8.jpg;https://dd3ka9h4chfr8.cloudfront.net/image/725136000567/image_tc1m54o3a14kva8un5bbfqfo65/-FJPG/232427-002_DET_9.jpg;https://dd3ka9h4chfr8.cloudfront.net/image/725136000567/image_1c3305e9ot3qn93ko48b262t7q/-FJPG/232427-002_PRM_2.jpg;https://dd3ka9h4chfr8.cloudfront.net/image/725136000567/image_9qdggf4n5903re0vnhohcuj45h/-FJPG/232427-002_FRT_2.jpg;https://dd3ka9h4chfr8.cloudfront.net/image/725136000567/image_op6kpknhm96s5bbr9v6q4vf019/-FJPG/232427-002_BCK_2.jpg;https://dd3ka9h4chfr8.cloudfront.net/image/725136000567/image_n8v99pb87p7j50tf4elka32p65/-FJPG/232427-002_ESS_2.jpg;https://dd3ka9h4chfr8.cloudfront.net/image/725136000567/image_hd0t1m5hhl6grbi8v98mdphm14/-FJPG/232427-002_SID_2.jpg</t>
  </si>
  <si>
    <t>Heirloom Black Old</t>
  </si>
  <si>
    <t>232427-002</t>
  </si>
  <si>
    <t>https://dd3ka9h4chfr8.cloudfront.net/image/725136000567/image_4kgjt7u01h7kn0r20druemo06r/-FJPG/232427-002_FRT_1.jpg</t>
  </si>
  <si>
    <t>{"value":125.66,"unit":"lb"}</t>
  </si>
  <si>
    <t>{"value":19.88,"unit":"in"}</t>
  </si>
  <si>
    <t>{"value":8.66,"unit":"in"}</t>
  </si>
  <si>
    <t>63.86"</t>
  </si>
  <si>
    <t>https://dd3ka9h4chfr8.cloudfront.net/image/725136000567/image_uepss38s91505bb8mebervhv38/-FJPG/232427-007_FRT_1.jpg;https://dd3ka9h4chfr8.cloudfront.net/image/725136000567/image_0nrd0bui59537616c9i9904j0p/-FJPG/232427-007_PRM_1.jpg;https://dd3ka9h4chfr8.cloudfront.net/image/725136000567/image_spue5eiheh76d41ehaokqqkj42/-FJPG/232427-007_SID_1.jpg;https://dd3ka9h4chfr8.cloudfront.net/image/725136000567/image_0ug91nj7111419g5nkv44mm84c/-FJPG/232427-007_DET_2.jpg;https://dd3ka9h4chfr8.cloudfront.net/image/725136000567/image_s617rj0n956fv85h4d9bj6pu13/-FJPG/Color Variance Card_Heirloom Sienna.png;https://dd3ka9h4chfr8.cloudfront.net/image/725136000567/image_ovgdld8go16fh6aj5bq1gnpu5m/-FJPG/232427-007_DET_1.jpg;https://dd3ka9h4chfr8.cloudfront.net/image/725136000567/image_8oohtugbil1f72f1pgdn82d63p/-FJPG/232427-007_DET_3.jpg;https://dd3ka9h4chfr8.cloudfront.net/image/725136000567/image_s8f4bomgot4ed7kriadughnk4n/-FJPG/232427-007_DET_4.jpg;https://dd3ka9h4chfr8.cloudfront.net/image/725136000567/image_68gtlukhuh51b198n948o4844u/-FJPG/232427-007_DET_5.jpg;https://dd3ka9h4chfr8.cloudfront.net/image/725136000567/image_jkbq0pnknt21l3iuialc5fe24n/-FJPG/232427-007_DET_6.jpg;https://dd3ka9h4chfr8.cloudfront.net/image/725136000567/image_nn1f87jr2h5956bop8dg0ka463/-FJPG/232427-007_DET_7.jpg;https://dd3ka9h4chfr8.cloudfront.net/image/725136000567/image_l0raj6f00h3ep6qj3o3i30vq00/-FJPG/232427-007_DET_8.jpg</t>
  </si>
  <si>
    <t>232427-007</t>
  </si>
  <si>
    <t>https://dd3ka9h4chfr8.cloudfront.net/image/725136000567/image_uepss38s91505bb8mebervhv38/-FJPG/232427-007_FRT_1.jpg</t>
  </si>
  <si>
    <t>Bold lines, a wide frame and heavy tufting speak to the Brazilian midcentury inspiration behind a bed of brown ash and top-grain leather. Sourced from one of the oldest family-owned tanneries in Italy's Bassano del Grappa, heirloom leather is salvaged and processed from upcycled hides featuring an abundance of natural markings, scars and color variations. The result? Beautifully supple, buttery soft hides with an unmatched depth of color and richness, and an authentic lived-in look.</t>
  </si>
  <si>
    <t>Sr/Slat</t>
  </si>
  <si>
    <t>https://dd3ka9h4chfr8.cloudfront.net/image/725136000567/image_8vk948g6292535qjbeh8qraf05/-FJPG/232427-008_FRT_1.jpg;https://dd3ka9h4chfr8.cloudfront.net/image/725136000567/image_5fe32rv1dh1p362a0ek91pge2i/-FJPG/232427-008_PRM_1.jpg;https://dd3ka9h4chfr8.cloudfront.net/image/725136000567/image_rsen32s8053ujda4p4u8ute477/-FJPG/232427-008_SID_1.jpg;https://dd3ka9h4chfr8.cloudfront.net/image/725136000567/image_l08sb075h94t972jtkflqb5i6n/-FJPG/232427-008_DET_2.jpg;https://dd3ka9h4chfr8.cloudfront.net/image/725136000567/image_hc8280om0547rf2apoagalu07n/-FJPG/232427-008_BCK_1.jpg;https://dd3ka9h4chfr8.cloudfront.net/image/725136000567/image_s617rj0n956fv85h4d9bj6pu13/-FJPG/Color Variance Card_Heirloom Sienna.png;https://dd3ka9h4chfr8.cloudfront.net/image/725136000567/image_2lr5sfps310pleko5t0985cl56/-FJPG/232427-008_DET_1.jpg;https://dd3ka9h4chfr8.cloudfront.net/image/725136000567/image_sv5ht5clph5nj9715m8ko4gm5n/-FJPG/232427-008_DET_3.jpg;https://dd3ka9h4chfr8.cloudfront.net/image/725136000567/image_r4o8sdjm2d7ed0kj9oh8909j3h/-FJPG/232427-008_DET_4.jpg;https://dd3ka9h4chfr8.cloudfront.net/image/725136000567/image_s6afmsemdt4sj2tc2cu9b8jn3l/-FJPG/232427-008_DET_5.jpg;https://dd3ka9h4chfr8.cloudfront.net/image/725136000567/image_0erdm6jufp1pf6bpaph9ic5030/-FJPG/232427-008_DET_6.jpg;https://dd3ka9h4chfr8.cloudfront.net/image/725136000567/image_npmckk2deh2q1d2sh7867pk61g/-FJPG/232427-008_DET_7.jpg;https://dd3ka9h4chfr8.cloudfront.net/image/725136000567/image_412p4f025143b28tlalligmm13/-FJPG/232427-008_DET_8.jpg</t>
  </si>
  <si>
    <t>232427-008</t>
  </si>
  <si>
    <t>https://dd3ka9h4chfr8.cloudfront.net/image/725136000567/image_8vk948g6292535qjbeh8qraf05/-FJPG/232427-008_FRT_1.jpg</t>
  </si>
  <si>
    <t>Halston Chair</t>
  </si>
  <si>
    <t>https://dd3ka9h4chfr8.cloudfront.net/image/725136000567/image_dmhmfucsnd2bj1mv10g7753p6p/-FJPG/229488-001_FRT_1.jpg;https://dd3ka9h4chfr8.cloudfront.net/image/725136000567/image_qb8kj8tgr95sl9or5tjuftgf39/-FJPG/229488-001_PRM_1.jpg;https://dd3ka9h4chfr8.cloudfront.net/image/725136000567/image_l2tp4q3nf51rjdifu8movfi916/-FJPG/229488-001_SID_1.jpg;https://dd3ka9h4chfr8.cloudfront.net/image/725136000567/image_j111p499rh7gj4ie9venv50d4d/-FJPG/229488-001_ESS_1.jpg;https://dd3ka9h4chfr8.cloudfront.net/image/725136000567/image_tjptjj1agh7n3a2auninqeru4r/-FJPG/229488-001_DET_2.jpg;https://dd3ka9h4chfr8.cloudfront.net/image/725136000567/image_ihaduovf0p43h4kee08o93kg08/-FJPG/229488-001_BCK_1.jpg;https://dd3ka9h4chfr8.cloudfront.net/image/725136000567/image_v7n93hi19509r70sco6asv036b/-FJPG/229488-001_DET_1.jpg;https://dd3ka9h4chfr8.cloudfront.net/image/725136000567/image_a8o91bn3ip4pta7t730fdt1m1o/-FJPG/229488-001_DET_3.jpg;https://dd3ka9h4chfr8.cloudfront.net/image/725136000567/image_iad9sbm37d0l9bbsrn44gjru3h/-FJPG/229488-001_DET_4.jpg;https://dd3ka9h4chfr8.cloudfront.net/image/725136000567/image_13ag1hlv2p4aj2g9ti44kr9b6u/-FJPG/229488-001_DET_5.jpg;https://dd3ka9h4chfr8.cloudfront.net/image/725136000567/image_ni52lte5ht14tfp93ok1i8881s/-FJPG/229488-001_DET_6.jpg</t>
  </si>
  <si>
    <t>229488-001</t>
  </si>
  <si>
    <t>44.09</t>
  </si>
  <si>
    <t>https://dd3ka9h4chfr8.cloudfront.net/image/725136000567/image_dmhmfucsnd2bj1mv10g7753p6p/-FJPG/229488-001_FRT_1.jpg</t>
  </si>
  <si>
    <t>A Seventies-era style inspired by a flea market find, a dramatically tufted sling seat of black top-grain leather angles at the just-right pitch for total comfort, with wide, brown ash framing. Sourced from one of the oldest family-owned tanneries in Italy's Bassano del Grappa, heirloom leather is salvaged and processed from upcycled hides featuring an abundance of natural markings, scars and color variations. The result? Beautifully supple, buttery soft hides with an unmatched depth of color and richness, and an authentic lived-in look.</t>
  </si>
  <si>
    <t>L Shape Box ,Complete Item</t>
  </si>
  <si>
    <t>https://dd3ka9h4chfr8.cloudfront.net/image/725136000567/image_t7s9v93qjd0e12ci5sgr047g51/-FJPG/229488-002_FRT_1.jpg;https://dd3ka9h4chfr8.cloudfront.net/image/725136000567/image_qvp5i90a9t6nna0u26jn72pj1s/-FJPG/229488-002_PRM_1.jpg;https://dd3ka9h4chfr8.cloudfront.net/image/725136000567/image_ca3jn1qr9l1n90jkrao39g1005/-FJPG/229488-002_SID_1.JPG;https://dd3ka9h4chfr8.cloudfront.net/image/725136000567/image_mh0e6mstdl47fdcnqiroakgk3t/-FJPG/229488-002_ESS_1.jpg;https://dd3ka9h4chfr8.cloudfront.net/image/725136000567/image_l0am57f70t6s516ede3rbgnu54/-FJPG/229488-002_DET_2.jpg;https://dd3ka9h4chfr8.cloudfront.net/image/725136000567/image_lii45naud97414s7nvpcad4n6v/-FJPG/229488-002_BCK_1.jpg;https://dd3ka9h4chfr8.cloudfront.net/image/725136000567/image_s617rj0n956fv85h4d9bj6pu13/-FJPG/Color Variance Card_Heirloom Sienna.png;https://dd3ka9h4chfr8.cloudfront.net/image/725136000567/image_046qqmnb013bd9cp6128dthc6k/-FJPG/229488-002_DET_1.jpg;https://dd3ka9h4chfr8.cloudfront.net/image/725136000567/image_e0cd0gb4k97pr16e9887ml8i63/-FJPG/229488-002_DET_3.jpg;https://dd3ka9h4chfr8.cloudfront.net/image/725136000567/image_fvsvujkfpd2799eotqlkmilq5j/-FJPG/229488-002_DET_4.jpg;https://dd3ka9h4chfr8.cloudfront.net/image/725136000567/image_doi042lgd55b3fsj36s3ecr92l/-FJPG/229488-002_DET_5.jpg;https://dd3ka9h4chfr8.cloudfront.net/image/725136000567/image_4qsicipgm100r8aphn8vqtsb0s/-FJPG/229488-002_DET_6.jpg</t>
  </si>
  <si>
    <t>229488-002</t>
  </si>
  <si>
    <t>https://dd3ka9h4chfr8.cloudfront.net/image/725136000567/image_t7s9v93qjd0e12ci5sgr047g51/-FJPG/229488-002_FRT_1.jpg</t>
  </si>
  <si>
    <t>A Seventies-era style inspired by a flea market find, a dramatically tufted sling seat of top-grain leather angles at the just-right pitch for total comfort, with wide, brown ash framing. Sourced from one of the oldest family-owned tanneries in Italy's Bassano del Grappa, heirloom leather is salvaged and processed from upcycled hides featuring an abundance of natural markings, scars and color variations. The result? Beautifully supple, buttery soft hides with an unmatched depth of color and richness, and an authentic lived-in look.</t>
  </si>
  <si>
    <t>https://dd3ka9h4chfr8.cloudfront.net/image/725136000567/image_qmk221ji3559l2k2o6oalvtb4g/-FJPG/229488-005_FRT_1.jpg;https://dd3ka9h4chfr8.cloudfront.net/image/725136000567/image_aned64h82d0er04hnlrcro6r4c/-FJPG/229488-005_PRM_1.jpg;https://dd3ka9h4chfr8.cloudfront.net/image/725136000567/image_rir8mtvje51r9237g9568d664m/-FJPG/229488-005_SID_1.jpg;https://dd3ka9h4chfr8.cloudfront.net/image/725136000567/image_8os625df8l06lcth3ihb25gk1r/-FJPG/229488-005_DET_2.jpg;https://dd3ka9h4chfr8.cloudfront.net/image/725136000567/image_3p0slqfr5d2vnb0b453siju50j/-FJPG/229488-005_BCK_1.jpg;https://dd3ka9h4chfr8.cloudfront.net/image/725136000567/image_q2ggoo4eqd7kj83d0mq31vk06s/-FJPG/229488-005_DET_1.jpg;https://dd3ka9h4chfr8.cloudfront.net/image/725136000567/image_utptkdt9u17jpe27929t2t0i1u/-FJPG/229488-005_DET_3.jpg;https://dd3ka9h4chfr8.cloudfront.net/image/725136000567/image_s6urr5kkd552l333l5ukl7tg7d/-FJPG/229488-005_DET_4.jpg;https://dd3ka9h4chfr8.cloudfront.net/image/725136000567/image_vblr4utb8d3e5dkh2bg763u569/-FJPG/229488-005_DET_5.jpg;https://dd3ka9h4chfr8.cloudfront.net/image/725136000567/image_vgik5tk2ld2ej9hmfg4n1mlo37/-FJPG/229488-005_DET_6.jpg;https://dd3ka9h4chfr8.cloudfront.net/image/725136000567/image_f55etmf1jt1onffi1cqc1pig2f/-FJPG/229488-005_DET_7.jpg</t>
  </si>
  <si>
    <t>229488-005</t>
  </si>
  <si>
    <t>https://dd3ka9h4chfr8.cloudfront.net/image/725136000567/image_qmk221ji3559l2k2o6oalvtb4g/-FJPG/229488-005_FRT_1.jpg</t>
  </si>
  <si>
    <t>Dramatically tufted and angled for comfort, this Seventies-inspired sling seat is made from thick-cut top-grain leather in an earthy taupe, with wide brown ash framing. A plump, pronounced grain accentuates leather's natural markings for a supple, lived-in look.</t>
  </si>
  <si>
    <t>Halston Chair With Ottoman</t>
  </si>
  <si>
    <t>https://dd3ka9h4chfr8.cloudfront.net/image/725136000567/image_4rodtcqp953ktfsl4177uuu06v/-FJPG/237803-003_FRT_1.jpg;https://dd3ka9h4chfr8.cloudfront.net/image/725136000567/image_c5n2efrkkd3jl2786m5arlef7m/-FJPG/237803-003_PRM_1.jpg;https://dd3ka9h4chfr8.cloudfront.net/image/725136000567/image_u47m1p4k2l3uf24518s87h5329/-FJPG/237803-003_SID_1.jpg;https://dd3ka9h4chfr8.cloudfront.net/image/725136000567/image_r10vro6nf95cr53nirvq1c706l/-FJPG/237803-003_ESS_1.jpg;https://dd3ka9h4chfr8.cloudfront.net/image/725136000567/image_0vc3ti5aj918t8gg6is59mjp51/-FJPG/237803-003_BCK_1.jpg;https://dd3ka9h4chfr8.cloudfront.net/image/725136000567/image_gfencvhh2l65leuuk36l9mc10l/-FJPG/237803-003_DET_1.jpg;https://dd3ka9h4chfr8.cloudfront.net/image/725136000567/image_joohm4h6il1ifedems5mpdg14o/-FJPG/237803-003_PRM_2.jpg</t>
  </si>
  <si>
    <t>237803-003</t>
  </si>
  <si>
    <t>65.25</t>
  </si>
  <si>
    <t>https://dd3ka9h4chfr8.cloudfront.net/image/725136000567/image_4rodtcqp953ktfsl4177uuu06v/-FJPG/237803-003_FRT_1.jpg</t>
  </si>
  <si>
    <t>57.75</t>
  </si>
  <si>
    <t>{"value":57.75,"unit":"in"}</t>
  </si>
  <si>
    <t>{"value":27.95,"unit":"in"}</t>
  </si>
  <si>
    <t>{"value":14.96,"unit":"in"}</t>
  </si>
  <si>
    <t>{"value":34.17,"unit":"lb"}</t>
  </si>
  <si>
    <t>https://dd3ka9h4chfr8.cloudfront.net/image/725136000567/image_fjobpgainl09b63krrah24jm54/-FJPG/237803-001_FRT_1.jpg;https://dd3ka9h4chfr8.cloudfront.net/image/725136000567/image_cn16i6p9v57hffc7g8favca868/-FJPG/237803-001_PRM_1.jpg;https://dd3ka9h4chfr8.cloudfront.net/image/725136000567/image_92325i5uj91vvejemevsfqsg31/-FJPG/237803-001_SID_1.jpg;https://dd3ka9h4chfr8.cloudfront.net/image/725136000567/image_jfav54h6e57918rsqoqai8hm62/-FJPG/237803-001_ESS_1.jpg;https://dd3ka9h4chfr8.cloudfront.net/image/725136000567/image_3q9fira92l7fh4hf8vf2bijm1c/-FJPG/237803-001_BCK_1.jpg;https://dd3ka9h4chfr8.cloudfront.net/image/725136000567/image_s617rj0n956fv85h4d9bj6pu13/-FJPG/Color Variance Card_Heirloom Sienna.png;https://dd3ka9h4chfr8.cloudfront.net/image/725136000567/image_v00v4bs1gl0cj52i4022dqls0f/-FJPG/237803-001_DET_1.jpg;https://dd3ka9h4chfr8.cloudfront.net/image/725136000567/image_doiltsboa525rc01rrjpjjut38/-FJPG/237803-001_PRM_2.jpg</t>
  </si>
  <si>
    <t>237803-001</t>
  </si>
  <si>
    <t>https://dd3ka9h4chfr8.cloudfront.net/image/725136000567/image_fjobpgainl09b63krrah24jm54/-FJPG/237803-001_FRT_1.jpg</t>
  </si>
  <si>
    <t>https://dd3ka9h4chfr8.cloudfront.net/image/725136000567/image_sspqjsa6551kj836bd1fu36c3e/-FJPG/237803-004_FRT_1.jpg;https://dd3ka9h4chfr8.cloudfront.net/image/725136000567/image_pc4ps8rsdp1g3859ck48rsot6g/-FJPG/237803-004_PRM_1.jpg;https://dd3ka9h4chfr8.cloudfront.net/image/725136000567/image_rohf3p0bfd75p9r266h98nmi2i/-FJPG/237803-004_SID_1.jpg;https://dd3ka9h4chfr8.cloudfront.net/image/725136000567/image_mn2l3b3kg93mb22mtar51e901h/-FJPG/237803-004_DET_2.jpg;https://dd3ka9h4chfr8.cloudfront.net/image/725136000567/image_ooch0rc3990rrdv1n2ub1p7d3r/-FJPG/237803-004_BCK_1.jpg;https://dd3ka9h4chfr8.cloudfront.net/image/725136000567/image_p16np0i8ll7il2v7jm1guk7m3n/-FJPG/237803-004_DET_1.jpg;https://dd3ka9h4chfr8.cloudfront.net/image/725136000567/image_r4n10rf8ql7llfcu75m10lgb12/-FJPG/237803-004_DET_3.jpg</t>
  </si>
  <si>
    <t>237803-004</t>
  </si>
  <si>
    <t>https://dd3ka9h4chfr8.cloudfront.net/image/725136000567/image_sspqjsa6551kj836bd1fu36c3e/-FJPG/237803-004_FRT_1.jpg</t>
  </si>
  <si>
    <t>Dramatically tufted and angled for comfort, this Seventies-inspired sling seat is made from thick-cut top-grain leather in an earthy taupe, with wide brown ash framing. A plump, pronounced grain accentuates leather's natural markings for a supple, lived-in look. Paired with a matching ottoman for a complete lounging experience.</t>
  </si>
  <si>
    <t>Halston Cocktail Ottoman</t>
  </si>
  <si>
    <t>https://dd3ka9h4chfr8.cloudfront.net/image/725136000567/image_3c4prk4lu15th33cuau3k94619/-FJPG/230750-001_FRT_1.jpg;https://dd3ka9h4chfr8.cloudfront.net/image/725136000567/image_vg61g5j8gp5qjcv7gv3btd501a/-FJPG/230750-001_PRM_1.jpg;https://dd3ka9h4chfr8.cloudfront.net/image/725136000567/image_nchn2cnms54ut5prob24u18200/-FJPG/230750-001_SID_1.jpg;https://dd3ka9h4chfr8.cloudfront.net/image/725136000567/image_7np5j7i7ql15n6atdkst61l306/-FJPG/230750-001_ESS_1.jpg;https://dd3ka9h4chfr8.cloudfront.net/image/725136000567/image_3267t8i79575nckb072r35qb4f/-FJPG/230750-001_DET_2.jpg;https://dd3ka9h4chfr8.cloudfront.net/image/725136000567/image_cejglikbcp6b521fmht8vv6t17/-FJPG/230750-001_DET_1.jpg;https://dd3ka9h4chfr8.cloudfront.net/image/725136000567/image_bck7h9mqpp7p381i4iurr7k70j/-FJPG/230750-001_DET_3.jpg;https://dd3ka9h4chfr8.cloudfront.net/image/725136000567/image_vmad9277817jf3v9rmst984054/-FJPG/230750-001_DET_4.jpg;https://dd3ka9h4chfr8.cloudfront.net/image/725136000567/image_097k4rheqt3qt5rjlf026si63n/-FJPG/230750-001_DET_5.jpg</t>
  </si>
  <si>
    <t>230750-001</t>
  </si>
  <si>
    <t>https://dd3ka9h4chfr8.cloudfront.net/image/725136000567/image_3c4prk4lu15th33cuau3k94619/-FJPG/230750-001_FRT_1.jpg</t>
  </si>
  <si>
    <t>50.25</t>
  </si>
  <si>
    <t>{"value":50.25,"unit":"in"}</t>
  </si>
  <si>
    <t>15.25</t>
  </si>
  <si>
    <t>A Seventies-era style inspired by a flea market find. Top-grain leather features dramatic tufting with sling detailing and wide ash framing below. Sourced from one of the oldest family-owned tanneries in Italy's Bassano del Grappa, heirloom leather is salvaged and processed from upcycled hides featuring an abundance of natural markings, scars and color variations. The result? Beautifully supple, buttery soft hides with an unmatched depth of color and richness, and an authentic lived-in look.</t>
  </si>
  <si>
    <t>https://dd3ka9h4chfr8.cloudfront.net/image/725136000567/image_97r2sdtq9t0hp03lc3b1mesg3l/-FJPG/230750-002_FRT_1.jpg;https://dd3ka9h4chfr8.cloudfront.net/image/725136000567/image_3l9iitkuc13a5f93qq9kihlv0f/-FJPG/230750-002_PRM_1.jpg;https://dd3ka9h4chfr8.cloudfront.net/image/725136000567/image_cq7e75j42d3cd4igbpuvjt2r08/-FJPG/230750-002_SID_1.jpg;https://dd3ka9h4chfr8.cloudfront.net/image/725136000567/image_38dmnpjks94uh56e3o9l6ae05t/-FJPG/230750-002_ESS_1.jpg;https://dd3ka9h4chfr8.cloudfront.net/image/725136000567/image_4fpf7ba4p51kl0cvgcifrddd00/-FJPG/230750-002_DET_2.jpg;https://dd3ka9h4chfr8.cloudfront.net/image/725136000567/image_s617rj0n956fv85h4d9bj6pu13/-FJPG/Color Variance Card_Heirloom Sienna.png;https://dd3ka9h4chfr8.cloudfront.net/image/725136000567/image_28t9ircmkd6obf0uqnlc04803k/-FJPG/230750-002_DET_1.jpg;https://dd3ka9h4chfr8.cloudfront.net/image/725136000567/image_fqpfota9ol217cdi64m7tlah23/-FJPG/230750-002_DET_3.jpg;https://dd3ka9h4chfr8.cloudfront.net/image/725136000567/image_k0bf74hhr51r59aos1fhnd404m/-FJPG/230750-002_DET_4.jpg;https://dd3ka9h4chfr8.cloudfront.net/image/725136000567/image_18fcmu3blh4eh5e3kq77euha2s/-FJPG/230750-002_DET_5.jpg</t>
  </si>
  <si>
    <t>230750-002</t>
  </si>
  <si>
    <t>https://dd3ka9h4chfr8.cloudfront.net/image/725136000567/image_97r2sdtq9t0hp03lc3b1mesg3l/-FJPG/230750-002_FRT_1.jpg</t>
  </si>
  <si>
    <t>https://dd3ka9h4chfr8.cloudfront.net/image/725136000567/image_7rf3fg4hn90vf0vrtk0gc31h1f/-FJPG/230750-006_FRT_1.jpg;https://dd3ka9h4chfr8.cloudfront.net/image/725136000567/image_rg03ohfc1136f0ckc7o6itpm2s/-FJPG/230750-006_PRM_1.jpg;https://dd3ka9h4chfr8.cloudfront.net/image/725136000567/image_9deksdvjvd7j3agds82o6kif5h/-FJPG/230750-006_SID_1.jpg;https://dd3ka9h4chfr8.cloudfront.net/image/725136000567/image_rul5oc9qkh5kj6j1fj1g2nuh6k/-FJPG/230750-006_DET_2.jpg;https://dd3ka9h4chfr8.cloudfront.net/image/725136000567/image_k5ha8a6d451ltar9jdu894q57i/-FJPG/230750-006_DET_1.jpg;https://dd3ka9h4chfr8.cloudfront.net/image/725136000567/image_mhhm9q6s6h119aua6b9k34i217/-FJPG/230750-006_DET_3.jpg;https://dd3ka9h4chfr8.cloudfront.net/image/725136000567/image_4q2abcpe517b3f404b6uo5893r/-FJPG/230750-006_DET_4.jpg;https://dd3ka9h4chfr8.cloudfront.net/image/725136000567/image_25gujpckhl7f7apskq5sno5f7v/-FJPG/230750-006_DET_5.jpg;https://dd3ka9h4chfr8.cloudfront.net/image/725136000567/image_1gh5vdjtvh56bfi6q3m29p2h3q/-FJPG/230750-006_DET_6.jpg;https://dd3ka9h4chfr8.cloudfront.net/image/725136000567/image_bsf78v13pt7s9e2mpcsfkql17h/-FJPG/230750-006_DET_7.jpg</t>
  </si>
  <si>
    <t>230750-006</t>
  </si>
  <si>
    <t>https://dd3ka9h4chfr8.cloudfront.net/image/725136000567/image_7rf3fg4hn90vf0vrtk0gc31h1f/-FJPG/230750-006_FRT_1.jpg</t>
  </si>
  <si>
    <t>Oversized cocktail ottoman topped in thick-cut top-grain leather in earthy taupe features dramatic tufting with sling detailing and a wide ash base.</t>
  </si>
  <si>
    <t>Halston Nightstand</t>
  </si>
  <si>
    <t>https://dd3ka9h4chfr8.cloudfront.net/image/725136000567/image_pbqhrfa1rl6ph7bb9m0hash82o/-FJPG/232430-001_FRT_1.jpg;https://dd3ka9h4chfr8.cloudfront.net/image/725136000567/image_e20ps7a7o100h9rt2ragnqkj3b/-FJPG/232430-001_PRM_1.jpg;https://dd3ka9h4chfr8.cloudfront.net/image/725136000567/image_0r7t3mb41p6t79t9f21uf1u65n/-FJPG/232430-001_SID_1.jpg;https://dd3ka9h4chfr8.cloudfront.net/image/725136000567/image_59tho89nod60d4aegppl5s1o0m/-FJPG/232430-001_ESS_1.jpg;https://dd3ka9h4chfr8.cloudfront.net/image/725136000567/image_9qlicjso6d0fv77ksnjsn4fq0d/-FJPG/232430-001_DET_2.jpg;https://dd3ka9h4chfr8.cloudfront.net/image/725136000567/image_c9mnj3giup4295vhocaalucp6i/-FJPG/232430-001_BCK_1.jpg;https://dd3ka9h4chfr8.cloudfront.net/image/725136000567/image_me0u38lpsh5ihapf8nhil4aq6j/-FJPG/232430-001_DET_1.jpg;https://dd3ka9h4chfr8.cloudfront.net/image/725136000567/image_k61l2v1n7h6ttam2fn7ivdqu6s/-FJPG/232430-001_DET_3.jpg;https://dd3ka9h4chfr8.cloudfront.net/image/725136000567/image_85snd5hvs91fp9ig8qqqt8d82b/-FJPG/232430-001_OPN_1.jpg;https://dd3ka9h4chfr8.cloudfront.net/image/725136000567/image_gvdi7bsea15a7d7c5670vf1q44/-FJPG/232430-001_TOP_1.jpg;https://dd3ka9h4chfr8.cloudfront.net/image/725136000567/image_ffe35b67dp4cj05fe656uc625j/-FJPG/232430-001_DET_4.jpg;https://dd3ka9h4chfr8.cloudfront.net/image/725136000567/image_bv2s9r8l3l44va00mq87kesp40/-FJPG/232430-001_DET_5.jpg</t>
  </si>
  <si>
    <t>232430-001</t>
  </si>
  <si>
    <t>https://dd3ka9h4chfr8.cloudfront.net/image/725136000567/image_pbqhrfa1rl6ph7bb9m0hash82o/-FJPG/232430-001_FRT_1.jpg</t>
  </si>
  <si>
    <t>Made from brown-finished ash with leather-wrapped hardware, wide scale and sculptural details reflect the Brazilian midcentury inspiration behind this dual-drawer nightstand.</t>
  </si>
  <si>
    <t>5.61"</t>
  </si>
  <si>
    <t>20.63"</t>
  </si>
  <si>
    <t>Halston Ottoman</t>
  </si>
  <si>
    <t>https://dd3ka9h4chfr8.cloudfront.net/image/725136000567/image_68co2m92o15o74h7mp306hga2a/-FJPG/230136-001_FRT_1.jpg;https://dd3ka9h4chfr8.cloudfront.net/image/725136000567/image_vqisa7ihjt4v1162gnge5pv94b/-FJPG/230136-001_PRM_1.jpg;https://dd3ka9h4chfr8.cloudfront.net/image/725136000567/image_ipd1ei1oih16b4kk2ob76mh724/-FJPG/230136-001_SID_1.jpg;https://dd3ka9h4chfr8.cloudfront.net/image/725136000567/image_dfdvrvg4nt1gb8a0j52jrvct6a/-FJPG/230136-001_ESS_1.jpg;https://dd3ka9h4chfr8.cloudfront.net/image/725136000567/image_p10borc4ll3qp09qsauqa5cr07/-FJPG/230136-001_DET_2.jpg;https://dd3ka9h4chfr8.cloudfront.net/image/725136000567/image_ds02pq2rrp1rb5lu19l81pke5i/-FJPG/230136-001_DET_1.jpg;https://dd3ka9h4chfr8.cloudfront.net/image/725136000567/image_t1bha4sobd5r1flfa7krppcn6p/-FJPG/230136-001_DET_3.jpg;https://dd3ka9h4chfr8.cloudfront.net/image/725136000567/image_cdj5p5k8115kh9vfha8f4g3v1u/-FJPG/230136-001_DET_4.JPG</t>
  </si>
  <si>
    <t>230136-001</t>
  </si>
  <si>
    <t>21.16</t>
  </si>
  <si>
    <t>https://dd3ka9h4chfr8.cloudfront.net/image/725136000567/image_68co2m92o15o74h7mp306hga2a/-FJPG/230136-001_FRT_1.jpg</t>
  </si>
  <si>
    <t>13.5</t>
  </si>
  <si>
    <t>{"value":13.5,"unit":"in"}</t>
  </si>
  <si>
    <t>https://dd3ka9h4chfr8.cloudfront.net/image/725136000567/image_dkfrjnhp2d5j5efs99l2kc312k/-FJPG/230136-002_FRT_1.jpg;https://dd3ka9h4chfr8.cloudfront.net/image/725136000567/image_6notbcjsih2u1av4kl0fblj65i/-FJPG/230136-002_PRM_1.jpg;https://dd3ka9h4chfr8.cloudfront.net/image/725136000567/image_etm32aja3p6751t8clnt5gqf69/-FJPG/230136-002_SID_1.jpg;https://dd3ka9h4chfr8.cloudfront.net/image/725136000567/image_pjdeoa1k9t3mj86p7hnogpu701/-FJPG/230136-002_DET_2.jpg;https://dd3ka9h4chfr8.cloudfront.net/image/725136000567/image_s617rj0n956fv85h4d9bj6pu13/-FJPG/Color Variance Card_Heirloom Sienna.png;https://dd3ka9h4chfr8.cloudfront.net/image/725136000567/image_lddm28gsfl067a37dre1u5j62b/-FJPG/230136-002_DET_1.jpg;https://dd3ka9h4chfr8.cloudfront.net/image/725136000567/image_8qqnatdl7l3658b76dlshe6808/-FJPG/230136-002_DET_3.jpg;https://dd3ka9h4chfr8.cloudfront.net/image/725136000567/image_d20auv77fh1ah25v4qqka93f7p/-FJPG/230136-002_DET_4.jpg;https://dd3ka9h4chfr8.cloudfront.net/image/725136000567/image_52caiprh097p79t6tr1biq4g0b/-FJPG/230136-002_PRM_2.jpg</t>
  </si>
  <si>
    <t>230136-002</t>
  </si>
  <si>
    <t>https://dd3ka9h4chfr8.cloudfront.net/image/725136000567/image_dkfrjnhp2d5j5efs99l2kc312k/-FJPG/230136-002_FRT_1.jpg</t>
  </si>
  <si>
    <t>https://dd3ka9h4chfr8.cloudfront.net/image/725136000567/image_igoenvpog905f8us4v9v7vpk7r/-FJPG/230136-006_FRT_1.jpg;https://dd3ka9h4chfr8.cloudfront.net/image/725136000567/image_3ja7an9s150cf637unai1rg90e/-FJPG/230136-006_PRM_1.jpg;https://dd3ka9h4chfr8.cloudfront.net/image/725136000567/image_1a4u6ikcu52jj8u55vaint3j20/-FJPG/230136-006_SID_1.jpg;https://dd3ka9h4chfr8.cloudfront.net/image/725136000567/image_72gtiqoq9t2kd3cds977jl471s/-FJPG/230136-006_DET_2.jpg;https://dd3ka9h4chfr8.cloudfront.net/image/725136000567/image_raftqsjdq946fab59v0sa6uc7v/-FJPG/230136-006_DET_1.jpg;https://dd3ka9h4chfr8.cloudfront.net/image/725136000567/image_0nl27isuop703fm5sgkh34oa02/-FJPG/230136-006_DET_3.jpg;https://dd3ka9h4chfr8.cloudfront.net/image/725136000567/image_7miemd1s6h4415pm8cjvkahg1m/-FJPG/230136-006_DET_4.jpg;https://dd3ka9h4chfr8.cloudfront.net/image/725136000567/image_1as9jafbdl573fpmkvm8ndr057/-FJPG/230136-006_DET_5.jpg;https://dd3ka9h4chfr8.cloudfront.net/image/725136000567/image_38s46ikdop07ldduc7op3ear4i/-FJPG/230136-006_DET_6.jpg</t>
  </si>
  <si>
    <t>230136-006</t>
  </si>
  <si>
    <t>https://dd3ka9h4chfr8.cloudfront.net/image/725136000567/image_igoenvpog905f8us4v9v7vpk7r/-FJPG/230136-006_FRT_1.jpg</t>
  </si>
  <si>
    <t>Top-grain leather in earthy taupe features dramatic tufting with sling detailing and a wide ash base.</t>
  </si>
  <si>
    <t>Hampton Slipcover Swivel Chair</t>
  </si>
  <si>
    <t>https://dd3ka9h4chfr8.cloudfront.net/image/725136000567/image_af351cr4355fven4nu9a75pb4i/-FJPG/237989-003_FRT_1.jpg;https://dd3ka9h4chfr8.cloudfront.net/image/725136000567/image_bsnrmnjokh7hp2g9co6qn9i27u/-FJPG/237989-003_PRM_1.jpg;https://dd3ka9h4chfr8.cloudfront.net/image/725136000567/image_ace3ds6t6d76n8gkeuiqbten5l/-FJPG/237989-003_SID_1.jpg;https://dd3ka9h4chfr8.cloudfront.net/image/725136000567/image_3h6p99vrj92jp6oq0h6pvnep3r/-FJPG/237989-003_ESS.tif;https://dd3ka9h4chfr8.cloudfront.net/image/725136000567/image_m34bgueho543lb56r5h9g7dq1n/-FJPG/237989-003_DET_2.jpg;https://dd3ka9h4chfr8.cloudfront.net/image/725136000567/image_301pcchijl3lbf4c4dv6jp7856/-FJPG/237989-003_BCK_1.jpg;https://dd3ka9h4chfr8.cloudfront.net/image/725136000567/image_8bdclpkpop11n4io44e7a22d11/-FJPG/237989-003_DET_3.jpg;https://dd3ka9h4chfr8.cloudfront.net/image/725136000567/image_d8bh4c0bfl3pn8s1oc52ip9l27/-FJPG/237989-003_TOP_1.jpg;https://dd3ka9h4chfr8.cloudfront.net/image/725136000567/image_r0ao23v02d4010jm614mt02j2e/-FJPG/237989-003_DET_4.jpg;https://dd3ka9h4chfr8.cloudfront.net/image/725136000567/image_ffa57ibh796c5cdj6hosl97s63/-FJPG/237989-003_DET_5.jpg;https://dd3ka9h4chfr8.cloudfront.net/image/725136000567/image_omhqgjrhlt1i38ofdnl8gibm6s/-FJPG/237989-003_DET_6.jpg</t>
  </si>
  <si>
    <t>237989-003</t>
  </si>
  <si>
    <t>https://dd3ka9h4chfr8.cloudfront.net/image/725136000567/image_af351cr4355fven4nu9a75pb4i/-FJPG/237989-003_FRT_1.jpg</t>
  </si>
  <si>
    <t>["39% Linen","35% Cotton","26% Polyester"]</t>
  </si>
  <si>
    <t>1 Swivel Chair</t>
  </si>
  <si>
    <t>{"value":113.32,"unit":"lb"}</t>
  </si>
  <si>
    <t>Hampton</t>
  </si>
  <si>
    <t>https://dd3ka9h4chfr8.cloudfront.net/image/725136000567/image_gf22mrapbd2ht030gr6n7ee573/-FJPG/237989-001_FRT_1.jpg;https://dd3ka9h4chfr8.cloudfront.net/image/725136000567/image_ith2q2fhnl2f38pt44ssb8g36k/-FJPG/237989-001_PRM_1.jpg;https://dd3ka9h4chfr8.cloudfront.net/image/725136000567/image_0u8cfhkeap1ad3lc4l49sv9403/-FJPG/237989-001_SID_1.jpg;https://dd3ka9h4chfr8.cloudfront.net/image/725136000567/image_5a3j3lm3g53n98roo9jm3m1o08/-FJPG/237989-001_ESS_1.jpg;https://dd3ka9h4chfr8.cloudfront.net/image/725136000567/image_i8in58nqnh3m1co8b1hd40lm2h/-FJPG/237989-001_DET_2.jpg;https://dd3ka9h4chfr8.cloudfront.net/image/725136000567/image_mhg3mhufo551befvsvt9uvtt0c/-FJPG/237989-001_BCK_1.jpg;https://dd3ka9h4chfr8.cloudfront.net/image/725136000567/image_kgvpntllvl4rv81ef2fba3mr5a/-FJPG/237989-001_INF_1.jpg;https://dd3ka9h4chfr8.cloudfront.net/image/725136000567/image_ut6kp081at36r5h2iml67m184l/-FJPG/237989-001_DET_1.jpg;https://dd3ka9h4chfr8.cloudfront.net/image/725136000567/image_5h4ib3r0hl48v3rcjjk0sa591n/-FJPG/237989-001_DET_3.jpg;https://dd3ka9h4chfr8.cloudfront.net/image/725136000567/image_c7mq1sk4gd3419rd8lkn0uj25i/-FJPG/237989-001_DET_4.jpg;https://dd3ka9h4chfr8.cloudfront.net/image/725136000567/image_1g250r0aql1155lgj1f0l4eu28/-FJPG/237989-001_DET_5.jpg;https://dd3ka9h4chfr8.cloudfront.net/image/725136000567/image_lgf8ceivit6vjbkt7rnadidn5t/-FJPG/237989-001_DET_6.jpg;https://dd3ka9h4chfr8.cloudfront.net/image/725136000567/image_bbismurhh11at761rqm806co6m/-FJPG/237989-001_DET_7.jpg;https://dd3ka9h4chfr8.cloudfront.net/image/725136000567/image_fpt1i5mbhh2s936e91qafakp61/-FJPG/FHMPRJ-007_SCENE_24B.tif</t>
  </si>
  <si>
    <t>237989-001</t>
  </si>
  <si>
    <t>https://dd3ka9h4chfr8.cloudfront.net/image/725136000567/image_gf22mrapbd2ht030gr6n7ee573/-FJPG/237989-001_FRT_1.jpg</t>
  </si>
  <si>
    <t>["51% Rayon","22% Linen","16% Polyester","11% Cotton"]</t>
  </si>
  <si>
    <t>Proudly built by American makers using US-sourced materials and mechanisms. This classic swivel chair features clean track arms, a high, supportive back, feather filling and a 360-degree swivel. Upholstered with a fully removable slipcover of PFAS-free performance fabric that can be dry-cleaned for easy care. Performance fabrics are specially created to withstand spills, stains, high traffic and wear, ensuring long-term comfort and unmatched durability. Crafted in the USA.</t>
  </si>
  <si>
    <t>Hampton Sofa-93"</t>
  </si>
  <si>
    <t>https://dd3ka9h4chfr8.cloudfront.net/image/725136000567/image_nhlcibpull0e34isa2eku6m265/-FJPG/237992-001_FRT_1.jpg;https://dd3ka9h4chfr8.cloudfront.net/image/725136000567/image_uocp0kgjhd60b1fdnpj4mha46r/-FJPG/237992-001_PRM_1.jpg;https://dd3ka9h4chfr8.cloudfront.net/image/725136000567/image_atsg5qoanh7m5am16qr4i5m52f/-FJPG/237992-001_SID_1.jpg;https://dd3ka9h4chfr8.cloudfront.net/image/725136000567/image_mu7bseaaf93uh7b7ajrl7k9l46/-FJPG/237992-001_ESS_1.jpg;https://dd3ka9h4chfr8.cloudfront.net/image/725136000567/image_c3cd3ro9t13kl1228evdb1i30h/-FJPG/237992-001_DET_2.jpg;https://dd3ka9h4chfr8.cloudfront.net/image/725136000567/image_fmecivjutl6lr6cmu34ogbsb1e/-FJPG/237992-001_BCK_1.jpg;https://dd3ka9h4chfr8.cloudfront.net/image/725136000567/image_v7d3q3sglt01b5vlvk1r3bp94a/-FJPG/237992-001_INF_1.jpg;https://dd3ka9h4chfr8.cloudfront.net/image/725136000567/image_beqgnsnc1t33n7clm7kof6nh6q/-FJPG/237992-001_DET_1.jpg;https://dd3ka9h4chfr8.cloudfront.net/image/725136000567/image_23fckue38h6m1c8o3flrtd4662/-FJPG/237992-001_DET_3.jpg;https://dd3ka9h4chfr8.cloudfront.net/image/725136000567/image_0r2qh0qts10eraf1m43iftep53/-FJPG/237992-001_DET_4.jpg;https://dd3ka9h4chfr8.cloudfront.net/image/725136000567/image_uu4a2b7mfd26reqk0cves06d63/-FJPG/237992-001_DET_5.jpg;https://dd3ka9h4chfr8.cloudfront.net/image/725136000567/image_cihvl85qih6cjd2ophrrvik11r/-FJPG/237992-001_DET_6.jpg;https://dd3ka9h4chfr8.cloudfront.net/image/725136000567/image_s3ms8r8ldp06lcmsgoul0j3m5t/-FJPG/237992-001_DET_7.jpg;https://dd3ka9h4chfr8.cloudfront.net/image/725136000567/image_uq46m29l6h5md32pth5mi4gk41/-FJPG/237992-001_DET_8.jpg;https://dd3ka9h4chfr8.cloudfront.net/image/725136000567/image_jac3k9nsv56pvfpg202t9pov57/-FJPG/237992-001_DET_9.jpg;https://dd3ka9h4chfr8.cloudfront.net/image/725136000567/image_ool0s45hq963h6liutn96nfc44/-FJPG/237992-001_DET_10.jpg</t>
  </si>
  <si>
    <t>Delta Sand</t>
  </si>
  <si>
    <t>237992-001</t>
  </si>
  <si>
    <t>140</t>
  </si>
  <si>
    <t>https://dd3ka9h4chfr8.cloudfront.net/image/725136000567/image_nhlcibpull0e34isa2eku6m265/-FJPG/237992-001_FRT_1.jpg</t>
  </si>
  <si>
    <t>["97.42% Olefin 2.58% Polyester","Solid Parawood"]</t>
  </si>
  <si>
    <t>92.5</t>
  </si>
  <si>
    <t>Proudly built by American makers using US-sourced materials and mechanisms. This sofa features clean track arms and PFAS-free performance fabric, with feather filling for a plush sit. Performance fabrics are specially created to withstand spills, stains, high traffic and wear, ensuring long-term comfort and unmatched durability. Crafted in the USA.</t>
  </si>
  <si>
    <t>1 Sofa</t>
  </si>
  <si>
    <t>{"value":167.99,"unit":"lb"}</t>
  </si>
  <si>
    <t>84.75"</t>
  </si>
  <si>
    <t>Hampton Swivel Chair</t>
  </si>
  <si>
    <t>https://dd3ka9h4chfr8.cloudfront.net/image/725136000567/image_fi7nmhk8nd6hl4o998n9pc7o28/-FJPG/237988-001_FRT_1.jpg;https://dd3ka9h4chfr8.cloudfront.net/image/725136000567/image_plg7n0fpdl6qv0tkjpshdr9263/-FJPG/237988-001_PRM_1.jpg;https://dd3ka9h4chfr8.cloudfront.net/image/725136000567/image_f9n28vudkh4rpes46mcb9qf71u/-FJPG/237988-001_SID_1.jpg;https://dd3ka9h4chfr8.cloudfront.net/image/725136000567/image_iq98nd661p1oj97r2suru7l40n/-FJPG/237988-001_ESS_1.jpg;https://dd3ka9h4chfr8.cloudfront.net/image/725136000567/image_7bl4976idh76pclc145cb3cj4g/-FJPG/237988-001_DET_2.jpg;https://dd3ka9h4chfr8.cloudfront.net/image/725136000567/image_g81sa0goal6qh61g4n9sufbv73/-FJPG/237988-001_BCK_1.jpg;https://dd3ka9h4chfr8.cloudfront.net/image/725136000567/image_vl08gpm5cd3g57g4obckvr1e17/-FJPG/237988-001_INF_1.jpg;https://dd3ka9h4chfr8.cloudfront.net/image/725136000567/image_iqj801la3l5vp073k8s47ln725/-FJPG/237988-001_DET_1.jpg;https://dd3ka9h4chfr8.cloudfront.net/image/725136000567/image_3g9tefimad12p0htve3ss78c54/-FJPG/237988-001_DET_3.jpg;https://dd3ka9h4chfr8.cloudfront.net/image/725136000567/image_e178pda9ap2kvenp6r80nqid3g/-FJPG/237988-001_TOP_1.jpg;https://dd3ka9h4chfr8.cloudfront.net/image/725136000567/image_j2irpg3qs57b3csvvhttk5e15f/-FJPG/237988-001_DET_4.jpg;https://dd3ka9h4chfr8.cloudfront.net/image/725136000567/image_2qs7rlqm0d6fvdvidks623qk47/-FJPG/237988-001_DET_5.jpg;https://dd3ka9h4chfr8.cloudfront.net/image/725136000567/image_n2o9pkqqsh3ph3ch96gt0s1i70/-FJPG/237988-001_DET_6.jpg;https://dd3ka9h4chfr8.cloudfront.net/image/725136000567/image_h6unc01v7521lcdnsmrctaua3b/-FJPG/237988-001_DET_7.jpg</t>
  </si>
  <si>
    <t>237988-001</t>
  </si>
  <si>
    <t>https://dd3ka9h4chfr8.cloudfront.net/image/725136000567/image_fi7nmhk8nd6hl4o998n9pc7o28/-FJPG/237988-001_FRT_1.jpg</t>
  </si>
  <si>
    <t>["97.42% Olefin 2.58% Polyester"]</t>
  </si>
  <si>
    <t>Proudly built by American makers using US-sourced materials and mechanisms. This classic swivel chair features clean track arms, PFAS-free performance fabric, feather filling and a 360-degree swivel for comfort and functionality.  Performance fabrics are specially created to withstand spills, stains, high traffic and wear, ensuring long-term comfort and unmatched durability. Crafted in the USA.</t>
  </si>
  <si>
    <t>Harper Extension Dining Table</t>
  </si>
  <si>
    <t>https://dd3ka9h4chfr8.cloudfront.net/image/725136000567/image_833f6puecl1qbcu79sajmdqb1v/-FJPG/221246-005_FRT_1.jpg;https://dd3ka9h4chfr8.cloudfront.net/image/725136000567/image_nh1ml6hgg91pda65hre9db9n71/-FJPG/221246-005_PRM_1.jpg;https://dd3ka9h4chfr8.cloudfront.net/image/725136000567/image_ab13j74kp54jl024k4o9mukj0o/-FJPG/221246-005_SID_1.jpg;https://dd3ka9h4chfr8.cloudfront.net/image/725136000567/image_omj8l4ev8h30n46s90qdsdcn5r/-FJPG/221246-005_DET_2.jpg;https://dd3ka9h4chfr8.cloudfront.net/image/725136000567/image_co37nai5ll6gr4l5ai896hrl4u/-FJPG/221246-005_DET_1.jpg;https://dd3ka9h4chfr8.cloudfront.net/image/725136000567/image_ntt9p8t6t53ple4omdiuqhac5r/-FJPG/221246-005_DET_3.jpg;https://dd3ka9h4chfr8.cloudfront.net/image/725136000567/image_10vgh4gu0l7d1310lq761cbp1t/-FJPG/221246-005_OPN_1.jpg;https://dd3ka9h4chfr8.cloudfront.net/image/725136000567/image_nlbtvsh6oh2j5bb71imv60qf5m/-FJPG/221246-005_TOP_1.jpg;https://dd3ka9h4chfr8.cloudfront.net/image/725136000567/image_84huna2mfd7pp7f746r958rk0n/-FJPG/221246-005_DET_4.jpg;https://dd3ka9h4chfr8.cloudfront.net/image/725136000567/image_kanve0eni96c13a1nl9qtrku35/-FJPG/221246-005_DET_5.jpg;https://dd3ka9h4chfr8.cloudfront.net/image/725136000567/image_e70v5oee6t4v34dfht5223da1u/-FJPG/221246-005_DET_6.jpg;https://dd3ka9h4chfr8.cloudfront.net/image/725136000567/image_ev8g9emoed0k18v1il87l5e96v/-FJPG/221246-005_DET_7.jpg;https://dd3ka9h4chfr8.cloudfront.net/image/725136000567/image_ha0me3q48d2b3248n897lj597q/-FJPG/221246-005_PRM_2.jpg</t>
  </si>
  <si>
    <t>Fawn Oak Veneer</t>
  </si>
  <si>
    <t>221246-005</t>
  </si>
  <si>
    <t>162.04</t>
  </si>
  <si>
    <t>https://dd3ka9h4chfr8.cloudfront.net/image/725136000567/image_833f6puecl1qbcu79sajmdqb1v/-FJPG/221246-005_FRT_1.jpg</t>
  </si>
  <si>
    <t>Patten</t>
  </si>
  <si>
    <t>Umber Bronze</t>
  </si>
  <si>
    <t>Style with flexibility. This rectangular tabletop is finished with cone-tapered legs and iron detailing, speaking to Scandinavian modernism. Expansion from 84" to 104" means more space when company calls.</t>
  </si>
  <si>
    <t>{"value":43.11,"unit":"in"}</t>
  </si>
  <si>
    <t>{"value":187.39,"unit":"lb"}</t>
  </si>
  <si>
    <t>Harper</t>
  </si>
  <si>
    <t>27.80"</t>
  </si>
  <si>
    <t>75.24"</t>
  </si>
  <si>
    <t>3.17"</t>
  </si>
  <si>
    <t>104.02"</t>
  </si>
  <si>
    <t>84.02"</t>
  </si>
  <si>
    <t>Metal Ball Bearing</t>
  </si>
  <si>
    <t>https://dd3ka9h4chfr8.cloudfront.net/image/725136000567/image_vb7c7tvls16st9on6bldq4j34m/-FJPG/VPTN-117_FRT_1.jpg;https://dd3ka9h4chfr8.cloudfront.net/image/725136000567/image_tgtb1gdrc50i3ah7atbs22t56s/-FJPG/VPTN-117_PRM_1.jpg;https://dd3ka9h4chfr8.cloudfront.net/image/725136000567/image_7o813erhft1798rsrmjof0id1u/-FJPG/VPTN-117_SID_1.jpg;https://dd3ka9h4chfr8.cloudfront.net/image/725136000567/image_c1aqk7vnip2r368df819kbn71c/-FJPG/VPTN-117_ESS_1.jpg;https://dd3ka9h4chfr8.cloudfront.net/image/725136000567/image_dodg3g6njd6k950a2j1ab7sb6j/-FJPG/VPTN-117_DET_2.jpg;https://dd3ka9h4chfr8.cloudfront.net/image/725136000567/image_uinokci5dd7of1gqg282ogip3s/-FJPG/VPTN-117_DET_1.jpg;https://dd3ka9h4chfr8.cloudfront.net/image/725136000567/image_kbltos9t391ad7fqda8gfcvt11/-FJPG/VPTN-117_DET_3.jpg;https://dd3ka9h4chfr8.cloudfront.net/image/725136000567/image_6rr35k9prh4438hc3ulmp8u41g/-FJPG/VPTN-117_DET_4.jpg;https://dd3ka9h4chfr8.cloudfront.net/image/725136000567/image_57m2vf1k3930ddgpg6q2spsd0u/-FJPG/VPTN-117_DET_5.jpg;https://dd3ka9h4chfr8.cloudfront.net/image/725136000567/image_8eqj1bm82t20lbt1mkmud38e0j/-FJPG/VPTN-117_DET_6.jpg;https://dd3ka9h4chfr8.cloudfront.net/image/725136000567/image_vpsdu297r15hvemqkq3tdar20a/-FJPG/VPTN-117_PRM_2.jpg;https://dd3ka9h4chfr8.cloudfront.net/image/725136000567/image_qeqo2npor51d5a9tdgbu4r8d4j/-FJPG/VPTN-117_ESS_2.jpg</t>
  </si>
  <si>
    <t>Toasted Walnut</t>
  </si>
  <si>
    <t>VPTN-117</t>
  </si>
  <si>
    <t>131.17</t>
  </si>
  <si>
    <t>https://dd3ka9h4chfr8.cloudfront.net/image/725136000567/image_vb7c7tvls16st9on6bldq4j34m/-FJPG/VPTN-117_FRT_1.jpg</t>
  </si>
  <si>
    <t>["Acacia Veneer","Solid Acacia","Iron"]</t>
  </si>
  <si>
    <t>Toasted Walnut Solid</t>
  </si>
  <si>
    <t>Style with flexibility. Finished in a warm toasted walnut, a rectangular acacia tabletop, cone-tapered legs and iron detailing speak to Scandinavian modernism. Expansion from 84" to 104" means more space when company calls.</t>
  </si>
  <si>
    <t>Harrison Chair</t>
  </si>
  <si>
    <t>https://dd3ka9h4chfr8.cloudfront.net/image/725136000567/image_ta2h27tt5p16317bt47jg02440/-FJPG/224514-003_FRT_1.jpg;https://dd3ka9h4chfr8.cloudfront.net/image/725136000567/image_rnvhe7iakh6f125pdrdqf5bq7o/-FJPG/224514-003_PRM_1.jpg;https://dd3ka9h4chfr8.cloudfront.net/image/725136000567/image_8adkjrk4d15lj0ejddg16p4u17/-FJPG/224514-003_SID_1.jpg;https://dd3ka9h4chfr8.cloudfront.net/image/725136000567/image_7iu3nemkut0gr5beq9sgj5hl3e/-FJPG/224514-003_ESS_1.jpg;https://dd3ka9h4chfr8.cloudfront.net/image/725136000567/image_fdjm56851l5ej0k3p5m93dif3q/-FJPG/224514-003_DET_2.jpg;https://dd3ka9h4chfr8.cloudfront.net/image/725136000567/image_2n2ebdh4th3cneae4jeu8aqs6d/-FJPG/224514-003_BCK_1.jpg;https://dd3ka9h4chfr8.cloudfront.net/image/725136000567/image_a41b8boj4d2iledhari2t4k517/-FJPG/224514-003_DET_1.jpg;https://dd3ka9h4chfr8.cloudfront.net/image/725136000567/image_b3mol9kpqp4td061094lslar5r/-FJPG/224514-003_DET_3.jpg;https://dd3ka9h4chfr8.cloudfront.net/image/725136000567/image_jc4hfvqid10hj15krqlddt0p65/-FJPG/224514-003_DET_4.jpg;https://dd3ka9h4chfr8.cloudfront.net/image/725136000567/image_lddvbd6l3t6a53f7s6vadhmr1d/-FJPG/224514-003_DET_5.jpg;https://dd3ka9h4chfr8.cloudfront.net/image/725136000567/image_usqjbjpa055u9agfd32aj7su27/-FJPG/224514-003_DET_6.jpg</t>
  </si>
  <si>
    <t>224514-003</t>
  </si>
  <si>
    <t>https://dd3ka9h4chfr8.cloudfront.net/image/725136000567/image_ta2h27tt5p16317bt47jg02440/-FJPG/224514-003_FRT_1.jpg</t>
  </si>
  <si>
    <t>["70% Polyester","20% Viscose (Rayon)","10% Flax/Linen","Solid Parawood","Stainless Steel"]</t>
  </si>
  <si>
    <t>Sable Parawood</t>
  </si>
  <si>
    <t>Brushed Silver</t>
  </si>
  <si>
    <t>Details make the chair. With poly-blend performance fabric that wraps each arm, faux toggles add an element of interest to midcentury-inspired seating in a wheat hue, with softly sculpted parawood framing carrying out a beautiful neutral look.</t>
  </si>
  <si>
    <t>{"value":37.6,"unit":"in"}</t>
  </si>
  <si>
    <t>{"value":52.25,"unit":"lb"}</t>
  </si>
  <si>
    <t>9.65"</t>
  </si>
  <si>
    <t>50% Polyurethane Foam</t>
  </si>
  <si>
    <t xml:space="preserve"> 35% Fiber</t>
  </si>
  <si>
    <t xml:space="preserve"> 15% Waterfowl Feather</t>
  </si>
  <si>
    <t>["1"]</t>
  </si>
  <si>
    <t>Harrison</t>
  </si>
  <si>
    <t>{"value":Harrison,"unit":"lb"}</t>
  </si>
  <si>
    <t>6.10"</t>
  </si>
  <si>
    <t>4.76"</t>
  </si>
  <si>
    <t>60% Polyurethane Foam, 40% Fiber</t>
  </si>
  <si>
    <t>https://dd3ka9h4chfr8.cloudfront.net/image/725136000567/image_4cpefo85h91spapieh5b75j26d/-FJPG/224514-005_FRT_1.jpg;https://dd3ka9h4chfr8.cloudfront.net/image/725136000567/image_stqgvtpd716ibbn7opa47jnq5h/-FJPG/224514-005_PRM_1.jpg;https://dd3ka9h4chfr8.cloudfront.net/image/725136000567/image_sdiv3rpdi54qff5oek5tsvtf76/-FJPG/224514-005_SID_1.jpg;https://dd3ka9h4chfr8.cloudfront.net/image/725136000567/image_kgut9quon934f3i349t5mp7511/-FJPG/224514-005_DET_2.jpg;https://dd3ka9h4chfr8.cloudfront.net/image/725136000567/image_0pmbg6s4h53s18g5upiijkni74/-FJPG/224514-005_BCK_1.jpg;https://dd3ka9h4chfr8.cloudfront.net/image/725136000567/image_ou0vek1e394qbeefpfal3hm44j/-FJPG/224514-005_DET_1.jpg;https://dd3ka9h4chfr8.cloudfront.net/image/725136000567/image_1jcqbree9p177cn24ch405rr6c/-FJPG/224514-005_DET_3.jpg;https://dd3ka9h4chfr8.cloudfront.net/image/725136000567/image_m6ocip9b991np3uv1i9oqead2n/-FJPG/224514-005_DET_4.jpg;https://dd3ka9h4chfr8.cloudfront.net/image/725136000567/image_84a5o14ict0vtf694vdcq0be77/-FJPG/224514-005_DET_5.jpg;https://dd3ka9h4chfr8.cloudfront.net/image/725136000567/image_6f0ivh9k810gj28ni7ku3kg260/-FJPG/224514-005_DET_6.jpg;https://dd3ka9h4chfr8.cloudfront.net/image/725136000567/image_rdighevk9l7818t99m43m2t77u/-FJPG/224514-005_ROM_1.jpg</t>
  </si>
  <si>
    <t>224514-005</t>
  </si>
  <si>
    <t>https://dd3ka9h4chfr8.cloudfront.net/image/725136000567/image_4cpefo85h91spapieh5b75j26d/-FJPG/224514-005_FRT_1.jpg</t>
  </si>
  <si>
    <t>["Top Grain Leather","Solid Parawood","Stainless Steel"]</t>
  </si>
  <si>
    <t>Details make the chair. With plump top-grain leather wrapping each arm, faux toggles add an element of interest to luxuriously comfortable mid-century-inspired seating. Softly sculpted parawood framing carries out a beautifully neutral look.</t>
  </si>
  <si>
    <t>https://dd3ka9h4chfr8.cloudfront.net/image/725136000567/image_109cdthfep5ct4ip44ft25qg2f/-FJPG/224514-002_FRT_1.jpg;https://dd3ka9h4chfr8.cloudfront.net/image/725136000567/image_88rfgh12gl6nl5kgkk3rg7db4s/-FJPG/224514-002_PRM_1.jpg;https://dd3ka9h4chfr8.cloudfront.net/image/725136000567/image_t5oqk2hqrl4151rqicstslmt37/-FJPG/224514-002_SID_1.jpg;https://dd3ka9h4chfr8.cloudfront.net/image/725136000567/image_n8tfa8bbgd7f5c8k3rgbo2e01f/-FJPG/224514-002_ESS_1.jpg;https://dd3ka9h4chfr8.cloudfront.net/image/725136000567/image_jo2bf8dgvh5nd9595v7n796t67/-FJPG/224514-002_DET_2.jpg;https://dd3ka9h4chfr8.cloudfront.net/image/725136000567/image_nsphk96m090alegu2bcq6tlv5k/-FJPG/224514-002_BCK_1.jpg;https://dd3ka9h4chfr8.cloudfront.net/image/725136000567/image_22nt0vevft6glevqago8rtgm0j/-FJPG/224514-002_DET_1.jpg;https://dd3ka9h4chfr8.cloudfront.net/image/725136000567/image_v8vo1mob6h6g99d4f4fiirmu75/-FJPG/224514-002_DET_3.jpg;https://dd3ka9h4chfr8.cloudfront.net/image/725136000567/image_9d6vq03k9l2epc3kn8jl10il0a/-FJPG/224514-002_DET_4.jpg;https://dd3ka9h4chfr8.cloudfront.net/image/725136000567/image_8kgsiqt9jh7p91fisv4vha283s/-FJPG/224514-002_DET_5.jpg;https://dd3ka9h4chfr8.cloudfront.net/image/725136000567/image_9l55v4tbe526na5di6odvdnf2m/-FJPG/224514-002_DET_6.jpg;https://dd3ka9h4chfr8.cloudfront.net/image/725136000567/image_o78bgf6ko173v0ck7avjlmv64q/-FJPG/224514-002_DET_7.jpg;https://dd3ka9h4chfr8.cloudfront.net/image/725136000567/image_h3r2qoell16vla9i95p3oc9649/-FJPG/224514-002_PRM_2.JPG</t>
  </si>
  <si>
    <t>Villa Olive</t>
  </si>
  <si>
    <t>224514-002</t>
  </si>
  <si>
    <t>https://dd3ka9h4chfr8.cloudfront.net/image/725136000567/image_109cdthfep5ct4ip44ft25qg2f/-FJPG/224514-002_FRT_1.jpg</t>
  </si>
  <si>
    <t>["62% Cotton","20% Flax/Linen","18% Viscose (Rayon)","Solid Parawood","Stainless Steel"]</t>
  </si>
  <si>
    <t>Burnished Parawood</t>
  </si>
  <si>
    <t>Details make the chair. With plush cotton-blend upholstery that wraps each arm, faux toggles add an element of interest to luxuriously comfortable mid-century-inspired seating in a light olive hue, with softly sculpted parawood framing carrying out a beautifully neutral look.</t>
  </si>
  <si>
    <t>Hartley Chair</t>
  </si>
  <si>
    <t>https://dd3ka9h4chfr8.cloudfront.net/image/725136000567/image_uensjcqui12r962lkg7shjgj1u/-FJPG/237027-003_FRT_1.jpg;https://dd3ka9h4chfr8.cloudfront.net/image/725136000567/image_o02r0ivto95nhd5ka2fmp4go2k/-FJPG/237027-003_PRM_1.jpg;https://dd3ka9h4chfr8.cloudfront.net/image/725136000567/image_22qlpafa8h59vf01j5at4ql12a/-FJPG/237027-003_SID_1.jpg;https://dd3ka9h4chfr8.cloudfront.net/image/725136000567/image_3iv84q5p0d7hf6kb1tvgotqr1o/-FJPG/237027-003_DET_2.jpg;https://dd3ka9h4chfr8.cloudfront.net/image/725136000567/image_ogvfb1v6353771kaoprckqqo3p/-FJPG/237027-003_BCK_1.jpg;https://dd3ka9h4chfr8.cloudfront.net/image/725136000567/image_tnhs3na9l552d3685glqq4jk0i/-FJPG/237027-003_DET_1.jpg;https://dd3ka9h4chfr8.cloudfront.net/image/725136000567/image_3gj99992dl1sh6ubetipfa9679/-FJPG/237027-003_DET_3.jpg;https://dd3ka9h4chfr8.cloudfront.net/image/725136000567/image_6vr804112h6i379fmmk64cnh41/-FJPG/237027-003_DET_4.jpg;https://dd3ka9h4chfr8.cloudfront.net/image/725136000567/image_dfa1pab39p65hep51rdidnc14f/-FJPG/237027-003_DET_5.jpg</t>
  </si>
  <si>
    <t>237027-003</t>
  </si>
  <si>
    <t>https://dd3ka9h4chfr8.cloudfront.net/image/725136000567/image_uensjcqui12r962lkg7shjgj1u/-FJPG/237027-003_FRT_1.jpg</t>
  </si>
  <si>
    <t>A true showstopper. A fully upholstered outer frame cradles this classic chair upholstered in a velvety olive fabric.</t>
  </si>
  <si>
    <t>{"value":39.76,"unit":"in"}</t>
  </si>
  <si>
    <t>{"value":111.33,"unit":"lb"}</t>
  </si>
  <si>
    <t>Hartley</t>
  </si>
  <si>
    <t>Hatch Sideboard</t>
  </si>
  <si>
    <t>https://dd3ka9h4chfr8.cloudfront.net/image/725136000567/image_ueald51i1p2fl5t5qq4uvdqb7p/-FJPG/230723-004_FRT_1.jpg;https://dd3ka9h4chfr8.cloudfront.net/image/725136000567/image_rjusc11ca92k592brdm7ibch21/-FJPG/230723-004_PRM_1.jpg;https://dd3ka9h4chfr8.cloudfront.net/image/725136000567/image_itcugb722d593e0cr4bbvilg6o/-FJPG/230723-004_SID_1.jpg;https://dd3ka9h4chfr8.cloudfront.net/image/725136000567/image_1sheefloal27b99n1rta6apj3i/-FJPG/230723-004_ESS.tif;https://dd3ka9h4chfr8.cloudfront.net/image/725136000567/image_ib7nq775093qfef2esp8i7f808/-FJPG/230723-004_DET_2.jpg;https://dd3ka9h4chfr8.cloudfront.net/image/725136000567/image_va0oslkgtt5f31e3iqupdtqp1c/-FJPG/230723-004_BCK_1.jpg;https://dd3ka9h4chfr8.cloudfront.net/image/725136000567/image_9o3d1qb1792tl8k0k61vluj11b/-FJPG/230723-004_INF_1.jpg;https://dd3ka9h4chfr8.cloudfront.net/image/725136000567/image_lgg3antkvp78dbj5fr57r4dp4a/-FJPG/230723-004_DET_1.jpg;https://dd3ka9h4chfr8.cloudfront.net/image/725136000567/image_fmusbhgjmt6a53ddcqd0vrpd35/-FJPG/230723-004_DET_3.jpg;https://dd3ka9h4chfr8.cloudfront.net/image/725136000567/image_p4obm78q7t7rhdrqm94vki0r56/-FJPG/230723-004_OPN_1.jpg;https://dd3ka9h4chfr8.cloudfront.net/image/725136000567/image_c8ju4lk7h96t795n7r12skr33m/-FJPG/230723-004_DET_4.jpg;https://dd3ka9h4chfr8.cloudfront.net/image/725136000567/image_jgeud8oish5mf5m563ue0v257j/-FJPG/230723-004_DET_5.jpg;https://dd3ka9h4chfr8.cloudfront.net/image/725136000567/image_gdr55f4ha5249a6mosn71fl17i/-FJPG/230723-004_DET_6.jpg;https://dd3ka9h4chfr8.cloudfront.net/image/725136000567/image_6lgvtbse2t2fddgphcf4fnp925/-FJPG/230723-004_DET_7.jpg;https://dd3ka9h4chfr8.cloudfront.net/image/725136000567/image_4uks11d5jd6flepnb55jmqct50/-FJPG/230723-004_DET_8.jpg;https://dd3ka9h4chfr8.cloudfront.net/image/725136000567/image_pghvjdjedd0517pmt7n83qev1k/-FJPG/230723-004_DET_9.jpg;https://dd3ka9h4chfr8.cloudfront.net/image/725136000567/image_hl5fe7l1412qp6l6hmllnatj1g/-FJPG/230723-004_OPN_2.jpg</t>
  </si>
  <si>
    <t>Natural Raffia</t>
  </si>
  <si>
    <t>230723-004</t>
  </si>
  <si>
    <t>181.44</t>
  </si>
  <si>
    <t>https://dd3ka9h4chfr8.cloudfront.net/image/725136000567/image_ueald51i1p2fl5t5qq4uvdqb7p/-FJPG/230723-004_FRT_1.jpg</t>
  </si>
  <si>
    <t>["Sugar Palm","Solid Mahogany","Mahogany Veneer"]</t>
  </si>
  <si>
    <t>Slayton</t>
  </si>
  <si>
    <t>Burnished Mahogany</t>
  </si>
  <si>
    <t>Burnished Mahogany Veneer</t>
  </si>
  <si>
    <t>This raffia-wrapped sideboard brings a textural look to the dining room, while a burnished mahogany base adds contrast. Wide and spacious, for storage of dinnerware, linens and more. Rear cutouts for cord management.</t>
  </si>
  <si>
    <t>{"value":76.77,"unit":"in"}</t>
  </si>
  <si>
    <t>{"value":228.18,"unit":"lb"}</t>
  </si>
  <si>
    <t>8.62"</t>
  </si>
  <si>
    <t>35.91"</t>
  </si>
  <si>
    <t>Hatch</t>
  </si>
  <si>
    <t>22.91"</t>
  </si>
  <si>
    <t>17.95"</t>
  </si>
  <si>
    <t>Hawkes Bookcase</t>
  </si>
  <si>
    <t>https://dd3ka9h4chfr8.cloudfront.net/image/725136000567/image_tkctnsq4sl0bh0pipthgs73473/-FJPG/247903-002_FRT_1.jpg;https://dd3ka9h4chfr8.cloudfront.net/image/725136000567/image_n10q1i3gep4632dlqtubqmj374/-FJPG/247903-002_PRM_1.jpg;https://dd3ka9h4chfr8.cloudfront.net/image/725136000567/image_5ijerh7v51133008ti7j1off5j/-FJPG/247903-002_SID_1.jpg;https://dd3ka9h4chfr8.cloudfront.net/image/725136000567/image_03mi8q6jtp6h1b13kuib0jca4q/-FJPG/247903-002_ESS.tif;https://dd3ka9h4chfr8.cloudfront.net/image/725136000567/image_3ean6c2kot2fpbo9bds6idam5g/-FJPG/247903-002_DET_2.jpg;https://dd3ka9h4chfr8.cloudfront.net/image/725136000567/image_auia8bb0693ojc08el8b59a425/-FJPG/247903-002_BCK_1.jpg;https://dd3ka9h4chfr8.cloudfront.net/image/725136000567/image_oh89tlq4tt2fj4uqa6bpc7no3r/-FJPG/247903-002_DET_1.jpg;https://dd3ka9h4chfr8.cloudfront.net/image/725136000567/image_7e4djc5d317sl9e0vuj1c3mh6m/-FJPG/247903-002_DET_3.jpg;https://dd3ka9h4chfr8.cloudfront.net/image/725136000567/image_k1epv0rsp91itcp0gmrkrf2e0l/-FJPG/247903-002_OPN_1.jpg;https://dd3ka9h4chfr8.cloudfront.net/image/725136000567/image_gm3psun9l17r3blq4q1umusc36/-FJPG/247903-002_DET_4.jpg;https://dd3ka9h4chfr8.cloudfront.net/image/725136000567/image_931peufrj17er0qunn6gmbba4s/-FJPG/247903-002_DET_5.jpg;https://dd3ka9h4chfr8.cloudfront.net/image/725136000567/image_28skjgephh7inc9knu733jln5b/-FJPG/247903-002_DET_6.jpg;https://dd3ka9h4chfr8.cloudfront.net/image/725136000567/image_bfq38iaull5qn5b9iconmggr77/-FJPG/247903-002_DET_9.tif;https://dd3ka9h4chfr8.cloudfront.net/image/725136000567/image_3ivmj6ina15ih47vajjv7kpu7d/-FJPG/247903-002_DET_10.tif</t>
  </si>
  <si>
    <t>Dark Walnut Solid</t>
  </si>
  <si>
    <t>247903-002</t>
  </si>
  <si>
    <t>https://dd3ka9h4chfr8.cloudfront.net/image/725136000567/image_tkctnsq4sl0bh0pipthgs73473/-FJPG/247903-002_FRT_1.jpg</t>
  </si>
  <si>
    <t>["Solid Walnut","Walnut Veneer"]</t>
  </si>
  <si>
    <t>50</t>
  </si>
  <si>
    <t>{"value":50,"unit":"in"}</t>
  </si>
  <si>
    <t>Offset shelves and a mix of open and closed storage give this bookcase its playful edge. Crafted from solid walnut with softened corners and curved legs, this piece is perfect for storing your favorite books, frames and treasures.</t>
  </si>
  <si>
    <t>{"value":263.45,"unit":"lb"}</t>
  </si>
  <si>
    <t>15.47"</t>
  </si>
  <si>
    <t>17.05"</t>
  </si>
  <si>
    <t>19.92"</t>
  </si>
  <si>
    <t>Hawkes</t>
  </si>
  <si>
    <t>22.87"</t>
  </si>
  <si>
    <t>Hawkes Console Table</t>
  </si>
  <si>
    <t>https://dd3ka9h4chfr8.cloudfront.net/image/725136000567/image_6ae2g97g793h1fiphl9i43516u/-FJPG/248128-001_FRT_1.jpg;https://dd3ka9h4chfr8.cloudfront.net/image/725136000567/image_lapko7u4r16gt85ibg5a74al01/-FJPG/248128-001_PRM_1.jpg;https://dd3ka9h4chfr8.cloudfront.net/image/725136000567/image_scgil1te4p619ahvfosgmusu11/-FJPG/248128-001_SID_1.jpg;https://dd3ka9h4chfr8.cloudfront.net/image/725136000567/image_9h1ebtu4753jv5ev7vfhbl4e2c/-FJPG/248128-001_ESS.tif;https://dd3ka9h4chfr8.cloudfront.net/image/725136000567/image_s98oaqucm145d63jp6dlvs3208/-FJPG/248128-001_DET_2.jpg;https://dd3ka9h4chfr8.cloudfront.net/image/725136000567/image_5ft65ptpcp4uf0ru8rql8fhd61/-FJPG/248128-001_BCK_1.jpg;https://dd3ka9h4chfr8.cloudfront.net/image/725136000567/image_hvqs50vubd3ald0pb1onfaf77k/-FJPG/248128-001_DET_1.jpg;https://dd3ka9h4chfr8.cloudfront.net/image/725136000567/image_7hqgbfptr50rl2pmthgks2jp35/-FJPG/248128-001_DET_3.jpg;https://dd3ka9h4chfr8.cloudfront.net/image/725136000567/image_uboad4nmip38rd84q18ugi530b/-FJPG/248128-001_DET_4.jpg;https://dd3ka9h4chfr8.cloudfront.net/image/725136000567/image_tlgpnfk5gp26n9rh721kepv65v/-FJPG/248128-001_DET_5.jpg;https://dd3ka9h4chfr8.cloudfront.net/image/725136000567/image_mj8cg2ujph03recblvva269q3c/-FJPG/248128-001_DET_6.jpg;https://dd3ka9h4chfr8.cloudfront.net/image/725136000567/image_arh619k1ap0cneq3a2ngldkf54/-FJPG/248128-001_DET_7.jpg;https://dd3ka9h4chfr8.cloudfront.net/image/725136000567/image_ogdiopnh915iv3h38mu5ha6l25/-FJPG/248128-001_DET_8.jpg;https://dd3ka9h4chfr8.cloudfront.net/image/725136000567/image_cl36b25otp36vfj457ebip0o5v/-FJPG/248128-001_DET_9.tif</t>
  </si>
  <si>
    <t>248128-001</t>
  </si>
  <si>
    <t>https://dd3ka9h4chfr8.cloudfront.net/image/725136000567/image_6ae2g97g793h1fiphl9i43516u/-FJPG/248128-001_FRT_1.jpg</t>
  </si>
  <si>
    <t>Soft curves flow through the legs, shelves and corners of this rich media console of dark walnut. Generous open shelving creates endless possibilities for your media storage and display. A rich walnut finish works into any space while crafting a sense of warmth.</t>
  </si>
  <si>
    <t>{"value":83.86,"unit":"in"}</t>
  </si>
  <si>
    <t>{"value":159.84,"unit":"lb"}</t>
  </si>
  <si>
    <t>14.06"</t>
  </si>
  <si>
    <t>74.09"</t>
  </si>
  <si>
    <t>23.39"</t>
  </si>
  <si>
    <t>74.88"</t>
  </si>
  <si>
    <t>Hawkes Media Console</t>
  </si>
  <si>
    <t>https://dd3ka9h4chfr8.cloudfront.net/image/725136000567/image_rfe430t5jl1j59cmilkv4ni97d/-FJPG/247904-001_FRT_1.jpg;https://dd3ka9h4chfr8.cloudfront.net/image/725136000567/image_s6f2uc80o53bd8eoq655bql41n/-FJPG/247904-001_PRM_1.jpg;https://dd3ka9h4chfr8.cloudfront.net/image/725136000567/image_ali6t8bj7d669eegemgm9b7j6m/-FJPG/247904-001_SID_1.jpg;https://dd3ka9h4chfr8.cloudfront.net/image/725136000567/image_e7npul52qd6ld3qao4lom9mi10/-FJPG/247904-001_ESS.tif;https://dd3ka9h4chfr8.cloudfront.net/image/725136000567/image_if72gukurl3816eamus0tqfg43/-FJPG/247904-001_DET_2.jpg;https://dd3ka9h4chfr8.cloudfront.net/image/725136000567/image_mone0hcna10b77q4djpr7fnv72/-FJPG/247904-001_BCK_1.jpg;https://dd3ka9h4chfr8.cloudfront.net/image/725136000567/image_q8kb04dmfl3lb63d1ri9c36t2c/-FJPG/247904-001_DET_1.jpg;https://dd3ka9h4chfr8.cloudfront.net/image/725136000567/image_v55ejg6r054pn4bo27jpsfr37n/-FJPG/247904-001_DET_3.jpg;https://dd3ka9h4chfr8.cloudfront.net/image/725136000567/image_eg8u05ieap67t7i6t8vjp5es40/-FJPG/247904-001_OPN_1.jpg;https://dd3ka9h4chfr8.cloudfront.net/image/725136000567/image_oov3u2jp4h3sl6o07laplvgg53/-FJPG/247904-001_DET_4.jpg;https://dd3ka9h4chfr8.cloudfront.net/image/725136000567/image_r4mhcgv28166t4rugqgasefg3i/-FJPG/247904-001_DET_5.jpg;https://dd3ka9h4chfr8.cloudfront.net/image/725136000567/image_ar26aa6m5p3i5c0tjjtkked57k/-FJPG/247904-001_DET_6.jpg;https://dd3ka9h4chfr8.cloudfront.net/image/725136000567/image_rfbjohhdgh28b3j0es3ei9551j/-FJPG/247904-001_DET_7.jpg;https://dd3ka9h4chfr8.cloudfront.net/image/725136000567/image_hrobv5k0sd37n0hgmcu4oe6c22/-FJPG/247904-001_DET_8.jpg;https://dd3ka9h4chfr8.cloudfront.net/image/725136000567/image_9nku8pnnlh2u316ecoguqane3a/-FJPG/247904-001_DET_9.tif;https://dd3ka9h4chfr8.cloudfront.net/image/725136000567/image_t4p7i5agt13ktaujff62vb592r/-FJPG/247904-001_DET_9.tif;https://dd3ka9h4chfr8.cloudfront.net/image/725136000567/image_q2fqriljbp7nl5oatd5v0eln42/-FJPG/247904-001_DET_10.tif</t>
  </si>
  <si>
    <t>247904-001</t>
  </si>
  <si>
    <t>186.29</t>
  </si>
  <si>
    <t>https://dd3ka9h4chfr8.cloudfront.net/image/725136000567/image_rfe430t5jl1j59cmilkv4ni97d/-FJPG/247904-001_FRT_1.jpg</t>
  </si>
  <si>
    <t>Soft curves flow through the legs, shelves and corners of this rich media console of dark walnut. A mix of open shelving and closed cabinetry creates endless possibilities for your media storage and display. A rich walnut finish works into any space while crafting a sense of warmth.</t>
  </si>
  <si>
    <t>{"value":98.03,"unit":"in"}</t>
  </si>
  <si>
    <t>{"value":216.05,"unit":"lb"}</t>
  </si>
  <si>
    <t>23.07"</t>
  </si>
  <si>
    <t>15.12"</t>
  </si>
  <si>
    <t>17.17"</t>
  </si>
  <si>
    <t>40.16"</t>
  </si>
  <si>
    <t>Hawkins Dining Bench</t>
  </si>
  <si>
    <t>https://dd3ka9h4chfr8.cloudfront.net/image/725136000567/image_v1ubftn9t15p52qv4ojlsjg87t/-FJPG/226333-001_FRT_1.jpg;https://dd3ka9h4chfr8.cloudfront.net/image/725136000567/image_j2if2ctf5d5976rkohifvmav06/-FJPG/226333-001_PRM_1.jpg;https://dd3ka9h4chfr8.cloudfront.net/image/725136000567/image_sr9q8lki690vn3eopf9ftpch4c/-FJPG/226333-001_SID_1.jpg;https://dd3ka9h4chfr8.cloudfront.net/image/725136000567/image_t1lnocp3gl7nfai5qoo0s8o63u/-FJPG/226333-001_ESS_1.jpg;https://dd3ka9h4chfr8.cloudfront.net/image/725136000567/image_h9lj5tn82t4ul7ceflrv81fh52/-FJPG/226333-001_DET_2.jpg;https://dd3ka9h4chfr8.cloudfront.net/image/725136000567/image_ftfcg8gcml07p8ncdpsl2t6g5i/-FJPG/226333-001_BCK_1.jpg;https://dd3ka9h4chfr8.cloudfront.net/image/725136000567/image_jlug7qstut17tem3pfrjorpb72/-FJPG/226333-001_DET_1.jpg;https://dd3ka9h4chfr8.cloudfront.net/image/725136000567/image_jkbblp0ntt44v5etlr7fqkkc4q/-FJPG/226333-001_DET_3.jpg;https://dd3ka9h4chfr8.cloudfront.net/image/725136000567/image_pp1tfsaath77ld0auh2sef783e/-FJPG/226333-001_DET_4.jpg;https://dd3ka9h4chfr8.cloudfront.net/image/725136000567/image_s3tjghf0cl7m16s4ltoqjpi65l/-FJPG/226333-001_DET_5.jpg;https://dd3ka9h4chfr8.cloudfront.net/image/725136000567/image_66te7tlqil401dfm52himira2h/-FJPG/226333-001_DET_6.jpg;https://dd3ka9h4chfr8.cloudfront.net/image/725136000567/image_so8lqs4ptd78j8gtqibpc0d83h/-FJPG/226333-001_DET_7.jpg</t>
  </si>
  <si>
    <t>226333-001</t>
  </si>
  <si>
    <t>46.41</t>
  </si>
  <si>
    <t>https://dd3ka9h4chfr8.cloudfront.net/image/725136000567/image_v1ubftn9t15p52qv4ojlsjg87t/-FJPG/226333-001_FRT_1.jpg</t>
  </si>
  <si>
    <t>Dining Benches</t>
  </si>
  <si>
    <t>Strike a pose. Well curved and finely sculpted, tan top-grain leather exclusive to Four Hands makes for a unique and shapely addition to the modern dining room.</t>
  </si>
  <si>
    <t>{"value":56.89,"unit":"in"}</t>
  </si>
  <si>
    <t>{"value":65.7,"unit":"lb"}</t>
  </si>
  <si>
    <t>51.18"</t>
  </si>
  <si>
    <t>Hawkins</t>
  </si>
  <si>
    <t>15.55"</t>
  </si>
  <si>
    <t>51.97"</t>
  </si>
  <si>
    <t>44.49"</t>
  </si>
  <si>
    <t>Heavy Wood Accent Bench</t>
  </si>
  <si>
    <t>https://dd3ka9h4chfr8.cloudfront.net/image/725136000567/image_9109ii210d4rt36k54pe6lck7o/-FJPG/236084-001_FRT_1.jpg;https://dd3ka9h4chfr8.cloudfront.net/image/725136000567/image_t5ht62i7od1ej108lf30cgeb34/-FJPG/236084-001_PRM_1.jpg;https://dd3ka9h4chfr8.cloudfront.net/image/725136000567/image_s5j4rvd3750ttcdbp5ldmfif3q/-FJPG/236084-001_SID_1.jpg;https://dd3ka9h4chfr8.cloudfront.net/image/725136000567/image_1tt0cus9vt7o32d169ukuelu4r/-FJPG/236084-001_DET_2.jpg;https://dd3ka9h4chfr8.cloudfront.net/image/725136000567/image_21omvtlfq9133ckrfa66c9he19/-FJPG/236084-001_DET_1.jpg;https://dd3ka9h4chfr8.cloudfront.net/image/725136000567/image_3i2qciobe15h160hrfksap282f/-FJPG/236084-001_DET_3.jpg;https://dd3ka9h4chfr8.cloudfront.net/image/725136000567/image_enri1pk9cl4jjao4fgut0esj0c/-FJPG/236084-001_DET_4.jpg;https://dd3ka9h4chfr8.cloudfront.net/image/725136000567/image_d3pqb9b3od7inc65304p2ruk22/-FJPG/236084-001_DET_5.jpg;https://dd3ka9h4chfr8.cloudfront.net/image/725136000567/image_5cpptk19vl3tfdltorrqc27828/-FJPG/FHMPRJ23-004_Shot_15A_.jpg</t>
  </si>
  <si>
    <t>Alcala Cream</t>
  </si>
  <si>
    <t>236084-001</t>
  </si>
  <si>
    <t>147.71</t>
  </si>
  <si>
    <t>https://dd3ka9h4chfr8.cloudfront.net/image/725136000567/image_9109ii210d4rt36k54pe6lck7o/-FJPG/236084-001_FRT_1.jpg</t>
  </si>
  <si>
    <t>["70% Polyester","20% Viscose (Rayon)","10% Flax/Linen","Solid Parawood"]</t>
  </si>
  <si>
    <t>Twin pillar legs flank the soft seat of this accent bench.</t>
  </si>
  <si>
    <t>{"value":95.28,"unit":"in"}</t>
  </si>
  <si>
    <t>{"value":26.18,"unit":"in"}</t>
  </si>
  <si>
    <t>{"value":202.83,"unit":"lb"}</t>
  </si>
  <si>
    <t>Heavy Wood</t>
  </si>
  <si>
    <t>2.25"</t>
  </si>
  <si>
    <t>Henry Desk</t>
  </si>
  <si>
    <t>https://dd3ka9h4chfr8.cloudfront.net/image/725136000567/image_235pebvd451239bpluhmfvsg0f/-FJPG/231554-002_FRT_1.jpg;https://dd3ka9h4chfr8.cloudfront.net/image/725136000567/image_j9fbk7tke50gt1lepglk2hsi7t/-FJPG/231554-002_PRM_1.jpg;https://dd3ka9h4chfr8.cloudfront.net/image/725136000567/image_jsm11tsh3t0ar0n01v6dpa7a72/-FJPG/231554-002_SID_1.jpg;https://dd3ka9h4chfr8.cloudfront.net/image/725136000567/image_rj3vgl3in52116gi49ph7o6u1k/-FJPG/231554-002_DET_2.jpg;https://dd3ka9h4chfr8.cloudfront.net/image/725136000567/image_mbcqhp9vb97thb68npilc4an0t/-FJPG/231554-002_BCK_1.jpg;https://dd3ka9h4chfr8.cloudfront.net/image/725136000567/image_l5g655887h4g78f4pscfikhg2p/-FJPG/231554-002_DET_1.jpg;https://dd3ka9h4chfr8.cloudfront.net/image/725136000567/image_pkaspt41n15gt8b8pl9av5pg53/-FJPG/231554-002_DET_3.jpg;https://dd3ka9h4chfr8.cloudfront.net/image/725136000567/image_m6roh64bmt3rraee2ap1k7go0q/-FJPG/231554-002_TOP_1.jpg;https://dd3ka9h4chfr8.cloudfront.net/image/725136000567/image_nb5353u2b174f6qq61ri923j02/-FJPG/231554-002_DET_4.jpg;https://dd3ka9h4chfr8.cloudfront.net/image/725136000567/image_focohs909p2mn23pam2avu9h1s/-FJPG/231554-002_DET_5.jpg;https://dd3ka9h4chfr8.cloudfront.net/image/725136000567/image_8ll7rq4dc51651l1uq9c9u1d5d/-FJPG/231554-002_DET_6.jpg;https://dd3ka9h4chfr8.cloudfront.net/image/725136000567/image_lgrumj1va949fc3o4ktcfu400u/-FJPG/231554-002_DET_7.jpg</t>
  </si>
  <si>
    <t>Charcoal Oak Thick Veneer</t>
  </si>
  <si>
    <t>231554-002</t>
  </si>
  <si>
    <t>156.53</t>
  </si>
  <si>
    <t>https://dd3ka9h4chfr8.cloudfront.net/image/725136000567/image_235pebvd451239bpluhmfvsg0f/-FJPG/231554-002_FRT_1.jpg</t>
  </si>
  <si>
    <t>["Thick Oak Veneer","Solid Reclaimed Oak"]</t>
  </si>
  <si>
    <t>Charcoal Reclaimed Solid Oak</t>
  </si>
  <si>
    <t>Made from solid reclaimed oak finished in a rustic charcoal, this slim-profile desk shapes subtly curved corners, bringing a handcrafted look to a minimalist form. Designed in partnership with longtime Four Hands collaborator Thomas Bina and Brazilian designer Ronald Sasson.</t>
  </si>
  <si>
    <t>Desk</t>
  </si>
  <si>
    <t>{"value":73.5,"unit":"in"}</t>
  </si>
  <si>
    <t>{"value":38.86,"unit":"in"}</t>
  </si>
  <si>
    <t>{"value":222.67,"unit":"lb"}</t>
  </si>
  <si>
    <t>Henry</t>
  </si>
  <si>
    <t>66.06"</t>
  </si>
  <si>
    <t>19.45"</t>
  </si>
  <si>
    <t>https://dd3ka9h4chfr8.cloudfront.net/image/725136000567/image_r62jffr9h1205bk1p2ithba867/-FJPG/231554-001_FRT_1.jpg;https://dd3ka9h4chfr8.cloudfront.net/image/725136000567/image_fq7surortt2i7ceebq3jq7m557/-FJPG/231554-001_PRM_1.jpg;https://dd3ka9h4chfr8.cloudfront.net/image/725136000567/image_se54tt15at2bn2i5urs5l9io1k/-FJPG/231554-001_SID_1.jpg;https://dd3ka9h4chfr8.cloudfront.net/image/725136000567/image_lkrf816tmh5s15760nmgibm06k/-FJPG/231554-001_ESS_1.jpg;https://dd3ka9h4chfr8.cloudfront.net/image/725136000567/image_vpaelhrk856gh78jv35f9ik12d/-FJPG/231554-001_DET_2.jpg;https://dd3ka9h4chfr8.cloudfront.net/image/725136000567/image_tbb6iu3nvh62d85lnt0disoi3s/-FJPG/231554-001_BCK_1.jpg;https://dd3ka9h4chfr8.cloudfront.net/image/725136000567/image_svk2re5rr95ehfmmin8jau5t06/-FJPG/231554-001_DET_1.jpg;https://dd3ka9h4chfr8.cloudfront.net/image/725136000567/image_tqcncia1ep2mr30hksk0f7ab5j/-FJPG/231554-001_DET_3.jpg;https://dd3ka9h4chfr8.cloudfront.net/image/725136000567/image_fao9i4gh0p3mj9h2mm6ih5nj5v/-FJPG/231554-001_OPN_1.jpg;https://dd3ka9h4chfr8.cloudfront.net/image/725136000567/image_74qgole88p2nr3jq4c24hndo7d/-FJPG/231554-001_DET_4.jpg;https://dd3ka9h4chfr8.cloudfront.net/image/725136000567/image_bj9rr0ietd5sradpohpm7hmk1v/-FJPG/231554-001_DET_5.jpg;https://dd3ka9h4chfr8.cloudfront.net/image/725136000567/image_u89hff84st64r4fct5923hg025/-FJPG/231554-001_DET_6.jpg;https://dd3ka9h4chfr8.cloudfront.net/image/725136000567/image_chv94fecc90j70mb4aibpbfp1s/-FJPG/231554-001_DET_7.jpg;https://dd3ka9h4chfr8.cloudfront.net/image/725136000567/image_686uabkrht71f3a9hah7vrpt31/-FJPG/231554-001_DET_8.jpg</t>
  </si>
  <si>
    <t>Rustic Grey Veneer</t>
  </si>
  <si>
    <t>231554-001</t>
  </si>
  <si>
    <t>https://dd3ka9h4chfr8.cloudfront.net/image/725136000567/image_r62jffr9h1205bk1p2ithba867/-FJPG/231554-001_FRT_1.jpg</t>
  </si>
  <si>
    <t>Made from solid reclaimed oak finished in a rustic grey, this slim-profile desk shapes subtly curved corners, bringing a handcrafted look to a minimalist form. Designed in partnership with longtime Four Hands collaborator Thomas Bina and Brazilian designer Ronald Sasson.</t>
  </si>
  <si>
    <t>Henry Dining Table</t>
  </si>
  <si>
    <t>https://dd3ka9h4chfr8.cloudfront.net/image/725136000567/image_4ooqq1hc394ad35gtdfaril25c/-FJPG/231565-001_FRT_1.tif;https://dd3ka9h4chfr8.cloudfront.net/image/725136000567/image_bc2gbta1uh69l97i1o9cgn0i0m/-FJPG/231565-001_FRT_1.jpg;https://dd3ka9h4chfr8.cloudfront.net/image/725136000567/image_qcpmdna5ft3d7e2hd48flan05d/-FJPG/231565-001_PRM_1.jpg;https://dd3ka9h4chfr8.cloudfront.net/image/725136000567/image_9t2dfv39u16c7cesgraol90k19/-FJPG/231565-001_SID_1.jpg;https://dd3ka9h4chfr8.cloudfront.net/image/725136000567/image_a6t1s5jcj53nj3ou7smtegep7r/-FJPG/231565-001_ESS_1.jpg;https://dd3ka9h4chfr8.cloudfront.net/image/725136000567/image_8ijbclnrc14g9d7ba6ma6unh17/-FJPG/231565-001_DET_2.jpg;https://dd3ka9h4chfr8.cloudfront.net/image/725136000567/image_nlbapcb3jl5qvd9fcogiqh1g38/-FJPG/231565-001_DET_1.jpg;https://dd3ka9h4chfr8.cloudfront.net/image/725136000567/image_ohvmuspvo56jj3m468b10ih56o/-FJPG/231565-001_DET_3.jpg;https://dd3ka9h4chfr8.cloudfront.net/image/725136000567/image_lapkduh0id4tt7t8oh693ak30t/-FJPG/231565-001_DET_4.jpg;https://dd3ka9h4chfr8.cloudfront.net/image/725136000567/image_r7matqci7t4tt2deho1nsk3u2r/-FJPG/231565-001_DET_5.jpg;https://dd3ka9h4chfr8.cloudfront.net/image/725136000567/image_4a9746toh579reu5lc13isvo15/-FJPG/231565-001_DET_6.jpg;https://dd3ka9h4chfr8.cloudfront.net/image/725136000567/image_um8fi4u78h49h0rinav3o5172d/-FJPG/231565-001_ESS_2.jpg</t>
  </si>
  <si>
    <t>231565-001</t>
  </si>
  <si>
    <t>185.19</t>
  </si>
  <si>
    <t>https://dd3ka9h4chfr8.cloudfront.net/image/725136000567/image_4ooqq1hc394ad35gtdfaril25c/-FJPG/231565-001_FRT_1.tif</t>
  </si>
  <si>
    <t>Made from solid reclaimed oak finished in a rustic grey, natural wood grooves plus chamfered leg profiles elevate this plank-style table. Seats up to ten comfortably. Designed in partnership with longtime Four Hands collaborator Thomas Bina and Brazilian designer Ronald Sasson.</t>
  </si>
  <si>
    <t>{"value":98.62,"unit":"in"}</t>
  </si>
  <si>
    <t>{"value":7.09,"unit":"in"}</t>
  </si>
  <si>
    <t>{"value":40.47,"unit":"in"}</t>
  </si>
  <si>
    <t>Legs</t>
  </si>
  <si>
    <t>{"value":141.1,"unit":"lb"}</t>
  </si>
  <si>
    <t>33.98"</t>
  </si>
  <si>
    <t>85.98"</t>
  </si>
  <si>
    <t>94.02"</t>
  </si>
  <si>
    <t>2.09"</t>
  </si>
  <si>
    <t>Henry Sideboard</t>
  </si>
  <si>
    <t>https://dd3ka9h4chfr8.cloudfront.net/image/725136000567/image_j82i9f48c15cbckpnl16ascq1u/-FJPG/231544-001_FRT_1.jpg;https://dd3ka9h4chfr8.cloudfront.net/image/725136000567/image_i01glinmqh4kf0bqrcbth8kt1d/-FJPG/231544-001_PRM_1.jpg;https://dd3ka9h4chfr8.cloudfront.net/image/725136000567/image_ffonve8tjp7916rcqooe2cnn7k/-FJPG/231544-001_SID_1.jpg;https://dd3ka9h4chfr8.cloudfront.net/image/725136000567/image_9ur033tjq92l91p46r13c0gd1r/-FJPG/231544-001_ESS_1.jpg;https://dd3ka9h4chfr8.cloudfront.net/image/725136000567/image_jp24edu1ad5staqpfo8l3v0j2v/-FJPG/231544-001_ESS_1.tif;https://dd3ka9h4chfr8.cloudfront.net/image/725136000567/image_gbba7qd6rh7m77l2a4aotdlr15/-FJPG/231544-001_DET_2.jpg;https://dd3ka9h4chfr8.cloudfront.net/image/725136000567/image_f2s8q0fp9p07n7egutp69l2n20/-FJPG/231544-001_BCK_1.jpg;https://dd3ka9h4chfr8.cloudfront.net/image/725136000567/image_3q9dk9506t3j7cdpsobvrh2l0s/-FJPG/231544-001_DET_1.jpg;https://dd3ka9h4chfr8.cloudfront.net/image/725136000567/image_qhvjlrgdq93ff9lk3b69493t60/-FJPG/231544-001_DET_3.jpg;https://dd3ka9h4chfr8.cloudfront.net/image/725136000567/image_lfmadbm5512opet0ijthqksm5t/-FJPG/231544-001_OPN_1.jpg;https://dd3ka9h4chfr8.cloudfront.net/image/725136000567/image_fuomci4eoh7tbbinhtv9cvb23s/-FJPG/231544-001_DET_4.jpg;https://dd3ka9h4chfr8.cloudfront.net/image/725136000567/image_14qc3h379h3gj3tao444j7ja5e/-FJPG/231544-001_DET_5.jpg;https://dd3ka9h4chfr8.cloudfront.net/image/725136000567/image_qm4fcoakdl0692usve4npsk46s/-FJPG/231544-001_DET_6.jpg;https://dd3ka9h4chfr8.cloudfront.net/image/725136000567/image_dmvk3qkc1d1ar811vj3gbac70p/-FJPG/231544-001_DET_7.jpg;https://dd3ka9h4chfr8.cloudfront.net/image/725136000567/image_qaqkomr9dh5or2oeiu15ro0q41/-FJPG/231544-001_DET_8.jpg;https://dd3ka9h4chfr8.cloudfront.net/image/725136000567/image_68uoactbp50m93p11oa5tora0d/-FJPG/231544-001_DET_9.jpg;https://dd3ka9h4chfr8.cloudfront.net/image/725136000567/image_p9qgqk5g453hf5glc8oqehrc2n/-FJPG/231544-001_DET_10.jpg;https://dd3ka9h4chfr8.cloudfront.net/image/725136000567/image_r8qluf6egt58332fvk8soqgs3s/-FJPG/FHMPRJ-007_SCENE_14.tif</t>
  </si>
  <si>
    <t>231544-001</t>
  </si>
  <si>
    <t>229.28</t>
  </si>
  <si>
    <t>https://dd3ka9h4chfr8.cloudfront.net/image/725136000567/image_j82i9f48c15cbckpnl16ascq1u/-FJPG/231544-001_FRT_1.jpg</t>
  </si>
  <si>
    <t>Made from solid reclaimed oak finished in a rustic grey, natural wood grooves and chamfered framing elevate this sideboard, perfect for storing serving ware and table linens. Center drawers, side shelving, plus rear cutouts for cord management. Designed in partnership with longtime Four Hands collaborator Thomas Bina and Brazilian designer Ronald Sasson.</t>
  </si>
  <si>
    <t>{"value":34.84,"unit":"in"}</t>
  </si>
  <si>
    <t>{"value":304.24,"unit":"lb"}</t>
  </si>
  <si>
    <t>20.69"</t>
  </si>
  <si>
    <t>21.89"</t>
  </si>
  <si>
    <t>19.96"</t>
  </si>
  <si>
    <t>8.39"</t>
  </si>
  <si>
    <t>33.74"</t>
  </si>
  <si>
    <t>Hepburn Media Console</t>
  </si>
  <si>
    <t>https://dd3ka9h4chfr8.cloudfront.net/image/725136000567/image_vu8hlo2v292o71qmfjsdeoos6k/-FJPG/248509-001_FRT_1.jpg;https://dd3ka9h4chfr8.cloudfront.net/image/725136000567/image_c80sacqgrt1m188k6calsfg13c/-FJPG/248509-001_PRM_1.jpg;https://dd3ka9h4chfr8.cloudfront.net/image/725136000567/image_38kea6h90574v77ufpn45sfq0o/-FJPG/248509-001_SID_1.jpg;https://dd3ka9h4chfr8.cloudfront.net/image/725136000567/image_6men6e6te55hr4pln2n2kuu84v/-FJPG/248509-001_ESS.tif;https://dd3ka9h4chfr8.cloudfront.net/image/725136000567/image_vi8jukojmt2blbv61r5uphf00d/-FJPG/248509-001_DET_2.jpg;https://dd3ka9h4chfr8.cloudfront.net/image/725136000567/image_dmfsssn02123jau5ve06sbbe0c/-FJPG/248509-001_BCK_1.jpg;https://dd3ka9h4chfr8.cloudfront.net/image/725136000567/image_j5pembe9tl4d55guviudaid37k/-FJPG/248509-001_DET_1.jpg;https://dd3ka9h4chfr8.cloudfront.net/image/725136000567/image_eg1a3rvh6h2gveaue83ng21m2g/-FJPG/248509-001_DET_3.jpg;https://dd3ka9h4chfr8.cloudfront.net/image/725136000567/image_89lvt7ppl55ub1ad5l0cektu0v/-FJPG/248509-001_OPN_1.jpg;https://dd3ka9h4chfr8.cloudfront.net/image/725136000567/image_btvvc0fo790v915cj5a9i5q82q/-FJPG/248509-001_TOP_1.jpg;https://dd3ka9h4chfr8.cloudfront.net/image/725136000567/image_0mkr6vae452hbf5v120m2rel08/-FJPG/248509-001_DET_4.jpg</t>
  </si>
  <si>
    <t>Dark Anthracite Oak Veneer</t>
  </si>
  <si>
    <t>248509-001</t>
  </si>
  <si>
    <t>152.12</t>
  </si>
  <si>
    <t>https://dd3ka9h4chfr8.cloudfront.net/image/725136000567/image_vu8hlo2v292o71qmfjsdeoos6k/-FJPG/248509-001_FRT_1.jpg</t>
  </si>
  <si>
    <t>Beautifully arched with a flush plinth base, a versatile oak cabinet features a dark, rich finish. A tempered glass front and generous interior shelving creates endless possibilities for your media storage.</t>
  </si>
  <si>
    <t>{"value":182.98,"unit":"lb"}</t>
  </si>
  <si>
    <t>38.75"</t>
  </si>
  <si>
    <t>Hepburn</t>
  </si>
  <si>
    <t>18.75"</t>
  </si>
  <si>
    <t>Higgs Bookcase</t>
  </si>
  <si>
    <t>https://dd3ka9h4chfr8.cloudfront.net/image/725136000567/image_krd454h5e92jh6uf6s3sohmn5f/-FJPG/225023-004_FRT_1.jpg;https://dd3ka9h4chfr8.cloudfront.net/image/725136000567/image_rt9is3f1096tl8gplt8l8fan2u/-FJPG/225023-004_PRM_1.jpg;https://dd3ka9h4chfr8.cloudfront.net/image/725136000567/image_lugcr2sdjl5jdd5imd78agrp6k/-FJPG/225023-004_SID_1.jpg;https://dd3ka9h4chfr8.cloudfront.net/image/725136000567/image_p1kbi1mrid6tdaqst8grafp07i/-FJPG/225023-004_ESS_1.jpg;https://dd3ka9h4chfr8.cloudfront.net/image/725136000567/image_pambqeclt12svb5lou9gpdu93b/-FJPG/225023-004_DET_2.jpg;https://dd3ka9h4chfr8.cloudfront.net/image/725136000567/image_f6f83ac8pt79hfsbq9l610bj2s/-FJPG/225023-004_BCK_1.jpg;https://dd3ka9h4chfr8.cloudfront.net/image/725136000567/image_heikgp412h3k5etvg3eeifk80f/-FJPG/225023-004_DET_1.jpg;https://dd3ka9h4chfr8.cloudfront.net/image/725136000567/image_uovoigppol68tcqin5gdtvtf31/-FJPG/225023-004_DET_3.jpg;https://dd3ka9h4chfr8.cloudfront.net/image/725136000567/image_16dkiqlb5p5thei1o45jltas75/-FJPG/225023-004_DET_4.jpg;https://dd3ka9h4chfr8.cloudfront.net/image/725136000567/image_29669tpnat0hncaoc9hc61od37/-FJPG/225023-004_DET_5.jpg;https://dd3ka9h4chfr8.cloudfront.net/image/725136000567/image_d2uhv2j6l12m957lkp1dvc1u1k/-FJPG/225023-004_DET_6.jpg</t>
  </si>
  <si>
    <t>Brushed Ebony Oak Veneer</t>
  </si>
  <si>
    <t>225023-004</t>
  </si>
  <si>
    <t>https://dd3ka9h4chfr8.cloudfront.net/image/725136000567/image_krd454h5e92jh6uf6s3sohmn5f/-FJPG/225023-004_FRT_1.jpg</t>
  </si>
  <si>
    <t>Filmore</t>
  </si>
  <si>
    <t>Brushed-ebony finished oak forms a tall, clean frame for spacious shelving, with a lower arch and natural hand-woven cane paneling lending a playful, textural vibe to this Seventies-inspired piece.</t>
  </si>
  <si>
    <t>31.18"</t>
  </si>
  <si>
    <t>Higgs</t>
  </si>
  <si>
    <t>https://dd3ka9h4chfr8.cloudfront.net/image/725136000567/image_u3803u4bkp7vj42e6co2qrvv3k/-FJPG/225023-002_FRT_1.jpg;https://dd3ka9h4chfr8.cloudfront.net/image/725136000567/image_kc5sr8418d543e0h50567dvm74/-FJPG/225023-002_PRM_1.jpg;https://dd3ka9h4chfr8.cloudfront.net/image/725136000567/image_7urhirnqol1uhfee38q4ddap6u/-FJPG/225023-002_SID_1.jpg;https://dd3ka9h4chfr8.cloudfront.net/image/725136000567/image_p7011pgdad0bbcpic2fc8ss872/-FJPG/225023-002_DET_2.jpg;https://dd3ka9h4chfr8.cloudfront.net/image/725136000567/image_01hbrda2q16bd0qnfqat5ovi7e/-FJPG/225023-002_BCK_1.jpg;https://dd3ka9h4chfr8.cloudfront.net/image/725136000567/image_o3a5g5k1nh7491ubtpj3rchk6t/-FJPG/225023-002_DET_1.jpg;https://dd3ka9h4chfr8.cloudfront.net/image/725136000567/image_s1udra7irh44lf5u1486bcj212/-FJPG/225023-002_DET_3.jpg;https://dd3ka9h4chfr8.cloudfront.net/image/725136000567/image_iufca12ko543l73bsqks0t4k1s/-FJPG/225023-002_DET_4.jpg;https://dd3ka9h4chfr8.cloudfront.net/image/725136000567/image_k69i7no5ld6a55qslt8qa3134s/-FJPG/225023-002_DET_5.jpg;https://dd3ka9h4chfr8.cloudfront.net/image/725136000567/image_i0b0cmichh0mj79sq30bqgmo7q/-FJPG/225023-002_DET_6.jpg;https://dd3ka9h4chfr8.cloudfront.net/image/725136000567/image_samhdkbg996jfc1m2vnt91es2l/-FJPG/225023-002_VIG_1.jpg;https://dd3ka9h4chfr8.cloudfront.net/image/725136000567/image_indfh2iumd3pfc027qntukaf2o/-FJPG/225023-002_ESS_2.jpg</t>
  </si>
  <si>
    <t>Honey Oak Veneer</t>
  </si>
  <si>
    <t>225023-002</t>
  </si>
  <si>
    <t>https://dd3ka9h4chfr8.cloudfront.net/image/725136000567/image_u3803u4bkp7vj42e6co2qrvv3k/-FJPG/225023-002_FRT_1.jpg</t>
  </si>
  <si>
    <t>Honey-finished oak forms a tall, clean frame for spacious shelving, with a lower arch and natural hand-woven cane paneling lending a playful, textural vibe to this Seventies-inspired piece.</t>
  </si>
  <si>
    <t>Hitchens Media Console</t>
  </si>
  <si>
    <t>https://dd3ka9h4chfr8.cloudfront.net/image/725136000567/image_j88rsvpkn556p4o1p34pgg4d1d/-FJPG/236331-001_FRT_1.jpg;https://dd3ka9h4chfr8.cloudfront.net/image/725136000567/image_qo24aqtnt95sv9d7rklq1s576l/-FJPG/236331-001_PRM_1.jpg;https://dd3ka9h4chfr8.cloudfront.net/image/725136000567/image_vsvj0emlpd5q9dpf413tcml52f/-FJPG/236331-001_SID_1.jpg;https://dd3ka9h4chfr8.cloudfront.net/image/725136000567/image_b9rb96dcd96vv5hkfkph9fl41l/-FJPG/236331-001_ESS_1.jpg;https://dd3ka9h4chfr8.cloudfront.net/image/725136000567/image_apma3d2q395s1c237e2lu7ft24/-FJPG/236331-001_DET_2.jpg;https://dd3ka9h4chfr8.cloudfront.net/image/725136000567/image_1ch00ft8ep79faj0diluqgcs0b/-FJPG/236331-001_BCK_1.jpg;https://dd3ka9h4chfr8.cloudfront.net/image/725136000567/image_c467qqmfr53hj9lvigvf6k5f7p/-FJPG/236331-001_DET_1.jpg;https://dd3ka9h4chfr8.cloudfront.net/image/725136000567/image_m2divplt7558p7inlr2n7kn85c/-FJPG/236331-001_DET_3.jpg;https://dd3ka9h4chfr8.cloudfront.net/image/725136000567/image_ftl7cspt8917l03p6l2vgvod0m/-FJPG/236331-001_OPN_1.jpg;https://dd3ka9h4chfr8.cloudfront.net/image/725136000567/image_hhl5ahlf794nvc0ppjroga3s3q/-FJPG/236331-001_DET_4.jpg;https://dd3ka9h4chfr8.cloudfront.net/image/725136000567/image_57ae0lnblt3f18jjnu0sths91e/-FJPG/236331-001_DET_5.jpg;https://dd3ka9h4chfr8.cloudfront.net/image/725136000567/image_8kdbnolkkd2cp8hthtm8q4dt01/-FJPG/236331-001_DET_6.jpg</t>
  </si>
  <si>
    <t>Worn Black</t>
  </si>
  <si>
    <t>236331-001</t>
  </si>
  <si>
    <t>https://dd3ka9h4chfr8.cloudfront.net/image/725136000567/image_j88rsvpkn556p4o1p34pgg4d1d/-FJPG/236331-001_FRT_1.jpg</t>
  </si>
  <si>
    <t>76</t>
  </si>
  <si>
    <t>{"value":76,"unit":"in"}</t>
  </si>
  <si>
    <t>Inspired by European antiques, a distressed black finish and copper-clad hardware place a vintage twist on modern media storage.</t>
  </si>
  <si>
    <t>One Media Console  Kd</t>
  </si>
  <si>
    <t>{"value":80.71,"unit":"in"}</t>
  </si>
  <si>
    <t>36.22"</t>
  </si>
  <si>
    <t>Hitchens</t>
  </si>
  <si>
    <t>Hudson C Table</t>
  </si>
  <si>
    <t>https://dd3ka9h4chfr8.cloudfront.net/image/725136000567/image_d6mq4nqdg15rdam53l01i6fm78/-FJPG/107552-004_FRT_1.jpg;https://dd3ka9h4chfr8.cloudfront.net/image/725136000567/image_2e6h798sb14upcu6re40106i31/-FJPG/107552-004_PRM_1.jpg;https://dd3ka9h4chfr8.cloudfront.net/image/725136000567/image_uejcc5jdlp48r0tqjpn0r0av57/-FJPG/107552-004_SID_1.jpg;https://dd3ka9h4chfr8.cloudfront.net/image/725136000567/image_r52e7n3hsh7rb44dmj8nc7sc7c/-FJPG/107552-004_DET_2.jpg;https://dd3ka9h4chfr8.cloudfront.net/image/725136000567/image_ptakjmb11l4tjamad5683k3o5m/-FJPG/107552-004_BCK_1.jpg;https://dd3ka9h4chfr8.cloudfront.net/image/725136000567/image_e5c9uftg455jp975eqei3vch0r/-FJPG/Color Variance Card_Ashen Walnut.jpg;https://dd3ka9h4chfr8.cloudfront.net/image/725136000567/image_u5trnna66d513an1ip1ro9cv5d/-FJPG/107552-004_DET_1.jpg;https://dd3ka9h4chfr8.cloudfront.net/image/725136000567/image_hm7aj4hl455930j0mgforrp96d/-FJPG/107552-004_DET_3.jpg;https://dd3ka9h4chfr8.cloudfront.net/image/725136000567/image_7fh8are76l5ad1aoqseqacie5s/-FJPG/107552-004_DET_5.jpg;https://dd3ka9h4chfr8.cloudfront.net/image/725136000567/image_bg69n836m164lb3d4bapuv8a4s/-FJPG/107552-004_DET_6.jpg;https://dd3ka9h4chfr8.cloudfront.net/image/725136000567/image_7cbe7t6adh58b8k0epvavf7r45/-FJPG/107552-004_DET_7.jpg</t>
  </si>
  <si>
    <t>107552-004</t>
  </si>
  <si>
    <t>28.97</t>
  </si>
  <si>
    <t>https://dd3ka9h4chfr8.cloudfront.net/image/725136000567/image_d6mq4nqdg15rdam53l01i6fm78/-FJPG/107552-004_FRT_1.jpg</t>
  </si>
  <si>
    <t>["Thick Walnut Veneer","Iron"]</t>
  </si>
  <si>
    <t>Highs and lows capture movement in this high-impact C-table. A smooth surface of ashen walnut appears to float over a gunmetal-finished iron base for slim, angular appeal. Place next to a favorite easy chair for stylish convenience.</t>
  </si>
  <si>
    <t>{"value":45.72,"unit":"lb"}</t>
  </si>
  <si>
    <t>Hudson</t>
  </si>
  <si>
    <t>https://dd3ka9h4chfr8.cloudfront.net/image/725136000567/image_a8ghhlreqh2dl87mjef4bpva0v/-FJPG/UWES-111A_FRT_1.jpg;https://dd3ka9h4chfr8.cloudfront.net/image/725136000567/image_k8ng2epvd14pvb8qfo00uukv0k/-FJPG/UWES-111A_PRM_1.jpg;https://dd3ka9h4chfr8.cloudfront.net/image/725136000567/image_2ou7ptsaad61p2utlnltp8242f/-FJPG/UWES-111A_SID_1.jpg;https://dd3ka9h4chfr8.cloudfront.net/image/725136000567/image_51u7r0ilj93lr8ka6kn6oou66k/-FJPG/UWES-111A_DET_2.jpg;https://dd3ka9h4chfr8.cloudfront.net/image/725136000567/image_pu8hnh63d90018utuk5bb5tv0k/-FJPG/UWES-111A_BCK_1.jpg;https://dd3ka9h4chfr8.cloudfront.net/image/725136000567/image_uvhqncrtt91ef5f7d01ig1l41o/-FJPG/UWES-111A_DET_1.jpg;https://dd3ka9h4chfr8.cloudfront.net/image/725136000567/image_rv9m0r3m054gd1jj8e30pfhc2v/-FJPG/UWES-111A_DET_3.jpg;https://dd3ka9h4chfr8.cloudfront.net/image/725136000567/image_0hpfgv74o11gla2q7sjt9i4a16/-FJPG/UWES-111A_DET_4.jpg;https://dd3ka9h4chfr8.cloudfront.net/image/725136000567/image_jq2lg54gp512la0n10u8r2nm2l/-FJPG/UWES-111A_DET_5.jpg</t>
  </si>
  <si>
    <t>UWES-111A</t>
  </si>
  <si>
    <t>https://dd3ka9h4chfr8.cloudfront.net/image/725136000567/image_a8ghhlreqh2dl87mjef4bpva0v/-FJPG/UWES-111A_FRT_1.jpg</t>
  </si>
  <si>
    <t>["Thick Eucalyptus Veneer","Iron"]</t>
  </si>
  <si>
    <t>Bronzed Iron</t>
  </si>
  <si>
    <t>Highs and lows capture movement in this high-impact C-table. Natural yukas appears to float over a bronzed iron base for slim, angular appeal.</t>
  </si>
  <si>
    <t>https://dd3ka9h4chfr8.cloudfront.net/image/725136000567/image_7iepsnloh52dbes61muvov9546/-FJPG/UWES-111_FRT_1.jpg;https://dd3ka9h4chfr8.cloudfront.net/image/725136000567/image_0v8h8ecc7d2s731epekhu6e514/-FJPG/UWES-111_PRM_1.jpg;https://dd3ka9h4chfr8.cloudfront.net/image/725136000567/image_ukbq0sfajd131eukq7k1rtu718/-FJPG/UWES-111_SID_1.jpg;https://dd3ka9h4chfr8.cloudfront.net/image/725136000567/image_khdi74sa1168n1iuvqvf544i5h/-FJPG/UWES-111_DET_2.jpg;https://dd3ka9h4chfr8.cloudfront.net/image/725136000567/image_75744qg55p02teeocdq7atl45k/-FJPG/UWES-111_BCK_1.jpg;https://dd3ka9h4chfr8.cloudfront.net/image/725136000567/image_ag54a3glil1s5fj0kl0tt3k32q/-FJPG/UWES-111_DET_1.jpg;https://dd3ka9h4chfr8.cloudfront.net/image/725136000567/image_0c14dmp49d5ln9pui0je2mp36a/-FJPG/UWES-111_DET_3.jpg;https://dd3ka9h4chfr8.cloudfront.net/image/725136000567/image_n6488gvj4d1ij407affis2k01k/-FJPG/UWES-111_DET_4.jpg;https://dd3ka9h4chfr8.cloudfront.net/image/725136000567/image_m1gi51acj1353ecrlbnq381220/-FJPG/UWES-111_DET_5.jpg;https://dd3ka9h4chfr8.cloudfront.net/image/725136000567/image_uacmk06e0t6e3fvj1rjtbtc525/-FJPG/UWES-111_ROM_1.jpg</t>
  </si>
  <si>
    <t>Spalted Primavera</t>
  </si>
  <si>
    <t>UWES-111</t>
  </si>
  <si>
    <t>48.72</t>
  </si>
  <si>
    <t>https://dd3ka9h4chfr8.cloudfront.net/image/725136000567/image_7iepsnloh52dbes61muvov9546/-FJPG/UWES-111_FRT_1.jpg</t>
  </si>
  <si>
    <t>Highs and lows capture movement in this high-impact C-table. Spalted primavera seems to float over a gold-brushed iron base for slim, angular appeal.</t>
  </si>
  <si>
    <t>Hudson Large Coffee Table</t>
  </si>
  <si>
    <t>https://dd3ka9h4chfr8.cloudfront.net/image/725136000567/image_spupq6jaj50fn0srjuunr6e703/-FJPG/236589-003_PRM_1.jpg;https://dd3ka9h4chfr8.cloudfront.net/image/725136000567/image_lgmumeq60t5sda9100dj2kk953/-FJPG/236589-003_ESS_1.tif;https://dd3ka9h4chfr8.cloudfront.net/image/725136000567/image_uttq5tbnd56v9b9k1u2730fq05/-FJPG/236589-003_DET_2.jpg;https://dd3ka9h4chfr8.cloudfront.net/image/725136000567/image_gobsgteim5531bfiqoma6feu5b/-FJPG/236589-003_DET_1.jpg;https://dd3ka9h4chfr8.cloudfront.net/image/725136000567/image_k3dep12ii13c7bhacgc4psmd0m/-FJPG/236589-003_DET_3.jpg;https://dd3ka9h4chfr8.cloudfront.net/image/725136000567/image_8sqk8dqhl54sjd6gsd3tqpdd3a/-FJPG/236589-003_TOP_1.jpg</t>
  </si>
  <si>
    <t>236589-003</t>
  </si>
  <si>
    <t>91.05</t>
  </si>
  <si>
    <t>https://dd3ka9h4chfr8.cloudfront.net/image/725136000567/image_spupq6jaj50fn0srjuunr6e703/-FJPG/236589-003_PRM_1.jpg</t>
  </si>
  <si>
    <t>["Thick Walnut Veneer","Solid Pine"]</t>
  </si>
  <si>
    <t>Stunning forces of nature are captured in a coffee table, as smooth walnut wood is finished in an ashen tone and hand-shaped into a cylindrical silhouette. Reflective of woods' natural character, a slight color variance is possible.</t>
  </si>
  <si>
    <t>{"value":62.2,"unit":"in"}</t>
  </si>
  <si>
    <t>{"value":152.89,"unit":"lb"}</t>
  </si>
  <si>
    <t>2.63"</t>
  </si>
  <si>
    <t>50.50"</t>
  </si>
  <si>
    <t>12.63"</t>
  </si>
  <si>
    <t>https://dd3ka9h4chfr8.cloudfront.net/image/725136000567/image_p6v023o0sl1gpdjsmsqg928k3o/-FJPG/236589-002_FRT_1.jpg;https://dd3ka9h4chfr8.cloudfront.net/image/725136000567/image_o9j8ks94l54s7e2063rubl5135/-FJPG/236589-002_PRM_1.jpg;https://dd3ka9h4chfr8.cloudfront.net/image/725136000567/image_a4i1vuglkl70da22cr9ivqv327/-FJPG/236589-002_ESS_1.tif;https://dd3ka9h4chfr8.cloudfront.net/image/725136000567/image_g62173rsn16j54o42l9crk036r/-FJPG/236589-002_DET_2.jpg;https://dd3ka9h4chfr8.cloudfront.net/image/725136000567/image_djg1jfanop0r14p9939o403m11/-FJPG/236589-002_BCK_1.jpg;https://dd3ka9h4chfr8.cloudfront.net/image/725136000567/image_n4oggeutap6g18udk407thec0b/-FJPG/236589-002_DET_1.jpg;https://dd3ka9h4chfr8.cloudfront.net/image/725136000567/image_6righ5gk896nd5j4df9i8t697p/-FJPG/236589-002_DET_3.jpg;https://dd3ka9h4chfr8.cloudfront.net/image/725136000567/image_h1tjp9h91h5a7auu0790c1jq4d/-FJPG/236589-002_TOP_1.jpg;https://dd3ka9h4chfr8.cloudfront.net/image/725136000567/image_dn73qgn08l7djd2ggan3jhsp3j/-FJPG/236589-002_DET_4.jpg;https://dd3ka9h4chfr8.cloudfront.net/image/725136000567/image_eqj9f2ei3p5dd8ragoh1bt1h1u/-FJPG/236589-002_DET_5.jpg;https://dd3ka9h4chfr8.cloudfront.net/image/725136000567/image_04ffa0qjsl791biriomrp85i5o/-FJPG/236589-002_DET_6.jpg</t>
  </si>
  <si>
    <t>236589-002</t>
  </si>
  <si>
    <t>https://dd3ka9h4chfr8.cloudfront.net/image/725136000567/image_p6v023o0sl1gpdjsmsqg928k3o/-FJPG/236589-002_FRT_1.jpg</t>
  </si>
  <si>
    <t>["Thick Eucalyptus Veneer","Solid Pine"]</t>
  </si>
  <si>
    <t>Stunning forces of nature are captured in a coffee table, as natural yukas wood is hand-shaped into a cylindrical silhouette. Reflective of woods' natural character, a slight color variance is possible.</t>
  </si>
  <si>
    <t>https://dd3ka9h4chfr8.cloudfront.net/image/725136000567/image_vivb4cekep7n395abj86hcsd30/-FJPG/236589-001_PRM_1.jpg;https://dd3ka9h4chfr8.cloudfront.net/image/725136000567/image_iek1dd6te13ed8nthiusmrgc1e/-FJPG/236589-001_ESS_1.jpg;https://dd3ka9h4chfr8.cloudfront.net/image/725136000567/image_6e960mdh6d5572h1hfm8vf055g/-FJPG/236589-001_DET_2.jpg;https://dd3ka9h4chfr8.cloudfront.net/image/725136000567/image_0icdka3r4d7rd6vusielrtfm5n/-FJPG/236589-001_DET_1.jpg;https://dd3ka9h4chfr8.cloudfront.net/image/725136000567/image_u1hf2v96d95kb9b7du3bf71c2d/-FJPG/236589-001_DET_3.jpg;https://dd3ka9h4chfr8.cloudfront.net/image/725136000567/image_vmvikg9fsh6ah2qp1cvaii5a61/-FJPG/236589-001_TOP_1.jpg</t>
  </si>
  <si>
    <t>236589-001</t>
  </si>
  <si>
    <t>https://dd3ka9h4chfr8.cloudfront.net/image/725136000567/image_vivb4cekep7n395abj86hcsd30/-FJPG/236589-001_PRM_1.jpg</t>
  </si>
  <si>
    <t>["Thick Primavera Veneer","Solid Pine"]</t>
  </si>
  <si>
    <t>Stunning forces of nature are captured in a coffee table, as spalted primavera wood is hand-shaped into a cylindrical silhouette. Reflective of woods' natural character, a slight color variance is possible.</t>
  </si>
  <si>
    <t>Hudson Large Square Coffee Table</t>
  </si>
  <si>
    <t>https://dd3ka9h4chfr8.cloudfront.net/image/725136000567/image_hrfj4ar43t6858c8b5kq89lj58/-FJPG/237678-003_FRT_1.jpg;https://dd3ka9h4chfr8.cloudfront.net/image/725136000567/image_nl1r3jcr5d6ubcu7jav39n2h4g/-FJPG/237678-003_PRM_1.jpg;https://dd3ka9h4chfr8.cloudfront.net/image/725136000567/image_imm4mphj7p56dcqrmjajnh0d4a/-FJPG/237678-003_SID_1.jpg;https://dd3ka9h4chfr8.cloudfront.net/image/725136000567/image_3f54mi6uph29j1rs90echdg54c/-FJPG/237678-003_DET_2.jpg;https://dd3ka9h4chfr8.cloudfront.net/image/725136000567/image_7469l6ulo55o115kc2maop4i2h/-FJPG/237678-003_BCK_1.jpg;https://dd3ka9h4chfr8.cloudfront.net/image/725136000567/image_s47n9lkl3t1a30greno9qqji1u/-FJPG/237678-003_DET_1.jpg;https://dd3ka9h4chfr8.cloudfront.net/image/725136000567/image_35cvciovqd4k98dr8got90l74i/-FJPG/237678-003_DET_3.jpg;https://dd3ka9h4chfr8.cloudfront.net/image/725136000567/image_id00a2sdpp0o9abqe3b026b81b/-FJPG/237678-003_DET_4.jpg;https://dd3ka9h4chfr8.cloudfront.net/image/725136000567/image_62t5bif2p510j0g3d81v5h4b3a/-FJPG/237678-003_DET_5.jpg;https://dd3ka9h4chfr8.cloudfront.net/image/725136000567/image_tkfq1sblbt23n99a2ttjlp5o7j/-FJPG/237678-003_ESS.tif</t>
  </si>
  <si>
    <t>237678-003</t>
  </si>
  <si>
    <t>120.37</t>
  </si>
  <si>
    <t>https://dd3ka9h4chfr8.cloudfront.net/image/725136000567/image_hrfj4ar43t6858c8b5kq89lj58/-FJPG/237678-003_FRT_1.jpg</t>
  </si>
  <si>
    <t>{"value":192.9,"unit":"lb"}</t>
  </si>
  <si>
    <t>2.38"</t>
  </si>
  <si>
    <t>https://dd3ka9h4chfr8.cloudfront.net/image/725136000567/image_0ej62a9mq96836iurh7ger182n/-FJPG/237678-001_FRT_1.jpg;https://dd3ka9h4chfr8.cloudfront.net/image/725136000567/image_u3p32s1ggp19lasaqifr314d6m/-FJPG/237678-001_PRM_1.jpg;https://dd3ka9h4chfr8.cloudfront.net/image/725136000567/image_ppjd3ed1lt5ipffev373mobe6m/-FJPG/237678-001_SID_1.jpg;https://dd3ka9h4chfr8.cloudfront.net/image/725136000567/image_q3bvt7si8t7un00f69l8qsdh5a/-FJPG/237678-001_ESS.tif;https://dd3ka9h4chfr8.cloudfront.net/image/725136000567/image_omam72h3h52ijbjl9p8hm9ng0u/-FJPG/237678-001_DET_2.jpg;https://dd3ka9h4chfr8.cloudfront.net/image/725136000567/image_sjslsdo6n123tblvucrdhvkq0b/-FJPG/237678-001_BCK_1.jpg;https://dd3ka9h4chfr8.cloudfront.net/image/725136000567/image_isqigvtjnp7657ddq5ovoro02o/-FJPG/237678-001_DET_1.jpg;https://dd3ka9h4chfr8.cloudfront.net/image/725136000567/image_c8tl04vah126f3jtuoka0aqh58/-FJPG/237678-001_DET_3.jpg;https://dd3ka9h4chfr8.cloudfront.net/image/725136000567/image_tjlmh6824l5fn146n0i8jcrp3n/-FJPG/237678-001_DET_4.jpg;https://dd3ka9h4chfr8.cloudfront.net/image/725136000567/image_7oic3d1hmh2glbi40gt9p5p00b/-FJPG/237678-001_DET_5.jpg;https://dd3ka9h4chfr8.cloudfront.net/image/725136000567/image_41ilqsgdjh4utf59smucnpoc3a/-FJPG/237678-001_DET_6.jpg</t>
  </si>
  <si>
    <t>237678-001</t>
  </si>
  <si>
    <t>https://dd3ka9h4chfr8.cloudfront.net/image/725136000567/image_0ej62a9mq96836iurh7ger182n/-FJPG/237678-001_FRT_1.jpg</t>
  </si>
  <si>
    <t>Forces of nature, captured in a coffee table. Natural yukas is hand-shaped into a large, squared silhouette. As each table is unique, a variance in color is to be expected from piece to piece.</t>
  </si>
  <si>
    <t>https://dd3ka9h4chfr8.cloudfront.net/image/725136000567/image_qjg65jfu2h7kfa5kfgvb5bn91e/-FJPG/237678-002_FRT_1.jpg;https://dd3ka9h4chfr8.cloudfront.net/image/725136000567/image_kopratb8cp2sj1uilf44n5572l/-FJPG/237678-002_PRM_1.jpg;https://dd3ka9h4chfr8.cloudfront.net/image/725136000567/image_r3vekddm3h7drac1jcnanpue26/-FJPG/237678-002_SID_1.jpg;https://dd3ka9h4chfr8.cloudfront.net/image/725136000567/image_3rti5qpt454sd091sb89b0qa0p/-FJPG/237678-002_ESS.tif;https://dd3ka9h4chfr8.cloudfront.net/image/725136000567/image_1aeolen1u921j6uq4e53eugs3b/-FJPG/237678-002_DET_2.jpg;https://dd3ka9h4chfr8.cloudfront.net/image/725136000567/image_bu1v7thq7h1rt3qvju8mrb180u/-FJPG/237678-002_BCK_1.jpg;https://dd3ka9h4chfr8.cloudfront.net/image/725136000567/image_t27727fd756kb71rrjd9hdqg4r/-FJPG/Color Variance Card_Hudson Spalted Primavera-01.jpg;https://dd3ka9h4chfr8.cloudfront.net/image/725136000567/image_sbol2q07rh4d7527v9ijgjs21c/-FJPG/237678-002_DET_1.jpg;https://dd3ka9h4chfr8.cloudfront.net/image/725136000567/image_14iccvrimh58na3glliooute16/-FJPG/237678-002_DET_3.jpg;https://dd3ka9h4chfr8.cloudfront.net/image/725136000567/image_h0lf4muvc17bhaoqf1pbakd77b/-FJPG/237678-002_TOP_1.jpg;https://dd3ka9h4chfr8.cloudfront.net/image/725136000567/image_k11ofpdo8p5p1dir0c80pha40h/-FJPG/237678-002_DET_4.jpg;https://dd3ka9h4chfr8.cloudfront.net/image/725136000567/image_1gqnoelmil1o9bj6ql1pokhg1f/-FJPG/237678-002_DET_5.jpg</t>
  </si>
  <si>
    <t>237678-002</t>
  </si>
  <si>
    <t>https://dd3ka9h4chfr8.cloudfront.net/image/725136000567/image_qjg65jfu2h7kfa5kfgvb5bn91e/-FJPG/237678-002_FRT_1.jpg</t>
  </si>
  <si>
    <t>Hudson Round Coffee Table</t>
  </si>
  <si>
    <t>https://dd3ka9h4chfr8.cloudfront.net/image/725136000567/image_sldkevq0hp4730e12ri6uvt27s/-FJPG/107550-007_PRM_1.jpg;https://dd3ka9h4chfr8.cloudfront.net/image/725136000567/image_jkk541pc8l4kf5t3a4amgfci3f/-FJPG/107550-007_ESS_1.jpg;https://dd3ka9h4chfr8.cloudfront.net/image/725136000567/image_02jthqul2l5bhb8uppmlq75213/-FJPG/107550-007_DET_2.jpg;https://dd3ka9h4chfr8.cloudfront.net/image/725136000567/image_e5c9uftg455jp975eqei3vch0r/-FJPG/Color Variance Card_Ashen Walnut.jpg;https://dd3ka9h4chfr8.cloudfront.net/image/725136000567/image_srmpeh2lo52sj4mkl3jg2rg270/-FJPG/107550-007_DET_1.jpg;https://dd3ka9h4chfr8.cloudfront.net/image/725136000567/image_uq5f30sc117u15okbhicnnft3i/-FJPG/107550-007_DET_3.jpg;https://dd3ka9h4chfr8.cloudfront.net/image/725136000567/image_0gnd73u6k16670ot7koljb5f5r/-FJPG/107550-007_TOP_1.jpg;https://dd3ka9h4chfr8.cloudfront.net/image/725136000567/image_3uq3draq694rpdit38st9u4l65/-FJPG/107550-007_DET_5.jpg;https://dd3ka9h4chfr8.cloudfront.net/image/725136000567/image_bubbj0obv50kh198tj4cnle936/-FJPG/107550-007_DET_6.jpg</t>
  </si>
  <si>
    <t>107550-007</t>
  </si>
  <si>
    <t>https://dd3ka9h4chfr8.cloudfront.net/image/725136000567/image_sldkevq0hp4730e12ri6uvt27s/-FJPG/107550-007_PRM_1.jpg</t>
  </si>
  <si>
    <t>Stunning forces of nature are captured in a walnut-finished coffee table, as spalted primavera and yukas woods are hand-shaped into a cylindrical silhouette. Reflective of woods' natural character, a slight color variance is possible.</t>
  </si>
  <si>
    <t>{"value":42.52,"unit":"in"}</t>
  </si>
  <si>
    <t>{"value":92.15,"unit":"lb"}</t>
  </si>
  <si>
    <t>35.35"</t>
  </si>
  <si>
    <t>12.68"</t>
  </si>
  <si>
    <t>https://dd3ka9h4chfr8.cloudfront.net/image/725136000567/image_ss678ji11d0pr1qp6ntghggs35/-FJPG/UWES-103A_PRM_1.jpg;https://dd3ka9h4chfr8.cloudfront.net/image/725136000567/image_68tvp9nqt13lv0acih7pe8sd75/-FJPG/UWES-103A_ESS_1.jpg;https://dd3ka9h4chfr8.cloudfront.net/image/725136000567/image_k5e5284f6l6gn9pvidhq30tf4m/-FJPG/UWES-103A_ESS_2.jpg;https://dd3ka9h4chfr8.cloudfront.net/image/725136000567/image_igtqbd7o192jp9bj9n9thp1754/-FJPG/UWES-103A_DET_2.jpg;https://dd3ka9h4chfr8.cloudfront.net/image/725136000567/image_d606mqde9164lck15poe61e62a/-FJPG/UWES-103A_DET_1.jpg;https://dd3ka9h4chfr8.cloudfront.net/image/725136000567/image_nul8nv02gh2g18qeb83sh1oq6a/-FJPG/UWES-103A_DET_3.jpg;https://dd3ka9h4chfr8.cloudfront.net/image/725136000567/image_th9oc9s0st4377vkn9vg0tfr46/-FJPG/UWES-103A_TOP_1.jpg;https://dd3ka9h4chfr8.cloudfront.net/image/725136000567/image_6k29vc31ol0s386atmkffndl16/-FJPG/UWES-103A_DET_4.jpg;https://dd3ka9h4chfr8.cloudfront.net/image/725136000567/image_o6nksglkt90335qka03kfrht7v/-FJPG/UWES-103A_ROM_1.jpg</t>
  </si>
  <si>
    <t>Natural Yukas Resin</t>
  </si>
  <si>
    <t>UWES-103A</t>
  </si>
  <si>
    <t>https://dd3ka9h4chfr8.cloudfront.net/image/725136000567/image_ss678ji11d0pr1qp6ntghggs35/-FJPG/UWES-103A_PRM_1.jpg</t>
  </si>
  <si>
    <t>Stunning forces of nature are captured in a coffee table. Natural yukas wood is hand-shaped into a cylindrical silhouette, with black resin filling natural graining for dramatic effect. Reflective of woods' unique character, a slight color variance is possible from piece to piece.</t>
  </si>
  <si>
    <t>{"value":98.99,"unit":"lb"}</t>
  </si>
  <si>
    <t>https://dd3ka9h4chfr8.cloudfront.net/image/725136000567/image_uua92ha95p1jlf4qr2ri4v2f2g/-FJPG/UWES-103_FRT_1.jpg;https://dd3ka9h4chfr8.cloudfront.net/image/725136000567/image_682a40cclp6dd7io7ol9dd1g6b/-FJPG/UWES-103_PRM_1.jpg;https://dd3ka9h4chfr8.cloudfront.net/image/725136000567/image_1g67hlamqd00h9r6729uh7sb6l/-FJPG/UWES-103_SID_1.jpg;https://dd3ka9h4chfr8.cloudfront.net/image/725136000567/image_tf2tlqn31p3rpdjbvtnc91gj3j/-FJPG/UWES-103_ESS_1.jpg;https://dd3ka9h4chfr8.cloudfront.net/image/725136000567/image_thd2vbipp12k3aai5jiva3t27b/-FJPG/UWES-103_DET_2.jpg;https://dd3ka9h4chfr8.cloudfront.net/image/725136000567/image_7ivqa0k6k92speu2metv91q62v/-FJPG/UWES-103_DET_1.jpg;https://dd3ka9h4chfr8.cloudfront.net/image/725136000567/image_uhavasv6dt7ub8vcl49rah007t/-FJPG/UWES-103_DET_3.jpg;https://dd3ka9h4chfr8.cloudfront.net/image/725136000567/image_un1lnr2vfd50hb4tu47lovs45e/-FJPG/UWES-103_TOP_1.jpg;https://dd3ka9h4chfr8.cloudfront.net/image/725136000567/image_m7hho7329h4n97fats4tq1uv04/-FJPG/UWES-103_DET_4.jpg;https://dd3ka9h4chfr8.cloudfront.net/image/725136000567/image_l1ctfd512p42nbtav4je6e2q61/-FJPG/UWES-103_ROM_1.jpg;https://dd3ka9h4chfr8.cloudfront.net/image/725136000567/image_0qsj2oj73d26berrgpqfnues0k/-FJPG/UWES-103_ROM_2.jpg</t>
  </si>
  <si>
    <t>UWES-103</t>
  </si>
  <si>
    <t>https://dd3ka9h4chfr8.cloudfront.net/image/725136000567/image_uua92ha95p1jlf4qr2ri4v2f2g/-FJPG/UWES-103_FRT_1.jpg</t>
  </si>
  <si>
    <t>Hudson Round End Table</t>
  </si>
  <si>
    <t>https://dd3ka9h4chfr8.cloudfront.net/image/725136000567/image_n48n39t6h12gb3pbkbts8k1v6h/-FJPG/107578-003_PRM_1.jpg;https://dd3ka9h4chfr8.cloudfront.net/image/725136000567/image_bh4ga81qs5635e99nlce5ls72g/-FJPG/107578-003_ESS_1.jpg;https://dd3ka9h4chfr8.cloudfront.net/image/725136000567/image_grhp74itgt6mndo5g58efe7b38/-FJPG/107578-003_DET_2.jpg;https://dd3ka9h4chfr8.cloudfront.net/image/725136000567/image_e5c9uftg455jp975eqei3vch0r/-FJPG/Color Variance Card_Ashen Walnut.jpg;https://dd3ka9h4chfr8.cloudfront.net/image/725136000567/image_3mf7nma9hd18760sibu9rck325/-FJPG/107578-003_DET_1.jpg;https://dd3ka9h4chfr8.cloudfront.net/image/725136000567/image_38779gkre54mra8rt04cbskl0j/-FJPG/107578-003_TOP_1.jpg;https://dd3ka9h4chfr8.cloudfront.net/image/725136000567/image_ghfjlljsjl7a17ecsbaje0lp1p/-FJPG/107578-003_DET_4.jpg;https://dd3ka9h4chfr8.cloudfront.net/image/725136000567/image_b8m3ad89ld5a1b2h58ii3tn84p/-FJPG/107578-003_DET_5.jpg;https://dd3ka9h4chfr8.cloudfront.net/image/725136000567/image_8l2kcb0r710ohe3k8ml4aec66p/-FJPG/107578-003_DET_6.jpg;https://dd3ka9h4chfr8.cloudfront.net/image/725136000567/image_mfjrpq4ncd6g34qsuqdmehcd0f/-FJPG/107578-003_VIG_1.jpg</t>
  </si>
  <si>
    <t>107578-003</t>
  </si>
  <si>
    <t>https://dd3ka9h4chfr8.cloudfront.net/image/725136000567/image_n48n39t6h12gb3pbkbts8k1v6h/-FJPG/107578-003_PRM_1.jpg</t>
  </si>
  <si>
    <t>Stunning forces of nature are captured in a rounded end table of ashen walnut. Reflective of woods' natural character, a slight color variance is possible from piece to piece.</t>
  </si>
  <si>
    <t>{"value":41.01,"unit":"lb"}</t>
  </si>
  <si>
    <t>9.88"</t>
  </si>
  <si>
    <t>https://dd3ka9h4chfr8.cloudfront.net/image/725136000567/image_8bie4kgb353v1fnabmiabrg03u/-FJPG/UWES-201A_PRM_1.jpg;https://dd3ka9h4chfr8.cloudfront.net/image/725136000567/image_6oqrsossal10h1eom28gvvuv3r/-FJPG/UWES-201A_DET_2.jpg;https://dd3ka9h4chfr8.cloudfront.net/image/725136000567/image_2r41qa2dvt28585akg0hrgt75a/-FJPG/UWES-201A_DET_1.jpg;https://dd3ka9h4chfr8.cloudfront.net/image/725136000567/image_c4j8ig615t7hd7gmj7qhldb420/-FJPG/UWES-201A_DET_3.jpg;https://dd3ka9h4chfr8.cloudfront.net/image/725136000567/image_m326elj1693vb4n6fd7unk110q/-FJPG/UWES-201A_DET_4.jpg</t>
  </si>
  <si>
    <t>UWES-201A</t>
  </si>
  <si>
    <t>https://dd3ka9h4chfr8.cloudfront.net/image/725136000567/image_8bie4kgb353v1fnabmiabrg03u/-FJPG/UWES-201A_PRM_1.jpg</t>
  </si>
  <si>
    <t>https://dd3ka9h4chfr8.cloudfront.net/image/725136000567/image_mhcsdbppcp7ff8i7j55rnqnp07/-FJPG/UWES-201_FRT_1.jpg;https://dd3ka9h4chfr8.cloudfront.net/image/725136000567/image_b89fuhl3kd19lemd8cc80pqj5s/-FJPG/UWES-201_PRM_1.jpg;https://dd3ka9h4chfr8.cloudfront.net/image/725136000567/image_geesdla0k56bnejh3mbsrb2q21/-FJPG/UWES-201_DET_2.jpg;https://dd3ka9h4chfr8.cloudfront.net/image/725136000567/image_ga68rafhqp4195smdv64htl84c/-FJPG/UWES-201_DET_1.jpg;https://dd3ka9h4chfr8.cloudfront.net/image/725136000567/image_r4r8n0lc9t2qrfnuai1122ev3o/-FJPG/UWES-201_DET_3.jpg;https://dd3ka9h4chfr8.cloudfront.net/image/725136000567/image_pllrb65sd91j12tigdsm29ja6p/-FJPG/UWES-201_TOP_1.jpg;https://dd3ka9h4chfr8.cloudfront.net/image/725136000567/image_v5c4nossld67n73505d6iqlu5h/-FJPG/UWES-201_DET_4.jpg;https://dd3ka9h4chfr8.cloudfront.net/image/725136000567/image_tnvk6t8a8h5vpbupt073q1ep3f/-FJPG/UWES-201_DET_8.jpg;https://dd3ka9h4chfr8.cloudfront.net/image/725136000567/image_0e957qc62h6695oiktq5r1gh7f/-FJPG/UWES-201_ROM_1.jpg</t>
  </si>
  <si>
    <t>UWES-201</t>
  </si>
  <si>
    <t>https://dd3ka9h4chfr8.cloudfront.net/image/725136000567/image_mhcsdbppcp7ff8i7j55rnqnp07/-FJPG/UWES-201_FRT_1.jpg</t>
  </si>
  <si>
    <t>Hudson Square Coffee Table</t>
  </si>
  <si>
    <t>https://dd3ka9h4chfr8.cloudfront.net/image/725136000567/image_a6kvdijlk1161eift0j16p7m3q/-FJPG/107581-003_FRT_1.jpg;https://dd3ka9h4chfr8.cloudfront.net/image/725136000567/image_aroeuuj92p6l70102d7ff1a60h/-FJPG/107581-003_PRM_1.jpg;https://dd3ka9h4chfr8.cloudfront.net/image/725136000567/image_ji0b3ttr011650chdee1vm566s/-FJPG/107581-003_ESS_1.jpg;https://dd3ka9h4chfr8.cloudfront.net/image/725136000567/image_5974moqk5p2ub4olpsppf15p5k/-FJPG/107581-003_DET_2.jpg;https://dd3ka9h4chfr8.cloudfront.net/image/725136000567/image_e5c9uftg455jp975eqei3vch0r/-FJPG/Color Variance Card_Ashen Walnut.jpg;https://dd3ka9h4chfr8.cloudfront.net/image/725136000567/image_iroc71e0lt0i3bfd1l5mtit84g/-FJPG/107581-003_DET_1.jpg;https://dd3ka9h4chfr8.cloudfront.net/image/725136000567/image_dvl16s1n615cr039ph0la7871t/-FJPG/107581-003_DET_3.jpg;https://dd3ka9h4chfr8.cloudfront.net/image/725136000567/image_81dt7s30ih4qtaeb0btgur7c7p/-FJPG/107581-003_TOP_1.jpg;https://dd3ka9h4chfr8.cloudfront.net/image/725136000567/image_gstbq0b59p7lhetap39gj41v5r/-FJPG/107581-003_DET_5.jpg;https://dd3ka9h4chfr8.cloudfront.net/image/725136000567/image_fifsrg8ndd7hhc6b91h7cpoi72/-FJPG/107581-003_DET_6.jpg</t>
  </si>
  <si>
    <t>107581-003</t>
  </si>
  <si>
    <t>https://dd3ka9h4chfr8.cloudfront.net/image/725136000567/image_a6kvdijlk1161eift0j16p7m3q/-FJPG/107581-003_FRT_1.jpg</t>
  </si>
  <si>
    <t>Stunning forces of nature, captured in a coffee table. Ashen walnut is hand-shaped into a cleanly squared silhouette. Reflective of woods' natural character, a slight color variance is possible from piece to piece.</t>
  </si>
  <si>
    <t>https://dd3ka9h4chfr8.cloudfront.net/image/725136000567/image_9n4lcu0phh14vdssbiam04ce43/-FJPG/UWES-214A_FRT_1.jpg;https://dd3ka9h4chfr8.cloudfront.net/image/725136000567/image_c16n2gme397tf19dg0cpela42u/-FJPG/UWES-214A_PRM_1.jpg;https://dd3ka9h4chfr8.cloudfront.net/image/725136000567/image_qngo07uoc907v7vm8snsotdt4h/-FJPG/UWES-214A_DET_2.jpg;https://dd3ka9h4chfr8.cloudfront.net/image/725136000567/image_2v8bbd37lp33h0saabfsv3181b/-FJPG/UWES-214A_DET_1.jpg;https://dd3ka9h4chfr8.cloudfront.net/image/725136000567/image_uptlnbpu5d54lf932nb2v2lf0b/-FJPG/UWES-214A_DET_3.jpg;https://dd3ka9h4chfr8.cloudfront.net/image/725136000567/image_20msrt8adh073dkkpinepjrf71/-FJPG/UWES-214A_TOP_1.jpg;https://dd3ka9h4chfr8.cloudfront.net/image/725136000567/image_mqjj1jocch1qt94lplcb8fpj3u/-FJPG/UWES-214A_DET_4.jpg;https://dd3ka9h4chfr8.cloudfront.net/image/725136000567/image_660srf2hcl3337t3v47aq55t3c/-FJPG/UWES-214A_DET_5.jpg</t>
  </si>
  <si>
    <t>UWES-214A</t>
  </si>
  <si>
    <t>https://dd3ka9h4chfr8.cloudfront.net/image/725136000567/image_9n4lcu0phh14vdssbiam04ce43/-FJPG/UWES-214A_FRT_1.jpg</t>
  </si>
  <si>
    <t>https://dd3ka9h4chfr8.cloudfront.net/image/725136000567/image_n1etmftmbp06rfpp4hdqpukv27/-FJPG/UWES-214_FRT_1.jpg;https://dd3ka9h4chfr8.cloudfront.net/image/725136000567/image_73qo5e71n94bt8p7k7l44q4m0s/-FJPG/UWES-214_PRM_1.jpg;https://dd3ka9h4chfr8.cloudfront.net/image/725136000567/image_dcrihkqkdd6hn45bf76005085r/-FJPG/UWES-214_DET_2.jpg;https://dd3ka9h4chfr8.cloudfront.net/image/725136000567/image_a14tlku76l2956cs0jnqbcua56/-FJPG/UWES-214_DET_1.jpg;https://dd3ka9h4chfr8.cloudfront.net/image/725136000567/image_1ule14k2qh5ud0khpqp0j6cr4o/-FJPG/UWES-214_DET_3.jpg;https://dd3ka9h4chfr8.cloudfront.net/image/725136000567/image_a8iimsk3tl6ar0cl9chrt4at2j/-FJPG/UWES-214_TOP_1.jpg;https://dd3ka9h4chfr8.cloudfront.net/image/725136000567/image_nfngho23dh7ur49v671sp6sv5m/-FJPG/UWES-214_DET_4.jpg;https://dd3ka9h4chfr8.cloudfront.net/image/725136000567/image_7r2r9376717lb2ofnubqbm886l/-FJPG/UWES-214_DET_5.jpg;https://dd3ka9h4chfr8.cloudfront.net/image/725136000567/image_jh46dedabd7br8k4g34jpnjb06/-FJPG/UWES-214_DET_6.jpg;https://dd3ka9h4chfr8.cloudfront.net/image/725136000567/image_j2mbfnnsh55c9foqn2q920q957/-FJPG/UWES-214_ROM_1.jpg</t>
  </si>
  <si>
    <t>UWES-214</t>
  </si>
  <si>
    <t>https://dd3ka9h4chfr8.cloudfront.net/image/725136000567/image_n1etmftmbp06rfpp4hdqpukv27/-FJPG/UWES-214_FRT_1.jpg</t>
  </si>
  <si>
    <t>Stunning forces of nature, captured in a coffee table. Spalted primavera is hand-shaped into a cleanly squared silhouette. Reflective of woods' natural character, a slight color variance is possible from piece to piece.</t>
  </si>
  <si>
    <t>Huxley Coffee Table</t>
  </si>
  <si>
    <t>https://dd3ka9h4chfr8.cloudfront.net/image/725136000567/image_82as11vl7151ta5dcafi2m330j/-FJPG/241301-002_FRT_1.jpg;https://dd3ka9h4chfr8.cloudfront.net/image/725136000567/image_m0g1m6ln1p4c32818i9vf9jm50/-FJPG/241301-002_PRM_1.jpg;https://dd3ka9h4chfr8.cloudfront.net/image/725136000567/image_baojs9f42h7dlcouqmubeu1o5f/-FJPG/241301-002_SID_1.jpg;https://dd3ka9h4chfr8.cloudfront.net/image/725136000567/image_hcagtc90h14p54277tpnmjsb14/-FJPG/241301-002_DET_2.jpg;https://dd3ka9h4chfr8.cloudfront.net/image/725136000567/image_5fve1dddg57kpfvk5dvg9v8h22/-FJPG/241301-002_DET_1.jpg;https://dd3ka9h4chfr8.cloudfront.net/image/725136000567/image_lti4u29vqh2qnfuhr43v4fc963/-FJPG/241301-002_DET_3.jpg;https://dd3ka9h4chfr8.cloudfront.net/image/725136000567/image_k549dtia090ld6gph1toqh421r/-FJPG/241301-002_TOP_1.jpg;https://dd3ka9h4chfr8.cloudfront.net/image/725136000567/image_sfj2u9v2i53tvbtum5j90joc6s/-FJPG/241301-002_DET_4.jpg;https://dd3ka9h4chfr8.cloudfront.net/image/725136000567/image_dn9u69gdtt3d3emrne006tv216/-FJPG/241301-002_DET_5.jpg</t>
  </si>
  <si>
    <t>241301-002</t>
  </si>
  <si>
    <t>85.98</t>
  </si>
  <si>
    <t>https://dd3ka9h4chfr8.cloudfront.net/image/725136000567/image_82as11vl7151ta5dcafi2m330j/-FJPG/241301-002_FRT_1.jpg</t>
  </si>
  <si>
    <t>Coffee Table - Top</t>
  </si>
  <si>
    <t>{"value":25.39,"unit":"in"}</t>
  </si>
  <si>
    <t>{"value":17.91,"unit":"in"}</t>
  </si>
  <si>
    <t>{"value":44.09,"unit":"lb"}</t>
  </si>
  <si>
    <t>Huxley</t>
  </si>
  <si>
    <t>22.32"</t>
  </si>
  <si>
    <t>15.31"</t>
  </si>
  <si>
    <t>9.40"</t>
  </si>
  <si>
    <t>Huxley Dining Table</t>
  </si>
  <si>
    <t>https://dd3ka9h4chfr8.cloudfront.net/image/725136000567/image_lkae1v11f54l95m0dppa76717r/-FJPG/241886-002_FRT_1.jpg;https://dd3ka9h4chfr8.cloudfront.net/image/725136000567/image_q5878ggqr537h749qrsftlc13c/-FJPG/241886-002_PRM_1.jpg;https://dd3ka9h4chfr8.cloudfront.net/image/725136000567/image_h8th1u9n391p1713t0enctd848/-FJPG/241886-002_SID_1.jpg;https://dd3ka9h4chfr8.cloudfront.net/image/725136000567/image_b8pimpqkgh61j4a14vdgv8f642/-FJPG/241886-002_DET_2.jpg;https://dd3ka9h4chfr8.cloudfront.net/image/725136000567/image_7sft4451n91ft1he8mjc3i556p/-FJPG/241886-002_DET_1.jpg;https://dd3ka9h4chfr8.cloudfront.net/image/725136000567/image_pefg75g3jl15p7t5bls652d05i/-FJPG/241886-002_DET_3.jpg;https://dd3ka9h4chfr8.cloudfront.net/image/725136000567/image_3ulg0ibngp0397kd0nue1ojb2v/-FJPG/241886-002_TOP_1.jpg;https://dd3ka9h4chfr8.cloudfront.net/image/725136000567/image_k5r5pd77j12qla5nlfrted645s/-FJPG/241886-002_DET_4.jpg;https://dd3ka9h4chfr8.cloudfront.net/image/725136000567/image_3r2nrg7u7927h1tg55asf3k04n/-FJPG/241886-002_DET_5.jpg</t>
  </si>
  <si>
    <t>241886-002</t>
  </si>
  <si>
    <t>199.52</t>
  </si>
  <si>
    <t>https://dd3ka9h4chfr8.cloudfront.net/image/725136000567/image_lkae1v11f54l95m0dppa76717r/-FJPG/241886-002_FRT_1.jpg</t>
  </si>
  <si>
    <t>Table Base</t>
  </si>
  <si>
    <t>{"value":119.05,"unit":"lb"}</t>
  </si>
  <si>
    <t>Tabletop</t>
  </si>
  <si>
    <t>38.98"</t>
  </si>
  <si>
    <t>29.33"</t>
  </si>
  <si>
    <t>4.80"</t>
  </si>
  <si>
    <t>Ilana Cabinet</t>
  </si>
  <si>
    <t>https://dd3ka9h4chfr8.cloudfront.net/image/725136000567/image_vaa1gn85s52fd6vpssmkm1em2u/-FJPG/226718-001_FRT_1.jpg;https://dd3ka9h4chfr8.cloudfront.net/image/725136000567/image_i7c0d6ulf11d16rgfa83n77j34/-FJPG/226718-001_PRM_1.jpg;https://dd3ka9h4chfr8.cloudfront.net/image/725136000567/image_s2fus071gd7brd0b14pk8duc5v/-FJPG/226718-001_SID_1.jpg;https://dd3ka9h4chfr8.cloudfront.net/image/725136000567/image_mblrntluh96ir18i8mdg4as37l/-FJPG/226718-001_ESS_1.jpg;https://dd3ka9h4chfr8.cloudfront.net/image/725136000567/image_glbpted1nt1l959mru1ciuhm0d/-FJPG/226718-001_DET_2.jpg;https://dd3ka9h4chfr8.cloudfront.net/image/725136000567/image_hhoi4nqr3l0d380fuqforco101/-FJPG/226718-001_BCK_1.jpg;https://dd3ka9h4chfr8.cloudfront.net/image/725136000567/image_elof740d3t1hd0u6clshi41h63/-FJPG/226718-001_DET_1.jpg;https://dd3ka9h4chfr8.cloudfront.net/image/725136000567/image_99grh1lmh50h33ijsinf2g1c5u/-FJPG/226718-001_DET_3.jpg;https://dd3ka9h4chfr8.cloudfront.net/image/725136000567/image_k9lj4jvc3p27l2gpumhsifpq2m/-FJPG/226718-001_OPN_1.jpg;https://dd3ka9h4chfr8.cloudfront.net/image/725136000567/image_59gi90b6555e56f0nuhjog031s/-FJPG/226718-001_DET_4.jpg;https://dd3ka9h4chfr8.cloudfront.net/image/725136000567/image_46creed5v1671539sm6c6am538/-FJPG/226718-001_DET_5.jpg;https://dd3ka9h4chfr8.cloudfront.net/image/725136000567/image_i9add3a6092cl62kag18iq4i1g/-FJPG/226718-001_DET_6.jpg;https://dd3ka9h4chfr8.cloudfront.net/image/725136000567/image_qsudnj6ek55vt05sk4ep407b57/-FJPG/226718-001_DET_7.jpg;https://dd3ka9h4chfr8.cloudfront.net/image/725136000567/image_ocm7j468ql79tauncpk3vsp71p/-FJPG/226718-001_ESS_2.jpg</t>
  </si>
  <si>
    <t>Burnished Mindi</t>
  </si>
  <si>
    <t>226718-001</t>
  </si>
  <si>
    <t>236.5</t>
  </si>
  <si>
    <t>https://dd3ka9h4chfr8.cloudfront.net/image/725136000567/image_vaa1gn85s52fd6vpssmkm1em2u/-FJPG/226718-001_FRT_1.jpg</t>
  </si>
  <si>
    <t>["Solid Mindi"]</t>
  </si>
  <si>
    <t>Hamilton</t>
  </si>
  <si>
    <t>Display Cabinets</t>
  </si>
  <si>
    <t>Burnished solid mindi forms a dramatic arch this glass-front cabinetry, with woven natural cane backing for a textural finishing touch.</t>
  </si>
  <si>
    <t>{"value":44.33,"unit":"in"}</t>
  </si>
  <si>
    <t>{"value":21.73,"unit":"in"}</t>
  </si>
  <si>
    <t>{"value":95.67,"unit":"in"}</t>
  </si>
  <si>
    <t>{"value":287.7,"unit":"lb"}</t>
  </si>
  <si>
    <t>36.77"</t>
  </si>
  <si>
    <t>16.89"</t>
  </si>
  <si>
    <t>Ilana</t>
  </si>
  <si>
    <t>80.87"</t>
  </si>
  <si>
    <t>18.39"</t>
  </si>
  <si>
    <t>Display</t>
  </si>
  <si>
    <t>12.87"</t>
  </si>
  <si>
    <t>Inez End Table</t>
  </si>
  <si>
    <t>https://dd3ka9h4chfr8.cloudfront.net/image/725136000567/image_ac65mt2ckp7vlcptim72sjam2p/-FJPG/100091-002_PRM_1.JPG;https://dd3ka9h4chfr8.cloudfront.net/image/725136000567/image_fv7ppnm8a940j32eanhscutq2a/-FJPG/100091-002_ESS.tif;https://dd3ka9h4chfr8.cloudfront.net/image/725136000567/image_9674utk32t4hd535qi9itige45/-FJPG/100091-002_DET_2.JPG;https://dd3ka9h4chfr8.cloudfront.net/image/725136000567/image_g3i6jr1nbt7vd6qm16706rfl47/-FJPG/100091-002_DET_1.JPG;https://dd3ka9h4chfr8.cloudfront.net/image/725136000567/image_k8r74atvsp0m1ftu3pa1aq5q09/-FJPG/100091-002_DET_3.JPG;https://dd3ka9h4chfr8.cloudfront.net/image/725136000567/image_d6tltlhg8t5310j8aug1pkp42d/-FJPG/100091-002_DET_9.tif;https://dd3ka9h4chfr8.cloudfront.net/image/725136000567/image_aptgd4akal44f55j82o2h94j5p/-FJPG/100091-002_VIG_1.jpg</t>
  </si>
  <si>
    <t>100091-002</t>
  </si>
  <si>
    <t>46.3</t>
  </si>
  <si>
    <t>https://dd3ka9h4chfr8.cloudfront.net/image/725136000567/image_ac65mt2ckp7vlcptim72sjam2p/-FJPG/100091-002_PRM_1.JPG</t>
  </si>
  <si>
    <t>Elemental and organic, a drum-style end table offers a stacked silhouette of solid black-finished pine. Woods' oyster cutting is preserved for natural, dramatic effect. Due to materials' natural essence, cracks are to be expected and may develop over time. Knots, color variance and stain will vary from piece to piece â€“ no two are alike.</t>
  </si>
  <si>
    <t>Inez</t>
  </si>
  <si>
    <t>https://dd3ka9h4chfr8.cloudfront.net/image/725136000567/image_d7ioi49q3p6ubau0rvl2f23q5s/-FJPG/100091-003_PRM_1.jpg;https://dd3ka9h4chfr8.cloudfront.net/image/725136000567/image_nh5at54tkl23jf72oh8d4tco0m/-FJPG/100091-003_DET_2.jpg;https://dd3ka9h4chfr8.cloudfront.net/image/725136000567/image_4b9e526stl2jv186m693v08i7k/-FJPG/100091-003_DET_1.jpg;https://dd3ka9h4chfr8.cloudfront.net/image/725136000567/image_b19o8kt2jp18d3f9pue7ajj702/-FJPG/100091-003_DET_3.jpg;https://dd3ka9h4chfr8.cloudfront.net/image/725136000567/image_irv48nkgbd71980dqflvtel90s/-FJPG/100091-003_TOP_1.jpg;https://dd3ka9h4chfr8.cloudfront.net/image/725136000567/image_ept11mbsfh4n74p91rsk8qt525/-FJPG/100091-003_DET_4.jpg;https://dd3ka9h4chfr8.cloudfront.net/image/725136000567/image_nlinnu0qdd78n8t5qfj3ocjg2e/-FJPG/100091-003_DET_5.jpg;https://dd3ka9h4chfr8.cloudfront.net/image/725136000567/image_eq8edvq1d514959vkto9k9994i/-FJPG/100091-003_DET_6.jpg;https://dd3ka9h4chfr8.cloudfront.net/image/725136000567/image_84o75t4i1d4lb958sfrl5tg20u/-FJPG/100091-003_DET_7.jpg;https://dd3ka9h4chfr8.cloudfront.net/image/725136000567/image_93kkv54s1t4b77en1e0jmagp0p/-FJPG/100091-003_DET_8.jpg;https://dd3ka9h4chfr8.cloudfront.net/image/725136000567/image_4uumir1phh265dudaigqgh9k54/-FJPG/100091-003_DET_9.jpg;https://dd3ka9h4chfr8.cloudfront.net/image/725136000567/image_hpc1l35aep7utdr49frl2bla31/-FJPG/100091-003_ROM_1.jpg;https://dd3ka9h4chfr8.cloudfront.net/image/725136000567/image_nqpnsbh8td7u10np77vmj8kb7f/-FJPG/100091-003_ROM_2.jpg;https://dd3ka9h4chfr8.cloudfront.net/image/725136000567/image_8221s28de157h9nbnvragm5d2a/-FJPG/100091-003_VIG_1.jpg</t>
  </si>
  <si>
    <t>100091-003</t>
  </si>
  <si>
    <t>https://dd3ka9h4chfr8.cloudfront.net/image/725136000567/image_d7ioi49q3p6ubau0rvl2f23q5s/-FJPG/100091-003_PRM_1.jpg</t>
  </si>
  <si>
    <t>Elemental and organic, a drum-style end table offers a stacked silhouette of solid black-finished pine. Woods' oyster cutting is preserved for natural, dramatic effect. Due to materials' natural essence, cracks are to be expected and may develop over time. Knots, color variance and stain will vary from piece to piece - no two are alike.</t>
  </si>
  <si>
    <t>Inwood Bed</t>
  </si>
  <si>
    <t>https://dd3ka9h4chfr8.cloudfront.net/image/725136000567/image_23dp6uk8912bt158mrqccenk6d/-FJPG/109378-005_FRT_1.jpg;https://dd3ka9h4chfr8.cloudfront.net/image/725136000567/image_14dk4t6es13pj7n81bpr6i9f2b/-FJPG/109378-005_PRM_1.jpg;https://dd3ka9h4chfr8.cloudfront.net/image/725136000567/image_kdsrdbg6216u3ag8ice5t8i80t/-FJPG/109378-005_SID_1.jpg;https://dd3ka9h4chfr8.cloudfront.net/image/725136000567/image_k32jrlqdmp6cp1kr0qjar0vi1o/-FJPG/109378-005_ESS_1.jpg;https://dd3ka9h4chfr8.cloudfront.net/image/725136000567/image_it92d72o0l0b93jrokjnbr1v69/-FJPG/109378-006_ESS_1.jpg;https://dd3ka9h4chfr8.cloudfront.net/image/725136000567/image_9kqvmjhs514apedkav110v6u2t/-FJPG/109378-005_DET_2.jpg;https://dd3ka9h4chfr8.cloudfront.net/image/725136000567/image_vdf9ubgqm53f16gusima7oam2m/-FJPG/109378-005_BCK_1.jpg;https://dd3ka9h4chfr8.cloudfront.net/image/725136000567/image_6b5orpu95534776rsiap7n541a/-FJPG/109378-005_INF_1.jpg;https://dd3ka9h4chfr8.cloudfront.net/image/725136000567/image_sf7a2uv43d541aqj2dmon9oh68/-FJPG/109378-005_DET_1.jpg;https://dd3ka9h4chfr8.cloudfront.net/image/725136000567/image_tondsdd9cp5gta5vrq4vv2fa23/-FJPG/109378-005_DET_3.jpg;https://dd3ka9h4chfr8.cloudfront.net/image/725136000567/image_at241ih0jl56b83ebik4osd82k/-FJPG/109378-005_DET_4.jpg;https://dd3ka9h4chfr8.cloudfront.net/image/725136000567/image_s7esfavkl13ir0geh8o5m5ft16/-FJPG/109378-005_DET_5.jpg;https://dd3ka9h4chfr8.cloudfront.net/image/725136000567/image_m22fhv579h4efbv63013s5qe0u/-FJPG/109378-005_DET_6.jpg;https://dd3ka9h4chfr8.cloudfront.net/image/725136000567/image_5qglkdhrhl6q304fbo39kf1m7a/-FJPG/109378-005_DET_7.jpg;https://dd3ka9h4chfr8.cloudfront.net/image/725136000567/image_6fpgmrgth96kd88t6q0tm15m7v/-FJPG/109378-005_DET_8.jpg;https://dd3ka9h4chfr8.cloudfront.net/image/725136000567/image_o75c6gefht6r736hp9u5ks3p0i/-FJPG/109378-005_PRM_2.jpg;https://dd3ka9h4chfr8.cloudfront.net/image/725136000567/image_imt934aj8p03ddplvjddtvpe6q/-FJPG/109378-005_SID_2.jpg</t>
  </si>
  <si>
    <t>Merino Porcelain</t>
  </si>
  <si>
    <t>109378-005</t>
  </si>
  <si>
    <t>168.65</t>
  </si>
  <si>
    <t>https://dd3ka9h4chfr8.cloudfront.net/image/725136000567/image_23dp6uk8912bt158mrqccenk6d/-FJPG/109378-005_FRT_1.jpg</t>
  </si>
  <si>
    <t>74.75</t>
  </si>
  <si>
    <t>{"value":74.75,"unit":"in"}</t>
  </si>
  <si>
    <t>95.25</t>
  </si>
  <si>
    <t>43.5</t>
  </si>
  <si>
    <t>Bring a billowy look to the bedroom. Oversized pillow-like cushioning creates the headboard for this low-profile bed, for a grand-but-cozy look.</t>
  </si>
  <si>
    <t>Siderail</t>
  </si>
  <si>
    <t>{"value":82.28,"unit":"in"}</t>
  </si>
  <si>
    <t>{"value":6.89,"unit":"in"}</t>
  </si>
  <si>
    <t>{"value":56.22,"unit":"lb"}</t>
  </si>
  <si>
    <t>{"value":71.26,"unit":"in"}</t>
  </si>
  <si>
    <t>{"value":12.4,"unit":"in"}</t>
  </si>
  <si>
    <t>Footboad/Slat</t>
  </si>
  <si>
    <t>{"value":55.12,"unit":"lb"}</t>
  </si>
  <si>
    <t>Inwood</t>
  </si>
  <si>
    <t>69.13"</t>
  </si>
  <si>
    <t>43.50"</t>
  </si>
  <si>
    <t>74.80"</t>
  </si>
  <si>
    <t>60.71"</t>
  </si>
  <si>
    <t>https://dd3ka9h4chfr8.cloudfront.net/image/725136000567/image_ioait17e2d0vdfh5jc2u1som76/-FJPG/109378-006_FRT_1.jpg;https://dd3ka9h4chfr8.cloudfront.net/image/725136000567/image_dp0hj8dne979t9ae34hvr3i75e/-FJPG/109378-006_PRM_1.jpg;https://dd3ka9h4chfr8.cloudfront.net/image/725136000567/image_idn55hgm1940l0slmq534rt10q/-FJPG/109378-006_SID_1.jpg;https://dd3ka9h4chfr8.cloudfront.net/image/725136000567/image_k32jrlqdmp6cp1kr0qjar0vi1o/-FJPG/109378-005_ESS_1.jpg;https://dd3ka9h4chfr8.cloudfront.net/image/725136000567/image_it92d72o0l0b93jrokjnbr1v69/-FJPG/109378-006_ESS_1.jpg;https://dd3ka9h4chfr8.cloudfront.net/image/725136000567/image_tk1lpqahf93j5e5m7bi8vt8t64/-FJPG/109378-006_DET_2.jpg;https://dd3ka9h4chfr8.cloudfront.net/image/725136000567/image_h5h8tkshp16j7ej3v4d4vuc511/-FJPG/109378-006_BCK_1.jpg;https://dd3ka9h4chfr8.cloudfront.net/image/725136000567/image_hdc7amd3d919ba79c6g4nsp130/-FJPG/109378-006_INF_1.jpg;https://dd3ka9h4chfr8.cloudfront.net/image/725136000567/image_1ah6lpt8ud1plbnbehveug5b3h/-FJPG/109378-006_DET_1.jpg;https://dd3ka9h4chfr8.cloudfront.net/image/725136000567/image_f27m9uf4ql2tj0acgodq84fe2b/-FJPG/109378-006_DET_3.jpg;https://dd3ka9h4chfr8.cloudfront.net/image/725136000567/image_uauhn7s2ad5qjbnj6opvknn50r/-FJPG/109378-006_DET_4.jpg;https://dd3ka9h4chfr8.cloudfront.net/image/725136000567/image_kdv3rgsgqd7s5erdaa090dnm0j/-FJPG/109378-006_DET_5.jpg;https://dd3ka9h4chfr8.cloudfront.net/image/725136000567/image_u6saiqtdhd5jv86da9laeck04p/-FJPG/109378-006_DET_6.jpg;https://dd3ka9h4chfr8.cloudfront.net/image/725136000567/image_1as0rgvvsd4et4ofoaadp81t0f/-FJPG/109378-006_DET_7.jpg;https://dd3ka9h4chfr8.cloudfront.net/image/725136000567/image_eo7vkf02395ip537vda660il18/-FJPG/109378-006_DET_8.jpg</t>
  </si>
  <si>
    <t>109378-006</t>
  </si>
  <si>
    <t>202.82</t>
  </si>
  <si>
    <t>https://dd3ka9h4chfr8.cloudfront.net/image/725136000567/image_ioait17e2d0vdfh5jc2u1som76/-FJPG/109378-006_FRT_1.jpg</t>
  </si>
  <si>
    <t>91</t>
  </si>
  <si>
    <t>{"value":91,"unit":"in"}</t>
  </si>
  <si>
    <t>{"value":60.63,"unit":"lb"}</t>
  </si>
  <si>
    <t>{"value":101.41,"unit":"lb"}</t>
  </si>
  <si>
    <t>{"value":86.22,"unit":"in"}</t>
  </si>
  <si>
    <t>{"value":69.45,"unit":"lb"}</t>
  </si>
  <si>
    <t>85.28"</t>
  </si>
  <si>
    <t>90.94"</t>
  </si>
  <si>
    <t>https://dd3ka9h4chfr8.cloudfront.net/image/725136000567/image_f97h9efpn54fv7k5u72mi6n950/-FJPG/109378-009_FRT_1.jpg;https://dd3ka9h4chfr8.cloudfront.net/image/725136000567/image_j0kqgojrvd7qffqrq479k4v66m/-FJPG/109378-009_PRM_1.jpg;https://dd3ka9h4chfr8.cloudfront.net/image/725136000567/image_8l8gec60it3ad35acqqc2lt75a/-FJPG/109378-009_SID_1.jpg;https://dd3ka9h4chfr8.cloudfront.net/image/725136000567/image_3tv866rh95531fmg15frsabn7i/-FJPG/109378-009_ESS.tif;https://dd3ka9h4chfr8.cloudfront.net/image/725136000567/image_o9ls3uv6d148v9ic096v90gh1k/-FJPG/109378-009_DET_2.jpg;https://dd3ka9h4chfr8.cloudfront.net/image/725136000567/image_ndvt9hvl8d2879rql13jltse29/-FJPG/109378-009_BCK_1.jpg;https://dd3ka9h4chfr8.cloudfront.net/image/725136000567/image_kq0tuq9d8t0erf83bt26sdhj63/-FJPG/109378-009_DET_1.jpg;https://dd3ka9h4chfr8.cloudfront.net/image/725136000567/image_rhe17ksq9d6jlami8e4jub1a4j/-FJPG/109378-009_DET_3.jpg;https://dd3ka9h4chfr8.cloudfront.net/image/725136000567/image_kiirt1fa2911974802vibqo30g/-FJPG/109378-009_DET_4.jpg;https://dd3ka9h4chfr8.cloudfront.net/image/725136000567/image_ns9d9bhqkh3up90ufh2588c259/-FJPG/109378-009_DET_5.jpg;https://dd3ka9h4chfr8.cloudfront.net/image/725136000567/image_cklgmgfgnh5j19vifh6q3acp3t/-FJPG/109378-009_DET_6.jpg;https://dd3ka9h4chfr8.cloudfront.net/image/725136000567/image_ltm9c6s0nt2o1aipr2ihrviv3l/-FJPG/109378-009_DET_7.jpg;https://dd3ka9h4chfr8.cloudfront.net/image/725136000567/image_gn8nn63jmt7od7nrvgttsikg52/-FJPG/109378-009_PRM_2.jpg;https://dd3ka9h4chfr8.cloudfront.net/image/725136000567/image_n8nrltjgf15470b1me7od3a349/-FJPG/109378-009_FRT_2.jpg;https://dd3ka9h4chfr8.cloudfront.net/image/725136000567/image_l5r56shgmt6734stv1294goq54/-FJPG/109378-009_SID_2.jpg</t>
  </si>
  <si>
    <t>109378-009</t>
  </si>
  <si>
    <t>https://dd3ka9h4chfr8.cloudfront.net/image/725136000567/image_f97h9efpn54fv7k5u72mi6n950/-FJPG/109378-009_FRT_1.jpg</t>
  </si>
  <si>
    <t>["76.8% Cotton","23.2% Polyester","Iron"]</t>
  </si>
  <si>
    <t>Bring a billowy look to the bedroom. Oversized pillow-like cushioning creates the headboard for this low-profile bed, for a sophisticated-while-cozy look.</t>
  </si>
  <si>
    <t>Footboard/Slat</t>
  </si>
  <si>
    <t>https://dd3ka9h4chfr8.cloudfront.net/image/725136000567/image_mprtl6n59l4nhdp0722jp0op3l/-FJPG/109378-010_FRT_1.jpg;https://dd3ka9h4chfr8.cloudfront.net/image/725136000567/image_terlminhol3nb83f2ggidr8a4i/-FJPG/109378-010_PRM_1.jpg;https://dd3ka9h4chfr8.cloudfront.net/image/725136000567/image_345movn9l500r3b9hp0f944e6t/-FJPG/109378-010_SID_1.jpg;https://dd3ka9h4chfr8.cloudfront.net/image/725136000567/image_3tv866rh95531fmg15frsabn7i/-FJPG/109378-009_ESS.tif;https://dd3ka9h4chfr8.cloudfront.net/image/725136000567/image_jfg4e08sm12hp0hu5tc2l4da2c/-FJPG/109378-010_DET_2.jpg;https://dd3ka9h4chfr8.cloudfront.net/image/725136000567/image_ldkk6t09at7pba1r0icsu1431b/-FJPG/109378-010_BCK_1.jpg;https://dd3ka9h4chfr8.cloudfront.net/image/725136000567/image_qggmb7vgl11874orpdih43e17v/-FJPG/109378-010_DET_1.jpg;https://dd3ka9h4chfr8.cloudfront.net/image/725136000567/image_l5li0c01md76pbvdo5q063lf3j/-FJPG/109378-010_DET_3.jpg;https://dd3ka9h4chfr8.cloudfront.net/image/725136000567/image_tf96h1c3l941n528p2sc3i6677/-FJPG/109378-010_DET_4.jpg;https://dd3ka9h4chfr8.cloudfront.net/image/725136000567/image_ld8t7bv0ld5iffsot220u76n6g/-FJPG/109378-010_DET_5.jpg;https://dd3ka9h4chfr8.cloudfront.net/image/725136000567/image_2brmub84gp31jfe42bqhglv772/-FJPG/109378-010_DET_6.jpg;https://dd3ka9h4chfr8.cloudfront.net/image/725136000567/image_7bo3i8c7vl1kh9apdq821rij6p/-FJPG/109378-010_DET_7.jpg;https://dd3ka9h4chfr8.cloudfront.net/image/725136000567/image_eoe2b5b1q9583aih11ot6d655q/-FJPG/109378-010_SID_2.jpg;https://dd3ka9h4chfr8.cloudfront.net/image/725136000567/image_i8b4lns7tp5lh48oko9of9fg38/-FJPG/109378-010_FRT_2.jpg;https://dd3ka9h4chfr8.cloudfront.net/image/725136000567/image_fsjgrs3inp3417uka6bdc9674j/-FJPG/109378-010_PRM_2.jpg</t>
  </si>
  <si>
    <t>109378-010</t>
  </si>
  <si>
    <t>https://dd3ka9h4chfr8.cloudfront.net/image/725136000567/image_mprtl6n59l4nhdp0722jp0op3l/-FJPG/109378-010_FRT_1.jpg</t>
  </si>
  <si>
    <t>https://dd3ka9h4chfr8.cloudfront.net/image/725136000567/image_m04q4hpk8h26femh3ilqahlb20/-FJPG/109378-007_FRT_1.jpg;https://dd3ka9h4chfr8.cloudfront.net/image/725136000567/image_n6ivlq7gpd5nt9k1pb7ibhe76o/-FJPG/109378-007_PRM_1.jpg;https://dd3ka9h4chfr8.cloudfront.net/image/725136000567/image_ls2f0ae05t1bf2rot8e327290e/-FJPG/109378-007_SID_1.jpg;https://dd3ka9h4chfr8.cloudfront.net/image/725136000567/image_j8opo5k3ph7mj48q51jsfg6b3n/-FJPG/109378-007_ESS_1.jpg;https://dd3ka9h4chfr8.cloudfront.net/image/725136000567/image_qur77pfvo50o961ituhcfb0r03/-FJPG/109378-007_DET_2.jpg;https://dd3ka9h4chfr8.cloudfront.net/image/725136000567/image_j0eafsp8ad35tc1rv8pqp9rr68/-FJPG/109378-007_BCK_1.jpg;https://dd3ka9h4chfr8.cloudfront.net/image/725136000567/image_6m2tukm4054ctc86jvnt6jk71l/-FJPG/109378-007_DET_1.jpg;https://dd3ka9h4chfr8.cloudfront.net/image/725136000567/image_ssv1ija7ih5sddsbfq0gpvq92p/-FJPG/109378-007_DET_3.jpg;https://dd3ka9h4chfr8.cloudfront.net/image/725136000567/image_cfqbkn0rl95lh9un4i5n5j9g72/-FJPG/109378-007_DET_4.jpg;https://dd3ka9h4chfr8.cloudfront.net/image/725136000567/image_qcslkng2pp26f75tbbd69sg046/-FJPG/109378-007_DET_5.jpg;https://dd3ka9h4chfr8.cloudfront.net/image/725136000567/image_b447vbjt2t5dld4v3s82hit84m/-FJPG/109378-007_DET_6.jpg;https://dd3ka9h4chfr8.cloudfront.net/image/725136000567/image_o9uqcinkk535tc6qkbijc5km2m/-FJPG/109378-007_PRM_2.jpg;https://dd3ka9h4chfr8.cloudfront.net/image/725136000567/image_r0571ncs392c70umdaucfrtb4r/-FJPG/109378-007_FRT_2.jpg;https://dd3ka9h4chfr8.cloudfront.net/image/725136000567/image_vav0arm1jt2ove3ogfnhcdcs4c/-FJPG/109378-007_SID_2.jpg</t>
  </si>
  <si>
    <t>Surrey Taupe</t>
  </si>
  <si>
    <t>109378-007</t>
  </si>
  <si>
    <t>https://dd3ka9h4chfr8.cloudfront.net/image/725136000567/image_m04q4hpk8h26femh3ilqahlb20/-FJPG/109378-007_FRT_1.jpg</t>
  </si>
  <si>
    <t>https://dd3ka9h4chfr8.cloudfront.net/image/725136000567/image_ok1egpvah90pnekb6jdg139j49/-FJPG/109378-008_FRT_1.jpg;https://dd3ka9h4chfr8.cloudfront.net/image/725136000567/image_b3rtrqp71l7mt860og7j0ha75i/-FJPG/109378-008_PRM_1.jpg;https://dd3ka9h4chfr8.cloudfront.net/image/725136000567/image_7b2ml0s3kp7hj9ju45trj8q26b/-FJPG/109378-008_SID_1.jpg;https://dd3ka9h4chfr8.cloudfront.net/image/725136000567/image_j8opo5k3ph7mj48q51jsfg6b3n/-FJPG/109378-007_ESS_1.jpg;https://dd3ka9h4chfr8.cloudfront.net/image/725136000567/image_e6s10epo5t71f2af7rbp4oqk5b/-FJPG/109378-008_DET_2.jpg;https://dd3ka9h4chfr8.cloudfront.net/image/725136000567/image_14adpjqg912o91c5rdq3h93j5q/-FJPG/109378-008_BCK_1.jpg;https://dd3ka9h4chfr8.cloudfront.net/image/725136000567/image_vmt5cl4or10h56bmi0ejm5l67o/-FJPG/109378-008_DET_1.jpg;https://dd3ka9h4chfr8.cloudfront.net/image/725136000567/image_i8ll2bbq651sffr4uptsc37b1n/-FJPG/109378-008_DET_3.jpg;https://dd3ka9h4chfr8.cloudfront.net/image/725136000567/image_ecahof553h50104vqjkkqr8u52/-FJPG/109378-008_DET_4.jpg;https://dd3ka9h4chfr8.cloudfront.net/image/725136000567/image_t238jem6g12gj3ldd1kjmk672v/-FJPG/109378-008_DET_5.jpg;https://dd3ka9h4chfr8.cloudfront.net/image/725136000567/image_fr751hur315vh1i2fcvhh8fo3c/-FJPG/109378-008_DET_6.jpg;https://dd3ka9h4chfr8.cloudfront.net/image/725136000567/image_9d304vo4kd41p6bm6o5gbjcn78/-FJPG/109378-008_PRM_2.jpg;https://dd3ka9h4chfr8.cloudfront.net/image/725136000567/image_r4bs3ibtm959h7t7acni86sm6b/-FJPG/109378-008_FRT_2.jpg;https://dd3ka9h4chfr8.cloudfront.net/image/725136000567/image_n42eroso1p3hrb2tu422j0vp16/-FJPG/109378-008_SID_2.jpg</t>
  </si>
  <si>
    <t>109378-008</t>
  </si>
  <si>
    <t>https://dd3ka9h4chfr8.cloudfront.net/image/725136000567/image_ok1egpvah90pnekb6jdg139j49/-FJPG/109378-008_FRT_1.jpg</t>
  </si>
  <si>
    <t>Ira Chair</t>
  </si>
  <si>
    <t>https://dd3ka9h4chfr8.cloudfront.net/image/725136000567/image_vm39cr74kp77jfi3lr7telo01o/-FJPG/238415-002_FRT_1.JPG;https://dd3ka9h4chfr8.cloudfront.net/image/725136000567/image_5201bmlr7t3v1ele8fnsrisk46/-FJPG/238415-002_PRM_1.JPG;https://dd3ka9h4chfr8.cloudfront.net/image/725136000567/image_g0bkjeqkad42f73vmu71lier13/-FJPG/238415-002_SID_1.JPG;https://dd3ka9h4chfr8.cloudfront.net/image/725136000567/image_9bu9lqiidd7it7stbrq3tck12a/-FJPG/238415-002_ESS.tif;https://dd3ka9h4chfr8.cloudfront.net/image/725136000567/image_9haagetugt1g71vaqc9aod4l0r/-FJPG/238415-002_DET_2.JPG;https://dd3ka9h4chfr8.cloudfront.net/image/725136000567/image_6f146pa27571tdocafavikuv68/-FJPG/238415-002_BCK_1.JPG;https://dd3ka9h4chfr8.cloudfront.net/image/725136000567/image_gn1bmmgn391it0bugh69quud3i/-FJPG/238415-002_DET_1.JPG;https://dd3ka9h4chfr8.cloudfront.net/image/725136000567/image_k3rldgbhc52plfpm7o76as1b0e/-FJPG/238415-002_DET_3.JPG;https://dd3ka9h4chfr8.cloudfront.net/image/725136000567/image_i9hpf1ovh113f13resfsvdhb2i/-FJPG/238415-002_DET_4.JPG;https://dd3ka9h4chfr8.cloudfront.net/image/725136000567/image_n0l23km3fl5ifa93m12vraon6h/-FJPG/238415-002_DET_5.JPG;https://dd3ka9h4chfr8.cloudfront.net/image/725136000567/image_f24de7s79p4rpcoqkl2r8qgr7i/-FJPG/238415-002_DET_6.JPG;https://dd3ka9h4chfr8.cloudfront.net/image/725136000567/image_j2kv7vd77d26369d7qb9sk8u2m/-FJPG/238415-002_DET_9.tif;https://dd3ka9h4chfr8.cloudfront.net/image/725136000567/image_85jjgenab52k35674g6n15857k/-FJPG/238415-002_DET_10.tif</t>
  </si>
  <si>
    <t>Somerton Ash</t>
  </si>
  <si>
    <t>238415-002</t>
  </si>
  <si>
    <t>https://dd3ka9h4chfr8.cloudfront.net/image/725136000567/image_vm39cr74kp77jfi3lr7telo01o/-FJPG/238415-002_FRT_1.JPG</t>
  </si>
  <si>
    <t>{"value":97,"unit":"lb"}</t>
  </si>
  <si>
    <t>Ira</t>
  </si>
  <si>
    <t>Irish Coast Small Tv Console</t>
  </si>
  <si>
    <t>https://dd3ka9h4chfr8.cloudfront.net/image/725136000567/image_m821i84p7t36r8rgg7rklev01b/-FJPG/VICA-24-11_FRT_1.jpg;https://dd3ka9h4chfr8.cloudfront.net/image/725136000567/image_luterh9qn50gl3q0493tr52e3u/-FJPG/VICA-24-11_PRM_1.jpg;https://dd3ka9h4chfr8.cloudfront.net/image/725136000567/image_ss27uvo5dl31beregh4lm9cc4f/-FJPG/VICA-24-11_SID_1.jpg;https://dd3ka9h4chfr8.cloudfront.net/image/725136000567/image_69darfj9ft25d47cnjajiek04f/-FJPG/VICA-24-11_DET_2.jpg;https://dd3ka9h4chfr8.cloudfront.net/image/725136000567/image_7ln2asd6d13rl0hap7bgemqm1c/-FJPG/VICA-24-11_DET_1.jpg;https://dd3ka9h4chfr8.cloudfront.net/image/725136000567/image_48j7oqga6l1a7baasskbe4ca2s/-FJPG/VICA-24-11_DET_3.jpg;https://dd3ka9h4chfr8.cloudfront.net/image/725136000567/image_8ufgtm7erp7h9aggaf96vpmu1i/-FJPG/VICA-24-11_OPN_1.jpg;https://dd3ka9h4chfr8.cloudfront.net/image/725136000567/image_nu3sfqrlb56oh5tab4bq7dis7m/-FJPG/VICA-24-11_DET_4.jpg;https://dd3ka9h4chfr8.cloudfront.net/image/725136000567/image_aj4g74ac1h5kj3j7lbhqdbck4u/-FJPG/VICA-24-11_DET_5.jpg;https://dd3ka9h4chfr8.cloudfront.net/image/725136000567/image_pdetib92j54pr7fijeto7av22j/-FJPG/VICA-24-11_DET_6.jpg</t>
  </si>
  <si>
    <t>Sundried Ash</t>
  </si>
  <si>
    <t>VICA-24-11</t>
  </si>
  <si>
    <t>https://dd3ka9h4chfr8.cloudfront.net/image/725136000567/image_m821i84p7t36r8rgg7rklev01b/-FJPG/VICA-24-11_FRT_1.jpg</t>
  </si>
  <si>
    <t>{"value":20.67,"unit":"in"}</t>
  </si>
  <si>
    <t>Irish Coast</t>
  </si>
  <si>
    <t>Isaac Coffee Table</t>
  </si>
  <si>
    <t>https://dd3ka9h4chfr8.cloudfront.net/image/725136000567/image_snqit4j38l52fa1hbgipviga6p/-FJPG/239832-002_FRT_1.jpg;https://dd3ka9h4chfr8.cloudfront.net/image/725136000567/image_s5mjopu4cd7fd7dfjkrm5e9v74/-FJPG/239832-002_PRM_1.jpg;https://dd3ka9h4chfr8.cloudfront.net/image/725136000567/image_sbttb58ks136n35vh1ou2cpv2g/-FJPG/239832-002_SID_1.jpg;https://dd3ka9h4chfr8.cloudfront.net/image/725136000567/image_ehiqo42u6d7mra2kj1pdnqhj27/-FJPG/239832-002_DET_2.jpg;https://dd3ka9h4chfr8.cloudfront.net/image/725136000567/image_6qae5h09h12it1l8a0urpr674u/-FJPG/239832-002_DET_1.jpg;https://dd3ka9h4chfr8.cloudfront.net/image/725136000567/image_in24a0glrt3qr4mgfdbjuuhd4k/-FJPG/239832-002_DET_3.jpg;https://dd3ka9h4chfr8.cloudfront.net/image/725136000567/image_eoqfcv2u5t2v3a4slfapbop710/-FJPG/239832-002_DET_4.jpg;https://dd3ka9h4chfr8.cloudfront.net/image/725136000567/image_8nthvqe66d0o373f7dmk7plk0l/-FJPG/239832-002_DET_5.jpg</t>
  </si>
  <si>
    <t>239832-002</t>
  </si>
  <si>
    <t>114.64</t>
  </si>
  <si>
    <t>https://dd3ka9h4chfr8.cloudfront.net/image/725136000567/image_snqit4j38l52fa1hbgipviga6p/-FJPG/239832-002_FRT_1.jpg</t>
  </si>
  <si>
    <t>Coffee Table</t>
  </si>
  <si>
    <t>{"value":10.04,"unit":"in"}</t>
  </si>
  <si>
    <t>{"value":144.4,"unit":"lb"}</t>
  </si>
  <si>
    <t>Isaac</t>
  </si>
  <si>
    <t>40.98"</t>
  </si>
  <si>
    <t>32.87"</t>
  </si>
  <si>
    <t>https://dd3ka9h4chfr8.cloudfront.net/image/725136000567/image_qt2kctbb597pv2idj72629km1v/-FJPG/239832-001_FRT_1.jpg;https://dd3ka9h4chfr8.cloudfront.net/image/725136000567/image_gdargabtid4ll956ca7n44te2v/-FJPG/239832-001_PRM_1.jpg;https://dd3ka9h4chfr8.cloudfront.net/image/725136000567/image_g770j5fit15nn33e9m0nnlqo6s/-FJPG/239832-001_SID_1.jpg;https://dd3ka9h4chfr8.cloudfront.net/image/725136000567/image_jfbsg22ish2rfc5n43j3ic4j58/-FJPG/239832-001_HOV_1.jpg;https://dd3ka9h4chfr8.cloudfront.net/image/725136000567/image_5pau780uu90oleokvritu5v94c/-FJPG/239832-001_DET_2.jpg;https://dd3ka9h4chfr8.cloudfront.net/image/725136000567/image_oar2du23hd33v333mb4eo6gf1n/-FJPG/239832-001_DET_1.jpg;https://dd3ka9h4chfr8.cloudfront.net/image/725136000567/image_i4jd7qkha50b3b2k7ikb2gh00n/-FJPG/239832-001_DET_3.jpg;https://dd3ka9h4chfr8.cloudfront.net/image/725136000567/image_30t7j61dut18b86ad5c9a95l7e/-FJPG/239832-001_DET_4.jpg;https://dd3ka9h4chfr8.cloudfront.net/image/725136000567/image_fb7k02673l1o350aku6te6te6h/-FJPG/239832-001_DET_5.jpg;https://dd3ka9h4chfr8.cloudfront.net/image/725136000567/image_hlk3c9p20h4u9033l24hbjdg7s/-FJPG/239832-001_DET_6.jpg;https://dd3ka9h4chfr8.cloudfront.net/image/725136000567/image_3jpnuctonl6kb0kmkr7adrg013/-FJPG/239832-001_DET_7.jpg;https://dd3ka9h4chfr8.cloudfront.net/image/725136000567/image_fp0hbrqled10tcp8e84sudke04/-FJPG/239832-001_DET_9.tif;https://dd3ka9h4chfr8.cloudfront.net/image/725136000567/image_op8milkpd15df5uqplgbs7bb4e/-FJPG/239832-001_ESS.tif</t>
  </si>
  <si>
    <t>239832-001</t>
  </si>
  <si>
    <t>https://dd3ka9h4chfr8.cloudfront.net/image/725136000567/image_qt2kctbb597pv2idj72629km1v/-FJPG/239832-001_FRT_1.jpg</t>
  </si>
  <si>
    <t>A substantially sized coffee table of smoked black oak features joint and connection construction for a design-forward look. Visible knots and graining add character.</t>
  </si>
  <si>
    <t>Isaac End Table</t>
  </si>
  <si>
    <t>https://dd3ka9h4chfr8.cloudfront.net/image/725136000567/image_cr1lh28bk91cl5b2ekcbhf1i14/-FJPG/239194-002_FRT_1.jpg;https://dd3ka9h4chfr8.cloudfront.net/image/725136000567/image_ipi25h6dll5eh9e6g6c1l0ab58/-FJPG/239194-002_PRM_1.jpg;https://dd3ka9h4chfr8.cloudfront.net/image/725136000567/image_2afabph2eh1evc02bu99jgeo31/-FJPG/239194-002_SID_1.jpg;https://dd3ka9h4chfr8.cloudfront.net/image/725136000567/image_ahghuec2fl2i9e8jk39m96mm4c/-FJPG/239194-002_DET_2.jpg;https://dd3ka9h4chfr8.cloudfront.net/image/725136000567/image_sb8885cubp7vp5hs2od5vkd770/-FJPG/239194-002_DET_1.jpg;https://dd3ka9h4chfr8.cloudfront.net/image/725136000567/image_n7837pnju57k79n91npr86vu1b/-FJPG/239194-002_DET_3.jpg;https://dd3ka9h4chfr8.cloudfront.net/image/725136000567/image_rblpoblmj94kj3f3cu52pmvh2j/-FJPG/239194-002_DET_4.jpg;https://dd3ka9h4chfr8.cloudfront.net/image/725136000567/image_t0e1lcqmeh0h52s0c8uv2v4706/-FJPG/239194-002_DET_5.jpg</t>
  </si>
  <si>
    <t>239194-002</t>
  </si>
  <si>
    <t>45.19</t>
  </si>
  <si>
    <t>https://dd3ka9h4chfr8.cloudfront.net/image/725136000567/image_cr1lh28bk91cl5b2ekcbhf1i14/-FJPG/239194-002_FRT_1.jpg</t>
  </si>
  <si>
    <t>End Table</t>
  </si>
  <si>
    <t>{"value":60.41,"unit":"lb"}</t>
  </si>
  <si>
    <t>https://dd3ka9h4chfr8.cloudfront.net/image/725136000567/image_79rpeg74pt0fp8m5fpo5m7i03m/-FJPG/239194-001_FRT_1.jpg;https://dd3ka9h4chfr8.cloudfront.net/image/725136000567/image_oo9a4ic7gl5n7863nbjnrvsg6p/-FJPG/239194-001_PRM_1.jpg;https://dd3ka9h4chfr8.cloudfront.net/image/725136000567/image_qli50m97ap4f94i9hebhm7413m/-FJPG/239194-001_SID_1.jpg;https://dd3ka9h4chfr8.cloudfront.net/image/725136000567/image_sciru8apg12bjd66idoiap9a3p/-FJPG/239194-001_ESS.tif;https://dd3ka9h4chfr8.cloudfront.net/image/725136000567/image_g5t70hf4d12dt657b7le9j203h/-FJPG/239194-001_HOV_1.jpg;https://dd3ka9h4chfr8.cloudfront.net/image/725136000567/image_ith9duhqg95jrb531ssa2k7u13/-FJPG/239194-001_DET_2.jpg;https://dd3ka9h4chfr8.cloudfront.net/image/725136000567/image_k5atdv27s916f5pqr4m2c3uf6m/-FJPG/239194-001_DET_1.jpg;https://dd3ka9h4chfr8.cloudfront.net/image/725136000567/image_jrd4qdi86t42bavmh81g7tcd3m/-FJPG/239194-001_DET_3.jpg;https://dd3ka9h4chfr8.cloudfront.net/image/725136000567/image_s959p59f8h28r957iqdbpojr33/-FJPG/239194-001_DET_4.jpg;https://dd3ka9h4chfr8.cloudfront.net/image/725136000567/image_l0515qg42h723d06u6p34tok7l/-FJPG/239194-001_DET_5.jpg;https://dd3ka9h4chfr8.cloudfront.net/image/725136000567/image_ml8lv93h8h1mb0ofqt0r2g6o5n/-FJPG/239194-001_DET_6.jpg</t>
  </si>
  <si>
    <t>239194-001</t>
  </si>
  <si>
    <t>https://dd3ka9h4chfr8.cloudfront.net/image/725136000567/image_79rpeg74pt0fp8m5fpo5m7i03m/-FJPG/239194-001_FRT_1.jpg</t>
  </si>
  <si>
    <t>A versatile end table of smoked black oak features joint and connection construction for a design-forward look. Visible knots and graining add character.</t>
  </si>
  <si>
    <t>Isador Executive Desk</t>
  </si>
  <si>
    <t>https://dd3ka9h4chfr8.cloudfront.net/image/725136000567/image_vcjo7jdj4l3lfb3qo60vir9o0k/-FJPG/239731-001_FRT_1.jpg;https://dd3ka9h4chfr8.cloudfront.net/image/725136000567/image_2o15mua1857qjemmntro269m5v/-FJPG/239731-001_PRM_1.jpg;https://dd3ka9h4chfr8.cloudfront.net/image/725136000567/image_f0t23ql65p0t108tc8p2m1h005/-FJPG/239731-001_SID_1.jpg;https://dd3ka9h4chfr8.cloudfront.net/image/725136000567/image_nmf1rmhk8t68re4to3iq8civ12/-FJPG/239731-001_DET_2.jpg;https://dd3ka9h4chfr8.cloudfront.net/image/725136000567/image_7qs813o4hd3e3bdtedh3ij0v78/-FJPG/239731-001_BCK_1.jpg;https://dd3ka9h4chfr8.cloudfront.net/image/725136000567/image_pm6pil19116ode448d9b005g24/-FJPG/239731-001_DET_1.jpg;https://dd3ka9h4chfr8.cloudfront.net/image/725136000567/image_blt67ehpth1f560suho7gnck1u/-FJPG/239731-001_DET_3.jpg;https://dd3ka9h4chfr8.cloudfront.net/image/725136000567/image_hp87h14vjh29b54n2gga8c7g0p/-FJPG/239731-001_OPN_1.jpg;https://dd3ka9h4chfr8.cloudfront.net/image/725136000567/image_2uiavtmut131vbtqfes01bcd4e/-FJPG/239731-001_DET_4.jpg;https://dd3ka9h4chfr8.cloudfront.net/image/725136000567/image_h2p608gta96pr9a5cc95t6441k/-FJPG/239731-001_DET_5.jpg;https://dd3ka9h4chfr8.cloudfront.net/image/725136000567/image_8qatov9pp53rdbvtdqvlunn47d/-FJPG/239731-001_DET_6.jpg;https://dd3ka9h4chfr8.cloudfront.net/image/725136000567/image_m81va0oa9d7ehdoirje5lisg0t/-FJPG/239731-001_DET_7.jpg;https://dd3ka9h4chfr8.cloudfront.net/image/725136000567/image_1vs27f4d2d2djdnmlq3ovrdn7v/-FJPG/239731-001_DET_8.jpg;https://dd3ka9h4chfr8.cloudfront.net/image/725136000567/image_s5gmduhtnh6er82n5qvjpj7r4t/-FJPG/239731-001_VIG_1.jpg</t>
  </si>
  <si>
    <t>Dry Wash Poplar</t>
  </si>
  <si>
    <t>239731-001</t>
  </si>
  <si>
    <t>157.63</t>
  </si>
  <si>
    <t>https://dd3ka9h4chfr8.cloudfront.net/image/725136000567/image_vcjo7jdj4l3lfb3qo60vir9o0k/-FJPG/239731-001_FRT_1.jpg</t>
  </si>
  <si>
    <t>["Solid Poplar","Top Grain Leather"]</t>
  </si>
  <si>
    <t>Toffee Leather</t>
  </si>
  <si>
    <t>Beautifully simple in spirit. Solid dry-washed poplar forms a clean, Seventies-inspired executive desk with dovetail joinery plus iron and leather hardware, for a fresh, material-driven update to Shaker-like styling. Fully finished back grants the option to float desk anywhere in room.</t>
  </si>
  <si>
    <t>{"value":74.21,"unit":"in"}</t>
  </si>
  <si>
    <t>{"value":30.51,"unit":"in"}</t>
  </si>
  <si>
    <t>{"value":177.47,"unit":"lb"}</t>
  </si>
  <si>
    <t>Isador</t>
  </si>
  <si>
    <t>Isador Sideboard</t>
  </si>
  <si>
    <t>https://dd3ka9h4chfr8.cloudfront.net/image/725136000567/image_p4tkjiorkh74ha6h1b542d652q/-FJPG/223759-001_FRT_1.jpg;https://dd3ka9h4chfr8.cloudfront.net/image/725136000567/image_4mfnr2e3md22b9npokkgct5a29/-FJPG/223759-001_PRM_1.jpg;https://dd3ka9h4chfr8.cloudfront.net/image/725136000567/image_6coreo8v710q3df14uq2kq4n0d/-FJPG/223759-001_SID_1.jpg;https://dd3ka9h4chfr8.cloudfront.net/image/725136000567/image_o67rlfmkit7br2tcok9l6ln91h/-FJPG/223759-001_ESS_1.jpg;https://dd3ka9h4chfr8.cloudfront.net/image/725136000567/image_t5l0c3mrg557d571b5j3tale6r/-FJPG/223759-001_DET_2.jpg;https://dd3ka9h4chfr8.cloudfront.net/image/725136000567/image_ci9p6tn7gl10r8kqdsjboam72f/-FJPG/223759-001_BCK_1.jpg;https://dd3ka9h4chfr8.cloudfront.net/image/725136000567/image_boqdamj5rp47regavfjevuam7t/-FJPG/223759-001_DET_1.jpg;https://dd3ka9h4chfr8.cloudfront.net/image/725136000567/image_abto41ehtd7u53lclmcnd0cj7n/-FJPG/223759-001_DET_3.jpg;https://dd3ka9h4chfr8.cloudfront.net/image/725136000567/image_r4sdd3nocp5in7hfjovtehul5d/-FJPG/223759-001_OPN_1.jpg;https://dd3ka9h4chfr8.cloudfront.net/image/725136000567/image_qbg3iom13d0ej4bi04v275g445/-FJPG/223759-001_DET_4.jpg;https://dd3ka9h4chfr8.cloudfront.net/image/725136000567/image_ie0st1gtph04d9jq5jf81ia74u/-FJPG/223759-001_DET_5.jpg;https://dd3ka9h4chfr8.cloudfront.net/image/725136000567/image_r09fj7a7u90lhfs0u9f9i1pr14/-FJPG/223759-001_DET_6.jpg;https://dd3ka9h4chfr8.cloudfront.net/image/725136000567/image_u37dsaupsh5lfaa3hutte4614v/-FJPG/223759-001_DET_7.jpg</t>
  </si>
  <si>
    <t>223759-001</t>
  </si>
  <si>
    <t>https://dd3ka9h4chfr8.cloudfront.net/image/725136000567/image_p4tkjiorkh74ha6h1b542d652q/-FJPG/223759-001_FRT_1.jpg</t>
  </si>
  <si>
    <t>Beautifully simple in spirit. Solid dry-washed poplar forms a clean, Parsons-style sideboard with faux dovetail joinery plus iron and leather hardware, for a fresh, material-driven update to Shaker-inspired styling. Rear cutouts for cord management.</t>
  </si>
  <si>
    <t>35.43"</t>
  </si>
  <si>
    <t>14.57"</t>
  </si>
  <si>
    <t>6.61"</t>
  </si>
  <si>
    <t>Issa Chair</t>
  </si>
  <si>
    <t>https://dd3ka9h4chfr8.cloudfront.net/image/725136000567/image_l2d563ie0l3152fbkf2cvd1b13/-FJPG/241145-001_FRT_1.jpg;https://dd3ka9h4chfr8.cloudfront.net/image/725136000567/image_svmhi4uhqt3jldt13d132nt93p/-FJPG/241145-001_PRM_1.jpg;https://dd3ka9h4chfr8.cloudfront.net/image/725136000567/image_pab1qgh37t0hb0aiuijr9oga0l/-FJPG/241145-001_SID_1.jpg;https://dd3ka9h4chfr8.cloudfront.net/image/725136000567/image_j7tlqbarq9497bbv81lv5b7554/-FJPG/241145-001_HOV_1.jpg;https://dd3ka9h4chfr8.cloudfront.net/image/725136000567/image_7ski2222ml06306lmh2suev377/-FJPG/241145-001_ESS.tif;https://dd3ka9h4chfr8.cloudfront.net/image/725136000567/image_76dvhoi18h1lt1m6805gihcv7c/-FJPG/241145-001_DET_2.jpg;https://dd3ka9h4chfr8.cloudfront.net/image/725136000567/image_6mi82h4bsl2hn1qp7sdjvs3o0s/-FJPG/241145-001_BCK_1.jpg;https://dd3ka9h4chfr8.cloudfront.net/image/725136000567/image_lrd8lahof961p0f80445depg5m/-FJPG/241145-001_DET_1.jpg;https://dd3ka9h4chfr8.cloudfront.net/image/725136000567/image_7lectmko253t1dco34b5ids372/-FJPG/241145-001_DET_3.jpg;https://dd3ka9h4chfr8.cloudfront.net/image/725136000567/image_8po828d8311fvf9kdvfsvjf72m/-FJPG/241145-001_DET_4.jpg;https://dd3ka9h4chfr8.cloudfront.net/image/725136000567/image_5e8g4gjec51k775u2ehujbm72e/-FJPG/241145-001_DET_5.jpg;https://dd3ka9h4chfr8.cloudfront.net/image/725136000567/image_o2481bbgot6cd9mqigdl1tb13b/-FJPG/241145-001_DET_6.jpg;https://dd3ka9h4chfr8.cloudfront.net/image/725136000567/image_f598t2cpbl1il4prncn65v4o5c/-FJPG/241145-001_DET_7.jpg;https://dd3ka9h4chfr8.cloudfront.net/image/725136000567/image_0b86q23cbl3mtdb2p9ns36f05a/-FJPG/241145-001_DET_10.tif;https://dd3ka9h4chfr8.cloudfront.net/image/725136000567/image_9jimrqf0555r380mc4tjem6v50/-FJPG/241145-001_DET_13.tif</t>
  </si>
  <si>
    <t>Carson Black</t>
  </si>
  <si>
    <t>241145-001</t>
  </si>
  <si>
    <t>34.39</t>
  </si>
  <si>
    <t>https://dd3ka9h4chfr8.cloudfront.net/image/725136000567/image_l2d563ie0l3152fbkf2cvd1b13/-FJPG/241145-001_FRT_1.jpg</t>
  </si>
  <si>
    <t>Sierra Brown</t>
  </si>
  <si>
    <t>This polished tri-leg chair features a "floating" seat cushion that has been constructed with spring suspension and a seemingly invisible connection to the legs. With a seat of black top-grain leather and a  wooden frame, the chair evokes monochromatic chic.</t>
  </si>
  <si>
    <t>21.46"</t>
  </si>
  <si>
    <t>Issa</t>
  </si>
  <si>
    <t>18.66"</t>
  </si>
  <si>
    <t>11.85"</t>
  </si>
  <si>
    <t>It Takes An Hour Sideboard</t>
  </si>
  <si>
    <t>https://dd3ka9h4chfr8.cloudfront.net/image/725136000567/image_5d0j9o0q711hj8dnf3e560u11o/-FJPG/242172-001_FRT_1.jpg;https://dd3ka9h4chfr8.cloudfront.net/image/725136000567/image_v73kb5batp2uh19f88ggvkhu1p/-FJPG/242172-001_PRM_1.jpg;https://dd3ka9h4chfr8.cloudfront.net/image/725136000567/image_n88msefndt15jfbqqtckfoka7v/-FJPG/242172-001_SID_1.jpg;https://dd3ka9h4chfr8.cloudfront.net/image/725136000567/image_jj47mfgo6p5oh5gu70flv5se3q/-FJPG/242172-001_ESS_1.tif;https://dd3ka9h4chfr8.cloudfront.net/image/725136000567/image_bt6aur9pe95fb3aq714laftt78/-FJPG/242172-001_DET_2.jpg;https://dd3ka9h4chfr8.cloudfront.net/image/725136000567/image_5fgl3bru251llcltm41srg9q0t/-FJPG/242172-001_BCK_1.jpg;https://dd3ka9h4chfr8.cloudfront.net/image/725136000567/image_d9ar11immp197f5tll06kj0727/-FJPG/242172-001_DET_1.jpg;https://dd3ka9h4chfr8.cloudfront.net/image/725136000567/image_3vnu227blt38b93p04enfmhp53/-FJPG/242172-001_DET_3.jpg;https://dd3ka9h4chfr8.cloudfront.net/image/725136000567/image_mqj66fav7948p3f103jumo9o48/-FJPG/242172-001_OPN_1.jpg;https://dd3ka9h4chfr8.cloudfront.net/image/725136000567/image_2p6f5m3u292t5ae21h34tq2e4b/-FJPG/242172-001_TOP_1.jpg;https://dd3ka9h4chfr8.cloudfront.net/image/725136000567/image_7cola5h2a16s5e8vskrs3d9u2o/-FJPG/242172-001_DET_4.jpg;https://dd3ka9h4chfr8.cloudfront.net/image/725136000567/image_jrn978i55d7bj3i6ktt57m5o2e/-FJPG/242172-001_DET_5.jpg;https://dd3ka9h4chfr8.cloudfront.net/image/725136000567/image_m8bc0sbu8d35580ufr47qu4q57/-FJPG/242172-001_DET_5.tif;https://dd3ka9h4chfr8.cloudfront.net/image/725136000567/image_upvjt1kirt63p0dvatcfkscg5m/-FJPG/242172-001_DET_6.jpg;https://dd3ka9h4chfr8.cloudfront.net/image/725136000567/image_ejf0hei6ll2cb0hrta7m5um24a/-FJPG/242172-001_DET_7.jpg;https://dd3ka9h4chfr8.cloudfront.net/image/725136000567/image_gquvrpqbap6v91krc28loegs7j/-FJPG/242172-001_DET_8.jpg;https://dd3ka9h4chfr8.cloudfront.net/image/725136000567/image_tbh8p3h1413ih2itrvf38ie759/-FJPG/242172-001_DET_9.jpg;https://dd3ka9h4chfr8.cloudfront.net/image/725136000567/image_vd1650rc1l51je4s6ku4e41k0s/-FJPG/242172-001_DET_11.tif;https://dd3ka9h4chfr8.cloudfront.net/image/725136000567/image_vpvdd6lkfl09h083p129dvui0f/-FJPG/242172-001_DET_12.tif</t>
  </si>
  <si>
    <t>Distressed Black</t>
  </si>
  <si>
    <t>242172-001</t>
  </si>
  <si>
    <t>412.26</t>
  </si>
  <si>
    <t>https://dd3ka9h4chfr8.cloudfront.net/image/725136000567/image_5d0j9o0q711hj8dnf3e560u11o/-FJPG/242172-001_FRT_1.jpg</t>
  </si>
  <si>
    <t>["Solid Pine","Zinc Alloy","Pine Veneer"]</t>
  </si>
  <si>
    <t>122</t>
  </si>
  <si>
    <t>{"value":122,"unit":"in"}</t>
  </si>
  <si>
    <t>Van Thiel</t>
  </si>
  <si>
    <t>Aged Bronze</t>
  </si>
  <si>
    <t>Distressed Black Veneer</t>
  </si>
  <si>
    <t>By the makers at Van Thiel, known for their antique-inspired pieces and hand-applied finishes. Influenced by a Chinese antique, this grand-scale sideboard features a simple box frame with subtle leg and hardware details. A worn finish with hand-distressing and chipping throughout gives each piece the look of a handed-down heirloom.</t>
  </si>
  <si>
    <t>{"value":128,"unit":"in"}</t>
  </si>
  <si>
    <t>{"value":513.68,"unit":"lb"}</t>
  </si>
  <si>
    <t>28.11"</t>
  </si>
  <si>
    <t>29.37"</t>
  </si>
  <si>
    <t>It Takes an Hour</t>
  </si>
  <si>
    <t>1.42"</t>
  </si>
  <si>
    <t>29.29"</t>
  </si>
  <si>
    <t>13.11"</t>
  </si>
  <si>
    <t>Jade Accent Bench</t>
  </si>
  <si>
    <t>https://dd3ka9h4chfr8.cloudfront.net/image/725136000567/image_6hr98m4bb57lb7alm8t477st6i/-FJPG/247300-001_FRT_1.JPG;https://dd3ka9h4chfr8.cloudfront.net/image/725136000567/image_dc28lts4el5gnbkvpl8cbigc26/-FJPG/247300-001_PRM_1.JPG;https://dd3ka9h4chfr8.cloudfront.net/image/725136000567/image_ed8tiinocl2l36m6pfhnhqm069/-FJPG/247300-001_SID_1.JPG;https://dd3ka9h4chfr8.cloudfront.net/image/725136000567/image_lots7usacp371aqldnf333fb5k/-FJPG/247300-001_ESS.tif;https://dd3ka9h4chfr8.cloudfront.net/image/725136000567/image_gs6261u7op07p0br9pgjd7432r/-FJPG/247300-001_DET_2.JPG;https://dd3ka9h4chfr8.cloudfront.net/image/725136000567/image_716f06e6894359l24f6l8jc708/-FJPG/247300-001_DET_1.JPG;https://dd3ka9h4chfr8.cloudfront.net/image/725136000567/image_81je7ksksh0uhcs4capjejih16/-FJPG/247300-001_DET_3.JPG;https://dd3ka9h4chfr8.cloudfront.net/image/725136000567/image_nv49a9r7g92lt7760qmq6p322d/-FJPG/247300-001_DET_4.JPG;https://dd3ka9h4chfr8.cloudfront.net/image/725136000567/image_f7jepv2nr567f3o18ch2rn3h6v/-FJPG/247300-001_DET_5.JPG;https://dd3ka9h4chfr8.cloudfront.net/image/725136000567/image_rq08r2rqbl1e3fr44pfj8pgl7h/-FJPG/247300-001_DET_9.tif</t>
  </si>
  <si>
    <t>247300-001</t>
  </si>
  <si>
    <t>https://dd3ka9h4chfr8.cloudfront.net/image/725136000567/image_6hr98m4bb57lb7alm8t477st6i/-FJPG/247300-001_FRT_1.JPG</t>
  </si>
  <si>
    <t>Hammered Bronze</t>
  </si>
  <si>
    <t>Textured Bronze</t>
  </si>
  <si>
    <t>Channel Art Deco with a curved stretcher base of bronzed hammered iron and a velvety seat in a versatile earth tone. Style in the bedroom or entryway to create an extra surface, or in your living space for bonus seating.</t>
  </si>
  <si>
    <t>{"value":22.64,"unit":"in"}</t>
  </si>
  <si>
    <t>Jade</t>
  </si>
  <si>
    <t>68.75"</t>
  </si>
  <si>
    <t>Jarvis Recliner</t>
  </si>
  <si>
    <t>https://dd3ka9h4chfr8.cloudfront.net/image/725136000567/image_umsnshn17d54b78ac3550pgs6s/-FJPG/235331-006_FRT_1.jpg;https://dd3ka9h4chfr8.cloudfront.net/image/725136000567/image_0dqr3sch49205bacgaij5e5502/-FJPG/235331-006_PRM_1.jpg;https://dd3ka9h4chfr8.cloudfront.net/image/725136000567/image_h1m7ua3mdd0ov8o7a53bl1r907/-FJPG/235331-006_SID_1.jpg;https://dd3ka9h4chfr8.cloudfront.net/image/725136000567/image_dn5lashnmd671aivdhqm43qt5i/-FJPG/235331-006_ESS.tif;https://dd3ka9h4chfr8.cloudfront.net/image/725136000567/image_ai0po9f92541v1cq7383po7a4o/-FJPG/235331-006_DET_2.jpg;https://dd3ka9h4chfr8.cloudfront.net/image/725136000567/image_aqlen1ivl51un9bopa01hdf86q/-FJPG/235331-006_BCK_1.jpg;https://dd3ka9h4chfr8.cloudfront.net/image/725136000567/image_sdf5ls42950th476tvorq9l41q/-FJPG/235331-006_DET_1.jpg;https://dd3ka9h4chfr8.cloudfront.net/image/725136000567/image_ucuit13s9l7b32a96k0ut2m34n/-FJPG/235331-006_DET_3.jpg;https://dd3ka9h4chfr8.cloudfront.net/image/725136000567/image_msu9r99rbp7ojcsgvlj6onkt2t/-FJPG/235331-006_DET_4.jpg;https://dd3ka9h4chfr8.cloudfront.net/image/725136000567/image_r3t0t9nma168b02drh7865j67m/-FJPG/235331-006_DET_5.jpg;https://dd3ka9h4chfr8.cloudfront.net/image/725136000567/image_1dtjbpoppt03v6dld2appfhc14/-FJPG/235331-006_DET_6.jpg;https://dd3ka9h4chfr8.cloudfront.net/image/725136000567/image_3dk0k82he14mf9apvpl4r6qn1o/-FJPG/235331-006_DET_7.jpg;https://dd3ka9h4chfr8.cloudfront.net/image/725136000567/image_ptnnr38l957f5c4vijv0ikiq2p/-FJPG/235331-006_DET_8.jpg;https://dd3ka9h4chfr8.cloudfront.net/image/725136000567/image_bdia3j9g610or5jp6feoroo815/-FJPG/235331-006_Extra swatch.jpg;https://dd3ka9h4chfr8.cloudfront.net/image/725136000567/image_rcmm1nsgdd705d1urp77ol5e0f/-FJPG/235331-006_ESS_2.tif;https://dd3ka9h4chfr8.cloudfront.net/image/725136000567/image_tc8b1hs3690ff25mnn8mrn1l11/-FJPG/235331-006_FRT_2.jpg;https://dd3ka9h4chfr8.cloudfront.net/image/725136000567/image_uvi5f4cma57klanivpbn02p95r/-FJPG/235331-006_SID_2.jpg;https://dd3ka9h4chfr8.cloudfront.net/image/725136000567/image_isqutab83p3u5et1b4s131h370/-FJPG/235331-006_PRM_2.jpg</t>
  </si>
  <si>
    <t>235331-006</t>
  </si>
  <si>
    <t>https://dd3ka9h4chfr8.cloudfront.net/image/725136000567/image_umsnshn17d54b78ac3550pgs6s/-FJPG/235331-006_FRT_1.jpg</t>
  </si>
  <si>
    <t>A mix of midcentury and Japanese antique inspiration. The recliner's exposed solid wood frame is flanked by paddle arms that curve into a high back accented with two button tufts. Upholstered in a rich tobacco-hued leather produced at a family-owned tannery in Thailand.</t>
  </si>
  <si>
    <t>{"value":79.15,"unit":"lb"}</t>
  </si>
  <si>
    <t>Jarvis</t>
  </si>
  <si>
    <t>Jefferson Trunk</t>
  </si>
  <si>
    <t>https://dd3ka9h4chfr8.cloudfront.net/image/725136000567/image_ujc4jeifk14nn41ccfj85ki90s/-FJPG/105621-009_FRT_1.jpg;https://dd3ka9h4chfr8.cloudfront.net/image/725136000567/image_ajmotef7591orapbg1e1lfo766/-FJPG/105621-009_PRM_1.jpg;https://dd3ka9h4chfr8.cloudfront.net/image/725136000567/image_ur2j6eulhl21jfjkt42ojhho0v/-FJPG/105621-009_SID_1.jpg;https://dd3ka9h4chfr8.cloudfront.net/image/725136000567/image_eseim4pl7p2070d5k0a1fgt92k/-FJPG/105621-009_DET_2.jpg;https://dd3ka9h4chfr8.cloudfront.net/image/725136000567/image_rngl6d0kft0ujah3ab3kcvav5j/-FJPG/105621-009_BCK_1.jpg;https://dd3ka9h4chfr8.cloudfront.net/image/725136000567/image_ck238pq6cp0ch753k9lgm7ti3v/-FJPG/105621-009_DET_1.jpg;https://dd3ka9h4chfr8.cloudfront.net/image/725136000567/image_9ah4ckae3d7jle75889qjg2d0d/-FJPG/105621-009_DET_3.jpg;https://dd3ka9h4chfr8.cloudfront.net/image/725136000567/image_0fdol8i3u16rn6gqcjfhi9vf0a/-FJPG/105621-009_DET_4.jpg;https://dd3ka9h4chfr8.cloudfront.net/image/725136000567/image_hmvv5f196176j6dnrdfr3qbh30/-FJPG/105621-009_DET_6.jpg;https://dd3ka9h4chfr8.cloudfront.net/image/725136000567/image_0gfabps2g93a5depup2mnsdt5r/-FJPG/105621-009_PRM_2.jpg;https://dd3ka9h4chfr8.cloudfront.net/image/725136000567/image_el4l89j93t07dfnqvpist9837t/-FJPG/105621-009_SID_2.jpg</t>
  </si>
  <si>
    <t>105621-009</t>
  </si>
  <si>
    <t>https://dd3ka9h4chfr8.cloudfront.net/image/725136000567/image_ujc4jeifk14nn41ccfj85ki90s/-FJPG/105621-009_FRT_1.jpg</t>
  </si>
  <si>
    <t>55.5</t>
  </si>
  <si>
    <t>{"value":55.5,"unit":"in"}</t>
  </si>
  <si>
    <t>Bring a hint of Old Hollywood glamour to end-of-bed storage. Faux leather of vintage tobacco features top tufting. Lifts to store blankets and more with ease.</t>
  </si>
  <si>
    <t>{"value":55.91,"unit":"in"}</t>
  </si>
  <si>
    <t>{"value":15.16,"unit":"in"}</t>
  </si>
  <si>
    <t>Jefferson</t>
  </si>
  <si>
    <t>51.93"</t>
  </si>
  <si>
    <t>Jenzen Coffee Table</t>
  </si>
  <si>
    <t>https://dd3ka9h4chfr8.cloudfront.net/image/725136000567/image_foob5llv4p32hf6dbpn9vrap25/-FJPG/247975-001_FRT_1.JPG;https://dd3ka9h4chfr8.cloudfront.net/image/725136000567/image_di9k359tg92652vgphb0ohtk0u/-FJPG/247975-001_PRM_1.JPG;https://dd3ka9h4chfr8.cloudfront.net/image/725136000567/image_pau75oko1d1qp0maftnb1rm710/-FJPG/247975-001_ESS.tif;https://dd3ka9h4chfr8.cloudfront.net/image/725136000567/image_6f3s6s3rc95rldhkr3upeied4k/-FJPG/247975-001_DET_2.JPG;https://dd3ka9h4chfr8.cloudfront.net/image/725136000567/image_8lid6994pl2jrev2a78iruq85a/-FJPG/247975-001_DET_1.JPG;https://dd3ka9h4chfr8.cloudfront.net/image/725136000567/image_8u46u27sud4el95jg7u3refm49/-FJPG/247975-001_DET_3.JPG;https://dd3ka9h4chfr8.cloudfront.net/image/725136000567/image_3p8168t33564d3rq76123ikh5j/-FJPG/247975-001_DET_4.JPG;https://dd3ka9h4chfr8.cloudfront.net/image/725136000567/image_drrt6ep6nl0jv8lu4q9ie07e21/-FJPG/247975-001_DET_9.tif</t>
  </si>
  <si>
    <t>Tempered Glass</t>
  </si>
  <si>
    <t>247975-001</t>
  </si>
  <si>
    <t>120.81</t>
  </si>
  <si>
    <t>https://dd3ka9h4chfr8.cloudfront.net/image/725136000567/image_foob5llv4p32hf6dbpn9vrap25/-FJPG/247975-001_FRT_1.JPG</t>
  </si>
  <si>
    <t>["Tempered Glass","Solid Oak","Oak Veneer"]</t>
  </si>
  <si>
    <t>Drifted Oak</t>
  </si>
  <si>
    <t>Mix materials for a timeless look. Warm, brown oak shapes a unique octagon frame for a tempered glass top. Lower open shelving brings bonus storage and display options to your living space.</t>
  </si>
  <si>
    <t>Jenzen</t>
  </si>
  <si>
    <t>Jeremiah Chair</t>
  </si>
  <si>
    <t>https://dd3ka9h4chfr8.cloudfront.net/image/725136000567/image_55hgm5s6jh55re6i50b5mvta6s/-FJPG/239265-002_FRT_1.jpg;https://dd3ka9h4chfr8.cloudfront.net/image/725136000567/image_eh383028q13m754f0tsgajgp7b/-FJPG/239265-002_PRM_1.jpg;https://dd3ka9h4chfr8.cloudfront.net/image/725136000567/image_p86nvslvkt2m5fstbp2q840m5k/-FJPG/239265-002_SID_1.jpg;https://dd3ka9h4chfr8.cloudfront.net/image/725136000567/image_2b6n553vjl42lac59aiebkea4o/-FJPG/239265-002_ESS_1.tif;https://dd3ka9h4chfr8.cloudfront.net/image/725136000567/image_l6g2l1f2i56ob4kt59sjt2b92v/-FJPG/239265-002_DET_2.jpg;https://dd3ka9h4chfr8.cloudfront.net/image/725136000567/image_cqq5dks7917p56a9m4m5iodt6i/-FJPG/239265-002_BCK_1.jpg;https://dd3ka9h4chfr8.cloudfront.net/image/725136000567/image_p6poh8aam12gheq5ab187phb0g/-FJPG/239265-002_DET_1.jpg;https://dd3ka9h4chfr8.cloudfront.net/image/725136000567/image_rguno2i1vd30t5fmbbkhs79u0s/-FJPG/239265-002_DET_3.jpg;https://dd3ka9h4chfr8.cloudfront.net/image/725136000567/image_6ofocp9j5d4urfh2ivhfrl753h/-FJPG/239265-002_DET_4.jpg;https://dd3ka9h4chfr8.cloudfront.net/image/725136000567/image_ojn43psjp917hbujic87af5f6u/-FJPG/239265-002_DET_9.tif;https://dd3ka9h4chfr8.cloudfront.net/image/725136000567/image_k57mm8rb416unbo47bon80d71s/-FJPG/239265-002_DET_10.tif</t>
  </si>
  <si>
    <t>239265-002</t>
  </si>
  <si>
    <t>https://dd3ka9h4chfr8.cloudfront.net/image/725136000567/image_55hgm5s6jh55re6i50b5mvta6s/-FJPG/239265-002_FRT_1.jpg</t>
  </si>
  <si>
    <t>Plush button-tufted leather upholstery seems to drape over the unique frame of this deep accent chair. Covered in a thick-cut leather with natural graining throughout for added movement.</t>
  </si>
  <si>
    <t>17.25"</t>
  </si>
  <si>
    <t>Jeremiah</t>
  </si>
  <si>
    <t>Joanna Chaise</t>
  </si>
  <si>
    <t>https://dd3ka9h4chfr8.cloudfront.net/image/725136000567/image_12vlarmh5p4657jmasmvqfma7b/-FJPG/223318-002_FRT_1.jpg;https://dd3ka9h4chfr8.cloudfront.net/image/725136000567/image_hpem5lvmbl17bbdj1fejhj5443/-FJPG/223318-002_PRM_1.jpg;https://dd3ka9h4chfr8.cloudfront.net/image/725136000567/image_ipi3ttllk95cj3cnb6lmk4et2d/-FJPG/223318-002_SID_1.jpg;https://dd3ka9h4chfr8.cloudfront.net/image/725136000567/image_b0tnbs34th7a5ct1uotua14640/-FJPG/223318-002_ESS.tif;https://dd3ka9h4chfr8.cloudfront.net/image/725136000567/image_rj8n82fj6d0ojer4c5d8582m7k/-FJPG/223318-002_DET_2.jpg;https://dd3ka9h4chfr8.cloudfront.net/image/725136000567/image_a24l77km097jj0q9ku6ikel31b/-FJPG/223318-002_BCK_1.jpg;https://dd3ka9h4chfr8.cloudfront.net/image/725136000567/image_pojnh8nqqt7s17e57dv28oj57d/-FJPG/223318-002_DET_1.jpg;https://dd3ka9h4chfr8.cloudfront.net/image/725136000567/image_5qo4c3t6jh22hbflo62d68330o/-FJPG/223318-002_DET_3.jpg;https://dd3ka9h4chfr8.cloudfront.net/image/725136000567/image_hkkt5kq6ot791d88f6a6u61l7c/-FJPG/223318-002_DET_4.jpg;https://dd3ka9h4chfr8.cloudfront.net/image/725136000567/image_t45vipluq14et1af63lmminl48/-FJPG/223318-002_PRM_2.jpg</t>
  </si>
  <si>
    <t>223318-002</t>
  </si>
  <si>
    <t>54.87</t>
  </si>
  <si>
    <t>https://dd3ka9h4chfr8.cloudfront.net/image/725136000567/image_12vlarmh5p4657jmasmvqfma7b/-FJPG/223318-002_FRT_1.jpg</t>
  </si>
  <si>
    <t>71.5</t>
  </si>
  <si>
    <t>{"value":71.5,"unit":"in"}</t>
  </si>
  <si>
    <t>With deep, dramatic tufting and removable bolster pillow, top-grain leather offers a plush place to sit, in an entryway or at the foot of a bed. Moderate seat height at 18.25".</t>
  </si>
  <si>
    <t>{"value":72.83,"unit":"in"}</t>
  </si>
  <si>
    <t>{"value":80.58,"unit":"lb"}</t>
  </si>
  <si>
    <t>Joanna</t>
  </si>
  <si>
    <t>69.29"</t>
  </si>
  <si>
    <t>Jones Chair</t>
  </si>
  <si>
    <t>https://dd3ka9h4chfr8.cloudfront.net/image/725136000567/image_dliqi6j1r96q39la2tbef3dg2i/-FJPG/240425-001_FRT_1.jpg;https://dd3ka9h4chfr8.cloudfront.net/image/725136000567/image_pb8u3tlp315833pp2d8mdre82a/-FJPG/240425-001_PRM_1.jpg;https://dd3ka9h4chfr8.cloudfront.net/image/725136000567/image_rn4bbbm9td7r94vbs813gljt3r/-FJPG/240425-001_SID_1.jpg;https://dd3ka9h4chfr8.cloudfront.net/image/725136000567/image_iamgd15hht4clce51sse203u2t/-FJPG/240425-001_ESS.tif;https://dd3ka9h4chfr8.cloudfront.net/image/725136000567/image_idj1pk6ld1635cvjhh081l6353/-FJPG/240425-001_DET_2.jpg;https://dd3ka9h4chfr8.cloudfront.net/image/725136000567/image_0mqr1k0ost1877v7h72u1ih16h/-FJPG/240425-001_BCK_1.jpg;https://dd3ka9h4chfr8.cloudfront.net/image/725136000567/image_943rdamt3d19bcjv2ov45m3a1j/-FJPG/240425-001_DET_1.jpg;https://dd3ka9h4chfr8.cloudfront.net/image/725136000567/image_9gr50863id7675gmbkbo1eb14j/-FJPG/240425-001_DET_3.jpg;https://dd3ka9h4chfr8.cloudfront.net/image/725136000567/image_i8etiokou502f34733bdgp7d1o/-FJPG/240425-001_DET_4.jpg;https://dd3ka9h4chfr8.cloudfront.net/image/725136000567/image_67drjbeic15nf143eqi8m1ub36/-FJPG/240425-001_DET_5.jpg;https://dd3ka9h4chfr8.cloudfront.net/image/725136000567/image_ihm2m56uap5pvei935552kgc6a/-FJPG/240425-001_DET_6.jpg;https://dd3ka9h4chfr8.cloudfront.net/image/725136000567/image_jqbvkg53ad4hbc7ps71ki0o72p/-FJPG/240425-001_DET_7.jpg;https://dd3ka9h4chfr8.cloudfront.net/image/725136000567/image_f1bmdm7uf121nfrjk9p3vthc2n/-FJPG/240425-001_DET_8.jpg</t>
  </si>
  <si>
    <t>240425-001</t>
  </si>
  <si>
    <t>https://dd3ka9h4chfr8.cloudfront.net/image/725136000567/image_dliqi6j1r96q39la2tbef3dg2i/-FJPG/240425-001_FRT_1.jpg</t>
  </si>
  <si>
    <t>Amber Ash</t>
  </si>
  <si>
    <t>Angled back legs and a separate cushion format give this chair a casual coastal feel. Wheat-colored performance fabric with mid-level blind stitching along the seat back adds style points. A stark frame in amber ash embodies a modern moment. Performance fabrics are specially created to withstand spills, stains, high traffic and wear, ensuring long-term comfort and unmatched durability.</t>
  </si>
  <si>
    <t>1 Chair/Box</t>
  </si>
  <si>
    <t>22.64"</t>
  </si>
  <si>
    <t>50% Polyurethane Foam, 30% Fiber, 20% Duck Feather</t>
  </si>
  <si>
    <t>Jones</t>
  </si>
  <si>
    <t>24.17"</t>
  </si>
  <si>
    <t>6.18"</t>
  </si>
  <si>
    <t>33.86"</t>
  </si>
  <si>
    <t>5.04"</t>
  </si>
  <si>
    <t>7.48"</t>
  </si>
  <si>
    <t>8.82"</t>
  </si>
  <si>
    <t>18.59"</t>
  </si>
  <si>
    <t>22.07"</t>
  </si>
  <si>
    <t>Jonty Round End Table</t>
  </si>
  <si>
    <t>https://dd3ka9h4chfr8.cloudfront.net/image/725136000567/image_oep1gtdk690k1d0jvhla37fo4d/-FJPG/227722-001_PRM_1.jpg;https://dd3ka9h4chfr8.cloudfront.net/image/725136000567/image_mk8nbrdphd0411kd8kkaoe4u49/-FJPG/227722-001_ESS.tif;https://dd3ka9h4chfr8.cloudfront.net/image/725136000567/image_6h9uvouhh126l2j5m1f9bujs1v/-FJPG/227722-001_DET_1.jpg;https://dd3ka9h4chfr8.cloudfront.net/image/725136000567/image_gvnq470ofd5gf4mqdpjrhv9j2c/-FJPG/227722-001_DET_3.jpg;https://dd3ka9h4chfr8.cloudfront.net/image/725136000567/image_uu9o2l381l6gt8ktsrmvfd336e/-FJPG/227722-001_TOP_1.jpg;https://dd3ka9h4chfr8.cloudfront.net/image/725136000567/image_gf3ldi0h6t1h57gehia82imt6a/-FJPG/227722-001_DET_4.jpg;https://dd3ka9h4chfr8.cloudfront.net/image/725136000567/image_4nhq0jhc6d3i32q22bhr8ku310/-FJPG/227722-001_DET_5.jpg;https://dd3ka9h4chfr8.cloudfront.net/image/725136000567/image_8ivtubc4r16m59ssu3g48gp907/-FJPG/227722-001_DET_6.jpg</t>
  </si>
  <si>
    <t>227722-001</t>
  </si>
  <si>
    <t>7.72</t>
  </si>
  <si>
    <t>https://dd3ka9h4chfr8.cloudfront.net/image/725136000567/image_oep1gtdk690k1d0jvhla37fo4d/-FJPG/227722-001_PRM_1.jpg</t>
  </si>
  <si>
    <t>9.75</t>
  </si>
  <si>
    <t>{"value":9.75,"unit":"in"}</t>
  </si>
  <si>
    <t>Textured Brass</t>
  </si>
  <si>
    <t>{"value":12.68,"unit":"lb"}</t>
  </si>
  <si>
    <t>Jonty</t>
  </si>
  <si>
    <t>https://dd3ka9h4chfr8.cloudfront.net/image/725136000567/image_ll3pikchld69b4bokrmegvj91f/-FJPG/227722-002_PRM_1.jpg;https://dd3ka9h4chfr8.cloudfront.net/image/725136000567/image_6qn15fefpt7ev4dcfdbkcrfs72/-FJPG/227722-002_SID_1.jpg;https://dd3ka9h4chfr8.cloudfront.net/image/725136000567/image_neaql3p85h4cn9398q2tfb773n/-FJPG/227722-002_ESS.tif;https://dd3ka9h4chfr8.cloudfront.net/image/725136000567/image_3pb0p0ju7562f380g37nabvb1r/-FJPG/227722-002_DET_2.jpg;https://dd3ka9h4chfr8.cloudfront.net/image/725136000567/image_fc5933ckcd73jc9qp41aqq6t3t/-FJPG/227722-002_DET_1.jpg;https://dd3ka9h4chfr8.cloudfront.net/image/725136000567/image_v4jap5fp8l65bcbpsha0jd3s71/-FJPG/227722-002_DET_3.jpg;https://dd3ka9h4chfr8.cloudfront.net/image/725136000567/image_dj2vlvdart1klcr6lgapfkfu24/-FJPG/227722-002_DET_4.jpg;https://dd3ka9h4chfr8.cloudfront.net/image/725136000567/image_e3nl1q3nm962nb4f5n37qjc26b/-FJPG/227722-002_DET_5.jpg;https://dd3ka9h4chfr8.cloudfront.net/image/725136000567/image_lf1v0rmtfh4vnckoa16li7g549/-FJPG/227722-002_DET_6.jpg</t>
  </si>
  <si>
    <t>227722-002</t>
  </si>
  <si>
    <t>https://dd3ka9h4chfr8.cloudfront.net/image/725136000567/image_ll3pikchld69b4bokrmegvj91f/-FJPG/227722-002_PRM_1.jpg</t>
  </si>
  <si>
    <t>Jordy Chair</t>
  </si>
  <si>
    <t>https://dd3ka9h4chfr8.cloudfront.net/image/725136000567/image_4hq6ooffm920p9fnetgu36v61o/-FJPG/229379-003_FRT_1.jpg;https://dd3ka9h4chfr8.cloudfront.net/image/725136000567/image_gandnik6613bdcgn2aomi63l02/-FJPG/229379-003 _FRT_1.jpg;https://dd3ka9h4chfr8.cloudfront.net/image/725136000567/image_1p49nlobtl0phdq7ig61h8o23u/-FJPG/229379-003 _PRM_1.jpg;https://dd3ka9h4chfr8.cloudfront.net/image/725136000567/image_7tjt3h92ml5896ivev4i9o3j20/-FJPG/229379-003_PRM_1.jpg;https://dd3ka9h4chfr8.cloudfront.net/image/725136000567/image_nb8p62d5sh7e736vr2dr6kcr63/-FJPG/229379-003 _SID_1.jpg;https://dd3ka9h4chfr8.cloudfront.net/image/725136000567/image_ada3vlr6tt2kj08lm2c684qv7o/-FJPG/229379-003 _DET_2.jpg;https://dd3ka9h4chfr8.cloudfront.net/image/725136000567/image_3imdlld4010inff5fgoponst7a/-FJPG/229379-003 _BCK_1.jpg;https://dd3ka9h4chfr8.cloudfront.net/image/725136000567/image_4mdpu7afdh7o7e756kj2e73q6c/-FJPG/229379-003 _DET_1.jpg;https://dd3ka9h4chfr8.cloudfront.net/image/725136000567/image_f1sqit3d8l02r8hadtpds1gt1e/-FJPG/229379-003 _DET_3.jpg;https://dd3ka9h4chfr8.cloudfront.net/image/725136000567/image_omjnci6t11621d73c42aceoa19/-FJPG/229379-003 _DET_4.jpg;https://dd3ka9h4chfr8.cloudfront.net/image/725136000567/image_7kp1g4m60d3ul8ea2pe2ndkk4o/-FJPG/229379-003 _DET_5.jpg;https://dd3ka9h4chfr8.cloudfront.net/image/725136000567/image_85d8286c514dn4dbhddieqm41g/-FJPG/229379-003_ESS.tif</t>
  </si>
  <si>
    <t>229379-003</t>
  </si>
  <si>
    <t>41.89</t>
  </si>
  <si>
    <t>https://dd3ka9h4chfr8.cloudfront.net/image/725136000567/image_4hq6ooffm920p9fnetgu36v61o/-FJPG/229379-003_FRT_1.jpg</t>
  </si>
  <si>
    <t>Caswell</t>
  </si>
  <si>
    <t>It's all about the angles on this low-profile piece. Sink-in comfort upholstered in velvety navy framed with cushioned tubular arms.</t>
  </si>
  <si>
    <t>Jordy</t>
  </si>
  <si>
    <t>Josette Console Table</t>
  </si>
  <si>
    <t>https://dd3ka9h4chfr8.cloudfront.net/image/725136000567/image_npl5823tdd1pj5bapgl9bjtn47/-FJPG/241379-001_FRT_1.jpg;https://dd3ka9h4chfr8.cloudfront.net/image/725136000567/image_5vfk3232951d1a7780p228b40p/-FJPG/241379-001_PRM_1.jpg;https://dd3ka9h4chfr8.cloudfront.net/image/725136000567/image_n0dvus1ln901hf83rep2h4bv7q/-FJPG/241379-001_SID_1.jpg;https://dd3ka9h4chfr8.cloudfront.net/image/725136000567/image_lhjm1ccs4p2ofbqeu78frbvv7m/-FJPG/241379-001_DET_2.jpg;https://dd3ka9h4chfr8.cloudfront.net/image/725136000567/image_f00lfi30cp7jtbc2mi1544no4u/-FJPG/241379-001_DET_1.jpg;https://dd3ka9h4chfr8.cloudfront.net/image/725136000567/image_v7k3l5518t7ir0r3v526t0o61v/-FJPG/241379-001_DET_3.jpg;https://dd3ka9h4chfr8.cloudfront.net/image/725136000567/image_tsebhgigb92pl5ks585lg6ko0n/-FJPG/241379-001_DET_4.jpg;https://dd3ka9h4chfr8.cloudfront.net/image/725136000567/image_2o0d70k1u10nj2b9jprg82r86k/-FJPG/241379-001_DET_5.jpg;https://dd3ka9h4chfr8.cloudfront.net/image/725136000567/image_v9255ter217af8l3rv87i0hk76/-FJPG/241379-001_DET_6.jpg;https://dd3ka9h4chfr8.cloudfront.net/image/725136000567/image_k3ldtho0vt7mj3na85qcmlsf4d/-FJPG/241379-001_DET_7.jpg;https://dd3ka9h4chfr8.cloudfront.net/image/725136000567/image_n8u3kp97m10kn3mlvtefpfms56/-FJPG/241379-001_DET_8.jpg;https://dd3ka9h4chfr8.cloudfront.net/image/725136000567/image_avfo6e36vd783dc0dj0jh7me41/-FJPG/241379-001_DET_9.tif;https://dd3ka9h4chfr8.cloudfront.net/image/725136000567/image_mfirc4v0q10sd59j89kdb0dq44/-FJPG/241379-001_DET_10.tif;https://dd3ka9h4chfr8.cloudfront.net/image/725136000567/image_pf1gbckltt0atb3lai1vrk336m/-FJPG/241379-001_ESS.tif</t>
  </si>
  <si>
    <t>241379-001</t>
  </si>
  <si>
    <t>https://dd3ka9h4chfr8.cloudfront.net/image/725136000567/image_npl5823tdd1pj5bapgl9bjtn47/-FJPG/241379-001_FRT_1.jpg</t>
  </si>
  <si>
    <t>A console of a honey-finished oak, with joint and connection detailing for an artisan-style feel.</t>
  </si>
  <si>
    <t>{"value":82.68,"unit":"in"}</t>
  </si>
  <si>
    <t>Josette</t>
  </si>
  <si>
    <t>43.46"</t>
  </si>
  <si>
    <t>26.54"</t>
  </si>
  <si>
    <t>4.49"</t>
  </si>
  <si>
    <t>12.78"</t>
  </si>
  <si>
    <t>Journey Nightstand</t>
  </si>
  <si>
    <t>https://dd3ka9h4chfr8.cloudfront.net/image/725136000567/image_7vj1s0126950l9hq8g6p31re26/-FJPG/224457-001_FRT_1.jpg;https://dd3ka9h4chfr8.cloudfront.net/image/725136000567/image_ji203sbe051at7i61sf9of647l/-FJPG/224457-001_PRM_1.jpg;https://dd3ka9h4chfr8.cloudfront.net/image/725136000567/image_055o4p56vd6ir2nfeagnjup625/-FJPG/224457-001_SID_1.jpg;https://dd3ka9h4chfr8.cloudfront.net/image/725136000567/image_n14ohj221t20n7ec9v6rlf9n42/-FJPG/224457-001_ESS.tif;https://dd3ka9h4chfr8.cloudfront.net/image/725136000567/image_nm23n73uqh2pr8otf8ig8kae14/-FJPG/224457-001_DET_2.jpg;https://dd3ka9h4chfr8.cloudfront.net/image/725136000567/image_s1pf6enrf920vd2ple12mi290d/-FJPG/224457-001_BCK_1.jpg;https://dd3ka9h4chfr8.cloudfront.net/image/725136000567/image_3coq70n56h7bj4isgk8lcfnl5b/-FJPG/224457-001_DET_1.jpg;https://dd3ka9h4chfr8.cloudfront.net/image/725136000567/image_vhvhq72ptt5v5b8r6lfndiqj75/-FJPG/224457-001_DET_3.jpg;https://dd3ka9h4chfr8.cloudfront.net/image/725136000567/image_m1cbrvt4r12019ru0cc5fqcf4g/-FJPG/224457-001_OPN_1.jpg;https://dd3ka9h4chfr8.cloudfront.net/image/725136000567/image_oh950ds1s53rldp0kk227u357t/-FJPG/224457-001_DET_4.jpg;https://dd3ka9h4chfr8.cloudfront.net/image/725136000567/image_256on3tqqp7vj59lp5uuv0o508/-FJPG/224457-001_DET_5.jpg;https://dd3ka9h4chfr8.cloudfront.net/image/725136000567/image_e373g94ph12jdda32qg38om716/-FJPG/224457-001_DET_6.jpg;https://dd3ka9h4chfr8.cloudfront.net/image/725136000567/image_qnu72b67190236kfqngheuod5r/-FJPG/224457-001_DET_7.jpg;https://dd3ka9h4chfr8.cloudfront.net/image/725136000567/image_rii68d6n117c1dg60h0t59v90l/-FJPG/224457-001_VIG_1.jpg;https://dd3ka9h4chfr8.cloudfront.net/image/725136000567/image_31fhjvedpd5h3d2837hhnqgd3i/-FJPG/224457-001_VIG_2.jpg</t>
  </si>
  <si>
    <t>224457-001</t>
  </si>
  <si>
    <t>43.87</t>
  </si>
  <si>
    <t>https://dd3ka9h4chfr8.cloudfront.net/image/725136000567/image_7vj1s0126950l9hq8g6p31re26/-FJPG/224457-001_FRT_1.jpg</t>
  </si>
  <si>
    <t>A stunning statement piece. Atop a squared plinth base, white-finished mahogany encases a spacious single drawer of bleached burl with organic patchwork, cut and placed by hand. Push-latch open for a clean, seamless look. Each piece unique.</t>
  </si>
  <si>
    <t>Journey</t>
  </si>
  <si>
    <t>18.88"</t>
  </si>
  <si>
    <t>Julius Swivel Chair</t>
  </si>
  <si>
    <t>https://dd3ka9h4chfr8.cloudfront.net/image/725136000567/image_4sbu869md51p11oq75vgk3ik40/-FJPG/239124-003_FRT_1.jpg;https://dd3ka9h4chfr8.cloudfront.net/image/725136000567/image_ticime1v3111n2kftjifi2r56n/-FJPG/239124-003_PRM_1.jpg;https://dd3ka9h4chfr8.cloudfront.net/image/725136000567/image_h3dov6np3p4531v966hdbg293a/-FJPG/239124-003_SID_1.jpg;https://dd3ka9h4chfr8.cloudfront.net/image/725136000567/image_hop0j0a9bh19b5gsa30gsqiv6s/-FJPG/239124-003_DET_2.jpg;https://dd3ka9h4chfr8.cloudfront.net/image/725136000567/image_q2rkk0unr11v77iqgbd42sds4q/-FJPG/239124-003_BCK_1.jpg;https://dd3ka9h4chfr8.cloudfront.net/image/725136000567/image_o0vgg6lcq15ih4ht6oitq21o42/-FJPG/239124-003_DET_1.jpg;https://dd3ka9h4chfr8.cloudfront.net/image/725136000567/image_j5io6386sh3cd8sur7v79m6924/-FJPG/239124-003_DET_3.jpg;https://dd3ka9h4chfr8.cloudfront.net/image/725136000567/image_atirkb0fgh2g78t4n40mv4235d/-FJPG/239124-003_DET_4.jpg;https://dd3ka9h4chfr8.cloudfront.net/image/725136000567/image_s4oio0lk8d0r50n5bm3tk4eg7m/-FJPG/239124-003_DET_5.jpg;https://dd3ka9h4chfr8.cloudfront.net/image/725136000567/image_poet3b6oop549bl2q10e0qr639/-FJPG/239124-003_DET_6.jpg</t>
  </si>
  <si>
    <t>Nubuck Cognac</t>
  </si>
  <si>
    <t>239124-003</t>
  </si>
  <si>
    <t>https://dd3ka9h4chfr8.cloudfront.net/image/725136000567/image_4sbu869md51p11oq75vgk3ik40/-FJPG/239124-003_FRT_1.jpg</t>
  </si>
  <si>
    <t>{"value":95.24,"unit":"lb"}</t>
  </si>
  <si>
    <t>Julius</t>
  </si>
  <si>
    <t>https://dd3ka9h4chfr8.cloudfront.net/image/725136000567/image_hvkep967fl0qd095i9uoarcj37/-FJPG/239124-001_FRT_1.jpg;https://dd3ka9h4chfr8.cloudfront.net/image/725136000567/image_00kmmr8ov54192jelab4hmcs1h/-FJPG/239124-001_PRM_1.jpg;https://dd3ka9h4chfr8.cloudfront.net/image/725136000567/image_uo3ess1ebl5293oel7hp6uj628/-FJPG/239124-001_SID_1.jpg;https://dd3ka9h4chfr8.cloudfront.net/image/725136000567/image_nkqb97ipqt285bl7qhen2d6t37/-FJPG/239124-001_ESS_1.tif;https://dd3ka9h4chfr8.cloudfront.net/image/725136000567/image_840g5iujrt0f5ad9nehsgs7j17/-FJPG/239124-001_DET_2.jpg;https://dd3ka9h4chfr8.cloudfront.net/image/725136000567/image_8irmt4ij950srdmbqpiu87i67r/-FJPG/239124-001_BCK_1.jpg;https://dd3ka9h4chfr8.cloudfront.net/image/725136000567/image_t10db5te4h0nfantqgggfioc1j/-FJPG/239124-001_DET_1.jpg;https://dd3ka9h4chfr8.cloudfront.net/image/725136000567/image_iliqoqinil52t3o3lf8r0edn3m/-FJPG/239124-001_DET_3.jpg;https://dd3ka9h4chfr8.cloudfront.net/image/725136000567/image_cpqu2m38mt1416lmb4qm1f5i2v/-FJPG/239124-001_DET_4.jpg;https://dd3ka9h4chfr8.cloudfront.net/image/725136000567/image_ajqh4q9vap6dv3j1emmj6n9g3u/-FJPG/239124-001_DET_5.jpg</t>
  </si>
  <si>
    <t>239124-001</t>
  </si>
  <si>
    <t>https://dd3ka9h4chfr8.cloudfront.net/image/725136000567/image_hvkep967fl0qd095i9uoarcj37/-FJPG/239124-001_FRT_1.jpg</t>
  </si>
  <si>
    <t>With a high, yarn-like pile that's soft to the touch, ivory upholstery pairs with an S-spring seat and enveloped frame for an inviting look and feel on this 360-degree swivel chair.</t>
  </si>
  <si>
    <t>https://dd3ka9h4chfr8.cloudfront.net/image/725136000567/image_vukca0qpr50dhfpc7jcclscu4m/-FJPG/239124-002_FRT_1.jpg;https://dd3ka9h4chfr8.cloudfront.net/image/725136000567/image_79u4eu8b1d1o52j9s7l3qs505s/-FJPG/239124-002_PRM_1.jpg;https://dd3ka9h4chfr8.cloudfront.net/image/725136000567/image_8bl5u0a2jp11p94eo8korq7s2l/-FJPG/239124-002_SID_1.jpg;https://dd3ka9h4chfr8.cloudfront.net/image/725136000567/image_aab7s0obdh3k37pa78ttsqn578/-FJPG/239124-002_ESS.tif;https://dd3ka9h4chfr8.cloudfront.net/image/725136000567/image_au2c5egc5d099f1q978ps3o91r/-FJPG/239124-002_DET_2.jpg;https://dd3ka9h4chfr8.cloudfront.net/image/725136000567/image_tsnebvqflh0vfbr8vocfjsna6o/-FJPG/239124-002_BCK_1.jpg;https://dd3ka9h4chfr8.cloudfront.net/image/725136000567/image_ltbnmokqe15ovbbeahiabtad64/-FJPG/239124-002_DET_1.jpg;https://dd3ka9h4chfr8.cloudfront.net/image/725136000567/image_e81t8rcdo10tr4i41ve70lcp3o/-FJPG/239124-002_DET_3.jpg;https://dd3ka9h4chfr8.cloudfront.net/image/725136000567/image_cs3v8ecv8h2tt6v2frde1li515/-FJPG/239124-002_DET_4.jpg;https://dd3ka9h4chfr8.cloudfront.net/image/725136000567/image_67nikiru9h0a95e4pla8ku2p0i/-FJPG/239124-002_DET_5.jpg;https://dd3ka9h4chfr8.cloudfront.net/image/725136000567/image_guqo4gbe4d1sn0fn9ogh749o2r/-FJPG/239124-002_DET_6.jpg;https://dd3ka9h4chfr8.cloudfront.net/image/725136000567/image_2v1u82c7093rnc05hdqg6ev272/-FJPG/FHMPRJ-007_SCENE_17_V3-DOG.tif</t>
  </si>
  <si>
    <t>239124-002</t>
  </si>
  <si>
    <t>https://dd3ka9h4chfr8.cloudfront.net/image/725136000567/image_vukca0qpr50dhfpc7jcclscu4m/-FJPG/239124-002_FRT_1.jpg</t>
  </si>
  <si>
    <t>["76.8% Cotton","23.2% Polyester","Solid Parawood"]</t>
  </si>
  <si>
    <t>Velvety chocolate-brown upholstery pairs with an S-spring seat and enveloped frame for an inviting look and feel on this 360-degree swivel chair.</t>
  </si>
  <si>
    <t>https://dd3ka9h4chfr8.cloudfront.net/image/725136000567/image_kf3fr2bmdl2r95a5qajedlk81f/-FJPG/239124-007_FRT_1.jpg;https://dd3ka9h4chfr8.cloudfront.net/image/725136000567/image_qofhf883d942t3184hi38ovr45/-FJPG/239124-007_PRM_1.jpg;https://dd3ka9h4chfr8.cloudfront.net/image/725136000567/image_6cue71ooel4a7630sv5e84q169/-FJPG/239124-007_SID_1.jpg;https://dd3ka9h4chfr8.cloudfront.net/image/725136000567/image_0isaqb331d1dp3tftcnfbmms76/-FJPG/239124-007_DET_2.jpg;https://dd3ka9h4chfr8.cloudfront.net/image/725136000567/image_prm6jrqohd3bh8arlsmoonah60/-FJPG/239124-007_BCK_1.jpg;https://dd3ka9h4chfr8.cloudfront.net/image/725136000567/image_lpp7p1vao54jf7mr11udfbs84b/-FJPG/239124-007_DET_1.jpg;https://dd3ka9h4chfr8.cloudfront.net/image/725136000567/image_saubfkab4h3b39l2m3h96pnr7i/-FJPG/239124-007_DET_3.jpg;https://dd3ka9h4chfr8.cloudfront.net/image/725136000567/image_4rf1mfdtid589a23kvnophsd0c/-FJPG/239124-007_DET_4.jpg;https://dd3ka9h4chfr8.cloudfront.net/image/725136000567/image_78du64ckv56t32chr7jsmufl0v/-FJPG/239124-007_DET_5.jpg;https://dd3ka9h4chfr8.cloudfront.net/image/725136000567/image_0l37ccu8614r9e237jk9p70b5r/-FJPG/239124-007_DET_6.jpg;https://dd3ka9h4chfr8.cloudfront.net/image/725136000567/image_iejvljdkr97v59nb1u7j6d3n55/-FJPG/239124-007_DET_7.jpg;https://dd3ka9h4chfr8.cloudfront.net/image/725136000567/image_jad3k62hjp31dbok8foaglka63/-FJPG/FHMPRJ-018_SCENE-3.tif</t>
  </si>
  <si>
    <t>Taupe Shearling</t>
  </si>
  <si>
    <t>239124-007</t>
  </si>
  <si>
    <t>https://dd3ka9h4chfr8.cloudfront.net/image/725136000567/image_kf3fr2bmdl2r95a5qajedlk81f/-FJPG/239124-007_FRT_1.jpg</t>
  </si>
  <si>
    <t>["Shearling","Solid Parawood"]</t>
  </si>
  <si>
    <t>With a supple pile that's soft to the touch, taupe shearling upholstery pairs with an S-spring seat and enveloped frame for an inviting look and feel on this 360-degree swivel chair.</t>
  </si>
  <si>
    <t>Kadon Chair</t>
  </si>
  <si>
    <t>https://dd3ka9h4chfr8.cloudfront.net/image/725136000567/image_bn8a0b3enp5fbaa5mn194nag2o/-FJPG/234818-002_FRT_1.jpg;https://dd3ka9h4chfr8.cloudfront.net/image/725136000567/image_h8pkq8aoah1md8uufklkh0ef12/-FJPG/234818-002_PRM_1.jpg;https://dd3ka9h4chfr8.cloudfront.net/image/725136000567/image_8fth1clufl2c7ansoe171mms3i/-FJPG/234818-002_SID_1.jpg;https://dd3ka9h4chfr8.cloudfront.net/image/725136000567/image_hafes5fujd4837g4nb05h5v43k/-FJPG/234818-002_ESS_1.jpg;https://dd3ka9h4chfr8.cloudfront.net/image/725136000567/image_tj1h5sbeql69p2hm7bo4k2r03u/-FJPG/234818-002_DET_2.jpg;https://dd3ka9h4chfr8.cloudfront.net/image/725136000567/image_lrk1seuknp4kbac3urdap32v2j/-FJPG/234818-002_BCK_1.jpg;https://dd3ka9h4chfr8.cloudfront.net/image/725136000567/image_d18eu10kkd5i92f0p86mo5bq5l/-FJPG/234818-002_DET_1.jpg;https://dd3ka9h4chfr8.cloudfront.net/image/725136000567/image_s3lvnu3rjh2011vchhsr15tj6k/-FJPG/234818-002_DET_3.jpg;https://dd3ka9h4chfr8.cloudfront.net/image/725136000567/image_sgl4946utd2ubbdugn9t8uan3l/-FJPG/234818-002_DET_4.jpg;https://dd3ka9h4chfr8.cloudfront.net/image/725136000567/image_nanqjnle1p485b21v9bsu7pl2b/-FJPG/234818-002_DET_5.jpg;https://dd3ka9h4chfr8.cloudfront.net/image/725136000567/image_7qid4195qp0719929cc8elvp73/-FJPG/234818-002_DET_6.jpg;https://dd3ka9h4chfr8.cloudfront.net/image/725136000567/image_tiksmibt315snfe9g1gd2kd62c/-FJPG/234818-002_ROM_1.jpg</t>
  </si>
  <si>
    <t>234818-002</t>
  </si>
  <si>
    <t>63.49</t>
  </si>
  <si>
    <t>https://dd3ka9h4chfr8.cloudfront.net/image/725136000567/image_bn8a0b3enp5fbaa5mn194nag2o/-FJPG/234818-002_FRT_1.jpg</t>
  </si>
  <si>
    <t>Simply classic. A high wing back pairs with softly rolled arms for a curvy look and supportive sit. Tan shearling-like upholstery invites you to sit and stay a while.</t>
  </si>
  <si>
    <t>{"value":78.48,"unit":"lb"}</t>
  </si>
  <si>
    <t>Kadon</t>
  </si>
  <si>
    <t>https://dd3ka9h4chfr8.cloudfront.net/image/725136000567/image_ph1284g1hp1cb7suoo5igmdu2b/-FJPG/234818-001_FRT_1.jpg;https://dd3ka9h4chfr8.cloudfront.net/image/725136000567/image_qt9itb6t2573n0hfc85vi78u5t/-FJPG/234818-001_PRM_1.jpg;https://dd3ka9h4chfr8.cloudfront.net/image/725136000567/image_g4i9scrkkp0obbhgtn5thqnq7s/-FJPG/234818-001_SID_1.jpg;https://dd3ka9h4chfr8.cloudfront.net/image/725136000567/image_ftkq69fiih0pd2mav49str3d59/-FJPG/234818-001_ESS.jpg;https://dd3ka9h4chfr8.cloudfront.net/image/725136000567/image_j4n0kr226t6ib55d6rdmobcj2i/-FJPG/234818-001_ESS_1.jpg;https://dd3ka9h4chfr8.cloudfront.net/image/725136000567/image_de502d9ss16qpbhue0qi6qo12s/-FJPG/234818-001_DET_2.jpg;https://dd3ka9h4chfr8.cloudfront.net/image/725136000567/image_innp52tbpl6fr5ujjotcpk544j/-FJPG/234818-001_BCK_1.jpg;https://dd3ka9h4chfr8.cloudfront.net/image/725136000567/image_6mli57t0lt4epc8ufkk7h85s6v/-FJPG/234818-001_DET_1.jpg;https://dd3ka9h4chfr8.cloudfront.net/image/725136000567/image_mq3mgsutel0qdbns9m1vngjr37/-FJPG/234818-001_DET_3.jpg;https://dd3ka9h4chfr8.cloudfront.net/image/725136000567/image_5taaqu2of515p6lq4a4frt3q3j/-FJPG/234818-001_DET_4.jpg;https://dd3ka9h4chfr8.cloudfront.net/image/725136000567/image_jms5e08oid0ffbhlaelvgnos6a/-FJPG/234818-001_DET_5.jpg;https://dd3ka9h4chfr8.cloudfront.net/image/725136000567/image_bp7fro1rb54g5c52ve0fhmda4c/-FJPG/234818-001_DET_6.jpg;https://dd3ka9h4chfr8.cloudfront.net/image/725136000567/image_h8cbgiauu939d951vcj6t5990g/-FJPG/234818-001_VIG_1.jpg</t>
  </si>
  <si>
    <t>234818-001</t>
  </si>
  <si>
    <t>https://dd3ka9h4chfr8.cloudfront.net/image/725136000567/image_ph1284g1hp1cb7suoo5igmdu2b/-FJPG/234818-001_FRT_1.jpg</t>
  </si>
  <si>
    <t>Simply classic. A high wing back pairs with softly rolled arms for a curvy look and supportive sit. Cream shearling-like upholstery invites you to sit and stay a while.</t>
  </si>
  <si>
    <t>Kadon Chaise Lounge</t>
  </si>
  <si>
    <t>https://dd3ka9h4chfr8.cloudfront.net/image/725136000567/image_2t5jtn2c5p5e3514u028teas58/-FJPG/234693-001_FRT_1.jpg;https://dd3ka9h4chfr8.cloudfront.net/image/725136000567/image_qfg0uatro54br2t03t4s3qa204/-FJPG/234693-001_PRM_1.jpg;https://dd3ka9h4chfr8.cloudfront.net/image/725136000567/image_6nlbr5jak5435d8q4atf1nca3k/-FJPG/234693-001_SID_1.jpg;https://dd3ka9h4chfr8.cloudfront.net/image/725136000567/image_s35a4lrgrp4an9rr3cr4igps7u/-FJPG/234693-001_ESS_1.jpg;https://dd3ka9h4chfr8.cloudfront.net/image/725136000567/image_briula4rj10n7215ekq34ttl73/-FJPG/234693-001_DET_2.jpg;https://dd3ka9h4chfr8.cloudfront.net/image/725136000567/image_915nvmvpop0kd2ucfqr5jmhv6h/-FJPG/234693-001_BCK_1.jpg;https://dd3ka9h4chfr8.cloudfront.net/image/725136000567/image_2bn8s6tm410j55rh4hkb682n6l/-FJPG/234693-001_DET_1.jpg;https://dd3ka9h4chfr8.cloudfront.net/image/725136000567/image_ossfduap216fpcjm412f6jfk5b/-FJPG/234693-001_DET_3.jpg;https://dd3ka9h4chfr8.cloudfront.net/image/725136000567/image_a04d3tgndl6alckb0k0bqqop3i/-FJPG/234693-001_DET_4.jpg;https://dd3ka9h4chfr8.cloudfront.net/image/725136000567/image_pn0hsd61fp23b6c4hhrer5430b/-FJPG/234693-001_DET_5.jpg;https://dd3ka9h4chfr8.cloudfront.net/image/725136000567/image_vlkinjflll1pr66fehg65e3b60/-FJPG/234693-001_DET_6.jpg</t>
  </si>
  <si>
    <t>234693-001</t>
  </si>
  <si>
    <t>82.45</t>
  </si>
  <si>
    <t>https://dd3ka9h4chfr8.cloudfront.net/image/725136000567/image_2t5jtn2c5p5e3514u028teas58/-FJPG/234693-001_FRT_1.jpg</t>
  </si>
  <si>
    <t>Simply classic. A high wing back pairs with softly rolled arms for a curvy look and supportive sit. Tan shearling-like upholstery invites you to kick back and relax.</t>
  </si>
  <si>
    <t>{"value":60.24,"unit":"in"}</t>
  </si>
  <si>
    <t>{"value":105.38,"unit":"lb"}</t>
  </si>
  <si>
    <t>Kaya Swivel Chair</t>
  </si>
  <si>
    <t>https://dd3ka9h4chfr8.cloudfront.net/image/725136000567/image_md745tbkt50udcps5957ljo42m/-FJPG/108738-002_FRT_1.jpg;https://dd3ka9h4chfr8.cloudfront.net/image/725136000567/image_9mdlg47aah23ra78svjpplhe5q/-FJPG/108738-002_PRM_1.jpg;https://dd3ka9h4chfr8.cloudfront.net/image/725136000567/image_odel2jldkh0e9f85p2itpcur0h/-FJPG/108738-002_SID_1.jpg;https://dd3ka9h4chfr8.cloudfront.net/image/725136000567/image_aule0fjojl10bdnigotcp28n4o/-FJPG/108738-002_ESS.tif;https://dd3ka9h4chfr8.cloudfront.net/image/725136000567/image_7298406gdl2fjfvconff9r2e79/-FJPG/108738-002_DET_2.jpg;https://dd3ka9h4chfr8.cloudfront.net/image/725136000567/image_f8f8dglhet41f9mqtckg76025l/-FJPG/108738-002_BCK_1.jpg;https://dd3ka9h4chfr8.cloudfront.net/image/725136000567/image_tjt8kam0uh2uv7i2a4382o0i2j/-FJPG/108738-002_DET_1.jpg;https://dd3ka9h4chfr8.cloudfront.net/image/725136000567/image_pt2kaaig752ffbksoi43bv007d/-FJPG/108738-002_DET_3.jpg;https://dd3ka9h4chfr8.cloudfront.net/image/725136000567/image_29u5ec7l395s1cvnpqimkh590n/-FJPG/108738-002_DET_4.jpg;https://dd3ka9h4chfr8.cloudfront.net/image/725136000567/image_8btdrrc8i557r26mdpjo2cso13/-FJPG/108738-002_DET_9.tif;https://dd3ka9h4chfr8.cloudfront.net/image/725136000567/image_jk0slp4v1t28lbnjgdhe0to57t/-FJPG/108738-002_ROM_1.jpg;https://dd3ka9h4chfr8.cloudfront.net/image/725136000567/image_7ur322vnol1p936h9k3qa40426/-FJPG/108738-002_PRM_2.jpg</t>
  </si>
  <si>
    <t>Haven Tobacco</t>
  </si>
  <si>
    <t>108738-002</t>
  </si>
  <si>
    <t>https://dd3ka9h4chfr8.cloudfront.net/image/725136000567/image_md745tbkt50udcps5957ljo42m/-FJPG/108738-002_FRT_1.jpg</t>
  </si>
  <si>
    <t>Angled to perfection, atop a 360-degree swivel. Tobacco-finished top-grain leather meet tapered parawood legs, which have been wire-brushed for retro undertones.</t>
  </si>
  <si>
    <t>{"value":64.37,"unit":"lb"}</t>
  </si>
  <si>
    <t>Kaya</t>
  </si>
  <si>
    <t>Keane Console Table</t>
  </si>
  <si>
    <t>https://dd3ka9h4chfr8.cloudfront.net/image/725136000567/image_u8h4ada7gl4npbnvl44b88sl66/-FJPG/233422-002_FRT_1.JPG;https://dd3ka9h4chfr8.cloudfront.net/image/725136000567/image_2717o9uu3p4mtak6uf4t7ghh7f/-FJPG/233422-002_FRT_1.jpg;https://dd3ka9h4chfr8.cloudfront.net/image/725136000567/image_uju69lv0d13rv4eqac5m085g2j/-FJPG/233422-002_PRM_1.jpg;https://dd3ka9h4chfr8.cloudfront.net/image/725136000567/image_r22np1hdep37l9oum3pgt0jb6g/-FJPG/233422-002_PRM_1.JPG;https://dd3ka9h4chfr8.cloudfront.net/image/725136000567/image_kkpq5ktlap6ev6md6fsjcdf24f/-FJPG/233422-002_SID_1.JPG;https://dd3ka9h4chfr8.cloudfront.net/image/725136000567/image_1a4im802ll7il7u76nvp4et125/-FJPG/233422-002_SID_1.jpg;https://dd3ka9h4chfr8.cloudfront.net/image/725136000567/image_6iof9k924h0n94ad4tmcmgfb58/-FJPG/233422-002_ESS_1.jpg;https://dd3ka9h4chfr8.cloudfront.net/image/725136000567/image_g7soicsv7t7il8bb3l8alf0t7e/-FJPG/233422-002_DET_2.jpg;https://dd3ka9h4chfr8.cloudfront.net/image/725136000567/image_mipdq4d3cp4u30ndbi86fikt7g/-FJPG/233422-002_DET_2.JPG;https://dd3ka9h4chfr8.cloudfront.net/image/725136000567/image_rp5pkkb77967r9l4cdvca5ml5i/-FJPG/233422-002_DET_1.JPG;https://dd3ka9h4chfr8.cloudfront.net/image/725136000567/image_d6dd33mach45vesgstbse7f03r/-FJPG/233422-002_DET_1.jpg;https://dd3ka9h4chfr8.cloudfront.net/image/725136000567/image_1nv85gq2ed3gbdo81f2h5pkf4s/-FJPG/233422-002_DET_3.JPG;https://dd3ka9h4chfr8.cloudfront.net/image/725136000567/image_glh9efsqn95d9cihn839sn9s5d/-FJPG/233422-002_DET_3.jpg;https://dd3ka9h4chfr8.cloudfront.net/image/725136000567/image_iia631sn1t3l7fflbtq1uiqq6b/-FJPG/233422-002_DET_4.jpg;https://dd3ka9h4chfr8.cloudfront.net/image/725136000567/image_qt4sntqgfh40l47as7ph6ng54c/-FJPG/233422-002_DET_4.JPG;https://dd3ka9h4chfr8.cloudfront.net/image/725136000567/image_un0blginfd5rn3ju0ltrkgcv2q/-FJPG/233422-002_DET_5.jpg;https://dd3ka9h4chfr8.cloudfront.net/image/725136000567/image_qjlu9bu8fd09l82j0ee931h01v/-FJPG/233422-002_DET_5.JPG;https://dd3ka9h4chfr8.cloudfront.net/image/725136000567/image_99b22ckjop0tb2md15e0lurn2p/-FJPG/233422-002_DET_6.JPG</t>
  </si>
  <si>
    <t>Reclaimed Black Elm</t>
  </si>
  <si>
    <t>233422-002</t>
  </si>
  <si>
    <t>125.66</t>
  </si>
  <si>
    <t>https://dd3ka9h4chfr8.cloudfront.net/image/725136000567/image_u8h4ada7gl4npbnvl44b88sl66/-FJPG/233422-002_FRT_1.JPG</t>
  </si>
  <si>
    <t>["Reclaimed Resawn Elm Veneer"]</t>
  </si>
  <si>
    <t>Black Elm Veneer</t>
  </si>
  <si>
    <t>{"value":81.1,"unit":"in"}</t>
  </si>
  <si>
    <t>{"value":61.51,"unit":"lb"}</t>
  </si>
  <si>
    <t>{"value":85.54,"unit":"lb"}</t>
  </si>
  <si>
    <t>Keane</t>
  </si>
  <si>
    <t>43.98"</t>
  </si>
  <si>
    <t>https://dd3ka9h4chfr8.cloudfront.net/image/725136000567/image_irij6h8en55nr71fhlrrv5ak2t/-FJPG/233422-001_FRT_1.jpg;https://dd3ka9h4chfr8.cloudfront.net/image/725136000567/image_pibtuo7ult12b73e58gubv2j4a/-FJPG/233422-001_FRT_1.JPG;https://dd3ka9h4chfr8.cloudfront.net/image/725136000567/image_6qmg96tpll1ip2p01n8qbi5a2a/-FJPG/233422-001_PRM_1.JPG;https://dd3ka9h4chfr8.cloudfront.net/image/725136000567/image_d3kml0qshl16lam6fe50c8ii2t/-FJPG/233422-001_PRM_1.jpg;https://dd3ka9h4chfr8.cloudfront.net/image/725136000567/image_41g1j4m9d55k3cc7j543agk17n/-FJPG/233422-001_SID_1.jpg;https://dd3ka9h4chfr8.cloudfront.net/image/725136000567/image_j2gli6cgit381cont5i9call5p/-FJPG/233422-001_SID_1.JPG;https://dd3ka9h4chfr8.cloudfront.net/image/725136000567/image_upoo22ilqp6ancvetnsrj2el1a/-FJPG/233422-001_ESS.tif;https://dd3ka9h4chfr8.cloudfront.net/image/725136000567/image_56b3bdp63t03rc7jsvbsr6e142/-FJPG/233422-001_DET_2.JPG;https://dd3ka9h4chfr8.cloudfront.net/image/725136000567/image_3b0ht3nmid13jf6dh2ajmc1832/-FJPG/233422-001_DET_2.jpg;https://dd3ka9h4chfr8.cloudfront.net/image/725136000567/image_je84nal0sp16paij6m49vola57/-FJPG/233422-001_DET_1.jpg;https://dd3ka9h4chfr8.cloudfront.net/image/725136000567/image_r7htch2iqp4jv0u05qvtfheg1v/-FJPG/233422-001_DET_1.JPG;https://dd3ka9h4chfr8.cloudfront.net/image/725136000567/image_8g1ntuokj11hn3ttst1jqngr7q/-FJPG/233422-001_DET_3.jpg;https://dd3ka9h4chfr8.cloudfront.net/image/725136000567/image_mcbd7dco1p3ad0kpio351j3809/-FJPG/233422-001_DET_3.JPG;https://dd3ka9h4chfr8.cloudfront.net/image/725136000567/image_8efdtmkcl5195bb8u34ro61q3n/-FJPG/233422-001_DET_4.JPG;https://dd3ka9h4chfr8.cloudfront.net/image/725136000567/image_gvfeqrac251f123m5luecbpi24/-FJPG/233422-001_DET_5.JPG;https://dd3ka9h4chfr8.cloudfront.net/image/725136000567/image_tfcllq0dtd429eadrhp0phsj3i/-FJPG/233422-001_DET_6.JPG</t>
  </si>
  <si>
    <t>Reclaimed Natural Elm</t>
  </si>
  <si>
    <t>233422-001</t>
  </si>
  <si>
    <t>https://dd3ka9h4chfr8.cloudfront.net/image/725136000567/image_irij6h8en55nr71fhlrrv5ak2t/-FJPG/233422-001_FRT_1.jpg</t>
  </si>
  <si>
    <t>Natural Elm Veneer</t>
  </si>
  <si>
    <t>A study in shape. Handcrafted from solid reclaimed elm with visible knots and graining, chunky arched legs support this clean-styled console.</t>
  </si>
  <si>
    <t>Kelby Bookcase</t>
  </si>
  <si>
    <t>https://dd3ka9h4chfr8.cloudfront.net/image/725136000567/image_04r2t4jtkh4ebba2o114ms356k/-FJPG/226055-001_FRT_1.jpg;https://dd3ka9h4chfr8.cloudfront.net/image/725136000567/image_ih6oqhdk212bb8cpcqalonq730/-FJPG/226055-001_PRM_1.jpg;https://dd3ka9h4chfr8.cloudfront.net/image/725136000567/image_32mta22kj56s1d4ilc68g3l27s/-FJPG/226055-001_SID_1.jpg;https://dd3ka9h4chfr8.cloudfront.net/image/725136000567/image_2lma24ts193rtb7g9fblakoh2a/-FJPG/226055-001_ESS_1.jpg;https://dd3ka9h4chfr8.cloudfront.net/image/725136000567/image_qvdol0ins144navj8ftmf07l4b/-FJPG/226055-001_DET_2.jpg;https://dd3ka9h4chfr8.cloudfront.net/image/725136000567/image_tp8o6vhrql2fp3vfd21pk7ol27/-FJPG/226055-001_BCK_1.jpg;https://dd3ka9h4chfr8.cloudfront.net/image/725136000567/image_i418j9jpf546b4h2v6sh1v382e/-FJPG/226055-001_DET_1.jpg;https://dd3ka9h4chfr8.cloudfront.net/image/725136000567/image_r3845de56t2ib8brslbo72004p/-FJPG/226055-001_DET_3.jpg;https://dd3ka9h4chfr8.cloudfront.net/image/725136000567/image_tg2fp7vjvp7159o3tkfn4e2b3u/-FJPG/226055-001_OPN_1.jpg;https://dd3ka9h4chfr8.cloudfront.net/image/725136000567/image_kl16n9fakl6939pfv5vl8f8t2n/-FJPG/226055-001_DET_4.jpg;https://dd3ka9h4chfr8.cloudfront.net/image/725136000567/image_8tmrjfcgnp3s703nc1enr1o56u/-FJPG/226055-001_DET_5.jpg;https://dd3ka9h4chfr8.cloudfront.net/image/725136000567/image_48o5du25s54ntf6iashscnal0n/-FJPG/226055-001_DET_6.jpg;https://dd3ka9h4chfr8.cloudfront.net/image/725136000567/image_eh8ps9d8ad33b7poei5i9gkb6m/-FJPG/226055-001_PRM_2.jpg</t>
  </si>
  <si>
    <t>226055-001</t>
  </si>
  <si>
    <t>130.62</t>
  </si>
  <si>
    <t>https://dd3ka9h4chfr8.cloudfront.net/image/725136000567/image_04r2t4jtkh4ebba2o114ms356k/-FJPG/226055-001_FRT_1.jpg</t>
  </si>
  <si>
    <t>Vintage Brown</t>
  </si>
  <si>
    <t>Uniquely carved mango wood is finished in a vintage brown, highlighting texture and craftsmanship, paired with a slim iron base for an airy, cage-like look.</t>
  </si>
  <si>
    <t>{"value":162.26,"unit":"lb"}</t>
  </si>
  <si>
    <t>Kelby</t>
  </si>
  <si>
    <t>Kelby Cabinet</t>
  </si>
  <si>
    <t>https://dd3ka9h4chfr8.cloudfront.net/image/725136000567/image_2di96p9p4h3ev67fe5jictpl08/-FJPG/101334-002_FRT_1.jpg;https://dd3ka9h4chfr8.cloudfront.net/image/725136000567/image_ss0bls7r891sdbicvej6j5a76a/-FJPG/101334-002_PRM_1.jpg;https://dd3ka9h4chfr8.cloudfront.net/image/725136000567/image_tqnsm3ogo56ctcos47n3i1tn57/-FJPG/101334-002_SID_1.jpg;https://dd3ka9h4chfr8.cloudfront.net/image/725136000567/image_ld3f6gctbp4dhf96umi6mvq901/-FJPG/101334-002_DET_2.jpg;https://dd3ka9h4chfr8.cloudfront.net/image/725136000567/image_fn93vj904154ja0m2a9dfb7f6j/-FJPG/101334-002_DET_1.jpg;https://dd3ka9h4chfr8.cloudfront.net/image/725136000567/image_q9h4eladf1525asnlagpttds32/-FJPG/101334-002_DET_4.jpg;https://dd3ka9h4chfr8.cloudfront.net/image/725136000567/image_1vgafrc94t1cpcqoedvk95pc2v/-FJPG/101334-002_VIG_1.jpg;https://dd3ka9h4chfr8.cloudfront.net/image/725136000567/image_h6l18f9dol7g50vd2apt360m2u/-FJPG/101334-002_PRM_2.jpg</t>
  </si>
  <si>
    <t>Carved Vintage Brown</t>
  </si>
  <si>
    <t>101334-002</t>
  </si>
  <si>
    <t>240.74</t>
  </si>
  <si>
    <t>https://dd3ka9h4chfr8.cloudfront.net/image/725136000567/image_2di96p9p4h3ev67fe5jictpl08/-FJPG/101334-002_FRT_1.jpg</t>
  </si>
  <si>
    <t>Unique linear carving meets fresh dimension with an artisan slant. Mango wood casing is finished in a vintage brown, highlighting texture and high craftsmanship. Inside, a spacious single shelf creates  extra storage, while a slim iron base adds an airy look to clean-lined cabinetry.</t>
  </si>
  <si>
    <t>Base &amp; Shelves</t>
  </si>
  <si>
    <t>{"value":48.06,"unit":"lb"}</t>
  </si>
  <si>
    <t>Structure</t>
  </si>
  <si>
    <t>{"value":51.25,"unit":"in"}</t>
  </si>
  <si>
    <t>{"value":253.75,"unit":"lb"}</t>
  </si>
  <si>
    <t>Kelby Cabinet Nightstand</t>
  </si>
  <si>
    <t>https://dd3ka9h4chfr8.cloudfront.net/image/725136000567/image_2vs0oqsodl7dh5rmeh7nrgp905/-FJPG/101394-004_FRT_1.jpg;https://dd3ka9h4chfr8.cloudfront.net/image/725136000567/image_ss7mo8617h4d55jhu705ilp16c/-FJPG/101394-004_PRM_1.jpg;https://dd3ka9h4chfr8.cloudfront.net/image/725136000567/image_skkdru0om10nj9p3onrf7ivo4o/-FJPG/101394-004_SID_1.jpg;https://dd3ka9h4chfr8.cloudfront.net/image/725136000567/image_b3rupjqdih3fn8es7rqn7d5u3a/-FJPG/101394-004_ESS_1.jpg;https://dd3ka9h4chfr8.cloudfront.net/image/725136000567/image_uvkvc1lj111p17n2bl69ah9b0i/-FJPG/101394-004_DET_2.jpg;https://dd3ka9h4chfr8.cloudfront.net/image/725136000567/image_q35opitgft7o79nvg2fqb5nd6c/-FJPG/101394-004_BCK_1.jpg;https://dd3ka9h4chfr8.cloudfront.net/image/725136000567/image_36j21a3bo138p6p5o3n7u8ij6t/-FJPG/101394-004_DET_1.jpg;https://dd3ka9h4chfr8.cloudfront.net/image/725136000567/image_k6gggtgc8t4jvek2huvf6njb7q/-FJPG/101394-004_DET_3.jpg;https://dd3ka9h4chfr8.cloudfront.net/image/725136000567/image_kb1j1smj8d1ln5tbl6bf5ubk5d/-FJPG/101394-004_OPN_1.jpg;https://dd3ka9h4chfr8.cloudfront.net/image/725136000567/image_5p6s4be4id0qtfpk53f9969o1t/-FJPG/101394-004_DET_4.jpg;https://dd3ka9h4chfr8.cloudfront.net/image/725136000567/image_g83locq58d3nl1jnorarko546u/-FJPG/101394-004_DET_5.jpg;https://dd3ka9h4chfr8.cloudfront.net/image/725136000567/image_llk00dshdd5an96dod5hc9n11p/-FJPG/101394-004_DET_6.jpg;https://dd3ka9h4chfr8.cloudfront.net/image/725136000567/image_37qk7sv22l63rcpc61o18pk539/-FJPG/101394-004_DET_7.jpg</t>
  </si>
  <si>
    <t>Light Wash Mango</t>
  </si>
  <si>
    <t>101394-004</t>
  </si>
  <si>
    <t>50.04</t>
  </si>
  <si>
    <t>https://dd3ka9h4chfr8.cloudfront.net/image/725136000567/image_2vs0oqsodl7dh5rmeh7nrgp905/-FJPG/101394-004_FRT_1.jpg</t>
  </si>
  <si>
    <t>17.25</t>
  </si>
  <si>
    <t>Light-washed mango is carved with unique reeding, speaking to the artisanship behind this storage-driven nightstand. An airy iron base keeps things looking light.</t>
  </si>
  <si>
    <t>https://dd3ka9h4chfr8.cloudfront.net/image/725136000567/image_cnfl5kvse97117toung2pv4a4o/-FJPG/101394-003_FRT_1.jpg;https://dd3ka9h4chfr8.cloudfront.net/image/725136000567/image_nn5phfb8154vpc56c15q2l124c/-FJPG/101394-003_PRM_1.jpg;https://dd3ka9h4chfr8.cloudfront.net/image/725136000567/image_v44fknb5d11gr9s42vkb29g358/-FJPG/101394-003_SID_1.jpg;https://dd3ka9h4chfr8.cloudfront.net/image/725136000567/image_7h5outoukt23r3c2n1effqo76k/-FJPG/101394-003_DET_2.jpg;https://dd3ka9h4chfr8.cloudfront.net/image/725136000567/image_1f3t9p5s057et4qm98onbj5g0p/-FJPG/101394-003_DET_1.jpg;https://dd3ka9h4chfr8.cloudfront.net/image/725136000567/image_td2bgdjqf50vv3dm2fmvteq31q/-FJPG/101394-003_DET_3.jpg;https://dd3ka9h4chfr8.cloudfront.net/image/725136000567/image_149b0d3dg11ln8lbel7e1ha03b/-FJPG/101394-003_OPN_1.jpg;https://dd3ka9h4chfr8.cloudfront.net/image/725136000567/image_1meta3luk90jfavd00a5p16j04/-FJPG/101394-003_DET_4.jpg</t>
  </si>
  <si>
    <t>101394-003</t>
  </si>
  <si>
    <t>https://dd3ka9h4chfr8.cloudfront.net/image/725136000567/image_cnfl5kvse97117toung2pv4a4o/-FJPG/101394-003_FRT_1.jpg</t>
  </si>
  <si>
    <t>Uniquely carved mango wood is finished in a vintage brown, highlighting texture and craftsmanship, and a slim iron base adds an airy, cage-like look to bedside storage.</t>
  </si>
  <si>
    <t>Kelby Closed Media Console</t>
  </si>
  <si>
    <t>https://dd3ka9h4chfr8.cloudfront.net/image/725136000567/image_ojcojjnh1h6fhbr1g9jc7kmf43/-FJPG/234758-003_FRT_1.jpg;https://dd3ka9h4chfr8.cloudfront.net/image/725136000567/image_depsc4c95d6hh1teau7f22tp6f/-FJPG/234758-003_PRM_1.jpg;https://dd3ka9h4chfr8.cloudfront.net/image/725136000567/image_hqghsj6vid72jdemv19im6ip7j/-FJPG/234758-003_SID_1.jpg;https://dd3ka9h4chfr8.cloudfront.net/image/725136000567/image_ul425u7t5t3edec98t01ng653q/-FJPG/234758-003_ESS_1.jpg;https://dd3ka9h4chfr8.cloudfront.net/image/725136000567/image_8cm2fovrqh2rn1e65md85g8e65/-FJPG/234758-003_DET_2.jpg;https://dd3ka9h4chfr8.cloudfront.net/image/725136000567/image_o9gjpdru0t2l3bcfm6cm9j8a3h/-FJPG/234758-003_BCK_1.jpg;https://dd3ka9h4chfr8.cloudfront.net/image/725136000567/image_664ctnj8ap74t1r2ac0tnl0039/-FJPG/234758-003_DET_1.jpg;https://dd3ka9h4chfr8.cloudfront.net/image/725136000567/image_rvrpgb60753lj4iol28ieton5i/-FJPG/234758-003_DET_3.jpg;https://dd3ka9h4chfr8.cloudfront.net/image/725136000567/image_kdqocv4r6t03lc1k18keplng5a/-FJPG/234758-003_OPN_1.jpg;https://dd3ka9h4chfr8.cloudfront.net/image/725136000567/image_ng1hjfnhmp5672nn2t7j6klm7i/-FJPG/234758-003_DET_4.jpg;https://dd3ka9h4chfr8.cloudfront.net/image/725136000567/image_ed1ojdcrdh5ln7ebsosh5kae4g/-FJPG/234758-003_DET_5.jpg;https://dd3ka9h4chfr8.cloudfront.net/image/725136000567/image_452lo0eekl41nam6fp6bjqq85n/-FJPG/234758-003_DET_6.jpg;https://dd3ka9h4chfr8.cloudfront.net/image/725136000567/image_8c84rp24q97qf9f1sn4vt0th34/-FJPG/234758-003-NO ART.jpg</t>
  </si>
  <si>
    <t>234758-003</t>
  </si>
  <si>
    <t>147.93</t>
  </si>
  <si>
    <t>https://dd3ka9h4chfr8.cloudfront.net/image/725136000567/image_ojcojjnh1h6fhbr1g9jc7kmf43/-FJPG/234758-003_FRT_1.jpg</t>
  </si>
  <si>
    <t>Mango wood's unique linear carving highlights texture and true artisanship. A slim iron base adds an airy, cage-like look to clean-lined storage.</t>
  </si>
  <si>
    <t>{"value":82.5,"unit":"in"}</t>
  </si>
  <si>
    <t>{"value":22.25,"unit":"in"}</t>
  </si>
  <si>
    <t>{"value":172.4,"unit":"lb"}</t>
  </si>
  <si>
    <t>38.38"</t>
  </si>
  <si>
    <t>Kelby Media Console</t>
  </si>
  <si>
    <t>https://dd3ka9h4chfr8.cloudfront.net/image/725136000567/image_fmcas3r0h54ap0i69eouk81820/-FJPG/109097-002_FRT_1.jpg;https://dd3ka9h4chfr8.cloudfront.net/image/725136000567/image_4kuqjjnugp5mr7o002es450j32/-FJPG/109097-002_PRM_1.jpg;https://dd3ka9h4chfr8.cloudfront.net/image/725136000567/image_do2ek77tc138b6c2v5frhenn5j/-FJPG/109097-002_SID_1.jpg;https://dd3ka9h4chfr8.cloudfront.net/image/725136000567/image_0827lf6f1l31r3d5a92ba64j6d/-FJPG/109097-002_DET_2.jpg;https://dd3ka9h4chfr8.cloudfront.net/image/725136000567/image_cvie9pia311or5h0s9agt98939/-FJPG/109097-002_BCK_1.jpg;https://dd3ka9h4chfr8.cloudfront.net/image/725136000567/image_kgj10rme315j36j7food1ee96n/-FJPG/109097-002_DET_1.jpg;https://dd3ka9h4chfr8.cloudfront.net/image/725136000567/image_pch32opo750klbeqm43o10pn38/-FJPG/109097-002_DET_3.jpg;https://dd3ka9h4chfr8.cloudfront.net/image/725136000567/image_vtp6sadfct4159pu7c6igg157h/-FJPG/109097-002_OPN_1.jpg;https://dd3ka9h4chfr8.cloudfront.net/image/725136000567/image_k68p89f9o56j5dtvbmeguis458/-FJPG/109097-002_DET_4.jpg;https://dd3ka9h4chfr8.cloudfront.net/image/725136000567/image_01vtff4mgt45pf161pennsua18/-FJPG/109097-002_OPN_2.jpg;https://dd3ka9h4chfr8.cloudfront.net/image/725136000567/image_t3isb1u9596md2h35b81icne1g/-FJPG/109097-002_OPN_3.jpg</t>
  </si>
  <si>
    <t>109097-002</t>
  </si>
  <si>
    <t>164.68</t>
  </si>
  <si>
    <t>https://dd3ka9h4chfr8.cloudfront.net/image/725136000567/image_fmcas3r0h54ap0i69eouk81820/-FJPG/109097-002_FRT_1.jpg</t>
  </si>
  <si>
    <t>Unique linear carving meets new dimension with an artisan slant. Mango wood casing is finished in a vintage brown, highlighting texture and craftsmanship. A slim iron base adds an airy, cage-like look to small-scale media storage. Rear cutouts for cord management.</t>
  </si>
  <si>
    <t>{"value":188.49,"unit":"lb"}</t>
  </si>
  <si>
    <t>4.21"</t>
  </si>
  <si>
    <t>Kelby Sideboard</t>
  </si>
  <si>
    <t>https://dd3ka9h4chfr8.cloudfront.net/image/725136000567/image_pa9nt633tt2fhfreoak3fc9b5g/-FJPG/101333-003_FRT_1.jpg;https://dd3ka9h4chfr8.cloudfront.net/image/725136000567/image_1mtfvv44g90hp1gu043c5k7s7h/-FJPG/101333-003_PRM_1.jpg;https://dd3ka9h4chfr8.cloudfront.net/image/725136000567/image_7ndvlf04hh6h11685r3bdb6m0a/-FJPG/101333-003_SID_1.jpg;https://dd3ka9h4chfr8.cloudfront.net/image/725136000567/image_uiggk1tmtl5rr19kstvksmpr5g/-FJPG/101333-003_ESS_1.jpg;https://dd3ka9h4chfr8.cloudfront.net/image/725136000567/image_jtolp0mpph7sb8eo11hgqouj7u/-FJPG/101333-003_ESS_1.jpg;https://dd3ka9h4chfr8.cloudfront.net/image/725136000567/image_aaog1chlo954v9i5pjbesr0m3k/-FJPG/101333-003_DET_2.jpg;https://dd3ka9h4chfr8.cloudfront.net/image/725136000567/image_5egtskfq5h7gd9vufebp1bup34/-FJPG/101333-003_BCK_1.jpg;https://dd3ka9h4chfr8.cloudfront.net/image/725136000567/image_k9a96i4p5p3hf4lsqr670bpq4c/-FJPG/101333-003_DET_1.jpg;https://dd3ka9h4chfr8.cloudfront.net/image/725136000567/image_71fvs4959h6qjdbgpg3q4ken44/-FJPG/101333-003_DET_3.jpg;https://dd3ka9h4chfr8.cloudfront.net/image/725136000567/image_hlivvkfp9t157cnsklfcods149/-FJPG/101333-003_OPN_1.jpg;https://dd3ka9h4chfr8.cloudfront.net/image/725136000567/image_a1ivfur6ct2bl2jjkqrjlm4j28/-FJPG/101333-003_DET_4.jpg;https://dd3ka9h4chfr8.cloudfront.net/image/725136000567/image_5hsp9tfp713cr7dm9hqai77d63/-FJPG/101333-003_DET_5.jpg;https://dd3ka9h4chfr8.cloudfront.net/image/725136000567/image_ua16ntgc9p14h8bovu1r4ea27b/-FJPG/101333-003_DET_6.jpg</t>
  </si>
  <si>
    <t>101333-003</t>
  </si>
  <si>
    <t>114.62</t>
  </si>
  <si>
    <t>https://dd3ka9h4chfr8.cloudfront.net/image/725136000567/image_pa9nt633tt2fhfreoak3fc9b5g/-FJPG/101333-003_FRT_1.jpg</t>
  </si>
  <si>
    <t>69</t>
  </si>
  <si>
    <t>{"value":69,"unit":"in"}</t>
  </si>
  <si>
    <t>Light Wash Carved Mango</t>
  </si>
  <si>
    <t>Unique linear carving brings an artisanal look to dining storage. Mango wood casing is finished in a light wash to highlight texture and craftsmanship, while an airy iron base crafts a cage-like look..</t>
  </si>
  <si>
    <t>{"value":168.63,"unit":"lb"}</t>
  </si>
  <si>
    <t>Kelby Small Media Cabinet</t>
  </si>
  <si>
    <t>https://dd3ka9h4chfr8.cloudfront.net/image/725136000567/image_k4j8jqfpcp0jn51f3dgo5bte5a/-FJPG/101360-004_FRT_1.jpg;https://dd3ka9h4chfr8.cloudfront.net/image/725136000567/image_edll1j7v2l31v8l5vqbjvb5m46/-FJPG/101360-004_PRM_1.jpg;https://dd3ka9h4chfr8.cloudfront.net/image/725136000567/image_d25n6atgm969d4oug4h2idvn4e/-FJPG/101360-004_SID_1.jpg;https://dd3ka9h4chfr8.cloudfront.net/image/725136000567/image_t2372bv9nd7ktci4ssvbiudt04/-FJPG/101360-004_DET_2.jpg;https://dd3ka9h4chfr8.cloudfront.net/image/725136000567/image_nq38revo4d3e58qnokbhgl7g2i/-FJPG/101360-004_DET_1.jpg;https://dd3ka9h4chfr8.cloudfront.net/image/725136000567/image_b8sa2j65314619e5la4f3mr33t/-FJPG/101360-004_DET_3.jpg;https://dd3ka9h4chfr8.cloudfront.net/image/725136000567/image_vd8up51nel7k9b5jisbks05u2t/-FJPG/101360-004_OPN_1.jpg;https://dd3ka9h4chfr8.cloudfront.net/image/725136000567/image_nrtj7fpsmt5df2cpl6da71mu05/-FJPG/101360-004_DET_4.jpg;https://dd3ka9h4chfr8.cloudfront.net/image/725136000567/image_37ut71a9ih3ld0klsjjf8p594r/-FJPG/101360-004_DET_5.jpg;https://dd3ka9h4chfr8.cloudfront.net/image/725136000567/image_viseqhu5dp4dp7nlehsncafv6p/-FJPG/101360-004_DET_6.jpg;https://dd3ka9h4chfr8.cloudfront.net/image/725136000567/image_2irgpg5tth07j7rd4b4ujk4i4m/-FJPG/101360-004_DET_7.jpg;https://dd3ka9h4chfr8.cloudfront.net/image/725136000567/image_mrtq7lab2l4875q1uhcg29fg59/-FJPG/101360-004_VIG_1.jpg</t>
  </si>
  <si>
    <t>101360-004</t>
  </si>
  <si>
    <t>99.54</t>
  </si>
  <si>
    <t>https://dd3ka9h4chfr8.cloudfront.net/image/725136000567/image_k4j8jqfpcp0jn51f3dgo5bte5a/-FJPG/101360-004_FRT_1.jpg</t>
  </si>
  <si>
    <t>{"value":137.02,"unit":"lb"}</t>
  </si>
  <si>
    <t>Kennedy Chair</t>
  </si>
  <si>
    <t>https://dd3ka9h4chfr8.cloudfront.net/image/725136000567/image_fdoqfvbs8d35nbcrf5jvq0jd27/-FJPG/100970-007_FRT_1.JPG;https://dd3ka9h4chfr8.cloudfront.net/image/725136000567/image_f05tpdo6it4ot6oq27juv6hu22/-FJPG/100970-007_PRM_1.JPG;https://dd3ka9h4chfr8.cloudfront.net/image/725136000567/image_evo4sk49q921vbi6msd6oio45i/-FJPG/100970-007_SID_1.JPG;https://dd3ka9h4chfr8.cloudfront.net/image/725136000567/image_0v4mfi78d948f39dm0sjcg4s65/-FJPG/100970-007_DET_2.JPG;https://dd3ka9h4chfr8.cloudfront.net/image/725136000567/image_ur8f7u9uil4f56hbi0v74cmm2t/-FJPG/100970-007_BCK_1.JPG;https://dd3ka9h4chfr8.cloudfront.net/image/725136000567/image_fgpqclcrp95oh7k4hil8p5jb4b/-FJPG/100970-007_DET_1.JPG;https://dd3ka9h4chfr8.cloudfront.net/image/725136000567/image_s5773ea72p61l7tepoa98tt11g/-FJPG/100970-007_DET_3.JPG;https://dd3ka9h4chfr8.cloudfront.net/image/725136000567/image_garihiipdl7sv619cs15r2bi0j/-FJPG/100970-007_DET_4.JPG;https://dd3ka9h4chfr8.cloudfront.net/image/725136000567/image_8utgp1fc0928bd9f4v82gv5a2i/-FJPG/100970-007_DET_5.JPG;https://dd3ka9h4chfr8.cloudfront.net/image/725136000567/image_f0euk45jvp28j8g87hlhblg033/-FJPG/100970-007_DET_6.JPG;https://dd3ka9h4chfr8.cloudfront.net/image/725136000567/image_svvg1lc8fd1195ufk51h20uk55/-FJPG/100970-007_DET_7.JPG</t>
  </si>
  <si>
    <t>100970-007</t>
  </si>
  <si>
    <t>https://dd3ka9h4chfr8.cloudfront.net/image/725136000567/image_fdoqfvbs8d35nbcrf5jvq0jd27/-FJPG/100970-007_FRT_1.JPG</t>
  </si>
  <si>
    <t>["92% Polyester","8% Flax/Linen","Iron","Solid Ash"]</t>
  </si>
  <si>
    <t>Comfort and class in one chic silhouette. Sloped wooden arms and forged legs frame cushy feather-blend seating, striking great tonal balance between warm and cool. Free of PFAS, soft and easy to clean, Crypton® performance fabric is specially engineered for protection against stains, moisture and odor.</t>
  </si>
  <si>
    <t>Kennedy</t>
  </si>
  <si>
    <t>https://dd3ka9h4chfr8.cloudfront.net/image/725136000567/image_69ha0jeafp0718jiebrcjkbi5r/-FJPG/100970-004_FRT_1.jpg;https://dd3ka9h4chfr8.cloudfront.net/image/725136000567/image_da5m930pbd7mncd53sa10kat6v/-FJPG/100970-004_PRM_1.jpg;https://dd3ka9h4chfr8.cloudfront.net/image/725136000567/image_5i0cdl9dn15d1eb9pt3mrqp94f/-FJPG/100970-004_SID_1.jpg;https://dd3ka9h4chfr8.cloudfront.net/image/725136000567/image_2fkktsoepl0l1cso1d5nrmqd5p/-FJPG/100970-004_DET_2.jpg;https://dd3ka9h4chfr8.cloudfront.net/image/725136000567/image_6qalhkqnkt07t3dc87cgtif26j/-FJPG/100970-004_BCK_1.jpg;https://dd3ka9h4chfr8.cloudfront.net/image/725136000567/image_6f41ijftih1e93d1vblmpvg91s/-FJPG/100970-004_DET_1.jpg;https://dd3ka9h4chfr8.cloudfront.net/image/725136000567/image_7k965kl4454ed3em301l7qth6n/-FJPG/100970-004_DET_3.jpg;https://dd3ka9h4chfr8.cloudfront.net/image/725136000567/image_a89cfjto154g30i553dir9br2b/-FJPG/100970-004_DET_4.jpg;https://dd3ka9h4chfr8.cloudfront.net/image/725136000567/image_so5o816fdh54ha5aed57nb9a4u/-FJPG/100970-004_DET_5.jpg;https://dd3ka9h4chfr8.cloudfront.net/image/725136000567/image_tq9asepr6h3aread287nmpab5r/-FJPG/100970-004_DET_6.jpg;https://dd3ka9h4chfr8.cloudfront.net/image/725136000567/image_kbp5ge4vt93k37q9vl4996bu6p/-FJPG/100970-004_ROM_1.jpg;https://dd3ka9h4chfr8.cloudfront.net/image/725136000567/image_4ekut9t9kt49fb5ncr7ovpgc15/-FJPG/100970-004_VIG_1.jpg</t>
  </si>
  <si>
    <t>Gabardine Grey</t>
  </si>
  <si>
    <t>100970-004</t>
  </si>
  <si>
    <t>https://dd3ka9h4chfr8.cloudfront.net/image/725136000567/image_69ha0jeafp0718jiebrcjkbi5r/-FJPG/100970-004_FRT_1.jpg</t>
  </si>
  <si>
    <t>["73% Polyester","27% Acrylic","Iron","Solid Parawood"]</t>
  </si>
  <si>
    <t>Comfort and class in one chic silhouette. Sloped wooden arms and forged, gunmetal-finished legs frame cushy feather-blend seating covered in a textural grey twill, striking great tonal balance between warm and cool.</t>
  </si>
  <si>
    <t>{"value":70.33,"unit":"lb"}</t>
  </si>
  <si>
    <t>https://dd3ka9h4chfr8.cloudfront.net/image/725136000567/image_mndg18ck314v31mcv2ad0ifo53/-FJPG/100970-002_FRT_1.jpg;https://dd3ka9h4chfr8.cloudfront.net/image/725136000567/image_2kg3n0ser51tv6iqahim8jqe5h/-FJPG/100970-002_PRM_1.jpg;https://dd3ka9h4chfr8.cloudfront.net/image/725136000567/image_nkke9o6opd4ph9lqtuagb9n736/-FJPG/100970-002_SID_1.jpg;https://dd3ka9h4chfr8.cloudfront.net/image/725136000567/image_q2iioqiipp247413i3c98oo079/-FJPG/100970-002_ESS_1.jpg;https://dd3ka9h4chfr8.cloudfront.net/image/725136000567/image_m0o6bjjhdt3bn7uh1lsiti7r32/-FJPG/100970-002_DET_2.jpg;https://dd3ka9h4chfr8.cloudfront.net/image/725136000567/image_r7c9qf79s12fvej9gjlqalvf3d/-FJPG/100970-002_BCK_1.jpg;https://dd3ka9h4chfr8.cloudfront.net/image/725136000567/image_eodir1cnl52vr4n2fo6ti0i35r/-FJPG/100970-002_INF_1.jpg;https://dd3ka9h4chfr8.cloudfront.net/image/725136000567/image_b59sbd3kvl5ir3o0le8482l05p/-FJPG/100970-002_DET_1.jpg;https://dd3ka9h4chfr8.cloudfront.net/image/725136000567/image_q4jbntl9qh18pfl763pncb0r2u/-FJPG/100970-002_DET_3.jpg;https://dd3ka9h4chfr8.cloudfront.net/image/725136000567/image_nmjseevop50654d2oo4undnt3d/-FJPG/100970-002_DET_4.jpg;https://dd3ka9h4chfr8.cloudfront.net/image/725136000567/image_6clkbvqk191ovck4s91dvr9f08/-FJPG/100970-002_DET_5.jpg;https://dd3ka9h4chfr8.cloudfront.net/image/725136000567/image_8m0pj9argp5a755ilhjdn6ff1u/-FJPG/100970-002_DET_6.jpg</t>
  </si>
  <si>
    <t>100970-002</t>
  </si>
  <si>
    <t>https://dd3ka9h4chfr8.cloudfront.net/image/725136000567/image_mndg18ck314v31mcv2ad0ifo53/-FJPG/100970-002_FRT_1.jpg</t>
  </si>
  <si>
    <t>["96% Polyester","4% Acrylic","Iron","Solid Ash"]</t>
  </si>
  <si>
    <t>Comfort and class in one chic silhouette. Sloped wooden arms and forged legs frame cushy feather-blend seating covered in a textural ivory, striking great tonal balance between warm and cool. Performance fabrics are specially created to withstand spills, stains, high traffic and wear, ensuring long-term comfort and unmatched durability.</t>
  </si>
  <si>
    <t>https://dd3ka9h4chfr8.cloudfront.net/image/725136000567/image_o8e3ov4mp11rte6t20lh732114/-FJPG/100970-006_FRT_1.jpg;https://dd3ka9h4chfr8.cloudfront.net/image/725136000567/image_fesd9efrt15hbagtl3gd0luk6b/-FJPG/100970-006_PRM_1.jpg;https://dd3ka9h4chfr8.cloudfront.net/image/725136000567/image_9jtv8k49oh6q52shen219pa603/-FJPG/100970-006_SID_1.jpg;https://dd3ka9h4chfr8.cloudfront.net/image/725136000567/image_gn70nk08ut4fn71s53nqo72a69/-FJPG/100970-006_ESS_1.jpg;https://dd3ka9h4chfr8.cloudfront.net/image/725136000567/image_6dckr6p0m57931dg4p9op85a3j/-FJPG/100970-006_DET_2.jpg;https://dd3ka9h4chfr8.cloudfront.net/image/725136000567/image_d3o66ocv9l70vbad96vbht5232/-FJPG/100970-006_BCK_1.jpg;https://dd3ka9h4chfr8.cloudfront.net/image/725136000567/image_8jaajj2npp7mdfkcainkkmf05b/-FJPG/100970-006_DET_1.jpg;https://dd3ka9h4chfr8.cloudfront.net/image/725136000567/image_gepo1e5hat647f0gqncqbpnh28/-FJPG/100970-006_DET_3.jpg;https://dd3ka9h4chfr8.cloudfront.net/image/725136000567/image_pg1h8lk0ep3c9auj29acivb65t/-FJPG/100970-006_DET_4.jpg;https://dd3ka9h4chfr8.cloudfront.net/image/725136000567/image_9f1sffcfrl5dl5kggqpdaim01r/-FJPG/100970-006_DET_5.jpg;https://dd3ka9h4chfr8.cloudfront.net/image/725136000567/image_8j7q0dh87l4p39j8jj74m48r5j/-FJPG/100970-006_PRM_2.jpg</t>
  </si>
  <si>
    <t>100970-006</t>
  </si>
  <si>
    <t>https://dd3ka9h4chfr8.cloudfront.net/image/725136000567/image_o8e3ov4mp11rte6t20lh732114/-FJPG/100970-006_FRT_1.jpg</t>
  </si>
  <si>
    <t>["Top Grain Leather","Iron","Solid Ash"]</t>
  </si>
  <si>
    <t>Comfort and class in one chic silhouette. Sloped wooden arms and forged, gunmetal-finished legs frame cushy feather-blend seating covered in top-grain leather, striking great tonal balance between warm and cool.</t>
  </si>
  <si>
    <t>https://dd3ka9h4chfr8.cloudfront.net/image/725136000567/image_7h78eec2u94pt1cjf3meellg0c/-FJPG/100970-003_FRT_1.jpg;https://dd3ka9h4chfr8.cloudfront.net/image/725136000567/image_kpnkpvmde11b9804hbjfsu9g3b/-FJPG/100970-003_PRM_1.jpg;https://dd3ka9h4chfr8.cloudfront.net/image/725136000567/image_7equdoake56rb83gsb8krmvo34/-FJPG/100970-003_SID_1.jpg;https://dd3ka9h4chfr8.cloudfront.net/image/725136000567/image_q60r3pq54509t7tg7uh3ijve19/-FJPG/100970-003_DET_2.jpg;https://dd3ka9h4chfr8.cloudfront.net/image/725136000567/image_toi9v8alhh5vj46unpo56jov79/-FJPG/100970-003_BCK_1.jpg;https://dd3ka9h4chfr8.cloudfront.net/image/725136000567/image_6uip4b342973bbc4l9est8rs2s/-FJPG/100970-003_DET_1.jpg;https://dd3ka9h4chfr8.cloudfront.net/image/725136000567/image_ifhmlusvu54c97er14ueu2aq3n/-FJPG/100970-003_DET_3.jpg;https://dd3ka9h4chfr8.cloudfront.net/image/725136000567/image_9u2e5qfef16gd77ogt97qege46/-FJPG/100970-003_DET_4.jpg;https://dd3ka9h4chfr8.cloudfront.net/image/725136000567/image_o7bqghjs457j93jtk2ff0sqn2i/-FJPG/100970-003_DET_5.jpg</t>
  </si>
  <si>
    <t>100970-003</t>
  </si>
  <si>
    <t>https://dd3ka9h4chfr8.cloudfront.net/image/725136000567/image_7h78eec2u94pt1cjf3meellg0c/-FJPG/100970-003_FRT_1.jpg</t>
  </si>
  <si>
    <t>Comfort and class in one chic silhouette. Sloped wooden arms and forged, gunmetal-finished legs frame our Four Hands exclusive top-grain leather with slight distressing for a subtle worn-in look and feel.</t>
  </si>
  <si>
    <t>Kerry Chaise-85"</t>
  </si>
  <si>
    <t>https://dd3ka9h4chfr8.cloudfront.net/image/725136000567/image_0728es3r2l6hlfs3bp0v521f4r/-FJPG/CKEN-32371-859P_FRT_1.jpg;https://dd3ka9h4chfr8.cloudfront.net/image/725136000567/image_oau4f8ps1p1716ah5h3853jp74/-FJPG/CKEN-32371-859P_PRM_1.jpg;https://dd3ka9h4chfr8.cloudfront.net/image/725136000567/image_g6ho619np54ppegbvjilgf4q2j/-FJPG/CKEN-32371-859P_SID_1.jpg;https://dd3ka9h4chfr8.cloudfront.net/image/725136000567/image_5k3hqv02it7hl6d335km563h1s/-FJPG/CKEN-32371-859P_DET_2.jpg;https://dd3ka9h4chfr8.cloudfront.net/image/725136000567/image_8f3s3i0h5552h3nj86e95ubn09/-FJPG/CKEN-32371-859P_INF_1.jpg;https://dd3ka9h4chfr8.cloudfront.net/image/725136000567/image_pqkk3e5neh0j14tdfdeacppn0p/-FJPG/CKEN-32371-859P_DET_1.jpg;https://dd3ka9h4chfr8.cloudfront.net/image/725136000567/image_g6l0cdk6g52vt7nchta8cam67u/-FJPG/CKEN-32371-859P_DET_3.jpg;https://dd3ka9h4chfr8.cloudfront.net/image/725136000567/image_t4rq5u6m21599484mpen5jeo6p/-FJPG/CKEN-32371-859P_DET_4.jpg;https://dd3ka9h4chfr8.cloudfront.net/image/725136000567/image_5dj6me4tr97h166ok0126a7g7n/-FJPG/CKEN-32371-859P_DET_5.jpg;https://dd3ka9h4chfr8.cloudfront.net/image/725136000567/image_dl4c8q91i573lcd3fp7p1iip4n/-FJPG/CKEN-32371-859P_DET_6.jpg</t>
  </si>
  <si>
    <t>CKEN-32371-859P</t>
  </si>
  <si>
    <t>https://dd3ka9h4chfr8.cloudfront.net/image/725136000567/image_0728es3r2l6hlfs3bp0v521f4r/-FJPG/CKEN-32371-859P_FRT_1.jpg</t>
  </si>
  <si>
    <t>Made for stretching out or sinking in, cream-colored pillowtop cushioning is cradled by a natural parawood frame, with taupe top-grain leather buckles lending an edgy finishing touch.</t>
  </si>
  <si>
    <t>Kerry</t>
  </si>
  <si>
    <t>80.50"</t>
  </si>
  <si>
    <t>Kickapoo River Cricket Table</t>
  </si>
  <si>
    <t>https://dd3ka9h4chfr8.cloudfront.net/image/725136000567/image_0et943dj7h4a3bncu9k2s6a865/-FJPG/238730-002_FRT_1.jpg;https://dd3ka9h4chfr8.cloudfront.net/image/725136000567/image_uguinaog5519t9v3arpfai1l4b/-FJPG/238730-002_PRM_1.jpg;https://dd3ka9h4chfr8.cloudfront.net/image/725136000567/image_bsa1ql7tt55o95pucmv8r1co42/-FJPG/238730-002_SID_1.jpg;https://dd3ka9h4chfr8.cloudfront.net/image/725136000567/image_ojpardttat22tftjan2apnk65g/-FJPG/238730-002_ESS_1.tif;https://dd3ka9h4chfr8.cloudfront.net/image/725136000567/image_irh14uikr97nhaucjujghaeb0q/-FJPG/238730-002_DET_2.jpg;https://dd3ka9h4chfr8.cloudfront.net/image/725136000567/image_vdbb1ort0h5kj43osha5voek6j/-FJPG/238730-002_BCK_1.jpg;https://dd3ka9h4chfr8.cloudfront.net/image/725136000567/image_9scrhauuep3ddc7k8h8fpibs5v/-FJPG/238730-002_DET_1.jpg;https://dd3ka9h4chfr8.cloudfront.net/image/725136000567/image_9u9pg2egq12ud6meugqv378c76/-FJPG/238730-002_DET_3.jpg;https://dd3ka9h4chfr8.cloudfront.net/image/725136000567/image_nq06a83f513k74shbb0dgs7c64/-FJPG/238730-002_TOP_1.jpg;https://dd3ka9h4chfr8.cloudfront.net/image/725136000567/image_sjd66poo0t5f5dtfnj010m2q0i/-FJPG/238730-002_DET_4.jpg;https://dd3ka9h4chfr8.cloudfront.net/image/725136000567/image_8m83j5eka14nfe1nvjl6s1gc4j/-FJPG/238730-002_DET_9.tif;https://dd3ka9h4chfr8.cloudfront.net/image/725136000567/image_6tvd3v2tb554f8ikbtjo85qq2m/-FJPG/238730-002_DET_10.tif</t>
  </si>
  <si>
    <t>238730-002</t>
  </si>
  <si>
    <t>https://dd3ka9h4chfr8.cloudfront.net/image/725136000567/image_0et943dj7h4a3bncu9k2s6a865/-FJPG/238730-002_FRT_1.jpg</t>
  </si>
  <si>
    <t>["Pine Veneer","Solid Pine"]</t>
  </si>
  <si>
    <t>By the makers at Van Thiel, known for their antique-inspired pieces and hand-applied finishes. A versatile end table of distressed black pine brings an extra surface or seat to any room.</t>
  </si>
  <si>
    <t>2.44"</t>
  </si>
  <si>
    <t>15.71"</t>
  </si>
  <si>
    <t>Kickapoo River Cricket</t>
  </si>
  <si>
    <t>8.11"</t>
  </si>
  <si>
    <t>18.23"</t>
  </si>
  <si>
    <t>19.72"</t>
  </si>
  <si>
    <t>22.17"</t>
  </si>
  <si>
    <t>1.71"</t>
  </si>
  <si>
    <t>Kiera Swivel Chair</t>
  </si>
  <si>
    <t>https://dd3ka9h4chfr8.cloudfront.net/image/725136000567/image_dnf226auvh3bja58kh8d2p1p0p/-FJPG/106065-014_FRT_1.jpg;https://dd3ka9h4chfr8.cloudfront.net/image/725136000567/image_d6skvs84ed2g99eivlupt0go05/-FJPG/106065-014_PRM_1.jpg;https://dd3ka9h4chfr8.cloudfront.net/image/725136000567/image_7qk3h7tuhh137cq918gipq816g/-FJPG/106065-014_SID_1.jpg;https://dd3ka9h4chfr8.cloudfront.net/image/725136000567/image_1p7e0udov10uj2adp11e1mp84g/-FJPG/106065-014_ESS_1.jpg;https://dd3ka9h4chfr8.cloudfront.net/image/725136000567/image_s82ssgfuh50eh0va7njgcka50q/-FJPG/106065-014_DET_2.jpg;https://dd3ka9h4chfr8.cloudfront.net/image/725136000567/image_pinlp6079t315ccdkgoknjpi4m/-FJPG/106065-014_BCK_1.jpg;https://dd3ka9h4chfr8.cloudfront.net/image/725136000567/image_sll36nijch4abcbgt5dq2n092q/-FJPG/Color Variance Card_Palermo Cognac.jpg;https://dd3ka9h4chfr8.cloudfront.net/image/725136000567/image_9u1im3l5b547fcg0goif4fqm3i/-FJPG/106065-014_DET_1.jpg;https://dd3ka9h4chfr8.cloudfront.net/image/725136000567/image_er60qe6g6p3c3bahvsbaonie7g/-FJPG/106065-014_DET_3.jpg;https://dd3ka9h4chfr8.cloudfront.net/image/725136000567/image_f2nv8pq4ll46p11scqusc1kt0i/-FJPG/106065-014_DET_4.jpg;https://dd3ka9h4chfr8.cloudfront.net/image/725136000567/image_j81hsq0oqt52p4tkhrcddd0e4s/-FJPG/106065-014_DET_5.jpg;https://dd3ka9h4chfr8.cloudfront.net/image/725136000567/image_578oo15d7p0vlbomuiuck7nn2f/-FJPG/106065-014_DET_6.jpg</t>
  </si>
  <si>
    <t>106065-014</t>
  </si>
  <si>
    <t>https://dd3ka9h4chfr8.cloudfront.net/image/725136000567/image_dnf226auvh3bja58kh8d2p1p0p/-FJPG/106065-014_FRT_1.jpg</t>
  </si>
  <si>
    <t>Top-grain leather covers clean-angled arms for a tailored look, with blind tufting for texture. A 360-degree swivel base modernizes the whole look.</t>
  </si>
  <si>
    <t>Kiera</t>
  </si>
  <si>
    <t>1.02"</t>
  </si>
  <si>
    <t>100% Polyester Fiber Pad</t>
  </si>
  <si>
    <t>Kimble Swivel Chair</t>
  </si>
  <si>
    <t>https://dd3ka9h4chfr8.cloudfront.net/image/725136000567/image_9qb8a28akt21j6476s6kr7go01/-FJPG/106086-033_FRT_1.jpg;https://dd3ka9h4chfr8.cloudfront.net/image/725136000567/image_1ni0kha73d6lndu3pq2gghot1c/-FJPG/106086-033_PRM_1.jpg;https://dd3ka9h4chfr8.cloudfront.net/image/725136000567/image_orfo07g25d4vd9thnc7ocsrn7e/-FJPG/106086-033_SID_1.jpg;https://dd3ka9h4chfr8.cloudfront.net/image/725136000567/image_k3tongk6v11r38pjju7aoepm11/-FJPG/106086-033_ESS.tif;https://dd3ka9h4chfr8.cloudfront.net/image/725136000567/image_6b5le3tav95eh1lueglag8ng4u/-FJPG/106086-033_DET_2.jpg;https://dd3ka9h4chfr8.cloudfront.net/image/725136000567/image_nrgdso3ad51f150776m69mn13b/-FJPG/106086-033_BCK_1.jpg;https://dd3ka9h4chfr8.cloudfront.net/image/725136000567/image_asrmuuid0t0ghbisrbbd3qt709/-FJPG/106086-033_DET_1.jpg;https://dd3ka9h4chfr8.cloudfront.net/image/725136000567/image_of0t8i12013ibf775hkf20et5s/-FJPG/106086-033_DET_3.jpg;https://dd3ka9h4chfr8.cloudfront.net/image/725136000567/image_4de471nru143n8qturq73m6r0o/-FJPG/106086-033_DET_4.jpg;https://dd3ka9h4chfr8.cloudfront.net/image/725136000567/image_k9j2josls95ubdt83utmaina33/-FJPG/106086-033_DET_5.jpg;https://dd3ka9h4chfr8.cloudfront.net/image/725136000567/image_vgr8ektcb16sffiqokv333lr0o/-FJPG/106086-033_DET_6.jpg;https://dd3ka9h4chfr8.cloudfront.net/image/725136000567/image_rackkgnsf13nd863a8e5ltjb2k/-FJPG/106086-033_DET_7.jpg;https://dd3ka9h4chfr8.cloudfront.net/image/725136000567/image_8vc1ahqfld5518l0p8l6bjln1u/-FJPG/106086-033_DET_8.jpg;https://dd3ka9h4chfr8.cloudfront.net/image/725136000567/image_qpcrjplalp48b50hfktnq2ju32/-FJPG/106086-033_DET_9.tif;https://dd3ka9h4chfr8.cloudfront.net/image/725136000567/image_5s3k6633th78rbiccf5r5suu75/-FJPG/106086-033_DET_10.tif;https://dd3ka9h4chfr8.cloudfront.net/image/725136000567/image_2fn5ci48hl0il1ia65j1c9v951/-FJPG/FHMPRJ016_SCENE-9.jpg</t>
  </si>
  <si>
    <t>106086-033</t>
  </si>
  <si>
    <t>https://dd3ka9h4chfr8.cloudfront.net/image/725136000567/image_9qb8a28akt21j6476s6kr7go01/-FJPG/106086-033_FRT_1.jpg</t>
  </si>
  <si>
    <t>With a tight, tailored sit and traditional barrel shape, flange seams soften the look of this comfortable seating style, with a 360-degree swivel for modernity.</t>
  </si>
  <si>
    <t>Kimble</t>
  </si>
  <si>
    <t>22.99"</t>
  </si>
  <si>
    <t>https://dd3ka9h4chfr8.cloudfront.net/image/725136000567/image_h6eq6d1kc90glcgkv4gekc7p6v/-FJPG/106086-015_FRT_1.jpg;https://dd3ka9h4chfr8.cloudfront.net/image/725136000567/image_nqb845ee5h7ur280noeadv0p0o/-FJPG/106086-015_PRM_1.jpg;https://dd3ka9h4chfr8.cloudfront.net/image/725136000567/image_hbtt23foj17jbf7c2bfqsdn152/-FJPG/106086-015_SID_1.jpg;https://dd3ka9h4chfr8.cloudfront.net/image/725136000567/image_hlcv3i85bp13fetdckogsd6q3v/-FJPG/106086-015_DET_2.jpg;https://dd3ka9h4chfr8.cloudfront.net/image/725136000567/image_eannn47dep3dnbvq9sl09hj42g/-FJPG/106086-015_BCK_1.jpg;https://dd3ka9h4chfr8.cloudfront.net/image/725136000567/image_mpflucbj0168929rtg00i1af08/-FJPG/106086-015_DET_1.jpg;https://dd3ka9h4chfr8.cloudfront.net/image/725136000567/image_plhojipu3d5ene6ssofipqs42e/-FJPG/106086-015_DET_3.jpg;https://dd3ka9h4chfr8.cloudfront.net/image/725136000567/image_75rlopip6p3n39ae2a9d78ik1h/-FJPG/106086-015_TOP_1.jpg;https://dd3ka9h4chfr8.cloudfront.net/image/725136000567/image_k21jru4gpd34tbp57nd8133s10/-FJPG/106086-015_DET_4.jpg;https://dd3ka9h4chfr8.cloudfront.net/image/725136000567/image_cggncpc82p37p2pf8388ah2t4i/-FJPG/106086-015_DET_5.jpg;https://dd3ka9h4chfr8.cloudfront.net/image/725136000567/image_qq7lt1d62p5cdbh71o6egkcd74/-FJPG/106086-015_DET_6.jpg;https://dd3ka9h4chfr8.cloudfront.net/image/725136000567/image_d0g88cvocl1bj9324tlh7kqb0j/-FJPG/106086-015_DET_7.jpg;https://dd3ka9h4chfr8.cloudfront.net/image/725136000567/image_otnggss5nh48l0bp0bte1dog71/-FJPG/106086-015_ROM_1.jpg</t>
  </si>
  <si>
    <t>Noble Platinum</t>
  </si>
  <si>
    <t>106086-015</t>
  </si>
  <si>
    <t>https://dd3ka9h4chfr8.cloudfront.net/image/725136000567/image_h6eq6d1kc90glcgkv4gekc7p6v/-FJPG/106086-015_FRT_1.jpg</t>
  </si>
  <si>
    <t>Kipp Coffee Table</t>
  </si>
  <si>
    <t>https://dd3ka9h4chfr8.cloudfront.net/image/725136000567/image_89po052lr12fn2foqtmpvmdh3l/-FJPG/243347-001_FRT_1.jpg;https://dd3ka9h4chfr8.cloudfront.net/image/725136000567/image_9cff3sl1794gp1hk1j3gfd7u2k/-FJPG/243347-001_PRM_1.jpg;https://dd3ka9h4chfr8.cloudfront.net/image/725136000567/image_f9ltdog1k10qndsq0ohupet46l/-FJPG/243347-001_SID_1.jpg;https://dd3ka9h4chfr8.cloudfront.net/image/725136000567/image_kvspmmb5e14tp66m43qp85pl30/-FJPG/243347-001_ESS.tif;https://dd3ka9h4chfr8.cloudfront.net/image/725136000567/image_4b3uk54je53o132csa3lb0kb0e/-FJPG/243347-001_DET_2.jpg;https://dd3ka9h4chfr8.cloudfront.net/image/725136000567/image_e31fv20qj51ftcrobrq5l5r35b/-FJPG/243347-001_BCK_1.jpg;https://dd3ka9h4chfr8.cloudfront.net/image/725136000567/image_q9qq2trvip1sfdovm82c5hu12i/-FJPG/243347-001_DET_1.jpg;https://dd3ka9h4chfr8.cloudfront.net/image/725136000567/image_c4n66a9o954vt1epo5em50l01u/-FJPG/243347-001_DET_3.jpg;https://dd3ka9h4chfr8.cloudfront.net/image/725136000567/image_orbgvcipl11rt2cf07m8npmp4g/-FJPG/243347-001_TOP_1.jpg;https://dd3ka9h4chfr8.cloudfront.net/image/725136000567/image_6m6shue5511i15hmnd809vog5i/-FJPG/243347-001_DET_4.jpg;https://dd3ka9h4chfr8.cloudfront.net/image/725136000567/image_cq6n6va18t4j590if543kajh1t/-FJPG/243347-001_DET_5.jpg;https://dd3ka9h4chfr8.cloudfront.net/image/725136000567/image_7jltka9p8l4mbdq2mt45gpqv6j/-FJPG/243347-001_DET_6.jpg;https://dd3ka9h4chfr8.cloudfront.net/image/725136000567/image_9ro0q60pg51d1ftavvn7o90n7b/-FJPG/FHMPRJ016_SCENE-8.jpg</t>
  </si>
  <si>
    <t>Burnt Bleached Oak Resawn</t>
  </si>
  <si>
    <t>243347-001</t>
  </si>
  <si>
    <t>https://dd3ka9h4chfr8.cloudfront.net/image/725136000567/image_89po052lr12fn2foqtmpvmdh3l/-FJPG/243347-001_FRT_1.jpg</t>
  </si>
  <si>
    <t>["Resawn Oak Veneer","Solid Pine","Aluminum"]</t>
  </si>
  <si>
    <t>Rust Aluminum</t>
  </si>
  <si>
    <t>A drum-style table is wrapped in distressed aluminum with a rust finish, for a unique acid-wash effect. Topped with resawn oak which has been sun-bleached and torch-burned for both texture and character.</t>
  </si>
  <si>
    <t>{"value":53.15,"unit":"in"}</t>
  </si>
  <si>
    <t>{"value":190.26,"unit":"lb"}</t>
  </si>
  <si>
    <t>Kipp</t>
  </si>
  <si>
    <t>45.63"</t>
  </si>
  <si>
    <t>Kipton 2-Piece Sectional</t>
  </si>
  <si>
    <t>https://dd3ka9h4chfr8.cloudfront.net/image/725136000567/image_2g6u9kdlo10d1aquq1dbr7e77u/-FJPG/234057-001_FRT_1.jpg;https://dd3ka9h4chfr8.cloudfront.net/image/725136000567/image_g15eif8hjt5a9cf276814glo1m/-FJPG/234057-001_PRM_1.jpg;https://dd3ka9h4chfr8.cloudfront.net/image/725136000567/image_r48sol700d0q1b7eb50finv46j/-FJPG/234057-001_SID_1.jpg;https://dd3ka9h4chfr8.cloudfront.net/image/725136000567/image_gst6lu572l73p1hhpieprqhh5v/-FJPG/234057-001_ESS_1.jpg;https://dd3ka9h4chfr8.cloudfront.net/image/725136000567/image_1cehb8knhd01b91o2ugce7jo7b/-FJPG/234057-001_DET_2.jpg;https://dd3ka9h4chfr8.cloudfront.net/image/725136000567/image_4iu5o9v1lt7t785tqi3ti9dm0t/-FJPG/234057-001_BCK_1.jpg;https://dd3ka9h4chfr8.cloudfront.net/image/725136000567/image_8m1hj8og2l3r34uu46oqsdum0i/-FJPG/234057-001_DET_1.jpg;https://dd3ka9h4chfr8.cloudfront.net/image/725136000567/image_ev46arus2l5rr8ubgadlqef43k/-FJPG/234057-001_DET_3.jpg;https://dd3ka9h4chfr8.cloudfront.net/image/725136000567/image_c9atjdlot16uh1akcuklvlel0d/-FJPG/234057-001_DET_4.jpg;https://dd3ka9h4chfr8.cloudfront.net/image/725136000567/image_kuag4jl2ih0ijfqdpc1n75nt0i/-FJPG/234057-001_DET_5.jpg;https://dd3ka9h4chfr8.cloudfront.net/image/725136000567/image_edhotdcqhh7v525g1jhq1lpj19/-FJPG/234057-001_DET_6.jpg;https://dd3ka9h4chfr8.cloudfront.net/image/725136000567/image_m783341q8t2vr186hbg2o2r26n/-FJPG/234057-001_DET_7.jpg;https://dd3ka9h4chfr8.cloudfront.net/image/725136000567/image_e317e4oebt7979mik186jnud2n/-FJPG/234057-001_DET_8.jpg;https://dd3ka9h4chfr8.cloudfront.net/image/725136000567/image_uf6ei1dlh11vh3gbjij8equq5o/-FJPG/234057-001_DET_9.jpg;https://dd3ka9h4chfr8.cloudfront.net/image/725136000567/image_gjc7si82ed5fh8ajne2268c95d/-FJPG/234057-001_ESS_2.jpg</t>
  </si>
  <si>
    <t>Gibson Mink</t>
  </si>
  <si>
    <t>234057-001</t>
  </si>
  <si>
    <t>178.57</t>
  </si>
  <si>
    <t>https://dd3ka9h4chfr8.cloudfront.net/image/725136000567/image_2g6u9kdlo10d1aquq1dbr7e77u/-FJPG/234057-001_FRT_1.jpg</t>
  </si>
  <si>
    <t>["97% Polyester","3% Acrylic"]</t>
  </si>
  <si>
    <t>71</t>
  </si>
  <si>
    <t>{"value":71,"unit":"in"}</t>
  </si>
  <si>
    <t>Oslo</t>
  </si>
  <si>
    <t>Sculpted and tailored, with a modern asymmetrical shape. Sectional is upholstered in a rich mink brown performance fabric. Performance fabrics are specially created to withstand spills, stains, high traffic and wear, ensuring long-term comfort and unmatched durability.</t>
  </si>
  <si>
    <t>1item/Box</t>
  </si>
  <si>
    <t>{"value":94.29,"unit":"in"}</t>
  </si>
  <si>
    <t>{"value":44.69,"unit":"in"}</t>
  </si>
  <si>
    <t>{"value":39.96,"unit":"in"}</t>
  </si>
  <si>
    <t>98% Polyurethane Foam Pad, 2% Polyester Padding</t>
  </si>
  <si>
    <t>Kipton</t>
  </si>
  <si>
    <t>Kirby Accent Bench</t>
  </si>
  <si>
    <t>https://dd3ka9h4chfr8.cloudfront.net/image/725136000567/image_t2v1on3j3h3f77l4qdp9irua3e/-FJPG/242452-004_FRT_1.JPG;https://dd3ka9h4chfr8.cloudfront.net/image/725136000567/image_t7v24q36op2mv3tokml4f5kn1l/-FJPG/242452-004_PRM_1.JPG;https://dd3ka9h4chfr8.cloudfront.net/image/725136000567/image_plr1rlkerh3rv64bfiie8ll15n/-FJPG/242452-004_SID_1.JPG;https://dd3ka9h4chfr8.cloudfront.net/image/725136000567/image_ep9aao7dj12ft7d19sek20r708/-FJPG/242452-004_DET_2.JPG;https://dd3ka9h4chfr8.cloudfront.net/image/725136000567/image_scevks6srh6jtauhfdgf73di2c/-FJPG/242452-004_DET_1.JPG;https://dd3ka9h4chfr8.cloudfront.net/image/725136000567/image_ue966aa7hd38v60bl91gj1511g/-FJPG/242452-004_DET_3.JPG;https://dd3ka9h4chfr8.cloudfront.net/image/725136000567/image_ash3ie83m11h9digj7r0rlc569/-FJPG/242452-004_DET_4.JPG;https://dd3ka9h4chfr8.cloudfront.net/image/725136000567/image_0flem3mnll0cp528r536rk5n6o/-FJPG/242452-004_DET_5.JPG;https://dd3ka9h4chfr8.cloudfront.net/image/725136000567/image_6g35cg0f4p6ghcl1hkbf6eop76/-FJPG/242452-004_DET_6.JPG</t>
  </si>
  <si>
    <t>242452-004</t>
  </si>
  <si>
    <t>67.24</t>
  </si>
  <si>
    <t>https://dd3ka9h4chfr8.cloudfront.net/image/725136000567/image_t2v1on3j3h3f77l4qdp9irua3e/-FJPG/242452-004_FRT_1.JPG</t>
  </si>
  <si>
    <t>Vintage Natural</t>
  </si>
  <si>
    <t>Style this modern accent bench just about anywhere. A cradle base of wire-brushed parawood supports a linen-like upholstered seat. Performance fabrics are specially created to withstand spills, stains, high traffic and wear, ensuring long-term comfort and unmatched durability.</t>
  </si>
  <si>
    <t>{"value":91.49,"unit":"lb"}</t>
  </si>
  <si>
    <t>75.50"</t>
  </si>
  <si>
    <t>Kirby</t>
  </si>
  <si>
    <t>https://dd3ka9h4chfr8.cloudfront.net/image/725136000567/image_k596ro98jl2855vn4mdp8fj05p/-FJPG/242452-001_FRT_1.JPG;https://dd3ka9h4chfr8.cloudfront.net/image/725136000567/image_qpjjf10ukp3aneihaen24pk05f/-FJPG/242452-001_PRM_1.JPG;https://dd3ka9h4chfr8.cloudfront.net/image/725136000567/image_d3c577ob3p1e359i5ijqne1n3g/-FJPG/242452-001_SID_1.JPG;https://dd3ka9h4chfr8.cloudfront.net/image/725136000567/image_vg03cq7nfl0vt8411ids1jet22/-FJPG/242452-001_ESS.tif;https://dd3ka9h4chfr8.cloudfront.net/image/725136000567/image_a8n2cbdcd105t7meh4jud0t75u/-FJPG/242452-001_DET_2.JPG;https://dd3ka9h4chfr8.cloudfront.net/image/725136000567/image_edqrqaecht4r1ar3287ghjt61o/-FJPG/242452-001_DET_1.JPG;https://dd3ka9h4chfr8.cloudfront.net/image/725136000567/image_q4li6bcn757kf8r2fbklnbc405/-FJPG/242452-001_DET_3.JPG;https://dd3ka9h4chfr8.cloudfront.net/image/725136000567/image_1hojh20lvp03326sal9n18284n/-FJPG/242452-001_DET_4.JPG;https://dd3ka9h4chfr8.cloudfront.net/image/725136000567/image_ga64jjvoat5q1aef1j9edr2v1s/-FJPG/242452-001_DET_9.tif;https://dd3ka9h4chfr8.cloudfront.net/image/725136000567/image_uqp86998dp1hp95nc1isnbob4j/-FJPG/242452-001_DET_10.tif</t>
  </si>
  <si>
    <t>242452-001</t>
  </si>
  <si>
    <t>https://dd3ka9h4chfr8.cloudfront.net/image/725136000567/image_k596ro98jl2855vn4mdp8fj05p/-FJPG/242452-001_FRT_1.JPG</t>
  </si>
  <si>
    <t>Style this modern accent bench just about anywhere. A cradle base of wire-brushed parawood supports heavily textured upholstered seating.</t>
  </si>
  <si>
    <t>https://dd3ka9h4chfr8.cloudfront.net/image/725136000567/image_2cvfu91vk14l1bu3r46rm43t70/-FJPG/242452-003_FRT_1.jpg;https://dd3ka9h4chfr8.cloudfront.net/image/725136000567/image_vnlur73gm548f7c5c56p94292o/-FJPG/242452-003_PRM_1.jpg;https://dd3ka9h4chfr8.cloudfront.net/image/725136000567/image_fdl5rofntp7s19svdi84vqns6r/-FJPG/242452-003_SID_1.jpg;https://dd3ka9h4chfr8.cloudfront.net/image/725136000567/image_6u4cal3bf91qv3au46mhq3kn62/-FJPG/242452-003_DET_2.jpg;https://dd3ka9h4chfr8.cloudfront.net/image/725136000567/image_9tlepl90ft0913p580jo4ai00t/-FJPG/242452-003_DET_1.jpg;https://dd3ka9h4chfr8.cloudfront.net/image/725136000567/image_lshihbaurt4sre843ct3gl0r02/-FJPG/242452-003_DET_3.jpg;https://dd3ka9h4chfr8.cloudfront.net/image/725136000567/image_kqljf4hbkp3gt73kacdaoe6f62/-FJPG/242452-003_DET_4.jpg;https://dd3ka9h4chfr8.cloudfront.net/image/725136000567/image_dsgn6dgve5757ahbk8q9s1rn2h/-FJPG/242452-003_DET_5.jpg</t>
  </si>
  <si>
    <t>Sutton Olive</t>
  </si>
  <si>
    <t>242452-003</t>
  </si>
  <si>
    <t>https://dd3ka9h4chfr8.cloudfront.net/image/725136000567/image_2cvfu91vk14l1bu3r46rm43t70/-FJPG/242452-003_FRT_1.jpg</t>
  </si>
  <si>
    <t>Kirby Accent Stool</t>
  </si>
  <si>
    <t>https://dd3ka9h4chfr8.cloudfront.net/image/725136000567/image_4ogji6mevl6a9fbfrf1v6tau1l/-FJPG/248216-002_FRT_1.JPG;https://dd3ka9h4chfr8.cloudfront.net/image/725136000567/image_264k04i79t5vp2kctpm0s6ib22/-FJPG/248216-002_PRM_1.JPG;https://dd3ka9h4chfr8.cloudfront.net/image/725136000567/image_cev141p2nh2bnaprbfm4u0pr45/-FJPG/248216-002_SID_1.JPG;https://dd3ka9h4chfr8.cloudfront.net/image/725136000567/image_rv0fsvj9dd2bn9q0gdm45fie34/-FJPG/248216-002_DET_2.JPG;https://dd3ka9h4chfr8.cloudfront.net/image/725136000567/image_3ko6b8oedl1ela83fn2mo4jb1g/-FJPG/248216-002_DET_1.JPG;https://dd3ka9h4chfr8.cloudfront.net/image/725136000567/image_9o7me0ofgd4qt430n5qbbelr7r/-FJPG/248216-002_DET_3.JPG;https://dd3ka9h4chfr8.cloudfront.net/image/725136000567/image_dnibs34sd56d76m276dko4kn03/-FJPG/248216-002_DET_4.JPG;https://dd3ka9h4chfr8.cloudfront.net/image/725136000567/image_4nbp3gmlih4mb8u5df2k3j2b49/-FJPG/248216-002_DET_5.JPG</t>
  </si>
  <si>
    <t>248216-002</t>
  </si>
  <si>
    <t>31.31</t>
  </si>
  <si>
    <t>https://dd3ka9h4chfr8.cloudfront.net/image/725136000567/image_4ogji6mevl6a9fbfrf1v6tau1l/-FJPG/248216-002_FRT_1.JPG</t>
  </si>
  <si>
    <t>Style this vintage-inspired accent stool just about anywhere. A cradle base of wire-brushed parawood supports heavily textured upholstered seating.</t>
  </si>
  <si>
    <t>{"value":41.23,"unit":"lb"}</t>
  </si>
  <si>
    <t>Kramer End Table</t>
  </si>
  <si>
    <t>https://dd3ka9h4chfr8.cloudfront.net/image/725136000567/image_og7kaqumg139562vqjeg399n1q/-FJPG/239567-001_FRT_1.jpg;https://dd3ka9h4chfr8.cloudfront.net/image/725136000567/image_608evg9ncp0u3amvo8hv2lsr18/-FJPG/239567-001_PRM_1.jpg;https://dd3ka9h4chfr8.cloudfront.net/image/725136000567/image_uqf4fm7j1p3tl5bjsanu7sjj3t/-FJPG/239567-001_DET_2.jpg;https://dd3ka9h4chfr8.cloudfront.net/image/725136000567/image_4l751ibd990gn3c9dvcuuff42b/-FJPG/239567-001_DET_1.jpg;https://dd3ka9h4chfr8.cloudfront.net/image/725136000567/image_uu9788bhmp6v90v01n14hcq26r/-FJPG/239567-001_DET_3.jpg;https://dd3ka9h4chfr8.cloudfront.net/image/725136000567/image_sesb3eb8mh6bd7vqib7hg1l62g/-FJPG/239567-001_DET_4.jpg;https://dd3ka9h4chfr8.cloudfront.net/image/725136000567/image_fuum54pglh0r9f6mi4upm6n46f/-FJPG/239567-001_DET_9.tif;https://dd3ka9h4chfr8.cloudfront.net/image/725136000567/image_ei24gk233h7q7ej2o6in588g5v/-FJPG/239567-001_ESS.tif</t>
  </si>
  <si>
    <t>239567-001</t>
  </si>
  <si>
    <t>https://dd3ka9h4chfr8.cloudfront.net/image/725136000567/image_og7kaqumg139562vqjeg399n1q/-FJPG/239567-001_FRT_1.jpg</t>
  </si>
  <si>
    <t>["Solid Bluestone"]</t>
  </si>
  <si>
    <t>A cylinder-shaped end tables brings an organic look to the living room. Made from natural polished bluestone.</t>
  </si>
  <si>
    <t>Kramer</t>
  </si>
  <si>
    <t>20.04"</t>
  </si>
  <si>
    <t>Krista Dining Bench</t>
  </si>
  <si>
    <t>https://dd3ka9h4chfr8.cloudfront.net/image/725136000567/image_ollfn454e50g1bnt4mvkbkmr0s/-FJPG/226228-001_FRT_1.jpg;https://dd3ka9h4chfr8.cloudfront.net/image/725136000567/image_gc8sc4v2nt2h532nu4grjhg70r/-FJPG/226228-001_PRM_1.jpg;https://dd3ka9h4chfr8.cloudfront.net/image/725136000567/image_40essom8dp1c9eh6qv7v9soq6v/-FJPG/226228-001_SID_1.jpg;https://dd3ka9h4chfr8.cloudfront.net/image/725136000567/image_ri62hhpq7t3o1fchjvqsiajv1b/-FJPG/226228-001_ESS_1.jpg;https://dd3ka9h4chfr8.cloudfront.net/image/725136000567/image_u3q3fje2el26f4gsq2gkb1fq7h/-FJPG/226228-001_DET_2.jpg;https://dd3ka9h4chfr8.cloudfront.net/image/725136000567/image_pd5e7aa4612mvdn3vh8n59625c/-FJPG/226228-001_BCK_1.jpg;https://dd3ka9h4chfr8.cloudfront.net/image/725136000567/image_692e9m91id0n37t00ia8gb8o1c/-FJPG/226228-001_INF_1.jpg;https://dd3ka9h4chfr8.cloudfront.net/image/725136000567/image_aupqv5jq2118r8hm681k2tj72k/-FJPG/226228-001_DET_1.jpg;https://dd3ka9h4chfr8.cloudfront.net/image/725136000567/image_go78pcck913ovekldqmnua6m56/-FJPG/226228-001_DET_3.jpg;https://dd3ka9h4chfr8.cloudfront.net/image/725136000567/image_03cn2esmdl19r4ic2u6t0qdj0r/-FJPG/226228-001_DET_4.jpg;https://dd3ka9h4chfr8.cloudfront.net/image/725136000567/image_oqs8cj3ful1fp901a5s0kp9q5i/-FJPG/226228-001_DET_5.jpg</t>
  </si>
  <si>
    <t>Knoll Charcoal</t>
  </si>
  <si>
    <t>226228-001</t>
  </si>
  <si>
    <t>https://dd3ka9h4chfr8.cloudfront.net/image/725136000567/image_ollfn454e50g1bnt4mvkbkmr0s/-FJPG/226228-001_FRT_1.jpg</t>
  </si>
  <si>
    <t>["95% Polyester","5% Acrylic","Ash Veneer"]</t>
  </si>
  <si>
    <t>Toasted Ash Veneer</t>
  </si>
  <si>
    <t>Style takes shape. Comfortably curved bench seating is upholstered in a chunky charcoal boucle, with water-repellent high-performance fabric for modern sensibility. A plinth-style ash veneer base works casual contrast into the mix. Perfectly sized for a cozy breakfast nook; pair up to suit a larger space.</t>
  </si>
  <si>
    <t>Krista</t>
  </si>
  <si>
    <t>https://dd3ka9h4chfr8.cloudfront.net/image/725136000567/image_p6ginio5cp1ul7vrdq41rgnb4t/-FJPG/226228-003_FRT_1.JPG;https://dd3ka9h4chfr8.cloudfront.net/image/725136000567/image_jetrbldcbt0nvahqo3driurd16/-FJPG/226228-003_PRM_1.JPG;https://dd3ka9h4chfr8.cloudfront.net/image/725136000567/image_qn37crnbfh03l9umcbmpv00v4m/-FJPG/226228-003_SID_1.JPG;https://dd3ka9h4chfr8.cloudfront.net/image/725136000567/image_ub51bdgbld6nfe5lvr0f58962k/-FJPG/226228-003_DET_2.JPG;https://dd3ka9h4chfr8.cloudfront.net/image/725136000567/image_1eqr5p4ee93qdefdapf9udnb0b/-FJPG/226228-003_BCK_1.JPG;https://dd3ka9h4chfr8.cloudfront.net/image/725136000567/image_105fja14vd5ndck7v1pnfdip7f/-FJPG/226228-003_DET_1.JPG;https://dd3ka9h4chfr8.cloudfront.net/image/725136000567/image_dof89bhbjl4i19cv05butl6l1t/-FJPG/226228-003_DET_3.JPG;https://dd3ka9h4chfr8.cloudfront.net/image/725136000567/image_0dni9gtv8d1e70t87qgt5j2g17/-FJPG/226228-003_DET_4.JPG</t>
  </si>
  <si>
    <t>226228-003</t>
  </si>
  <si>
    <t>https://dd3ka9h4chfr8.cloudfront.net/image/725136000567/image_p6ginio5cp1ul7vrdq41rgnb4t/-FJPG/226228-003_FRT_1.JPG</t>
  </si>
  <si>
    <t>Style takes shape. Comfortably curved bench seating is upholstered in a chunky off-white boucle, with water-repellent performance fabric for a modern touch. A plinth-style ash veneer base works casual contrast into the mix. Perfectly sized for a cozy breakfast nook; pair up to suit a larger space. Performance fabrics are specially created to withstand spills, stains, high traffic and wear, ensuring long-term comfort and unmatched durability.</t>
  </si>
  <si>
    <t>Kyra Outdoor End Table</t>
  </si>
  <si>
    <t>https://dd3ka9h4chfr8.cloudfront.net/image/725136000567/image_nvuajimln515b8k45dnjvjuf22/-FJPG/230236-002_FRT_1.jpg;https://dd3ka9h4chfr8.cloudfront.net/image/725136000567/image_c6ophmf8s10rha5cdtgsmfg10i/-FJPG/230236-002_PRM_1.jpg;https://dd3ka9h4chfr8.cloudfront.net/image/725136000567/image_r53tvjhc2l2eveh9p9dr64nu5a/-FJPG/230236-002_SID_1.jpg;https://dd3ka9h4chfr8.cloudfront.net/image/725136000567/image_sm8a69od6p2mj7d5hdsc6ndl66/-FJPG/230236-002_DET_1.jpg;https://dd3ka9h4chfr8.cloudfront.net/image/725136000567/image_m6k97i0nn11rjb6ocd19nu0u2a/-FJPG/230236-002_DET_3.jpg;https://dd3ka9h4chfr8.cloudfront.net/image/725136000567/image_743h5dcnlp62v55grkc8ddmb60/-FJPG/230236-002_TOP_1.jpg;https://dd3ka9h4chfr8.cloudfront.net/image/725136000567/image_92jb8b8g7h13taf2rnpvo5g00r/-FJPG/230236-002_DET_4.jpg;https://dd3ka9h4chfr8.cloudfront.net/image/725136000567/image_99pgi5up7949j5tb750arh567d/-FJPG/230236-002_TOP_VAR-4.jpg;https://dd3ka9h4chfr8.cloudfront.net/image/725136000567/image_9n74fqcrn16frc7klpq08jm706/-FJPG/230236-002_BCK_VAR-3.jpg;https://dd3ka9h4chfr8.cloudfront.net/image/725136000567/image_jk8m05f2g10sn5kitehdq1mq30/-FJPG/230236-002_BCK_VAR-1.jpg;https://dd3ka9h4chfr8.cloudfront.net/image/725136000567/image_kudfq1in7d41l698k3nuoitr5f/-FJPG/230236-002_FRT_VAR-3.jpg;https://dd3ka9h4chfr8.cloudfront.net/image/725136000567/image_p62018f3ad3s1branhosehif3u/-FJPG/230236-002_BCK_VAR-2.jpg;https://dd3ka9h4chfr8.cloudfront.net/image/725136000567/image_8s34tqjukt6313unqm45e3ft20/-FJPG/230236-002_FRT_VAR-2.jpg;https://dd3ka9h4chfr8.cloudfront.net/image/725136000567/image_3uelpmdr4t53hb8gjud3e35r35/-FJPG/230236-002_FRT_VAR-4.jpg;https://dd3ka9h4chfr8.cloudfront.net/image/725136000567/image_cpoam24j3p0stc4kgsjamv5j2q/-FJPG/230236-002_FRT_VAR-1.jpg;https://dd3ka9h4chfr8.cloudfront.net/image/725136000567/image_2fvn847uld3et64tcu8t49743n/-FJPG/230236-002_BCK_VAR-4.jpg;https://dd3ka9h4chfr8.cloudfront.net/image/725136000567/image_df2soatqa14v5f99krht26k47a/-FJPG/230236-002_TOP_VAR-3.jpg;https://dd3ka9h4chfr8.cloudfront.net/image/725136000567/image_5v4a1u5h9p547fpdfsvbi19b36/-FJPG/230236-002_TOP_VAR-2.jpg;https://dd3ka9h4chfr8.cloudfront.net/image/725136000567/image_em2njclcgh4dhbhcc0f4a3g84q/-FJPG/230236-002_TOP_VAR-1.jpg</t>
  </si>
  <si>
    <t>Aged Natural Teak</t>
  </si>
  <si>
    <t>230236-002</t>
  </si>
  <si>
    <t>23.81</t>
  </si>
  <si>
    <t>https://dd3ka9h4chfr8.cloudfront.net/image/725136000567/image_nvuajimln515b8k45dnjvjuf22/-FJPG/230236-002_FRT_1.jpg</t>
  </si>
  <si>
    <t>["Solid Teak"]</t>
  </si>
  <si>
    <t>Duvall</t>
  </si>
  <si>
    <t>Outdoor Tables &amp; Storage</t>
  </si>
  <si>
    <t>Outdoor Side &amp; End Tables</t>
  </si>
  <si>
    <t>Natural teak roots add a touch of organic texture to spaces indoors or out. Each has unique character, with natural variation in knots, holes and grain character from piece to piece, and dramatic highs and lows in the finish. Over time, teak weathers and greys in the sun for a found feel. Safe for outdoor spaces. Cover or store indoors during inclement weather and when not in use.</t>
  </si>
  <si>
    <t>{"value":31.75,"unit":"lb"}</t>
  </si>
  <si>
    <t>Kyra</t>
  </si>
  <si>
    <t>Laker Media Console</t>
  </si>
  <si>
    <t>https://dd3ka9h4chfr8.cloudfront.net/image/725136000567/image_pgdl9itg1919j0emp0r61rlh26/-FJPG/235937-003_FRT_1.jpg;https://dd3ka9h4chfr8.cloudfront.net/image/725136000567/image_qflq1dusll40j6aa2bonnhc106/-FJPG/235937-003_PRM_1.jpg;https://dd3ka9h4chfr8.cloudfront.net/image/725136000567/image_bptorfnpmd15t98vcsg9s5rg7q/-FJPG/235937-003_SID_1.jpg;https://dd3ka9h4chfr8.cloudfront.net/image/725136000567/image_n3vgem6n9h18jaagdqrp50pt3s/-FJPG/235937-003_ESS.tif;https://dd3ka9h4chfr8.cloudfront.net/image/725136000567/image_8me3p5b92921d32q19vumjhc60/-FJPG/235937-003_DET_2.jpg;https://dd3ka9h4chfr8.cloudfront.net/image/725136000567/image_3544asslel0ah03ht3iom93s43/-FJPG/235937-003_BCK_1.jpg;https://dd3ka9h4chfr8.cloudfront.net/image/725136000567/image_695c4q65f97ehaa1sm07iffa6k/-FJPG/235937-003_DET_1.jpg;https://dd3ka9h4chfr8.cloudfront.net/image/725136000567/image_bbgqrnips16dpb1tkhvk9hnc10/-FJPG/235937-003_DET_3.jpg;https://dd3ka9h4chfr8.cloudfront.net/image/725136000567/image_7o35kbj5ol7mrfa9pra9mag54j/-FJPG/235937-003_OPN_1.jpg;https://dd3ka9h4chfr8.cloudfront.net/image/725136000567/image_ggn3vduhu5607do05ue6dvk95r/-FJPG/235937-003_DET_4.jpg;https://dd3ka9h4chfr8.cloudfront.net/image/725136000567/image_nu3l9qlfn57715cf4r7mnb467d/-FJPG/235937-003_DET_5.jpg;https://dd3ka9h4chfr8.cloudfront.net/image/725136000567/image_m19fpt7g4t0f5cq6d9vvi1dd4m/-FJPG/235937-003_DET_6.jpg</t>
  </si>
  <si>
    <t>Black Oak Veneer</t>
  </si>
  <si>
    <t>235937-003</t>
  </si>
  <si>
    <t>159.83</t>
  </si>
  <si>
    <t>https://dd3ka9h4chfr8.cloudfront.net/image/725136000567/image_pgdl9itg1919j0emp0r61rlh26/-FJPG/235937-003_FRT_1.jpg</t>
  </si>
  <si>
    <t>["Oak Veneer","Rush","Solid Oak"]</t>
  </si>
  <si>
    <t>83.75</t>
  </si>
  <si>
    <t>{"value":83.75,"unit":"in"}</t>
  </si>
  <si>
    <t>Black Paper Cord</t>
  </si>
  <si>
    <t>Clean casing of black oak features glass-front doors which open to generous storage and display space for modern media needs. Linear drawer handles are wrapped in paper cord for a textural touch.</t>
  </si>
  <si>
    <t>{"value":87.6,"unit":"in"}</t>
  </si>
  <si>
    <t>7.66"</t>
  </si>
  <si>
    <t>28.70"</t>
  </si>
  <si>
    <t>Laker</t>
  </si>
  <si>
    <t>15.83"</t>
  </si>
  <si>
    <t>20.93"</t>
  </si>
  <si>
    <t>Lancaster Sideboard</t>
  </si>
  <si>
    <t>https://dd3ka9h4chfr8.cloudfront.net/image/725136000567/image_ohl5blfih522r2qjf5f023bl1j/-FJPG/235944-002_FRT_1.JPG;https://dd3ka9h4chfr8.cloudfront.net/image/725136000567/image_ss5r5tj5f10u31fphqg4f8vh2t/-FJPG/235944-002_PRM_1.JPG;https://dd3ka9h4chfr8.cloudfront.net/image/725136000567/image_8jobp71bl16cr7h4aandldb300/-FJPG/235944-002_SID_1.JPG;https://dd3ka9h4chfr8.cloudfront.net/image/725136000567/image_kf1pfrlpv93hb3oco7332i907u/-FJPG/235944-002_ESS.tif;https://dd3ka9h4chfr8.cloudfront.net/image/725136000567/image_f96h8ug12t0ujc510bi96cnq59/-FJPG/235944-002_DET_2.JPG;https://dd3ka9h4chfr8.cloudfront.net/image/725136000567/image_in631s0ddh0gp1v69e1a1f001r/-FJPG/235944-002_BCK_1.JPG;https://dd3ka9h4chfr8.cloudfront.net/image/725136000567/image_rdd8prufbt1jn1mlg30vqfo14r/-FJPG/235944-002_DET_1.JPG;https://dd3ka9h4chfr8.cloudfront.net/image/725136000567/image_u8ruvecnu54v18ah3vuep1rp2d/-FJPG/235944-002_DET_3.JPG;https://dd3ka9h4chfr8.cloudfront.net/image/725136000567/image_8rn3r2rdet0elee4v7trm6ee2j/-FJPG/235944-002_OPN_1.JPG;https://dd3ka9h4chfr8.cloudfront.net/image/725136000567/image_emof23g92579f8h64g0mii6e06/-FJPG/235944-002_DET_4.JPG;https://dd3ka9h4chfr8.cloudfront.net/image/725136000567/image_7hggg3607d49r1vms8rerbd15l/-FJPG/235944-002_DET_5.JPG;https://dd3ka9h4chfr8.cloudfront.net/image/725136000567/image_a3l5a19erd7lf1d19391k7i626/-FJPG/235944-002_DET_9.tif;https://dd3ka9h4chfr8.cloudfront.net/image/725136000567/image_aohsgv0oop2h5amthpbuusi319/-FJPG/235944-002_DET_10.tif;https://dd3ka9h4chfr8.cloudfront.net/image/725136000567/image_pgll4plt297an86cv3mfie9c61/-FJPG/235944-002_OPN_2.JPG</t>
  </si>
  <si>
    <t>235944-002</t>
  </si>
  <si>
    <t>https://dd3ka9h4chfr8.cloudfront.net/image/725136000567/image_ohl5blfih522r2qjf5f023bl1j/-FJPG/235944-002_FRT_1.JPG</t>
  </si>
  <si>
    <t>["Solid Oak","Oak Veneer","Iron"]</t>
  </si>
  <si>
    <t>For a more traditional take on industrial design, an oak frame pairs with a metal base and simple hardware. Interior shelving and drawers bring generous storage space to the media room and beyond, while glass doors add lightness.</t>
  </si>
  <si>
    <t>{"value":268.08,"unit":"lb"}</t>
  </si>
  <si>
    <t>31.25"</t>
  </si>
  <si>
    <t>Lancaster</t>
  </si>
  <si>
    <t>Lara Bed</t>
  </si>
  <si>
    <t>https://dd3ka9h4chfr8.cloudfront.net/image/725136000567/image_0vnpvqmnqp6d3565alap6oti4v/-FJPG/242165-001_FRT_1.jpg;https://dd3ka9h4chfr8.cloudfront.net/image/725136000567/image_a6lfgor8mp5il268950iq9hq20/-FJPG/242165-001_PRM_1.jpg;https://dd3ka9h4chfr8.cloudfront.net/image/725136000567/image_0pdclpeg0538lcm0a0si8uca73/-FJPG/242165-001_SID_1.jpg;https://dd3ka9h4chfr8.cloudfront.net/image/725136000567/image_m3b0h6ju5l0endoo5dp1qt4c1k/-FJPG/242165-001_ESS_1.tif;https://dd3ka9h4chfr8.cloudfront.net/image/725136000567/image_t850tkuhd91fh6otm04rsg2d3r/-FJPG/242165-001_DET_2.jpg;https://dd3ka9h4chfr8.cloudfront.net/image/725136000567/image_ulhncqhjct1td5mdirmei2e26t/-FJPG/242165-001_BCK_1.jpg;https://dd3ka9h4chfr8.cloudfront.net/image/725136000567/image_dgr2r592h13kb03auug3kci50s/-FJPG/242165-001_DET_1.jpg;https://dd3ka9h4chfr8.cloudfront.net/image/725136000567/image_4tvgtuala97k786oht5rt78a1r/-FJPG/242165-001_DET_3.jpg;https://dd3ka9h4chfr8.cloudfront.net/image/725136000567/image_soaldu3bjh6tfbfshbag7dtl74/-FJPG/242165-001_DET_4.jpg;https://dd3ka9h4chfr8.cloudfront.net/image/725136000567/image_75tdmq2bu951794h5c284ean6b/-FJPG/242165-001_DET_5.jpg;https://dd3ka9h4chfr8.cloudfront.net/image/725136000567/image_6m8004orjd19p4vetgt7gb9c6s/-FJPG/242165-001_DET_6.jpg;https://dd3ka9h4chfr8.cloudfront.net/image/725136000567/image_sbf79c0vfp5cp79l0l8vo17c1t/-FJPG/242165-001_DET_9.tif;https://dd3ka9h4chfr8.cloudfront.net/image/725136000567/image_gos37ucjrt0dj6sa9acg1ec80f/-FJPG/FHMPRJ-008_SCENE_10.tif</t>
  </si>
  <si>
    <t>Imani Pebble</t>
  </si>
  <si>
    <t>242165-001</t>
  </si>
  <si>
    <t>488.76</t>
  </si>
  <si>
    <t>https://dd3ka9h4chfr8.cloudfront.net/image/725136000567/image_0vnpvqmnqp6d3565alap6oti4v/-FJPG/242165-001_FRT_1.jpg</t>
  </si>
  <si>
    <t>["89% Polyester","11% Flax/Linen","Solid Reclaimed Oak","Oak Veneer"]</t>
  </si>
  <si>
    <t>102.25</t>
  </si>
  <si>
    <t>{"value":102.25,"unit":"in"}</t>
  </si>
  <si>
    <t>95.5</t>
  </si>
  <si>
    <t>{"value":95.5,"unit":"in"}</t>
  </si>
  <si>
    <t>Natural French Oak Veneer</t>
  </si>
  <si>
    <t>Designed by Thomas Bina and Ronald Sasson, a design partnership blending both modern minimalist and Brazilian influences. A true statement maker, this grand bed features an extra-wide, overhang headboard crafted of natural reclaimed French oak with subtle curves all around for a softened look. Plinth base is upholstered in a thick poly/flax/linen blend fabric.</t>
  </si>
  <si>
    <t>Hb</t>
  </si>
  <si>
    <t>{"value":52.17,"unit":"in"}</t>
  </si>
  <si>
    <t>{"value":266.76,"unit":"lb"}</t>
  </si>
  <si>
    <t>{"value":27.76,"unit":"in"}</t>
  </si>
  <si>
    <t>Fb</t>
  </si>
  <si>
    <t>Lara</t>
  </si>
  <si>
    <t>13.94"</t>
  </si>
  <si>
    <t>9.17"</t>
  </si>
  <si>
    <t>77.91"</t>
  </si>
  <si>
    <t>102.13"</t>
  </si>
  <si>
    <t>60.98"</t>
  </si>
  <si>
    <t>89.29"</t>
  </si>
  <si>
    <t>77.99"</t>
  </si>
  <si>
    <t>58.46"</t>
  </si>
  <si>
    <t>https://dd3ka9h4chfr8.cloudfront.net/image/725136000567/image_4m721s9eip1i515scol2uhbe7f/-FJPG/242165-002_FRT_1.jpg;https://dd3ka9h4chfr8.cloudfront.net/image/725136000567/image_bbd9m9kvg91s3dnnp2pk8ldr49/-FJPG/242165-002_PRM_1.jpg;https://dd3ka9h4chfr8.cloudfront.net/image/725136000567/image_nelgepuh6l73hbqboq9tcb2q3p/-FJPG/242165-002_SID_1.jpg;https://dd3ka9h4chfr8.cloudfront.net/image/725136000567/image_lipehpb08l4q3et9v73vb48e0l/-FJPG/242165-002_ESS_1.jpg;https://dd3ka9h4chfr8.cloudfront.net/image/725136000567/image_9qslge75ot2cv3n9bbi6f2pc3v/-FJPG/242165-002_DET_2.jpg;https://dd3ka9h4chfr8.cloudfront.net/image/725136000567/image_st53fhen796t1dhsvnmfccpj5o/-FJPG/242165-002_BCK_1.jpg;https://dd3ka9h4chfr8.cloudfront.net/image/725136000567/image_d1mck8gfhd64be8vktpbaptn40/-FJPG/242165-002_DET_1.jpg;https://dd3ka9h4chfr8.cloudfront.net/image/725136000567/image_099hupklod49nb1gemsbpf4o1q/-FJPG/242165-002_DET_3.jpg;https://dd3ka9h4chfr8.cloudfront.net/image/725136000567/image_n7i5f4h7a96dregosgeedqej67/-FJPG/242165-002_DET_4.jpg;https://dd3ka9h4chfr8.cloudfront.net/image/725136000567/image_l2566dcbet4vdbroa0afq9l616/-FJPG/242165-002_DET_5.jpg;https://dd3ka9h4chfr8.cloudfront.net/image/725136000567/image_ns8juf8d2l1a36h93202mcsp2j/-FJPG/242165-002_DET_6.jpg;https://dd3ka9h4chfr8.cloudfront.net/image/725136000567/image_bjbhcvtgot791d9tirmcaf6d4h/-FJPG/242165-002_DET_9.jpg</t>
  </si>
  <si>
    <t>250642-001</t>
  </si>
  <si>
    <t>550.05</t>
  </si>
  <si>
    <t>https://dd3ka9h4chfr8.cloudfront.net/image/725136000567/image_4m721s9eip1i515scol2uhbe7f/-FJPG/242165-002_FRT_1.jpg</t>
  </si>
  <si>
    <t>118</t>
  </si>
  <si>
    <t>{"value":118,"unit":"in"}</t>
  </si>
  <si>
    <t>Box 1: Hb</t>
  </si>
  <si>
    <t>{"value":52.56,"unit":"in"}</t>
  </si>
  <si>
    <t>{"value":44.49,"unit":"in"}</t>
  </si>
  <si>
    <t>{"value":306.44,"unit":"lb"}</t>
  </si>
  <si>
    <t>Box 3: Sr/Slat</t>
  </si>
  <si>
    <t>Box 2: Fb</t>
  </si>
  <si>
    <t>{"value":101.57,"unit":"in"}</t>
  </si>
  <si>
    <t>{"value":12.99,"unit":"in"}</t>
  </si>
  <si>
    <t>93.90"</t>
  </si>
  <si>
    <t>118.11"</t>
  </si>
  <si>
    <t>74.49"</t>
  </si>
  <si>
    <t>Larkin Club Chair</t>
  </si>
  <si>
    <t>https://dd3ka9h4chfr8.cloudfront.net/image/725136000567/image_a2kr45q5bh1hleko4rvbf2ob4m/-FJPG/CCAR-22_FRT_1.jpg;https://dd3ka9h4chfr8.cloudfront.net/image/725136000567/image_nikhsnd2mp0kj4b6u20c55vs5f/-FJPG/CCAR-22_PRM_1.jpg;https://dd3ka9h4chfr8.cloudfront.net/image/725136000567/image_ptqmlr0lqp7tpd6p3p4osh0n7o/-FJPG/CCAR-22_SID_1.jpg;https://dd3ka9h4chfr8.cloudfront.net/image/725136000567/image_c9a3r2ib8l2kh4ctkua8qc9i7o/-FJPG/CCAR-22_ESS_1.jpg;https://dd3ka9h4chfr8.cloudfront.net/image/725136000567/image_chke9b411d3nhbk7j0slcnc43k/-FJPG/CCAR-22_DET_2.jpg;https://dd3ka9h4chfr8.cloudfront.net/image/725136000567/image_n0t3m5h4vl573b07288ftabo1b/-FJPG/CCAR-22_BCK_1.jpg;https://dd3ka9h4chfr8.cloudfront.net/image/725136000567/image_27f3pfrqlp1fb6231b5id8jf4d/-FJPG/CCAR-22_DET_1.jpg;https://dd3ka9h4chfr8.cloudfront.net/image/725136000567/image_oqtinto80t1kpd4knbi06ab11u/-FJPG/CCAR-22_DET_3.jpg</t>
  </si>
  <si>
    <t>CCAR-22</t>
  </si>
  <si>
    <t>https://dd3ka9h4chfr8.cloudfront.net/image/725136000567/image_a2kr45q5bh1hleko4rvbf2ob4m/-FJPG/CCAR-22_FRT_1.jpg</t>
  </si>
  <si>
    <t>Timeless comfort is captured in a favorite chair. Contemporary lines, casual cushioning, and clean track arms are covered in distressed, cigar-toned leather with antique brass nailhead detailing.</t>
  </si>
  <si>
    <t>{"value":91,"unit":"lb"}</t>
  </si>
  <si>
    <t>78% Polyurethane Foam Pad, 22% Polyester Fiber Batting</t>
  </si>
  <si>
    <t>Larkin</t>
  </si>
  <si>
    <t>39.37"</t>
  </si>
  <si>
    <t>83% Polyurethane Foam Pad, 17% Polyester Fiber Batting</t>
  </si>
  <si>
    <t>Larkin Sofa</t>
  </si>
  <si>
    <t>https://dd3ka9h4chfr8.cloudfront.net/image/725136000567/image_uj14rm2krh2ff3036d69j22a1v/-FJPG/CCAR-24_FRT_1.jpg;https://dd3ka9h4chfr8.cloudfront.net/image/725136000567/image_hqtgkhmsp97m9463po0ujk9p73/-FJPG/CCAR-24_PRM_1.jpg;https://dd3ka9h4chfr8.cloudfront.net/image/725136000567/image_glolb6edhp0kl5e2go2iblri7r/-FJPG/CCAR-24_SID_1.jpg;https://dd3ka9h4chfr8.cloudfront.net/image/725136000567/image_h9jmptcp457sf6l5lm3vgank2g/-FJPG/CCAR-24_DET_2.jpg;https://dd3ka9h4chfr8.cloudfront.net/image/725136000567/image_2omm8v8t6p7cbdihoalgrr7a6i/-FJPG/CCAR-24_BCK_1.jpg;https://dd3ka9h4chfr8.cloudfront.net/image/725136000567/image_6ikabfskqh0ul8tppnh1ljsn5m/-FJPG/CCAR-24_DET_1.jpg;https://dd3ka9h4chfr8.cloudfront.net/image/725136000567/image_nnbrbfg7mp0grdefo77or9b911/-FJPG/CCAR-24_DET_3.jpg;https://dd3ka9h4chfr8.cloudfront.net/image/725136000567/image_81inev7ndp3rlaguom21rc8v4e/-FJPG/CCAR-24_ROM_1.jpg;https://dd3ka9h4chfr8.cloudfront.net/image/725136000567/image_ggi1ddjeol66j4qi326thi8b71/-FJPG/CCAR-24_ROM_2.jpg;https://dd3ka9h4chfr8.cloudfront.net/image/725136000567/image_3jp60l31090ov2krj8u96ekt7t/-FJPG/CCAR-24_ROM_3.jpg;https://dd3ka9h4chfr8.cloudfront.net/image/725136000567/image_3t2v1qvbf90lf3up4is0auvh3a/-FJPG/CCAR-24_ROM_4.jpg</t>
  </si>
  <si>
    <t>71.25</t>
  </si>
  <si>
    <t>CCAR-24</t>
  </si>
  <si>
    <t>127.01</t>
  </si>
  <si>
    <t>https://dd3ka9h4chfr8.cloudfront.net/image/725136000567/image_uj14rm2krh2ff3036d69j22a1v/-FJPG/CCAR-24_FRT_1.jpg</t>
  </si>
  <si>
    <t>{"value":71.25,"unit":"in"}</t>
  </si>
  <si>
    <t>Timeless comfort. Contemporary lines, casual cushioning, and clean track arms are covered in distressed, cigar-toned leather with antique brass nailhead detailing.</t>
  </si>
  <si>
    <t>{"value":160.49,"unit":"lb"}</t>
  </si>
  <si>
    <t>61.81"</t>
  </si>
  <si>
    <t>88% Polyurethane Foam Pad, 12% Polyester Fiber Batting</t>
  </si>
  <si>
    <t>31.10"</t>
  </si>
  <si>
    <t>35.63"</t>
  </si>
  <si>
    <t>30.11"</t>
  </si>
  <si>
    <t>61.96"</t>
  </si>
  <si>
    <t>https://dd3ka9h4chfr8.cloudfront.net/image/725136000567/image_ehu5po5er10j5end9mjl4pef4c/-FJPG/CCAR-25_FRT_1.jpg;https://dd3ka9h4chfr8.cloudfront.net/image/725136000567/image_mvnmqsh9a16pr9lkoum5m4e86q/-FJPG/CCAR-25_PRM_1.jpg;https://dd3ka9h4chfr8.cloudfront.net/image/725136000567/image_627747qrf14sj6k0oae0gkfi7j/-FJPG/CCAR-25_SID_1.jpg;https://dd3ka9h4chfr8.cloudfront.net/image/725136000567/image_d0e335visp2kl8qd4muu85qd0o/-FJPG/CCAR-25_DET_2.jpg;https://dd3ka9h4chfr8.cloudfront.net/image/725136000567/image_m4kf0v6tpt4ml7usdj7ks1rc5b/-FJPG/CCAR-25_BCK_1.jpg;https://dd3ka9h4chfr8.cloudfront.net/image/725136000567/image_p7e1dith0p5dr4hsss245duu6r/-FJPG/CCAR-25_DET_1.jpg;https://dd3ka9h4chfr8.cloudfront.net/image/725136000567/image_lq2nk3801943n90uo6phlja03e/-FJPG/CCAR-25_ROM_1.jpg</t>
  </si>
  <si>
    <t>87.75</t>
  </si>
  <si>
    <t>CCAR-25</t>
  </si>
  <si>
    <t>145</t>
  </si>
  <si>
    <t>https://dd3ka9h4chfr8.cloudfront.net/image/725136000567/image_ehu5po5er10j5end9mjl4pef4c/-FJPG/CCAR-25_FRT_1.jpg</t>
  </si>
  <si>
    <t>{"value":87.75,"unit":"in"}</t>
  </si>
  <si>
    <t>39.75</t>
  </si>
  <si>
    <t>{"value":39.75,"unit":"in"}</t>
  </si>
  <si>
    <t>{"value":89,"unit":"in"}</t>
  </si>
  <si>
    <t>{"value":27.75,"unit":"in"}</t>
  </si>
  <si>
    <t>{"value":182,"unit":"lb"}</t>
  </si>
  <si>
    <t>39.17"</t>
  </si>
  <si>
    <t>78.35"</t>
  </si>
  <si>
    <t>76% Polyurethane Foam Pad, 24% Polyester Fiber Batting</t>
  </si>
  <si>
    <t>43.90"</t>
  </si>
  <si>
    <t>78.50"</t>
  </si>
  <si>
    <t>77% Polyurethane Foam Pad, 23% Polyester Fiber Batting</t>
  </si>
  <si>
    <t>Lauren Desk</t>
  </si>
  <si>
    <t>https://dd3ka9h4chfr8.cloudfront.net/image/725136000567/image_b66vmeahl958v0iqmsmfo95r6n/-FJPG/104607-003_FRT_1.jpg;https://dd3ka9h4chfr8.cloudfront.net/image/725136000567/image_mc7qaaleo91i5fba5unmn8lp2k/-FJPG/104607-003_PRM_1.jpg;https://dd3ka9h4chfr8.cloudfront.net/image/725136000567/image_vnhbphrmv90i592drtbh6bus0r/-FJPG/104607-003_SID_1.jpg;https://dd3ka9h4chfr8.cloudfront.net/image/725136000567/image_98eakvbci50kr7h8speqvbr174/-FJPG/104607-003_DET_2.jpg;https://dd3ka9h4chfr8.cloudfront.net/image/725136000567/image_f4nsqaul8h2ub336vj341e0a04/-FJPG/104607-003_BCK_1.jpg;https://dd3ka9h4chfr8.cloudfront.net/image/725136000567/image_769a91nhrp4rhf6ca5rcj9ch50/-FJPG/104607-003_DET_1.jpg;https://dd3ka9h4chfr8.cloudfront.net/image/725136000567/image_2tipv7mo3h2bl6dr9sk3hll905/-FJPG/104607-003_DET_3.jpg;https://dd3ka9h4chfr8.cloudfront.net/image/725136000567/image_4evtn7tn6t7578ksm8ikbp6i66/-FJPG/104607-003_OPN_1.jpg;https://dd3ka9h4chfr8.cloudfront.net/image/725136000567/image_uuf97561tt00r4nctt7odiib5r/-FJPG/104607-003_TOP_1.jpg;https://dd3ka9h4chfr8.cloudfront.net/image/725136000567/image_njnmpbj9hp5qdcmmfgqhnbv929/-FJPG/104607-003_DET_4.jpg;https://dd3ka9h4chfr8.cloudfront.net/image/725136000567/image_r899fid0h939la7ago2kit2d0l/-FJPG/104607-003_DET_5.jpg;https://dd3ka9h4chfr8.cloudfront.net/image/725136000567/image_77s1obthal6tj111t465sqm87j/-FJPG/104607-003_DET_6.jpg;https://dd3ka9h4chfr8.cloudfront.net/image/725136000567/image_835qvekfo518322f98bcsckh5j/-FJPG/104607-003_OPN_2.jpg</t>
  </si>
  <si>
    <t>Charcoal Oak Resawn Veneer</t>
  </si>
  <si>
    <t>104607-003</t>
  </si>
  <si>
    <t>https://dd3ka9h4chfr8.cloudfront.net/image/725136000567/image_b66vmeahl958v0iqmsmfo95r6n/-FJPG/104607-003_FRT_1.jpg</t>
  </si>
  <si>
    <t>["Resawn Oak Veneer","Iron"]</t>
  </si>
  <si>
    <t>Black And Silver Metal</t>
  </si>
  <si>
    <t>Charcoal Oak Veneer</t>
  </si>
  <si>
    <t>Made from resawn oak and oak veneer, a legal-style desk offers major storage with dual cabinetry, including file storage for legal and letter-size documents. A floating top and iron legs keep the look modern and light. This piece is designed in collaboration with Thomas Bina. Four Handsâ€™ partnership with the renowned Los Angeles furniture designer began in the early 2000s, producing several unique collections including reclaimed wood-driven case goods and Brazilian-inspired upholstery.</t>
  </si>
  <si>
    <t>{"value":74.61,"unit":"in"}</t>
  </si>
  <si>
    <t>{"value":328.49,"unit":"lb"}</t>
  </si>
  <si>
    <t>Lauren</t>
  </si>
  <si>
    <t>61.42"</t>
  </si>
  <si>
    <t>12.09"</t>
  </si>
  <si>
    <t>14.72"</t>
  </si>
  <si>
    <t>https://dd3ka9h4chfr8.cloudfront.net/image/725136000567/image_9jt2or9q6h2ol0suuueddo427k/-FJPG/VBNA-DK815_FRT_1.jpg;https://dd3ka9h4chfr8.cloudfront.net/image/725136000567/image_9gampph9dl2gpaib0nj7lh507f/-FJPG/VBNA-DK815_PRM_2.jpg;https://dd3ka9h4chfr8.cloudfront.net/image/725136000567/image_3bsuse3kc56sv10cl0s1p03s1s/-FJPG/VBNA-DK815_PRM_1.jpg;https://dd3ka9h4chfr8.cloudfront.net/image/725136000567/image_dceegda86t5g9cod23i035s64f/-FJPG/VBNA-DK815_SID_1.jpg;https://dd3ka9h4chfr8.cloudfront.net/image/725136000567/image_ts5skh55ip5ip1mrk7tjape83i/-FJPG/VBNA-DK815_ESS_1.jpg;https://dd3ka9h4chfr8.cloudfront.net/image/725136000567/image_0nsdvhrnd14vvfv5t21l6ddc7r/-FJPG/VBNA-DK815_DET_12.jpg;https://dd3ka9h4chfr8.cloudfront.net/image/725136000567/image_tv07kbqdh962hdijq8m0a90m3m/-FJPG/VBNA-DK815_DET_2.jpg;https://dd3ka9h4chfr8.cloudfront.net/image/725136000567/image_quviabvbrp0132rh1r4r8l455v/-FJPG/VBNA-DK815_BCK_1.jpg;https://dd3ka9h4chfr8.cloudfront.net/image/725136000567/image_nmba8cpu292b78l7rqvhafs12a/-FJPG/VBNA-DK815_DET_1.jpg;https://dd3ka9h4chfr8.cloudfront.net/image/725136000567/image_n1r88i3th10jh4vmenqb5pq15t/-FJPG/VBNA-DK815_DET_11.jpg;https://dd3ka9h4chfr8.cloudfront.net/image/725136000567/image_u3sgkfavnh0i7cgh572ren5d7b/-FJPG/VBNA-DK815_DET_3.jpg;https://dd3ka9h4chfr8.cloudfront.net/image/725136000567/image_8qqot93r9545j1r77nj0t3h607/-FJPG/VBNA-DK815_OPN_1.jpg;https://dd3ka9h4chfr8.cloudfront.net/image/725136000567/image_k71ad49n955vlea8jl3h2ppe04/-FJPG/VBNA-DK815_DET_4.jpg;https://dd3ka9h4chfr8.cloudfront.net/image/725136000567/image_q8f3uaimkh14t8dj5fcbt3tr0d/-FJPG/VBNA-DK815_DET_5.jpg;https://dd3ka9h4chfr8.cloudfront.net/image/725136000567/image_kmm1ak5bs54in7pc5i4namnq3v/-FJPG/VBNA-DK815_DET_6.jpg;https://dd3ka9h4chfr8.cloudfront.net/image/725136000567/image_uklr1qkkch2eh8od9qn2drk956/-FJPG/VBNA-DK815_DET_7.jpg;https://dd3ka9h4chfr8.cloudfront.net/image/725136000567/image_4m52klveph1jtbkg5fi89mdr4e/-FJPG/VBNA-DK815_DET_10.jpg;https://dd3ka9h4chfr8.cloudfront.net/image/725136000567/image_n6t955svol45522pe2cmb4ok5e/-FJPG/VBNA-DK815_ROM_1.jpg;https://dd3ka9h4chfr8.cloudfront.net/image/725136000567/image_hsaughkn653jb82ocdbj6q1k6t/-FJPG/VBNA-DK815_ROM_2.jpg;https://dd3ka9h4chfr8.cloudfront.net/image/725136000567/image_58228l6m8l4k79ebe8fvpp5h28/-FJPG/VBNA-DK815_ESS_2.jpg;https://dd3ka9h4chfr8.cloudfront.net/image/725136000567/image_lkpbmv099h1db6vppc4kl7kh69/-FJPG/VBNA-DK815_OPN_2.jpg;https://dd3ka9h4chfr8.cloudfront.net/image/725136000567/image_3s7u1ljvip7s92e5vu3u0f9t4a/-FJPG/VBNA-DK815_BCK_2.jpg</t>
  </si>
  <si>
    <t>VBNA-DK815</t>
  </si>
  <si>
    <t>https://dd3ka9h4chfr8.cloudfront.net/image/725136000567/image_9jt2or9q6h2ol0suuueddo427k/-FJPG/VBNA-DK815_FRT_1.jpg</t>
  </si>
  <si>
    <t>["Reclaimed  Resawn Peroba Veneer","Iron","Thick Acacia Veneer"]</t>
  </si>
  <si>
    <t>Warm Brown Acacia Veneer</t>
  </si>
  <si>
    <t>This mid-century inspired lawyer's desk offers heavy-duty storage with two-sided cabinetry. A floating top and simple iron legs keeps the look light and modern. Solid acacia casing with reclaimed peroba wood door and drawer fronts. This piece is designed in collaboration with Thomas Bina. Four Handsâ€™ partnership with the renowned Los Angeles furniture designer began in the early 2000s, producing several unique collections including reclaimed wood-driven case goods and Brazilian-inspired upholstery.</t>
  </si>
  <si>
    <t>https://dd3ka9h4chfr8.cloudfront.net/image/725136000567/image_89nqstmfl54aj9fhapqu08jp12/-FJPG/104607-002_FRT_1.jpg;https://dd3ka9h4chfr8.cloudfront.net/image/725136000567/image_5tdmssr3157gl3sd5qj9fpp82k/-FJPG/104607-002_PRM_1.jpg;https://dd3ka9h4chfr8.cloudfront.net/image/725136000567/image_s501cbgs1t5kvc65el7avgdq60/-FJPG/104607-002_SID_1.jpg;https://dd3ka9h4chfr8.cloudfront.net/image/725136000567/image_l5g8h4jcbd2fj7l4nl6c7lsa1j/-FJPG/104607-002_ESS_1.jpg;https://dd3ka9h4chfr8.cloudfront.net/image/725136000567/image_fs6v54g8d57sv0mmu2ogbmro33/-FJPG/104607-002_DET_2.jpg;https://dd3ka9h4chfr8.cloudfront.net/image/725136000567/image_crdmj30ju56q3bapl2c7jr2s6r/-FJPG/104607-002_BCK_1.jpg;https://dd3ka9h4chfr8.cloudfront.net/image/725136000567/image_51e464g3256mp72diicvm2b06d/-FJPG/104607-002_DET_1.jpg;https://dd3ka9h4chfr8.cloudfront.net/image/725136000567/image_qoqjvuvb9t4jd79csrjb59g50m/-FJPG/104607-002_DET_3.jpg;https://dd3ka9h4chfr8.cloudfront.net/image/725136000567/image_7m1vs63nkh147a68g6iedp3d3q/-FJPG/104607-002_OPN_1.jpg;https://dd3ka9h4chfr8.cloudfront.net/image/725136000567/image_sdehi987s16rn8bd852gcs5d6s/-FJPG/104607-002_DET_4.jpg;https://dd3ka9h4chfr8.cloudfront.net/image/725136000567/image_0el4p0j9vp0hv20159b38qcr6d/-FJPG/104607-002_DET_5.jpg;https://dd3ka9h4chfr8.cloudfront.net/image/725136000567/image_c6dcftd3fl1fh5i2iev3qe770j/-FJPG/104607-002_OPN_2.jpg</t>
  </si>
  <si>
    <t>104607-002</t>
  </si>
  <si>
    <t>https://dd3ka9h4chfr8.cloudfront.net/image/725136000567/image_89nqstmfl54aj9fhapqu08jp12/-FJPG/104607-002_FRT_1.jpg</t>
  </si>
  <si>
    <t>["Resawn Oak Veneer","Steel"]</t>
  </si>
  <si>
    <t>Dark Steel</t>
  </si>
  <si>
    <t>Natural Oak Veneer</t>
  </si>
  <si>
    <t>Made from solid oak and reclaimed peroba, a legal-style desk offers major storage with dual cabinetry, including file storage for legal and letter-size documents. A floating top and iron legs keep the look modern and light. This piece is designed in collaboration with Thomas Bina. Four Handsâ€™ partnership with the renowned Los Angeles furniture designer began in the early 2000s, producing several unique collections including reclaimed wood-driven case goods and Brazilian-inspired upholstery.</t>
  </si>
  <si>
    <t>Leandro Coffee Table</t>
  </si>
  <si>
    <t>https://dd3ka9h4chfr8.cloudfront.net/image/725136000567/image_uc85o1i2ad1qjenvv1b5gmt354/-FJPG/242130-003_FRT_1.jpg;https://dd3ka9h4chfr8.cloudfront.net/image/725136000567/image_290d7rsn6t4kn5rgajjfc62k3c/-FJPG/242130-003_PRM_1.jpg;https://dd3ka9h4chfr8.cloudfront.net/image/725136000567/image_5lkmvv13i11vd52nr1hdfdoq6c/-FJPG/242130-003_SID_1.jpg;https://dd3ka9h4chfr8.cloudfront.net/image/725136000567/image_v3pv9k698l6r91btukoh449401/-FJPG/242130-003_ESS.tif;https://dd3ka9h4chfr8.cloudfront.net/image/725136000567/image_7smg5u5eth2kj30p5lu0fba87p/-FJPG/242130-003_DET_2.jpg;https://dd3ka9h4chfr8.cloudfront.net/image/725136000567/image_aimlqp1n3h559dlibkht96ok0h/-FJPG/242130-003_DET_1.jpg;https://dd3ka9h4chfr8.cloudfront.net/image/725136000567/image_1egtojsgi50v90223p6f2bll0c/-FJPG/242130-003_DET_3.jpg;https://dd3ka9h4chfr8.cloudfront.net/image/725136000567/image_esu0bd5d9l631bjmj27abpp120/-FJPG/242130-003_DET_4.jpg;https://dd3ka9h4chfr8.cloudfront.net/image/725136000567/image_fhud94jfup3gf0s0qsj8mcqj6r/-FJPG/242130-003_DET_5.jpg;https://dd3ka9h4chfr8.cloudfront.net/image/725136000567/image_rm3sbge2kp3jnaa6ss8p57kh60/-FJPG/242130-003_DET_6.jpg;https://dd3ka9h4chfr8.cloudfront.net/image/725136000567/image_os84mr541t4uhe28ic7kc77b0b/-FJPG/242130-003_DET_9.tif;https://dd3ka9h4chfr8.cloudfront.net/image/725136000567/image_b53i95msnp373av1ek4vr4fb15/-FJPG/FHMPRJ016_SCENE-3.tif</t>
  </si>
  <si>
    <t>242130-003</t>
  </si>
  <si>
    <t>228.4</t>
  </si>
  <si>
    <t>https://dd3ka9h4chfr8.cloudfront.net/image/725136000567/image_uc85o1i2ad1qjenvv1b5gmt354/-FJPG/242130-003_FRT_1.jpg</t>
  </si>
  <si>
    <t>["Solid Reclaimed Oak","Solid Oak"]</t>
  </si>
  <si>
    <t>Natural French Oak Solid</t>
  </si>
  <si>
    <t>Reclaimed French oak shapes a softened square to make a unique, organic-looking statement. Designed in partnership with longtime Four Hands collaborator Thomas Bina and Brazilian designer Ronald Sasson.</t>
  </si>
  <si>
    <t>{"value":295.42,"unit":"lb"}</t>
  </si>
  <si>
    <t>Tongue and Groove</t>
  </si>
  <si>
    <t>Leandro</t>
  </si>
  <si>
    <t>53.86"</t>
  </si>
  <si>
    <t>Leigh Upholstered Bed</t>
  </si>
  <si>
    <t>https://dd3ka9h4chfr8.cloudfront.net/image/725136000567/image_nha6gcp6c16un1cim8ar3sa15v/-FJPG/105885-007_FRT_1.jpg;https://dd3ka9h4chfr8.cloudfront.net/image/725136000567/image_tbslqknngl6b15s0141ob9153p/-FJPG/105885-007_PRM_1.jpg;https://dd3ka9h4chfr8.cloudfront.net/image/725136000567/image_onv433pe497j712hut16bp2j1q/-FJPG/105885-007_SID_1.jpg;https://dd3ka9h4chfr8.cloudfront.net/image/725136000567/image_tim3k9c71l0on46rndrutp8k1j/-FJPG/105885-007_ESS.tif;https://dd3ka9h4chfr8.cloudfront.net/image/725136000567/image_tcdnbi6rk13cpet5ndjmfb350h/-FJPG/105885-007_DET_2.jpg;https://dd3ka9h4chfr8.cloudfront.net/image/725136000567/image_gqmli5mn6d2135igm6n66qho2g/-FJPG/105885-007_DET_1.jpg;https://dd3ka9h4chfr8.cloudfront.net/image/725136000567/image_ijnlsid7i10nb6c5jm81t4627u/-FJPG/105885-007_DET_3.jpg;https://dd3ka9h4chfr8.cloudfront.net/image/725136000567/image_qqpkssnvd969h7e930gsjo9o4u/-FJPG/105885-007_DET_4.jpg;https://dd3ka9h4chfr8.cloudfront.net/image/725136000567/image_meom67k9oh25r8lgbe1ih13s21/-FJPG/105885-007_DET_9.tif</t>
  </si>
  <si>
    <t>Hockney Ivory</t>
  </si>
  <si>
    <t>105885-007</t>
  </si>
  <si>
    <t>151.67</t>
  </si>
  <si>
    <t>https://dd3ka9h4chfr8.cloudfront.net/image/725136000567/image_nha6gcp6c16un1cim8ar3sa15v/-FJPG/105885-007_FRT_1.jpg</t>
  </si>
  <si>
    <t>["86% Polyester","14% Flax/Linen","Iron","Faux Leather"]</t>
  </si>
  <si>
    <t>84.5</t>
  </si>
  <si>
    <t>{"value":84.5,"unit":"in"}</t>
  </si>
  <si>
    <t>60.25</t>
  </si>
  <si>
    <t>{"value":60.25,"unit":"in"}</t>
  </si>
  <si>
    <t>Waxed Black (PC)</t>
  </si>
  <si>
    <t>Sierra Butterscotch</t>
  </si>
  <si>
    <t>Safari styling gets a modern reboot. Ivory performance fabric brings modernity to the bedroom. Leather straps secure decorative suspended headboard pillows. Performance fabrics are specially created to withstand spills, stains, high traffic and wear, ensuring long-term comfort and unmatched durability. Box spring required. This bed is not compatible with an adjustable mattress.</t>
  </si>
  <si>
    <t>{"value":66.34,"unit":"in"}</t>
  </si>
  <si>
    <t>{"value":7.68,"unit":"in"}</t>
  </si>
  <si>
    <t>{"value":106.26,"unit":"lb"}</t>
  </si>
  <si>
    <t>{"value":13.39,"unit":"in"}</t>
  </si>
  <si>
    <t>Leigh</t>
  </si>
  <si>
    <t>60.24"</t>
  </si>
  <si>
    <t>81.10"</t>
  </si>
  <si>
    <t>62.60"</t>
  </si>
  <si>
    <t>81.30"</t>
  </si>
  <si>
    <t>Standard Box Spring</t>
  </si>
  <si>
    <t>https://dd3ka9h4chfr8.cloudfront.net/image/725136000567/image_9f34b794pt0lb6un1oeivs8e18/-FJPG/105885-008_FRT_1.jpg;https://dd3ka9h4chfr8.cloudfront.net/image/725136000567/image_uo3ejfj1il7od1j9arntpqjo1q/-FJPG/105885-008_PRM_1.jpg;https://dd3ka9h4chfr8.cloudfront.net/image/725136000567/image_2g3tu3rd5930r6018nb5vr372v/-FJPG/105885-008_SID_1.jpg;https://dd3ka9h4chfr8.cloudfront.net/image/725136000567/image_tim3k9c71l0on46rndrutp8k1j/-FJPG/105885-007_ESS.tif;https://dd3ka9h4chfr8.cloudfront.net/image/725136000567/image_a21fm9s3451djc88m4hv6dev6k/-FJPG/105885-008_DET_2.jpg;https://dd3ka9h4chfr8.cloudfront.net/image/725136000567/image_n35jnag8hl1en2srhkuo933q7s/-FJPG/105885-008_DET_1.jpg;https://dd3ka9h4chfr8.cloudfront.net/image/725136000567/image_taoqisbgqd3sjbvhj9a7dj1h6f/-FJPG/105885-008_DET_3.jpg;https://dd3ka9h4chfr8.cloudfront.net/image/725136000567/image_gv7tvuj98t28b64ao8gcrq596h/-FJPG/105885-008_DET_4.jpg</t>
  </si>
  <si>
    <t>105885-008</t>
  </si>
  <si>
    <t>171.3</t>
  </si>
  <si>
    <t>https://dd3ka9h4chfr8.cloudfront.net/image/725136000567/image_9f34b794pt0lb6un1oeivs8e18/-FJPG/105885-008_FRT_1.jpg</t>
  </si>
  <si>
    <t>80.75</t>
  </si>
  <si>
    <t>{"value":80.75,"unit":"in"}</t>
  </si>
  <si>
    <t>{"value":65.35,"unit":"in"}</t>
  </si>
  <si>
    <t>{"value":115.96,"unit":"lb"}</t>
  </si>
  <si>
    <t>{"value":13.78,"unit":"in"}</t>
  </si>
  <si>
    <t>{"value":91.05,"unit":"lb"}</t>
  </si>
  <si>
    <t>78.34"</t>
  </si>
  <si>
    <t>https://dd3ka9h4chfr8.cloudfront.net/image/725136000567/image_7u0qm517t17s1eaf6cj29ddq7r/-FJPG/CIRD-35237-B2_FRT_1.jpg;https://dd3ka9h4chfr8.cloudfront.net/image/725136000567/image_k8d2s6a0p54m1aejhv6sk2s97a/-FJPG/CIRD-35237-B2_PRM_1.jpg;https://dd3ka9h4chfr8.cloudfront.net/image/725136000567/image_2464k8vmch447cli9mfrdao61h/-FJPG/CIRD-35237-B2_SID_1.jpg;https://dd3ka9h4chfr8.cloudfront.net/image/725136000567/image_prl7hg2jvd133ah7p8jlhtad2o/-FJPG/CIRD-35237-B2_DET_2.jpg;https://dd3ka9h4chfr8.cloudfront.net/image/725136000567/image_i6fe7l95fp3vp6up0l7apr0023/-FJPG/CIRD-35237-B2_DET_1.jpg;https://dd3ka9h4chfr8.cloudfront.net/image/725136000567/image_bko6qshq216ap4a3pfdlt7k33t/-FJPG/CIRD-35237-B2_DET_3.jpg;https://dd3ka9h4chfr8.cloudfront.net/image/725136000567/image_qcu582shpp2m54nkfk2nhg2n1j/-FJPG/CIRD-35237-B2_DET_4.jpg;https://dd3ka9h4chfr8.cloudfront.net/image/725136000567/image_8qbms1msot2v548fo2os9k0e3f/-FJPG/CIRD-35237-B2_DET_5.jpg;https://dd3ka9h4chfr8.cloudfront.net/image/725136000567/image_44lcipeqgd04pftd9uv2lfhk4i/-FJPG/CIRD-35237-B2_ROM_1.jpg;https://dd3ka9h4chfr8.cloudfront.net/image/725136000567/image_5ar3eafmc57a38t7nvu6rkbl75/-FJPG/CIRD-35237-B2_ROM_2.jpg</t>
  </si>
  <si>
    <t>Palm Ecru</t>
  </si>
  <si>
    <t>CIRD-35237-B2</t>
  </si>
  <si>
    <t>151.68</t>
  </si>
  <si>
    <t>https://dd3ka9h4chfr8.cloudfront.net/image/725136000567/image_7u0qm517t17s1eaf6cj29ddq7r/-FJPG/CIRD-35237-B2_FRT_1.jpg</t>
  </si>
  <si>
    <t>["85% Polyester","15% Flax/Linen","Iron","67% Polyurethane","30% Polyester","3% Rayon"]</t>
  </si>
  <si>
    <t>Distressed Brown</t>
  </si>
  <si>
    <t>Safari styling gets a modern reboot. Linen-blend upholstery of neutral taupe lays a texture-rich base for a forward-thinking bedroom look. Brown leather straps secure decorative headboard pillows, suspended for eye-catching effect. Box spring required.</t>
  </si>
  <si>
    <t>https://dd3ka9h4chfr8.cloudfront.net/image/725136000567/image_dt1vj7huhh09hel7j6ikte1577/-FJPG/CIRD-35237K-B2_FRT_1.jpg;https://dd3ka9h4chfr8.cloudfront.net/image/725136000567/image_3sbn69ra2l30p3hkgrrcb9c74a/-FJPG/CIRD-35237K-B2_PRM_1.jpg;https://dd3ka9h4chfr8.cloudfront.net/image/725136000567/image_dj17uf3mid02p08f1c4r0eon7v/-FJPG/CIRD-35237K-B2_SID_1.jpg;https://dd3ka9h4chfr8.cloudfront.net/image/725136000567/image_5931244o7d685aqpghsnm5ca19/-FJPG/CIRD-35237K-B2_DET_2.jpg;https://dd3ka9h4chfr8.cloudfront.net/image/725136000567/image_jmfrf41q554971tl8lup7bvs13/-FJPG/CIRD-35237K-B2_DET_1.jpg;https://dd3ka9h4chfr8.cloudfront.net/image/725136000567/image_2qtkpfdk7h0qpbkok4cvvvh45n/-FJPG/CIRD-35237K-B2_DET_3.jpg;https://dd3ka9h4chfr8.cloudfront.net/image/725136000567/image_48s4vjbdul3k12fl3ntpf3uu30/-FJPG/CIRD-35237K-B2_DET_4.jpg;https://dd3ka9h4chfr8.cloudfront.net/image/725136000567/image_qvrlid3ocd41h33s23mqere86h/-FJPG/CIRD-35237K-B2_DET_5.jpg;https://dd3ka9h4chfr8.cloudfront.net/image/725136000567/image_2rmfveud3t2et29qb4kr862v2u/-FJPG/CIRD-35237K-B2_ROM_1.jpg;https://dd3ka9h4chfr8.cloudfront.net/image/725136000567/image_rbf7gbo17d4c9eruib0t93i709/-FJPG/CIRD-35237K-B2_ROM_2.jpg</t>
  </si>
  <si>
    <t>CIRD-35237K-B2</t>
  </si>
  <si>
    <t>https://dd3ka9h4chfr8.cloudfront.net/image/725136000567/image_dt1vj7huhh09hel7j6ikte1577/-FJPG/CIRD-35237K-B2_FRT_1.jpg</t>
  </si>
  <si>
    <t>https://dd3ka9h4chfr8.cloudfront.net/image/725136000567/image_4um08d3mst7lv6e5lc958gef0d/-FJPG/CIRD-35237K-999_FRT_1.jpg;https://dd3ka9h4chfr8.cloudfront.net/image/725136000567/image_viv1c9rlmp6bv0mhaehshr1o58/-FJPG/CIRD-35237K-999_PRM_1.jpg;https://dd3ka9h4chfr8.cloudfront.net/image/725136000567/image_kkgc851lmh1hbd3771v9c6ug5e/-FJPG/CIRD-35237K-999_SID_1.jpg;https://dd3ka9h4chfr8.cloudfront.net/image/725136000567/image_ol9fq8slct69r04ij7dfq26s66/-FJPG/CIRD-35237K-999_DET_2.jpg;https://dd3ka9h4chfr8.cloudfront.net/image/725136000567/image_o3ohq7d0j151rbbks7gq42ut6j/-FJPG/CIRD-35237K-999_DET_1.jpg;https://dd3ka9h4chfr8.cloudfront.net/image/725136000567/image_hq3kr3u1pp5kj7lecspsoioq6d/-FJPG/CIRD-35237K-999_DET_3.jpg;https://dd3ka9h4chfr8.cloudfront.net/image/725136000567/image_lcvu5i0ev97dpa10l96bf4fp6r/-FJPG/CIRD-35237K-999_DET_4.jpg;https://dd3ka9h4chfr8.cloudfront.net/image/725136000567/image_mquc4j9mr95cp5kbajqo0d5e7u/-FJPG/CIRD-35237K-999_DET_5.jpg;https://dd3ka9h4chfr8.cloudfront.net/image/725136000567/image_q3m3thtd7p5p1fovfv3qfcj41s/-FJPG/CIRD-35237K-999_DET_6.jpg</t>
  </si>
  <si>
    <t>San Remo Ash</t>
  </si>
  <si>
    <t>CIRD-35237K-999</t>
  </si>
  <si>
    <t>https://dd3ka9h4chfr8.cloudfront.net/image/725136000567/image_4um08d3mst7lv6e5lc958gef0d/-FJPG/CIRD-35237K-999_FRT_1.jpg</t>
  </si>
  <si>
    <t>["100% Polyester","Iron","85% Polyester","15% Polyurethane Fibre"]</t>
  </si>
  <si>
    <t>Safari styling gets a modern reboot. Linen-blend upholstery of ash grey lays a texture-rich base for a forward-thinking bedroom look. Black leather straps secure decorative headboard pillows, suspended for eye-catching effect. Box spring required.</t>
  </si>
  <si>
    <t>https://dd3ka9h4chfr8.cloudfront.net/image/725136000567/image_9s9siod4al2b54hrr0t9lpm105/-FJPG/CIRD-35237Q-999_FRT_1.jpg;https://dd3ka9h4chfr8.cloudfront.net/image/725136000567/image_a05c1uaf156m3bkpaa4l0vnf49/-FJPG/CIRD-35237Q-999_PRM_1.jpg;https://dd3ka9h4chfr8.cloudfront.net/image/725136000567/image_qidp7egd257lf00lmiqdc5i42q/-FJPG/CIRD-35237Q-999_SID_1.jpg;https://dd3ka9h4chfr8.cloudfront.net/image/725136000567/image_m0tctpnsjl3lv3moomt86b1n0u/-FJPG/CIRD-35237Q-999_ESS_1.jpg;https://dd3ka9h4chfr8.cloudfront.net/image/725136000567/image_mao2ltto5936j09gjlie43g75u/-FJPG/CIRD-35237Q-999_DET_2.jpg;https://dd3ka9h4chfr8.cloudfront.net/image/725136000567/image_c4a85g6snl3kt9aion12dkm45c/-FJPG/CIRD-35237Q-999_DET_1.jpg;https://dd3ka9h4chfr8.cloudfront.net/image/725136000567/image_5pclldn1vp1kjcrdhn70gl7r4q/-FJPG/CIRD-35237Q-999_DET_3.jpg;https://dd3ka9h4chfr8.cloudfront.net/image/725136000567/image_mvvbfsn0651f560i050g651935/-FJPG/CIRD-35237Q-999_DET_4.jpg;https://dd3ka9h4chfr8.cloudfront.net/image/725136000567/image_29o5fhl8cl2jf7gu1qd3ju5q3d/-FJPG/CIRD-35237Q-999_DET_5.jpg;https://dd3ka9h4chfr8.cloudfront.net/image/725136000567/image_6in03lgth17c12tn8jg70q8c17/-FJPG/CIRD-35237Q-999_DET_6.jpg</t>
  </si>
  <si>
    <t>CIRD-35237Q-999</t>
  </si>
  <si>
    <t>122.1</t>
  </si>
  <si>
    <t>https://dd3ka9h4chfr8.cloudfront.net/image/725136000567/image_9s9siod4al2b54hrr0t9lpm105/-FJPG/CIRD-35237Q-999_FRT_1.jpg</t>
  </si>
  <si>
    <t>{"value":106,"unit":"lb"}</t>
  </si>
  <si>
    <t>{"value":84.7,"unit":"lb"}</t>
  </si>
  <si>
    <t>Lennon Chair</t>
  </si>
  <si>
    <t>https://dd3ka9h4chfr8.cloudfront.net/image/725136000567/image_5gnh8o4crp6ejan28hf6sep707/-FJPG/105585-003_FRT_1.jpg;https://dd3ka9h4chfr8.cloudfront.net/image/725136000567/image_5hg7j0h7dd00r8nrlm8tumhd1i/-FJPG/105585-003_PRM_1.jpg;https://dd3ka9h4chfr8.cloudfront.net/image/725136000567/image_u6ud5it0457vd3t85orbcp296c/-FJPG/105585-003_SID_1.jpg;https://dd3ka9h4chfr8.cloudfront.net/image/725136000567/image_hqqafa3h4t7hv17c68pqufc11f/-FJPG/105585-003_DET_2.jpg;https://dd3ka9h4chfr8.cloudfront.net/image/725136000567/image_9r12qvlsk557p8qaq6kmk28n1e/-FJPG/105585-003_BCK_1.jpg;https://dd3ka9h4chfr8.cloudfront.net/image/725136000567/image_5hit1ikjkh38t9dv0t3mjss570/-FJPG/105585-003_INF_1.jpg;https://dd3ka9h4chfr8.cloudfront.net/image/725136000567/image_n68b79uhv55u30m6k10385qs7e/-FJPG/105585-003_DET_1.jpg;https://dd3ka9h4chfr8.cloudfront.net/image/725136000567/image_mbukmoj96d0sp783d5bl5kgv2g/-FJPG/105585-003_DET_3.jpg;https://dd3ka9h4chfr8.cloudfront.net/image/725136000567/image_ktd63mgpad1lp6ds37nh4e7s4q/-FJPG/105585-003_DET_4.jpg;https://dd3ka9h4chfr8.cloudfront.net/image/725136000567/image_di8h96b7rp4sp5ar5mul6e2r69/-FJPG/105585-003_DET_5.jpg;https://dd3ka9h4chfr8.cloudfront.net/image/725136000567/image_0u8drpggrp3jrf089mqul8b82k/-FJPG/105585-003_DET_6.jpg;https://dd3ka9h4chfr8.cloudfront.net/image/725136000567/image_9o17ssogul5jh9e1sirebggh0m/-FJPG/105585-003_VIG_1.jpg</t>
  </si>
  <si>
    <t>105585-003</t>
  </si>
  <si>
    <t>42.77</t>
  </si>
  <si>
    <t>https://dd3ka9h4chfr8.cloudfront.net/image/725136000567/image_5gnh8o4crp6ejan28hf6sep707/-FJPG/105585-003_FRT_1.jpg</t>
  </si>
  <si>
    <t>["90% Polyester","10% Flax/Linen","Solid Parawood"]</t>
  </si>
  <si>
    <t>37.25</t>
  </si>
  <si>
    <t>{"value":37.25,"unit":"in"}</t>
  </si>
  <si>
    <t>Burnt Umber</t>
  </si>
  <si>
    <t>A solid frame of burnt oak features a high, ladder back design for a regal air. Ivory, performance fabric-upholstered seating meets style with livability.</t>
  </si>
  <si>
    <t>{"value":63.71,"unit":"lb"}</t>
  </si>
  <si>
    <t>Lennon</t>
  </si>
  <si>
    <t>https://dd3ka9h4chfr8.cloudfront.net/image/725136000567/image_upahrh3ke950b055t94ng8bt74/-FJPG/105585-005_FRT_1.jpg;https://dd3ka9h4chfr8.cloudfront.net/image/725136000567/image_8f89m699qd5ndcut75nv12tj6j/-FJPG/105585-005_PRM_1.jpg;https://dd3ka9h4chfr8.cloudfront.net/image/725136000567/image_d5outaj2ht603cu4lj8l3pq22i/-FJPG/105585-005_SID_1.jpg;https://dd3ka9h4chfr8.cloudfront.net/image/725136000567/image_uq4kd2bnel0fdcor48oe6eog40/-FJPG/105585-005_ESS_1.jpg;https://dd3ka9h4chfr8.cloudfront.net/image/725136000567/image_3mv17u62s94614fre3ejj1g21n/-FJPG/105585-005_DET_2.jpg;https://dd3ka9h4chfr8.cloudfront.net/image/725136000567/image_ab4jb3n5b91vn46on4nt1j9e4i/-FJPG/105585-005_BCK_1.jpg;https://dd3ka9h4chfr8.cloudfront.net/image/725136000567/image_q3vi1bqmbt5t97fs3tg1j29n2r/-FJPG/105585-005_DET_1.jpg;https://dd3ka9h4chfr8.cloudfront.net/image/725136000567/image_qj6t5dv18t43jaq403a5m18h7h/-FJPG/105585-005_DET_3.jpg;https://dd3ka9h4chfr8.cloudfront.net/image/725136000567/image_9ig61hukap6k3a9fjc1dlij21n/-FJPG/105585-005_DET_4.jpg;https://dd3ka9h4chfr8.cloudfront.net/image/725136000567/image_3is0jps1ct0ap0d7mfqupen106/-FJPG/105585-005_DET_5.jpg;https://dd3ka9h4chfr8.cloudfront.net/image/725136000567/image_4abu4dql9p6gtbg3nq6rms0v0m/-FJPG/105585-005_DET_6.jpg</t>
  </si>
  <si>
    <t>105585-005</t>
  </si>
  <si>
    <t>https://dd3ka9h4chfr8.cloudfront.net/image/725136000567/image_upahrh3ke950b055t94ng8bt74/-FJPG/105585-005_FRT_1.jpg</t>
  </si>
  <si>
    <t>A solid frame of warm oak features a high, ladder back design for a regal air. Upholstered in heirloom black leather. Sourced from one of the oldest family-owned tanneries in Italyâ€™s Bassano del Grappa, heirloom leather is salvaged and processed from upcycled hides featuring an abundance of natural markings, scars and color variations. The result? Beautifully supple, buttery soft hides with an unmatched depth of color and richness, and an authentic lived-in look.</t>
  </si>
  <si>
    <t>https://dd3ka9h4chfr8.cloudfront.net/image/725136000567/image_p50o59rkhh41te7ig4irjgju7s/-FJPG/105585-004_FRT_1.jpg;https://dd3ka9h4chfr8.cloudfront.net/image/725136000567/image_8cihr18sdd4bff5f8f9b09kf79/-FJPG/105585-004_PRM_1.jpg;https://dd3ka9h4chfr8.cloudfront.net/image/725136000567/image_npo8bjs3c118ha9sn6bp4qel5e/-FJPG/105585-004_SID_1.jpg;https://dd3ka9h4chfr8.cloudfront.net/image/725136000567/image_09tpkae1q973l48b011tt31j7n/-FJPG/105585-004_ESS_1.jpg;https://dd3ka9h4chfr8.cloudfront.net/image/725136000567/image_cvhfvdliht17tagpidncucd62t/-FJPG/105585-004_DET_2.jpg;https://dd3ka9h4chfr8.cloudfront.net/image/725136000567/image_pt39ga9tnp44pdrmormefqtb0o/-FJPG/105585-004_BCK_1.jpg;https://dd3ka9h4chfr8.cloudfront.net/image/725136000567/image_d6l1a7fk254hvbo8cfet2so05s/-FJPG/105585-004_DET_1.jpg;https://dd3ka9h4chfr8.cloudfront.net/image/725136000567/image_i4e8kpi5vh007a1vh75eo6u179/-FJPG/105585-004_DET_3.jpg;https://dd3ka9h4chfr8.cloudfront.net/image/725136000567/image_memf7mneol36d9cqdgolbda30q/-FJPG/105585-004_DET_4.jpg;https://dd3ka9h4chfr8.cloudfront.net/image/725136000567/image_srf6eu5dc92lf7ubik3g2slo1l/-FJPG/105585-004_DET_5.jpg</t>
  </si>
  <si>
    <t>Imperial Mist</t>
  </si>
  <si>
    <t>105585-004</t>
  </si>
  <si>
    <t>https://dd3ka9h4chfr8.cloudfront.net/image/725136000567/image_p50o59rkhh41te7ig4irjgju7s/-FJPG/105585-004_FRT_1.jpg</t>
  </si>
  <si>
    <t>Lamont Natural</t>
  </si>
  <si>
    <t>A solid frame of warm oak features a high, ladder back design for a regal air. Lush, mist-toned cushioning of 100% polyester delivers ultimate comfort.</t>
  </si>
  <si>
    <t>Leo Bed</t>
  </si>
  <si>
    <t>https://dd3ka9h4chfr8.cloudfront.net/image/725136000567/image_t5tlq19bhl3ml5ivjbi66kcb1k/-FJPG/231732-003_FRT_1.jpg;https://dd3ka9h4chfr8.cloudfront.net/image/725136000567/image_mp0sqa03td3n9626tboj8pe06l/-FJPG/231732-003_PRM_1.jpg;https://dd3ka9h4chfr8.cloudfront.net/image/725136000567/image_4n47826c9d64l40umiit8ep040/-FJPG/231732-003_SID_1.jpg;https://dd3ka9h4chfr8.cloudfront.net/image/725136000567/image_73q7429a9p037f343lq95j7e6d/-FJPG/231732-003_ESS.tif;https://dd3ka9h4chfr8.cloudfront.net/image/725136000567/image_3fv63jp4rd0ft0utvgqu20gf21/-FJPG/231732-003_DET_2.jpg;https://dd3ka9h4chfr8.cloudfront.net/image/725136000567/image_rfvq6ff3h57e924p9s232f863k/-FJPG/231732-003_BCK_1.jpg;https://dd3ka9h4chfr8.cloudfront.net/image/725136000567/image_45bk517su93ivfvndul7p8em25/-FJPG/231732-003_DET_1.jpg;https://dd3ka9h4chfr8.cloudfront.net/image/725136000567/image_f7mdtfei2h3jj9c2l9i6jc4o3g/-FJPG/231732-003_DET_3.jpg;https://dd3ka9h4chfr8.cloudfront.net/image/725136000567/image_3n4qa90a0h61p6sem56fg8205g/-FJPG/231732-003_DET_4.jpg;https://dd3ka9h4chfr8.cloudfront.net/image/725136000567/image_31hcokeam5091b54bk0e8akr1a/-FJPG/231732-003_DET_5.jpg;https://dd3ka9h4chfr8.cloudfront.net/image/725136000567/image_r9268mjdb91of2bgqqo51ssr4m/-FJPG/231732-003_DET_6.jpg;https://dd3ka9h4chfr8.cloudfront.net/image/725136000567/image_i92n335ir10mp61t6tsdms1e69/-FJPG/231732-003_DET_7.jpg;https://dd3ka9h4chfr8.cloudfront.net/image/725136000567/image_cuvtdfr5p51nh7btnlfkrl280s/-FJPG/231732-003_DET_8.jpg</t>
  </si>
  <si>
    <t>Rustic Grey</t>
  </si>
  <si>
    <t>231732-003</t>
  </si>
  <si>
    <t>276.68</t>
  </si>
  <si>
    <t>https://dd3ka9h4chfr8.cloudfront.net/image/725136000567/image_t5tlq19bhl3ml5ivjbi66kcb1k/-FJPG/231732-003_FRT_1.jpg</t>
  </si>
  <si>
    <t>Designed by Thomas Bina and Ronald Sasson, a design partnership blending both modern minimalist and Brazilian influences. Crafted from a mix of solid oak and thick-cut oak veneer, this clean-lined bed features vertical reed detailing on the tall headboard and beautiful horizontal graining on the footboard for extra drama.</t>
  </si>
  <si>
    <t>{"value":71.46,"unit":"in"}</t>
  </si>
  <si>
    <t>{"value":54.72,"unit":"in"}</t>
  </si>
  <si>
    <t>Footboard/ Slats</t>
  </si>
  <si>
    <t>Side Rails, Center Rail, Support Legs, Hardware Pack</t>
  </si>
  <si>
    <t>{"value":17.52,"unit":"in"}</t>
  </si>
  <si>
    <t>Leo</t>
  </si>
  <si>
    <t>https://dd3ka9h4chfr8.cloudfront.net/image/725136000567/image_9tgmge147h45vcbm9up7ono148/-FJPG/231732-004_FRT_1.jpg;https://dd3ka9h4chfr8.cloudfront.net/image/725136000567/image_akubtfeqo50uh70d3nn2gf9707/-FJPG/231732-004_PRM_1.jpg;https://dd3ka9h4chfr8.cloudfront.net/image/725136000567/image_ca2v4ia97p4jdet2sufg4usf7b/-FJPG/231732-004_SID_1.jpg;https://dd3ka9h4chfr8.cloudfront.net/image/725136000567/image_73q7429a9p037f343lq95j7e6d/-FJPG/231732-003_ESS.tif;https://dd3ka9h4chfr8.cloudfront.net/image/725136000567/image_7v56rcs8ap6ptar0agst9lj23m/-FJPG/231732-004_DET_2.jpg;https://dd3ka9h4chfr8.cloudfront.net/image/725136000567/image_5688hanrmt7e92nbfglgr9sn3g/-FJPG/231732-004_BCK_1.jpg;https://dd3ka9h4chfr8.cloudfront.net/image/725136000567/image_d560hipfil2cndpacfb52s6o43/-FJPG/231732-004_DET_1.jpg;https://dd3ka9h4chfr8.cloudfront.net/image/725136000567/image_3595qopd5h75bcqe87h1l34573/-FJPG/231732-004_DET_3.jpg;https://dd3ka9h4chfr8.cloudfront.net/image/725136000567/image_umdjtm3ii51vt81o4ierdogu3g/-FJPG/231732-004_DET_4.jpg;https://dd3ka9h4chfr8.cloudfront.net/image/725136000567/image_o16r64psbd3m525jmkef625c3v/-FJPG/231732-004_DET_5.jpg;https://dd3ka9h4chfr8.cloudfront.net/image/725136000567/image_a5mckrb9nt7cdb9jl08rcm0d16/-FJPG/231732-004_DET_6.jpg;https://dd3ka9h4chfr8.cloudfront.net/image/725136000567/image_88nm74nopp0sp1iejkrnitmn6d/-FJPG/231732-004_DET_7.jpg;https://dd3ka9h4chfr8.cloudfront.net/image/725136000567/image_1gmo4hd9op755eq40hhitva956/-FJPG/231732-004_DET_8.jpg</t>
  </si>
  <si>
    <t>231732-004</t>
  </si>
  <si>
    <t>310.85</t>
  </si>
  <si>
    <t>https://dd3ka9h4chfr8.cloudfront.net/image/725136000567/image_9tgmge147h45vcbm9up7ono148/-FJPG/231732-004_FRT_1.jpg</t>
  </si>
  <si>
    <t>83.25</t>
  </si>
  <si>
    <t>{"value":163.14,"unit":"lb"}</t>
  </si>
  <si>
    <t>83.15"</t>
  </si>
  <si>
    <t>77.17"</t>
  </si>
  <si>
    <t>https://dd3ka9h4chfr8.cloudfront.net/image/725136000567/image_up8d70prh10j363o127aoftv1l/-FJPG/231732-007_FRT_1.jpg;https://dd3ka9h4chfr8.cloudfront.net/image/725136000567/image_1nnlmink2t6pt58ukk4hvidt12/-FJPG/231732-007_PRM_1.jpg;https://dd3ka9h4chfr8.cloudfront.net/image/725136000567/image_v434hkiuc15bt447qqac362n4l/-FJPG/231732-007_SID_1.jpg;https://dd3ka9h4chfr8.cloudfront.net/image/725136000567/image_9onavkakhd5pn8d93t3mmreb62/-FJPG/231732-007_DET_2.jpg;https://dd3ka9h4chfr8.cloudfront.net/image/725136000567/image_m5jopevukl6qrcpulk763dnl62/-FJPG/231732-007_BCK_1.jpg;https://dd3ka9h4chfr8.cloudfront.net/image/725136000567/image_k858d29i1t3mp9ijser5v5l655/-FJPG/231732-007_DET_1.jpg;https://dd3ka9h4chfr8.cloudfront.net/image/725136000567/image_nle5d5f92h1772l0ag3725k55n/-FJPG/231732-007_DET_3.jpg;https://dd3ka9h4chfr8.cloudfront.net/image/725136000567/image_erhh5sbsml3u7c35h4d9n74s0n/-FJPG/231732-007_DET_4.jpg;https://dd3ka9h4chfr8.cloudfront.net/image/725136000567/image_8n8k35n9950bt0ob9nnb8htr5c/-FJPG/231732-007_DET_5.jpg;https://dd3ka9h4chfr8.cloudfront.net/image/725136000567/image_vnc5c1apkt5hjeljgs51tcff1h/-FJPG/231732-007_DET_6.jpg;https://dd3ka9h4chfr8.cloudfront.net/image/725136000567/image_m6824e5ko140rde55dd9v4jf49/-FJPG/231732-007_DET_7.jpg</t>
  </si>
  <si>
    <t>Rustic Light Natural Oak</t>
  </si>
  <si>
    <t>231732-007</t>
  </si>
  <si>
    <t>https://dd3ka9h4chfr8.cloudfront.net/image/725136000567/image_up8d70prh10j363o127aoftv1l/-FJPG/231732-007_FRT_1.jpg</t>
  </si>
  <si>
    <t>Rustic Light Natural Oak Veneer</t>
  </si>
  <si>
    <t>Designed by Thomas Bina and Ronald Sasson, a design partnership blending both modern minimalist and Brazilian influences. Crafted from a light, natural oak, this clean-lined bed features vertical reed detailing on the tall headboard and beautiful horizontal graining on the footboard for extra drama.</t>
  </si>
  <si>
    <t>Siderails + Center Bar + Support  Legs + Hw Pack</t>
  </si>
  <si>
    <t>https://dd3ka9h4chfr8.cloudfront.net/image/725136000567/image_9pr546ebst349ar0niv83ve309/-FJPG/231732-008_FRT_1.jpg;https://dd3ka9h4chfr8.cloudfront.net/image/725136000567/image_9dp4ihv04l7r71596061sb186q/-FJPG/231732-008_PRM_1.jpg;https://dd3ka9h4chfr8.cloudfront.net/image/725136000567/image_j3gg5855lh4c75iifs2mqsug0g/-FJPG/231732-008_SID_1.jpg;https://dd3ka9h4chfr8.cloudfront.net/image/725136000567/image_ilfifn5brl23jafb5qe8kgh23d/-FJPG/231732-008_DET_2.jpg;https://dd3ka9h4chfr8.cloudfront.net/image/725136000567/image_tctbn1i1rp4e77pq1ns5im0r6p/-FJPG/231732-008_BCK_1.jpg;https://dd3ka9h4chfr8.cloudfront.net/image/725136000567/image_89bvi4pt095sbegab2r2v4ve13/-FJPG/231732-008_DET_1.jpg;https://dd3ka9h4chfr8.cloudfront.net/image/725136000567/image_5l79jjtged3ftbph6u8o0nbf02/-FJPG/231732-008_DET_3.jpg;https://dd3ka9h4chfr8.cloudfront.net/image/725136000567/image_fl00sst7093rle86nttol7re3d/-FJPG/231732-008_DET_4.jpg;https://dd3ka9h4chfr8.cloudfront.net/image/725136000567/image_irst87pn9132n51656rmer0l0r/-FJPG/231732-008_DET_5.jpg;https://dd3ka9h4chfr8.cloudfront.net/image/725136000567/image_ln20748tk930d37vfrcr8brd51/-FJPG/231732-008_DET_6.jpg;https://dd3ka9h4chfr8.cloudfront.net/image/725136000567/image_oarud39jsl449ae361gi8qsa4n/-FJPG/231732-008_DET_7.jpg</t>
  </si>
  <si>
    <t>231732-008</t>
  </si>
  <si>
    <t>https://dd3ka9h4chfr8.cloudfront.net/image/725136000567/image_9pr546ebst349ar0niv83ve309/-FJPG/231732-008_FRT_1.jpg</t>
  </si>
  <si>
    <t>https://dd3ka9h4chfr8.cloudfront.net/image/725136000567/image_tfp5ucvcf95fhero2psrbb9k1s/-FJPG/231732-005_FRT_1.jpg;https://dd3ka9h4chfr8.cloudfront.net/image/725136000567/image_t4t9u594dh4e1bkplv8rfbdr03/-FJPG/231732-005_PRM_1.jpg;https://dd3ka9h4chfr8.cloudfront.net/image/725136000567/image_v2mlavv2a51unfm85d2lnkt137/-FJPG/231732-005_SID_1.jpg;https://dd3ka9h4chfr8.cloudfront.net/image/725136000567/image_5rthtet4h55it0ct396k3fbo0t/-FJPG/231732-005_DET_2.jpg;https://dd3ka9h4chfr8.cloudfront.net/image/725136000567/image_45t29d73u953nej836guvv923i/-FJPG/231732-005_BCK_1.jpg;https://dd3ka9h4chfr8.cloudfront.net/image/725136000567/image_doi1drpr4p0qd6ueltmdm11914/-FJPG/231732-005_DET_1.jpg;https://dd3ka9h4chfr8.cloudfront.net/image/725136000567/image_65632lpn453ph45jpn5bgmaf3i/-FJPG/231732-005_DET_3.jpg;https://dd3ka9h4chfr8.cloudfront.net/image/725136000567/image_toh28f04n129t4s9nlt6ieb97m/-FJPG/231732-005_DET_4.jpg;https://dd3ka9h4chfr8.cloudfront.net/image/725136000567/image_fomrpcaibl1sv2mf9bcbuefq3u/-FJPG/231732-005_DET_5.jpg;https://dd3ka9h4chfr8.cloudfront.net/image/725136000567/image_sv02mi5ivl66vfblb0c7m9ei74/-FJPG/231732-005_DET_6.jpg;https://dd3ka9h4chfr8.cloudfront.net/image/725136000567/image_gm3v1g00ll4ed2tajhe032d71p/-FJPG/231732-005_DET_7.jpg</t>
  </si>
  <si>
    <t>Smoked Black</t>
  </si>
  <si>
    <t>231732-005</t>
  </si>
  <si>
    <t>https://dd3ka9h4chfr8.cloudfront.net/image/725136000567/image_tfp5ucvcf95fhero2psrbb9k1s/-FJPG/231732-005_FRT_1.jpg</t>
  </si>
  <si>
    <t>https://dd3ka9h4chfr8.cloudfront.net/image/725136000567/image_2f7g219dmd01fbd4va2k4jfd27/-FJPG/231732-006_FRT_1.jpg;https://dd3ka9h4chfr8.cloudfront.net/image/725136000567/image_99h5mi1po9465dojo7s2i41c6e/-FJPG/231732-006_PRM_1.jpg;https://dd3ka9h4chfr8.cloudfront.net/image/725136000567/image_unlv3dn1rd3ot05r88q57ikm2o/-FJPG/231732-006_SID_1.jpg;https://dd3ka9h4chfr8.cloudfront.net/image/725136000567/image_alu5qa9nb164b49dhdmm2fkg74/-FJPG/231732-006_DET_2.jpg;https://dd3ka9h4chfr8.cloudfront.net/image/725136000567/image_n986fnvs8t5ld1t8kgs0ruln2b/-FJPG/231732-006_BCK_1.jpg;https://dd3ka9h4chfr8.cloudfront.net/image/725136000567/image_g0hq95idap4pt50juqqu4pvs2j/-FJPG/231732-006_DET_1.jpg;https://dd3ka9h4chfr8.cloudfront.net/image/725136000567/image_49pi8ttclp25h6pnjvm0ui390f/-FJPG/231732-006_DET_3.jpg;https://dd3ka9h4chfr8.cloudfront.net/image/725136000567/image_9ha1pac2t16kb8ppjcpphepm4p/-FJPG/231732-006_DET_4.jpg;https://dd3ka9h4chfr8.cloudfront.net/image/725136000567/image_c4t6rmr7k54s50ctc78g0b830o/-FJPG/231732-006_DET_5.jpg;https://dd3ka9h4chfr8.cloudfront.net/image/725136000567/image_b6rsf785110c1a5pmkje0bvh2j/-FJPG/231732-006_DET_6.jpg;https://dd3ka9h4chfr8.cloudfront.net/image/725136000567/image_54286k1gil5lp455sampvnqj1p/-FJPG/231732-006_DET_7.jpg</t>
  </si>
  <si>
    <t>231732-006</t>
  </si>
  <si>
    <t>https://dd3ka9h4chfr8.cloudfront.net/image/725136000567/image_2f7g219dmd01fbd4va2k4jfd27/-FJPG/231732-006_FRT_1.jpg</t>
  </si>
  <si>
    <t>Leo Console Table</t>
  </si>
  <si>
    <t>https://dd3ka9h4chfr8.cloudfront.net/image/725136000567/image_kvrne3ld8t7d3fp5enjum2492o/-FJPG/231789-002_FRT_1.jpg;https://dd3ka9h4chfr8.cloudfront.net/image/725136000567/image_gvcl0i6bdl0nnb8ifpvj8bt948/-FJPG/231789-002_PRM_1.jpg;https://dd3ka9h4chfr8.cloudfront.net/image/725136000567/image_5lr00h5j0l75n5ip4oaii6qn5m/-FJPG/231789-002_SID_1.jpg;https://dd3ka9h4chfr8.cloudfront.net/image/725136000567/image_r263r04h8l0p34itqfo6albc2v/-FJPG/231789-002_DET_2.jpg;https://dd3ka9h4chfr8.cloudfront.net/image/725136000567/image_butfh5jnfl4tff3rhnb0tl5v6j/-FJPG/231789-002_DET_1.jpg;https://dd3ka9h4chfr8.cloudfront.net/image/725136000567/image_3l279qcitl7f96vshh5lr70m72/-FJPG/231789-002_DET_3.jpg;https://dd3ka9h4chfr8.cloudfront.net/image/725136000567/image_bs8ptg07dt08p2fq240q0tda50/-FJPG/231789-002_DET_4.jpg;https://dd3ka9h4chfr8.cloudfront.net/image/725136000567/image_gf5r3nfvld1hb2ec0g18j13d01/-FJPG/231789-002_DET_5.jpg;https://dd3ka9h4chfr8.cloudfront.net/image/725136000567/image_rulo6sh3k56dv83e17o52iob2m/-FJPG/231789-002_DET_6.jpg;https://dd3ka9h4chfr8.cloudfront.net/image/725136000567/image_7hh37qim8l4bf9pghsvsrepv3s/-FJPG/231789-002_ESS.tif</t>
  </si>
  <si>
    <t>231789-002</t>
  </si>
  <si>
    <t>https://dd3ka9h4chfr8.cloudfront.net/image/725136000567/image_kvrne3ld8t7d3fp5enjum2492o/-FJPG/231789-002_FRT_1.jpg</t>
  </si>
  <si>
    <t>Grey-finished oak shapes an elongated console table, rich with reeding. Subtly rounded edges reflect Brazilian midcentury inspiration behind this crafted minimalist piece. Designed in partnership with longtime Four Hands collaborator Thomas Bina and designer Ronald Sasson.</t>
  </si>
  <si>
    <t>{"value":40.55,"unit":"in"}</t>
  </si>
  <si>
    <t>{"value":180.78,"unit":"lb"}</t>
  </si>
  <si>
    <t>75.59"</t>
  </si>
  <si>
    <t>Leo Nightstand</t>
  </si>
  <si>
    <t>https://dd3ka9h4chfr8.cloudfront.net/image/725136000567/image_ihi538mor16ot3skjla9vn3u2n/-FJPG/231734-002_FRT_1.jpg;https://dd3ka9h4chfr8.cloudfront.net/image/725136000567/image_6n0rlm63s50697jf87gcicm640/-FJPG/231734-002_PRM_1.jpg;https://dd3ka9h4chfr8.cloudfront.net/image/725136000567/image_op5lan14g15ihdhe9k48dbgd46/-FJPG/231734-002_SID_1.jpg;https://dd3ka9h4chfr8.cloudfront.net/image/725136000567/image_7199j1da514hj1q9iac4f0kj7q/-FJPG/231734-002_DET_2.jpg;https://dd3ka9h4chfr8.cloudfront.net/image/725136000567/image_22l29scjah34n6fbbeh9cd1g77/-FJPG/231734-002_BCK_1.jpg;https://dd3ka9h4chfr8.cloudfront.net/image/725136000567/image_bl4ug6nrrd37577bv8mthm6348/-FJPG/231734-002_DET_1.jpg;https://dd3ka9h4chfr8.cloudfront.net/image/725136000567/image_jvsa0rhlvt0dp0kss15nnbej1r/-FJPG/231734-002_DET_3.jpg;https://dd3ka9h4chfr8.cloudfront.net/image/725136000567/image_50nr2e7k6d2pj2e89pkqnsla4g/-FJPG/231734-002_OPN_1.jpg;https://dd3ka9h4chfr8.cloudfront.net/image/725136000567/image_md0j8e7ioh7qv7vodccb8k8135/-FJPG/231734-002_DET_4.jpg;https://dd3ka9h4chfr8.cloudfront.net/image/725136000567/image_hc3mj1kn5d4b74n3cqppnpvc1b/-FJPG/231734-002_DET_5.jpg;https://dd3ka9h4chfr8.cloudfront.net/image/725136000567/image_usca1qb0tl22ndghvl7a5euq1g/-FJPG/231734-002_DET_6.jpg;https://dd3ka9h4chfr8.cloudfront.net/image/725136000567/image_ojgke10o210cnav9jgab0prv7h/-FJPG/231734-002_DET_7.jpg;https://dd3ka9h4chfr8.cloudfront.net/image/725136000567/image_uqh5acjocp5dp4mta33aktr64s/-FJPG/231734-002_ESS.tif</t>
  </si>
  <si>
    <t>231734-002</t>
  </si>
  <si>
    <t>https://dd3ka9h4chfr8.cloudfront.net/image/725136000567/image_ihi538mor16ot3skjla9vn3u2n/-FJPG/231734-002_FRT_1.jpg</t>
  </si>
  <si>
    <t>Designed by Thomas Bina and Ronald Sasson, a design partnership blending both modern minimalist and Brazilian influences. Crafted from solid oak, this clean-lined nightstand features vertical reed detailing on the drawer fronts with wooden pull detailing on the outer edges. Drawers are finished with soft close undermount drawer glides.</t>
  </si>
  <si>
    <t>{"value":39.57,"unit":"in"}</t>
  </si>
  <si>
    <t>3.86"</t>
  </si>
  <si>
    <t>https://dd3ka9h4chfr8.cloudfront.net/image/725136000567/image_u44klknei94ir13kk5voqcd65d/-FJPG/231734-003_FRT_1.jpg;https://dd3ka9h4chfr8.cloudfront.net/image/725136000567/image_15j4htdakt24h7nfg59u2bc341/-FJPG/231734-003_PRM_1.jpg;https://dd3ka9h4chfr8.cloudfront.net/image/725136000567/image_ej3msur7gh0f57qrcko419nf7q/-FJPG/231734-003_SID_1.jpg;https://dd3ka9h4chfr8.cloudfront.net/image/725136000567/image_4lusjql55t1of7lu1bg578hh6h/-FJPG/231734-003_ESS.tif;https://dd3ka9h4chfr8.cloudfront.net/image/725136000567/image_86vmrqvpdh7o5as9ag3ah1a701/-FJPG/231734-003_DET_2.jpg;https://dd3ka9h4chfr8.cloudfront.net/image/725136000567/image_7uemp9ph2d6ip316817f0fbl78/-FJPG/231734-003_BCK_1.jpg;https://dd3ka9h4chfr8.cloudfront.net/image/725136000567/image_2rdkj815jd1cl5ri010riebh4g/-FJPG/231734-003_DET_1.jpg;https://dd3ka9h4chfr8.cloudfront.net/image/725136000567/image_8tanch0ukp66fd1ek8avm2nb49/-FJPG/231734-003_DET_3.jpg;https://dd3ka9h4chfr8.cloudfront.net/image/725136000567/image_c873h6rgk56apatrjup49tv55s/-FJPG/231734-003_OPN_1.jpg;https://dd3ka9h4chfr8.cloudfront.net/image/725136000567/image_mfaq8crgup7o7eonnusunmii37/-FJPG/231734-003_TOP_1.jpg;https://dd3ka9h4chfr8.cloudfront.net/image/725136000567/image_8a7cah5iul01ha18dkp66p8366/-FJPG/231734-003_DET_4.jpg;https://dd3ka9h4chfr8.cloudfront.net/image/725136000567/image_llba6hebad22heetn0nvnl823i/-FJPG/231734-003_DET_5.jpg</t>
  </si>
  <si>
    <t>231734-003</t>
  </si>
  <si>
    <t>https://dd3ka9h4chfr8.cloudfront.net/image/725136000567/image_u44klknei94ir13kk5voqcd65d/-FJPG/231734-003_FRT_1.jpg</t>
  </si>
  <si>
    <t>Leo Sideboard</t>
  </si>
  <si>
    <t>https://dd3ka9h4chfr8.cloudfront.net/image/725136000567/image_lfiopmkval7414nfogavgkq60b/-FJPG/231850-002_FRT_1.jpg;https://dd3ka9h4chfr8.cloudfront.net/image/725136000567/image_ur8e28ui5l18df4oo6i9ip886u/-FJPG/231850-002_PRM_1.jpg;https://dd3ka9h4chfr8.cloudfront.net/image/725136000567/image_jp1q67k3ud00tf2mn5r1i0bs3q/-FJPG/231850-002_SID_1.jpg;https://dd3ka9h4chfr8.cloudfront.net/image/725136000567/image_1tsg0june90g3e7bntmj2a6m4j/-FJPG/231850-002_DET_2.jpg;https://dd3ka9h4chfr8.cloudfront.net/image/725136000567/image_6aq5a68ifd7p9684bhch35fd4i/-FJPG/231850-002_BCK_1.jpg;https://dd3ka9h4chfr8.cloudfront.net/image/725136000567/image_13ve5b41o13u37iu4fio2a142a/-FJPG/231850-002_DET_1.jpg;https://dd3ka9h4chfr8.cloudfront.net/image/725136000567/image_0g2g9t2o6l08v5242tptt5tj6g/-FJPG/231850-002_DET_3.jpg;https://dd3ka9h4chfr8.cloudfront.net/image/725136000567/image_rat2nsq9dt3051flssd7derc12/-FJPG/231850-002_OPN_1.jpg;https://dd3ka9h4chfr8.cloudfront.net/image/725136000567/image_n7dham5hot5u1c76l6l4sooc2k/-FJPG/231850-002_DET_4.jpg;https://dd3ka9h4chfr8.cloudfront.net/image/725136000567/image_nijhbubj7t3gh6o93hkc9jst68/-FJPG/231850-002_DET_5.jpg;https://dd3ka9h4chfr8.cloudfront.net/image/725136000567/image_m17t6k5sf55477ga4eejgrj839/-FJPG/231850-002_DET_6.jpg;https://dd3ka9h4chfr8.cloudfront.net/image/725136000567/image_oaual6vmut55h2mmop583spk0d/-FJPG/231850-002_DET_7.jpg;https://dd3ka9h4chfr8.cloudfront.net/image/725136000567/image_j46iga6mgl0lrbl2ksns4u0v30/-FJPG/231850-002_DET_8.jpg;https://dd3ka9h4chfr8.cloudfront.net/image/725136000567/image_svcr3q9b3d6dv8dnfrgda7063k/-FJPG/231850-002_ESS.tif</t>
  </si>
  <si>
    <t>231850-002</t>
  </si>
  <si>
    <t>206.13</t>
  </si>
  <si>
    <t>https://dd3ka9h4chfr8.cloudfront.net/image/725136000567/image_lfiopmkval7414nfogavgkq60b/-FJPG/231850-002_FRT_1.jpg</t>
  </si>
  <si>
    <t>Made from rustic-finished oak with a plinth-style base, clean angles and linear reeding define this midcentury-spirited sideboard. Fully finished interior for a beautiful look inside and out. Designed in partnership with longtime Four Hands collaborator Thomas Bina and Brazilian designer Ronald Sasson.</t>
  </si>
  <si>
    <t>{"value":242.51,"unit":"lb"}</t>
  </si>
  <si>
    <t>39.63"</t>
  </si>
  <si>
    <t>1.65"</t>
  </si>
  <si>
    <t>https://dd3ka9h4chfr8.cloudfront.net/image/725136000567/image_mumcmupo0h2i52220ntoh8mf55/-FJPG/231850-003_FRT_1.jpg;https://dd3ka9h4chfr8.cloudfront.net/image/725136000567/image_o85gbk27s1523bj7honlipco31/-FJPG/231850-003_PRM_1.jpg;https://dd3ka9h4chfr8.cloudfront.net/image/725136000567/image_fpfcekgr3d11dfmedktfibi31j/-FJPG/231850-003_SID_1.jpg;https://dd3ka9h4chfr8.cloudfront.net/image/725136000567/image_d1hnce4nul45n54qosnrslqj3f/-FJPG/231850-003_DET_2.jpg;https://dd3ka9h4chfr8.cloudfront.net/image/725136000567/image_an3qtf6cv52rpcv4e83pfd2325/-FJPG/231850-003_BCK_1.jpg;https://dd3ka9h4chfr8.cloudfront.net/image/725136000567/image_42uhot50u53mp3iaiqgg5ik240/-FJPG/231850-003_DET_1.jpg;https://dd3ka9h4chfr8.cloudfront.net/image/725136000567/image_omh6292p8d1a72rpmj6gli441m/-FJPG/231850-003_DET_3.jpg;https://dd3ka9h4chfr8.cloudfront.net/image/725136000567/image_vqr8daodc118l943j7j1138h6v/-FJPG/231850-003_OPN_1.jpg;https://dd3ka9h4chfr8.cloudfront.net/image/725136000567/image_o934qiljoh6khb05afjlh83079/-FJPG/231850-003_TOP_1.jpg;https://dd3ka9h4chfr8.cloudfront.net/image/725136000567/image_clelqag2q17jvdkquvtjsld36p/-FJPG/231850-003_DET_4.jpg;https://dd3ka9h4chfr8.cloudfront.net/image/725136000567/image_id138mdjjt28d8ugnphmr4ot5k/-FJPG/231850-003_DET_5.jpg;https://dd3ka9h4chfr8.cloudfront.net/image/725136000567/image_01lj3esjgl1jrdtc6bitmrrr61/-FJPG/231850-003_DET_6.jpg</t>
  </si>
  <si>
    <t>231850-003</t>
  </si>
  <si>
    <t>https://dd3ka9h4chfr8.cloudfront.net/image/725136000567/image_mumcmupo0h2i52220ntoh8mf55/-FJPG/231850-003_FRT_1.jpg</t>
  </si>
  <si>
    <t>Leonie Chair</t>
  </si>
  <si>
    <t>https://dd3ka9h4chfr8.cloudfront.net/image/725136000567/image_rge28sbe8p5n7chcffu1o35q5d/-FJPG/CKEN-23671-493_FRT_1.jpg;https://dd3ka9h4chfr8.cloudfront.net/image/725136000567/image_jc2hnta7qd1q9fcr1665hm590j/-FJPG/CKEN-23671-493_PRM_1.jpg;https://dd3ka9h4chfr8.cloudfront.net/image/725136000567/image_d9vrsqoopt5v1cokor5dhrba67/-FJPG/CKEN-23671-493_SID_1.jpg;https://dd3ka9h4chfr8.cloudfront.net/image/725136000567/image_5t6purt3jd6832e72k59e5c568/-FJPG/CKEN-23671-493_DET_2.jpg;https://dd3ka9h4chfr8.cloudfront.net/image/725136000567/image_kns3go1tb1179aqsbba9d0dr35/-FJPG/CKEN-23671-493_BCK_1.jpg;https://dd3ka9h4chfr8.cloudfront.net/image/725136000567/image_uta4jh485h32199im13thhv722/-FJPG/CKEN-23671-493_INF_1.jpg;https://dd3ka9h4chfr8.cloudfront.net/image/725136000567/image_56eda6imqd6d5ct8e6g19jqq5m/-FJPG/CKEN-23671-493_DET_1.jpg;https://dd3ka9h4chfr8.cloudfront.net/image/725136000567/image_qo4nrhreql3mbbgpgpdralt22b/-FJPG/CKEN-23671-493_DET_3.jpg;https://dd3ka9h4chfr8.cloudfront.net/image/725136000567/image_ahnl90u0910vpbd44ustal660i/-FJPG/CKEN-23671-493_DET_4.jpg;https://dd3ka9h4chfr8.cloudfront.net/image/725136000567/image_l8tt471h755dlep3895oqqi442/-FJPG/CKEN-23671-493_DET_5.jpg;https://dd3ka9h4chfr8.cloudfront.net/image/725136000567/image_6m8728k8j95516k69gvsomgi3l/-FJPG/CKEN-23671-493_DET_6.jpg;https://dd3ka9h4chfr8.cloudfront.net/image/725136000567/image_9gaavd64i51sj5ps8lr03svi7p/-FJPG/CKEN-23671-493_ROM_1.jpg</t>
  </si>
  <si>
    <t>CKEN-23671-493</t>
  </si>
  <si>
    <t>43.21</t>
  </si>
  <si>
    <t>https://dd3ka9h4chfr8.cloudfront.net/image/725136000567/image_rge28sbe8p5n7chcffu1o35q5d/-FJPG/CKEN-23671-493_FRT_1.jpg</t>
  </si>
  <si>
    <t>Boldly unique, lushly inviting. Low-styled seating is upholstered in a soothing off-white bouclé, for a textural take on armless styling. Natural, wire-brushed framing slants in all the right spots for angular allure.</t>
  </si>
  <si>
    <t>Complete Item, L-Shaped Box</t>
  </si>
  <si>
    <t>{"value":56.66,"unit":"lb"}</t>
  </si>
  <si>
    <t>Leonie</t>
  </si>
  <si>
    <t>Leya Sideboard</t>
  </si>
  <si>
    <t>https://dd3ka9h4chfr8.cloudfront.net/image/725136000567/image_t18v55avi93n1eqn6vo8388v2e/-FJPG/245738-001_FRT_1.jpg;https://dd3ka9h4chfr8.cloudfront.net/image/725136000567/image_9qo9tho0et3336m93h90eia86e/-FJPG/245738-001_PRM_1.jpg;https://dd3ka9h4chfr8.cloudfront.net/image/725136000567/image_d20019m0g94ute2cit6d38d44h/-FJPG/245738-001_SID_1.jpg;https://dd3ka9h4chfr8.cloudfront.net/image/725136000567/image_5btmgk92ft4kn6rsdcmsqt6438/-FJPG/245738-001_ESS_1.tif;https://dd3ka9h4chfr8.cloudfront.net/image/725136000567/image_tb93h202t947f7k7g8912g0j2i/-FJPG/245738-001_DET_2.jpg;https://dd3ka9h4chfr8.cloudfront.net/image/725136000567/image_itdocfnft177ra7ng2sji81n3s/-FJPG/245738-001_BCK_1.jpg;https://dd3ka9h4chfr8.cloudfront.net/image/725136000567/image_dkc52s7cll1nnes6tsr23l6u2s/-FJPG/245738-001_DET_1.jpg;https://dd3ka9h4chfr8.cloudfront.net/image/725136000567/image_edm5kj85kh1a79ck2p1pms8c2f/-FJPG/245738-001_DET_3.jpg;https://dd3ka9h4chfr8.cloudfront.net/image/725136000567/image_skf87mbfid5pb3ge1kgbfcji4k/-FJPG/245738-001_OPN_1.jpg;https://dd3ka9h4chfr8.cloudfront.net/image/725136000567/image_micrl4dc215jf8d5hr95gut61r/-FJPG/245738-001_TOP_1.jpg;https://dd3ka9h4chfr8.cloudfront.net/image/725136000567/image_vns6381nph73v28tc6pndtkv0k/-FJPG/245738-001_DET_4.jpg;https://dd3ka9h4chfr8.cloudfront.net/image/725136000567/image_2g5nci53tl5d158b5oromoj91i/-FJPG/245738-001_DET_5.jpg;https://dd3ka9h4chfr8.cloudfront.net/image/725136000567/image_ck4d6k7gip03v9q3leeoh6e96q/-FJPG/245738-001_DET_6.jpg;https://dd3ka9h4chfr8.cloudfront.net/image/725136000567/image_jad3k62hjp31dbok8foaglka63/-FJPG/FHMPRJ-018_SCENE-3.tif</t>
  </si>
  <si>
    <t>245738-001</t>
  </si>
  <si>
    <t>240.3</t>
  </si>
  <si>
    <t>https://dd3ka9h4chfr8.cloudfront.net/image/725136000567/image_t18v55avi93n1eqn6vo8388v2e/-FJPG/245738-001_FRT_1.jpg</t>
  </si>
  <si>
    <t>A break-front sideboard of weathered oak shapes a rounded profile for a natural and polished look. Simple aged bronzed hardware adds an understated touch to the wide cabinet doors, while a simple plinth emphasizes the dramatic scale of the stacked storage space.</t>
  </si>
  <si>
    <t>{"value":89.37,"unit":"in"}</t>
  </si>
  <si>
    <t>{"value":308.65,"unit":"lb"}</t>
  </si>
  <si>
    <t>Leya</t>
  </si>
  <si>
    <t>27.09"</t>
  </si>
  <si>
    <t>12.28"</t>
  </si>
  <si>
    <t>Lia Bed</t>
  </si>
  <si>
    <t>https://dd3ka9h4chfr8.cloudfront.net/image/725136000567/image_6l79brfmtt3mhad0fja0jvnv3q/-FJPG/242174-001_FRT_1.jpg;https://dd3ka9h4chfr8.cloudfront.net/image/725136000567/image_5brv89mkm954718pukomsq0j3p/-FJPG/242174-001_PRM_1.jpg;https://dd3ka9h4chfr8.cloudfront.net/image/725136000567/image_ctaqea7e3d58p1sd6jslp12a6j/-FJPG/242174-001_SID_1.jpg;https://dd3ka9h4chfr8.cloudfront.net/image/725136000567/image_r8eqls688l4ob1vgtahngtd20h/-FJPG/242174-001_ESS_1.tif;https://dd3ka9h4chfr8.cloudfront.net/image/725136000567/image_ql59sbutah6sh7d8amlu283712/-FJPG/242174-001_DET_2.jpg;https://dd3ka9h4chfr8.cloudfront.net/image/725136000567/image_uoka4er6kt4j73p7r2rqbrhd4d/-FJPG/242174-001_BCK_1.jpg;https://dd3ka9h4chfr8.cloudfront.net/image/725136000567/image_db9o9u3kb179n2o1h0irfu4m2p/-FJPG/242174-001_DET_1.jpg;https://dd3ka9h4chfr8.cloudfront.net/image/725136000567/image_8ij259fs615or5fuue97mr292i/-FJPG/242174-001_DET_3.jpg;https://dd3ka9h4chfr8.cloudfront.net/image/725136000567/image_085tkqkb317mj6m705ug0e231e/-FJPG/242174-001_DET_4.jpg;https://dd3ka9h4chfr8.cloudfront.net/image/725136000567/image_p7bpe2mipl1uh9sdajp2rta97s/-FJPG/242174-001_DET_5.jpg;https://dd3ka9h4chfr8.cloudfront.net/image/725136000567/image_3vn33odkbt65t439v7b62f3q1o/-FJPG/242174-001_DET_6.jpg</t>
  </si>
  <si>
    <t>242174-001</t>
  </si>
  <si>
    <t>https://dd3ka9h4chfr8.cloudfront.net/image/725136000567/image_6l79brfmtt3mhad0fja0jvnv3q/-FJPG/242174-001_FRT_1.jpg</t>
  </si>
  <si>
    <t>["Solid Reclaimed Oak"]</t>
  </si>
  <si>
    <t>43.25</t>
  </si>
  <si>
    <t>{"value":43.25,"unit":"in"}</t>
  </si>
  <si>
    <t>Designed by Thomas Bina and Ronald Sasson, a design partnership blending both modern minimalist and Brazilian influences. Crafted from natural reclaimed French oak, this clean-lined bed frame features large, exposed joint details and beautiful horizontal graining throughout.</t>
  </si>
  <si>
    <t>{"value":74.8,"unit":"in"}</t>
  </si>
  <si>
    <t>{"value":7.48,"unit":"in"}</t>
  </si>
  <si>
    <t>{"value":49.21,"unit":"in"}</t>
  </si>
  <si>
    <t>Fb/Slat/Sr</t>
  </si>
  <si>
    <t>{"value":93.31,"unit":"in"}</t>
  </si>
  <si>
    <t>{"value":271.17,"unit":"lb"}</t>
  </si>
  <si>
    <t>Lia</t>
  </si>
  <si>
    <t>19.06"</t>
  </si>
  <si>
    <t>68.94"</t>
  </si>
  <si>
    <t>43.31"</t>
  </si>
  <si>
    <t>61.06"</t>
  </si>
  <si>
    <t>8.74"</t>
  </si>
  <si>
    <t>88.39"</t>
  </si>
  <si>
    <t>77.52"</t>
  </si>
  <si>
    <t>58.07"</t>
  </si>
  <si>
    <t>https://dd3ka9h4chfr8.cloudfront.net/image/725136000567/image_k5u8mualpp1mrb63k31f9knp71/-FJPG/242174-002_FRT_1.jpg;https://dd3ka9h4chfr8.cloudfront.net/image/725136000567/image_hg7io3klkp22fck9efvqldgl71/-FJPG/242174-002_PRM_1.jpg;https://dd3ka9h4chfr8.cloudfront.net/image/725136000567/image_v1sl7dij015958hikq6jm48j1h/-FJPG/242174-002_SID_1.jpg;https://dd3ka9h4chfr8.cloudfront.net/image/725136000567/image_o353qc4mkt1hlch3v4hut0ld4j/-FJPG/242174-002_ESS_1.tif;https://dd3ka9h4chfr8.cloudfront.net/image/725136000567/image_r8eqls688l4ob1vgtahngtd20h/-FJPG/242174-001_ESS_1.tif;https://dd3ka9h4chfr8.cloudfront.net/image/725136000567/image_g1eiqj0q5556v24ss0o2sddd0p/-FJPG/242174-002_DET_2.jpg;https://dd3ka9h4chfr8.cloudfront.net/image/725136000567/image_vc1o5eglpl3ol4aba1p87v9k09/-FJPG/242174-002_BCK_1.jpg;https://dd3ka9h4chfr8.cloudfront.net/image/725136000567/image_tr3i99ffo55i930pe3o44di614/-FJPG/242174-002_DET_1.jpg;https://dd3ka9h4chfr8.cloudfront.net/image/725136000567/image_g22m81g3id74b6595hjijpvp5l/-FJPG/242174-002_DET_3.jpg;https://dd3ka9h4chfr8.cloudfront.net/image/725136000567/image_va2jhsb0p1501ebp37o47d215c/-FJPG/242174-002_DET_4.jpg;https://dd3ka9h4chfr8.cloudfront.net/image/725136000567/image_hndaeomn8t0fv7f84vbghe7g09/-FJPG/242174-002_DET_5.jpg;https://dd3ka9h4chfr8.cloudfront.net/image/725136000567/image_pl3muqui2l3nv0d0qeroqsd378/-FJPG/242174-002_DET_6.jpg</t>
  </si>
  <si>
    <t>242174-002</t>
  </si>
  <si>
    <t>507.06</t>
  </si>
  <si>
    <t>https://dd3ka9h4chfr8.cloudfront.net/image/725136000567/image_k5u8mualpp1mrb63k31f9knp71/-FJPG/242174-002_FRT_1.jpg</t>
  </si>
  <si>
    <t>{"value":17.13,"unit":"in"}</t>
  </si>
  <si>
    <t>84.96"</t>
  </si>
  <si>
    <t>Liad Coffee Table</t>
  </si>
  <si>
    <t>https://dd3ka9h4chfr8.cloudfront.net/image/725136000567/image_gp4assqhpl50t2nec6c0k68q24/-FJPG/229608-001_PRM_1.jpg;https://dd3ka9h4chfr8.cloudfront.net/image/725136000567/image_6ime6q3kch73vf1qblh4r7g95g/-FJPG/229608-001_SID_1.jpg;https://dd3ka9h4chfr8.cloudfront.net/image/725136000567/image_mrcdugdo755158ertmtst5lm2c/-FJPG/229608-001_ESS_1.jpg;https://dd3ka9h4chfr8.cloudfront.net/image/725136000567/image_t3t15nko1l56hd9hqf5slrnd1n/-FJPG/229608-001_DET_2.jpg;https://dd3ka9h4chfr8.cloudfront.net/image/725136000567/image_huo56si2f54d15d6i8jefp9r3f/-FJPG/229608-001_DET_1.jpg;https://dd3ka9h4chfr8.cloudfront.net/image/725136000567/image_mg54nfd0ah6vld9c1a99b9vd4r/-FJPG/229608-001_DET_3.jpg;https://dd3ka9h4chfr8.cloudfront.net/image/725136000567/image_vdr3rh07dt32n091a56josvf0b/-FJPG/229608-001_TOP_1.jpg;https://dd3ka9h4chfr8.cloudfront.net/image/725136000567/image_5ls98q1gop1f5ba18uk14l7u7e/-FJPG/229608-001_DET_4.jpg;https://dd3ka9h4chfr8.cloudfront.net/image/725136000567/image_c59qsdd3fd5sn9njafe5h8n82k/-FJPG/229608-001_DET_5.jpg;https://dd3ka9h4chfr8.cloudfront.net/image/725136000567/image_85550la4e95ile76qd6v2irv69/-FJPG/229608-001_DET_6.jpg</t>
  </si>
  <si>
    <t>Natural Nettlewood</t>
  </si>
  <si>
    <t>229608-001</t>
  </si>
  <si>
    <t>78.04</t>
  </si>
  <si>
    <t>https://dd3ka9h4chfr8.cloudfront.net/image/725136000567/image_gp4assqhpl50t2nec6c0k68q24/-FJPG/229608-001_PRM_1.jpg</t>
  </si>
  <si>
    <t>["Solid Nettlewood"]</t>
  </si>
  <si>
    <t>Made from solid natural nettlewood, an open cross-style base supports a thick, rounded tabletop finished with a soft hand.</t>
  </si>
  <si>
    <t>{"value":42.72,"unit":"in"}</t>
  </si>
  <si>
    <t>{"value":4.72,"unit":"in"}</t>
  </si>
  <si>
    <t>{"value":35.27,"unit":"lb"}</t>
  </si>
  <si>
    <t>Liad</t>
  </si>
  <si>
    <t>13.19"</t>
  </si>
  <si>
    <t>Lincoln Sleeper Sofa</t>
  </si>
  <si>
    <t>https://dd3ka9h4chfr8.cloudfront.net/image/725136000567/image_190o88ruot2o59l4rt00c0ag0t/-FJPG/241279-005_FRT_1.jpg;https://dd3ka9h4chfr8.cloudfront.net/image/725136000567/image_kjl6j8qnod4of0mdqf6rvru92h/-FJPG/241279-005_PRM_1.jpg;https://dd3ka9h4chfr8.cloudfront.net/image/725136000567/image_gvsd1lrd0l2gfcp4ehfhvn1t70/-FJPG/241279-005_SID_1.jpg;https://dd3ka9h4chfr8.cloudfront.net/image/725136000567/image_5vsk8o4fl95r7df5tca15cfb32/-FJPG/241279-005_ESS.tif;https://dd3ka9h4chfr8.cloudfront.net/image/725136000567/image_j1eu0vg8np0of0o5v9a1sn9q51/-FJPG/241279-005_DET_2.jpg;https://dd3ka9h4chfr8.cloudfront.net/image/725136000567/image_1n7viasfk14kf5q4mqgvo3ka1s/-FJPG/241279-005_BCK_1.jpg;https://dd3ka9h4chfr8.cloudfront.net/image/725136000567/image_11g8gh7q9p1ubc1qvo26mmbn0j/-FJPG/241279-005_DET_1.jpg;https://dd3ka9h4chfr8.cloudfront.net/image/725136000567/image_7rf71t4ck90hl4uecnqofnbl4e/-FJPG/241279-005_DET_3.jpg;https://dd3ka9h4chfr8.cloudfront.net/image/725136000567/image_h0bd2515d51eh5gl1787jbk656/-FJPG/241279-005_OPN_1.jpg;https://dd3ka9h4chfr8.cloudfront.net/image/725136000567/image_p86ol150r50u39g6hm2i8llm6t/-FJPG/241279-005_DET_4.jpg;https://dd3ka9h4chfr8.cloudfront.net/image/725136000567/image_8bfc3igdcl13be5ooi35dieh5j/-FJPG/241279-005_DET_5.jpg;https://dd3ka9h4chfr8.cloudfront.net/image/725136000567/image_h3n9380v9p6cnelln4s60p0a3f/-FJPG/241279-005_DET_6.jpg;https://dd3ka9h4chfr8.cloudfront.net/image/725136000567/image_mprjm80lbd2lv2t3fvbjl46u6l/-FJPG/241279-005_DET_7.jpg;https://dd3ka9h4chfr8.cloudfront.net/image/725136000567/image_rlmbipl6ld5rf50sjfnmian77j/-FJPG/241279-005_DET_8.jpg;https://dd3ka9h4chfr8.cloudfront.net/image/725136000567/image_959ecj5cid6tp0krr78e1tbn5d/-FJPG/241279-005_DET_9.jpg;https://dd3ka9h4chfr8.cloudfront.net/image/725136000567/image_ahffgo64494ct0inf4400pjq5g/-FJPG/241279-005_DET_10.jpg;https://dd3ka9h4chfr8.cloudfront.net/image/725136000567/image_h08qoh2j2p0v3e0mrvdk33pk5n/-FJPG/241279-005_ESS_2.tif</t>
  </si>
  <si>
    <t>Savoy Parchment</t>
  </si>
  <si>
    <t>241279-005</t>
  </si>
  <si>
    <t>240</t>
  </si>
  <si>
    <t>https://dd3ka9h4chfr8.cloudfront.net/image/725136000567/image_190o88ruot2o59l4rt00c0ag0t/-FJPG/241279-005_FRT_1.jpg</t>
  </si>
  <si>
    <t>["54% Polyester","36% Viscose (Rayon)","10% Flax/Linen","Solid Ash"]</t>
  </si>
  <si>
    <t>Montclair</t>
  </si>
  <si>
    <t>Warm Ash</t>
  </si>
  <si>
    <t>This cleverly designed sleeper sofa hides a Queen-sized sleeping surface within its modern silhouette. With a simple roll-out and counterbalanced mechanism, it effortlessly transforms into a bed, making it a space-saving solution with hidden functionality. When unfolded, the cushions form a comfortable bed, perfect for overnight guests or movie nights â€” no extra mattress necessary.</t>
  </si>
  <si>
    <t>1 Sofa Bed</t>
  </si>
  <si>
    <t>{"value":252,"unit":"lb"}</t>
  </si>
  <si>
    <t>Lincoln</t>
  </si>
  <si>
    <t>80.75"</t>
  </si>
  <si>
    <t>Lincoln Sofa</t>
  </si>
  <si>
    <t>https://dd3ka9h4chfr8.cloudfront.net/image/725136000567/image_jq546r3s7d7dp4ldbnjkbglb25/-FJPG/249260-003_FRT_1.jpg;https://dd3ka9h4chfr8.cloudfront.net/image/725136000567/image_pf31mj7h2947f02cj95jdvhk7a/-FJPG/249260-003_PRM_1.jpg;https://dd3ka9h4chfr8.cloudfront.net/image/725136000567/image_slt6o4o7up4eh7senuchhqmq5n/-FJPG/249260-003_SID_1.jpg;https://dd3ka9h4chfr8.cloudfront.net/image/725136000567/image_jp9akuca4l0tl1c6l55440mj6t/-FJPG/249260-003_ESS.tif;https://dd3ka9h4chfr8.cloudfront.net/image/725136000567/image_sumqonjpo57qfaqs7n1fhcia4j/-FJPG/249260-003_DET_2.jpg;https://dd3ka9h4chfr8.cloudfront.net/image/725136000567/image_puru4lbupt0nr5eafep9i88j0r/-FJPG/249260-003_BCK_1.jpg;https://dd3ka9h4chfr8.cloudfront.net/image/725136000567/image_hgho8bepqh1qt4nt7pd5mnf54r/-FJPG/249260-003_DET_1.jpg;https://dd3ka9h4chfr8.cloudfront.net/image/725136000567/image_7ulj1kec5d5u7dlmiitfn3343f/-FJPG/249260-003_DET_3.jpg;https://dd3ka9h4chfr8.cloudfront.net/image/725136000567/image_4j4pdudn2d04jf32uaki390p5f/-FJPG/249260-003_DET_4.jpg;https://dd3ka9h4chfr8.cloudfront.net/image/725136000567/image_g0og2pnq451u58vpifeh5lc83j/-FJPG/249260-003_DET_9.tif</t>
  </si>
  <si>
    <t>249260-003</t>
  </si>
  <si>
    <t>166</t>
  </si>
  <si>
    <t>https://dd3ka9h4chfr8.cloudfront.net/image/725136000567/image_jq546r3s7d7dp4ldbnjkbglb25/-FJPG/249260-003_FRT_1.jpg</t>
  </si>
  <si>
    <t>With its sleek profile and clean lines, this sofa is designed for effortless comfort and everyday lounging. Thin track arms and loose arm pillows bring a tailored, modern feel, while supportive cushions and S-spring suspension ensure itâ€™s as inviting as it is versatile.</t>
  </si>
  <si>
    <t>{"value":178,"unit":"lb"}</t>
  </si>
  <si>
    <t>Live Edge Sideboard</t>
  </si>
  <si>
    <t>https://dd3ka9h4chfr8.cloudfront.net/image/725136000567/image_pumrpr2fbt5at8ki92teje7u4g/-FJPG/UWES-150_FRT_1.jpg;https://dd3ka9h4chfr8.cloudfront.net/image/725136000567/image_0eue6dnie91s1eotn4d0cbhl14/-FJPG/UWES-150_PRM_1.jpg;https://dd3ka9h4chfr8.cloudfront.net/image/725136000567/image_vokphlitn11md2rdbtco6bif7g/-FJPG/UWES-150_SID_1.jpg;https://dd3ka9h4chfr8.cloudfront.net/image/725136000567/image_aa7j59vv0h7clb4his0su01m3l/-FJPG/UWES-150_DET_2.jpg;https://dd3ka9h4chfr8.cloudfront.net/image/725136000567/image_3eab6lqvcl3i3f8tf1ih4jb870/-FJPG/UWES-150_DET_1.jpg;https://dd3ka9h4chfr8.cloudfront.net/image/725136000567/image_5l6usv8spd2of3d7l9hvpsnd1o/-FJPG/UWES-150_DET_3.jpg;https://dd3ka9h4chfr8.cloudfront.net/image/725136000567/image_j541v5at0t72h420pkesnln638/-FJPG/UWES-150_OPN_1.jpg;https://dd3ka9h4chfr8.cloudfront.net/image/725136000567/image_hq5s6js9dd6h9amous89hffn57/-FJPG/UWES-150_DET_4.jpg;https://dd3ka9h4chfr8.cloudfront.net/image/725136000567/image_dsafp8og215bncvfr9fqh0h96v/-FJPG/UWES-150_DET_5.jpg;https://dd3ka9h4chfr8.cloudfront.net/image/725136000567/image_ujku13m1at4sjc1ttfg388cl19/-FJPG/UWES-150_ROM_1.jpg;https://dd3ka9h4chfr8.cloudfront.net/image/725136000567/image_mtd16piadh1359lceiqvpq937l/-FJPG/UWES-150_ROM_2.jpg</t>
  </si>
  <si>
    <t>Smoked Saman</t>
  </si>
  <si>
    <t>UWES-150</t>
  </si>
  <si>
    <t>https://dd3ka9h4chfr8.cloudfront.net/image/725136000567/image_pumrpr2fbt5at8ki92teje7u4g/-FJPG/UWES-150_FRT_1.jpg</t>
  </si>
  <si>
    <t>["Thick Saman Veneer","Iron"]</t>
  </si>
  <si>
    <t>Rich materials deliver depth to simple shaping. Smoked saman features live edge detail, adding a unique design-forward touch to streamlined shaping. Slim legs are finished in bronzed iron to achieve a fresh, fluid look.</t>
  </si>
  <si>
    <t>{"value":77.56,"unit":"in"}</t>
  </si>
  <si>
    <t>{"value":212.3,"unit":"lb"}</t>
  </si>
  <si>
    <t>Live Edge</t>
  </si>
  <si>
    <t>23.63"</t>
  </si>
  <si>
    <t>33.96"</t>
  </si>
  <si>
    <t>Liza Bed</t>
  </si>
  <si>
    <t>https://dd3ka9h4chfr8.cloudfront.net/image/725136000567/image_1iag8t76h961r7hn9podq0k34q/-FJPG/228437-001_FRT_1.jpg;https://dd3ka9h4chfr8.cloudfront.net/image/725136000567/image_4frlvpe33t4lt3fjiec09mpb3m/-FJPG/228437-001_PRM_1.jpg;https://dd3ka9h4chfr8.cloudfront.net/image/725136000567/image_704nk0ncup2gf4h68nc7tmhh47/-FJPG/228437-001_SID_1.jpg;https://dd3ka9h4chfr8.cloudfront.net/image/725136000567/image_t505d4pp596jj1enhk9e0u9i38/-FJPG/228437-001_ESS_1.jpg;https://dd3ka9h4chfr8.cloudfront.net/image/725136000567/image_tpeecu53qh7rne9fnjt8cvf25g/-FJPG/228437-001_DET_2.jpg;https://dd3ka9h4chfr8.cloudfront.net/image/725136000567/image_v8q8htbq9p3fv2jc7j4dnbna4e/-FJPG/228437-001_BCK_1.jpg;https://dd3ka9h4chfr8.cloudfront.net/image/725136000567/image_ibm2f3chvd2g54aqmlm3l0f51c/-FJPG/228437-001_DET_1.jpg;https://dd3ka9h4chfr8.cloudfront.net/image/725136000567/image_e8lil6v2td71je0smrkvu35h5s/-FJPG/228437-001_DET_3.jpg;https://dd3ka9h4chfr8.cloudfront.net/image/725136000567/image_fhr4hf5gld6cf7g92g8t4rte5c/-FJPG/228437-001_DET_4.jpg;https://dd3ka9h4chfr8.cloudfront.net/image/725136000567/image_f89aad276t5ul5dna8sqqmg974/-FJPG/228437-001_DET_5.jpg;https://dd3ka9h4chfr8.cloudfront.net/image/725136000567/image_alf1blsh656jhbvq9peftmpj0j/-FJPG/228437-001_DET_6.jpg;https://dd3ka9h4chfr8.cloudfront.net/image/725136000567/image_2le9ajrp85543crf5rj981db3n/-FJPG/228437-001_DET_7.jpg;https://dd3ka9h4chfr8.cloudfront.net/image/725136000567/image_8vv5bs7st9335d4g2tdf16bc20/-FJPG/228437-001_SID_2.jpg;https://dd3ka9h4chfr8.cloudfront.net/image/725136000567/image_dl8ln6c8kh23hdh2b5jkqd0k23/-FJPG/228437-001_PRM_2.jpg;https://dd3ka9h4chfr8.cloudfront.net/image/725136000567/image_qjgtk9n6s179v89g39ahp5462f/-FJPG/228437-001_FRT_2.jpg</t>
  </si>
  <si>
    <t>228437-001</t>
  </si>
  <si>
    <t>195.11</t>
  </si>
  <si>
    <t>https://dd3ka9h4chfr8.cloudfront.net/image/725136000567/image_1iag8t76h961r7hn9podq0k34q/-FJPG/228437-001_FRT_1.jpg</t>
  </si>
  <si>
    <t>["100% Polyethylene","Solid Sungkai"]</t>
  </si>
  <si>
    <t>64.5</t>
  </si>
  <si>
    <t>{"value":64.5,"unit":"in"}</t>
  </si>
  <si>
    <t>Grass Roots</t>
  </si>
  <si>
    <t>Toasted Sungkai</t>
  </si>
  <si>
    <t>Mixed materials play up the Safari-style inspiration of this beautifully balanced bed. Framed in solid sungkai wood and woven with durable faux rattan for long-lasting appeal.</t>
  </si>
  <si>
    <t>Sideralis &amp; Slats</t>
  </si>
  <si>
    <t>{"value":158.07,"unit":"lb"}</t>
  </si>
  <si>
    <t>Headboard &amp; Footboard</t>
  </si>
  <si>
    <t>{"value":10.24,"unit":"in"}</t>
  </si>
  <si>
    <t>{"value":102.73,"unit":"lb"}</t>
  </si>
  <si>
    <t>Liza</t>
  </si>
  <si>
    <t>Woven</t>
  </si>
  <si>
    <t>https://dd3ka9h4chfr8.cloudfront.net/image/725136000567/image_o0km8gnglh55b3k4raem39im0o/-FJPG/228437-002_FRT_1.jpg;https://dd3ka9h4chfr8.cloudfront.net/image/725136000567/image_qba061vj594at15j1se4l9bm0a/-FJPG/228437-002_PRM_1.jpg;https://dd3ka9h4chfr8.cloudfront.net/image/725136000567/image_37hpu6otrl5bh4nqmpm8mpgf4v/-FJPG/228437-002_SID_1.jpg;https://dd3ka9h4chfr8.cloudfront.net/image/725136000567/image_t505d4pp596jj1enhk9e0u9i38/-FJPG/228437-001_ESS_1.jpg;https://dd3ka9h4chfr8.cloudfront.net/image/725136000567/image_9fo1o0q6fp29d46n6c3ta6ls4j/-FJPG/228437-002_DET_2.jpg;https://dd3ka9h4chfr8.cloudfront.net/image/725136000567/image_dmo0cdmrsp4franpi7c2i4jo7u/-FJPG/228437-002_BCK_1.jpg;https://dd3ka9h4chfr8.cloudfront.net/image/725136000567/image_us9qdnrell6ip6euk98c25iq11/-FJPG/228437-002_DET_1.jpg;https://dd3ka9h4chfr8.cloudfront.net/image/725136000567/image_jltddhsrvl3lvdrnvkvbej174t/-FJPG/228437-002_DET_3.jpg;https://dd3ka9h4chfr8.cloudfront.net/image/725136000567/image_j1m1f9na3547pf0km6pnlleh0t/-FJPG/228437-002_DET_4.jpg;https://dd3ka9h4chfr8.cloudfront.net/image/725136000567/image_7ptobqpbrd3u53b8b5j002rv2c/-FJPG/228437-002_DET_5.jpg;https://dd3ka9h4chfr8.cloudfront.net/image/725136000567/image_nral31o7vl76f8mkr0dt5lof1j/-FJPG/228437-002_DET_6.jpg;https://dd3ka9h4chfr8.cloudfront.net/image/725136000567/image_tipft7t8ph7if78mj6l8dp917n/-FJPG/228437-002_DET_7.jpg;https://dd3ka9h4chfr8.cloudfront.net/image/725136000567/image_0nj8mrcfbt1hdd5k31cao4fb0d/-FJPG/228437-002_PRM_2.jpg;https://dd3ka9h4chfr8.cloudfront.net/image/725136000567/image_hjb5bec06t3tr6onh9q0utcu1r/-FJPG/228437-002_SID_2.jpg;https://dd3ka9h4chfr8.cloudfront.net/image/725136000567/image_74m6r9k98p6frb3bhkpoifn006/-FJPG/228437-002_FRT_2.jpg</t>
  </si>
  <si>
    <t>228437-002</t>
  </si>
  <si>
    <t>207.45</t>
  </si>
  <si>
    <t>https://dd3ka9h4chfr8.cloudfront.net/image/725136000567/image_o0km8gnglh55b3k4raem39im0o/-FJPG/228437-002_FRT_1.jpg</t>
  </si>
  <si>
    <t>80.5</t>
  </si>
  <si>
    <t>{"value":80.5,"unit":"in"}</t>
  </si>
  <si>
    <t>{"value":89.5,"unit":"in"}</t>
  </si>
  <si>
    <t>{"value":14.75,"unit":"in"}</t>
  </si>
  <si>
    <t>{"value":154.87,"unit":"lb"}</t>
  </si>
  <si>
    <t>{"value":86.75,"unit":"in"}</t>
  </si>
  <si>
    <t>{"value":11.5,"unit":"in"}</t>
  </si>
  <si>
    <t>{"value":60.75,"unit":"in"}</t>
  </si>
  <si>
    <t>{"value":122.91,"unit":"lb"}</t>
  </si>
  <si>
    <t>Louise Accent Stool</t>
  </si>
  <si>
    <t>https://dd3ka9h4chfr8.cloudfront.net/image/725136000567/image_ba73gikhcp67n6bv0j1k6v7e39/-FJPG/241017-001_FRT_1.jpg;https://dd3ka9h4chfr8.cloudfront.net/image/725136000567/image_bdj0ll4ljl5c74ac2u2lvc9h75/-FJPG/241017-001_PRM_1.jpg;https://dd3ka9h4chfr8.cloudfront.net/image/725136000567/image_vt7vnopngt587dtn5ika7ndl77/-FJPG/241017-001_SID_1.jpg;https://dd3ka9h4chfr8.cloudfront.net/image/725136000567/image_4vp704fe2p1vvf5qj6i7hn0s4d/-FJPG/241017-001_ESS.tif;https://dd3ka9h4chfr8.cloudfront.net/image/725136000567/image_20h01dv04h79l03c4l7sh5hc13/-FJPG/241017-001_DET_2.jpg;https://dd3ka9h4chfr8.cloudfront.net/image/725136000567/image_br9uka7bq15cva15tpuo5lb346/-FJPG/241017-001_DET_1.jpg;https://dd3ka9h4chfr8.cloudfront.net/image/725136000567/image_1ohsppnrb132740cntq83ne273/-FJPG/241017-001_DET_3.jpg;https://dd3ka9h4chfr8.cloudfront.net/image/725136000567/image_12i3qjlp7d7bj09j45o1vh1034/-FJPG/241017-001_DET_9.tif</t>
  </si>
  <si>
    <t>Ostend Natural</t>
  </si>
  <si>
    <t>241017-001</t>
  </si>
  <si>
    <t>https://dd3ka9h4chfr8.cloudfront.net/image/725136000567/image_ba73gikhcp67n6bv0j1k6v7e39/-FJPG/241017-001_FRT_1.jpg</t>
  </si>
  <si>
    <t>["58% Flax/Linen","35% Acrylic","7% Polyester","Oak Veneer"]</t>
  </si>
  <si>
    <t>Light Smoked Oak Veneer</t>
  </si>
  <si>
    <t>A simple, charming stool with natural oak wood veneer finish and textured neutral fabric seat. Tapered legs add subtle character.</t>
  </si>
  <si>
    <t>{"value":29.76,"unit":"lb"}</t>
  </si>
  <si>
    <t>Louise</t>
  </si>
  <si>
    <t>Luna Chaise</t>
  </si>
  <si>
    <t>https://dd3ka9h4chfr8.cloudfront.net/image/725136000567/image_2aeo49qg7518dc4o0gouebv60m/-FJPG/CGRY-02407-867P_FRT_1.jpg;https://dd3ka9h4chfr8.cloudfront.net/image/725136000567/image_n2kn7rcop10j3236qhotuike4v/-FJPG/CGRY-02407-867P_PRM_1.jpg;https://dd3ka9h4chfr8.cloudfront.net/image/725136000567/image_j93mjca3dt2rnc3eij811f1e0s/-FJPG/CGRY-02407-867P_SID_1.jpg;https://dd3ka9h4chfr8.cloudfront.net/image/725136000567/image_jsagm0aqf54f5a2t72sj48l129/-FJPG/CGRY-02407-867P_ESS_1.jpg;https://dd3ka9h4chfr8.cloudfront.net/image/725136000567/image_lks5j6o9ll1lp86ki92ajilj41/-FJPG/105774-002_ESS_1.jpg;https://dd3ka9h4chfr8.cloudfront.net/image/725136000567/image_4u44smubnd5id345pjsgvun50v/-FJPG/CGRY-02407-867P_DET_2.jpg;https://dd3ka9h4chfr8.cloudfront.net/image/725136000567/image_5a77uurp6t46dau2qpm7m8982h/-FJPG/CGRY-02407-867P_BCK_1.jpg;https://dd3ka9h4chfr8.cloudfront.net/image/725136000567/image_8k610kpgo17kf7pkobhonmna11/-FJPG/CGRY-02407-867P_INF_1.jpg;https://dd3ka9h4chfr8.cloudfront.net/image/725136000567/image_l7te9rv6l979l86jpqcf7iiq6p/-FJPG/CGRY-02407-867P_DET_1.jpg;https://dd3ka9h4chfr8.cloudfront.net/image/725136000567/image_5pnu3c9q3h01105a73hbivsk7l/-FJPG/CGRY-02407-867P_DET_3.jpg;https://dd3ka9h4chfr8.cloudfront.net/image/725136000567/image_r303t04lcp66j6b0ht9t9np265/-FJPG/CGRY-02407-867P_DET_4.jpg;https://dd3ka9h4chfr8.cloudfront.net/image/725136000567/image_9fsar8en6t33n9sdr6pvpja206/-FJPG/CGRY-02407-867P_DET_5.jpg;https://dd3ka9h4chfr8.cloudfront.net/image/725136000567/image_bes8hluldl1eb3611n2k2sld65/-FJPG/CGRY-02407-867P_DET_6.jpg</t>
  </si>
  <si>
    <t>Capri Oatmeal</t>
  </si>
  <si>
    <t>CGRY-02407-867P</t>
  </si>
  <si>
    <t>70.55</t>
  </si>
  <si>
    <t>https://dd3ka9h4chfr8.cloudfront.net/image/725136000567/image_2aeo49qg7518dc4o0gouebv60m/-FJPG/CGRY-02407-867P_FRT_1.jpg</t>
  </si>
  <si>
    <t>Inspired by Italian design. Four Hands-exclusive high-performance boucle strikes a sultry S shape, with cone-tapered brown oak legs adding to this sculptural chaiseâ€™s classic look. Dual pillows measure 17â€_x009d_ x 6â€_x009d_ x 17â€_x009d_.</t>
  </si>
  <si>
    <t>Luna</t>
  </si>
  <si>
    <t>59.00"</t>
  </si>
  <si>
    <t>Lunas Sideboard</t>
  </si>
  <si>
    <t>https://dd3ka9h4chfr8.cloudfront.net/image/725136000567/image_8q7rhs981l40n1bbt4e6cdl126/-FJPG/104250-002_FRT_1.jpg;https://dd3ka9h4chfr8.cloudfront.net/image/725136000567/image_v6g06a60o90i18qpblqs10nq4e/-FJPG/104250-002_PRM_1.jpg;https://dd3ka9h4chfr8.cloudfront.net/image/725136000567/image_56seotdljp5n1235qk67ontc5n/-FJPG/104250-002_SID_1.jpg;https://dd3ka9h4chfr8.cloudfront.net/image/725136000567/image_l0332hvoc556hajod5sd2ple0p/-FJPG/104250-002_ESS_1.jpg;https://dd3ka9h4chfr8.cloudfront.net/image/725136000567/image_kokhakkfj14qpfgp3dmm4ior4i/-FJPG/104250-002_DET_2.jpg;https://dd3ka9h4chfr8.cloudfront.net/image/725136000567/image_1lkg7ab6fp2ejb7ibrp085oi2c/-FJPG/104250-002_BCK_1.jpg;https://dd3ka9h4chfr8.cloudfront.net/image/725136000567/image_g60kkm3p9p2i54jgifbimk056l/-FJPG/104250-002_DET_1.jpg;https://dd3ka9h4chfr8.cloudfront.net/image/725136000567/image_npcst0sas56dt867a6nr864t0e/-FJPG/104250-002_DET_3.jpg;https://dd3ka9h4chfr8.cloudfront.net/image/725136000567/image_plm7tipdd14uj1uauchfaklr1j/-FJPG/104250-002_OPN_1.jpg;https://dd3ka9h4chfr8.cloudfront.net/image/725136000567/image_v3dm6nfju1755b1v0nnop7ro4s/-FJPG/104250-002_DET_4.jpg</t>
  </si>
  <si>
    <t>Caramel Guanacaste</t>
  </si>
  <si>
    <t>104250-002</t>
  </si>
  <si>
    <t>158.51</t>
  </si>
  <si>
    <t>https://dd3ka9h4chfr8.cloudfront.net/image/725136000567/image_8q7rhs981l40n1bbt4e6cdl126/-FJPG/104250-002_FRT_1.jpg</t>
  </si>
  <si>
    <t>["Thick Guanacaste Veneer","Iron"]</t>
  </si>
  <si>
    <t>With soft shaping and inset top inspired by classic jewelry setting, caramel-finished Guanacaste forms a beautifully sculpted silhouette, with natural high and lowlights coursing the entirety of this richly styled sideboard.</t>
  </si>
  <si>
    <t>{"value":82.48,"unit":"in"}</t>
  </si>
  <si>
    <t>{"value":23.98,"unit":"in"}</t>
  </si>
  <si>
    <t>{"value":229.5,"unit":"lb"}</t>
  </si>
  <si>
    <t>Lunas</t>
  </si>
  <si>
    <t>5.38"</t>
  </si>
  <si>
    <t>20.38"</t>
  </si>
  <si>
    <t>Lyla Chair</t>
  </si>
  <si>
    <t>https://dd3ka9h4chfr8.cloudfront.net/image/725136000567/image_rjdlkp6ort0h32u4coc6vant12/-FJPG/108950-012_FRT_1.jpg;https://dd3ka9h4chfr8.cloudfront.net/image/725136000567/image_qjl1cfrksp27jec4esvot70l2m/-FJPG/108950-012_PRM_1.jpg;https://dd3ka9h4chfr8.cloudfront.net/image/725136000567/image_7q3t2ej6hd711c71gi2ur5fl5i/-FJPG/108950-012_SID_1.jpg;https://dd3ka9h4chfr8.cloudfront.net/image/725136000567/image_d0d2v34q2d7mf9mmo3f3erml7e/-FJPG/108950-012_ESS.tif;https://dd3ka9h4chfr8.cloudfront.net/image/725136000567/image_1iu4ksd3l53oh6q6kend6tgk0q/-FJPG/108950-012_DET_2.jpg;https://dd3ka9h4chfr8.cloudfront.net/image/725136000567/image_js1hd03l353jhcpd1f663hu40i/-FJPG/108950-012_BCK_1.jpg;https://dd3ka9h4chfr8.cloudfront.net/image/725136000567/image_335p80flrl2upa2f2p2d6tiv6r/-FJPG/108950-012_INF_1.jpg;https://dd3ka9h4chfr8.cloudfront.net/image/725136000567/image_verh20ofqt6839peqi0fleo40h/-FJPG/108950-012_DET_1.jpg;https://dd3ka9h4chfr8.cloudfront.net/image/725136000567/image_ul53drtk0132be37ob1d6vro2q/-FJPG/108950-012_DET_3.jpg</t>
  </si>
  <si>
    <t>Capri Ebony</t>
  </si>
  <si>
    <t>108950-012</t>
  </si>
  <si>
    <t>58.2</t>
  </si>
  <si>
    <t>https://dd3ka9h4chfr8.cloudfront.net/image/725136000567/image_rjdlkp6ort0h32u4coc6vant12/-FJPG/108950-012_FRT_1.jpg</t>
  </si>
  <si>
    <t>A fresh take on the traditional tub chair, with exaggerated depth for drama and comfort. Solid parawood legs intersect a dark grey upholstery for clean contrast of color and scale.</t>
  </si>
  <si>
    <t>40% Polyurethane Foam, 30% Fiber, 30% Duck Feather</t>
  </si>
  <si>
    <t>Lyla</t>
  </si>
  <si>
    <t>https://dd3ka9h4chfr8.cloudfront.net/image/725136000567/image_9438p6ndtp4d9famlmafs3nb19/-FJPG/108950-020_FRT_1.jpg;https://dd3ka9h4chfr8.cloudfront.net/image/725136000567/image_fjfbg074p137ffcicft8om5e0e/-FJPG/108950-020_PRM_1.jpg;https://dd3ka9h4chfr8.cloudfront.net/image/725136000567/image_bd46glhr893hh85saiiba9356l/-FJPG/108950-020_SID_1.jpg;https://dd3ka9h4chfr8.cloudfront.net/image/725136000567/image_142povff4d5918jqh1fqb3a47o/-FJPG/108950-020_ESS.tif;https://dd3ka9h4chfr8.cloudfront.net/image/725136000567/image_ldd615njc55nn3ketebgqkg55t/-FJPG/108950-020_DET_2.jpg;https://dd3ka9h4chfr8.cloudfront.net/image/725136000567/image_17tqe07oj91931sc5j8eko3r0i/-FJPG/108950-020_BCK_1.jpg;https://dd3ka9h4chfr8.cloudfront.net/image/725136000567/image_eec6ubttu17nd4qmqcgtl08l5d/-FJPG/108950-020_DET_1.jpg;https://dd3ka9h4chfr8.cloudfront.net/image/725136000567/image_di516hveo10h55q2u3da79k21j/-FJPG/108950-020_DET_3.jpg;https://dd3ka9h4chfr8.cloudfront.net/image/725136000567/image_fivomjdo750ejemo3nel0g2k7b/-FJPG/108950-020_DET_4.jpg;https://dd3ka9h4chfr8.cloudfront.net/image/725136000567/image_5urf2fk4n91l5anr3f411bgt5b/-FJPG/108950-020_DET_5.jpg;https://dd3ka9h4chfr8.cloudfront.net/image/725136000567/image_7qbsgr0mst7j93b1q5rf7npi3l/-FJPG/108950-020_DET_6.jpg</t>
  </si>
  <si>
    <t>108950-020</t>
  </si>
  <si>
    <t>https://dd3ka9h4chfr8.cloudfront.net/image/725136000567/image_9438p6ndtp4d9famlmafs3nb19/-FJPG/108950-020_FRT_1.jpg</t>
  </si>
  <si>
    <t>This updated take on the traditional tub chair pairs rich black top-grain leather with solid ash to shape a sculpted seat with exaggerated depth. Sourced from one of the oldest family-owned tanneries in Italyâ€™s Bassano del Grappa, heirloom leather is salvaged and processed from upcycled hides featuring an abundance of natural markings, scars and color variations. The result? Beautifully supple, buttery soft hides with an unmatched depth of color and richness, and an authentic lived-in look.</t>
  </si>
  <si>
    <t>https://dd3ka9h4chfr8.cloudfront.net/image/725136000567/image_q27sgfef1p29n16iad9rj8j32r/-FJPG/108950-010_FRT_1.jpg;https://dd3ka9h4chfr8.cloudfront.net/image/725136000567/image_30n7rq2ehh4st93s64pratbr7s/-FJPG/108950-010_PRM_1.jpg;https://dd3ka9h4chfr8.cloudfront.net/image/725136000567/image_21nhsj2vi10q1evuma2b7ggq1i/-FJPG/108950-010_SID_1.jpg;https://dd3ka9h4chfr8.cloudfront.net/image/725136000567/image_bfm6cm7nd10mf3q0t9fbf9um0h/-FJPG/108950-010_DET_2.jpg;https://dd3ka9h4chfr8.cloudfront.net/image/725136000567/image_mts5fn4qeh4id0oapusj1mpr56/-FJPG/108950-010_BCK_1.jpg;https://dd3ka9h4chfr8.cloudfront.net/image/725136000567/image_gbrscmk2u9747dt8s6qein9d4o/-FJPG/108950-010_INF_1.jpg;https://dd3ka9h4chfr8.cloudfront.net/image/725136000567/image_k2iil5lvvl03jc5a6hicml9j2j/-FJPG/108950-010_DET_1.jpg;https://dd3ka9h4chfr8.cloudfront.net/image/725136000567/image_73sp110lgd1olflkkkbcoq0v1a/-FJPG/108950-010_DET_3.jpg;https://dd3ka9h4chfr8.cloudfront.net/image/725136000567/image_fr2rm2uh1l7grd2dh1r1be8r57/-FJPG/108950-010_DET_4.jpg;https://dd3ka9h4chfr8.cloudfront.net/image/725136000567/image_cjr9hfilct7fn50m79lg68ub76/-FJPG/108950-010_DET_5.jpg;https://dd3ka9h4chfr8.cloudfront.net/image/725136000567/image_av93q8je590u74mvq1bugto243/-FJPG/108950-010_DET_6.jpg;https://dd3ka9h4chfr8.cloudfront.net/image/725136000567/image_92uetc69dl2al5ke8r3pb22m0l/-FJPG/108950-010_VIG_1.jpg</t>
  </si>
  <si>
    <t>108950-010</t>
  </si>
  <si>
    <t>https://dd3ka9h4chfr8.cloudfront.net/image/725136000567/image_q27sgfef1p29n16iad9rj8j32r/-FJPG/108950-010_FRT_1.jpg</t>
  </si>
  <si>
    <t>A fresh take on the traditional tub chair, with exaggerated depth for drama and comfort. Solid rubberwood legs intersect ivory upholstery for clean contrast of color and scale.</t>
  </si>
  <si>
    <t>https://dd3ka9h4chfr8.cloudfront.net/image/725136000567/image_ja765osu0p6gf5upuoc47d954s/-FJPG/108950-018_FRT_1.jpg;https://dd3ka9h4chfr8.cloudfront.net/image/725136000567/image_u6vp0hsdhd3qn2fkicj0tmbl3a/-FJPG/108950-018_PRM_1.jpg;https://dd3ka9h4chfr8.cloudfront.net/image/725136000567/image_ccjecsniod179foq9dalpis64i/-FJPG/108950-018_SID_1.jpg;https://dd3ka9h4chfr8.cloudfront.net/image/725136000567/image_5gcn05h84d5ad9u7htfrrge81q/-FJPG/108950-018_ESS_1.jpg;https://dd3ka9h4chfr8.cloudfront.net/image/725136000567/image_71okdp4tsl68v9arc4pucpc23e/-FJPG/108950-018_DET_2.jpg;https://dd3ka9h4chfr8.cloudfront.net/image/725136000567/image_pqngjuqnat6fj9rtp611l45v2q/-FJPG/108950-018_BCK_1.jpg;https://dd3ka9h4chfr8.cloudfront.net/image/725136000567/image_ujjhjglec97i1bico8camfob0m/-FJPG/108950-018_DET_1.jpg;https://dd3ka9h4chfr8.cloudfront.net/image/725136000567/image_822isqe6kh7kd6ncokol0kct31/-FJPG/108950-018_DET_3.jpg;https://dd3ka9h4chfr8.cloudfront.net/image/725136000567/image_jdmoegibot43f6nj9s5qg0m538/-FJPG/108950-018_DET_4.jpg</t>
  </si>
  <si>
    <t>108950-018</t>
  </si>
  <si>
    <t>https://dd3ka9h4chfr8.cloudfront.net/image/725136000567/image_ja765osu0p6gf5upuoc47d954s/-FJPG/108950-018_FRT_1.jpg</t>
  </si>
  <si>
    <t>A fresh take on the traditional tub chair, with exaggerated depth for drama and comfort. Solid wood legs intersect sheepskin upholstery for clean contrast and scale.</t>
  </si>
  <si>
    <t>https://dd3ka9h4chfr8.cloudfront.net/image/725136000567/image_63qa3rp7lp7it6po2ohd8j025s/-FJPG/108950-016_FRT_1.jpg;https://dd3ka9h4chfr8.cloudfront.net/image/725136000567/image_0dmm2j0mcp3mh4m1n7i446uv2p/-FJPG/108950-016_PRM_1.jpg;https://dd3ka9h4chfr8.cloudfront.net/image/725136000567/image_4mjiuad7mh5e5de9vum02jva3b/-FJPG/108950-016_SID_1.jpg;https://dd3ka9h4chfr8.cloudfront.net/image/725136000567/image_r4kov5uje124lb6c51ig6k9v56/-FJPG/108950-016_ESS_1.jpg;https://dd3ka9h4chfr8.cloudfront.net/image/725136000567/image_dvsk0odcbh0hld1l4k0rdets0h/-FJPG/108950-016_DET_2.jpg;https://dd3ka9h4chfr8.cloudfront.net/image/725136000567/image_f2bn09r65d1ur5lf4kus9jp456/-FJPG/108950-016_BCK_1.jpg;https://dd3ka9h4chfr8.cloudfront.net/image/725136000567/image_7ik3n5ru8p7hn9otnaaqn7qh0a/-FJPG/108950-016_DET_1.jpg;https://dd3ka9h4chfr8.cloudfront.net/image/725136000567/image_1pcp24o5t17812gj62u77l846d/-FJPG/108950-016_DET_3.jpg;https://dd3ka9h4chfr8.cloudfront.net/image/725136000567/image_fke1qae5il7nf2rtopo9e7vj2r/-FJPG/108950-016_DET_4.jpg;https://dd3ka9h4chfr8.cloudfront.net/image/725136000567/image_jnrdb92ht11qr49ejgu7dmrg6f/-FJPG/108950-016_PRM_2.jpg</t>
  </si>
  <si>
    <t>Valencia Camel</t>
  </si>
  <si>
    <t>108950-016</t>
  </si>
  <si>
    <t>https://dd3ka9h4chfr8.cloudfront.net/image/725136000567/image_63qa3rp7lp7it6po2ohd8j025s/-FJPG/108950-016_FRT_1.jpg</t>
  </si>
  <si>
    <t>This updated take on the traditional tub chair pairs rich, camel-colored top-grain leather with solid ash to shape a sculpted seat with exaggerated depth.</t>
  </si>
  <si>
    <t>Lyla Sofa</t>
  </si>
  <si>
    <t>https://dd3ka9h4chfr8.cloudfront.net/image/725136000567/image_7sho43bn8h6jt911mb57kfn92f/-FJPG/226555-005_FRT_1.JPG;https://dd3ka9h4chfr8.cloudfront.net/image/725136000567/image_ng2n57d0qp2bn76lihcvl19c55/-FJPG/226555-005_PRM_1.JPG;https://dd3ka9h4chfr8.cloudfront.net/image/725136000567/image_345304o8f14p772if820gt3f6u/-FJPG/226555-005_SID_1.JPG;https://dd3ka9h4chfr8.cloudfront.net/image/725136000567/image_10rfsb0q5h7vj9p5isa86lm95r/-FJPG/226555-005_DET_2.JPG;https://dd3ka9h4chfr8.cloudfront.net/image/725136000567/image_r6d3qtibtp7jj8j00qgmnsd65s/-FJPG/226555-005_BCK_1.JPG;https://dd3ka9h4chfr8.cloudfront.net/image/725136000567/image_12g6n0pnct6l7d3c5gij19f04s/-FJPG/226555-005_DET_1.JPG;https://dd3ka9h4chfr8.cloudfront.net/image/725136000567/image_0chc970gjl1ev3cgk8hfn62v2c/-FJPG/226555-005_DET_3.JPG;https://dd3ka9h4chfr8.cloudfront.net/image/725136000567/image_j5eq5uk9ld3apdcivq3110b562/-FJPG/226555-005_DET_4.JPG;https://dd3ka9h4chfr8.cloudfront.net/image/725136000567/image_7382qopp192d772m2l78oesl7c/-FJPG/226555-005_DET_5.JPG</t>
  </si>
  <si>
    <t>226555-005</t>
  </si>
  <si>
    <t>https://dd3ka9h4chfr8.cloudfront.net/image/725136000567/image_7sho43bn8h6jt911mb57kfn92f/-FJPG/226555-005_FRT_1.JPG</t>
  </si>
  <si>
    <t>A fresh, elongated take on the traditional tub chair, with exaggerated depth for drama and comfort. Solid parawood legs intersect ebony upholstery on this plush sofa. Performance fabrics are specially created to withstand spills, stains, high traffic and wear, ensuring long-term comfort and unmatched durability.</t>
  </si>
  <si>
    <t>69.00"</t>
  </si>
  <si>
    <t>40% Polyurethane Foam Pad, 30% Waterfowl Feather, 30% Polyester Fiber Batting</t>
  </si>
  <si>
    <t>https://dd3ka9h4chfr8.cloudfront.net/image/725136000567/image_or2iqnq1r94mta1rm406vflc2s/-FJPG/226555-004_FRT_1.jpg;https://dd3ka9h4chfr8.cloudfront.net/image/725136000567/image_flt3oas6q57ad2fqmdko1ql84l/-FJPG/226555-004_PRM_1.jpg;https://dd3ka9h4chfr8.cloudfront.net/image/725136000567/image_t5qkamu65p48tdpsqcm85h4q6j/-FJPG/226555-004_SID_1.jpg;https://dd3ka9h4chfr8.cloudfront.net/image/725136000567/image_d64i604nid4vj94thu5jem4s6k/-FJPG/226555-004_DET_2.jpg;https://dd3ka9h4chfr8.cloudfront.net/image/725136000567/image_6tni6b32152dd3j4vis8o1383m/-FJPG/226555-004_BCK_1.jpg;https://dd3ka9h4chfr8.cloudfront.net/image/725136000567/image_8f59lc0oid4ip1v3rp1q89806m/-FJPG/226555-004_INF_1.jpg;https://dd3ka9h4chfr8.cloudfront.net/image/725136000567/image_lqtqefg5m50k15u4sok1q1pq6l/-FJPG/226555-004_DET_1.jpg;https://dd3ka9h4chfr8.cloudfront.net/image/725136000567/image_tp0bm5k4v95kp8hlviksfub13d/-FJPG/226555-004_DET_3.jpg;https://dd3ka9h4chfr8.cloudfront.net/image/725136000567/image_sugn4obbch48j2qpq6f8jf582k/-FJPG/226555-004_DET_4.jpg;https://dd3ka9h4chfr8.cloudfront.net/image/725136000567/image_3jpuso1f9h0ap90apf5v6kiq0a/-FJPG/226555-004_DET_5.jpg;https://dd3ka9h4chfr8.cloudfront.net/image/725136000567/image_k7qiho8hu57ft6ga0ltfd2h33p/-FJPG/226555-004_VIG_1.jpg</t>
  </si>
  <si>
    <t>226555-004</t>
  </si>
  <si>
    <t>https://dd3ka9h4chfr8.cloudfront.net/image/725136000567/image_or2iqnq1r94mta1rm406vflc2s/-FJPG/226555-004_FRT_1.jpg</t>
  </si>
  <si>
    <t>A fresh, elongated take on the traditional tub chair, with exaggerated depth for drama and comfort. Solid parawood legs intersect ivory upholstery on this plush sofa for clean contrast of color and scale.</t>
  </si>
  <si>
    <t>https://dd3ka9h4chfr8.cloudfront.net/image/725136000567/image_0ae0259aph0c3c443e8qh9n53d/-FJPG/226555-012_FRT_1.jpg;https://dd3ka9h4chfr8.cloudfront.net/image/725136000567/image_ref5eeqadd2qha78ispc7r2q78/-FJPG/226555-012_PRM_1.jpg;https://dd3ka9h4chfr8.cloudfront.net/image/725136000567/image_b764b8p5ht2in9dg0vv19nec0f/-FJPG/226555-012_SID_1.jpg;https://dd3ka9h4chfr8.cloudfront.net/image/725136000567/image_k3kmih2blh3pf96t5cs6i8sn2p/-FJPG/226555-012_ESS_1.tif;https://dd3ka9h4chfr8.cloudfront.net/image/725136000567/image_pibockhq5l0uhar2167771h07o/-FJPG/226555-012_DET_2.jpg;https://dd3ka9h4chfr8.cloudfront.net/image/725136000567/image_t79v9cgsil7mjaih77pqpo653k/-FJPG/226555-012_BCK_1.jpg;https://dd3ka9h4chfr8.cloudfront.net/image/725136000567/image_huv2jml6395jddnosmarot8d52/-FJPG/226555-012_DET_1.jpg;https://dd3ka9h4chfr8.cloudfront.net/image/725136000567/image_gl5k9f1afd6mld84mr4d5mda63/-FJPG/226555-012_DET_3.jpg;https://dd3ka9h4chfr8.cloudfront.net/image/725136000567/image_2u13d7tgrt697e34dvlqq9bn1b/-FJPG/226555-012_DET_4.jpg;https://dd3ka9h4chfr8.cloudfront.net/image/725136000567/image_q5he5uhjh50g7688dhmm0bmk7v/-FJPG/226555-012_DET_5.jpg;https://dd3ka9h4chfr8.cloudfront.net/image/725136000567/image_qeeg4ekvtp7v94siiqmemu1d66/-FJPG/226555-012_PRM_2.jpg</t>
  </si>
  <si>
    <t>226555-012</t>
  </si>
  <si>
    <t>https://dd3ka9h4chfr8.cloudfront.net/image/725136000567/image_0ae0259aph0c3c443e8qh9n53d/-FJPG/226555-012_FRT_1.jpg</t>
  </si>
  <si>
    <t>A fresh, elongated take on the traditional tub chair, with exaggerated depth for drama and comfort. Solid wood legs intersect sheepskin upholstery on this plush sofa for clean contrast and scale.</t>
  </si>
  <si>
    <t>https://dd3ka9h4chfr8.cloudfront.net/image/725136000567/image_hi0nqvjqel0pd92lsckme62h58/-FJPG/226555-010_FRT_1.jpg;https://dd3ka9h4chfr8.cloudfront.net/image/725136000567/image_t1ijjdhr956bv8b4p56k4tau2s/-FJPG/226555-010_PRM_1.jpg;https://dd3ka9h4chfr8.cloudfront.net/image/725136000567/image_sarafocml510tcsdc6bdtib55i/-FJPG/226555-010_SID_1.jpg;https://dd3ka9h4chfr8.cloudfront.net/image/725136000567/image_qev02ejn1t6o5evp7iqqnt5d49/-FJPG/226555-010_ESS_1.jpg;https://dd3ka9h4chfr8.cloudfront.net/image/725136000567/image_hq31a42idp4nl0ugvilulem87m/-FJPG/226555-010_DET_2.jpg;https://dd3ka9h4chfr8.cloudfront.net/image/725136000567/image_eo7ltpug795ddeeq05tlp1qq6p/-FJPG/226555-010_BCK_1.jpg;https://dd3ka9h4chfr8.cloudfront.net/image/725136000567/image_vl72tp55ul3qt6pga333vg4u1g/-FJPG/226555-010_DET_1.jpg;https://dd3ka9h4chfr8.cloudfront.net/image/725136000567/image_4ei65kpidp2r7fgnbeg8jp5r22/-FJPG/226555-010_DET_3.jpg;https://dd3ka9h4chfr8.cloudfront.net/image/725136000567/image_kflv4jm98p5k9fkct6n52o667p/-FJPG/226555-010_DET_4.jpg;https://dd3ka9h4chfr8.cloudfront.net/image/725136000567/image_aaj12u8dpt3a588n42belpl360/-FJPG/226555-010_DET_5.jpg;https://dd3ka9h4chfr8.cloudfront.net/image/725136000567/image_dthrfugdud5kb8gfojmh5r9r6n/-FJPG/226555-010_DET_6.jpg</t>
  </si>
  <si>
    <t>226555-010</t>
  </si>
  <si>
    <t>https://dd3ka9h4chfr8.cloudfront.net/image/725136000567/image_hi0nqvjqel0pd92lsckme62h58/-FJPG/226555-010_FRT_1.jpg</t>
  </si>
  <si>
    <t>This long, plush take on the traditional tub chair, features exaggerated depth for drama. Solid wood legs intersect top-grain leather in a warm camel hue.</t>
  </si>
  <si>
    <t>Macklin Media Console</t>
  </si>
  <si>
    <t>https://dd3ka9h4chfr8.cloudfront.net/image/725136000567/image_95bc1kt69d2jp13h9nbvrpif25/-FJPG/232364-001_FRT_1.jpg;https://dd3ka9h4chfr8.cloudfront.net/image/725136000567/image_sd9utfopt93ff2g4ob1ud0cb5p/-FJPG/232364-001_PRM_1.jpg;https://dd3ka9h4chfr8.cloudfront.net/image/725136000567/image_g2nn115j1d4mhd8qvatc1v0j16/-FJPG/232364-001_SID_1.jpg;https://dd3ka9h4chfr8.cloudfront.net/image/725136000567/image_qs1n0uikkh51rf6ts6vu6q932r/-FJPG/232364-001_ESS_1.jpg;https://dd3ka9h4chfr8.cloudfront.net/image/725136000567/image_s0d0hmf90565jcphaounudft3q/-FJPG/232364-001_DET_2.jpg;https://dd3ka9h4chfr8.cloudfront.net/image/725136000567/image_hlhobe0d5p37394qb1if0qnd2d/-FJPG/232364-001_BCK_1.jpg;https://dd3ka9h4chfr8.cloudfront.net/image/725136000567/image_n6orl2bfsp4n77poe21uf6ae0s/-FJPG/232364-001_DET_1.jpg;https://dd3ka9h4chfr8.cloudfront.net/image/725136000567/image_bt8mt4pgv57kd7tjoafeehnh7k/-FJPG/232364-001_DET_3.jpg;https://dd3ka9h4chfr8.cloudfront.net/image/725136000567/image_sdbo476o9d6sn06h68eo82ie6j/-FJPG/232364-001_OPN_1.jpg;https://dd3ka9h4chfr8.cloudfront.net/image/725136000567/image_9o9vm5tmqd24b11m8ijbtd2j5u/-FJPG/232364-001_DET_4.jpg;https://dd3ka9h4chfr8.cloudfront.net/image/725136000567/image_n8joadsb4t47d3nbctbm1sp94c/-FJPG/232364-001_DET_5.jpg</t>
  </si>
  <si>
    <t>232364-001</t>
  </si>
  <si>
    <t>180.34</t>
  </si>
  <si>
    <t>https://dd3ka9h4chfr8.cloudfront.net/image/725136000567/image_95bc1kt69d2jp13h9nbvrpif25/-FJPG/232364-001_FRT_1.jpg</t>
  </si>
  <si>
    <t>["Rush","Solid Mahogany","Mahogany Veneer"]</t>
  </si>
  <si>
    <t>Light Mahogany</t>
  </si>
  <si>
    <t>Light Mahogany Veneer</t>
  </si>
  <si>
    <t>Danish midcentury, modernized. Light-finished mahogany forms clean casing and a plinth-style base, with doors of woven paper cord for a high-texture touch.</t>
  </si>
  <si>
    <t>19.35"</t>
  </si>
  <si>
    <t>24.13"</t>
  </si>
  <si>
    <t>Macklin</t>
  </si>
  <si>
    <t>19.39"</t>
  </si>
  <si>
    <t>Macklin Sideboard</t>
  </si>
  <si>
    <t>https://dd3ka9h4chfr8.cloudfront.net/image/725136000567/image_blsj3tigo53cbaagnhh0pa4s4q/-FJPG/234089-001_FRT_1.jpg;https://dd3ka9h4chfr8.cloudfront.net/image/725136000567/image_t9fk6i5r9d2ht5bjj5potnvs4j/-FJPG/234089-001_PRM_1.jpg;https://dd3ka9h4chfr8.cloudfront.net/image/725136000567/image_l2p3u2bqa12en42vkd0a7p6r2f/-FJPG/234089-001_SID_1.jpg;https://dd3ka9h4chfr8.cloudfront.net/image/725136000567/image_clorot1qtd7r1dgds62dlluj64/-FJPG/234089-001_ESS_1.jpg;https://dd3ka9h4chfr8.cloudfront.net/image/725136000567/image_p28pf0jplh0ir53jv5sbfnhq0l/-FJPG/234089-001_DET_2.jpg;https://dd3ka9h4chfr8.cloudfront.net/image/725136000567/image_8u1mvpbo012c133htbl0g90e33/-FJPG/234089-001_BCK_1.jpg;https://dd3ka9h4chfr8.cloudfront.net/image/725136000567/image_m0e5u4idhp4l1c0oiouo1mvp19/-FJPG/234089-001_DET_1.jpg;https://dd3ka9h4chfr8.cloudfront.net/image/725136000567/image_ebagvmss7p301fl99irb8s7h6t/-FJPG/234089-001_DET_3.jpg;https://dd3ka9h4chfr8.cloudfront.net/image/725136000567/image_janu8n3t295g546bj70nk3sh2v/-FJPG/234089-001_OPN_1.jpg;https://dd3ka9h4chfr8.cloudfront.net/image/725136000567/image_url4j0nggl0ptdhec7483eug1d/-FJPG/234089-001_DET_4.jpg;https://dd3ka9h4chfr8.cloudfront.net/image/725136000567/image_5d6e5oq5qp0nn3iiaricmrka3o/-FJPG/234089-001_DET_5.jpg;https://dd3ka9h4chfr8.cloudfront.net/image/725136000567/image_bao116p14532h7ibuvef8s1n4g/-FJPG/234089-001_DET_6.jpg;https://dd3ka9h4chfr8.cloudfront.net/image/725136000567/image_nq0sd1ep9t0nl8nd3vm8jvf46l/-FJPG/234089-001_DET_7.jpg;https://dd3ka9h4chfr8.cloudfront.net/image/725136000567/image_a8kcpjv41926rbesn7q9v3543r/-FJPG/234089-001_DET_8.jpg;https://dd3ka9h4chfr8.cloudfront.net/image/725136000567/image_7pcaq351u525fdasr5cvsopf7e/-FJPG/234089-001_DET_9.jpg</t>
  </si>
  <si>
    <t>234089-001</t>
  </si>
  <si>
    <t>200.18</t>
  </si>
  <si>
    <t>https://dd3ka9h4chfr8.cloudfront.net/image/725136000567/image_blsj3tigo53cbaagnhh0pa4s4q/-FJPG/234089-001_FRT_1.jpg</t>
  </si>
  <si>
    <t>["Mahogany Veneer","Rush","Solid Mahogany"]</t>
  </si>
  <si>
    <t>{"value":246.92,"unit":"lb"}</t>
  </si>
  <si>
    <t>25.94"</t>
  </si>
  <si>
    <t>Door Scissor</t>
  </si>
  <si>
    <t>Maeve Bed</t>
  </si>
  <si>
    <t>https://dd3ka9h4chfr8.cloudfront.net/image/725136000567/image_peg9p4g4np3sjel896q50cob58/-FJPG/248465-002_FRT_1.jpg;https://dd3ka9h4chfr8.cloudfront.net/image/725136000567/image_3a1vio71rd2ch4crnhsrqpg50q/-FJPG/248465-002_PRM_1.jpg;https://dd3ka9h4chfr8.cloudfront.net/image/725136000567/image_2ofuhjcpb14iv0t1eumisvlj2s/-FJPG/248465-002_SID_1.jpg;https://dd3ka9h4chfr8.cloudfront.net/image/725136000567/image_q0f1k94tep4apeh9db32nu8s0p/-FJPG/248465-002_ESS.tif;https://dd3ka9h4chfr8.cloudfront.net/image/725136000567/image_d2daqinp1l04r3qqeafg7cb06i/-FJPG/248465-002_DET_2.jpg;https://dd3ka9h4chfr8.cloudfront.net/image/725136000567/image_notio2lhqh3mpcm0co2cmh853n/-FJPG/248465-002_BCK_1.jpg;https://dd3ka9h4chfr8.cloudfront.net/image/725136000567/image_k8pib9bomh0dl8cnba1g6had1f/-FJPG/248465-002_DET_1.jpg;https://dd3ka9h4chfr8.cloudfront.net/image/725136000567/image_hvh5o369mp1ed3rnjf9juf1b7i/-FJPG/248465-002_DET_3.jpg;https://dd3ka9h4chfr8.cloudfront.net/image/725136000567/image_6nub65pn215o13jvk43urqib64/-FJPG/248465-002_DET_4.jpg;https://dd3ka9h4chfr8.cloudfront.net/image/725136000567/image_94467vgttt4cnbpprm18cvh04l/-FJPG/248465-002_DET_5.jpg;https://dd3ka9h4chfr8.cloudfront.net/image/725136000567/image_f99flrmgq10kr1ulorikj1lc3i/-FJPG/248465-002_DET_6.jpg;https://dd3ka9h4chfr8.cloudfront.net/image/725136000567/image_j4do45qgo17kr3g2364isupi2j/-FJPG/248465-002_DET_7.jpg;https://dd3ka9h4chfr8.cloudfront.net/image/725136000567/image_q4qrmpcg951b19jd3g1ahmlq48/-FJPG/248465-002_DET_8.jpg</t>
  </si>
  <si>
    <t>Laken Taupe</t>
  </si>
  <si>
    <t>248465-001</t>
  </si>
  <si>
    <t>218.26</t>
  </si>
  <si>
    <t>https://dd3ka9h4chfr8.cloudfront.net/image/725136000567/image_peg9p4g4np3sjel896q50cob58/-FJPG/248465-002_FRT_1.jpg</t>
  </si>
  <si>
    <t>["90% Polyester","10% Viscose (Rayon)","Thick Oak Veneer"]</t>
  </si>
  <si>
    <t>{"value":48.5,"unit":"in"}</t>
  </si>
  <si>
    <t>Clean lines meet contoured curves for a timeless bedroom look. A petal-shaped shelter overlaps side rails for a unique,  comforting silhouette. Fully upholstered in a versatile taupe that complements a wide range of color palettes, all grounded by a rich oak base.</t>
  </si>
  <si>
    <t>Box 1: Hb And Fb</t>
  </si>
  <si>
    <t>{"value":76.57,"unit":"in"}</t>
  </si>
  <si>
    <t>{"value":16.54,"unit":"in"}</t>
  </si>
  <si>
    <t>{"value":51.97,"unit":"in"}</t>
  </si>
  <si>
    <t>Box 2: Siderails &amp; Slats</t>
  </si>
  <si>
    <t>{"value":88.78,"unit":"in"}</t>
  </si>
  <si>
    <t>{"value":121.25,"unit":"lb"}</t>
  </si>
  <si>
    <t>Maeve</t>
  </si>
  <si>
    <t>11.97"</t>
  </si>
  <si>
    <t>62.83"</t>
  </si>
  <si>
    <t>48.62"</t>
  </si>
  <si>
    <t>70.51"</t>
  </si>
  <si>
    <t>80.91"</t>
  </si>
  <si>
    <t>https://dd3ka9h4chfr8.cloudfront.net/image/725136000567/image_peg9p4g4np3sjel896q50cob58/-FJPG/248465-002_FRT_1.jpg;https://dd3ka9h4chfr8.cloudfront.net/image/725136000567/image_3a1vio71rd2ch4crnhsrqpg50q/-FJPG/248465-002_PRM_1.jpg;https://dd3ka9h4chfr8.cloudfront.net/image/725136000567/image_2ofuhjcpb14iv0t1eumisvlj2s/-FJPG/248465-002_SID_1.jpg;https://dd3ka9h4chfr8.cloudfront.net/image/725136000567/image_q0f1k94tep4apeh9db32nu8s0p/-FJPG/248465-002_ESS.tif;https://dd3ka9h4chfr8.cloudfront.net/image/725136000567/image_d2daqinp1l04r3qqeafg7cb06i/-FJPG/248465-002_DET_2.jpg;https://dd3ka9h4chfr8.cloudfront.net/image/725136000567/image_notio2lhqh3mpcm0co2cmh853n/-FJPG/248465-002_BCK_1.jpg;https://dd3ka9h4chfr8.cloudfront.net/image/725136000567/image_k8pib9bomh0dl8cnba1g6had1f/-FJPG/248465-002_DET_1.jpg;https://dd3ka9h4chfr8.cloudfront.net/image/725136000567/image_hvh5o369mp1ed3rnjf9juf1b7i/-FJPG/248465-002_DET_3.jpg;https://dd3ka9h4chfr8.cloudfront.net/image/725136000567/image_6nub65pn215o13jvk43urqib64/-FJPG/248465-002_DET_4.jpg;https://dd3ka9h4chfr8.cloudfront.net/image/725136000567/image_94467vgttt4cnbpprm18cvh04l/-FJPG/248465-002_DET_5.jpg;https://dd3ka9h4chfr8.cloudfront.net/image/725136000567/image_f99flrmgq10kr1ulorikj1lc3i/-FJPG/248465-002_DET_6.jpg;https://dd3ka9h4chfr8.cloudfront.net/image/725136000567/image_j4do45qgo17kr3g2364isupi2j/-FJPG/248465-002_DET_7.jpg;https://dd3ka9h4chfr8.cloudfront.net/image/725136000567/image_q4qrmpcg951b19jd3g1ahmlq48/-FJPG/248465-002_DET_8.jpg;https://dd3ka9h4chfr8.cloudfront.net/image/725136000567/image_6ds8s0iitl2j15t3tau9jd9i4j/-FJPG/248465-002_DET_9.tif;https://dd3ka9h4chfr8.cloudfront.net/image/725136000567/image_972pc8lpe505l3b36tfmd6543c/-FJPG/248465-002_DET_10.tif</t>
  </si>
  <si>
    <t>248465-002</t>
  </si>
  <si>
    <t>273.37</t>
  </si>
  <si>
    <t>{"value":91.93,"unit":"in"}</t>
  </si>
  <si>
    <t>{"value":15.55,"unit":"in"}</t>
  </si>
  <si>
    <t>{"value":190.7,"unit":"lb"}</t>
  </si>
  <si>
    <t>{"value":85.83,"unit":"in"}</t>
  </si>
  <si>
    <t>{"value":137.79,"unit":"lb"}</t>
  </si>
  <si>
    <t>78.98"</t>
  </si>
  <si>
    <t>Maeve Upholstered Bed</t>
  </si>
  <si>
    <t>https://dd3ka9h4chfr8.cloudfront.net/image/725136000567/image_48qoo64on90pdbjag32686e94k/-FJPG/248219-001_FRT_1.jpg;https://dd3ka9h4chfr8.cloudfront.net/image/725136000567/image_ub3l43a0q11kb460clgophsr7i/-FJPG/248219-001_PRM_1.jpg;https://dd3ka9h4chfr8.cloudfront.net/image/725136000567/image_931gpec0dd3ph9hd73hp5nm94s/-FJPG/248219-001_SID_1.jpg;https://dd3ka9h4chfr8.cloudfront.net/image/725136000567/image_e37vtfmjp92dl92i3op2mlmn17/-FJPG/248219-001_ESS.tif;https://dd3ka9h4chfr8.cloudfront.net/image/725136000567/image_k8gnrt3vvp7631jg7v62r8224i/-FJPG/248219-001_DET_2.jpg;https://dd3ka9h4chfr8.cloudfront.net/image/725136000567/image_pr2q1mm06h1kl9sh41n727o61d/-FJPG/248219-001_BCK_1.jpg;https://dd3ka9h4chfr8.cloudfront.net/image/725136000567/image_aqqcolp6lt1jn2mpkp9g0e5v3e/-FJPG/248219-001_DET_1.jpg;https://dd3ka9h4chfr8.cloudfront.net/image/725136000567/image_e64gs1415t7k77d0uh96iqbb52/-FJPG/248219-001_DET_3.jpg;https://dd3ka9h4chfr8.cloudfront.net/image/725136000567/image_p1u0gv2tkp50f01qcb2so4rj1v/-FJPG/248219-001_DET_4.jpg;https://dd3ka9h4chfr8.cloudfront.net/image/725136000567/image_b9nu15ihv93335k8pth9i56p6o/-FJPG/248219-001_DET_5.jpg;https://dd3ka9h4chfr8.cloudfront.net/image/725136000567/image_9qeq2cg52h5cv59l2jbq8pkb3f/-FJPG/248219-001_DET_6.jpg</t>
  </si>
  <si>
    <t>248219-001</t>
  </si>
  <si>
    <t>233.69</t>
  </si>
  <si>
    <t>https://dd3ka9h4chfr8.cloudfront.net/image/725136000567/image_48qoo64on90pdbjag32686e94k/-FJPG/248219-001_FRT_1.jpg</t>
  </si>
  <si>
    <t>Clean lines meet contoured curves for a timeless bedroom look. A petal-shaped shelter overlaps side rails for a unique,  comforting silhouette. Fully upholstered in a versatile taupe that complements a wide range of color palettes.</t>
  </si>
  <si>
    <t>{"value":86.42,"unit":"in"}</t>
  </si>
  <si>
    <t>Hb And Fb</t>
  </si>
  <si>
    <t>4.57"</t>
  </si>
  <si>
    <t>2.56"</t>
  </si>
  <si>
    <t>248219-002</t>
  </si>
  <si>
    <t>{"value":136.69,"unit":"lb"}</t>
  </si>
  <si>
    <t>{"value":170.86,"unit":"lb"}</t>
  </si>
  <si>
    <t>82.13"</t>
  </si>
  <si>
    <t>Maggie 6 Drawer Dresser</t>
  </si>
  <si>
    <t>https://dd3ka9h4chfr8.cloudfront.net/image/725136000567/image_iu7t52nk5h20l3tka6r4ic9k6q/-FJPG/246648-003_FRT_1.jpg;https://dd3ka9h4chfr8.cloudfront.net/image/725136000567/image_h3rppb3m1h23dfmkfukv7nlt7k/-FJPG/246648-003_PRM_1.jpg;https://dd3ka9h4chfr8.cloudfront.net/image/725136000567/image_ulqrn3p7jd2rf31kggt3gbkd3j/-FJPG/246648-003_SID_1.jpg;https://dd3ka9h4chfr8.cloudfront.net/image/725136000567/image_9i9304vvvl4dn231a8lpq8op4i/-FJPG/246648-003_ESS.tif;https://dd3ka9h4chfr8.cloudfront.net/image/725136000567/image_mgbkfk5k815efac36au01r4d18/-FJPG/246648-003_DET_2.jpg;https://dd3ka9h4chfr8.cloudfront.net/image/725136000567/image_4sjnggl77l5ah4dluj0cog8h0u/-FJPG/246648-003_BCK_1.jpg;https://dd3ka9h4chfr8.cloudfront.net/image/725136000567/image_h3co613fdh737aokkutom55o2u/-FJPG/246648-003_DET_1.jpg;https://dd3ka9h4chfr8.cloudfront.net/image/725136000567/image_54j5lgu9b93c3fp5qlssbo6e3n/-FJPG/246648-003_DET_3.jpg;https://dd3ka9h4chfr8.cloudfront.net/image/725136000567/image_38f00dk4957jh6ah9umhct5t6v/-FJPG/246648-003_OPN_1.jpg;https://dd3ka9h4chfr8.cloudfront.net/image/725136000567/image_qcsqj19fat6kf932iimjot013e/-FJPG/246648-003_DET_4.jpg;https://dd3ka9h4chfr8.cloudfront.net/image/725136000567/image_1j1gp1j8b13ehalgjh39u3dd6u/-FJPG/246648-003_DET_5.jpg;https://dd3ka9h4chfr8.cloudfront.net/image/725136000567/image_3m0s27b36p6clbeoc6oirpuo4v/-FJPG/246648-003_DET_6.jpg;https://dd3ka9h4chfr8.cloudfront.net/image/725136000567/image_r902fcfnt51hf7rccpvp6p1s1i/-FJPG/246648-003_DET_7.jpg;https://dd3ka9h4chfr8.cloudfront.net/image/725136000567/image_kolq3ac69h1lbep6jdbhi62r61/-FJPG/246648-003_DET_9.tif;https://dd3ka9h4chfr8.cloudfront.net/image/725136000567/image_rb4j0vo6n11q11mf1p01uupq48/-FJPG/FHMPRJ-018_SCENE-9.tif</t>
  </si>
  <si>
    <t>Aged Smoked Oak Resawn</t>
  </si>
  <si>
    <t>246648-003</t>
  </si>
  <si>
    <t>261.248</t>
  </si>
  <si>
    <t>https://dd3ka9h4chfr8.cloudfront.net/image/725136000567/image_iu7t52nk5h20l3tka6r4ic9k6q/-FJPG/246648-003_FRT_1.jpg</t>
  </si>
  <si>
    <t>["Resawn Oak Veneer","Solid Oak"]</t>
  </si>
  <si>
    <t>36.75</t>
  </si>
  <si>
    <t>{"value":36.75,"unit":"in"}</t>
  </si>
  <si>
    <t>A cleanly shaped six-drawer dresser is crafted from aged smoked oak, highlighting the wood's natural grain. Roomy drawers offer plenty of space for bedroom storage, while the slim, tapered legs give the piece a subtle lift, creating a grounded look.</t>
  </si>
  <si>
    <t>{"value":335.1,"unit":"lb"}</t>
  </si>
  <si>
    <t>Maggie</t>
  </si>
  <si>
    <t>4.06"</t>
  </si>
  <si>
    <t>6.81"</t>
  </si>
  <si>
    <t>34.09"</t>
  </si>
  <si>
    <t>https://dd3ka9h4chfr8.cloudfront.net/image/725136000567/image_oqllriu8r53dhb8inb9v9t7t3l/-FJPG/246648-002_FRT_1.jpg;https://dd3ka9h4chfr8.cloudfront.net/image/725136000567/image_g42aql35kl6jreg9gogmlpt72a/-FJPG/246648-002_PRM_1.jpg;https://dd3ka9h4chfr8.cloudfront.net/image/725136000567/image_f74cpvavel0jl0peu7fdfnmk79/-FJPG/246648-002_SID_1.jpg;https://dd3ka9h4chfr8.cloudfront.net/image/725136000567/image_vnpgc603dt6nn8hsbrammevh3f/-FJPG/246648-002_ESS.tif;https://dd3ka9h4chfr8.cloudfront.net/image/725136000567/image_v965mk6btt0910nes21t07nj5n/-FJPG/246648-002_DET_2.jpg;https://dd3ka9h4chfr8.cloudfront.net/image/725136000567/image_1o476dhhmd5frfhu6c2tlu8j4t/-FJPG/246648-002_BCK_1.jpg;https://dd3ka9h4chfr8.cloudfront.net/image/725136000567/image_5v86lmr6q90657r1mbpkvu8o1a/-FJPG/246648-002_DET_1.jpg;https://dd3ka9h4chfr8.cloudfront.net/image/725136000567/image_c5oietv31d5npe141afucke81u/-FJPG/246648-002_DET_3.jpg;https://dd3ka9h4chfr8.cloudfront.net/image/725136000567/image_tpi6s9nqct74b2mkb41uuk135m/-FJPG/246648-002_OPN_1.jpg;https://dd3ka9h4chfr8.cloudfront.net/image/725136000567/image_ph4hr1dlv159r31qvcsu05rb2a/-FJPG/246648-002_TOP_1.jpg;https://dd3ka9h4chfr8.cloudfront.net/image/725136000567/image_i644a4c3293ob3eojvc998a315/-FJPG/246648-002_DET_4.jpg;https://dd3ka9h4chfr8.cloudfront.net/image/725136000567/image_f856cvppb93s93gqk39ahjsb08/-FJPG/246648-002_DET_5.jpg;https://dd3ka9h4chfr8.cloudfront.net/image/725136000567/image_i27civr82d78r855lpllcgrm4b/-FJPG/246648-002_DET_6.jpg;https://dd3ka9h4chfr8.cloudfront.net/image/725136000567/image_j1tlrhik690gf3pmk5ghdbgo2h/-FJPG/246648-002_DET_7.jpg;https://dd3ka9h4chfr8.cloudfront.net/image/725136000567/image_nkrcfbfofl141aa7ph12rktg6l/-FJPG/246648-002_DET_9.tif</t>
  </si>
  <si>
    <t>Smoked Black Oak Veneer</t>
  </si>
  <si>
    <t>246648-002</t>
  </si>
  <si>
    <t>https://dd3ka9h4chfr8.cloudfront.net/image/725136000567/image_oqllriu8r53dhb8inb9v9t7t3l/-FJPG/246648-002_FRT_1.jpg</t>
  </si>
  <si>
    <t>A cleanly shaped six-drawer dresser is crafted from smoked black oak, highlighting the wood's natural grain. Roomy drawers offer plenty of space for bedroom storage, while the slim, tapered legs give the piece a subtle lift, creating a grounded look.</t>
  </si>
  <si>
    <t>Maggie Nightstand</t>
  </si>
  <si>
    <t>https://dd3ka9h4chfr8.cloudfront.net/image/725136000567/image_na7i2k61516dp2cn3oguoacb4i/-FJPG/246654-003_FRT_1.jpg;https://dd3ka9h4chfr8.cloudfront.net/image/725136000567/image_p92gce4nth1slchk6d1dagfv1b/-FJPG/246654-003_PRM_1.jpg;https://dd3ka9h4chfr8.cloudfront.net/image/725136000567/image_5ke7f7aj1t3l967co8vjcsfm65/-FJPG/246654-003_SID_1.jpg;https://dd3ka9h4chfr8.cloudfront.net/image/725136000567/image_d7eqddso894oj110rmjurvtc7k/-FJPG/246654-003_ESS.tif;https://dd3ka9h4chfr8.cloudfront.net/image/725136000567/image_ta1lan4ofd3bh5sjbberk5fk2d/-FJPG/246654-003_DET_2.jpg;https://dd3ka9h4chfr8.cloudfront.net/image/725136000567/image_r0vkqkmlvp189ea4usj69ie95g/-FJPG/246654-003_BCK_1.jpg;https://dd3ka9h4chfr8.cloudfront.net/image/725136000567/image_0st2enlqll3mt3d4fdivr6hi22/-FJPG/246654-003_DET_1.jpg;https://dd3ka9h4chfr8.cloudfront.net/image/725136000567/image_pgaff48dfp4ubdkb9nlsg6bv16/-FJPG/246654-003_DET_3.jpg;https://dd3ka9h4chfr8.cloudfront.net/image/725136000567/image_b8nlt3ph8p2ppclmh9cgjp6v7o/-FJPG/246654-003_OPN_1.jpg;https://dd3ka9h4chfr8.cloudfront.net/image/725136000567/image_r600p2n4gd3odchrbnin96r322/-FJPG/246654-003_DET_4.jpg;https://dd3ka9h4chfr8.cloudfront.net/image/725136000567/image_ce8cr6drj90sjahrvq0b9oo076/-FJPG/246654-003_DET_5.jpg;https://dd3ka9h4chfr8.cloudfront.net/image/725136000567/image_pe6ugdr8j54e94khfgo7nbdm04/-FJPG/246654-003_DET_6.jpg;https://dd3ka9h4chfr8.cloudfront.net/image/725136000567/image_2ohonkolpl5u53h8445kn0mp7h/-FJPG/246654-003_DET_7.jpg;https://dd3ka9h4chfr8.cloudfront.net/image/725136000567/image_3ivn9t27ht49jfqmsm8ihrug3s/-FJPG/246654-003_DET_9.tif</t>
  </si>
  <si>
    <t>246654-003</t>
  </si>
  <si>
    <t>https://dd3ka9h4chfr8.cloudfront.net/image/725136000567/image_na7i2k61516dp2cn3oguoacb4i/-FJPG/246654-003_FRT_1.jpg</t>
  </si>
  <si>
    <t>16.75</t>
  </si>
  <si>
    <t>Work a traditional look into your bedroom styling with a nightstand of aged smoked oak, featuring beautiful natural wood graining. Dual drawers bring storage space to your bedside, while an airy base grounds this timeless bedroom style.</t>
  </si>
  <si>
    <t>23.46"</t>
  </si>
  <si>
    <t>https://dd3ka9h4chfr8.cloudfront.net/image/725136000567/image_ku35eacm0p61d3mu6i111g1036/-FJPG/246654-002_FRT_1.jpg;https://dd3ka9h4chfr8.cloudfront.net/image/725136000567/image_vjqd3gar1t5u5453i449vmr31h/-FJPG/246654-002_PRM_1.jpg;https://dd3ka9h4chfr8.cloudfront.net/image/725136000567/image_9q9kt7ergd3bl83i29idgf5c0l/-FJPG/246654-002_SID_1.jpg;https://dd3ka9h4chfr8.cloudfront.net/image/725136000567/image_522r6gujmh5evfdkdhb54vs32n/-FJPG/246654-002_ESS.tif;https://dd3ka9h4chfr8.cloudfront.net/image/725136000567/image_uvl2lk4s156klfrmpt3k8a111e/-FJPG/246654-002_DET_2.jpg;https://dd3ka9h4chfr8.cloudfront.net/image/725136000567/image_b6uvkg8k1h3ub7ffu2a7vtfo31/-FJPG/246654-002_BCK_1.jpg;https://dd3ka9h4chfr8.cloudfront.net/image/725136000567/image_h21917mpu970dd98g53us7ki7b/-FJPG/246654-002_DET_1.jpg;https://dd3ka9h4chfr8.cloudfront.net/image/725136000567/image_1p5urp550p6vh2ebf2chmd5l2p/-FJPG/246654-002_DET_3.jpg;https://dd3ka9h4chfr8.cloudfront.net/image/725136000567/image_f5fh2956kp7o7bmfhku3stb40l/-FJPG/246654-002_OPN_1.jpg;https://dd3ka9h4chfr8.cloudfront.net/image/725136000567/image_jnifb5o92d04b87kdtbjplvu3l/-FJPG/246654-002_TOP_1.jpg;https://dd3ka9h4chfr8.cloudfront.net/image/725136000567/image_688gh0hka55hnf9m28eueorg7m/-FJPG/246654-002_DET_4.jpg;https://dd3ka9h4chfr8.cloudfront.net/image/725136000567/image_juu6h1o9at6817tu3lcp4oah0l/-FJPG/246654-002_DET_5.jpg;https://dd3ka9h4chfr8.cloudfront.net/image/725136000567/image_0nfe6amov90nh1job0c77ncg5g/-FJPG/246654-002_DET_6.jpg;https://dd3ka9h4chfr8.cloudfront.net/image/725136000567/image_nnvrbghrld461clv5n6envc11u/-FJPG/246654-002_DET_9.tif;https://dd3ka9h4chfr8.cloudfront.net/image/725136000567/image_cdcgj1aui95s9bvrqsnnkfqi59/-FJPG/FHMPRJ-018_SCENE-7.tif</t>
  </si>
  <si>
    <t>246654-002</t>
  </si>
  <si>
    <t>https://dd3ka9h4chfr8.cloudfront.net/image/725136000567/image_ku35eacm0p61d3mu6i111g1036/-FJPG/246654-002_FRT_1.jpg</t>
  </si>
  <si>
    <t>Work a traditional look into your bedroom styling with nightstand of smoked black oak. Dual drawers bring storage space to the bedside, while an airy base grounds this timeless style.</t>
  </si>
  <si>
    <t>Malia Dining Table</t>
  </si>
  <si>
    <t>https://dd3ka9h4chfr8.cloudfront.net/image/725136000567/image_inian8p1ch2l3bgu7ncfmf592e/-FJPG/224413-001_FRT_1.jpg;https://dd3ka9h4chfr8.cloudfront.net/image/725136000567/image_r4351178np6fj94i41fun2lr6r/-FJPG/224413-001_PRM_1.jpg;https://dd3ka9h4chfr8.cloudfront.net/image/725136000567/image_el2aedj7el5n98a36gb5o7ap36/-FJPG/224413-001_SID_1.jpg;https://dd3ka9h4chfr8.cloudfront.net/image/725136000567/image_t495a5ptsd3b7chb943gpel84i/-FJPG/224413-001_DET_2.jpg;https://dd3ka9h4chfr8.cloudfront.net/image/725136000567/image_cdu1dc80n97j1fo6t0crv0f54f/-FJPG/224413-001_DET_1.jpg;https://dd3ka9h4chfr8.cloudfront.net/image/725136000567/image_9qhhnaovfh3iv8vhbs9qki8t3s/-FJPG/224413-001_DET_3.jpg;https://dd3ka9h4chfr8.cloudfront.net/image/725136000567/image_5octklhk6t4qb0m18a4badso2u/-FJPG/224413-001_DET_4.jpg;https://dd3ka9h4chfr8.cloudfront.net/image/725136000567/image_a7s6sfl1q161ff9oahm095l94a/-FJPG/224413-001_DET_5.jpg;https://dd3ka9h4chfr8.cloudfront.net/image/725136000567/image_gc4570us0t1nb8jhuteoecfc2d/-FJPG/224413-001_DET_6.jpg;https://dd3ka9h4chfr8.cloudfront.net/image/725136000567/image_l25mtjq1796svada94opap0b4r/-FJPG/224413-001_DET_7.jpg;https://dd3ka9h4chfr8.cloudfront.net/image/725136000567/image_0386adfp9t6cj0iu9p69bqd21i/-FJPG/224413-001_VIG_1.jpg</t>
  </si>
  <si>
    <t>224413-001</t>
  </si>
  <si>
    <t>306.22</t>
  </si>
  <si>
    <t>https://dd3ka9h4chfr8.cloudfront.net/image/725136000567/image_inian8p1ch2l3bgu7ncfmf592e/-FJPG/224413-001_FRT_1.jpg</t>
  </si>
  <si>
    <t>["Solid Oak","Solid Travertine"]</t>
  </si>
  <si>
    <t>Polished Travertine</t>
  </si>
  <si>
    <t>Make a mixed material statement. Cylindrical legs of solid travertine provide a dramatically scaled base for a rectangular tabletop of solid natural oak, for a fresh twist on organic Seventies styling. Seats six comfortably.</t>
  </si>
  <si>
    <t>{"value":97.5,"unit":"in"}</t>
  </si>
  <si>
    <t>{"value":5.75,"unit":"in"}</t>
  </si>
  <si>
    <t>{"value":171.29,"unit":"lb"}</t>
  </si>
  <si>
    <t>{"value":145.26,"unit":"lb"}</t>
  </si>
  <si>
    <t>Malia</t>
  </si>
  <si>
    <t>Malin Accent Bench</t>
  </si>
  <si>
    <t>https://dd3ka9h4chfr8.cloudfront.net/image/725136000567/image_gkq2v7amah1atftd4436rliv0q/-FJPG/246180-001_FRT_1.JPG;https://dd3ka9h4chfr8.cloudfront.net/image/725136000567/image_8cpduck84574h8372rfa8a2u40/-FJPG/246180-001_PRM_1.JPG;https://dd3ka9h4chfr8.cloudfront.net/image/725136000567/image_dnlmjq6ls97bpbvmn1mb7fra5q/-FJPG/246180-001_SID_1.JPG;https://dd3ka9h4chfr8.cloudfront.net/image/725136000567/image_skc4t7vdeh23f0engpolqvha0r/-FJPG/246180-001_ESS.tif;https://dd3ka9h4chfr8.cloudfront.net/image/725136000567/image_kcvafp557d2m33ci7a04f94d49/-FJPG/246180-001_DET_2.JPG;https://dd3ka9h4chfr8.cloudfront.net/image/725136000567/image_8a7uubok3h3pt9946osomsu32v/-FJPG/246180-001_DET_1.JPG;https://dd3ka9h4chfr8.cloudfront.net/image/725136000567/image_2rmjrk8cft0hp8uuo532rfqm6f/-FJPG/246180-001_DET_3.JPG;https://dd3ka9h4chfr8.cloudfront.net/image/725136000567/image_v4vof0b3qp6e5ecal949ecad08/-FJPG/246180-001_DET_4.JPG;https://dd3ka9h4chfr8.cloudfront.net/image/725136000567/image_omhherhvqt3fj6gkuhi9pbhg0d/-FJPG/246180-001_DET_5.JPG;https://dd3ka9h4chfr8.cloudfront.net/image/725136000567/image_7offttogtl5692fadcmr62gb06/-FJPG/246180-001_DET_9.tif</t>
  </si>
  <si>
    <t>Natural Paper Cord</t>
  </si>
  <si>
    <t>246180-001</t>
  </si>
  <si>
    <t>59.97</t>
  </si>
  <si>
    <t>https://dd3ka9h4chfr8.cloudfront.net/image/725136000567/image_gkq2v7amah1atftd4436rliv0q/-FJPG/246180-001_FRT_1.JPG</t>
  </si>
  <si>
    <t>["Rush","Solid Nettlewood"]</t>
  </si>
  <si>
    <t>Fawn Nettlewood</t>
  </si>
  <si>
    <t>Thick, block-style legs bookend a two-tier bench for a unique, material-driven take on accent seating. Natural paper cord enwraps the top seat for texture, while a ladder-style lower tier of brown-finished nettlewood brings great color contrast to the whole look.</t>
  </si>
  <si>
    <t>Malin</t>
  </si>
  <si>
    <t>57.25"</t>
  </si>
  <si>
    <t>Malmo Sideboard</t>
  </si>
  <si>
    <t>https://dd3ka9h4chfr8.cloudfront.net/image/725136000567/image_pei0eq28ol3jjbvsg3f9a1ie7c/-FJPG/234062-003_FRT_1.jpg;https://dd3ka9h4chfr8.cloudfront.net/image/725136000567/image_odrp38bkvp4n97l5rnnuie8n5c/-FJPG/234062-003_PRM_1.jpg;https://dd3ka9h4chfr8.cloudfront.net/image/725136000567/image_gg7000ajr15fj4gvq2j3349d6p/-FJPG/234062-003_SID_1.jpg;https://dd3ka9h4chfr8.cloudfront.net/image/725136000567/image_lm25lmbsg1133epj6o5435jt7i/-FJPG/234062-003_DET_2.jpg;https://dd3ka9h4chfr8.cloudfront.net/image/725136000567/image_ojfunr92kd4ddcip3iuiiulb7m/-FJPG/234062-003_BCK_1.jpg;https://dd3ka9h4chfr8.cloudfront.net/image/725136000567/image_loq8ck1u4l4dva259rvdv4la7d/-FJPG/234062-003_DET_1.jpg;https://dd3ka9h4chfr8.cloudfront.net/image/725136000567/image_4lb3s4l3mh2st3h39fd7ed325g/-FJPG/234062-003_DET_3.jpg;https://dd3ka9h4chfr8.cloudfront.net/image/725136000567/image_s0ca18oe150d1eni7jt43mq107/-FJPG/234062-003_OPN_1.jpg;https://dd3ka9h4chfr8.cloudfront.net/image/725136000567/image_8selh0ibrd3rb3aprdacshgu4g/-FJPG/234062-003_TOP_1.jpg;https://dd3ka9h4chfr8.cloudfront.net/image/725136000567/image_bpmb1krrjl1c167lp5svnhga2p/-FJPG/234062-003_DET_4.jpg;https://dd3ka9h4chfr8.cloudfront.net/image/725136000567/image_535p6hin597f3e1hssmrv11c16/-FJPG/234062-003_DET_5.jpg;https://dd3ka9h4chfr8.cloudfront.net/image/725136000567/image_gdd8b5qh8d2rrajfnmr5570f3m/-FJPG/234062-003_DET_6.jpg;https://dd3ka9h4chfr8.cloudfront.net/image/725136000567/image_utjv418pmh58ffth31h1mruf73/-FJPG/234062-003_DET_9.tif;https://dd3ka9h4chfr8.cloudfront.net/image/725136000567/image_0ib5riiha56un0lm5assipv76e/-FJPG/234062-003_ESS.tif</t>
  </si>
  <si>
    <t>Aged Natural Oak</t>
  </si>
  <si>
    <t>234062-003</t>
  </si>
  <si>
    <t>218.25</t>
  </si>
  <si>
    <t>https://dd3ka9h4chfr8.cloudfront.net/image/725136000567/image_pei0eq28ol3jjbvsg3f9a1ie7c/-FJPG/234062-003_FRT_1.jpg</t>
  </si>
  <si>
    <t>A subdued statement piece with midcentury vibes. Aged natural oak doors conceal ample space, complete with shelving for dining storage and more.</t>
  </si>
  <si>
    <t>Malmo</t>
  </si>
  <si>
    <t>Malta Chair</t>
  </si>
  <si>
    <t>https://dd3ka9h4chfr8.cloudfront.net/image/725136000567/image_kqv72gfnq53v138e7916ak2q71/-FJPG/231359-001_FRT_1.jpg;https://dd3ka9h4chfr8.cloudfront.net/image/725136000567/image_695m6ev5p137n37inns1qp4a3k/-FJPG/231359-001_PRM_1.jpg;https://dd3ka9h4chfr8.cloudfront.net/image/725136000567/image_etpfc42c215rp3ukgf3ic6267j/-FJPG/231359-001_SID_1.jpg;https://dd3ka9h4chfr8.cloudfront.net/image/725136000567/image_f0uhqmr0ul10n90esmcf1uf513/-FJPG/231359-001_ESS_1.jpg;https://dd3ka9h4chfr8.cloudfront.net/image/725136000567/image_vr5nhnpnnh4r35rsuhmkvb642u/-FJPG/231359-001_DET_2.jpg;https://dd3ka9h4chfr8.cloudfront.net/image/725136000567/image_7dvnr6t6jd18vf0n58mg6dq21u/-FJPG/231359-001_BCK_1.jpg;https://dd3ka9h4chfr8.cloudfront.net/image/725136000567/image_jbcf9v58eh2i56bfq9d5gred2d/-FJPG/231359-001_INF_1.jpg;https://dd3ka9h4chfr8.cloudfront.net/image/725136000567/image_to0l1eri3d5bb0otprnbv70259/-FJPG/231359-001_DET_1.jpg;https://dd3ka9h4chfr8.cloudfront.net/image/725136000567/image_rmucnlmlm13p77lqavvqhen528/-FJPG/231359-001_DET_3.jpg;https://dd3ka9h4chfr8.cloudfront.net/image/725136000567/image_ag1mrnbg6t61t1lidlet90q611/-FJPG/231359-001_DET_4.jpg;https://dd3ka9h4chfr8.cloudfront.net/image/725136000567/image_3j5tdvs6pt4574jj1359i8er3a/-FJPG/231359-001_DET_5.jpg;https://dd3ka9h4chfr8.cloudfront.net/image/725136000567/image_jtoa8fs0oh6qr8ivkvsqvtj47s/-FJPG/231359-001_ROM_1.jpg;https://dd3ka9h4chfr8.cloudfront.net/image/725136000567/image_9jhr4mrdl15830vq76qva8jg6e/-FJPG/231359-001_PRM_2.jpg</t>
  </si>
  <si>
    <t>Piermont Oyster</t>
  </si>
  <si>
    <t>231359-001</t>
  </si>
  <si>
    <t>https://dd3ka9h4chfr8.cloudfront.net/image/725136000567/image_kqv72gfnq53v138e7916ak2q71/-FJPG/231359-001_FRT_1.jpg</t>
  </si>
  <si>
    <t>["100% Polyester","Solid Ash"]</t>
  </si>
  <si>
    <t>Sculptural rounded cushioning softens the linear, asymmetrical frame of this statement seating. Solid ash frame with cream-hued performance upholstery. Performance fabrics are specially created to withstand spills, stains, high traffic and wear, ensuring long-term comfort and unmatched durability.</t>
  </si>
  <si>
    <t>Complete Item, L Shape Box,</t>
  </si>
  <si>
    <t>Malta</t>
  </si>
  <si>
    <t>Marcel Sofa-102"</t>
  </si>
  <si>
    <t>https://dd3ka9h4chfr8.cloudfront.net/image/725136000567/image_kgkf96vgap5mdeinca0nnlc41j/-FJPG/241203-004_FRT_1.jpg;https://dd3ka9h4chfr8.cloudfront.net/image/725136000567/image_vriadm9ge973rbt0c9u3b5g77p/-FJPG/241203-004_PRM_1.jpg;https://dd3ka9h4chfr8.cloudfront.net/image/725136000567/image_q8ku6uv3bl4vvag89cev68p61e/-FJPG/241203-004_SID_1.jpg;https://dd3ka9h4chfr8.cloudfront.net/image/725136000567/image_dtnt7ctdo14fnev745iqanud5a/-FJPG/241203-004_ESS.tif;https://dd3ka9h4chfr8.cloudfront.net/image/725136000567/image_ef2av755mp7cn1ioh8s15gg65g/-FJPG/241203-004_DET_2.jpg;https://dd3ka9h4chfr8.cloudfront.net/image/725136000567/image_54of2libf53g94k7cmv2837r29/-FJPG/241203-004_BCK_1.jpg;https://dd3ka9h4chfr8.cloudfront.net/image/725136000567/image_sbggoaqgsh3ob0cvf6qbg1n077/-FJPG/241203-004_DET_1.jpg;https://dd3ka9h4chfr8.cloudfront.net/image/725136000567/image_9iu40p8bt10d576vuh2ocd7824/-FJPG/241203-004_DET_3.jpg;https://dd3ka9h4chfr8.cloudfront.net/image/725136000567/image_6s5a5gqjut0nrdjhrc00uqso1c/-FJPG/241203-004_TOP.jpg;https://dd3ka9h4chfr8.cloudfront.net/image/725136000567/image_gantq30fk17inauvrbdd1d146f/-FJPG/241203-004_DET_4.jpg;https://dd3ka9h4chfr8.cloudfront.net/image/725136000567/image_f9c10d7mcp03b6ciqfi8m32k7i/-FJPG/241203-004_DET_5.jpg;https://dd3ka9h4chfr8.cloudfront.net/image/725136000567/image_vr2otqm7bp1hjdi6d7bjs8gu3j/-FJPG/241203-004_DET_6.jpg;https://dd3ka9h4chfr8.cloudfront.net/image/725136000567/image_3ti3qjgif92rd1u1vb9obhpb4k/-FJPG/241203-004_DET_9.tif;https://dd3ka9h4chfr8.cloudfront.net/image/725136000567/image_puqppjkbup0tn8co9avljuc80d/-FJPG/241203-004_DET_10.tif;https://dd3ka9h4chfr8.cloudfront.net/image/725136000567/image_i2pssprs0p0j350oio3bjk9668/-FJPG/241203-004_DET_11.tif;https://dd3ka9h4chfr8.cloudfront.net/image/725136000567/image_jcvhsaalm962f504n1sh1i721m/-FJPG/FHMPRJ016_SCENE-4.jpg</t>
  </si>
  <si>
    <t>241203-004</t>
  </si>
  <si>
    <t>191.8</t>
  </si>
  <si>
    <t>https://dd3ka9h4chfr8.cloudfront.net/image/725136000567/image_kgkf96vgap5mdeinca0nnlc41j/-FJPG/241203-004_FRT_1.jpg</t>
  </si>
  <si>
    <t>["90% Polyester","10% Viscose (Rayon)"]</t>
  </si>
  <si>
    <t>102</t>
  </si>
  <si>
    <t>{"value":102,"unit":"in"}</t>
  </si>
  <si>
    <t>This two-over-two sofa is all about comfort. Feather-filled cushions fold over the frame, complemented by foam-fiber-feather seats and inviting taupe upholstery.</t>
  </si>
  <si>
    <t>{"value":207.89,"unit":"lb"}</t>
  </si>
  <si>
    <t>80% Polyurethane Foam, 15% Polyester Fiber, 5% Down</t>
  </si>
  <si>
    <t>Marcel</t>
  </si>
  <si>
    <t>92.00"</t>
  </si>
  <si>
    <t>Marcela Desk</t>
  </si>
  <si>
    <t>https://dd3ka9h4chfr8.cloudfront.net/image/725136000567/image_9kssa33g1517n5e0ji6hsemg33/-FJPG/242280-001_FRT_1.jpg;https://dd3ka9h4chfr8.cloudfront.net/image/725136000567/image_7kg9dpoq256odft7543a9md90c/-FJPG/242280-001_PRM_1.jpg;https://dd3ka9h4chfr8.cloudfront.net/image/725136000567/image_bkvnsoviot5il3nf8dkn2gjd0v/-FJPG/242280-001_SID_1.jpg;https://dd3ka9h4chfr8.cloudfront.net/image/725136000567/image_ugs72suh8d5obf2oq49r4lmu03/-FJPG/242280-001_ESS_1.tif;https://dd3ka9h4chfr8.cloudfront.net/image/725136000567/image_i23vtedbkl1tp89275v11hvf32/-FJPG/242280-001_DET_2.jpg;https://dd3ka9h4chfr8.cloudfront.net/image/725136000567/image_dml9kr253162h7omoc5sbnhh0j/-FJPG/242280-001_BCK_1.jpg;https://dd3ka9h4chfr8.cloudfront.net/image/725136000567/image_pthsrve7id50t49641b77f1t17/-FJPG/242280-001_DET_1.jpg;https://dd3ka9h4chfr8.cloudfront.net/image/725136000567/image_lbjp4pubd93edc7lkfm06abr4t/-FJPG/242280-001_DET_3.jpg;https://dd3ka9h4chfr8.cloudfront.net/image/725136000567/image_0amggemk5h6bb2o4j14hp7705q/-FJPG/242280-001_OPN_1.jpg;https://dd3ka9h4chfr8.cloudfront.net/image/725136000567/image_3ljs3gj46t1ef3nkfmc8151g71/-FJPG/242280-001_DET_4.jpg;https://dd3ka9h4chfr8.cloudfront.net/image/725136000567/image_5ne24521bd111br6ur86h8461q/-FJPG/242280-001_DET_5.jpg;https://dd3ka9h4chfr8.cloudfront.net/image/725136000567/image_82ttdkutjp6thbnr95fk5kk959/-FJPG/242280-001_DET_6.jpg;https://dd3ka9h4chfr8.cloudfront.net/image/725136000567/image_0u6iiti3313r312os6iekame4l/-FJPG/242280-001_DET_7.jpg;https://dd3ka9h4chfr8.cloudfront.net/image/725136000567/image_c9eot15fsd4uf0ao30khqbvv4v/-FJPG/242280-001_DET_8.jpg;https://dd3ka9h4chfr8.cloudfront.net/image/725136000567/image_qto5mvhhgh4sr7h74d62v6gv7a/-FJPG/242280-001_DET_9.tif</t>
  </si>
  <si>
    <t>Natural Morado Veneer</t>
  </si>
  <si>
    <t>242280-001</t>
  </si>
  <si>
    <t>186.51</t>
  </si>
  <si>
    <t>https://dd3ka9h4chfr8.cloudfront.net/image/725136000567/image_9kssa33g1517n5e0ji6hsemg33/-FJPG/242280-001_FRT_1.jpg</t>
  </si>
  <si>
    <t>["Morada Veneer","Brass"]</t>
  </si>
  <si>
    <t>78.25</t>
  </si>
  <si>
    <t>{"value":78.25,"unit":"in"}</t>
  </si>
  <si>
    <t>Made from natural morado with beautiful graining, this midcentury-inspired executive desk is fully finished for the option to float-style in a room.</t>
  </si>
  <si>
    <t>{"value":30.12,"unit":"in"}</t>
  </si>
  <si>
    <t>Marcela</t>
  </si>
  <si>
    <t>9.92"</t>
  </si>
  <si>
    <t>3.19"</t>
  </si>
  <si>
    <t>Marcia Accent Bench</t>
  </si>
  <si>
    <t>https://dd3ka9h4chfr8.cloudfront.net/image/725136000567/image_1h84a5auht7b58p1pev6auqb2f/-FJPG/242155-001_FRT_1.jpg;https://dd3ka9h4chfr8.cloudfront.net/image/725136000567/image_sop9lo2enp1dfcm7m8271cq908/-FJPG/242155-001_PRM_1.jpg;https://dd3ka9h4chfr8.cloudfront.net/image/725136000567/image_26221oq8rh1f9adtbfu7qost7j/-FJPG/242155-001_SID_1.jpg;https://dd3ka9h4chfr8.cloudfront.net/image/725136000567/image_cttap4c4gl4ptak7b4c18pcn18/-FJPG/242155-001_ESS_1.tif;https://dd3ka9h4chfr8.cloudfront.net/image/725136000567/image_vtcqkd8qgh4lb7v60pnsld5f25/-FJPG/242155-001_DET_2.jpg;https://dd3ka9h4chfr8.cloudfront.net/image/725136000567/image_9o47phg2s16vb38riqjpmu6p7n/-FJPG/242155-001_DET_1.jpg;https://dd3ka9h4chfr8.cloudfront.net/image/725136000567/image_6p33k31rm12gv5sk97joi9n50c/-FJPG/242155-001_DET_3.jpg;https://dd3ka9h4chfr8.cloudfront.net/image/725136000567/image_3jn4h1u6dd47h7suv97kbece67/-FJPG/242155-001_TOP_1.jpg;https://dd3ka9h4chfr8.cloudfront.net/image/725136000567/image_vjit4896vd3al1qc035sitvk3f/-FJPG/242155-001_DET_4.jpg;https://dd3ka9h4chfr8.cloudfront.net/image/725136000567/image_uf59hh4vo922930fcc4fofeo6r/-FJPG/242155-001_DET_5.jpg;https://dd3ka9h4chfr8.cloudfront.net/image/725136000567/image_au257slt152a7d4ovc51lt6016/-FJPG/242155-001_DET_6.jpg;https://dd3ka9h4chfr8.cloudfront.net/image/725136000567/image_00af06s7217c79s486tmne1f77/-FJPG/242155-001_DET_9.tif</t>
  </si>
  <si>
    <t>Nubuck Cigar</t>
  </si>
  <si>
    <t>242155-001</t>
  </si>
  <si>
    <t>111.11</t>
  </si>
  <si>
    <t>https://dd3ka9h4chfr8.cloudfront.net/image/725136000567/image_1h84a5auht7b58p1pev6auqb2f/-FJPG/242155-001_FRT_1.jpg</t>
  </si>
  <si>
    <t>["Top Grain Leather","Solid Oak","Solid Reclaimed Oak"]</t>
  </si>
  <si>
    <t>Designed by Thomas Bina and Ronald Sasson, a design partnership blending both modern minimalist and Brazilian influences. Crafted from natural reclaimed French oak with overstated joint details, with a top-grain leather cushion for comfort. Rounded edges bring a soft, playful feel to the entire piece.</t>
  </si>
  <si>
    <t>{"value":99.02,"unit":"in"}</t>
  </si>
  <si>
    <t>{"value":150.8,"unit":"lb"}</t>
  </si>
  <si>
    <t>18.46"</t>
  </si>
  <si>
    <t>Marcia</t>
  </si>
  <si>
    <t>11.06"</t>
  </si>
  <si>
    <t>10.98"</t>
  </si>
  <si>
    <t>86.06"</t>
  </si>
  <si>
    <t>Marcia Dining Table 120"</t>
  </si>
  <si>
    <t>https://dd3ka9h4chfr8.cloudfront.net/image/725136000567/image_v17uhe94194jjbojujjqoug72j/-FJPG/242112-001_FRT_1.jpg;https://dd3ka9h4chfr8.cloudfront.net/image/725136000567/image_e57kuogtk575v6t4irj1pmtl01/-FJPG/242112-001_FRT_1.tif;https://dd3ka9h4chfr8.cloudfront.net/image/725136000567/image_r3inter90l22t3nmbfsd8njl2q/-FJPG/242112-001_PRM_1.tif;https://dd3ka9h4chfr8.cloudfront.net/image/725136000567/image_nqdrmm05bl7mn5qmaepqpp7q4j/-FJPG/242112-001_PRM_1.jpg;https://dd3ka9h4chfr8.cloudfront.net/image/725136000567/image_86sp094tu1785cro5162tjl63f/-FJPG/242112-001_SID_1.tif;https://dd3ka9h4chfr8.cloudfront.net/image/725136000567/image_8fbtknv1757ub02skiv7l87t2r/-FJPG/242112-001_SID_1.jpg;https://dd3ka9h4chfr8.cloudfront.net/image/725136000567/image_7nj0unobkd3g5eh87eu2c71638/-FJPG/242112-001_ESS_1.tif;https://dd3ka9h4chfr8.cloudfront.net/image/725136000567/image_8acgecdl9d0gffjtfsd19fmr5b/-FJPG/242112-001_DET_2.jpg;https://dd3ka9h4chfr8.cloudfront.net/image/725136000567/image_oqnh51u1kh37ff42m7h7th0v32/-FJPG/242112-001_BCK_1.tif;https://dd3ka9h4chfr8.cloudfront.net/image/725136000567/image_igia6ci5c54mb19r57nmgr2r6n/-FJPG/242112-001_BCK_1.jpg;https://dd3ka9h4chfr8.cloudfront.net/image/725136000567/image_ndosc4opj939d40uph0g9jfm5v/-FJPG/242112-001_DET_1.jpg;https://dd3ka9h4chfr8.cloudfront.net/image/725136000567/image_aalebl9ks52cp4fhh0fke0eh4r/-FJPG/242112-001_DET_3.jpg;https://dd3ka9h4chfr8.cloudfront.net/image/725136000567/image_s9m39ig9pd3p7d73sulc5cjh3p/-FJPG/242112-001_DET_4.jpg;https://dd3ka9h4chfr8.cloudfront.net/image/725136000567/image_s9kblkobi10fr0mbuv4q3k5p7q/-FJPG/242112-001_DET_5.jpg;https://dd3ka9h4chfr8.cloudfront.net/image/725136000567/image_3ck76julml1nd0nc0eqjphee5v/-FJPG/242112-001_DET_6.jpg;https://dd3ka9h4chfr8.cloudfront.net/image/725136000567/image_5qcj7117sd7an4spnej6tq9g7r/-FJPG/242112-001_DET_9.tif;https://dd3ka9h4chfr8.cloudfront.net/image/725136000567/image_3h71vf1jvt2dda1vl6vsbrm479/-FJPG/FHMPRJ-008_SCENE_11.tif</t>
  </si>
  <si>
    <t>242112-001</t>
  </si>
  <si>
    <t>304.46</t>
  </si>
  <si>
    <t>https://dd3ka9h4chfr8.cloudfront.net/image/725136000567/image_v17uhe94194jjbojujjqoug72j/-FJPG/242112-001_FRT_1.jpg</t>
  </si>
  <si>
    <t>Designed by Thomas Bina and Ronald Sasson, a design partnership blending both modern minimalist and Brazilian influences. Crafted from natural reclaimed French oak with overstated joint details. Rounded edges bring a soft, playful feel to this grand-scale piece. Seats 12.</t>
  </si>
  <si>
    <t>{"value":124.21,"unit":"in"}</t>
  </si>
  <si>
    <t>{"value":47.83,"unit":"in"}</t>
  </si>
  <si>
    <t>{"value":246.48,"unit":"lb"}</t>
  </si>
  <si>
    <t>{"value":49.8,"unit":"in"}</t>
  </si>
  <si>
    <t>{"value":111.77,"unit":"lb"}</t>
  </si>
  <si>
    <t>24.33"</t>
  </si>
  <si>
    <t>35.83"</t>
  </si>
  <si>
    <t>106.61"</t>
  </si>
  <si>
    <t>30.39"</t>
  </si>
  <si>
    <t>7.80"</t>
  </si>
  <si>
    <t>1.73"</t>
  </si>
  <si>
    <t>26.02"</t>
  </si>
  <si>
    <t>Marcia Large Coffee Table</t>
  </si>
  <si>
    <t>https://dd3ka9h4chfr8.cloudfront.net/image/725136000567/image_cvgeejcsm94qb5kc59mgcac150/-FJPG/242145-001_FRT_1.jpg;https://dd3ka9h4chfr8.cloudfront.net/image/725136000567/image_uiho2ftgod35l3k3ra8hi19b6g/-FJPG/242145-001_PRM_1.jpg;https://dd3ka9h4chfr8.cloudfront.net/image/725136000567/image_118m5k5msd57f6glf80g3jng1t/-FJPG/242145-001_SID_1.jpg;https://dd3ka9h4chfr8.cloudfront.net/image/725136000567/image_d435f1rorh00l6ota5ja4nk67d/-FJPG/242145-001_ESS_1.tif;https://dd3ka9h4chfr8.cloudfront.net/image/725136000567/image_h2q4u2f8eh7tj3bl3f45251h47/-FJPG/242145-001_DET_2.jpg;https://dd3ka9h4chfr8.cloudfront.net/image/725136000567/image_ct2dlmli7h6054hmpsp1b1si5l/-FJPG/242145-001_DET_1.jpg;https://dd3ka9h4chfr8.cloudfront.net/image/725136000567/image_1hq3tfe8ll4455nro0ppifr555/-FJPG/242145-001_DET_3.jpg;https://dd3ka9h4chfr8.cloudfront.net/image/725136000567/image_k485ugqj4p0a3cm2ooq97als5o/-FJPG/242145-001_DET_4.jpg;https://dd3ka9h4chfr8.cloudfront.net/image/725136000567/image_s5ro63hfrl3nfc1926vhkdvo5v/-FJPG/242145-001_DET_5.jpg;https://dd3ka9h4chfr8.cloudfront.net/image/725136000567/image_cpr4ocrfih4ch92bc1onjsnj01/-FJPG/242145-001_DET_6.jpg;https://dd3ka9h4chfr8.cloudfront.net/image/725136000567/image_f5ntk0uva914n6ecq2jhamtp2o/-FJPG/242145-001_DET_9.tif</t>
  </si>
  <si>
    <t>242145-001</t>
  </si>
  <si>
    <t>99.21</t>
  </si>
  <si>
    <t>https://dd3ka9h4chfr8.cloudfront.net/image/725136000567/image_cvgeejcsm94qb5kc59mgcac150/-FJPG/242145-001_FRT_1.jpg</t>
  </si>
  <si>
    <t>Designed by Thomas Bina and Ronald Sasson, a design partnership blending both modern minimalist and Brazilian influences. Crafted from natural reclaimed French oak with overstated joint details. Rounded edges bring a soft, playful feel to the entire piece.</t>
  </si>
  <si>
    <t>{"value":16.93,"unit":"in"}</t>
  </si>
  <si>
    <t>62.36"</t>
  </si>
  <si>
    <t>13.58"</t>
  </si>
  <si>
    <t>Marcia Square Coffee Table</t>
  </si>
  <si>
    <t>https://dd3ka9h4chfr8.cloudfront.net/image/725136000567/image_shlslrs9vt4ataueed486pjr68/-FJPG/242147-001_FRT_1.jpg;https://dd3ka9h4chfr8.cloudfront.net/image/725136000567/image_dde3ua0ie124v015hbr4nj217d/-FJPG/242147-001_PRM_1.jpg;https://dd3ka9h4chfr8.cloudfront.net/image/725136000567/image_sb4gpc9qjt0nv9gsuesbnp285e/-FJPG/242147-001_SID_1.jpg;https://dd3ka9h4chfr8.cloudfront.net/image/725136000567/image_s3ciraro1h6vf1shnfntp0tu2v/-FJPG/242147-001_ESS_1.tif;https://dd3ka9h4chfr8.cloudfront.net/image/725136000567/image_v8a92n0hat72n1rdcecgsu804q/-FJPG/242147-001_DET_2.jpg;https://dd3ka9h4chfr8.cloudfront.net/image/725136000567/image_83ujuabd0p2m95jrb8n6dmi46p/-FJPG/242147-001_DET_1.jpg;https://dd3ka9h4chfr8.cloudfront.net/image/725136000567/image_bnu3rg65ot4blch8qj8aqn5t5v/-FJPG/242147-001_DET_3.jpg;https://dd3ka9h4chfr8.cloudfront.net/image/725136000567/image_5cm8cn72sh6dvbcujt8apqk052/-FJPG/242147-001_DET_4.jpg;https://dd3ka9h4chfr8.cloudfront.net/image/725136000567/image_20jtjospmt4jt9f7q99if3fp7v/-FJPG/242147-001_DET_5.jpg;https://dd3ka9h4chfr8.cloudfront.net/image/725136000567/image_q7c7un9hjd5nt41u4f1onuho7c/-FJPG/242147-001_DET_6.jpg;https://dd3ka9h4chfr8.cloudfront.net/image/725136000567/image_tdhgkcl6k155de3ifim5f3ch7o/-FJPG/242147-001_DET_9.tif</t>
  </si>
  <si>
    <t>242147-001</t>
  </si>
  <si>
    <t>112.43</t>
  </si>
  <si>
    <t>https://dd3ka9h4chfr8.cloudfront.net/image/725136000567/image_shlslrs9vt4ataueed486pjr68/-FJPG/242147-001_FRT_1.jpg</t>
  </si>
  <si>
    <t>{"value":58.27,"unit":"in"}</t>
  </si>
  <si>
    <t>{"value":54.33,"unit":"in"}</t>
  </si>
  <si>
    <t>43.11"</t>
  </si>
  <si>
    <t>46.65"</t>
  </si>
  <si>
    <t>2.32"</t>
  </si>
  <si>
    <t>Marcon Dining Table</t>
  </si>
  <si>
    <t>https://dd3ka9h4chfr8.cloudfront.net/image/725136000567/image_l0o40837uh6c19hk2js1rahl6t/-FJPG/242190-001_FRT_1.jpg;https://dd3ka9h4chfr8.cloudfront.net/image/725136000567/image_cts1vc52up5p734cucguse5a7c/-FJPG/242190-001_PRM_1.jpg;https://dd3ka9h4chfr8.cloudfront.net/image/725136000567/image_tcai27pl4d0515v3plralqjr67/-FJPG/242190-001_SID_1.jpg;https://dd3ka9h4chfr8.cloudfront.net/image/725136000567/image_v21u9sa1gt0cn9djpk6qpuj453/-FJPG/242190-001_ESS_1.tif;https://dd3ka9h4chfr8.cloudfront.net/image/725136000567/image_rk5snh31p95rhdi6cg9pmmgh75/-FJPG/242190-001_DET_2.jpg;https://dd3ka9h4chfr8.cloudfront.net/image/725136000567/image_i396rv7ejd66p8b28r5h4nd37e/-FJPG/242190-001_DET_1.jpg;https://dd3ka9h4chfr8.cloudfront.net/image/725136000567/image_80i38g2v857sn0jrs1dokpit1n/-FJPG/242190-001_DET_3.jpg;https://dd3ka9h4chfr8.cloudfront.net/image/725136000567/image_lkp1apn4jl1rn5hnqeu3ft8379/-FJPG/242190-001_DET_4.jpg;https://dd3ka9h4chfr8.cloudfront.net/image/725136000567/image_phd4ansbah0u9fes7baj5mik30/-FJPG/242190-001_DET_5.jpg;https://dd3ka9h4chfr8.cloudfront.net/image/725136000567/image_02686lu8695b1frcok1hurqk1e/-FJPG/242190-001_DET_6.jpg;https://dd3ka9h4chfr8.cloudfront.net/image/725136000567/image_m9q76c5t8t1hl3v0svp333d75o/-FJPG/242190-001_DET_9.tif;https://dd3ka9h4chfr8.cloudfront.net/image/725136000567/image_i8qadfd8b15q35n8dg8ers3359/-FJPG/242190-001_DET_10.tif;https://dd3ka9h4chfr8.cloudfront.net/image/725136000567/image_bkb0kd3ad12t9au368kvvi2b75/-FJPG/242190-001_DET_11.tif;https://dd3ka9h4chfr8.cloudfront.net/image/725136000567/image_aq73pau2et3p73lesdamlfg64t/-FJPG/242190-001_DET_12.tif</t>
  </si>
  <si>
    <t>242190-001</t>
  </si>
  <si>
    <t>282.63</t>
  </si>
  <si>
    <t>https://dd3ka9h4chfr8.cloudfront.net/image/725136000567/image_l0o40837uh6c19hk2js1rahl6t/-FJPG/242190-001_FRT_1.jpg</t>
  </si>
  <si>
    <t>Designed by Thomas Bina and Ronald Sasson, a design partnership blending both modern minimalist and Brazilian influences. Grand-scale dining table is crafted from natural reclaimed French oak with sleek tapered pedestal panels connected at the base. Seats 12.</t>
  </si>
  <si>
    <t>Marcon Dining Table - Top</t>
  </si>
  <si>
    <t>Marcon Dining Table - Legs</t>
  </si>
  <si>
    <t>Marcon</t>
  </si>
  <si>
    <t>28.27"</t>
  </si>
  <si>
    <t>56.61"</t>
  </si>
  <si>
    <t>25.24"</t>
  </si>
  <si>
    <t>Margot Swivel Chair</t>
  </si>
  <si>
    <t>https://dd3ka9h4chfr8.cloudfront.net/image/725136000567/image_isrj7kf8nh3mr4sotbht1epo47/-FJPG/240670-003_FRT_1.jpg;https://dd3ka9h4chfr8.cloudfront.net/image/725136000567/image_j70q17o1hl1t5fj438u9d0bl7n/-FJPG/240670-003_PRM_1.jpg;https://dd3ka9h4chfr8.cloudfront.net/image/725136000567/image_qs14rar0o94b75jcbjlcn88p4d/-FJPG/240670-003_SID_1.jpg;https://dd3ka9h4chfr8.cloudfront.net/image/725136000567/image_0jeml2sjil68v2pal5blocn72h/-FJPG/240670-003_ESS.tif;https://dd3ka9h4chfr8.cloudfront.net/image/725136000567/image_4c9bs96cpd0pv7nflosnmck050/-FJPG/240670-003_DET_2.jpg;https://dd3ka9h4chfr8.cloudfront.net/image/725136000567/image_0nb6imsc054399aeh2cdaofg1q/-FJPG/240670-003_BCK_1.jpg;https://dd3ka9h4chfr8.cloudfront.net/image/725136000567/image_oiumgskof50od9djfg4p06rg5l/-FJPG/240670-003_DET_1.jpg;https://dd3ka9h4chfr8.cloudfront.net/image/725136000567/image_vaphu5n2ph5cd0qv9st2fkcj03/-FJPG/240670-003_DET_3.jpg;https://dd3ka9h4chfr8.cloudfront.net/image/725136000567/image_fp036j7f817j503pjp00samc0m/-FJPG/240670-003_DET_4.jpg;https://dd3ka9h4chfr8.cloudfront.net/image/725136000567/image_uv6e5ih4u15frbrrqqbmbjoj2h/-FJPG/240670-003_DET_5.jpg;https://dd3ka9h4chfr8.cloudfront.net/image/725136000567/image_kkbegukkjd29fes5b90g83pu44/-FJPG/240670-003_DET_6.jpg;https://dd3ka9h4chfr8.cloudfront.net/image/725136000567/image_cvopl6eb9p6bl7jat8lvge3p4v/-FJPG/240670-003_DET_7.jpg</t>
  </si>
  <si>
    <t>Altair Sienna</t>
  </si>
  <si>
    <t>240670-003</t>
  </si>
  <si>
    <t>84.88</t>
  </si>
  <si>
    <t>https://dd3ka9h4chfr8.cloudfront.net/image/725136000567/image_isrj7kf8nh3mr4sotbht1epo47/-FJPG/240670-003_FRT_1.jpg</t>
  </si>
  <si>
    <t>A modern take on a Seventies-inspired shape. This sink-in, pillow-like chair features S-spring suspension for extra comfort and durability in the seat, all on a 360-degree swivel. Upholstered in 100% poly chenille, with a high pile for generous depth and texture. Similar to velvet, this fabric will subtly shift shades in different lighting.</t>
  </si>
  <si>
    <t>Margot</t>
  </si>
  <si>
    <t>https://dd3ka9h4chfr8.cloudfront.net/image/725136000567/image_18inqll4qd54haougt4tt13g4h/-FJPG/240670-004_FRT_1.jpg;https://dd3ka9h4chfr8.cloudfront.net/image/725136000567/image_6mif5rnpb126188lui40k8m13k/-FJPG/240670-004_PRM_1.jpg;https://dd3ka9h4chfr8.cloudfront.net/image/725136000567/image_condn9ron13q58ahgfrp6i8910/-FJPG/240670-004_SID_1.jpg;https://dd3ka9h4chfr8.cloudfront.net/image/725136000567/image_q2mnei35ep77r3g5e5btt91n33/-FJPG/240670-004_DET_2.jpg;https://dd3ka9h4chfr8.cloudfront.net/image/725136000567/image_kvhh1u0s7h1h363ne7vniodm38/-FJPG/240670-004_BCK_1.jpg;https://dd3ka9h4chfr8.cloudfront.net/image/725136000567/image_lkhetcgfgl079b30v6tceqrg16/-FJPG/240670-004_DET_1.jpg;https://dd3ka9h4chfr8.cloudfront.net/image/725136000567/image_2cdjaugrdd21n8s2jdk186q76q/-FJPG/240670-004_DET_3.jpg;https://dd3ka9h4chfr8.cloudfront.net/image/725136000567/image_534h5c6tb917j8nluem2cr3d59/-FJPG/240670-004_TOP_1.jpg;https://dd3ka9h4chfr8.cloudfront.net/image/725136000567/image_b8p6tdgob96th0u99rt0ghgf3f/-FJPG/240670-004_DET_4.jpg;https://dd3ka9h4chfr8.cloudfront.net/image/725136000567/image_58lo32fg7p7kdc2d5ob7ebvn65/-FJPG/240670-004_DET_5.jpg;https://dd3ka9h4chfr8.cloudfront.net/image/725136000567/image_ldam16os7p3br0j7f4m1r77p2u/-FJPG/240670-004_DET_6.jpg;https://dd3ka9h4chfr8.cloudfront.net/image/725136000567/image_49ildejcdp1d98dnp85vkb1b5u/-FJPG/240670-004_DET_7.jpg;https://dd3ka9h4chfr8.cloudfront.net/image/725136000567/image_sb43gun9l116d3vc6bmod7oa22/-FJPG/240670-004_DET_8.jpg</t>
  </si>
  <si>
    <t>240670-004</t>
  </si>
  <si>
    <t>https://dd3ka9h4chfr8.cloudfront.net/image/725136000567/image_18inqll4qd54haougt4tt13g4h/-FJPG/240670-004_FRT_1.jpg</t>
  </si>
  <si>
    <t>A modern take on a Seventies-inspired shape. This sink-in, pillow-like chair features S-spring suspension for extra comfort and durability in the seat, all on a 360-degree swivel. Upholstered in an exaggerated boucle fabric with extra depth and texture throughout.</t>
  </si>
  <si>
    <t>https://dd3ka9h4chfr8.cloudfront.net/image/725136000567/image_2a3rk1jn9t7hf6s6kagp4m876m/-FJPG/240670-001_FRT_1.jpg;https://dd3ka9h4chfr8.cloudfront.net/image/725136000567/image_65tep05bh968fb0lac9pbel07s/-FJPG/240670-001_PRM_1.jpg;https://dd3ka9h4chfr8.cloudfront.net/image/725136000567/image_9931e6qrc906nd7ne5hc25m85v/-FJPG/240670-001_SID_1.jpg;https://dd3ka9h4chfr8.cloudfront.net/image/725136000567/image_i7v6dkcrgd0tp7uhkop5dsru5u/-FJPG/240670-001_ESS.tif;https://dd3ka9h4chfr8.cloudfront.net/image/725136000567/image_74a68pk1p97gt418nuih7bph6t/-FJPG/240670-001_DET_2.jpg;https://dd3ka9h4chfr8.cloudfront.net/image/725136000567/image_pk1mgk13hl6klc0k9nss82gn1e/-FJPG/240670-001_BCK_1.jpg;https://dd3ka9h4chfr8.cloudfront.net/image/725136000567/image_b4i72qgktd7ht56rnfaolto94q/-FJPG/240670-001_DET_1.jpg;https://dd3ka9h4chfr8.cloudfront.net/image/725136000567/image_egojob4mmh6eb6eu6jju0smu38/-FJPG/240670-001_DET_3.jpg;https://dd3ka9h4chfr8.cloudfront.net/image/725136000567/image_ms9vh6kjvp3hna46ao4dsf9812/-FJPG/240670-001_DET_4.jpg;https://dd3ka9h4chfr8.cloudfront.net/image/725136000567/image_2fek1ga3pl3kr2oe2c97qqhi5g/-FJPG/240670-001_DET_5.jpg;https://dd3ka9h4chfr8.cloudfront.net/image/725136000567/image_505id4am617m59aa3s5v84j11c/-FJPG/240670-001_DET_6.jpg;https://dd3ka9h4chfr8.cloudfront.net/image/725136000567/image_h43nflhplp4rncrfen5hftqg5b/-FJPG/240670-001_DET_7.jpg;https://dd3ka9h4chfr8.cloudfront.net/image/725136000567/image_pkvks418cp0e362fdtf80n2e18/-FJPG/240670-001_DET_8.jpg;https://dd3ka9h4chfr8.cloudfront.net/image/725136000567/image_j4on0b0pmh2hp3c53ur76v1475/-FJPG/240670-001_DET_9.tif;https://dd3ka9h4chfr8.cloudfront.net/image/725136000567/image_67mcpup73p4al0fg1ms3ngts3f/-FJPG/240670-001_ROM_1.jpg</t>
  </si>
  <si>
    <t>240670-001</t>
  </si>
  <si>
    <t>https://dd3ka9h4chfr8.cloudfront.net/image/725136000567/image_2a3rk1jn9t7hf6s6kagp4m876m/-FJPG/240670-001_FRT_1.jpg</t>
  </si>
  <si>
    <t>["65% Acrylic","21% Polyester","10% Wool","3% Cotton","and 1% Rayon"]</t>
  </si>
  <si>
    <t>Mariana Sideboard</t>
  </si>
  <si>
    <t>https://dd3ka9h4chfr8.cloudfront.net/image/725136000567/image_d86m2i62ip3fd284nec7smne5u/-FJPG/242205-001_FRT_1.jpg;https://dd3ka9h4chfr8.cloudfront.net/image/725136000567/image_ffjoq8mic93tfe1jqob3k56j7n/-FJPG/242205-001_PRM_1.jpg;https://dd3ka9h4chfr8.cloudfront.net/image/725136000567/image_5ljitevqh16ancc578mjt7oo53/-FJPG/242205-001_SID_1.jpg;https://dd3ka9h4chfr8.cloudfront.net/image/725136000567/image_n2grlbiokl3sl1tf067k2h7873/-FJPG/242205-001_ESS_1.tif;https://dd3ka9h4chfr8.cloudfront.net/image/725136000567/image_cjmt94ejhl6if4qmu0hclud91n/-FJPG/242205-001_DET_2.jpg;https://dd3ka9h4chfr8.cloudfront.net/image/725136000567/image_edm05u7cqp5bv2r5e080b54e02/-FJPG/242205-001_BCK_1.jpg;https://dd3ka9h4chfr8.cloudfront.net/image/725136000567/image_2cf0bjjmpl13p0udg68geno874/-FJPG/242205-001_DET_1.jpg;https://dd3ka9h4chfr8.cloudfront.net/image/725136000567/image_crn8c2l8lh3535v91es4gh254t/-FJPG/242205-001_DET_3.jpg;https://dd3ka9h4chfr8.cloudfront.net/image/725136000567/image_9dkng9k8nh6op9upb842s74604/-FJPG/242205-001_OPN_1.jpg;https://dd3ka9h4chfr8.cloudfront.net/image/725136000567/image_5g50fkk2pt0gr06c5cvugv2o3d/-FJPG/242205-001_DET_4.jpg;https://dd3ka9h4chfr8.cloudfront.net/image/725136000567/image_smmkjq2e1l1q352gnoo9l9q561/-FJPG/242205-001_DET_5.jpg;https://dd3ka9h4chfr8.cloudfront.net/image/725136000567/image_blbl3pb8jp3otbk2l2beg4ku6d/-FJPG/242205-001_DET_6.jpg;https://dd3ka9h4chfr8.cloudfront.net/image/725136000567/image_s4f274q0m57hl9ltqua0gv8b2r/-FJPG/242205-001_DET_7.jpg;https://dd3ka9h4chfr8.cloudfront.net/image/725136000567/image_ighikp5tv969vf2t8f7tv6gd7h/-FJPG/242205-001_DET_9.tif;https://dd3ka9h4chfr8.cloudfront.net/image/725136000567/image_p5urmgkru97kvanpe8e7dmf26d/-FJPG/242205-001_DET_10.tif</t>
  </si>
  <si>
    <t>242205-001</t>
  </si>
  <si>
    <t>https://dd3ka9h4chfr8.cloudfront.net/image/725136000567/image_d86m2i62ip3fd284nec7smne5u/-FJPG/242205-001_FRT_1.jpg</t>
  </si>
  <si>
    <t>19.5</t>
  </si>
  <si>
    <t>Designed by Thomas Bina and Ronald Sasson, a design partnership blending both modern minimalist and Brazilian influences. Large-scale sideboard is crafted from natural reclaimed French oak with simple, minimal shaping that lets the beautiful wood graining take center stage.</t>
  </si>
  <si>
    <t>{"value":97.83,"unit":"in"}</t>
  </si>
  <si>
    <t>{"value":321.87,"unit":"lb"}</t>
  </si>
  <si>
    <t>Mariana</t>
  </si>
  <si>
    <t>46.30"</t>
  </si>
  <si>
    <t>Markia Chair</t>
  </si>
  <si>
    <t>https://dd3ka9h4chfr8.cloudfront.net/image/725136000567/image_8b5rb2huk174d7bmg7ckfp9n5v/-FJPG/230991-001_FRT_1.jpg;https://dd3ka9h4chfr8.cloudfront.net/image/725136000567/image_5vmv4koe99787dal35ud34qj6l/-FJPG/230991-001_PRM_1.jpg;https://dd3ka9h4chfr8.cloudfront.net/image/725136000567/image_th9qk4e5vl0rt5g3ivlp99452m/-FJPG/230991-001_SID_1.jpg;https://dd3ka9h4chfr8.cloudfront.net/image/725136000567/image_2neiuk8tuh3fj1768jmnh2to0d/-FJPG/230991-001_ESS_1.jpg;https://dd3ka9h4chfr8.cloudfront.net/image/725136000567/image_ttjb0qpl5d3377n88u43ge017f/-FJPG/230991-001_DET_2.jpg;https://dd3ka9h4chfr8.cloudfront.net/image/725136000567/image_7p3l29gdn521fcdenahknfpq44/-FJPG/230991-001_BCK_1.jpg;https://dd3ka9h4chfr8.cloudfront.net/image/725136000567/image_1s1ogorm1t7a77c7l0kctpcd54/-FJPG/230991-001_DET_1.jpg;https://dd3ka9h4chfr8.cloudfront.net/image/725136000567/image_ibo5qrcihd209d6ab3bdic834k/-FJPG/230991-001_DET_3.jpg;https://dd3ka9h4chfr8.cloudfront.net/image/725136000567/image_c2urhglp2t4n94792ovqve6k1l/-FJPG/230991-001_DET_4.jpg;https://dd3ka9h4chfr8.cloudfront.net/image/725136000567/image_5svtcsrsel15t1jp36gu3c2c3h/-FJPG/230991-001_DET_5.jpg;https://dd3ka9h4chfr8.cloudfront.net/image/725136000567/image_s6cjoc8oot7b9cpqpmj0uune0b/-FJPG/230991-001_DET_6.jpg</t>
  </si>
  <si>
    <t>Brickhouse Dark Brown</t>
  </si>
  <si>
    <t>230991-001</t>
  </si>
  <si>
    <t>https://dd3ka9h4chfr8.cloudfront.net/image/725136000567/image_8b5rb2huk174d7bmg7ckfp9n5v/-FJPG/230991-001_FRT_1.jpg</t>
  </si>
  <si>
    <t>Vintage Ash</t>
  </si>
  <si>
    <t>Midcentury-style seating with brass metal detailing exudes warm presence. Solid ash frames simple, perfectly pitched seating of top-grain leather, for a classic look with subtly masculine vibes.</t>
  </si>
  <si>
    <t>{"value":33.66,"unit":"in"}</t>
  </si>
  <si>
    <t>Markia</t>
  </si>
  <si>
    <t>Markia Desk</t>
  </si>
  <si>
    <t>https://dd3ka9h4chfr8.cloudfront.net/image/725136000567/image_b03tc027h13091e1se6qbi0b3r/-FJPG/233749-001_FRT_1.jpg;https://dd3ka9h4chfr8.cloudfront.net/image/725136000567/image_0qqraf01hp5pnbjt9j915cc70t/-FJPG/233749-001_PRM_1.jpg;https://dd3ka9h4chfr8.cloudfront.net/image/725136000567/image_elf6hlpbl52g74b24m3c8drp1h/-FJPG/233749-001_SID_1.jpg;https://dd3ka9h4chfr8.cloudfront.net/image/725136000567/image_k2p2o91aq13cv19vrbc8krph3v/-FJPG/233749-001_ESS_1.tif;https://dd3ka9h4chfr8.cloudfront.net/image/725136000567/image_gdkj09jr6t3un78hqhn39thh31/-FJPG/233749-001_DET_2.jpg;https://dd3ka9h4chfr8.cloudfront.net/image/725136000567/image_sk1qd8bd1h4gj7emr2ubklpp13/-FJPG/233749-001_DET_2.tif;https://dd3ka9h4chfr8.cloudfront.net/image/725136000567/image_drblcimdg553n90dkf6lkiec4n/-FJPG/233749-001_BCK_1.jpg;https://dd3ka9h4chfr8.cloudfront.net/image/725136000567/image_267qmj5ovd1rb2426bg3p4pb1e/-FJPG/233749-001_DET_1.jpg;https://dd3ka9h4chfr8.cloudfront.net/image/725136000567/image_c1qnm3otll7a116gipdk37vi47/-FJPG/233749-001_DET_3.jpg;https://dd3ka9h4chfr8.cloudfront.net/image/725136000567/image_vshjmffqnp3gv3561l4gsg700u/-FJPG/233749-001_OPN_1.jpg;https://dd3ka9h4chfr8.cloudfront.net/image/725136000567/image_jsvbpvde3h3in7jt7ccegpil2l/-FJPG/233749-001_DET_4.jpg;https://dd3ka9h4chfr8.cloudfront.net/image/725136000567/image_87erihrcqd4p144tt7o7aigv06/-FJPG/233749-001_DET_5.jpg;https://dd3ka9h4chfr8.cloudfront.net/image/725136000567/image_777u6a5jq90ipfpi5c4p47vi6d/-FJPG/233749-001_DET_6.jpg;https://dd3ka9h4chfr8.cloudfront.net/image/725136000567/image_elkv4n1p8l155drokgbv8v1b5m/-FJPG/233749-001_DET_7.jpg;https://dd3ka9h4chfr8.cloudfront.net/image/725136000567/image_kqalb8kak13qhb9usi8oklbq4a/-FJPG/233749-001_DET_8.jpg;https://dd3ka9h4chfr8.cloudfront.net/image/725136000567/image_fjno9ai8v1529890r6gjdkbv51/-FJPG/233749-001_DET_9.jpg</t>
  </si>
  <si>
    <t>Aged Oak Veneer</t>
  </si>
  <si>
    <t>233749-001</t>
  </si>
  <si>
    <t>https://dd3ka9h4chfr8.cloudfront.net/image/725136000567/image_b03tc027h13091e1se6qbi0b3r/-FJPG/233749-001_FRT_1.jpg</t>
  </si>
  <si>
    <t>An elegant writing desk of aged oak features turned, cylindrical legs reflective of European antique inspiration.</t>
  </si>
  <si>
    <t>{"value":135.58,"unit":"lb"}</t>
  </si>
  <si>
    <t>7.24"</t>
  </si>
  <si>
    <t>59.65"</t>
  </si>
  <si>
    <t>26.14"</t>
  </si>
  <si>
    <t>22.74"</t>
  </si>
  <si>
    <t>Markia Executive Desk</t>
  </si>
  <si>
    <t>https://dd3ka9h4chfr8.cloudfront.net/image/725136000567/image_rtenuh2kk50rj50fda2jjpqj33/-FJPG/236894-001_FRT_1.jpg;https://dd3ka9h4chfr8.cloudfront.net/image/725136000567/image_hduueq6q5p6cl13ef2ngugdp6q/-FJPG/236894-001_PRM_1.jpg;https://dd3ka9h4chfr8.cloudfront.net/image/725136000567/image_3l983vtgd57r1bpqlr8597rc53/-FJPG/236894-001_SID_1.jpg;https://dd3ka9h4chfr8.cloudfront.net/image/725136000567/image_j7841ti4753s334b4acqn0dg5k/-FJPG/236894-001_ESS.tif;https://dd3ka9h4chfr8.cloudfront.net/image/725136000567/image_iargul60ut4jhdvebp26ueau3q/-FJPG/236894-001_DET_2.jpg;https://dd3ka9h4chfr8.cloudfront.net/image/725136000567/image_7segtd03fl69f6gjpuk9oc2n7d/-FJPG/236894-001_BCK_1.jpg;https://dd3ka9h4chfr8.cloudfront.net/image/725136000567/image_umugahslmp4chage52ir545s5r/-FJPG/236894-001_DET_1.jpg;https://dd3ka9h4chfr8.cloudfront.net/image/725136000567/image_gm617a15rh17rd7d7pe2tp2i3e/-FJPG/236894-001_DET_3.jpg;https://dd3ka9h4chfr8.cloudfront.net/image/725136000567/image_7fp5a804j909pcnoq4mbme046k/-FJPG/236894-001_OPN_1.jpg;https://dd3ka9h4chfr8.cloudfront.net/image/725136000567/image_68vdeho1l50k55vgui9md5d577/-FJPG/236894-001_DET_4.jpg;https://dd3ka9h4chfr8.cloudfront.net/image/725136000567/image_um4pqo6adt1n71i214l4l25l50/-FJPG/236894-001_DET_5.jpg;https://dd3ka9h4chfr8.cloudfront.net/image/725136000567/image_vvjdh2gtn559ddrdp7vbp5750d/-FJPG/236894-001_DET_6.jpg;https://dd3ka9h4chfr8.cloudfront.net/image/725136000567/image_9r18kes4rd3pbeftats9jjuj6n/-FJPG/236894-001_DET_7.jpg;https://dd3ka9h4chfr8.cloudfront.net/image/725136000567/image_7makr3fd016jt91o0qgbpebu2q/-FJPG/236894-001_DET_8.jpg;https://dd3ka9h4chfr8.cloudfront.net/image/725136000567/image_ku1s3eb2f541b6ai0qn0kpvp4j/-FJPG/236894-001_DET_9.tif;https://dd3ka9h4chfr8.cloudfront.net/image/725136000567/image_0k61dd5b1d6c1d95ho65mj0e5q/-FJPG/236894-001_DET_9.jpg;https://dd3ka9h4chfr8.cloudfront.net/image/725136000567/image_4bpf3857n12814ihkgmuklhd3g/-FJPG/236894-001_DET_10.tif;https://dd3ka9h4chfr8.cloudfront.net/image/725136000567/image_tt4glccnll1g31o8hbfm2fbr52/-FJPG/236894-001_ESS.tif</t>
  </si>
  <si>
    <t>236894-001</t>
  </si>
  <si>
    <t>https://dd3ka9h4chfr8.cloudfront.net/image/725136000567/image_rtenuh2kk50rj50fda2jjpqj33/-FJPG/236894-001_FRT_1.jpg</t>
  </si>
  <si>
    <t>Rubbed Bronze</t>
  </si>
  <si>
    <t>An executive-style desk of aged oak, inspired by European antiques. Turned, cylindrical legs adapt this charming heirloom-inspired piece for the modern home office and beyond.</t>
  </si>
  <si>
    <t>{"value":39.49,"unit":"in"}</t>
  </si>
  <si>
    <t>7.62"</t>
  </si>
  <si>
    <t>9.27"</t>
  </si>
  <si>
    <t>25.55"</t>
  </si>
  <si>
    <t>12.05"</t>
  </si>
  <si>
    <t>13.43"</t>
  </si>
  <si>
    <t>Marlow Mod Pedestal Table</t>
  </si>
  <si>
    <t>https://dd3ka9h4chfr8.cloudfront.net/image/725136000567/image_pjg6518s456rnamsoum123bp2s/-FJPG/IMAR-48_PRM_1.jpg;https://dd3ka9h4chfr8.cloudfront.net/image/725136000567/image_8h5oufv2u92630vk6d0gb4ji5c/-FJPG/IMAR-48_ESS_1.jpg;https://dd3ka9h4chfr8.cloudfront.net/image/725136000567/image_5qva9fk1s52idc6s86mm37mu4a/-FJPG/IMAR-48_DET_2.jpg;https://dd3ka9h4chfr8.cloudfront.net/image/725136000567/image_d47hg6h8u925j9ev47blhgoc0m/-FJPG/IMAR-48_DET_1.jpg;https://dd3ka9h4chfr8.cloudfront.net/image/725136000567/image_6j3c4k3lc970173bfqnq5fdv6l/-FJPG/IMAR-48_DET_3.jpg;https://dd3ka9h4chfr8.cloudfront.net/image/725136000567/image_q33efskh4p7rd8udailcufch19/-FJPG/IMAR-48_DET_4.jpg;https://dd3ka9h4chfr8.cloudfront.net/image/725136000567/image_jf91psjmg90m5824hurblfr73a/-FJPG/IMAR-48_ROM_1.jpg</t>
  </si>
  <si>
    <t>Brushed Nickel</t>
  </si>
  <si>
    <t>IMAR-48</t>
  </si>
  <si>
    <t>https://dd3ka9h4chfr8.cloudfront.net/image/725136000567/image_pjg6518s456rnamsoum123bp2s/-FJPG/IMAR-48_PRM_1.jpg</t>
  </si>
  <si>
    <t>["Glass","Aluminum"]</t>
  </si>
  <si>
    <t>Ash Glass</t>
  </si>
  <si>
    <t>The vintage-inspired personality of this brushed nickel-toned pedestal table meets a mirrored top in ash glass to make a bold, modern statement with an on-trend metallic pop.</t>
  </si>
  <si>
    <t>{"value":25,"unit":"lb"}</t>
  </si>
  <si>
    <t>0.31"</t>
  </si>
  <si>
    <t>https://dd3ka9h4chfr8.cloudfront.net/image/725136000567/image_snamo4u6at7nf17kgksrs9ht56/-FJPG/IMAR-48A_PRM_1.jpg;https://dd3ka9h4chfr8.cloudfront.net/image/725136000567/image_8g4gd61h1d3hh4d9rtdee1940s/-FJPG/IMAR-48A_DET_2.jpg;https://dd3ka9h4chfr8.cloudfront.net/image/725136000567/image_2e55lt63cp0mr8vrqnujpucj32/-FJPG/IMAR-48A_DET_1.jpg;https://dd3ka9h4chfr8.cloudfront.net/image/725136000567/image_jj1g0ct5j976b5eqf1jts8nc1r/-FJPG/IMAR-48A_DET_3.jpg;https://dd3ka9h4chfr8.cloudfront.net/image/725136000567/image_lq9d8cbrj53hr0ah22631tu50r/-FJPG/IMAR-48A_DET_4.jpg;https://dd3ka9h4chfr8.cloudfront.net/image/725136000567/image_3495qls19p0h7256n7uuf2fn11/-FJPG/IMAR-48A_DET_5.jpg;https://dd3ka9h4chfr8.cloudfront.net/image/725136000567/image_djn0fpgmtp5anbbcsiiskilq4o/-FJPG/IMAR-48A_ROM_1.jpg</t>
  </si>
  <si>
    <t>IMAR-48A</t>
  </si>
  <si>
    <t>https://dd3ka9h4chfr8.cloudfront.net/image/725136000567/image_snamo4u6at7nf17kgksrs9ht56/-FJPG/IMAR-48A_PRM_1.jpg</t>
  </si>
  <si>
    <t>The vintage-inspired personality of this brushed bronze-toned pedestal table meets a mirrored top in ash glass to make a bold, modern statement with an on-trend metallic pop.</t>
  </si>
  <si>
    <t>https://dd3ka9h4chfr8.cloudfront.net/image/725136000567/image_gcsk08gr2h1mv5cjfqq880cb3p/-FJPG/IMAR-48-BBS_PRM_1.jpg;https://dd3ka9h4chfr8.cloudfront.net/image/725136000567/image_c8n1uia8s13kredevjk10o457r/-FJPG/IMAR-48-BBS_DET_2.jpg;https://dd3ka9h4chfr8.cloudfront.net/image/725136000567/image_g81j42u1ut59b1p2g5nsmsou48/-FJPG/IMAR-48-BBS_DET_1.jpg;https://dd3ka9h4chfr8.cloudfront.net/image/725136000567/image_urkvm12m5d78nfioip3ja9kq0f/-FJPG/IMAR-48-BBS_ROM_1.jpg;https://dd3ka9h4chfr8.cloudfront.net/image/725136000567/image_vt8jt7peo912h4of050923lr37/-FJPG/IMAR-48-BBS_ROM_2.jpg;https://dd3ka9h4chfr8.cloudfront.net/image/725136000567/image_c0t9ep0ij57mf1n0i4lls59h4g/-FJPG/IMAR-48-BBS_ROM_3.jpg;https://dd3ka9h4chfr8.cloudfront.net/image/725136000567/image_klj4sjc7eh3319j0r4t119tq4t/-FJPG/IMAR-48-BBS_ROM_4.jpg</t>
  </si>
  <si>
    <t>IMAR-48-BBS</t>
  </si>
  <si>
    <t>https://dd3ka9h4chfr8.cloudfront.net/image/725136000567/image_gcsk08gr2h1mv5cjfqq880cb3p/-FJPG/IMAR-48-BBS_PRM_1.jpg</t>
  </si>
  <si>
    <t>The vintage-inspired personality of this pedestal table with an antiqued mirror top makes a bold, modern statement with an on-trend metallic pop.</t>
  </si>
  <si>
    <t>Marquez Sleeper Chair</t>
  </si>
  <si>
    <t>https://dd3ka9h4chfr8.cloudfront.net/image/725136000567/image_7ofljlfag54ifdp15h5r7b2t08/-FJPG/246028-001_FRT_1.jpg;https://dd3ka9h4chfr8.cloudfront.net/image/725136000567/image_aa7r5j7hnh591fr1idha7jsa2m/-FJPG/246028-001_PRM_1.jpg;https://dd3ka9h4chfr8.cloudfront.net/image/725136000567/image_29g6tn6vhl0nd3b68acodt5t1k/-FJPG/246028-001_SID_1.jpg;https://dd3ka9h4chfr8.cloudfront.net/image/725136000567/image_3ruv7ho5ll6sn629p22n3jrj4m/-FJPG/246028-001_ESS.tif;https://dd3ka9h4chfr8.cloudfront.net/image/725136000567/image_01fcs5uc3h6bf7ncthj5lk0q39/-FJPG/246028-001_DET_2.jpg;https://dd3ka9h4chfr8.cloudfront.net/image/725136000567/image_tsllr4qaq14u35inqvp933vb7c/-FJPG/246028-001_BCK_1.jpg;https://dd3ka9h4chfr8.cloudfront.net/image/725136000567/image_mp5u7fp5od30f0p5jt9ke9fa4d/-FJPG/246028-001_DET_3.jpg;https://dd3ka9h4chfr8.cloudfront.net/image/725136000567/image_qnini03kbp7arb2upb47gfod5d/-FJPG/246028-001_OPN_1.jpg;https://dd3ka9h4chfr8.cloudfront.net/image/725136000567/image_0db8aar2nh33pfm2a9md7d855j/-FJPG/246028-001_DET_4.jpg;https://dd3ka9h4chfr8.cloudfront.net/image/725136000567/image_kfjgknr3j13op9u8o9vb813e21/-FJPG/246028-001_DET_5.jpg;https://dd3ka9h4chfr8.cloudfront.net/image/725136000567/image_e3kho06k7p35n0k49ol56jbg5n/-FJPG/246028-001_DET_6.jpg</t>
  </si>
  <si>
    <t>Alameda Snow</t>
  </si>
  <si>
    <t>246028-001</t>
  </si>
  <si>
    <t>https://dd3ka9h4chfr8.cloudfront.net/image/725136000567/image_7ofljlfag54ifdp15h5r7b2t08/-FJPG/246028-001_FRT_1.jpg</t>
  </si>
  <si>
    <t>["88% Olefin","11% Polyester (UV)","1% Polyester","Solid Poplar"]</t>
  </si>
  <si>
    <t>Cocoa Brown</t>
  </si>
  <si>
    <t>A sleek occasional chair that doubles as a twin sleeper. Oversized with clean, straight lines, this piece feels comfortable and modern. Padded track arms cradle removable foam and fiber seat and back cushions that can be removed to access the sleeper mechanism. Paired with classic ski legs in cocoa brown and covered in light fabric upholstery, this chair easily blends form and function.</t>
  </si>
  <si>
    <t>Marquez</t>
  </si>
  <si>
    <t>Marquez Sleeper Sofa-76"</t>
  </si>
  <si>
    <t>https://dd3ka9h4chfr8.cloudfront.net/image/725136000567/image_gpiuu841f50kdcom3qsth1635q/-FJPG/246035-001_FRT_1.jpg;https://dd3ka9h4chfr8.cloudfront.net/image/725136000567/image_ait66q44852mpapos8p9ff6f2q/-FJPG/246035-001_PRM_1.jpg;https://dd3ka9h4chfr8.cloudfront.net/image/725136000567/image_rejjv0rfod4h57s6u0uckfdj4b/-FJPG/246035-001_SID_1.jpg;https://dd3ka9h4chfr8.cloudfront.net/image/725136000567/image_bhlktcg08h37r670bkre0e3p3o/-FJPG/246035-001_ESS.tif;https://dd3ka9h4chfr8.cloudfront.net/image/725136000567/image_n0s99h4a8l0fh6oghnrrvs7670/-FJPG/246035-001_DET_2.jpg;https://dd3ka9h4chfr8.cloudfront.net/image/725136000567/image_em5q5c3lj56pjfeqb1b8m3kk79/-FJPG/246035-001_BCK_1.jpg;https://dd3ka9h4chfr8.cloudfront.net/image/725136000567/image_vabbo5p60l6634i68nkbdhd06e/-FJPG/246035-001_DET_1.jpg;https://dd3ka9h4chfr8.cloudfront.net/image/725136000567/image_7vo0o5irq50ptclhojdsmiha2v/-FJPG/246035-001_DET_3.jpg;https://dd3ka9h4chfr8.cloudfront.net/image/725136000567/image_um2d9me6jl4qna65jhr3hqbj5t/-FJPG/246035-001_DET_4.jpg;https://dd3ka9h4chfr8.cloudfront.net/image/725136000567/image_vklvhcamjt5qb5eq7s2bpg7367/-FJPG/246035-001_DET_5.jpg;https://dd3ka9h4chfr8.cloudfront.net/image/725136000567/image_340qfvg1511t93nv2smjdibh7c/-FJPG/246035-001_DET_6.jpg;https://dd3ka9h4chfr8.cloudfront.net/image/725136000567/image_gvqg0qd2d17jl7paa4irbpni58/-FJPG/246035-001_DET_7.jpg;https://dd3ka9h4chfr8.cloudfront.net/image/725136000567/image_r19pr511l15p1crhh9hui7l85r/-FJPG/246035-001_DET_8.jpg;https://dd3ka9h4chfr8.cloudfront.net/image/725136000567/image_upq4ilqidl0nd71f2hfhleti74/-FJPG/246035-001_DET_9.tif;https://dd3ka9h4chfr8.cloudfront.net/image/725136000567/image_liv7ukf1f50ob3soi1t3cdrk4s/-FJPG/246035-001_DET_10.tif;https://dd3ka9h4chfr8.cloudfront.net/image/725136000567/image_s4np2ve2kh6j7afi54okjr4s6l/-FJPG/246035-001_DET_12.jpg;https://dd3ka9h4chfr8.cloudfront.net/image/725136000567/image_ltcbugv2pp559175f4pcklge1d/-FJPG/246035-001_DET_13.jpg;https://dd3ka9h4chfr8.cloudfront.net/image/725136000567/image_4jainj6tnt3dpfbupjldu6nr02/-FJPG/246035-001_DET_14.jpg;https://dd3ka9h4chfr8.cloudfront.net/image/725136000567/image_k3tcpremg52onfjgk7kighq80u/-FJPG/246035-001_DET_15.jpg;https://dd3ka9h4chfr8.cloudfront.net/image/725136000567/image_3aaoa96ab15el28bst9fug9q7m/-FJPG/246035-001_DET_16.jpg</t>
  </si>
  <si>
    <t>246035-001</t>
  </si>
  <si>
    <t>196.21</t>
  </si>
  <si>
    <t>https://dd3ka9h4chfr8.cloudfront.net/image/725136000567/image_gpiuu841f50kdcom3qsth1635q/-FJPG/246035-001_FRT_1.jpg</t>
  </si>
  <si>
    <t>A sleek sofa that doubles as a queen sleeper. Oversized with clean, straight lines, this piece feels comfortable and modern. Padded track arms cradle removable foam and fiber seat and back cushions that can be removed to access the sleeper mechanism. Paired with classic ski legs in cocoa brown and covered in light fabric upholstery, this chair easily blends form and function.</t>
  </si>
  <si>
    <t>{"value":209.44,"unit":"lb"}</t>
  </si>
  <si>
    <t>69.50"</t>
  </si>
  <si>
    <t>Martine Swivel Chair</t>
  </si>
  <si>
    <t>https://dd3ka9h4chfr8.cloudfront.net/image/725136000567/image_41dnt63bth28l2kco4df3hrg1q/-FJPG/231641-001_FRT_1.jpg;https://dd3ka9h4chfr8.cloudfront.net/image/725136000567/image_s8cpftj8n57c729l071lqhp70m/-FJPG/231641-001_PRM_1.jpg;https://dd3ka9h4chfr8.cloudfront.net/image/725136000567/image_m17t949lld5252u3mfk0qh7g0s/-FJPG/231641-001_SID_1.jpg;https://dd3ka9h4chfr8.cloudfront.net/image/725136000567/image_icnht21ncp025beeke48kl7r1g/-FJPG/231641-001_ESS_1.jpg;https://dd3ka9h4chfr8.cloudfront.net/image/725136000567/image_jpl95ahtot2ff8ndo4u98bf177/-FJPG/231641-001_DET_2.jpg;https://dd3ka9h4chfr8.cloudfront.net/image/725136000567/image_4cj3lobvjd3credfqsmgq8ua2c/-FJPG/231641-001_BCK_1.jpg;https://dd3ka9h4chfr8.cloudfront.net/image/725136000567/image_c6l9palh1l4pveudualkuluh33/-FJPG/231641-001_DET_1.jpg;https://dd3ka9h4chfr8.cloudfront.net/image/725136000567/image_8nf1aft16h12l42qsjls2b4n27/-FJPG/231641-001_DET_3.jpg;https://dd3ka9h4chfr8.cloudfront.net/image/725136000567/image_a1oie7rqjp14ra8joiep2oee20/-FJPG/231641-001_DET_4.jpg;https://dd3ka9h4chfr8.cloudfront.net/image/725136000567/image_lnr501vnbt2q3a6a32lnt1th4v/-FJPG/231641-001_DET_5.jpg</t>
  </si>
  <si>
    <t>Omari Natural</t>
  </si>
  <si>
    <t>231641-001</t>
  </si>
  <si>
    <t>70.11</t>
  </si>
  <si>
    <t>https://dd3ka9h4chfr8.cloudfront.net/image/725136000567/image_41dnt63bth28l2kco4df3hrg1q/-FJPG/231641-001_FRT_1.jpg</t>
  </si>
  <si>
    <t>["79% Polyester","16% Viscose (Rayon)","5% Flax/Linen","Solid Parawood"]</t>
  </si>
  <si>
    <t>Golden Parawood</t>
  </si>
  <si>
    <t>A modern tub chair features dramatic sloping arms and a plinth base that conceals a 360 swivel. Upholstered in a cream textured performance fabric with subtle flecks of color throughout. Performance fabrics are specially created to withstand spills, stains, high traffic and wear, ensuring long-term comfort and unmatched durability.</t>
  </si>
  <si>
    <t>Complete Item,L Shape Box ,  H1=810 ,  H2=640</t>
  </si>
  <si>
    <t>{"value":86.42,"unit":"lb"}</t>
  </si>
  <si>
    <t>Martine</t>
  </si>
  <si>
    <t>90% Polyurethane Foam Pad, 10% Polyester Fiber</t>
  </si>
  <si>
    <t>Matheus Coffee Table</t>
  </si>
  <si>
    <t>https://dd3ka9h4chfr8.cloudfront.net/image/725136000567/image_2m98g5jt5t0f30efte92cujj4f/-FJPG/242135-001_FRT_1.jpg;https://dd3ka9h4chfr8.cloudfront.net/image/725136000567/image_op94q9hpkd03vduija6ktoii6o/-FJPG/242135-001_PRM_1.jpg;https://dd3ka9h4chfr8.cloudfront.net/image/725136000567/image_nl08qkv96h22d05fn60ae51p1c/-FJPG/242135-001_SID_1.jpg;https://dd3ka9h4chfr8.cloudfront.net/image/725136000567/image_pcd55033dd5sf3aeeib6a2o05i/-FJPG/242135-001_ESS_1.tif;https://dd3ka9h4chfr8.cloudfront.net/image/725136000567/image_bi1gkijg153ud42plc8ut9of23/-FJPG/242135-001_DET_2.jpg;https://dd3ka9h4chfr8.cloudfront.net/image/725136000567/image_akjoqe3i2t6cr6hpfeqmkdko2s/-FJPG/242135-001_DET_1.jpg;https://dd3ka9h4chfr8.cloudfront.net/image/725136000567/image_s5k4lj030p6hvf41qhnat2u84n/-FJPG/242135-001_DET_3.jpg;https://dd3ka9h4chfr8.cloudfront.net/image/725136000567/image_hjss54sqld7dn3jjhck57bo25j/-FJPG/242135-001_DET_4.jpg;https://dd3ka9h4chfr8.cloudfront.net/image/725136000567/image_qu9g93anbh1uvf3rjamoh3912q/-FJPG/242135-001_DET_6.jpg;https://dd3ka9h4chfr8.cloudfront.net/image/725136000567/image_584fp4equd7pb94c0geuhjkd0p/-FJPG/242135-001_DET_7.jpg;https://dd3ka9h4chfr8.cloudfront.net/image/725136000567/image_q26iuo1us53ej8koumuvkiiv7s/-FJPG/FHMPRJ-008_SCENE_1.tif</t>
  </si>
  <si>
    <t>242135-001</t>
  </si>
  <si>
    <t>189.38</t>
  </si>
  <si>
    <t>https://dd3ka9h4chfr8.cloudfront.net/image/725136000567/image_2m98g5jt5t0f30efte92cujj4f/-FJPG/242135-001_FRT_1.jpg</t>
  </si>
  <si>
    <t>Designed in partnership with longtime Four Hands collaborator Thomas Bina and Brazilian designer Ronald Sasson. A rounded coffee table made from reclaimed French oak flaunts beautiful natural graining. Lower layer lightens the whole look, while brining the option for bonus storage or display.</t>
  </si>
  <si>
    <t>{"value":57.68,"unit":"in"}</t>
  </si>
  <si>
    <t>{"value":238.98,"unit":"lb"}</t>
  </si>
  <si>
    <t>47.91"</t>
  </si>
  <si>
    <t>Matheus</t>
  </si>
  <si>
    <t>7.76"</t>
  </si>
  <si>
    <t>Matheus End Table</t>
  </si>
  <si>
    <t>https://dd3ka9h4chfr8.cloudfront.net/image/725136000567/image_4tjptiuejh53h2aq8n48v1dm0q/-FJPG/242137-003_FRT_1.jpg;https://dd3ka9h4chfr8.cloudfront.net/image/725136000567/image_h0iqombubd6238vnnjq5pshc34/-FJPG/242137-003_PRM_1.jpg;https://dd3ka9h4chfr8.cloudfront.net/image/725136000567/image_7intqpterd48b8uehuileiap4v/-FJPG/242137-003_SID_1.jpg;https://dd3ka9h4chfr8.cloudfront.net/image/725136000567/image_lao4cac7j90r17svq3cbp8ph6q/-FJPG/242137-003_DET_2.jpg;https://dd3ka9h4chfr8.cloudfront.net/image/725136000567/image_0b6rhm93np5i56bjfg3ptp3m4s/-FJPG/242137-003_DET_1.jpg;https://dd3ka9h4chfr8.cloudfront.net/image/725136000567/image_v3g9dt98s10pn6892helonsq7o/-FJPG/242137-003_DET_3.jpg;https://dd3ka9h4chfr8.cloudfront.net/image/725136000567/image_vbsivtfb4l6b36ci1p30v4ap71/-FJPG/242137-003_TOP_1.jpg;https://dd3ka9h4chfr8.cloudfront.net/image/725136000567/image_j6vmfkppq543p3lbcudj9u714u/-FJPG/242137-003_DET_4.jpg;https://dd3ka9h4chfr8.cloudfront.net/image/725136000567/image_h8taqm8an936n3cs49i5q52i2m/-FJPG/242137-003_DET_5.jpg;https://dd3ka9h4chfr8.cloudfront.net/image/725136000567/image_6903g9s9gd23l7v97t64lup302/-FJPG/242137-003_DET_6.jpg;https://dd3ka9h4chfr8.cloudfront.net/image/725136000567/image_5nh4o89u6d4sbehj6lpqonr960/-FJPG/242137-003_DET_7.jpg</t>
  </si>
  <si>
    <t>242137-003</t>
  </si>
  <si>
    <t>https://dd3ka9h4chfr8.cloudfront.net/image/725136000567/image_4tjptiuejh53h2aq8n48v1dm0q/-FJPG/242137-003_FRT_1.jpg</t>
  </si>
  <si>
    <t>A rounded end table made from solid reclaimed oak features a cutout for lightness.</t>
  </si>
  <si>
    <t>{"value":81.79,"unit":"lb"}</t>
  </si>
  <si>
    <t>21.10"</t>
  </si>
  <si>
    <t>18.58"</t>
  </si>
  <si>
    <t>1.14"</t>
  </si>
  <si>
    <t>3.70"</t>
  </si>
  <si>
    <t>Matthes Console Table</t>
  </si>
  <si>
    <t>https://dd3ka9h4chfr8.cloudfront.net/image/725136000567/image_fd68sffl7119j3h4ad4m8cso27/-FJPG/107936-010_FRT_1.jpg;https://dd3ka9h4chfr8.cloudfront.net/image/725136000567/image_3qbkccrqbh4v526hqpv3lruq4r/-FJPG/107936-010_PRM_1.jpg;https://dd3ka9h4chfr8.cloudfront.net/image/725136000567/image_lhtcapg18l58jfr98egh8d0h2q/-FJPG/107936-010_SID_1.jpg;https://dd3ka9h4chfr8.cloudfront.net/image/725136000567/image_jlcqm8p72h4i98ij2cimmj0f1e/-FJPG/107936-010_ESS.tif;https://dd3ka9h4chfr8.cloudfront.net/image/725136000567/image_khntiava696h7c424n5hl9cs2c/-FJPG/107936-010_DET_2.jpg;https://dd3ka9h4chfr8.cloudfront.net/image/725136000567/image_5g66odrk510hl5j68ad2f15d6e/-FJPG/107936-010_DET_1.jpg;https://dd3ka9h4chfr8.cloudfront.net/image/725136000567/image_j0f0vamdfp1pvfubn9q0rftm1d/-FJPG/107936-010_DET_3.jpg;https://dd3ka9h4chfr8.cloudfront.net/image/725136000567/image_j4jm2e7o6h5npe2b7ofjfflk5v/-FJPG/107936-010_DET_4.jpg;https://dd3ka9h4chfr8.cloudfront.net/image/725136000567/image_jolct83b8l3iv076lcvjneth5e/-FJPG/107936-010_DET_5.jpg;https://dd3ka9h4chfr8.cloudfront.net/image/725136000567/image_9hh5612iu54sddinc1dfncdd5f/-FJPG/107936-010_DET_6.jpg;https://dd3ka9h4chfr8.cloudfront.net/image/725136000567/image_qq6r5an4u1553dr4parhos2505/-FJPG/107936-010_DET_7.jpg;https://dd3ka9h4chfr8.cloudfront.net/image/725136000567/image_4f1kfh8lih7u3a0tpq12012c4n/-FJPG/107936-010_DET_8.jpg;https://dd3ka9h4chfr8.cloudfront.net/image/725136000567/image_uopir5m4595a7diprh69ap565q/-FJPG/107936-010_DET_9.tif;https://dd3ka9h4chfr8.cloudfront.net/image/725136000567/image_7hkgrjvum17dn6fqtmtsu7376r/-FJPG/107936-010_DET_9.jpg;https://dd3ka9h4chfr8.cloudfront.net/image/725136000567/image_b7nbj48nqt0q73gsgn3o7d4t7p/-FJPG/107936-010_DET_10.tif</t>
  </si>
  <si>
    <t>107936-010</t>
  </si>
  <si>
    <t>https://dd3ka9h4chfr8.cloudfront.net/image/725136000567/image_fd68sffl7119j3h4ad4m8cso27/-FJPG/107936-010_FRT_1.jpg</t>
  </si>
  <si>
    <t>Simple and streamlined to showcase natural beauty. Rustic grey veneer console top appears to achieve delicate balance over an ever-so-slightly angled base.</t>
  </si>
  <si>
    <t>{"value":114.64,"unit":"lb"}</t>
  </si>
  <si>
    <t>Matthes</t>
  </si>
  <si>
    <t>23.35"</t>
  </si>
  <si>
    <t>73.23"</t>
  </si>
  <si>
    <t>https://dd3ka9h4chfr8.cloudfront.net/image/725136000567/image_t13ids6afp611cku72gup1l948/-FJPG/107936-011_FRT_1.jpg;https://dd3ka9h4chfr8.cloudfront.net/image/725136000567/image_4ugjqt32c15mh39kruosikd20b/-FJPG/107936-011_PRM_1.jpg;https://dd3ka9h4chfr8.cloudfront.net/image/725136000567/image_5rfsvdp18d2pn4cuect8vn0l1e/-FJPG/107936-011_SID_1.jpg;https://dd3ka9h4chfr8.cloudfront.net/image/725136000567/image_3u9ek32ird3l1foiq6hlkkq651/-FJPG/107936-011_ESS.tif;https://dd3ka9h4chfr8.cloudfront.net/image/725136000567/image_3miko79k2p6hhfj1v0khagur5d/-FJPG/247427-005_DET_2.jpg;https://dd3ka9h4chfr8.cloudfront.net/image/725136000567/image_iqb784mj0t6n12tulu92hoqm0f/-FJPG/107936-011_DET_2.jpg;https://dd3ka9h4chfr8.cloudfront.net/image/725136000567/image_5hlh37ke4t5sv9mkil7rrp0u4f/-FJPG/107936-011_DET_1.jpg;https://dd3ka9h4chfr8.cloudfront.net/image/725136000567/image_htmrgat33h7090m5nfjssn840o/-FJPG/107936-011_DET_3.jpg;https://dd3ka9h4chfr8.cloudfront.net/image/725136000567/image_o9e5k113jd4tjfruqv0b5i6r65/-FJPG/107936-011_DET_4.jpg;https://dd3ka9h4chfr8.cloudfront.net/image/725136000567/image_qno4k5scs12bf4avgokm69kq5k/-FJPG/107936-011_DET_5.jpg;https://dd3ka9h4chfr8.cloudfront.net/image/725136000567/image_221fbkor097u5enqhesa1isf46/-FJPG/107936-011_DET_6.jpg;https://dd3ka9h4chfr8.cloudfront.net/image/725136000567/image_0c3sbv7akh2edf6u1c76rqod4o/-FJPG/107936-011_DET_7.jpg;https://dd3ka9h4chfr8.cloudfront.net/image/725136000567/image_dpt8lc8d1p0p58ffkmtqijok01/-FJPG/107936-011_DET_8.jpg;https://dd3ka9h4chfr8.cloudfront.net/image/725136000567/image_8miqeod10p31f66vgt178u9p67/-FJPG/107936-011_DET_9.tif;https://dd3ka9h4chfr8.cloudfront.net/image/725136000567/image_oa3tfjfqq15q97lg4frtiqqn5v/-FJPG/107936-011_DET_10.tif</t>
  </si>
  <si>
    <t>107936-011</t>
  </si>
  <si>
    <t>https://dd3ka9h4chfr8.cloudfront.net/image/725136000567/image_t13ids6afp611cku72gup1l948/-FJPG/107936-011_FRT_1.jpg</t>
  </si>
  <si>
    <t>Simple and streamlined to showcase natural beauty. Smoked black veneer console top appears to achieve delicate balance over an ever-so-slightly angled base.</t>
  </si>
  <si>
    <t>https://dd3ka9h4chfr8.cloudfront.net/image/725136000567/image_djl9rv3ivl1sf66mc4ovh55n6o/-FJPG/107936-012_FRT_1.jpg;https://dd3ka9h4chfr8.cloudfront.net/image/725136000567/image_01iuldvr9110r1bn5mk8iofp3l/-FJPG/107936-012_PRM_1.jpg;https://dd3ka9h4chfr8.cloudfront.net/image/725136000567/image_8lvq1cj4g52837gbpa9t3om370/-FJPG/107936-012_DET_2.jpg;https://dd3ka9h4chfr8.cloudfront.net/image/725136000567/image_tkoc8g3l5p33l587i56ek88b3p/-FJPG/107936-012_DET_1.jpg;https://dd3ka9h4chfr8.cloudfront.net/image/725136000567/image_9848pu3mm914v9u4ttlqvjdi5r/-FJPG/107936-012_DET_3.jpg;https://dd3ka9h4chfr8.cloudfront.net/image/725136000567/image_vo3829m4ol485a5pimefqvcj1m/-FJPG/107936-012_DET_4.jpg;https://dd3ka9h4chfr8.cloudfront.net/image/725136000567/image_l7jq1lg2el04r1tgcsuakihs26/-FJPG/107936-012_DET_5.jpg</t>
  </si>
  <si>
    <t>107936-012</t>
  </si>
  <si>
    <t>https://dd3ka9h4chfr8.cloudfront.net/image/725136000567/image_djl9rv3ivl1sf66mc4ovh55n6o/-FJPG/107936-012_FRT_1.jpg</t>
  </si>
  <si>
    <t>Simple and streamlined to showcase natural beauty. Worn oak veneer console top appears to achieve delicate balance over an ever-so-slightly angled base.</t>
  </si>
  <si>
    <t>Maxx Sofa</t>
  </si>
  <si>
    <t>https://dd3ka9h4chfr8.cloudfront.net/image/725136000567/image_bgf4dafv994tr3s0h7a1eav155/-FJPG/CKEN-K3Z-928_FRT_1.jpg;https://dd3ka9h4chfr8.cloudfront.net/image/725136000567/image_a270vbc5m13r1d3qrdihmbfq05/-FJPG/CKEN-K3Z-928_PRM_1.jpg;https://dd3ka9h4chfr8.cloudfront.net/image/725136000567/image_f372dhu33119fcb1vq4tkui54b/-FJPG/CKEN-K3Z-928_SID_1.jpg;https://dd3ka9h4chfr8.cloudfront.net/image/725136000567/image_77suf03b1p00t8va6rd0o09152/-FJPG/CKEN-K3Z-928_ESS_1.jpg;https://dd3ka9h4chfr8.cloudfront.net/image/725136000567/image_f7igbng3712cjdg93kg0l5522n/-FJPG/CKEN-K3Z-928_DET_2.jpg;https://dd3ka9h4chfr8.cloudfront.net/image/725136000567/image_e17va5bpmd76r4kpg5a7e1ka3a/-FJPG/CKEN-K3Z-928_BCK_1.jpg;https://dd3ka9h4chfr8.cloudfront.net/image/725136000567/image_0dlk48njp91m77gkp4mu5abf06/-FJPG/Color Variance Card_Destroyed Black Leather.jpg;https://dd3ka9h4chfr8.cloudfront.net/image/725136000567/image_oj12l0snl92836qnloqv1mte3n/-FJPG/CKEN-K3Z-928_DET_3.jpg;https://dd3ka9h4chfr8.cloudfront.net/image/725136000567/image_58f8m3u37h321acnsj5k6rt60k/-FJPG/CKEN-K3Z-928_DET_4.jpg;https://dd3ka9h4chfr8.cloudfront.net/image/725136000567/image_nf8r1chmcl5sh4kjoi5uqq5m4t/-FJPG/CKEN-K3Z-928_DET_5.jpg;https://dd3ka9h4chfr8.cloudfront.net/image/725136000567/image_9e69n06j3d4qh3qfkg0c4pa42t/-FJPG/CKEN-K3Z-928_DET_6.jpg;https://dd3ka9h4chfr8.cloudfront.net/image/725136000567/image_4qt704qlal74n5lmj6eh3dp869/-FJPG/CKEN-K3Z-928_DET_7.jpg;https://dd3ka9h4chfr8.cloudfront.net/image/725136000567/image_tlkav9v5ip2n59n18b35s54c5q/-FJPG/CKEN-K3Z-928_DET_8.jpg;https://dd3ka9h4chfr8.cloudfront.net/image/725136000567/image_4qq1puvpap37t59h1ejbnq5p3j/-FJPG/CKEN-K3Z-928_DET_9.jpg;https://dd3ka9h4chfr8.cloudfront.net/image/725136000567/image_9gnbsaqpbl0hd1prkhgut84o7b/-FJPG/CKEN-K3Z-928_DET_10.jpg;https://dd3ka9h4chfr8.cloudfront.net/image/725136000567/image_1usk04i94l5n1bnecpr0jnun0u/-FJPG/CKEN-K3Z-928_DET_11.jpg;https://dd3ka9h4chfr8.cloudfront.net/image/725136000567/image_uuide5tp7l2v3bb9tf3gu2am70/-FJPG/CKEN-K3Z-928_DET_12.jpg;https://dd3ka9h4chfr8.cloudfront.net/image/725136000567/image_2si3qt09fp5p78rak948rd5o16/-FJPG/CKEN-K3Z-928_ESS_2.jpg;https://dd3ka9h4chfr8.cloudfront.net/image/725136000567/image_ao18p2nbeh7j540gedrp2d0h4h/-FJPG/CKEN-K3Z-928_PRM_1.jpg;https://dd3ka9h4chfr8.cloudfront.net/image/725136000567/image_aicoh0nib50cp8ai0nmau6js13/-FJPG/CKEN-K3Z-928_PRM_3.jpg;https://dd3ka9h4chfr8.cloudfront.net/image/725136000567/image_ca1d0q0s9p3hld77ujppcvr10b/-FJPG/CKEN-K3Z-928_PRM_4.jpg</t>
  </si>
  <si>
    <t>Destroyed Black</t>
  </si>
  <si>
    <t>CKEN-K3Z-928</t>
  </si>
  <si>
    <t>https://dd3ka9h4chfr8.cloudfront.net/image/725136000567/image_bgf4dafv994tr3s0h7a1eav155/-FJPG/CKEN-K3Z-928_FRT_1.jpg</t>
  </si>
  <si>
    <t>Whitewash</t>
  </si>
  <si>
    <t>Aged Bronze Nailhead</t>
  </si>
  <si>
    <t>A modern take on the classic library sofa. Covered in black top-grain leather and finished with a specially designed formula that creates intentional cracking and distressing for a naturally aged look. Mounted on a weathered oak base and finished with aged bronze nailheads.</t>
  </si>
  <si>
    <t>{"value":97.64,"unit":"in"}</t>
  </si>
  <si>
    <t>{"value":159.17,"unit":"lb"}</t>
  </si>
  <si>
    <t>Maxx</t>
  </si>
  <si>
    <t>https://dd3ka9h4chfr8.cloudfront.net/image/725136000567/image_to6bckigbd0id50dh3eih81e68/-FJPG/106190-013_FRT_1.JPG;https://dd3ka9h4chfr8.cloudfront.net/image/725136000567/image_96ihgbj6hp3qt16g0vkh963l5c/-FJPG/106190-013_PRM_1.JPG;https://dd3ka9h4chfr8.cloudfront.net/image/725136000567/image_3mobclo3op00td50rjmnk1th52/-FJPG/106190-013_SID_1.JPG;https://dd3ka9h4chfr8.cloudfront.net/image/725136000567/image_u4k1h73rh56fnd8hrigpitt26r/-FJPG/106190-013_ESS_1.jpg;https://dd3ka9h4chfr8.cloudfront.net/image/725136000567/image_mt66ja79vp6r38ou87fohttl5o/-FJPG/106190-013_DET_2.JPG;https://dd3ka9h4chfr8.cloudfront.net/image/725136000567/image_285kmnpkth5c12tc7rclscri7h/-FJPG/106190-013_BCK_1.JPG;https://dd3ka9h4chfr8.cloudfront.net/image/725136000567/image_j6ivkrkopp4pvbrh81vh4v7038/-FJPG/106190-013_DET_1.JPG;https://dd3ka9h4chfr8.cloudfront.net/image/725136000567/image_3l97lijdfd79p2rq16agropo5k/-FJPG/106190-013_DET_3.JPG;https://dd3ka9h4chfr8.cloudfront.net/image/725136000567/image_jv7bnjsj256av587l48eljlf3r/-FJPG/106190-013_DET_4.JPG;https://dd3ka9h4chfr8.cloudfront.net/image/725136000567/image_gkuqsaljh55id0bukvbbntv64e/-FJPG/106190-013_DET_5.JPG;https://dd3ka9h4chfr8.cloudfront.net/image/725136000567/image_vfibsdolsd4ir6d6c9k5vilf64/-FJPG/106190-013_DET_6.JPG;https://dd3ka9h4chfr8.cloudfront.net/image/725136000567/image_o11ucrus997f3ag409na0g6m13/-FJPG/106190-013_PRM_2.JPG</t>
  </si>
  <si>
    <t>106190-013</t>
  </si>
  <si>
    <t>https://dd3ka9h4chfr8.cloudfront.net/image/725136000567/image_to6bckigbd0id50dh3eih81e68/-FJPG/106190-013_FRT_1.JPG</t>
  </si>
  <si>
    <t>This creative take on the classic library sofa is covered in a slightly distressed top-grain leather in black and mounted on a solid wood base. Aged bronze nailheads add modernity. Finished with a specially designed formula that creates intentional cracking and distressing for a naturally aged look.</t>
  </si>
  <si>
    <t>https://dd3ka9h4chfr8.cloudfront.net/image/725136000567/image_me9kd0cdal7cj0rqfpokpdn90q/-FJPG/109492-002_FRT_1.JPG;https://dd3ka9h4chfr8.cloudfront.net/image/725136000567/image_01ov5has654rr61bprn709rk7h/-FJPG/109492-002_PRM_1.JPG;https://dd3ka9h4chfr8.cloudfront.net/image/725136000567/image_0bvurf6pfl1rt4f5b047hpl36m/-FJPG/109492-002_SID_1.JPG;https://dd3ka9h4chfr8.cloudfront.net/image/725136000567/image_4mkutr046p15v4fi72vs5u8j73/-FJPG/109492-002_ESS_1.jpg;https://dd3ka9h4chfr8.cloudfront.net/image/725136000567/image_kd9468ghf94rbdkpqpfkqc3h73/-FJPG/109492-002_DET_2.JPG;https://dd3ka9h4chfr8.cloudfront.net/image/725136000567/image_e1ks14vanp31tcpnjijupl3i2b/-FJPG/109492-002_BCK_1.JPG;https://dd3ka9h4chfr8.cloudfront.net/image/725136000567/image_apts8lp86t53f7f5nnqifkea78/-FJPG/109492-002_DET_1.JPG;https://dd3ka9h4chfr8.cloudfront.net/image/725136000567/image_48tqt8h19l4cbb9i9a4q4tqh1r/-FJPG/109492-002_DET_3.JPG;https://dd3ka9h4chfr8.cloudfront.net/image/725136000567/image_nee8lblg0108n58ntknkvlg87h/-FJPG/109492-002_DET_4.JPG;https://dd3ka9h4chfr8.cloudfront.net/image/725136000567/image_isno3enol55k3fqslejfnd3311/-FJPG/109492-002_DET_5.JPG;https://dd3ka9h4chfr8.cloudfront.net/image/725136000567/image_pm4k39s2d1753507o3kl5ju90g/-FJPG/109492-002_PRM_2.JPG</t>
  </si>
  <si>
    <t>109492-002</t>
  </si>
  <si>
    <t>https://dd3ka9h4chfr8.cloudfront.net/image/725136000567/image_me9kd0cdal7cj0rqfpokpdn90q/-FJPG/109492-002_FRT_1.JPG</t>
  </si>
  <si>
    <t>73.75"</t>
  </si>
  <si>
    <t>https://dd3ka9h4chfr8.cloudfront.net/image/725136000567/image_coukvo23nl0rnese21n75g5c28/-FJPG/106190-012_FRT_1.JPG;https://dd3ka9h4chfr8.cloudfront.net/image/725136000567/image_6vftauf2rl4p9b2phtl11hgk0u/-FJPG/106190-012_PRM_1.JPG;https://dd3ka9h4chfr8.cloudfront.net/image/725136000567/image_olvplel4jt6b15gbuj9elsl97e/-FJPG/106190-012_SID_1.JPG;https://dd3ka9h4chfr8.cloudfront.net/image/725136000567/image_fkivnmrphd0fn7uje4lbitsf64/-FJPG/106190-012_ESS_1.jpg;https://dd3ka9h4chfr8.cloudfront.net/image/725136000567/image_nb0t2effet71r7jtb4dm4qg14h/-FJPG/106190-012_DET_2.JPG;https://dd3ka9h4chfr8.cloudfront.net/image/725136000567/image_4noa0nq67552t7daci20c8nd6p/-FJPG/106190-012_BCK_1.JPG;https://dd3ka9h4chfr8.cloudfront.net/image/725136000567/image_s617rj0n956fv85h4d9bj6pu13/-FJPG/Color Variance Card_Heirloom Sienna.png;https://dd3ka9h4chfr8.cloudfront.net/image/725136000567/image_n5bacm4qf54cde56kvnlig115j/-FJPG/106190-012_DET_1.JPG;https://dd3ka9h4chfr8.cloudfront.net/image/725136000567/image_b99qn330jh1h1edhl6nh1ofv7t/-FJPG/106190-012_DET_3.JPG;https://dd3ka9h4chfr8.cloudfront.net/image/725136000567/image_smv9v7eubl70ldev4sjaf9uk4b/-FJPG/106190-012_DET_4.JPG;https://dd3ka9h4chfr8.cloudfront.net/image/725136000567/image_bggggtq16d029fe4bd42rf867q/-FJPG/106190-012_DET_5.JPG;https://dd3ka9h4chfr8.cloudfront.net/image/725136000567/image_58i4pf8uo52bd2upoc51hi0i6i/-FJPG/106190-012_PRM_2.JPG</t>
  </si>
  <si>
    <t>106190-012</t>
  </si>
  <si>
    <t>https://dd3ka9h4chfr8.cloudfront.net/image/725136000567/image_coukvo23nl0rnese21n75g5c28/-FJPG/106190-012_FRT_1.JPG</t>
  </si>
  <si>
    <t>This creative take on the classic library sofa is covered in a slightly distressed top-grain leather in warm brown tones and is mounted on a solid wood base. Aged bronze nailheads add modernity. Finished with a specially designed formula that creates intentional cracking and distressing for a naturally aged look.</t>
  </si>
  <si>
    <t>https://dd3ka9h4chfr8.cloudfront.net/image/725136000567/image_q4ps347iul39b0qtppuav4b00u/-FJPG/109492-003_FRT_1.jpg;https://dd3ka9h4chfr8.cloudfront.net/image/725136000567/image_uu0huhgf5t03t6mo786i8e3n5c/-FJPG/109492-003_PRM_1.jpg;https://dd3ka9h4chfr8.cloudfront.net/image/725136000567/image_00n297clbd3u96kmvslfmv2k1c/-FJPG/109492-003_SID_1.jpg;https://dd3ka9h4chfr8.cloudfront.net/image/725136000567/image_i9dfe517sp5ovag3226gp3r46s/-FJPG/109492-003_ESS_1.jpg;https://dd3ka9h4chfr8.cloudfront.net/image/725136000567/image_qq0anoecmh17l20ma65psl6s7j/-FJPG/109492-003_DET_2.jpg;https://dd3ka9h4chfr8.cloudfront.net/image/725136000567/image_l3c6invcuh2p7595n5s5btj40p/-FJPG/109492-003_BCK_1.jpg;https://dd3ka9h4chfr8.cloudfront.net/image/725136000567/image_s617rj0n956fv85h4d9bj6pu13/-FJPG/Color Variance Card_Heirloom Sienna.png;https://dd3ka9h4chfr8.cloudfront.net/image/725136000567/image_25bpq629n505t2g5r7bld8s83j/-FJPG/109492-003_DET_1.jpg;https://dd3ka9h4chfr8.cloudfront.net/image/725136000567/image_kqcrs73kl97njdtjbrn65e6i01/-FJPG/109492-003_DET_3.jpg;https://dd3ka9h4chfr8.cloudfront.net/image/725136000567/image_s33jkgdqk53t73u54h8ientk24/-FJPG/109492-003_DET_4.jpg;https://dd3ka9h4chfr8.cloudfront.net/image/725136000567/image_n85ka4hegl4il4p6sme2safn6c/-FJPG/109492-003_DET_5.jpg</t>
  </si>
  <si>
    <t>109492-003</t>
  </si>
  <si>
    <t>https://dd3ka9h4chfr8.cloudfront.net/image/725136000567/image_q4ps347iul39b0qtppuav4b00u/-FJPG/109492-003_FRT_1.jpg</t>
  </si>
  <si>
    <t>This creative take on the classic library sofa is covered in a slightly distressed top-grain leather in warm brown tones and mounted on a solid wood base. Aged bronze nailheads add modernity. Finished with a specially designed formula that creates intentional cracking and distressing for a naturally aged look.</t>
  </si>
  <si>
    <t>https://dd3ka9h4chfr8.cloudfront.net/image/725136000567/image_pb5gbl5oe9247bkuljvh1qns37/-FJPG/CKEN-K3Z53-202_FRT_1.jpg;https://dd3ka9h4chfr8.cloudfront.net/image/725136000567/image_s398mtnur17b70ha66lt2bna6i/-FJPG/CKEN-K3Z53-202_PRM_1.jpg;https://dd3ka9h4chfr8.cloudfront.net/image/725136000567/image_u2jd5671jd1ntdvrrrogmdvl1p/-FJPG/CKEN-K3Z53-202_SID_1.jpg;https://dd3ka9h4chfr8.cloudfront.net/image/725136000567/image_76l645jod17hj9r2s86l1mip5k/-FJPG/CKEN-K3Z53-202_ESS.tif;https://dd3ka9h4chfr8.cloudfront.net/image/725136000567/image_qd5m280ru922p4gfp82b3k4b7f/-FJPG/CKEN-K3Z53-202_DET_2.jpg;https://dd3ka9h4chfr8.cloudfront.net/image/725136000567/image_po9r434kk12o926kghs1si9501/-FJPG/CKEN-K3Z53-202_BCK_1.jpg;https://dd3ka9h4chfr8.cloudfront.net/image/725136000567/image_ch53t24gol061aekl9dampvl18/-FJPG/Color Variance Card_Sapphire Birch.jpg;https://dd3ka9h4chfr8.cloudfront.net/image/725136000567/image_lpacat4pip10j4m3errp514t7g/-FJPG/CKEN-K3Z53-202_DET_1.jpg;https://dd3ka9h4chfr8.cloudfront.net/image/725136000567/image_tn5e3v56ol3un571nkmno58m72/-FJPG/CKEN-K3Z53-202_DET_3.jpg;https://dd3ka9h4chfr8.cloudfront.net/image/725136000567/image_ltm57bou914ul0f1q2fjdp1961/-FJPG/CKEN-K3Z53-202_DET_4.jpg;https://dd3ka9h4chfr8.cloudfront.net/image/725136000567/image_4vuds7jr2h4j72m8ov8eku2h7h/-FJPG/CKEN-K3Z53-202_DET_5.jpg;https://dd3ka9h4chfr8.cloudfront.net/image/725136000567/image_emf16fpk8l6752f5vebc42l93o/-FJPG/CKEN-K3Z53-202_DET_6.jpg;https://dd3ka9h4chfr8.cloudfront.net/image/725136000567/image_rvo0mooma50hvct8aluoc8fk00/-FJPG/CKEN-K3Z53-202_DET_7.jpg;https://dd3ka9h4chfr8.cloudfront.net/image/725136000567/image_iq9sqes20h19hahc95keagpu1i/-FJPG/CKEN-K3Z53-202_DET_9.tif;https://dd3ka9h4chfr8.cloudfront.net/image/725136000567/image_em2i7ddg616g786p4462pntf3m/-FJPG/CKEN-K3Z53-202_DET_10.jpg;https://dd3ka9h4chfr8.cloudfront.net/image/725136000567/image_kn86oq2hbt67t4bre0p7mh6c2d/-FJPG/CKEN-K3Z53-202_ROM_1.jpg</t>
  </si>
  <si>
    <t>CKEN-K3Z53-202</t>
  </si>
  <si>
    <t>https://dd3ka9h4chfr8.cloudfront.net/image/725136000567/image_pb5gbl5oe9247bkuljvh1qns37/-FJPG/CKEN-K3Z53-202_FRT_1.jpg</t>
  </si>
  <si>
    <t>["95% Polyester","5% Cotton","Solid Parawood","Iron"]</t>
  </si>
  <si>
    <t>A modern take on the classic library sofa. Upholstered in distressed velvet with subtle highs and lows that change in appearance depending on the direction of the fabric's nap and the lighting in the room. Mounted on a whitewash parawood base and finished with aged bronze nailheads.</t>
  </si>
  <si>
    <t>https://dd3ka9h4chfr8.cloudfront.net/image/725136000567/image_19prcj8g8h3592l1rgb4p74o21/-FJPG/CKEN-K3Z53-061_FRT_1.jpg;https://dd3ka9h4chfr8.cloudfront.net/image/725136000567/image_7s9hdu23eh3298nm6q60h37c4r/-FJPG/CKEN-K3Z53-061_PRM_1.jpg;https://dd3ka9h4chfr8.cloudfront.net/image/725136000567/image_9mucg3attl0undiqmvg3o7tn3r/-FJPG/CKEN-K3Z53-061_SID_1.jpg;https://dd3ka9h4chfr8.cloudfront.net/image/725136000567/image_p0ta8p4b9t1h58fce3d85v0g7i/-FJPG/CKEN-K3Z53-061_ESS_1.jpg;https://dd3ka9h4chfr8.cloudfront.net/image/725136000567/image_672osmc8v10i3abno9tb3kr325/-FJPG/CKEN-K3Z53-061_DET_2.jpg;https://dd3ka9h4chfr8.cloudfront.net/image/725136000567/image_4pjvlo2a9d1833lo3s9gqh4e06/-FJPG/CKEN-K3Z53-061_BCK_1.jpg;https://dd3ka9h4chfr8.cloudfront.net/image/725136000567/image_9clu796j0t7frdn2pf2ik3g170/-FJPG/CKEN-K3Z53-061_DET_1.jpg;https://dd3ka9h4chfr8.cloudfront.net/image/725136000567/image_6jsi2r110t53pc0da9avuamv08/-FJPG/CKEN-K3Z53-061_DET_3.jpg;https://dd3ka9h4chfr8.cloudfront.net/image/725136000567/image_aprabr25653vr9o0pli3pqag5a/-FJPG/CKEN-K3Z53-061_DET_4.jpg;https://dd3ka9h4chfr8.cloudfront.net/image/725136000567/image_9mq98pk8416lf225de5h37bo45/-FJPG/CKEN-K3Z53-061_DET_5.jpg;https://dd3ka9h4chfr8.cloudfront.net/image/725136000567/image_2jfjee4nk14sbb0us1na7g791m/-FJPG/CKEN-K3Z53-061_DET_6.jpg</t>
  </si>
  <si>
    <t>Umber Grey</t>
  </si>
  <si>
    <t>CKEN-K3Z53-061</t>
  </si>
  <si>
    <t>https://dd3ka9h4chfr8.cloudfront.net/image/725136000567/image_19prcj8g8h3592l1rgb4p74o21/-FJPG/CKEN-K3Z53-061_FRT_1.jpg</t>
  </si>
  <si>
    <t>This modern take on classic library-style seating adopts a distressed birch-colored covering and mounted on a grey parawood base. Aged bronze nailheads add modernity.</t>
  </si>
  <si>
    <t>Maxx Swivel Chair</t>
  </si>
  <si>
    <t>https://dd3ka9h4chfr8.cloudfront.net/image/725136000567/image_heegloj1pp0st18g5pbqrtac3f/-FJPG/106176-100_FRT_1.jpg;https://dd3ka9h4chfr8.cloudfront.net/image/725136000567/image_02koul8lld18he52858i9j163f/-FJPG/106176-100_PRM_1.jpg;https://dd3ka9h4chfr8.cloudfront.net/image/725136000567/image_flpobistvt54te1dlj9oser56k/-FJPG/106176-100_SID_1.jpg;https://dd3ka9h4chfr8.cloudfront.net/image/725136000567/image_s8ls8sledp153dqcndml32au68/-FJPG/106176-100_ESS_1.jpg;https://dd3ka9h4chfr8.cloudfront.net/image/725136000567/image_tqflhkcidp1uj49e4kdnmui24m/-FJPG/106176-100_DET_2.jpg;https://dd3ka9h4chfr8.cloudfront.net/image/725136000567/image_hmsds6a41d4nt1o50obalcf56d/-FJPG/106176-100_BCK_1.jpg;https://dd3ka9h4chfr8.cloudfront.net/image/725136000567/image_n8nj6dnep11qv523imbtk04g28/-FJPG/106176-100_DET_1.jpg;https://dd3ka9h4chfr8.cloudfront.net/image/725136000567/image_olg6vo05ot10h23765h2m5hm1g/-FJPG/106176-100_DET_3.jpg;https://dd3ka9h4chfr8.cloudfront.net/image/725136000567/image_qfv5frqhcd05vad729rg8m6i50/-FJPG/106176-100_DET_4.jpg;https://dd3ka9h4chfr8.cloudfront.net/image/725136000567/image_q2leghcsrt21301ep90enc4l7i/-FJPG/106176-100_DET_5.jpg</t>
  </si>
  <si>
    <t>106176-100</t>
  </si>
  <si>
    <t>https://dd3ka9h4chfr8.cloudfront.net/image/725136000567/image_heegloj1pp0st18g5pbqrtac3f/-FJPG/106176-100_FRT_1.jpg</t>
  </si>
  <si>
    <t>{"value":35.94,"unit":"in"}</t>
  </si>
  <si>
    <t>https://dd3ka9h4chfr8.cloudfront.net/image/725136000567/image_ajltbvfiv90ofcockqb9tm2910/-FJPG/106176-098_FRT_1.JPG;https://dd3ka9h4chfr8.cloudfront.net/image/725136000567/image_nap54sr4b165bdvr329u6pbg40/-FJPG/106176-098_PRM_1.JPG;https://dd3ka9h4chfr8.cloudfront.net/image/725136000567/image_lh5mprmj8t5evf2orv3euls536/-FJPG/106176-098_SID_1.JPG;https://dd3ka9h4chfr8.cloudfront.net/image/725136000567/image_9t0i2cn8qd2apdmih94ua1n81t/-FJPG/106176-098_ESS_1.jpg;https://dd3ka9h4chfr8.cloudfront.net/image/725136000567/image_8q1tct7b0d22p227tp7qlgru0r/-FJPG/106176-098_DET_2.JPG;https://dd3ka9h4chfr8.cloudfront.net/image/725136000567/image_4c5vc3fd6p5o1cf642g9v9ib7m/-FJPG/106176-098_BCK_1.JPG;https://dd3ka9h4chfr8.cloudfront.net/image/725136000567/image_s617rj0n956fv85h4d9bj6pu13/-FJPG/Color Variance Card_Heirloom Sienna.png;https://dd3ka9h4chfr8.cloudfront.net/image/725136000567/image_benfrb9a1h5l921k9n9be2ii40/-FJPG/106176-098_DET_1.JPG;https://dd3ka9h4chfr8.cloudfront.net/image/725136000567/image_nc4lb8928h49t0gkashv8n6t04/-FJPG/106176-098_DET_3.JPG;https://dd3ka9h4chfr8.cloudfront.net/image/725136000567/image_3itf53tjo534hfl6pt4lp4hp0d/-FJPG/106176-098_DET_4.JPG;https://dd3ka9h4chfr8.cloudfront.net/image/725136000567/image_pohn1udhnd7ar8tiuejg4iqc39/-FJPG/106176-098_DET_5.JPG;https://dd3ka9h4chfr8.cloudfront.net/image/725136000567/image_r2050lso453737k4f1l78pu97q/-FJPG/106176-098_ROM_1.jpg;https://dd3ka9h4chfr8.cloudfront.net/image/725136000567/image_ql071lgqe91mna7ne86dparg6k/-FJPG/106176-098_PRM_2.JPG</t>
  </si>
  <si>
    <t>106176-098</t>
  </si>
  <si>
    <t>https://dd3ka9h4chfr8.cloudfront.net/image/725136000567/image_ajltbvfiv90ofcockqb9tm2910/-FJPG/106176-098_FRT_1.JPG</t>
  </si>
  <si>
    <t>This modern take on the classic library chair is covered in upcycled leather and mounted on a smooth swivel base of solid wood. Sourced from one of the oldest family-owned tanneries in Italyâ€™s Bassano del Grappa, our heirloom leather covering is salvaged and processed from upcycled hides featuring an abundance of natural markings, scars and color variations. The result? Beautifully supple, buttery soft hides with an unmatched depth of color and richness, and an authentic lived-in look.</t>
  </si>
  <si>
    <t>https://dd3ka9h4chfr8.cloudfront.net/image/725136000567/image_cktnqkdc390an6suuuls8acg3b/-FJPG/CKEN-F4Z-202_FRT_1.jpg;https://dd3ka9h4chfr8.cloudfront.net/image/725136000567/image_n7311a7nn52lta4marcslijl44/-FJPG/CKEN-F4Z-202_PRM_1.jpg;https://dd3ka9h4chfr8.cloudfront.net/image/725136000567/image_5bvttfcitt7jr6857brpdq5a4g/-FJPG/CKEN-F4Z-202_SID_1.jpg;https://dd3ka9h4chfr8.cloudfront.net/image/725136000567/image_r3a879ifkh1jp4g9qloon9jh2m/-FJPG/CKEN-F4Z-202_ESS.tif;https://dd3ka9h4chfr8.cloudfront.net/image/725136000567/image_i9u2j634id21f26h54m2s9lt4a/-FJPG/CKEN-F4Z-202_DET_2.jpg;https://dd3ka9h4chfr8.cloudfront.net/image/725136000567/image_crqs2v490d1bb0ne7bdn8ced2u/-FJPG/CKEN-F4Z-202_BCK_1.jpg;https://dd3ka9h4chfr8.cloudfront.net/image/725136000567/image_ch53t24gol061aekl9dampvl18/-FJPG/Color Variance Card_Sapphire Birch.jpg;https://dd3ka9h4chfr8.cloudfront.net/image/725136000567/image_opkfnvgrsp1u39o42d8dljd80q/-FJPG/CKEN-F4Z-202_DET_1.jpg;https://dd3ka9h4chfr8.cloudfront.net/image/725136000567/image_qf0dlj61095vf68t0mmbg4cl40/-FJPG/CKEN-F4Z-202_DET_3.jpg;https://dd3ka9h4chfr8.cloudfront.net/image/725136000567/image_hco57b7aj92lt1gs6ailitre2a/-FJPG/CKEN-F4Z-202_DET_4.jpg;https://dd3ka9h4chfr8.cloudfront.net/image/725136000567/image_tpen0j92nt3l3fic055bbiog16/-FJPG/CKEN-F4Z-202_DET_5.jpg;https://dd3ka9h4chfr8.cloudfront.net/image/725136000567/image_ndltcdpi250s52sohpdpdf0c13/-FJPG/CKEN-F4Z-202_DET_6.jpg;https://dd3ka9h4chfr8.cloudfront.net/image/725136000567/image_52te6bgrl51qva99jv95kn0q1b/-FJPG/CKEN-F4Z-202_DET_7.jpg;https://dd3ka9h4chfr8.cloudfront.net/image/725136000567/image_n58m2926ed3j58ufr56qlbqs2h/-FJPG/CKEN-F4Z-202_DET_8.jpg</t>
  </si>
  <si>
    <t>CKEN-F4Z-202</t>
  </si>
  <si>
    <t>https://dd3ka9h4chfr8.cloudfront.net/image/725136000567/image_cktnqkdc390an6suuuls8acg3b/-FJPG/CKEN-F4Z-202_FRT_1.jpg</t>
  </si>
  <si>
    <t>A modern take on the classic library chair. Upholstered in distressed velvet with subtle highs and lows that change in appearance depending on the direction of the fabric's nap and the lighting in the room. Mounted on a 360-degree swivel base and finished with aged bronze nailheads.</t>
  </si>
  <si>
    <t>https://dd3ka9h4chfr8.cloudfront.net/image/725136000567/image_i76bsdabf17at3aapci6pdkk1e/-FJPG/CKEN-F4Z-061_FRT_1.jpg;https://dd3ka9h4chfr8.cloudfront.net/image/725136000567/image_id4g3ldgld1kt1krsb3sk5d104/-FJPG/CKEN-F4Z-061_PRM_1.jpg;https://dd3ka9h4chfr8.cloudfront.net/image/725136000567/image_8658pns15p6ef7fs94viofaq21/-FJPG/CKEN-F4Z-061_ESS_1.jpg;https://dd3ka9h4chfr8.cloudfront.net/image/725136000567/image_lnorlk733t7rtfeoid02dupq1g/-FJPG/CKEN-F4Z-061_DET_2.jpg;https://dd3ka9h4chfr8.cloudfront.net/image/725136000567/image_5d82tsim1p6undic30nfq2ob64/-FJPG/CKEN-F4Z-061_BCK_1.jpg;https://dd3ka9h4chfr8.cloudfront.net/image/725136000567/image_1vla6sn9tl7on5j0bg9modii7u/-FJPG/CKEN-F4Z-061_DET_1.jpg;https://dd3ka9h4chfr8.cloudfront.net/image/725136000567/image_4ok0svvom95kt3s68ros675v61/-FJPG/CKEN-F4Z-061_DET_3.jpg;https://dd3ka9h4chfr8.cloudfront.net/image/725136000567/image_j6slo4jno97d53qqepm9sf3n4q/-FJPG/CKEN-F4Z-061_DET_4.jpg;https://dd3ka9h4chfr8.cloudfront.net/image/725136000567/image_mbpq1ofk250abd2e4ufm320f45/-FJPG/CKEN-F4Z-061_DET_5.jpg;https://dd3ka9h4chfr8.cloudfront.net/image/725136000567/image_sj2nrvlj09719e3qmclfngic59/-FJPG/CKEN-F4Z-061_DET_6.jpg;https://dd3ka9h4chfr8.cloudfront.net/image/725136000567/image_4m4srvsgu163dbalqbascs2g3u/-FJPG/CKEN-F4Z-061_DET_7.jpg;https://dd3ka9h4chfr8.cloudfront.net/image/725136000567/image_6k87ic7cv52iba13fjad06q83s/-FJPG/CKEN-F4Z-061_DET_8.jpg</t>
  </si>
  <si>
    <t>CKEN-F4Z-061</t>
  </si>
  <si>
    <t>https://dd3ka9h4chfr8.cloudfront.net/image/725136000567/image_i76bsdabf17at3aapci6pdkk1e/-FJPG/CKEN-F4Z-061_FRT_1.jpg</t>
  </si>
  <si>
    <t>This modern take on the classic library chair is covered in distressed brown-grey leather and mounted on a 360-degree swivel base of whitewashed parawood.</t>
  </si>
  <si>
    <t>Meadow 5 Drawer Dresser</t>
  </si>
  <si>
    <t>https://dd3ka9h4chfr8.cloudfront.net/image/725136000567/image_d3lluksa5p6et2djmn0ane2d5f/-FJPG/229566-003_FRT_1.jpg;https://dd3ka9h4chfr8.cloudfront.net/image/725136000567/image_os9r9qch352uv24rt3euh9j01k/-FJPG/229566-003_PRM_1.jpg;https://dd3ka9h4chfr8.cloudfront.net/image/725136000567/image_0d13k1c55d6dp6126md06l814p/-FJPG/229566-003_SID_1.jpg;https://dd3ka9h4chfr8.cloudfront.net/image/725136000567/image_d82pu8ft4h5crea9acmnqq217e/-FJPG/229566-003_ESS_1.jpg;https://dd3ka9h4chfr8.cloudfront.net/image/725136000567/image_oj99nr9u1h17lfa9598hv95m5c/-FJPG/229566-003_DET_2.jpg;https://dd3ka9h4chfr8.cloudfront.net/image/725136000567/image_tdr2dosaeh57r70mj8uq3quo2e/-FJPG/229566-003_BCK_1.jpg;https://dd3ka9h4chfr8.cloudfront.net/image/725136000567/image_5b2qfiats10711gosh93mska5r/-FJPG/229566-003_DET_1.jpg;https://dd3ka9h4chfr8.cloudfront.net/image/725136000567/image_kvprc1kfkd44r3dm44jheqmm4j/-FJPG/229566-003_DET_3.jpg;https://dd3ka9h4chfr8.cloudfront.net/image/725136000567/image_q9dbbrige57lr35mi3ts2ni66s/-FJPG/229566-003_OPN_1.jpg;https://dd3ka9h4chfr8.cloudfront.net/image/725136000567/image_3rf2hsevgp4sf0u3o9tpsg2p3s/-FJPG/229566-003_DET_4.jpg;https://dd3ka9h4chfr8.cloudfront.net/image/725136000567/image_jtmt37kohd1npeor395hpne619/-FJPG/229566-003_DET_5.jpg;https://dd3ka9h4chfr8.cloudfront.net/image/725136000567/image_ji790ciboh0qp3cl5cb6frqs0q/-FJPG/229566-003_DET_6.jpg</t>
  </si>
  <si>
    <t>229566-003</t>
  </si>
  <si>
    <t>https://dd3ka9h4chfr8.cloudfront.net/image/725136000567/image_d3lluksa5p6et2djmn0ane2d5f/-FJPG/229566-003_FRT_1.jpg</t>
  </si>
  <si>
    <t>With simple shaping inspired by midcentury casing, exposed framework and a warm oak finish bring a handcrafted, minimalist look to modern bedroom styling, with five spacious drawers for ample storage. This item has been modified to comply with the STURDY Act. See a full list of modified products and data changes in the â€œSTURDY Actâ€_x009d_ file in the Downloads section below.</t>
  </si>
  <si>
    <t>{"value":49.61,"unit":"in"}</t>
  </si>
  <si>
    <t>Meadow</t>
  </si>
  <si>
    <t>5.14"</t>
  </si>
  <si>
    <t>5.35"</t>
  </si>
  <si>
    <t>5.69"</t>
  </si>
  <si>
    <t>Meadow 6 Drawer Dresser</t>
  </si>
  <si>
    <t>https://dd3ka9h4chfr8.cloudfront.net/image/725136000567/image_677r58cfqd5shb62i32o96lh5d/-FJPG/229565-004_FRT_1.jpg;https://dd3ka9h4chfr8.cloudfront.net/image/725136000567/image_7qm65a5ljl5g1732bf9282ao01/-FJPG/229565-004_PRM_1.jpg;https://dd3ka9h4chfr8.cloudfront.net/image/725136000567/image_f3i66bqvo155p4hv3280lu9u45/-FJPG/229565-004_SID_1.jpg;https://dd3ka9h4chfr8.cloudfront.net/image/725136000567/image_li9a3g2o5p1er5q9c9sbtlfa23/-FJPG/229565-004_ESS_1.jpg;https://dd3ka9h4chfr8.cloudfront.net/image/725136000567/image_pg6ofbmve55m7f4fsf9s3uh02s/-FJPG/229565-004_DET_2.jpg;https://dd3ka9h4chfr8.cloudfront.net/image/725136000567/image_v41mc85jqh4e543jiucp608i1f/-FJPG/229565-004_BCK_1.jpg;https://dd3ka9h4chfr8.cloudfront.net/image/725136000567/image_l0sedb3kfp0p5c7uiefce13c6g/-FJPG/229565-004_DET_1.jpg;https://dd3ka9h4chfr8.cloudfront.net/image/725136000567/image_p46ge4s8ut0oral4pv06hdiu6o/-FJPG/229565-004_DET_3.jpg;https://dd3ka9h4chfr8.cloudfront.net/image/725136000567/image_1fs3pu38i51v17cma44k90u764/-FJPG/229565-004_OPN_1.jpg;https://dd3ka9h4chfr8.cloudfront.net/image/725136000567/image_ab39f74mj92ihe7alhnnre744p/-FJPG/229565-004_DET_4.jpg;https://dd3ka9h4chfr8.cloudfront.net/image/725136000567/image_5mj1t8i2fp10r2lcl5b2qj1t0c/-FJPG/229565-004_DET_5.jpg;https://dd3ka9h4chfr8.cloudfront.net/image/725136000567/image_ohls8f26gh6nh2s5622uv2us56/-FJPG/229565-004_DET_6.jpg;https://dd3ka9h4chfr8.cloudfront.net/image/725136000567/image_2vcsq4spph3pra5djpcnqign33/-FJPG/229565-004_DET_7.jpg;https://dd3ka9h4chfr8.cloudfront.net/image/725136000567/image_9erslf8rrp3jd245k6bgi5r675/-FJPG/229565-004_DET_8.jpg;https://dd3ka9h4chfr8.cloudfront.net/image/725136000567/image_o7d9gfg5gh01f5gf1mgprlp547/-FJPG/229565-004_DET_9.jpg;https://dd3ka9h4chfr8.cloudfront.net/image/725136000567/image_m8urh4ujft29h801po802tse7o/-FJPG/229565-004_ESS_2.jpg;https://dd3ka9h4chfr8.cloudfront.net/image/725136000567/image_du9pej8j8d1sba4qv0hsne2i2e/-FJPG/229565-004_ESS_3.jpg;https://dd3ka9h4chfr8.cloudfront.net/image/725136000567/image_k6v204b9rh5el4ntqfcuc8t70c/-FJPG/229565-004_ESS_6.jpg;https://dd3ka9h4chfr8.cloudfront.net/image/725136000567/image_192mibgkop5dl79ukkjmmpuo1g/-FJPG/229565-004_ESS_7.jpg;https://dd3ka9h4chfr8.cloudfront.net/image/725136000567/image_ce6ia00sj56ina92rad5hci37g/-FJPG/229565-004_ESS_8.jpg;https://dd3ka9h4chfr8.cloudfront.net/image/725136000567/image_mut28e0l5d3pnftq3rq7dvuu7l/-FJPG/229565-004_ESS_9.jpg;https://dd3ka9h4chfr8.cloudfront.net/image/725136000567/image_qs2sdqm7311ah3mj8qa637vb1t/-FJPG/229565-004_ESS_10.jpg;https://dd3ka9h4chfr8.cloudfront.net/image/725136000567/image_360hpb14ul7ot48kbsb5ol2p74/-FJPG/229565-004_ESS_11.jpg;https://dd3ka9h4chfr8.cloudfront.net/image/725136000567/image_adtl62g7f55k3083ip3rdtst72/-FJPG/229565-004_ESS_12.jpg;https://dd3ka9h4chfr8.cloudfront.net/image/725136000567/image_oj7u8kg8mt78h743mnpmn3ks4t/-FJPG/229565-004_ESS_13.jpg;https://dd3ka9h4chfr8.cloudfront.net/image/725136000567/image_36o3msnljd2rvble475r2n7j51/-FJPG/229565-004_ESS_14.jpg</t>
  </si>
  <si>
    <t>229565-004</t>
  </si>
  <si>
    <t>212.74</t>
  </si>
  <si>
    <t>https://dd3ka9h4chfr8.cloudfront.net/image/725136000567/image_677r58cfqd5shb62i32o96lh5d/-FJPG/229565-004_FRT_1.jpg</t>
  </si>
  <si>
    <t>68.75</t>
  </si>
  <si>
    <t>{"value":68.75,"unit":"in"}</t>
  </si>
  <si>
    <t>With simple shaping inspired by midcentury casing, exposed framework and a warm oak finish bring a handcrafted, minimalist look to modern bedroom styling, with six spacious drawers for ample storage. This item has been modified to comply with the STURDY Act. See a full list of modified products and data changes in the â€œSTURDY Actâ€_x009d_ file in the Downloads section below.</t>
  </si>
  <si>
    <t>{"value":72.64,"unit":"in"}</t>
  </si>
  <si>
    <t>6.63"</t>
  </si>
  <si>
    <t>6.85"</t>
  </si>
  <si>
    <t>7.19"</t>
  </si>
  <si>
    <t>Meadow Bed</t>
  </si>
  <si>
    <t>https://dd3ka9h4chfr8.cloudfront.net/image/725136000567/image_eejl89ulv16955sce84r9apm09/-FJPG/231710-008_FRT_1.jpg;https://dd3ka9h4chfr8.cloudfront.net/image/725136000567/image_qgi5t884vd6il97vrrvu9ge015/-FJPG/231710-008_PRM_1.jpg;https://dd3ka9h4chfr8.cloudfront.net/image/725136000567/image_egkk8s6fm90m5ctt6ufrc6go3m/-FJPG/231710-008_SID_1.jpg;https://dd3ka9h4chfr8.cloudfront.net/image/725136000567/image_1j7t77j05t7a1aeb5p71hemc47/-FJPG/231710-008_DET_2.jpg;https://dd3ka9h4chfr8.cloudfront.net/image/725136000567/image_8shjc3ouq95dve3fmfa8ed593a/-FJPG/231710-008_BCK_1.jpg;https://dd3ka9h4chfr8.cloudfront.net/image/725136000567/image_5lo7dllff10kh2ssonljdtkk2j/-FJPG/231710-008_DET_1.jpg;https://dd3ka9h4chfr8.cloudfront.net/image/725136000567/image_0jf7h7e4ch4m9bmd4vf7qjnc7b/-FJPG/231710-008_DET_3.jpg;https://dd3ka9h4chfr8.cloudfront.net/image/725136000567/image_p606istgq51ffd5dcj3p7h766n/-FJPG/231710-008_DET_4.jpg;https://dd3ka9h4chfr8.cloudfront.net/image/725136000567/image_73b5bpu9gh1m322k6629tssk13/-FJPG/231710-008_DET_5.jpg;https://dd3ka9h4chfr8.cloudfront.net/image/725136000567/image_ioo71um7np2qf1h9q1prg3uh01/-FJPG/231710-008_DET_6.jpg;https://dd3ka9h4chfr8.cloudfront.net/image/725136000567/image_tpshnfngid4up2hv5g3lmn8m3f/-FJPG/231710-008_DET_7.jpg</t>
  </si>
  <si>
    <t>231710-008</t>
  </si>
  <si>
    <t>https://dd3ka9h4chfr8.cloudfront.net/image/725136000567/image_eejl89ulv16955sce84r9apm09/-FJPG/231710-008_FRT_1.jpg</t>
  </si>
  <si>
    <t>A simply shaped bed of warm-finished oak offers a handcrafted look inspired by midcentury design.</t>
  </si>
  <si>
    <t>{"value":46.73,"unit":"in"}</t>
  </si>
  <si>
    <t>{"value":6.1,"unit":"in"}</t>
  </si>
  <si>
    <t>{"value":7.28,"unit":"in"}</t>
  </si>
  <si>
    <t>{"value":84.06,"unit":"in"}</t>
  </si>
  <si>
    <t>{"value":49.6,"unit":"lb"}</t>
  </si>
  <si>
    <t>79.13"</t>
  </si>
  <si>
    <t>42.01"</t>
  </si>
  <si>
    <t>https://dd3ka9h4chfr8.cloudfront.net/image/725136000567/image_9un9uttqu96ppc7o35hujnjd2b/-FJPG/231710-009_FRT_1.jpg;https://dd3ka9h4chfr8.cloudfront.net/image/725136000567/image_0q7phm3g7h6ld5onurl1l4lc7t/-FJPG/231710-009_PRM_1.jpg;https://dd3ka9h4chfr8.cloudfront.net/image/725136000567/image_sdfphujlt5525clq6otprefk19/-FJPG/231710-009_SID_1.jpg;https://dd3ka9h4chfr8.cloudfront.net/image/725136000567/image_h54srdadnl4rf6vu83v716nl2q/-FJPG/231710-009_DET_2.jpg;https://dd3ka9h4chfr8.cloudfront.net/image/725136000567/image_7c4frhj3lp1bpcut7pioob7i2d/-FJPG/231710-009_BCK_1.jpg;https://dd3ka9h4chfr8.cloudfront.net/image/725136000567/image_0g9s3vbmgd7ot48u24vd23nq42/-FJPG/231710-009_DET_1.jpg;https://dd3ka9h4chfr8.cloudfront.net/image/725136000567/image_bg3n8evlut1u3642sn02ihhk36/-FJPG/231710-009_DET_3.jpg;https://dd3ka9h4chfr8.cloudfront.net/image/725136000567/image_c2alj87pl948ddp83ospen3i3t/-FJPG/231710-009_DET_4.jpg;https://dd3ka9h4chfr8.cloudfront.net/image/725136000567/image_964vs59oil7ppceo7foq00a37o/-FJPG/231710-009_DET_5.jpg;https://dd3ka9h4chfr8.cloudfront.net/image/725136000567/image_v3sgnfrlct6o13s08hu9qj7o3f/-FJPG/231710-009_DET_6.jpg;https://dd3ka9h4chfr8.cloudfront.net/image/725136000567/image_2ds2m54sc96bv9jcj6s2iqud3s/-FJPG/231710-009_DET_7.jpg</t>
  </si>
  <si>
    <t>231710-009</t>
  </si>
  <si>
    <t>https://dd3ka9h4chfr8.cloudfront.net/image/725136000567/image_9un9uttqu96ppc7o35hujnjd2b/-FJPG/231710-009_FRT_1.jpg</t>
  </si>
  <si>
    <t>{"value":80.03,"unit":"lb"}</t>
  </si>
  <si>
    <t>Meadow Console Table</t>
  </si>
  <si>
    <t>https://dd3ka9h4chfr8.cloudfront.net/image/725136000567/image_i44euumbg540rc8umpo6pn4d0m/-FJPG/229646-003_FRT_1.jpg;https://dd3ka9h4chfr8.cloudfront.net/image/725136000567/image_q0bcdti61p3an18c6843tml332/-FJPG/229646-003_PRM_1.jpg;https://dd3ka9h4chfr8.cloudfront.net/image/725136000567/image_vbhln9r4kd1i9ckmj6a8t2mb2j/-FJPG/229646-003_SID_1.jpg;https://dd3ka9h4chfr8.cloudfront.net/image/725136000567/image_gg151palpd7in8rq520kf5u77b/-FJPG/229646-003_ESS_1.jpg;https://dd3ka9h4chfr8.cloudfront.net/image/725136000567/image_so4h54c5ad7mp3fh13t8bida1s/-FJPG/229646-003_DET_2.jpg;https://dd3ka9h4chfr8.cloudfront.net/image/725136000567/image_83cddlcqsp4b9dlbe1eersqk3o/-FJPG/229646-003_BCK_1.jpg;https://dd3ka9h4chfr8.cloudfront.net/image/725136000567/image_8uu81ft5k54pn7c0rerblhcl31/-FJPG/229646-003_DET_1.jpg;https://dd3ka9h4chfr8.cloudfront.net/image/725136000567/image_3ms8vs76il3s1fn8m8qmtkqu1s/-FJPG/229646-003_DET_3.jpg;https://dd3ka9h4chfr8.cloudfront.net/image/725136000567/image_sjt0pkng610bj86sgc4k3pio5b/-FJPG/229646-003_OPN_1.jpg;https://dd3ka9h4chfr8.cloudfront.net/image/725136000567/image_k641bct8kd6ftc4d8b0uq2cb14/-FJPG/229646-003_DET_4.jpg;https://dd3ka9h4chfr8.cloudfront.net/image/725136000567/image_h36j19fq857mp79njdk6r8gu3f/-FJPG/229646-003_DET_5.jpg</t>
  </si>
  <si>
    <t>229646-003</t>
  </si>
  <si>
    <t>https://dd3ka9h4chfr8.cloudfront.net/image/725136000567/image_i44euumbg540rc8umpo6pn4d0m/-FJPG/229646-003_FRT_1.jpg</t>
  </si>
  <si>
    <t>With simple shaping inspired by midcentury casing, exposed framework and a warm oak finish bring a handcrafted, minimalist look to modern media styling. Rear cutouts for cord management.</t>
  </si>
  <si>
    <t>57.48"</t>
  </si>
  <si>
    <t>15.59"</t>
  </si>
  <si>
    <t>17.56"</t>
  </si>
  <si>
    <t>Meadow Nightstand</t>
  </si>
  <si>
    <t>https://dd3ka9h4chfr8.cloudfront.net/image/725136000567/image_bmge9905n50b9d02ev67ldo67k/-FJPG/229567-003_FRT_1.jpg;https://dd3ka9h4chfr8.cloudfront.net/image/725136000567/image_hb23kc62n51jhedfrijjd4pa5c/-FJPG/229567-003_PRM_1.jpg;https://dd3ka9h4chfr8.cloudfront.net/image/725136000567/image_r8ki93u2015rb516b6f6n45a2n/-FJPG/229567-003_SID_1.jpg;https://dd3ka9h4chfr8.cloudfront.net/image/725136000567/image_a1ha1m3cgl4el3hrmreommf07v/-FJPG/229567-003_ESS_1.jpg;https://dd3ka9h4chfr8.cloudfront.net/image/725136000567/image_3gl7cdf4dt1m3bns26t36er14g/-FJPG/229567-003_DET_2.jpg;https://dd3ka9h4chfr8.cloudfront.net/image/725136000567/image_c9vhokdmap4dbad07rus9svc2q/-FJPG/229567-003_BCK_1.jpg;https://dd3ka9h4chfr8.cloudfront.net/image/725136000567/image_nsavo5m1j55lr1qcpe8pgqiq3f/-FJPG/229567-003_DET_1.jpg;https://dd3ka9h4chfr8.cloudfront.net/image/725136000567/image_mvnrjv84mh0mp948rn2mlt6s1a/-FJPG/229567-003_DET_3.jpg;https://dd3ka9h4chfr8.cloudfront.net/image/725136000567/image_okbud87i4l0nj6q0fh1304ft5l/-FJPG/229567-003_OPN_1.jpg;https://dd3ka9h4chfr8.cloudfront.net/image/725136000567/image_vs8l3npekl1jjakmei1di5jm3a/-FJPG/229567-003_DET_4.jpg;https://dd3ka9h4chfr8.cloudfront.net/image/725136000567/image_ihqfuog6id05v4d7t9osst751t/-FJPG/229567-003_DET_5.jpg;https://dd3ka9h4chfr8.cloudfront.net/image/725136000567/image_ga5dlafjdh0m31vsstjppqv57r/-FJPG/229567-003_DET_6.jpg</t>
  </si>
  <si>
    <t>229567-003</t>
  </si>
  <si>
    <t>https://dd3ka9h4chfr8.cloudfront.net/image/725136000567/image_bmge9905n50b9d02ev67ldo67k/-FJPG/229567-003_FRT_1.jpg</t>
  </si>
  <si>
    <t>With simple shaping inspired by midcentury casing, exposed framework and a warm oak finish bring a handcrafted, minimalist look to stylish bedside storage.</t>
  </si>
  <si>
    <t>Meadow Sideboard</t>
  </si>
  <si>
    <t>https://dd3ka9h4chfr8.cloudfront.net/image/725136000567/image_u9n9as92al5q1076d7capfbl3u/-FJPG/228733-004_FRT_1.jpg;https://dd3ka9h4chfr8.cloudfront.net/image/725136000567/image_7d51j4t8v57d11nddbpuenui4i/-FJPG/228733-004_PRM_1.jpg;https://dd3ka9h4chfr8.cloudfront.net/image/725136000567/image_smdtamkdap7nbccthbq05j3152/-FJPG/228733-004_SID_1.jpg;https://dd3ka9h4chfr8.cloudfront.net/image/725136000567/image_i31odp7qed3d90cqi3r6irc164/-FJPG/228733-004_ESS_1.jpg;https://dd3ka9h4chfr8.cloudfront.net/image/725136000567/image_l2smejj64h7392fdvqp8vhv02p/-FJPG/228733-004_DET_2.jpg;https://dd3ka9h4chfr8.cloudfront.net/image/725136000567/image_ue2hrvvmch50l4onhnqgco4e5p/-FJPG/228733-004_BCK_1.jpg;https://dd3ka9h4chfr8.cloudfront.net/image/725136000567/image_62vf4dbbgd7bt4ki95jkciua5u/-FJPG/228733-004_DET_1.jpg;https://dd3ka9h4chfr8.cloudfront.net/image/725136000567/image_ndf71qohj53g728anrt74mml0n/-FJPG/228733-004_DET_3.jpg;https://dd3ka9h4chfr8.cloudfront.net/image/725136000567/image_2vpbm7j01d5p7f5f4aq1r4iu4m/-FJPG/228733-004_OPN_1.jpg;https://dd3ka9h4chfr8.cloudfront.net/image/725136000567/image_f7fcgo6mv13sd0b62k6qjnp414/-FJPG/228733-004_DET_4.jpg;https://dd3ka9h4chfr8.cloudfront.net/image/725136000567/image_q7g2vuejgp67hdj9c054hkqh18/-FJPG/228733-004_DET_5.jpg;https://dd3ka9h4chfr8.cloudfront.net/image/725136000567/image_mqv9oir2490ef2i8rar6q6sj40/-FJPG/228733-004_OPN_2.jpg</t>
  </si>
  <si>
    <t>228733-004</t>
  </si>
  <si>
    <t>https://dd3ka9h4chfr8.cloudfront.net/image/725136000567/image_u9n9as92al5q1076d7capfbl3u/-FJPG/228733-004_FRT_1.jpg</t>
  </si>
  <si>
    <t>With simple shaping inspired by midcentury casing, exposed framework and a warm oak finish bring a handcrafted, minimalist look to modern dining storage.</t>
  </si>
  <si>
    <t>{"value":75.98,"unit":"in"}</t>
  </si>
  <si>
    <t>22.72"</t>
  </si>
  <si>
    <t>34.06"</t>
  </si>
  <si>
    <t>17.38"</t>
  </si>
  <si>
    <t>7.17"</t>
  </si>
  <si>
    <t>15.45"</t>
  </si>
  <si>
    <t>Melle Sofa</t>
  </si>
  <si>
    <t>https://dd3ka9h4chfr8.cloudfront.net/image/725136000567/image_t0mo7vvtj93bb65a6dt283lu03/-FJPG/246744-003_FRT_1.jpg;https://dd3ka9h4chfr8.cloudfront.net/image/725136000567/image_uk3qbt9hr12fhcr5lpha4cqi4a/-FJPG/246744-003_PRM_1.jpg;https://dd3ka9h4chfr8.cloudfront.net/image/725136000567/image_m7h0qnempt5ft8uug6t2vrfv6l/-FJPG/246744-003_SID_1.jpg;https://dd3ka9h4chfr8.cloudfront.net/image/725136000567/image_lv2s9se03t0tl8i5bjpbbvhr0c/-FJPG/246744-003_ESS.tif;https://dd3ka9h4chfr8.cloudfront.net/image/725136000567/image_edt3apjp4h3g938o7l6a2dht4j/-FJPG/246744-003_DET_2.jpg;https://dd3ka9h4chfr8.cloudfront.net/image/725136000567/image_ihr391rput1i9b0fnh0nigbh7o/-FJPG/246744-003_BCK_1.jpg;https://dd3ka9h4chfr8.cloudfront.net/image/725136000567/image_03n9m43ahp0hna9ae0thlm162c/-FJPG/246744-003_DET_1.jpg;https://dd3ka9h4chfr8.cloudfront.net/image/725136000567/image_bnbpki8qkd3bjekce6re3pqv6v/-FJPG/246744-003_DET_3.jpg;https://dd3ka9h4chfr8.cloudfront.net/image/725136000567/image_ba87p9sqdh2rnf6iqifgd1485d/-FJPG/246744-003_DET_4.jpg;https://dd3ka9h4chfr8.cloudfront.net/image/725136000567/image_gsm2givhlp6drd6p29rdrunj4r/-FJPG/246744-003_DET_5.jpg;https://dd3ka9h4chfr8.cloudfront.net/image/725136000567/image_4u9se4lp497dn505kaq3t7ms54/-FJPG/246744-003_DET_6.jpg;https://dd3ka9h4chfr8.cloudfront.net/image/725136000567/image_8gur66fggl7kp6mib9skm8u547/-FJPG/246744-003_DET_9.tif;https://dd3ka9h4chfr8.cloudfront.net/image/725136000567/image_9ro0q60pg51d1ftavvn7o90n7b/-FJPG/FHMPRJ016_SCENE-8.jpg</t>
  </si>
  <si>
    <t>Lipari Camel</t>
  </si>
  <si>
    <t>246744-003</t>
  </si>
  <si>
    <t>130.07</t>
  </si>
  <si>
    <t>https://dd3ka9h4chfr8.cloudfront.net/image/725136000567/image_t0mo7vvtj93bb65a6dt283lu03/-FJPG/246744-003_FRT_1.jpg</t>
  </si>
  <si>
    <t>["Top Grain Leather","Steel"]</t>
  </si>
  <si>
    <t>87.5</t>
  </si>
  <si>
    <t>{"value":87.5,"unit":"in"}</t>
  </si>
  <si>
    <t>41.25</t>
  </si>
  <si>
    <t>{"value":41.25,"unit":"in"}</t>
  </si>
  <si>
    <t>Ebony Steel</t>
  </si>
  <si>
    <t>A minimalist form to redefine contemporary seating. Made from tan top-grain leather with a slim profile, expert tailoring and plush cushions for comfort. Sleek metal legs and compact sizing make this piece a versatile anchor for smaller living spaces.</t>
  </si>
  <si>
    <t>Sofa</t>
  </si>
  <si>
    <t>{"value":41.93,"unit":"in"}</t>
  </si>
  <si>
    <t>40.83"</t>
  </si>
  <si>
    <t>81.65"</t>
  </si>
  <si>
    <t>61% Polyurethane Foam Pad, 39% Polyester Fiber Batting</t>
  </si>
  <si>
    <t>Melle</t>
  </si>
  <si>
    <t>40.55"</t>
  </si>
  <si>
    <t>37.91"</t>
  </si>
  <si>
    <t>58.35"</t>
  </si>
  <si>
    <t>85% Polyester fiber, 15% Polyester fiber batting</t>
  </si>
  <si>
    <t>69% Polyurethane Foam Pad, 31% Polyester Fiber Batting</t>
  </si>
  <si>
    <t>https://dd3ka9h4chfr8.cloudfront.net/image/725136000567/image_eevsebi7u10ujaikfics0psi43/-FJPG/246744-002_FRT_1.jpg;https://dd3ka9h4chfr8.cloudfront.net/image/725136000567/image_o8ubhgfrnl3svaonrjfel92g1t/-FJPG/246744-002_PRM_1.jpg;https://dd3ka9h4chfr8.cloudfront.net/image/725136000567/image_45h9bglrkt0nv1bin7gknd4q2d/-FJPG/246744-002_SID_1.jpg;https://dd3ka9h4chfr8.cloudfront.net/image/725136000567/image_pg6gkg40l913385c9jhi4tc568/-FJPG/246744-002_DET_2.jpg;https://dd3ka9h4chfr8.cloudfront.net/image/725136000567/image_q73pjfivkt0cr1auil79224k7p/-FJPG/246744-002_BCK_1.jpg;https://dd3ka9h4chfr8.cloudfront.net/image/725136000567/image_ddl0vp10cd5974u3tijmqqn816/-FJPG/246744-002_DET_1.jpg;https://dd3ka9h4chfr8.cloudfront.net/image/725136000567/image_c5291pft6h42bcn436dfhp1m0h/-FJPG/246744-002_DET_3.jpg;https://dd3ka9h4chfr8.cloudfront.net/image/725136000567/image_pdjco815cd73d0ac1dmdeo180c/-FJPG/246744-002_DET_4.jpg;https://dd3ka9h4chfr8.cloudfront.net/image/725136000567/image_cbm32bplfh75h8ap7f7shrnv46/-FJPG/246744-002_DET_5.jpg;https://dd3ka9h4chfr8.cloudfront.net/image/725136000567/image_j4c1fcq2ql31tel16ok0rbim4k/-FJPG/246744-002_DET_6.jpg</t>
  </si>
  <si>
    <t>246744-002</t>
  </si>
  <si>
    <t>https://dd3ka9h4chfr8.cloudfront.net/image/725136000567/image_eevsebi7u10ujaikfics0psi43/-FJPG/246744-002_FRT_1.jpg</t>
  </si>
  <si>
    <t>["79% Polyester","16% Viscose (Rayon)","5% Flax/Linen","Steel"]</t>
  </si>
  <si>
    <t>A minimalist form to redefine contemporary seating. Made from light, neutral high-performance with a slim profile, expert tailoring and plush cushions for comfort. Sleek metal legs and compact sizing make this piece a versatile anchor for smaller living spaces. Performance fabrics are specially created to withstand spills, stains, high traffic and wear, ensuring long-term comfort and unmatched durability.</t>
  </si>
  <si>
    <t>Mercantile Shop Store Cabinet</t>
  </si>
  <si>
    <t>https://dd3ka9h4chfr8.cloudfront.net/image/725136000567/image_6lqfh4orgp39t2avferc2ipp5h/-FJPG/242088-001_FRT_1.jpg;https://dd3ka9h4chfr8.cloudfront.net/image/725136000567/image_iqguagd4pd0kl763v0spbe4r1t/-FJPG/242088-001_PRM_1.jpg;https://dd3ka9h4chfr8.cloudfront.net/image/725136000567/image_2nu702hr8p265btc4961a1nn5t/-FJPG/242088-001_SID_1.jpg;https://dd3ka9h4chfr8.cloudfront.net/image/725136000567/image_l3foklio0d0fr84sp1fcfegg6o/-FJPG/242088-001_ESS_1.tif;https://dd3ka9h4chfr8.cloudfront.net/image/725136000567/image_qj5m7j287p02n4og4muu487e2p/-FJPG/242088-001_DET_2.jpg;https://dd3ka9h4chfr8.cloudfront.net/image/725136000567/image_1ui40db1bh7ubfjhmqm9fkn40g/-FJPG/242088-001_BCK_1.jpg;https://dd3ka9h4chfr8.cloudfront.net/image/725136000567/image_qj5tudtpt56o7a514sjsrl266q/-FJPG/242088-001_DET_1.jpg;https://dd3ka9h4chfr8.cloudfront.net/image/725136000567/image_fgv0ejp4d9009epgjain8ivu1g/-FJPG/242088-001_DET_3.jpg;https://dd3ka9h4chfr8.cloudfront.net/image/725136000567/image_vl74leggnh7jfcbj1onq5ncp4u/-FJPG/242088-001_TOP_1.jpg;https://dd3ka9h4chfr8.cloudfront.net/image/725136000567/image_o5kg422nul0hl37tfua5899j24/-FJPG/242088-001_DET_4.jpg;https://dd3ka9h4chfr8.cloudfront.net/image/725136000567/image_hg0rnqs4954rj674pjgqifcj4q/-FJPG/242088-001_DET_5.jpg;https://dd3ka9h4chfr8.cloudfront.net/image/725136000567/image_qh0ok1ifq103v5qc2vkrj97c60/-FJPG/242088-001_DET_9.tif;https://dd3ka9h4chfr8.cloudfront.net/image/725136000567/image_qch9d21e7t3cj63id4spjach2a/-FJPG/242088-001_DET_10.tif</t>
  </si>
  <si>
    <t>242088-001</t>
  </si>
  <si>
    <t>98.1</t>
  </si>
  <si>
    <t>https://dd3ka9h4chfr8.cloudfront.net/image/725136000567/image_6lqfh4orgp39t2avferc2ipp5h/-FJPG/242088-001_FRT_1.jpg</t>
  </si>
  <si>
    <t>["Solid Pine","Pine Veneer"]</t>
  </si>
  <si>
    <t>12</t>
  </si>
  <si>
    <t>{"value":12,"unit":"in"}</t>
  </si>
  <si>
    <t>Aged Brown Veneer</t>
  </si>
  <si>
    <t>Brown Pine Veneer</t>
  </si>
  <si>
    <t>By the makers at Van Thiel, known for their antique-inspired pieces and hand-applied finishes. This solid pine bookcase features 12 cubbies for displaying books, favorite treasures and more. A multilayered hand-applied finish throughout gives it the look of a found piece.</t>
  </si>
  <si>
    <t>{"value":126.77,"unit":"lb"}</t>
  </si>
  <si>
    <t>11.18"</t>
  </si>
  <si>
    <t>Mercantile Shop Store</t>
  </si>
  <si>
    <t>11.93"</t>
  </si>
  <si>
    <t>Micah Chaise</t>
  </si>
  <si>
    <t>https://dd3ka9h4chfr8.cloudfront.net/image/725136000567/image_6tboldn2tl5k74mk2b5ses0r3p/-FJPG/241706-001_FRT_1.jpg;https://dd3ka9h4chfr8.cloudfront.net/image/725136000567/image_no4floslmt6mj624prv62glo5k/-FJPG/241706-001_PRM_1.jpg;https://dd3ka9h4chfr8.cloudfront.net/image/725136000567/image_u6egg893t90uveb4fn2kggl85l/-FJPG/241706-001_SID_1.jpg;https://dd3ka9h4chfr8.cloudfront.net/image/725136000567/image_qsont87g8l3dv1is1r6ecmnu47/-FJPG/241706-001_DET_2.jpg;https://dd3ka9h4chfr8.cloudfront.net/image/725136000567/image_oimnps1vkh2v3b2igq91gunt5o/-FJPG/241706-001_BCK_1.jpg;https://dd3ka9h4chfr8.cloudfront.net/image/725136000567/image_t12pemiard2058suutfckis451/-FJPG/241706-001_DET_1.jpg;https://dd3ka9h4chfr8.cloudfront.net/image/725136000567/image_di7q6nuaip29923g0qmma2co08/-FJPG/241706-001_DET_3.jpg;https://dd3ka9h4chfr8.cloudfront.net/image/725136000567/image_ql50k2r3ll5eb12rab5jii2439/-FJPG/241706-001_TOP_1.jpg;https://dd3ka9h4chfr8.cloudfront.net/image/725136000567/image_q2ub3g8mj12f53c01ro254c873/-FJPG/241706-001_DET_4.jpg;https://dd3ka9h4chfr8.cloudfront.net/image/725136000567/image_m6n316tkhd7ib1ddlgv6puq153/-FJPG/241706-001_DET_5.jpg;https://dd3ka9h4chfr8.cloudfront.net/image/725136000567/image_ea2q7v5crh15b3a7ah1g2pd166/-FJPG/241706-001_DET_6.jpg;https://dd3ka9h4chfr8.cloudfront.net/image/725136000567/image_55e5ok8a3l5tt49lupqtkscp6g/-FJPG/241706-001_ESS.tif</t>
  </si>
  <si>
    <t>Oland Linen</t>
  </si>
  <si>
    <t>241706-001</t>
  </si>
  <si>
    <t>https://dd3ka9h4chfr8.cloudfront.net/image/725136000567/image_6tboldn2tl5k74mk2b5ses0r3p/-FJPG/241706-001_FRT_1.jpg</t>
  </si>
  <si>
    <t>["100% Polypropylene"]</t>
  </si>
  <si>
    <t>58</t>
  </si>
  <si>
    <t>{"value":58,"unit":"in"}</t>
  </si>
  <si>
    <t>The extra-wide, media-style chaise blends spring construction and PFAS chemical-free performance linen, making it a durable piece to add to any living room setup. Three feather fiber toss cushions complete a comfortable, polished form. Performance fabrics are specially created to withstand spills, stains, high traffic and wear, ensuring long-term comfort and unmatched durability.</t>
  </si>
  <si>
    <t>Micah</t>
  </si>
  <si>
    <t>37.25"</t>
  </si>
  <si>
    <t>Mika Dining Sideboard</t>
  </si>
  <si>
    <t>https://dd3ka9h4chfr8.cloudfront.net/image/725136000567/image_ls927721o16l34d8ssmgcf7b2q/-FJPG/VPTN-191_FRT_1.jpg;https://dd3ka9h4chfr8.cloudfront.net/image/725136000567/image_15ese5mcqh3ud3hiqrgn3v6770/-FJPG/VPTN-191_PRM_1.jpg;https://dd3ka9h4chfr8.cloudfront.net/image/725136000567/image_loduq1066l0l14ftl7nbg7645k/-FJPG/VPTN-191_SID_1.jpg;https://dd3ka9h4chfr8.cloudfront.net/image/725136000567/image_mqume8dfrp603dvirlq78a8o6o/-FJPG/VPTN-191_DET_2.jpg;https://dd3ka9h4chfr8.cloudfront.net/image/725136000567/image_jfgu6mdubt4ehcnajg1c57et7j/-FJPG/VPTN-191_BCK_1.jpg;https://dd3ka9h4chfr8.cloudfront.net/image/725136000567/image_c20ghv9k6h321bnbbc28nr0132/-FJPG/VPTN-191_DET_1.jpg;https://dd3ka9h4chfr8.cloudfront.net/image/725136000567/image_mtc583kgol385b49enlejv425u/-FJPG/VPTN-191_DET_3.jpg;https://dd3ka9h4chfr8.cloudfront.net/image/725136000567/image_5j4jearp5l2irf1iucf19op27l/-FJPG/VPTN-191_OPN_1.jpg;https://dd3ka9h4chfr8.cloudfront.net/image/725136000567/image_oto38lb20t58h6vmlsqamanl3o/-FJPG/VPTN-191_DET_4.jpg;https://dd3ka9h4chfr8.cloudfront.net/image/725136000567/image_0s29ipcpl95gb134cbqr3alr3d/-FJPG/VPTN-191_DET_5.jpg;https://dd3ka9h4chfr8.cloudfront.net/image/725136000567/image_cm1o132h5p3ld6a729k6i8q004/-FJPG/VPTN-191_DET_6.jpg;https://dd3ka9h4chfr8.cloudfront.net/image/725136000567/image_v1867ub2j16p78rhbvl9n3td46/-FJPG/VPTN-191_DET_7.jpg</t>
  </si>
  <si>
    <t>Whitewash Oak</t>
  </si>
  <si>
    <t>VPTN-191</t>
  </si>
  <si>
    <t>https://dd3ka9h4chfr8.cloudfront.net/image/725136000567/image_ls927721o16l34d8ssmgcf7b2q/-FJPG/VPTN-191_FRT_1.jpg</t>
  </si>
  <si>
    <t>Whitewashed Oak Veneer</t>
  </si>
  <si>
    <t>Rustic goes modern. A low stretcher and beautifully grained matte finish brings architectural interest to this simply styled sideboard of white-washed oak.</t>
  </si>
  <si>
    <t>34.92"</t>
  </si>
  <si>
    <t>Mika</t>
  </si>
  <si>
    <t>34.69"</t>
  </si>
  <si>
    <t>Mika Dining Table</t>
  </si>
  <si>
    <t>https://dd3ka9h4chfr8.cloudfront.net/image/725136000567/image_ingopvhcg539l74bialls1dc1p/-FJPG/VPTN-129_FRT_1.jpg;https://dd3ka9h4chfr8.cloudfront.net/image/725136000567/image_93s7vcrcet373d6povjg1qqe4i/-FJPG/VPTN-129_PRM_1.jpg;https://dd3ka9h4chfr8.cloudfront.net/image/725136000567/image_vijn2qnd5d2jlashd7ggfsif0o/-FJPG/VPTN-129_SID_1.jpg;https://dd3ka9h4chfr8.cloudfront.net/image/725136000567/image_kbgjc858gh7sjfujrdhq08653i/-FJPG/VPTN-129_DET_2.jpg;https://dd3ka9h4chfr8.cloudfront.net/image/725136000567/image_3ejn6qkf9l3c97op5egj46353j/-FJPG/VPTN-129_DET_1.jpg;https://dd3ka9h4chfr8.cloudfront.net/image/725136000567/image_cujpinunj55lr1usesveprd55g/-FJPG/VPTN-129_DET_3.jpg;https://dd3ka9h4chfr8.cloudfront.net/image/725136000567/image_d1oqse2pph4rl3nh9in78jga36/-FJPG/VPTN-129_DET_4.jpg;https://dd3ka9h4chfr8.cloudfront.net/image/725136000567/image_vou45tna353nr5t07snjmv9331/-FJPG/VPTN-129_ROM_1.jpg</t>
  </si>
  <si>
    <t>VPTN-129</t>
  </si>
  <si>
    <t>https://dd3ka9h4chfr8.cloudfront.net/image/725136000567/image_ingopvhcg539l74bialls1dc1p/-FJPG/VPTN-129_FRT_1.jpg</t>
  </si>
  <si>
    <t>Rustic goes modern. A triangular stretcher brings architectural interest to this simply styled dining table of white-washed oak.</t>
  </si>
  <si>
    <t>Complete  Item</t>
  </si>
  <si>
    <t>{"value":10.35,"unit":"in"}</t>
  </si>
  <si>
    <t>24.09"</t>
  </si>
  <si>
    <t>62.09"</t>
  </si>
  <si>
    <t>10.96"</t>
  </si>
  <si>
    <t>Miko Media Console</t>
  </si>
  <si>
    <t>https://dd3ka9h4chfr8.cloudfront.net/image/725136000567/image_qrdmt0rpk118h2t1ciuot7h42s/-FJPG/245969-001_FRT_1.jpg;https://dd3ka9h4chfr8.cloudfront.net/image/725136000567/image_8p2v1ijopl7bd3v3v6vc47tn6j/-FJPG/245969-001_PRM_1.jpg;https://dd3ka9h4chfr8.cloudfront.net/image/725136000567/image_nq107e09dt7q365tgsn8qnv53c/-FJPG/245969-001_SID_1.jpg;https://dd3ka9h4chfr8.cloudfront.net/image/725136000567/image_g6vpaabt297rr75als9r11k85h/-FJPG/245969-001_ESS.tif;https://dd3ka9h4chfr8.cloudfront.net/image/725136000567/image_4qnb18hcjt3ud9oannrim6ug19/-FJPG/245969-001_DET_2.jpg;https://dd3ka9h4chfr8.cloudfront.net/image/725136000567/image_fnsdfibqu97rd5cu5bmu7pbr2m/-FJPG/245969-001_BCK_1.jpg;https://dd3ka9h4chfr8.cloudfront.net/image/725136000567/image_374u4c0bvd6u5cjm6v2fb5j777/-FJPG/245969-001_DET_1.jpg;https://dd3ka9h4chfr8.cloudfront.net/image/725136000567/image_v2jsau3qgt7rlfntpcpu6qiu79/-FJPG/245969-001_DET_3.jpg;https://dd3ka9h4chfr8.cloudfront.net/image/725136000567/image_bjs341u9g547f8i0rmsibp663n/-FJPG/245969-001_OPN_1.jpg;https://dd3ka9h4chfr8.cloudfront.net/image/725136000567/image_tgqfkq2n7p7375is6lmm604g3r/-FJPG/245969-001_TOP_1.jpg;https://dd3ka9h4chfr8.cloudfront.net/image/725136000567/image_bf86i2hogt74be19l02enedr0l/-FJPG/245969-001_DET_4.jpg;https://dd3ka9h4chfr8.cloudfront.net/image/725136000567/image_5jvt6q62k53ipd4jtt8kaare70/-FJPG/245969-001_DET_5.jpg;https://dd3ka9h4chfr8.cloudfront.net/image/725136000567/image_vm071114i10cb809p66s3jb30v/-FJPG/245969-001_DET_6.jpg;https://dd3ka9h4chfr8.cloudfront.net/image/725136000567/image_ikr9bmqbfd4spfqk7opfdvut0m/-FJPG/245969-001_DET_9.tif;https://dd3ka9h4chfr8.cloudfront.net/image/725136000567/image_096s2uc61t5qn5kcl1cc3vah5c/-FJPG/245969-001_OPN_2.jpg</t>
  </si>
  <si>
    <t>245969-001</t>
  </si>
  <si>
    <t>https://dd3ka9h4chfr8.cloudfront.net/image/725136000567/image_qrdmt0rpk118h2t1ciuot7h42s/-FJPG/245969-001_FRT_1.jpg</t>
  </si>
  <si>
    <t>Bring Americana vibes to your space with a large, storage-driven bookcase made from warm oak and oak veneer. Plenty of interior space for media storage, with a slide door-front center compartment. Rear cutouts for cord management.</t>
  </si>
  <si>
    <t>{"value":245.82,"unit":"lb"}</t>
  </si>
  <si>
    <t>14.84"</t>
  </si>
  <si>
    <t>36.10"</t>
  </si>
  <si>
    <t>Miko</t>
  </si>
  <si>
    <t>0.83"</t>
  </si>
  <si>
    <t>20.83"</t>
  </si>
  <si>
    <t>18.78"</t>
  </si>
  <si>
    <t>Miles 5Pc Sectional</t>
  </si>
  <si>
    <t>https://dd3ka9h4chfr8.cloudfront.net/image/725136000567/image_0llco854l96nl665sf4a5te51l/-FJPG/250140-002_FRT_1.jpg;https://dd3ka9h4chfr8.cloudfront.net/image/725136000567/image_coi4v5ckbl7s3bglmdedmog162/-FJPG/250140-002_PRM_1.jpg;https://dd3ka9h4chfr8.cloudfront.net/image/725136000567/image_app3eq3ns17qbe5in213bhcc1b/-FJPG/250140-002_SID_1.jpg;https://dd3ka9h4chfr8.cloudfront.net/image/725136000567/image_80j21ea3053r99cu1k76shdt71/-FJPG/250140-002_ESS.tif;https://dd3ka9h4chfr8.cloudfront.net/image/725136000567/image_6nb741vnhh5rl1cjrcckrpan0k/-FJPG/250140-002_DET_2.jpg;https://dd3ka9h4chfr8.cloudfront.net/image/725136000567/image_l5p7g1dou11cv64h5qmtvs4h46/-FJPG/250140-002_BCK_1.jpg;https://dd3ka9h4chfr8.cloudfront.net/image/725136000567/image_217aqrfei53u56bmne1qcceh49/-FJPG/250140-002_DET_1.jpg;https://dd3ka9h4chfr8.cloudfront.net/image/725136000567/image_bihqhkggd12av3ou4oqotrii6v/-FJPG/250140-002_DET_3.jpg;https://dd3ka9h4chfr8.cloudfront.net/image/725136000567/image_k33g3deg6l0578bg8vrjbl1n3i/-FJPG/250140-002_DET_4.jpg;https://dd3ka9h4chfr8.cloudfront.net/image/725136000567/image_vrptgqdgsl5l36ld1ssjun2t59/-FJPG/250140-002_DET_5.jpg;https://dd3ka9h4chfr8.cloudfront.net/image/725136000567/image_mluh02horp1sb5i7bscmncrm1p/-FJPG/250140-002_DET_6.jpg;https://dd3ka9h4chfr8.cloudfront.net/image/725136000567/image_udu922674l21f0stbkh06gse0v/-FJPG/250140-002_DET_7.jpg;https://dd3ka9h4chfr8.cloudfront.net/image/725136000567/image_mv5vflrv0d2lt7mm80hapb4831/-FJPG/250140-002_DET_8.jpg</t>
  </si>
  <si>
    <t>Boden Pewter</t>
  </si>
  <si>
    <t>250140-002</t>
  </si>
  <si>
    <t>365</t>
  </si>
  <si>
    <t>https://dd3ka9h4chfr8.cloudfront.net/image/725136000567/image_0llco854l96nl665sf4a5te51l/-FJPG/250140-002_FRT_1.jpg</t>
  </si>
  <si>
    <t>125.75</t>
  </si>
  <si>
    <t>{"value":125.75,"unit":"in"}</t>
  </si>
  <si>
    <t>Modularity at its best â€” and comfiest. Five piece sectional covered in a plush fabric that's luxuriously soft to the touch.</t>
  </si>
  <si>
    <t>{"value":68,"unit":"lb"}</t>
  </si>
  <si>
    <t>Modular</t>
  </si>
  <si>
    <t>["Modular"]</t>
  </si>
  <si>
    <t>Miles</t>
  </si>
  <si>
    <t>59% Polyurethane Foam Pad, 41% Polyester Fiber Batting</t>
  </si>
  <si>
    <t>Millbrook Console Table</t>
  </si>
  <si>
    <t>https://dd3ka9h4chfr8.cloudfront.net/image/725136000567/image_rvq2ppgpst501fjrg20e1pgc11/-FJPG/236455-002_FRT_1.jpg;https://dd3ka9h4chfr8.cloudfront.net/image/725136000567/image_rc9god8uph3bteqc1008h3kl5j/-FJPG/236455-002_PRM_1.jpg;https://dd3ka9h4chfr8.cloudfront.net/image/725136000567/image_c2g6d11hjp3o53o5n1t1emng0j/-FJPG/236455-002_SID_1.jpg;https://dd3ka9h4chfr8.cloudfront.net/image/725136000567/image_dn0gion2g96rn369uienaidr0h/-FJPG/236455-002_ESS.tif;https://dd3ka9h4chfr8.cloudfront.net/image/725136000567/image_o1b29t2lhl4hh0s6tpq39iem0t/-FJPG/236455-002_DET_2.jpg;https://dd3ka9h4chfr8.cloudfront.net/image/725136000567/image_vnap1vpmfh7rbcm485b7h9g62k/-FJPG/236455-002_BCK_1.jpg;https://dd3ka9h4chfr8.cloudfront.net/image/725136000567/image_lsbiu0e2f51nj0n4le6fo7tq59/-FJPG/236455-002_DET_1.jpg;https://dd3ka9h4chfr8.cloudfront.net/image/725136000567/image_8t0sp4cn2h3ql8hvtfmo51nc1r/-FJPG/236455-002_OPN_1.jpg;https://dd3ka9h4chfr8.cloudfront.net/image/725136000567/image_390hqf91al4a16nq2hdlvlb979/-FJPG/236455-002_TOP_1.jpg;https://dd3ka9h4chfr8.cloudfront.net/image/725136000567/image_lief2i3r514e12c3mfi12rdf53/-FJPG/236455-002_DET_4.jpg;https://dd3ka9h4chfr8.cloudfront.net/image/725136000567/image_bum8nk9jt92m11e7me6dslm04v/-FJPG/236455-002_DET_5.jpg;https://dd3ka9h4chfr8.cloudfront.net/image/725136000567/image_i3u77d55d17a545iir1goi297u/-FJPG/236455-002_DET_6.jpg;https://dd3ka9h4chfr8.cloudfront.net/image/725136000567/image_lr1tbtmr051ep9429biteghh4i/-FJPG/236455-002_DET_7.jpg;https://dd3ka9h4chfr8.cloudfront.net/image/725136000567/image_i4tbqobsp95c98ri1c644do02k/-FJPG/236455-002_DET_10.tif;https://dd3ka9h4chfr8.cloudfront.net/image/725136000567/image_7p188pvibp4o344bctk44ro667/-FJPG/236455-002_DET_11.tif;https://dd3ka9h4chfr8.cloudfront.net/image/725136000567/image_v8go3hi95d3lfek9idbjfmeh2m/-FJPG/FHMPRJ016_SCENE-2.tif</t>
  </si>
  <si>
    <t>Natural Light Oak Veneer</t>
  </si>
  <si>
    <t>236455-002</t>
  </si>
  <si>
    <t>188.23</t>
  </si>
  <si>
    <t>https://dd3ka9h4chfr8.cloudfront.net/image/725136000567/image_rvq2ppgpst501fjrg20e1pgc11/-FJPG/236455-002_FRT_1.jpg</t>
  </si>
  <si>
    <t>Inspired by a vintage general store counter, this console table features a heritage design with a modern twist. Thick oak legs with softened corners provide sturdy support, while oak knobs add a touch of classic charm. The inset tray top and varied drawer configuration offer ample storage.</t>
  </si>
  <si>
    <t>{"value":249.78,"unit":"lb"}</t>
  </si>
  <si>
    <t>Millbrook</t>
  </si>
  <si>
    <t>Millbrook Dresser</t>
  </si>
  <si>
    <t>https://dd3ka9h4chfr8.cloudfront.net/image/725136000567/image_1eq9tqphj55n74olfa9a7asc36/-FJPG/241051-002_FRT_1.jpg;https://dd3ka9h4chfr8.cloudfront.net/image/725136000567/image_6c258d3p1148b5eroi5k8a3b4n/-FJPG/241051-002_PRM_1.jpg;https://dd3ka9h4chfr8.cloudfront.net/image/725136000567/image_kjkeuh30p53t116o6t9cfauq6m/-FJPG/241051-002_SID_1.jpg;https://dd3ka9h4chfr8.cloudfront.net/image/725136000567/image_5ngprojsdt67386pv9nc8e5s2n/-FJPG/241051-002_ESS.tif;https://dd3ka9h4chfr8.cloudfront.net/image/725136000567/image_ogae95fqp96ptdm4a1mvqvpm6e/-FJPG/241051-002_DET_2.jpg;https://dd3ka9h4chfr8.cloudfront.net/image/725136000567/image_pn869evrot775235eh9jnd9i1r/-FJPG/241051-002_BCK_1.jpg;https://dd3ka9h4chfr8.cloudfront.net/image/725136000567/image_alg5cp97v10qp7jlghd6485n04/-FJPG/241051-002_DET_1.jpg;https://dd3ka9h4chfr8.cloudfront.net/image/725136000567/image_h3k9f6m5dd75d8jb9kkhtcqe18/-FJPG/241051-002_DET_3.jpg;https://dd3ka9h4chfr8.cloudfront.net/image/725136000567/image_d2atn1usq52frdnqsdmes2e70i/-FJPG/241051-002_TOP_1.jpg;https://dd3ka9h4chfr8.cloudfront.net/image/725136000567/image_rk9k9vjflp2p13onbsugjpdl3n/-FJPG/241051-002_DET_4.jpg;https://dd3ka9h4chfr8.cloudfront.net/image/725136000567/image_3d8tnb3js12d5dq3ptcsgmlq12/-FJPG/241051-002_DET_5.jpg;https://dd3ka9h4chfr8.cloudfront.net/image/725136000567/image_2pgtu7t36h6bleartvut4t8t10/-FJPG/241051-002_DET_6.jpg;https://dd3ka9h4chfr8.cloudfront.net/image/725136000567/image_tfu6han2bl7ml2ql8vv6snat6k/-FJPG/241051-002_DET_9.tif;https://dd3ka9h4chfr8.cloudfront.net/image/725136000567/image_ncm82lm39l77t28uqhd45vlg1t/-FJPG/241051-002_DET_10.tif</t>
  </si>
  <si>
    <t>241051-002</t>
  </si>
  <si>
    <t>280.93</t>
  </si>
  <si>
    <t>https://dd3ka9h4chfr8.cloudfront.net/image/725136000567/image_1eq9tqphj55n74olfa9a7asc36/-FJPG/241051-002_FRT_1.jpg</t>
  </si>
  <si>
    <t>Drawing inspiration from a vintage general store counter, a storage-driven dresser reflects traditional and functional design. Thick oak legs with softened corners provide sturdy support, while oak knobs add a classic touch. An inset tray top and a versatile drawer configuration offer ample storage.</t>
  </si>
  <si>
    <t>Millbrook Media Console</t>
  </si>
  <si>
    <t>https://dd3ka9h4chfr8.cloudfront.net/image/725136000567/image_kshdejvc893o9eloh2edolht34/-FJPG/236332-003_FRT_1.jpg;https://dd3ka9h4chfr8.cloudfront.net/image/725136000567/image_ho85vg83c50al4bqpc18hpgs7e/-FJPG/236332-003_PRM_1.jpg;https://dd3ka9h4chfr8.cloudfront.net/image/725136000567/image_d6gqe662u162p4a4ukur10qp17/-FJPG/236332-003_SID_1.jpg;https://dd3ka9h4chfr8.cloudfront.net/image/725136000567/image_j9a11cd6mp6ejenlmosefkik7l/-FJPG/236332-003_ESS.tif;https://dd3ka9h4chfr8.cloudfront.net/image/725136000567/image_te0au2phbl0ttfijlo64ov3o3r/-FJPG/236332-003_DET_2.jpg;https://dd3ka9h4chfr8.cloudfront.net/image/725136000567/image_snvm9mgk4p1tlb6egsgurnql37/-FJPG/236332-003_BCK_1.jpg;https://dd3ka9h4chfr8.cloudfront.net/image/725136000567/image_qscc1dcjlp2idcvacrud71ni2s/-FJPG/236332-003_DET_1.jpg;https://dd3ka9h4chfr8.cloudfront.net/image/725136000567/image_49tjk6skdd625co8vc6amq4a0o/-FJPG/236332-003_DET_3.jpg;https://dd3ka9h4chfr8.cloudfront.net/image/725136000567/image_lvqrjitlrh7712lmj6dvsdne33/-FJPG/236332-003_OPN_1.jpg;https://dd3ka9h4chfr8.cloudfront.net/image/725136000567/image_3fvj0uvgdh7sfduve6c6blb11r/-FJPG/236332-003_TOP_1.jpg;https://dd3ka9h4chfr8.cloudfront.net/image/725136000567/image_cn3nm6v2od0t9bl66c9cu3h64d/-FJPG/236332-003_DET_4.jpg;https://dd3ka9h4chfr8.cloudfront.net/image/725136000567/image_e977ceclth7fvdr4lvsqti0d1v/-FJPG/236332-003_DET_5.jpg;https://dd3ka9h4chfr8.cloudfront.net/image/725136000567/image_bmcj03aj3t2cla569l2npdiv63/-FJPG/236332-003_DET_6.jpg;https://dd3ka9h4chfr8.cloudfront.net/image/725136000567/image_au18esj0k526b47nisqnvtoh75/-FJPG/236332-003_DET_9.tif;https://dd3ka9h4chfr8.cloudfront.net/image/725136000567/image_9r960q0tp13urdjpptd5ji0r0b/-FJPG/FHMPRJ016_SCENE-12-CROP-1.tif</t>
  </si>
  <si>
    <t>Natural Light Oak</t>
  </si>
  <si>
    <t>236332-003</t>
  </si>
  <si>
    <t>215.17</t>
  </si>
  <si>
    <t>https://dd3ka9h4chfr8.cloudfront.net/image/725136000567/image_kshdejvc893o9eloh2edolht34/-FJPG/236332-003_FRT_1.jpg</t>
  </si>
  <si>
    <t>{"value":97.25,"unit":"in"}</t>
  </si>
  <si>
    <t>{"value":269.52,"unit":"lb"}</t>
  </si>
  <si>
    <t>27.75"</t>
  </si>
  <si>
    <t>Millie 6 Drawer Dresser</t>
  </si>
  <si>
    <t>https://dd3ka9h4chfr8.cloudfront.net/image/725136000567/image_i3l2k30dv97kvfqiv37k59jd7e/-FJPG/233092-001_FRT_1.jpg;https://dd3ka9h4chfr8.cloudfront.net/image/725136000567/image_hktu9p1oc55416cles5s3mme13/-FJPG/233092-001_PRM_1.jpg;https://dd3ka9h4chfr8.cloudfront.net/image/725136000567/image_d18272sk7t11h1ntfrcl5ph05p/-FJPG/233092-001_SID_1.jpg;https://dd3ka9h4chfr8.cloudfront.net/image/725136000567/image_aqtvtrh569039bhggd6s0v7g0t/-FJPG/233092-001_ESS_1.jpg;https://dd3ka9h4chfr8.cloudfront.net/image/725136000567/image_9rhoutt3hl2tr7cjm815mpl35e/-FJPG/233092-001_DET_2.jpg;https://dd3ka9h4chfr8.cloudfront.net/image/725136000567/image_99uj0h3mh149n3iaq1mvitrb5q/-FJPG/233092-001_BCK_1.jpg;https://dd3ka9h4chfr8.cloudfront.net/image/725136000567/image_k92b5ojq0d459ech7a2vc7fk5d/-FJPG/233092-001_DET_1.jpg;https://dd3ka9h4chfr8.cloudfront.net/image/725136000567/image_94mdaflddl7c3cvsk8145afb14/-FJPG/233092-001_DET_3.jpg;https://dd3ka9h4chfr8.cloudfront.net/image/725136000567/image_k3l8as086l29l4795b949he10d/-FJPG/233092-001_OPN_1.jpg;https://dd3ka9h4chfr8.cloudfront.net/image/725136000567/image_29qfe4nqa179r1flqvimtj0g5v/-FJPG/233092-001_TOP_1.jpg;https://dd3ka9h4chfr8.cloudfront.net/image/725136000567/image_pjpod63nph56pd90gqso20os2b/-FJPG/233092-001_DET_4.jpg;https://dd3ka9h4chfr8.cloudfront.net/image/725136000567/image_0n3omgt3616i10q68gl295p25g/-FJPG/233092-001_DET_5.jpg;https://dd3ka9h4chfr8.cloudfront.net/image/725136000567/image_nm1oill13l0a3d2cp78n5i2l2b/-FJPG/233092-001_DET_6.jpg;https://dd3ka9h4chfr8.cloudfront.net/image/725136000567/image_thkn16j1lt2qjed68esavck169/-FJPG/233092-001_DET_7.jpg;https://dd3ka9h4chfr8.cloudfront.net/image/725136000567/image_qompac5j313910avpb1n1ogu7i/-FJPG/233092-001_DET_8.jpg</t>
  </si>
  <si>
    <t>Drifted Matte Black Veneer</t>
  </si>
  <si>
    <t>233092-001</t>
  </si>
  <si>
    <t>260.14</t>
  </si>
  <si>
    <t>https://dd3ka9h4chfr8.cloudfront.net/image/725136000567/image_i3l2k30dv97kvfqiv37k59jd7e/-FJPG/233092-001_FRT_1.jpg</t>
  </si>
  <si>
    <t>["Oak Veneer","Solid Parawood"]</t>
  </si>
  <si>
    <t>75</t>
  </si>
  <si>
    <t>{"value":75,"unit":"in"}</t>
  </si>
  <si>
    <t>Drifted Matte Black Rubberwood</t>
  </si>
  <si>
    <t>Featuring six spacious drawers with smooth fronts fixed with matching knobs, this drifted matte-black oak veneer dresser brings spacious storage to the room. This item has been modified to comply with the STURDY Act. See a full list of modified products and data changes in the â€œSTURDY Actâ€_x009d_ file in the Downloads section below.</t>
  </si>
  <si>
    <t>Millie</t>
  </si>
  <si>
    <t>32.99"</t>
  </si>
  <si>
    <t>https://dd3ka9h4chfr8.cloudfront.net/image/725136000567/image_bfi2gk8r0d70ras2nioq7lh22n/-FJPG/233092-002_FRT_1.jpg;https://dd3ka9h4chfr8.cloudfront.net/image/725136000567/image_o30lfaq0p16cv8p64cjj6krs67/-FJPG/233092-002_PRM_1.jpg;https://dd3ka9h4chfr8.cloudfront.net/image/725136000567/image_apk788hoct4110v2a8sr7opa0l/-FJPG/233092-002_SID_1.jpg;https://dd3ka9h4chfr8.cloudfront.net/image/725136000567/image_mk7v19hlrd7qdc7p66b2irmb1c/-FJPG/233092-002_DET_2.jpg;https://dd3ka9h4chfr8.cloudfront.net/image/725136000567/image_7av16sasil6bf45lig4qeqlg7q/-FJPG/233092-002_BCK_1.jpg;https://dd3ka9h4chfr8.cloudfront.net/image/725136000567/image_3h72nqtlep7215ukcu8q96tv2r/-FJPG/233092-002_DET_1.jpg;https://dd3ka9h4chfr8.cloudfront.net/image/725136000567/image_6nu8h1ibml6qr7jk99p6t0k217/-FJPG/233092-002_DET_3.jpg;https://dd3ka9h4chfr8.cloudfront.net/image/725136000567/image_o0tte6jc1p0m72vnmgdt088968/-FJPG/233092-002_OPN_1.jpg;https://dd3ka9h4chfr8.cloudfront.net/image/725136000567/image_e3stv3k2vd26h23umcv77psr0t/-FJPG/233092-002_TOP_1.jpg;https://dd3ka9h4chfr8.cloudfront.net/image/725136000567/image_d5m8okncd953ta806hq8m85j3k/-FJPG/233092-002_DET_4.jpg;https://dd3ka9h4chfr8.cloudfront.net/image/725136000567/image_mb01o7303d2r52mmbd0546n43p/-FJPG/233092-002_DET_5.jpg;https://dd3ka9h4chfr8.cloudfront.net/image/725136000567/image_dtobsdl3910up64ue2t29ues45/-FJPG/233092-002_DET_6.jpg;https://dd3ka9h4chfr8.cloudfront.net/image/725136000567/image_bfo0svj0214of6obid1ht1141n/-FJPG/233092-002_DET_7.jpg;https://dd3ka9h4chfr8.cloudfront.net/image/725136000567/image_pqkklet71p7b11tlekbjbrdq3n/-FJPG/233092-002_DET_8.jpg</t>
  </si>
  <si>
    <t>Light Bleach Oak Veneer</t>
  </si>
  <si>
    <t>233092-002</t>
  </si>
  <si>
    <t>https://dd3ka9h4chfr8.cloudfront.net/image/725136000567/image_bfi2gk8r0d70ras2nioq7lh22n/-FJPG/233092-002_FRT_1.jpg</t>
  </si>
  <si>
    <t>Light Bleach Rubberwood</t>
  </si>
  <si>
    <t>Featuring six spacious drawers with smooth fronts fixed with matching knobs, this light oak veneer dresser brings spacious storage to the room. This item has been modified to comply with the STURDY Act. See a full list of modified products and data changes in the â€œSTURDY Actâ€_x009d_ file in the Downloads section below.</t>
  </si>
  <si>
    <t>Millie 9 Drawer Dresser</t>
  </si>
  <si>
    <t>https://dd3ka9h4chfr8.cloudfront.net/image/725136000567/image_6bgqoajdnt7dban69156cpn77r/-FJPG/233091-001_FRT_1.jpg;https://dd3ka9h4chfr8.cloudfront.net/image/725136000567/image_qklpdpn6dd7gn17it4o67vlb27/-FJPG/233091-001_PRM_1.jpg;https://dd3ka9h4chfr8.cloudfront.net/image/725136000567/image_1b697qb1m51pd5aoanbtnuki77/-FJPG/233091-001_SID_1.jpg;https://dd3ka9h4chfr8.cloudfront.net/image/725136000567/image_84lbrm6q2564h5o6mlgqulpl3o/-FJPG/233091-001_ESS_1.jpg;https://dd3ka9h4chfr8.cloudfront.net/image/725136000567/image_kdo0uh3u3l2v9c3dhg7ri5pq2d/-FJPG/233091-001_DET_2.jpg;https://dd3ka9h4chfr8.cloudfront.net/image/725136000567/image_ci1dsu5evl179bmu5onal4ig58/-FJPG/233091-001_BCK_1.jpg;https://dd3ka9h4chfr8.cloudfront.net/image/725136000567/image_iok4on1kj97j37b6dlvecud53f/-FJPG/233091-001_DET_1.jpg;https://dd3ka9h4chfr8.cloudfront.net/image/725136000567/image_srrdfd9mod253082u12n7c5v4f/-FJPG/233091-001_DET_3.jpg;https://dd3ka9h4chfr8.cloudfront.net/image/725136000567/image_41tv9cbd0t6d3dk593sdu1cd39/-FJPG/233091-001_OPN_1.jpg;https://dd3ka9h4chfr8.cloudfront.net/image/725136000567/image_q6innuark51cj757q2paqfo94a/-FJPG/233091-001_TOP_1.jpg;https://dd3ka9h4chfr8.cloudfront.net/image/725136000567/image_qcodkom18p2k17n9t7sbqump0q/-FJPG/233091-001_DET_4.jpg;https://dd3ka9h4chfr8.cloudfront.net/image/725136000567/image_kob0tdjomd4v37hisir6tc9l41/-FJPG/233091-001_DET_5.jpg;https://dd3ka9h4chfr8.cloudfront.net/image/725136000567/image_1bp8gglfmh6h906dvfv0ma3i68/-FJPG/233091-001_DET_6.jpg;https://dd3ka9h4chfr8.cloudfront.net/image/725136000567/image_94l0a7ppud7b73og8gksojkk5t/-FJPG/233091-001_DET_7.jpg;https://dd3ka9h4chfr8.cloudfront.net/image/725136000567/image_h2rcmqphd53j31qcs2fa4j2i2c/-FJPG/233091-001_DET_8.jpg;https://dd3ka9h4chfr8.cloudfront.net/image/725136000567/image_ispkh6krph5mt99ule01ol054m/-FJPG/233091-001_DET_9.jpg;https://dd3ka9h4chfr8.cloudfront.net/image/725136000567/image_0l4dg9pvp5773bc987c54qtk6n/-FJPG/233091-001_DET_10.jpg</t>
  </si>
  <si>
    <t>233091-001</t>
  </si>
  <si>
    <t>https://dd3ka9h4chfr8.cloudfront.net/image/725136000567/image_6bgqoajdnt7dban69156cpn77r/-FJPG/233091-001_FRT_1.jpg</t>
  </si>
  <si>
    <t>Featuring nine spacious drawers with smooth fronts fixed with matching knobs, this drifted matte-black oak veneer dresser brings spacious storage to the room. This item has been modified to comply with the STURDY Act. See a full list of modified products and data changes in the â€œSTURDY Actâ€_x009d_ file in the Downloads section below.</t>
  </si>
  <si>
    <t>9 Drawer Dresser</t>
  </si>
  <si>
    <t>{"value":92.52,"unit":"in"}</t>
  </si>
  <si>
    <t>{"value":370.38,"unit":"lb"}</t>
  </si>
  <si>
    <t>25.12"</t>
  </si>
  <si>
    <t>https://dd3ka9h4chfr8.cloudfront.net/image/725136000567/image_nko3ahe3u92mhfdloecjntjq4m/-FJPG/233091-002_FRT_1.jpg;https://dd3ka9h4chfr8.cloudfront.net/image/725136000567/image_7s4klf6hod0g14fvib2usm9u7h/-FJPG/233091-002_PRM_1.jpg;https://dd3ka9h4chfr8.cloudfront.net/image/725136000567/image_evpdsfn3bp4kfbh8ltu8l0ll23/-FJPG/233091-002_SID_1.jpg;https://dd3ka9h4chfr8.cloudfront.net/image/725136000567/image_in4c9bqssp5utb54e83jkct60p/-FJPG/233091-002_DET_2.jpg;https://dd3ka9h4chfr8.cloudfront.net/image/725136000567/image_tn6m88knqp66b8c6asfabdp940/-FJPG/233091-002_BCK_1.jpg;https://dd3ka9h4chfr8.cloudfront.net/image/725136000567/image_k63metocoh3fdafn0dogmqbt3n/-FJPG/233091-002_DET_1.jpg;https://dd3ka9h4chfr8.cloudfront.net/image/725136000567/image_860dggn34d4pvfjjmnliqdlg16/-FJPG/233091-002_DET_3.jpg;https://dd3ka9h4chfr8.cloudfront.net/image/725136000567/image_477s6o94i16g31rhv76f1dcq3p/-FJPG/233091-002_OPN_1.jpg;https://dd3ka9h4chfr8.cloudfront.net/image/725136000567/image_tq6hqcdiep2il30itcpkva432v/-FJPG/233091-002_TOP_1.jpg;https://dd3ka9h4chfr8.cloudfront.net/image/725136000567/image_d20l1pugv554h45k5au8bibv34/-FJPG/233091-002_DET_4.jpg;https://dd3ka9h4chfr8.cloudfront.net/image/725136000567/image_b0ko7su9rh239bolq35cs37k2o/-FJPG/233091-002_DET_5.jpg;https://dd3ka9h4chfr8.cloudfront.net/image/725136000567/image_dm6ipq5pu10l7fc2c9rbplr01k/-FJPG/233091-002_DET_6.jpg;https://dd3ka9h4chfr8.cloudfront.net/image/725136000567/image_gq320mj0rl181e6jsvpa53750f/-FJPG/233091-002_DET_7.jpg;https://dd3ka9h4chfr8.cloudfront.net/image/725136000567/image_k2k3ois9i158h8bsndf9fatu5m/-FJPG/233091-002_DET_8.jpg</t>
  </si>
  <si>
    <t>233091-002</t>
  </si>
  <si>
    <t>https://dd3ka9h4chfr8.cloudfront.net/image/725136000567/image_nko3ahe3u92mhfdloecjntjq4m/-FJPG/233091-002_FRT_1.jpg</t>
  </si>
  <si>
    <t>Featuring nine spacious drawers with smooth fronts fixed with matching knobs, this light oak veneer dresser brings spacious storage to the room. This item has been modified to comply with the STURDY Act. See a full list of modified products and data changes in the â€œSTURDY Actâ€_x009d_ file in the Downloads section below.</t>
  </si>
  <si>
    <t>Millie Bookcase</t>
  </si>
  <si>
    <t>https://dd3ka9h4chfr8.cloudfront.net/image/725136000567/image_puajt8bl7903d3bi2cdlmol21e/-FJPG/247002-003_FRT_1.jpg;https://dd3ka9h4chfr8.cloudfront.net/image/725136000567/image_3i2ss9b0id675d1ppcuqto3v19/-FJPG/247002-003_PRM_1.jpg;https://dd3ka9h4chfr8.cloudfront.net/image/725136000567/image_gee7chhrjp7pp5drbhol1cib1p/-FJPG/247002-003_SID_1.jpg;https://dd3ka9h4chfr8.cloudfront.net/image/725136000567/image_v3v6nn7rbl1td033luaemucr78/-FJPG/247002-003_ESS.tif;https://dd3ka9h4chfr8.cloudfront.net/image/725136000567/image_7c2stcbfj9445cqea88nmu8j17/-FJPG/247002-003_DET_2.jpg;https://dd3ka9h4chfr8.cloudfront.net/image/725136000567/image_1oqtbat8ql3et4vk276sgme142/-FJPG/247002-003_BCK_1.jpg;https://dd3ka9h4chfr8.cloudfront.net/image/725136000567/image_jiuusth7c96ip90f7dvul21j6k/-FJPG/247002-003_DET_1.jpg;https://dd3ka9h4chfr8.cloudfront.net/image/725136000567/image_2cu66hrun175vbepqdnkpgjc5v/-FJPG/247002-003_DET_3.jpg;https://dd3ka9h4chfr8.cloudfront.net/image/725136000567/image_rfa6giehdh16f0u4be20mrdm3f/-FJPG/247002-003_OPN_1.jpg;https://dd3ka9h4chfr8.cloudfront.net/image/725136000567/image_4uqbn9tcld653bpittlh0slo1n/-FJPG/247002-003_DET_4.jpg;https://dd3ka9h4chfr8.cloudfront.net/image/725136000567/image_veg4v4p8e13kbcda3cincvcc0c/-FJPG/247002-003_DET_5.jpg;https://dd3ka9h4chfr8.cloudfront.net/image/725136000567/image_m4gclplisl46d3q6af19e0ll46/-FJPG/247002-003_DET_6.jpg;https://dd3ka9h4chfr8.cloudfront.net/image/725136000567/image_56i7858n8l6i52itf0p1f4l73e/-FJPG/247002-003_DET_7.jpg;https://dd3ka9h4chfr8.cloudfront.net/image/725136000567/image_o7b6n53fm17jn3kbk147pmut4d/-FJPG/FHMPRJ-018_SCENE-4.tif;https://dd3ka9h4chfr8.cloudfront.net/image/725136000567/image_mv9mgq9mvl5rrdk5qjl5tnn46l/-FJPG/247002-003_ESS_2.tif</t>
  </si>
  <si>
    <t>247002-003</t>
  </si>
  <si>
    <t>https://dd3ka9h4chfr8.cloudfront.net/image/725136000567/image_puajt8bl7903d3bi2cdlmol21e/-FJPG/247002-003_FRT_1.jpg</t>
  </si>
  <si>
    <t>Black drifted oak frames lighter interior shelving, for eye-catching contrast. Four surfaces to showcase favorite books and treasures, while lower drawers bring bonus space to store items out of sight.</t>
  </si>
  <si>
    <t>{"value":97.05,"unit":"in"}</t>
  </si>
  <si>
    <t>44.25"</t>
  </si>
  <si>
    <t>https://dd3ka9h4chfr8.cloudfront.net/image/725136000567/image_5t2dl0f1md7u71sf77jqnsm12h/-FJPG/247002-004_FRT_1.jpg;https://dd3ka9h4chfr8.cloudfront.net/image/725136000567/image_jd2fb1d0rh71r3n62r30r2804m/-FJPG/247002-004_PRM_1.jpg;https://dd3ka9h4chfr8.cloudfront.net/image/725136000567/image_ot7kaj05ml2910nrvkbpf2ku71/-FJPG/247002-004_SID_1.jpg;https://dd3ka9h4chfr8.cloudfront.net/image/725136000567/image_kdg8tstbbt689bdcma8sa4hb3h/-FJPG/247002-004_ESS.tif;https://dd3ka9h4chfr8.cloudfront.net/image/725136000567/image_2i77gkpsqd7thdabsm7j68j256/-FJPG/247002-004_DET_2.jpg;https://dd3ka9h4chfr8.cloudfront.net/image/725136000567/image_qbbkkmhrb94qn8qm8a4reqec7e/-FJPG/247002-004_BCK_1.jpg;https://dd3ka9h4chfr8.cloudfront.net/image/725136000567/image_7fp9biia0d1rd7jdcavg9ft463/-FJPG/247002-004_DET_1.jpg;https://dd3ka9h4chfr8.cloudfront.net/image/725136000567/image_69spubdom55pl3f6i54kir2h2g/-FJPG/247002-004_DET_3.jpg;https://dd3ka9h4chfr8.cloudfront.net/image/725136000567/image_cv2lome1fp7ch66gfbu7mhi02k/-FJPG/247002-004_OPN_1.jpg;https://dd3ka9h4chfr8.cloudfront.net/image/725136000567/image_ipn9rssaoh3m93hf4fiod1de78/-FJPG/247002-004_DET_4.jpg;https://dd3ka9h4chfr8.cloudfront.net/image/725136000567/image_nk503073c93fl7enpbqb3f3r6o/-FJPG/247002-004_DET_5.jpg;https://dd3ka9h4chfr8.cloudfront.net/image/725136000567/image_gidcigu2ap2t1fp5uho16qg91a/-FJPG/247002-004_DET_6.jpg;https://dd3ka9h4chfr8.cloudfront.net/image/725136000567/image_oma1sego5d6htbp2d7mrptlr0c/-FJPG/247002-004_DET_9.tif;https://dd3ka9h4chfr8.cloudfront.net/image/725136000567/image_sb9qcvntb55r39rnturqfpu22f/-FJPG/247002-004_OPN_2.jpg</t>
  </si>
  <si>
    <t>247002-004</t>
  </si>
  <si>
    <t>https://dd3ka9h4chfr8.cloudfront.net/image/725136000567/image_5t2dl0f1md7u71sf77jqnsm12h/-FJPG/247002-004_FRT_1.jpg</t>
  </si>
  <si>
    <t>Light oak frames lighter interior shelving, for eye-catching contrast. Four surfaces showcase favorite books and treasures, while lower drawers bring bonus space to store items out of sight.</t>
  </si>
  <si>
    <t>Millie Large Sideboard</t>
  </si>
  <si>
    <t>https://dd3ka9h4chfr8.cloudfront.net/image/725136000567/image_sjh5vkj2dp5or2bfjekg8k7n13/-FJPG/230632-001_PRM_1.jpg;https://dd3ka9h4chfr8.cloudfront.net/image/725136000567/image_ea6vus6e7t06t3sukqevms382t/-FJPG/230632-001_SID_1.jpg;https://dd3ka9h4chfr8.cloudfront.net/image/725136000567/image_5rrpri6se963f3us1j2pusjm03/-FJPG/230632-001_ESS_1.jpg;https://dd3ka9h4chfr8.cloudfront.net/image/725136000567/image_a42uj355jl6u35a7u55im2ou70/-FJPG/230632-001_BCK_1.jpg;https://dd3ka9h4chfr8.cloudfront.net/image/725136000567/image_101np4man935f4q9in6qhog544/-FJPG/230632-001_DET_6.jpg;https://dd3ka9h4chfr8.cloudfront.net/image/725136000567/image_pk74e31ob93ij7o7q3qskl955t/-FJPG/230632-001_DET_7.jpg;https://dd3ka9h4chfr8.cloudfront.net/image/725136000567/image_dd75vvd7ed1jn8oqhbuepfom5l/-FJPG/230632-001_DET_8.jpg</t>
  </si>
  <si>
    <t>230632-001</t>
  </si>
  <si>
    <t>https://dd3ka9h4chfr8.cloudfront.net/image/725136000567/image_sjh5vkj2dp5or2bfjekg8k7n13/-FJPG/230632-001_PRM_1.jpg</t>
  </si>
  <si>
    <t>Encased in an oak frame, the roomy interior is thoughtfully designed with a mix of fixed and adjustable shelves, allowing you to customize your display as you curate items for your home. The hidden storage drawer is a practical touch, ideal for stowing away flatware in a dining room or neatly concealing cords in a living room.</t>
  </si>
  <si>
    <t>{"value":244.71,"unit":"lb"}</t>
  </si>
  <si>
    <t>Millie Nightstand</t>
  </si>
  <si>
    <t>https://dd3ka9h4chfr8.cloudfront.net/image/725136000567/image_bqj301llp937r0bs21cc0kou73/-FJPG/233093-001_FRT_1.jpg;https://dd3ka9h4chfr8.cloudfront.net/image/725136000567/image_1i1huibvp935j0c2m378atgv6s/-FJPG/233093-002_FRT_1.jpg;https://dd3ka9h4chfr8.cloudfront.net/image/725136000567/image_gomgd09ss952b4c2iai9e7kd3a/-FJPG/233093-001_PRM_1.jpg;https://dd3ka9h4chfr8.cloudfront.net/image/725136000567/image_7fu726ahjl1st3ml1n4qs4687m/-FJPG/233093-002_PRM_1.jpg;https://dd3ka9h4chfr8.cloudfront.net/image/725136000567/image_902eli4jhh437fj8im1ukk3o2p/-FJPG/233093-002_SID_1.jpg;https://dd3ka9h4chfr8.cloudfront.net/image/725136000567/image_7abs5799qd11b0fktserqbna0r/-FJPG/233093-001_SID_1.jpg;https://dd3ka9h4chfr8.cloudfront.net/image/725136000567/image_d8j3r6m4f57ml8ame7h8h4u60i/-FJPG/233093-001_ESS_1.jpg;https://dd3ka9h4chfr8.cloudfront.net/image/725136000567/image_ceipgu8q1d6d56smrjj6573k6b/-FJPG/233093-001_DET_2.jpg;https://dd3ka9h4chfr8.cloudfront.net/image/725136000567/image_sp611rji2d0tt4k0uhf7ctg76s/-FJPG/233093-002_DET_2.jpg;https://dd3ka9h4chfr8.cloudfront.net/image/725136000567/image_o1u3p8f6i155h1h01tg51jio7j/-FJPG/233093-001_BCK_1.jpg;https://dd3ka9h4chfr8.cloudfront.net/image/725136000567/image_ndca25lkt50kpbk01klb8p394q/-FJPG/233093-002_BCK_1.jpg;https://dd3ka9h4chfr8.cloudfront.net/image/725136000567/image_tbtd6har2h79vbrb6pcsrkb51m/-FJPG/233093-002_DET_1.jpg;https://dd3ka9h4chfr8.cloudfront.net/image/725136000567/image_202bp4vv7p0at35fnmoof5190c/-FJPG/233093-001_DET_1.jpg;https://dd3ka9h4chfr8.cloudfront.net/image/725136000567/image_ok7kpdbk6h6o99dmpk9n0qea1a/-FJPG/233093-001_DET_3.jpg;https://dd3ka9h4chfr8.cloudfront.net/image/725136000567/image_amtlssepf573nelb2rak6lbu5h/-FJPG/233093-002_DET_3.jpg;https://dd3ka9h4chfr8.cloudfront.net/image/725136000567/image_8vqh93vnj97f76mdci2d9kua56/-FJPG/233093-001_OPN_1.jpg;https://dd3ka9h4chfr8.cloudfront.net/image/725136000567/image_3ond2kecr92q5el37qpa209010/-FJPG/233093-002_OPN_1.jpg;https://dd3ka9h4chfr8.cloudfront.net/image/725136000567/image_fm7dueceol4td0umjpadvk515q/-FJPG/233093-002_TOP_1.jpg;https://dd3ka9h4chfr8.cloudfront.net/image/725136000567/image_ej5e5semjh5bv0ovcul6camo0g/-FJPG/233093-002_DET_4.jpg;https://dd3ka9h4chfr8.cloudfront.net/image/725136000567/image_hjtvosqnpd1t1agpn3p5qvv41p/-FJPG/233093-001_DET_4.jpg;https://dd3ka9h4chfr8.cloudfront.net/image/725136000567/image_44lssbj9bl0ebavjrob75rsf3e/-FJPG/233093-002_DET_5.jpg;https://dd3ka9h4chfr8.cloudfront.net/image/725136000567/image_f834v0hbnt2fvao5pf85q3c57i/-FJPG/233093-001_DET_5.jpg;https://dd3ka9h4chfr8.cloudfront.net/image/725136000567/image_f14ho24shd2i158rlgcp4ee34b/-FJPG/233093-001_DET_6.jpg;https://dd3ka9h4chfr8.cloudfront.net/image/725136000567/image_h7i5cec2rh3tb80nui2g0thp62/-FJPG/233093-002_DET_6.jpg;https://dd3ka9h4chfr8.cloudfront.net/image/725136000567/image_f2tgae3uud4pp6dc469bp6t43h/-FJPG/233093-002_DET_7.jpg;https://dd3ka9h4chfr8.cloudfront.net/image/725136000567/image_mnh26ljcmd1cp7mve0977d9949/-FJPG/233093-001_DET_7.jpg;https://dd3ka9h4chfr8.cloudfront.net/image/725136000567/image_tb6pjp13fp49par01vt8kdur54/-FJPG/233093-001_DET_8.jpg;https://dd3ka9h4chfr8.cloudfront.net/image/725136000567/image_09jqvcifs14o9a033f470ue651/-FJPG/233093-002_DET_8.jpg;https://dd3ka9h4chfr8.cloudfront.net/image/725136000567/image_r1k4orqa5h33f7kgt5aqjvoq49/-FJPG/233093-002_DET_9.jpg|</t>
  </si>
  <si>
    <t>233093-002</t>
  </si>
  <si>
    <t>92.59</t>
  </si>
  <si>
    <t>https://dd3ka9h4chfr8.cloudfront.net/image/725136000567/image_bqj301llp937r0bs21cc0kou73/-FJPG/233093-001_FRT_1.jpg</t>
  </si>
  <si>
    <t>A black-finished oak veneer nightstand brings storage space to the bedside with two roomy drawers.</t>
  </si>
  <si>
    <t>7.68"</t>
  </si>
  <si>
    <t>https://dd3ka9h4chfr8.cloudfront.net/image/725136000567/image_t4i2j1kk254ghc09cnso6q4j62/-FJPG/233093-003_FRT_1.jpg;https://dd3ka9h4chfr8.cloudfront.net/image/725136000567/image_nk0sd12pod4b1fb7ck8f95c44l/-FJPG/233093-003_PRM_1.jpg;https://dd3ka9h4chfr8.cloudfront.net/image/725136000567/image_ngmh0i20gp34d5iovl7vtrts00/-FJPG/233093-003_SID_1.jpg;https://dd3ka9h4chfr8.cloudfront.net/image/725136000567/image_gnuf4kb0ih4ud5ertvqj3psu7e/-FJPG/233093-003_DET_2.jpg;https://dd3ka9h4chfr8.cloudfront.net/image/725136000567/image_bdaimsegg962nekdjun9lmi065/-FJPG/233093-003_BCK_1.jpg;https://dd3ka9h4chfr8.cloudfront.net/image/725136000567/image_gmqd5bdlv1223a8p8114rj6l7t/-FJPG/233093-003_DET_1.jpg;https://dd3ka9h4chfr8.cloudfront.net/image/725136000567/image_0tjug8m3616bj8jtpvd0l2nn6u/-FJPG/233093-003_DET_3.jpg;https://dd3ka9h4chfr8.cloudfront.net/image/725136000567/image_ce05edif6t12l07e65n929bp64/-FJPG/233093-003_OPN_1.jpg;https://dd3ka9h4chfr8.cloudfront.net/image/725136000567/image_eqs1p7fg9l5e7e9ouvu1fqq706/-FJPG/233093-003_TOP_1.jpg;https://dd3ka9h4chfr8.cloudfront.net/image/725136000567/image_al5hgulde93mtdf51vv9hsft0u/-FJPG/233093-003_DET_4.jpg;https://dd3ka9h4chfr8.cloudfront.net/image/725136000567/image_u1n01icav177ra85277qak2s6j/-FJPG/233093-003_DET_5.jpg;https://dd3ka9h4chfr8.cloudfront.net/image/725136000567/image_qe57o3gqmd0i1ecjggh38j1u5q/-FJPG/233093-003_DET_6.jpg;https://dd3ka9h4chfr8.cloudfront.net/image/725136000567/image_2ca0obub750gv0ade4j75dgp61/-FJPG/233093-003_DET_7.jpg</t>
  </si>
  <si>
    <t>233093-003</t>
  </si>
  <si>
    <t>https://dd3ka9h4chfr8.cloudfront.net/image/725136000567/image_t4i2j1kk254ghc09cnso6q4j62/-FJPG/233093-003_FRT_1.jpg</t>
  </si>
  <si>
    <t>A light-finished oak veneer nightstand brings storage space to the bedside with two roomy drawers.</t>
  </si>
  <si>
    <t>Millie Small Cabinet</t>
  </si>
  <si>
    <t>https://dd3ka9h4chfr8.cloudfront.net/image/725136000567/image_cq5ieq43s17vl9ir38nqa4c82k/-FJPG/227825-001_FRT_1.jpg;https://dd3ka9h4chfr8.cloudfront.net/image/725136000567/image_qn23llv14d1gfavmno0bbqm46q/-FJPG/227825-001_PRM_1.jpg;https://dd3ka9h4chfr8.cloudfront.net/image/725136000567/image_utjg7m149p08b9u0uie10pkp4o/-FJPG/227825-001_SID_1.jpg;https://dd3ka9h4chfr8.cloudfront.net/image/725136000567/image_1gehiigib57aj9404n8v4o2451/-FJPG/227825-001_DET_2.jpg;https://dd3ka9h4chfr8.cloudfront.net/image/725136000567/image_cdusmcj1qp6rv0agphkkv7tj1j/-FJPG/227825-001_BCK_1.jpg;https://dd3ka9h4chfr8.cloudfront.net/image/725136000567/image_oc5ls7hsg556fegoual4beo91g/-FJPG/227825-001_DET_1.jpg;https://dd3ka9h4chfr8.cloudfront.net/image/725136000567/image_rn8q49h49p0h365pdic4ub5104/-FJPG/227825-001_DET_3.jpg;https://dd3ka9h4chfr8.cloudfront.net/image/725136000567/image_plj010phq96qddch0fd5h4354l/-FJPG/227825-001_OPN_1.jpg;https://dd3ka9h4chfr8.cloudfront.net/image/725136000567/image_3ga3fpdp4l3ebf2tv6hu7he67h/-FJPG/227825-001_DET_4.jpg;https://dd3ka9h4chfr8.cloudfront.net/image/725136000567/image_k1riaqbb4t4jp55djd6iar686u/-FJPG/227825-001_DET_5.jpg;https://dd3ka9h4chfr8.cloudfront.net/image/725136000567/image_46e3cnjvsd155a06uvv6r4b21c/-FJPG/227825-001_DET_6.jpg;https://dd3ka9h4chfr8.cloudfront.net/image/725136000567/image_s1r5tla0116cv2pqgb9q45tl5d/-FJPG/227825-001_DET_7.jpg;https://dd3ka9h4chfr8.cloudfront.net/image/725136000567/image_9igpup5f9p7avffj3nn7b6kg5e/-FJPG/227825-001_VIG_1.jpg;https://dd3ka9h4chfr8.cloudfront.net/image/725136000567/image_sgif882t2t1rf5k45bhh42j04p/-FJPG/227825-001_OPN_2.jpg;https://dd3ka9h4chfr8.cloudfront.net/image/725136000567/image_ciu1hiak3h7c9a2gmfjupuan0p/-FJPG/227825-001_ESS_2.jpg</t>
  </si>
  <si>
    <t>227825-001</t>
  </si>
  <si>
    <t>https://dd3ka9h4chfr8.cloudfront.net/image/725136000567/image_cq5ieq43s17vl9ir38nqa4c82k/-FJPG/227825-001_FRT_1.jpg</t>
  </si>
  <si>
    <t>Black drifted oak frames lighter interior shelving for subtle but striking contrast. Glass doors allow for prized possessions to dazzle on display. Rear cutout for cord management.</t>
  </si>
  <si>
    <t>33.50"</t>
  </si>
  <si>
    <t>16.69"</t>
  </si>
  <si>
    <t>Monette Slipcover Sofa</t>
  </si>
  <si>
    <t>https://dd3ka9h4chfr8.cloudfront.net/image/725136000567/image_adm8ugk5u957718i9f71ift378/-FJPG/238680-003_FRT_1.jpg;https://dd3ka9h4chfr8.cloudfront.net/image/725136000567/image_q6susl0kql6itenr41k4rlrf6q/-FJPG/238680-003_PRM_1.jpg;https://dd3ka9h4chfr8.cloudfront.net/image/725136000567/image_t4tpn3447l0ipcf8la4d4rfs6t/-FJPG/238680-003_SID_1.jpg;https://dd3ka9h4chfr8.cloudfront.net/image/725136000567/image_jmi18a4p6l08t24pdbo6r31h7b/-FJPG/238680-003_ESS_1.jpg;https://dd3ka9h4chfr8.cloudfront.net/image/725136000567/image_iqchokte8t4s5288d593oqei1n/-FJPG/238680-003_DET_2.jpg;https://dd3ka9h4chfr8.cloudfront.net/image/725136000567/image_p558f51ihl0rdaeu3jgri8bt1u/-FJPG/238680-003_BCK_1.jpg;https://dd3ka9h4chfr8.cloudfront.net/image/725136000567/image_qmq17bjspd2t33qg9dful26760/-FJPG/238680-003_INF_1.jpg;https://dd3ka9h4chfr8.cloudfront.net/image/725136000567/image_8kijg4563p2rlfg9d5k3eoqn5u/-FJPG/238680-003_DET_1.jpg;https://dd3ka9h4chfr8.cloudfront.net/image/725136000567/image_gr6qr3ff891vp47938adtoea6k/-FJPG/238680-003_DET_3.jpg;https://dd3ka9h4chfr8.cloudfront.net/image/725136000567/image_9vc2jb66e16i758sgus9lung25/-FJPG/238680-003_DET_4.jpg;https://dd3ka9h4chfr8.cloudfront.net/image/725136000567/image_5ljor12fg93ob1c1rfpehr4d4e/-FJPG/238680-003_DET_5.jpg;https://dd3ka9h4chfr8.cloudfront.net/image/725136000567/image_m73qgtps1t2m3c8h5j1th5kq00/-FJPG/238680-003_DET_6.jpg</t>
  </si>
  <si>
    <t>238680-003</t>
  </si>
  <si>
    <t>131.84</t>
  </si>
  <si>
    <t>https://dd3ka9h4chfr8.cloudfront.net/image/725136000567/image_adm8ugk5u957718i9f71ift378/-FJPG/238680-003_FRT_1.jpg</t>
  </si>
  <si>
    <t>This sofa is defined by slightly sloping, flared arms and a floor-length slipcover. Finished in a soft, tight weave slipcover for a traditional style. Durable and soft to the touch, Libecoâ„¢-sourced linens are artisan-made and free of toxic chemicals. Slipcovered styles are fully removable and machine-washable for easy care.</t>
  </si>
  <si>
    <t>{"value":138.89,"unit":"lb"}</t>
  </si>
  <si>
    <t>Cover, 1 Item/1 Inner Box, 5 Boxes/1 Master Carton</t>
  </si>
  <si>
    <t>{"value":102.51,"unit":"lb"}</t>
  </si>
  <si>
    <t>87.00"</t>
  </si>
  <si>
    <t>Monette</t>
  </si>
  <si>
    <t>84.50"</t>
  </si>
  <si>
    <t>Montana Bed</t>
  </si>
  <si>
    <t>https://dd3ka9h4chfr8.cloudfront.net/image/725136000567/image_0jd2nc1q890g9allm9h707af73/-FJPG/226395-001_FRT_1.jpg;https://dd3ka9h4chfr8.cloudfront.net/image/725136000567/image_uldtosue812pv95i5ji9o22h5q/-FJPG/226395-001_PRM_1.jpg;https://dd3ka9h4chfr8.cloudfront.net/image/725136000567/image_im6lluj0qd3vl4vlumtj9qm74s/-FJPG/226395-001_SID_1.jpg;https://dd3ka9h4chfr8.cloudfront.net/image/725136000567/image_9hakls91hl31d0mlfugtic9e6a/-FJPG/226395-001_ESS_1.jpg;https://dd3ka9h4chfr8.cloudfront.net/image/725136000567/image_pjac232rgl3jl5bmjlck2pt540/-FJPG/226395-001_DET_2.jpg;https://dd3ka9h4chfr8.cloudfront.net/image/725136000567/image_fo0aoquqmh14nab5c12e1g9b73/-FJPG/226395-001_BCK_1.jpg;https://dd3ka9h4chfr8.cloudfront.net/image/725136000567/image_m6cige5k1l4ffd3r98c76jen74/-FJPG/226395-001_DET_1.jpg;https://dd3ka9h4chfr8.cloudfront.net/image/725136000567/image_94b74rmb0h7jbclp5edqsrjv57/-FJPG/226395-001_DET_3.jpg;https://dd3ka9h4chfr8.cloudfront.net/image/725136000567/image_7g1899q0ol7qvbtfdej7kgvg6k/-FJPG/226395-001_DET_4.jpg;https://dd3ka9h4chfr8.cloudfront.net/image/725136000567/image_drp3av5ie566d5e1886sud8u1k/-FJPG/226395-001_DET_5.jpg;https://dd3ka9h4chfr8.cloudfront.net/image/725136000567/image_eoqrgha3kh0r124pnber31nn33/-FJPG/226395-001_DET_6.jpg;https://dd3ka9h4chfr8.cloudfront.net/image/725136000567/image_s2v5s6hm8d367c94ednvstbr59/-FJPG/226395-001_DET_7.jpg</t>
  </si>
  <si>
    <t>226395-001</t>
  </si>
  <si>
    <t>192.9</t>
  </si>
  <si>
    <t>https://dd3ka9h4chfr8.cloudfront.net/image/725136000567/image_0jd2nc1q890g9allm9h707af73/-FJPG/226395-001_FRT_1.jpg</t>
  </si>
  <si>
    <t>86.25</t>
  </si>
  <si>
    <t>{"value":86.25,"unit":"in"}</t>
  </si>
  <si>
    <t>Whitewashed Oak</t>
  </si>
  <si>
    <t>Elevate the comfort of your bedroom with this solid oak frame paired with an ivory split headboard.</t>
  </si>
  <si>
    <t>{"value":55.12,"unit":"in"}</t>
  </si>
  <si>
    <t>Fb+slats</t>
  </si>
  <si>
    <t>Siderails &amp; Center Rail</t>
  </si>
  <si>
    <t>Montana</t>
  </si>
  <si>
    <t>64.41"</t>
  </si>
  <si>
    <t>50.20"</t>
  </si>
  <si>
    <t>66.93"</t>
  </si>
  <si>
    <t>81.89"</t>
  </si>
  <si>
    <t>82.24"</t>
  </si>
  <si>
    <t>https://dd3ka9h4chfr8.cloudfront.net/image/725136000567/image_lc4dvhn4995ataa2sh6mopuv6e/-FJPG/226395-002_FRT_1.jpg;https://dd3ka9h4chfr8.cloudfront.net/image/725136000567/image_0hj8v430ot58v1ggbvksmk4b31/-FJPG/226395-002_PRM_1.jpg;https://dd3ka9h4chfr8.cloudfront.net/image/725136000567/image_itsul4nf717t55n04noc745p3n/-FJPG/226395-002_SID_1.jpg;https://dd3ka9h4chfr8.cloudfront.net/image/725136000567/image_e9c3eqgk6h349ek6kes4thpl1j/-FJPG/226395-002_ESS_1.jpg;https://dd3ka9h4chfr8.cloudfront.net/image/725136000567/image_bbbqip1fb16i51l1klmt9vo877/-FJPG/226395-002_DET_2.jpg;https://dd3ka9h4chfr8.cloudfront.net/image/725136000567/image_d3unp3fg0p0995g873evot2k7g/-FJPG/226395-002_BCK_1.jpg;https://dd3ka9h4chfr8.cloudfront.net/image/725136000567/image_ci0khoesv964dad7d7mogb0q2s/-FJPG/226395-002_DET_1.jpg;https://dd3ka9h4chfr8.cloudfront.net/image/725136000567/image_2vdrenn32d6fh14csjprpck17d/-FJPG/226395-002_DET_3.jpg;https://dd3ka9h4chfr8.cloudfront.net/image/725136000567/image_jkm2t08fg5741c72ats0ov3e3p/-FJPG/226395-002_DET_4.jpg;https://dd3ka9h4chfr8.cloudfront.net/image/725136000567/image_4pesqnhtkp79b4i5jqmbgef60s/-FJPG/226395-002_DET_5.jpg;https://dd3ka9h4chfr8.cloudfront.net/image/725136000567/image_dnob0m3f3d7r779ppgpgsi8q0j/-FJPG/226395-002_DET_6.jpg;https://dd3ka9h4chfr8.cloudfront.net/image/725136000567/image_okjne901s160vfl5m4s6alrf2g/-FJPG/226395-002_DET_7.jpg</t>
  </si>
  <si>
    <t>226395-002</t>
  </si>
  <si>
    <t>200</t>
  </si>
  <si>
    <t>https://dd3ka9h4chfr8.cloudfront.net/image/725136000567/image_lc4dvhn4995ataa2sh6mopuv6e/-FJPG/226395-002_FRT_1.jpg</t>
  </si>
  <si>
    <t>80.31"</t>
  </si>
  <si>
    <t>82.83"</t>
  </si>
  <si>
    <t>76.97"</t>
  </si>
  <si>
    <t>Montgomery Bed</t>
  </si>
  <si>
    <t>https://dd3ka9h4chfr8.cloudfront.net/image/725136000567/image_fbifu4kd611rraahl4tcibl160/-FJPG/227776-001_FRT_1.jpg;https://dd3ka9h4chfr8.cloudfront.net/image/725136000567/image_7rs1i6982h0r1c2vv956gnpq1h/-FJPG/227776-001_PRM_1.jpg;https://dd3ka9h4chfr8.cloudfront.net/image/725136000567/image_4q6h0g12ml3qfdr2j1kbnda15p/-FJPG/227776-001_SID_1.jpg;https://dd3ka9h4chfr8.cloudfront.net/image/725136000567/image_mancu3i9k547j1cu1mi2tmmq2s/-FJPG/227776-001_ESS_1.jpg;https://dd3ka9h4chfr8.cloudfront.net/image/725136000567/image_bt9u9chc8d1991r6gb991r5m5l/-FJPG/227776-001_DET_2.jpg;https://dd3ka9h4chfr8.cloudfront.net/image/725136000567/image_7skpua52m14etfutufadh1ec6f/-FJPG/227776-001_BCK_1.jpg;https://dd3ka9h4chfr8.cloudfront.net/image/725136000567/image_53m0kikkud4jhc6rfnd2ht931b/-FJPG/227776-001_INF_1.jpg;https://dd3ka9h4chfr8.cloudfront.net/image/725136000567/image_12ki5b2cet3flb4vd7sbkhjv5o/-FJPG/227776-001_DET_1.jpg;https://dd3ka9h4chfr8.cloudfront.net/image/725136000567/image_v6hko7935t1q7ebv2o8jg2ao0t/-FJPG/227776-001_DET_3.jpg;https://dd3ka9h4chfr8.cloudfront.net/image/725136000567/image_fb06dsi0ql5lt2b3re04nk833l/-FJPG/227776-001_DET_4.jpg;https://dd3ka9h4chfr8.cloudfront.net/image/725136000567/image_0p84mg1ev14otcpfo584hgv40m/-FJPG/227776-001_DET_5.jpg;https://dd3ka9h4chfr8.cloudfront.net/image/725136000567/image_ip5g0iugjh4hv84hen9kboa513/-FJPG/227776-001_DET_6.jpg;https://dd3ka9h4chfr8.cloudfront.net/image/725136000567/image_632jk5pnv54ln05uj2leq9up7c/-FJPG/227776-001_ROM_1.jpg</t>
  </si>
  <si>
    <t>Savile Flannel</t>
  </si>
  <si>
    <t>227776-001</t>
  </si>
  <si>
    <t>https://dd3ka9h4chfr8.cloudfront.net/image/725136000567/image_fbifu4kd611rraahl4tcibl160/-FJPG/227776-001_FRT_1.jpg</t>
  </si>
  <si>
    <t>Sky-high style. A tall, vertical-channeled headboard is upholstered in grey high-performance fabric for a sensible take on modern bedroom styling. A parawood plinth base grounds the whole look. Performance fabrics are specially created to withstand spills, stains, high traffic and wear, ensuring long-term comfort and unmatched durability.</t>
  </si>
  <si>
    <t>{"value":66.73,"unit":"in"}</t>
  </si>
  <si>
    <t>{"value":48.43,"unit":"in"}</t>
  </si>
  <si>
    <t>{"value":5.91,"unit":"in"}</t>
  </si>
  <si>
    <t>Montgomery</t>
  </si>
  <si>
    <t>64.88"</t>
  </si>
  <si>
    <t>46.46"</t>
  </si>
  <si>
    <t>https://dd3ka9h4chfr8.cloudfront.net/image/725136000567/image_e3phi85b554d10o81o8uucra0i/-FJPG/227776-002_FRT_1.jpg;https://dd3ka9h4chfr8.cloudfront.net/image/725136000567/image_vm6rk2lqsd7opef6ilahv2822g/-FJPG/227776-002_PRM_1.jpg;https://dd3ka9h4chfr8.cloudfront.net/image/725136000567/image_v4cin1dj615v7b05cvmh7d0j5p/-FJPG/227776-002_SID_1.jpg;https://dd3ka9h4chfr8.cloudfront.net/image/725136000567/image_mancu3i9k547j1cu1mi2tmmq2s/-FJPG/227776-001_ESS_1.jpg;https://dd3ka9h4chfr8.cloudfront.net/image/725136000567/image_ij8eplmplt3jbep3e6skmnlk0l/-FJPG/227776-002_DET_2.jpg;https://dd3ka9h4chfr8.cloudfront.net/image/725136000567/image_0r3emk6brd74dcodon3mb3qt0r/-FJPG/227776-002_BCK_1.jpg;https://dd3ka9h4chfr8.cloudfront.net/image/725136000567/image_95cbnfuao147dfkvs2fo0sm32t/-FJPG/227776-002_INF_1.jpg;https://dd3ka9h4chfr8.cloudfront.net/image/725136000567/image_s9mj27tg9h57f39s03r78d8r4e/-FJPG/227776-002_DET_1.jpg;https://dd3ka9h4chfr8.cloudfront.net/image/725136000567/image_328qinu45p4gv4m9svlh3hmf3t/-FJPG/227776-002_DET_3.jpg;https://dd3ka9h4chfr8.cloudfront.net/image/725136000567/image_44e8sut7b53c325mc073l3d73g/-FJPG/227776-002_DET_4.jpg;https://dd3ka9h4chfr8.cloudfront.net/image/725136000567/image_jsbci28eph5dtf4g92qn4ebb1j/-FJPG/227776-002_DET_5.jpg;https://dd3ka9h4chfr8.cloudfront.net/image/725136000567/image_ouc99722mp3gl5vc00maearj7q/-FJPG/227776-002_DET_6.jpg;https://dd3ka9h4chfr8.cloudfront.net/image/725136000567/image_gu8tpgksih3415b4tdtmakpi4o/-FJPG/227776-002_ROM_1.jpg</t>
  </si>
  <si>
    <t>227776-002</t>
  </si>
  <si>
    <t>https://dd3ka9h4chfr8.cloudfront.net/image/725136000567/image_e3phi85b554d10o81o8uucra0i/-FJPG/227776-002_FRT_1.jpg</t>
  </si>
  <si>
    <t>{"value":112.43,"unit":"lb"}</t>
  </si>
  <si>
    <t>81.02"</t>
  </si>
  <si>
    <t>https://dd3ka9h4chfr8.cloudfront.net/image/725136000567/image_56glg44net5u7a3t6u0bufjq05/-FJPG/227776-007_FRT_1.jpg;https://dd3ka9h4chfr8.cloudfront.net/image/725136000567/image_6tl7uvu9gd4r556etafttlua71/-FJPG/227776-007_PRM_1.jpg;https://dd3ka9h4chfr8.cloudfront.net/image/725136000567/image_lr2qirpl911glbt1ocjkgt4i6d/-FJPG/227776-007_SID_1.jpg;https://dd3ka9h4chfr8.cloudfront.net/image/725136000567/image_7uq0vt8cb51sn0gsk5cav22u6s/-FJPG/227776-007_ESS_1.jpg;https://dd3ka9h4chfr8.cloudfront.net/image/725136000567/image_i88ltg67d52qp7i4re4uadeb3k/-FJPG/227776-007_DET_2.jpg;https://dd3ka9h4chfr8.cloudfront.net/image/725136000567/image_apljk555kh3218if9kaiqj5o7l/-FJPG/227776-007_BCK_1.jpg;https://dd3ka9h4chfr8.cloudfront.net/image/725136000567/image_kkq9hccpnt7it4o6nl7kb05k44/-FJPG/227776-007_DET_1.jpg;https://dd3ka9h4chfr8.cloudfront.net/image/725136000567/image_f5pn0i5s753bpbgn29s3u4cv0s/-FJPG/227776-007_DET_3.jpg;https://dd3ka9h4chfr8.cloudfront.net/image/725136000567/image_5v747u8ach3f9850ipto1d544m/-FJPG/227776-007_TOP_1.jpg;https://dd3ka9h4chfr8.cloudfront.net/image/725136000567/image_7epau6ef0p56f524mdj3a3fs10/-FJPG/227776-007_DET_4.jpg;https://dd3ka9h4chfr8.cloudfront.net/image/725136000567/image_h7flmrafjh5u998i8b5g8oc30t/-FJPG/227776-007_DET_5.jpg</t>
  </si>
  <si>
    <t>227776-007</t>
  </si>
  <si>
    <t>https://dd3ka9h4chfr8.cloudfront.net/image/725136000567/image_56glg44net5u7a3t6u0bufjq05/-FJPG/227776-007_FRT_1.jpg</t>
  </si>
  <si>
    <t>A tall, vertical-channeled headboard is upholstered in cream high-performance fabric for a fresh take on modern bedroom styling. A parawood plinth base grounds the whole look. Performance fabrics are specially created to withstand spills, stains, high traffic and wear, ensuring long-term comfort and unmatched durability.</t>
  </si>
  <si>
    <t>https://dd3ka9h4chfr8.cloudfront.net/image/725136000567/image_a2gg3i3ir96jvdssecdkl2fo18/-FJPG/227776-008_FRT_1.jpg;https://dd3ka9h4chfr8.cloudfront.net/image/725136000567/image_argsnhefn564fb18prk3hsqn02/-FJPG/227776-008_PRM_1.jpg;https://dd3ka9h4chfr8.cloudfront.net/image/725136000567/image_2bqvnlismt6599inhor5h34t07/-FJPG/227776-008_SID_1.jpg;https://dd3ka9h4chfr8.cloudfront.net/image/725136000567/image_rspuj26a2h41p3c73m6eiu1m37/-FJPG/227776-008_ESS_1.jpg;https://dd3ka9h4chfr8.cloudfront.net/image/725136000567/image_lc361jc43p2jncq65pjep1bn4n/-FJPG/227776-008_DET_2.jpg;https://dd3ka9h4chfr8.cloudfront.net/image/725136000567/image_6j9d6pl5690kf1gq7o8j39002t/-FJPG/227776-008_BCK_1.jpg;https://dd3ka9h4chfr8.cloudfront.net/image/725136000567/image_ohi52e75q17aj98km3icvej636/-FJPG/227776-008_DET_1.jpg;https://dd3ka9h4chfr8.cloudfront.net/image/725136000567/image_lqua7s75dl08pche5skvovgs4d/-FJPG/227776-008_DET_3.jpg;https://dd3ka9h4chfr8.cloudfront.net/image/725136000567/image_836mvp6g095jhffih6o9pcvb1a/-FJPG/227776-008_TOP_1.jpg;https://dd3ka9h4chfr8.cloudfront.net/image/725136000567/image_0msba8bf8t3q79jdihsodgbn2b/-FJPG/227776-008_DET_4.jpg;https://dd3ka9h4chfr8.cloudfront.net/image/725136000567/image_m3hsq2run91shcsm4cmea9o83o/-FJPG/227776-008_DET_5.jpg;https://dd3ka9h4chfr8.cloudfront.net/image/725136000567/image_6doi34r54h66b6io6p6vhfj136/-FJPG/227776-008_DET_6.jpg</t>
  </si>
  <si>
    <t>227776-008</t>
  </si>
  <si>
    <t>https://dd3ka9h4chfr8.cloudfront.net/image/725136000567/image_a2gg3i3ir96jvdssecdkl2fo18/-FJPG/227776-008_FRT_1.jpg</t>
  </si>
  <si>
    <t>A tall, vertical-channeled headboard is upholstered in cream high-performance fabric for a sensible take on modern bedroom styling. A parawood plinth base grounds the whole look. Performance fabrics are specially created to withstand spills, stains, high traffic and wear, ensuring long-term comfort and unmatched durability.</t>
  </si>
  <si>
    <t>Myakka Bar + Counter Table</t>
  </si>
  <si>
    <t>https://dd3ka9h4chfr8.cloudfront.net/image/725136000567/image_u9ld96do0964bd4ltrfv791963/-FJPG/236943-003_FRT_1.jpg;https://dd3ka9h4chfr8.cloudfront.net/image/725136000567/image_6t8j7f88np24rb7aflvomrfn74/-FJPG/236943-003_PRM_1.jpg;https://dd3ka9h4chfr8.cloudfront.net/image/725136000567/image_aqudcl5o913s72e704cfgc9u4h/-FJPG/236943-003_SID_1.jpg;https://dd3ka9h4chfr8.cloudfront.net/image/725136000567/image_j3umvpejd52jv3t3moii4q7b43/-FJPG/236943-003_ESS.tif;https://dd3ka9h4chfr8.cloudfront.net/image/725136000567/image_af46alqtot7ft45mikjhgehl3t/-FJPG/236943-003_DET_2.jpg;https://dd3ka9h4chfr8.cloudfront.net/image/725136000567/image_6rg7leekvt0ujd2ss2k318nq38/-FJPG/236943-003_DET_1.jpg;https://dd3ka9h4chfr8.cloudfront.net/image/725136000567/image_flir7obqv57mncjjso86fl575e/-FJPG/236943-003_DET_3.jpg;https://dd3ka9h4chfr8.cloudfront.net/image/725136000567/image_u6fbd3dqa93eh7edttce30e37s/-FJPG/236943-003_DET_4.jpg;https://dd3ka9h4chfr8.cloudfront.net/image/725136000567/image_grk0b890et1at5p04i87k0po09/-FJPG/236943-003_DET_5.jpg;https://dd3ka9h4chfr8.cloudfront.net/image/725136000567/image_pqi30htrk960na3e5o1ugsq86m/-FJPG/236943-003_DET_6.jpg;https://dd3ka9h4chfr8.cloudfront.net/image/725136000567/image_o0o9upnqc958t1mtqa0fearm1c/-FJPG/236943-003_DET_7.jpg;https://dd3ka9h4chfr8.cloudfront.net/image/725136000567/image_ju1voch5pt04v1coasb3t67v7n/-FJPG/236943-003_DET_8.jpg</t>
  </si>
  <si>
    <t>Worn Oak</t>
  </si>
  <si>
    <t>236943-003</t>
  </si>
  <si>
    <t>127.65</t>
  </si>
  <si>
    <t>https://dd3ka9h4chfr8.cloudfront.net/image/725136000567/image_u9ld96do0964bd4ltrfv791963/-FJPG/236943-003_FRT_1.jpg</t>
  </si>
  <si>
    <t>Inspired by Chinese antiques, this bar table showcases a classic harvest shape with subtle apron corner details and intricate joint work on the stretchers. Finished in a beautifully distressed antique style, for timeless, aged charm.</t>
  </si>
  <si>
    <t>Top And Stretcher</t>
  </si>
  <si>
    <t>{"value":68.78,"unit":"lb"}</t>
  </si>
  <si>
    <t>Myakka</t>
  </si>
  <si>
    <t>52.99"</t>
  </si>
  <si>
    <t>5.24"</t>
  </si>
  <si>
    <t>https://dd3ka9h4chfr8.cloudfront.net/image/725136000567/image_ah0i6gi2l94kpfja7vjh0ik374/-FJPG/236943-004_FRT_1.jpg;https://dd3ka9h4chfr8.cloudfront.net/image/725136000567/image_odebtb6jp92sn64p29c0rcl23q/-FJPG/236943-004_PRM_1.jpg;https://dd3ka9h4chfr8.cloudfront.net/image/725136000567/image_8shqq3cgvp1fn2vgu1mmjh9k41/-FJPG/236943-004_SID_1.jpg;https://dd3ka9h4chfr8.cloudfront.net/image/725136000567/image_c3ck60bksl3hn884h1588nr16l/-FJPG/236943-004_ESS.tif;https://dd3ka9h4chfr8.cloudfront.net/image/725136000567/image_85r3euvihh49v5fbsu5sjmfb1t/-FJPG/236943-004_DET_2.jpg;https://dd3ka9h4chfr8.cloudfront.net/image/725136000567/image_l0ein7von14rtesot1va9egl1l/-FJPG/236943-004_DET_1.jpg;https://dd3ka9h4chfr8.cloudfront.net/image/725136000567/image_pnggnhap5l65pdtqkkcetqvv62/-FJPG/236943-004_DET_4.jpg;https://dd3ka9h4chfr8.cloudfront.net/image/725136000567/image_8i430dg6ol3th5fa8if55uck1t/-FJPG/236943-004_DET_5.jpg;https://dd3ka9h4chfr8.cloudfront.net/image/725136000567/image_u7eh8h6bt92n719jog2h239g0q/-FJPG/236943-004_DET_7.jpg;https://dd3ka9h4chfr8.cloudfront.net/image/725136000567/image_ogo55313kd00ld218bbpm8t46e/-FJPG/236943-004_DET_9.tif;https://dd3ka9h4chfr8.cloudfront.net/image/725136000567/image_igvkqccis57dv6q2c35h3d1t2m/-FJPG/236943-004_DET_10.tif;https://dd3ka9h4chfr8.cloudfront.net/image/725136000567/image_nke3k4daul67h00pch3233c52f/-FJPG/236943-004_DET_11.tif;https://dd3ka9h4chfr8.cloudfront.net/image/725136000567/image_i9vhikp1rd4r3bog379l2jte34/-FJPG/236943-004_DET_12.tif</t>
  </si>
  <si>
    <t>236943-004</t>
  </si>
  <si>
    <t>119.93</t>
  </si>
  <si>
    <t>https://dd3ka9h4chfr8.cloudfront.net/image/725136000567/image_ah0i6gi2l94kpfja7vjh0ik374/-FJPG/236943-004_FRT_1.jpg</t>
  </si>
  <si>
    <t>Inspired by Chinese antiques, this counter table showcases a classic harvest shape with subtle apron corner details and intricate joint work on the stretchers. Finished in a beautifully distressed antique style, for timeless, aged charm.</t>
  </si>
  <si>
    <t>34.49"</t>
  </si>
  <si>
    <t>Myla Coffee Table</t>
  </si>
  <si>
    <t>https://dd3ka9h4chfr8.cloudfront.net/image/725136000567/image_a5bmmf3uc17b7a668plio8dl2c/-FJPG/229300-002_FRT_1.jpg;https://dd3ka9h4chfr8.cloudfront.net/image/725136000567/image_i96t8rdm5l7tb0uhv9bfi4ml28/-FJPG/229300-002_PRM_1.jpg;https://dd3ka9h4chfr8.cloudfront.net/image/725136000567/image_3usnbkh4hp1fv1u2cv7vm80r7n/-FJPG/229300-002_SID_1.jpg;https://dd3ka9h4chfr8.cloudfront.net/image/725136000567/image_qqhbi4226l1q9cugj8h4qbhh0d/-FJPG/229300-002_ESS_1.jpg;https://dd3ka9h4chfr8.cloudfront.net/image/725136000567/image_i99evlqnmp75neg1rc48mecc2n/-FJPG/229300-002_DET_2.jpg;https://dd3ka9h4chfr8.cloudfront.net/image/725136000567/image_4f7lilmtkd70963cup8ild5k5v/-FJPG/229300-002_DET_1.jpg;https://dd3ka9h4chfr8.cloudfront.net/image/725136000567/image_kqq53ibts949v7t3jmqhkotm18/-FJPG/229300-002_TOP_1.jpg;https://dd3ka9h4chfr8.cloudfront.net/image/725136000567/image_9seesdlb2d2jb0q7e1s394981i/-FJPG/229300-002_DET_4.jpg</t>
  </si>
  <si>
    <t>229300-002</t>
  </si>
  <si>
    <t>79.79</t>
  </si>
  <si>
    <t>https://dd3ka9h4chfr8.cloudfront.net/image/725136000567/image_a5bmmf3uc17b7a668plio8dl2c/-FJPG/229300-002_FRT_1.jpg</t>
  </si>
  <si>
    <t>49.25</t>
  </si>
  <si>
    <t>{"value":49.25,"unit":"in"}</t>
  </si>
  <si>
    <t>Channel the organic with this chunky, aged brown- finished solid mango wood coffee table.</t>
  </si>
  <si>
    <t>{"value":55.01,"unit":"lb"}</t>
  </si>
  <si>
    <t>{"value":29.88,"unit":"lb"}</t>
  </si>
  <si>
    <t>Myla</t>
  </si>
  <si>
    <t>17.10"</t>
  </si>
  <si>
    <t>12.90"</t>
  </si>
  <si>
    <t>Neda End Table</t>
  </si>
  <si>
    <t>https://dd3ka9h4chfr8.cloudfront.net/image/725136000567/image_7fub1t9kbt2bp72j4jplouc45g/-FJPG/228902-004_FRT_1.jpg;https://dd3ka9h4chfr8.cloudfront.net/image/725136000567/image_5svclr9ta92qpe3hq6qpdp9m5e/-FJPG/228902-004_PRM_1.jpg;https://dd3ka9h4chfr8.cloudfront.net/image/725136000567/image_aropro0r1d36705gafpl4lup6p/-FJPG/228902-004_ESS_1.jpg;https://dd3ka9h4chfr8.cloudfront.net/image/725136000567/image_ee81sslfn53av68k460os19821/-FJPG/228902-004_DET_2.jpg;https://dd3ka9h4chfr8.cloudfront.net/image/725136000567/image_3ptpommvrh5i15jt0ed7gavr6n/-FJPG/228902-004_DET_1.jpg;https://dd3ka9h4chfr8.cloudfront.net/image/725136000567/image_pre6auic7l5vj2usk2nccm1n0q/-FJPG/228902-004_DET_3.jpg;https://dd3ka9h4chfr8.cloudfront.net/image/725136000567/image_9q0lrt8p3d3n7ckc8ep3du3t77/-FJPG/228902-004_TOP_1.jpg;https://dd3ka9h4chfr8.cloudfront.net/image/725136000567/image_pn6c6a3ea523n3fu15rg49s167/-FJPG/228902-004_DET_4.jpg;https://dd3ka9h4chfr8.cloudfront.net/image/725136000567/image_fj0td2rqgh48n6ku2tt8t5rm24/-FJPG/228902-004_DET_5.jpg;https://dd3ka9h4chfr8.cloudfront.net/image/725136000567/image_dokav82d6d6u15n8m5sakonj6j/-FJPG/228902-004_DET_6.jpg</t>
  </si>
  <si>
    <t>Ebony Marble</t>
  </si>
  <si>
    <t>228902-004</t>
  </si>
  <si>
    <t>100.53</t>
  </si>
  <si>
    <t>https://dd3ka9h4chfr8.cloudfront.net/image/725136000567/image_7fub1t9kbt2bp72j4jplouc45g/-FJPG/228902-004_FRT_1.jpg</t>
  </si>
  <si>
    <t>["Solid Marble"]</t>
  </si>
  <si>
    <t>Ebony Marble Solid</t>
  </si>
  <si>
    <t>{"value":155.03,"unit":"lb"}</t>
  </si>
  <si>
    <t>Neda</t>
  </si>
  <si>
    <t>https://dd3ka9h4chfr8.cloudfront.net/image/725136000567/image_k4bupg26d517h8it5ilq2kbg01/-FJPG/228902-003_FRT_1.jpg;https://dd3ka9h4chfr8.cloudfront.net/image/725136000567/image_fh538clsm96q5c8qcgknks7g6j/-FJPG/228902-003_PRM_1.jpg;https://dd3ka9h4chfr8.cloudfront.net/image/725136000567/image_figed0eipl6nj2susdtt6bae0f/-FJPG/228902-003_ESS_1.jpg;https://dd3ka9h4chfr8.cloudfront.net/image/725136000567/image_mv14h1sdv535n278k6dmtruk0j/-FJPG/228902-003_DET_2.jpg;https://dd3ka9h4chfr8.cloudfront.net/image/725136000567/image_vp2h8v6uc5551de9e8gg6dcr4r/-FJPG/228902-003_DET_1.jpg;https://dd3ka9h4chfr8.cloudfront.net/image/725136000567/image_fp4rt7qn7567pd11riivp0fk2r/-FJPG/228902-003_DET_3.jpg;https://dd3ka9h4chfr8.cloudfront.net/image/725136000567/image_b47kdkej396m302l8bg3nql730/-FJPG/228902-003_TOP_1.jpg;https://dd3ka9h4chfr8.cloudfront.net/image/725136000567/image_c955rdfv5p3ufadlust69r1v3k/-FJPG/228902-003_DET_4.jpg;https://dd3ka9h4chfr8.cloudfront.net/image/725136000567/image_osb7a4irup17v0lbaibj5g122r/-FJPG/228902-003_DET_5.jpg;https://dd3ka9h4chfr8.cloudfront.net/image/725136000567/image_t7d3kmqvil56v4dpe1sfi9e472/-FJPG/228902-003_DET_6.jpg</t>
  </si>
  <si>
    <t>228902-003</t>
  </si>
  <si>
    <t>https://dd3ka9h4chfr8.cloudfront.net/image/725136000567/image_k4bupg26d517h8it5ilq2kbg01/-FJPG/228902-003_FRT_1.jpg</t>
  </si>
  <si>
    <t>Polished White Marble Solid</t>
  </si>
  <si>
    <t>Shape up. Polished white marble forms a stack-style end table of semicircles and squares, for a Deco-inspired look with subtle Eighties vibes.</t>
  </si>
  <si>
    <t>Newhall Bed - 55"</t>
  </si>
  <si>
    <t>https://dd3ka9h4chfr8.cloudfront.net/image/725136000567/image_7m80lmj0qd6kja0dshju47h44q/-FJPG/106113-011_FRT_1.jpg;https://dd3ka9h4chfr8.cloudfront.net/image/725136000567/image_vdbjcj58gl7b13cr1qfc5up30p/-FJPG/106113-011_PRM_1.jpg;https://dd3ka9h4chfr8.cloudfront.net/image/725136000567/image_dclueeophh1jb7ivs428hu2q0u/-FJPG/106113-011_SID_1.jpg;https://dd3ka9h4chfr8.cloudfront.net/image/725136000567/image_bsjv7j4bch26t3f33f1o22e11q/-FJPG/106113-011_DET_2.jpg;https://dd3ka9h4chfr8.cloudfront.net/image/725136000567/image_dtmgrp07hd7bfd6ojpfv6kvk2t/-FJPG/106113-011_BCK_1.jpg;https://dd3ka9h4chfr8.cloudfront.net/image/725136000567/image_kqmp46fk090o78ml5u2vr27h3o/-FJPG/106113-011_DET_1.jpg;https://dd3ka9h4chfr8.cloudfront.net/image/725136000567/image_t23boab3350q3be6rogfhbag69/-FJPG/106113-011_DET_3.jpg;https://dd3ka9h4chfr8.cloudfront.net/image/725136000567/image_o32kta9psp56hc2gtje43k083o/-FJPG/106113-011_DET_4.jpg;https://dd3ka9h4chfr8.cloudfront.net/image/725136000567/image_vp7mlcfj71587c55duafhd6p6g/-FJPG/106113-011_DET_5.jpg</t>
  </si>
  <si>
    <t>106113-011</t>
  </si>
  <si>
    <t>201.72</t>
  </si>
  <si>
    <t>https://dd3ka9h4chfr8.cloudfront.net/image/725136000567/image_7m80lmj0qd6kja0dshju47h44q/-FJPG/106113-011_FRT_1.jpg</t>
  </si>
  <si>
    <t>["95% Polyester","5% Polyurethane Fibre","Iron"]</t>
  </si>
  <si>
    <t>Subtle, modern elegance. A low, tufted headboard in a vintage tobacco-finished faux leather pairs with a simple gunmetal iron base.</t>
  </si>
  <si>
    <t>{"value":56.69,"unit":"in"}</t>
  </si>
  <si>
    <t>{"value":104.72,"unit":"lb"}</t>
  </si>
  <si>
    <t>{"value":87.2,"unit":"in"}</t>
  </si>
  <si>
    <t>{"value":6.5,"unit":"in"}</t>
  </si>
  <si>
    <t>Newhall</t>
  </si>
  <si>
    <t>4.61"</t>
  </si>
  <si>
    <t>2.19"</t>
  </si>
  <si>
    <t>78.94"</t>
  </si>
  <si>
    <t>10.81"</t>
  </si>
  <si>
    <t>https://dd3ka9h4chfr8.cloudfront.net/image/725136000567/image_7pnqp2l1kh0i31peb9a3gpqn79/-FJPG/106113-012_FRT_1.jpg;https://dd3ka9h4chfr8.cloudfront.net/image/725136000567/image_g0etemlosp7uj81jtid4s6cg09/-FJPG/106113-012_PRM_1.jpg;https://dd3ka9h4chfr8.cloudfront.net/image/725136000567/image_04l20gnech6nv9n47i84g6c97s/-FJPG/106113-012_SID_1.jpg;https://dd3ka9h4chfr8.cloudfront.net/image/725136000567/image_67kc2ddn9l28j5tg6bflu1dn31/-FJPG/106113-012_DET_2.jpg;https://dd3ka9h4chfr8.cloudfront.net/image/725136000567/image_n7bm57nu9t0dddnalsj21v543s/-FJPG/106113-012_BCK_1.jpg;https://dd3ka9h4chfr8.cloudfront.net/image/725136000567/image_0a7cmjds25429c4klh8jl7jt2o/-FJPG/106113-012_DET_1.jpg;https://dd3ka9h4chfr8.cloudfront.net/image/725136000567/image_sgme0sp8b90l15uujcja3ad21n/-FJPG/106113-012_DET_3.jpg;https://dd3ka9h4chfr8.cloudfront.net/image/725136000567/image_c6qp4jfcc10sf7vt11o6kllo0o/-FJPG/106113-012_DET_4.jpg;https://dd3ka9h4chfr8.cloudfront.net/image/725136000567/image_f615ernqlp42t6fpvqctqa6o70/-FJPG/106113-012_DET_5.jpg</t>
  </si>
  <si>
    <t>106113-012</t>
  </si>
  <si>
    <t>https://dd3ka9h4chfr8.cloudfront.net/image/725136000567/image_7pnqp2l1kh0i31peb9a3gpqn79/-FJPG/106113-012_FRT_1.jpg</t>
  </si>
  <si>
    <t>{"value":57.09,"unit":"in"}</t>
  </si>
  <si>
    <t>Newhall Bed</t>
  </si>
  <si>
    <t>https://dd3ka9h4chfr8.cloudfront.net/image/725136000567/image_l17jb4olo57gpaa57uuiseke2m/-FJPG/105969-029_FRT_1.jpg;https://dd3ka9h4chfr8.cloudfront.net/image/725136000567/image_4d0tivfm31583ejduag3b40q6m/-FJPG/105969-029_PRM_1.jpg;https://dd3ka9h4chfr8.cloudfront.net/image/725136000567/image_8ulaac2m0d36r7lt2mm3qj5q0u/-FJPG/105969-029_SID_1.jpg;https://dd3ka9h4chfr8.cloudfront.net/image/725136000567/image_q1cvjcs20d4ij8j0e4mva0es6p/-FJPG/105969-029_DET_2.jpg;https://dd3ka9h4chfr8.cloudfront.net/image/725136000567/image_3togar9og57hp86p5ksm4q7m4i/-FJPG/105969-029_BCK_1.jpg;https://dd3ka9h4chfr8.cloudfront.net/image/725136000567/image_2v9976eth122517okebbn1lt3r/-FJPG/105969-029_DET_1.jpg;https://dd3ka9h4chfr8.cloudfront.net/image/725136000567/image_bn69hkda6d58b4egc8d4ngqd5p/-FJPG/105969-029_DET_3.jpg;https://dd3ka9h4chfr8.cloudfront.net/image/725136000567/image_guoeqhhhlp41f6d0m49jhivs12/-FJPG/105969-029_DET_4.jpg;https://dd3ka9h4chfr8.cloudfront.net/image/725136000567/image_udklt1ojj12tnbll3m4jlfpl4v/-FJPG/105969-029_DET_5.jpg</t>
  </si>
  <si>
    <t>105969-029</t>
  </si>
  <si>
    <t>175.27</t>
  </si>
  <si>
    <t>https://dd3ka9h4chfr8.cloudfront.net/image/725136000567/image_l17jb4olo57gpaa57uuiseke2m/-FJPG/105969-029_FRT_1.jpg</t>
  </si>
  <si>
    <t>Subtle, modern elegance. A low, tufted headboard in a neutral, chenille-like covering pairs with a simple gunmetal iron base.</t>
  </si>
  <si>
    <t>Side Rails</t>
  </si>
  <si>
    <t>Footboard&amp;Slats</t>
  </si>
  <si>
    <t>40.20"</t>
  </si>
  <si>
    <t>https://dd3ka9h4chfr8.cloudfront.net/image/725136000567/image_t56na5rtn54498knnq9r111n32/-FJPG/105969-030_FRT_1.jpg;https://dd3ka9h4chfr8.cloudfront.net/image/725136000567/image_76uos7qc5t3pb9gb7jb6ejid1f/-FJPG/105969-030_PRM_1.jpg;https://dd3ka9h4chfr8.cloudfront.net/image/725136000567/image_8omec049hl5ah3gur74mpgpj5o/-FJPG/105969-030_SID_1.jpg;https://dd3ka9h4chfr8.cloudfront.net/image/725136000567/image_7c22p5qkkd3n51ptij5a3thu1h/-FJPG/105969-030_DET_2.jpg;https://dd3ka9h4chfr8.cloudfront.net/image/725136000567/image_72uk4jiau53i7epiot4p4j747m/-FJPG/105969-030_BCK_1.jpg;https://dd3ka9h4chfr8.cloudfront.net/image/725136000567/image_lubv1mp6j534b038rpidi5ci0f/-FJPG/105969-030_DET_1.jpg;https://dd3ka9h4chfr8.cloudfront.net/image/725136000567/image_i7pjk7bhtd6sp72gqdsrs2vt65/-FJPG/105969-030_DET_3.jpg;https://dd3ka9h4chfr8.cloudfront.net/image/725136000567/image_4ahoc3uid91r578u649ujuae06/-FJPG/105969-030_DET_4.jpg;https://dd3ka9h4chfr8.cloudfront.net/image/725136000567/image_khclmpp5s53shcr9eelm7m760b/-FJPG/105969-030_DET_5.jpg;https://dd3ka9h4chfr8.cloudfront.net/image/725136000567/image_p8v7aumgb52ob62ji0066fau0p/-FJPG/105969-030_DET_6.jpg</t>
  </si>
  <si>
    <t>105969-030</t>
  </si>
  <si>
    <t>151.02</t>
  </si>
  <si>
    <t>https://dd3ka9h4chfr8.cloudfront.net/image/725136000567/image_t56na5rtn54498knnq9r111n32/-FJPG/105969-030_FRT_1.jpg</t>
  </si>
  <si>
    <t>https://dd3ka9h4chfr8.cloudfront.net/image/725136000567/image_80l6jbhjsp1h1fsa9vf5kmo12r/-FJPG/105969-031_FRT_1.jpg;https://dd3ka9h4chfr8.cloudfront.net/image/725136000567/image_fnkseoambh4bja1ahl84gd0q1v/-FJPG/105969-031_PRM_1.jpg;https://dd3ka9h4chfr8.cloudfront.net/image/725136000567/image_j3mdtadm6l0hhc3uk5vn97m25q/-FJPG/105969-031_SID_1.jpg;https://dd3ka9h4chfr8.cloudfront.net/image/725136000567/image_sit6dj0rmp7998v3imjnp5tq0k/-FJPG/105969-031_DET_2.jpg;https://dd3ka9h4chfr8.cloudfront.net/image/725136000567/image_vt13m137h17ufft5apnjsvlf7b/-FJPG/105969-031_BCK_1.jpg;https://dd3ka9h4chfr8.cloudfront.net/image/725136000567/image_mrngdr0i716f7913d1p0nu5k2r/-FJPG/105969-031_DET_1.jpg;https://dd3ka9h4chfr8.cloudfront.net/image/725136000567/image_9bf1ra8b0575b14rallq8tqs14/-FJPG/105969-031_DET_3.jpg;https://dd3ka9h4chfr8.cloudfront.net/image/725136000567/image_h9sfa0l9hl6v50tup9mthp9t6n/-FJPG/105969-031_DET_4.jpg;https://dd3ka9h4chfr8.cloudfront.net/image/725136000567/image_hu9gjr8k3d0dn0q3ano2nbv43t/-FJPG/105969-031_DET_5.jpg;https://dd3ka9h4chfr8.cloudfront.net/image/725136000567/image_jkumu53aip7o920tsju43b0q40/-FJPG/105969-031_DET_6.jpg;https://dd3ka9h4chfr8.cloudfront.net/image/725136000567/image_gvp5c3svp92c9cgqimrt8e3b61/-FJPG/105969-031_ROM_1.jpg</t>
  </si>
  <si>
    <t>105969-031</t>
  </si>
  <si>
    <t>https://dd3ka9h4chfr8.cloudfront.net/image/725136000567/image_80l6jbhjsp1h1fsa9vf5kmo12r/-FJPG/105969-031_FRT_1.jpg</t>
  </si>
  <si>
    <t>Subtle, modern elegance. A low, tufted upholstered headboard in a fashion-forward tobacco tone pairs with a simple gunmetal iron base.</t>
  </si>
  <si>
    <t>https://dd3ka9h4chfr8.cloudfront.net/image/725136000567/image_fe1sjv9jdd16hd7n8dgmn3796a/-FJPG/105969-032_FRT_1.jpg;https://dd3ka9h4chfr8.cloudfront.net/image/725136000567/image_409v1mnuph347f7abl5lqlbp0u/-FJPG/105969-032_PRM_1.jpg;https://dd3ka9h4chfr8.cloudfront.net/image/725136000567/image_ot85cipp2d3arfrb29pvjss92k/-FJPG/105969-032_SID_1.jpg;https://dd3ka9h4chfr8.cloudfront.net/image/725136000567/image_cf6j9q5bjh16l0p6aeqn3l8k2b/-FJPG/105969-032_DET_2.jpg;https://dd3ka9h4chfr8.cloudfront.net/image/725136000567/image_3ge82vs7ht215aun33nn7r6r3q/-FJPG/105969-032_BCK_1.jpg;https://dd3ka9h4chfr8.cloudfront.net/image/725136000567/image_3thuc7bqs120p4c4lgj99mqt3m/-FJPG/105969-032_DET_1.jpg;https://dd3ka9h4chfr8.cloudfront.net/image/725136000567/image_bkt1q6883d00d1cqm19hhuq771/-FJPG/105969-032_DET_3.jpg;https://dd3ka9h4chfr8.cloudfront.net/image/725136000567/image_o9flf6i6ql627cnvsttkn4931f/-FJPG/105969-032_DET_4.jpg;https://dd3ka9h4chfr8.cloudfront.net/image/725136000567/image_env0hi4tp17nh3msjn7r4f4s1c/-FJPG/105969-032_DET_5.jpg;https://dd3ka9h4chfr8.cloudfront.net/image/725136000567/image_tvppt83mj91dt7aml4o1opvi1c/-FJPG/105969-032_DET_6.jpg;https://dd3ka9h4chfr8.cloudfront.net/image/725136000567/image_n96rkcgnm50frd9gu0vi7is91m/-FJPG/105969-032_ROM_1.jpg</t>
  </si>
  <si>
    <t>105969-032</t>
  </si>
  <si>
    <t>https://dd3ka9h4chfr8.cloudfront.net/image/725136000567/image_fe1sjv9jdd16hd7n8dgmn3796a/-FJPG/105969-032_FRT_1.jpg</t>
  </si>
  <si>
    <t>Subtle, modern elegance. A low, tufted headboard in a vintage tobacco faux leather pairs with a simple gunmetal iron base.</t>
  </si>
  <si>
    <t>Newton Media Console</t>
  </si>
  <si>
    <t>https://dd3ka9h4chfr8.cloudfront.net/image/725136000567/image_comr96o0pp0cn9u69nooc6h060/-FJPG/239747-001_FRT_1.jpg;https://dd3ka9h4chfr8.cloudfront.net/image/725136000567/image_1j5d793n7p2fl6k3hdnkr4jd4v/-FJPG/239747-001_PRM_1.jpg;https://dd3ka9h4chfr8.cloudfront.net/image/725136000567/image_q63rblausl1o9efp80ul3lpc3g/-FJPG/239747-001_SID_1.jpg;https://dd3ka9h4chfr8.cloudfront.net/image/725136000567/image_hff23u0ir915726hjnagdvlh23/-FJPG/239747-001_ESS_1.tif;https://dd3ka9h4chfr8.cloudfront.net/image/725136000567/image_168ti97sol0c11aksmaq3i2t0p/-FJPG/239747-001_DET_2.jpg;https://dd3ka9h4chfr8.cloudfront.net/image/725136000567/image_3cnu04kagt1ar7p4e6tebevd50/-FJPG/239747-001_BCK_1.jpg;https://dd3ka9h4chfr8.cloudfront.net/image/725136000567/image_dhaver26e53037v8kpetssu43i/-FJPG/239747-001_DET_1.jpg;https://dd3ka9h4chfr8.cloudfront.net/image/725136000567/image_abqa3ssfq12lj0p7hph77tld76/-FJPG/239747-001_DET_3.jpg;https://dd3ka9h4chfr8.cloudfront.net/image/725136000567/image_d542rk8koh33d7i804akdo1o18/-FJPG/239747-001_OPN_1.jpg;https://dd3ka9h4chfr8.cloudfront.net/image/725136000567/image_p9b1qgn8tp2lj1m0emotb1k63d/-FJPG/239747-001_DET_4.jpg;https://dd3ka9h4chfr8.cloudfront.net/image/725136000567/image_pvi12v8o4d3st8d08nvqoph67o/-FJPG/239747-001_DET_5.jpg;https://dd3ka9h4chfr8.cloudfront.net/image/725136000567/image_ah8g4qqq7l7dd31tt346nl8b3q/-FJPG/239747-001_DET_6.jpg;https://dd3ka9h4chfr8.cloudfront.net/image/725136000567/image_p4ua1rahod4ntd5r6ldtrvtu3l/-FJPG/239747-001_DET_7.jpg;https://dd3ka9h4chfr8.cloudfront.net/image/725136000567/image_dtvv910ri917n7sfcce7e6i66b/-FJPG/239747-001_DET_8.jpg</t>
  </si>
  <si>
    <t>239747-001</t>
  </si>
  <si>
    <t>189.59</t>
  </si>
  <si>
    <t>https://dd3ka9h4chfr8.cloudfront.net/image/725136000567/image_comr96o0pp0cn9u69nooc6h060/-FJPG/239747-001_FRT_1.jpg</t>
  </si>
  <si>
    <t>This reimagined classic is subtly updated with simple post detailing between compartment doors and streamlined iron hardware. Crafted from solid mango in a grand scale with three interior compartments and cutouts on back for cord management.</t>
  </si>
  <si>
    <t>{"value":213.84,"unit":"lb"}</t>
  </si>
  <si>
    <t>47.50"</t>
  </si>
  <si>
    <t>Newton</t>
  </si>
  <si>
    <t>21.63"</t>
  </si>
  <si>
    <t>Nigel 6 Drawer Dresser</t>
  </si>
  <si>
    <t>https://dd3ka9h4chfr8.cloudfront.net/image/725136000567/image_qreuvi69sd6o1c888m21f2q87n/-FJPG/243272-001_FRT_1.jpg;https://dd3ka9h4chfr8.cloudfront.net/image/725136000567/image_j2bsgp3a8p7jr26id3oh704g1q/-FJPG/243272-001_PRM_1.jpg;https://dd3ka9h4chfr8.cloudfront.net/image/725136000567/image_mb5fnruqod0711nnnn3q28ul5k/-FJPG/243272-001_SID_1.jpg;https://dd3ka9h4chfr8.cloudfront.net/image/725136000567/image_17sr1tfejl56fcl9827ap9153c/-FJPG/243272-001_ESS.tif;https://dd3ka9h4chfr8.cloudfront.net/image/725136000567/image_n3qtccqibd6h543csgghfakt3c/-FJPG/243272-001_DET_2.jpg;https://dd3ka9h4chfr8.cloudfront.net/image/725136000567/image_15khmhnhjd27t8c7v6888nom2c/-FJPG/243272-001_BCK_1.jpg;https://dd3ka9h4chfr8.cloudfront.net/image/725136000567/image_o5euu86vpp2rfbm9bf04ev3m0j/-FJPG/243272-001_DET_1.jpg;https://dd3ka9h4chfr8.cloudfront.net/image/725136000567/image_9f5314ugcd4gf5h03onvl0rf67/-FJPG/243272-001_DET_3.jpg;https://dd3ka9h4chfr8.cloudfront.net/image/725136000567/image_l4stsnudb178vaslmfv298pd4m/-FJPG/243272-001_OPN_1.jpg;https://dd3ka9h4chfr8.cloudfront.net/image/725136000567/image_humvcbnag97s18f8vcdsl4qg6n/-FJPG/243272-001_DET_4.jpg;https://dd3ka9h4chfr8.cloudfront.net/image/725136000567/image_e3ha4vihph7g99i1shir2as15b/-FJPG/243272-001_DET_5.jpg;https://dd3ka9h4chfr8.cloudfront.net/image/725136000567/image_flfnp9m76541b924an31ca673k/-FJPG/243272-001_DET_6.jpg;https://dd3ka9h4chfr8.cloudfront.net/image/725136000567/image_v5li8uo0u10pp5jhmbmpfru66j/-FJPG/243272-001_DET_9.tif</t>
  </si>
  <si>
    <t>Rustic Brown Acacia</t>
  </si>
  <si>
    <t>243272-001</t>
  </si>
  <si>
    <t>278.22</t>
  </si>
  <si>
    <t>https://dd3ka9h4chfr8.cloudfront.net/image/725136000567/image_qreuvi69sd6o1c888m21f2q87n/-FJPG/243272-001_FRT_1.jpg</t>
  </si>
  <si>
    <t>["Solid Acacia"]</t>
  </si>
  <si>
    <t>69.5</t>
  </si>
  <si>
    <t>{"value":69.5,"unit":"in"}</t>
  </si>
  <si>
    <t>Made from solid acacia and finished in a rustic brown, a six-drawer, waterfall-shaped dresser features soft volume, mitered corners and a faux live edge.</t>
  </si>
  <si>
    <t>{"value":313.71,"unit":"lb"}</t>
  </si>
  <si>
    <t>Nigel</t>
  </si>
  <si>
    <t>28.88"</t>
  </si>
  <si>
    <t>Noeline 6-Drawer Dresser</t>
  </si>
  <si>
    <t>https://dd3ka9h4chfr8.cloudfront.net/image/725136000567/image_o6qindrtad7gv0jqae4e5u1q62/-FJPG/240593-002_FRT_1.jpg;https://dd3ka9h4chfr8.cloudfront.net/image/725136000567/image_129uis32953enea9i0lppuvv3n/-FJPG/240593-002_PRM_1.jpg;https://dd3ka9h4chfr8.cloudfront.net/image/725136000567/image_8gfb0vb7qt3dh89jc9b1l70712/-FJPG/240593-002_SID_1.jpg;https://dd3ka9h4chfr8.cloudfront.net/image/725136000567/image_oilbnn20h54ln771ev4k7jjl3e/-FJPG/240593-002_DET_2.jpg;https://dd3ka9h4chfr8.cloudfront.net/image/725136000567/image_8u2vc1306t1l77m91g614klk5t/-FJPG/240593-002_BCK_1.jpg;https://dd3ka9h4chfr8.cloudfront.net/image/725136000567/image_fld9sub2q51nn61ghj2neo1o5n/-FJPG/240593-002_DET_1.jpg;https://dd3ka9h4chfr8.cloudfront.net/image/725136000567/image_0dtscmnv9t1npcpugmvisot86u/-FJPG/240593-002_DET_3.jpg;https://dd3ka9h4chfr8.cloudfront.net/image/725136000567/image_4naboo102l6r342b38ep8i3e65/-FJPG/240593-002_OPN_1.jpg;https://dd3ka9h4chfr8.cloudfront.net/image/725136000567/image_kjci0giv1t4ht57m5liicq6979/-FJPG/240593-002_DET_4.jpg;https://dd3ka9h4chfr8.cloudfront.net/image/725136000567/image_06covugl55141cij9t042scl1m/-FJPG/240593-002_DET_5.jpg;https://dd3ka9h4chfr8.cloudfront.net/image/725136000567/image_ag1q1gcd712nfef5ep4e428k3g/-FJPG/240593-002_DET_6.jpg</t>
  </si>
  <si>
    <t>Resawn Worn Oak</t>
  </si>
  <si>
    <t>240593-002</t>
  </si>
  <si>
    <t>274.476</t>
  </si>
  <si>
    <t>https://dd3ka9h4chfr8.cloudfront.net/image/725136000567/image_o6qindrtad7gv0jqae4e5u1q62/-FJPG/240593-002_FRT_1.jpg</t>
  </si>
  <si>
    <t>A thick plank of worn oak tops a wide dresser, meeting modern lines with a warm, natural feel. Six drawer fronts feature a push-latch mechanism for a seamless look.</t>
  </si>
  <si>
    <t>Noeline 6 Drawer  Dresser</t>
  </si>
  <si>
    <t>{"value":78.94,"unit":"in"}</t>
  </si>
  <si>
    <t>Noeline</t>
  </si>
  <si>
    <t>5.87"</t>
  </si>
  <si>
    <t>34.02"</t>
  </si>
  <si>
    <t>https://dd3ka9h4chfr8.cloudfront.net/image/725136000567/image_phjuntkqhd0pjbpso2bejsjc38/-FJPG/240593-001_FRT_1.jpg;https://dd3ka9h4chfr8.cloudfront.net/image/725136000567/image_l9mkrm4cgh54fchdh849pkai7h/-FJPG/240593-001_PRM_1.jpg;https://dd3ka9h4chfr8.cloudfront.net/image/725136000567/image_urbqhe5i1l7f51559rghsuro24/-FJPG/240593-001_SID_1.jpg;https://dd3ka9h4chfr8.cloudfront.net/image/725136000567/image_u5mm1bhh2h0918js408abrd44f/-FJPG/240593-001_DET_2.jpg;https://dd3ka9h4chfr8.cloudfront.net/image/725136000567/image_g9pil3aqvt6892a8comd5ksd74/-FJPG/240593-001_BCK_1.jpg;https://dd3ka9h4chfr8.cloudfront.net/image/725136000567/image_vmql9koskh7fpc693lfq4n833b/-FJPG/240593-001_DET_1.jpg;https://dd3ka9h4chfr8.cloudfront.net/image/725136000567/image_rlhhihfu5l279eomg61ajphg1f/-FJPG/240593-001_DET_3.jpg;https://dd3ka9h4chfr8.cloudfront.net/image/725136000567/image_pds3qqk7ip2pp235o2fbhkvp2e/-FJPG/240593-001_OPN_1.jpg;https://dd3ka9h4chfr8.cloudfront.net/image/725136000567/image_3knli2gd8915j9vnof56avcf2l/-FJPG/240593-001_DET_4.jpg;https://dd3ka9h4chfr8.cloudfront.net/image/725136000567/image_9g000ljg7t5qp6g27u92l51o6g/-FJPG/240593-001_DET_5.jpg;https://dd3ka9h4chfr8.cloudfront.net/image/725136000567/image_r5mmgq4fkd0qf8sd531kh6ih2o/-FJPG/240593-001_DET_6.jpg;https://dd3ka9h4chfr8.cloudfront.net/image/725136000567/image_idcn64dgjh44vdr4bnuqqhl62d/-FJPG/240593-001_ESS.tif</t>
  </si>
  <si>
    <t>240593-001</t>
  </si>
  <si>
    <t>https://dd3ka9h4chfr8.cloudfront.net/image/725136000567/image_phjuntkqhd0pjbpso2bejsjc38/-FJPG/240593-001_FRT_1.jpg</t>
  </si>
  <si>
    <t>Topped with a thick plank of solid oak, this extra-wide dresser blends modern lines and warm character with six roomy drawers, slightly curved corners, and solid square legs. Seamless drawer fronts have a push-latch mechanism. Made from solid oak and veneer in a smoky black finish.</t>
  </si>
  <si>
    <t>Noeline Nightstand</t>
  </si>
  <si>
    <t>https://dd3ka9h4chfr8.cloudfront.net/image/725136000567/image_lc2qgbd6st0in14qigi7b5rl77/-FJPG/241072-002_FRT_1.jpg;https://dd3ka9h4chfr8.cloudfront.net/image/725136000567/image_hiissu369l03vbfqvjak9rgn16/-FJPG/241072-002_PRM_1.jpg;https://dd3ka9h4chfr8.cloudfront.net/image/725136000567/image_r6u8imnhrd3mvepe44use1ee2c/-FJPG/241072-002_SID_1.jpg;https://dd3ka9h4chfr8.cloudfront.net/image/725136000567/image_celmg9k3e91535bsmsmaikio3j/-FJPG/241072-002_DET_2.jpg;https://dd3ka9h4chfr8.cloudfront.net/image/725136000567/image_4429v9im9d3hbfak886n2pu33b/-FJPG/241072-002_BCK_1.jpg;https://dd3ka9h4chfr8.cloudfront.net/image/725136000567/image_l2difgn1510ej96kkiitmvg734/-FJPG/241072-002_DET_1.jpg;https://dd3ka9h4chfr8.cloudfront.net/image/725136000567/image_28eb6m3d4l2kb45j0j213r6b7u/-FJPG/241072-002_DET_3.jpg;https://dd3ka9h4chfr8.cloudfront.net/image/725136000567/image_8lvrnb4ajl47703pun5p1inl0n/-FJPG/241072-002_OPN_1.jpg;https://dd3ka9h4chfr8.cloudfront.net/image/725136000567/image_2n0pc2n04h5lf5ackgnfe9r609/-FJPG/241072-002_DET_4.jpg;https://dd3ka9h4chfr8.cloudfront.net/image/725136000567/image_81jg1d9d855uldpm4rvoffra62/-FJPG/241072-002_DET_5.jpg;https://dd3ka9h4chfr8.cloudfront.net/image/725136000567/image_c4ev3tde6t3bj2r4jlp30gs37s/-FJPG/241072-002_DET_6.jpg</t>
  </si>
  <si>
    <t>241072-002</t>
  </si>
  <si>
    <t>108.027</t>
  </si>
  <si>
    <t>https://dd3ka9h4chfr8.cloudfront.net/image/725136000567/image_lc2qgbd6st0in14qigi7b5rl77/-FJPG/241072-002_FRT_1.jpg</t>
  </si>
  <si>
    <t>24.75</t>
  </si>
  <si>
    <t>A thick plank of worn oak tops a wide dresser, meeting modern lines with a warm, natural feel. Dual drawer fronts feature a push-latch mechanism, bringing a seamless look to bedside storage.</t>
  </si>
  <si>
    <t>Noeline  Nightstand</t>
  </si>
  <si>
    <t>29.41"</t>
  </si>
  <si>
    <t>https://dd3ka9h4chfr8.cloudfront.net/image/725136000567/image_ll7d6frq3h6uddjs2iu6hpef0b/-FJPG/241072-001_FRT_1.jpg;https://dd3ka9h4chfr8.cloudfront.net/image/725136000567/image_9porhegqr90ode0md8f4dt5f2r/-FJPG/241072-001_PRM_1.jpg;https://dd3ka9h4chfr8.cloudfront.net/image/725136000567/image_9g3on8sj195ch9p0lq874t134v/-FJPG/241072-001_SID_1.jpg;https://dd3ka9h4chfr8.cloudfront.net/image/725136000567/image_f64o1m9mld2ih9b716l0vbso55/-FJPG/241072-001_DET_2.jpg;https://dd3ka9h4chfr8.cloudfront.net/image/725136000567/image_trthrq5f2t79renohsdvdcjq5j/-FJPG/241072-001_BCK_1.jpg;https://dd3ka9h4chfr8.cloudfront.net/image/725136000567/image_m5rkd3chhd7b7bgq277paqsk44/-FJPG/241072-001_DET_1.jpg;https://dd3ka9h4chfr8.cloudfront.net/image/725136000567/image_ro93vi77r92ob98lr854oa8d59/-FJPG/241072-001_DET_3.jpg;https://dd3ka9h4chfr8.cloudfront.net/image/725136000567/image_s5n0s1urtl59t57qdpaedrli20/-FJPG/241072-001_OPN_1.jpg;https://dd3ka9h4chfr8.cloudfront.net/image/725136000567/image_ptnfa3lnb93md0l6a037rp8a07/-FJPG/241072-001_DET_4.jpg;https://dd3ka9h4chfr8.cloudfront.net/image/725136000567/image_ppmosdirlh40tfvbd64jcdup6s/-FJPG/241072-001_DET_5.jpg;https://dd3ka9h4chfr8.cloudfront.net/image/725136000567/image_o8rreucfs13src1sjebg6lnp49/-FJPG/241072-001_DET_6.jpg;https://dd3ka9h4chfr8.cloudfront.net/image/725136000567/image_76bnj6ko1h0hf86o12rphusj31/-FJPG/241072-001_DET_7.jpg;https://dd3ka9h4chfr8.cloudfront.net/image/725136000567/image_pdr9h701tp3ob6iob335u8rt4c/-FJPG/241072-001_DET_9.tif;https://dd3ka9h4chfr8.cloudfront.net/image/725136000567/image_rkv695fb8h1lddjof6od545n37/-FJPG/241072-001_DET_10.tif;https://dd3ka9h4chfr8.cloudfront.net/image/725136000567/image_8d7ncotf6918bcjussabi78g2j/-FJPG/241072-001_ESS.tif</t>
  </si>
  <si>
    <t>241072-001</t>
  </si>
  <si>
    <t>https://dd3ka9h4chfr8.cloudfront.net/image/725136000567/image_ll7d6frq3h6uddjs2iu6hpef0b/-FJPG/241072-001_FRT_1.jpg</t>
  </si>
  <si>
    <t>Topped with a thick plank of solid oak, this extra-wide nightstand blends modern lines and warm character with two roomy drawers, slightly curved corners, and solid square legs. Seamless drawer fronts have a push-latch mechanism. Made from solid oak and veneer in a smoky black finish.</t>
  </si>
  <si>
    <t>Noeline Sideboard</t>
  </si>
  <si>
    <t>https://dd3ka9h4chfr8.cloudfront.net/image/725136000567/image_0ak51nof3h5ql3pn262c23ti5j/-FJPG/242725-005_FRT_1.jpg;https://dd3ka9h4chfr8.cloudfront.net/image/725136000567/image_lhs77l1gjd7ir3p6ni67e16e4j/-FJPG/242725-005_PRM_1.jpg;https://dd3ka9h4chfr8.cloudfront.net/image/725136000567/image_t3h486e6el3ev8c2akcup66i5k/-FJPG/242725-005_SID_1.jpg;https://dd3ka9h4chfr8.cloudfront.net/image/725136000567/image_2q3qka053p5lhafc1chvksor20/-FJPG/242725-005_DET_2.jpg;https://dd3ka9h4chfr8.cloudfront.net/image/725136000567/image_nggdhbmm1174h5vfcaevtf6j7l/-FJPG/242725-005_BCK_1.jpg;https://dd3ka9h4chfr8.cloudfront.net/image/725136000567/image_pp09cqq2p57k5dfs3891sgac3l/-FJPG/242725-005_DET_1.jpg;https://dd3ka9h4chfr8.cloudfront.net/image/725136000567/image_1ubot4f7ad2grbnta2sol1dv6l/-FJPG/242725-005_DET_3.jpg;https://dd3ka9h4chfr8.cloudfront.net/image/725136000567/image_pq9ek2la3h39fa5visg7slda2a/-FJPG/242725-005_OPN_1.jpg;https://dd3ka9h4chfr8.cloudfront.net/image/725136000567/image_smiea2pkdd721fk0o9gmfpkg1i/-FJPG/242725-005_TOP_1.jpg;https://dd3ka9h4chfr8.cloudfront.net/image/725136000567/image_usa3v122sp7134ml0bpqbk7928/-FJPG/242725-005_DET_4.jpg;https://dd3ka9h4chfr8.cloudfront.net/image/725136000567/image_3rpcuibr4h7in0cq7159me993g/-FJPG/242725-005_DET_5.jpg;https://dd3ka9h4chfr8.cloudfront.net/image/725136000567/image_i4bp81m4451rbaif0v9ih5e45a/-FJPG/242725-005_DET_6.jpg</t>
  </si>
  <si>
    <t>242725-005</t>
  </si>
  <si>
    <t>https://dd3ka9h4chfr8.cloudfront.net/image/725136000567/image_0ak51nof3h5ql3pn262c23ti5j/-FJPG/242725-005_FRT_1.jpg</t>
  </si>
  <si>
    <t>Made from resawn oak in a rustic black finish, a long, streamlined sideboard offers ample storage space behind four push-latch doors. Subtly rounded corners add softness to otherwise clean lines, while knots and graining offer a naturally rich look. Dual rear cutouts for seamless cord management.</t>
  </si>
  <si>
    <t>{"value":294.32,"unit":"lb"}</t>
  </si>
  <si>
    <t>22.68"</t>
  </si>
  <si>
    <t>44.51"</t>
  </si>
  <si>
    <t>5.83"</t>
  </si>
  <si>
    <t>22.66"</t>
  </si>
  <si>
    <t>Nolita Reverse Stitch Sofa</t>
  </si>
  <si>
    <t>https://dd3ka9h4chfr8.cloudfront.net/image/725136000567/image_os8kq7ufd53a3cimlcq36nq65i/-FJPG/CCAR-010W-307_FRT_1.jpg;https://dd3ka9h4chfr8.cloudfront.net/image/725136000567/image_dnvssk4f4t7cv9jssinpp27o5u/-FJPG/CCAR-010W-307_PRM_1.jpg;https://dd3ka9h4chfr8.cloudfront.net/image/725136000567/image_vmbe9ms2rt5kp3qq8m0ndgj92k/-FJPG/CCAR-010W-307_SID_1.jpg;https://dd3ka9h4chfr8.cloudfront.net/image/725136000567/image_o3u79sd3rp41b59a7abu5qbc24/-FJPG/CCAR-010W-307_ESS.tif;https://dd3ka9h4chfr8.cloudfront.net/image/725136000567/image_netsdc4d0p0jn40fea24v4b737/-FJPG/CCAR-010W-307_DET_2.jpg;https://dd3ka9h4chfr8.cloudfront.net/image/725136000567/image_0djh4hohi16ht8p4s1v2hbs36t/-FJPG/CCAR-010W-307_BCK_1.jpg;https://dd3ka9h4chfr8.cloudfront.net/image/725136000567/image_i9gna0hrnt1k76qg8pijkc9e1j/-FJPG/CCAR-010W-307_DET_1.jpg;https://dd3ka9h4chfr8.cloudfront.net/image/725136000567/image_1sb8cciglp7tndrcjddvva7c4r/-FJPG/CCAR-010W-307_DET_3.jpg;https://dd3ka9h4chfr8.cloudfront.net/image/725136000567/image_bkos83n9b921tal56dhqeakn4l/-FJPG/CCAR-010W-307_DET_4.jpg;https://dd3ka9h4chfr8.cloudfront.net/image/725136000567/image_rlubqh2mkt19pc8gnseefjjt0f/-FJPG/CCAR-010W-307_DET_5.jpg;https://dd3ka9h4chfr8.cloudfront.net/image/725136000567/image_illfalp5pt061cqdd6lncd0a6v/-FJPG/CCAR-010W-307_DET_6.jpg;https://dd3ka9h4chfr8.cloudfront.net/image/725136000567/image_e7ct8lk7n95dj68l1fu0q0f46h/-FJPG/CCAR-010W-307_ROM_1.jpg</t>
  </si>
  <si>
    <t>Natural Washed Sand</t>
  </si>
  <si>
    <t>CCAR-010W-307</t>
  </si>
  <si>
    <t>https://dd3ka9h4chfr8.cloudfront.net/image/725136000567/image_os8kq7ufd53a3cimlcq36nq65i/-FJPG/CCAR-010W-307_FRT_1.jpg</t>
  </si>
  <si>
    <t>99.25</t>
  </si>
  <si>
    <t>{"value":99.25,"unit":"in"}</t>
  </si>
  <si>
    <t>Sophisticated Italian styling with distinctly casual appeal. Top-grain leather takes on a natural sand color with contrast stitching along the welt.</t>
  </si>
  <si>
    <t>74.00"</t>
  </si>
  <si>
    <t>8-Way Hand Tie</t>
  </si>
  <si>
    <t>Nolita</t>
  </si>
  <si>
    <t>40.25"</t>
  </si>
  <si>
    <t>68% Polyurethane Foam Pad, 32% Polyester Fiber Batting</t>
  </si>
  <si>
    <t>Odessa End Table</t>
  </si>
  <si>
    <t>https://dd3ka9h4chfr8.cloudfront.net/image/725136000567/image_qrmejplae91m9bsimoqpqm8n4k/-FJPG/241387-001_FRT_1.jpg;https://dd3ka9h4chfr8.cloudfront.net/image/725136000567/image_s21k6ou2fh3g52chbirkv5rd7l/-FJPG/241387-001_PRM_1.jpg;https://dd3ka9h4chfr8.cloudfront.net/image/725136000567/image_0kvpv0f9q565n43g3310iokm3n/-FJPG/241387-001_SID_1.jpg;https://dd3ka9h4chfr8.cloudfront.net/image/725136000567/image_s9pv7dm0pp45tc4f04r4ed1j0j/-FJPG/241387-001_ESS.tif;https://dd3ka9h4chfr8.cloudfront.net/image/725136000567/image_5kjrdffra17bl4vjrsa4s3oq7e/-FJPG/241387-001_DET_2.jpg;https://dd3ka9h4chfr8.cloudfront.net/image/725136000567/image_1pe6p5r8gh3e5apflds69b2a3i/-FJPG/241387-001_BCK_1.jpg;https://dd3ka9h4chfr8.cloudfront.net/image/725136000567/image_mln02lc4fd6jba4a01bv09o77p/-FJPG/241387-001_DET_1.jpg;https://dd3ka9h4chfr8.cloudfront.net/image/725136000567/image_mfuq1g32tt0ql2tjn81nve6d4v/-FJPG/241387-001_DET_3.jpg;https://dd3ka9h4chfr8.cloudfront.net/image/725136000567/image_a1vqar550t1k91pul40d1ptr3l/-FJPG/241387-001_TOP_1.jpg;https://dd3ka9h4chfr8.cloudfront.net/image/725136000567/image_7qp09p884t5fl37k8lq81dcu62/-FJPG/241387-001_DET_4.jpg;https://dd3ka9h4chfr8.cloudfront.net/image/725136000567/image_36tgppt2lh4vf3clf1vb979s76/-FJPG/241387-001_DET_5.jpg;https://dd3ka9h4chfr8.cloudfront.net/image/725136000567/image_r04rntstkp4oh1h7j44fi57442/-FJPG/241387-001_DET_9.tif;https://dd3ka9h4chfr8.cloudfront.net/image/725136000567/image_fsnt54kjn94l5dimo5i9q0017k/-FJPG/FHMPRJ-013_SCENE_2.tif</t>
  </si>
  <si>
    <t>Distressed Bronze</t>
  </si>
  <si>
    <t>241387-001</t>
  </si>
  <si>
    <t>24.16</t>
  </si>
  <si>
    <t>https://dd3ka9h4chfr8.cloudfront.net/image/725136000567/image_qrmejplae91m9bsimoqpqm8n4k/-FJPG/241387-001_FRT_1.jpg</t>
  </si>
  <si>
    <t>Forged from cast iron with a distressed bronze patina finish. A sturdy pedestal base and rounded square top create a functional, industrial-inspired piece.</t>
  </si>
  <si>
    <t>{"value":31.88,"unit":"lb"}</t>
  </si>
  <si>
    <t>Odessa</t>
  </si>
  <si>
    <t>Olia Chair</t>
  </si>
  <si>
    <t>https://dd3ka9h4chfr8.cloudfront.net/image/725136000567/image_5p454s6qr53ed0s3v08ao26h2o/-FJPG/241851-002_FRT_1.JPG;https://dd3ka9h4chfr8.cloudfront.net/image/725136000567/image_u2ao5mga097rt10i7f8tvt9d6e/-FJPG/241851-002_PRM_1.JPG;https://dd3ka9h4chfr8.cloudfront.net/image/725136000567/image_b9csm8ofr90spb69mkd63vtk0q/-FJPG/241851-002_SID_1.JPG;https://dd3ka9h4chfr8.cloudfront.net/image/725136000567/image_lgtrb9o0h57btfspvilr5ame76/-FJPG/241851-002_ESS.tif;https://dd3ka9h4chfr8.cloudfront.net/image/725136000567/image_tocij0qct147b5ee8kj0ggu63f/-FJPG/241851-002_DET_2.JPG;https://dd3ka9h4chfr8.cloudfront.net/image/725136000567/image_vg556ijqm54in6rih71k41ek2u/-FJPG/241851-002_BCK_1.JPG;https://dd3ka9h4chfr8.cloudfront.net/image/725136000567/image_u303gh9ta965hf8olc9caujv7k/-FJPG/241851-002_DET_1.JPG;https://dd3ka9h4chfr8.cloudfront.net/image/725136000567/image_knig6mm5c56eh37bi2m2e8dp3t/-FJPG/241851-002_DET_3.JPG;https://dd3ka9h4chfr8.cloudfront.net/image/725136000567/image_irden04cjl6f3av0kisop0u67k/-FJPG/241851-002_DET_4.JPG;https://dd3ka9h4chfr8.cloudfront.net/image/725136000567/image_rmpesvbd8524b4ag3s3v7mo11d/-FJPG/241851-002_DET_5.JPG;https://dd3ka9h4chfr8.cloudfront.net/image/725136000567/image_fsnt54kjn94l5dimo5i9q0017k/-FJPG/FHMPRJ-013_SCENE_2.tif</t>
  </si>
  <si>
    <t>241851-002</t>
  </si>
  <si>
    <t>https://dd3ka9h4chfr8.cloudfront.net/image/725136000567/image_5p454s6qr53ed0s3v08ao26h2o/-FJPG/241851-002_FRT_1.JPG</t>
  </si>
  <si>
    <t>["Top Grain Leather","Solid Nettlewood"]</t>
  </si>
  <si>
    <t>Warm Nettlewood</t>
  </si>
  <si>
    <t>A pared-down frame gets a style upgrade with vintage-inspired wrapped arms. The chair's seat and back cushion appear to blend seamlessly into the arm rests for a comfortable, sleek take on seating. Upholstered in a thick-cut leather with natural graining throughout.</t>
  </si>
  <si>
    <t>{"value":73.85,"unit":"lb"}</t>
  </si>
  <si>
    <t>Olia</t>
  </si>
  <si>
    <t>Olson Chair</t>
  </si>
  <si>
    <t>https://dd3ka9h4chfr8.cloudfront.net/image/725136000567/image_qsm40vjdv15636c71u67i6ld1q/-FJPG/105771-007_FRT_1.jpg;https://dd3ka9h4chfr8.cloudfront.net/image/725136000567/image_nlo42pevg15lfbshl0430nqc15/-FJPG/105771-007_PRM_1.jpg;https://dd3ka9h4chfr8.cloudfront.net/image/725136000567/image_u4loahp63h4qfa1juvnambi40e/-FJPG/105771-007_SID_1.jpg;https://dd3ka9h4chfr8.cloudfront.net/image/725136000567/image_dcosa7f8gd6pjdor0c1sb9a06j/-FJPG/105771-007_DET_2.jpg;https://dd3ka9h4chfr8.cloudfront.net/image/725136000567/image_in2p278g896mnamgt866irjf6t/-FJPG/105771-007_BCK_1.jpg;https://dd3ka9h4chfr8.cloudfront.net/image/725136000567/image_diji8t3qr156330mova0suou66/-FJPG/105771-007_INF_1.jpg;https://dd3ka9h4chfr8.cloudfront.net/image/725136000567/image_r39lhu22kp3d53pu30rb2loc2k/-FJPG/105771-007_DET_1.jpg;https://dd3ka9h4chfr8.cloudfront.net/image/725136000567/image_t0sc4qoq4p0p314aqi8qm5h65k/-FJPG/105771-007_DET_3.jpg;https://dd3ka9h4chfr8.cloudfront.net/image/725136000567/image_m5ret7714p0al45i4dbepdcp00/-FJPG/105771-007_DET_4.jpg;https://dd3ka9h4chfr8.cloudfront.net/image/725136000567/image_r451bfahb57lv7ldq9gemavh77/-FJPG/105771-007_DET_5.jpg;https://dd3ka9h4chfr8.cloudfront.net/image/725136000567/image_fn5sq34p0h2rf4g8n057f42s0d/-FJPG/105771-007_DET_6.jpg;https://dd3ka9h4chfr8.cloudfront.net/image/725136000567/image_1g8841p3jt7r5evvgafb7cgd3m/-FJPG/105771-007_ROM_1.jpg</t>
  </si>
  <si>
    <t>Emerald Worn Velvet</t>
  </si>
  <si>
    <t>105771-007</t>
  </si>
  <si>
    <t>https://dd3ka9h4chfr8.cloudfront.net/image/725136000567/image_qsm40vjdv15636c71u67i6ld1q/-FJPG/105771-007_FRT_1.jpg</t>
  </si>
  <si>
    <t>A clean, sophisticated silhouette meets velvety emerald upholstery with side-arm cutouts, for a balanced look with a mid-century air. Tapered oak legs add a feminine finishing touch.</t>
  </si>
  <si>
    <t>Complete Item- L Shape Box H1=600mm H2=450mm</t>
  </si>
  <si>
    <t>50% Duck Feather, 30% Polyurethane Foam Pad, 20% Polyester Fiber</t>
  </si>
  <si>
    <t>Olson</t>
  </si>
  <si>
    <t>https://dd3ka9h4chfr8.cloudfront.net/image/725136000567/image_uudvao0c356nb3raa8vcurts09/-FJPG/105771-004_FRT_1.jpg;https://dd3ka9h4chfr8.cloudfront.net/image/725136000567/image_kukd53t3jd3dv58sv4joblub2q/-FJPG/105771-004_PRM_1.jpg;https://dd3ka9h4chfr8.cloudfront.net/image/725136000567/image_8a58la7al16vtfjvbdttso154b/-FJPG/105771-004_SID_1.jpg;https://dd3ka9h4chfr8.cloudfront.net/image/725136000567/image_rhujf9oprd1p90jagq0tpjjf6o/-FJPG/105771-004_DET_2.jpg;https://dd3ka9h4chfr8.cloudfront.net/image/725136000567/image_bsjr2l5ijt7nl6tqt7tff2ue1n/-FJPG/105771-004_BCK_1.jpg;https://dd3ka9h4chfr8.cloudfront.net/image/725136000567/image_079p89clet52l0s3rrq0nh1n1h/-FJPG/105771-004_DET_1.jpg;https://dd3ka9h4chfr8.cloudfront.net/image/725136000567/image_7ldmseg4tl2s95gdl9uaoad50j/-FJPG/105771-004_DET_3.jpg;https://dd3ka9h4chfr8.cloudfront.net/image/725136000567/image_p52ld74nn140l8q2hmmdivik1g/-FJPG/105771-004_DET_4.jpg</t>
  </si>
  <si>
    <t>105771-004</t>
  </si>
  <si>
    <t>https://dd3ka9h4chfr8.cloudfront.net/image/725136000567/image_uudvao0c356nb3raa8vcurts09/-FJPG/105771-004_FRT_1.jpg</t>
  </si>
  <si>
    <t>["Top Grain Leather","Solid Birch"]</t>
  </si>
  <si>
    <t>Pecan</t>
  </si>
  <si>
    <t>Olson Swivel Chair</t>
  </si>
  <si>
    <t>https://dd3ka9h4chfr8.cloudfront.net/image/725136000567/image_0fkkn6hdlt23t1um0j4ss0re3d/-FJPG/236092-001_FRT_1.jpg;https://dd3ka9h4chfr8.cloudfront.net/image/725136000567/image_8rb80922h912f8m40kp5v85v5t/-FJPG/236092-001_PRM_1.jpg;https://dd3ka9h4chfr8.cloudfront.net/image/725136000567/image_8hs1pr2fql2utbpbj6u1459d66/-FJPG/236092-001_SID_1.jpg;https://dd3ka9h4chfr8.cloudfront.net/image/725136000567/image_dfsru0hqmd51r3itoah7gjfo16/-FJPG/236092-001_ESS_1.jpg;https://dd3ka9h4chfr8.cloudfront.net/image/725136000567/image_9sbtt6es911q16te75j0h2g67h/-FJPG/236092-001_DET_2.jpg;https://dd3ka9h4chfr8.cloudfront.net/image/725136000567/image_ov3n4nb27174vdhv00hnam6g7u/-FJPG/236092-001_BCK_1.jpg;https://dd3ka9h4chfr8.cloudfront.net/image/725136000567/image_85dt342c0p4353k8jvvgq01h4l/-FJPG/236092-001_DET_1.jpg;https://dd3ka9h4chfr8.cloudfront.net/image/725136000567/image_66n1ndtkih3v55fmt13f75dm6i/-FJPG/236092-001_DET_3.jpg;https://dd3ka9h4chfr8.cloudfront.net/image/725136000567/image_i9am6nmc9t7c543cv08rodub37/-FJPG/236092-001_DET_4.jpg;https://dd3ka9h4chfr8.cloudfront.net/image/725136000567/image_eq30j5dpn905v7vrbd9oe2cb70/-FJPG/236092-001_DET_5.jpg;https://dd3ka9h4chfr8.cloudfront.net/image/725136000567/image_u3eqn22ps521310vo7i3o9uq3f/-FJPG/236092-001_DET_6.jpg</t>
  </si>
  <si>
    <t>236092-001</t>
  </si>
  <si>
    <t>https://dd3ka9h4chfr8.cloudfront.net/image/725136000567/image_0fkkn6hdlt23t1um0j4ss0re3d/-FJPG/236092-001_FRT_1.jpg</t>
  </si>
  <si>
    <t>Work some color into your mix with low, structured seating upholstered in an emerald performance fabric â€“ all atop a 360-degree swivel. Performance fabrics are specially created to withstand spills, stains, high traffic and wear, ensuring long-term comfort and unmatched durability.</t>
  </si>
  <si>
    <t>Complete Item, Bevel Box</t>
  </si>
  <si>
    <t>https://dd3ka9h4chfr8.cloudfront.net/image/725136000567/image_b4kur109u93j7cnglq8kurds1b/-FJPG/236092-003_FRT_1.jpg;https://dd3ka9h4chfr8.cloudfront.net/image/725136000567/image_mb12ag1b2h71vcr477b8igvf6i/-FJPG/236092-003_PRM_1.jpg;https://dd3ka9h4chfr8.cloudfront.net/image/725136000567/image_nvvf02qq4h5tb3s2hlgvei2o5o/-FJPG/236092-003_SID_1.jpg;https://dd3ka9h4chfr8.cloudfront.net/image/725136000567/image_rrpnebtr757o97702gkpd5er3r/-FJPG/236092-003_DET_2.jpg;https://dd3ka9h4chfr8.cloudfront.net/image/725136000567/image_7h55icsq055gf4j4fderftp86v/-FJPG/236092-003_BCK_1.jpg;https://dd3ka9h4chfr8.cloudfront.net/image/725136000567/image_jfi519b9vh5cv4tdv6ivhsf345/-FJPG/236092-003_DET_1.jpg;https://dd3ka9h4chfr8.cloudfront.net/image/725136000567/image_s12a3dll8978f6843ejmeb3208/-FJPG/236092-003_DET_3.jpg;https://dd3ka9h4chfr8.cloudfront.net/image/725136000567/image_rvhh77h8nl795act2c1u92an6k/-FJPG/236092-003_DET_4.jpg;https://dd3ka9h4chfr8.cloudfront.net/image/725136000567/image_goe7agtj3h7mh5i6mirbv4u24s/-FJPG/236092-003_DET_5.jpg</t>
  </si>
  <si>
    <t>236092-003</t>
  </si>
  <si>
    <t>https://dd3ka9h4chfr8.cloudfront.net/image/725136000567/image_b4kur109u93j7cnglq8kurds1b/-FJPG/236092-003_FRT_1.jpg</t>
  </si>
  <si>
    <t>Low, structured seating upholstered in black top-grain leather exclusive to Four Hands, atop a modern 360-degree swivel.</t>
  </si>
  <si>
    <t>https://dd3ka9h4chfr8.cloudfront.net/image/725136000567/image_00hgsan86l37hfp2qpo77bb63k/-FJPG/236092-004_FRT_1.jpg;https://dd3ka9h4chfr8.cloudfront.net/image/725136000567/image_5d2qqmmg657kt3c0457fuktj0j/-FJPG/236092-004_PRM_1.jpg;https://dd3ka9h4chfr8.cloudfront.net/image/725136000567/image_pogco6u3st6a5b182hd7m9ra2c/-FJPG/236092-004_SID_1.jpg;https://dd3ka9h4chfr8.cloudfront.net/image/725136000567/image_mu0eivei9p2bf2eaaqjvb65e7k/-FJPG/236092-004_ESS_1.jpg;https://dd3ka9h4chfr8.cloudfront.net/image/725136000567/image_d1ufnvb6ht7392bajjlvhpu81k/-FJPG/236092-004_DET_2.jpg;https://dd3ka9h4chfr8.cloudfront.net/image/725136000567/image_qfaf6k0pg51kddnog2isfgh051/-FJPG/236092-004_BCK_1.jpg;https://dd3ka9h4chfr8.cloudfront.net/image/725136000567/image_df6484sall581btn6jdrsc8s79/-FJPG/236092-004_DET_1.jpg;https://dd3ka9h4chfr8.cloudfront.net/image/725136000567/image_dpjq4ps2kp3v31mj3nfqv95e38/-FJPG/236092-004_DET_3.jpg;https://dd3ka9h4chfr8.cloudfront.net/image/725136000567/image_tku86j5dq529b6j1a1kptj163o/-FJPG/236092-004_DET_4.jpg;https://dd3ka9h4chfr8.cloudfront.net/image/725136000567/image_dfhqqb82v5575fpv1mupub1m1i/-FJPG/236092-004_DET_5.jpg;https://dd3ka9h4chfr8.cloudfront.net/image/725136000567/image_i077rcvoc11198dt0kg1t8uv26/-FJPG/236092-004_DET_6.jpg</t>
  </si>
  <si>
    <t>236092-004</t>
  </si>
  <si>
    <t>https://dd3ka9h4chfr8.cloudfront.net/image/725136000567/image_00hgsan86l37hfp2qpo77bb63k/-FJPG/236092-004_FRT_1.jpg</t>
  </si>
  <si>
    <t>Low, structured seating upholstered in butterscotch-finished top-grain leather atop a 360-degree swivel.</t>
  </si>
  <si>
    <t>Complete Item,L-Shaped Box</t>
  </si>
  <si>
    <t>Olympia Console Table</t>
  </si>
  <si>
    <t>https://dd3ka9h4chfr8.cloudfront.net/image/725136000567/image_d6uns13fah5d39qmqivgjaet6t/-FJPG/239441-001_FRT_1.jpg;https://dd3ka9h4chfr8.cloudfront.net/image/725136000567/image_egk25athqp4t3cdnipq0c52h20/-FJPG/239441-001_PRM_1.jpg;https://dd3ka9h4chfr8.cloudfront.net/image/725136000567/image_i2dv2bd2415o3difjejnq3503u/-FJPG/239441-001_SID_1.jpg;https://dd3ka9h4chfr8.cloudfront.net/image/725136000567/image_d5uftg2jd56p725brin1reg76c/-FJPG/239441-001_DET_2.jpg;https://dd3ka9h4chfr8.cloudfront.net/image/725136000567/image_dl4j11to0t0k506e93eskuoq4d/-FJPG/239441-001_DET_1.jpg;https://dd3ka9h4chfr8.cloudfront.net/image/725136000567/image_dfif5j2s5p23t3t73iofun9571/-FJPG/239441-001_DET_3.jpg;https://dd3ka9h4chfr8.cloudfront.net/image/725136000567/image_42f03bk8ep78n056mhhpj5p40e/-FJPG/239441-001_DET_4.jpg;https://dd3ka9h4chfr8.cloudfront.net/image/725136000567/image_2hhnv8rdgd06l7bo2svhmi1e1u/-FJPG/239441-001_DET_5.jpg;https://dd3ka9h4chfr8.cloudfront.net/image/725136000567/image_7ppjpivv356elavudoq2ju7u33/-FJPG/239441-001_DET_6.jpg;https://dd3ka9h4chfr8.cloudfront.net/image/725136000567/image_9fc2rnqi191nr9deni63vkql6o/-FJPG/239441-001_DET_9.tif;https://dd3ka9h4chfr8.cloudfront.net/image/725136000567/image_fbfsp640dh5ntb941i5pkqv54l/-FJPG/239441-001_DET_10.tif;https://dd3ka9h4chfr8.cloudfront.net/image/725136000567/image_famkqmi6n16071u7mbh7qoj10k/-FJPG/239441-001_ESS.tif</t>
  </si>
  <si>
    <t>White Carrara Marble</t>
  </si>
  <si>
    <t>239441-001</t>
  </si>
  <si>
    <t>https://dd3ka9h4chfr8.cloudfront.net/image/725136000567/image_d6uns13fah5d39qmqivgjaet6t/-FJPG/239441-001_FRT_1.jpg</t>
  </si>
  <si>
    <t>["Solid Carrara","Thick Oak Veneer"]</t>
  </si>
  <si>
    <t>Structured and geometric, an open-style console table pairs smoked oak veneer with white marble, for a sophisticated material mix.</t>
  </si>
  <si>
    <t>{"value":93.11,"unit":"in"}</t>
  </si>
  <si>
    <t>{"value":8.46,"unit":"in"}</t>
  </si>
  <si>
    <t>{"value":76.18,"unit":"in"}</t>
  </si>
  <si>
    <t>Olympia</t>
  </si>
  <si>
    <t>25.71"</t>
  </si>
  <si>
    <t>59.21"</t>
  </si>
  <si>
    <t>28.86"</t>
  </si>
  <si>
    <t>Oman Console Table</t>
  </si>
  <si>
    <t>https://dd3ka9h4chfr8.cloudfront.net/image/725136000567/image_oo26skkeu146tfnaf63t0k4o57/-FJPG/244501-001_FRT_1.jpg;https://dd3ka9h4chfr8.cloudfront.net/image/725136000567/image_lnau7p131t08p7gcpanq0v4i14/-FJPG/244501-001_PRM_1.jpg;https://dd3ka9h4chfr8.cloudfront.net/image/725136000567/image_l5r3lhsmb50jpc64omb4qhh801/-FJPG/244501-001_SID_1.jpg;https://dd3ka9h4chfr8.cloudfront.net/image/725136000567/image_rgoj6c2ej11hl43hgfeppdm07h/-FJPG/244501-001_ESS.tif;https://dd3ka9h4chfr8.cloudfront.net/image/725136000567/image_lsijtqouqp40f6d378brdub67g/-FJPG/244501-001_DET_2.jpg;https://dd3ka9h4chfr8.cloudfront.net/image/725136000567/image_mlh9hh7g8d4n3a6c6flq155k4g/-FJPG/244501-001_DET_1.jpg;https://dd3ka9h4chfr8.cloudfront.net/image/725136000567/image_j6avah4ob975j0icoauhbk072i/-FJPG/244501-001_DET_3.jpg;https://dd3ka9h4chfr8.cloudfront.net/image/725136000567/image_apd1fm11g95k58gjluc100ki68/-FJPG/244501-001_TOP_1.jpg;https://dd3ka9h4chfr8.cloudfront.net/image/725136000567/image_f3u3t7k5ft2in6lgfvjlphro62/-FJPG/244501-001_DET_4.jpg</t>
  </si>
  <si>
    <t>Rustic Black Veneer</t>
  </si>
  <si>
    <t>244501-001</t>
  </si>
  <si>
    <t>https://dd3ka9h4chfr8.cloudfront.net/image/725136000567/image_oo26skkeu146tfnaf63t0k4o57/-FJPG/244501-001_FRT_1.jpg</t>
  </si>
  <si>
    <t>["Oak Veneer","Solid Ash"]</t>
  </si>
  <si>
    <t>The traditional console table gets elevated with accent stretchers that bring a float-like look to simple shaping. Made from ash and oak, with a rustic black oak finish.</t>
  </si>
  <si>
    <t>Oman</t>
  </si>
  <si>
    <t>71.14"</t>
  </si>
  <si>
    <t>3.05"</t>
  </si>
  <si>
    <t>30.51"</t>
  </si>
  <si>
    <t>Oman Dining Table</t>
  </si>
  <si>
    <t>https://dd3ka9h4chfr8.cloudfront.net/image/725136000567/image_uqmi9mv7hh6pbf69ggvqjiv16m/-FJPG/248794-001_FRT_1.jpg;https://dd3ka9h4chfr8.cloudfront.net/image/725136000567/image_8thp5tlaa94dl7pmfnjd1opl3r/-FJPG/248794-001_PRM_1.jpg;https://dd3ka9h4chfr8.cloudfront.net/image/725136000567/image_ijtb0v9qhp3sp93hgbsii0ia6f/-FJPG/248794-001_SID_1.jpg;https://dd3ka9h4chfr8.cloudfront.net/image/725136000567/image_oi6pa2l1u10kt8oc8uml3duk7n/-FJPG/248794-001_ESS_1.tif;https://dd3ka9h4chfr8.cloudfront.net/image/725136000567/image_kldpliv68d6crdr098i578d76c/-FJPG/248794-001_DET_2.jpg;https://dd3ka9h4chfr8.cloudfront.net/image/725136000567/image_op9vactm2d5ercd82qchpq9a29/-FJPG/248794-001_DET_1.jpg;https://dd3ka9h4chfr8.cloudfront.net/image/725136000567/image_bcgs95jpep45tdnpu3s8nsnm5v/-FJPG/248794-001_DET_3.jpg;https://dd3ka9h4chfr8.cloudfront.net/image/725136000567/image_1hljn456cd38t22ffim81puj70/-FJPG/248794-001_TOP_1.jpg;https://dd3ka9h4chfr8.cloudfront.net/image/725136000567/image_00bc834fsl50h8ks6n1uoemd1a/-FJPG/248794-001_DET_4.jpg;https://dd3ka9h4chfr8.cloudfront.net/image/725136000567/image_cl295mluv57n75v5sbdop46k7d/-FJPG/248794-001_DET_5.jpg;https://dd3ka9h4chfr8.cloudfront.net/image/725136000567/image_k4tvetbpad54d1uen7rqtf8m4c/-FJPG/FHMPRJ-018_SCENE_1.tif</t>
  </si>
  <si>
    <t>248794-001</t>
  </si>
  <si>
    <t>https://dd3ka9h4chfr8.cloudfront.net/image/725136000567/image_uqmi9mv7hh6pbf69ggvqjiv16m/-FJPG/248794-001_FRT_1.jpg</t>
  </si>
  <si>
    <t>The timeless Parsons table is reimagined, with a rustic black finish and unique relief detail between the tabletop and apron.</t>
  </si>
  <si>
    <t>1 Table</t>
  </si>
  <si>
    <t>{"value":102.95,"unit":"in"}</t>
  </si>
  <si>
    <t>{"value":46.65,"unit":"in"}</t>
  </si>
  <si>
    <t>26.34"</t>
  </si>
  <si>
    <t>34.13"</t>
  </si>
  <si>
    <t>88.11"</t>
  </si>
  <si>
    <t>3.56"</t>
  </si>
  <si>
    <t>Ophelia Armoire</t>
  </si>
  <si>
    <t>https://dd3ka9h4chfr8.cloudfront.net/image/725136000567/image_b8nt3hgsg14u3fpcb5mhi6lg05/-FJPG/230842-001_FRT_1.jpg;https://dd3ka9h4chfr8.cloudfront.net/image/725136000567/image_alvddr5qht4ltd9k4kmluab93r/-FJPG/230842-001_PRM_1.jpg;https://dd3ka9h4chfr8.cloudfront.net/image/725136000567/image_80bq3v5jkh0unb9qartrk9jb3i/-FJPG/230842-001_SID_1.jpg;https://dd3ka9h4chfr8.cloudfront.net/image/725136000567/image_5b33bvq5r514v4g9l9k4nepe7f/-FJPG/230842-001_ESS_1.jpg;https://dd3ka9h4chfr8.cloudfront.net/image/725136000567/image_hf57f2a7t52rn7o423gj32dv28/-FJPG/230842-001_DET_2.jpg;https://dd3ka9h4chfr8.cloudfront.net/image/725136000567/image_q3eo3jqqg12gt9vpga1jcua749/-FJPG/230842-001_BCK_1.jpg;https://dd3ka9h4chfr8.cloudfront.net/image/725136000567/image_h78k6ver490nl19ekuv0q8no5f/-FJPG/230842-001_DET_1.jpg;https://dd3ka9h4chfr8.cloudfront.net/image/725136000567/image_9lau1r12dt76f5u8sfp8vv442v/-FJPG/230842-001_DET_3.jpg;https://dd3ka9h4chfr8.cloudfront.net/image/725136000567/image_n4159fklvl00v5jtaf8qs0lu19/-FJPG/230842-001_OPN_1.jpg;https://dd3ka9h4chfr8.cloudfront.net/image/725136000567/image_0ss1uuaimh2tjbk1731pqusv4q/-FJPG/230842-001_DET_4.jpg;https://dd3ka9h4chfr8.cloudfront.net/image/725136000567/image_nsrvncmqkt1tnaf4en48kbn10k/-FJPG/230842-001_DET_5.jpg;https://dd3ka9h4chfr8.cloudfront.net/image/725136000567/image_8455h25o692it3iuifrvpet502/-FJPG/230842-001_DET_6.jpg</t>
  </si>
  <si>
    <t>230842-001</t>
  </si>
  <si>
    <t>226.3</t>
  </si>
  <si>
    <t>https://dd3ka9h4chfr8.cloudfront.net/image/725136000567/image_b8nt3hgsg14u3fpcb5mhi6lg05/-FJPG/230842-001_FRT_1.jpg</t>
  </si>
  <si>
    <t>Make space for style. A large, storage-minded armoire is made from solid mango and finished in an aged brown, reminiscent of European antiques. Interior iron rod for hanging garments plus roomy drawers for out-of-sight storage. This item has been modified to comply with the STURDY Act. See a full list of modified products and data changes in the â€œSTURDY Actâ€_x009d_ file in the Downloads section below.</t>
  </si>
  <si>
    <t>{"value":260.55,"unit":"lb"}</t>
  </si>
  <si>
    <t>42.25"</t>
  </si>
  <si>
    <t>38.25"</t>
  </si>
  <si>
    <t>Ophelia</t>
  </si>
  <si>
    <t>43.13"</t>
  </si>
  <si>
    <t>59.13"</t>
  </si>
  <si>
    <t>Ortega Wine Rack</t>
  </si>
  <si>
    <t>https://dd3ka9h4chfr8.cloudfront.net/image/725136000567/image_l43srui6ml6uh3bc0kt24okg7i/-FJPG/225199-001_FRT_1.jpg;https://dd3ka9h4chfr8.cloudfront.net/image/725136000567/image_2kthhffb610krfqh60ft9a5g4f/-FJPG/225199-001_PRM_1.jpg;https://dd3ka9h4chfr8.cloudfront.net/image/725136000567/image_qqj463nkrl251ennaehro13v62/-FJPG/225199-001_DET_2.jpg;https://dd3ka9h4chfr8.cloudfront.net/image/725136000567/image_ki1tsgmdgd5ffdj8se60ajir3m/-FJPG/225199-001_DET_1.jpg;https://dd3ka9h4chfr8.cloudfront.net/image/725136000567/image_jto60c392l7ap7041h1qj7t41v/-FJPG/225199-001_DET_3.jpg;https://dd3ka9h4chfr8.cloudfront.net/image/725136000567/image_fidrig65r10cl6gbhlf4njqc24/-FJPG/225199-001_DET_4.jpg;https://dd3ka9h4chfr8.cloudfront.net/image/725136000567/image_6d28t3qu8965194qi2k3a69p48/-FJPG/225199-001_DET_5.jpg;https://dd3ka9h4chfr8.cloudfront.net/image/725136000567/image_biurj5j2v55ff3gf29er78br0k/-FJPG/225199-001_DET_6.jpg;https://dd3ka9h4chfr8.cloudfront.net/image/725136000567/image_cjjec7rp0p6khfrpleei1fsh2s/-FJPG/225199-001_DET_7.jpg;https://dd3ka9h4chfr8.cloudfront.net/image/725136000567/image_7ki54uji9p1kfcdtl3ag9jfh13/-FJPG/225199-001_FRT_2.jpg;https://dd3ka9h4chfr8.cloudfront.net/image/725136000567/image_vdq3fab12t57158pg7tmlbqo3t/-FJPG/225199-001_PRM_2.jpg;https://dd3ka9h4chfr8.cloudfront.net/image/725136000567/image_fs3jikau6h2c14a6cl8v81t653/-FJPG/225199-001_FRT_3.jpg</t>
  </si>
  <si>
    <t>Smoked Mango</t>
  </si>
  <si>
    <t>225199-001</t>
  </si>
  <si>
    <t>88.31</t>
  </si>
  <si>
    <t>https://dd3ka9h4chfr8.cloudfront.net/image/725136000567/image_l43srui6ml6uh3bc0kt24okg7i/-FJPG/225199-001_FRT_1.jpg</t>
  </si>
  <si>
    <t>6.5</t>
  </si>
  <si>
    <t>Solid smoked mango shapes a stately, wall-mountable wine rack, with gunmetal-finished iron piping ready to store up to 24 bottles of wine.</t>
  </si>
  <si>
    <t>{"value":115,"unit":"lb"}</t>
  </si>
  <si>
    <t>Ortega</t>
  </si>
  <si>
    <t>Orwin Wide Bookshelf</t>
  </si>
  <si>
    <t>https://dd3ka9h4chfr8.cloudfront.net/image/725136000567/image_77sm9l6vq131teb2a6q9o2of6l/-FJPG/245453-001_FRT_1.jpg;https://dd3ka9h4chfr8.cloudfront.net/image/725136000567/image_an8qkupen946d2jogdrvje8e0k/-FJPG/245453-001_PRM_1.jpg;https://dd3ka9h4chfr8.cloudfront.net/image/725136000567/image_t8tsoja1g50a3cr3v3v46dss59/-FJPG/245453-001_SID_1.jpg;https://dd3ka9h4chfr8.cloudfront.net/image/725136000567/image_lru1egqmm131naen19l8819e58/-FJPG/245543-001_ESS.tif;https://dd3ka9h4chfr8.cloudfront.net/image/725136000567/image_2hvbkhoubd1gj5kpresutc1v0p/-FJPG/245453-001_DET_2.jpg;https://dd3ka9h4chfr8.cloudfront.net/image/725136000567/image_oc0fntlvg96p97t3v5hasp272j/-FJPG/245453-001_DET_1.jpg;https://dd3ka9h4chfr8.cloudfront.net/image/725136000567/image_88dug5kmj11ad320hi6bb36i5n/-FJPG/245453-001_DET_3.jpg;https://dd3ka9h4chfr8.cloudfront.net/image/725136000567/image_6hfudhvpdp35refuqvth7oj25s/-FJPG/245453-001_OPN_1.jpg;https://dd3ka9h4chfr8.cloudfront.net/image/725136000567/image_5td56t2t5l2a700n9kl9d4k95v/-FJPG/245453-001_DET_4.jpg;https://dd3ka9h4chfr8.cloudfront.net/image/725136000567/image_mlv3tgb41d56t0at0tdpcl7u26/-FJPG/245453-001_DET_5.jpg;https://dd3ka9h4chfr8.cloudfront.net/image/725136000567/image_ft3amhjrod53j161vp5n6b8k07/-FJPG/245453-001_DET_6.jpg</t>
  </si>
  <si>
    <t>245453-001</t>
  </si>
  <si>
    <t>326.28</t>
  </si>
  <si>
    <t>https://dd3ka9h4chfr8.cloudfront.net/image/725136000567/image_77sm9l6vq131teb2a6q9o2of6l/-FJPG/245453-001_FRT_1.jpg</t>
  </si>
  <si>
    <t>A stunner from every angle. Crafted from a mix of solid oak and thick oak veneer, this overscale bookcase features chamfered edges along the shelves and angled outer legs for lots of movement. Finished in a smoked black oak.</t>
  </si>
  <si>
    <t>{"value":89.76,"unit":"in"}</t>
  </si>
  <si>
    <t>{"value":455.25,"unit":"lb"}</t>
  </si>
  <si>
    <t>Orwin</t>
  </si>
  <si>
    <t>19.84"</t>
  </si>
  <si>
    <t>https://dd3ka9h4chfr8.cloudfront.net/image/725136000567/image_0j6abu72sp01742435ecitc02p/-FJPG/245453-002_FRT_1.jpg;https://dd3ka9h4chfr8.cloudfront.net/image/725136000567/image_7r5p5ocu457o39cpg0edqtrv10/-FJPG/245453-002_PRM_1.jpg;https://dd3ka9h4chfr8.cloudfront.net/image/725136000567/image_q500eunlpt1vddmb33hmfv4q35/-FJPG/245453-002_SID_1.jpg;https://dd3ka9h4chfr8.cloudfront.net/image/725136000567/image_b3kcc90o1h40ncckm2tl69bc14/-FJPG/245453-002_ESS.tif;https://dd3ka9h4chfr8.cloudfront.net/image/725136000567/image_fa5hfanq61711878ni9dqoal4d/-FJPG/245453-002_DET_2.jpg;https://dd3ka9h4chfr8.cloudfront.net/image/725136000567/image_ddf0angrbd6sp9jtel0kthj476/-FJPG/245453-002_BCK_1.jpg;https://dd3ka9h4chfr8.cloudfront.net/image/725136000567/image_ee10q4uhe56mr2gu188tl1384r/-FJPG/245453-002_DET_1.jpg;https://dd3ka9h4chfr8.cloudfront.net/image/725136000567/image_pv28a1djht351apc06ef6jm75g/-FJPG/245453-002_DET_3.jpg;https://dd3ka9h4chfr8.cloudfront.net/image/725136000567/image_mkmer4o43l43r9era4i36b8n5p/-FJPG/245453-002_OPN_1.jpg;https://dd3ka9h4chfr8.cloudfront.net/image/725136000567/image_kuegpcbuhl5jh9frsstp187l4k/-FJPG/245453-002_DET_4.jpg;https://dd3ka9h4chfr8.cloudfront.net/image/725136000567/image_nvgqdgjqv56hjcasd4mppu4m6h/-FJPG/245453-002_DET_9.tif;https://dd3ka9h4chfr8.cloudfront.net/image/725136000567/image_82mqj3g8216qrdr2lih9vepe63/-FJPG/245453-002_OPN_2.jpg</t>
  </si>
  <si>
    <t>245453-002</t>
  </si>
  <si>
    <t>https://dd3ka9h4chfr8.cloudfront.net/image/725136000567/image_0j6abu72sp01742435ecitc02p/-FJPG/245453-002_FRT_1.jpg</t>
  </si>
  <si>
    <t>A stunner from every angle. Crafted from a mix of natural solid oak and thick oak veneer, this overscale bookcase features chamfered edges along the shelves and angled outer legs for lots of movement.</t>
  </si>
  <si>
    <t>Otto Dining Table</t>
  </si>
  <si>
    <t>https://dd3ka9h4chfr8.cloudfront.net/image/725136000567/image_673gpmcb3l60bd7pfi7mlhhl25/-FJPG/100391-005_FRT_1.jpg;https://dd3ka9h4chfr8.cloudfront.net/image/725136000567/image_sso23qhg1t0rh7sr5a73ke812q/-FJPG/100391-005_PRM_1.jpg;https://dd3ka9h4chfr8.cloudfront.net/image/725136000567/image_8to3cfr04h77r4il7epeeput1h/-FJPG/100391-005_SID_1.jpg;https://dd3ka9h4chfr8.cloudfront.net/image/725136000567/image_n9tk9u25k54plahsi4jbgfb70c/-FJPG/100391-005_DET_2.jpg;https://dd3ka9h4chfr8.cloudfront.net/image/725136000567/image_641p4jo31t20dech0tg73ot251/-FJPG/100391-005_DET_1.jpg;https://dd3ka9h4chfr8.cloudfront.net/image/725136000567/image_3em03pen393efa77hu52i8l450/-FJPG/100391-005_DET_3.jpg;https://dd3ka9h4chfr8.cloudfront.net/image/725136000567/image_8qnvlo0fmp1dvc70bk4r8bhq07/-FJPG/100391-005_DET_4.jpg;https://dd3ka9h4chfr8.cloudfront.net/image/725136000567/image_drg6ju7ijt2v16c9r4uk7u2r4p/-FJPG/100391-005_DET_5.jpg;https://dd3ka9h4chfr8.cloudfront.net/image/725136000567/image_k3ts3vbt811f51dstosabdoc1e/-FJPG/100391-005_DET_6.jpg;https://dd3ka9h4chfr8.cloudfront.net/image/725136000567/image_rnnn4ki8fp3rbds1g5q5d4m50b/-FJPG/100391-005_DET_7.jpg</t>
  </si>
  <si>
    <t>100391-005</t>
  </si>
  <si>
    <t>https://dd3ka9h4chfr8.cloudfront.net/image/725136000567/image_673gpmcb3l60bd7pfi7mlhhl25/-FJPG/100391-005_FRT_1.jpg</t>
  </si>
  <si>
    <t>Bring a traditional sense to the table. Finished in a classic black, a trestle-style base of solid pine supports a rectangular pine top, for a subtly rustic look with natural depth.</t>
  </si>
  <si>
    <t>Onediningtable</t>
  </si>
  <si>
    <t>{"value":91.73,"unit":"in"}</t>
  </si>
  <si>
    <t>{"value":8.86,"unit":"in"}</t>
  </si>
  <si>
    <t>{"value":186.29,"unit":"lb"}</t>
  </si>
  <si>
    <t>Otto</t>
  </si>
  <si>
    <t>27.91"</t>
  </si>
  <si>
    <t>58.58"</t>
  </si>
  <si>
    <t>31.34"</t>
  </si>
  <si>
    <t>https://dd3ka9h4chfr8.cloudfront.net/image/725136000567/image_aupuum69o95u910csf6ns68c0d/-FJPG/100393-005_FRT_1.jpg;https://dd3ka9h4chfr8.cloudfront.net/image/725136000567/image_jdurglcc014kv9mc5vtr37qn23/-FJPG/100393-005_PRM_1.jpg;https://dd3ka9h4chfr8.cloudfront.net/image/725136000567/image_kfke1soqup2or837opi2vsck55/-FJPG/100393-005_SID_1.jpg;https://dd3ka9h4chfr8.cloudfront.net/image/725136000567/image_7ltovkau1h7fj7jt0fjnmpd73i/-FJPG/100393-005_DET_2.jpg;https://dd3ka9h4chfr8.cloudfront.net/image/725136000567/image_ilj722ihkp02j4b350umsgga22/-FJPG/100393-005_DET_1.jpg;https://dd3ka9h4chfr8.cloudfront.net/image/725136000567/image_8g1uo03l991gta3ebdh904vk2d/-FJPG/100393-005_DET_3.jpg;https://dd3ka9h4chfr8.cloudfront.net/image/725136000567/image_os0krp65a13bv4o8tvhcv0g531/-FJPG/100393-005_DET_4.jpg;https://dd3ka9h4chfr8.cloudfront.net/image/725136000567/image_lr36nhmdut2g13mn5circjt650/-FJPG/100393-005_DET_5.jpg;https://dd3ka9h4chfr8.cloudfront.net/image/725136000567/image_eo0gm3i4i13of63i5513r3k80f/-FJPG/100393-005_DET_6.jpg;https://dd3ka9h4chfr8.cloudfront.net/image/725136000567/image_lpr5guig3l4b31vn0g5cdqgo54/-FJPG/100393-005_DET_7.jpg</t>
  </si>
  <si>
    <t>110</t>
  </si>
  <si>
    <t>100393-005</t>
  </si>
  <si>
    <t>https://dd3ka9h4chfr8.cloudfront.net/image/725136000567/image_aupuum69o95u910csf6ns68c0d/-FJPG/100393-005_FRT_1.jpg</t>
  </si>
  <si>
    <t>{"value":110,"unit":"in"}</t>
  </si>
  <si>
    <t>Bring a traditional sense to the table. Finished in a classic black, a trestle-style base of solid pine supports a rectangular pine top, for a subtly rustic look with plenty of space to gather.</t>
  </si>
  <si>
    <t>{"value":115.16,"unit":"in"}</t>
  </si>
  <si>
    <t>{"value":238.1,"unit":"lb"}</t>
  </si>
  <si>
    <t>81.97"</t>
  </si>
  <si>
    <t>87.95"</t>
  </si>
  <si>
    <t>https://dd3ka9h4chfr8.cloudfront.net/image/725136000567/image_sehjt6l1nl68ra3mpc9orlml3m/-FJPG/100391-003_FRT_1.jpg;https://dd3ka9h4chfr8.cloudfront.net/image/725136000567/image_75tuth8tqt4jh1j6cg423der76/-FJPG/100391-003_PRM_1.jpg;https://dd3ka9h4chfr8.cloudfront.net/image/725136000567/image_8u51eth76t7it256irivcaeb63/-FJPG/100391-003_SID_1.jpg;https://dd3ka9h4chfr8.cloudfront.net/image/725136000567/image_km8pjnsmvp23l9vsela6o1hp3l/-FJPG/100391-003_ESS_1.jpg;https://dd3ka9h4chfr8.cloudfront.net/image/725136000567/image_u03qq8d4j112jacmd8945ki95j/-FJPG/100391-003_DET_2.jpg;https://dd3ka9h4chfr8.cloudfront.net/image/725136000567/image_okcqshpaop6dp97dqv7i9pq461/-FJPG/100391-003_DET_1.jpg;https://dd3ka9h4chfr8.cloudfront.net/image/725136000567/image_d1bq85ono53n715q96l5d7c52v/-FJPG/100391-003_DET_3.jpg;https://dd3ka9h4chfr8.cloudfront.net/image/725136000567/image_92ghlunt3p2179tjudcc11tb1j/-FJPG/100391-003_GRP_1.jpg;https://dd3ka9h4chfr8.cloudfront.net/image/725136000567/image_digct5ag391mfc56f0r5te6u2v/-FJPG/100391-003_DET_4.jpg;https://dd3ka9h4chfr8.cloudfront.net/image/725136000567/image_srj5f9prvh60j47tt2fo7d4325/-FJPG/100391-003_DET_5.jpg;https://dd3ka9h4chfr8.cloudfront.net/image/725136000567/image_627ehn9a7h3i7eaamugdpip207/-FJPG/100391-003_DET_6.jpg;https://dd3ka9h4chfr8.cloudfront.net/image/725136000567/image_as8jj1fs8t5bh8et6fcf5aa83u/-FJPG/100391-003_DET_7.jpg</t>
  </si>
  <si>
    <t>100391-003</t>
  </si>
  <si>
    <t>https://dd3ka9h4chfr8.cloudfront.net/image/725136000567/image_sehjt6l1nl68ra3mpc9orlml3m/-FJPG/100391-003_FRT_1.jpg</t>
  </si>
  <si>
    <t>Bring a traditional sense to the table. Finished in a warm honey hue, a trestle-style base of solid pine supports a rectangular top of pine, waxed and bleached for a rustic look with natural depth. Mix in seating or pair with matching bench.</t>
  </si>
  <si>
    <t>https://dd3ka9h4chfr8.cloudfront.net/image/725136000567/image_ldks37u45t69nb9eht1cfpc54m/-FJPG/100393-003_FRT_1.jpg;https://dd3ka9h4chfr8.cloudfront.net/image/725136000567/image_9bn4i0s7l13opbhfcc06s2e73u/-FJPG/100393-003_PRM_1.jpg;https://dd3ka9h4chfr8.cloudfront.net/image/725136000567/image_k40q9vtbvh42d9aiukua1u407i/-FJPG/100393-003_SID_1.jpg;https://dd3ka9h4chfr8.cloudfront.net/image/725136000567/image_6c56n119792sb7n8brnm9t7v3q/-FJPG/100393-003_ESS_1.jpg;https://dd3ka9h4chfr8.cloudfront.net/image/725136000567/image_16513ua60h76r3lrt175l4t61k/-FJPG/100393-003_DET_2.jpg;https://dd3ka9h4chfr8.cloudfront.net/image/725136000567/image_qfod361st90th2nvk4mkge6j0t/-FJPG/100393-003_DET_1.jpg;https://dd3ka9h4chfr8.cloudfront.net/image/725136000567/image_tcjt7s9tid5odb8c0uogv3at74/-FJPG/100393-003_DET_3.jpg;https://dd3ka9h4chfr8.cloudfront.net/image/725136000567/image_kqoc2q2o3d5en3t7sj6elqer66/-FJPG/100393-003_DET_4.jpg;https://dd3ka9h4chfr8.cloudfront.net/image/725136000567/image_vg0379ht7d4j912uhtcug5k91l/-FJPG/100393-003_DET_5.jpg;https://dd3ka9h4chfr8.cloudfront.net/image/725136000567/image_kuisnv969p399cfv2o9u0sr977/-FJPG/100393-003_DET_6.jpg;https://dd3ka9h4chfr8.cloudfront.net/image/725136000567/image_6p9ed50usp1ipa1scvh0simn7s/-FJPG/100393-003_DET_7.jpg</t>
  </si>
  <si>
    <t>100393-003</t>
  </si>
  <si>
    <t>https://dd3ka9h4chfr8.cloudfront.net/image/725136000567/image_ldks37u45t69nb9eht1cfpc54m/-FJPG/100393-003_FRT_1.jpg</t>
  </si>
  <si>
    <t>Oxford Accent Stool</t>
  </si>
  <si>
    <t>https://dd3ka9h4chfr8.cloudfront.net/image/725136000567/image_9cs7nfo0nl7mb3livbkjj13q1i/-FJPG/CIRD-144_FRT_1.jpg;https://dd3ka9h4chfr8.cloudfront.net/image/725136000567/image_2ubneoprnp4h3fqid6gdmoar5d/-FJPG/CIRD-144_PRM_1.jpg;https://dd3ka9h4chfr8.cloudfront.net/image/725136000567/image_s3lnj2ecql5lr0kb3dilvfog3p/-FJPG/CIRD-144_SID_1.jpg;https://dd3ka9h4chfr8.cloudfront.net/image/725136000567/image_44529nu1d53udcg34fr409mg39/-FJPG/CIRD-144_DET_2.jpg;https://dd3ka9h4chfr8.cloudfront.net/image/725136000567/image_ef5m5us1915cpau0lu49ua982k/-FJPG/CIRD-144_DET_1.jpg;https://dd3ka9h4chfr8.cloudfront.net/image/725136000567/image_62vplkj42t74f8ladn8lj8lm7j/-FJPG/CIRD-144_DET_3.jpg;https://dd3ka9h4chfr8.cloudfront.net/image/725136000567/image_gcoctiaa8p4lv2vdj5ojrea524/-FJPG/CIRD-144_GRP_1.jpg;https://dd3ka9h4chfr8.cloudfront.net/image/725136000567/image_er1pcvfuct4036ia7jb28p8s25/-FJPG/CIRD-144_DET_4.jpg</t>
  </si>
  <si>
    <t>CIRD-144</t>
  </si>
  <si>
    <t>18.52</t>
  </si>
  <si>
    <t>https://dd3ka9h4chfr8.cloudfront.net/image/725136000567/image_9cs7nfo0nl7mb3livbkjj13q1i/-FJPG/CIRD-144_FRT_1.jpg</t>
  </si>
  <si>
    <t>Traditional library style meets modern sensibilities. Blind-tufted, top-grain leather tops float inside an antique brass Parsons base with cage-like detailing.</t>
  </si>
  <si>
    <t>{"value":27.12,"unit":"lb"}</t>
  </si>
  <si>
    <t>97% Polyurethane Foam Pad, 3% Polyester Fiber Batting</t>
  </si>
  <si>
    <t>Oxford</t>
  </si>
  <si>
    <t>Oxford Bench</t>
  </si>
  <si>
    <t>https://dd3ka9h4chfr8.cloudfront.net/image/725136000567/image_arg6jd86et15tagoq6agsqj41k/-FJPG/105857-007_FRT_1.jpg;https://dd3ka9h4chfr8.cloudfront.net/image/725136000567/image_hop8fa42hh6ajepaalsmmnhv64/-FJPG/105857-007_PRM_1.jpg;https://dd3ka9h4chfr8.cloudfront.net/image/725136000567/image_3gf801ie6d0atf2jijnp1drq08/-FJPG/105857-007_SID_1.jpg;https://dd3ka9h4chfr8.cloudfront.net/image/725136000567/image_3m1sfn1r010n72o8bh4u19gs5q/-FJPG/105857-007_DET_2.jpg;https://dd3ka9h4chfr8.cloudfront.net/image/725136000567/image_k3vgf6dobt2kf93lntmsao395s/-FJPG/105857-007_DET_1.jpg;https://dd3ka9h4chfr8.cloudfront.net/image/725136000567/image_3llu5dv5nt2jr8os9vlvm4c45q/-FJPG/105857-007_DET_3.jpg;https://dd3ka9h4chfr8.cloudfront.net/image/725136000567/image_tfcu9nfopp0rr06jpd8b2cc83v/-FJPG/105857-007_DET_4.jpg;https://dd3ka9h4chfr8.cloudfront.net/image/725136000567/image_t659k0jfn95n51iinvcb29cd31/-FJPG/105857-007_ROM_1.jpg;https://dd3ka9h4chfr8.cloudfront.net/image/725136000567/image_rr7ng93ru509pekchvtvhd4m0l/-FJPG/105857-007_VIG_1.jpg</t>
  </si>
  <si>
    <t>105857-007</t>
  </si>
  <si>
    <t>https://dd3ka9h4chfr8.cloudfront.net/image/725136000567/image_arg6jd86et15tagoq6agsqj41k/-FJPG/105857-007_FRT_1.jpg</t>
  </si>
  <si>
    <t>Traditional library style meets modern sensibilities. Blind-tufted, top-grain leather floats inside an antique brass Parsons base with cage-like detailing.</t>
  </si>
  <si>
    <t>{"value":36.82,"unit":"lb"}</t>
  </si>
  <si>
    <t>Oxford Small Coffee Table</t>
  </si>
  <si>
    <t>https://dd3ka9h4chfr8.cloudfront.net/image/725136000567/image_r85ic9bmnh2k3fm1kblq1iua2b/-FJPG/CIRD-158_FRT_1.jpg;https://dd3ka9h4chfr8.cloudfront.net/image/725136000567/image_otgccqredl6i9eallij13uj557/-FJPG/CIRD-158_PRM_1.jpg;https://dd3ka9h4chfr8.cloudfront.net/image/725136000567/image_c1os1j8me54vpe17i1v164576r/-FJPG/CIRD-158_SID_1.jpg;https://dd3ka9h4chfr8.cloudfront.net/image/725136000567/image_9ul9sl8hcd5ij0nrhemgbr0908/-FJPG/CIRD-158_DET_2.jpg;https://dd3ka9h4chfr8.cloudfront.net/image/725136000567/image_s1dkh05jcd44323m0evgf7gq2n/-FJPG/CIRD-158_DET_1.jpg;https://dd3ka9h4chfr8.cloudfront.net/image/725136000567/image_f0rj8gc25t1df3d0gplhdtr05n/-FJPG/CIRD-158_DET_3.jpg</t>
  </si>
  <si>
    <t>CIRD-158</t>
  </si>
  <si>
    <t>51.59</t>
  </si>
  <si>
    <t>https://dd3ka9h4chfr8.cloudfront.net/image/725136000567/image_r85ic9bmnh2k3fm1kblq1iua2b/-FJPG/CIRD-158_FRT_1.jpg</t>
  </si>
  <si>
    <t>32.09"</t>
  </si>
  <si>
    <t>Paden Coffee Table</t>
  </si>
  <si>
    <t>https://dd3ka9h4chfr8.cloudfront.net/image/725136000567/image_tda7ap2jr91pn8qjtfgsbdha2g/-FJPG/227801-005_FRT_1.jpg;https://dd3ka9h4chfr8.cloudfront.net/image/725136000567/image_esnnrbmg6d3o76m9o191hb9j1l/-FJPG/227801-005_PRM_1.jpg;https://dd3ka9h4chfr8.cloudfront.net/image/725136000567/image_g2k95hisr925jfti6f8e1mnj1f/-FJPG/227801-005_SID_1.jpg;https://dd3ka9h4chfr8.cloudfront.net/image/725136000567/image_qilal1v1bt25p3qo7tc2vhab26/-FJPG/227801-005_ESS_1.jpg;https://dd3ka9h4chfr8.cloudfront.net/image/725136000567/image_hude86lsrh4df865j4pifiuu5o/-FJPG/227801-005_DET_2.jpg;https://dd3ka9h4chfr8.cloudfront.net/image/725136000567/image_d3bput8q4l5ln2ocbnfabr5o7q/-FJPG/227801-005_DET_1.jpg;https://dd3ka9h4chfr8.cloudfront.net/image/725136000567/image_0h9bqinhid68r97mhb6oqvmb71/-FJPG/227801-005_DET_3.jpg;https://dd3ka9h4chfr8.cloudfront.net/image/725136000567/image_0cl0fr5es96fp9qjkpg79lsi76/-FJPG/227801-005_DET_4.jpg;https://dd3ka9h4chfr8.cloudfront.net/image/725136000567/image_l4eh0h673549921dan49mkda6d/-FJPG/227801-005_DET_5.jpg</t>
  </si>
  <si>
    <t>Aged Black Acacia</t>
  </si>
  <si>
    <t>227801-005</t>
  </si>
  <si>
    <t>https://dd3ka9h4chfr8.cloudfront.net/image/725136000567/image_tda7ap2jr91pn8qjtfgsbdha2g/-FJPG/227801-005_FRT_1.jpg</t>
  </si>
  <si>
    <t>["Acacia Veneer","Solid Acacia"]</t>
  </si>
  <si>
    <t>Aged Black Acacia Solid</t>
  </si>
  <si>
    <t>A study in shape. Black acacia forms crescent-shaped legs and sprawling oval tabletop, bringing organic presence to the living room.</t>
  </si>
  <si>
    <t>{"value":37.48,"unit":"lb"}</t>
  </si>
  <si>
    <t>Paden</t>
  </si>
  <si>
    <t>https://dd3ka9h4chfr8.cloudfront.net/image/725136000567/image_5316n8mfmp20f40lo6tr4evm6b/-FJPG/236151-002_FRT_1.jpg;https://dd3ka9h4chfr8.cloudfront.net/image/725136000567/image_22bmv9onvd6o34mok6on7d9969/-FJPG/236151-002_PRM_1.jpg;https://dd3ka9h4chfr8.cloudfront.net/image/725136000567/image_r9hkv6soi92d153gk0rv2oj527/-FJPG/236151-002_SID_1.jpg;https://dd3ka9h4chfr8.cloudfront.net/image/725136000567/image_ogujj9934d6tv0ik2qebqv9s7l/-FJPG/236151-002_DET_2.jpg;https://dd3ka9h4chfr8.cloudfront.net/image/725136000567/image_808inckg5h67j237qvnjlln80q/-FJPG/236151-002_DET_1.jpg;https://dd3ka9h4chfr8.cloudfront.net/image/725136000567/image_23jr5lp7mh0ajbdte0q9lrg659/-FJPG/236151-002_DET_3.jpg;https://dd3ka9h4chfr8.cloudfront.net/image/725136000567/image_242919e1u13c916sv34md03i7p/-FJPG/236151-002_DET_4.jpg;https://dd3ka9h4chfr8.cloudfront.net/image/725136000567/image_c7fvbqsjfl2m3anh9oftf13c2r/-FJPG/236151-002_DET_5.jpg;https://dd3ka9h4chfr8.cloudfront.net/image/725136000567/image_4t4bvp07hl07hfna2kc5qgjm3t/-FJPG/236151-002_ESS.tif;https://dd3ka9h4chfr8.cloudfront.net/image/725136000567/image_hh66b8tq9p4tb5f58ng7ufqp3h/-FJPG/236151-002_ESS_9.tif</t>
  </si>
  <si>
    <t>236151-002</t>
  </si>
  <si>
    <t>https://dd3ka9h4chfr8.cloudfront.net/image/725136000567/image_5316n8mfmp20f40lo6tr4evm6b/-FJPG/236151-002_FRT_1.jpg</t>
  </si>
  <si>
    <t>{"value":38.7,"unit":"in"}</t>
  </si>
  <si>
    <t>24.06"</t>
  </si>
  <si>
    <t>https://dd3ka9h4chfr8.cloudfront.net/image/725136000567/image_80mqc23kn10k7f9sffh5ii5u48/-FJPG/227801-002_FRT_1.jpg;https://dd3ka9h4chfr8.cloudfront.net/image/725136000567/image_mroa0vimpp6s91rdngntrklm52/-FJPG/227801-002_PRM_1.jpg;https://dd3ka9h4chfr8.cloudfront.net/image/725136000567/image_28jv2m5rk92ctegb7e99plsd7q/-FJPG/227801-002_SID_1.jpg;https://dd3ka9h4chfr8.cloudfront.net/image/725136000567/image_a6rqmdjhl12pfbikr2bp1tql4n/-FJPG/227801-002_ESS_1.jpg;https://dd3ka9h4chfr8.cloudfront.net/image/725136000567/image_c5ieq8u72l6a774d3mnealse2u/-FJPG/227801-002_DET_2.jpg;https://dd3ka9h4chfr8.cloudfront.net/image/725136000567/image_8cfjkpgd4l5kl7npgftg5fh262/-FJPG/227801-002_DET_1.jpg;https://dd3ka9h4chfr8.cloudfront.net/image/725136000567/image_2jbi85ovpt7qt4rbspne2k8v0i/-FJPG/227801-002_DET_3.jpg;https://dd3ka9h4chfr8.cloudfront.net/image/725136000567/image_qqbjjghegd4qt18gi224i1dp31/-FJPG/227801-002_DET_4.jpg;https://dd3ka9h4chfr8.cloudfront.net/image/725136000567/image_un3pjors3l7vj0vglhu5iu756b/-FJPG/227801-002_DET_5.jpg</t>
  </si>
  <si>
    <t>Sandy Acacia</t>
  </si>
  <si>
    <t>227801-002</t>
  </si>
  <si>
    <t>https://dd3ka9h4chfr8.cloudfront.net/image/725136000567/image_80mqc23kn10k7f9sffh5ii5u48/-FJPG/227801-002_FRT_1.jpg</t>
  </si>
  <si>
    <t>Sandy Acacia Solid</t>
  </si>
  <si>
    <t>A study in shape. Sandy brown acacia forms crescent-shaped legs and sprawling oval tabletop, bringing organic presence to the living room.</t>
  </si>
  <si>
    <t>https://dd3ka9h4chfr8.cloudfront.net/image/725136000567/image_pav99a2aud5m953831cj8v666k/-FJPG/227801-001_FRT_1.jpg;https://dd3ka9h4chfr8.cloudfront.net/image/725136000567/image_l2ribkamlh0dnfcqie4tgrgf5o/-FJPG/227801-001_PRM_1.jpg;https://dd3ka9h4chfr8.cloudfront.net/image/725136000567/image_j03ns0cnc53t52dk1hsuc80038/-FJPG/227801-001_SID_1.jpg;https://dd3ka9h4chfr8.cloudfront.net/image/725136000567/image_ag1u77cnjt79h9pim99o7det1g/-FJPG/227801-001_ESS_1.jpg;https://dd3ka9h4chfr8.cloudfront.net/image/725136000567/image_vvbui23tv57758h7gif8vds72k/-FJPG/227801-001_DET_2.jpg;https://dd3ka9h4chfr8.cloudfront.net/image/725136000567/image_h243ngvf6d0on61gcfehkjcc6n/-FJPG/227801-001_DET_1.jpg;https://dd3ka9h4chfr8.cloudfront.net/image/725136000567/image_i9rhd2p3ip17l0l9kgjc78gt4n/-FJPG/227801-001_DET_3.jpg;https://dd3ka9h4chfr8.cloudfront.net/image/725136000567/image_f2u9hq7tjh1qra5bjrvj5dt318/-FJPG/227801-001_DET_4.jpg;https://dd3ka9h4chfr8.cloudfront.net/image/725136000567/image_v9ckl2q9i165ta26qrge56fm04/-FJPG/227801-001_DET_5.jpg</t>
  </si>
  <si>
    <t>Seasoned Brown Acacia</t>
  </si>
  <si>
    <t>227801-001</t>
  </si>
  <si>
    <t>https://dd3ka9h4chfr8.cloudfront.net/image/725136000567/image_pav99a2aud5m953831cj8v666k/-FJPG/227801-001_FRT_1.jpg</t>
  </si>
  <si>
    <t>Seasoned Brown Acacia Solid</t>
  </si>
  <si>
    <t>A study in shape. Solid brown acacia forms crescent-shaped legs and sprawling oval tabletop, bringing organic presence to the living room.</t>
  </si>
  <si>
    <t>https://dd3ka9h4chfr8.cloudfront.net/image/725136000567/image_lkl68qqdjh69p0fco6e49atj29/-FJPG/236151-001_FRT_1.jpg;https://dd3ka9h4chfr8.cloudfront.net/image/725136000567/image_p761o3kf6t7qp71n6mk8uhil4i/-FJPG/236151-001_PRM_1.jpg;https://dd3ka9h4chfr8.cloudfront.net/image/725136000567/image_8h64j2amd17rt8jhlc43mcgg50/-FJPG/236151-001_SID_1.jpg;https://dd3ka9h4chfr8.cloudfront.net/image/725136000567/image_msj4rpglft5j1etl1g2kd2lr1o/-FJPG/236151-001_DET_2.jpg;https://dd3ka9h4chfr8.cloudfront.net/image/725136000567/image_19hp4j7t617hl6bg60otguf63r/-FJPG/236151-001_DET_1.jpg;https://dd3ka9h4chfr8.cloudfront.net/image/725136000567/image_nca3l6i42p0dvdsrjvm6i7tu5b/-FJPG/236151-001_DET_3.jpg;https://dd3ka9h4chfr8.cloudfront.net/image/725136000567/image_ri868vnt397h1clk9hi3mia25d/-FJPG/236151-001_DET_4.jpg;https://dd3ka9h4chfr8.cloudfront.net/image/725136000567/image_9qro0qhqqh5q76cs3ng30p5e6j/-FJPG/236151-001_DET_5.jpg;https://dd3ka9h4chfr8.cloudfront.net/image/725136000567/image_18cefugvh914pfm2vcfggmcl14/-FJPG/236151-001_DET_6.jpg</t>
  </si>
  <si>
    <t>236151-001</t>
  </si>
  <si>
    <t>https://dd3ka9h4chfr8.cloudfront.net/image/725136000567/image_lkl68qqdjh69p0fco6e49atj29/-FJPG/236151-001_FRT_1.jpg</t>
  </si>
  <si>
    <t>A study in shape. Seasoned brown acacia forms the crescent-shaped legs and round tabletop of this coffee table, bringing organic presence to the living room.</t>
  </si>
  <si>
    <t>https://dd3ka9h4chfr8.cloudfront.net/image/725136000567/image_49frt8j7k56uh9364n0banl20e/-FJPG/227801-009_FRT_1.jpg;https://dd3ka9h4chfr8.cloudfront.net/image/725136000567/image_uq0djjbgol7tt5212kqs020u3r/-FJPG/227801-009_PRM_1.jpg;https://dd3ka9h4chfr8.cloudfront.net/image/725136000567/image_4h0m86r5gd6h7dch9ijll6dl33/-FJPG/227801-009_SID_1.jpg;https://dd3ka9h4chfr8.cloudfront.net/image/725136000567/image_6man8tslbl4mlc721es6rqnl4d/-FJPG/227801-009_DET_2.jpg;https://dd3ka9h4chfr8.cloudfront.net/image/725136000567/image_rujfbocg1l5512q90a4pvs7344/-FJPG/227801-009_DET_1.jpg;https://dd3ka9h4chfr8.cloudfront.net/image/725136000567/image_bo22c7df5l6vrfno6tdojfil3n/-FJPG/227801-009_DET_3.jpg;https://dd3ka9h4chfr8.cloudfront.net/image/725136000567/image_ulm7ph0gn93in5lruuhglvs36p/-FJPG/227801-009_TOP_1.jpg;https://dd3ka9h4chfr8.cloudfront.net/image/725136000567/image_vtiai6j8c95ahb2k3fdv629p6n/-FJPG/227801-009_DET_4.jpg;https://dd3ka9h4chfr8.cloudfront.net/image/725136000567/image_sn9km2cmll42f9po1sq6fju75l/-FJPG/227801-009_DET_5.jpg</t>
  </si>
  <si>
    <t>227801-009</t>
  </si>
  <si>
    <t>https://dd3ka9h4chfr8.cloudfront.net/image/725136000567/image_49frt8j7k56uh9364n0banl20e/-FJPG/227801-009_FRT_1.jpg</t>
  </si>
  <si>
    <t>Light, natural oak forms the crescent-shaped legs and round tabletop of this coffee table, bringing organic presence to the living room.</t>
  </si>
  <si>
    <t>{"value":51.81,"unit":"lb"}</t>
  </si>
  <si>
    <t>https://dd3ka9h4chfr8.cloudfront.net/image/725136000567/image_lbkri5iaa51vv2kdg1fmmav91g/-FJPG/236151-004_FRT_1.jpg;https://dd3ka9h4chfr8.cloudfront.net/image/725136000567/image_92i0hpd2t10v1dg85aolbe6o2a/-FJPG/236151-004_PRM_1.jpg;https://dd3ka9h4chfr8.cloudfront.net/image/725136000567/image_op268590857hr9le6khjrnoq4n/-FJPG/236151-004_SID_1.jpg;https://dd3ka9h4chfr8.cloudfront.net/image/725136000567/image_s6ogl13aqp13veqq2ic9qsh50t/-FJPG/236151-004_DET_2.jpg;https://dd3ka9h4chfr8.cloudfront.net/image/725136000567/image_asnphrpes52l3c6npvghuu3903/-FJPG/236151-004_DET_1.jpg;https://dd3ka9h4chfr8.cloudfront.net/image/725136000567/image_djf0cfr60t405ealt28qgq3o16/-FJPG/236151-004_DET_3.jpg;https://dd3ka9h4chfr8.cloudfront.net/image/725136000567/image_c6l957fs1h2hfdrm7vdbivfm0e/-FJPG/236151-004_TOP_1.jpg;https://dd3ka9h4chfr8.cloudfront.net/image/725136000567/image_es7r4uaiit1ht5d1965jcvru2c/-FJPG/236151-004_DET_4.jpg;https://dd3ka9h4chfr8.cloudfront.net/image/725136000567/image_fpggm162b9729flgt0lqu6k84g/-FJPG/236151-004_DET_5.jpg</t>
  </si>
  <si>
    <t>236151-004</t>
  </si>
  <si>
    <t>94.8</t>
  </si>
  <si>
    <t>https://dd3ka9h4chfr8.cloudfront.net/image/725136000567/image_lbkri5iaa51vv2kdg1fmmav91g/-FJPG/236151-004_FRT_1.jpg</t>
  </si>
  <si>
    <t>Worn oak forms the crescent-shaped legs and large, oval tabletop of this console table, bringing a light, organic look to the living room, media space or entryway.</t>
  </si>
  <si>
    <t>Paden Desk</t>
  </si>
  <si>
    <t>https://dd3ka9h4chfr8.cloudfront.net/image/725136000567/image_iu8bcb0h1l5rv8n392mcik2b53/-FJPG/248413-002_FRT_1.jpg;https://dd3ka9h4chfr8.cloudfront.net/image/725136000567/image_8gnqe787kl38b3akkck7dl850s/-FJPG/248413-002_PRM_1.jpg;https://dd3ka9h4chfr8.cloudfront.net/image/725136000567/image_ap7rocc6ml70dffj8li5unaa4v/-FJPG/248413-002_SID_1.jpg;https://dd3ka9h4chfr8.cloudfront.net/image/725136000567/image_o1u1sqngj557n8djm36bflou5c/-FJPG/248413-002_ESS.tif;https://dd3ka9h4chfr8.cloudfront.net/image/725136000567/image_t3figjrud90lhbp4bvfb3o5p43/-FJPG/248413-002_DET_2.jpg;https://dd3ka9h4chfr8.cloudfront.net/image/725136000567/image_hjrenpcmn96rjb890i5isiu540/-FJPG/248413-002_DET_1.jpg;https://dd3ka9h4chfr8.cloudfront.net/image/725136000567/image_c2dpdu53mh6pn92t26c7tekp12/-FJPG/248413-002_DET_3.jpg;https://dd3ka9h4chfr8.cloudfront.net/image/725136000567/image_eka2forjhd7dvaspi8pols357s/-FJPG/248413-002_TOP_1.jpg;https://dd3ka9h4chfr8.cloudfront.net/image/725136000567/image_b6tuhbk4a14dfa9b3v8vpd254u/-FJPG/248413-002_DET_4.jpg;https://dd3ka9h4chfr8.cloudfront.net/image/725136000567/image_ff32rcfvvt4v1655psgh7scv1q/-FJPG/248413-002_DET_5.jpg;https://dd3ka9h4chfr8.cloudfront.net/image/725136000567/image_u4qtamt2nh0ih6k8h8rsdg6q0f/-FJPG/248413-002_DET_9.tif</t>
  </si>
  <si>
    <t>248413-002</t>
  </si>
  <si>
    <t>https://dd3ka9h4chfr8.cloudfront.net/image/725136000567/image_iu8bcb0h1l5rv8n392mcik2b53/-FJPG/248413-002_FRT_1.jpg</t>
  </si>
  <si>
    <t>Aged black acacia forms crescent-shaped legs and a long oval tabletop, bringing a fluid feel to your office setup.</t>
  </si>
  <si>
    <t>Box 1: Top</t>
  </si>
  <si>
    <t>Box 2: Legs</t>
  </si>
  <si>
    <t>https://dd3ka9h4chfr8.cloudfront.net/image/725136000567/image_9vj5bdntid61b6oo1gingb7r28/-FJPG/248413-004_FRT_1.jpg;https://dd3ka9h4chfr8.cloudfront.net/image/725136000567/image_7nv1v20ihl55b6gkl47duss17v/-FJPG/248413-004_PRM_1.jpg;https://dd3ka9h4chfr8.cloudfront.net/image/725136000567/image_bvl831n7pp09v7kb8motdhfe41/-FJPG/248413-004_SID_1.jpg;https://dd3ka9h4chfr8.cloudfront.net/image/725136000567/image_4ms25sptg93q73evvo9u6cbq7v/-FJPG/248413-004_ESS.tif;https://dd3ka9h4chfr8.cloudfront.net/image/725136000567/image_uothic13995npf6j0ne5di947j/-FJPG/248413-004_DET_2.jpg;https://dd3ka9h4chfr8.cloudfront.net/image/725136000567/image_vl5jdjki755fj3nn1vqdhfgj1m/-FJPG/248413-004_BCK_1.jpg;https://dd3ka9h4chfr8.cloudfront.net/image/725136000567/image_6im42sovqd1h9e7l7nlpnskd3e/-FJPG/248413-004_DET_1.jpg;https://dd3ka9h4chfr8.cloudfront.net/image/725136000567/image_6usen4lihh7j78hsa8qpri5h3b/-FJPG/248413-004_DET_3.jpg;https://dd3ka9h4chfr8.cloudfront.net/image/725136000567/image_b34b3tfest2939b0rbp95lah2n/-FJPG/248413-004_TOP_1.jpg;https://dd3ka9h4chfr8.cloudfront.net/image/725136000567/image_isnqfma7810r598oktgp5uvr26/-FJPG/248413-004_DET_4.jpg;https://dd3ka9h4chfr8.cloudfront.net/image/725136000567/image_n2lmgr945h5e11k4f3e0kshf2c/-FJPG/248413-004_DET_5.jpg;https://dd3ka9h4chfr8.cloudfront.net/image/725136000567/image_fb4aosmn997ub1m3ecuqk11b5b/-FJPG/248413-004_DET_6.jpg;https://dd3ka9h4chfr8.cloudfront.net/image/725136000567/image_4d73ghfcrd7015f0rbdrfmm65l/-FJPG/248413-004_DET_7.jpg;https://dd3ka9h4chfr8.cloudfront.net/image/725136000567/image_ep85vg3mgl6phc02f3f93c5n16/-FJPG/248413-004_DET_8.jpg;https://dd3ka9h4chfr8.cloudfront.net/image/725136000567/image_ii6hfen34d17de4gmv66drgv1e/-FJPG/248413-004_DET_9.tif;https://dd3ka9h4chfr8.cloudfront.net/image/725136000567/image_8i0k9qf3pl1pj2seqtur5qja7d/-FJPG/248413-004_DET_10.tif</t>
  </si>
  <si>
    <t>248413-004</t>
  </si>
  <si>
    <t>106.92</t>
  </si>
  <si>
    <t>https://dd3ka9h4chfr8.cloudfront.net/image/725136000567/image_9vj5bdntid61b6oo1gingb7r28/-FJPG/248413-004_FRT_1.jpg</t>
  </si>
  <si>
    <t>Light, worn oak forms crescent-shaped legs and a long oval tabletop, bringing a fluid feel to your office setup.</t>
  </si>
  <si>
    <t>Paden Dining Table</t>
  </si>
  <si>
    <t>https://dd3ka9h4chfr8.cloudfront.net/image/725136000567/image_c6nt5hd0t15b36jsc8nhqnrv4b/-FJPG/105188-004_FRT_1.jpg;https://dd3ka9h4chfr8.cloudfront.net/image/725136000567/image_ubrd16sl6l6jf9qu2893j1mv79/-FJPG/105188-004_PRM_1.jpg;https://dd3ka9h4chfr8.cloudfront.net/image/725136000567/image_eca8ajlr5l0ld26jc9kvp08s29/-FJPG/105188-004_SID_1.jpg;https://dd3ka9h4chfr8.cloudfront.net/image/725136000567/image_5d04eq80f54hfd852qk3k1hr5e/-FJPG/105188-004_ESS.tif;https://dd3ka9h4chfr8.cloudfront.net/image/725136000567/image_2uvngslocl4p70iktgfkkad43n/-FJPG/105188-004_DET_2.jpg;https://dd3ka9h4chfr8.cloudfront.net/image/725136000567/image_eq8pnmsr114f347kj4rjvbhh6k/-FJPG/105188-004_DET_1.jpg;https://dd3ka9h4chfr8.cloudfront.net/image/725136000567/image_qq9v430oml6cr3oduhl57gvd0f/-FJPG/105188-004_DET_3.jpg;https://dd3ka9h4chfr8.cloudfront.net/image/725136000567/image_ifblb6q6i12q37p1npjugnin02/-FJPG/105188-004_DET_4.jpg;https://dd3ka9h4chfr8.cloudfront.net/image/725136000567/image_h4k63bna8527h848go3itr1p3p/-FJPG/105188-004_DET_5.jpg;https://dd3ka9h4chfr8.cloudfront.net/image/725136000567/image_5piglol58h08r8kajpa4r9rv78/-FJPG/105188-004_ESS.tif</t>
  </si>
  <si>
    <t>105188-004</t>
  </si>
  <si>
    <t>139.33</t>
  </si>
  <si>
    <t>https://dd3ka9h4chfr8.cloudfront.net/image/725136000567/image_c6nt5hd0t15b36jsc8nhqnrv4b/-FJPG/105188-004_FRT_1.jpg</t>
  </si>
  <si>
    <t>A study in shape. Solid black acacia forms crescent legs and a sprawling oval-shaped tabletop, bringing organic presence to the dining room. Seats 8â€“10 people.</t>
  </si>
  <si>
    <t>{"value":46.26,"unit":"in"}</t>
  </si>
  <si>
    <t>46.02"</t>
  </si>
  <si>
    <t>https://dd3ka9h4chfr8.cloudfront.net/image/725136000567/image_uvp3gs0fd53ah4djrgnqpb3s33/-FJPG/242354-007_FRT_1.jpg;https://dd3ka9h4chfr8.cloudfront.net/image/725136000567/image_ar1d8ipe292tf9hqg2jatgnv76/-FJPG/242354-007_PRM_1.jpg;https://dd3ka9h4chfr8.cloudfront.net/image/725136000567/image_d5u23abold23t6a4u543s3047j/-FJPG/242354-007_SID_1.jpg;https://dd3ka9h4chfr8.cloudfront.net/image/725136000567/image_5usp2d08hp6l511m4hn45tc036/-FJPG/242354-007_DET_2.jpg;https://dd3ka9h4chfr8.cloudfront.net/image/725136000567/image_p8pll78t953h53lu94ukngi73e/-FJPG/242354-007_DET_1.jpg;https://dd3ka9h4chfr8.cloudfront.net/image/725136000567/image_t75k0kj1v15mtd8ig021cabu60/-FJPG/242354-007_DET_3.jpg;https://dd3ka9h4chfr8.cloudfront.net/image/725136000567/image_2g9fuu4ga15tjbnlskiiuic711/-FJPG/242354-007_TOP_1.jpg;https://dd3ka9h4chfr8.cloudfront.net/image/725136000567/image_g6bthfscv548lerd289659bu6i/-FJPG/242354-007_DET_4.jpg;https://dd3ka9h4chfr8.cloudfront.net/image/725136000567/image_tm6jmhqcgd2e12fv7bod08ic7k/-FJPG/242354-007_DET_5.jpg;https://dd3ka9h4chfr8.cloudfront.net/image/725136000567/image_l22fdk68752e17f5moeomm5h42/-FJPG/242354-007_DET_6.jpg</t>
  </si>
  <si>
    <t>242354-007</t>
  </si>
  <si>
    <t>173.06</t>
  </si>
  <si>
    <t>https://dd3ka9h4chfr8.cloudfront.net/image/725136000567/image_uvp3gs0fd53ah4djrgnqpb3s33/-FJPG/242354-007_FRT_1.jpg</t>
  </si>
  <si>
    <t>A study in shape. Solid black acacia forms crescent legs and a sprawling oval-shaped tabletop, bringing organic presence to the dining room.</t>
  </si>
  <si>
    <t>Table Top</t>
  </si>
  <si>
    <t>{"value":123.23,"unit":"in"}</t>
  </si>
  <si>
    <t>67.99"</t>
  </si>
  <si>
    <t>15.06"</t>
  </si>
  <si>
    <t>https://dd3ka9h4chfr8.cloudfront.net/image/725136000567/image_5fovd2o9id5pvbkd4amh41jj4a/-FJPG/105188-002_FRT_1.jpg;https://dd3ka9h4chfr8.cloudfront.net/image/725136000567/image_p0tvuoeu6t5s72c5ikn5c1mc4u/-FJPG/105188-002_PRM_1.jpg;https://dd3ka9h4chfr8.cloudfront.net/image/725136000567/image_ufql1iumnh1qrb35bi6fat2j27/-FJPG/105188-002_SID_1.jpg;https://dd3ka9h4chfr8.cloudfront.net/image/725136000567/image_1asjlutki91od1dco26mc7oe39/-FJPG/105188-002_ESS_1.jpg;https://dd3ka9h4chfr8.cloudfront.net/image/725136000567/image_rphbd05ict2ib1nbobj8796g02/-FJPG/105188-002_DET_2.jpg;https://dd3ka9h4chfr8.cloudfront.net/image/725136000567/image_3l5h2k3dc51djf3tvfeofa434d/-FJPG/105188-002_DET_1.jpg;https://dd3ka9h4chfr8.cloudfront.net/image/725136000567/image_045qldrcgl1h94ltrhkrpnrl4j/-FJPG/105188-002_DET_3.jpg;https://dd3ka9h4chfr8.cloudfront.net/image/725136000567/image_uti6le7o5l60151i77km1j9k1q/-FJPG/105188-002_DET_4.jpg;https://dd3ka9h4chfr8.cloudfront.net/image/725136000567/image_isb56elc2157976didqoufp81j/-FJPG/105188-002_DET_5.jpg;https://dd3ka9h4chfr8.cloudfront.net/image/725136000567/image_2dfb346cnl5077vqkus43k975p/-FJPG/105188-002_DET_7.jpg</t>
  </si>
  <si>
    <t>105188-002</t>
  </si>
  <si>
    <t>https://dd3ka9h4chfr8.cloudfront.net/image/725136000567/image_5fovd2o9id5pvbkd4amh41jj4a/-FJPG/105188-002_FRT_1.jpg</t>
  </si>
  <si>
    <t>A study in shape. Sand-colored acacia forms crescent-shaped legs and a sprawling oval tabletop, bringing grand, organic-infused presence to the dining room.</t>
  </si>
  <si>
    <t>https://dd3ka9h4chfr8.cloudfront.net/image/725136000567/image_7nkvv1mm2t7kjbqaggh8ou2m1d/-FJPG/242354-006_FRT_1.jpg;https://dd3ka9h4chfr8.cloudfront.net/image/725136000567/image_i1vr63ql250ad4n9qnnckr7d4g/-FJPG/242354-006_PRM_1.jpg;https://dd3ka9h4chfr8.cloudfront.net/image/725136000567/image_vtvcnfdet12sf88281ot463p2i/-FJPG/242354-006_SID_1.jpg;https://dd3ka9h4chfr8.cloudfront.net/image/725136000567/image_5b7jp3g6vl65jbbi7mtajf7j6l/-FJPG/242354-006_DET_2.jpg;https://dd3ka9h4chfr8.cloudfront.net/image/725136000567/image_n6g6v8d4qp37v3i8c1hnbe283u/-FJPG/242354-006_DET_1.jpg;https://dd3ka9h4chfr8.cloudfront.net/image/725136000567/image_3509li89tt5vf2m362dno6ph0m/-FJPG/242354-006_DET_3.jpg;https://dd3ka9h4chfr8.cloudfront.net/image/725136000567/image_drjv8d2rgd6bv4l0kaglao1e7r/-FJPG/242354-006_TOP_1.jpg;https://dd3ka9h4chfr8.cloudfront.net/image/725136000567/image_bktlk9fhb54vleo0slrqckkm57/-FJPG/242354-006_DET_4.jpg;https://dd3ka9h4chfr8.cloudfront.net/image/725136000567/image_qu7g24jaop35v2ju81ukhhae52/-FJPG/242354-006_DET_5.jpg;https://dd3ka9h4chfr8.cloudfront.net/image/725136000567/image_env5qh1lel2652tdjbo0otfd5u/-FJPG/242354-006_DET_6.jpg</t>
  </si>
  <si>
    <t>242354-006</t>
  </si>
  <si>
    <t>https://dd3ka9h4chfr8.cloudfront.net/image/725136000567/image_7nkvv1mm2t7kjbqaggh8ou2m1d/-FJPG/242354-006_FRT_1.jpg</t>
  </si>
  <si>
    <t>A study in shape. Sand-colored acacia forms crescent-shaped legs and a long oval tabletop, bringing grand, organic-infused presence to the dining room.</t>
  </si>
  <si>
    <t>https://dd3ka9h4chfr8.cloudfront.net/image/725136000567/image_jtr4cb86lt55f379p0mjireh4l/-FJPG/VHDN-044_FRT_1.jpg;https://dd3ka9h4chfr8.cloudfront.net/image/725136000567/image_4rc0es2925301fdkl1msp6mc0h/-FJPG/VHDN-044_PRM_1.jpg;https://dd3ka9h4chfr8.cloudfront.net/image/725136000567/image_bahshffdbd56dd6f1scr2du30v/-FJPG/VHDN-044_SID_1.jpg;https://dd3ka9h4chfr8.cloudfront.net/image/725136000567/image_2jpt78dsqh5qhe359mhe3ung6u/-FJPG/VHDN-044_ESS_1.jpg;https://dd3ka9h4chfr8.cloudfront.net/image/725136000567/image_rlv8kqbjfl68p3dbj54nej7f45/-FJPG/VHDN-044_DET_2.jpg;https://dd3ka9h4chfr8.cloudfront.net/image/725136000567/image_j6afnnipll781bpriulh3uf543/-FJPG/VHDN-044_DET_1.jpg;https://dd3ka9h4chfr8.cloudfront.net/image/725136000567/image_c5r29hm6v53k3523qg76j0ou3f/-FJPG/VHDN-044_DET_3.jpg;https://dd3ka9h4chfr8.cloudfront.net/image/725136000567/image_r4nkqc8be15c57b46tjguvie31/-FJPG/VHDN-044_DET_4.jpg;https://dd3ka9h4chfr8.cloudfront.net/image/725136000567/image_fdauk36pg96sn1cbhm6vcmgq33/-FJPG/VHDN-044_DET_5.jpg;https://dd3ka9h4chfr8.cloudfront.net/image/725136000567/image_hs6vtm4t4t0pr6u4anu5o27q03/-FJPG/VHDN-044_DET_6.jpg;https://dd3ka9h4chfr8.cloudfront.net/image/725136000567/image_npsnf2gm597t7eotkb78l3k42c/-FJPG/VHDN-044_DET_7.jpg;https://dd3ka9h4chfr8.cloudfront.net/image/725136000567/image_nsvf9jocnd107d7kab6rro3e52/-FJPG/VHDN-044_VIG_1.jpg</t>
  </si>
  <si>
    <t>VHDN-044</t>
  </si>
  <si>
    <t>https://dd3ka9h4chfr8.cloudfront.net/image/725136000567/image_jtr4cb86lt55f379p0mjireh4l/-FJPG/VHDN-044_FRT_1.jpg</t>
  </si>
  <si>
    <t>A study in shape. Solid brown acacia forms crescent-shaped legs and sprawling oval tabletop, bringing organic presence to the dining room.</t>
  </si>
  <si>
    <t>https://dd3ka9h4chfr8.cloudfront.net/image/725136000567/image_imleoh9nlt3ct71bb9gg3mp15t/-FJPG/105188-010_FRT_1.jpg;https://dd3ka9h4chfr8.cloudfront.net/image/725136000567/image_q9hjnaerhh1g30lghtqc712n08/-FJPG/105188-010_PRM_1.jpg;https://dd3ka9h4chfr8.cloudfront.net/image/725136000567/image_d5egn9v9up70p6sdq7ppoqgs4d/-FJPG/105188-010_SID_1.jpg;https://dd3ka9h4chfr8.cloudfront.net/image/725136000567/image_4jgpeoquep4ut8gcap2l1e7d5g/-FJPG/105188-010_DET_2.jpg;https://dd3ka9h4chfr8.cloudfront.net/image/725136000567/image_13s05vum015c55l7a88vc3ft5l/-FJPG/105188-010_DET_1.jpg;https://dd3ka9h4chfr8.cloudfront.net/image/725136000567/image_56hb1g2n110l90odv9chdobt1i/-FJPG/105188-010_DET_3.jpg;https://dd3ka9h4chfr8.cloudfront.net/image/725136000567/image_cvlks5ps5t5l18m5igc3he8c2k/-FJPG/105188-010_TOP_1.jpg;https://dd3ka9h4chfr8.cloudfront.net/image/725136000567/image_lis2uop8eh0p3dntamjah1sb05/-FJPG/105188-010_DET_4.jpg</t>
  </si>
  <si>
    <t>105188-010</t>
  </si>
  <si>
    <t>https://dd3ka9h4chfr8.cloudfront.net/image/725136000567/image_imleoh9nlt3ct71bb9gg3mp15t/-FJPG/105188-010_FRT_1.jpg</t>
  </si>
  <si>
    <t>A study in shape. Solid brown oak forms crescent-shaped legs and sprawling oval tabletop, bringing organic presence to the dining room.</t>
  </si>
  <si>
    <t>https://dd3ka9h4chfr8.cloudfront.net/image/725136000567/image_tsae8l9g8p18fampkkgn4skm61/-FJPG/242354-005_FRT_1.jpg;https://dd3ka9h4chfr8.cloudfront.net/image/725136000567/image_0dv3pj1v0p7up90bpigvra6a4i/-FJPG/242354-005_PRM_1.jpg;https://dd3ka9h4chfr8.cloudfront.net/image/725136000567/image_qmrrit3tgd3srev81cs8d0os3h/-FJPG/242354-005_SID_1.jpg;https://dd3ka9h4chfr8.cloudfront.net/image/725136000567/image_65o591hpnl4kddi0lrbi2rho33/-FJPG/242354-005_DET_2.jpg;https://dd3ka9h4chfr8.cloudfront.net/image/725136000567/image_5mtq539ir16fl4quf0lon21231/-FJPG/242354-005_DET_1.jpg;https://dd3ka9h4chfr8.cloudfront.net/image/725136000567/image_v9lunhvg2l4p71qbuscedpdq2l/-FJPG/242354-005_DET_3.jpg;https://dd3ka9h4chfr8.cloudfront.net/image/725136000567/image_fctgcmehr92676f2qka9sspt71/-FJPG/242354-005_TOP_1.jpg;https://dd3ka9h4chfr8.cloudfront.net/image/725136000567/image_u78p8gp7b94a910j6tbg7mcf31/-FJPG/242354-005_DET_4.jpg;https://dd3ka9h4chfr8.cloudfront.net/image/725136000567/image_biocl4g1od4nl0e8u531bpjt0r/-FJPG/242354-005_DET_5.jpg</t>
  </si>
  <si>
    <t>242354-005</t>
  </si>
  <si>
    <t>https://dd3ka9h4chfr8.cloudfront.net/image/725136000567/image_tsae8l9g8p18fampkkgn4skm61/-FJPG/242354-005_FRT_1.jpg</t>
  </si>
  <si>
    <t>Paden End Table</t>
  </si>
  <si>
    <t>https://dd3ka9h4chfr8.cloudfront.net/image/725136000567/image_f9o5o1s67d71f893h041igdk13/-FJPG/227802-004_FRT_1.jpg;https://dd3ka9h4chfr8.cloudfront.net/image/725136000567/image_i0snlt0g496un1lk422rflvh2v/-FJPG/227802-004_PRM_1.jpg;https://dd3ka9h4chfr8.cloudfront.net/image/725136000567/image_29umlmsn8l16fdhv6aqco1vu3i/-FJPG/227802-004_SID_1.jpg;https://dd3ka9h4chfr8.cloudfront.net/image/725136000567/image_f3k1mq6q5d28f18i155ug7be69/-FJPG/227802-004_ESS_1.jpg;https://dd3ka9h4chfr8.cloudfront.net/image/725136000567/image_f6q48p7u5d1jf7ql779ceqqv4c/-FJPG/227802-004_DET_2.jpg;https://dd3ka9h4chfr8.cloudfront.net/image/725136000567/image_o1lo3un9351a19v7eqivoite3u/-FJPG/227802-004_DET_1.jpg;https://dd3ka9h4chfr8.cloudfront.net/image/725136000567/image_6ssf5i6k494i9bbgrl4q65v64a/-FJPG/227802-004_DET_3.jpg;https://dd3ka9h4chfr8.cloudfront.net/image/725136000567/image_uv30d482ll23b6l5ngrv6n4e6u/-FJPG/227802-004_DET_4.jpg</t>
  </si>
  <si>
    <t>227802-004</t>
  </si>
  <si>
    <t>https://dd3ka9h4chfr8.cloudfront.net/image/725136000567/image_f9o5o1s67d71f893h041igdk13/-FJPG/227802-004_FRT_1.jpg</t>
  </si>
  <si>
    <t>A study in shape. Black acacia forms crescent-shaped legs and round tabletop, bringing organic presence to the living room.</t>
  </si>
  <si>
    <t>{"value":15.43,"unit":"lb"}</t>
  </si>
  <si>
    <t>21.97"</t>
  </si>
  <si>
    <t>4.04"</t>
  </si>
  <si>
    <t>https://dd3ka9h4chfr8.cloudfront.net/image/725136000567/image_id54kdg8jd7otdo3qbpi2p9f6n/-FJPG/227802-008_FRT_1.jpg;https://dd3ka9h4chfr8.cloudfront.net/image/725136000567/image_jj1v347nqt6af2hb2a7atvaa2h/-FJPG/227802-008_PRM_1.jpg;https://dd3ka9h4chfr8.cloudfront.net/image/725136000567/image_dqpogp9f4p37pc6c45j1k8ao5q/-FJPG/227802-008_SID_1.jpg;https://dd3ka9h4chfr8.cloudfront.net/image/725136000567/image_3e0bnrldi96bb8m76ji6m89q5t/-FJPG/227802-008_DET_2.jpg;https://dd3ka9h4chfr8.cloudfront.net/image/725136000567/image_r4q2f1jts13r593f4hd3mft208/-FJPG/227802-008_DET_1.jpg;https://dd3ka9h4chfr8.cloudfront.net/image/725136000567/image_ndfcdrorp90f55c8sot50nmf4n/-FJPG/227802-008_DET_3.jpg;https://dd3ka9h4chfr8.cloudfront.net/image/725136000567/image_7748dt8hqp6kn2j7dekk6rql25/-FJPG/227802-008_TOP_1.jpg;https://dd3ka9h4chfr8.cloudfront.net/image/725136000567/image_42ad2473a57mr1hga44r95st4c/-FJPG/227802-008_DET_4.jpg</t>
  </si>
  <si>
    <t>227802-008</t>
  </si>
  <si>
    <t>https://dd3ka9h4chfr8.cloudfront.net/image/725136000567/image_id54kdg8jd7otdo3qbpi2p9f6n/-FJPG/227802-008_FRT_1.jpg</t>
  </si>
  <si>
    <t>Worn oak forms crescent-shaped legs and a round tabletop, bringing a light, organic look to the living room.</t>
  </si>
  <si>
    <t>{"value":19.84,"unit":"lb"}</t>
  </si>
  <si>
    <t>{"value":25.35,"unit":"lb"}</t>
  </si>
  <si>
    <t>Paden Large Console Table</t>
  </si>
  <si>
    <t>https://dd3ka9h4chfr8.cloudfront.net/image/725136000567/image_365od410al5i1fg5messc97q3g/-FJPG/235767-004_FRT_1.jpg;https://dd3ka9h4chfr8.cloudfront.net/image/725136000567/image_0kchk5cait74valjqva045im0s/-FJPG/235767-004_PRM_1.jpg;https://dd3ka9h4chfr8.cloudfront.net/image/725136000567/image_3k27589mid00dfssepf3l6a91m/-FJPG/235767-004_SID_1.jpg;https://dd3ka9h4chfr8.cloudfront.net/image/725136000567/image_km31ujv4vd34n3lkubqv8cnv03/-FJPG/235767-004_ESS_1.jpg;https://dd3ka9h4chfr8.cloudfront.net/image/725136000567/image_ktbpn995lh5ntckpnna8lqik5o/-FJPG/235767-004_DET_2.jpg;https://dd3ka9h4chfr8.cloudfront.net/image/725136000567/image_cpg6rh2fpt1mf64u2gvuv1ih3c/-FJPG/235767-004_DET_1.jpg;https://dd3ka9h4chfr8.cloudfront.net/image/725136000567/image_21i64ekn1d615cptuur88fkp57/-FJPG/235767-004_DET_3.jpg;https://dd3ka9h4chfr8.cloudfront.net/image/725136000567/image_f1erpub75h4vfe1qmodcv1bg7c/-FJPG/235767-004_DET_4.jpg;https://dd3ka9h4chfr8.cloudfront.net/image/725136000567/image_7hejve8u9t1797ddbd8jnhbk7f/-FJPG/235767-004_DET_5.jpg;https://dd3ka9h4chfr8.cloudfront.net/image/725136000567/image_t5m29h4aol79n9r4kudh8mca5d/-FJPG/235767-004_DET_6.jpg;https://dd3ka9h4chfr8.cloudfront.net/image/725136000567/image_b3ocmjovu16m1dul504tv58b5e/-FJPG/235767-004_DET_7.jpg;https://dd3ka9h4chfr8.cloudfront.net/image/725136000567/image_k4fd4u358t02pel38shc4mk56g/-FJPG/235767-004_DET_8.jpg</t>
  </si>
  <si>
    <t>Italian White Marble</t>
  </si>
  <si>
    <t>235767-004</t>
  </si>
  <si>
    <t>https://dd3ka9h4chfr8.cloudfront.net/image/725136000567/image_365od410al5i1fg5messc97q3g/-FJPG/235767-004_FRT_1.jpg</t>
  </si>
  <si>
    <t>["Solid Marble","Acacia Veneer","Solid Acacia"]</t>
  </si>
  <si>
    <t>A study in shape. Seasoned brown acacia forms the crescent-shaped legs of this console table, topped with Italian white marble to bring an organic presence to the living room or entryway.</t>
  </si>
  <si>
    <t>{"value":83.66,"unit":"in"}</t>
  </si>
  <si>
    <t>29.49"</t>
  </si>
  <si>
    <t>43.03"</t>
  </si>
  <si>
    <t>https://dd3ka9h4chfr8.cloudfront.net/image/725136000567/image_biqfctmhfl3urb6c5k17l8en39/-FJPG/235767-002_FRT_1.jpg;https://dd3ka9h4chfr8.cloudfront.net/image/725136000567/image_6238fo0lfd7vhd94t5hvppol61/-FJPG/235767-002_PRM_1.jpg;https://dd3ka9h4chfr8.cloudfront.net/image/725136000567/image_dkq9vdilt10qb3jsekg98etb3r/-FJPG/235767-002_SID_1.jpg;https://dd3ka9h4chfr8.cloudfront.net/image/725136000567/image_outjt12dst6cb97jmdf7nnsc3t/-FJPG/235767-002_ESS.tif;https://dd3ka9h4chfr8.cloudfront.net/image/725136000567/image_sj5ti2roat2vjcc3dhr8sj8l4j/-FJPG/235767-002_DET_2.jpg;https://dd3ka9h4chfr8.cloudfront.net/image/725136000567/image_10mp0bdj8t5e323jh4cp98k225/-FJPG/235767-002_DET_1.jpg;https://dd3ka9h4chfr8.cloudfront.net/image/725136000567/image_e2holsd8ld76r28avcod146b3l/-FJPG/235767-002_DET_3.jpg;https://dd3ka9h4chfr8.cloudfront.net/image/725136000567/image_7ljhf0hb2p1n77n63eji646p3i/-FJPG/235767-002_DET_4.jpg;https://dd3ka9h4chfr8.cloudfront.net/image/725136000567/image_3nkopsi8091qj2v57j3mom0o1t/-FJPG/235767-002_DET_5.jpg;https://dd3ka9h4chfr8.cloudfront.net/image/725136000567/image_um2qrh3oah1278e11htlkr1p1l/-FJPG/235767-002_DET_6.jpg</t>
  </si>
  <si>
    <t>235767-002</t>
  </si>
  <si>
    <t>https://dd3ka9h4chfr8.cloudfront.net/image/725136000567/image_biqfctmhfl3urb6c5k17l8en39/-FJPG/235767-002_FRT_1.jpg</t>
  </si>
  <si>
    <t>https://dd3ka9h4chfr8.cloudfront.net/image/725136000567/image_71jcm7jcfl3ab3p5ubmssefq16/-FJPG/235767-001_FRT_1.jpg;https://dd3ka9h4chfr8.cloudfront.net/image/725136000567/image_agirmuiek90qv6tuhtou5t1q2u/-FJPG/235767-001_PRM_1.jpg;https://dd3ka9h4chfr8.cloudfront.net/image/725136000567/image_qj7u3l3val6qn3t9bja0nbcb28/-FJPG/235767-001_SID_1.jpg;https://dd3ka9h4chfr8.cloudfront.net/image/725136000567/image_a284sf7h0d255fp535sf6m486v/-FJPG/235767-001_ESS_1.jpg;https://dd3ka9h4chfr8.cloudfront.net/image/725136000567/image_rlm2tf4l4971nc8a48bi4qt438/-FJPG/235767-001_DET_2.jpg;https://dd3ka9h4chfr8.cloudfront.net/image/725136000567/image_cpl4r58fat3jt7d0dpipk8ta36/-FJPG/235767-001_DET_1.jpg;https://dd3ka9h4chfr8.cloudfront.net/image/725136000567/image_b83po44d4d0hna59g8plcojg7l/-FJPG/235767-001_DET_3.jpg;https://dd3ka9h4chfr8.cloudfront.net/image/725136000567/image_4tqq53bcq94fp1b5llkhom1m0d/-FJPG/235767-001_DET_4.jpg;https://dd3ka9h4chfr8.cloudfront.net/image/725136000567/image_qfpp3221cp5v1f7i3g67k8l55t/-FJPG/235767-001_DET_5.jpg;https://dd3ka9h4chfr8.cloudfront.net/image/725136000567/image_dhao4dg2r15535edhqsrn3pm7p/-FJPG/235767-001_DET_6.jpg</t>
  </si>
  <si>
    <t>235767-001</t>
  </si>
  <si>
    <t>https://dd3ka9h4chfr8.cloudfront.net/image/725136000567/image_71jcm7jcfl3ab3p5ubmssefq16/-FJPG/235767-001_FRT_1.jpg</t>
  </si>
  <si>
    <t>A study in shape. Seasoned brown acacia forms the crescent-shaped legs and round tabletop of this console table, bringing organic presence to the living room or entryway.</t>
  </si>
  <si>
    <t>https://dd3ka9h4chfr8.cloudfront.net/image/725136000567/image_9sm80eigt57a5ai0qhenkndn0v/-FJPG/235767-006_FRT_1.jpg;https://dd3ka9h4chfr8.cloudfront.net/image/725136000567/image_acvr98q1ul3t3co57u9nahd15i/-FJPG/235767-006_PRM_1.jpg;https://dd3ka9h4chfr8.cloudfront.net/image/725136000567/image_c47ddsa1at20n75g8ehvn2e10e/-FJPG/235767-006_SID_1.jpg;https://dd3ka9h4chfr8.cloudfront.net/image/725136000567/image_lce05ceo792ar6d8vh7ieckt4t/-FJPG/235767-006_DET_2.jpg;https://dd3ka9h4chfr8.cloudfront.net/image/725136000567/image_u2egugqp6932je6heajsq4mt2b/-FJPG/235767-006_DET_1.jpg;https://dd3ka9h4chfr8.cloudfront.net/image/725136000567/image_8gklearum51qv7fvjqqbj4j13g/-FJPG/235767-006_DET_3.jpg;https://dd3ka9h4chfr8.cloudfront.net/image/725136000567/image_7m5n0ruqvd5n304kmj9754ef66/-FJPG/235767-006_TOP_1.jpg;https://dd3ka9h4chfr8.cloudfront.net/image/725136000567/image_2rroj36oqd4hfera9njkd89r3u/-FJPG/235767-006_DET_4.jpg;https://dd3ka9h4chfr8.cloudfront.net/image/725136000567/image_kgpqn7go5h0sh8dk4hd18k5744/-FJPG/235767-006_DET_5.jpg</t>
  </si>
  <si>
    <t>235767-006</t>
  </si>
  <si>
    <t>https://dd3ka9h4chfr8.cloudfront.net/image/725136000567/image_9sm80eigt57a5ai0qhenkndn0v/-FJPG/235767-006_FRT_1.jpg</t>
  </si>
  <si>
    <t>Worn oak forms the crescent-shaped legs and round tabletop of this console table, bringing a light, organic look to the living room, media space or entryway.</t>
  </si>
  <si>
    <t>{"value":50.71,"unit":"lb"}</t>
  </si>
  <si>
    <t>Paden Sideboard</t>
  </si>
  <si>
    <t>https://dd3ka9h4chfr8.cloudfront.net/image/725136000567/image_q042g5qskp2an9l42nisik4b7k/-FJPG/235536-007_FRT_1.jpg;https://dd3ka9h4chfr8.cloudfront.net/image/725136000567/image_3ao6a2n3i966v7bavqsf7nnv7b/-FJPG/235536-007_PRM_1.jpg;https://dd3ka9h4chfr8.cloudfront.net/image/725136000567/image_akq9epgd6l4ht5fe90lup3cv31/-FJPG/235536-007_SID_1.jpg;https://dd3ka9h4chfr8.cloudfront.net/image/725136000567/image_4r51trongh2a18hna3vjqhol76/-FJPG/235536-007_DET_2.jpg;https://dd3ka9h4chfr8.cloudfront.net/image/725136000567/image_1nnuvsos7572l6ig4d5esri218/-FJPG/235536-007_BCK_1.jpg;https://dd3ka9h4chfr8.cloudfront.net/image/725136000567/image_faoikb00al6q92b7c5aaajqo7l/-FJPG/235536-007_DET_1.jpg;https://dd3ka9h4chfr8.cloudfront.net/image/725136000567/image_t625uaqgad6g53divoq0684r56/-FJPG/235536-007_DET_3.jpg;https://dd3ka9h4chfr8.cloudfront.net/image/725136000567/image_tb3dn71q5l0gb6f3abk3l2p06s/-FJPG/235536-007_OPN_1.jpg;https://dd3ka9h4chfr8.cloudfront.net/image/725136000567/image_3spm3ivobt7bl9i4des4hmiv0p/-FJPG/235536-007_TOP_1.jpg;https://dd3ka9h4chfr8.cloudfront.net/image/725136000567/image_78ehtdmn7l3f7d04dq7572c84r/-FJPG/235536-007_DET_4.jpg;https://dd3ka9h4chfr8.cloudfront.net/image/725136000567/image_vrjq91qps158ndq3ep4aonos5f/-FJPG/235536-007_DET_5.jpg;https://dd3ka9h4chfr8.cloudfront.net/image/725136000567/image_ef2vjpcp3h34bd2qllmn5klj08/-FJPG/235536-007_DET_6.jpg</t>
  </si>
  <si>
    <t>235536-007</t>
  </si>
  <si>
    <t>https://dd3ka9h4chfr8.cloudfront.net/image/725136000567/image_q042g5qskp2an9l42nisik4b7k/-FJPG/235536-007_FRT_1.jpg</t>
  </si>
  <si>
    <t>Seasoned worn oak forms curved legs and the cabinets of this sideboard. Generous space for all dining storage needs.</t>
  </si>
  <si>
    <t>{"value":272.27,"unit":"lb"}</t>
  </si>
  <si>
    <t>24.88"</t>
  </si>
  <si>
    <t>36.69"</t>
  </si>
  <si>
    <t>25.35"</t>
  </si>
  <si>
    <t>Paloma Bed</t>
  </si>
  <si>
    <t>https://dd3ka9h4chfr8.cloudfront.net/image/725136000567/image_jfv7q5u6ot71de4pjli96cs70a/-FJPG/242169-004_FRT_1.jpg;https://dd3ka9h4chfr8.cloudfront.net/image/725136000567/image_gntp9635h511p0hhrd4o38m75p/-FJPG/242169-002_FRT_1.jpg;https://dd3ka9h4chfr8.cloudfront.net/image/725136000567/image_1t8ouekki92933gq2jg6j5b45d/-FJPG/242169-002_PRM_1.jpg;https://dd3ka9h4chfr8.cloudfront.net/image/725136000567/image_84paipjqs92k7968s3l4tdpt0g/-FJPG/242169-004_PRM_1.jpg;https://dd3ka9h4chfr8.cloudfront.net/image/725136000567/image_fbbsuajbjd6tf4rfto9g3v347v/-FJPG/242169-004_SID_1.jpg;https://dd3ka9h4chfr8.cloudfront.net/image/725136000567/image_60r1hd6a4p7up5eml0tgrnsn6o/-FJPG/242169-002_SID_1.jpg;https://dd3ka9h4chfr8.cloudfront.net/image/725136000567/image_n590pskpf17ih7fqe2oqrp8e79/-FJPG/242169-002_ESS_1.tif;https://dd3ka9h4chfr8.cloudfront.net/image/725136000567/image_1q224sh1hp7pf6glf92g9d3e37/-FJPG/242169-002_DET_2.jpg;https://dd3ka9h4chfr8.cloudfront.net/image/725136000567/image_q2iev7dqfd7ebf5tst0fm9ne1r/-FJPG/242169-004_DET_2.jpg;https://dd3ka9h4chfr8.cloudfront.net/image/725136000567/image_6ekn86sr9108v78d6v701pc12c/-FJPG/242169-002_BCK_1.jpg;https://dd3ka9h4chfr8.cloudfront.net/image/725136000567/image_kimbr5s6h51f773t4rbh7v554v/-FJPG/242169-004_BCK_1.jpg;https://dd3ka9h4chfr8.cloudfront.net/image/725136000567/image_m6ufdcuoh538r4o8uu5hal7k45/-FJPG/242169-004_DET_1.jpg;https://dd3ka9h4chfr8.cloudfront.net/image/725136000567/image_tdu57689sp49de3ot741imon24/-FJPG/242169-002_DET_1.jpg;https://dd3ka9h4chfr8.cloudfront.net/image/725136000567/image_d1e3uno0sd58t936qbqomrul4i/-FJPG/242169-002_DET_3.jpg;https://dd3ka9h4chfr8.cloudfront.net/image/725136000567/image_gu5p5rlm791vr4rivqrd84mj78/-FJPG/242169-004_DET_3.jpg;https://dd3ka9h4chfr8.cloudfront.net/image/725136000567/image_99mhjq94jd0s70i1as4713j95q/-FJPG/242169-004_DET_4.jpg;https://dd3ka9h4chfr8.cloudfront.net/image/725136000567/image_huan9eiqu945l9fptn16ufls16/-FJPG/242169-002_DET_4.jpg;https://dd3ka9h4chfr8.cloudfront.net/image/725136000567/image_fr9ge6lee52057gf8le5re6h25/-FJPG/242169-002_DET_5.jpg;https://dd3ka9h4chfr8.cloudfront.net/image/725136000567/image_aa857s1lrt45pf7aoueir6gj2k/-FJPG/242169-004_DET_5.jpg;https://dd3ka9h4chfr8.cloudfront.net/image/725136000567/image_rrg82k3a7t3750pnf39ss0hs7d/-FJPG/242169-002_DET_6.jpg;https://dd3ka9h4chfr8.cloudfront.net/image/725136000567/image_qjm51blutp1gr4e3l3qg8rrk3j/-FJPG/242169-004_DET_6.jpg;https://dd3ka9h4chfr8.cloudfront.net/image/725136000567/image_72skluqqgt3n1ffg4vi74gne2a/-FJPG/242169-002_DET_9.tif</t>
  </si>
  <si>
    <t>242169-003</t>
  </si>
  <si>
    <t>https://dd3ka9h4chfr8.cloudfront.net/image/725136000567/image_jfv7q5u6ot71de4pjli96cs70a/-FJPG/242169-004_FRT_1.jpg</t>
  </si>
  <si>
    <t>["96% Polyester","4% Acrylic"]</t>
  </si>
  <si>
    <t>93</t>
  </si>
  <si>
    <t>{"value":93,"unit":"in"}</t>
  </si>
  <si>
    <t>45.5</t>
  </si>
  <si>
    <t>{"value":49.02,"unit":"in"}</t>
  </si>
  <si>
    <t>{"value":85.63,"unit":"in"}</t>
  </si>
  <si>
    <t>Paloma</t>
  </si>
  <si>
    <t>10.51"</t>
  </si>
  <si>
    <t>45.55"</t>
  </si>
  <si>
    <t>22.13"</t>
  </si>
  <si>
    <t>88.03"</t>
  </si>
  <si>
    <t>4.37"</t>
  </si>
  <si>
    <t>80.20"</t>
  </si>
  <si>
    <t>6.14"</t>
  </si>
  <si>
    <t>73.86"</t>
  </si>
  <si>
    <t>https://dd3ka9h4chfr8.cloudfront.net/image/725136000567/image_jfv7q5u6ot71de4pjli96cs70a/-FJPG/242169-004_FRT_1.jpg;https://dd3ka9h4chfr8.cloudfront.net/image/725136000567/image_d4utitf91t3s92pb9uvgp9gl3n/-FJPG/242169-001_FRT_1.jpg;https://dd3ka9h4chfr8.cloudfront.net/image/725136000567/image_pgnjl1us09611elg46p009ai6i/-FJPG/242169-001_PRM_1.jpg;https://dd3ka9h4chfr8.cloudfront.net/image/725136000567/image_84paipjqs92k7968s3l4tdpt0g/-FJPG/242169-004_PRM_1.jpg;https://dd3ka9h4chfr8.cloudfront.net/image/725136000567/image_fbbsuajbjd6tf4rfto9g3v347v/-FJPG/242169-004_SID_1.jpg;https://dd3ka9h4chfr8.cloudfront.net/image/725136000567/image_p0133rhv8l2836cjc2d0vuci0m/-FJPG/242169-001_SID_1.jpg;https://dd3ka9h4chfr8.cloudfront.net/image/725136000567/image_vu4vr1udit4i105t6msmi3r35r/-FJPG/242169-001_ESS_1.jpg;https://dd3ka9h4chfr8.cloudfront.net/image/725136000567/image_r2kdiqa1rl3dl5jc3omhbsu51e/-FJPG/242169-001_DET_2.jpg;https://dd3ka9h4chfr8.cloudfront.net/image/725136000567/image_q2iev7dqfd7ebf5tst0fm9ne1r/-FJPG/242169-004_DET_2.jpg;https://dd3ka9h4chfr8.cloudfront.net/image/725136000567/image_efniuabt9p03lfin52cod7uf4o/-FJPG/242169-001_BCK_1.jpg;https://dd3ka9h4chfr8.cloudfront.net/image/725136000567/image_kimbr5s6h51f773t4rbh7v554v/-FJPG/242169-004_BCK_1.jpg;https://dd3ka9h4chfr8.cloudfront.net/image/725136000567/image_m6ufdcuoh538r4o8uu5hal7k45/-FJPG/242169-004_DET_1.jpg;https://dd3ka9h4chfr8.cloudfront.net/image/725136000567/image_7a48t18hnd2mdf8fh24md00k2o/-FJPG/242169-001_DET_1.jpg;https://dd3ka9h4chfr8.cloudfront.net/image/725136000567/image_gu5p5rlm791vr4rivqrd84mj78/-FJPG/242169-004_DET_3.jpg;https://dd3ka9h4chfr8.cloudfront.net/image/725136000567/image_5tpjlnr9kh7bn853k7j1r3a41j/-FJPG/242169-001_DET_3.jpg;https://dd3ka9h4chfr8.cloudfront.net/image/725136000567/image_slurkthbsl5135qe4dnse3tm07/-FJPG/242169-001_DET_4.jpg;https://dd3ka9h4chfr8.cloudfront.net/image/725136000567/image_99mhjq94jd0s70i1as4713j95q/-FJPG/242169-004_DET_4.jpg;https://dd3ka9h4chfr8.cloudfront.net/image/725136000567/image_7tpvmlf2t50oj0dng5fcbib42f/-FJPG/242169-001_DET_5.jpg;https://dd3ka9h4chfr8.cloudfront.net/image/725136000567/image_aa857s1lrt45pf7aoueir6gj2k/-FJPG/242169-004_DET_5.jpg;https://dd3ka9h4chfr8.cloudfront.net/image/725136000567/image_qjm51blutp1gr4e3l3qg8rrk3j/-FJPG/242169-004_DET_6.jpg;https://dd3ka9h4chfr8.cloudfront.net/image/725136000567/image_rbv6f53tbh26h2f3g7pv0n2g50/-FJPG/242169-001_DET_6.jpg;https://dd3ka9h4chfr8.cloudfront.net/image/725136000567/image_pg1toul6ht4oj0gqatnn7hm803/-FJPG/242169-001_DET_7.jpg;https://dd3ka9h4chfr8.cloudfront.net/image/725136000567/image_hta91m8igh2nr1kvt3js3a8n1k/-FJPG/242169-001_DET_9.jpg</t>
  </si>
  <si>
    <t>242169-004</t>
  </si>
  <si>
    <t>241.4</t>
  </si>
  <si>
    <t>67.91"</t>
  </si>
  <si>
    <t>71.89"</t>
  </si>
  <si>
    <t>57.72"</t>
  </si>
  <si>
    <t>Papile Chair</t>
  </si>
  <si>
    <t>https://dd3ka9h4chfr8.cloudfront.net/image/725136000567/image_5606p7k6h93fj7m0tvplapkr7b/-FJPG/235211-002_FRT_1.jpg;https://dd3ka9h4chfr8.cloudfront.net/image/725136000567/image_qu0lbjmtud6635q3m9qpassv0d/-FJPG/235211-002_PRM_1.jpg;https://dd3ka9h4chfr8.cloudfront.net/image/725136000567/image_uckv2hggm506h68anpddgnec1m/-FJPG/235211-002_SID_1.jpg;https://dd3ka9h4chfr8.cloudfront.net/image/725136000567/image_p6p8r0i0fh1s7folcknsl2gf0v/-FJPG/235211-002_ESS_1.jpg;https://dd3ka9h4chfr8.cloudfront.net/image/725136000567/image_m367va0n5d58rcvhierhmcaq5b/-FJPG/235211-002_DET_2.jpg;https://dd3ka9h4chfr8.cloudfront.net/image/725136000567/image_b6ar3n0ggp3493oj5p0im9rf4h/-FJPG/235211-002_BCK_1.jpg;https://dd3ka9h4chfr8.cloudfront.net/image/725136000567/image_otn5l9q6d12hvdsgvdies8641h/-FJPG/235211-002_DET_1.jpg;https://dd3ka9h4chfr8.cloudfront.net/image/725136000567/image_ov9onuc1k548tddg0p81mhve78/-FJPG/235211-002_DET_3.jpg;https://dd3ka9h4chfr8.cloudfront.net/image/725136000567/image_c2hq7gru3d4j38r3l8b5c3r31a/-FJPG/235211-002_DET_4.jpg;https://dd3ka9h4chfr8.cloudfront.net/image/725136000567/image_duf14dtmm10nt85bepdubauc5s/-FJPG/235211-002_DET_5.jpg;https://dd3ka9h4chfr8.cloudfront.net/image/725136000567/image_imnvjtug3l3r1agi4k7o21hk05/-FJPG/235211-002_DET_6.jpg;https://dd3ka9h4chfr8.cloudfront.net/image/725136000567/image_ov5h1bsp4h4pj2hdapuprku474/-FJPG/235211-002_DET_7.jpg;https://dd3ka9h4chfr8.cloudfront.net/image/725136000567/image_q6qk7adtjl3b14ml865abdri0u/-FJPG/235211-002_ROM_1.jpg</t>
  </si>
  <si>
    <t>Cream Shearling</t>
  </si>
  <si>
    <t>235211-002</t>
  </si>
  <si>
    <t>30.86</t>
  </si>
  <si>
    <t>https://dd3ka9h4chfr8.cloudfront.net/image/725136000567/image_5606p7k6h93fj7m0tvplapkr7b/-FJPG/235211-002_FRT_1.jpg</t>
  </si>
  <si>
    <t>["100% Sheared Sheepskin","Solid Oak"]</t>
  </si>
  <si>
    <t>A modern take on the vintage school chair, upholstered in plush cream shearling of 100% sheepskin. Perfect as an accent chair or in pairs.</t>
  </si>
  <si>
    <t>{"value":51.59,"unit":"lb"}</t>
  </si>
  <si>
    <t>Papile</t>
  </si>
  <si>
    <t>24.96"</t>
  </si>
  <si>
    <t>Parker Trunk</t>
  </si>
  <si>
    <t>https://dd3ka9h4chfr8.cloudfront.net/image/725136000567/image_99eoj7enid183dq4c11mrln31h/-FJPG/109010-004_PRM_1.jpg;https://dd3ka9h4chfr8.cloudfront.net/image/725136000567/image_kekn5gq12t11t1p9iu190f8304/-FJPG/109010-004_SID_1.jpg;https://dd3ka9h4chfr8.cloudfront.net/image/725136000567/image_92iulb2vep4r595kjqt6iumr0g/-FJPG/109010-004_ESS_1.jpg;https://dd3ka9h4chfr8.cloudfront.net/image/725136000567/image_ojiegfldsp5vl56nmclh4i4m6n/-FJPG/109010-004_BCK_1.jpg;https://dd3ka9h4chfr8.cloudfront.net/image/725136000567/image_vsdth8f8op1k7chrua7bl5f03q/-FJPG/109010-004_DET_1.jpg;https://dd3ka9h4chfr8.cloudfront.net/image/725136000567/image_umjg21gbnh0thbeq09rooit910/-FJPG/109010-004_DET_3.jpg;https://dd3ka9h4chfr8.cloudfront.net/image/725136000567/image_d49o2s4p590mvbdkp4odo3350p/-FJPG/109010-004_OPN_1.jpg;https://dd3ka9h4chfr8.cloudfront.net/image/725136000567/image_k7l504offp67t6o43dl8j7b06d/-FJPG/109010-004_DET_4.jpg;https://dd3ka9h4chfr8.cloudfront.net/image/725136000567/image_9pg8a46egl05rd87fltehncc1d/-FJPG/109010-004_DET_5.jpg;https://dd3ka9h4chfr8.cloudfront.net/image/725136000567/image_vqdr4hdp257af9erfs8tivkb3l/-FJPG/109010-004_DET_6.jpg;https://dd3ka9h4chfr8.cloudfront.net/image/725136000567/image_dp9igncpbd5iv6s3456740uk4r/-FJPG/109010-004_OPN_2.jpg</t>
  </si>
  <si>
    <t>109010-004</t>
  </si>
  <si>
    <t>41.3</t>
  </si>
  <si>
    <t>https://dd3ka9h4chfr8.cloudfront.net/image/725136000567/image_99eoj7enid183dq4c11mrln31h/-FJPG/109010-004_PRM_1.jpg</t>
  </si>
  <si>
    <t>For cleverly practicality, upholstered bench seating opens to reveal trunk-style storage, perfect for the bedroom or entryway, or as a stylish piano bench for sheet music storage.</t>
  </si>
  <si>
    <t>{"value":57.1,"unit":"lb"}</t>
  </si>
  <si>
    <t>Parker</t>
  </si>
  <si>
    <t>Pascal Coffee Table</t>
  </si>
  <si>
    <t>https://dd3ka9h4chfr8.cloudfront.net/image/725136000567/image_i3ae9n66790kf842mvc97emi11/-FJPG/JLAN-154_PRM_1.jpg;https://dd3ka9h4chfr8.cloudfront.net/image/725136000567/image_ukl7bs4ejh2sb6a3vc05oe8u2q/-FJPG/JLAN-154_DET_2.jpg;https://dd3ka9h4chfr8.cloudfront.net/image/725136000567/image_8bjo7n1qdp29r5ebnfm0qtie2c/-FJPG/JLAN-154_DET_1.jpg;https://dd3ka9h4chfr8.cloudfront.net/image/725136000567/image_5uuo9rasbd0il7kfem217b2o0c/-FJPG/JLAN-154_INF_1.jpg;https://dd3ka9h4chfr8.cloudfront.net/image/725136000567/image_dp8gb7qvp11mpbfuralg0na71q/-FJPG/JLAN-154_TOP_1.jpg;https://dd3ka9h4chfr8.cloudfront.net/image/725136000567/image_g7nqts6bvp2a737c89rati6k1d/-FJPG/JLAN-154_DET_4.jpg;https://dd3ka9h4chfr8.cloudfront.net/image/725136000567/image_vcacuta5bl70r0qobf45t65e27/-FJPG/JLAN-154_DET_5.jpg;https://dd3ka9h4chfr8.cloudfront.net/image/725136000567/image_rdraknk9sh4g1b0h5iflbrpr0r/-FJPG/JLAN-154_ROM_1.jpg</t>
  </si>
  <si>
    <t>Light Natural</t>
  </si>
  <si>
    <t>JLAN-154</t>
  </si>
  <si>
    <t>35.71</t>
  </si>
  <si>
    <t>https://dd3ka9h4chfr8.cloudfront.net/image/725136000567/image_i3ae9n66790kf842mvc97emi11/-FJPG/JLAN-154_PRM_1.jpg</t>
  </si>
  <si>
    <t>["Pandan Rope"]</t>
  </si>
  <si>
    <t>Handmade in Indonesia, Pandan leaves are harvested, split into slimmer fibers then hand-braided to shape this beautifully textured drum-style coffee table. Color changes over time - ranging from green and yellow to brown and grey - are to be expected and reflect the natural, character-rich backstory of such intriguingly unique materials.</t>
  </si>
  <si>
    <t>Pascal</t>
  </si>
  <si>
    <t>Paul Swivel Chair</t>
  </si>
  <si>
    <t>https://dd3ka9h4chfr8.cloudfront.net/image/725136000567/image_nquk1j9iqh0653gjrr55igm95l/-FJPG/236761-002_FRT_1.jpg;https://dd3ka9h4chfr8.cloudfront.net/image/725136000567/image_s8os0ugqjl7gb1pu0tnlnu574m/-FJPG/236761-002_PRM_1.jpg;https://dd3ka9h4chfr8.cloudfront.net/image/725136000567/image_r70im7i0h57k5d6v6fpev3pf0i/-FJPG/236761-002_SID_1.jpg;https://dd3ka9h4chfr8.cloudfront.net/image/725136000567/image_r70im7i0h57k5d6v6fpev3pf0i/-FJPG/236761-002_SID_1.jpg;https://dd3ka9h4chfr8.cloudfront.net/image/725136000567/image_bb8ar0enqd4tl1drqakoo13e7h/-FJPG/236761-002_ESS.tif;https://dd3ka9h4chfr8.cloudfront.net/image/725136000567/image_ubslacdfa57lv5a44i6ran7e62/-FJPG/236761-002_DET_2.jpg;https://dd3ka9h4chfr8.cloudfront.net/image/725136000567/image_7308m9ehsl2394upuvhvdesg7j/-FJPG/236761-002_BCK_1.jpg;https://dd3ka9h4chfr8.cloudfront.net/image/725136000567/image_cdh2eol5it2tt9ihpjphdk9f2v/-FJPG/236761-002_DET_1.jpg;https://dd3ka9h4chfr8.cloudfront.net/image/725136000567/image_msmivf2erd3if4dbuj5b1ibj0l/-FJPG/236761-002_DET_3.jpg;https://dd3ka9h4chfr8.cloudfront.net/image/725136000567/image_qf65dmavvh657fn44rl4o6oe0a/-FJPG/236761-002_DET_4.jpg;https://dd3ka9h4chfr8.cloudfront.net/image/725136000567/image_15eleu7nqd7hdbjadnvsepp667/-FJPG/236761-002_DET_5.jpg;https://dd3ka9h4chfr8.cloudfront.net/image/725136000567/image_tabp8gbn090rp9q8k60mls6u5i/-FJPG/236761-002_DET_6.jpg;https://dd3ka9h4chfr8.cloudfront.net/image/725136000567/image_iumen46umd2vvfuke22vgdpv5n/-FJPG/236761-002_DET_10.jpg;https://dd3ka9h4chfr8.cloudfront.net/image/725136000567/image_at8qkub1o96e133tko7lj33o0c/-FJPG/236761-002_DET_11.jpg</t>
  </si>
  <si>
    <t>Raleigh Cigar</t>
  </si>
  <si>
    <t>236761-002</t>
  </si>
  <si>
    <t>https://dd3ka9h4chfr8.cloudfront.net/image/725136000567/image_nquk1j9iqh0653gjrr55igm95l/-FJPG/236761-002_FRT_1.jpg</t>
  </si>
  <si>
    <t>Old English-inspired top-grain leather is finished with a soft hand for a vintage, lived-in look on this traditionally inspired chair. Handcrafted in Italy, the richness of this distinctive, full-bodied leather develops an even-richer patina over time. Button tufting texturizes a comfortably curved back and sides, while a 360-degree swivel modernizes the whole look.</t>
  </si>
  <si>
    <t>Paul</t>
  </si>
  <si>
    <t>Perot 6 Drawer Dresser</t>
  </si>
  <si>
    <t>https://dd3ka9h4chfr8.cloudfront.net/image/725136000567/image_ol85dp1cgl09v1gjdrccapbr1p/-FJPG/245422-002_FRT_1.jpg;https://dd3ka9h4chfr8.cloudfront.net/image/725136000567/image_4jl5mbr3hp7bpact7u7f86pm4l/-FJPG/245422-002_PRM_1.jpg;https://dd3ka9h4chfr8.cloudfront.net/image/725136000567/image_ngg1lhg3vt30nbhhubf4mr990o/-FJPG/245422-002_SID_1.jpg;https://dd3ka9h4chfr8.cloudfront.net/image/725136000567/image_vcjpo38mn521fd8512jto49h5e/-FJPG/245422-002_ESS.tif;https://dd3ka9h4chfr8.cloudfront.net/image/725136000567/image_sbhkgpn4q93kn2u27p2l9him6h/-FJPG/245422-002_DET_2.jpg;https://dd3ka9h4chfr8.cloudfront.net/image/725136000567/image_fgo5v7l2l97pbdq2o8tfrc6a6a/-FJPG/245422-002_BCK_1.jpg;https://dd3ka9h4chfr8.cloudfront.net/image/725136000567/image_g9vgho6ped715a6aq0b79g6d4s/-FJPG/245422-002_DET_1.jpg;https://dd3ka9h4chfr8.cloudfront.net/image/725136000567/image_50n0auu39h5rr7450hkb29er7a/-FJPG/245422-002_DET_3.jpg;https://dd3ka9h4chfr8.cloudfront.net/image/725136000567/image_40gfsa7h651unb3amsga313i4t/-FJPG/245422-002_OPN_1.jpg;https://dd3ka9h4chfr8.cloudfront.net/image/725136000567/image_u3d0bp71pp347407ub7shd4h4p/-FJPG/245422-002_TOP_1.jpg;https://dd3ka9h4chfr8.cloudfront.net/image/725136000567/image_kjgdvsmp713k522h19kosboe53/-FJPG/245422-002_DET_4.jpg;https://dd3ka9h4chfr8.cloudfront.net/image/725136000567/image_c9lnbhltm17n382r5h6dgkq50u/-FJPG/245422-002_DET_5.jpg;https://dd3ka9h4chfr8.cloudfront.net/image/725136000567/image_ccud6t19bh4orde46ob3bbkn1j/-FJPG/245422-002_DET_9.tif;https://dd3ka9h4chfr8.cloudfront.net/image/725136000567/image_3j24h8dddt2c10nn4v9rhc182r/-FJPG/245422-002_DET_10.tif</t>
  </si>
  <si>
    <t>Light Blonde Pine</t>
  </si>
  <si>
    <t>245422-002</t>
  </si>
  <si>
    <t>211.644</t>
  </si>
  <si>
    <t>https://dd3ka9h4chfr8.cloudfront.net/image/725136000567/image_ol85dp1cgl09v1gjdrccapbr1p/-FJPG/245422-002_FRT_1.jpg</t>
  </si>
  <si>
    <t>Beauty in simplicity. A clean, spacious six-drawer dresser of blonde-finished pine can be styled into a wide range of styles thanks to its neutral versatility.</t>
  </si>
  <si>
    <t>{"value":28.15,"unit":"in"}</t>
  </si>
  <si>
    <t>Perot</t>
  </si>
  <si>
    <t>5.81"</t>
  </si>
  <si>
    <t>29.31"</t>
  </si>
  <si>
    <t>White</t>
  </si>
  <si>
    <t>Perot Console Table</t>
  </si>
  <si>
    <t>https://dd3ka9h4chfr8.cloudfront.net/image/725136000567/image_jkc6bt94al6id32dgu28p22l5f/-FJPG/245636-002_FRT_1.jpg;https://dd3ka9h4chfr8.cloudfront.net/image/725136000567/image_j6ck7eukj5457899g73emtia60/-FJPG/245636-002_PRM_1.jpg;https://dd3ka9h4chfr8.cloudfront.net/image/725136000567/image_9oj7o9pt795fh4h025bv6c2g23/-FJPG/245636-002_SID_1.jpg;https://dd3ka9h4chfr8.cloudfront.net/image/725136000567/image_62up7nuvud35h1pa0trvetgi3o/-FJPG/245636-002_ESS.tif;https://dd3ka9h4chfr8.cloudfront.net/image/725136000567/image_s0mvo5dmat42l4m4ghvl3cvb4o/-FJPG/245636-002_DET_2.jpg;https://dd3ka9h4chfr8.cloudfront.net/image/725136000567/image_g3ror7m4et5ujbhrm5r0nsgh3l/-FJPG/245636-002_DET_1.jpg;https://dd3ka9h4chfr8.cloudfront.net/image/725136000567/image_6rcfjlq1g16up0jckf1pp2607k/-FJPG/245636-002_DET_3.jpg;https://dd3ka9h4chfr8.cloudfront.net/image/725136000567/image_83v1l66mf15vf85ckhelpj5230/-FJPG/245636-002_TOP_1.jpg;https://dd3ka9h4chfr8.cloudfront.net/image/725136000567/image_pe95jucpvd57p03nioltaelc2d/-FJPG/245636-002_DET_4.jpg;https://dd3ka9h4chfr8.cloudfront.net/image/725136000567/image_tquuvi632d1g321tbh7mo14510/-FJPG/245636-002_DET_9.tif</t>
  </si>
  <si>
    <t>245636-002</t>
  </si>
  <si>
    <t>https://dd3ka9h4chfr8.cloudfront.net/image/725136000567/image_jkc6bt94al6id32dgu28p22l5f/-FJPG/245636-002_FRT_1.jpg</t>
  </si>
  <si>
    <t>Beauty in simplicity. A light, blonde-finished base supports an inset beam-style top which appears to intersect for extra intrigue.</t>
  </si>
  <si>
    <t>Perot Nightstand</t>
  </si>
  <si>
    <t>https://dd3ka9h4chfr8.cloudfront.net/image/725136000567/image_6ur09sm1d95ip27p00bvumif0t/-FJPG/245424-002_FRT_1.jpg;https://dd3ka9h4chfr8.cloudfront.net/image/725136000567/image_pbg72r05gp0kb9jhqvt7bru61l/-FJPG/245424-002_PRM_1.jpg;https://dd3ka9h4chfr8.cloudfront.net/image/725136000567/image_2v17ibjbch5b53ivtqld29o618/-FJPG/245424-002_SID_1.jpg;https://dd3ka9h4chfr8.cloudfront.net/image/725136000567/image_2acrf3jepl7al10ahfem0r2i3c/-FJPG/245424-002_ESS.tif;https://dd3ka9h4chfr8.cloudfront.net/image/725136000567/image_uhf33p67et7nndrqsge9r17559/-FJPG/245424-002_DET_2.jpg;https://dd3ka9h4chfr8.cloudfront.net/image/725136000567/image_eea2strs9p4rr75bc3thrvv509/-FJPG/245424-002_BCK_1.jpg;https://dd3ka9h4chfr8.cloudfront.net/image/725136000567/image_ni2f18tshh7i3bqt7ometgvj49/-FJPG/245424-002_DET_1.jpg;https://dd3ka9h4chfr8.cloudfront.net/image/725136000567/image_4del3b2lop1sn8ki5ro4q30q3n/-FJPG/245424-002_DET_3.jpg;https://dd3ka9h4chfr8.cloudfront.net/image/725136000567/image_fpb1u76qrl35h14ld42oh42f0f/-FJPG/245424-002_OPN_1.jpg;https://dd3ka9h4chfr8.cloudfront.net/image/725136000567/image_ure20dhuj10d58oas09hapqi69/-FJPG/245424-002_TOP_1.jpg;https://dd3ka9h4chfr8.cloudfront.net/image/725136000567/image_80vccuesel5ql1oer2ictmt14m/-FJPG/245424-002_DET_4.jpg;https://dd3ka9h4chfr8.cloudfront.net/image/725136000567/image_o8kfnl7is93hr1a50m1bf5tl7l/-FJPG/245424-002_DET_5.jpg;https://dd3ka9h4chfr8.cloudfront.net/image/725136000567/image_tiek4aafdh1nlb0eks4l1g5n23/-FJPG/245424-002_DET_9.tif</t>
  </si>
  <si>
    <t>245424-002</t>
  </si>
  <si>
    <t>https://dd3ka9h4chfr8.cloudfront.net/image/725136000567/image_6ur09sm1d95ip27p00bvumif0t/-FJPG/245424-002_FRT_1.jpg</t>
  </si>
  <si>
    <t>Beauty in simplicity. A clean cube of blonde-finished pine can be styled into a wide range of styles thanks to its neutral versatility.</t>
  </si>
  <si>
    <t>5.45"</t>
  </si>
  <si>
    <t>20.31"</t>
  </si>
  <si>
    <t>Perot Sideboard</t>
  </si>
  <si>
    <t>https://dd3ka9h4chfr8.cloudfront.net/image/725136000567/image_he2f7funnp7cd8dbps7133hh7n/-FJPG/245832-002_FRT_1.jpg;https://dd3ka9h4chfr8.cloudfront.net/image/725136000567/image_q0llt10jo52s179n2ro34geh6q/-FJPG/245832-002_PRM_1.jpg;https://dd3ka9h4chfr8.cloudfront.net/image/725136000567/image_a4uf2l62jp2h533coqsuvm8d38/-FJPG/245832-002_SID_1.jpg;https://dd3ka9h4chfr8.cloudfront.net/image/725136000567/image_b3cefcdmil67na1nb7cm0drd76/-FJPG/245832-002_ESS.tif;https://dd3ka9h4chfr8.cloudfront.net/image/725136000567/image_tifcm2eelt1dhctqefbo4p1b4f/-FJPG/245832-002_DET_2.jpg;https://dd3ka9h4chfr8.cloudfront.net/image/725136000567/image_k27gjhr6250rjdgasvmci7l62b/-FJPG/245832-002_BCK_1.jpg;https://dd3ka9h4chfr8.cloudfront.net/image/725136000567/image_0rvv4khl113bf00t0q5672jq2b/-FJPG/245832-002_DET_1.jpg;https://dd3ka9h4chfr8.cloudfront.net/image/725136000567/image_raui2ib6tp0ff22sjqprdr3462/-FJPG/245832-002_DET_3.jpg;https://dd3ka9h4chfr8.cloudfront.net/image/725136000567/image_r0eu1g1rtt7nt8u6i8clc5kd3f/-FJPG/245832-002_OPN_1.jpg;https://dd3ka9h4chfr8.cloudfront.net/image/725136000567/image_8158opmd6h7u13pfp93uil0s49/-FJPG/245832-002_TOP_1.jpg;https://dd3ka9h4chfr8.cloudfront.net/image/725136000567/image_45crqitcpp5nl7tj3sorva5p3p/-FJPG/245832-002_DET_4.jpg;https://dd3ka9h4chfr8.cloudfront.net/image/725136000567/image_vjqu16ci3d04rbikdk4g0u3r7b/-FJPG/245832-002_DET_5.jpg;https://dd3ka9h4chfr8.cloudfront.net/image/725136000567/image_a95tt679gh34n0g2t2qt2gvs7n/-FJPG/245832-002_DET_9.tif</t>
  </si>
  <si>
    <t>245832-002</t>
  </si>
  <si>
    <t>https://dd3ka9h4chfr8.cloudfront.net/image/725136000567/image_he2f7funnp7cd8dbps7133hh7n/-FJPG/245832-002_FRT_1.jpg</t>
  </si>
  <si>
    <t>Beauty in simplicity. A clean, spacious sideboard of blonde-finished pine can be styled in a wide range of spaces thanks to its neutral versatility. Plenty of interior shelving space for serving platters, table linens and more.</t>
  </si>
  <si>
    <t>{"value":99.41,"unit":"in"}</t>
  </si>
  <si>
    <t>{"value":237,"unit":"lb"}</t>
  </si>
  <si>
    <t>39.72"</t>
  </si>
  <si>
    <t>20.37"</t>
  </si>
  <si>
    <t>Perrin 6 Drawer Dresser</t>
  </si>
  <si>
    <t>https://dd3ka9h4chfr8.cloudfront.net/image/725136000567/image_22b2itf7255879bknrcapmur5s/-FJPG/226022-001_FRT_1.jpg;https://dd3ka9h4chfr8.cloudfront.net/image/725136000567/image_hs49mkbscd76d8vlqcrmdocn76/-FJPG/226022-001_PRM_1.jpg;https://dd3ka9h4chfr8.cloudfront.net/image/725136000567/image_i1m820re8t4qhfcjgagm8c0734/-FJPG/226022-001_SID_1.jpg;https://dd3ka9h4chfr8.cloudfront.net/image/725136000567/image_ahbnbo6v197k74i2jksrsvbb2o/-FJPG/226022-001_ESS_1.jpg;https://dd3ka9h4chfr8.cloudfront.net/image/725136000567/image_gbbl4o2nl50s343tu6t71f8151/-FJPG/226022-001_DET_2.jpg;https://dd3ka9h4chfr8.cloudfront.net/image/725136000567/image_ps0b6t21g91cf1fl6bgekjne1h/-FJPG/226022-001_BCK_1.jpg;https://dd3ka9h4chfr8.cloudfront.net/image/725136000567/image_ksflasno1h3rjdpn9agpfc9h46/-FJPG/226022-001_DET_1.jpg;https://dd3ka9h4chfr8.cloudfront.net/image/725136000567/image_roelof6ckh1rbf1ij4p2iei22g/-FJPG/226022-001_DET_3.jpg;https://dd3ka9h4chfr8.cloudfront.net/image/725136000567/image_naloa8teth0lp5kv75oqkq6o0i/-FJPG/226022-001_OPN_1.jpg;https://dd3ka9h4chfr8.cloudfront.net/image/725136000567/image_isfne3bn851t9534jnha4esv7i/-FJPG/226022-001_DET_4.jpg;https://dd3ka9h4chfr8.cloudfront.net/image/725136000567/image_d2bsf7le5d3cpdur138h3ek86h/-FJPG/226022-001_DET_5.jpg;https://dd3ka9h4chfr8.cloudfront.net/image/725136000567/image_qolrt93t052v9bkan47r8fld6r/-FJPG/226022-001_DET_6.jpg;https://dd3ka9h4chfr8.cloudfront.net/image/725136000567/image_bg65i6hj1l27b9eonu84dtl07n/-FJPG/226022-001_DET_7.jpg</t>
  </si>
  <si>
    <t>Rustic Fawn</t>
  </si>
  <si>
    <t>226022-001</t>
  </si>
  <si>
    <t>282.19</t>
  </si>
  <si>
    <t>https://dd3ka9h4chfr8.cloudfront.net/image/725136000567/image_22b2itf7255879bknrcapmur5s/-FJPG/226022-001_FRT_1.jpg</t>
  </si>
  <si>
    <t>Rustic Fawn Veneer</t>
  </si>
  <si>
    <t>Made from solid oak and oak veneer, visible knots and graining play up the natural beauty of this spacious six-drawer dresser, with large-scale joinery for extra heft. Designed in partnership with longtime Four Hands collaborator Thomas Bina and Brazilian designer Ronald Sasson. This item has been modified to comply with the STURDY Act. See a full list of modified products and data changes in the â€œSTURDY Actâ€_x009d_ file in the Downloads section below.</t>
  </si>
  <si>
    <t>1dresser/Box</t>
  </si>
  <si>
    <t>Perrin</t>
  </si>
  <si>
    <t>25.91"</t>
  </si>
  <si>
    <t>Perrin Nightstand</t>
  </si>
  <si>
    <t>https://dd3ka9h4chfr8.cloudfront.net/image/725136000567/image_tpidgrpf0d4433cumct0brt60g/-FJPG/226023-001_FRT_1.jpg;https://dd3ka9h4chfr8.cloudfront.net/image/725136000567/image_hm232k0bkd5vvbfm5g2flg2r1g/-FJPG/226023-001_PRM_1.jpg;https://dd3ka9h4chfr8.cloudfront.net/image/725136000567/image_ong43h51kd06584323ht5a6u6e/-FJPG/226023-001_SID_1.jpg;https://dd3ka9h4chfr8.cloudfront.net/image/725136000567/image_78f7blmt7h3c103nh626tf2l4i/-FJPG/226023-001_ESS_1.jpg;https://dd3ka9h4chfr8.cloudfront.net/image/725136000567/image_t5n58r8bil77d686lhbh074h7t/-FJPG/226023-001_DET_2.jpg;https://dd3ka9h4chfr8.cloudfront.net/image/725136000567/image_b3ekq81pml753fj777r0unhg0g/-FJPG/226023-001_BCK_1.jpg;https://dd3ka9h4chfr8.cloudfront.net/image/725136000567/image_6pjbegldd565j4a2ajm1h3kf3v/-FJPG/226023-001_DET_1.jpg;https://dd3ka9h4chfr8.cloudfront.net/image/725136000567/image_pugndlkd5l05b5vhgvg6alft14/-FJPG/226023-001_DET_3.jpg;https://dd3ka9h4chfr8.cloudfront.net/image/725136000567/image_1qgkrrc0op5sj29aeccasblv3f/-FJPG/226023-001_OPN_1.jpg;https://dd3ka9h4chfr8.cloudfront.net/image/725136000567/image_0f11pe7h3h7259cbl88o117476/-FJPG/226023-001_DET_4.jpg;https://dd3ka9h4chfr8.cloudfront.net/image/725136000567/image_8nf44aofj95o98a4e93o979o11/-FJPG/226023-001_DET_5.jpg;https://dd3ka9h4chfr8.cloudfront.net/image/725136000567/image_v6440crrfp02tbiv7oabaclp0e/-FJPG/226023-001_DET_6.jpg;https://dd3ka9h4chfr8.cloudfront.net/image/725136000567/image_ho1m174ld11u32nk5hai8jj22o/-FJPG/226023-001_VIG_2.jpg</t>
  </si>
  <si>
    <t>226023-001</t>
  </si>
  <si>
    <t>https://dd3ka9h4chfr8.cloudfront.net/image/725136000567/image_tpidgrpf0d4433cumct0brt60g/-FJPG/226023-001_FRT_1.jpg</t>
  </si>
  <si>
    <t>22.25</t>
  </si>
  <si>
    <t>Made from solid oak and oak veneer, visible knots and graining play up the natural beauty of this stylish nightstand, with large-scale joinery for extra heft. Designed in partnership with longtime Four Hands collaborator Thomas Bina and Brazilian designer Ronald Sasson.</t>
  </si>
  <si>
    <t>1 Item/Box</t>
  </si>
  <si>
    <t>{"value":81.57,"unit":"lb"}</t>
  </si>
  <si>
    <t>10.79"</t>
  </si>
  <si>
    <t>Perrin Sideboard</t>
  </si>
  <si>
    <t>https://dd3ka9h4chfr8.cloudfront.net/image/725136000567/image_337es8uhhd5rpblbrqqcndnd08/-FJPG/228235-001_FRT_1.jpg;https://dd3ka9h4chfr8.cloudfront.net/image/725136000567/image_uml7agngjh04l1mmkhoq56p17n/-FJPG/228235-001_PRM_1.jpg;https://dd3ka9h4chfr8.cloudfront.net/image/725136000567/image_l4tobgrifd1ffd38gkv0ensk5f/-FJPG/228235-001_SID_1.jpg;https://dd3ka9h4chfr8.cloudfront.net/image/725136000567/image_8lrmicc3ap2q93116s8ilr745u/-FJPG/228235-001_ESS_1.jpg;https://dd3ka9h4chfr8.cloudfront.net/image/725136000567/image_l57ibsfgkl6d56tbhpb5gbn75k/-FJPG/228235-001_DET_2.jpg;https://dd3ka9h4chfr8.cloudfront.net/image/725136000567/image_ukh3mgbi517or0nt9dpdtrtl19/-FJPG/228235-001_BCK_1.jpg;https://dd3ka9h4chfr8.cloudfront.net/image/725136000567/image_4damh0fgvp6cbfpercg13kn732/-FJPG/228235-001_DET_1.jpg;https://dd3ka9h4chfr8.cloudfront.net/image/725136000567/image_61seq1sl355ht7epl7vq773g74/-FJPG/228235-001_DET_3.jpg;https://dd3ka9h4chfr8.cloudfront.net/image/725136000567/image_1ne7ts8sq50133kv4ljuvu0s0j/-FJPG/228235-001_OPN_1.jpg;https://dd3ka9h4chfr8.cloudfront.net/image/725136000567/image_ushe1mrio52t35avrvl0puh35h/-FJPG/228235-001_DET_4.jpg;https://dd3ka9h4chfr8.cloudfront.net/image/725136000567/image_forna9k40d2l94h1l9slpidc27/-FJPG/228235-001_DET_5.jpg</t>
  </si>
  <si>
    <t>228235-001</t>
  </si>
  <si>
    <t>251.32</t>
  </si>
  <si>
    <t>https://dd3ka9h4chfr8.cloudfront.net/image/725136000567/image_337es8uhhd5rpblbrqqcndnd08/-FJPG/228235-001_FRT_1.jpg</t>
  </si>
  <si>
    <t>Made from solid oak and oak veneer, visible knots and graining play up the natural beauty of this spacious sideboard, with adjustable interior shelving for ease. Magnetic door closures plus four rear cutouts for cord management. Designed in partnership with longtime Four Hands collaborator Thomas Bina and Brazilian designer Ronald Sasson.</t>
  </si>
  <si>
    <t>17.74"</t>
  </si>
  <si>
    <t>34.72"</t>
  </si>
  <si>
    <t>Phoenix Outdoor Coffee Table</t>
  </si>
  <si>
    <t>https://dd3ka9h4chfr8.cloudfront.net/image/725136000567/image_jjvujpk8i539d0ig3oobe8u81n/-FJPG/JLAN-212_FRT_1.jpg;https://dd3ka9h4chfr8.cloudfront.net/image/725136000567/image_cb33smq6ip13t7osd32qk1g40n/-FJPG/JLAN-212_PRM_1.jpg;https://dd3ka9h4chfr8.cloudfront.net/image/725136000567/image_gtl9343esh5f562jvkl9sf9l0j/-FJPG/JLAN-212_ESS_1.jpg;https://dd3ka9h4chfr8.cloudfront.net/image/725136000567/image_eropr3p63d3speunupje000j3j/-FJPG/JLAN-212_DET_2.jpg;https://dd3ka9h4chfr8.cloudfront.net/image/725136000567/image_hmh9gou6l94m11s5c9ndkecc7h/-FJPG/JLAN-212_DET_1.jpg;https://dd3ka9h4chfr8.cloudfront.net/image/725136000567/image_tm9t1kj93l5clet5t6nmp2b12q/-FJPG/JLAN-212_DET_3.jpg;https://dd3ka9h4chfr8.cloudfront.net/image/725136000567/image_h15u9vab8142n6qtukl4j6ka6d/-FJPG/JLAN-212_DET_4.jpg;https://dd3ka9h4chfr8.cloudfront.net/image/725136000567/image_ordmtphmbd3972o2c5iq0cvk60/-FJPG/JLAN-212_DET_5.jpg</t>
  </si>
  <si>
    <t>Vintage White</t>
  </si>
  <si>
    <t>JLAN-212</t>
  </si>
  <si>
    <t>https://dd3ka9h4chfr8.cloudfront.net/image/725136000567/image_jjvujpk8i539d0ig3oobe8u81n/-FJPG/JLAN-212_FRT_1.jpg</t>
  </si>
  <si>
    <t>["100% Polyethylene","Aluminum"]</t>
  </si>
  <si>
    <t>Pure White</t>
  </si>
  <si>
    <t>Outdoor Coffee Tables</t>
  </si>
  <si>
    <t>All-weather wicker weaves to cover an aluminum frame, with a soft, rounded shape and vintage white finish. Cover or store indoors during inclement weather and when not in use.</t>
  </si>
  <si>
    <t>{"value":31.31,"unit":"lb"}</t>
  </si>
  <si>
    <t>Phoenix</t>
  </si>
  <si>
    <t>Ping Pong Table</t>
  </si>
  <si>
    <t>https://dd3ka9h4chfr8.cloudfront.net/image/725136000567/image_ef3e02ddtl4692blom7n4p6r55/-FJPG/234228-001_PRM_1.jpg;https://dd3ka9h4chfr8.cloudfront.net/image/725136000567/image_m5qju4uvn53hbb0vptjc31fh04/-FJPG/234228-001_DET_1.jpg;https://dd3ka9h4chfr8.cloudfront.net/image/725136000567/image_lv7j39n0fd1vj8t2jgs4ntp848/-FJPG/234228-001_ESS_1.jpg;https://dd3ka9h4chfr8.cloudfront.net/image/725136000567/image_nvbi02sk4t24fct9eag94mip56/-FJPG/234228-001_DET_2.jpg;https://dd3ka9h4chfr8.cloudfront.net/image/725136000567/image_hgsnlf5ra97175e4gpmuhvc716/-FJPG/234228-001_DET_3.jpg;https://dd3ka9h4chfr8.cloudfront.net/image/725136000567/image_td2mrbtdq16qvcasnj8b84u34r/-FJPG/234228-001_DET_4.jpg;https://dd3ka9h4chfr8.cloudfront.net/image/725136000567/image_f0c9ld0gj55mjfm2cso01uic61/-FJPG/234228-001_DET_5.jpg;https://dd3ka9h4chfr8.cloudfront.net/image/725136000567/image_qnaeosi19h6rj8n04pasqtkj0b/-FJPG/234228-001_DET_6.jpg;https://dd3ka9h4chfr8.cloudfront.net/image/725136000567/image_qm629chs9927jfaa4pmerqab2l/-FJPG/234228-001_DET_7.jpg;https://dd3ka9h4chfr8.cloudfront.net/image/725136000567/image_5jpccri9mp42d3rh4et6kaih3q/-FJPG/234228-001_DET_8.jpg;https://dd3ka9h4chfr8.cloudfront.net/image/725136000567/image_63bjpvbu610g1cg7gfag4ci801/-FJPG/234228-001_DET_9.jpg;https://dd3ka9h4chfr8.cloudfront.net/image/725136000567/image_fuv6i820sp3rvehtqmm44asl5l/-FJPG/234228-001_DET_10.jpg;https://dd3ka9h4chfr8.cloudfront.net/image/725136000567/image_kb73r1tl0p0291p2e3mh79l67v/-FJPG/234228-001_FRT_1.jpg;https://dd3ka9h4chfr8.cloudfront.net/image/725136000567/image_94hjhlc3390nfcj5oqlspuem2c/-FJPG/234228-001_SID_1.jpg;https://dd3ka9h4chfr8.cloudfront.net/image/725136000567/image_kurt40r9v56bh7fv83qr9b383g/-FJPG/234228-001_ESS_2.jpg</t>
  </si>
  <si>
    <t>Aged Metal</t>
  </si>
  <si>
    <t>250988-001</t>
  </si>
  <si>
    <t>280.87</t>
  </si>
  <si>
    <t>https://dd3ka9h4chfr8.cloudfront.net/image/725136000567/image_ef3e02ddtl4692blom7n4p6r55/-FJPG/234228-001_PRM_1.jpg</t>
  </si>
  <si>
    <t>["Iron","Thick Guanacaste Veneer"]</t>
  </si>
  <si>
    <t>107.75</t>
  </si>
  <si>
    <t>{"value":107.75,"unit":"in"}</t>
  </si>
  <si>
    <t>58.25</t>
  </si>
  <si>
    <t>{"value":58.25,"unit":"in"}</t>
  </si>
  <si>
    <t>Bleached Guanacaste</t>
  </si>
  <si>
    <t>Handmade by skilled artisans, this one-of-a-kind game features a blend of bleached Guanacaste and metal thatâ€™s been aged through a manual month-long process which uses natural elements to bring unique character to each piece. Includes removable net that attaches and detaches with built-in magnets, plus 4 wood paddles and 4 balls. Designed for 2-4 players.</t>
  </si>
  <si>
    <t>Top + Ping Pong Net</t>
  </si>
  <si>
    <t>{"value":122.05,"unit":"in"}</t>
  </si>
  <si>
    <t>{"value":64.57,"unit":"in"}</t>
  </si>
  <si>
    <t>{"value":335.98,"unit":"lb"}</t>
  </si>
  <si>
    <t>Base + Mounting Plate + Paddles + Balls + Hardware</t>
  </si>
  <si>
    <t>{"value":166.89,"unit":"lb"}</t>
  </si>
  <si>
    <t>Ping Pong</t>
  </si>
  <si>
    <t>40.13"</t>
  </si>
  <si>
    <t>29.38"</t>
  </si>
  <si>
    <t>Table</t>
  </si>
  <si>
    <t>0.38"</t>
  </si>
  <si>
    <t>58.25"</t>
  </si>
  <si>
    <t>https://dd3ka9h4chfr8.cloudfront.net/image/725136000567/image_3flqtm1of569p95o2u1k2f144f/-FJPG/234228-002_PRM_1.jpg;https://dd3ka9h4chfr8.cloudfront.net/image/725136000567/image_4d2a2mc9kh3837vbneqvtvmv5r/-FJPG/234228-002_DET_1.jpg;https://dd3ka9h4chfr8.cloudfront.net/image/725136000567/image_reo0moiead16p95jaat4fr5f2b/-FJPG/234228-002_ESS_1.jpg;https://dd3ka9h4chfr8.cloudfront.net/image/725136000567/image_7vvqc2a2cl5g7dmsq39ieeej79/-FJPG/234228-002_DET_3.jpg;https://dd3ka9h4chfr8.cloudfront.net/image/725136000567/image_vncdvlvmrt1dv7pajhaqc26i3b/-FJPG/234228-002_DET_4.jpg;https://dd3ka9h4chfr8.cloudfront.net/image/725136000567/image_ufkv7s92m90tf7uiesolddmt4a/-FJPG/234228-002_DET_5.jpg;https://dd3ka9h4chfr8.cloudfront.net/image/725136000567/image_h2pciech9500d80s3d0kngn325/-FJPG/234228-002_DET_6.jpg;https://dd3ka9h4chfr8.cloudfront.net/image/725136000567/image_j15nb7m13d783b78pbo8rbkd34/-FJPG/234228-002_DET_7.jpg;https://dd3ka9h4chfr8.cloudfront.net/image/725136000567/image_acgijlrnp15fpf7vkrfge6pe5o/-FJPG/234228-002_DET_8.jpg;https://dd3ka9h4chfr8.cloudfront.net/image/725136000567/image_qcti8imirt0ntegcnuv5ju1836/-FJPG/234228-002_DET_9.jpg;https://dd3ka9h4chfr8.cloudfront.net/image/725136000567/image_p5t56s07vt78p4mri1snhkhh4v/-FJPG/234228-002_FRT_1.jpg;https://dd3ka9h4chfr8.cloudfront.net/image/725136000567/image_6bpvgrri6t5nnfq2drrcn1pf1c/-FJPG/234228-002_SID_1.jpg;https://dd3ka9h4chfr8.cloudfront.net/image/725136000567/image_73gne4unth5pt3f0c8l2p88t2e/-FJPG/234228-002_TOP_1.jpg;https://dd3ka9h4chfr8.cloudfront.net/image/725136000567/image_2ae35bdj011vldhcoh0rsmtv4q/-FJPG/234228-002_ESS_2.jpg;https://dd3ka9h4chfr8.cloudfront.net/image/725136000567/image_4oq2o862r153102vai3d1kj30f/-FJPG/234228-002_TOP_2.jpg</t>
  </si>
  <si>
    <t>Natural Brown Oyster Guanacaste</t>
  </si>
  <si>
    <t>250988-002</t>
  </si>
  <si>
    <t>https://dd3ka9h4chfr8.cloudfront.net/image/725136000567/image_3flqtm1of569p95o2u1k2f144f/-FJPG/234228-002_PRM_1.jpg</t>
  </si>
  <si>
    <t>Natural Brown Guanacaste</t>
  </si>
  <si>
    <t>Handmade by skilled artisans, this one-of-a-kind game features a beautiful blend of hand-finished Guanacaste wood and metal thatâ€™s been aged through a manual, month-long process using natural elements to bring unique character to each piece. Includes removable net that attaches and detaches with built-in magnets, plus 4 wood paddles and 4 balls. Seats up to 10 as a dinner table; designed for 2-4 players.</t>
  </si>
  <si>
    <t>Pollard Media Console</t>
  </si>
  <si>
    <t>https://dd3ka9h4chfr8.cloudfront.net/image/725136000567/image_5j92e00ueh147fir0tgrjtr54o/-FJPG/234976-001_FRT_1.jpg;https://dd3ka9h4chfr8.cloudfront.net/image/725136000567/image_kr29j55m8h3gb8q5rkl0suc73p/-FJPG/234976-001_PRM_1.jpg;https://dd3ka9h4chfr8.cloudfront.net/image/725136000567/image_e0of9n2v753svcss7dhetp126l/-FJPG/234976-001_SID_1.jpg;https://dd3ka9h4chfr8.cloudfront.net/image/725136000567/image_le8no3hakd2sj4d1hu5dfpha6l/-FJPG/234976-001_ESS_1.jpg;https://dd3ka9h4chfr8.cloudfront.net/image/725136000567/image_fqcp3tkqvp1mp4p87ou8na170j/-FJPG/234976-001_DET_2.jpg;https://dd3ka9h4chfr8.cloudfront.net/image/725136000567/image_66im7e56vp43n4jcrfsbu8o66v/-FJPG/234976-001_BCK_1.jpg;https://dd3ka9h4chfr8.cloudfront.net/image/725136000567/image_kk1mcloqet5hbam89qtf07de4i/-FJPG/234976-001_DET_1.jpg;https://dd3ka9h4chfr8.cloudfront.net/image/725136000567/image_arg0sn866l297a450i37da3461/-FJPG/234976-001_DET_3.jpg;https://dd3ka9h4chfr8.cloudfront.net/image/725136000567/image_upvgkjc83l7571dvqchltt9v0h/-FJPG/234976-001_OPN_1.jpg;https://dd3ka9h4chfr8.cloudfront.net/image/725136000567/image_u8dpvh2n353st0nvfrsd88sn3p/-FJPG/234976-001_DET_4.jpg;https://dd3ka9h4chfr8.cloudfront.net/image/725136000567/image_0e302jcun9357a4jppks4jhn42/-FJPG/234976-001_DET_5.jpg;https://dd3ka9h4chfr8.cloudfront.net/image/725136000567/image_nsaunr06994t196dm4sfnh451q/-FJPG/234976-001_OPN_2.jpg</t>
  </si>
  <si>
    <t>234976-001</t>
  </si>
  <si>
    <t>184.97</t>
  </si>
  <si>
    <t>https://dd3ka9h4chfr8.cloudfront.net/image/725136000567/image_5j92e00ueh147fir0tgrjtr54o/-FJPG/234976-001_FRT_1.jpg</t>
  </si>
  <si>
    <t>An ebony finish highlights the intriguing natural graining of oak veneer. Six spacious drawers plus center interior shelving bring maximum storage to the media or living room. Rear cutouts for cord management.</t>
  </si>
  <si>
    <t>{"value":208.78,"unit":"lb"}</t>
  </si>
  <si>
    <t>Pollard</t>
  </si>
  <si>
    <t>Posada Media Console</t>
  </si>
  <si>
    <t>https://dd3ka9h4chfr8.cloudfront.net/image/725136000567/image_50ja812r2l7kpe6202qphmlf2b/-FJPG/232363-002_FRT_1.jpg;https://dd3ka9h4chfr8.cloudfront.net/image/725136000567/image_kipn2uuk6543vcb591876b6376/-FJPG/232363-002_PRM_1.jpg;https://dd3ka9h4chfr8.cloudfront.net/image/725136000567/image_en96tt83pl5al66g9s6ai1fs5h/-FJPG/232363-002_SID_1.jpg;https://dd3ka9h4chfr8.cloudfront.net/image/725136000567/image_256rhdigl13nl1kab6rfgm5v41/-FJPG/232363-002_ESS_1.jpg;https://dd3ka9h4chfr8.cloudfront.net/image/725136000567/image_6270796r6553187mh1tvs0074f/-FJPG/232363-002_DET_2.jpg;https://dd3ka9h4chfr8.cloudfront.net/image/725136000567/image_5ef3hoqv3p1lh3u3lqlohtpk3q/-FJPG/232363-002_BCK_1.jpg;https://dd3ka9h4chfr8.cloudfront.net/image/725136000567/image_3f7jb1dn797jj0o9hh2deeck1o/-FJPG/232363-002_DET_1.jpg;https://dd3ka9h4chfr8.cloudfront.net/image/725136000567/image_hd8gmt46s94tpb5muj69qnnk34/-FJPG/232363-002_DET_3.jpg;https://dd3ka9h4chfr8.cloudfront.net/image/725136000567/image_rq6c9ojrv94rb45oqjp5onnc37/-FJPG/232363-002_OPN_1.jpg;https://dd3ka9h4chfr8.cloudfront.net/image/725136000567/image_4vtj4oplrh4ktd0igv31u4oc6u/-FJPG/232363-002_DET_4.jpg;https://dd3ka9h4chfr8.cloudfront.net/image/725136000567/image_5nofov22cp7657h8apk6alof7l/-FJPG/232363-002_DET_5.jpg;https://dd3ka9h4chfr8.cloudfront.net/image/725136000567/image_uteenri83p52j3vgrft8l2ic24/-FJPG/232363-002_DET_6.jpg;https://dd3ka9h4chfr8.cloudfront.net/image/725136000567/image_s2pgrmun6t6upe56uae8pajh1p/-FJPG/232363-002_DET_7.jpg;https://dd3ka9h4chfr8.cloudfront.net/image/725136000567/image_mfc2depbqt6lfam146hfvpuv02/-FJPG/232363-002_DET_8.jpg;https://dd3ka9h4chfr8.cloudfront.net/image/725136000567/image_6o3d5d81cl0d559lhhbm6btv2b/-FJPG/232363-002_DET_9.jpg</t>
  </si>
  <si>
    <t>232363-002</t>
  </si>
  <si>
    <t>170.42</t>
  </si>
  <si>
    <t>https://dd3ka9h4chfr8.cloudfront.net/image/725136000567/image_50ja812r2l7kpe6202qphmlf2b/-FJPG/232363-002_FRT_1.jpg</t>
  </si>
  <si>
    <t>["Oak Veneer","Top Grain Leather","Solid Oak"]</t>
  </si>
  <si>
    <t>A storage-driven console of amber-finished oak features door fronts of top-grain leather in a rich cognac, with inset legs and cord cutouts.</t>
  </si>
  <si>
    <t>{"value":81.69,"unit":"in"}</t>
  </si>
  <si>
    <t>{"value":211.2,"unit":"lb"}</t>
  </si>
  <si>
    <t>15.91"</t>
  </si>
  <si>
    <t>Posada</t>
  </si>
  <si>
    <t>18.19"</t>
  </si>
  <si>
    <t>12.52"</t>
  </si>
  <si>
    <t>Posada Small Cabinet</t>
  </si>
  <si>
    <t>https://dd3ka9h4chfr8.cloudfront.net/image/725136000567/image_qt50m0lb591jp31q8es69osv7v/-FJPG/235998-001_FRT_1.jpg;https://dd3ka9h4chfr8.cloudfront.net/image/725136000567/image_gfg0ofi5e961penk4e11qmlr07/-FJPG/235998-001_PRM_1.jpg;https://dd3ka9h4chfr8.cloudfront.net/image/725136000567/image_jvkdg0e4s141d1jpcq6nb18929/-FJPG/235998-001_SID_1.jpg;https://dd3ka9h4chfr8.cloudfront.net/image/725136000567/image_61r80ov6up3gn4235n3jsjsa49/-FJPG/235998-001_DET_2.jpg;https://dd3ka9h4chfr8.cloudfront.net/image/725136000567/image_uv31vh8e4h1gl7rrocmc5tm57m/-FJPG/235998-001_BCK_1.jpg;https://dd3ka9h4chfr8.cloudfront.net/image/725136000567/image_g0hoqhsa5d3qje07074hs17g0i/-FJPG/235998-001_DET_1.jpg;https://dd3ka9h4chfr8.cloudfront.net/image/725136000567/image_kh4vqioumt6078avrgekbdpi0c/-FJPG/235998-001_DET_3.jpg;https://dd3ka9h4chfr8.cloudfront.net/image/725136000567/image_n5p0hqkr313jv5a3u6po63g437/-FJPG/235998-001_OPN_1.jpg;https://dd3ka9h4chfr8.cloudfront.net/image/725136000567/image_ji3b9nddip5s71qd5hiu37fg2e/-FJPG/235998-001_DET_4.jpg;https://dd3ka9h4chfr8.cloudfront.net/image/725136000567/image_87jcrdhjlh1d52pktctfd5vv1o/-FJPG/235998-001_DET_5.jpg;https://dd3ka9h4chfr8.cloudfront.net/image/725136000567/image_h57c83m7o92ap4lae8ruemd935/-FJPG/235998-001_DET_7.jpg;https://dd3ka9h4chfr8.cloudfront.net/image/725136000567/image_agfho701kh1q50ompd4dj71m32/-FJPG/235998-001_ESS.tif</t>
  </si>
  <si>
    <t>235998-001</t>
  </si>
  <si>
    <t>100.09</t>
  </si>
  <si>
    <t>https://dd3ka9h4chfr8.cloudfront.net/image/725136000567/image_qt50m0lb591jp31q8es69osv7v/-FJPG/235998-001_FRT_1.jpg</t>
  </si>
  <si>
    <t>Smaller scale cabinetry of amber-finished oak, with door fronts of cognac top-grain leather and inset legs.</t>
  </si>
  <si>
    <t>{"value":126.99,"unit":"lb"}</t>
  </si>
  <si>
    <t>33.27"</t>
  </si>
  <si>
    <t>27.28"</t>
  </si>
  <si>
    <t>Potter Bed</t>
  </si>
  <si>
    <t>https://dd3ka9h4chfr8.cloudfront.net/image/725136000567/image_9u7fv1nkqh4gfaevp3bt9b393t/-FJPG/106124-009_FRT_1.jpg;https://dd3ka9h4chfr8.cloudfront.net/image/725136000567/image_7sl4d08o7d5t9d24qvan4c2t2a/-FJPG/106124-009_PRM_1.jpg;https://dd3ka9h4chfr8.cloudfront.net/image/725136000567/image_lv0n76h2td2vl1p8hdb9jfvs5i/-FJPG/106124-009_SID_1.jpg;https://dd3ka9h4chfr8.cloudfront.net/image/725136000567/image_6s6fjbvqi94l71133d8ahi3g4i/-FJPG/236963-010_ESS.tif;https://dd3ka9h4chfr8.cloudfront.net/image/725136000567/image_p4q7kgq2pl4pj4326bjk51g27d/-FJPG/106124-009_DET_2.jpg;https://dd3ka9h4chfr8.cloudfront.net/image/725136000567/image_08uno22juh72n5nn394c7pe648/-FJPG/106124-009_BCK_1.jpg;https://dd3ka9h4chfr8.cloudfront.net/image/725136000567/image_6bk4hma0od32t33q0gv40f114l/-FJPG/106124-009_INF_1.jpg;https://dd3ka9h4chfr8.cloudfront.net/image/725136000567/image_hp3o5sd92t61n6tv7cvgf58d68/-FJPG/106124-009_DET_1.jpg;https://dd3ka9h4chfr8.cloudfront.net/image/725136000567/image_56q15ddc9h6nn55n8ksbl0a855/-FJPG/106124-009_DET_3.jpg;https://dd3ka9h4chfr8.cloudfront.net/image/725136000567/image_ui9tga87ap3u39tcb63g972b7f/-FJPG/106124-009_DET_4.jpg;https://dd3ka9h4chfr8.cloudfront.net/image/725136000567/image_uev1fs5uut66net6ipshpthm54/-FJPG/106124-009_DET_5.jpg;https://dd3ka9h4chfr8.cloudfront.net/image/725136000567/image_2prr1uul3131hamm6rbmk0bg2b/-FJPG/106124-009_DET_6.jpg;https://dd3ka9h4chfr8.cloudfront.net/image/725136000567/image_finio7q7o92sl51ioh73d4el4i/-FJPG/106124-009_DET_7.jpg;https://dd3ka9h4chfr8.cloudfront.net/image/725136000567/image_9ut8kk6apl2tt8pfk2dgvqnv7u/-FJPG/106124-009_DET_8.jpg</t>
  </si>
  <si>
    <t>106124-009</t>
  </si>
  <si>
    <t>165.35</t>
  </si>
  <si>
    <t>https://dd3ka9h4chfr8.cloudfront.net/image/725136000567/image_9u7fv1nkqh4gfaevp3bt9b393t/-FJPG/106124-009_FRT_1.jpg</t>
  </si>
  <si>
    <t>["71% Viscose (Rayon)","17% Polyester","12% Flax/Linen","Solid Parawood"]</t>
  </si>
  <si>
    <t>82.5</t>
  </si>
  <si>
    <t>Light, livable luxury. Upholstered in a cream linen-blend, a tapered headboard features fixed overscale pillows, for a calming look with great depth. Wire-brushed parawood legs lend a warm, natural finishing touch.</t>
  </si>
  <si>
    <t>{"value":14.17,"unit":"in"}</t>
  </si>
  <si>
    <t>{"value":50.98,"unit":"in"}</t>
  </si>
  <si>
    <t>Potter</t>
  </si>
  <si>
    <t>87% Polyurethane Foam Pad, 13% Polyester Fiber</t>
  </si>
  <si>
    <t>https://dd3ka9h4chfr8.cloudfront.net/image/725136000567/image_dn90e927cp5e1ek2pr8c2fd17d/-FJPG/106124-010_FRT_1.jpg;https://dd3ka9h4chfr8.cloudfront.net/image/725136000567/image_e4edt3lun158d20t695j5ggk7j/-FJPG/106124-010_PRM_1.jpg;https://dd3ka9h4chfr8.cloudfront.net/image/725136000567/image_1nfjklq86l16hblp8ccidk2s00/-FJPG/106124-010_SID_1.jpg;https://dd3ka9h4chfr8.cloudfront.net/image/725136000567/image_6s6fjbvqi94l71133d8ahi3g4i/-FJPG/236963-010_ESS.tif;https://dd3ka9h4chfr8.cloudfront.net/image/725136000567/image_khn6rjvug52i95nvh0qat9ac2a/-FJPG/106124-010_DET_2.jpg;https://dd3ka9h4chfr8.cloudfront.net/image/725136000567/image_tcef38a7kh22d1vvsh928hfv64/-FJPG/106124-010_BCK_1.jpg;https://dd3ka9h4chfr8.cloudfront.net/image/725136000567/image_1ppkjo9eep2ufd8ogtrrilnd47/-FJPG/106124-010_INF_1.jpg;https://dd3ka9h4chfr8.cloudfront.net/image/725136000567/image_9c840vddl93vr6035bp0opp97p/-FJPG/106124-010_DET_1.jpg;https://dd3ka9h4chfr8.cloudfront.net/image/725136000567/image_e3nt0hrckl6pf0on4n9179cj43/-FJPG/106124-010_DET_3.jpg;https://dd3ka9h4chfr8.cloudfront.net/image/725136000567/image_dnaar982vp14ncdinhi55u5860/-FJPG/106124-010_DET_4.jpg;https://dd3ka9h4chfr8.cloudfront.net/image/725136000567/image_n0opk7ocr9035291u12rt2pm5k/-FJPG/106124-010_DET_5.jpg;https://dd3ka9h4chfr8.cloudfront.net/image/725136000567/image_5a1d03n9id3hb65m7j5rnq5u4l/-FJPG/106124-010_DET_6.jpg;https://dd3ka9h4chfr8.cloudfront.net/image/725136000567/image_9m981dtckd2f95j7dnssv2qq4b/-FJPG/106124-010_DET_7.jpg;https://dd3ka9h4chfr8.cloudfront.net/image/725136000567/image_48gmrg6tdt2vj4fvq8ngp5ah6n/-FJPG/106124-010_DET_8.jpg</t>
  </si>
  <si>
    <t>106124-010</t>
  </si>
  <si>
    <t>https://dd3ka9h4chfr8.cloudfront.net/image/725136000567/image_dn90e927cp5e1ek2pr8c2fd17d/-FJPG/106124-010_FRT_1.jpg</t>
  </si>
  <si>
    <t>Hd/Fb</t>
  </si>
  <si>
    <t>{"value":99.65,"unit":"lb"}</t>
  </si>
  <si>
    <t>https://dd3ka9h4chfr8.cloudfront.net/image/725136000567/image_ojtgti58f50pb6ojqr24lb8g70/-FJPG/106124-024_FRT_1.JPG;https://dd3ka9h4chfr8.cloudfront.net/image/725136000567/image_atj4ufqbo93lnenef9iv6vbi2c/-FJPG/106124-024_PRM_1.JPG;https://dd3ka9h4chfr8.cloudfront.net/image/725136000567/image_jf5rscphj97hb689b1jqs81k4k/-FJPG/106124-024_SID_1.JPG;https://dd3ka9h4chfr8.cloudfront.net/image/725136000567/image_jkbjmpv6kl38na0mabbsfgbc0u/-FJPG/106124-024_ESS.tif;https://dd3ka9h4chfr8.cloudfront.net/image/725136000567/image_5ghqnn94ph4bdc849jagojv138/-FJPG/106124-024_DET_2.JPG;https://dd3ka9h4chfr8.cloudfront.net/image/725136000567/image_djgge70g3t7rhddv5ldlunag4l/-FJPG/106124-024_BCK_1.JPG;https://dd3ka9h4chfr8.cloudfront.net/image/725136000567/image_ge286ju00d5a3dcrv3frfv2241/-FJPG/106124-024_DET_1.JPG;https://dd3ka9h4chfr8.cloudfront.net/image/725136000567/image_53piq7mr6d4atatbu7e6vt997j/-FJPG/106124-024_DET_3.JPG;https://dd3ka9h4chfr8.cloudfront.net/image/725136000567/image_jg8aril8hl42d8lmaldgkgnh4t/-FJPG/106124-024_DET_4.JPG;https://dd3ka9h4chfr8.cloudfront.net/image/725136000567/image_ajj1n6d91h7b96vmr65ia2vs49/-FJPG/106124-024_DET_5.JPG;https://dd3ka9h4chfr8.cloudfront.net/image/725136000567/image_nakqbq2lh96bh1m2vtornanp7h/-FJPG/106124-024_DET_9.tif;https://dd3ka9h4chfr8.cloudfront.net/image/725136000567/image_9ombmf9vo11k711eo18e6rc050/-FJPG/106124-024_PRM_2.JPG</t>
  </si>
  <si>
    <t>106124-024</t>
  </si>
  <si>
    <t>114.42</t>
  </si>
  <si>
    <t>https://dd3ka9h4chfr8.cloudfront.net/image/725136000567/image_ojtgti58f50pb6ojqr24lb8g70/-FJPG/106124-024_FRT_1.JPG</t>
  </si>
  <si>
    <t>Welcome light, livable luxury into your bedroom with a fully upholstered bed. A tapered headboard features a fixed oversized cushion of high-performance fabric, creating a soft, layered look.  Understated wooden legs complete the design. Performance fabrics are specially created to withstand spills, stains, high traffic and wear, ensuring long-term comfort and unmatched durability.</t>
  </si>
  <si>
    <t>{"value":74.3,"unit":"lb"}</t>
  </si>
  <si>
    <t>{"value":33.51,"unit":"lb"}</t>
  </si>
  <si>
    <t>{"value":32.41,"unit":"lb"}</t>
  </si>
  <si>
    <t>https://dd3ka9h4chfr8.cloudfront.net/image/725136000567/image_j30f5soka50erck99aaim3sn7v/-FJPG/106124-011_FRT_1.jpg;https://dd3ka9h4chfr8.cloudfront.net/image/725136000567/image_n44n7duv1l7n11rhtb4mtsbn1v/-FJPG/106124-011_PRM_1.jpg;https://dd3ka9h4chfr8.cloudfront.net/image/725136000567/image_tfvh5p1idh60d3jiptlv16b367/-FJPG/106124-011_SID_1.jpg;https://dd3ka9h4chfr8.cloudfront.net/image/725136000567/image_9qg2di0r0p71n1g68dcmu9mr74/-FJPG/106124-011_ESS_1.jpg;https://dd3ka9h4chfr8.cloudfront.net/image/725136000567/image_fs01n5r2lp6853n0rve1q3hl3n/-FJPG/106124-011_DET_2.jpg;https://dd3ka9h4chfr8.cloudfront.net/image/725136000567/image_meirinoan12ud6m9u8he4o0465/-FJPG/106124-011_BCK_1.jpg;https://dd3ka9h4chfr8.cloudfront.net/image/725136000567/image_far55iqu2p1j5d7stitu784i5q/-FJPG/106124-011_DET_1.jpg;https://dd3ka9h4chfr8.cloudfront.net/image/725136000567/image_vcbde5dail41n9d0fc51fj626k/-FJPG/106124-011_DET_3.jpg;https://dd3ka9h4chfr8.cloudfront.net/image/725136000567/image_2un8v4ekip1ideher2fpf1io51/-FJPG/106124-011_DET_4.jpg;https://dd3ka9h4chfr8.cloudfront.net/image/725136000567/image_pn3tof4ue53ndfs6u93p14nq38/-FJPG/106124-011_DET_5.jpg;https://dd3ka9h4chfr8.cloudfront.net/image/725136000567/image_im75dnk1193hr8p7ajtj9pu522/-FJPG/106124-011_ROM_1.jpg</t>
  </si>
  <si>
    <t>Manor Grey</t>
  </si>
  <si>
    <t>106124-011</t>
  </si>
  <si>
    <t>https://dd3ka9h4chfr8.cloudfront.net/image/725136000567/image_j30f5soka50erck99aaim3sn7v/-FJPG/106124-011_FRT_1.jpg</t>
  </si>
  <si>
    <t>Light, livable luxury. Upholstered in a grey synthetic-blend, a tapered headboard features fixed overscale pillows, for a calming look with great depth. Wire-brushed parawood legs lend a warm, natural finishing touch. Performance fabrics are specially created to withstand spills, stains, high traffic and wear, ensuring long-term comfort and unmatched durability.</t>
  </si>
  <si>
    <t>https://dd3ka9h4chfr8.cloudfront.net/image/725136000567/image_rh2on2tvhp63vaf0s66se0o93e/-FJPG/106124-012_FRT_1.jpg;https://dd3ka9h4chfr8.cloudfront.net/image/725136000567/image_sj7p6dm12p0rd2fa4p1m5ieq3d/-FJPG/106124-012_PRM_1.jpg;https://dd3ka9h4chfr8.cloudfront.net/image/725136000567/image_v4nv1uohi9347a2c7p2136ia09/-FJPG/106124-012_SID_1.jpg;https://dd3ka9h4chfr8.cloudfront.net/image/725136000567/image_9qg2di0r0p71n1g68dcmu9mr74/-FJPG/106124-011_ESS_1.jpg;https://dd3ka9h4chfr8.cloudfront.net/image/725136000567/image_e1kccpdqqh42767kng7gled31a/-FJPG/106124-012_DET_2.jpg;https://dd3ka9h4chfr8.cloudfront.net/image/725136000567/image_2lm3kgntfd4gpad40nqo6fgb2r/-FJPG/106124-012_BCK_1.jpg;https://dd3ka9h4chfr8.cloudfront.net/image/725136000567/image_e4k1hqk4sp6a96ganijsfe7q7b/-FJPG/106124-012_DET_1.jpg;https://dd3ka9h4chfr8.cloudfront.net/image/725136000567/image_7dd2o5rnl15pl8j9jn93kf3r2f/-FJPG/106124-012_DET_3.jpg;https://dd3ka9h4chfr8.cloudfront.net/image/725136000567/image_sobbp46gh17mdfa4g53h348a4j/-FJPG/106124-012_DET_4.jpg;https://dd3ka9h4chfr8.cloudfront.net/image/725136000567/image_4bnfivuldt4b5a2h91pnaat75k/-FJPG/106124-012_DET_5.jpg;https://dd3ka9h4chfr8.cloudfront.net/image/725136000567/image_6grhoq77ql5lp8oaonornm0c58/-FJPG/106124-012_ROM_1.jpg;https://dd3ka9h4chfr8.cloudfront.net/image/725136000567/image_d1nca5t4cl4u7f8chotr8e857q/-FJPG/106124-012_VIG_1.jpg</t>
  </si>
  <si>
    <t>106124-012</t>
  </si>
  <si>
    <t>https://dd3ka9h4chfr8.cloudfront.net/image/725136000567/image_rh2on2tvhp63vaf0s66se0o93e/-FJPG/106124-012_FRT_1.jpg</t>
  </si>
  <si>
    <t>https://dd3ka9h4chfr8.cloudfront.net/image/725136000567/image_otvkn52pu170b4ivcvehqhq620/-FJPG/106124-019_FRT_1.jpg;https://dd3ka9h4chfr8.cloudfront.net/image/725136000567/image_t7nnvvpun97hjd3aq63c0fit76/-FJPG/106124-019_PRM_1.jpg;https://dd3ka9h4chfr8.cloudfront.net/image/725136000567/image_h7h7h0tpht611buf7mb2f2nj64/-FJPG/106124-019_SID_1.jpg;https://dd3ka9h4chfr8.cloudfront.net/image/725136000567/image_93q6mnda652ij4d1klpnllh903/-FJPG/106124-019_DET_2.jpg;https://dd3ka9h4chfr8.cloudfront.net/image/725136000567/image_44n8omdm1h5khbjmson66tjm4s/-FJPG/106124-019_BCK_1.jpg;https://dd3ka9h4chfr8.cloudfront.net/image/725136000567/image_6b24vdh4213ujf06q79fdpdh0n/-FJPG/106124-019_DET_1.jpg;https://dd3ka9h4chfr8.cloudfront.net/image/725136000567/image_e995oqc6016hfbeq05s8qaeg2o/-FJPG/106124-019_DET_3.jpg</t>
  </si>
  <si>
    <t>106124-019</t>
  </si>
  <si>
    <t>https://dd3ka9h4chfr8.cloudfront.net/image/725136000567/image_otvkn52pu170b4ivcvehqhq620/-FJPG/106124-019_FRT_1.jpg</t>
  </si>
  <si>
    <t>["76.8% Cotton","23.2% Polyester","Solid Oak"]</t>
  </si>
  <si>
    <t>Burnt Oak</t>
  </si>
  <si>
    <t>Upholstered in a velvety olive with subtle highs and lows that change in appearance depending on the direction of the fabric's nap. Fixed headboard cushioning for adds texture and comfort, while tapered oak legs lend a low-profile look.</t>
  </si>
  <si>
    <t>https://dd3ka9h4chfr8.cloudfront.net/image/725136000567/image_q29plujfp92h90igafgivnmq16/-FJPG/106124-020_FRT_1.jpg;https://dd3ka9h4chfr8.cloudfront.net/image/725136000567/image_3bv0qlh5qd6f79a835aquva910/-FJPG/106124-020_PRM_1.jpg;https://dd3ka9h4chfr8.cloudfront.net/image/725136000567/image_4oqe63p04l1576f6pkk4nhao42/-FJPG/106124-020_SID_1.jpg;https://dd3ka9h4chfr8.cloudfront.net/image/725136000567/image_te7nitjt0p1g52qu497uog6n5o/-FJPG/106124-020_ESS_1.jpg;https://dd3ka9h4chfr8.cloudfront.net/image/725136000567/image_6ut4hgd8od3dpa6djvu26bt259/-FJPG/106124-020_DET_2.jpg;https://dd3ka9h4chfr8.cloudfront.net/image/725136000567/image_fepi085p6p7llao8154ftf6o5l/-FJPG/106124-020_BCK_1.jpg;https://dd3ka9h4chfr8.cloudfront.net/image/725136000567/image_odb2bcdjgh79d24irhjvne1d3j/-FJPG/106124-020_DET_1.jpg;https://dd3ka9h4chfr8.cloudfront.net/image/725136000567/image_21291ae9sd205c0mmfr7otfl20/-FJPG/106124-020_DET_3.jpg</t>
  </si>
  <si>
    <t>106124-020</t>
  </si>
  <si>
    <t>https://dd3ka9h4chfr8.cloudfront.net/image/725136000567/image_q29plujfp92h90igafgivnmq16/-FJPG/106124-020_FRT_1.jpg</t>
  </si>
  <si>
    <t>Powell Dining Table</t>
  </si>
  <si>
    <t>https://dd3ka9h4chfr8.cloudfront.net/image/725136000567/image_0bc5svrldd7vpddcpqjq28rm79/-FJPG/CIMP-134B_PRM_1.jpg;https://dd3ka9h4chfr8.cloudfront.net/image/725136000567/image_4gdmamtrkd1kd61msegi87l068/-FJPG/CIMP-134B_DET_2.jpg;https://dd3ka9h4chfr8.cloudfront.net/image/725136000567/image_upjhco7a4912vfuvaj151ue93m/-FJPG/CIMP-134B_INF_1.jpg;https://dd3ka9h4chfr8.cloudfront.net/image/725136000567/image_0nm8kge62l6khetqobl2fsga09/-FJPG/CIMP-134B_DET_1.jpg;https://dd3ka9h4chfr8.cloudfront.net/image/725136000567/image_ta7a7jki6h65pce2eu0uuivg5q/-FJPG/CIMP-134B_DET_3.jpg;https://dd3ka9h4chfr8.cloudfront.net/image/725136000567/image_o53i7lc84h7052ubt7bgvv2i1m/-FJPG/CIMP-134B_TOP_1.jpg;https://dd3ka9h4chfr8.cloudfront.net/image/725136000567/image_pop3lot57t3f33696m6gdpj57e/-FJPG/CIMP-134B_DET_4.jpg;https://dd3ka9h4chfr8.cloudfront.net/image/725136000567/image_4154o1sm557et6fq6c3795262s/-FJPG/CIMP-134B_DET_5.jpg</t>
  </si>
  <si>
    <t>CIMP-134B</t>
  </si>
  <si>
    <t>163.14</t>
  </si>
  <si>
    <t>https://dd3ka9h4chfr8.cloudfront.net/image/725136000567/image_0bc5svrldd7vpddcpqjq28rm79/-FJPG/CIMP-134B_PRM_1.jpg</t>
  </si>
  <si>
    <t>["Solid Bluestone","Iron","Solid Oak"]</t>
  </si>
  <si>
    <t>Dark Rustic Black</t>
  </si>
  <si>
    <t>Ebony</t>
  </si>
  <si>
    <t>Classic tulip shaping is recast with a rustic black iron finish. Bistro style perfectly sized for a cozy breakfast nook. White mineral lines and subtle color, texture and pattern variations are to be expected and speak to each stone's individual nature.</t>
  </si>
  <si>
    <t>{"value":167.77,"unit":"lb"}</t>
  </si>
  <si>
    <t>Powell</t>
  </si>
  <si>
    <t>10.93"</t>
  </si>
  <si>
    <t>https://dd3ka9h4chfr8.cloudfront.net/image/725136000567/image_9mjpvj5hfh3n9c9ctok5v3is10/-FJPG/CIMP-193C_PRM_1.jpg;https://dd3ka9h4chfr8.cloudfront.net/image/725136000567/image_dc67pn1rn16jt35p92mic0uf00/-FJPG/CIMP-193C_ESS_1.jpg;https://dd3ka9h4chfr8.cloudfront.net/image/725136000567/image_h2f5el5khd33jd205824fijc1t/-FJPG/CIMP-193C_DET_2.jpg;https://dd3ka9h4chfr8.cloudfront.net/image/725136000567/image_n5bor0rih501l4t657krom8h0k/-FJPG/CIMP-193C_INF_1.jpg;https://dd3ka9h4chfr8.cloudfront.net/image/725136000567/image_knf5mkpoid3nt8t800crrqra5d/-FJPG/CIMP-193C_DET_1.jpg;https://dd3ka9h4chfr8.cloudfront.net/image/725136000567/image_qc1g5m67hd2a97b0ptvq9fgn5p/-FJPG/CIMP-193C_DET_3.jpg;https://dd3ka9h4chfr8.cloudfront.net/image/725136000567/image_uqu6cbo8j51vn8n89e7bhln74m/-FJPG/CIMP-193C_DET_4.jpg;https://dd3ka9h4chfr8.cloudfront.net/image/725136000567/image_1gfh6mdb6h1m10ig0d82rc3b77/-FJPG/CIMP-193C_VIG_2.jpg</t>
  </si>
  <si>
    <t>CIMP-193C</t>
  </si>
  <si>
    <t>https://dd3ka9h4chfr8.cloudfront.net/image/725136000567/image_9mjpvj5hfh3n9c9ctok5v3is10/-FJPG/CIMP-193C_PRM_1.jpg</t>
  </si>
  <si>
    <t>Classic tulip shaping is recast with a rustic black iron finish, for an industrial look and feminine feel. White mineral lines and subtle color, texture and pattern variations are to be expected and speak to each stone's individual nature.</t>
  </si>
  <si>
    <t>14.76"</t>
  </si>
  <si>
    <t>https://dd3ka9h4chfr8.cloudfront.net/image/725136000567/image_8nu33bqbt95b96171t851l0f32/-FJPG/105807-006_PRM_1.jpg;https://dd3ka9h4chfr8.cloudfront.net/image/725136000567/image_ojrisgcrgh0j1enst61mdhu87s/-FJPG/105807-006_ESS_1.jpg;https://dd3ka9h4chfr8.cloudfront.net/image/725136000567/image_jn6jv1b60h10ffh2pvov3d4c5i/-FJPG/105807-006_DET_2.jpg;https://dd3ka9h4chfr8.cloudfront.net/image/725136000567/image_9ohhqjqd057734gougac22og49/-FJPG/105807-006_DET_1.jpg;https://dd3ka9h4chfr8.cloudfront.net/image/725136000567/image_cas84iaa1l2dt9um5mlsh6he18/-FJPG/105807-006_DET_3.jpg;https://dd3ka9h4chfr8.cloudfront.net/image/725136000567/image_qoa7s3lp450nn2li7f40l8rv4s/-FJPG/105807-006_TOP_1.jpg;https://dd3ka9h4chfr8.cloudfront.net/image/725136000567/image_77vfg9bl7p7rfdbkqi6n3c5t10/-FJPG/105807-006_DET_5.jpg</t>
  </si>
  <si>
    <t>English Brown Oak Veneer</t>
  </si>
  <si>
    <t>105807-006</t>
  </si>
  <si>
    <t>https://dd3ka9h4chfr8.cloudfront.net/image/725136000567/image_8nu33bqbt95b96171t851l0f32/-FJPG/105807-006_PRM_1.jpg</t>
  </si>
  <si>
    <t>["Oak Veneer","Iron","Solid Oak"]</t>
  </si>
  <si>
    <t>Mixed materials make the table. Classic tulip shaping is recast with a rustic black cast-iron base and a rich brown oak top.</t>
  </si>
  <si>
    <t>{"value":3.15,"unit":"in"}</t>
  </si>
  <si>
    <t>https://dd3ka9h4chfr8.cloudfront.net/image/725136000567/image_v4vu7pbgsl1ah4711ubh5g2j4m/-FJPG/CIMP-193_FRT_1.jpg;https://dd3ka9h4chfr8.cloudfront.net/image/725136000567/image_r64srai5216qh9ba37kf6r5d0o/-FJPG/CIMP-193_PRM_1.jpg;https://dd3ka9h4chfr8.cloudfront.net/image/725136000567/image_2r32vvrdl91cj937q8pk707p3d/-FJPG/CIMP-193_SID_1.jpg;https://dd3ka9h4chfr8.cloudfront.net/image/725136000567/image_klug3n1c2l6cb4bc8t05fcnq0a/-FJPG/CIMP-193_DET_2.jpg;https://dd3ka9h4chfr8.cloudfront.net/image/725136000567/image_gsu3edce4p1o1004orupcnsc3n/-FJPG/CIMP-193_DET_1.jpg;https://dd3ka9h4chfr8.cloudfront.net/image/725136000567/image_61ebm2b62p5lf6ab75tpn8s27a/-FJPG/CIMP-193_DET_3.jpg;https://dd3ka9h4chfr8.cloudfront.net/image/725136000567/image_icn4mqru8l5mbav2rtd7qamf6b/-FJPG/CIMP-193_TOP_1.jpg;https://dd3ka9h4chfr8.cloudfront.net/image/725136000567/image_isqs7bccjd0s738am5jpk5he6j/-FJPG/CIMP-193_DET_4.jpg</t>
  </si>
  <si>
    <t>CIMP-193</t>
  </si>
  <si>
    <t>176.37</t>
  </si>
  <si>
    <t>https://dd3ka9h4chfr8.cloudfront.net/image/725136000567/image_v4vu7pbgsl1ah4711ubh5g2j4m/-FJPG/CIMP-193_FRT_1.jpg</t>
  </si>
  <si>
    <t>https://dd3ka9h4chfr8.cloudfront.net/image/725136000567/image_ljimggg4gd4pbccb74jhsira35/-FJPG/CIMP-134C_PRM_1.jpg;https://dd3ka9h4chfr8.cloudfront.net/image/725136000567/image_jk62197j3t5fb6sisj3a9os96l/-FJPG/CIMP-134C_ESS_1.jpg;https://dd3ka9h4chfr8.cloudfront.net/image/725136000567/image_fl37l7elm57d97047g160mv60l/-FJPG/CIMP-134C_DET_2.jpg;https://dd3ka9h4chfr8.cloudfront.net/image/725136000567/image_td08sn5q6d5lv731u2504nn57p/-FJPG/CIMP-134C_DET_1.jpg;https://dd3ka9h4chfr8.cloudfront.net/image/725136000567/image_phaj23vl5946n2pcim6puq5c27/-FJPG/CIMP-134C_DET_3.jpg;https://dd3ka9h4chfr8.cloudfront.net/image/725136000567/image_ud5iau8n5l09tdd4t35mbbdo6d/-FJPG/CIMP-134C_DET_4.jpg;https://dd3ka9h4chfr8.cloudfront.net/image/725136000567/image_6tnpk01k7l08d9sr92shk5041k/-FJPG/CIMP-134C_VIG_1.jpg</t>
  </si>
  <si>
    <t>CIMP-134C</t>
  </si>
  <si>
    <t>https://dd3ka9h4chfr8.cloudfront.net/image/725136000567/image_ljimggg4gd4pbccb74jhsira35/-FJPG/CIMP-134C_PRM_1.jpg</t>
  </si>
  <si>
    <t>["Solid Marble","Iron","Solid Oak"]</t>
  </si>
  <si>
    <t>Mixed materials make the table. Classic tulip shaping is recast with a rustic black iron base and rounded top of white marble. Bistro style perfectly sized for a cozy breakfast nook.</t>
  </si>
  <si>
    <t>https://dd3ka9h4chfr8.cloudfront.net/image/725136000567/image_5e4sdjh7dl6ut2mr9s5evftv4d/-FJPG/CIMP-193B_PRM_1.jpg;https://dd3ka9h4chfr8.cloudfront.net/image/725136000567/image_8bhvseghil0dr84jbhlq7hsu3s/-FJPG/CIMP-193B_ESS_1.jpg;https://dd3ka9h4chfr8.cloudfront.net/image/725136000567/image_vd8ehl7ue56bl8v9mvbcm3l55g/-FJPG/CIMP-193B_DET_2.jpg;https://dd3ka9h4chfr8.cloudfront.net/image/725136000567/image_pfk0tarljp329dvsfpo9nc3l0g/-FJPG/CIMP-193B_DET_1.jpg;https://dd3ka9h4chfr8.cloudfront.net/image/725136000567/image_kkudl3rf0l1cv5tulhi7oonn61/-FJPG/CIMP-193B_DET_3.jpg;https://dd3ka9h4chfr8.cloudfront.net/image/725136000567/image_0k82qcj7at707ahsd58gk3f11e/-FJPG/CIMP-193B_DET_4.jpg;https://dd3ka9h4chfr8.cloudfront.net/image/725136000567/image_bp5ui7461d3a1b9avj0lrnjt25/-FJPG/CIMP-193B_ROM_1.jpg</t>
  </si>
  <si>
    <t>CIMP-193B</t>
  </si>
  <si>
    <t>https://dd3ka9h4chfr8.cloudfront.net/image/725136000567/image_5e4sdjh7dl6ut2mr9s5evftv4d/-FJPG/CIMP-193B_PRM_1.jpg</t>
  </si>
  <si>
    <t>Mixed materials make the table. Classic tulip shaping is recast with a rustic black iron base and rounded top of white marble.</t>
  </si>
  <si>
    <t>Quincy Bed</t>
  </si>
  <si>
    <t>https://dd3ka9h4chfr8.cloudfront.net/image/725136000567/image_7gb4p1ls9t6cpfrhuvc6hio73b/-FJPG/235838-001_FRT_1.jpg;https://dd3ka9h4chfr8.cloudfront.net/image/725136000567/image_6m019irv1t11t6jvago5f9ik5f/-FJPG/235838-001_PRM_1.jpg;https://dd3ka9h4chfr8.cloudfront.net/image/725136000567/image_pbnke83ijl27tfelfk38ed354k/-FJPG/235838-001_SID_1.jpg;https://dd3ka9h4chfr8.cloudfront.net/image/725136000567/image_abkr0rv7rp0ch0c3skcaspoj09/-FJPG/235838-001_ESS_1.jpg;https://dd3ka9h4chfr8.cloudfront.net/image/725136000567/image_s0hdsvhrn54cd6abuneaam4l1b/-FJPG/235838-001_DET_2.jpg;https://dd3ka9h4chfr8.cloudfront.net/image/725136000567/image_23i1617lnp2v3amildjb2ghf28/-FJPG/235838-001_BCK_1.jpg;https://dd3ka9h4chfr8.cloudfront.net/image/725136000567/image_bnrbugs0c13ir17al4ohqint4q/-FJPG/235838-001_DET_1.jpg;https://dd3ka9h4chfr8.cloudfront.net/image/725136000567/image_f13f3o7nk16vnback9vo0jcs7s/-FJPG/235838-001_DET_3.jpg;https://dd3ka9h4chfr8.cloudfront.net/image/725136000567/image_uqtvf2n1t94c9b04vq64m2kd11/-FJPG/235838-001_DET_4.jpg;https://dd3ka9h4chfr8.cloudfront.net/image/725136000567/image_j8k2euj5653credb4bacdni656/-FJPG/235838-001_DET_5.jpg;https://dd3ka9h4chfr8.cloudfront.net/image/725136000567/image_btj9cfi2f52n7fikuj977kga7m/-FJPG/235838-001_DET_6.jpg;https://dd3ka9h4chfr8.cloudfront.net/image/725136000567/image_uiv2u079nd7l7318psu7ef8n55/-FJPG/235838-001_DET_7.jpg;https://dd3ka9h4chfr8.cloudfront.net/image/725136000567/image_tm1g6lidd115lb4pkv92bila04/-FJPG/235838-001_DET_8.jpg;https://dd3ka9h4chfr8.cloudfront.net/image/725136000567/image_1rerdq6p552ah8ho49h2eftn0r/-FJPG/235838-001_ESS_NO EDIT 2.jpg;https://dd3ka9h4chfr8.cloudfront.net/image/725136000567/image_qqq3qricth7jl0h6fna8rlm54e/-FJPG/235838-001_ESS_NO EDIT.jpg</t>
  </si>
  <si>
    <t>Lisbon Charcoal</t>
  </si>
  <si>
    <t>235838-001</t>
  </si>
  <si>
    <t>188.38</t>
  </si>
  <si>
    <t>https://dd3ka9h4chfr8.cloudfront.net/image/725136000567/image_7gb4p1ls9t6cpfrhuvc6hio73b/-FJPG/235838-001_FRT_1.jpg</t>
  </si>
  <si>
    <t>["81% Polyester","19% Acrylic","Solid Parawood"]</t>
  </si>
  <si>
    <t>92.25</t>
  </si>
  <si>
    <t>{"value":92.25,"unit":"in"}</t>
  </si>
  <si>
    <t>Modern, clean shaping meets inflated comfort with this padded, upholstered bed frame in a textural boucle-like pattern.</t>
  </si>
  <si>
    <t>Oneheadboard</t>
  </si>
  <si>
    <t>Fh/Slats</t>
  </si>
  <si>
    <t>{"value":71.85,"unit":"in"}</t>
  </si>
  <si>
    <t>{"value":15.94,"unit":"in"}</t>
  </si>
  <si>
    <t>{"value":67.68,"unit":"lb"}</t>
  </si>
  <si>
    <t>Siderail/Centerrail</t>
  </si>
  <si>
    <t>{"value":86.86,"unit":"lb"}</t>
  </si>
  <si>
    <t>Quincy</t>
  </si>
  <si>
    <t>0.47"</t>
  </si>
  <si>
    <t>69.88"</t>
  </si>
  <si>
    <t>73.07"</t>
  </si>
  <si>
    <t>82.48"</t>
  </si>
  <si>
    <t>12.19"</t>
  </si>
  <si>
    <t>https://dd3ka9h4chfr8.cloudfront.net/image/725136000567/image_isf5fkj17d3af4lnak1fr1ef3d/-FJPG/235838-002_FRT_1.jpg;https://dd3ka9h4chfr8.cloudfront.net/image/725136000567/image_ea9b0b6ed54en2avmd03ec0k47/-FJPG/235838-002_PRM_1.jpg;https://dd3ka9h4chfr8.cloudfront.net/image/725136000567/image_menn1m9b1178l47kbd3qfaob3q/-FJPG/235838-002_SID_1.jpg;https://dd3ka9h4chfr8.cloudfront.net/image/725136000567/image_hoh606285p3rn7jpvk5pmqh21u/-FJPG/235838-002_ESS_1.jpg;https://dd3ka9h4chfr8.cloudfront.net/image/725136000567/image_lsaar2tpdh34f5mas27asllt01/-FJPG/235838-002_DET_2.jpg;https://dd3ka9h4chfr8.cloudfront.net/image/725136000567/image_jb1poftjbl5aj5fgt0bboli25j/-FJPG/235838-002_BCK_1.jpg;https://dd3ka9h4chfr8.cloudfront.net/image/725136000567/image_v2s5j043554hvfi9b1ppbem17h/-FJPG/235838-002_DET_1.jpg;https://dd3ka9h4chfr8.cloudfront.net/image/725136000567/image_6c7hmccpr51etfijntmk5cjl4h/-FJPG/235838-002_DET_3.jpg;https://dd3ka9h4chfr8.cloudfront.net/image/725136000567/image_cb095h8igp56t7dnq3u3ihdk4h/-FJPG/235838-002_DET_4.jpg;https://dd3ka9h4chfr8.cloudfront.net/image/725136000567/image_6l941lmkdl0e3f6ddrqsdv3b0j/-FJPG/235838-002_DET_5.jpg;https://dd3ka9h4chfr8.cloudfront.net/image/725136000567/image_92qaj2ig252c5ain06r2bgkl5h/-FJPG/235838-002_DET_6.jpg;https://dd3ka9h4chfr8.cloudfront.net/image/725136000567/image_v82nv579t11dh8c8gli9f8ju49/-FJPG/235838-002_DET_7.jpg;https://dd3ka9h4chfr8.cloudfront.net/image/725136000567/image_s5ahhole0l6l3aa6r84cdmh470/-FJPG/235838-002_DET_8.jpg</t>
  </si>
  <si>
    <t>235838-002</t>
  </si>
  <si>
    <t>234.79</t>
  </si>
  <si>
    <t>https://dd3ka9h4chfr8.cloudfront.net/image/725136000567/image_isf5fkj17d3af4lnak1fr1ef3d/-FJPG/235838-002_FRT_1.jpg</t>
  </si>
  <si>
    <t>89.25</t>
  </si>
  <si>
    <t>{"value":89.25,"unit":"in"}</t>
  </si>
  <si>
    <t>{"value":49.41,"unit":"in"}</t>
  </si>
  <si>
    <t>86.02"</t>
  </si>
  <si>
    <t>89.21"</t>
  </si>
  <si>
    <t>https://dd3ka9h4chfr8.cloudfront.net/image/725136000567/image_rtl6dh026p6l37s2jpv1k54k39/-FJPG/235838-003_FRT_1.jpg;https://dd3ka9h4chfr8.cloudfront.net/image/725136000567/image_ptvgvik56t6mv282rtmj0ucb68/-FJPG/235838-003_PRM_1.jpg;https://dd3ka9h4chfr8.cloudfront.net/image/725136000567/image_uk4gkqo0tl2ehaj85vuv7m6t57/-FJPG/235838-003_SID_1.jpg;https://dd3ka9h4chfr8.cloudfront.net/image/725136000567/image_ojd6vi3jqd1of2k9f1l69uds0r/-FJPG/235838-003_ESS_1.jpg;https://dd3ka9h4chfr8.cloudfront.net/image/725136000567/image_gh1b0fd00l0bvd2toasjna9b1j/-FJPG/235838-003_DET_2.jpg;https://dd3ka9h4chfr8.cloudfront.net/image/725136000567/image_gn5tc4lh9t0a5dhim9hs78uo6p/-FJPG/235838-003_BCK_1.jpg;https://dd3ka9h4chfr8.cloudfront.net/image/725136000567/image_f16qb2580p29fa9eocgmtiil38/-FJPG/235838-003_DET_1.jpg;https://dd3ka9h4chfr8.cloudfront.net/image/725136000567/image_jrf9qceq8p7m71ckc5r1c2la1m/-FJPG/235838-003_DET_3.jpg;https://dd3ka9h4chfr8.cloudfront.net/image/725136000567/image_bjbiidlbgl4f52s3uvso7m5g6h/-FJPG/235838-003_DET_4.jpg;https://dd3ka9h4chfr8.cloudfront.net/image/725136000567/image_c44i0r1kkd7snfvfpanth0p657/-FJPG/235838-003_DET_5.jpg;https://dd3ka9h4chfr8.cloudfront.net/image/725136000567/image_tfbjd3qvgt6rh9454cgvlpkg3q/-FJPG/235838-003_DET_6.jpg;https://dd3ka9h4chfr8.cloudfront.net/image/725136000567/image_qjb0oa74kt1pvd65gk1g45lm26/-FJPG/235838-003_DET_7.jpg;https://dd3ka9h4chfr8.cloudfront.net/image/725136000567/image_e9sod3h3gh5kfapmvg6gipkk6l/-FJPG/235838-003_DET_8.jpg;https://dd3ka9h4chfr8.cloudfront.net/image/725136000567/image_5e20s9gkmp00v059mfv9of974p/-FJPG/235838-003_ESS_No Edit 2.jpg;https://dd3ka9h4chfr8.cloudfront.net/image/725136000567/image_8mpq4qb4td5sp92j34nhl5f52o/-FJPG/235838-003_ESS_No Edit.jpg</t>
  </si>
  <si>
    <t>Lisbon Cream</t>
  </si>
  <si>
    <t>235838-003</t>
  </si>
  <si>
    <t>https://dd3ka9h4chfr8.cloudfront.net/image/725136000567/image_rtl6dh026p6l37s2jpv1k54k39/-FJPG/235838-003_FRT_1.jpg</t>
  </si>
  <si>
    <t>["73% Polyester","19% Acrylic","8% Flax/Linen","Solid Parawood"]</t>
  </si>
  <si>
    <t>https://dd3ka9h4chfr8.cloudfront.net/image/725136000567/image_ek1jr0jdj91njda870uatjka1l/-FJPG/235838-004_FRT_1.jpg;https://dd3ka9h4chfr8.cloudfront.net/image/725136000567/image_n98q9n3nfd05l0odgof2qcrn0e/-FJPG/235838-004_PRM_1.jpg;https://dd3ka9h4chfr8.cloudfront.net/image/725136000567/image_2utas8sr7d52hd1i1dl4or651s/-FJPG/235838-004_SID_1.jpg;https://dd3ka9h4chfr8.cloudfront.net/image/725136000567/image_nu06lshrfp3n13u3f89tqqvc44/-FJPG/235838-004_ESS_1.jpg;https://dd3ka9h4chfr8.cloudfront.net/image/725136000567/image_ob64hdo9312ll1thb9e67o8m45/-FJPG/235838-004_DET_2.jpg;https://dd3ka9h4chfr8.cloudfront.net/image/725136000567/image_jpf378f8kl2sdcit0rbeej2r7o/-FJPG/235838-004_BCK_1.jpg;https://dd3ka9h4chfr8.cloudfront.net/image/725136000567/image_l7v3gga84153b0eacpn3qg6p5u/-FJPG/235838-004_DET_1.jpg;https://dd3ka9h4chfr8.cloudfront.net/image/725136000567/image_3g8scnfbn17l57o75h3l42ue7u/-FJPG/235838-004_DET_3.jpg;https://dd3ka9h4chfr8.cloudfront.net/image/725136000567/image_tp43sdr91l0jb3rkjhdfct0i25/-FJPG/235838-004_DET_4.jpg;https://dd3ka9h4chfr8.cloudfront.net/image/725136000567/image_63qla0fped2idedff3j1n6334n/-FJPG/235838-004_DET_5.jpg;https://dd3ka9h4chfr8.cloudfront.net/image/725136000567/image_ksnevrr1e949p3i7muiohnb773/-FJPG/235838-004_DET_6.jpg;https://dd3ka9h4chfr8.cloudfront.net/image/725136000567/image_3b4f3jeas178jel86fani5uj2t/-FJPG/235838-004_DET_7.jpg;https://dd3ka9h4chfr8.cloudfront.net/image/725136000567/image_u5qrp8hnht0eddh023dhsj3a31/-FJPG/235838-004_DET_8.jpg</t>
  </si>
  <si>
    <t>235838-004</t>
  </si>
  <si>
    <t>https://dd3ka9h4chfr8.cloudfront.net/image/725136000567/image_ek1jr0jdj91njda870uatjka1l/-FJPG/235838-004_FRT_1.jpg</t>
  </si>
  <si>
    <t>https://dd3ka9h4chfr8.cloudfront.net/image/725136000567/image_45kvl0rc2l79tfnjgbrua6tu69/-FJPG/235838-007_FRT_1.jpg;https://dd3ka9h4chfr8.cloudfront.net/image/725136000567/image_9v51apffpt337bvncjbv1m3142/-FJPG/235838-007_PRM_1.jpg;https://dd3ka9h4chfr8.cloudfront.net/image/725136000567/image_8t3ehbkp792t1ek3t4on3sv47s/-FJPG/235838-007_SID_1.jpg;https://dd3ka9h4chfr8.cloudfront.net/image/725136000567/image_2ufoj7mgu90el1anr3r4k4oi1s/-FJPG/235838-007_DET_2.jpg;https://dd3ka9h4chfr8.cloudfront.net/image/725136000567/image_sbn7bn115149f1lf1f5iq0n10l/-FJPG/235838-007_BCK_1.jpg;https://dd3ka9h4chfr8.cloudfront.net/image/725136000567/image_jdhbd9vdh10gr4jag31sv4o302/-FJPG/235838-007_DET_1.jpg;https://dd3ka9h4chfr8.cloudfront.net/image/725136000567/image_hkupjk7i5h7pb50upkj9ba8k60/-FJPG/235838-007_DET_3.jpg;https://dd3ka9h4chfr8.cloudfront.net/image/725136000567/image_t45r4fdvbt0596o3b029tu9r5c/-FJPG/235838-007_DET_4.jpg;https://dd3ka9h4chfr8.cloudfront.net/image/725136000567/image_s1t78vh7811hdcggodmn7odo16/-FJPG/235838-007_DET_5.jpg;https://dd3ka9h4chfr8.cloudfront.net/image/725136000567/image_lgtqftbc1l5efe4uhls4ad030a/-FJPG/235838-007_DET_6.jpg</t>
  </si>
  <si>
    <t>235838-007</t>
  </si>
  <si>
    <t>https://dd3ka9h4chfr8.cloudfront.net/image/725136000567/image_45kvl0rc2l79tfnjgbrua6tu69/-FJPG/235838-007_FRT_1.jpg</t>
  </si>
  <si>
    <t>https://dd3ka9h4chfr8.cloudfront.net/image/725136000567/image_8l748t4j010el1ukqrpdue395p/-FJPG/235838-008_FRT_1.jpg;https://dd3ka9h4chfr8.cloudfront.net/image/725136000567/image_it6he76rg57bj4ff8ev45aqi1m/-FJPG/235838-008_PRM_1.jpg;https://dd3ka9h4chfr8.cloudfront.net/image/725136000567/image_u2lfi60an54f5c1u1sfo7ue472/-FJPG/235838-008_SID_1.jpg;https://dd3ka9h4chfr8.cloudfront.net/image/725136000567/image_b9cjih9g9513j85o1hdf89ti7k/-FJPG/235838-008_DET_2.jpg;https://dd3ka9h4chfr8.cloudfront.net/image/725136000567/image_k0qe8d3re96mj422ce8u784l01/-FJPG/235838-008_BCK_1.jpg;https://dd3ka9h4chfr8.cloudfront.net/image/725136000567/image_g47n8okk4p3ch0ndbuk1qvi65h/-FJPG/235838-008_DET_1.jpg;https://dd3ka9h4chfr8.cloudfront.net/image/725136000567/image_pdht4j7g116mh52m26idjpud4c/-FJPG/235838-008_DET_3.jpg;https://dd3ka9h4chfr8.cloudfront.net/image/725136000567/image_fu6jftuvo1339a4rdt599qg46k/-FJPG/235838-008_DET_4.jpg;https://dd3ka9h4chfr8.cloudfront.net/image/725136000567/image_p3nkm0d9f94p5ed44qjq7gqt5h/-FJPG/235838-008_DET_5.jpg;https://dd3ka9h4chfr8.cloudfront.net/image/725136000567/image_td547lh6g12kn68m4e59ta3m2l/-FJPG/235838-008_DET_6.jpg</t>
  </si>
  <si>
    <t>235838-008</t>
  </si>
  <si>
    <t>https://dd3ka9h4chfr8.cloudfront.net/image/725136000567/image_8l748t4j010el1ukqrpdue395p/-FJPG/235838-008_FRT_1.jpg</t>
  </si>
  <si>
    <t>Radley Power Recliner 2-Piece Sectional</t>
  </si>
  <si>
    <t>https://dd3ka9h4chfr8.cloudfront.net/image/725136000567/image_7moakjh5g93blf2cl5r6ikp219/-FJPG/235916-002_FRT_1.jpg;https://dd3ka9h4chfr8.cloudfront.net/image/725136000567/image_87pl9ld5cl59jd8k6s3kl4uu13/-FJPG/235916-002_PRM_1.jpg;https://dd3ka9h4chfr8.cloudfront.net/image/725136000567/image_fckkbqnvh12bl1vj1nnu275v4o/-FJPG/235916-002_SID_1.jpg;https://dd3ka9h4chfr8.cloudfront.net/image/725136000567/image_rfvmk0mc9d4srbk78mhs3l4f7j/-FJPG/235916-002_ESS_1.jpg;https://dd3ka9h4chfr8.cloudfront.net/image/725136000567/image_h077est86h50h900k98hs1kp47/-FJPG/235916-002_DET_2.jpg;https://dd3ka9h4chfr8.cloudfront.net/image/725136000567/image_3t46mslk4h3p17kqo3o8m0n81k/-FJPG/235916-002_BCK_1.jpg;https://dd3ka9h4chfr8.cloudfront.net/image/725136000567/image_029kf8efv16v9aispr3pt7ef1c/-FJPG/235916-002_DET_1.jpg;https://dd3ka9h4chfr8.cloudfront.net/image/725136000567/image_0v21q6ctkl1h76mn5n452kie29/-FJPG/235916-002_DET_3.jpg;https://dd3ka9h4chfr8.cloudfront.net/image/725136000567/image_0r8cgq9k9t0odchbsfuhs3f14e/-FJPG/235916-002_PRM_2.jpg;https://dd3ka9h4chfr8.cloudfront.net/image/725136000567/image_u56pt8inot4k7bq4906oj0db6o/-FJPG/235916-002_FRT_2.jpg;https://dd3ka9h4chfr8.cloudfront.net/image/725136000567/image_9nvs8qrp9t34bakd0d490u001e/-FJPG/235916-002_ESS_2.jpg</t>
  </si>
  <si>
    <t>Antigo Natural</t>
  </si>
  <si>
    <t>235916-002</t>
  </si>
  <si>
    <t>308.64</t>
  </si>
  <si>
    <t>https://dd3ka9h4chfr8.cloudfront.net/image/725136000567/image_7moakjh5g93blf2cl5r6ikp219/-FJPG/235916-002_FRT_1.jpg</t>
  </si>
  <si>
    <t>["53% Polyester","30% Acrylic","17% Flax/Linen"]</t>
  </si>
  <si>
    <t>89</t>
  </si>
  <si>
    <t>45.25</t>
  </si>
  <si>
    <t>{"value":45.25,"unit":"in"}</t>
  </si>
  <si>
    <t>A modern take on the classic recliner. Customize your comfort level with the push of hidden buttons with pieces in our Power Motion collection. Sectional features wide arms with a medium to supportive sit and seat height, plus an adjustable headrest. Zero-clearance design means the sectional can be placed up against a wall. Performance fabrics are specially created to withstand spills, stains, high traffic and wear, ensuring long-term comfort and unmatched durability. Includes 9'5" power cord. There is a six-motor maximum per power outlet. Each motor comes with a two-year warranty.</t>
  </si>
  <si>
    <t>{"value":183.42,"unit":"lb"}</t>
  </si>
  <si>
    <t>Radley</t>
  </si>
  <si>
    <t>50% Polyurethane Foam, 30% Duck Feather, 20% Fiber</t>
  </si>
  <si>
    <t>https://dd3ka9h4chfr8.cloudfront.net/image/725136000567/image_o2v3lv2os144ffmg6jlrlg2h0h/-FJPG/235916-004_FRT_1.jpg;https://dd3ka9h4chfr8.cloudfront.net/image/725136000567/image_n3us52e81t4c581j5p7v5cms2r/-FJPG/235916-004_PRM_1.jpg;https://dd3ka9h4chfr8.cloudfront.net/image/725136000567/image_av16r63sfh2175vq5tvv8m3523/-FJPG/235916-004_SID_1.jpg;https://dd3ka9h4chfr8.cloudfront.net/image/725136000567/image_ica5ln8qc53i51mvkqguo3n11p/-FJPG/235916-004_ESS.tif;https://dd3ka9h4chfr8.cloudfront.net/image/725136000567/image_p58u70b7qp1dp1b72ff63c3f0a/-FJPG/235916-004_DET_2.jpg;https://dd3ka9h4chfr8.cloudfront.net/image/725136000567/image_nf0mlmqsed51l7qlnripnalo74/-FJPG/235916-004_BCK_1.jpg;https://dd3ka9h4chfr8.cloudfront.net/image/725136000567/image_u9ndtv7u253gp52hiu5rdqs95d/-FJPG/235916-004_DET_1.jpg;https://dd3ka9h4chfr8.cloudfront.net/image/725136000567/image_ro6ssae0v54uh8230u3t4s8r3u/-FJPG/235916-004_DET_3.jpg;https://dd3ka9h4chfr8.cloudfront.net/image/725136000567/image_aqhdpqjsq925931gr1refr6p4h/-FJPG/235916-004_DET_4.jpg;https://dd3ka9h4chfr8.cloudfront.net/image/725136000567/image_nk35ft429173f6fbpd7sk4s31q/-FJPG/235916-004_PRM_2.jpg;https://dd3ka9h4chfr8.cloudfront.net/image/725136000567/image_bfh994ejed7mn1s1kjf74cg41s/-FJPG/235916-004_SID_2.jpg;https://dd3ka9h4chfr8.cloudfront.net/image/725136000567/image_1ve4msva0h3even5knpsgapc58/-FJPG/235916-004_FRT_2.jpg;https://dd3ka9h4chfr8.cloudfront.net/image/725136000567/image_hqev6clmdt4qn3lac790b9562g/-FJPG/235916-004_ESS_2.tif;https://dd3ka9h4chfr8.cloudfront.net/image/725136000567/image_nkk7ug76rd3h79vqoo8fat0c4a/-FJPG/235916-004_BCK_2.jpg</t>
  </si>
  <si>
    <t>235916-004</t>
  </si>
  <si>
    <t>https://dd3ka9h4chfr8.cloudfront.net/image/725136000567/image_o2v3lv2os144ffmg6jlrlg2h0h/-FJPG/235916-004_FRT_1.jpg</t>
  </si>
  <si>
    <t>A modern take on the classic recliner. Customize your comfort level with the push of hidden buttons with pieces in our Power Motion collection. Sectional features wide arms with a medium to supportive sit and seat height, plus an adjustable headrest. Free of PFAS, soft and easy to clean, Crypton® performance fabric is specially engineered for protection against stains, moisture and odor. Zero-clearance design means the sectional can be placed up against a wall. There is a six-motor maximum per power outlet. Each motor comes with a two-year warranty.</t>
  </si>
  <si>
    <t>https://dd3ka9h4chfr8.cloudfront.net/image/725136000567/image_cq5k2ivn4p5kf9tvrbhr2pet3k/-FJPG/235916-003_FRT_1.JPG;https://dd3ka9h4chfr8.cloudfront.net/image/725136000567/image_fk7o7fcuah2tj2rt381chrga0d/-FJPG/235916-003_PRM_1.JPG;https://dd3ka9h4chfr8.cloudfront.net/image/725136000567/image_a5u0m3ci911cr645v6aq3kvd43/-FJPG/235916-003_BCK_1.JPG;https://dd3ka9h4chfr8.cloudfront.net/image/725136000567/image_grcce2q58h5ef75j84t7pmbp0e/-FJPG/235916-003_OPN_1.JPG;https://dd3ka9h4chfr8.cloudfront.net/image/725136000567/image_ing5rdm3ml0e1e07agvjv2oc21/-FJPG/235916-003_OPN_2.JPG</t>
  </si>
  <si>
    <t>Laken Stone</t>
  </si>
  <si>
    <t>235916-003</t>
  </si>
  <si>
    <t>https://dd3ka9h4chfr8.cloudfront.net/image/725136000567/image_cq5k2ivn4p5kf9tvrbhr2pet3k/-FJPG/235916-003_FRT_1.JPG</t>
  </si>
  <si>
    <t>A modern take on the classic recliner. Customize your comfort level with the push of hidden buttons with pieces in our Power Motion collection. Sectional features wide arms with a medium to supportive sit and seat height, plus an adjustable headrest. Zero-clearance design means the sectional can be placed up against a wall. There is a six-motor maximum per power outlet. Each motor comes with a two-year warranty.</t>
  </si>
  <si>
    <t>https://dd3ka9h4chfr8.cloudfront.net/image/725136000567/image_3qnogme5ml29h08cqvu0uig412/-FJPG/235916-001_FRT_1.jpg;https://dd3ka9h4chfr8.cloudfront.net/image/725136000567/image_hk8oq2kab50v97qqf762lkn11g/-FJPG/235916-001_PRM_1.jpg;https://dd3ka9h4chfr8.cloudfront.net/image/725136000567/image_psp2siup5t4svbh3g0hifjni1t/-FJPG/235916-001_SID_1.jpg;https://dd3ka9h4chfr8.cloudfront.net/image/725136000567/image_21kosacr2914h2ine5fuga1l51/-FJPG/235916-001_ESS.tif;https://dd3ka9h4chfr8.cloudfront.net/image/725136000567/image_f8qtaegbk511va5q4mniomgs2d/-FJPG/235916-001_DET_2.jpg;https://dd3ka9h4chfr8.cloudfront.net/image/725136000567/image_j9rlaegftp4htanmbbpum5ke17/-FJPG/235916-001_BCK_1.jpg;https://dd3ka9h4chfr8.cloudfront.net/image/725136000567/image_8rk0eiu4q97j124epo06m0oi6j/-FJPG/235916-001_DET_1.jpg;https://dd3ka9h4chfr8.cloudfront.net/image/725136000567/image_qs19lb4vst4h9e1ovsi98rbr25/-FJPG/235916-001_DET_3.jpg;https://dd3ka9h4chfr8.cloudfront.net/image/725136000567/image_k033tk5kbl603cnroah0mmqa3o/-FJPG/235916-001_DET_4.jpg;https://dd3ka9h4chfr8.cloudfront.net/image/725136000567/image_2b3mvtprld0bjattjn6vpiur4n/-FJPG/235916-001_DET_5.jpg;https://dd3ka9h4chfr8.cloudfront.net/image/725136000567/image_ap620ao37d4rd5cr53mjp2ha3v/-FJPG/235916-001_DET_9.tif;https://dd3ka9h4chfr8.cloudfront.net/image/725136000567/image_06l3dcni9p5jt99ikhpq53k67p/-FJPG/238970-001_DET_9.tif;https://dd3ka9h4chfr8.cloudfront.net/image/725136000567/image_o93ahc0s655i72umhrj96jrj1b/-FJPG/235916-001_PRM_2.jpg;https://dd3ka9h4chfr8.cloudfront.net/image/725136000567/image_njqt96u2o566rf2ndc8s0lr317/-FJPG/235916-001_FRT_2.jpg;https://dd3ka9h4chfr8.cloudfront.net/image/725136000567/image_3us7flbart7op9d8kuoq3gvk70/-FJPG/235916-001_ESS_2.tif</t>
  </si>
  <si>
    <t>235916-001</t>
  </si>
  <si>
    <t>https://dd3ka9h4chfr8.cloudfront.net/image/725136000567/image_3qnogme5ml29h08cqvu0uig412/-FJPG/235916-001_FRT_1.jpg</t>
  </si>
  <si>
    <t>A modern take on the classic recliner. Customize your comfort level with the push of hidden buttons with pieces in our Power Motion collection. Sectional features wide arms with a medium to supportive sit and seat height, plus an adjustable headrest. Zero-clearance design means the sectional can be placed up against a wall. Upholstered in top-grain leather exclusive to Four Hands with slightly distressed character. Includes 9'5" power cord. There is a six-motor maximum per power outlet. Each motor comes with a two-year warranty.</t>
  </si>
  <si>
    <t>https://dd3ka9h4chfr8.cloudfront.net/image/725136000567/image_qpjf6rbqnt713esd9nbf7a9o2e/-FJPG/235916-005_FRT_1.jpg;https://dd3ka9h4chfr8.cloudfront.net/image/725136000567/image_ohofjdobht06l1rjod39s3e13p/-FJPG/235916-005_PRM_1.jpg;https://dd3ka9h4chfr8.cloudfront.net/image/725136000567/image_aman3le26l7s9ajci76plv0v4u/-FJPG/235916-005_SID_1.jpg;https://dd3ka9h4chfr8.cloudfront.net/image/725136000567/image_qsgb06d3813uj1b8lsidnf5t08/-FJPG/235916-005_ESS.tif;https://dd3ka9h4chfr8.cloudfront.net/image/725136000567/image_v6kmnmhkqp10lab39jmbtkb01i/-FJPG/235916-005_DET_2.jpg;https://dd3ka9h4chfr8.cloudfront.net/image/725136000567/image_tlfdffp15d4e9ed58b9q964941/-FJPG/235916-005_BCK_1.jpg;https://dd3ka9h4chfr8.cloudfront.net/image/725136000567/image_h16evfqg7p5of2v7dna30nrj69/-FJPG/235916-005_DET_1.jpg;https://dd3ka9h4chfr8.cloudfront.net/image/725136000567/image_mn76dg05np1uteo82nnaam473l/-FJPG/235916-005_DET_3.jpg;https://dd3ka9h4chfr8.cloudfront.net/image/725136000567/image_epu5p3sl7p15n5ppdjnbg0ar7n/-FJPG/235916-005_DET_9.tif;https://dd3ka9h4chfr8.cloudfront.net/image/725136000567/image_2julqchj4p3q90ep62h4jobl5p/-FJPG/235916-005_PRM_2.jpg;https://dd3ka9h4chfr8.cloudfront.net/image/725136000567/image_kthe5uu78h7vfdd6md53pomh7j/-FJPG/235916-005_BCK_2.jpg;https://dd3ka9h4chfr8.cloudfront.net/image/725136000567/image_41aq6vqgih2bt5elord1ou0c7n/-FJPG/235916-005_FRT_2.jpg;https://dd3ka9h4chfr8.cloudfront.net/image/725136000567/image_3jbusvqc1p7uh26htusqm4f552/-FJPG/235916-005_ESS_2.tif</t>
  </si>
  <si>
    <t>235916-005</t>
  </si>
  <si>
    <t>https://dd3ka9h4chfr8.cloudfront.net/image/725136000567/image_qpjf6rbqnt713esd9nbf7a9o2e/-FJPG/235916-005_FRT_1.jpg</t>
  </si>
  <si>
    <t>Radley Power Recliner 3-Piece Sectional</t>
  </si>
  <si>
    <t>https://dd3ka9h4chfr8.cloudfront.net/image/725136000567/image_cn5f6aqcst5ltfpkdf751t4a0h/-FJPG/238970-005_FRT_1.jpg;https://dd3ka9h4chfr8.cloudfront.net/image/725136000567/image_aiu416f3o92k11s01a8se9c05l/-FJPG/238970-005_PRM_1.jpg;https://dd3ka9h4chfr8.cloudfront.net/image/725136000567/image_eh0cqcl0al71jdl83b7ml8rp70/-FJPG/238970-005_SID_1.jpg;https://dd3ka9h4chfr8.cloudfront.net/image/725136000567/image_1q7bg6n1sp3jtatmj1mddghf4h/-FJPG/238970-005_ESS.tif;https://dd3ka9h4chfr8.cloudfront.net/image/725136000567/image_2fbld9qrid2tpb7p3nnf4kpi3s/-FJPG/238970-005_DET_2.jpg;https://dd3ka9h4chfr8.cloudfront.net/image/725136000567/image_othmavd4st6fj84n5iv7hbmi26/-FJPG/238970-005_BCK_1.jpg;https://dd3ka9h4chfr8.cloudfront.net/image/725136000567/image_mjuh8i2fht1br0p4ao1remqa6h/-FJPG/238970-005_DET_1.jpg;https://dd3ka9h4chfr8.cloudfront.net/image/725136000567/image_adofrlkbi55k12o7dtlt075s2f/-FJPG/238970-005_DET_9.tif;https://dd3ka9h4chfr8.cloudfront.net/image/725136000567/image_mn9qnbbdhl4opat7kqd3m1i47n/-FJPG/238970-005_PRM_2.jpg;https://dd3ka9h4chfr8.cloudfront.net/image/725136000567/image_sj8b03ktld1154372k0ksgpq4r/-FJPG/238970-005_FRT_2.jpg;https://dd3ka9h4chfr8.cloudfront.net/image/725136000567/image_6cjbj1hfo940d7fk28eq5p963k/-FJPG/238970-005_ESS_2.tif;https://dd3ka9h4chfr8.cloudfront.net/image/725136000567/image_l0qi0e7p152u90g3fertvktj73/-FJPG/238970-005_BCK_2.jpg</t>
  </si>
  <si>
    <t>238970-005</t>
  </si>
  <si>
    <t>431.66</t>
  </si>
  <si>
    <t>https://dd3ka9h4chfr8.cloudfront.net/image/725136000567/image_cn5f6aqcst5ltfpkdf751t4a0h/-FJPG/238970-005_FRT_1.jpg</t>
  </si>
  <si>
    <t>121</t>
  </si>
  <si>
    <t>{"value":121,"unit":"in"}</t>
  </si>
  <si>
    <t>L Shape Box Complete Item</t>
  </si>
  <si>
    <t>{"value":146.39,"unit":"lb"}</t>
  </si>
  <si>
    <t>1050 lb</t>
  </si>
  <si>
    <t>{"value":1050,"unit":"lb"}</t>
  </si>
  <si>
    <t>Raffael Bar Cabinet</t>
  </si>
  <si>
    <t>https://dd3ka9h4chfr8.cloudfront.net/image/725136000567/image_b61avt79gh19fdrs7166f2me11/-FJPG/106414-006_FRT_1.jpg;https://dd3ka9h4chfr8.cloudfront.net/image/725136000567/image_hnt1s591v97sh6g1luaiq1na42/-FJPG/106414-006_PRM_1.jpg;https://dd3ka9h4chfr8.cloudfront.net/image/725136000567/image_6n7umbavah6832l96b61paev4d/-FJPG/106414-006_SID_1.jpg;https://dd3ka9h4chfr8.cloudfront.net/image/725136000567/image_3q23s9sk3l0h721vuoj8v6fs23/-FJPG/106414-006_ESS_1.jpg;https://dd3ka9h4chfr8.cloudfront.net/image/725136000567/image_r9crkuf3u17018ap9ro26hqv6u/-FJPG/106414-006_DET_2.jpg;https://dd3ka9h4chfr8.cloudfront.net/image/725136000567/image_2u9p68r90p7ahci8o06ms53b1v/-FJPG/106414-006_BCK_1.jpg;https://dd3ka9h4chfr8.cloudfront.net/image/725136000567/image_7hgj4367d51r30kvnfeuh71265/-FJPG/106414-006_DET_1.jpg;https://dd3ka9h4chfr8.cloudfront.net/image/725136000567/image_u2lbl4a9b16sp9l23lbj5ahr0m/-FJPG/106414-006_DET_3.jpg;https://dd3ka9h4chfr8.cloudfront.net/image/725136000567/image_a4r6llilo52sld16a5kfdkt07e/-FJPG/106414-006_OPN_1.jpg;https://dd3ka9h4chfr8.cloudfront.net/image/725136000567/image_9asvgubql137l2chdv1l79cu5j/-FJPG/106414-006_DET_4.jpg;https://dd3ka9h4chfr8.cloudfront.net/image/725136000567/image_5mrs6iepet7m9f02e9h0abnq65/-FJPG/106414-006_ESS_2.jpg</t>
  </si>
  <si>
    <t>Carved Stonewash Grey Mango</t>
  </si>
  <si>
    <t>106414-006</t>
  </si>
  <si>
    <t>153</t>
  </si>
  <si>
    <t>https://dd3ka9h4chfr8.cloudfront.net/image/725136000567/image_b61avt79gh19fdrs7166f2me11/-FJPG/106414-006_FRT_1.jpg</t>
  </si>
  <si>
    <t>40.75</t>
  </si>
  <si>
    <t>Fallon</t>
  </si>
  <si>
    <t>Bar &amp; Wine Storage</t>
  </si>
  <si>
    <t>Fit for dinner parties or at-home lounging, this mango bar cabinet is finished in a stonewashed grey and intricately carved for a unique, textured look. Doors open to spacious interior shelving for storage of bottles and stemware.</t>
  </si>
  <si>
    <t>Bar Functionality</t>
  </si>
  <si>
    <t>Raffael</t>
  </si>
  <si>
    <t>Raffael Desk</t>
  </si>
  <si>
    <t>https://dd3ka9h4chfr8.cloudfront.net/image/725136000567/image_8ksrm35ne130h793mpjodgmj7f/-FJPG/IFAL-040_FRT_1.jpg;https://dd3ka9h4chfr8.cloudfront.net/image/725136000567/image_241h7au64d1qn7tek2gce6js0f/-FJPG/IFAL-040_PRM_1.jpg;https://dd3ka9h4chfr8.cloudfront.net/image/725136000567/image_9167fgc96t0v73octsr5tmb927/-FJPG/IFAL-040_SID_1.jpg;https://dd3ka9h4chfr8.cloudfront.net/image/725136000567/image_a4o9dvbk2d5b157q6f0gokpf3l/-FJPG/IFAL-040_DET_2.jpg;https://dd3ka9h4chfr8.cloudfront.net/image/725136000567/image_7fkjgeepqt547cjv5foddda301/-FJPG/IFAL-040_BCK_1.jpg;https://dd3ka9h4chfr8.cloudfront.net/image/725136000567/image_fev3q17ae9265ed32a7ufmbb1n/-FJPG/IFAL-040_DET_1.jpg;https://dd3ka9h4chfr8.cloudfront.net/image/725136000567/image_4476dbh0jp70n2ab95ne0sun05/-FJPG/IFAL-040_DET_3.jpg;https://dd3ka9h4chfr8.cloudfront.net/image/725136000567/image_69v62ccd551kl8e036bttdv87a/-FJPG/IFAL-040_OPN_1.jpg;https://dd3ka9h4chfr8.cloudfront.net/image/725136000567/image_1cebpo62pp08hf6q521srjn026/-FJPG/IFAL-040_DET_4.jpg;https://dd3ka9h4chfr8.cloudfront.net/image/725136000567/image_h4jkn22aol03h1vd83s1iakq0d/-FJPG/IFAL-040_DET_5.jpg;https://dd3ka9h4chfr8.cloudfront.net/image/725136000567/image_dpslojl3gd2ah8jc217bcknb4k/-FJPG/IFAL-040_DET_6.jpg;https://dd3ka9h4chfr8.cloudfront.net/image/725136000567/image_35p271dtpd09r7fhl492e3gi4k/-FJPG/IFAL-040_ROM_1.jpg</t>
  </si>
  <si>
    <t>IFAL-040</t>
  </si>
  <si>
    <t>214.95</t>
  </si>
  <si>
    <t>https://dd3ka9h4chfr8.cloudfront.net/image/725136000567/image_8ksrm35ne130h793mpjodgmj7f/-FJPG/IFAL-040_FRT_1.jpg</t>
  </si>
  <si>
    <t>Antique Brown</t>
  </si>
  <si>
    <t>A two-tier desk of brown mango wood features intricate carving for a uniquely textured look and float-like feel. Gunmetal-finished iron legs offer an intriguing material mix with a modern touch.</t>
  </si>
  <si>
    <t>{"value":74.25,"unit":"in"}</t>
  </si>
  <si>
    <t>{"value":257.06,"unit":"lb"}</t>
  </si>
  <si>
    <t>22.38"</t>
  </si>
  <si>
    <t>Railay Dining Table</t>
  </si>
  <si>
    <t>https://dd3ka9h4chfr8.cloudfront.net/image/725136000567/image_jrhgip21ad3el27ostnu6dth6a/-FJPG/241163-001_FRT_1.jpg;https://dd3ka9h4chfr8.cloudfront.net/image/725136000567/image_ic97ulok0p257148p57hc74v0q/-FJPG/241163-001_PRM_1.jpg;https://dd3ka9h4chfr8.cloudfront.net/image/725136000567/image_83k82mdiu51orfajccrjprge4g/-FJPG/241163-001_SID_1.jpg;https://dd3ka9h4chfr8.cloudfront.net/image/725136000567/image_95mqnlk4it67hb0fpc3c735c0n/-FJPG/241163-001_ESS.tif;https://dd3ka9h4chfr8.cloudfront.net/image/725136000567/image_7e71spnq693uj60dqfv946pv4b/-FJPG/241163-001_DET_2.jpg;https://dd3ka9h4chfr8.cloudfront.net/image/725136000567/image_0v3npug3r953771ik50d1e9701/-FJPG/241163-001_DET_1.jpg;https://dd3ka9h4chfr8.cloudfront.net/image/725136000567/image_t3f820id3d37ja0o83onc0c92i/-FJPG/241163-001_DET_3.jpg;https://dd3ka9h4chfr8.cloudfront.net/image/725136000567/image_98v8qem3l507hc9dvamhfss626/-FJPG/241163-001_DET_4.jpg;https://dd3ka9h4chfr8.cloudfront.net/image/725136000567/image_qog14n4h1l7gt3ndfbjm0nv640/-FJPG/241163-001_DET_5.jpg;https://dd3ka9h4chfr8.cloudfront.net/image/725136000567/image_27efil6r193k7827tpeak8bi5f/-FJPG/241163-001_DET_6.jpg;https://dd3ka9h4chfr8.cloudfront.net/image/725136000567/image_hbv84lh2pt5s91h5e9dt55km4h/-FJPG/241163-001_DET_9.tif</t>
  </si>
  <si>
    <t>Dusted Oak Veneer</t>
  </si>
  <si>
    <t>241163-001</t>
  </si>
  <si>
    <t>256.84</t>
  </si>
  <si>
    <t>https://dd3ka9h4chfr8.cloudfront.net/image/725136000567/image_jrhgip21ad3el27ostnu6dth6a/-FJPG/241163-001_FRT_1.jpg</t>
  </si>
  <si>
    <t>A rectangular dining table of light oak veneer features joint and connection for a design-forward look.</t>
  </si>
  <si>
    <t>{"value":302.03,"unit":"lb"}</t>
  </si>
  <si>
    <t>Railay</t>
  </si>
  <si>
    <t>17.76"</t>
  </si>
  <si>
    <t>59.37"</t>
  </si>
  <si>
    <t>26.46"</t>
  </si>
  <si>
    <t>Ramos Sideboard</t>
  </si>
  <si>
    <t>https://dd3ka9h4chfr8.cloudfront.net/image/725136000567/image_k43vcp6ohh69n80gbc797l867l/-FJPG/242203-001_FRT_1.jpg;https://dd3ka9h4chfr8.cloudfront.net/image/725136000567/image_9hdnq986i906r9l63fc4uuk73d/-FJPG/242203-001_PRM_1.jpg;https://dd3ka9h4chfr8.cloudfront.net/image/725136000567/image_7kl14ildad3jrbclgggmr2su6q/-FJPG/242203-001_SID_1.jpg;https://dd3ka9h4chfr8.cloudfront.net/image/725136000567/image_odk04l655p34t46fn35jkgri4u/-FJPG/242203-001_ESS_1.tif;https://dd3ka9h4chfr8.cloudfront.net/image/725136000567/image_mtme5v7dcp7pf94tg0cif0ff3n/-FJPG/242203-001_DET_2.jpg;https://dd3ka9h4chfr8.cloudfront.net/image/725136000567/image_vp3lcf222l4lj0acncqbq6ak22/-FJPG/242203-001_BCK_1.jpg;https://dd3ka9h4chfr8.cloudfront.net/image/725136000567/image_dukmf9o1s91r5b30cl2kg85l35/-FJPG/242203-001_DET_1.jpg;https://dd3ka9h4chfr8.cloudfront.net/image/725136000567/image_2koctm5poh2777j5r35fsor133/-FJPG/242203-001_DET_3.jpg;https://dd3ka9h4chfr8.cloudfront.net/image/725136000567/image_qsdl4vdvq915bd6k14dgnq4j1f/-FJPG/242203-001_OPN_1.jpg;https://dd3ka9h4chfr8.cloudfront.net/image/725136000567/image_oec1mqidsh28damstihkepjn6g/-FJPG/242203-001_DET_4.jpg;https://dd3ka9h4chfr8.cloudfront.net/image/725136000567/image_21gkd95p4p0ctclj72ao55rs29/-FJPG/242203-001_DET_5.jpg;https://dd3ka9h4chfr8.cloudfront.net/image/725136000567/image_mu84fbsubt7gf7hvdr7l8ied23/-FJPG/242203-001_DET_6.jpg;https://dd3ka9h4chfr8.cloudfront.net/image/725136000567/image_a6ovp625cd03n6hj5d1ud99055/-FJPG/242203-001_DET_7.jpg;https://dd3ka9h4chfr8.cloudfront.net/image/725136000567/image_h0lhdjnh4l46b5s07rufdrt84i/-FJPG/242203-001_DET_9.tif</t>
  </si>
  <si>
    <t>Dark Espresso Reclaimed French Oak</t>
  </si>
  <si>
    <t>242203-001</t>
  </si>
  <si>
    <t>304.23</t>
  </si>
  <si>
    <t>https://dd3ka9h4chfr8.cloudfront.net/image/725136000567/image_k43vcp6ohh69n80gbc797l867l/-FJPG/242203-001_FRT_1.jpg</t>
  </si>
  <si>
    <t>93.25</t>
  </si>
  <si>
    <t>{"value":93.25,"unit":"in"}</t>
  </si>
  <si>
    <t>Made from reclaimed French oak and finished in a rich espresso, a spacious sideboard features heavy reeding, for a linear look reflective of midcentury inspiration. Fully finished interior. Designed in partnership with longtime Four Hands collaborator Thomas Bina and Brazilian designer Ronald Sasson.</t>
  </si>
  <si>
    <t>{"value":95.87,"unit":"in"}</t>
  </si>
  <si>
    <t>{"value":23.82,"unit":"in"}</t>
  </si>
  <si>
    <t>{"value":366.63,"unit":"lb"}</t>
  </si>
  <si>
    <t>26.10"</t>
  </si>
  <si>
    <t>44.69"</t>
  </si>
  <si>
    <t>Ramos</t>
  </si>
  <si>
    <t>Rashi Swivel Chair</t>
  </si>
  <si>
    <t>https://dd3ka9h4chfr8.cloudfront.net/image/725136000567/image_finks9egv9347ejpan11p01o0t/-FJPG/226428-004_FRT_1.jpg;https://dd3ka9h4chfr8.cloudfront.net/image/725136000567/image_m9pjtei6nh1r3dbspgi0p5d148/-FJPG/226428-004_PRM_1.jpg;https://dd3ka9h4chfr8.cloudfront.net/image/725136000567/image_fkro01i2bh7vn79ud6r8023r61/-FJPG/226428-004_SID_1.jpg;https://dd3ka9h4chfr8.cloudfront.net/image/725136000567/image_un27lvsrg91bj2fascou82tv08/-FJPG/226428-004_ESS_1.jpg;https://dd3ka9h4chfr8.cloudfront.net/image/725136000567/image_jcuk598c2l603f7f2ioj7giq5m/-FJPG/226428-004_DET_2.jpg;https://dd3ka9h4chfr8.cloudfront.net/image/725136000567/image_vao4boqijh3tl5m8i87nnh663t/-FJPG/226428-004_BCK_1.jpg;https://dd3ka9h4chfr8.cloudfront.net/image/725136000567/image_llmob7ti3p44h1nc6r9ca66u56/-FJPG/226428-004_DET_1.jpg;https://dd3ka9h4chfr8.cloudfront.net/image/725136000567/image_vpp6pv6tod6rj0l7udg3q0rc62/-FJPG/226428-004_DET_3.jpg;https://dd3ka9h4chfr8.cloudfront.net/image/725136000567/image_o7va0qqj0h0a99efrc8uvisj0r/-FJPG/226428-004_DET_4.jpg</t>
  </si>
  <si>
    <t>226428-004</t>
  </si>
  <si>
    <t>https://dd3ka9h4chfr8.cloudfront.net/image/725136000567/image_finks9egv9347ejpan11p01o0t/-FJPG/226428-004_FRT_1.jpg</t>
  </si>
  <si>
    <t>Casual comfort. Upholstered in a velvety olive cotton with subtle highs and lows that change in appearance depending on the direction of the fabric's nap. Flange trimming crafts a fun, contemporary silhouette while a 360-swivel adds ease in the modern home.</t>
  </si>
  <si>
    <t>{"value":82.01,"unit":"lb"}</t>
  </si>
  <si>
    <t>80% Polyurethane Foam Pad, 10% Polyester Fiber, 5% Polyester Fiber Batting, 5% Waterfowl Feather</t>
  </si>
  <si>
    <t>Rashi</t>
  </si>
  <si>
    <t>Redondo Media Console</t>
  </si>
  <si>
    <t>https://dd3ka9h4chfr8.cloudfront.net/image/725136000567/image_n78fetksp91356i2ih32nutb1e/-FJPG/239752-001_FRT_1.jpg;https://dd3ka9h4chfr8.cloudfront.net/image/725136000567/image_a8875et7s509rdmpgpqtroi13d/-FJPG/239752-001_PRM_1.jpg;https://dd3ka9h4chfr8.cloudfront.net/image/725136000567/image_v7s8849ui50599i867qti2fq3c/-FJPG/239752-001_SID_1.jpg;https://dd3ka9h4chfr8.cloudfront.net/image/725136000567/image_5gq72f0fq96rn5uqnvnsmire7u/-FJPG/239752-001_ESS_1.tif;https://dd3ka9h4chfr8.cloudfront.net/image/725136000567/image_bl7rke0n8t4u5ats9sf7d0dn74/-FJPG/239752-001_DET_2.jpg;https://dd3ka9h4chfr8.cloudfront.net/image/725136000567/image_lloav7680977r5qb73938qbd4e/-FJPG/239752-001_BCK_1.jpg;https://dd3ka9h4chfr8.cloudfront.net/image/725136000567/image_oogh39473t3t9c7hsgd6nems7f/-FJPG/239752-001_DET_1.jpg;https://dd3ka9h4chfr8.cloudfront.net/image/725136000567/image_v1f8041bbl36r7l4t5tgetp93a/-FJPG/239752-001_DET_3.jpg;https://dd3ka9h4chfr8.cloudfront.net/image/725136000567/image_ju95i5n9q56pv75p6o7b3fou2p/-FJPG/239752-001_OPN_1.jpg;https://dd3ka9h4chfr8.cloudfront.net/image/725136000567/image_im5ghg5du13kbbhihtmo3oth3j/-FJPG/239752-001_TOP_1.jpg;https://dd3ka9h4chfr8.cloudfront.net/image/725136000567/image_512t84mcil6u5e2dk729422n3n/-FJPG/239752-001_DET_4.jpg;https://dd3ka9h4chfr8.cloudfront.net/image/725136000567/image_kbt3sthuod2t5de9b4ufs5q207/-FJPG/239752-001_DET_5.jpg;https://dd3ka9h4chfr8.cloudfront.net/image/725136000567/image_d617v6p83l2db8lpabcvo4s27a/-FJPG/239752-001_DET_6.jpg;https://dd3ka9h4chfr8.cloudfront.net/image/725136000567/image_4sp4cf4thd6vdduo546nanek37/-FJPG/239752-001_DET_7.jpg;https://dd3ka9h4chfr8.cloudfront.net/image/725136000567/image_9dgtbiu6ht7474kk0fgt8o1q28/-FJPG/239752-001_DET_8.jpg;https://dd3ka9h4chfr8.cloudfront.net/image/725136000567/image_sb83pqlsil0d72q1uh2k0hb468/-FJPG/239752-001_DET_9.tif;https://dd3ka9h4chfr8.cloudfront.net/image/725136000567/image_fdmrkj1pg53g98b3dmdnc4qt28/-FJPG/239752-001_DET_10.tif;https://dd3ka9h4chfr8.cloudfront.net/image/725136000567/image_lui0frjivl3m14qnnk7ibgfl4u/-FJPG/FHMPRJ-008_SCENE_7D.tif</t>
  </si>
  <si>
    <t>239752-001</t>
  </si>
  <si>
    <t>https://dd3ka9h4chfr8.cloudfront.net/image/725136000567/image_n78fetksp91356i2ih32nutb1e/-FJPG/239752-001_FRT_1.jpg</t>
  </si>
  <si>
    <t>["Resawn Alder Veneer","Aluminum"]</t>
  </si>
  <si>
    <t>Oxidized Aluminum</t>
  </si>
  <si>
    <t>This simply styled media console is crafted from a mix of bleached resawn alder wood with oxidized metal door fronts with a brass undertone for subtle tonal contrast. Designed with ample storage and rear cutouts for cord management.</t>
  </si>
  <si>
    <t>{"value":327.38,"unit":"lb"}</t>
  </si>
  <si>
    <t>41.25"</t>
  </si>
  <si>
    <t>Redondo</t>
  </si>
  <si>
    <t>Reese Sofa</t>
  </si>
  <si>
    <t>https://dd3ka9h4chfr8.cloudfront.net/image/725136000567/image_b026brkfkl3nd9fepf8auuhh7u/-FJPG/CASH-19955-889_FRT_1.jpg;https://dd3ka9h4chfr8.cloudfront.net/image/725136000567/image_qoi08r3ll15ol1uas0c6pcfn78/-FJPG/CASH-19955-889_PRM_1.jpg;https://dd3ka9h4chfr8.cloudfront.net/image/725136000567/image_mm2tuijvud0r9cb6rq8piseo0k/-FJPG/CASH-19955-889_SID_1.jpg;https://dd3ka9h4chfr8.cloudfront.net/image/725136000567/image_7lnknia7ot7993rceli63b3g56/-FJPG/CASH-19955-889_DET_2.jpg;https://dd3ka9h4chfr8.cloudfront.net/image/725136000567/image_a4ptj8aaf90136ahr5k481df0t/-FJPG/CASH-19955-889_BCK_1.jpg;https://dd3ka9h4chfr8.cloudfront.net/image/725136000567/image_g1ckhiqp5h22tahtshvjk7ao4s/-FJPG/CASH-19955-889_DET_1.jpg;https://dd3ka9h4chfr8.cloudfront.net/image/725136000567/image_mgmp47hq2p7lj9ueamdmicjd36/-FJPG/CASH-19955-889_DET_3.jpg;https://dd3ka9h4chfr8.cloudfront.net/image/725136000567/image_e8k7o0u4kh137b4c8g6h3bv937/-FJPG/CASH-19955-889_DET_4.jpg;https://dd3ka9h4chfr8.cloudfront.net/image/725136000567/image_0vnmkmg6dd0pj3m5fag2md4j4u/-FJPG/CASH-19955-889_DET_5.jpg;https://dd3ka9h4chfr8.cloudfront.net/image/725136000567/image_vmfvaua9td0a9ecr0fba6q0d7u/-FJPG/CASH-19955-889_DET_6.jpg;https://dd3ka9h4chfr8.cloudfront.net/image/725136000567/image_8hfp2rfeb96sr0h9md2hj34l21/-FJPG/CASH-19955-889_DET_7.jpg;https://dd3ka9h4chfr8.cloudfront.net/image/725136000567/image_jsnnam2q555q71s4t9nn79637g/-FJPG/CASH-19955-889_DET_8.jpg;https://dd3ka9h4chfr8.cloudfront.net/image/725136000567/image_1vdpbr6m3d57hf9qsi9aukcg0h/-FJPG/CASH-19955-889_ROM_1.jpg;https://dd3ka9h4chfr8.cloudfront.net/image/725136000567/image_oah7v6kkql5vd8ae0q85utgh46/-FJPG/CASH-19955-889_VIG_1.jpg</t>
  </si>
  <si>
    <t>CASH-19955-889</t>
  </si>
  <si>
    <t>110.89</t>
  </si>
  <si>
    <t>https://dd3ka9h4chfr8.cloudfront.net/image/725136000567/image_b026brkfkl3nd9fepf8auuhh7u/-FJPG/CASH-19955-889_FRT_1.jpg</t>
  </si>
  <si>
    <t>Almond Beech</t>
  </si>
  <si>
    <t>Effortlessly on-trend. Two-cushion seating of sage top-grain leather, with knife-edge pillows and welted track arms. Almond-finished legs taper for a modern touch atop mid-century influence.</t>
  </si>
  <si>
    <t>{"value":147.49,"unit":"lb"}</t>
  </si>
  <si>
    <t>62.25"</t>
  </si>
  <si>
    <t>Reese</t>
  </si>
  <si>
    <t>70% Polyurethane Foam Pad, 20% Polyester Fiber Batting, 10% Waterfowl Feather</t>
  </si>
  <si>
    <t>https://dd3ka9h4chfr8.cloudfront.net/image/725136000567/image_h24ri2cc6h4u39i85et9c75364/-FJPG/100061-007_FRT_1.jpg;https://dd3ka9h4chfr8.cloudfront.net/image/725136000567/image_tphfgd3acd2a7foqknlmab2b6g/-FJPG/100061-007_PRM_1.jpg;https://dd3ka9h4chfr8.cloudfront.net/image/725136000567/image_tacimlvpqd6v76sutdkt3mkv77/-FJPG/100061-007_SID_1.jpg;https://dd3ka9h4chfr8.cloudfront.net/image/725136000567/image_7rgmharnk13n31mhjohs8bpm7o/-FJPG/100061-007_ESS_1.jpg;https://dd3ka9h4chfr8.cloudfront.net/image/725136000567/image_eosu4r4gs5317725hg7qaksq14/-FJPG/100061-007_DET_2.jpg;https://dd3ka9h4chfr8.cloudfront.net/image/725136000567/image_8anm5h4m095h1258ci5rn3oc57/-FJPG/100061-007_BCK_1.jpg;https://dd3ka9h4chfr8.cloudfront.net/image/725136000567/image_sll36nijch4abcbgt5dq2n092q/-FJPG/Color Variance Card_Palermo Cognac.jpg;https://dd3ka9h4chfr8.cloudfront.net/image/725136000567/image_ls1ovundit5jd5h796rv1epe2r/-FJPG/100061-007_DET_1.jpg;https://dd3ka9h4chfr8.cloudfront.net/image/725136000567/image_749mcj59op4a97660joco2bk08/-FJPG/100061-007_DET_3.jpg;https://dd3ka9h4chfr8.cloudfront.net/image/725136000567/image_aeakh293q16bh98bgqq05urb7c/-FJPG/100061-007_DET_4.jpg;https://dd3ka9h4chfr8.cloudfront.net/image/725136000567/image_kgecjua4rd02138sjl3eqp5k0m/-FJPG/100061-007_PRM_2.jpg</t>
  </si>
  <si>
    <t>100061-007</t>
  </si>
  <si>
    <t>https://dd3ka9h4chfr8.cloudfront.net/image/725136000567/image_h24ri2cc6h4u39i85et9c75364/-FJPG/100061-007_FRT_1.jpg</t>
  </si>
  <si>
    <t>Effortlessly on-trend. Two-cushion seating of top-grain leather, with knife-edge pillows and welted track arms. Almond-finished legs taper for a modern touch atop midcentury influence.</t>
  </si>
  <si>
    <t>Reggie Chair</t>
  </si>
  <si>
    <t>https://dd3ka9h4chfr8.cloudfront.net/image/725136000567/image_ua20n8feat4rl5kfofusu4ro77/-FJPG/230798-004_FRT_1.jpg;https://dd3ka9h4chfr8.cloudfront.net/image/725136000567/image_ig8jl34ev14hp5l1lq6imhna5v/-FJPG/230798-004_PRM_1.jpg;https://dd3ka9h4chfr8.cloudfront.net/image/725136000567/image_pg35vpn4bt5b3d11s8usflp37s/-FJPG/230798-004_SID_1.jpg;https://dd3ka9h4chfr8.cloudfront.net/image/725136000567/image_om1rn7g9ql5bl6mkudormfv344/-FJPG/230798-004_ESS_1.jpg;https://dd3ka9h4chfr8.cloudfront.net/image/725136000567/image_d5f56l56dp6cr1mrg98d8o7u65/-FJPG/230798-004_DET_2.jpg;https://dd3ka9h4chfr8.cloudfront.net/image/725136000567/image_p6g4i6g9sp05342gn7iaq3mm70/-FJPG/230798-004_BCK_1.jpg;https://dd3ka9h4chfr8.cloudfront.net/image/725136000567/image_0p7g3fbssl04fan2rji2elcn31/-FJPG/230798-004_DET_1.jpg;https://dd3ka9h4chfr8.cloudfront.net/image/725136000567/image_uh1fdgfhpp64j3g4nm0u4agg6r/-FJPG/230798-004_DET_3.jpg;https://dd3ka9h4chfr8.cloudfront.net/image/725136000567/image_4nqq9bqa0l7h551ov1rs68j01e/-FJPG/230798-004_DET_4.jpg;https://dd3ka9h4chfr8.cloudfront.net/image/725136000567/image_fc3sepdekh34599fh8rda5iv2i/-FJPG/230798-004_DET_5.jpg;https://dd3ka9h4chfr8.cloudfront.net/image/725136000567/image_shkjlefapt1praq1u83ici795n/-FJPG/230798-004_PRM_2.jpg</t>
  </si>
  <si>
    <t>230798-004</t>
  </si>
  <si>
    <t>https://dd3ka9h4chfr8.cloudfront.net/image/725136000567/image_ua20n8feat4rl5kfofusu4ro77/-FJPG/230798-004_FRT_1.jpg</t>
  </si>
  <si>
    <t>Oversized cushioning brings a Brazilian midcentury feel to this vintage-inspired chair. Designed with cushion-wrapped slanted arms, fixed cushioning with a deep sit and narrow legs reminiscent of midcentury style. Sourced from one of the oldest family-owned tanneries in Italyâ€™s Bassano del Grappa, heirloom leather is salvaged and processed from upcycled hides featuring an abundance of natural markings, scars and color variations. The result? Beautifully supple, buttery soft hides with an unmatched depth of color and richness, and an authentic lived-in look.</t>
  </si>
  <si>
    <t>Reggie</t>
  </si>
  <si>
    <t>https://dd3ka9h4chfr8.cloudfront.net/image/725136000567/image_7ta4ou92mh67n708mpsh7sj12u/-FJPG/230798-005_FRT_1.jpg;https://dd3ka9h4chfr8.cloudfront.net/image/725136000567/image_jj6gna50453mf2m505q3vk3o1k/-FJPG/230798-005_PRM_1.jpg;https://dd3ka9h4chfr8.cloudfront.net/image/725136000567/image_ujpaiuciol2hleto5cj1tn210u/-FJPG/230798-005_SID_1.jpg;https://dd3ka9h4chfr8.cloudfront.net/image/725136000567/image_qrik2pom9d52tbhpi0j9bs384q/-FJPG/230798-005_ESS_1.tif;https://dd3ka9h4chfr8.cloudfront.net/image/725136000567/image_vqpjq3i5r91id9tocieh7rc456/-FJPG/230798-005_DET_2.jpg;https://dd3ka9h4chfr8.cloudfront.net/image/725136000567/image_gs166jnld52vn76o7ojcjf6214/-FJPG/230798-005_BCK_1.jpg;https://dd3ka9h4chfr8.cloudfront.net/image/725136000567/image_s617rj0n956fv85h4d9bj6pu13/-FJPG/Color Variance Card_Heirloom Sienna.png;https://dd3ka9h4chfr8.cloudfront.net/image/725136000567/image_i7l0fn0hqd56t7je4ouhgerh4l/-FJPG/230798-005_DET_1.jpg;https://dd3ka9h4chfr8.cloudfront.net/image/725136000567/image_qu9ag4cdbl79jbcluomfjqmc6c/-FJPG/230798-005_DET_3.jpg;https://dd3ka9h4chfr8.cloudfront.net/image/725136000567/image_ljh49jv4md17rfrvvmvipdb43g/-FJPG/230798-005_DET_4.jpg;https://dd3ka9h4chfr8.cloudfront.net/image/725136000567/image_8riqga7t3d1gh952qk3v8npo2n/-FJPG/230798-005_DET_5.jpg;https://dd3ka9h4chfr8.cloudfront.net/image/725136000567/image_25oa9m4ebp5aj40ti6ts48ut29/-FJPG/230798-005_DET_6.jpg</t>
  </si>
  <si>
    <t>230798-005</t>
  </si>
  <si>
    <t>https://dd3ka9h4chfr8.cloudfront.net/image/725136000567/image_7ta4ou92mh67n708mpsh7sj12u/-FJPG/230798-005_FRT_1.jpg</t>
  </si>
  <si>
    <t>Reign Desk</t>
  </si>
  <si>
    <t>https://dd3ka9h4chfr8.cloudfront.net/image/725136000567/image_60neoc95fh2lha2nt9u5l5752o/-FJPG/232718-003_FRT_1.jpg;https://dd3ka9h4chfr8.cloudfront.net/image/725136000567/image_eh6a0e38353e34sqe1f1ttqb0u/-FJPG/232718-003_PRM_1.jpg;https://dd3ka9h4chfr8.cloudfront.net/image/725136000567/image_rmcv7qnaa5119f7pu2cui9db4n/-FJPG/232718-003_SID_1.jpg;https://dd3ka9h4chfr8.cloudfront.net/image/725136000567/image_tsiq3moqop50nb3m3mu05mcn0p/-FJPG/232718-003_ESS.tif;https://dd3ka9h4chfr8.cloudfront.net/image/725136000567/image_grseohmcqt0if2rc4nesbrvc2u/-FJPG/232718-003_DET_2.jpg;https://dd3ka9h4chfr8.cloudfront.net/image/725136000567/image_t33qgrvi495371skvgov1f0v7l/-FJPG/232718-003_BCK_1.jpg;https://dd3ka9h4chfr8.cloudfront.net/image/725136000567/image_luejn0e11p2vj2lc8avuqol639/-FJPG/232718-003_DET_1.jpg;https://dd3ka9h4chfr8.cloudfront.net/image/725136000567/image_r3dm00b2j576d0p3q961pdnu31/-FJPG/232718-003_DET_3.jpg;https://dd3ka9h4chfr8.cloudfront.net/image/725136000567/image_e3q3dhfujp1sp7kavon22lsk0i/-FJPG/232718-003_OPN_1.jpg;https://dd3ka9h4chfr8.cloudfront.net/image/725136000567/image_gikosa7hk57vl5kgrv6pmgue1d/-FJPG/232718-003_DET_4.jpg;https://dd3ka9h4chfr8.cloudfront.net/image/725136000567/image_khjfk6ek893mhfme3bvvamg95c/-FJPG/232718-003_DET_5.jpg;https://dd3ka9h4chfr8.cloudfront.net/image/725136000567/image_93ukmvikbh1hbdtvesp5405j1k/-FJPG/232718-003_DET_6.jpg;https://dd3ka9h4chfr8.cloudfront.net/image/725136000567/image_iuf7mjhmet5gjej3qi2n50qe3h/-FJPG/232718-003_DET_7.jpg;https://dd3ka9h4chfr8.cloudfront.net/image/725136000567/image_6lqlgb7c1l39n76l09oi83jt7a/-FJPG/232718-003_DET_8.jpg;https://dd3ka9h4chfr8.cloudfront.net/image/725136000567/image_vrbpntk8kl3pd03mdsvbs3t63n/-FJPG/232718-003_DET_9.jpg</t>
  </si>
  <si>
    <t>Distressed Walnut</t>
  </si>
  <si>
    <t>232718-003</t>
  </si>
  <si>
    <t>https://dd3ka9h4chfr8.cloudfront.net/image/725136000567/image_60neoc95fh2lha2nt9u5l5752o/-FJPG/232718-003_FRT_1.jpg</t>
  </si>
  <si>
    <t>["Solid Birch"]</t>
  </si>
  <si>
    <t>It's a material thing. Made entirely from solid pine, a specialized waxed finish gives this roomy five-drawer desk a purposefully antiqued look.</t>
  </si>
  <si>
    <t>Reign</t>
  </si>
  <si>
    <t>67.09"</t>
  </si>
  <si>
    <t>22.36"</t>
  </si>
  <si>
    <t>70.08"</t>
  </si>
  <si>
    <t>https://dd3ka9h4chfr8.cloudfront.net/image/725136000567/image_3iig8qgh054atb9bero5nfcq14/-FJPG/232718-001_FRT_1.jpg;https://dd3ka9h4chfr8.cloudfront.net/image/725136000567/image_itrvn2cev17uv0ujoq8a4v6f4s/-FJPG/232718-001_PRM_1.jpg;https://dd3ka9h4chfr8.cloudfront.net/image/725136000567/image_qfgc0dgbth6qb37epab74ipu61/-FJPG/232718-001_SID_1.jpg;https://dd3ka9h4chfr8.cloudfront.net/image/725136000567/image_o7nq6rcq2h4of68uhh2h8clp47/-FJPG/232718-001_ESS_1.jpg;https://dd3ka9h4chfr8.cloudfront.net/image/725136000567/image_mj9e1anegh4kbbu43g6uaqqf4b/-FJPG/232718-001_DET_2.jpg;https://dd3ka9h4chfr8.cloudfront.net/image/725136000567/image_b5j5cd06dp7h14809sbvo6926k/-FJPG/232718-001_BCK_1.jpg;https://dd3ka9h4chfr8.cloudfront.net/image/725136000567/image_bvvnh8vel949t7efjtuvgr6q4f/-FJPG/232718-001_DET_1.jpg;https://dd3ka9h4chfr8.cloudfront.net/image/725136000567/image_jrphpmh1015431gu23p7brru5g/-FJPG/232718-001_DET_3.jpg;https://dd3ka9h4chfr8.cloudfront.net/image/725136000567/image_f7b5tbtv5d1u998dkhc85eed7o/-FJPG/232718-001_OPN_1.jpg;https://dd3ka9h4chfr8.cloudfront.net/image/725136000567/image_ah8m1hhvq17015c0ctv4l7ts6s/-FJPG/232718-001_DET_4.jpg;https://dd3ka9h4chfr8.cloudfront.net/image/725136000567/image_3427460crh61j1lrf8trid8b2q/-FJPG/232718-001_DET_5.jpg;https://dd3ka9h4chfr8.cloudfront.net/image/725136000567/image_pitallpuut3hbaksr5flv26i0i/-FJPG/232718-001_DET_6.jpg;https://dd3ka9h4chfr8.cloudfront.net/image/725136000567/image_4kgaqfr0vl6hb9kavh5mt3hr6n/-FJPG/232718-001_DET_7.jpg;https://dd3ka9h4chfr8.cloudfront.net/image/725136000567/image_hpfhib4kjl03rav0f8qccnmi0q/-FJPG/232718-001_DET_8.jpg;https://dd3ka9h4chfr8.cloudfront.net/image/725136000567/image_f7rdogvmuh2rnernc7p7u6lo0k/-FJPG/232718-001_PRM_2.jpg</t>
  </si>
  <si>
    <t>232718-001</t>
  </si>
  <si>
    <t>https://dd3ka9h4chfr8.cloudfront.net/image/725136000567/image_3iig8qgh054atb9bero5nfcq14/-FJPG/232718-001_FRT_1.jpg</t>
  </si>
  <si>
    <t>Renan Coffee Table</t>
  </si>
  <si>
    <t>https://dd3ka9h4chfr8.cloudfront.net/image/725136000567/image_918msp5r216rb7qkqufuse6n56/-FJPG/242139-001_FRT_1.jpg;https://dd3ka9h4chfr8.cloudfront.net/image/725136000567/image_ko6jo4uor133tfnsfb5cvags36/-FJPG/242139-001_PRM_1.jpg;https://dd3ka9h4chfr8.cloudfront.net/image/725136000567/image_oq31mt07cd0upb1jjpgbr5ra2p/-FJPG/242139-001_SID_1.jpg;https://dd3ka9h4chfr8.cloudfront.net/image/725136000567/image_rtri18jloh2kb49tajfrhfo40s/-FJPG/242139-001_ESS_1.tif;https://dd3ka9h4chfr8.cloudfront.net/image/725136000567/image_03femq4olp0al50oqj88sq501j/-FJPG/242139-001_DET_2.jpg;https://dd3ka9h4chfr8.cloudfront.net/image/725136000567/image_3mvpvg67mh1k32di9ajb6cdb7i/-FJPG/242139-001_DET_1.jpg;https://dd3ka9h4chfr8.cloudfront.net/image/725136000567/image_jum1ko1s055sj0b47cg5ron42h/-FJPG/242139-001_DET_3.jpg;https://dd3ka9h4chfr8.cloudfront.net/image/725136000567/image_q2jc9us5k97fddhs99das6ah0j/-FJPG/242139-001_DET_4.jpg;https://dd3ka9h4chfr8.cloudfront.net/image/725136000567/image_dt50704bq124hc19cqgivsrf5k/-FJPG/242139-001_DET_9.tif;https://dd3ka9h4chfr8.cloudfront.net/image/725136000567/image_bvav7hmq4l6ad9hplumi1q1854/-FJPG/242139-001_DET_10.tif;https://dd3ka9h4chfr8.cloudfront.net/image/725136000567/image_edrs312dut51pa3a89sk6dra16/-FJPG/242139-001_DET_11.tif</t>
  </si>
  <si>
    <t>242139-001</t>
  </si>
  <si>
    <t>141.76</t>
  </si>
  <si>
    <t>https://dd3ka9h4chfr8.cloudfront.net/image/725136000567/image_918msp5r216rb7qkqufuse6n56/-FJPG/242139-001_FRT_1.jpg</t>
  </si>
  <si>
    <t>Atop a plinth base, a round coffee table of reclaimed French oak is finished in a rich espresso. Designed in partnership with longtime Four Hands collaborator Thomas Bina and Brazilian designer Ronald Sasson.</t>
  </si>
  <si>
    <t>{"value":57.76,"unit":"in"}</t>
  </si>
  <si>
    <t>{"value":57.2,"unit":"in"}</t>
  </si>
  <si>
    <t>{"value":184.75,"unit":"lb"}</t>
  </si>
  <si>
    <t>Renan</t>
  </si>
  <si>
    <t>46.89"</t>
  </si>
  <si>
    <t>10.59"</t>
  </si>
  <si>
    <t>Renan End Table</t>
  </si>
  <si>
    <t>https://dd3ka9h4chfr8.cloudfront.net/image/725136000567/image_97jgor66i91svbs1m1kj1vq238/-FJPG/242141-002_FRT_1.jpg;https://dd3ka9h4chfr8.cloudfront.net/image/725136000567/image_gnuelo799d52b96mh7d7mgtf6g/-FJPG/242141-002_PRM_1.jpg;https://dd3ka9h4chfr8.cloudfront.net/image/725136000567/image_de4vqsjc2t4j7412cd86mjkl7u/-FJPG/242141-002_SID_1.jpg;https://dd3ka9h4chfr8.cloudfront.net/image/725136000567/image_6pn6sj552t0bp33lri49d0975i/-FJPG/242141-002_ESS_1.tif;https://dd3ka9h4chfr8.cloudfront.net/image/725136000567/image_i0plhigcmd5c72ccqo3b145e4s/-FJPG/242141-002_DET_2.jpg;https://dd3ka9h4chfr8.cloudfront.net/image/725136000567/image_piq86k97gl5st0j7kinnboln7r/-FJPG/242141-002_DET_1.jpg;https://dd3ka9h4chfr8.cloudfront.net/image/725136000567/image_dkk6btb3k57jndsjgv579grv5d/-FJPG/242141-002_DET_3.jpg;https://dd3ka9h4chfr8.cloudfront.net/image/725136000567/image_g66v6fh3q56cp7ejqkthb6886v/-FJPG/242141-002_DET_4.jpg;https://dd3ka9h4chfr8.cloudfront.net/image/725136000567/image_vo6etj0eah4jr6pmgjfe2q4m12/-FJPG/242141-002_DET_5.jpg;https://dd3ka9h4chfr8.cloudfront.net/image/725136000567/image_268q4e3iu15f97pieiccdo1d5o/-FJPG/242141-002_DET_9.tif</t>
  </si>
  <si>
    <t>242141-002</t>
  </si>
  <si>
    <t>69.22</t>
  </si>
  <si>
    <t>https://dd3ka9h4chfr8.cloudfront.net/image/725136000567/image_97jgor66i91svbs1m1kj1vq238/-FJPG/242141-002_FRT_1.jpg</t>
  </si>
  <si>
    <t>["Morada Veneer"]</t>
  </si>
  <si>
    <t>A round end table of natural morado is perfectly sized to keep a favorite drink or book within reach. Designed in partnership with longtime Four Hands collaborator Thomas Bina and Brazilian designer Ronald Sasson.</t>
  </si>
  <si>
    <t>18.27"</t>
  </si>
  <si>
    <t>2.05"</t>
  </si>
  <si>
    <t>https://dd3ka9h4chfr8.cloudfront.net/image/725136000567/image_qvl4er22ct4al0upe5i2sead09/-FJPG/242141-001_FRT_1.jpg;https://dd3ka9h4chfr8.cloudfront.net/image/725136000567/image_idubl1aptp6gp557pee7me2l02/-FJPG/242141-001_PRM_1.jpg;https://dd3ka9h4chfr8.cloudfront.net/image/725136000567/image_mk80g721m16a15beo7a5d0a32f/-FJPG/242141-001_SID_1.jpg;https://dd3ka9h4chfr8.cloudfront.net/image/725136000567/image_5r0dj0ip0d5m9cf63vv2m03i0l/-FJPG/242141-001_ESS_1.tif;https://dd3ka9h4chfr8.cloudfront.net/image/725136000567/image_qknifv6mn92kf7q1djcatnpj2u/-FJPG/242141-001_DET_2.jpg;https://dd3ka9h4chfr8.cloudfront.net/image/725136000567/image_ftm7e2mt451bp9jlgtmmd9630a/-FJPG/242141-001_DET_1.jpg;https://dd3ka9h4chfr8.cloudfront.net/image/725136000567/image_eucmcto2dh4h1993muereau34c/-FJPG/242141-001_DET_3.jpg;https://dd3ka9h4chfr8.cloudfront.net/image/725136000567/image_9h1as7lqp51tn3r67ocf9hfl08/-FJPG/242141-001_DET_4.jpg;https://dd3ka9h4chfr8.cloudfront.net/image/725136000567/image_o7tvna9unp6td5ucp7iltgtb5v/-FJPG/242141-001_DET_5.jpg;https://dd3ka9h4chfr8.cloudfront.net/image/725136000567/image_gbhgctjnnh50v78vqvtbthb64o/-FJPG/242141-001_DET_6.jpg;https://dd3ka9h4chfr8.cloudfront.net/image/725136000567/image_4pe37vmjet0r5fm64id3219e3q/-FJPG/242141-001_DET_7.jpg;https://dd3ka9h4chfr8.cloudfront.net/image/725136000567/image_up9juh5rbl3h1ai91a79jpml3k/-FJPG/242141-001_DET_8.jpg</t>
  </si>
  <si>
    <t>242141-001</t>
  </si>
  <si>
    <t>https://dd3ka9h4chfr8.cloudfront.net/image/725136000567/image_qvl4er22ct4al0upe5i2sead09/-FJPG/242141-001_FRT_1.jpg</t>
  </si>
  <si>
    <t>["Solid Reclaimed Oak","Oak Veneer"]</t>
  </si>
  <si>
    <t>A round end table of reclaimed French oak is perfectly sized to keep a favorite drink or book within reach. Designed in partnership with longtime Four Hands collaborator Thomas Bina and Brazilian designer Ronald Sasson.</t>
  </si>
  <si>
    <t>Renaud Sideboard</t>
  </si>
  <si>
    <t>https://dd3ka9h4chfr8.cloudfront.net/image/725136000567/image_aq354h8odl4dlc64p9o7qltq79/-FJPG/234020-001_FRT_1.jpg;https://dd3ka9h4chfr8.cloudfront.net/image/725136000567/image_ptndbq4o716ffeehmh73ea777m/-FJPG/234020-001_PRM_1.jpg;https://dd3ka9h4chfr8.cloudfront.net/image/725136000567/image_3i7uobc8694b5333h7hd370n6l/-FJPG/234020-001_SID_1.jpg;https://dd3ka9h4chfr8.cloudfront.net/image/725136000567/image_a9fdek4rk17kn0uda1e0hm8a5d/-FJPG/234020-001_HOV_1.jpg;https://dd3ka9h4chfr8.cloudfront.net/image/725136000567/image_74k6l56r410ch1aoi3reo2rp5b/-FJPG/234020-001_HALLOWEEN_ESS.jpg;https://dd3ka9h4chfr8.cloudfront.net/image/725136000567/image_tjbl5kloo96evcr2mv0ojrf401/-FJPG/234020-001_DET_2.jpg;https://dd3ka9h4chfr8.cloudfront.net/image/725136000567/image_k15dnpfpal38t7mk5umf0m8l1q/-FJPG/234020-001_BCK_1.jpg;https://dd3ka9h4chfr8.cloudfront.net/image/725136000567/image_u9qnsrvs4t529b6fd54idai523/-FJPG/234020-001_DET_1.jpg;https://dd3ka9h4chfr8.cloudfront.net/image/725136000567/image_4342l4pn5p5nj0q70l2m6ikd4p/-FJPG/234020-001_DET_3.jpg;https://dd3ka9h4chfr8.cloudfront.net/image/725136000567/image_hourc9l6n95vt6batui6h77b0t/-FJPG/234020-001_DET_4.jpg;https://dd3ka9h4chfr8.cloudfront.net/image/725136000567/image_6e38inr6oh17p3nj9d7j6nug2n/-FJPG/234020-001_DET_5.jpg;https://dd3ka9h4chfr8.cloudfront.net/image/725136000567/image_vgt7ece33d4k37ltdt1ik0m21s/-FJPG/234020-001_DET_9.tif;https://dd3ka9h4chfr8.cloudfront.net/image/725136000567/image_9p3d8if67p4o7e2go8uv736s63/-FJPG/234020-001_ESS.tif;https://dd3ka9h4chfr8.cloudfront.net/image/725136000567/image_br14hncpdd5lb4pjjk0p6dog3o/-FJPG/234020-001_OPN_2.jpg</t>
  </si>
  <si>
    <t>Dark Toasted Oak</t>
  </si>
  <si>
    <t>234020-001</t>
  </si>
  <si>
    <t>117.73</t>
  </si>
  <si>
    <t>https://dd3ka9h4chfr8.cloudfront.net/image/725136000567/image_aq354h8odl4dlc64p9o7qltq79/-FJPG/234020-001_FRT_1.jpg</t>
  </si>
  <si>
    <t>Dark Toasted Oak Veneer</t>
  </si>
  <si>
    <t>Dark-toasted solid oak forms a beautifully simple sideboard, with round cutouts in place of hardware for a fun finishing touch.</t>
  </si>
  <si>
    <t>{"value":141.76,"unit":"lb"}</t>
  </si>
  <si>
    <t>11.61"</t>
  </si>
  <si>
    <t>Renaud</t>
  </si>
  <si>
    <t>Reuben Chair</t>
  </si>
  <si>
    <t>https://dd3ka9h4chfr8.cloudfront.net/image/725136000567/image_ku6pvv9ktt461bmjp9air16u2s/-FJPG/224473-001_FRT_1.jpg;https://dd3ka9h4chfr8.cloudfront.net/image/725136000567/image_sqiq4n6ij918lfr2fu1qru477p/-FJPG/224473-001_PRM_1.jpg;https://dd3ka9h4chfr8.cloudfront.net/image/725136000567/image_io73e2caqp1tpcrk8p2gsa8r3r/-FJPG/224473-001_SID_1.jpg;https://dd3ka9h4chfr8.cloudfront.net/image/725136000567/image_otjddjc9bp6t30o5k6bv204r7l/-FJPG/224473-001_ESS.tif;https://dd3ka9h4chfr8.cloudfront.net/image/725136000567/image_sjhoobcgg51u19bsmc6bee3a4i/-FJPG/224473-001_DET_2.jpg;https://dd3ka9h4chfr8.cloudfront.net/image/725136000567/image_4vt0cvrti16153e16jiua7oo1p/-FJPG/224473-001_BCK_1.jpg;https://dd3ka9h4chfr8.cloudfront.net/image/725136000567/image_hh7vpf2v9l4114hgva5n76vj5q/-FJPG/224473-001_DET_1.jpg;https://dd3ka9h4chfr8.cloudfront.net/image/725136000567/image_gfura9tpn920lauabraoak9n43/-FJPG/224473-001_DET_3.jpg;https://dd3ka9h4chfr8.cloudfront.net/image/725136000567/image_maueo5u8sp4jf2s2h155t9tk45/-FJPG/224473-001_DET_4.jpg;https://dd3ka9h4chfr8.cloudfront.net/image/725136000567/image_4piajehkgh757b3v85ge662q05/-FJPG/224473-001_DET_5.jpg;https://dd3ka9h4chfr8.cloudfront.net/image/725136000567/image_ako1sljvm97rh3e66d6c8o0s1f/-FJPG/224473-001_DET_6.jpg</t>
  </si>
  <si>
    <t>Harbor Natural</t>
  </si>
  <si>
    <t>224473-001</t>
  </si>
  <si>
    <t>32.4</t>
  </si>
  <si>
    <t>https://dd3ka9h4chfr8.cloudfront.net/image/725136000567/image_ku6pvv9ktt461bmjp9air16u2s/-FJPG/224473-001_FRT_1.jpg</t>
  </si>
  <si>
    <t>["60% Cotton","40% Flax/Linen","Solid Oak","Top Grain Leather"]</t>
  </si>
  <si>
    <t>Lamont Oak</t>
  </si>
  <si>
    <t>Chaps Saddle</t>
  </si>
  <si>
    <t>Elegance is no exaggeration. Slim, tapered nettlewood with arms wrapped in vintage leather frames a floating seat covered in a natural cotton and linen blend.</t>
  </si>
  <si>
    <t>{"value":44.73,"unit":"lb"}</t>
  </si>
  <si>
    <t>Reuben</t>
  </si>
  <si>
    <t>Reza Bookcase</t>
  </si>
  <si>
    <t>https://dd3ka9h4chfr8.cloudfront.net/image/725136000567/image_susv8k867l2j92dk4m83vh151g/-FJPG/239791-001_FRT_1.jpg;https://dd3ka9h4chfr8.cloudfront.net/image/725136000567/image_mee9s2lpv57010b8pdvusads2s/-FJPG/239791-001_PRM_1.jpg;https://dd3ka9h4chfr8.cloudfront.net/image/725136000567/image_bprklj98nl31nf1aoisd99ne61/-FJPG/239791-001_SID_1.jpg;https://dd3ka9h4chfr8.cloudfront.net/image/725136000567/image_fvsiopcg612ph08s3mn67u6009/-FJPG/239791-001_ESS_1.tif;https://dd3ka9h4chfr8.cloudfront.net/image/725136000567/image_q4vp1gc4ht06j841dt5fgt4l54/-FJPG/239791-001_DET_2.jpg;https://dd3ka9h4chfr8.cloudfront.net/image/725136000567/image_vvdqn41v8l3gf4tq2p5b1d2e0s/-FJPG/239791-001_BCK_1.jpg;https://dd3ka9h4chfr8.cloudfront.net/image/725136000567/image_qcraqguomt2dd3cmfgj4pprv13/-FJPG/239791-001_DET_1.jpg;https://dd3ka9h4chfr8.cloudfront.net/image/725136000567/image_4k8m0lj11d0435e1usr2s87o1l/-FJPG/239791-001_DET_3.jpg;https://dd3ka9h4chfr8.cloudfront.net/image/725136000567/image_jj9mfofsk501ncs5v35si7gm6u/-FJPG/239791-001_OPN_1.jpg;https://dd3ka9h4chfr8.cloudfront.net/image/725136000567/image_vn04r1ivnd4i1bao5r7rnv2e09/-FJPG/239791-001_DET_5.jpg;https://dd3ka9h4chfr8.cloudfront.net/image/725136000567/image_arife8q3rd3t940b1g3r3b4g14/-FJPG/239791-001_DET_6.jpg;https://dd3ka9h4chfr8.cloudfront.net/image/725136000567/image_i8aa3s5aup7uh2qcauag2vba6k/-FJPG/239791-001_DET_7.jpg;https://dd3ka9h4chfr8.cloudfront.net/image/725136000567/image_fvciaoit8h0nj8bhl8kpr64q4l/-FJPG/239791-001_DET_8.jpg;https://dd3ka9h4chfr8.cloudfront.net/image/725136000567/image_h2berhh08h67b9prau1bd0g76b/-FJPG/239791-001_DET_9.jpg;https://dd3ka9h4chfr8.cloudfront.net/image/725136000567/image_79g21t4kup4hjf9ghqfaf8bl3j/-FJPG/239791-001_DET_10.jpg;https://dd3ka9h4chfr8.cloudfront.net/image/725136000567/image_t98a7onsfh16ffele61vl0pj5q/-FJPG/239791-001_DET_11.tif;https://dd3ka9h4chfr8.cloudfront.net/image/725136000567/image_l5q3dh2dn16756o52gqafbe91i/-FJPG/239791-001_DET_11.jpg;https://dd3ka9h4chfr8.cloudfront.net/image/725136000567/image_lgvv4a9m192g992qogpn01hb1e/-FJPG/239791-001_DET_12.tif;https://dd3ka9h4chfr8.cloudfront.net/image/725136000567/image_358p4hdrol72nea82qliejus4i/-FJPG/239791-001_DET_12.jpg;https://dd3ka9h4chfr8.cloudfront.net/image/725136000567/image_k93k8ppl1l693cfrofnrqlah6s/-FJPG/239791-001_DET_13.tif</t>
  </si>
  <si>
    <t>Toasted Acacia</t>
  </si>
  <si>
    <t>239791-001</t>
  </si>
  <si>
    <t>184.74</t>
  </si>
  <si>
    <t>https://dd3ka9h4chfr8.cloudfront.net/image/725136000567/image_susv8k867l2j92dk4m83vh151g/-FJPG/239791-001_FRT_1.jpg</t>
  </si>
  <si>
    <t>["Solid Acacia","Solid Parawood"]</t>
  </si>
  <si>
    <t>A midcentury form with Shaker spirit. Finished in a smoked honey, solid parawood forms a storage-driven bookcase, framed out by solid acacia. Ample open shelving plus lower interior storage provides a place for just about everything.</t>
  </si>
  <si>
    <t>{"value":97.2,"unit":"in"}</t>
  </si>
  <si>
    <t>{"value":92.37,"unit":"lb"}</t>
  </si>
  <si>
    <t>Case &amp; Shelves</t>
  </si>
  <si>
    <t>{"value":133.37,"unit":"lb"}</t>
  </si>
  <si>
    <t>Reza</t>
  </si>
  <si>
    <t>18.13"</t>
  </si>
  <si>
    <t>https://dd3ka9h4chfr8.cloudfront.net/image/725136000567/image_c4llmcl19d04d7ufpc6ll1284i/-FJPG/239791-002_FRT_1.jpg;https://dd3ka9h4chfr8.cloudfront.net/image/725136000567/image_al6pbthckp0mh5hfckdqpv5e75/-FJPG/239791-002_PRM_1.jpg;https://dd3ka9h4chfr8.cloudfront.net/image/725136000567/image_j1uupumknd2n71bsdq0s34ms44/-FJPG/239791-002_SID_1.jpg;https://dd3ka9h4chfr8.cloudfront.net/image/725136000567/image_nt6qb8u8r57lfcfdt07ruplb32/-FJPG/239791-002_ESS.tif;https://dd3ka9h4chfr8.cloudfront.net/image/725136000567/image_b9jgu8sh6t2lr48vmjoar73l4u/-FJPG/239791-002_BCK_1.jpg;https://dd3ka9h4chfr8.cloudfront.net/image/725136000567/image_1qs2ej8kpp5nt38fb0lb74fe1r/-FJPG/239791-002_DET_1.jpg;https://dd3ka9h4chfr8.cloudfront.net/image/725136000567/image_8sau5g96td6hv52vhapvls625e/-FJPG/239791-002_DET_3.jpg;https://dd3ka9h4chfr8.cloudfront.net/image/725136000567/image_04f5vnhm6974r3n21hj1o37s48/-FJPG/239791-002_OPN_1.jpg;https://dd3ka9h4chfr8.cloudfront.net/image/725136000567/image_ob8sbe6d3l52b6kfm7uc1t8t1o/-FJPG/239791-002_TOP_1.jpg;https://dd3ka9h4chfr8.cloudfront.net/image/725136000567/image_dbojg2fbvt0vh1u4bp9dpskg1v/-FJPG/239791-002_DET_4.jpg;https://dd3ka9h4chfr8.cloudfront.net/image/725136000567/image_grofe117h10srdcjg3vgsp4r6c/-FJPG/239791-002_DET_5.jpg;https://dd3ka9h4chfr8.cloudfront.net/image/725136000567/image_e61rr20kit3vtb6h9s1ken9h77/-FJPG/239791-002_DET_6.jpg;https://dd3ka9h4chfr8.cloudfront.net/image/725136000567/image_3plohrmcfh35fa1t3lhjft4f0o/-FJPG/239791-002_DET_7.jpg</t>
  </si>
  <si>
    <t>Worn Black Acacia</t>
  </si>
  <si>
    <t>239791-002</t>
  </si>
  <si>
    <t>https://dd3ka9h4chfr8.cloudfront.net/image/725136000567/image_c4llmcl19d04d7ufpc6ll1284i/-FJPG/239791-002_FRT_1.jpg</t>
  </si>
  <si>
    <t>A midcentury form with Shaker spirit. Finished in a worn honey, solid parawood forms a storage-driven bookcase, framed out by solid acacia. Ample open shelving plus lower interior storage provides a place for just about everything.</t>
  </si>
  <si>
    <t>Reza Desk</t>
  </si>
  <si>
    <t>https://dd3ka9h4chfr8.cloudfront.net/image/725136000567/image_iu7jib7c2l28t0i6eps247ol64/-FJPG/242780-001_FRT_1.jpg;https://dd3ka9h4chfr8.cloudfront.net/image/725136000567/image_4urb9b82nt7vj2o5jo388pmg3k/-FJPG/242780-001_PRM_1.jpg;https://dd3ka9h4chfr8.cloudfront.net/image/725136000567/image_jiguoig0hd3sr70mjuap9p4271/-FJPG/242780-001_SID_1.jpg;https://dd3ka9h4chfr8.cloudfront.net/image/725136000567/image_n5hogogdml0cjca9bel6ri2k0n/-FJPG/242780-001_DET_2.jpg;https://dd3ka9h4chfr8.cloudfront.net/image/725136000567/image_6psiese1sp30l1poh5nd82pp6d/-FJPG/242780-001_BCK_1.jpg;https://dd3ka9h4chfr8.cloudfront.net/image/725136000567/image_23rk1v0dp14ch3496b2kj66b1s/-FJPG/242780-001_DET_1.jpg;https://dd3ka9h4chfr8.cloudfront.net/image/725136000567/image_62676nrmn11kt697hvvsi4ef3i/-FJPG/242780-001_DET_3.jpg;https://dd3ka9h4chfr8.cloudfront.net/image/725136000567/image_mnbnjhthc57kt6srndhg1ti157/-FJPG/242780-001_OPN_1.jpg;https://dd3ka9h4chfr8.cloudfront.net/image/725136000567/image_5a09rs0nfd7317pou5n4btju0a/-FJPG/242780-001_TOP_1.jpg;https://dd3ka9h4chfr8.cloudfront.net/image/725136000567/image_igl95dif393jp6md63i46v1a5k/-FJPG/242780-001_DET_4.jpg;https://dd3ka9h4chfr8.cloudfront.net/image/725136000567/image_j5g85up2j11jdd0m9tb4pa211g/-FJPG/242780-001_DET_4.jpg;https://dd3ka9h4chfr8.cloudfront.net/image/725136000567/image_eqake7676d6theddm9m7bpuu11/-FJPG/242780-001_DET_5.jpg;https://dd3ka9h4chfr8.cloudfront.net/image/725136000567/image_5h4nilgauh52ta06dgr7pj8q6v/-FJPG/242780-001_DET_6.jpg;https://dd3ka9h4chfr8.cloudfront.net/image/725136000567/image_1l5b1ilc6t2mb83qflchgr0i6k/-FJPG/242780-001_DET_7.jpg</t>
  </si>
  <si>
    <t>242780-001</t>
  </si>
  <si>
    <t>194.12</t>
  </si>
  <si>
    <t>https://dd3ka9h4chfr8.cloudfront.net/image/725136000567/image_iu7jib7c2l28t0i6eps247ol64/-FJPG/242780-001_FRT_1.jpg</t>
  </si>
  <si>
    <t>["Solid Parawood","Solid Acacia"]</t>
  </si>
  <si>
    <t>Midcentury meets Shaker. Made from solid acacia and finished in a light, smoked honey, with an arched cradle base. Vary-sized drawers bring generous storage space to the home office.</t>
  </si>
  <si>
    <t>{"value":72.75,"unit":"in"}</t>
  </si>
  <si>
    <t>{"value":239.64,"unit":"lb"}</t>
  </si>
  <si>
    <t>11.88"</t>
  </si>
  <si>
    <t>14.63"</t>
  </si>
  <si>
    <t>https://dd3ka9h4chfr8.cloudfront.net/image/725136000567/image_hi1gagm7c12av4t5nmb9j80a7m/-FJPG/242780-002_FRT_1.jpg;https://dd3ka9h4chfr8.cloudfront.net/image/725136000567/image_d8r2jp4pu51qn97b8u6vt6ee6k/-FJPG/242780-002_PRM_1.jpg;https://dd3ka9h4chfr8.cloudfront.net/image/725136000567/image_kpn2soqiet7jt2vvabp2abif7a/-FJPG/242780-002_SID_1.jpg;https://dd3ka9h4chfr8.cloudfront.net/image/725136000567/image_ik15ikrs8p6a52slvb19ug737o/-FJPG/242780-002_ESS.tif;https://dd3ka9h4chfr8.cloudfront.net/image/725136000567/image_j0pd8k3o8l09pbqbaggl8d1a4u/-FJPG/242780-002_DET_2.jpg;https://dd3ka9h4chfr8.cloudfront.net/image/725136000567/image_v4odhddj7553959mgq68dcun3o/-FJPG/242780-002_BCK_1.jpg;https://dd3ka9h4chfr8.cloudfront.net/image/725136000567/image_m4c7p0il4p4pd40v3931298n18/-FJPG/242780-002_DET_1.jpg;https://dd3ka9h4chfr8.cloudfront.net/image/725136000567/image_8qe98l8pvt1691k2knaphvo24j/-FJPG/242780-002_DET_3.jpg;https://dd3ka9h4chfr8.cloudfront.net/image/725136000567/image_hsb6qmq0i549v3gbr2n9v7jc0r/-FJPG/242780-002_OPN_1.jpg;https://dd3ka9h4chfr8.cloudfront.net/image/725136000567/image_4vqbi1sd394ojfcpkc0nl0tt5e/-FJPG/242780-002_TOP_1.jpg;https://dd3ka9h4chfr8.cloudfront.net/image/725136000567/image_ie0krpei5p2ojbdt4urgmief0a/-FJPG/242780-002_DET_4.jpg;https://dd3ka9h4chfr8.cloudfront.net/image/725136000567/image_ieuo94oku91o34jm8khopda827/-FJPG/242780-002_DET_5.jpg;https://dd3ka9h4chfr8.cloudfront.net/image/725136000567/image_4mqj55mh6l1dvbks1m0jj1647k/-FJPG/242780-002_DET_6.jpg;https://dd3ka9h4chfr8.cloudfront.net/image/725136000567/image_v9puh2g7l17tb13t9e23l6iv5o/-FJPG/242780-002_DET_9.tif</t>
  </si>
  <si>
    <t>242780-002</t>
  </si>
  <si>
    <t>https://dd3ka9h4chfr8.cloudfront.net/image/725136000567/image_hi1gagm7c12av4t5nmb9j80a7m/-FJPG/242780-002_FRT_1.jpg</t>
  </si>
  <si>
    <t>A storage-driven desk made from solid acacia and finished in a distressed black. Twist-lock metal hardware adds a clever finishing touch.</t>
  </si>
  <si>
    <t>Reza Media Console</t>
  </si>
  <si>
    <t>https://dd3ka9h4chfr8.cloudfront.net/image/725136000567/image_kilecgp7qt369a2e0h8v3vmf48/-FJPG/108962-001_FRT_1.jpg;https://dd3ka9h4chfr8.cloudfront.net/image/725136000567/image_27abcjt8a56c18dc4tqqh3ci04/-FJPG/108962-001_PRM_1.jpg;https://dd3ka9h4chfr8.cloudfront.net/image/725136000567/image_84cmgf88vh5cfaqs2f7qo4kh65/-FJPG/108962-001_SID_1.jpg;https://dd3ka9h4chfr8.cloudfront.net/image/725136000567/image_0vto0m0pid4ctb6bonkampj850/-FJPG/108962-001_ESS_1.jpg;https://dd3ka9h4chfr8.cloudfront.net/image/725136000567/image_vq1rn60nqt3jnac1ualte9nb7n/-FJPG/108962-001_DET_2.jpg;https://dd3ka9h4chfr8.cloudfront.net/image/725136000567/image_an7ku7od1t6g51kiemu60a0d5u/-FJPG/108962-001_BCK_1.jpg;https://dd3ka9h4chfr8.cloudfront.net/image/725136000567/image_urit1jvu1902rf8vj7ms03ui37/-FJPG/108962-001_DET_3.jpg;https://dd3ka9h4chfr8.cloudfront.net/image/725136000567/image_h3aq82gtk10q11sbf9gut9964l/-FJPG/108962-001_OPN_1.jpg;https://dd3ka9h4chfr8.cloudfront.net/image/725136000567/image_7v9u3k0h851bpftirctikkhj5e/-FJPG/108962-001_DET_4.jpg;https://dd3ka9h4chfr8.cloudfront.net/image/725136000567/image_6g5n3dg43p50jbmatq3bokj82p/-FJPG/108962-001_DET_5.jpg;https://dd3ka9h4chfr8.cloudfront.net/image/725136000567/image_f9ltvts8717dteobk0rtg1a93d/-FJPG/108962-001_DET_6.jpg;https://dd3ka9h4chfr8.cloudfront.net/image/725136000567/image_cl81fkhldt44l2lojdrnt6q84v/-FJPG/108962-001_DET_7.jpg;https://dd3ka9h4chfr8.cloudfront.net/image/725136000567/image_5tkiekq46p1f52kofpuphago6m/-FJPG/108962-001_DET_8.jpg;https://dd3ka9h4chfr8.cloudfront.net/image/725136000567/image_6svm9mmc311p5cd4ipulpc912d/-FJPG/108962-001_DET_9.jpg;https://dd3ka9h4chfr8.cloudfront.net/image/725136000567/image_pgqbesqkk12e5ft97mb3aicm7n/-FJPG/108962-001_DET_10.jpg;https://dd3ka9h4chfr8.cloudfront.net/image/725136000567/image_6u2tk9lm2d6bv3mk4mh5bg7u52/-FJPG/108962-001_ROM_1.jpg</t>
  </si>
  <si>
    <t>108962-001</t>
  </si>
  <si>
    <t>171.29</t>
  </si>
  <si>
    <t>https://dd3ka9h4chfr8.cloudfront.net/image/725136000567/image_kilecgp7qt369a2e0h8v3vmf48/-FJPG/108962-001_FRT_1.jpg</t>
  </si>
  <si>
    <t>A midcentury form with Shaker spirit. Finished in a smoked honey, a clean-lined parawood console sits in an arched cradle base of toasted acacia. Twist-lock metal hardware adds a clever finishing touch. Rear cutouts for media cord management.</t>
  </si>
  <si>
    <t>{"value":203.92,"unit":"lb"}</t>
  </si>
  <si>
    <t>https://dd3ka9h4chfr8.cloudfront.net/image/725136000567/image_l0ce5mb3rt4vp6r2cuujk9to3m/-FJPG/108962-003_FRT_1.jpg;https://dd3ka9h4chfr8.cloudfront.net/image/725136000567/image_hjdb7bmm0l3d7biq2n71s6ub4s/-FJPG/108962-003_PRM_1.jpg;https://dd3ka9h4chfr8.cloudfront.net/image/725136000567/image_sscg578f590elf84hrr59rhb0d/-FJPG/108962-003_SID_1.jpg;https://dd3ka9h4chfr8.cloudfront.net/image/725136000567/image_mefviqhm3p2cnf18pc8jke4n4b/-FJPG/108962-003_ESS.tif;https://dd3ka9h4chfr8.cloudfront.net/image/725136000567/image_tudoemeab57vb0a3pbcp4ero0b/-FJPG/108962-003_DET_2.jpg;https://dd3ka9h4chfr8.cloudfront.net/image/725136000567/image_pukc91h1v540r6210uonrbpb12/-FJPG/108962-003_BCK_1.jpg;https://dd3ka9h4chfr8.cloudfront.net/image/725136000567/image_jba64lfdlh19h06qp5s03er64b/-FJPG/108962-003_DET_1.jpg;https://dd3ka9h4chfr8.cloudfront.net/image/725136000567/image_cjibomuci14kf8tisqpoajkm0m/-FJPG/108962-003_DET_3.jpg;https://dd3ka9h4chfr8.cloudfront.net/image/725136000567/image_lrmcrj9tid0v9cu7e6s1v6nk7m/-FJPG/108962-003_OPN_1.jpg;https://dd3ka9h4chfr8.cloudfront.net/image/725136000567/image_337037gce964p6jn6iln5ijo3s/-FJPG/108962-003_TOP_1.jpg;https://dd3ka9h4chfr8.cloudfront.net/image/725136000567/image_e5h7omt5114uf63dm34h287m3v/-FJPG/108962-003_DET_4.jpg;https://dd3ka9h4chfr8.cloudfront.net/image/725136000567/image_lf563t7u5d6jt052h8d8i1671n/-FJPG/108962-003_DET_5.jpg</t>
  </si>
  <si>
    <t>108962-003</t>
  </si>
  <si>
    <t>https://dd3ka9h4chfr8.cloudfront.net/image/725136000567/image_l0ce5mb3rt4vp6r2cuujk9to3m/-FJPG/108962-003_FRT_1.jpg</t>
  </si>
  <si>
    <t>A midcentury form with Shaker spirit. Finished in a worn black, a parawood console sits in an arched cradle base of black acacia. Twist-lock metal hardware adds a clever finishing touch. Rear cutouts for media cord management.</t>
  </si>
  <si>
    <t>Reza Sideboard</t>
  </si>
  <si>
    <t>https://dd3ka9h4chfr8.cloudfront.net/image/725136000567/image_pph8dhbvs540v25bfh16c8om65/-FJPG/109029-001_FRT_1.jpg;https://dd3ka9h4chfr8.cloudfront.net/image/725136000567/image_4hcbl2tpt17ln7obnjqvokq42t/-FJPG/109029-001_PRM_1.jpg;https://dd3ka9h4chfr8.cloudfront.net/image/725136000567/image_hitdgp42ih45tabi6ul1ggc41k/-FJPG/109029-001_SID_1.jpg;https://dd3ka9h4chfr8.cloudfront.net/image/725136000567/image_j11ia1fki11ij8ln9v7poqcr7g/-FJPG/109029-001_ESS_1.jpg;https://dd3ka9h4chfr8.cloudfront.net/image/725136000567/image_b92dh1tllh1rn0nkeid21dsn50/-FJPG/109029-001_DET_2.jpg;https://dd3ka9h4chfr8.cloudfront.net/image/725136000567/image_njqc197jtp5738csthlj37vm4t/-FJPG/109029-001_BCK_1.jpg;https://dd3ka9h4chfr8.cloudfront.net/image/725136000567/image_mk70fdj9m10kjan01djsosps1m/-FJPG/109029-001_DET_1.jpg;https://dd3ka9h4chfr8.cloudfront.net/image/725136000567/image_nqkn3gqvq11vp680ikdhdsej58/-FJPG/109029-001_DET_3.jpg;https://dd3ka9h4chfr8.cloudfront.net/image/725136000567/image_0fer52340d6irbikg4akusqs55/-FJPG/109029-001_OPN_1.jpg;https://dd3ka9h4chfr8.cloudfront.net/image/725136000567/image_c46avnlned5m986e1of16pdj58/-FJPG/109029-001_DET_4.jpg;https://dd3ka9h4chfr8.cloudfront.net/image/725136000567/image_4rk0831ps17ghajcjgaiampn4i/-FJPG/109029-001_DET_5.jpg;https://dd3ka9h4chfr8.cloudfront.net/image/725136000567/image_6j725a5u9143t2v6ctnnj7b26r/-FJPG/109029-001_DET_6.jpg;https://dd3ka9h4chfr8.cloudfront.net/image/725136000567/image_1cp4ccjr413uv9h9e8i2gpb06t/-FJPG/109029-001_DET_7.jpg;https://dd3ka9h4chfr8.cloudfront.net/image/725136000567/image_ljn5a07efl1db259slop79pa4j/-FJPG/109029-001_DET_8.jpg;https://dd3ka9h4chfr8.cloudfront.net/image/725136000567/image_ngmjat1vgt3jf5ihp2t3bpru5d/-FJPG/109029-001_VIG_1.jpg</t>
  </si>
  <si>
    <t>109029-001</t>
  </si>
  <si>
    <t>149.69</t>
  </si>
  <si>
    <t>https://dd3ka9h4chfr8.cloudfront.net/image/725136000567/image_pph8dhbvs540v25bfh16c8om65/-FJPG/109029-001_FRT_1.jpg</t>
  </si>
  <si>
    <t>Mid-century styling with a Shaker spirit. Finished in a light, smoked honey, a clean-lined parawood console sits in an arched cradle base of toasted acacia, for fresh contrast. Twist-lock metal hardware adds a clever finishing touch. Rear cutouts for cord management.</t>
  </si>
  <si>
    <t>{"value":179.23,"unit":"lb"}</t>
  </si>
  <si>
    <t>Reza Wide Bookcase</t>
  </si>
  <si>
    <t>https://dd3ka9h4chfr8.cloudfront.net/image/725136000567/image_73muklerih7cv35pc2sgui0a06/-FJPG/232355-001_FRT_1.jpg;https://dd3ka9h4chfr8.cloudfront.net/image/725136000567/image_ipoo3h98917onfvs04hmol8109/-FJPG/232355-001_PRM_1.jpg;https://dd3ka9h4chfr8.cloudfront.net/image/725136000567/image_1oql4j06p92jbc1jt22g9fu37l/-FJPG/232355-001_SID_1.jpg;https://dd3ka9h4chfr8.cloudfront.net/image/725136000567/image_2thlm5qlil4t7aac31hfptda7s/-FJPG/232355-001_DET_2.jpg;https://dd3ka9h4chfr8.cloudfront.net/image/725136000567/image_31tcumopsh2k1cqfaipoetgd6r/-FJPG/232355-001_BCK_1.jpg;https://dd3ka9h4chfr8.cloudfront.net/image/725136000567/image_ss7h8hhl914kbe59upa7sfn853/-FJPG/232355-001_DET_1.jpg;https://dd3ka9h4chfr8.cloudfront.net/image/725136000567/image_69j7d3833l1673u6upp36p0n36/-FJPG/232355-001_DET_3.jpg;https://dd3ka9h4chfr8.cloudfront.net/image/725136000567/image_rr49udakap5jlapvt8l1l4ki0h/-FJPG/232355-001_OPN_1.jpg;https://dd3ka9h4chfr8.cloudfront.net/image/725136000567/image_rq8k719ech0lr3ja02b2flq36u/-FJPG/232355-001_DET_4.jpg;https://dd3ka9h4chfr8.cloudfront.net/image/725136000567/image_2avcg10eup3ch1unv32j85it75/-FJPG/232355-001_DET_5.jpg;https://dd3ka9h4chfr8.cloudfront.net/image/725136000567/image_taa4m3pfdl59la7tten0vda57f/-FJPG/232355-001_DET_6.jpg;https://dd3ka9h4chfr8.cloudfront.net/image/725136000567/image_cut4p7vnc12e37tqse313ovh29/-FJPG/232355-001_DET_7.jpg;https://dd3ka9h4chfr8.cloudfront.net/image/725136000567/image_bpa265gnc971d0kthhie7h7v1h/-FJPG/232355-001_DET_8.jpg</t>
  </si>
  <si>
    <t>232355-001</t>
  </si>
  <si>
    <t>367.12</t>
  </si>
  <si>
    <t>https://dd3ka9h4chfr8.cloudfront.net/image/725136000567/image_73muklerih7cv35pc2sgui0a06/-FJPG/232355-001_FRT_1.jpg</t>
  </si>
  <si>
    <t>Midcentury styling with a Shaker spirit. Finished in a smoked honey, solid parawood forms a storage-driven bookcase, framed out by solid acacia. Ample open shelving plus lower interior storage provides a place for just about everything.</t>
  </si>
  <si>
    <t>Case</t>
  </si>
  <si>
    <t>3 Shelves</t>
  </si>
  <si>
    <t>{"value":172.95,"unit":"lb"}</t>
  </si>
  <si>
    <t>{"value":91.75,"unit":"in"}</t>
  </si>
  <si>
    <t>{"value":122.47,"unit":"lb"}</t>
  </si>
  <si>
    <t>13.06"</t>
  </si>
  <si>
    <t>https://dd3ka9h4chfr8.cloudfront.net/image/725136000567/image_9p67ur5c1d6pv51u23vj1kvg2q/-FJPG/232355-002_FRT_1.jpg;https://dd3ka9h4chfr8.cloudfront.net/image/725136000567/image_tbmbvmnhjh4tle9h2f51jp2u20/-FJPG/232355-002_PRM_1.jpg;https://dd3ka9h4chfr8.cloudfront.net/image/725136000567/image_7ig4ffqknl28j11akhnm14tp00/-FJPG/232355-002_SID_1.jpg;https://dd3ka9h4chfr8.cloudfront.net/image/725136000567/image_3o6aehjbah1mj0vj9vl7ft8b0g/-FJPG/232355-002_DET_2.jpg;https://dd3ka9h4chfr8.cloudfront.net/image/725136000567/image_7221o7dqi149h7fi6al6p56j6h/-FJPG/232355-002_BCK_1.jpg;https://dd3ka9h4chfr8.cloudfront.net/image/725136000567/image_5jv14tqel93814t7se3fjeng6j/-FJPG/232355-002_DET_1.jpg;https://dd3ka9h4chfr8.cloudfront.net/image/725136000567/image_gc5dplte951cf3javt2ec8ot3f/-FJPG/232355-002_DET_3.jpg;https://dd3ka9h4chfr8.cloudfront.net/image/725136000567/image_22hskt20bp52pfc1ganboisl70/-FJPG/232355-002_OPN_1.jpg;https://dd3ka9h4chfr8.cloudfront.net/image/725136000567/image_pc989vfe351n70tpk9j438e40j/-FJPG/232355-002_DET_4.jpg;https://dd3ka9h4chfr8.cloudfront.net/image/725136000567/image_36d6ds2dmp40ta0tcebv373m5p/-FJPG/232355-002_DET_5.jpg;https://dd3ka9h4chfr8.cloudfront.net/image/725136000567/image_m1p7lk745h7av7lhln8o3klm0r/-FJPG/232355-002_DET_6.jpg;https://dd3ka9h4chfr8.cloudfront.net/image/725136000567/image_52efgfpogd0kd4t41mno1enn08/-FJPG/232355-002_DET_7.JPG;https://dd3ka9h4chfr8.cloudfront.net/image/725136000567/image_5k0547rfot4ib6tmcli5ll006p/-FJPG/232355-002_DET_8.jpg</t>
  </si>
  <si>
    <t>232355-002</t>
  </si>
  <si>
    <t>https://dd3ka9h4chfr8.cloudfront.net/image/725136000567/image_9p67ur5c1d6pv51u23vj1kvg2q/-FJPG/232355-002_FRT_1.jpg</t>
  </si>
  <si>
    <t>Midcentury styling with a Shaker spirit. Finished in a worn black, solid parawood forms a storage-driven bookcase, framed out by solid acacia. Ample open shelving plus lower interior storage provides a place for just about everything.</t>
  </si>
  <si>
    <t>Riggs Media Console</t>
  </si>
  <si>
    <t>https://dd3ka9h4chfr8.cloudfront.net/image/725136000567/image_vo5hfoddjh0un70p71aba6dm0v/-FJPG/232365-001_FRT_1.jpg;https://dd3ka9h4chfr8.cloudfront.net/image/725136000567/image_o6sgsg8pel0sv5hegblu0l2b51/-FJPG/232365-001_PRM_1.jpg;https://dd3ka9h4chfr8.cloudfront.net/image/725136000567/image_h6jmh0cpqd5sdefbbu0bnn2o26/-FJPG/232365-001_SID_1.jpg;https://dd3ka9h4chfr8.cloudfront.net/image/725136000567/image_7s2jsrpu0h27h0id35urtnea5i/-FJPG/232365-001_ESS_1.jpg;https://dd3ka9h4chfr8.cloudfront.net/image/725136000567/image_a5u2sisvjl3j12frkoe1nnha7b/-FJPG/232365-001_DET_2.jpg;https://dd3ka9h4chfr8.cloudfront.net/image/725136000567/image_vdh8s1mu2d56b4bvo74dmndn0h/-FJPG/232365-001_BCK_1.jpg;https://dd3ka9h4chfr8.cloudfront.net/image/725136000567/image_ncv1kldk056ed7nbr0m028ah59/-FJPG/232365-001_DET_1.jpg;https://dd3ka9h4chfr8.cloudfront.net/image/725136000567/image_51a3rsnbg50s5fk4n1mbu1mq6c/-FJPG/232365-001_DET_3.jpg;https://dd3ka9h4chfr8.cloudfront.net/image/725136000567/image_6ic95sv4ud2cv2m1ovp8k7op40/-FJPG/232365-001_OPN_1.jpg;https://dd3ka9h4chfr8.cloudfront.net/image/725136000567/image_5kardjhv7t2b5b5s6b22jkel2i/-FJPG/232365-001_DET_4.jpg;https://dd3ka9h4chfr8.cloudfront.net/image/725136000567/image_ovne9v0g0l1vb6mi9lm6m8gb6h/-FJPG/232365-001_DET_5.jpg;https://dd3ka9h4chfr8.cloudfront.net/image/725136000567/image_3r8kn5ltil4650gbu1f5enai4t/-FJPG/232365-001_DET_6.jpg;https://dd3ka9h4chfr8.cloudfront.net/image/725136000567/image_7667rbkvr9441cbodr6pdrj555/-FJPG/232365-001_DET_7.jpg</t>
  </si>
  <si>
    <t>232365-001</t>
  </si>
  <si>
    <t>145.5</t>
  </si>
  <si>
    <t>https://dd3ka9h4chfr8.cloudfront.net/image/725136000567/image_vo5hfoddjh0un70p71aba6dm0v/-FJPG/232365-001_FRT_1.jpg</t>
  </si>
  <si>
    <t>Amber Oak Thin Veneer</t>
  </si>
  <si>
    <t>Made from solid oak with a light amber finish, a simply styled console offers ample storage space for media needs, with dual rear cutouts for cord management. Pocket handles recess for a seamless open.</t>
  </si>
  <si>
    <t>{"value":181.44,"unit":"lb"}</t>
  </si>
  <si>
    <t>37.76"</t>
  </si>
  <si>
    <t>Riggs</t>
  </si>
  <si>
    <t>Risa Bookcase</t>
  </si>
  <si>
    <t>https://dd3ka9h4chfr8.cloudfront.net/image/725136000567/image_nlr0ld97756ab36rt45nco0f72/-FJPG/232578-002_FRT_1.jpg;https://dd3ka9h4chfr8.cloudfront.net/image/725136000567/image_fgv1ag88qp2352jm17por0nb2l/-FJPG/232578-002_PRM_1.jpg;https://dd3ka9h4chfr8.cloudfront.net/image/725136000567/image_6pq29b76tl3adbg9mppnopcq4c/-FJPG/232578-002_SID_1.jpg;https://dd3ka9h4chfr8.cloudfront.net/image/725136000567/image_b4a5rcdicl0fh1icktuq93gu7e/-FJPG/232578-002_ESS.tif;https://dd3ka9h4chfr8.cloudfront.net/image/725136000567/image_qus06vo8r95hr2ttklt1ep1u0k/-FJPG/232578-002_DET_2.jpg;https://dd3ka9h4chfr8.cloudfront.net/image/725136000567/image_uj0d1of56904f4kcnccvcpfi56/-FJPG/232578-002_BCK_1.jpg;https://dd3ka9h4chfr8.cloudfront.net/image/725136000567/image_ime131j19p6gl7s3siphvl9a6m/-FJPG/232578-002_DET_1.jpg;https://dd3ka9h4chfr8.cloudfront.net/image/725136000567/image_1l5rooc52t3opaf33qnrgei47n/-FJPG/232578-002_DET_3.jpg;https://dd3ka9h4chfr8.cloudfront.net/image/725136000567/image_mnm7cvrjbp63l8hevomlb5co7j/-FJPG/232578-002_DET_4.jpg</t>
  </si>
  <si>
    <t>Lamont Natural Oak Veneer</t>
  </si>
  <si>
    <t>232578-002</t>
  </si>
  <si>
    <t>https://dd3ka9h4chfr8.cloudfront.net/image/725136000567/image_nlr0ld97756ab36rt45nco0f72/-FJPG/232578-002_FRT_1.jpg</t>
  </si>
  <si>
    <t>Soft curves of natural oak veneer form open, airy shelves of varying sizes, perfect for displaying your treasures with an added sense of intrigue.</t>
  </si>
  <si>
    <t>Risa</t>
  </si>
  <si>
    <t>Rivi End Table</t>
  </si>
  <si>
    <t>https://dd3ka9h4chfr8.cloudfront.net/image/725136000567/image_apb4qioqit2fnc070raun8cq4p/-FJPG/241391-001_FRT_1.jpg;https://dd3ka9h4chfr8.cloudfront.net/image/725136000567/image_c861gp0odd6jl18rrm0arhog3t/-FJPG/241391-001_PRM_1.jpg;https://dd3ka9h4chfr8.cloudfront.net/image/725136000567/image_9d1clfepq97qp9dced5n4nn25d/-FJPG/241391-001_SID_1.jpg;https://dd3ka9h4chfr8.cloudfront.net/image/725136000567/image_h0c9rh83fp52ffa4hs7dl5876h/-FJPG/241391-001_ESS.tif;https://dd3ka9h4chfr8.cloudfront.net/image/725136000567/image_m6nsosodrd341dsr5adbb1pd7m/-FJPG/241391-001_DET_2.jpg;https://dd3ka9h4chfr8.cloudfront.net/image/725136000567/image_890tblfmgd2tv6bqqjooq8uq4r/-FJPG/241391-001_BCK_1.jpg;https://dd3ka9h4chfr8.cloudfront.net/image/725136000567/image_knm0ci2gr50119h29kofpf1n6d/-FJPG/241391-001_DET_1.jpg;https://dd3ka9h4chfr8.cloudfront.net/image/725136000567/image_bpbcjr7k490f3ennhip25t140k/-FJPG/241391-001_DET_3.jpg;https://dd3ka9h4chfr8.cloudfront.net/image/725136000567/image_fsabbs99ad2pldmandir4qma4o/-FJPG/241391-001_TOP_1.jpg;https://dd3ka9h4chfr8.cloudfront.net/image/725136000567/image_pbbeqojsgh4p7f1l68jr7ttq1v/-FJPG/241391-001_DET_4.jpg;https://dd3ka9h4chfr8.cloudfront.net/image/725136000567/image_eedac660fh691ci3cp8tq6kj4k/-FJPG/241391-001_DET_9.tif</t>
  </si>
  <si>
    <t>Aged Belgium Bleach</t>
  </si>
  <si>
    <t>241391-001</t>
  </si>
  <si>
    <t>25.794</t>
  </si>
  <si>
    <t>https://dd3ka9h4chfr8.cloudfront.net/image/725136000567/image_apb4qioqit2fnc070raun8cq4p/-FJPG/241391-001_FRT_1.jpg</t>
  </si>
  <si>
    <t>Simple and sculptural, with a heritage look and feel. A Brancusi-inspired pedestal supports a smooth circular top, showcasing natural knots and grains.</t>
  </si>
  <si>
    <t>Rivi</t>
  </si>
  <si>
    <t>https://dd3ka9h4chfr8.cloudfront.net/image/725136000567/image_6tt5hffn5h5rhan73gdn80ki4b/-FJPG/241391-002_FRT_1.jpg;https://dd3ka9h4chfr8.cloudfront.net/image/725136000567/image_nbhk1ppsah51l2023lessf8n16/-FJPG/241391-002_PRM_1.jpg;https://dd3ka9h4chfr8.cloudfront.net/image/725136000567/image_vpl2ok2o517s7er3s94si6v12b/-FJPG/241391-002_SID_1.jpg;https://dd3ka9h4chfr8.cloudfront.net/image/725136000567/image_qck9nme9sd4bbdnk37p33dao3i/-FJPG/241391-002_ESS.tif;https://dd3ka9h4chfr8.cloudfront.net/image/725136000567/image_6voob3r25h52v1fg51qgor2f0g/-FJPG/241391-002_DET_2.jpg;https://dd3ka9h4chfr8.cloudfront.net/image/725136000567/image_7kfmga8d4p7752pt0n26tn4c0h/-FJPG/241391-002_DET_1.jpg;https://dd3ka9h4chfr8.cloudfront.net/image/725136000567/image_bv1llthbe5309f8cv3i6qpl763/-FJPG/241391-002_DET_3.jpg;https://dd3ka9h4chfr8.cloudfront.net/image/725136000567/image_lu2ntedgh53nj1dhvhc8us9c3c/-FJPG/241391-002_TOP_1.jpg;https://dd3ka9h4chfr8.cloudfront.net/image/725136000567/image_t0ug8slkd9517a2b5p07tv1u6s/-FJPG/241391-002_DET_4.jpg;https://dd3ka9h4chfr8.cloudfront.net/image/725136000567/image_ifmi23hab92ml4qrdjn2jkce70/-FJPG/241391-002_DET_5.jpg;https://dd3ka9h4chfr8.cloudfront.net/image/725136000567/image_f33mnc7bf17a1coojvj3plel0v/-FJPG/241391-002_DET_6.jpg</t>
  </si>
  <si>
    <t>Dark Reclaimed</t>
  </si>
  <si>
    <t>241391-002</t>
  </si>
  <si>
    <t>https://dd3ka9h4chfr8.cloudfront.net/image/725136000567/image_6tt5hffn5h5rhan73gdn80ki4b/-FJPG/241391-002_FRT_1.jpg</t>
  </si>
  <si>
    <t>Inspired by Romanian sculptor Constantin Brancusi, a classic pedestal table of mixed character woods works a heritage look into the home.</t>
  </si>
  <si>
    <t>Roark 6 Drawer Dresser</t>
  </si>
  <si>
    <t>https://dd3ka9h4chfr8.cloudfront.net/image/725136000567/image_o0a0bibp9p5c13kdhiv21r7i17/-FJPG/236440-001_FRT_1.jpg;https://dd3ka9h4chfr8.cloudfront.net/image/725136000567/image_6ivb6vap452ll099chk84auv0o/-FJPG/236440-001_PRM_1.jpg;https://dd3ka9h4chfr8.cloudfront.net/image/725136000567/image_2tqa35l6i57kn4qqmq41aamg66/-FJPG/236440-001_SID_1.jpg;https://dd3ka9h4chfr8.cloudfront.net/image/725136000567/image_4c7b5vhhkp20dadja6e8k2ci23/-FJPG/236440-001_ESS_1.jpg;https://dd3ka9h4chfr8.cloudfront.net/image/725136000567/image_941q3q6unp01v203uo87hvph2l/-FJPG/236440-001_DET_2.jpg;https://dd3ka9h4chfr8.cloudfront.net/image/725136000567/image_mv75sfe4kp57h3hmgpg9d3pt5a/-FJPG/236440-001_BCK_1.jpg;https://dd3ka9h4chfr8.cloudfront.net/image/725136000567/image_fc8kpmrk2t2ab1bgfcerdmvc3t/-FJPG/236440-001_DET_1.jpg;https://dd3ka9h4chfr8.cloudfront.net/image/725136000567/image_269guqbjd17855atbcpv20c73t/-FJPG/236440-001_DET_3.jpg;https://dd3ka9h4chfr8.cloudfront.net/image/725136000567/image_2iqme00vh16sp6t2i36mfhmq3n/-FJPG/236440-001_OPN_1.jpg;https://dd3ka9h4chfr8.cloudfront.net/image/725136000567/image_s2531m7s491j199353vpi24k7s/-FJPG/236440-001_DET_4.jpg;https://dd3ka9h4chfr8.cloudfront.net/image/725136000567/image_tueoo59fsh4519emuu2mubrf39/-FJPG/236440-001_DET_5.jpg;https://dd3ka9h4chfr8.cloudfront.net/image/725136000567/image_c9jprinnr13mh07t25vin6n314/-FJPG/236440-001_DET_6.jpg;https://dd3ka9h4chfr8.cloudfront.net/image/725136000567/image_8h5fenpgb97f9ce5kt2h906b16/-FJPG/236440-001_DET_7.jpg;https://dd3ka9h4chfr8.cloudfront.net/image/725136000567/image_vssen6n8kp5cj7rra1h4urno47/-FJPG/236440-001_DET_8.jpg;https://dd3ka9h4chfr8.cloudfront.net/image/725136000567/image_681fgq43f55n54bt0ttev7l81b/-FJPG/236440-001_DET_9.jpg;https://dd3ka9h4chfr8.cloudfront.net/image/725136000567/image_87l5br1m992kjd332rtonrha24/-FJPG/236440-001_DET_10.jpg</t>
  </si>
  <si>
    <t>236440-001</t>
  </si>
  <si>
    <t>https://dd3ka9h4chfr8.cloudfront.net/image/725136000567/image_o0a0bibp9p5c13kdhiv21r7i17/-FJPG/236440-001_FRT_1.jpg</t>
  </si>
  <si>
    <t>Rounded, chunky dowel legs in an amber oak finish support the overhang top of this dresser. Six drawers provide ample storage, finished with simple gunmetal hardware.</t>
  </si>
  <si>
    <t>{"value":78.74,"unit":"in"}</t>
  </si>
  <si>
    <t>Roark</t>
  </si>
  <si>
    <t>https://dd3ka9h4chfr8.cloudfront.net/image/725136000567/image_721uvj2egh10jccmeto991ho7h/-FJPG/236440-002_FRT_1.jpg;https://dd3ka9h4chfr8.cloudfront.net/image/725136000567/image_cgtishsn1p72t7v25j6iqfat1k/-FJPG/236440-002_PRM_1.jpg;https://dd3ka9h4chfr8.cloudfront.net/image/725136000567/image_m7kgrj81ch1tndh5v2ptpt9c3m/-FJPG/236440-002_SID_1.jpg;https://dd3ka9h4chfr8.cloudfront.net/image/725136000567/image_pcqk4t0ghh17ha5g03u89iu92c/-FJPG/236440-002_DET_2.jpg;https://dd3ka9h4chfr8.cloudfront.net/image/725136000567/image_71qftvvcft1bv1na1n73ql8l3j/-FJPG/236440-002_BCK_1.jpg;https://dd3ka9h4chfr8.cloudfront.net/image/725136000567/image_hllqrje5997fl29us9jjkvff3i/-FJPG/236440-002_DET_1.jpg;https://dd3ka9h4chfr8.cloudfront.net/image/725136000567/image_crcucn3gn57bp97hmlhhavn10t/-FJPG/236440-002_DET_3.jpg;https://dd3ka9h4chfr8.cloudfront.net/image/725136000567/image_nihj0n3mjp3cn2itvjbqcium3t/-FJPG/236440-002_OPN_1.jpg;https://dd3ka9h4chfr8.cloudfront.net/image/725136000567/image_om0hahpknl12t0ckvs0hafl448/-FJPG/236440-002_TOP_1.jpg;https://dd3ka9h4chfr8.cloudfront.net/image/725136000567/image_litpq14fil6jpfmlg042ml2s7j/-FJPG/236440-002_DET_4.jpg;https://dd3ka9h4chfr8.cloudfront.net/image/725136000567/image_tgetpbscr14rtflba8th12pr64/-FJPG/236440-002_DET_5.jpg</t>
  </si>
  <si>
    <t>Ebony Oak Veneer</t>
  </si>
  <si>
    <t>236440-002</t>
  </si>
  <si>
    <t>https://dd3ka9h4chfr8.cloudfront.net/image/725136000567/image_721uvj2egh10jccmeto991ho7h/-FJPG/236440-002_FRT_1.jpg</t>
  </si>
  <si>
    <t>Rounded, chunky dowel legs in an ebony oak finish support the overhang top of this dresser. Six drawers provide ample storage, finished with simple gunmetal hardware.</t>
  </si>
  <si>
    <t>Roark Bed</t>
  </si>
  <si>
    <t>https://dd3ka9h4chfr8.cloudfront.net/image/725136000567/image_b0bj858bdt2315vi4jungkgi3g/-FJPG/236438-001_FRT_1.jpg;https://dd3ka9h4chfr8.cloudfront.net/image/725136000567/image_7cr1ptl4nl2dnaop59sp22uc4l/-FJPG/236438-001_PRM_1.jpg;https://dd3ka9h4chfr8.cloudfront.net/image/725136000567/image_av2nvts00t1frafhqeapbr3k06/-FJPG/236438-001_SID_1.jpg;https://dd3ka9h4chfr8.cloudfront.net/image/725136000567/image_r1jj9vf5e96nb6sr356l0vte3c/-FJPG/236438-001_ESS_1.jpg;https://dd3ka9h4chfr8.cloudfront.net/image/725136000567/image_k9suvmafst0m1c2r36ucegc17o/-FJPG/236438-001_DET_2.jpg;https://dd3ka9h4chfr8.cloudfront.net/image/725136000567/image_55b0dk9o9p1g5fhmea62q25j1s/-FJPG/236438-001_BCK_1.jpg;https://dd3ka9h4chfr8.cloudfront.net/image/725136000567/image_rck6qmosl15ed8l81jojqqq609/-FJPG/236438-001_DET_1.jpg;https://dd3ka9h4chfr8.cloudfront.net/image/725136000567/image_794dgf8j2p3l74g3dnjdkjs84k/-FJPG/236438-001_DET_3.jpg;https://dd3ka9h4chfr8.cloudfront.net/image/725136000567/image_06nof7ams97grair6pecgecn2o/-FJPG/236438-001_DET_4.jpg;https://dd3ka9h4chfr8.cloudfront.net/image/725136000567/image_jmd9mgqmd943t4arhs2sr23e5n/-FJPG/236438-001_DET_5.jpg;https://dd3ka9h4chfr8.cloudfront.net/image/725136000567/image_0aejg79tfh6q12t3cn42d9ci70/-FJPG/236438-001_DET_6.jpg;https://dd3ka9h4chfr8.cloudfront.net/image/725136000567/image_03cr9p75h52e9esoh8m59dcc6m/-FJPG/236438-001_DET_7.jpg;https://dd3ka9h4chfr8.cloudfront.net/image/725136000567/image_5l32uvofup3ln1nscs4tihhg3c/-FJPG/236438-001_ESS.tif</t>
  </si>
  <si>
    <t>236438-001</t>
  </si>
  <si>
    <t>https://dd3ka9h4chfr8.cloudfront.net/image/725136000567/image_b0bj858bdt2315vi4jungkgi3g/-FJPG/236438-001_FRT_1.jpg</t>
  </si>
  <si>
    <t>["49% Viscose (Rayon)","22% Flax/Linen","18% Polyester","11% Cotton","Solid Oak","Oak Veneer"]</t>
  </si>
  <si>
    <t>Rounded, chunky dowel legs in an amber oak finish frame the neutral, linen-like upholstered headboard of this bed frame.</t>
  </si>
  <si>
    <t>{"value":68.7,"unit":"in"}</t>
  </si>
  <si>
    <t>{"value":52.48,"unit":"in"}</t>
  </si>
  <si>
    <t>Fb,Sr,Slats</t>
  </si>
  <si>
    <t>{"value":84.96,"unit":"in"}</t>
  </si>
  <si>
    <t>{"value":10.43,"unit":"in"}</t>
  </si>
  <si>
    <t>{"value":84.44,"unit":"lb"}</t>
  </si>
  <si>
    <t>64.35"</t>
  </si>
  <si>
    <t>3.78"</t>
  </si>
  <si>
    <t>80.98"</t>
  </si>
  <si>
    <t>https://dd3ka9h4chfr8.cloudfront.net/image/725136000567/image_g3u3k5sal91u72qn7b0jpaea2o/-FJPG/236438-002_FRT_1.jpg;https://dd3ka9h4chfr8.cloudfront.net/image/725136000567/image_a4fdgftq8l6b78il3n71h25r6k/-FJPG/236438-002_PRM_1.jpg;https://dd3ka9h4chfr8.cloudfront.net/image/725136000567/image_gtmk71q9uh66d0922eeh1m0755/-FJPG/236438-002_SID_1.jpg;https://dd3ka9h4chfr8.cloudfront.net/image/725136000567/image_r1jj9vf5e96nb6sr356l0vte3c/-FJPG/236438-001_ESS_1.jpg;https://dd3ka9h4chfr8.cloudfront.net/image/725136000567/image_e3rdbhefct6fv7qsb1f9lkb84e/-FJPG/236438-002_DET_2.jpg;https://dd3ka9h4chfr8.cloudfront.net/image/725136000567/image_d5brk9aki95nl59a1oqa9udk6g/-FJPG/236438-002_BCK_1.jpg;https://dd3ka9h4chfr8.cloudfront.net/image/725136000567/image_4644bl9s812mb8sc1a2p3lgg13/-FJPG/236438-002_DET_1.jpg;https://dd3ka9h4chfr8.cloudfront.net/image/725136000567/image_jatle58qhd5qvaro6itum7ph1f/-FJPG/236438-002_DET_3.jpg;https://dd3ka9h4chfr8.cloudfront.net/image/725136000567/image_bhk6epkjt17obal2kfonir0a10/-FJPG/236438-002_DET_4.jpg;https://dd3ka9h4chfr8.cloudfront.net/image/725136000567/image_e34064l3553ap6gbnt7n7grk6k/-FJPG/236438-002_DET_5.jpg;https://dd3ka9h4chfr8.cloudfront.net/image/725136000567/image_06k0ee1po1047e7mvoj3nfvf7d/-FJPG/236438-002_DET_6.jpg;https://dd3ka9h4chfr8.cloudfront.net/image/725136000567/image_71cu3rrq0d3inb7gf6d9pphm0u/-FJPG/236438-002_DET_7.jpg</t>
  </si>
  <si>
    <t>236438-002</t>
  </si>
  <si>
    <t>167.55</t>
  </si>
  <si>
    <t>https://dd3ka9h4chfr8.cloudfront.net/image/725136000567/image_g3u3k5sal91u72qn7b0jpaea2o/-FJPG/236438-002_FRT_1.jpg</t>
  </si>
  <si>
    <t>Sr/Slats</t>
  </si>
  <si>
    <t>80.49"</t>
  </si>
  <si>
    <t>https://dd3ka9h4chfr8.cloudfront.net/image/725136000567/image_352jpggprd3v5e44civrg3i554/-FJPG/236438-003_FRT_1.jpg;https://dd3ka9h4chfr8.cloudfront.net/image/725136000567/image_uuj9fmbgnt56nf5l1oosnlga0r/-FJPG/236438-003_PRM_1.jpg;https://dd3ka9h4chfr8.cloudfront.net/image/725136000567/image_7ahcm5rvr57d519bmeuj9tqu59/-FJPG/236438-003_SID_1.jpg;https://dd3ka9h4chfr8.cloudfront.net/image/725136000567/image_6vn5kpk9ld5gleb7tb7gict732/-FJPG/236438-003_DET_2.jpg;https://dd3ka9h4chfr8.cloudfront.net/image/725136000567/image_439fvdt5897ld56gpou78l7d65/-FJPG/236438-003_BCK_1.jpg;https://dd3ka9h4chfr8.cloudfront.net/image/725136000567/image_jseq2gk5g57ed0j4np2ml2lu2o/-FJPG/236438-003_DET_1.jpg;https://dd3ka9h4chfr8.cloudfront.net/image/725136000567/image_0m47gecr717dlfhv4ov3tsu36e/-FJPG/236438-003_DET_3.jpg;https://dd3ka9h4chfr8.cloudfront.net/image/725136000567/image_hqoonopvtd6o7ff1ns56irmc1s/-FJPG/236438-003_DET_4.jpg;https://dd3ka9h4chfr8.cloudfront.net/image/725136000567/image_bjus4s4s8564b39phrgjpg0436/-FJPG/236438-003_DET_5.jpg;https://dd3ka9h4chfr8.cloudfront.net/image/725136000567/image_jtp7ftg1d57kj4fn2gcut97h07/-FJPG/236438-003_DET_6.jpg;https://dd3ka9h4chfr8.cloudfront.net/image/725136000567/image_ei4ovqteu16i9fgkrg6j8b2o6r/-FJPG/236438-003_DET_7.jpg;https://dd3ka9h4chfr8.cloudfront.net/image/725136000567/image_dkju8cpm4h3v3bnm8kjrpmfr29/-FJPG/236438-003_DET_8.jpg</t>
  </si>
  <si>
    <t>236438-003</t>
  </si>
  <si>
    <t>https://dd3ka9h4chfr8.cloudfront.net/image/725136000567/image_352jpggprd3v5e44civrg3i554/-FJPG/236438-003_FRT_1.jpg</t>
  </si>
  <si>
    <t>["Top Grain Leather","Solid Oak","Oak Veneer"]</t>
  </si>
  <si>
    <t>Rounded, chunky dowel legs in an amber oak finish frame the neutral, top-grain leather headboard of this bed frame.</t>
  </si>
  <si>
    <t>https://dd3ka9h4chfr8.cloudfront.net/image/725136000567/image_cbpn2evbct1ij9e1phmpo9q54j/-FJPG/236438-004_FRT_1.jpg;https://dd3ka9h4chfr8.cloudfront.net/image/725136000567/image_jpdlte7pst6dn1l8fqj76pn120/-FJPG/236438-004_PRM_1.jpg;https://dd3ka9h4chfr8.cloudfront.net/image/725136000567/image_039nnm2q6l01j4sq5nfeai934q/-FJPG/236438-004_SID_1.jpg;https://dd3ka9h4chfr8.cloudfront.net/image/725136000567/image_di9v06l4dh6tr9mqdtachuqg71/-FJPG/236438-004_DET_2.jpg;https://dd3ka9h4chfr8.cloudfront.net/image/725136000567/image_l8ptc0q7cl0bl34h2kdrac7b4h/-FJPG/236438-004_BCK_1.jpg;https://dd3ka9h4chfr8.cloudfront.net/image/725136000567/image_ts4fdtnc351id5rs0ceaiudf1o/-FJPG/236438-004_DET_1.jpg;https://dd3ka9h4chfr8.cloudfront.net/image/725136000567/image_ssf1e485494dj6kndlg1ra8006/-FJPG/236438-004_DET_3.jpg;https://dd3ka9h4chfr8.cloudfront.net/image/725136000567/image_m5h503a7il3vrev7quheji9t59/-FJPG/236438-004_DET_4.jpg;https://dd3ka9h4chfr8.cloudfront.net/image/725136000567/image_akf730m90l1dn25jbo75kcii19/-FJPG/236438-004_DET_5.jpg;https://dd3ka9h4chfr8.cloudfront.net/image/725136000567/image_45taua9j253l792f2o69ol210j/-FJPG/236438-004_DET_6.jpg;https://dd3ka9h4chfr8.cloudfront.net/image/725136000567/image_naq2eq256h0gn28ugi4n2k2u6i/-FJPG/236438-004_DET_7.jpg</t>
  </si>
  <si>
    <t>236438-004</t>
  </si>
  <si>
    <t>https://dd3ka9h4chfr8.cloudfront.net/image/725136000567/image_cbpn2evbct1ij9e1phmpo9q54j/-FJPG/236438-004_FRT_1.jpg</t>
  </si>
  <si>
    <t>Roark Media Console</t>
  </si>
  <si>
    <t>https://dd3ka9h4chfr8.cloudfront.net/image/725136000567/image_8s813kvcq56ljeuioedsahmu0i/-FJPG/247896-001_FRT_1.jpg;https://dd3ka9h4chfr8.cloudfront.net/image/725136000567/image_bnirhr8q3p09fadehj3t31134j/-FJPG/247896-001_PRM_1.jpg;https://dd3ka9h4chfr8.cloudfront.net/image/725136000567/image_bdnug61cj97bdb27skdd6s5f3g/-FJPG/247896-001_SID_1.jpg;https://dd3ka9h4chfr8.cloudfront.net/image/725136000567/image_jn8o0cusnl27b9prd7psdt8u0u/-FJPG/247896-001_ESS.tif;https://dd3ka9h4chfr8.cloudfront.net/image/725136000567/image_nqhp1jbimp2qv95dgf8vm2bg52/-FJPG/247896-001_DET_2.jpg;https://dd3ka9h4chfr8.cloudfront.net/image/725136000567/image_06muh6ohl178j9h6htqljila3j/-FJPG/247896-001_BCK_1.jpg;https://dd3ka9h4chfr8.cloudfront.net/image/725136000567/image_ssslimtrol3ghfg2v1b0ornq4o/-FJPG/247896-001_DET_1.jpg;https://dd3ka9h4chfr8.cloudfront.net/image/725136000567/image_6hsdiqkvml6p3ekob3fo2ap20u/-FJPG/247896-001_DET_3.jpg;https://dd3ka9h4chfr8.cloudfront.net/image/725136000567/image_jnbpjonqh96dt2mkrjom7hg21h/-FJPG/247896-001_OPN_1.jpg;https://dd3ka9h4chfr8.cloudfront.net/image/725136000567/image_esd4levth13qp6k524h0dn0v7v/-FJPG/247896-001_TOP_1.jpg;https://dd3ka9h4chfr8.cloudfront.net/image/725136000567/image_77qkhttcb53jpcgpol4iuikp4p/-FJPG/247896-001_DET_4.jpg;https://dd3ka9h4chfr8.cloudfront.net/image/725136000567/image_o7vg001bal4vv49gknv2lovj28/-FJPG/247896-001_DET_5.jpg;https://dd3ka9h4chfr8.cloudfront.net/image/725136000567/image_t0eeggs76l2i97raj1s75cbr4o/-FJPG/247896-001_DET_6.jpg;https://dd3ka9h4chfr8.cloudfront.net/image/725136000567/image_ha53l9ha111g5dtb05o9eiim4u/-FJPG/247896-001_DET_7.jpg;https://dd3ka9h4chfr8.cloudfront.net/image/725136000567/image_uo6gjjsc5h245fjv2h01c8pi79/-FJPG/247896-001_DET_8.jpg;https://dd3ka9h4chfr8.cloudfront.net/image/725136000567/image_u9oj8q710h44dckaqpc93ndp5o/-FJPG/247896-001_DET_9.tif</t>
  </si>
  <si>
    <t>247896-001</t>
  </si>
  <si>
    <t>254.63</t>
  </si>
  <si>
    <t>https://dd3ka9h4chfr8.cloudfront.net/image/725136000567/image_8s813kvcq56ljeuioedsahmu0i/-FJPG/247896-001_FRT_1.jpg</t>
  </si>
  <si>
    <t>Crafted from oak with a warm amber finish and rounded dowel legs. An overhang top and simple gunmetal-finished hardware complete the look, with drawers and a spacious lower shelf for all your media storage needs.</t>
  </si>
  <si>
    <t>{"value":314.16,"unit":"lb"}</t>
  </si>
  <si>
    <t>16.44"</t>
  </si>
  <si>
    <t>78.41"</t>
  </si>
  <si>
    <t>36.30"</t>
  </si>
  <si>
    <t>13.86"</t>
  </si>
  <si>
    <t>16.26"</t>
  </si>
  <si>
    <t>https://dd3ka9h4chfr8.cloudfront.net/image/725136000567/image_6m5v94bj111nfe1jnt7imvvr0b/-FJPG/247896-002_FRT_1.jpg;https://dd3ka9h4chfr8.cloudfront.net/image/725136000567/image_1895uoi3191dv0ckhol3bl6b7t/-FJPG/247896-002_PRM_1.jpg;https://dd3ka9h4chfr8.cloudfront.net/image/725136000567/image_nk4v026o1l68t0he40gmm6b73p/-FJPG/247896-002_SID_1.jpg;https://dd3ka9h4chfr8.cloudfront.net/image/725136000567/image_3vhv37n41h7t58tb4jj3e8o23f/-FJPG/247896-002_DET_2.jpg;https://dd3ka9h4chfr8.cloudfront.net/image/725136000567/image_n1sj3d1khp41t6ulhjn7b1ts0j/-FJPG/247896-002_BCK_1.jpg;https://dd3ka9h4chfr8.cloudfront.net/image/725136000567/image_6s6an4hont6195pb265g3he82o/-FJPG/247896-002_DET_1.jpg;https://dd3ka9h4chfr8.cloudfront.net/image/725136000567/image_htdht2l76d3nl1gjdnqfcrs17d/-FJPG/247896-002_DET_3.jpg;https://dd3ka9h4chfr8.cloudfront.net/image/725136000567/image_7jebctp5at0dd3furtmi1bfo7p/-FJPG/247896-002_OPN_1.jpg;https://dd3ka9h4chfr8.cloudfront.net/image/725136000567/image_hsl8u26bdh2mravcgs5dthci32/-FJPG/247896-002_TOP_1.jpg;https://dd3ka9h4chfr8.cloudfront.net/image/725136000567/image_4aom0ncocl3n5d8r0cd0khu40p/-FJPG/247896-002_DET_4.jpg;https://dd3ka9h4chfr8.cloudfront.net/image/725136000567/image_5chlhkstu9233ce07ab1fi5c0e/-FJPG/247896-002_DET_5.jpg;https://dd3ka9h4chfr8.cloudfront.net/image/725136000567/image_986sn0858l1rv5cirs7hud9k2o/-FJPG/247896-002_DET_6.jpg;https://dd3ka9h4chfr8.cloudfront.net/image/725136000567/image_eejb1t38td2115o8vie1o6825s/-FJPG/247896-002_DET_7.jpg;https://dd3ka9h4chfr8.cloudfront.net/image/725136000567/image_c2mdeb3l7t7qv2bm1dnmf2f739/-FJPG/247896-002_DET_8.jpg</t>
  </si>
  <si>
    <t>247896-002</t>
  </si>
  <si>
    <t>https://dd3ka9h4chfr8.cloudfront.net/image/725136000567/image_6m5v94bj111nfe1jnt7imvvr0b/-FJPG/247896-002_FRT_1.jpg</t>
  </si>
  <si>
    <t>Crafted from ebony oak and rounded dowel legs. An overhang top and simple gunmetal-finished hardware complete the look, with drawers and a spacious lower shelf for all your media storage needs.</t>
  </si>
  <si>
    <t>Roark Nightstand</t>
  </si>
  <si>
    <t>https://dd3ka9h4chfr8.cloudfront.net/image/725136000567/image_o76rd8fg696hbf8kv39nco1n7u/-FJPG/236439-001_FRT_1.jpg;https://dd3ka9h4chfr8.cloudfront.net/image/725136000567/image_15c0t44eh93bv01ccj2jvnb91n/-FJPG/236439-001_PRM_1.jpg;https://dd3ka9h4chfr8.cloudfront.net/image/725136000567/image_cim3144fvp661251r7at831d76/-FJPG/236439-001_SID_1.jpg;https://dd3ka9h4chfr8.cloudfront.net/image/725136000567/image_1tee97st192n75l6ophu0bvd5k/-FJPG/236439-001_ESS_1.jpg;https://dd3ka9h4chfr8.cloudfront.net/image/725136000567/image_j6uov8s0hp33h2ajv0auoeql5k/-FJPG/236439-001_DET_2.jpg;https://dd3ka9h4chfr8.cloudfront.net/image/725136000567/image_2q74ac50n11fn3ui2isa6ekc72/-FJPG/236439-001_BCK_1.jpg;https://dd3ka9h4chfr8.cloudfront.net/image/725136000567/image_lu00e9mrmd30t01i6sf503q06c/-FJPG/236439-001_DET_1.jpg;https://dd3ka9h4chfr8.cloudfront.net/image/725136000567/image_qcrh9fmda53f1fejkvg4d98b3e/-FJPG/236439-001_DET_3.jpg;https://dd3ka9h4chfr8.cloudfront.net/image/725136000567/image_hv2uqh9pbl0lp70cb83qt2nb28/-FJPG/236439-001_OPN_1.jpg;https://dd3ka9h4chfr8.cloudfront.net/image/725136000567/image_884mnm7app2gb9ae5adj808n4g/-FJPG/236439-001_DET_4.jpg;https://dd3ka9h4chfr8.cloudfront.net/image/725136000567/image_blc5m7lmi90cr0r0c5tv9n8n61/-FJPG/236439-001_DET_5.jpg;https://dd3ka9h4chfr8.cloudfront.net/image/725136000567/image_h9kbapfmlh1apalm8sonbim66u/-FJPG/236439-001_DET_6.jpg;https://dd3ka9h4chfr8.cloudfront.net/image/725136000567/image_rht1sna21p5618davpgghltf3m/-FJPG/236439-001_DET_7.jpg;https://dd3ka9h4chfr8.cloudfront.net/image/725136000567/image_v6c307f6k163daujs9r4tojk5n/-FJPG/236439-001_DET_8.jpg;https://dd3ka9h4chfr8.cloudfront.net/image/725136000567/image_i7pq6fr8tp5s71dk5ua70h1h0b/-FJPG/236439-001_DET_9.jpg;https://dd3ka9h4chfr8.cloudfront.net/image/725136000567/image_b1jmv60jrp4ebd8i6grcv1q43d/-FJPG/236439-001_DET_10.jpg;https://dd3ka9h4chfr8.cloudfront.net/image/725136000567/image_o0is7q6hdt5c943rsaulis6e1f/-FJPG/236439-001_DET_11.jpg</t>
  </si>
  <si>
    <t>236439-001</t>
  </si>
  <si>
    <t>https://dd3ka9h4chfr8.cloudfront.net/image/725136000567/image_o76rd8fg696hbf8kv39nco1n7u/-FJPG/236439-001_FRT_1.jpg</t>
  </si>
  <si>
    <t>Rounded, chunky dowel legs in an amber oak finish support the overhang top of this nightstand. Two drawers provide ample storage, finished with simple gunmetal hardware.</t>
  </si>
  <si>
    <t>Roark Nightstand, 1 Item Per Carton</t>
  </si>
  <si>
    <t>{"value":33.39,"unit":"in"}</t>
  </si>
  <si>
    <t>{"value":20.59,"unit":"in"}</t>
  </si>
  <si>
    <t>{"value":31.02,"unit":"in"}</t>
  </si>
  <si>
    <t>https://dd3ka9h4chfr8.cloudfront.net/image/725136000567/image_1o4lskaa990o92v5kin9a9fc71/-FJPG/236439-002_FRT_1.jpg;https://dd3ka9h4chfr8.cloudfront.net/image/725136000567/image_j682e2seh94urcd39uh12v1e1a/-FJPG/236439-002_PRM_1.jpg;https://dd3ka9h4chfr8.cloudfront.net/image/725136000567/image_elcd1rr3eh2qd465farnmfsj1d/-FJPG/236439-002_SID_1.jpg;https://dd3ka9h4chfr8.cloudfront.net/image/725136000567/image_hc5qk2og097vb0nnke2m5ipd5d/-FJPG/236439-002_DET_2.jpg;https://dd3ka9h4chfr8.cloudfront.net/image/725136000567/image_pml5tunt0t1td0hto109ud7j79/-FJPG/236439-002_BCK_1.jpg;https://dd3ka9h4chfr8.cloudfront.net/image/725136000567/image_kqanlgge6p1qb5sj125ri4n70c/-FJPG/236439-002_DET_1.jpg;https://dd3ka9h4chfr8.cloudfront.net/image/725136000567/image_ri2tro2j415319gs36mhnl884c/-FJPG/236439-002_DET_3.jpg;https://dd3ka9h4chfr8.cloudfront.net/image/725136000567/image_39s5kr5e4h3017s9f4piiogp1n/-FJPG/236439-002_OPN_1.jpg;https://dd3ka9h4chfr8.cloudfront.net/image/725136000567/image_44dodri4al6rlc5aupub5i9g51/-FJPG/236439-002_TOP_1.jpg;https://dd3ka9h4chfr8.cloudfront.net/image/725136000567/image_f0ob71riet1q531vfjeclbuh61/-FJPG/236439-002_DET_4.jpg;https://dd3ka9h4chfr8.cloudfront.net/image/725136000567/image_8rnq9loii95j59tjcdmlfrj779/-FJPG/236439-002_DET_5.jpg;https://dd3ka9h4chfr8.cloudfront.net/image/725136000567/image_bq483lv27l33hdt00kcveiai7t/-FJPG/236439-002_DET_6.jpg;https://dd3ka9h4chfr8.cloudfront.net/image/725136000567/image_sn02rl1of549f6r3r2uej4hd6a/-FJPG/236439-002_DET_7.jpg</t>
  </si>
  <si>
    <t>236439-002</t>
  </si>
  <si>
    <t>https://dd3ka9h4chfr8.cloudfront.net/image/725136000567/image_1o4lskaa990o92v5kin9a9fc71/-FJPG/236439-002_FRT_1.jpg</t>
  </si>
  <si>
    <t>Rounded, chunky dowel legs in a black oak finish support the overhang top of this nightstand. Two drawers provide ample storage, finished with simple gunmetal hardware.</t>
  </si>
  <si>
    <t>Rosedale 3 Drawer Dresser</t>
  </si>
  <si>
    <t>https://dd3ka9h4chfr8.cloudfront.net/image/725136000567/image_h7s16rfji96r3a9u9dvpak1n33/-FJPG/108448-003_FRT_1.jpg;https://dd3ka9h4chfr8.cloudfront.net/image/725136000567/image_4eg21le8ch71j70qlcnej47m7n/-FJPG/108448-003_PRM_1.jpg;https://dd3ka9h4chfr8.cloudfront.net/image/725136000567/image_hag8c78lq922f6cgm1jnsfpj1k/-FJPG/108448-003_SID_1.jpg;https://dd3ka9h4chfr8.cloudfront.net/image/725136000567/image_02kvpr16il04b01g1gubr97k7e/-FJPG/108448-003_ESS_1.jpg;https://dd3ka9h4chfr8.cloudfront.net/image/725136000567/image_tqoomurkjd6dhbd4kf0al81v2e/-FJPG/108448-003_DET_2.jpg;https://dd3ka9h4chfr8.cloudfront.net/image/725136000567/image_411c7hqjsl4f721gls3f0khd06/-FJPG/108448-003_BCK_1.jpg;https://dd3ka9h4chfr8.cloudfront.net/image/725136000567/image_gnflc9ugud3c56t4ojr45iv52g/-FJPG/108448-003_DET_1.jpg;https://dd3ka9h4chfr8.cloudfront.net/image/725136000567/image_vrggsc8hph13l9pj95dsmido1q/-FJPG/108448-003_DET_3.jpg;https://dd3ka9h4chfr8.cloudfront.net/image/725136000567/image_7bsiki335p6ehbcssdv1hu5c2s/-FJPG/108448-003_OPN_1.jpg;https://dd3ka9h4chfr8.cloudfront.net/image/725136000567/image_qut454aulh2pd30qd7mi32pn4a/-FJPG/108448-003_DET_4.jpg;https://dd3ka9h4chfr8.cloudfront.net/image/725136000567/image_j2h827lqa97ef96r42vnseb441/-FJPG/108448-003_DET_5.jpg</t>
  </si>
  <si>
    <t>108448-003</t>
  </si>
  <si>
    <t>121.25</t>
  </si>
  <si>
    <t>https://dd3ka9h4chfr8.cloudfront.net/image/725136000567/image_h7s16rfji96r3a9u9dvpak1n33/-FJPG/108448-003_FRT_1.jpg</t>
  </si>
  <si>
    <t>["Oak Veneer","Top Grain Leather"]</t>
  </si>
  <si>
    <t>Chaps Sand</t>
  </si>
  <si>
    <t>Ebony-finished oak forms a clean silhouette for three spacious drawers with iron hardware wrapped in tan top-grain leather. This item has been modified to comply with the STURDY Act. See a full list of modified products and data changes in the â€œSTURDY Actâ€_x009d_ file in the Downloads section below.</t>
  </si>
  <si>
    <t>Dresser</t>
  </si>
  <si>
    <t>Rosedale</t>
  </si>
  <si>
    <t>6.70"</t>
  </si>
  <si>
    <t>https://dd3ka9h4chfr8.cloudfront.net/image/725136000567/image_l8i1j4ictt5jj1uc4n5fpjn93u/-FJPG/108448-002_FRT_1.jpg;https://dd3ka9h4chfr8.cloudfront.net/image/725136000567/image_dghskd142l3g3akh3cjhtrlc2e/-FJPG/108448-002_PRM_1.jpg;https://dd3ka9h4chfr8.cloudfront.net/image/725136000567/image_fjcqfctdjp3lp8qt5b2mg9u358/-FJPG/108448-002_SID_1.jpg;https://dd3ka9h4chfr8.cloudfront.net/image/725136000567/image_1reed37klh0lpc5mik3rgofe7v/-FJPG/108448-002_ESS_1.jpg;https://dd3ka9h4chfr8.cloudfront.net/image/725136000567/image_gk2amu0egl1bjaq1nuns25ik2n/-FJPG/108448-002_DET_2.jpg;https://dd3ka9h4chfr8.cloudfront.net/image/725136000567/image_lk8osrhfkh6sr8n4c4tk7p005f/-FJPG/108448-002_BCK_1.jpg;https://dd3ka9h4chfr8.cloudfront.net/image/725136000567/image_cbgdgk67bt4dn09h7r5h9h7o4i/-FJPG/108448-002_DET_1.jpg;https://dd3ka9h4chfr8.cloudfront.net/image/725136000567/image_6u5plq8pmt4131uabsolotri2m/-FJPG/108448-002_DET_3.jpg;https://dd3ka9h4chfr8.cloudfront.net/image/725136000567/image_2utiul937t70pa1u4h36sv3g7t/-FJPG/108448-002_OPN_1.JPG;https://dd3ka9h4chfr8.cloudfront.net/image/725136000567/image_4up2de5g1p3pt6sjqqmsvu6i6a/-FJPG/108448-002_DET_4.jpg;https://dd3ka9h4chfr8.cloudfront.net/image/725136000567/image_3fgr2r52nh379ec9rb84aqtd0v/-FJPG/108448-002_DET_5.jpg;https://dd3ka9h4chfr8.cloudfront.net/image/725136000567/image_06iqqr7kfd23701vd1aarbks57/-FJPG/108448-002_DET_6.jpg;https://dd3ka9h4chfr8.cloudfront.net/image/725136000567/image_gnje4hsk65603e8bhk19bcj92g/-FJPG/108448-002_DET_7.jpg;https://dd3ka9h4chfr8.cloudfront.net/image/725136000567/image_jfr4kug38p42b1h1nfps3h0373/-FJPG/108448-002_DET_8.jpg;https://dd3ka9h4chfr8.cloudfront.net/image/725136000567/image_3hllmcr1f54rn9rcm79fa18c5c/-FJPG/FHMPRJ-007_SCENE_19.tif</t>
  </si>
  <si>
    <t>Yucca Oak Veneer</t>
  </si>
  <si>
    <t>108448-002</t>
  </si>
  <si>
    <t>https://dd3ka9h4chfr8.cloudfront.net/image/725136000567/image_l8i1j4ictt5jj1uc4n5fpjn93u/-FJPG/108448-002_FRT_1.jpg</t>
  </si>
  <si>
    <t>Light-finished oak forms a clean silhouette for three spacious drawers with iron hardware wrapped in tan top-grain leather. This item has been modified to comply with the STURDY Act. See a full list of modified products and data changes in the â€œSTURDY Actâ€_x009d_ file in the Downloads section below.</t>
  </si>
  <si>
    <t>Rosedale 6 Drawer Dresser</t>
  </si>
  <si>
    <t>https://dd3ka9h4chfr8.cloudfront.net/image/725136000567/image_s0tal2hl353g10onfsp1a3pm0d/-FJPG/109065-003_FRT_1.jpg;https://dd3ka9h4chfr8.cloudfront.net/image/725136000567/image_dj7gjhlj3h2bf136ad77puqd65/-FJPG/109065-003_PRM_1.jpg;https://dd3ka9h4chfr8.cloudfront.net/image/725136000567/image_p26f8kojtd1517jnifks1lhn59/-FJPG/109065-003_SID_1.jpg;https://dd3ka9h4chfr8.cloudfront.net/image/725136000567/image_pmtkjhuljp0ad76qev8vsfr137/-FJPG/109065-003_ESS_1.jpg;https://dd3ka9h4chfr8.cloudfront.net/image/725136000567/image_s86pb4d6f96gj18sm1qrj2es5h/-FJPG/109065-003_DET_2.jpg;https://dd3ka9h4chfr8.cloudfront.net/image/725136000567/image_aab0uu7jkp46t8vfe6l46on761/-FJPG/109065-003_BCK_1.jpg;https://dd3ka9h4chfr8.cloudfront.net/image/725136000567/image_mbr289ba655n73tiq883k4h54f/-FJPG/109065-003_DET_1.jpg;https://dd3ka9h4chfr8.cloudfront.net/image/725136000567/image_mn2nuo281l5k5aq0k7ct2v6423/-FJPG/109065-003_DET_3.jpg;https://dd3ka9h4chfr8.cloudfront.net/image/725136000567/image_rfst3ffqhp4jv668ekmvrfqd6o/-FJPG/109065-003_OPN_1.jpg;https://dd3ka9h4chfr8.cloudfront.net/image/725136000567/image_0ad4e8ijkl21tfp989vhkntf2g/-FJPG/109065-003_DET_4.jpg;https://dd3ka9h4chfr8.cloudfront.net/image/725136000567/image_vpemrpe20d21davm2pvntqfc36/-FJPG/109065-003_DET_5.jpg</t>
  </si>
  <si>
    <t>109065-003</t>
  </si>
  <si>
    <t>174.16</t>
  </si>
  <si>
    <t>https://dd3ka9h4chfr8.cloudfront.net/image/725136000567/image_s0tal2hl353g10onfsp1a3pm0d/-FJPG/109065-003_FRT_1.jpg</t>
  </si>
  <si>
    <t>62.5</t>
  </si>
  <si>
    <t>{"value":62.5,"unit":"in"}</t>
  </si>
  <si>
    <t>Ebony-finished oak forms a clean silhouette for six spacious drawers with iron hardware wrapped in tan top-grain leather. This item has been modified to comply with the STURDY Act. See a full list of modified products and data changes in the â€œSTURDY Actâ€_x009d_ file in the Downloads section below.</t>
  </si>
  <si>
    <t>https://dd3ka9h4chfr8.cloudfront.net/image/725136000567/image_kp9anrr97d51b22si4uvtj9a2f/-FJPG/109065-002_FRT_1.jpg;https://dd3ka9h4chfr8.cloudfront.net/image/725136000567/image_3tdp034rfp2oj1ev7si6itjj3q/-FJPG/109065-002_PRM_1.jpg;https://dd3ka9h4chfr8.cloudfront.net/image/725136000567/image_o69dtq8uoh0ab1riqhc3bp7s7m/-FJPG/109065-002_SID_1.jpg;https://dd3ka9h4chfr8.cloudfront.net/image/725136000567/image_j5lt0vgvjt3st2mt0eenbmpp7g/-FJPG/109065-002_ESS_1.jpg;https://dd3ka9h4chfr8.cloudfront.net/image/725136000567/image_7r10cmmr150ob1dio4iu9dso70/-FJPG/109065-002_DET_2.jpg;https://dd3ka9h4chfr8.cloudfront.net/image/725136000567/image_ue8db2o9it5832r7lsgu47jn7b/-FJPG/109065-002_BCK_1.jpg;https://dd3ka9h4chfr8.cloudfront.net/image/725136000567/image_8n88vj1ue50d739drj2t3h841i/-FJPG/109065-002_DET_1.jpg;https://dd3ka9h4chfr8.cloudfront.net/image/725136000567/image_j39ebh5r9d2uh81rb6l6j76h5j/-FJPG/109065-002_DET_3.jpg;https://dd3ka9h4chfr8.cloudfront.net/image/725136000567/image_25g3o9l7b95cb9rm69eab57e7q/-FJPG/109065-002_OPN_1.jpg;https://dd3ka9h4chfr8.cloudfront.net/image/725136000567/image_3qajf39u0p4rpbbld4a8uht36o/-FJPG/109065-002_GRP_1.jpg;https://dd3ka9h4chfr8.cloudfront.net/image/725136000567/image_ft4cakbk0p4at6disnsoo26a3q/-FJPG/109065-002_DET_4.jpg;https://dd3ka9h4chfr8.cloudfront.net/image/725136000567/image_hp18bjm7md1apap9tmf31jnh56/-FJPG/109065-002_DET_5.jpg;https://dd3ka9h4chfr8.cloudfront.net/image/725136000567/image_c2jh8e45311cv0f7ga0et52g49/-FJPG/109065-002_DET_6.jpg;https://dd3ka9h4chfr8.cloudfront.net/image/725136000567/image_c643e5kl7l73r3dvqu4m8tjs0b/-FJPG/109065-002_DET_7.jpg;https://dd3ka9h4chfr8.cloudfront.net/image/725136000567/image_7vqg6nqh4l03h722rk6n01e52c/-FJPG/109065-002_DET_8.jpg;https://dd3ka9h4chfr8.cloudfront.net/image/725136000567/image_h79c329gi51hf0s20j6s636r72/-FJPG/109065-002_GRP_2.jpg;https://dd3ka9h4chfr8.cloudfront.net/image/725136000567/image_nitjnhc0hl5333a5srcugb681d/-FJPG/109065-002_GRP_3.jpg</t>
  </si>
  <si>
    <t>109065-002</t>
  </si>
  <si>
    <t>https://dd3ka9h4chfr8.cloudfront.net/image/725136000567/image_kp9anrr97d51b22si4uvtj9a2f/-FJPG/109065-002_FRT_1.jpg</t>
  </si>
  <si>
    <t>Light-finished oak forms a clean silhouette for six spacious drawers with iron hardware wrapped in tan top-grain leather. This item has been modified to comply with the STURDY Act. See a full list of modified products and data changes in the â€œSTURDY Actâ€_x009d_ file in the Downloads section below.</t>
  </si>
  <si>
    <t>Rosedale 6 Drawer Tall Dresser</t>
  </si>
  <si>
    <t>https://dd3ka9h4chfr8.cloudfront.net/image/725136000567/image_odj2ufouat40n81fqqgja8t95f/-FJPG/108708-003_FRT_1.jpg;https://dd3ka9h4chfr8.cloudfront.net/image/725136000567/image_jmpofu03892idervu22fhdn426/-FJPG/108708-003_PRM_1.jpg;https://dd3ka9h4chfr8.cloudfront.net/image/725136000567/image_0bn2du0dgp3h9d3cs8a5eni57c/-FJPG/108708-003_SID_1.jpg;https://dd3ka9h4chfr8.cloudfront.net/image/725136000567/image_u4g6vf0p015835c1luqgpoap6c/-FJPG/108708-003_ESS_1.jpg;https://dd3ka9h4chfr8.cloudfront.net/image/725136000567/image_upjfha1l394s13dvmebsa6b740/-FJPG/108708-003_DET_2.jpg;https://dd3ka9h4chfr8.cloudfront.net/image/725136000567/image_6oavi3q26h4lhac3ku2vvu6579/-FJPG/108708-003_BCK_1.jpg;https://dd3ka9h4chfr8.cloudfront.net/image/725136000567/image_k2snpi047p7ql8lt09lot1rg7f/-FJPG/108708-003_DET_1.jpg;https://dd3ka9h4chfr8.cloudfront.net/image/725136000567/image_pf7d76brmh35n78e4ija2hpq2m/-FJPG/108708-003_OPN_1.jpg;https://dd3ka9h4chfr8.cloudfront.net/image/725136000567/image_t81iroskqd2phcaqfuqgecgv2j/-FJPG/108708-003_DET_4.jpg;https://dd3ka9h4chfr8.cloudfront.net/image/725136000567/image_gmmli48j113c141pt57lo47o3u/-FJPG/108708-003_DET_5.jpg;https://dd3ka9h4chfr8.cloudfront.net/image/725136000567/image_1vi88i9j8924h76es20lqdkp08/-FJPG/108708-003_DET_8.jpg</t>
  </si>
  <si>
    <t>108708-003</t>
  </si>
  <si>
    <t>170.86</t>
  </si>
  <si>
    <t>https://dd3ka9h4chfr8.cloudfront.net/image/725136000567/image_odj2ufouat40n81fqqgja8t95f/-FJPG/108708-003_FRT_1.jpg</t>
  </si>
  <si>
    <t>{"value":55.51,"unit":"in"}</t>
  </si>
  <si>
    <t>30.67"</t>
  </si>
  <si>
    <t>https://dd3ka9h4chfr8.cloudfront.net/image/725136000567/image_737jsfvdht145eqqmagieaj91e/-FJPG/108708-002_FRT_1.jpg;https://dd3ka9h4chfr8.cloudfront.net/image/725136000567/image_5vvrm76g6p3tdcttuoc1d4ge7l/-FJPG/108708-002_PRM_1.jpg;https://dd3ka9h4chfr8.cloudfront.net/image/725136000567/image_67v8r56ks94mh32oa126v49d7k/-FJPG/108708-002_SID_1.jpg;https://dd3ka9h4chfr8.cloudfront.net/image/725136000567/image_br7245ipjh1hp4qvbp60tdl56d/-FJPG/108708-002_ESS_1.jpg;https://dd3ka9h4chfr8.cloudfront.net/image/725136000567/image_c1brn2mkj579v4klqvfrich83c/-FJPG/108708-002_DET_2.jpg;https://dd3ka9h4chfr8.cloudfront.net/image/725136000567/image_q1k5bdsqmp3f1fkqingetllb4k/-FJPG/108708-002_BCK_1.jpg;https://dd3ka9h4chfr8.cloudfront.net/image/725136000567/image_1pi28k9sc56pl4o7in0ocjet24/-FJPG/108708-002_DET_1.jpg;https://dd3ka9h4chfr8.cloudfront.net/image/725136000567/image_ef73hnfedt2mhe18nhm7n5d846/-FJPG/108708-002_DET_3.jpg;https://dd3ka9h4chfr8.cloudfront.net/image/725136000567/image_ni5c41bv6h0v3a942a7hir3i2o/-FJPG/108708-002_OPN_1.jpg;https://dd3ka9h4chfr8.cloudfront.net/image/725136000567/image_1cke1f2oep0575ubbfeidfdn31/-FJPG/108708-002_DET_4.jpg;https://dd3ka9h4chfr8.cloudfront.net/image/725136000567/image_9f2a3mvnt93qhcder5eqin8k04/-FJPG/108708-002_DET_5.jpg;https://dd3ka9h4chfr8.cloudfront.net/image/725136000567/image_7hmtuuf1s930j37753g7d56r1a/-FJPG/108708-002_DET_6.jpg;https://dd3ka9h4chfr8.cloudfront.net/image/725136000567/image_go3rmav7th5e1atiqv59t77m3m/-FJPG/108708-002_DET_7.jpg</t>
  </si>
  <si>
    <t>108708-002</t>
  </si>
  <si>
    <t>https://dd3ka9h4chfr8.cloudfront.net/image/725136000567/image_737jsfvdht145eqqmagieaj91e/-FJPG/108708-002_FRT_1.jpg</t>
  </si>
  <si>
    <t>Rosedale 8 Drawer Dresser</t>
  </si>
  <si>
    <t>https://dd3ka9h4chfr8.cloudfront.net/image/725136000567/image_bfi1ot8ff12lp2p2t34dto1t4n/-FJPG/246172-002_FRT_1.jpg;https://dd3ka9h4chfr8.cloudfront.net/image/725136000567/image_kkkku1792h27d54gb86dl2m64v/-FJPG/246172-002_PRM_1.jpg;https://dd3ka9h4chfr8.cloudfront.net/image/725136000567/image_hc65q00ul979jbtlch5uvllv66/-FJPG/246172-002_SID_1.jpg;https://dd3ka9h4chfr8.cloudfront.net/image/725136000567/image_6la5nngj7t4bn8ilrp602icj03/-FJPG/246172-002_DET_2.jpg;https://dd3ka9h4chfr8.cloudfront.net/image/725136000567/image_4tmjo411255pnf7hjc6hh45f7b/-FJPG/246172-002_BCK_1.jpg;https://dd3ka9h4chfr8.cloudfront.net/image/725136000567/image_74dn71has16affgf275hbi113k/-FJPG/246172-002_DET_1.jpg;https://dd3ka9h4chfr8.cloudfront.net/image/725136000567/image_9a4gkbhcod247ca3ee9go1ao3u/-FJPG/246172-002_DET_3.jpg;https://dd3ka9h4chfr8.cloudfront.net/image/725136000567/image_u57shupet574f97hvuij15ks4v/-FJPG/246172-002_OPN_1.jpg;https://dd3ka9h4chfr8.cloudfront.net/image/725136000567/image_rn7vpvg1k536df6naslgteb63a/-FJPG/246172-002_TOP_1.jpg;https://dd3ka9h4chfr8.cloudfront.net/image/725136000567/image_g1e4oa6ms92pn4ihjfki2lan01/-FJPG/246172-002_DET_4.jpg;https://dd3ka9h4chfr8.cloudfront.net/image/725136000567/image_8silqe6tgt327ahs1r65oq025a/-FJPG/246172-002_DET_5.jpg;https://dd3ka9h4chfr8.cloudfront.net/image/725136000567/image_oepi73264t5i9fbsjjsh2rdo6i/-FJPG/246172-002_DET_6.jpg;https://dd3ka9h4chfr8.cloudfront.net/image/725136000567/image_21u7l2mr7t2s13dnesmavv3l4p/-FJPG/246172-002_DET_7.jpg;https://dd3ka9h4chfr8.cloudfront.net/image/725136000567/image_lcn6n6cgrh2nv1ebbcob694i1t/-FJPG/246172-002_DET_8.jpg</t>
  </si>
  <si>
    <t>246172-002</t>
  </si>
  <si>
    <t>https://dd3ka9h4chfr8.cloudfront.net/image/725136000567/image_bfi1ot8ff12lp2p2t34dto1t4n/-FJPG/246172-002_FRT_1.jpg</t>
  </si>
  <si>
    <t>4.41"</t>
  </si>
  <si>
    <t>https://dd3ka9h4chfr8.cloudfront.net/image/725136000567/image_b1dc4ba35l6b70iksh3ugb2j6s/-FJPG/246172-001_FRT_1.jpg;https://dd3ka9h4chfr8.cloudfront.net/image/725136000567/image_g4i22o84s12ct36l6fvhv3fl5k/-FJPG/246172-001_PRM_1.jpg;https://dd3ka9h4chfr8.cloudfront.net/image/725136000567/image_eea3n1gjqh3n9fih5op85n4j4l/-FJPG/246172-001_SID_1.jpg;https://dd3ka9h4chfr8.cloudfront.net/image/725136000567/image_cfso166rtp16b1j20vhbdo5l2p/-FJPG/246172-001_ESS.tif;https://dd3ka9h4chfr8.cloudfront.net/image/725136000567/image_2vm9bue9656sv1cksab7alig4o/-FJPG/246172-001_DET_2.jpg;https://dd3ka9h4chfr8.cloudfront.net/image/725136000567/image_p9f3oph85568v6hr7lso5e5a2h/-FJPG/246172-001_BCK_1.jpg;https://dd3ka9h4chfr8.cloudfront.net/image/725136000567/image_0ciacakemp5mv4sm67s0cice20/-FJPG/246172-001_DET_1.jpg;https://dd3ka9h4chfr8.cloudfront.net/image/725136000567/image_6mnug7mhsp2a31ufpriichqg6n/-FJPG/246172-001_DET_3.jpg;https://dd3ka9h4chfr8.cloudfront.net/image/725136000567/image_hior0tckv17tl2n59c9gidc90g/-FJPG/246172-001_OPN_1.jpg;https://dd3ka9h4chfr8.cloudfront.net/image/725136000567/image_arrmcthv4p4gf5fq4mbca0e01i/-FJPG/246172-001_TOP_1.jpg;https://dd3ka9h4chfr8.cloudfront.net/image/725136000567/image_8g8u2q1v953br2p5onptg86i19/-FJPG/246172-001_DET_4.jpg;https://dd3ka9h4chfr8.cloudfront.net/image/725136000567/image_dioltcpvmd46v5mb6eg33n9o4u/-FJPG/246172-001_DET_5.jpg;https://dd3ka9h4chfr8.cloudfront.net/image/725136000567/image_qhi0kn3v5h2hpaog5s2cohg44p/-FJPG/246172-001_DET_6.jpg;https://dd3ka9h4chfr8.cloudfront.net/image/725136000567/image_b8i1j47qlp4gv0ol0nr40nnm09/-FJPG/246172-001_DET_7.jpg</t>
  </si>
  <si>
    <t>246172-001</t>
  </si>
  <si>
    <t>https://dd3ka9h4chfr8.cloudfront.net/image/725136000567/image_b1dc4ba35l6b70iksh3ugb2j6s/-FJPG/246172-001_FRT_1.jpg</t>
  </si>
  <si>
    <t>Rosedale Bed</t>
  </si>
  <si>
    <t>https://dd3ka9h4chfr8.cloudfront.net/image/725136000567/image_983r9lqbol0md41jt3ag8aoi7e/-FJPG/108480-003_FRT_1.jpg;https://dd3ka9h4chfr8.cloudfront.net/image/725136000567/image_oj229uq7o53fn6kc0onkq7d815/-FJPG/108480-003_PRM_1.jpg;https://dd3ka9h4chfr8.cloudfront.net/image/725136000567/image_i6oo9tres157dcp30udk1po443/-FJPG/108480-003_SID_1.jpg;https://dd3ka9h4chfr8.cloudfront.net/image/725136000567/image_39970f92qt2ot7fkbdn5s37i7s/-FJPG/108480-003_ESS_1.jpg;https://dd3ka9h4chfr8.cloudfront.net/image/725136000567/image_d24plth7b96irb6vvsvgrcuv4l/-FJPG/108480-003_DET_2.jpg;https://dd3ka9h4chfr8.cloudfront.net/image/725136000567/image_11rvndm17t5ttceev2drsmnl4m/-FJPG/108480-003_BCK_1.jpg;https://dd3ka9h4chfr8.cloudfront.net/image/725136000567/image_r2696oekpt4hl1fg7m6st6jo0s/-FJPG/108480-003_DET_1.jpg;https://dd3ka9h4chfr8.cloudfront.net/image/725136000567/image_lb4uhdp3n55jh2539bgah9js4o/-FJPG/108480-003_DET_3.jpg;https://dd3ka9h4chfr8.cloudfront.net/image/725136000567/image_m3mk7ss18p43j20a5oi4nh4826/-FJPG/108480-003_DET_4.jpg;https://dd3ka9h4chfr8.cloudfront.net/image/725136000567/image_qhac0rrli12b77mu1i7lv3960j/-FJPG/108480-003_DET_5.jpg;https://dd3ka9h4chfr8.cloudfront.net/image/725136000567/image_t1v20ufr6t0q7andvmjrf0do2a/-FJPG/108480-003_DET_6.jpg;https://dd3ka9h4chfr8.cloudfront.net/image/725136000567/image_05tgn2o39l5296v56g3lmtq74a/-FJPG/108480-003_DET_7.jpg;https://dd3ka9h4chfr8.cloudfront.net/image/725136000567/image_fs8s6qb7dl0617al2cv4i5p16l/-FJPG/108480-003_DET_8.jpg;https://dd3ka9h4chfr8.cloudfront.net/image/725136000567/image_kho2d3po114in564dmsgu3lm4n/-FJPG/108480-003_DET_9.jpg;https://dd3ka9h4chfr8.cloudfront.net/image/725136000567/image_faaopmo21h7qt4939ac2bd6f2g/-FJPG/108480-003_VIG_1.jpg</t>
  </si>
  <si>
    <t>108480-003</t>
  </si>
  <si>
    <t>158.72</t>
  </si>
  <si>
    <t>https://dd3ka9h4chfr8.cloudfront.net/image/725136000567/image_983r9lqbol0md41jt3ag8aoi7e/-FJPG/108480-003_FRT_1.jpg</t>
  </si>
  <si>
    <t>["Top Grain Leather","Oak Veneer"]</t>
  </si>
  <si>
    <t>Light-washed oak frames a floating, sling-style headboard made from tan top-grain leather, with subtly rounded edges and metal dowel detailing. Rounded edges bring a touch of softness to the bedroom.</t>
  </si>
  <si>
    <t>Footboard And Slats</t>
  </si>
  <si>
    <t>{"value":46.3,"unit":"lb"}</t>
  </si>
  <si>
    <t>63.39"</t>
  </si>
  <si>
    <t>50.98"</t>
  </si>
  <si>
    <t>80.71"</t>
  </si>
  <si>
    <t>60.83"</t>
  </si>
  <si>
    <t>https://dd3ka9h4chfr8.cloudfront.net/image/725136000567/image_82itbrpocd3vt9kbgb9dhb450h/-FJPG/108480-004_FRT_1.jpg;https://dd3ka9h4chfr8.cloudfront.net/image/725136000567/image_ggedq58b9l0jv30m9evpbvjr2t/-FJPG/108480-004_PRM_1.jpg;https://dd3ka9h4chfr8.cloudfront.net/image/725136000567/image_38c22q7s5d1mb1gifkiob6nl59/-FJPG/108480-004_SID_1.jpg;https://dd3ka9h4chfr8.cloudfront.net/image/725136000567/image_gdloiv4u5d5olaohr0lr0p8c3a/-FJPG/108480-004_ESS_1.jpg;https://dd3ka9h4chfr8.cloudfront.net/image/725136000567/image_gbsq260ech1jl7g17t93icrg2b/-FJPG/108480-004_DET_2.jpg;https://dd3ka9h4chfr8.cloudfront.net/image/725136000567/image_k3cqavov417j9714tnbl0eqp7l/-FJPG/108480-004_BCK_1.jpg;https://dd3ka9h4chfr8.cloudfront.net/image/725136000567/image_ef6l1mh69d7lh9q38mtfkosm7q/-FJPG/108480-004_DET_1.jpg;https://dd3ka9h4chfr8.cloudfront.net/image/725136000567/image_1s1lrlht4d46h0q7f3sjl4t766/-FJPG/108480-004_DET_3.jpg;https://dd3ka9h4chfr8.cloudfront.net/image/725136000567/image_nouifeugmp4trbcqgcucl9115l/-FJPG/108480-004_DET_4.jpg;https://dd3ka9h4chfr8.cloudfront.net/image/725136000567/image_ftkbt138a167lef99dsds20a1f/-FJPG/108480-004_DET_5.jpg;https://dd3ka9h4chfr8.cloudfront.net/image/725136000567/image_gjb1l1f9gh57hbsmc79346c52q/-FJPG/108480-004_DET_6.jpg;https://dd3ka9h4chfr8.cloudfront.net/image/725136000567/image_j08ukkr7rp4pfbhl5mdan8db34/-FJPG/108480-004_DET_7.jpg;https://dd3ka9h4chfr8.cloudfront.net/image/725136000567/image_5vpt2abdgp5ln3g1jl25sees4v/-FJPG/108480-004_DET_8.jpg;https://dd3ka9h4chfr8.cloudfront.net/image/725136000567/image_cimhvdr5b93an4sf0neapmoa1n/-FJPG/108480-004_DET_9.jpg</t>
  </si>
  <si>
    <t>108480-004</t>
  </si>
  <si>
    <t>https://dd3ka9h4chfr8.cloudfront.net/image/725136000567/image_82itbrpocd3vt9kbgb9dhb450h/-FJPG/108480-004_FRT_1.jpg</t>
  </si>
  <si>
    <t>79.53"</t>
  </si>
  <si>
    <t>https://dd3ka9h4chfr8.cloudfront.net/image/725136000567/image_1qrj82crrl09l14qhojn5v372i/-FJPG/108480-009_FRT_1.jpg;https://dd3ka9h4chfr8.cloudfront.net/image/725136000567/image_dqgd8efelt7kb62c4f8857ui7a/-FJPG/108480-009_PRM_1.jpg;https://dd3ka9h4chfr8.cloudfront.net/image/725136000567/image_kdurmgn1a94rja20cnhk3ssv6a/-FJPG/108480-009_SID_1.jpg;https://dd3ka9h4chfr8.cloudfront.net/image/725136000567/image_1f75i210ql7c31lgqfrrcjj06s/-FJPG/108480-009_DET_2.jpg;https://dd3ka9h4chfr8.cloudfront.net/image/725136000567/image_a7h8soj4pl7jn2cafmu8iqcq7i/-FJPG/108480-009_BCK_1.jpg;https://dd3ka9h4chfr8.cloudfront.net/image/725136000567/image_mg77n17hh93774sqgrc5rdju5p/-FJPG/108480-009_DET_1.jpg;https://dd3ka9h4chfr8.cloudfront.net/image/725136000567/image_bqdk9j42gt60p4197o8ohv4r7d/-FJPG/108480-009_DET_3.jpg;https://dd3ka9h4chfr8.cloudfront.net/image/725136000567/image_3m054vjf7p40lal3p0dsqhr213/-FJPG/108480-009_DET_4.jpg;https://dd3ka9h4chfr8.cloudfront.net/image/725136000567/image_2v0q94jka9601d2pjfjspvaj41/-FJPG/108480-009_DET_5.jpg;https://dd3ka9h4chfr8.cloudfront.net/image/725136000567/image_16uiu6gac1367aopv8b2id033f/-FJPG/108480-009_DET_6.jpg;https://dd3ka9h4chfr8.cloudfront.net/image/725136000567/image_k5b4bf959h5udemp15h61p7o51/-FJPG/108480-009_DET_7.jpg</t>
  </si>
  <si>
    <t>108480-009</t>
  </si>
  <si>
    <t>https://dd3ka9h4chfr8.cloudfront.net/image/725136000567/image_1qrj82crrl09l14qhojn5v372i/-FJPG/108480-009_FRT_1.jpg</t>
  </si>
  <si>
    <t>["95% Polyester","5% Acrylic","Oak Veneer"]</t>
  </si>
  <si>
    <t>Light-finished oak frames a sling-style headboard of cream-colored boucle.</t>
  </si>
  <si>
    <t>https://dd3ka9h4chfr8.cloudfront.net/image/725136000567/image_8u5cnnor6t32l85e27r9eubg3k/-FJPG/108480-010_FRT_1.jpg;https://dd3ka9h4chfr8.cloudfront.net/image/725136000567/image_5ufhendm4t6dfehgp6rqd2lq6q/-FJPG/108480-010_PRM_1.jpg;https://dd3ka9h4chfr8.cloudfront.net/image/725136000567/image_qnjckbubap155a7u275c5f2l3h/-FJPG/108480-010_SID_1.jpg;https://dd3ka9h4chfr8.cloudfront.net/image/725136000567/image_evvi9r10j1051f7ffqijvsfo7b/-FJPG/108480-010_ESS_1.jpg;https://dd3ka9h4chfr8.cloudfront.net/image/725136000567/image_1ohi99kivt2sh163gfhi4h8g2f/-FJPG/108480-010_DET_2.jpg;https://dd3ka9h4chfr8.cloudfront.net/image/725136000567/image_iv3qnub2o94i5669g00n4ilb54/-FJPG/108480-010_BCK_1.jpg;https://dd3ka9h4chfr8.cloudfront.net/image/725136000567/image_ej4ojd9brd46p4r529lgok3030/-FJPG/108480-010_DET_1.jpg;https://dd3ka9h4chfr8.cloudfront.net/image/725136000567/image_d3fltim0c54op7b8kalba0ap7g/-FJPG/108480-010_DET_3.jpg;https://dd3ka9h4chfr8.cloudfront.net/image/725136000567/image_tfs6dm5b4l4eh4t780jjovdh4q/-FJPG/108480-010_DET_4.jpg;https://dd3ka9h4chfr8.cloudfront.net/image/725136000567/image_cq8j74us2l3lt7t31m2nr1ag2t/-FJPG/108480-010_DET_5.jpg;https://dd3ka9h4chfr8.cloudfront.net/image/725136000567/image_t7j9dri9rd3bffqmpk7iretr5b/-FJPG/108480-010_DET_6.jpg;https://dd3ka9h4chfr8.cloudfront.net/image/725136000567/image_el6t13bqnp50ba777hh8rko60m/-FJPG/108480-010_DET_7.jpg</t>
  </si>
  <si>
    <t>108480-010</t>
  </si>
  <si>
    <t>https://dd3ka9h4chfr8.cloudfront.net/image/725136000567/image_8u5cnnor6t32l85e27r9eubg3k/-FJPG/108480-010_FRT_1.jpg</t>
  </si>
  <si>
    <t>Light-washed oak frames a floating, sling-style headboard of cream-colored boucle, with subtly rounded edges and metal dowel detailing. Rounded edges bring a touch of softness to the bedroom.</t>
  </si>
  <si>
    <t>https://dd3ka9h4chfr8.cloudfront.net/image/725136000567/image_movehf9u615olcq04h5lm0ih0a/-FJPG/108480-013_FRT_1.jpg;https://dd3ka9h4chfr8.cloudfront.net/image/725136000567/image_pfnfemcqth2tp33j5o711hdf4h/-FJPG/108480-013_PRM_1.jpg;https://dd3ka9h4chfr8.cloudfront.net/image/725136000567/image_n1rrb9m47p3fdb43v6c5ul056l/-FJPG/108480-013_SID_1.jpg;https://dd3ka9h4chfr8.cloudfront.net/image/725136000567/image_rejb0vsd7p3id3u9ipkjj4dt1c/-FJPG/108480-014_ESS.tif;https://dd3ka9h4chfr8.cloudfront.net/image/725136000567/image_smjbqkkba50hp9i7jb0tm1uf5t/-FJPG/108480-013_DET_2.jpg;https://dd3ka9h4chfr8.cloudfront.net/image/725136000567/image_mkv943ug5550pa7iff9hupfd24/-FJPG/108480-013_BCK_1.jpg;https://dd3ka9h4chfr8.cloudfront.net/image/725136000567/image_0f1s6maqq57u779saoh9i0pq15/-FJPG/108480-013_DET_1.jpg;https://dd3ka9h4chfr8.cloudfront.net/image/725136000567/image_9ji0nqhdh505t0gote0vuab74s/-FJPG/108480-013_DET_3.jpg;https://dd3ka9h4chfr8.cloudfront.net/image/725136000567/image_bv8tbs7svt20r0il1ocnggir6r/-FJPG/108480-013_DET_4.jpg;https://dd3ka9h4chfr8.cloudfront.net/image/725136000567/image_hhv5pacg7t6b9ek6on0d12tf4o/-FJPG/108480-013_DET_5.jpg;https://dd3ka9h4chfr8.cloudfront.net/image/725136000567/image_0hk9tqnk6523jdj8gj6ofpvb1b/-FJPG/108480-013_DET_6.jpg;https://dd3ka9h4chfr8.cloudfront.net/image/725136000567/image_gtun6imdv97nl80ssv7dqlbv1n/-FJPG/108480-013_DET_7.jpg;https://dd3ka9h4chfr8.cloudfront.net/image/725136000567/image_kem01u1obd6hn2nb6kg4jead3l/-FJPG/108480-013_DET_8.jpg</t>
  </si>
  <si>
    <t>108480-013</t>
  </si>
  <si>
    <t>https://dd3ka9h4chfr8.cloudfront.net/image/725136000567/image_movehf9u615olcq04h5lm0ih0a/-FJPG/108480-013_FRT_1.jpg</t>
  </si>
  <si>
    <t>Ebony-finished oak frames a sling-style headboard made from high-performance fabric. Performance fabrics are specially created to withstand spills, stains, high traffic and wear, ensuring long-term comfort and unmatched durability.</t>
  </si>
  <si>
    <t>https://dd3ka9h4chfr8.cloudfront.net/image/725136000567/image_jdhktr3g2d6159ug829reg0812/-FJPG/108480-014_FRT_1.jpg;https://dd3ka9h4chfr8.cloudfront.net/image/725136000567/image_3l3to3nsn906j20tqb1ph36u31/-FJPG/108480-014_PRM_1.jpg;https://dd3ka9h4chfr8.cloudfront.net/image/725136000567/image_8afa0ldni54e97jk6pb7meh22e/-FJPG/108480-014_SID_1.jpg;https://dd3ka9h4chfr8.cloudfront.net/image/725136000567/image_rejb0vsd7p3id3u9ipkjj4dt1c/-FJPG/108480-014_ESS.tif;https://dd3ka9h4chfr8.cloudfront.net/image/725136000567/image_tpd9uuuogl4cr4anb8k8saf304/-FJPG/108480-014_DET_2.jpg;https://dd3ka9h4chfr8.cloudfront.net/image/725136000567/image_67onhs995t5830o9edlpn61h2k/-FJPG/108480-014_BCK_1.jpg;https://dd3ka9h4chfr8.cloudfront.net/image/725136000567/image_l3knitnor92ajcsmgbvsm2357t/-FJPG/108480-014_DET_1.jpg;https://dd3ka9h4chfr8.cloudfront.net/image/725136000567/image_eqkieeipsh69h1007voln6uf24/-FJPG/108480-014_DET_3.jpg;https://dd3ka9h4chfr8.cloudfront.net/image/725136000567/image_i185nh9lrp4lp7qp5hs2iov376/-FJPG/108480-014_DET_4.jpg;https://dd3ka9h4chfr8.cloudfront.net/image/725136000567/image_dc02krnkll6uvden7rtk4s0t6s/-FJPG/108480-014_DET_5.jpg;https://dd3ka9h4chfr8.cloudfront.net/image/725136000567/image_3ndmda4o712t70h3i9kjcf647t/-FJPG/108480-014_DET_6.jpg;https://dd3ka9h4chfr8.cloudfront.net/image/725136000567/image_9srmp6gji57fn78fpt4eauf730/-FJPG/108480-014_DET_7.jpg;https://dd3ka9h4chfr8.cloudfront.net/image/725136000567/image_oh2t8kno4d3mbb8j2s90pk6f6l/-FJPG/108480-014_DET_8.jpg</t>
  </si>
  <si>
    <t>108480-014</t>
  </si>
  <si>
    <t>https://dd3ka9h4chfr8.cloudfront.net/image/725136000567/image_jdhktr3g2d6159ug829reg0812/-FJPG/108480-014_FRT_1.jpg</t>
  </si>
  <si>
    <t>Rosedale Executive Desk</t>
  </si>
  <si>
    <t>https://dd3ka9h4chfr8.cloudfront.net/image/725136000567/image_jrc85sq5nh22r68li725ut0k1m/-FJPG/246801-002_FRT_1.jpg;https://dd3ka9h4chfr8.cloudfront.net/image/725136000567/image_o2ecuksvod1spbmk6m1e7qoj7i/-FJPG/246801-002_PRM_1.jpg;https://dd3ka9h4chfr8.cloudfront.net/image/725136000567/image_2mv1t0ccg152f5hu8bgu4mna0p/-FJPG/246801-002_SID_1.jpg;https://dd3ka9h4chfr8.cloudfront.net/image/725136000567/image_31dnhtrv210qvcaatj3m0ftk50/-FJPG/246801-002_ESS.tif;https://dd3ka9h4chfr8.cloudfront.net/image/725136000567/image_rs5gqsu3dd2kr4v77jl4803q53/-FJPG/246801-002_DET_2.jpg;https://dd3ka9h4chfr8.cloudfront.net/image/725136000567/image_j1nbdsstdt50h585l8sjm1uq31/-FJPG/246801-002_BCK_1.jpg;https://dd3ka9h4chfr8.cloudfront.net/image/725136000567/image_sqmq155pdt4f52nj9rmvuidp2b/-FJPG/246801-002_DET_1.jpg;https://dd3ka9h4chfr8.cloudfront.net/image/725136000567/image_chts6k52sp54hcpvaj8f419b7h/-FJPG/246801-002_DET_3.jpg;https://dd3ka9h4chfr8.cloudfront.net/image/725136000567/image_7rd86mvb7l0u39i2d15ss7lo21/-FJPG/246801-002_OPN_1.jpg;https://dd3ka9h4chfr8.cloudfront.net/image/725136000567/image_cm518e255527h3qqn5mngq9l64/-FJPG/246801-002_TOP_1.jpg;https://dd3ka9h4chfr8.cloudfront.net/image/725136000567/image_hbhojffv0174vcgdb4fppki32k/-FJPG/246801-002_DET_4.jpg;https://dd3ka9h4chfr8.cloudfront.net/image/725136000567/image_1f69ik5lft0672rvl07efecr5m/-FJPG/246801-002_DET_5.jpg;https://dd3ka9h4chfr8.cloudfront.net/image/725136000567/image_c3mlm4tm6h0up3u3p6lf7bhr5f/-FJPG/246801-002_DET_6.jpg;https://dd3ka9h4chfr8.cloudfront.net/image/725136000567/image_edecqjcak13eh68ae7vsgr7l3k/-FJPG/246801-002_DET_7.jpg;https://dd3ka9h4chfr8.cloudfront.net/image/725136000567/image_t4f0qsssn57drdqkhm8v9plg15/-FJPG/246801-002_DET_9.tif;https://dd3ka9h4chfr8.cloudfront.net/image/725136000567/image_c6dn1j92d95rp32rtja6jqo84o/-FJPG/246801-002_OPN_2.jpg</t>
  </si>
  <si>
    <t>246801-002</t>
  </si>
  <si>
    <t>https://dd3ka9h4chfr8.cloudfront.net/image/725136000567/image_jrc85sq5nh22r68li725ut0k1m/-FJPG/246801-002_FRT_1.jpg</t>
  </si>
  <si>
    <t>Accented with iron hardware wrapped in tan top-grain leather, dark-finished oak crafts shapes a clean silhouette. Vary-sized drawers offer plenty of storage, while outset legs bring a design-forward touch.</t>
  </si>
  <si>
    <t>{"value":268.96,"unit":"lb"}</t>
  </si>
  <si>
    <t>31.81"</t>
  </si>
  <si>
    <t>1.46"</t>
  </si>
  <si>
    <t>30.08"</t>
  </si>
  <si>
    <t>9.53"</t>
  </si>
  <si>
    <t>https://dd3ka9h4chfr8.cloudfront.net/image/725136000567/image_n9fbhtbnrl29vcdej19330md7l/-FJPG/246801-001_FRT_1.jpg;https://dd3ka9h4chfr8.cloudfront.net/image/725136000567/image_cmsd818n69723ee5um712t7r06/-FJPG/246801-001_PRM_1.jpg;https://dd3ka9h4chfr8.cloudfront.net/image/725136000567/image_daj24go2q947902jiqaggb0f3m/-FJPG/246801-001_SID_1.jpg;https://dd3ka9h4chfr8.cloudfront.net/image/725136000567/image_4kg8ttl3v90r530d6pblrbvn0t/-FJPG/246801-001_ESS.tif;https://dd3ka9h4chfr8.cloudfront.net/image/725136000567/image_a4dhhndv4l6n34v3ivu1n9uv5n/-FJPG/246801-001_DET_2.jpg;https://dd3ka9h4chfr8.cloudfront.net/image/725136000567/image_0coe8471ph065deii2ku9sp65t/-FJPG/246801-001_BCK_1.jpg;https://dd3ka9h4chfr8.cloudfront.net/image/725136000567/image_t2efopmqrl1d5fm5j1g2fri74a/-FJPG/246801-001_DET_1.jpg;https://dd3ka9h4chfr8.cloudfront.net/image/725136000567/image_pmteorbtvl30n2rto0b0o8i27f/-FJPG/246801-001_DET_3.jpg;https://dd3ka9h4chfr8.cloudfront.net/image/725136000567/image_a6h9tm27h51aj0h6mvit2v195c/-FJPG/246801-001_OPN_1.jpg;https://dd3ka9h4chfr8.cloudfront.net/image/725136000567/image_ure8kbf0s906jek8smfij4i365/-FJPG/246801-001_TOP_1.jpg;https://dd3ka9h4chfr8.cloudfront.net/image/725136000567/image_daj4mpp57538n4nd4tp5d4g166/-FJPG/246801-001_DET_4.jpg;https://dd3ka9h4chfr8.cloudfront.net/image/725136000567/image_n2ufe50rt91t3dv4lherisro6a/-FJPG/246801-001_DET_5.jpg;https://dd3ka9h4chfr8.cloudfront.net/image/725136000567/image_9uk83h9m7973d5s6qn43sagq0g/-FJPG/246801-001_DET_6.jpg;https://dd3ka9h4chfr8.cloudfront.net/image/725136000567/image_98uaf2dj59089am1t9kfoto13e/-FJPG/246801-001_DET_9.tif;https://dd3ka9h4chfr8.cloudfront.net/image/725136000567/image_lglophkfjl6it2c44q6r9vpk78/-FJPG/246801-001_OPN_2.jpg</t>
  </si>
  <si>
    <t>246801-001</t>
  </si>
  <si>
    <t>https://dd3ka9h4chfr8.cloudfront.net/image/725136000567/image_n9fbhtbnrl29vcdej19330md7l/-FJPG/246801-001_FRT_1.jpg</t>
  </si>
  <si>
    <t>Accented with iron hardware wrapped in tan top-grain leather, light-finished oak crafts shapes a clean silhouette. Vary-sized drawers offer plenty of storage, while outset legs bring a design-forward touch.</t>
  </si>
  <si>
    <t>Rosedale Media Console</t>
  </si>
  <si>
    <t>https://dd3ka9h4chfr8.cloudfront.net/image/725136000567/image_5b0su3bgc92pd2jupc0c1gt25s/-FJPG/108672-004_FRT_1.jpg;https://dd3ka9h4chfr8.cloudfront.net/image/725136000567/image_rs1df5c1750tj9kom38g2dqd65/-FJPG/108672-004_PRM_1.jpg;https://dd3ka9h4chfr8.cloudfront.net/image/725136000567/image_v5b935v2q11ud17ceem3vrgf12/-FJPG/108672-004_SID_1.jpg;https://dd3ka9h4chfr8.cloudfront.net/image/725136000567/image_pvhv1gi1e96l1d8umnkodumn4l/-FJPG/108672-004_ESS.tif;https://dd3ka9h4chfr8.cloudfront.net/image/725136000567/image_pa3phgga012drf4sokfljfss1s/-FJPG/108672-004_DET_2.jpg;https://dd3ka9h4chfr8.cloudfront.net/image/725136000567/image_4nvotf27p55ql694qabfrtec0b/-FJPG/108672-004_BCK_1.jpg;https://dd3ka9h4chfr8.cloudfront.net/image/725136000567/image_mu5th261050gn58352qp7if062/-FJPG/108672-004_DET_1.jpg;https://dd3ka9h4chfr8.cloudfront.net/image/725136000567/image_prsi51udr97m59sbf1ah04hd47/-FJPG/108672-004_DET_3.jpg;https://dd3ka9h4chfr8.cloudfront.net/image/725136000567/image_fg97uvle6d6ivf7gtt4123123g/-FJPG/108672-004_OPN_1.jpg;https://dd3ka9h4chfr8.cloudfront.net/image/725136000567/image_1kmqlhu36h4cpbc4fud6aukm77/-FJPG/108672-004_DET_4.jpg;https://dd3ka9h4chfr8.cloudfront.net/image/725136000567/image_jcme616p0d5endu4a7jtu1im00/-FJPG/108672-004_DET_5.jpg;https://dd3ka9h4chfr8.cloudfront.net/image/725136000567/image_nbirmh2tsd2tn0mb5bh713u91e/-FJPG/108672-004_DET_6.jpg</t>
  </si>
  <si>
    <t>108672-004</t>
  </si>
  <si>
    <t>https://dd3ka9h4chfr8.cloudfront.net/image/725136000567/image_5b0su3bgc92pd2jupc0c1gt25s/-FJPG/108672-004_FRT_1.jpg</t>
  </si>
  <si>
    <t>["Top Grain Leather","Oak Veneer","Solid Oak"]</t>
  </si>
  <si>
    <t>94.25</t>
  </si>
  <si>
    <t>{"value":94.25,"unit":"in"}</t>
  </si>
  <si>
    <t>{"value":98.82,"unit":"in"}</t>
  </si>
  <si>
    <t>32.76"</t>
  </si>
  <si>
    <t>6.32"</t>
  </si>
  <si>
    <t>20.65"</t>
  </si>
  <si>
    <t>16.99"</t>
  </si>
  <si>
    <t>3.46"</t>
  </si>
  <si>
    <t>4.45"</t>
  </si>
  <si>
    <t>21.02"</t>
  </si>
  <si>
    <t>Rosedale Nightstand</t>
  </si>
  <si>
    <t>https://dd3ka9h4chfr8.cloudfront.net/image/725136000567/image_mf4f7fkqvd57d43o94vg74v775/-FJPG/109064-003_FRT_1.jpg;https://dd3ka9h4chfr8.cloudfront.net/image/725136000567/image_rtudfo07q96cj2benpfplea906/-FJPG/109064-003_PRM_1.jpg;https://dd3ka9h4chfr8.cloudfront.net/image/725136000567/image_1mrdnlhvm53j1e2m74fbm6c05h/-FJPG/109064-003_SID_1.jpg;https://dd3ka9h4chfr8.cloudfront.net/image/725136000567/image_dd8n2i8rdt0ble172k694b972c/-FJPG/109064-003_ESS_1.jpg;https://dd3ka9h4chfr8.cloudfront.net/image/725136000567/image_uat3aeon4l5v70mbgbvl1qcp5m/-FJPG/109064-003_DET_2.jpg;https://dd3ka9h4chfr8.cloudfront.net/image/725136000567/image_46m7ov98j9579fnkhlkp0hkg4g/-FJPG/109064-003_BCK_1.jpg;https://dd3ka9h4chfr8.cloudfront.net/image/725136000567/image_ah61n65jld6et7c8db64u8ng7s/-FJPG/109064-003_DET_1.jpg;https://dd3ka9h4chfr8.cloudfront.net/image/725136000567/image_dcm4hbm9hp6ip9splnljf5rg00/-FJPG/109064-003_DET_3.jpg;https://dd3ka9h4chfr8.cloudfront.net/image/725136000567/image_7rh34u8dl560jbsvqkv9ci345k/-FJPG/109064-003_OPN_1.jpg;https://dd3ka9h4chfr8.cloudfront.net/image/725136000567/image_59m9p8v9pl0q37kr9fr3lgrt66/-FJPG/109064-003_DET_4.jpg;https://dd3ka9h4chfr8.cloudfront.net/image/725136000567/image_85daso5jdh2e57iacvohi9p03e/-FJPG/109064-003_DET_5.jpg</t>
  </si>
  <si>
    <t>109064-003</t>
  </si>
  <si>
    <t>https://dd3ka9h4chfr8.cloudfront.net/image/725136000567/image_mf4f7fkqvd57d43o94vg74v775/-FJPG/109064-003_FRT_1.jpg</t>
  </si>
  <si>
    <t>Ebony-finished oak forms a clean silhouette for dual drawers with iron hardware wrapped in tan top-grain leather.</t>
  </si>
  <si>
    <t>https://dd3ka9h4chfr8.cloudfront.net/image/725136000567/image_g76vr67i1l3u1e6uanjv4d476q/-FJPG/109064-004_FRT_1.jpg;https://dd3ka9h4chfr8.cloudfront.net/image/725136000567/image_qop0r8entd0nv0sdsj9b5fc40j/-FJPG/109064-004_PRM_1.jpg;https://dd3ka9h4chfr8.cloudfront.net/image/725136000567/image_ng48h53n6h5n91psihja6b7422/-FJPG/109064-004_SID_1.jpg;https://dd3ka9h4chfr8.cloudfront.net/image/725136000567/image_th7kk8ih2l191etdptd0m86i1e/-FJPG/109064-004_ESS_1.jpg;https://dd3ka9h4chfr8.cloudfront.net/image/725136000567/image_e06if1im850urd7a9i5l7h8u0n/-FJPG/109064-004_DET_2.jpg;https://dd3ka9h4chfr8.cloudfront.net/image/725136000567/image_jk5g9bu24p2vh3rukp2017fi5s/-FJPG/109064-004_BCK_1.jpg;https://dd3ka9h4chfr8.cloudfront.net/image/725136000567/image_11v9tko6al6q1550t7p8bsul7q/-FJPG/109064-004_DET_1.jpg;https://dd3ka9h4chfr8.cloudfront.net/image/725136000567/image_tt0p3l9bvt1d5bbgvfk83omu3a/-FJPG/109064-004_DET_3.jpg;https://dd3ka9h4chfr8.cloudfront.net/image/725136000567/image_hp3rd93rdl1hfc5qgs7hsn1h6k/-FJPG/109064-004_OPN_1.jpg;https://dd3ka9h4chfr8.cloudfront.net/image/725136000567/image_e1h6hnnp5l4c7a5em941q00558/-FJPG/109064-004_DET_4.jpg;https://dd3ka9h4chfr8.cloudfront.net/image/725136000567/image_it1l5njr695ff4jjn8v8po3416/-FJPG/109064-004_DET_5.jpg;https://dd3ka9h4chfr8.cloudfront.net/image/725136000567/image_uehj1td0k50130im3fnqdl444t/-FJPG/109064-004_DET_6.jpg;https://dd3ka9h4chfr8.cloudfront.net/image/725136000567/image_df2dtvhffh5gv1jb93btqffm60/-FJPG/109064-004_DET_7.jpg</t>
  </si>
  <si>
    <t>109064-004</t>
  </si>
  <si>
    <t>https://dd3ka9h4chfr8.cloudfront.net/image/725136000567/image_g76vr67i1l3u1e6uanjv4d476q/-FJPG/109064-004_FRT_1.jpg</t>
  </si>
  <si>
    <t>Light-finished oak forms a clean silhouette for dual drawers with iron hardware wrapped in tan top-grain leather.</t>
  </si>
  <si>
    <t>Rosedale Sideboard</t>
  </si>
  <si>
    <t>https://dd3ka9h4chfr8.cloudfront.net/image/725136000567/image_ebel1hq46h5il9jahr7hu4pp7n/-FJPG/108998-003_FRT_1.jpg;https://dd3ka9h4chfr8.cloudfront.net/image/725136000567/image_qg10hsgt2d1ot98ib1s75fmf4j/-FJPG/108998-003_PRM_1.jpg;https://dd3ka9h4chfr8.cloudfront.net/image/725136000567/image_3a9q635eb5741b0f3oe4m0rs2e/-FJPG/108998-003_SID_1.jpg;https://dd3ka9h4chfr8.cloudfront.net/image/725136000567/image_05nmitis4d19p2s7llf8uv4051/-FJPG/108998-003_DET_2.jpg;https://dd3ka9h4chfr8.cloudfront.net/image/725136000567/image_lvgne1ld890lbao5tmvilkf83n/-FJPG/108998-003_BCK_1.jpg;https://dd3ka9h4chfr8.cloudfront.net/image/725136000567/image_edkrl0h96t5vj7qm3o60i56e7a/-FJPG/108998-003_DET_1.jpg;https://dd3ka9h4chfr8.cloudfront.net/image/725136000567/image_r927jg0lth7erdtei6g02jnb03/-FJPG/108998-003_DET_3.jpg;https://dd3ka9h4chfr8.cloudfront.net/image/725136000567/image_4dna31vi3l3ul6quk08rcfr20e/-FJPG/108998-003_OPN_1.jpg;https://dd3ka9h4chfr8.cloudfront.net/image/725136000567/image_it969ovvud2el24ns4gbvptm05/-FJPG/108998-003_TOP_1.jpg;https://dd3ka9h4chfr8.cloudfront.net/image/725136000567/image_jnhe6vv6q53rv0mi8m7geeo170/-FJPG/108998-003_DET_4.jpg;https://dd3ka9h4chfr8.cloudfront.net/image/725136000567/image_j1b8u0hmel3hd58rlm9fcngv6k/-FJPG/108998-003_DET_5.jpg;https://dd3ka9h4chfr8.cloudfront.net/image/725136000567/image_r6m7eio1kh45n3q6bjq91rub71/-FJPG/108998-003_DET_6.jpg;https://dd3ka9h4chfr8.cloudfront.net/image/725136000567/image_oe63hbluf919d4699g4gruoh1e/-FJPG/108998-003_DET_7.jpg</t>
  </si>
  <si>
    <t>108998-003</t>
  </si>
  <si>
    <t>https://dd3ka9h4chfr8.cloudfront.net/image/725136000567/image_ebel1hq46h5il9jahr7hu4pp7n/-FJPG/108998-003_FRT_1.jpg</t>
  </si>
  <si>
    <t>73.25</t>
  </si>
  <si>
    <t>{"value":73.25,"unit":"in"}</t>
  </si>
  <si>
    <t>Accented with iron hardware wrapped in top-grain leather, black-finished oak veneer forms a clean silhouette with plenty of storage. Outset legs add an element of interest. Rear cutouts for cord management.</t>
  </si>
  <si>
    <t>{"value":77.95,"unit":"in"}</t>
  </si>
  <si>
    <t>34.11"</t>
  </si>
  <si>
    <t>17.62"</t>
  </si>
  <si>
    <t>https://dd3ka9h4chfr8.cloudfront.net/image/725136000567/image_85dnh75m653id0ta2u855ka77l/-FJPG/108998-002_FRT_1.jpg;https://dd3ka9h4chfr8.cloudfront.net/image/725136000567/image_v75lgftf7d3ebbos1khjannv66/-FJPG/108998-002_PRM_1.jpg;https://dd3ka9h4chfr8.cloudfront.net/image/725136000567/image_6a9cjsut5d1rv2gggds55i8830/-FJPG/108998-002_SID_1.jpg;https://dd3ka9h4chfr8.cloudfront.net/image/725136000567/image_ngln02q00h6bj1i25deiaocg7s/-FJPG/108998-002_ESS.tif;https://dd3ka9h4chfr8.cloudfront.net/image/725136000567/image_2s6rae2vht3kfc2tqa3p9d6n7t/-FJPG/108998-002_DET_2.jpg;https://dd3ka9h4chfr8.cloudfront.net/image/725136000567/image_dem9t18s5p3br3nr8d57muj93i/-FJPG/108998-002_BCK_1.jpg;https://dd3ka9h4chfr8.cloudfront.net/image/725136000567/image_igo2pfr03l13h4kjkfsdfik01m/-FJPG/108998-002_DET_1.jpg;https://dd3ka9h4chfr8.cloudfront.net/image/725136000567/image_vlvt4mvuq95jlbm7uf74oi5q5s/-FJPG/108998-002_DET_3.jpg;https://dd3ka9h4chfr8.cloudfront.net/image/725136000567/image_94edqf53ed7cr761q7isdfq85t/-FJPG/108998-002_OPN_1.jpg;https://dd3ka9h4chfr8.cloudfront.net/image/725136000567/image_9l0bcmm43p3gj5bbluc58lq41p/-FJPG/108998-002_DET_4.jpg;https://dd3ka9h4chfr8.cloudfront.net/image/725136000567/image_di2uniad1t4qj92n0etb2qet38/-FJPG/108998-002_DET_5.jpg;https://dd3ka9h4chfr8.cloudfront.net/image/725136000567/image_302thkg7m56ut8hitk1t436k0e/-FJPG/108998-002_DET_6.jpg;https://dd3ka9h4chfr8.cloudfront.net/image/725136000567/image_53oknfkahd589722f4spg8e95s/-FJPG/108998-002_DET_7.jpg</t>
  </si>
  <si>
    <t>108998-002</t>
  </si>
  <si>
    <t>https://dd3ka9h4chfr8.cloudfront.net/image/725136000567/image_85dnh75m653id0ta2u855ka77l/-FJPG/108998-002_FRT_1.jpg</t>
  </si>
  <si>
    <t>Accented with iron hardware wrapped in tan top-grain leather, light-finished oak veneer forms a clean silhouette with plenty of storage. Outset legs add an element of interest.</t>
  </si>
  <si>
    <t>Rosenell 6 Drawer Dresser</t>
  </si>
  <si>
    <t>https://dd3ka9h4chfr8.cloudfront.net/image/725136000567/image_d2iu3g4p1t6k38k5mu0areq35p/-FJPG/249311-002_FRT_1.jpg;https://dd3ka9h4chfr8.cloudfront.net/image/725136000567/image_abcj8tk7fl2n7e02qh27cjnc13/-FJPG/249311-002_PRM_1.jpg;https://dd3ka9h4chfr8.cloudfront.net/image/725136000567/image_khg1m21b3t2ilech28b22g6m4r/-FJPG/249311-002_SID_1.jpg;https://dd3ka9h4chfr8.cloudfront.net/image/725136000567/image_3hu5n1fg8t23pb086kvf8qmj4r/-FJPG/249311-002_ESS.tif;https://dd3ka9h4chfr8.cloudfront.net/image/725136000567/image_bs5vs3uf6t1ln2mjbgcvun8t7o/-FJPG/249311-002_DET_2.jpg;https://dd3ka9h4chfr8.cloudfront.net/image/725136000567/image_i1u4u7sejl4a9d3v9qgvinff0o/-FJPG/249311-002_BCK_1.jpg;https://dd3ka9h4chfr8.cloudfront.net/image/725136000567/image_icgm89hjt10n3amdmg5f643g16/-FJPG/249311-002_DET_1.jpg;https://dd3ka9h4chfr8.cloudfront.net/image/725136000567/image_dnt68hikft14bbm6qs3dmkff0m/-FJPG/249311-002_DET_3.jpg;https://dd3ka9h4chfr8.cloudfront.net/image/725136000567/image_9ge29jttp11qrbsb1etechac34/-FJPG/249311-002_OPN_1.jpg;https://dd3ka9h4chfr8.cloudfront.net/image/725136000567/image_5kv0tit0317ilbq1129b6nmf15/-FJPG/249311-002_TOP_1.jpg;https://dd3ka9h4chfr8.cloudfront.net/image/725136000567/image_bp9frt9fol687ftge7jf89ef11/-FJPG/249311-002_DET_4.jpg;https://dd3ka9h4chfr8.cloudfront.net/image/725136000567/image_c283tse6u935n31ihhume8u51c/-FJPG/249311-002_DET_5.jpg;https://dd3ka9h4chfr8.cloudfront.net/image/725136000567/image_5mbu41qbmp35177sulfr531448/-FJPG/249311-002_DET_6.jpg;https://dd3ka9h4chfr8.cloudfront.net/image/725136000567/image_080inp95ah54d8hu21q8hab802/-FJPG/249311-002_DET_7.jpg;https://dd3ka9h4chfr8.cloudfront.net/image/725136000567/image_d5gnli2n013sn4s1tk1768qf3f/-FJPG/249311-002_DET_9.tif</t>
  </si>
  <si>
    <t>249311-002</t>
  </si>
  <si>
    <t>312.61</t>
  </si>
  <si>
    <t>https://dd3ka9h4chfr8.cloudfront.net/image/725136000567/image_d2iu3g4p1t6k38k5mu0areq35p/-FJPG/249311-002_FRT_1.jpg</t>
  </si>
  <si>
    <t>["Rush","Oak Veneer","Solid Oak"]</t>
  </si>
  <si>
    <t>Albert</t>
  </si>
  <si>
    <t>Elevate your bedroom styling with a storage-driven dresser of light, natural oak. A smooth top pairs with six spacious drawers covered with woven paper cord. The result: a clean, Scandinavian-inspired look that will work into your collection beautifully.</t>
  </si>
  <si>
    <t>{"value":412.93,"unit":"lb"}</t>
  </si>
  <si>
    <t>Rosenell</t>
  </si>
  <si>
    <t>4.65"</t>
  </si>
  <si>
    <t>32.83"</t>
  </si>
  <si>
    <t>Rowen Chair</t>
  </si>
  <si>
    <t>https://dd3ka9h4chfr8.cloudfront.net/image/725136000567/image_o4v0e04kc17grdm5sa8238pm28/-FJPG/105778-012_FRT_1.jpg;https://dd3ka9h4chfr8.cloudfront.net/image/725136000567/image_mjnqtaksb95thdvavgk0pcuk69/-FJPG/105778-012_PRM_1.jpg;https://dd3ka9h4chfr8.cloudfront.net/image/725136000567/image_2r14uu6lfl3lj1iqhp0r6ko60t/-FJPG/105778-012_SID_1.jpg;https://dd3ka9h4chfr8.cloudfront.net/image/725136000567/image_s5aolvnk3t7th6i4bia8erti6g/-FJPG/105778-012_ESS.tif;https://dd3ka9h4chfr8.cloudfront.net/image/725136000567/image_0giug955rl61resjteep0b4234/-FJPG/105778-012_DET_2.jpg;https://dd3ka9h4chfr8.cloudfront.net/image/725136000567/image_6a85bfnigp42te2kt73nd9eg2f/-FJPG/105778-012_BCK_1.jpg;https://dd3ka9h4chfr8.cloudfront.net/image/725136000567/image_5ter1jkjs13afeqn0fovvbmm18/-FJPG/105778-012_DET_1.jpg;https://dd3ka9h4chfr8.cloudfront.net/image/725136000567/image_j1s7b0ddft0kr42i00rsab6i42/-FJPG/105778-012_DET_3.jpg;https://dd3ka9h4chfr8.cloudfront.net/image/725136000567/image_pbhm4mdtj12i3fibva6t5mmp0g/-FJPG/105778-012_DET_4.jpg;https://dd3ka9h4chfr8.cloudfront.net/image/725136000567/image_lj6ko4ln3h24pfvuq1uue74h7l/-FJPG/105778-012_DET_5.jpg;https://dd3ka9h4chfr8.cloudfront.net/image/725136000567/image_bl1ajhqsq901fanj161ih5441o/-FJPG/105778-012_DET_6.jpg;https://dd3ka9h4chfr8.cloudfront.net/image/725136000567/image_rbcaukbdrh0034rlgslmjq3b7k/-FJPG/105778-012_HOV_1.jpg</t>
  </si>
  <si>
    <t>105778-012</t>
  </si>
  <si>
    <t>https://dd3ka9h4chfr8.cloudfront.net/image/725136000567/image_o4v0e04kc17grdm5sa8238pm28/-FJPG/105778-012_FRT_1.jpg</t>
  </si>
  <si>
    <t>["70% Polyester","20% Viscose (Rayon)","10% Flax/Linen","Stainless Steel","Solid Ash"]</t>
  </si>
  <si>
    <t>Angular oak arms pair with tailored seating of high-performance fabric. Slim, carbon-finished steel legs add a dose of modern-industrial edge. Performance fabrics are specially created to withstand spills, stains, high traffic and wear, ensuring long-term comfort and unmatched durability.</t>
  </si>
  <si>
    <t>{"value":53.13,"unit":"lb"}</t>
  </si>
  <si>
    <t>Rowen</t>
  </si>
  <si>
    <t>https://dd3ka9h4chfr8.cloudfront.net/image/725136000567/image_9j3kuddtpd34h62c695hpd804n/-FJPG/105778-008_FRT_1.jpg;https://dd3ka9h4chfr8.cloudfront.net/image/725136000567/image_r5dh5k265h4tdfsrvkbjs90q7c/-FJPG/105778-008_PRM_1.jpg;https://dd3ka9h4chfr8.cloudfront.net/image/725136000567/image_um56f1us3d4hf93qv7bub7vk62/-FJPG/105778-008_SID_1.jpg;https://dd3ka9h4chfr8.cloudfront.net/image/725136000567/image_pvbtqj83gd6f5b2os3ldbqc766/-FJPG/105778-008_DET_2.jpg;https://dd3ka9h4chfr8.cloudfront.net/image/725136000567/image_gpenefru455hned5qsaglqko51/-FJPG/105778-008_BCK_1.jpg;https://dd3ka9h4chfr8.cloudfront.net/image/725136000567/image_4jnm6vahrt3gd6uuvp7lrk2c1u/-FJPG/105778-008_INF_1.jpg;https://dd3ka9h4chfr8.cloudfront.net/image/725136000567/image_npvniv585h07991d21pkdspb60/-FJPG/105778-008_DET_1.jpg;https://dd3ka9h4chfr8.cloudfront.net/image/725136000567/image_c2hsvkrvi92vdae1ag4uudpc20/-FJPG/105778-008_DET_3.jpg;https://dd3ka9h4chfr8.cloudfront.net/image/725136000567/image_gthlr3l9d95jr55i5l86utc373/-FJPG/105778-008_DET_4.jpg;https://dd3ka9h4chfr8.cloudfront.net/image/725136000567/image_rujfjrjk511cjb8h9h4lsccp79/-FJPG/105778-008_VIG_1.jpg</t>
  </si>
  <si>
    <t>Fayette Cloud</t>
  </si>
  <si>
    <t>105778-008</t>
  </si>
  <si>
    <t>https://dd3ka9h4chfr8.cloudfront.net/image/725136000567/image_9j3kuddtpd34h62c695hpd804n/-FJPG/105778-008_FRT_1.jpg</t>
  </si>
  <si>
    <t>["97% Polyester","3% Acrylic","Stainless Steel","Solid Oak"]</t>
  </si>
  <si>
    <t>Textural seating of performance-grade upholstery, with angular arms of exposed oak for fresh contrast. Slim, carbon-finished steel legs add a dose of modern-industrial edge.</t>
  </si>
  <si>
    <t>https://dd3ka9h4chfr8.cloudfront.net/image/725136000567/image_j24s9dfvil0ln957prjlcvt26v/-FJPG/105778-009_FRT_1.jpg;https://dd3ka9h4chfr8.cloudfront.net/image/725136000567/image_pkrq92q4n131bci9ftcg2h8v3u/-FJPG/105778-009_PRM_1.jpg;https://dd3ka9h4chfr8.cloudfront.net/image/725136000567/image_4a95elr8ht4mje2n617mgnh240/-FJPG/105778-009_SID_1.jpg;https://dd3ka9h4chfr8.cloudfront.net/image/725136000567/image_17i15310u92ofcoqb85ntu0n0e/-FJPG/105778-009_ESS_1.jpg;https://dd3ka9h4chfr8.cloudfront.net/image/725136000567/image_ar62bu64q14p3clptjv7fhu03s/-FJPG/105778-009_DET_2.jpg;https://dd3ka9h4chfr8.cloudfront.net/image/725136000567/image_1r1hl09hdp7vfea6qj9dh0mu3m/-FJPG/105778-009_BCK_1.jpg;https://dd3ka9h4chfr8.cloudfront.net/image/725136000567/image_g939eqqvbt5o9bsaudlc8phf6d/-FJPG/105778-009_DET_1.jpg;https://dd3ka9h4chfr8.cloudfront.net/image/725136000567/image_oprdgcilmh4lh416dvab9sb65f/-FJPG/105778-009_DET_3.jpg;https://dd3ka9h4chfr8.cloudfront.net/image/725136000567/image_8b3c8gjhth62l1de7raq3ems7g/-FJPG/105778-009_DET_4.jpg;https://dd3ka9h4chfr8.cloudfront.net/image/725136000567/image_bq2sqk2rt9723fhtruhotn8d4m/-FJPG/105778-009_ROM_1.jpg</t>
  </si>
  <si>
    <t>105778-009</t>
  </si>
  <si>
    <t>https://dd3ka9h4chfr8.cloudfront.net/image/725136000567/image_j24s9dfvil0ln957prjlcvt26v/-FJPG/105778-009_FRT_1.jpg</t>
  </si>
  <si>
    <t>Slim, black steel frames buttery, pronounced seating of tan top-grain leather, with whitewashed ash accentuating angular arms.</t>
  </si>
  <si>
    <t>https://dd3ka9h4chfr8.cloudfront.net/image/725136000567/image_r6b38ivvv53dhabg6m2qooj244/-FJPG/105778-006_FRT_1.jpg;https://dd3ka9h4chfr8.cloudfront.net/image/725136000567/image_8ppgpssl0p51be5d1ed6s10860/-FJPG/105778-006_PRM_1.jpg;https://dd3ka9h4chfr8.cloudfront.net/image/725136000567/image_vodb3rt7g17j5eiei2qe8voc2m/-FJPG/105778-006_SID_1.jpg;https://dd3ka9h4chfr8.cloudfront.net/image/725136000567/image_kaf1bbsh3h7ff9m0aigqm13164/-FJPG/105778-006_DET_2.jpg;https://dd3ka9h4chfr8.cloudfront.net/image/725136000567/image_kipchd63hp3prbfi6g29vppb35/-FJPG/105778-006_BCK_1.jpg;https://dd3ka9h4chfr8.cloudfront.net/image/725136000567/image_te80vd5kpt389c8rmmnhgmdo6s/-FJPG/105778-006_DET_1.jpg;https://dd3ka9h4chfr8.cloudfront.net/image/725136000567/image_0r6dpqidfl0hn2de1fnfu0mi0r/-FJPG/105778-006_DET_3.jpg;https://dd3ka9h4chfr8.cloudfront.net/image/725136000567/image_nth17u8ap50p17nac3kant2911/-FJPG/105778-006_DET_4.jpg;https://dd3ka9h4chfr8.cloudfront.net/image/725136000567/image_eipvr3u6ud1cp5via2i8nlfi27/-FJPG/105778-006_DET_5.jpg;https://dd3ka9h4chfr8.cloudfront.net/image/725136000567/image_7udbm0d6rl4ep5o7c7cl654m42/-FJPG/105778-006_DET_6.jpg;https://dd3ka9h4chfr8.cloudfront.net/image/725136000567/image_5et6l1kfk13flb7dn7ui975i6e/-FJPG/105778-006_DET_7.jpg;https://dd3ka9h4chfr8.cloudfront.net/image/725136000567/image_ltftejs9cd5f7a99nd8mcc6t78/-FJPG/105778-006_DET_8.jpg;https://dd3ka9h4chfr8.cloudfront.net/image/725136000567/image_e0bonmau0t3eb42j35t2vn4e19/-FJPG/105778-006_ROM_1.jpg</t>
  </si>
  <si>
    <t>105778-006</t>
  </si>
  <si>
    <t>https://dd3ka9h4chfr8.cloudfront.net/image/725136000567/image_r6b38ivvv53dhabg6m2qooj244/-FJPG/105778-006_FRT_1.jpg</t>
  </si>
  <si>
    <t>["Top Grain Leather","Stainless Steel","Solid Oak"]</t>
  </si>
  <si>
    <t>Buttery black seating of Four Hands-exclusive top-grain leather, with angular arms of exposed oak providing fresh contrast. Slim, carbon-finished steel legs for a dose of modern-industrial edge.</t>
  </si>
  <si>
    <t>https://dd3ka9h4chfr8.cloudfront.net/image/725136000567/image_hnmltiu8q51e31nhceqdggq710/-FJPG/105778-007_FRT_1.jpg;https://dd3ka9h4chfr8.cloudfront.net/image/725136000567/image_soj9tc42914ln3liq2fotq9e5l/-FJPG/105778-007_PRM_1.jpg;https://dd3ka9h4chfr8.cloudfront.net/image/725136000567/image_c29aenu7hh51r4umomal21l965/-FJPG/105778-007_SID_1.jpg;https://dd3ka9h4chfr8.cloudfront.net/image/725136000567/image_9ofoc7ec912crcai6hdl4dnu4e/-FJPG/105778-007_ESS.tif;https://dd3ka9h4chfr8.cloudfront.net/image/725136000567/image_c180fg8cj934b52rqebl7srr4p/-FJPG/105778-007_DET_2.jpg;https://dd3ka9h4chfr8.cloudfront.net/image/725136000567/image_bm8j7omeml2f35m45auiksjg62/-FJPG/105778-007_BCK_1.jpg;https://dd3ka9h4chfr8.cloudfront.net/image/725136000567/image_96pa9lea4p4c33r433e7ajf17m/-FJPG/105778-007_INF_1.jpg;https://dd3ka9h4chfr8.cloudfront.net/image/725136000567/image_h2e074l3l979lcuqqhfms1su6v/-FJPG/105778-007_DET_1.jpg;https://dd3ka9h4chfr8.cloudfront.net/image/725136000567/image_kiftvrpl2d2t39pc2smnurvk2n/-FJPG/105778-007_DET_3.jpg;https://dd3ka9h4chfr8.cloudfront.net/image/725136000567/image_1rsrc6u6452c3dhsit38s66m7a/-FJPG/105778-007_DET_4.jpg;https://dd3ka9h4chfr8.cloudfront.net/image/725136000567/image_vbsvd0tacl5q5fd34qe7q9va5i/-FJPG/105778-007_DET_5.jpg;https://dd3ka9h4chfr8.cloudfront.net/image/725136000567/image_qm220t7mod0hn668h2hrq8cm67/-FJPG/105778-007_DET_6.jpg;https://dd3ka9h4chfr8.cloudfront.net/image/725136000567/image_83snqqgfhh5cl40ubumrufh479/-FJPG/105778-007_DET_7.jpg;https://dd3ka9h4chfr8.cloudfront.net/image/725136000567/image_6pmqs4l1jp1clcm2ia1hhopf11/-FJPG/105778-007_ROM_1.jpg</t>
  </si>
  <si>
    <t>105778-007</t>
  </si>
  <si>
    <t>https://dd3ka9h4chfr8.cloudfront.net/image/725136000567/image_hnmltiu8q51e31nhceqdggq710/-FJPG/105778-007_FRT_1.jpg</t>
  </si>
  <si>
    <t>Textural grey seating of performance-grade upholstery, with angular arms of exposed oak providing fresh contrast. Slim, carbon-finished steel legs for a dose of modern-industrial edge.</t>
  </si>
  <si>
    <t>Russ Dresser</t>
  </si>
  <si>
    <t>https://dd3ka9h4chfr8.cloudfront.net/image/725136000567/image_pok5e7f76p2vn48n51f1scoj7u/-FJPG/241055-001_FRT_1.jpg;https://dd3ka9h4chfr8.cloudfront.net/image/725136000567/image_k1q1q0irat20p3t2cfmqohv120/-FJPG/241055-001_PRM_1.jpg;https://dd3ka9h4chfr8.cloudfront.net/image/725136000567/image_9tsb0ugrcp4pj85ljd4g430e59/-FJPG/241055-001_SID_1.jpg;https://dd3ka9h4chfr8.cloudfront.net/image/725136000567/image_h521gh03rl5rpajegut3ggm937/-FJPG/241055-001_ESS.tif;https://dd3ka9h4chfr8.cloudfront.net/image/725136000567/image_5cvbbp30pd3tn39bai2o7trs46/-FJPG/241055-001_DET_2.jpg;https://dd3ka9h4chfr8.cloudfront.net/image/725136000567/image_5bmmlijg813r3aahv0id41827e/-FJPG/241055-001_BCK_1.jpg;https://dd3ka9h4chfr8.cloudfront.net/image/725136000567/image_lmls39pbup1ld1dppru1ocp15u/-FJPG/241055-001_DET_1.jpg;https://dd3ka9h4chfr8.cloudfront.net/image/725136000567/image_3vq2aqdddp1lh2khg73vkr6a20/-FJPG/241055-001_DET_3.jpg;https://dd3ka9h4chfr8.cloudfront.net/image/725136000567/image_as5lb27ms12sr4336hq0s67h5q/-FJPG/241055-001_OPN_1.jpg;https://dd3ka9h4chfr8.cloudfront.net/image/725136000567/image_94pu40c3r92q119orr1b46mc17/-FJPG/241055-001_DET_4.jpg;https://dd3ka9h4chfr8.cloudfront.net/image/725136000567/image_lm2pac3bnt2mj43u0l63o4ik29/-FJPG/241055-001_DET_5.jpg;https://dd3ka9h4chfr8.cloudfront.net/image/725136000567/image_g5s389ujlh1rr69p98hbb77k61/-FJPG/241055-001_DET_6.jpg;https://dd3ka9h4chfr8.cloudfront.net/image/725136000567/image_4tumpiufg15qrc8n3nc1sknb7d/-FJPG/241055-001_DET_7.jpg;https://dd3ka9h4chfr8.cloudfront.net/image/725136000567/image_ft5r7pl1qp6nvbiroma9v6p728/-FJPG/241055-001_DET_9.tif;https://dd3ka9h4chfr8.cloudfront.net/image/725136000567/image_p99qs0cpfh4s9d0boj2h4cgo1u/-FJPG/241055-001_DET_10.tif</t>
  </si>
  <si>
    <t>241055-001</t>
  </si>
  <si>
    <t>281.089</t>
  </si>
  <si>
    <t>https://dd3ka9h4chfr8.cloudfront.net/image/725136000567/image_pok5e7f76p2vn48n51f1scoj7u/-FJPG/241055-001_FRT_1.jpg</t>
  </si>
  <si>
    <t>Like an heirloom dresser with three smaller drawers up top, this aged oak design has room for it all. Detailed with an overhang surface, carved edges top to bottom, angled legs and oval drawer pulls finished in dark gunmetal.</t>
  </si>
  <si>
    <t>{"value":51.77,"unit":"in"}</t>
  </si>
  <si>
    <t>{"value":358.25,"unit":"lb"}</t>
  </si>
  <si>
    <t>Russ</t>
  </si>
  <si>
    <t>28.68"</t>
  </si>
  <si>
    <t>Russ Nightstand</t>
  </si>
  <si>
    <t>https://dd3ka9h4chfr8.cloudfront.net/image/725136000567/image_haofdb4q7t0r98rng91t4gi82v/-FJPG/241057-001_FRT_1.jpg;https://dd3ka9h4chfr8.cloudfront.net/image/725136000567/image_jmah854td11bb9a267ful0os3u/-FJPG/241057-001_PRM_1.jpg;https://dd3ka9h4chfr8.cloudfront.net/image/725136000567/image_s21iscc2q93a52j077dnb69s7b/-FJPG/241057-001_SID_1.jpg;https://dd3ka9h4chfr8.cloudfront.net/image/725136000567/image_ujqo53ieg96h33hcka5pdnqs1v/-FJPG/241057-001_ESS.tif;https://dd3ka9h4chfr8.cloudfront.net/image/725136000567/image_f7glbub55d3u7dp43pefjf7140/-FJPG/241057-001_ESS_1.tif;https://dd3ka9h4chfr8.cloudfront.net/image/725136000567/image_9dr7sd8phd2v9em8qmq3edtj2e/-FJPG/241057-001_DET_2.jpg;https://dd3ka9h4chfr8.cloudfront.net/image/725136000567/image_ggq7e21j2d0jlclfil2fm5pc5p/-FJPG/241057-001_BCK_1.jpg;https://dd3ka9h4chfr8.cloudfront.net/image/725136000567/image_tgmava800l1t739bi75h787340/-FJPG/241057-001_DET_1.jpg;https://dd3ka9h4chfr8.cloudfront.net/image/725136000567/image_r5597775hd55361siujg5aff28/-FJPG/241057-001_DET_3.jpg;https://dd3ka9h4chfr8.cloudfront.net/image/725136000567/image_iv0f3bko3h0sb1qj2re3rqtj37/-FJPG/241057-001_OPN_1.jpg;https://dd3ka9h4chfr8.cloudfront.net/image/725136000567/image_0v3qir4scd7f50151f8m0idq6b/-FJPG/241057-001_DET_4.jpg;https://dd3ka9h4chfr8.cloudfront.net/image/725136000567/image_agnfkgpq0l1id68tef13urro5b/-FJPG/241057-001_DET_5.jpg;https://dd3ka9h4chfr8.cloudfront.net/image/725136000567/image_0j525lc3491jv89nthd7tla158/-FJPG/241057-001_DET_6.jpg;https://dd3ka9h4chfr8.cloudfront.net/image/725136000567/image_n865hd9bal0fv3l0rpepstn37c/-FJPG/241057-001_DET_7.jpg;https://dd3ka9h4chfr8.cloudfront.net/image/725136000567/image_6g5kvju1h97d32mlvp3kscfc2v/-FJPG/241057-001_DET_8.jpg;https://dd3ka9h4chfr8.cloudfront.net/image/725136000567/image_jdugfjkl0t0bb0t5u334iabv0n/-FJPG/241057-001_DET_9.tif;https://dd3ka9h4chfr8.cloudfront.net/image/725136000567/image_isl6gui0pl59j8qtnr8q45464g/-FJPG/FHMPRJ-010_SCENE-06.tif</t>
  </si>
  <si>
    <t>Aged Oak</t>
  </si>
  <si>
    <t>241057-001</t>
  </si>
  <si>
    <t>111.33</t>
  </si>
  <si>
    <t>https://dd3ka9h4chfr8.cloudfront.net/image/725136000567/image_haofdb4q7t0r98rng91t4gi82v/-FJPG/241057-001_FRT_1.jpg</t>
  </si>
  <si>
    <t>Like an heirloom nightstand with two roomy drawers, this aged oak design has room for it all. Detailed with an overhang surface, carved edges top to bottom, angled legs and oval drawer pulls finished in dark gunmetal.</t>
  </si>
  <si>
    <t>5.96"</t>
  </si>
  <si>
    <t>Rutherford End Table</t>
  </si>
  <si>
    <t>https://dd3ka9h4chfr8.cloudfront.net/image/725136000567/image_ukm9sq893h3ldcfieg8brbqn2f/-FJPG/236078-001_PRM_1.jpg;https://dd3ka9h4chfr8.cloudfront.net/image/725136000567/image_fbd7hdbrdt17128hmnulqt1n4p/-FJPG/236078-001_DET_2.jpg;https://dd3ka9h4chfr8.cloudfront.net/image/725136000567/image_i1daes8en94ghads026sdrle66/-FJPG/236078-001_DET_1.jpg;https://dd3ka9h4chfr8.cloudfront.net/image/725136000567/image_v4d1ku7bjh1r3c92uhm8smak65/-FJPG/236078-001_DET_3.jpg;https://dd3ka9h4chfr8.cloudfront.net/image/725136000567/image_its2gsjacl583fg96q1cbsfm2i/-FJPG/236078-001_TOP_1.jpg;https://dd3ka9h4chfr8.cloudfront.net/image/725136000567/image_da6nivctu56mff2r91bslpv65n/-FJPG/236078-001_DET_4.jpg;https://dd3ka9h4chfr8.cloudfront.net/image/725136000567/image_0g8nkqm8s55o7dml25bnicf82f/-FJPG/236078-001_DET_5.jpg</t>
  </si>
  <si>
    <t>Reclaimed Ashen Brown</t>
  </si>
  <si>
    <t>236078-001</t>
  </si>
  <si>
    <t>36.59</t>
  </si>
  <si>
    <t>https://dd3ka9h4chfr8.cloudfront.net/image/725136000567/image_ukm9sq893h3ldcfieg8brbqn2f/-FJPG/236078-001_PRM_1.jpg</t>
  </si>
  <si>
    <t>Inspired by décor in the majestic palaces of Jaipur, a conversation-starting end table is made from mixed reclaimed woods, with a rounded top and base with vertical reeding.</t>
  </si>
  <si>
    <t>{"value":4.75,"unit":"in"}</t>
  </si>
  <si>
    <t>{"value":23.37,"unit":"lb"}</t>
  </si>
  <si>
    <t>Rutherford</t>
  </si>
  <si>
    <t>Ryan Oak Coffee Table</t>
  </si>
  <si>
    <t>https://dd3ka9h4chfr8.cloudfront.net/image/725136000567/image_iblp6ouuf50ur2g228v89kt47v/-FJPG/237177-001_PRM_1.jpg;https://dd3ka9h4chfr8.cloudfront.net/image/725136000567/image_e15fl60pid1391sk4fbqpq796e/-FJPG/237177-001_ESS_1.jpg;https://dd3ka9h4chfr8.cloudfront.net/image/725136000567/image_guqrisuuj1699cntr88knma815/-FJPG/237177-001_DET_2.jpg;https://dd3ka9h4chfr8.cloudfront.net/image/725136000567/image_61trp5rusd5kd65ktu8o4e170j/-FJPG/237177-001_DET_1.jpg;https://dd3ka9h4chfr8.cloudfront.net/image/725136000567/image_arksru8kn54i771obu3j1cau4i/-FJPG/237177-001_DET_3.jpg;https://dd3ka9h4chfr8.cloudfront.net/image/725136000567/image_g42kabcunl7vhbhin6nifeug4m/-FJPG/237177-001_DET_4.jpg;https://dd3ka9h4chfr8.cloudfront.net/image/725136000567/image_c5leedtknt47pc3a80kk244v0b/-FJPG/237177-001_DET_5.jpg;https://dd3ka9h4chfr8.cloudfront.net/image/725136000567/image_haq896teih4f93mpdefu9odk5h/-FJPG/237177-001_DET_6.jpg</t>
  </si>
  <si>
    <t>237177-001</t>
  </si>
  <si>
    <t>https://dd3ka9h4chfr8.cloudfront.net/image/725136000567/image_iblp6ouuf50ur2g228v89kt47v/-FJPG/237177-001_PRM_1.jpg</t>
  </si>
  <si>
    <t>["Resawn Oak Veneer"]</t>
  </si>
  <si>
    <t>47.75</t>
  </si>
  <si>
    <t>{"value":47.75,"unit":"in"}</t>
  </si>
  <si>
    <t>The zen of this intentionally simple half-sphere can anchor an entire room. Natural imperfections in the wood make each table one-of-a-kind. This piece is designed in collaboration with Thomas Bina. Four Handsâ€™ partnership with the renowned Los Angeles furniture designer began in the early 2000s, producing several unique collections including reclaimed wood-driven case goods and Brazilian-inspired upholstery.</t>
  </si>
  <si>
    <t>Oneitem/Box</t>
  </si>
  <si>
    <t>Ryan</t>
  </si>
  <si>
    <t>47.83"</t>
  </si>
  <si>
    <t>12.64"</t>
  </si>
  <si>
    <t>Salado Bed</t>
  </si>
  <si>
    <t>https://dd3ka9h4chfr8.cloudfront.net/image/725136000567/image_bp5f830msh3an28rilivujvc0i/-FJPG/232834-010_FRT_1.jpg;https://dd3ka9h4chfr8.cloudfront.net/image/725136000567/image_2771oaohul131ec9kiblb1ee1o/-FJPG/232834-010_PRM_1.jpg;https://dd3ka9h4chfr8.cloudfront.net/image/725136000567/image_ae2df85bb13t902navcljrlq5f/-FJPG/232834-010_SID_1.jpg;https://dd3ka9h4chfr8.cloudfront.net/image/725136000567/image_c35nifrgp57tt2g9jtghv7kp6i/-FJPG/232834-010_DET_2.jpg;https://dd3ka9h4chfr8.cloudfront.net/image/725136000567/image_rp18d1rce95tr83u7dbglvp542/-FJPG/232834-010_BCK_1.jpg;https://dd3ka9h4chfr8.cloudfront.net/image/725136000567/image_np1968anmt4n9ct9i4a9kim64f/-FJPG/232834-010_DET_1.jpg;https://dd3ka9h4chfr8.cloudfront.net/image/725136000567/image_cquscj6n696rv2b5qh0mka7k69/-FJPG/232834-010_DET_3.jpg;https://dd3ka9h4chfr8.cloudfront.net/image/725136000567/image_9gab9kh4pp7ud6ct6plr0mj45s/-FJPG/232834-010_DET_4.jpg;https://dd3ka9h4chfr8.cloudfront.net/image/725136000567/image_jdoeb7oc850ef7cvs4jcdl4b79/-FJPG/232834-010_DET_5.jpg;https://dd3ka9h4chfr8.cloudfront.net/image/725136000567/image_bbtbr2um4d7cb1ktm6jhhuch53/-FJPG/232834-010_DET_6.jpg;https://dd3ka9h4chfr8.cloudfront.net/image/725136000567/image_4r2fh3fr2h3oteqigha8fss544/-FJPG/232834-010_DET_7.jpg;https://dd3ka9h4chfr8.cloudfront.net/image/725136000567/image_9j8dbi18193p1d2h7do8fuj876/-FJPG/232834-010_DET_8.jpg</t>
  </si>
  <si>
    <t>232834-010</t>
  </si>
  <si>
    <t>164.24</t>
  </si>
  <si>
    <t>https://dd3ka9h4chfr8.cloudfront.net/image/725136000567/image_bp5f830msh3an28rilivujvc0i/-FJPG/232834-010_FRT_1.jpg</t>
  </si>
  <si>
    <t>["53% Polyester","30% Acrylic","17% Flax/Linen","Solid Oak"]</t>
  </si>
  <si>
    <t>64.75</t>
  </si>
  <si>
    <t>{"value":64.75,"unit":"in"}</t>
  </si>
  <si>
    <t>Components</t>
  </si>
  <si>
    <t>Salado</t>
  </si>
  <si>
    <t>64.80"</t>
  </si>
  <si>
    <t>53.98"</t>
  </si>
  <si>
    <t>81.46"</t>
  </si>
  <si>
    <t>https://dd3ka9h4chfr8.cloudfront.net/image/725136000567/image_lfesu7md4t1836ftfdtq7p073l/-FJPG/232834-011_FRT_1.jpg;https://dd3ka9h4chfr8.cloudfront.net/image/725136000567/image_137ge8cj3h2olddr56mt5vk679/-FJPG/232834-011_PRM_1.jpg;https://dd3ka9h4chfr8.cloudfront.net/image/725136000567/image_dbb299nb955sb8hk027n0uva2r/-FJPG/232834-011_SID_1.jpg;https://dd3ka9h4chfr8.cloudfront.net/image/725136000567/image_l7g6un4pm121388lvc5lidlh0p/-FJPG/232834-011_ESS.tif;https://dd3ka9h4chfr8.cloudfront.net/image/725136000567/image_vcecpbul290sp3sgeq3alth418/-FJPG/232834-011_DET_2.jpg;https://dd3ka9h4chfr8.cloudfront.net/image/725136000567/image_t5ahqtutuh185cp6jrv9n2u24n/-FJPG/232834-011_BCK_1.jpg;https://dd3ka9h4chfr8.cloudfront.net/image/725136000567/image_p6m0f7n12h2g548spfdrmhbh0r/-FJPG/232834-011_DET_1.jpg;https://dd3ka9h4chfr8.cloudfront.net/image/725136000567/image_agsn8c44cl7fv8m752iqrj1059/-FJPG/232834-011_DET_3.jpg;https://dd3ka9h4chfr8.cloudfront.net/image/725136000567/image_t9m7345i0h5ij2vsv70jh4ma79/-FJPG/232834-011_DET_4.jpg;https://dd3ka9h4chfr8.cloudfront.net/image/725136000567/image_6jd81ohphh0qv4kqvkn37msa03/-FJPG/232834-011_DET_5.jpg;https://dd3ka9h4chfr8.cloudfront.net/image/725136000567/image_8dkivopknd2kb5cdt8t7713522/-FJPG/232834-011_DET_6.jpg;https://dd3ka9h4chfr8.cloudfront.net/image/725136000567/image_mbeu7s1la50ot814cjqoh50871/-FJPG/232834-011_DET_7.jpg;https://dd3ka9h4chfr8.cloudfront.net/image/725136000567/image_fhc4p9hchp0dbbdolsat0hdc4u/-FJPG/232834-011_DET_8.jpg;https://dd3ka9h4chfr8.cloudfront.net/image/725136000567/image_l9fi6sqgkt16n42p3ffk1eln5g/-FJPG/232834-011_DET_9.tif</t>
  </si>
  <si>
    <t>232834-011</t>
  </si>
  <si>
    <t>https://dd3ka9h4chfr8.cloudfront.net/image/725136000567/image_lfesu7md4t1836ftfdtq7p073l/-FJPG/232834-011_FRT_1.jpg</t>
  </si>
  <si>
    <t>https://dd3ka9h4chfr8.cloudfront.net/image/725136000567/image_04lelqqbnd7m9ane6mr04t3a4u/-FJPG/232834-003_FRT_1.jpg;https://dd3ka9h4chfr8.cloudfront.net/image/725136000567/image_75ln5t0sgl08laml92fi48542i/-FJPG/232834-003_PRM_1.jpg;https://dd3ka9h4chfr8.cloudfront.net/image/725136000567/image_mav6u0vsll07hdr677h9hk6g3g/-FJPG/232834-003_SID_1.jpg;https://dd3ka9h4chfr8.cloudfront.net/image/725136000567/image_do4hcs3rsh44t511cg96opgs54/-FJPG/232834-003_DET_2.jpg;https://dd3ka9h4chfr8.cloudfront.net/image/725136000567/image_t2nbqnlj194el2aak7fgn1la6i/-FJPG/232834-003_BCK_1.jpg;https://dd3ka9h4chfr8.cloudfront.net/image/725136000567/image_lg7p5lcdjt0sb5e44ccdk0ja5p/-FJPG/232834-003_DET_1.jpg;https://dd3ka9h4chfr8.cloudfront.net/image/725136000567/image_l1l19jja6d1u37g7p176iprl74/-FJPG/232834-003_DET_3.jpg;https://dd3ka9h4chfr8.cloudfront.net/image/725136000567/image_q18cld1vnt46389vvdqsdg4o15/-FJPG/232834-003_DET_4.jpg;https://dd3ka9h4chfr8.cloudfront.net/image/725136000567/image_afmojke2e12f906t903g6qb112/-FJPG/232834-003_DET_5.jpg;https://dd3ka9h4chfr8.cloudfront.net/image/725136000567/image_f3lsm12fdt1u1ff332kcnlls7j/-FJPG/232834-003_DET_6.jpg</t>
  </si>
  <si>
    <t>232834-003</t>
  </si>
  <si>
    <t>https://dd3ka9h4chfr8.cloudfront.net/image/725136000567/image_04lelqqbnd7m9ane6mr04t3a4u/-FJPG/232834-003_FRT_1.jpg</t>
  </si>
  <si>
    <t>Rubbed Black Oak</t>
  </si>
  <si>
    <t>Rubbed black oak  framing and heirloom leather panel details craft this safari-inspired king bed frame. Sourced from one of the oldest family-owned tanneries in Italyâ€™s Bassano del Grappa, our deep brown heirloom leather covering is salvaged and processed from upcycled hides featuring an abundance of natural markings, scars and color variations. The result? Beautifully supple, buttery soft hides with an unmatched depth of color and richness, and an authentic lived-in look.</t>
  </si>
  <si>
    <t>https://dd3ka9h4chfr8.cloudfront.net/image/725136000567/image_kf0rmqh1i55s5b3terhgbki971/-FJPG/232834-004_FRT_1.jpg;https://dd3ka9h4chfr8.cloudfront.net/image/725136000567/image_9vau0212m14qj05acsi5ftap3c/-FJPG/232834-004_PRM_1.jpg;https://dd3ka9h4chfr8.cloudfront.net/image/725136000567/image_sjhad5pjdl47p9bjuairvm290c/-FJPG/232834-004_SID_1.jpg;https://dd3ka9h4chfr8.cloudfront.net/image/725136000567/image_o46rupg1ph3mte3riuk34ak64d/-FJPG/232834-004_ESS_1.tif;https://dd3ka9h4chfr8.cloudfront.net/image/725136000567/image_fc74hn1i6p5id6vv6g8bak9i3t/-FJPG/232834-004_DET_2.jpg;https://dd3ka9h4chfr8.cloudfront.net/image/725136000567/image_c0d10kb8f54j905f137ad5ju1a/-FJPG/232834-004_BCK_1.jpg;https://dd3ka9h4chfr8.cloudfront.net/image/725136000567/image_hopmsel17h39df3nnodr6vt37i/-FJPG/232834-004_DET_1.jpg;https://dd3ka9h4chfr8.cloudfront.net/image/725136000567/image_0edo45ehe107reuegv3b1afa2f/-FJPG/232834-004_DET_3.jpg;https://dd3ka9h4chfr8.cloudfront.net/image/725136000567/image_fic3sa37bt6b51dmp1rrpce664/-FJPG/232834-004_DET_4.jpg;https://dd3ka9h4chfr8.cloudfront.net/image/725136000567/image_lqfpavt0nh2gpe7sos65o5387h/-FJPG/232834-004_DET_5.jpg</t>
  </si>
  <si>
    <t>232834-004</t>
  </si>
  <si>
    <t>https://dd3ka9h4chfr8.cloudfront.net/image/725136000567/image_kf0rmqh1i55s5b3terhgbki971/-FJPG/232834-004_FRT_1.jpg</t>
  </si>
  <si>
    <t>Rubbed black oak  framing and heirloom leather panel details craft this safari-inspired queen bed frame. Sourced from one of the oldest family-owned tanneries in Italyâ€™s Bassano del Grappa, our deep brown heirloom leather covering is salvaged and processed from upcycled hides featuring an abundance of natural markings, scars and color variations. The result? Beautifully supple, buttery soft hides with an unmatched depth of color and richness, and an authentic lived-in look.</t>
  </si>
  <si>
    <t>https://dd3ka9h4chfr8.cloudfront.net/image/725136000567/image_uod2sr2vmd2rlb91pge8obqk64/-FJPG/232834-001_FRT_1.jpg;https://dd3ka9h4chfr8.cloudfront.net/image/725136000567/image_8brhj2n68d5q59n5djde7kr66h/-FJPG/232834-001_PRM_1.jpg;https://dd3ka9h4chfr8.cloudfront.net/image/725136000567/image_9s9bj12dnh1one3khs4b1ncu6t/-FJPG/232834-001_SID_1.jpg;https://dd3ka9h4chfr8.cloudfront.net/image/725136000567/image_vbcs8v7c3127faukfpoled3041/-FJPG/232834-001_ESS_1.jpg;https://dd3ka9h4chfr8.cloudfront.net/image/725136000567/image_5g6f43p5k14sj98jp9s1rupk50/-FJPG/232834-001_DET_2.jpg;https://dd3ka9h4chfr8.cloudfront.net/image/725136000567/image_tbl445s3gd6q1fpee5tbsui56t/-FJPG/232834-001_BCK_1.jpg;https://dd3ka9h4chfr8.cloudfront.net/image/725136000567/image_s617rj0n956fv85h4d9bj6pu13/-FJPG/Color Variance Card_Heirloom Sienna.png;https://dd3ka9h4chfr8.cloudfront.net/image/725136000567/image_hek59qfii55ap9p8qpcn7n1047/-FJPG/232834-001_DET_1.jpg;https://dd3ka9h4chfr8.cloudfront.net/image/725136000567/image_l46qbehrf954p7ni1df9e2re5g/-FJPG/232834-001_DET_3.jpg;https://dd3ka9h4chfr8.cloudfront.net/image/725136000567/image_a5np7bmflp5316usu104eqgq1o/-FJPG/232834-001_DET_4.jpg;https://dd3ka9h4chfr8.cloudfront.net/image/725136000567/image_3ic1ag3u25081dr5dub073464r/-FJPG/232834-001_DET_5.jpg;https://dd3ka9h4chfr8.cloudfront.net/image/725136000567/image_90piqttjrp363aqi2n950av122/-FJPG/232834-001_DET_6.jpg;https://dd3ka9h4chfr8.cloudfront.net/image/725136000567/image_61as0i1iil2lh3bcjto7shb71h/-FJPG/232834-001_DET_9.jpg;https://dd3ka9h4chfr8.cloudfront.net/image/725136000567/image_dhs95sd11h09ncalmtah1hg55v/-FJPG/232834-001_SID_2.jpg</t>
  </si>
  <si>
    <t>232834-001</t>
  </si>
  <si>
    <t>https://dd3ka9h4chfr8.cloudfront.net/image/725136000567/image_uod2sr2vmd2rlb91pge8obqk64/-FJPG/232834-001_FRT_1.jpg</t>
  </si>
  <si>
    <t>Natural Ash Solid</t>
  </si>
  <si>
    <t>Solid ash framing and heirloom leather panel details craft this safari-inspired bed frame. Sourced from one of the oldest family-owned tanneries in Italyâ€™s Bassano del Grappa, our heirloom leather covering is salvaged and processed from upcycled hides featuring an abundance of natural markings, scars and color variations. The result? Beautifully supple, buttery soft hides with an unmatched depth of color and richness, and an authentic lived-in look.</t>
  </si>
  <si>
    <t>https://dd3ka9h4chfr8.cloudfront.net/image/725136000567/image_uh5qtua93d0jja7qifh5butk2g/-FJPG/232834-002_FRT_1.jpg;https://dd3ka9h4chfr8.cloudfront.net/image/725136000567/image_jmti0icdo11njailc8up8hfi35/-FJPG/232834-002_PRM_1.jpg;https://dd3ka9h4chfr8.cloudfront.net/image/725136000567/image_quvo521q0t537fl26s232h032r/-FJPG/232834-002_SID_1.jpg;https://dd3ka9h4chfr8.cloudfront.net/image/725136000567/image_l4gr2il6nt0279oc41jgr7dm26/-FJPG/232834-002_ESS_1.jpg;https://dd3ka9h4chfr8.cloudfront.net/image/725136000567/image_1odp0987111ev6mp5sd0ljbm11/-FJPG/232834-002_DET_2.jpg;https://dd3ka9h4chfr8.cloudfront.net/image/725136000567/image_ejs53o2s4p58v5afsaja2h5k45/-FJPG/232834-002_BCK_1.jpg;https://dd3ka9h4chfr8.cloudfront.net/image/725136000567/image_s617rj0n956fv85h4d9bj6pu13/-FJPG/Color Variance Card_Heirloom Sienna.png;https://dd3ka9h4chfr8.cloudfront.net/image/725136000567/image_fn8kp2dq6108t651nmihsj0c50/-FJPG/232834-002_DET_1.jpg;https://dd3ka9h4chfr8.cloudfront.net/image/725136000567/image_4t6mdm7kkl2tvfa51cb8bkvm78/-FJPG/232834-002_DET_3.jpg;https://dd3ka9h4chfr8.cloudfront.net/image/725136000567/image_scb9oj4orp0rn9rqobpi8ade4q/-FJPG/232834-002_DET_4.jpg;https://dd3ka9h4chfr8.cloudfront.net/image/725136000567/image_lugq1qefj976t49qf3mst98j0o/-FJPG/232834-002_DET_5.jpg;https://dd3ka9h4chfr8.cloudfront.net/image/725136000567/image_n6iglr74pt0jlba8l0fi4e9q0t/-FJPG/232834-002_DET_6.jpg;https://dd3ka9h4chfr8.cloudfront.net/image/725136000567/image_5jjujeu4bl49lc2hccpoakhi1g/-FJPG/232834-002_DET_7.jpg;https://dd3ka9h4chfr8.cloudfront.net/image/725136000567/image_udpjj0283t6k910d2ecvphe209/-FJPG/232834-002_DET_8.jpg;https://dd3ka9h4chfr8.cloudfront.net/image/725136000567/image_5nrgpj0pn519naj1k5afdad828/-FJPG/232834-002_DET_9.jpg;https://dd3ka9h4chfr8.cloudfront.net/image/725136000567/image_dln3mfmk7t1k72boi6o62ahf4a/-FJPG/232834-002_FRT_2.jpg;https://dd3ka9h4chfr8.cloudfront.net/image/725136000567/image_hr3htlle412g907o6hdaorar3m/-FJPG/232834-002_SID_2.jpg;https://dd3ka9h4chfr8.cloudfront.net/image/725136000567/image_bofp010ual3df99ckmkosefq6d/-FJPG/232834-002_PRM_2.jpg</t>
  </si>
  <si>
    <t>Heirloom Sienna Old</t>
  </si>
  <si>
    <t>232834-002</t>
  </si>
  <si>
    <t>https://dd3ka9h4chfr8.cloudfront.net/image/725136000567/image_uh5qtua93d0jja7qifh5butk2g/-FJPG/232834-002_FRT_1.jpg</t>
  </si>
  <si>
    <t>Saldana Swivel Chair</t>
  </si>
  <si>
    <t>https://dd3ka9h4chfr8.cloudfront.net/image/725136000567/image_1v3imgrr250p5eq6cikqms0f0j/-FJPG/242319-001_FRT_1.JPG;https://dd3ka9h4chfr8.cloudfront.net/image/725136000567/image_qtm63u1o4d0ajfk8gcqndv8b39/-FJPG/242319-001_PRM_1.JPG;https://dd3ka9h4chfr8.cloudfront.net/image/725136000567/image_395m3cr5i10upattovhm8gnn6l/-FJPG/242319-001_SID_1.JPG;https://dd3ka9h4chfr8.cloudfront.net/image/725136000567/image_j8ppdi2id11nh6qqvf757p1p12/-FJPG/242319-001_ESS.tif;https://dd3ka9h4chfr8.cloudfront.net/image/725136000567/image_tvibphro716rpfcdq1mnbl4u2g/-FJPG/242319-001_DET_2.JPG;https://dd3ka9h4chfr8.cloudfront.net/image/725136000567/image_r16aaerdo156n52n040u66fk77/-FJPG/242319-001_BCK_1.JPG;https://dd3ka9h4chfr8.cloudfront.net/image/725136000567/image_af9aiacdat6bpa0vfojr3vs85i/-FJPG/242319-001_DET_1.JPG;https://dd3ka9h4chfr8.cloudfront.net/image/725136000567/image_ab8fon7ru51r53r59oru8v7e01/-FJPG/242319-001_DET_3.JPG;https://dd3ka9h4chfr8.cloudfront.net/image/725136000567/image_1k4mj9ap2p5v94ni0rkuk6od7j/-FJPG/242319-001_DET_4.JPG;https://dd3ka9h4chfr8.cloudfront.net/image/725136000567/image_q0tbkam9lt6997p593l1jlcd0t/-FJPG/242319-001_DET_5.JPG;https://dd3ka9h4chfr8.cloudfront.net/image/725136000567/image_5hgl3ruf9d1odfch81inc2dv5l/-FJPG/242319-001_DET_6.JPG;https://dd3ka9h4chfr8.cloudfront.net/image/725136000567/image_fkc2hlg0rt1m1405i1r09vv404/-FJPG/242319-001_DET_9.tif</t>
  </si>
  <si>
    <t>Lorento Cognac</t>
  </si>
  <si>
    <t>242319-001</t>
  </si>
  <si>
    <t>https://dd3ka9h4chfr8.cloudfront.net/image/725136000567/image_1v3imgrr250p5eq6cikqms0f0j/-FJPG/242319-001_FRT_1.JPG</t>
  </si>
  <si>
    <t>Vintage charm meets modern comfort in this elevated 360-degree swivel chair. Wrapped in soft, supple top-grain leather with a warm cognac finish. Exaggerated folds and expertly rouched details bring a tailored, handcrafted look unique to each piece. Spring suspension and a feather-wrapped cushion invite you to sit and stay a while.</t>
  </si>
  <si>
    <t>50% Polyurethane Foam Pad, 40% Waterfowl Feather, 10% Polyester Fiber Batting</t>
  </si>
  <si>
    <t>Saldana</t>
  </si>
  <si>
    <t>Samena Chair</t>
  </si>
  <si>
    <t>https://dd3ka9h4chfr8.cloudfront.net/image/725136000567/image_reim3ahugt5ll97l7n88nilo2d/-FJPG/242115-001_FRT_1.jpg;https://dd3ka9h4chfr8.cloudfront.net/image/725136000567/image_5t2t9rqivp49h4c9vbfjb73r3b/-FJPG/242115-001_PRM_1.jpg;https://dd3ka9h4chfr8.cloudfront.net/image/725136000567/image_drkec1324t25fbf55hjk2a565b/-FJPG/242115-001_SID_1.jpg;https://dd3ka9h4chfr8.cloudfront.net/image/725136000567/image_s09ocrclap5tnbn2mvhvmr3b0t/-FJPG/242115-001_ESS_1.tif;https://dd3ka9h4chfr8.cloudfront.net/image/725136000567/image_snltvfl9s511ldgdghrog3b463/-FJPG/242115-001_DET_2.jpg;https://dd3ka9h4chfr8.cloudfront.net/image/725136000567/image_rvh64d572l11tbvpr65b9o6a2h/-FJPG/242115-001_BCK_1.jpg;https://dd3ka9h4chfr8.cloudfront.net/image/725136000567/image_c35ajo342l1530s09snupekr6j/-FJPG/242115-001_DET_1.jpg;https://dd3ka9h4chfr8.cloudfront.net/image/725136000567/image_3k6p6sdjr91j12hp3u5betki3o/-FJPG/242115-001_DET_3.jpg;https://dd3ka9h4chfr8.cloudfront.net/image/725136000567/image_lg3qdge4rp4tjdkikbvjfl7u56/-FJPG/242115-001_DET_4.jpg;https://dd3ka9h4chfr8.cloudfront.net/image/725136000567/image_ouaq4jl5od1kt989do0em37f3l/-FJPG/242115-001_DET_5.jpg;https://dd3ka9h4chfr8.cloudfront.net/image/725136000567/image_hsuig7dasd543cbuft623h8e5b/-FJPG/242115-001_DET_6.jpg;https://dd3ka9h4chfr8.cloudfront.net/image/725136000567/image_1dc41v4cfp5c1d2ucesrkpsq2a/-FJPG/242115-001_DET_9.tif;https://dd3ka9h4chfr8.cloudfront.net/image/725136000567/image_gos37ucjrt0dj6sa9acg1ec80f/-FJPG/FHMPRJ-008_SCENE_10.tif</t>
  </si>
  <si>
    <t>Nubuck Nude</t>
  </si>
  <si>
    <t>242115-001</t>
  </si>
  <si>
    <t>111.99</t>
  </si>
  <si>
    <t>https://dd3ka9h4chfr8.cloudfront.net/image/725136000567/image_reim3ahugt5ll97l7n88nilo2d/-FJPG/242115-001_FRT_1.jpg</t>
  </si>
  <si>
    <t>A cozy spot for lounging and curling up with a good book. This statement-making chair features large overflowing cushioning that wraps around the arms and back. Designed with S spring construction and a solid oak frame. Upholstered in a smooth sueded leather with contrasting sling seating strap beneath.</t>
  </si>
  <si>
    <t>{"value":45.87,"unit":"in"}</t>
  </si>
  <si>
    <t>{"value":154.98,"unit":"lb"}</t>
  </si>
  <si>
    <t>Samena</t>
  </si>
  <si>
    <t>31.61"</t>
  </si>
  <si>
    <t>22.24"</t>
  </si>
  <si>
    <t>Sandro Chair</t>
  </si>
  <si>
    <t>https://dd3ka9h4chfr8.cloudfront.net/image/725136000567/image_087c7b6n7d209dubvnv4mha21v/-FJPG/243064-006_FRT_1.jpg;https://dd3ka9h4chfr8.cloudfront.net/image/725136000567/image_r14sf3dddh69p1l8vr511jt648/-FJPG/243064-006_PRM_1.jpg;https://dd3ka9h4chfr8.cloudfront.net/image/725136000567/image_43ncrih3113lbad0vkeg61lo5n/-FJPG/243064-006_SID_1.jpg;https://dd3ka9h4chfr8.cloudfront.net/image/725136000567/image_319jmcalsl4r54no5uejpibg5g/-FJPG/243064-006_ESS.tif;https://dd3ka9h4chfr8.cloudfront.net/image/725136000567/image_nhud94gnj11ibdetjdt4gb0e46/-FJPG/243064-006_DET_2.jpg;https://dd3ka9h4chfr8.cloudfront.net/image/725136000567/image_vrd55hk8mh6fn6c2m7saa8t34q/-FJPG/243064-006_BCK_1.jpg;https://dd3ka9h4chfr8.cloudfront.net/image/725136000567/image_ba7rh91r015kb5si7q6hlsoa4b/-FJPG/243064-006_DET_1.jpg;https://dd3ka9h4chfr8.cloudfront.net/image/725136000567/image_kugmui6aut3mbdmgdc9t6g6n1e/-FJPG/243064-006_DET_3.jpg;https://dd3ka9h4chfr8.cloudfront.net/image/725136000567/image_3op9fp063d1kpbd31bf7l2d832/-FJPG/243064-006_DET_4.jpg;https://dd3ka9h4chfr8.cloudfront.net/image/725136000567/image_ngg4e78qvt2at2vghqktb7sk08/-FJPG/243064-006_DET_5.jpg;https://dd3ka9h4chfr8.cloudfront.net/image/725136000567/image_2s1pa19i013p978ugpslh6904k/-FJPG/243064-006_DET_6.jpg;https://dd3ka9h4chfr8.cloudfront.net/image/725136000567/image_267o8m1q5t64hfs0qq0qki5k17/-FJPG/243064-006_DET_9.tif;https://dd3ka9h4chfr8.cloudfront.net/image/725136000567/image_s02d3pr5ph3kd0c0i810cqh212/-FJPG/243064-006_DET_10.tif</t>
  </si>
  <si>
    <t>Champagne Mongolian Fur</t>
  </si>
  <si>
    <t>243064-006</t>
  </si>
  <si>
    <t>https://dd3ka9h4chfr8.cloudfront.net/image/725136000567/image_087c7b6n7d209dubvnv4mha21v/-FJPG/243064-006_FRT_1.jpg</t>
  </si>
  <si>
    <t>["100% Wool Fur","Solid Parawood"]</t>
  </si>
  <si>
    <t>42.25</t>
  </si>
  <si>
    <t>Sandro</t>
  </si>
  <si>
    <t>Scout Bar &amp; Counter Table</t>
  </si>
  <si>
    <t>https://dd3ka9h4chfr8.cloudfront.net/image/725136000567/image_ebsa7a4gh14u96jtre06b92q7o/-FJPG/224598-001_FRT_1.jpg;https://dd3ka9h4chfr8.cloudfront.net/image/725136000567/image_p2h6mel4l57tvaendan8vl6r3d/-FJPG/224598-001_PRM_1.jpg;https://dd3ka9h4chfr8.cloudfront.net/image/725136000567/image_f09jnbejkp3f50068c53rf465e/-FJPG/224598-001_SID_1.jpg;https://dd3ka9h4chfr8.cloudfront.net/image/725136000567/image_rnt8j44ve97khd3ev7sllj7848/-FJPG/224598-001_DET_2.jpg;https://dd3ka9h4chfr8.cloudfront.net/image/725136000567/image_1ei02pamm567t9o648vu1b6j5v/-FJPG/224598-001_DET_1.jpg;https://dd3ka9h4chfr8.cloudfront.net/image/725136000567/image_qr6r5jm1gd7c3a9sik5ufgae3o/-FJPG/224598-001_DET_3.jpg;https://dd3ka9h4chfr8.cloudfront.net/image/725136000567/image_s2hdms3i1t6s5fqfcd46ehat5a/-FJPG/224598-001_DET_4.jpg;https://dd3ka9h4chfr8.cloudfront.net/image/725136000567/image_bk74r04c9923v92lbvqmn9dk7a/-FJPG/224598-001_DET_5.jpg;https://dd3ka9h4chfr8.cloudfront.net/image/725136000567/image_0rb9cnmqq562r0pqaordngs62j/-FJPG/224598-001_DET_6.jpg;https://dd3ka9h4chfr8.cloudfront.net/image/725136000567/image_eusi1bbd69547ca5cmb6u6fm4j/-FJPG/224598-001_ESS_1.jpg</t>
  </si>
  <si>
    <t>Auburn Mango</t>
  </si>
  <si>
    <t>224598-001</t>
  </si>
  <si>
    <t>189.48</t>
  </si>
  <si>
    <t>https://dd3ka9h4chfr8.cloudfront.net/image/725136000567/image_ebsa7a4gh14u96jtre06b92q7o/-FJPG/224598-001_FRT_1.jpg</t>
  </si>
  <si>
    <t>["Solid Marble","Solid Mango"]</t>
  </si>
  <si>
    <t>Simple and streamlined, an eye-catching material mix takes this modern bar table to the next level. Auburn-finished mango forms an open, structured frame for a rectangular tabletop of solid white marble, for a midcentury-infused twist on traditional farmhouse styling.</t>
  </si>
  <si>
    <t>{"value":77.25,"unit":"in"}</t>
  </si>
  <si>
    <t>{"value":195.77,"unit":"lb"}</t>
  </si>
  <si>
    <t>{"value":10.25,"unit":"in"}</t>
  </si>
  <si>
    <t>{"value":110.56,"unit":"lb"}</t>
  </si>
  <si>
    <t>Scout</t>
  </si>
  <si>
    <t>22.88"</t>
  </si>
  <si>
    <t>66.50"</t>
  </si>
  <si>
    <t>https://dd3ka9h4chfr8.cloudfront.net/image/725136000567/image_jjugi13ev51u1aa1tg21k4f02h/-FJPG/224598-002_FRT_1.jpg;https://dd3ka9h4chfr8.cloudfront.net/image/725136000567/image_n7pdg6u25t57rfh3ctsr812e5i/-FJPG/224598-002_PRM_1.jpg;https://dd3ka9h4chfr8.cloudfront.net/image/725136000567/image_da5pg26pml0t78nfom5sscf12u/-FJPG/224598-002_SID_1.jpg;https://dd3ka9h4chfr8.cloudfront.net/image/725136000567/image_toa29qnu151aldsi9vcbvumt2m/-FJPG/224598-002_DET_2.jpg;https://dd3ka9h4chfr8.cloudfront.net/image/725136000567/image_9lf4r74vth3t1bgthoptd9sc3c/-FJPG/224598-002_DET_1.jpg;https://dd3ka9h4chfr8.cloudfront.net/image/725136000567/image_5vu5csjokh7n38q0igmo3mp96m/-FJPG/224598-002_DET_3.jpg;https://dd3ka9h4chfr8.cloudfront.net/image/725136000567/image_dg6s8slj7510755qckuqhp3h32/-FJPG/224598-002_DET_4.jpg;https://dd3ka9h4chfr8.cloudfront.net/image/725136000567/image_bui00umbcd531cm59c3a69o454/-FJPG/224598-002_DET_5.jpg;https://dd3ka9h4chfr8.cloudfront.net/image/725136000567/image_l8iu8g0klp6iv2n41s6kia4a10/-FJPG/224598-002_DET_6.jpg;https://dd3ka9h4chfr8.cloudfront.net/image/725136000567/image_06uq10co893itanbkicvfj8408/-FJPG/224598-002_VIG_1.jpg</t>
  </si>
  <si>
    <t>224598-002</t>
  </si>
  <si>
    <t>182.18</t>
  </si>
  <si>
    <t>https://dd3ka9h4chfr8.cloudfront.net/image/725136000567/image_jjugi13ev51u1aa1tg21k4f02h/-FJPG/224598-002_FRT_1.jpg</t>
  </si>
  <si>
    <t>Simple and streamlined, an eye-catching material mix takes this counter-height table to the next level. Auburn-finished mango forms an open, structured frame for a rectangular tabletop of solid white marble, for a midcentury-infused twist on traditional farmhouse styling.</t>
  </si>
  <si>
    <t>21.88"</t>
  </si>
  <si>
    <t>https://dd3ka9h4chfr8.cloudfront.net/image/725136000567/image_1mfl1pmf655obcn4co6dfb9o7d/-FJPG/224598-004_FRT_1.jpg;https://dd3ka9h4chfr8.cloudfront.net/image/725136000567/image_hinnd044ph34t2kreqoku99n69/-FJPG/224598-004_PRM_1.jpg;https://dd3ka9h4chfr8.cloudfront.net/image/725136000567/image_3q61hcd1ap547etaui46k1a11u/-FJPG/224598-004_SID_1.jpg;https://dd3ka9h4chfr8.cloudfront.net/image/725136000567/image_1kfo8t2drd2d5ah0gvdvm9jl6k/-FJPG/224598-004_ESS_1.jpg;https://dd3ka9h4chfr8.cloudfront.net/image/725136000567/image_68n7pvlnap44vahmnhjmt3m15b/-FJPG/224598-004_DET_2.jpg;https://dd3ka9h4chfr8.cloudfront.net/image/725136000567/image_hhqajlc6p51hf4g7sg7o37n67l/-FJPG/224598-004_DET_1.jpg;https://dd3ka9h4chfr8.cloudfront.net/image/725136000567/image_hvj3ne6q7t2dla7hmrqhcb2r03/-FJPG/224598-004_DET_3.jpg;https://dd3ka9h4chfr8.cloudfront.net/image/725136000567/image_9djnilnkr101dbp9vaqi0me85k/-FJPG/224598-004_TOP_1.jpg;https://dd3ka9h4chfr8.cloudfront.net/image/725136000567/image_91rmjp8hkh7cl15jlmkuvchd26/-FJPG/224598-004_DET_5.jpg</t>
  </si>
  <si>
    <t>224598-004</t>
  </si>
  <si>
    <t>https://dd3ka9h4chfr8.cloudfront.net/image/725136000567/image_1mfl1pmf655obcn4co6dfb9o7d/-FJPG/224598-004_FRT_1.jpg</t>
  </si>
  <si>
    <t>Worn Black Mango</t>
  </si>
  <si>
    <t>Simple and streamlined, an eye-catching material mix takes this modern counter-height table to the next level. Solid mango wood in a distressed black finish forms an open, structured frame for a rectangular tabletop of polished black marble, for a midcentury-infused twist on traditional farmhouse styling.</t>
  </si>
  <si>
    <t>Serena Accent Bench</t>
  </si>
  <si>
    <t>https://dd3ka9h4chfr8.cloudfront.net/image/725136000567/image_paakcril810spc8jp2kceddg3d/-FJPG/239676-004_FRT_1.jpg;https://dd3ka9h4chfr8.cloudfront.net/image/725136000567/image_1h59tt7ksd04l2a7866bmhut1f/-FJPG/239676-004_PRM_1.jpg;https://dd3ka9h4chfr8.cloudfront.net/image/725136000567/image_jrffgag3fh63793sjg8oh35e4a/-FJPG/239676-004_SID_1.jpg;https://dd3ka9h4chfr8.cloudfront.net/image/725136000567/image_c2eas9gj5l2f5e7v0tcssisa5k/-FJPG/239676-004_DET_2.jpg;https://dd3ka9h4chfr8.cloudfront.net/image/725136000567/image_be3oesm5el3n5fcs0tgsc0le2k/-FJPG/239676-004_DET_1.jpg;https://dd3ka9h4chfr8.cloudfront.net/image/725136000567/image_k9kpanrr8l2pv55dfoi48a5n5e/-FJPG/239676-004_DET_3.jpg;https://dd3ka9h4chfr8.cloudfront.net/image/725136000567/image_si7p6bogud0hv1kakvgeqvro7q/-FJPG/239676-004_DET_4.jpg;https://dd3ka9h4chfr8.cloudfront.net/image/725136000567/image_s6269k3cv536n1id7hhd2nqo42/-FJPG/239676-004_DET_5.jpg;https://dd3ka9h4chfr8.cloudfront.net/image/725136000567/image_en3n0rq9s5239138o2fs2fr40k/-FJPG/239676-004_DET_6.jpg</t>
  </si>
  <si>
    <t>239676-004</t>
  </si>
  <si>
    <t>https://dd3ka9h4chfr8.cloudfront.net/image/725136000567/image_paakcril810spc8jp2kceddg3d/-FJPG/239676-004_FRT_1.jpg</t>
  </si>
  <si>
    <t>Rich, linen-blend upholstery covers a long, sophisticated dining bench.</t>
  </si>
  <si>
    <t>{"value":71.06,"unit":"in"}</t>
  </si>
  <si>
    <t>{"value":60.85,"unit":"lb"}</t>
  </si>
  <si>
    <t>63.50"</t>
  </si>
  <si>
    <t>Serena</t>
  </si>
  <si>
    <t>64.00"</t>
  </si>
  <si>
    <t>https://dd3ka9h4chfr8.cloudfront.net/image/725136000567/image_toqf1jaqb92bffvk1hvf5kir01/-FJPG/239676-001_FRT_1.jpg;https://dd3ka9h4chfr8.cloudfront.net/image/725136000567/image_kv0do8frpt60nfaf6i5hhgrc0h/-FJPG/239676-001_PRM_1.jpg;https://dd3ka9h4chfr8.cloudfront.net/image/725136000567/image_pgb2r6i1bt3mvbkvbam3ln743m/-FJPG/239676-001_SID_1.jpg;https://dd3ka9h4chfr8.cloudfront.net/image/725136000567/image_6isp880q6t44r6csr571mgja73/-FJPG/239676-001_ESS_1.tif;https://dd3ka9h4chfr8.cloudfront.net/image/725136000567/image_1kp2a0cb8d3ot9oc9apdma026k/-FJPG/239676-001_DET_2.jpg;https://dd3ka9h4chfr8.cloudfront.net/image/725136000567/image_j6t0k61v9t10v6ggld8hmq3248/-FJPG/239676-001_DET_1.jpg;https://dd3ka9h4chfr8.cloudfront.net/image/725136000567/image_q4gqq85ot14136ou725422pp6q/-FJPG/239676-001_DET_3.jpg;https://dd3ka9h4chfr8.cloudfront.net/image/725136000567/image_7ro6iip70554jakcvuovn0566c/-FJPG/239676-001_DET_4.jpg;https://dd3ka9h4chfr8.cloudfront.net/image/725136000567/image_8jt8brb62951dc6jhi3kpim21d/-FJPG/239676-001_DET_5.jpg;https://dd3ka9h4chfr8.cloudfront.net/image/725136000567/image_gbgfqe06id4f3cirj51rsum622/-FJPG/239676-001_DET_9.tif;https://dd3ka9h4chfr8.cloudfront.net/image/725136000567/image_0jlnquc2gp5m75bk0qao3lc70m/-FJPG/239676-001_DET_10.tif</t>
  </si>
  <si>
    <t>Durham Cream</t>
  </si>
  <si>
    <t>239676-001</t>
  </si>
  <si>
    <t>https://dd3ka9h4chfr8.cloudfront.net/image/725136000567/image_toqf1jaqb92bffvk1hvf5kir01/-FJPG/239676-001_FRT_1.jpg</t>
  </si>
  <si>
    <t>["61% Polyester","39% Wool"]</t>
  </si>
  <si>
    <t>Cream, boucle-like upholstery covers a long, sophisticated dining bench.</t>
  </si>
  <si>
    <t>https://dd3ka9h4chfr8.cloudfront.net/image/725136000567/image_qf3oemm25p2fj0q1fb4508fj2f/-FJPG/239676-003_FRT_1.jpg;https://dd3ka9h4chfr8.cloudfront.net/image/725136000567/image_j7er24fmgl6gf3cnm71n62jc15/-FJPG/239676-003_PRM_1.jpg;https://dd3ka9h4chfr8.cloudfront.net/image/725136000567/image_2kgdc1svl544ta6fquscouij3d/-FJPG/239676-003_SID_1.jpg;https://dd3ka9h4chfr8.cloudfront.net/image/725136000567/image_3i2vn7agbt6211ctmc7gqis63i/-FJPG/239676-003_DET_2.jpg;https://dd3ka9h4chfr8.cloudfront.net/image/725136000567/image_3gal1ju4f90ap7ifbkij9c1859/-FJPG/239676-003_DET_1.jpg;https://dd3ka9h4chfr8.cloudfront.net/image/725136000567/image_ehgcqt0b2t3dt6b9njfpiebr3k/-FJPG/239676-003_DET_3.jpg;https://dd3ka9h4chfr8.cloudfront.net/image/725136000567/image_dbgdocgma53b1fbolsoqaf0e0p/-FJPG/239676-003_DET_4.jpg</t>
  </si>
  <si>
    <t>239676-003</t>
  </si>
  <si>
    <t>https://dd3ka9h4chfr8.cloudfront.net/image/725136000567/image_qf3oemm25p2fj0q1fb4508fj2f/-FJPG/239676-003_FRT_1.jpg</t>
  </si>
  <si>
    <t>A traditional ivory fabric with a classic box pattern covers a long, sophisticated dining bench.</t>
  </si>
  <si>
    <t>Shadow Box End Table</t>
  </si>
  <si>
    <t>https://dd3ka9h4chfr8.cloudfront.net/image/725136000567/image_ua0sf49tv12o7ct3h9qq6ckf26/-FJPG/VBEL-F039_FRT_1.jpg;https://dd3ka9h4chfr8.cloudfront.net/image/725136000567/image_29gjf4v3ah1gpfhk01ngmico43/-FJPG/VBEL-F039_PRM_1.jpg;https://dd3ka9h4chfr8.cloudfront.net/image/725136000567/image_37b5eduvnt5k5ah7t49rvvco6l/-FJPG/VBEL-F039_SID_1.jpg;https://dd3ka9h4chfr8.cloudfront.net/image/725136000567/image_bv4diivegh7lrcu0lcn44mq94g/-FJPG/VBEL-F039_ESS_1.jpg;https://dd3ka9h4chfr8.cloudfront.net/image/725136000567/image_s3m0mbne054cd824c4nce1uk30/-FJPG/VBEL-F039_DET_2.jpg;https://dd3ka9h4chfr8.cloudfront.net/image/725136000567/image_vjraclt3tt2fl8knqnmc9evm5j/-FJPG/VBEL-F039_DET_1.jpg;https://dd3ka9h4chfr8.cloudfront.net/image/725136000567/image_15gc9g4ef50apbtnlrq6arok7f/-FJPG/VBEL-F039_DET_3.jpg;https://dd3ka9h4chfr8.cloudfront.net/image/725136000567/image_9kh0v3khp17615rhr6lj8uvi5i/-FJPG/VBEL-F039_OPN_1.jpg;https://dd3ka9h4chfr8.cloudfront.net/image/725136000567/image_vrfdk1og452574bhdo6h4hve2n/-FJPG/VBEL-F039_DET_4.jpg;https://dd3ka9h4chfr8.cloudfront.net/image/725136000567/image_h7oe44k91p79b3cuf3h7s6fn26/-FJPG/VBEL-F039_DET_5.jpg;https://dd3ka9h4chfr8.cloudfront.net/image/725136000567/image_km8mquv27d7pp7o64nn79q5d0b/-FJPG/VBEL-F039_DET_6.jpg</t>
  </si>
  <si>
    <t>VBEL-F039</t>
  </si>
  <si>
    <t>68.78</t>
  </si>
  <si>
    <t>https://dd3ka9h4chfr8.cloudfront.net/image/725136000567/image_ua0sf49tv12o7ct3h9qq6ckf26/-FJPG/VBEL-F039_FRT_1.jpg</t>
  </si>
  <si>
    <t>["Tempered Glass","Iron"]</t>
  </si>
  <si>
    <t>A shadowbox-inspired end table gives your inner collector a place to play. Frame prized possessions in a glass enclosure with matte-black metal and brass knobs.</t>
  </si>
  <si>
    <t>{"value":92.81,"unit":"lb"}</t>
  </si>
  <si>
    <t>Shadow Box</t>
  </si>
  <si>
    <t>Shadow Box Media Console</t>
  </si>
  <si>
    <t>https://dd3ka9h4chfr8.cloudfront.net/image/725136000567/image_uu0j028kbt6of4533kaupspe2u/-FJPG/VBEL-F037_FRT_1.jpg;https://dd3ka9h4chfr8.cloudfront.net/image/725136000567/image_j2p6b3vb7l5kj49tp4k8d9p677/-FJPG/VBEL-F037_PRM_1.jpg;https://dd3ka9h4chfr8.cloudfront.net/image/725136000567/image_h1dhro3k592rbaf245qtgqtm16/-FJPG/VBEL-F037_SID_1.jpg;https://dd3ka9h4chfr8.cloudfront.net/image/725136000567/image_a71dicruit7qn5vtq5us2opm5j/-FJPG/VBEL-F037_ESS_1.jpg;https://dd3ka9h4chfr8.cloudfront.net/image/725136000567/image_cenhq0j4kp0q5fahaivceuoa7p/-FJPG/VBEL-F037_DET_2.jpg;https://dd3ka9h4chfr8.cloudfront.net/image/725136000567/image_jsdemoes0d6s90lbv1q434fu38/-FJPG/VBEL-F037_DET_1.jpg;https://dd3ka9h4chfr8.cloudfront.net/image/725136000567/image_kvrj9uus111sj5u97uk5ccuc1t/-FJPG/VBEL-F037_DET_3.jpg;https://dd3ka9h4chfr8.cloudfront.net/image/725136000567/image_d3nirii0it37531vso2r26gc6b/-FJPG/VBEL-F037_OPN_1.jpg;https://dd3ka9h4chfr8.cloudfront.net/image/725136000567/image_463k5do9al5a3cv5avee07ge6k/-FJPG/VBEL-F037_DET_4.jpg;https://dd3ka9h4chfr8.cloudfront.net/image/725136000567/image_ifr6nvtiol6gv705ho0j9k9i3d/-FJPG/VBEL-F037_DET_5.jpg;https://dd3ka9h4chfr8.cloudfront.net/image/725136000567/image_cpqjr2eejd6lld6n0rgf0ml04l/-FJPG/VBEL-F037_ROM_2.jpg;https://dd3ka9h4chfr8.cloudfront.net/image/725136000567/image_153ctu32197s97rch6ppv4l81p/-FJPG/VBEL-F037_ROM_3.jpg;https://dd3ka9h4chfr8.cloudfront.net/image/725136000567/image_qckc0r0j2l2dlb8hiiirqkql0j/-FJPG/VBEL-F037_ROM_4.jpg</t>
  </si>
  <si>
    <t>VBEL-F037</t>
  </si>
  <si>
    <t>https://dd3ka9h4chfr8.cloudfront.net/image/725136000567/image_uu0j028kbt6of4533kaupspe2u/-FJPG/VBEL-F037_FRT_1.jpg</t>
  </si>
  <si>
    <t>A shadowbox-inspired console table gives your inner collector a place to play. Frame prized posessions in a glass enclosure with matte-black metal and brass knobs.</t>
  </si>
  <si>
    <t>{"value":72.44,"unit":"in"}</t>
  </si>
  <si>
    <t>Shadow Box Nightstand</t>
  </si>
  <si>
    <t>https://dd3ka9h4chfr8.cloudfront.net/image/725136000567/image_kkd5uo7sk55sv519jihpqs6d7v/-FJPG/225135-002_FRT_1.jpg;https://dd3ka9h4chfr8.cloudfront.net/image/725136000567/image_djfa0gk9p1071c1k4qdcppda65/-FJPG/225135-002_PRM_1.jpg;https://dd3ka9h4chfr8.cloudfront.net/image/725136000567/image_92sjtdil4h1mj11anl5n0amp50/-FJPG/225135-002_SID_1.jpg;https://dd3ka9h4chfr8.cloudfront.net/image/725136000567/image_qo2ep0gsap7qfelb597u28rn2c/-FJPG/225135-002_ESS_1.jpg;https://dd3ka9h4chfr8.cloudfront.net/image/725136000567/image_c09kit8kid3gt790i4i2p2rc21/-FJPG/225135-002_DET_2.jpg;https://dd3ka9h4chfr8.cloudfront.net/image/725136000567/image_j1ndenu3k56ml1a9kehkumg12q/-FJPG/225135-002_BCK_1.jpg;https://dd3ka9h4chfr8.cloudfront.net/image/725136000567/image_4g0toqgob5767423k3opj3gr23/-FJPG/225135-002_DET_1.jpg;https://dd3ka9h4chfr8.cloudfront.net/image/725136000567/image_30l1mpas5h05777dchkidq6018/-FJPG/225135-002_DET_3.jpg;https://dd3ka9h4chfr8.cloudfront.net/image/725136000567/image_gurv3gia955nn9mrtaj6qqpl3d/-FJPG/225135-002_OPN_1.jpg;https://dd3ka9h4chfr8.cloudfront.net/image/725136000567/image_5p50lgafc91p3d0fig5lcr0q5d/-FJPG/225135-002_DET_4.jpg;https://dd3ka9h4chfr8.cloudfront.net/image/725136000567/image_3hvpc0fao96ghdf2gfnj42gi28/-FJPG/225135-002_DET_5.jpg;https://dd3ka9h4chfr8.cloudfront.net/image/725136000567/image_532ibs2jup6s1bpgghv0il734c/-FJPG/225135-002_DET_6.jpg;https://dd3ka9h4chfr8.cloudfront.net/image/725136000567/image_i3rvertb715lp30ff2sf7ji62u/-FJPG/225135-002_DET_7.jpg;https://dd3ka9h4chfr8.cloudfront.net/image/725136000567/image_nrd4m5a0tt2hh16khjau7jig6k/-FJPG/225135-002_VIG_3.jpg</t>
  </si>
  <si>
    <t>225135-002</t>
  </si>
  <si>
    <t>111.55</t>
  </si>
  <si>
    <t>https://dd3ka9h4chfr8.cloudfront.net/image/725136000567/image_kkd5uo7sk55sv519jihpqs6d7v/-FJPG/225135-002_FRT_1.jpg</t>
  </si>
  <si>
    <t>A shadowbox-inspired nightstand gives your inner collector a place to play. Store favorite keepsakes behind a clear glass enclosure. Matte black iron casing offers two spacious drawers, with bronze-finished knobs for cool contrast. This item has been modified to comply with the STURDY Act. See a full list of modified products and data changes in the â€œSTURDY Actâ€_x009d_ file in the Downloads section below.</t>
  </si>
  <si>
    <t>27.01"</t>
  </si>
  <si>
    <t>Shagreen Round Coffee Table</t>
  </si>
  <si>
    <t>https://dd3ka9h4chfr8.cloudfront.net/image/725136000567/image_4hd99m4nrd0al2tcg2gg70l44j/-FJPG/107636-004_FRT_1.jpg;https://dd3ka9h4chfr8.cloudfront.net/image/725136000567/image_omm793fl5163p02svgf6317d34/-FJPG/107636-004_PRM_1.jpg;https://dd3ka9h4chfr8.cloudfront.net/image/725136000567/image_khv514vc5d0e1d9ee477lnb531/-FJPG/107636-004_SID_1.jpg;https://dd3ka9h4chfr8.cloudfront.net/image/725136000567/image_k8c41nh12l36p6qvdelqn49c05/-FJPG/107636-004_DET_2.jpg;https://dd3ka9h4chfr8.cloudfront.net/image/725136000567/image_j7sqknn2cp28d9hurtl17rup4l/-FJPG/107636-004_DET_1.jpg;https://dd3ka9h4chfr8.cloudfront.net/image/725136000567/image_rloqmo5lgh7694nt8vrkfvjq6c/-FJPG/107636-004_DET_3.jpg</t>
  </si>
  <si>
    <t>Grey Shagreen</t>
  </si>
  <si>
    <t>107636-004</t>
  </si>
  <si>
    <t>82.67</t>
  </si>
  <si>
    <t>https://dd3ka9h4chfr8.cloudfront.net/image/725136000567/image_4hd99m4nrd0al2tcg2gg70l44j/-FJPG/107636-004_FRT_1.jpg</t>
  </si>
  <si>
    <t>["Faux Shagreen","Iron"]</t>
  </si>
  <si>
    <t>Bentley</t>
  </si>
  <si>
    <t>Mid-century shaping takes on modern intrigue in faux shagreen. The round top floats over a triangular iron base with an antique brass finish.</t>
  </si>
  <si>
    <t>Shagreen</t>
  </si>
  <si>
    <t>26.13"</t>
  </si>
  <si>
    <t>5.94"</t>
  </si>
  <si>
    <t>Sheffield Coffee Table</t>
  </si>
  <si>
    <t>https://dd3ka9h4chfr8.cloudfront.net/image/725136000567/image_kibsot7b0l0br63kamuev82o1v/-FJPG/234303-004_FRT_1.jpg;https://dd3ka9h4chfr8.cloudfront.net/image/725136000567/image_tj0sd5l3td3fb2gu2jusunoh2b/-FJPG/234303-004_PRM_1.jpg;https://dd3ka9h4chfr8.cloudfront.net/image/725136000567/image_p6l42co6vt7457vc3d7lcq7a50/-FJPG/234303-004_ESS_1.tif;https://dd3ka9h4chfr8.cloudfront.net/image/725136000567/image_5r8u1rep1900j7jpp4ie24gf4q/-FJPG/234303-004_DET_2.jpg;https://dd3ka9h4chfr8.cloudfront.net/image/725136000567/image_ac7knsvgnl2atc5eg9ebtt6u3p/-FJPG/234303-004_DET_1.jpg;https://dd3ka9h4chfr8.cloudfront.net/image/725136000567/image_nobs07dhsd4sj7mig499h6am6b/-FJPG/234303-004_DET_3.jpg;https://dd3ka9h4chfr8.cloudfront.net/image/725136000567/image_itp8973aq97ljdtajp5si7ps1l/-FJPG/234303-004_DET_4.jpg;https://dd3ka9h4chfr8.cloudfront.net/image/725136000567/image_pm9grv9c0p16fcrtao3m512g4m/-FJPG/234303-004_DET_5.jpg;https://dd3ka9h4chfr8.cloudfront.net/image/725136000567/image_71vhtaajb16rn97prufqfinh7p/-FJPG/234303-004_DET_6.jpg;https://dd3ka9h4chfr8.cloudfront.net/image/725136000567/image_2pesv269gl28rb7ccfhb2iee7m/-FJPG/234303-004_DET_9.tif</t>
  </si>
  <si>
    <t>234303-004</t>
  </si>
  <si>
    <t>https://dd3ka9h4chfr8.cloudfront.net/image/725136000567/image_kibsot7b0l0br63kamuev82o1v/-FJPG/234303-004_FRT_1.jpg</t>
  </si>
  <si>
    <t>13</t>
  </si>
  <si>
    <t>{"value":13,"unit":"in"}</t>
  </si>
  <si>
    <t>Made from thick, charcoal-finished oak, a rounded coffee table features four legs that pull through to the top, for an intriguing design detail.</t>
  </si>
  <si>
    <t>Sheffield</t>
  </si>
  <si>
    <t>https://dd3ka9h4chfr8.cloudfront.net/image/725136000567/image_4g253t8va91gtc4j3jnpto893l/-FJPG/235383-004_FRT_1.jpg;https://dd3ka9h4chfr8.cloudfront.net/image/725136000567/image_3k9d6fbp715lh9aqrsc21tts2h/-FJPG/235383-004_PRM_1.jpg;https://dd3ka9h4chfr8.cloudfront.net/image/725136000567/image_dtshc82al571p54sdi0sid4l73/-FJPG/235383-004_ESS_1.tif;https://dd3ka9h4chfr8.cloudfront.net/image/725136000567/image_ebcgbc3fq573hdmsk91hfs984p/-FJPG/235383-004_DET_2.jpg;https://dd3ka9h4chfr8.cloudfront.net/image/725136000567/image_l3d1gqfn1h2q593a6lpt5h3n1s/-FJPG/235383-004_DET_1.jpg;https://dd3ka9h4chfr8.cloudfront.net/image/725136000567/image_lng7kqop0l4ld9965uqji18v1i/-FJPG/235383-004_DET_3.jpg;https://dd3ka9h4chfr8.cloudfront.net/image/725136000567/image_2clh61a5it36he6mnj5cdqtr45/-FJPG/235383-004_DET_4.jpg;https://dd3ka9h4chfr8.cloudfront.net/image/725136000567/image_4rh9je8hq57cn6t6hv9e4e9i49/-FJPG/235383-004_DET_5.jpg;https://dd3ka9h4chfr8.cloudfront.net/image/725136000567/image_4blt1cht6t3171ejn6qju4341a/-FJPG/235383-004_DET_6.jpg;https://dd3ka9h4chfr8.cloudfront.net/image/725136000567/image_s08hvc5q2d6sr816rplq5id268/-FJPG/235383-004_DET_9.tif</t>
  </si>
  <si>
    <t>235383-004</t>
  </si>
  <si>
    <t>141.1</t>
  </si>
  <si>
    <t>https://dd3ka9h4chfr8.cloudfront.net/image/725136000567/image_4g253t8va91gtc4j3jnpto893l/-FJPG/235383-004_FRT_1.jpg</t>
  </si>
  <si>
    <t>Made from thick, charcoal-finished oak, a large, round coffee table features five legs that pull through to the top, for an intriguing design detail.</t>
  </si>
  <si>
    <t>{"value":63.58,"unit":"in"}</t>
  </si>
  <si>
    <t>{"value":196.21,"unit":"lb"}</t>
  </si>
  <si>
    <t>50.55"</t>
  </si>
  <si>
    <t>https://dd3ka9h4chfr8.cloudfront.net/image/725136000567/image_l0poq734812rpaj66dhhesj75l/-FJPG/234303-005_FRT_1.jpg;https://dd3ka9h4chfr8.cloudfront.net/image/725136000567/image_7n915cab814fl16e0pjrieuq5r/-FJPG/234303-005_PRM_1.jpg;https://dd3ka9h4chfr8.cloudfront.net/image/725136000567/image_6f1aofekgp15h13trer4abt747/-FJPG/234303-005_ESS_1.tif;https://dd3ka9h4chfr8.cloudfront.net/image/725136000567/image_tj7gmirbh97pb9ugebunp5gp53/-FJPG/234303-005_DET_2.jpg;https://dd3ka9h4chfr8.cloudfront.net/image/725136000567/image_82pq7616hp7e9fekfascpjf66s/-FJPG/234303-005_DET_1.jpg;https://dd3ka9h4chfr8.cloudfront.net/image/725136000567/image_fpnjdijdg117j5ko7ttt63vj4u/-FJPG/234303-005_DET_3.jpg;https://dd3ka9h4chfr8.cloudfront.net/image/725136000567/image_p4toqiq3153i7arktslaohfk0m/-FJPG/234303-005_DET_4.jpg;https://dd3ka9h4chfr8.cloudfront.net/image/725136000567/image_gqabmjdpdp0gne42vqd7r2ap4p/-FJPG/234303-005_DET_5.jpg;https://dd3ka9h4chfr8.cloudfront.net/image/725136000567/image_bqc4admcf54ol6u64sqhaqa41n/-FJPG/234303-005_DET_9.tif;https://dd3ka9h4chfr8.cloudfront.net/image/725136000567/image_ogm5ui9vv10u3avra94qamsd1e/-FJPG/234303-005_DET_10.tif</t>
  </si>
  <si>
    <t>Warm Natural Flat Oak Veneer</t>
  </si>
  <si>
    <t>234303-005</t>
  </si>
  <si>
    <t>https://dd3ka9h4chfr8.cloudfront.net/image/725136000567/image_l0poq734812rpaj66dhhesj75l/-FJPG/234303-005_FRT_1.jpg</t>
  </si>
  <si>
    <t>Made from thick, natural oak, a rounded coffee table features four legs that pull through to the top, for an intriguing design detail.</t>
  </si>
  <si>
    <t>https://dd3ka9h4chfr8.cloudfront.net/image/725136000567/image_fcg7ocuu6519d1uro5boj4cv59/-FJPG/235383-005_FRT_1.jpg;https://dd3ka9h4chfr8.cloudfront.net/image/725136000567/image_5fkiui7q290kb0ee0285qtk25d/-FJPG/235383-005_PRM_1.jpg;https://dd3ka9h4chfr8.cloudfront.net/image/725136000567/image_r7l07gpncl5uv6g03d7mkrls33/-FJPG/235383-005_ESS_1.tif;https://dd3ka9h4chfr8.cloudfront.net/image/725136000567/image_u6ihabspj94kh8ak55moc6lj6d/-FJPG/235383-005_DET_2.jpg;https://dd3ka9h4chfr8.cloudfront.net/image/725136000567/image_d8dinp29uh7jr81aksfdsmu04h/-FJPG/235383-005_DET_1.jpg;https://dd3ka9h4chfr8.cloudfront.net/image/725136000567/image_qsda9b42c56sj3h94624uh4k63/-FJPG/235383-005_DET_3.jpg;https://dd3ka9h4chfr8.cloudfront.net/image/725136000567/image_b5fvh4c0bh4gh5o5dqvo781523/-FJPG/235383-005_DET_4.jpg;https://dd3ka9h4chfr8.cloudfront.net/image/725136000567/image_ihd4hkvpqp40dbquni37ljmr2u/-FJPG/235383-005_DET_5.jpg;https://dd3ka9h4chfr8.cloudfront.net/image/725136000567/image_aoa6mes3s93at813m0lvunfs33/-FJPG/235383-005_DET_9.tif;https://dd3ka9h4chfr8.cloudfront.net/image/725136000567/image_mhrsg2k7a95qjavnh0bg3sin48/-FJPG/235383-005_DET_10.tif</t>
  </si>
  <si>
    <t>235383-005</t>
  </si>
  <si>
    <t>https://dd3ka9h4chfr8.cloudfront.net/image/725136000567/image_fcg7ocuu6519d1uro5boj4cv59/-FJPG/235383-005_FRT_1.jpg</t>
  </si>
  <si>
    <t>A simple stunner. This large coffee table features exposed joinery from five thick, gently curved legs. Crafted from a beautiful oak veneer with exposed graining throughout.</t>
  </si>
  <si>
    <t>Shelton Chair</t>
  </si>
  <si>
    <t>https://dd3ka9h4chfr8.cloudfront.net/image/725136000567/image_ph9qpfpo0964p7ab0en764ku0a/-FJPG/229354-006_FRT_1.jpg;https://dd3ka9h4chfr8.cloudfront.net/image/725136000567/image_4snptbro5p44j1nf9qlv76vk3g/-FJPG/229354-006_PRM_1.jpg;https://dd3ka9h4chfr8.cloudfront.net/image/725136000567/image_mrste5jjdl149ds1jl4kb45649/-FJPG/229354-006_SID_1.jpg;https://dd3ka9h4chfr8.cloudfront.net/image/725136000567/image_mihqbc3dtl4452hqdqph6unv79/-FJPG/229354-006_ESS_1.jpg;https://dd3ka9h4chfr8.cloudfront.net/image/725136000567/image_02o7nbjpq53urb89k4hvppc223/-FJPG/229354-006_DET_2.jpg;https://dd3ka9h4chfr8.cloudfront.net/image/725136000567/image_jptomif2qt285foa5qrqfe2h0t/-FJPG/229354-006_BCK_1.jpg;https://dd3ka9h4chfr8.cloudfront.net/image/725136000567/image_r8idepu9616ntbpljnhsve7m23/-FJPG/229354-006_DET_1.jpg;https://dd3ka9h4chfr8.cloudfront.net/image/725136000567/image_o5k9rgj8b563bcideqm00vda08/-FJPG/229354-006_DET_3.jpg;https://dd3ka9h4chfr8.cloudfront.net/image/725136000567/image_jsc9hmjo0t31vcvsskcsc93r52/-FJPG/229354-006_DET_4.jpg;https://dd3ka9h4chfr8.cloudfront.net/image/725136000567/image_bg48ibv4e55qr7tpop7leh0b3d/-FJPG/229354-006_DET_5.jpg;https://dd3ka9h4chfr8.cloudfront.net/image/725136000567/image_76q1d0sc656cd7s4sau1hbcn6s/-FJPG/229354-006_DET_6.jpg;https://dd3ka9h4chfr8.cloudfront.net/image/725136000567/image_59989arh1p52d0osceqm4uol26/-FJPG/229354-006_ESS_DETAIL.jpg</t>
  </si>
  <si>
    <t>229354-006</t>
  </si>
  <si>
    <t>https://dd3ka9h4chfr8.cloudfront.net/image/725136000567/image_ph9qpfpo0964p7ab0en764ku0a/-FJPG/229354-006_FRT_1.jpg</t>
  </si>
  <si>
    <t>This minimal chair is anything but basic. Inspired by vintage campaign chairs, ours features a comfortable sling seating design and leather straps on back, paired with loose feather fiber knife-edge cushions in thick cut leather for a sumptuous sit.</t>
  </si>
  <si>
    <t>L- Shape Box</t>
  </si>
  <si>
    <t>50% Polyurethane Foam Pad</t>
  </si>
  <si>
    <t xml:space="preserve"> 30% Polyester Fiber Batting</t>
  </si>
  <si>
    <t xml:space="preserve"> 20% Duck Feather</t>
  </si>
  <si>
    <t>Shelton</t>
  </si>
  <si>
    <t>{"value":Shelton,"unit":"lb"}</t>
  </si>
  <si>
    <t xml:space="preserve"> 50% Duck Feather</t>
  </si>
  <si>
    <t>Shizuko Sideboard</t>
  </si>
  <si>
    <t>https://dd3ka9h4chfr8.cloudfront.net/image/725136000567/image_jqh5qc8i3l20j7t3skcfsmhj61/-FJPG/238772-001_FRT_1.jpg;https://dd3ka9h4chfr8.cloudfront.net/image/725136000567/image_dc8aunt2511c54k9tsphsl0n0v/-FJPG/238772-001_PRM_1.jpg;https://dd3ka9h4chfr8.cloudfront.net/image/725136000567/image_a1du812buh2tpfja5k5qbsco0f/-FJPG/238772-001_SID_1.jpg;https://dd3ka9h4chfr8.cloudfront.net/image/725136000567/image_99vooef36t3jp3jnd0sk7mk34u/-FJPG/238772-001_ESS.tif;https://dd3ka9h4chfr8.cloudfront.net/image/725136000567/image_jibv74a01h5158lrads1jsdt2m/-FJPG/238772-001_DET_2.jpg;https://dd3ka9h4chfr8.cloudfront.net/image/725136000567/image_vbvqfnrlhh0qpd68h7meb31r6p/-FJPG/238772-001_BCK_1.jpg;https://dd3ka9h4chfr8.cloudfront.net/image/725136000567/image_tapk3sd9it0o59642juftrh80h/-FJPG/238772-001_DET_1.jpg;https://dd3ka9h4chfr8.cloudfront.net/image/725136000567/image_okdkccmca57jt2fanou22f585c/-FJPG/238772-001_DET_3.jpg;https://dd3ka9h4chfr8.cloudfront.net/image/725136000567/image_ko5rov1s9h3m75oht791rvr94h/-FJPG/238772-001_OPN_1.jpg;https://dd3ka9h4chfr8.cloudfront.net/image/725136000567/image_deh61fb9jh55pd586jk7pfmj2f/-FJPG/238772-001_DET_4.jpg;https://dd3ka9h4chfr8.cloudfront.net/image/725136000567/image_v8tr2td8nh0df6cri92m5ca93u/-FJPG/238772-001_DET_5.jpg;https://dd3ka9h4chfr8.cloudfront.net/image/725136000567/image_q9n4rs30lp1mn3kjrahfb7qn0j/-FJPG/238772-001_DET_6.jpg;https://dd3ka9h4chfr8.cloudfront.net/image/725136000567/image_14rsr2cost6jbe6l24ka63u23e/-FJPG/238772-001_DET_7.jpg;https://dd3ka9h4chfr8.cloudfront.net/image/725136000567/image_ep1i9001j906d8bhvigef1257c/-FJPG/238772-001_DET_8.jpg;https://dd3ka9h4chfr8.cloudfront.net/image/725136000567/image_uph3tkq65l5jp0vi8ef5kicv7r/-FJPG/238772-001_OPN_2.jpg</t>
  </si>
  <si>
    <t>238772-001</t>
  </si>
  <si>
    <t>https://dd3ka9h4chfr8.cloudfront.net/image/725136000567/image_jqh5qc8i3l20j7t3skcfsmhj61/-FJPG/238772-001_FRT_1.jpg</t>
  </si>
  <si>
    <t>["Solid Birch","Copper Cladding"]</t>
  </si>
  <si>
    <t>Made from solid birch wood and inspired by antique Chinese furniture, with clean lines, inset legs and spacious lower shelving. Four small drawers are flanked by two-door cabinets on each side, giving the piece an unexpected design format. A distressed walnut finish plays up a natural patina.</t>
  </si>
  <si>
    <t>One Sideboard</t>
  </si>
  <si>
    <t>{"value":106.3,"unit":"in"}</t>
  </si>
  <si>
    <t>{"value":226.19,"unit":"lb"}</t>
  </si>
  <si>
    <t>Shizuko</t>
  </si>
  <si>
    <t>8.78"</t>
  </si>
  <si>
    <t>37.64"</t>
  </si>
  <si>
    <t>Siedell Swivel Chair</t>
  </si>
  <si>
    <t>https://dd3ka9h4chfr8.cloudfront.net/image/725136000567/image_d8mkkla2up01n3hehq3kbf5p7s/-FJPG/230751-004_FRT_1.jpg;https://dd3ka9h4chfr8.cloudfront.net/image/725136000567/image_481e71pqmh4d31gjpo548rn22f/-FJPG/230751-004_PRM_1.jpg;https://dd3ka9h4chfr8.cloudfront.net/image/725136000567/image_5vv1f2e1cl7hndb00ilpm3127b/-FJPG/230751-004_SID_1.jpg;https://dd3ka9h4chfr8.cloudfront.net/image/725136000567/image_qtepfcgbht63te3a0489na1m7s/-FJPG/230751-004_ESS_1.jpg;https://dd3ka9h4chfr8.cloudfront.net/image/725136000567/image_t2j5bttjcl1df7k6oqeqpo1h4n/-FJPG/230751-004_DET_2.jpg;https://dd3ka9h4chfr8.cloudfront.net/image/725136000567/image_0u3efqrr112aff6o5t14ligd6a/-FJPG/230751-004_BCK_1.jpg;https://dd3ka9h4chfr8.cloudfront.net/image/725136000567/image_e3r9vm79s551l0pjq4i9m2977q/-FJPG/230751-004_DET_1.jpg;https://dd3ka9h4chfr8.cloudfront.net/image/725136000567/image_em3vg5icnp3ff65c077hh5vl7c/-FJPG/230751-004_DET_3.jpg;https://dd3ka9h4chfr8.cloudfront.net/image/725136000567/image_vp6d7uftp526f6o5vj984jga26/-FJPG/230751-004_DET_4.jpg;https://dd3ka9h4chfr8.cloudfront.net/image/725136000567/image_u3v3eaa9ih4fb49m6r0r8bed09/-FJPG/230751-004_DET_5.jpg;https://dd3ka9h4chfr8.cloudfront.net/image/725136000567/image_ap69ggusqh2mda7hu5spd6kt2b/-FJPG/230751-004_DET_6.jpg</t>
  </si>
  <si>
    <t>230751-004</t>
  </si>
  <si>
    <t>57.89</t>
  </si>
  <si>
    <t>https://dd3ka9h4chfr8.cloudfront.net/image/725136000567/image_d8mkkla2up01n3hehq3kbf5p7s/-FJPG/230751-004_FRT_1.jpg</t>
  </si>
  <si>
    <t>Textural fabric covers a curvy silhouette, with a solid oak dowel peeking out for extra effect. All on a 360-degree swivel. Designed in partnership with longtime Four Hands collaborator Thomas Bina and Brazilian designer Ronald Sasson.</t>
  </si>
  <si>
    <t>{"value":73.41,"unit":"lb"}</t>
  </si>
  <si>
    <t>Siedell</t>
  </si>
  <si>
    <t>Silas Chair</t>
  </si>
  <si>
    <t>https://dd3ka9h4chfr8.cloudfront.net/image/725136000567/image_vl0bbksp6p36jc08aiesnb5f3d/-FJPG/CBSH-004-102_FRT_1.jpg;https://dd3ka9h4chfr8.cloudfront.net/image/725136000567/image_ah2mgls9553l3b9v31joo9ib6j/-FJPG/CBSH-004-102_PRM_1.jpg;https://dd3ka9h4chfr8.cloudfront.net/image/725136000567/image_n4f3p76v3h1c7dhm1i2oo26r3c/-FJPG/CBSH-004-102_SID_1.jpg;https://dd3ka9h4chfr8.cloudfront.net/image/725136000567/image_vq2t0v18e10tt14s5ha82c446n/-FJPG/CBSH-004-102_ESS_1.jpg;https://dd3ka9h4chfr8.cloudfront.net/image/725136000567/image_b5d6d63qa54bt6crigbek51v4h/-FJPG/CBSH-004-102_DET_2.jpg;https://dd3ka9h4chfr8.cloudfront.net/image/725136000567/image_u5an5tm4210ap2pl0of6ili738/-FJPG/CBSH-004-102_BCK_1.jpg;https://dd3ka9h4chfr8.cloudfront.net/image/725136000567/image_khctbubvld5pp0g10nkq8i4v12/-FJPG/CBSH-004-102_DET_1.jpg;https://dd3ka9h4chfr8.cloudfront.net/image/725136000567/image_8ptg9pd8ql16n0hin3s257oc2l/-FJPG/CBSH-004-102_DET_3.jpg;https://dd3ka9h4chfr8.cloudfront.net/image/725136000567/image_fjf9hcd5hp0c35mnahbodr3l50/-FJPG/CBSH-004-102_DET_4.jpg;https://dd3ka9h4chfr8.cloudfront.net/image/725136000567/image_glv8gf7ach6b9av0qerlfv0c2m/-FJPG/CBSH-004-102_DET_5.jpg;https://dd3ka9h4chfr8.cloudfront.net/image/725136000567/image_a9178sehhh34fd4frksf75ft64/-FJPG/CBSH-004-102_DET_6.jpg;https://dd3ka9h4chfr8.cloudfront.net/image/725136000567/image_0cq9mqr8od0r1fegqdn6g50d5r/-FJPG/CBSH-004-102_DET_7.jpg;https://dd3ka9h4chfr8.cloudfront.net/image/725136000567/image_6sbjc4sb1h6n522nd9jagml90j/-FJPG/CBSH-004-102_ROM_1.jpg;https://dd3ka9h4chfr8.cloudfront.net/image/725136000567/image_eb52hj3uad4np5lglprbq92d2p/-FJPG/CBSH-004-102_ROM_2.jpg;https://dd3ka9h4chfr8.cloudfront.net/image/725136000567/image_88svjcr7dd7kdfho8g3is4hi1a/-FJPG/CBSH-004-102_SID_2.jpg;https://dd3ka9h4chfr8.cloudfront.net/image/725136000567/image_pn5u4nv4gd3pv4d2p88ki23d3a/-FJPG/CBSH-004-102_ROM_3.jpg</t>
  </si>
  <si>
    <t>CBSH-004-102</t>
  </si>
  <si>
    <t>https://dd3ka9h4chfr8.cloudfront.net/image/725136000567/image_vl0bbksp6p36jc08aiesnb5f3d/-FJPG/CBSH-004-102_FRT_1.jpg</t>
  </si>
  <si>
    <t>Ash Natural</t>
  </si>
  <si>
    <t>A striking silhouette with design-forward details any way you look at it. Top-grain, hand-finished leather sits in a natural ash wood frame held by parachute strapping made of canvas, leather and metal buckles.</t>
  </si>
  <si>
    <t>60% Polyurethane Foam</t>
  </si>
  <si>
    <t xml:space="preserve"> 25% Fiber</t>
  </si>
  <si>
    <t xml:space="preserve"> 15% Duck Feather</t>
  </si>
  <si>
    <t>Silas</t>
  </si>
  <si>
    <t>{"value":Silas,"unit":"lb"}</t>
  </si>
  <si>
    <t>98% Polyurethane Foam Pad</t>
  </si>
  <si>
    <t xml:space="preserve"> 2% Polyester Fiber Batting</t>
  </si>
  <si>
    <t>Silverton Dining Table</t>
  </si>
  <si>
    <t>https://dd3ka9h4chfr8.cloudfront.net/image/725136000567/image_7b1nvvgaa55v5ekbn9kana746b/-FJPG/236199-001_FRT_1.jpg;https://dd3ka9h4chfr8.cloudfront.net/image/725136000567/image_t8gq92s8j93s94f7sn04inl467/-FJPG/236199-001_PRM_1.jpg;https://dd3ka9h4chfr8.cloudfront.net/image/725136000567/image_stvn8h3qkt2bp56nfl21g1ma7i/-FJPG/236199-001_SID_1.jpg;https://dd3ka9h4chfr8.cloudfront.net/image/725136000567/image_nmf9t0d73t083blglsrbgjq04q/-FJPG/236199-001_ESS.tif;https://dd3ka9h4chfr8.cloudfront.net/image/725136000567/image_8lvpbvtn6t6d97h63llnbm2q66/-FJPG/236199-001_DET_2.jpg;https://dd3ka9h4chfr8.cloudfront.net/image/725136000567/image_afuv69u2k907b1aunnv5a3d120/-FJPG/236199-001_DET_1.jpg;https://dd3ka9h4chfr8.cloudfront.net/image/725136000567/image_st94ko45cp46r39uq8g1c6057d/-FJPG/236199-001_DET_3.jpg;https://dd3ka9h4chfr8.cloudfront.net/image/725136000567/image_b2sblhmhb53v14f975hhbcu671/-FJPG/236199-001_DET_4.jpg;https://dd3ka9h4chfr8.cloudfront.net/image/725136000567/image_mprc8fg4452l10191oskn3hu1h/-FJPG/236199-001_DET_5.jpg;https://dd3ka9h4chfr8.cloudfront.net/image/725136000567/image_c9r3calb4t5tl6l50jmt4sqe3r/-FJPG/236199-001_DET_6.jpg;https://dd3ka9h4chfr8.cloudfront.net/image/725136000567/image_cvipckpik12u97rpq60h7tas4c/-FJPG/236199-001_DET_7.jpg;https://dd3ka9h4chfr8.cloudfront.net/image/725136000567/image_qlib19tapl6mj90dsllop7dk6b/-FJPG/236199-001_DET_9.tif</t>
  </si>
  <si>
    <t>Sienna Brown Oak Veneer</t>
  </si>
  <si>
    <t>236199-001</t>
  </si>
  <si>
    <t>178.13</t>
  </si>
  <si>
    <t>https://dd3ka9h4chfr8.cloudfront.net/image/725136000567/image_7b1nvvgaa55v5ekbn9kana746b/-FJPG/236199-001_FRT_1.jpg</t>
  </si>
  <si>
    <t>The classic trestle dining table, simplified. A stretcher connection connects the two ends of the sleek A-frame base. Made from solid and veneer oak and finished in a versatile brown.</t>
  </si>
  <si>
    <t>{"value":45.47,"unit":"in"}</t>
  </si>
  <si>
    <t>{"value":142.86,"unit":"lb"}</t>
  </si>
  <si>
    <t>Silverton</t>
  </si>
  <si>
    <t>62.75"</t>
  </si>
  <si>
    <t>Simone Bistro Table</t>
  </si>
  <si>
    <t>https://dd3ka9h4chfr8.cloudfront.net/image/725136000567/image_bb4fgblaed62v6dhceekjgtg3q/-FJPG/106601-005_PRM_1.jpg;https://dd3ka9h4chfr8.cloudfront.net/image/725136000567/image_a9adr0hqrl2p70d5ohesphvb0f/-FJPG/106601-005_DET_2.jpg;https://dd3ka9h4chfr8.cloudfront.net/image/725136000567/image_bdgpjccn290h9b7bjl9mhk8k51/-FJPG/106601-005_DET_1.jpg;https://dd3ka9h4chfr8.cloudfront.net/image/725136000567/image_24jsl640e9287adep6srpcm40n/-FJPG/106601-005_DET_3.jpg;https://dd3ka9h4chfr8.cloudfront.net/image/725136000567/image_sveccso6ft6e50blpujofhj564/-FJPG/106601-005_TOP_1.jpg;https://dd3ka9h4chfr8.cloudfront.net/image/725136000567/image_psqaknm09p6fhc6ej4o933gm2c/-FJPG/106601-005_DET_4.jpg;https://dd3ka9h4chfr8.cloudfront.net/image/725136000567/image_1krmn4s2i54797eu6g7iktc40l/-FJPG/106601-005_ROM_1.jpg;https://dd3ka9h4chfr8.cloudfront.net/image/725136000567/image_duqb5ubsvd7tldqfk53vk0tt66/-FJPG/106601-005_ROM_2.jpg;https://dd3ka9h4chfr8.cloudfront.net/image/725136000567/image_7fg4oslrg106l84udn8c69jq7c/-FJPG/106601-005_ROM_3.jpg;https://dd3ka9h4chfr8.cloudfront.net/image/725136000567/image_b5bhrbbud16qtav95hj255un3u/-FJPG/106601-005_ROM_4.jpg</t>
  </si>
  <si>
    <t>106601-005</t>
  </si>
  <si>
    <t>https://dd3ka9h4chfr8.cloudfront.net/image/725136000567/image_bb4fgblaed62v6dhceekjgtg3q/-FJPG/106601-005_PRM_1.jpg</t>
  </si>
  <si>
    <t>Classic tulip shaping in textural cast-aluminum makes for a modern bistro table. Finished in antique rust to bring out alluring highs and lows. Great indoors or out â€” cover or store indoors during inclement weather and when not in use.</t>
  </si>
  <si>
    <t>{"value":3.25,"unit":"in"}</t>
  </si>
  <si>
    <t>{"value":59.79,"unit":"lb"}</t>
  </si>
  <si>
    <t>Simone</t>
  </si>
  <si>
    <t>https://dd3ka9h4chfr8.cloudfront.net/image/725136000567/image_groeqd35f171p6mn5ui603s809/-FJPG/IMAR-93A_PRM_1.jpg;https://dd3ka9h4chfr8.cloudfront.net/image/725136000567/image_men7td21lh5b190ls9hrrslb5m/-FJPG/IMAR-93A_DET_2.jpg;https://dd3ka9h4chfr8.cloudfront.net/image/725136000567/image_aq04r591ih76p9dtb0h78fe16o/-FJPG/IMAR-93A_DET_1.jpg;https://dd3ka9h4chfr8.cloudfront.net/image/725136000567/image_13l924ock954t6svfcvin0fd0r/-FJPG/IMAR-93A_DET_3.jpg;https://dd3ka9h4chfr8.cloudfront.net/image/725136000567/image_lof8vsj23l4gj215fe8mr4kb0e/-FJPG/IMAR-93A_TOP_1.jpg;https://dd3ka9h4chfr8.cloudfront.net/image/725136000567/image_v8k21vrllt43v4k1qpjgn6km05/-FJPG/IMAR-93A_DET_4.jpg;https://dd3ka9h4chfr8.cloudfront.net/image/725136000567/image_gd0nsgeh1l791akhqjpce1o83e/-FJPG/IMAR-93A_ROM_1.jpg</t>
  </si>
  <si>
    <t>Raw Antique Nickel</t>
  </si>
  <si>
    <t>IMAR-93A</t>
  </si>
  <si>
    <t>https://dd3ka9h4chfr8.cloudfront.net/image/725136000567/image_groeqd35f171p6mn5ui603s809/-FJPG/IMAR-93A_PRM_1.jpg</t>
  </si>
  <si>
    <t>Classic tulip shaping in textural cast-aluminum makes for a modern bistro table. Finished in raw nickel to bring out alluring highs and lows, indoors or out. Cover or store inside during inclement weather and when not in use.</t>
  </si>
  <si>
    <t>Sinclair Large Round Ottoman</t>
  </si>
  <si>
    <t>https://dd3ka9h4chfr8.cloudfront.net/image/725136000567/image_24j3b7a14p3g78snrfubj4rh2m/-FJPG/106119-021_FRT_1.jpg;https://dd3ka9h4chfr8.cloudfront.net/image/725136000567/image_a0l6eisi5l65n8474q13omcs7n/-FJPG/106119-021_PRM_1.jpg;https://dd3ka9h4chfr8.cloudfront.net/image/725136000567/image_epn0edihll1a71tjg92t1qki7e/-FJPG/106119-021_SID_1.jpg;https://dd3ka9h4chfr8.cloudfront.net/image/725136000567/image_jh62p0hf494kl609l4d8g0604u/-FJPG/106119-021_ESS.tif;https://dd3ka9h4chfr8.cloudfront.net/image/725136000567/image_4et67eu41974n5qs02v54k3e51/-FJPG/106119-021_BCK_1.jpg;https://dd3ka9h4chfr8.cloudfront.net/image/725136000567/image_ce1fp9tt4d2p5baedm1vh49g27/-FJPG/106119-021_DET_1.jpg;https://dd3ka9h4chfr8.cloudfront.net/image/725136000567/image_1uuvk3lrdp4b99olg8jlqhm600/-FJPG/106119-021_DET_9.tif;https://dd3ka9h4chfr8.cloudfront.net/image/725136000567/image_dfdlgfn40p3n54mhkci8bqhb05/-FJPG/106119-021_DET_10.tif;https://dd3ka9h4chfr8.cloudfront.net/image/725136000567/image_1bdn9lqdo10lp3t7evst45h00c/-FJPG/106119-021_FRT_2.jpg;https://dd3ka9h4chfr8.cloudfront.net/image/725136000567/image_ca41ps5mpd3mv1qb2pah10a53h/-FJPG/106119-021_FRT_3.jpg;https://dd3ka9h4chfr8.cloudfront.net/image/725136000567/image_qihkn7p2e92fv7ohqo1n3rn43l/-FJPG/106119-021_FRT_4.jpg;https://dd3ka9h4chfr8.cloudfront.net/image/725136000567/image_s0ktm37n6l7epegu3pbtu5bp1f/-FJPG/106119-021_FRT_5.jpg</t>
  </si>
  <si>
    <t>106119-021</t>
  </si>
  <si>
    <t>https://dd3ka9h4chfr8.cloudfront.net/image/725136000567/image_24j3b7a14p3g78snrfubj4rh2m/-FJPG/106119-021_FRT_1.jpg</t>
  </si>
  <si>
    <t>14.5</t>
  </si>
  <si>
    <t>Upholstered in an abstract, Tibetan-inspired landscape motif, woven from soft chenille yarns with subtle texture for added depth, dimension and drama. This large, round ottoman can be placed just about anywhere. Style with a tray as a design-forward coffee table.</t>
  </si>
  <si>
    <t>Sinclair</t>
  </si>
  <si>
    <t>https://dd3ka9h4chfr8.cloudfront.net/image/725136000567/image_eol0m8k6ql6v7fjgab0236tm0u/-FJPG/106119-005_FRT_1.jpg;https://dd3ka9h4chfr8.cloudfront.net/image/725136000567/image_0l5h76u7qh0mh3mrjakhk2bj33/-FJPG/106119-005_PRM_1.jpg;https://dd3ka9h4chfr8.cloudfront.net/image/725136000567/image_gfj0oi057t4cdd5h1ghmqm930q/-FJPG/106119-005_SID_1.jpg;https://dd3ka9h4chfr8.cloudfront.net/image/725136000567/image_g9cpk9rc5t2f32kfcnmqrhmi0h/-FJPG/106119-005_ESS_1.jpg;https://dd3ka9h4chfr8.cloudfront.net/image/725136000567/image_ag7fjg27k51h562k2fe8r2if4f/-FJPG/106119-005_DET_2.jpg;https://dd3ka9h4chfr8.cloudfront.net/image/725136000567/image_rli5pgmnc54l17oc5n4t8hs955/-FJPG/106119-005_DET_1.jpg;https://dd3ka9h4chfr8.cloudfront.net/image/725136000567/image_jqpg6vduad40ldqh15vov03d46/-FJPG/106119-005_DET_3.jpg;https://dd3ka9h4chfr8.cloudfront.net/image/725136000567/image_thkpu2r4rt3d179q0i1a9p0s6h/-FJPG/106119-005_DET_4.jpg</t>
  </si>
  <si>
    <t>106119-005</t>
  </si>
  <si>
    <t>https://dd3ka9h4chfr8.cloudfront.net/image/725136000567/image_eol0m8k6ql6v7fjgab0236tm0u/-FJPG/106119-005_FRT_1.jpg</t>
  </si>
  <si>
    <t>Upholstered in light top-grain leather and paired with a solid ash base, this wide, round ottoman can be placed just about anywhere â€“ bringing with it a retro vibe. Style with a tray as a design-forward coffee table.</t>
  </si>
  <si>
    <t>https://dd3ka9h4chfr8.cloudfront.net/image/725136000567/image_k3v5ignabp35r2sp1dna496800/-FJPG/106119-020_FRT_1.jpg;https://dd3ka9h4chfr8.cloudfront.net/image/725136000567/image_jupoptdt0h0gl0crpecrmmnu25/-FJPG/106119-020_PRM_1.jpg;https://dd3ka9h4chfr8.cloudfront.net/image/725136000567/image_j1d9h8jnkp3ff87j7pfbj4h22b/-FJPG/106119-020_SID_1.jpg;https://dd3ka9h4chfr8.cloudfront.net/image/725136000567/image_058ts8fa916vp9ukuabgu1pb17/-FJPG/106119-020_DET_2.jpg;https://dd3ka9h4chfr8.cloudfront.net/image/725136000567/image_pab4890ebh3nj7k99h7bgrb75n/-FJPG/106119-020_DET_1.jpg;https://dd3ka9h4chfr8.cloudfront.net/image/725136000567/image_ppold7p8cd7333qdst8n8o5r7q/-FJPG/106119-020_DET_3.jpg;https://dd3ka9h4chfr8.cloudfront.net/image/725136000567/image_lp76cmroo90r9bh97up8fpi033/-FJPG/106119-020_DET_4.jpg;https://dd3ka9h4chfr8.cloudfront.net/image/725136000567/image_dlno01gp7t2k51kqcjmovpph6q/-FJPG/106119-020_DET_5.jpg</t>
  </si>
  <si>
    <t>106119-020</t>
  </si>
  <si>
    <t>https://dd3ka9h4chfr8.cloudfront.net/image/725136000567/image_k3v5ignabp35r2sp1dna496800/-FJPG/106119-020_FRT_1.jpg</t>
  </si>
  <si>
    <t>Upholstered in a classic cream-and-grey striped flax/linen blend and paired with a solid brown wood base, this  large, round ottoman can be placed just about anywhere, bringing with it a traditional vibe. Style with a tray as a design-forward coffee table.</t>
  </si>
  <si>
    <t>https://dd3ka9h4chfr8.cloudfront.net/image/725136000567/image_rsvc68ar910259uqmgaesik828/-FJPG/106119-022_FRT_1.jpg;https://dd3ka9h4chfr8.cloudfront.net/image/725136000567/image_jpli5fclc17jve61cc7sla5417/-FJPG/106119-022_PRM_1.jpg;https://dd3ka9h4chfr8.cloudfront.net/image/725136000567/image_1nrk3mg15t52v8nkqv9bqp3e7v/-FJPG/106119-022_SID_1.jpg;https://dd3ka9h4chfr8.cloudfront.net/image/725136000567/image_jajihr7ch16op3ng0ogl1vbo1u/-FJPG/106119-022_DET_2.jpg;https://dd3ka9h4chfr8.cloudfront.net/image/725136000567/image_13pl9kd8hh67r9i25m0d7tv909/-FJPG/106119-022_BCK_1.jpg;https://dd3ka9h4chfr8.cloudfront.net/image/725136000567/image_gqqumtb7b159l0vj6evk7pvn78/-FJPG/106119-022_DET_1.jpg;https://dd3ka9h4chfr8.cloudfront.net/image/725136000567/image_5hokjhuo110qfd73svf0qd4t2j/-FJPG/106119-022_DET_3.jpg;https://dd3ka9h4chfr8.cloudfront.net/image/725136000567/image_ouf0pdj9gh7vv7nh3kqem8ua0n/-FJPG/106119-022_DET_4.jpg;https://dd3ka9h4chfr8.cloudfront.net/image/725136000567/image_j89q07khvd66p6lm8vqbt90v2k/-FJPG/106119-022_DET_5.jpg</t>
  </si>
  <si>
    <t>106119-022</t>
  </si>
  <si>
    <t>https://dd3ka9h4chfr8.cloudfront.net/image/725136000567/image_rsvc68ar910259uqmgaesik828/-FJPG/106119-022_FRT_1.jpg</t>
  </si>
  <si>
    <t>This large, round ottoman upholstered in traditional ivory fabric with a classic box print can be placed just about anywhere, bringing with it a polished vibe. Style with a tray as a design-forward coffee table.</t>
  </si>
  <si>
    <t>https://dd3ka9h4chfr8.cloudfront.net/image/725136000567/image_stomi39kv91lt0kkh0kgr00r0l/-FJPG/106119-019_FRT_1.jpg;https://dd3ka9h4chfr8.cloudfront.net/image/725136000567/image_rjn1d2ci7120vbompkv3ktm11t/-FJPG/106119-019_PRM_1.jpg;https://dd3ka9h4chfr8.cloudfront.net/image/725136000567/image_8uselct89d3hl6aa7bl7dtkl58/-FJPG/106119-019_SID_1.jpg;https://dd3ka9h4chfr8.cloudfront.net/image/725136000567/image_cl6vk525891318a6c9lfnqde1h/-FJPG/106119-019_DET_2.jpg;https://dd3ka9h4chfr8.cloudfront.net/image/725136000567/image_go2oausfbt7gj187mtdqcffo26/-FJPG/106119-019_DET_1.jpg;https://dd3ka9h4chfr8.cloudfront.net/image/725136000567/image_h58hkekfh94f99odmsge22m248/-FJPG/106119-019_DET_3.jpg</t>
  </si>
  <si>
    <t>106119-019</t>
  </si>
  <si>
    <t>https://dd3ka9h4chfr8.cloudfront.net/image/725136000567/image_stomi39kv91lt0kkh0kgr00r0l/-FJPG/106119-019_FRT_1.jpg</t>
  </si>
  <si>
    <t>Upholstered in a deep olive velvet and paired with a  rich brown base, this wide, round ottoman can be placed just about anywhere â€“ bringing with it a luxe vibe. Style with a tray as a design-forward coffee table.</t>
  </si>
  <si>
    <t>Sinclair Outdoor Ottoman</t>
  </si>
  <si>
    <t>https://dd3ka9h4chfr8.cloudfront.net/image/725136000567/image_pv7erfbc0d6t5bpkh2ai9gcd0g/-FJPG/245262-008_PRM_1.jpg;https://dd3ka9h4chfr8.cloudfront.net/image/725136000567/image_5a1vncqjdd21pb33g7ec2dcv7i/-FJPG/245262-008_ESS.tif;https://dd3ka9h4chfr8.cloudfront.net/image/725136000567/image_1dbs8piej12ft2s94ab2rpnp4l/-FJPG/245262-008_BCK_1.jpg;https://dd3ka9h4chfr8.cloudfront.net/image/725136000567/image_9c0o2iko0p7un6circttl9073o/-FJPG/245262-008_DET_5.jpg;https://dd3ka9h4chfr8.cloudfront.net/image/725136000567/image_oh7692eijl6dp2quj1q5tteq41/-FJPG/245262-008_DET_6.jpg;https://dd3ka9h4chfr8.cloudfront.net/image/725136000567/image_d5fnpm0jkd5j7784f0qgltv70s/-FJPG/245262-008_DET_7.jpg</t>
  </si>
  <si>
    <t>Alessi Fawn</t>
  </si>
  <si>
    <t>245262-008</t>
  </si>
  <si>
    <t>13.23</t>
  </si>
  <si>
    <t>https://dd3ka9h4chfr8.cloudfront.net/image/725136000567/image_pv7erfbc0d6t5bpkh2ai9gcd0g/-FJPG/245262-008_PRM_1.jpg</t>
  </si>
  <si>
    <t>["100% Polypropylene","Solid FSC®-Certified Teak"]</t>
  </si>
  <si>
    <t>Garwood</t>
  </si>
  <si>
    <t>Stained Saddle Brown-FSC</t>
  </si>
  <si>
    <t>Outdoor Sofas &amp; Chaises</t>
  </si>
  <si>
    <t>Outdoor Ottomans</t>
  </si>
  <si>
    <t>An indoor favorite makes its way outside. This rounded outdoor ottoman can be placed just about anywhere for maximum flexibility. Cover or store inside during inclement weather and when not in use.</t>
  </si>
  <si>
    <t>{"value":24.91,"unit":"lb"}</t>
  </si>
  <si>
    <t>18.48"</t>
  </si>
  <si>
    <t>https://dd3ka9h4chfr8.cloudfront.net/image/725136000567/image_9ef0sv048l06n5rvoa8henth4u/-FJPG/245262-010_FRT_1.jpg;https://dd3ka9h4chfr8.cloudfront.net/image/725136000567/image_8ugu265vtl5qh4v9qvt4k1f97g/-FJPG/245262-010_PRM_1.jpg;https://dd3ka9h4chfr8.cloudfront.net/image/725136000567/image_kn7ooqigch19h9kras22vcak5n/-FJPG/245262-010_SID_1.jpg;https://dd3ka9h4chfr8.cloudfront.net/image/725136000567/image_cljfvrsgml6gd3anjg2tnsji4b/-FJPG/245262-010_ESS.tif;https://dd3ka9h4chfr8.cloudfront.net/image/725136000567/image_bicvtobnfl7vtc6ipkvi3bgm5l/-FJPG/245262-010_DET_2.jpg;https://dd3ka9h4chfr8.cloudfront.net/image/725136000567/image_ne0q6nd1u92693u1onigvmnt0u/-FJPG/245262-010_BCK_1.jpg;https://dd3ka9h4chfr8.cloudfront.net/image/725136000567/image_hoodnhfckd5kj69lgoktqk716l/-FJPG/245262-010_DET_1.jpg;https://dd3ka9h4chfr8.cloudfront.net/image/725136000567/image_0cqh884ibh75r8s8scn72au44b/-FJPG/245262-010_DET_3.jpg;https://dd3ka9h4chfr8.cloudfront.net/image/725136000567/image_6ovp8uli254ttfhgkpnl881m02/-FJPG/245262-010_TOP_1.jpg;https://dd3ka9h4chfr8.cloudfront.net/image/725136000567/image_h71i4eo0u93lfc57npnqik3h4e/-FJPG/245262-010_DET_5.jpg</t>
  </si>
  <si>
    <t>Alessi Linen</t>
  </si>
  <si>
    <t>245262-010</t>
  </si>
  <si>
    <t>12.57</t>
  </si>
  <si>
    <t>https://dd3ka9h4chfr8.cloudfront.net/image/725136000567/image_9ef0sv048l06n5rvoa8henth4u/-FJPG/245262-010_FRT_1.jpg</t>
  </si>
  <si>
    <t>["100% Polypropylene","Aluminum"]</t>
  </si>
  <si>
    <t>Bronze</t>
  </si>
  <si>
    <t>{"value":24.47,"unit":"lb"}</t>
  </si>
  <si>
    <t>https://dd3ka9h4chfr8.cloudfront.net/image/725136000567/image_2q54d21oj94p7e2ic5f06vt353/-FJPG/245262-012_FRT_1.jpg;https://dd3ka9h4chfr8.cloudfront.net/image/725136000567/image_3bi59rfj0961b54bf33quio71g/-FJPG/245262-012_PRM_1.jpg;https://dd3ka9h4chfr8.cloudfront.net/image/725136000567/image_dr782prnt91ld7vkofhq7a1c0t/-FJPG/245262-012_SID_1.jpg;https://dd3ka9h4chfr8.cloudfront.net/image/725136000567/image_jgucp1pish0id4cup6tg6cob7r/-FJPG/245262-012_ESS.tif;https://dd3ka9h4chfr8.cloudfront.net/image/725136000567/image_0aok0573op3ktc5earktcgtm4h/-FJPG/245262-012_DET_2.jpg;https://dd3ka9h4chfr8.cloudfront.net/image/725136000567/image_2imkuji4pd78b2cairljkojb2n/-FJPG/245262-012_BCK_1.jpg;https://dd3ka9h4chfr8.cloudfront.net/image/725136000567/image_q8qmot5o195flceaersbigqa6h/-FJPG/245262-012_DET_1.jpg;https://dd3ka9h4chfr8.cloudfront.net/image/725136000567/image_t9it1gdvl91a7daedtqlgh1g3h/-FJPG/245262-012_DET_3.jpg;https://dd3ka9h4chfr8.cloudfront.net/image/725136000567/image_0qd34hviot6hb28pko41kppp07/-FJPG/245262-012_TOP_1.jpg;https://dd3ka9h4chfr8.cloudfront.net/image/725136000567/image_lrp945eduh2fdduvipjr250m1j/-FJPG/245262-012_DET_4.jpg;https://dd3ka9h4chfr8.cloudfront.net/image/725136000567/image_ebnfmsghc16f96i2s6anrvhh7n/-FJPG/245262-012_DET_5.jpg</t>
  </si>
  <si>
    <t>Hayes Cream</t>
  </si>
  <si>
    <t>245262-012</t>
  </si>
  <si>
    <t>https://dd3ka9h4chfr8.cloudfront.net/image/725136000567/image_2q54d21oj94p7e2ic5f06vt353/-FJPG/245262-012_FRT_1.jpg</t>
  </si>
  <si>
    <t>["100% Olefin","Solid FSC®-Certified Teak"]</t>
  </si>
  <si>
    <t>Stained Toasted Brown-FSC</t>
  </si>
  <si>
    <t>https://dd3ka9h4chfr8.cloudfront.net/image/725136000567/image_gr8fufd6et33t854omrkevoa7d/-FJPG/245262-011_FRT_1.jpg;https://dd3ka9h4chfr8.cloudfront.net/image/725136000567/image_6hkpocavo13r97bsg05o8u8n2s/-FJPG/245262-011_PRM_1.jpg;https://dd3ka9h4chfr8.cloudfront.net/image/725136000567/image_7qmj0bdop940j59amj9p3glr0b/-FJPG/245262-011_SID_1.jpg;https://dd3ka9h4chfr8.cloudfront.net/image/725136000567/image_prioqoknrh2n941sn0347s7e6b/-FJPG/245262-011_ESS.tif;https://dd3ka9h4chfr8.cloudfront.net/image/725136000567/image_b4f2on0io14015n0it3m8grm0q/-FJPG/245262-011_DET_2.jpg;https://dd3ka9h4chfr8.cloudfront.net/image/725136000567/image_o2im3b5bqp5p1a15j15ml9dm4q/-FJPG/245262-011_BCK_1.jpg;https://dd3ka9h4chfr8.cloudfront.net/image/725136000567/image_un39cuei110cp7f5ausj4j1c4g/-FJPG/245262-011_DET_1.jpg;https://dd3ka9h4chfr8.cloudfront.net/image/725136000567/image_201n39uqod67t8uip17cgqbe26/-FJPG/245262-011_TOP_1.jpg;https://dd3ka9h4chfr8.cloudfront.net/image/725136000567/image_seujfdb0ad0bteb5g9k6jtci3f/-FJPG/245262-011_DET_4.jpg;https://dd3ka9h4chfr8.cloudfront.net/image/725136000567/image_mkflc2f4c14ile4epsjpp04k20/-FJPG/245262-011_DET_5.jpg</t>
  </si>
  <si>
    <t>Hayes Smoke</t>
  </si>
  <si>
    <t>245262-011</t>
  </si>
  <si>
    <t>https://dd3ka9h4chfr8.cloudfront.net/image/725136000567/image_gr8fufd6et33t854omrkevoa7d/-FJPG/245262-011_FRT_1.jpg</t>
  </si>
  <si>
    <t>["100% Olefin","Aluminum"]</t>
  </si>
  <si>
    <t>Sinclair Round Ottoman</t>
  </si>
  <si>
    <t>https://dd3ka9h4chfr8.cloudfront.net/image/725136000567/image_p90c8635b55mte51lijaemqf6h/-FJPG/106074-021_FRT_1.jpg;https://dd3ka9h4chfr8.cloudfront.net/image/725136000567/image_45s3hublnh41h1hmd380krb070/-FJPG/106074-021_PRM_1.jpg;https://dd3ka9h4chfr8.cloudfront.net/image/725136000567/image_m9v0inodap3ctcssqpmo11gq38/-FJPG/106074-021_SID_1.jpg;https://dd3ka9h4chfr8.cloudfront.net/image/725136000567/image_egmkat65ap3ahbhragddi92t6c/-FJPG/106074-021_ESS.tif;https://dd3ka9h4chfr8.cloudfront.net/image/725136000567/image_6ft66v8djl6oj11tu9d19ur559/-FJPG/106074-021_DET_2.jpg;https://dd3ka9h4chfr8.cloudfront.net/image/725136000567/image_jpuao5426p3ppb2bjlssuf3q1e/-FJPG/106074-021_BCK_1.jpg;https://dd3ka9h4chfr8.cloudfront.net/image/725136000567/image_mg56qauu1d1214o3msm8shgr1e/-FJPG/106074-021_DET_1.jpg;https://dd3ka9h4chfr8.cloudfront.net/image/725136000567/image_phr1k4a30p333fimcii1eqd81c/-FJPG/106074-021_DET_3.jpg;https://dd3ka9h4chfr8.cloudfront.net/image/725136000567/image_6ap3of46ft2etadobs4a572q5q/-FJPG/106074-021_DET_4.jpg;https://dd3ka9h4chfr8.cloudfront.net/image/725136000567/image_jc3s7pujfl24d4affm8shhs52d/-FJPG/106074-021_DET_5.jpg;https://dd3ka9h4chfr8.cloudfront.net/image/725136000567/image_9naitj2d6l0bvcdnpvl8mp912i/-FJPG/106074-021_DET_6.jpg;https://dd3ka9h4chfr8.cloudfront.net/image/725136000567/image_s3lqeu5d4t1hbbnrmcifdgrc7d/-FJPG/106074-021_DET_9.tif;https://dd3ka9h4chfr8.cloudfront.net/image/725136000567/image_fufd0t69jd4nv3jgc76vg00738/-FJPG/106074-021_DET_10.tif</t>
  </si>
  <si>
    <t>106074-021</t>
  </si>
  <si>
    <t>https://dd3ka9h4chfr8.cloudfront.net/image/725136000567/image_p90c8635b55mte51lijaemqf6h/-FJPG/106074-021_FRT_1.jpg</t>
  </si>
  <si>
    <t>Place this round ottoman just about anywhere. Upholstered in an abstract, Tibetan-inspired landscape motif, woven from soft chenille yarns with subtle texture for added depth, dimension and drama.</t>
  </si>
  <si>
    <t>https://dd3ka9h4chfr8.cloudfront.net/image/725136000567/image_8cst3r28il00f7m6l42r06er26/-FJPG/106074-008_FRT_1.jpg;https://dd3ka9h4chfr8.cloudfront.net/image/725136000567/image_qp1nqmuv452b9auhh9qa83ja59/-FJPG/106074-008_PRM_1.jpg;https://dd3ka9h4chfr8.cloudfront.net/image/725136000567/image_r9cdgktpl91l16jc3oultt762a/-FJPG/106074-008_ESS.tif;https://dd3ka9h4chfr8.cloudfront.net/image/725136000567/image_ms33s4essh0bhc52br9r26kq5d/-FJPG/106074-008_DET_2.jpg;https://dd3ka9h4chfr8.cloudfront.net/image/725136000567/image_11p2m3o64p0v9d3jgutfigu558/-FJPG/106074-008_DET_1.jpg;https://dd3ka9h4chfr8.cloudfront.net/image/725136000567/image_6ja10uai7l6230tdck8pjf651o/-FJPG/106074-008_DET_3.jpg</t>
  </si>
  <si>
    <t>106074-008</t>
  </si>
  <si>
    <t>https://dd3ka9h4chfr8.cloudfront.net/image/725136000567/image_8cst3r28il00f7m6l42r06er26/-FJPG/106074-008_FRT_1.jpg</t>
  </si>
  <si>
    <t>Upholstered in light top-grain leather and paired with a solid ash base, this rounded ottoman can be placed just about anywhere â€” bringing with it a retro vibe. Natural markings are reflective of leather sourcing, playing up materials' inherent intrigue. Light, versatile color can move between spaces and style with ease.</t>
  </si>
  <si>
    <t>https://dd3ka9h4chfr8.cloudfront.net/image/725136000567/image_ua1u8sh39l34va3afv0oljk50s/-FJPG/106074-010_FRT_1.jpg;https://dd3ka9h4chfr8.cloudfront.net/image/725136000567/image_luhj10s0212i56orjvhpb25t1r/-FJPG/106074-010_PRM_1.jpg;https://dd3ka9h4chfr8.cloudfront.net/image/725136000567/image_33fvdi1lhh0vp3f2o9kv7oak53/-FJPG/106074-010_ESS_1.jpg;https://dd3ka9h4chfr8.cloudfront.net/image/725136000567/image_nq26iuk4el6rbf6nfahgpn2k3g/-FJPG/106074-010_DET_2.jpg;https://dd3ka9h4chfr8.cloudfront.net/image/725136000567/image_4vvvdur4dd14j61cp8dhc36n74/-FJPG/106074-010_INF_1.jpg;https://dd3ka9h4chfr8.cloudfront.net/image/725136000567/image_4u2as6fl497jp64s654flpfe47/-FJPG/106074-010_DET_1.jpg;https://dd3ka9h4chfr8.cloudfront.net/image/725136000567/image_fm6p356ev57tb9656v32apaq7j/-FJPG/106074-010_DET_3.jpg;https://dd3ka9h4chfr8.cloudfront.net/image/725136000567/image_amgmadoun91l7bglipkp2e8529/-FJPG/106074-010_TOP_1.jpg;https://dd3ka9h4chfr8.cloudfront.net/image/725136000567/image_8s30195kd117v7nhdbqb5det2p/-FJPG/106074-010_DET_4.jpg;https://dd3ka9h4chfr8.cloudfront.net/image/725136000567/image_4rpda8j1ep57p237gsic21rk03/-FJPG/106074-010_DET_5.jpg</t>
  </si>
  <si>
    <t>Knoll Domino</t>
  </si>
  <si>
    <t>106074-010</t>
  </si>
  <si>
    <t>https://dd3ka9h4chfr8.cloudfront.net/image/725136000567/image_ua1u8sh39l34va3afv0oljk50s/-FJPG/106074-010_FRT_1.jpg</t>
  </si>
  <si>
    <t>Atop a black parawood base, a round ottoman of textural grey boucle can be placed just about anywhere, bringing with it a hip retro vibe.</t>
  </si>
  <si>
    <t>https://dd3ka9h4chfr8.cloudfront.net/image/725136000567/image_kdsuoid3n90gv55ukvab26ng4v/-FJPG/106074-011_PRM_1.jpg;https://dd3ka9h4chfr8.cloudfront.net/image/725136000567/image_3rnmrprbk57vh8jl9n4aer6c3h/-FJPG/106074-011_SID_1.jpg;https://dd3ka9h4chfr8.cloudfront.net/image/725136000567/image_rq84ah0l2p7rtdt3hklcer5g7v/-FJPG/106074-011_ESS_1.tif;https://dd3ka9h4chfr8.cloudfront.net/image/725136000567/image_s9sebkbevp3e10913614889t4i/-FJPG/106074-011_DET_2.jpg;https://dd3ka9h4chfr8.cloudfront.net/image/725136000567/image_1jbjl783fp4qldbekin7n23t6j/-FJPG/106074-011_INF_1.jpg;https://dd3ka9h4chfr8.cloudfront.net/image/725136000567/image_fld7bidbgh6nvanr45rfh3ds4l/-FJPG/106074-011_DET_1.jpg;https://dd3ka9h4chfr8.cloudfront.net/image/725136000567/image_b6crj8ndn97b94nfdt4koahu0j/-FJPG/106074-011_DET_3.jpg;https://dd3ka9h4chfr8.cloudfront.net/image/725136000567/image_gdrsi5qs9t2l5ct2gfbupft421/-FJPG/106074-011_DET_4.jpg;https://dd3ka9h4chfr8.cloudfront.net/image/725136000567/image_1j0idbqcn9789f3ougv8snn37f/-FJPG/106074-011_DET_5.jpg;https://dd3ka9h4chfr8.cloudfront.net/image/725136000567/image_kh9ecpolet2ava4pv9t42gg07j/-FJPG/106074-011_VIG_1.jpg;https://dd3ka9h4chfr8.cloudfront.net/image/725136000567/image_78nuap10j95dn8as9o9sp4cu7i/-FJPG/106074-011_VIG_2.jpg;https://dd3ka9h4chfr8.cloudfront.net/image/725136000567/image_4igstrr9lt3g70idc5o3rajt1n/-FJPG/106074-011_VIG_3.jpg</t>
  </si>
  <si>
    <t>106074-011</t>
  </si>
  <si>
    <t>https://dd3ka9h4chfr8.cloudfront.net/image/725136000567/image_kdsuoid3n90gv55ukvab26ng4v/-FJPG/106074-011_PRM_1.jpg</t>
  </si>
  <si>
    <t>This round ottoman of textural cream boucle can be placed just about anywhere, bringing with it a hip retro vibe.</t>
  </si>
  <si>
    <t>https://dd3ka9h4chfr8.cloudfront.net/image/725136000567/image_2q1p8gn6g177r12f1hmna0jc2p/-FJPG/106074-020_FRT_1.jpg;https://dd3ka9h4chfr8.cloudfront.net/image/725136000567/image_0a1m5b00q51qfeo7bauph9hr4o/-FJPG/106074-020_PRM_1.jpg;https://dd3ka9h4chfr8.cloudfront.net/image/725136000567/image_hkcjhiam4l5bt4jtpb4lkf4d2a/-FJPG/106074-020_SID_1.jpg;https://dd3ka9h4chfr8.cloudfront.net/image/725136000567/image_lhn07tc8it0qd1gnrou52q0v56/-FJPG/106074-020_DET_2.jpg;https://dd3ka9h4chfr8.cloudfront.net/image/725136000567/image_0rl1b6qash7956hg4ej4aqof0n/-FJPG/106074-020_DET_1.jpg;https://dd3ka9h4chfr8.cloudfront.net/image/725136000567/image_2sfcb41sip69714hv1ds8cra2j/-FJPG/106074-020_DET_3.jpg;https://dd3ka9h4chfr8.cloudfront.net/image/725136000567/image_3ujvn7c429385amnaqoto6il0r/-FJPG/106074-020_DET_4.jpg;https://dd3ka9h4chfr8.cloudfront.net/image/725136000567/image_3mh0v65i2h1e5493aerk1o3n63/-FJPG/106074-020_DET_5.jpg;https://dd3ka9h4chfr8.cloudfront.net/image/725136000567/image_3jpk4cbr4d6br3uggmgo6cg05p/-FJPG/106074-020_DET_6.jpg</t>
  </si>
  <si>
    <t>106074-020</t>
  </si>
  <si>
    <t>https://dd3ka9h4chfr8.cloudfront.net/image/725136000567/image_2q1p8gn6g177r12f1hmna0jc2p/-FJPG/106074-020_FRT_1.jpg</t>
  </si>
  <si>
    <t>This round ottoman covered in a classic cream-and-grey striped flax/linen blend can be placed just about anywhere, bringing with it a traditional vibe.</t>
  </si>
  <si>
    <t>https://dd3ka9h4chfr8.cloudfront.net/image/725136000567/image_moaaqocvop69r997oji9k1tv1m/-FJPG/106074-014_FRT_1.jpg;https://dd3ka9h4chfr8.cloudfront.net/image/725136000567/image_63hdi1e0ip6pj3dp5o382c0k0s/-FJPG/106074-014_PRM_1.jpg;https://dd3ka9h4chfr8.cloudfront.net/image/725136000567/image_0aq89gtn851cd6pi2s7t8jfs56/-FJPG/106074-014_SID_1.jpg;https://dd3ka9h4chfr8.cloudfront.net/image/725136000567/image_ob3o1u26g54k9dg3pt0qr6pm2h/-FJPG/106074-014_ESS.tif;https://dd3ka9h4chfr8.cloudfront.net/image/725136000567/image_7mmqhgea1p565aslpge99nff3a/-FJPG/106074-014_DET_2.jpg;https://dd3ka9h4chfr8.cloudfront.net/image/725136000567/image_6tlbe5umf93ot4ncpj9dl7t556/-FJPG/106074-014_DET_1.jpg;https://dd3ka9h4chfr8.cloudfront.net/image/725136000567/image_bcqt45slhd581220cctr6f0a0p/-FJPG/106074-014_DET_3.jpg;https://dd3ka9h4chfr8.cloudfront.net/image/725136000567/image_jqqp3ogoot3g5etd4ubjga4e7b/-FJPG/106074-014_DET_4.jpg</t>
  </si>
  <si>
    <t>Palermo Butterscotch</t>
  </si>
  <si>
    <t>106074-014</t>
  </si>
  <si>
    <t>https://dd3ka9h4chfr8.cloudfront.net/image/725136000567/image_moaaqocvop69r997oji9k1tv1m/-FJPG/106074-014_FRT_1.jpg</t>
  </si>
  <si>
    <t>A cleverly scaled ottoman of butterscotch-colored top-grain leather can be placed just about anywhere â€” bringing with it a hip retro vibe.</t>
  </si>
  <si>
    <t>https://dd3ka9h4chfr8.cloudfront.net/image/725136000567/image_4q0held9ph0fd94r681a680e4o/-FJPG/106074-022_FRT_1.jpg;https://dd3ka9h4chfr8.cloudfront.net/image/725136000567/image_esbh1tauk102beakul6vhfs81h/-FJPG/106074-022_PRM_1.jpg;https://dd3ka9h4chfr8.cloudfront.net/image/725136000567/image_i93v595nvl7850sh5638q3bb2q/-FJPG/106074-022_SID_1.jpg;https://dd3ka9h4chfr8.cloudfront.net/image/725136000567/image_6sn6n0577p0ob7e4a279lm0s38/-FJPG/106074-022_DET_2.jpg;https://dd3ka9h4chfr8.cloudfront.net/image/725136000567/image_rigjtoo11d65t1s2bmkh6ulr03/-FJPG/106074-022_BCK_1.jpg;https://dd3ka9h4chfr8.cloudfront.net/image/725136000567/image_qvau7a3sfl3497qh6d65ibf13j/-FJPG/106074-022_DET_1.jpg;https://dd3ka9h4chfr8.cloudfront.net/image/725136000567/image_5upa3l804h1vd1q0d9l29stt4e/-FJPG/106074-022_DET_3.jpg;https://dd3ka9h4chfr8.cloudfront.net/image/725136000567/image_e4iqdk4g114657bf8amk21hk27/-FJPG/106074-022_DET_4.jpg;https://dd3ka9h4chfr8.cloudfront.net/image/725136000567/image_0u4c449sl50bp7jom3uhafff0c/-FJPG/106074-022_DET_5.jpg;https://dd3ka9h4chfr8.cloudfront.net/image/725136000567/image_9osh2ds0st7ub3ghmcgk2feh28/-FJPG/106074-022_DET_6.jpg</t>
  </si>
  <si>
    <t>106074-022</t>
  </si>
  <si>
    <t>https://dd3ka9h4chfr8.cloudfront.net/image/725136000567/image_4q0held9ph0fd94r681a680e4o/-FJPG/106074-022_FRT_1.jpg</t>
  </si>
  <si>
    <t>This round ottoman upholstered in traditional ivory fabric with a classic box print can be placed just about anywhere, bringing with it a polished vibe.</t>
  </si>
  <si>
    <t>Sinclair Square Ottoman-36"</t>
  </si>
  <si>
    <t>https://dd3ka9h4chfr8.cloudfront.net/image/725136000567/image_akii1g1mfd0d19h9vrup8fng01/-FJPG/238548-013_FRT_1.jpg;https://dd3ka9h4chfr8.cloudfront.net/image/725136000567/image_ba1uahd1cd20pe8fhib60hs17c/-FJPG/238548-013_PRM_1.jpg;https://dd3ka9h4chfr8.cloudfront.net/image/725136000567/image_l13uo2s0ht76d6niiltnr4pe6n/-FJPG/238548-013_SID_1.jpg;https://dd3ka9h4chfr8.cloudfront.net/image/725136000567/image_8i129lrdsd2pb7hqb1npu6su7c/-FJPG/238548-013_ESS.tif;https://dd3ka9h4chfr8.cloudfront.net/image/725136000567/image_full531ptp2v1e7ot0o8mcqe72/-FJPG/238548-013_DET_2.jpg;https://dd3ka9h4chfr8.cloudfront.net/image/725136000567/image_q8h1iv8q390mtbvvo38cnkpi4p/-FJPG/238548-013_DET_1.jpg;https://dd3ka9h4chfr8.cloudfront.net/image/725136000567/image_urlm986qr10ah69ugdr2ac6c5l/-FJPG/238548-013_DET_3.jpg;https://dd3ka9h4chfr8.cloudfront.net/image/725136000567/image_n09j6pdi8l6157pn9vlla94p42/-FJPG/238548-013_DET_4.jpg;https://dd3ka9h4chfr8.cloudfront.net/image/725136000567/image_nhof0jbk3549d14ips4njc4b7o/-FJPG/238548-013_DET_5.jpg;https://dd3ka9h4chfr8.cloudfront.net/image/725136000567/image_at53nojfu13d56mjmes6prad27/-FJPG/238548-013_DET_6.jpg;https://dd3ka9h4chfr8.cloudfront.net/image/725136000567/image_53789jd1690vj6a50ir27jme3v/-FJPG/238548-013_DET_9.tif</t>
  </si>
  <si>
    <t>238548-013</t>
  </si>
  <si>
    <t>47.4</t>
  </si>
  <si>
    <t>https://dd3ka9h4chfr8.cloudfront.net/image/725136000567/image_akii1g1mfd0d19h9vrup8fng01/-FJPG/238548-013_FRT_1.jpg</t>
  </si>
  <si>
    <t>Upholstered in an abstract, Tibetan-inspired landscape motif, woven from soft chenille yarns with subtle texture for added depth, dimension and drama. This square ottoman can be placed just about anywhere, bringing with it a luxe vibe.</t>
  </si>
  <si>
    <t>https://dd3ka9h4chfr8.cloudfront.net/image/725136000567/image_hm7tsok1e566787dqtor6vha5k/-FJPG/238548-009_FRT_1.jpg;https://dd3ka9h4chfr8.cloudfront.net/image/725136000567/image_icuuhfmbgd5q90khp1l7ch5n6j/-FJPG/238548-009_PRM_1.jpg;https://dd3ka9h4chfr8.cloudfront.net/image/725136000567/image_lo4hnteit140p9ntih02ln1g0s/-FJPG/238548-009_SID_1.jpg;https://dd3ka9h4chfr8.cloudfront.net/image/725136000567/image_qjdplocsvt28dc1f5pnt4r113o/-FJPG/238548-009_ESS.tif;https://dd3ka9h4chfr8.cloudfront.net/image/725136000567/image_7kr0o3oni15lt9iud3av272v61/-FJPG/238548-009_DET_2.jpg;https://dd3ka9h4chfr8.cloudfront.net/image/725136000567/image_mvhedvheel0d73n2eogrnj6a0c/-FJPG/238548-009_DET_1.jpg;https://dd3ka9h4chfr8.cloudfront.net/image/725136000567/image_osq88luath3dp7uhrc8pluf04m/-FJPG/238548-009_DET_3.jpg;https://dd3ka9h4chfr8.cloudfront.net/image/725136000567/image_m8ra7kvnv57ojdkrj1agk32v0o/-FJPG/238548-009_DET_4.jpg;https://dd3ka9h4chfr8.cloudfront.net/image/725136000567/image_ubteu4dq0931j6d50mkjavqm27/-FJPG/238548-009_DET_5.jpg;https://dd3ka9h4chfr8.cloudfront.net/image/725136000567/image_cdigkokmvt74d1rev0gqv75s53/-FJPG/238548-009_DET_6.jpg;https://dd3ka9h4chfr8.cloudfront.net/image/725136000567/image_22qsg6ovpp3bbfnvaf97vkqf7r/-FJPG/238548-009_DET_9.tif;https://dd3ka9h4chfr8.cloudfront.net/image/725136000567/image_qnlqhabu2h59ff0jhm19dfur77/-FJPG/FHMPRJ-010_SCENE-02-V1-B.tif</t>
  </si>
  <si>
    <t>Barrow Taupe</t>
  </si>
  <si>
    <t>238548-009</t>
  </si>
  <si>
    <t>https://dd3ka9h4chfr8.cloudfront.net/image/725136000567/image_hm7tsok1e566787dqtor6vha5k/-FJPG/238548-009_FRT_1.jpg</t>
  </si>
  <si>
    <t>["70% Polyester","30% Wool","Solid Parawood"]</t>
  </si>
  <si>
    <t>Upholstered in tonal check fabric and paired with a solid ash base, this 36" square ottoman can be placed just about anywhere â€“ bringing with it a retro vibe. Style with a tray as a design-forward coffee table.</t>
  </si>
  <si>
    <t>https://dd3ka9h4chfr8.cloudfront.net/image/725136000567/image_547ac2so855rh56800mdlf7v35/-FJPG/238548-010_FRT_1.jpg;https://dd3ka9h4chfr8.cloudfront.net/image/725136000567/image_arcv9a5k4l7enajqhmnbuu404b/-FJPG/238548-010_PRM_1.jpg;https://dd3ka9h4chfr8.cloudfront.net/image/725136000567/image_tt455fiob174b5cv6fgolknv1g/-FJPG/238548-010_SID_1.jpg;https://dd3ka9h4chfr8.cloudfront.net/image/725136000567/image_fhk7e2trq917ba95710e5tq04p/-FJPG/238548-010_DET_2.jpg;https://dd3ka9h4chfr8.cloudfront.net/image/725136000567/image_nqauv080i53jf1v5q8gvmsls4p/-FJPG/238548-010_BCK_1.jpg;https://dd3ka9h4chfr8.cloudfront.net/image/725136000567/image_0hi382b9p534pc30o86pma1338/-FJPG/238548-010_DET_1.jpg;https://dd3ka9h4chfr8.cloudfront.net/image/725136000567/image_2bc5k0rjjd4ihb8ur9apralo5s/-FJPG/238548-010_DET_3.jpg;https://dd3ka9h4chfr8.cloudfront.net/image/725136000567/image_h3uicmknip48l3228lf4a3bc2i/-FJPG/238548-010_TOP_1.jpg;https://dd3ka9h4chfr8.cloudfront.net/image/725136000567/image_knr5721i857cr62giptckbfl6g/-FJPG/238548-010_DET_4.jpg</t>
  </si>
  <si>
    <t>238548-010</t>
  </si>
  <si>
    <t>https://dd3ka9h4chfr8.cloudfront.net/image/725136000567/image_547ac2so855rh56800mdlf7v35/-FJPG/238548-010_FRT_1.jpg</t>
  </si>
  <si>
    <t>["60% Acrylic","33% Cotton","7% Polyester","Solid Parawood"]</t>
  </si>
  <si>
    <t>Upholstered in a granite flax/linen blend and paired with a deep brown base, this 36" square ottoman can be placed just about anywhere â€“ bringing with it a retro vibe.</t>
  </si>
  <si>
    <t>https://dd3ka9h4chfr8.cloudfront.net/image/725136000567/image_pqvdrlsid13etd0f1vnlr0ms0n/-FJPG/238548-003_FRT_1.jpg;https://dd3ka9h4chfr8.cloudfront.net/image/725136000567/image_emuag3u8r570t1gtpb4p7sl975/-FJPG/238548-003_PRM_1.jpg;https://dd3ka9h4chfr8.cloudfront.net/image/725136000567/image_qv0sjj1ogt5fr8fomjie0qiv58/-FJPG/238548-003_ESS.tif;https://dd3ka9h4chfr8.cloudfront.net/image/725136000567/image_v9lb9hd6tl2g9dm8c48l8m784l/-FJPG/238548-003_DET_2.jpg;https://dd3ka9h4chfr8.cloudfront.net/image/725136000567/image_p1qqjb35hd4bfej4im2c09qa5q/-FJPG/238548-003_DET_1.jpg;https://dd3ka9h4chfr8.cloudfront.net/image/725136000567/image_5et9vu18nl5154o01gao3dg02l/-FJPG/238548-003_DET_3.jpg;https://dd3ka9h4chfr8.cloudfront.net/image/725136000567/image_ehtifr8hhh6p1447ooghheao4i/-FJPG/238548-003_DET_4.jpg;https://dd3ka9h4chfr8.cloudfront.net/image/725136000567/image_k888j7ufid19v6hn4frfk58218/-FJPG/238548-003_DET_5.jpg;https://dd3ka9h4chfr8.cloudfront.net/image/725136000567/image_8sr8tfo16t28b1hish1rbuvf7e/-FJPG/238548-003_DET_6.jpg</t>
  </si>
  <si>
    <t>238548-003</t>
  </si>
  <si>
    <t>https://dd3ka9h4chfr8.cloudfront.net/image/725136000567/image_pqvdrlsid13etd0f1vnlr0ms0n/-FJPG/238548-003_FRT_1.jpg</t>
  </si>
  <si>
    <t>Upholstered in a cream boucle fabric and paired with a solid parawood base, this 36" square ottoman can be placed just about anywhere â€“ bringing with it a retro vibe. Style with a tray as a design-forward coffee table.</t>
  </si>
  <si>
    <t>https://dd3ka9h4chfr8.cloudfront.net/image/725136000567/image_9j2s1emo657tr5hagh4t29kd5i/-FJPG/238548-011_FRT_1.jpg;https://dd3ka9h4chfr8.cloudfront.net/image/725136000567/image_j6chbqsmc54nb73hd8vgmfds2a/-FJPG/238548-011_PRM_1.jpg;https://dd3ka9h4chfr8.cloudfront.net/image/725136000567/image_kqkppr0dt576187jhigk9g9l52/-FJPG/238548-011_SID_1.jpg;https://dd3ka9h4chfr8.cloudfront.net/image/725136000567/image_s9sgqcoce11up1d45coh18ca0e/-FJPG/238548-011_DET_2.jpg;https://dd3ka9h4chfr8.cloudfront.net/image/725136000567/image_ibck5a9dgh3i50klrnc1ela10a/-FJPG/238548-011_DET_1.jpg;https://dd3ka9h4chfr8.cloudfront.net/image/725136000567/image_ecgofgsb355nb9gh9fvoesbh0g/-FJPG/238548-011_DET_3.jpg;https://dd3ka9h4chfr8.cloudfront.net/image/725136000567/image_fgmfigg9fd06dei6m5julqgp3n/-FJPG/238548-011_DET_4.jpg;https://dd3ka9h4chfr8.cloudfront.net/image/725136000567/image_8cjosct00p3an3h8t899pbu12v/-FJPG/238548-011_DET_5.jpg;https://dd3ka9h4chfr8.cloudfront.net/image/725136000567/image_tinl6lfa0t33r45319usdcgk16/-FJPG/238548-011_DET_6.jpg</t>
  </si>
  <si>
    <t>238548-011</t>
  </si>
  <si>
    <t>https://dd3ka9h4chfr8.cloudfront.net/image/725136000567/image_9j2s1emo657tr5hagh4t29kd5i/-FJPG/238548-011_FRT_1.jpg</t>
  </si>
  <si>
    <t>Upholstered in a classic cream-and-grey striped flax/linen blend paired with a solid brown wood base, this 36" square ottoman can be placed just about anywhere â€“ bringing with it a traditional vibe. Style with a tray as a design-forward coffee table.</t>
  </si>
  <si>
    <t>https://dd3ka9h4chfr8.cloudfront.net/image/725136000567/image_ph216horcd3sh33oi22htcs73e/-FJPG/238548-004_FRT_1.jpg;https://dd3ka9h4chfr8.cloudfront.net/image/725136000567/image_vn64567o155jn2m15qb8lva36m/-FJPG/238548-004_PRM_1.jpg;https://dd3ka9h4chfr8.cloudfront.net/image/725136000567/image_g3rnm2mcit0p56luc4dcijmq18/-FJPG/238548-004_DET_2.jpg;https://dd3ka9h4chfr8.cloudfront.net/image/725136000567/image_3bsi6mnjfh5jh2ton0mooff242/-FJPG/238548-004_DET_1.jpg;https://dd3ka9h4chfr8.cloudfront.net/image/725136000567/image_3aaep04pip7g3an252saeekm5t/-FJPG/238548-004_DET_3.jpg;https://dd3ka9h4chfr8.cloudfront.net/image/725136000567/image_rg4244v701741f4egdeqdakl1r/-FJPG/238548-004_DET_4.jpg;https://dd3ka9h4chfr8.cloudfront.net/image/725136000567/image_j9v938u94l0e596tggbmbono41/-FJPG/238548-004_DET_5.jpg</t>
  </si>
  <si>
    <t>238548-004</t>
  </si>
  <si>
    <t>https://dd3ka9h4chfr8.cloudfront.net/image/725136000567/image_ph216horcd3sh33oi22htcs73e/-FJPG/238548-004_FRT_1.jpg</t>
  </si>
  <si>
    <t>Upholstered in a butterscotch top-grain leather and paired with a solid parawood base, this 36" square ottoman can be placed just about anywhere â€“ bringing with it a retro vibe. Style with a tray as a design-forward coffee table.</t>
  </si>
  <si>
    <t>https://dd3ka9h4chfr8.cloudfront.net/image/725136000567/image_e8f5nmr7k12bj2gcpqh7iehg45/-FJPG/238548-012_FRT_1.jpg;https://dd3ka9h4chfr8.cloudfront.net/image/725136000567/image_tevtdhq29t24712g3q2r1gi50j/-FJPG/238548-012_PRM_1.jpg;https://dd3ka9h4chfr8.cloudfront.net/image/725136000567/image_pq9da7p55p5klasmlknvr1l81a/-FJPG/238548-012_SID_1.jpg;https://dd3ka9h4chfr8.cloudfront.net/image/725136000567/image_n3min41jv11dnau9b132lck60o/-FJPG/238548-012_DET_2.jpg;https://dd3ka9h4chfr8.cloudfront.net/image/725136000567/image_4jak77otul5fd0i3vta1p5sd7u/-FJPG/238548-012_DET_1.jpg;https://dd3ka9h4chfr8.cloudfront.net/image/725136000567/image_kq0taehrkd7j13rks9oemmf560/-FJPG/238548-012_DET_3.jpg;https://dd3ka9h4chfr8.cloudfront.net/image/725136000567/image_5j4a06hb3t2c54kq9g3a5tqj5m/-FJPG/238548-012_DET_4.jpg;https://dd3ka9h4chfr8.cloudfront.net/image/725136000567/image_3fhuf7ukct4id6dc80mt7f5m0g/-FJPG/238548-012_DET_5.jpg;https://dd3ka9h4chfr8.cloudfront.net/image/725136000567/image_20nqo5uo2p0dhf12qobkqoak3m/-FJPG/238548-012_DET_6.jpg</t>
  </si>
  <si>
    <t>238548-012</t>
  </si>
  <si>
    <t>https://dd3ka9h4chfr8.cloudfront.net/image/725136000567/image_e8f5nmr7k12bj2gcpqh7iehg45/-FJPG/238548-012_FRT_1.jpg</t>
  </si>
  <si>
    <t>Upholstered in a deep olive velvet paired with a solid brown wood base, this 36" square ottoman can be placed just about anywhere â€“ bringing with it a luxe vibe. Style with a tray as a design-forward coffee table.</t>
  </si>
  <si>
    <t>Sirius Adjustable Accent Table</t>
  </si>
  <si>
    <t>https://dd3ka9h4chfr8.cloudfront.net/image/725136000567/image_ja8e86t7qt1a5b9pi38urm311i/-FJPG/IASR-029A_FRT_1.jpg;https://dd3ka9h4chfr8.cloudfront.net/image/725136000567/image_tchd3rekll2bld1noibu3s2h49/-FJPG/IASR-029A_PRM_1.jpg;https://dd3ka9h4chfr8.cloudfront.net/image/725136000567/image_9r6oid05rd2hb117eb17v5gg55/-FJPG/IASR-029A_DET_2.jpg;https://dd3ka9h4chfr8.cloudfront.net/image/725136000567/image_02cnmvtk1d4lbdn27qerjfa46g/-FJPG/IASR-029A_DET_1.jpg;https://dd3ka9h4chfr8.cloudfront.net/image/725136000567/image_7ekmub6had1ef7i9g6685hcs5n/-FJPG/IASR-029A_DET_3.jpg;https://dd3ka9h4chfr8.cloudfront.net/image/725136000567/image_g5n7bpsmj902rbd0jvu96atp40/-FJPG/IASR-029A_DET_4.jpg</t>
  </si>
  <si>
    <t>IASR-029A</t>
  </si>
  <si>
    <t>22.7</t>
  </si>
  <si>
    <t>https://dd3ka9h4chfr8.cloudfront.net/image/725136000567/image_ja8e86t7qt1a5b9pi38urm311i/-FJPG/IASR-029A_FRT_1.jpg</t>
  </si>
  <si>
    <t>["Solid Marble","Stainless Steel","Brass"]</t>
  </si>
  <si>
    <t>10</t>
  </si>
  <si>
    <t>Antique Brass Hardware</t>
  </si>
  <si>
    <t>A heavy, acid-etched steel block anchors a telescoping base finished in antique brass and a gleaming white marble top. Adjust up or down to hold drinks beside a sofa, or as a pedestal for a treasured object. Unique marks and slight variations in the design may occur as part of the etching process. Height adjusts from 20" to 26" with ease.</t>
  </si>
  <si>
    <t>{"value":13.27,"unit":"in"}</t>
  </si>
  <si>
    <t>{"value":9.02,"unit":"in"}</t>
  </si>
  <si>
    <t>{"value":26.46,"unit":"lb"}</t>
  </si>
  <si>
    <t>Sirius</t>
  </si>
  <si>
    <t>Skye End Table</t>
  </si>
  <si>
    <t>https://dd3ka9h4chfr8.cloudfront.net/image/725136000567/image_lu9btb6avl3gl8n4c4m7opmo1l/-FJPG/235395-001_PRM_1.jpg;https://dd3ka9h4chfr8.cloudfront.net/image/725136000567/image_23pe0vjivl4mt4sv5ggc1eeh6s/-FJPG/235395-001_ESS_1.jpg;https://dd3ka9h4chfr8.cloudfront.net/image/725136000567/image_manlu5sssh77j4snehgllqk863/-FJPG/235395-001_DET_2.jpg;https://dd3ka9h4chfr8.cloudfront.net/image/725136000567/image_kd5p7imlil0th5122cp6o29b3m/-FJPG/235395-001_DET_1.jpg;https://dd3ka9h4chfr8.cloudfront.net/image/725136000567/image_f1f8m64lot5f133dksc2gfvs19/-FJPG/235395-001_DET_3.jpg;https://dd3ka9h4chfr8.cloudfront.net/image/725136000567/image_4jfsvcvkrh1m1b79ndqciq8516/-FJPG/235395-001_TOP_1.jpg;https://dd3ka9h4chfr8.cloudfront.net/image/725136000567/image_3quhl76711203bhctroakhqr56/-FJPG/235395-001_DET_4.jpg;https://dd3ka9h4chfr8.cloudfront.net/image/725136000567/image_ebg9r6gpvt7l1de0pirg5h2p5e/-FJPG/235395-001_DET_5.jpg</t>
  </si>
  <si>
    <t>235395-001</t>
  </si>
  <si>
    <t>https://dd3ka9h4chfr8.cloudfront.net/image/725136000567/image_lu9btb6avl3gl8n4c4m7opmo1l/-FJPG/235395-001_PRM_1.jpg</t>
  </si>
  <si>
    <t>["Solid Marble","Solid Reclaimed Elm","Solid Oak"]</t>
  </si>
  <si>
    <t>Weathered Dark Elm</t>
  </si>
  <si>
    <t>Skye</t>
  </si>
  <si>
    <t>Skye Large Coffee Table</t>
  </si>
  <si>
    <t>https://dd3ka9h4chfr8.cloudfront.net/image/725136000567/image_olvo561qt95ulfiiad27ma8l32/-FJPG/232104-001_FRT_1.jpg;https://dd3ka9h4chfr8.cloudfront.net/image/725136000567/image_hdcelsej911cff17t8s2rng34t/-FJPG/232104-001_PRM_1.jpg;https://dd3ka9h4chfr8.cloudfront.net/image/725136000567/image_cbjafc3d4h3b32hs5q4m3sap0a/-FJPG/232104-001_SID_1.jpg;https://dd3ka9h4chfr8.cloudfront.net/image/725136000567/image_q742b1mjf511df4t6cm6qko930/-FJPG/232104-001_ESS_1.jpg;https://dd3ka9h4chfr8.cloudfront.net/image/725136000567/image_plae825csp1t1b0k6j0nasmb7t/-FJPG/232104-001_DET_2.jpg;https://dd3ka9h4chfr8.cloudfront.net/image/725136000567/image_dj6usgi0ut5lves8hmgo6g1s4k/-FJPG/232104-001_BCK_1.jpg;https://dd3ka9h4chfr8.cloudfront.net/image/725136000567/image_pucd2hr71t2e543n0fiinlhf33/-FJPG/232104-001_DET_1.jpg;https://dd3ka9h4chfr8.cloudfront.net/image/725136000567/image_gigtul3gnt16b1ucvopb59bl7v/-FJPG/232104-001_DET_3.jpg;https://dd3ka9h4chfr8.cloudfront.net/image/725136000567/image_3hdatlb46d2vv9lg1ov9muct3h/-FJPG/232104-001_DET_4.jpg;https://dd3ka9h4chfr8.cloudfront.net/image/725136000567/image_fnrelhv5cl1orc0bli5dl30264/-FJPG/232104-001_DET_5.jpg;https://dd3ka9h4chfr8.cloudfront.net/image/725136000567/image_tfk2oo7qop0ddeurj404vcqe6f/-FJPG/232104-001_DET_6.jpg</t>
  </si>
  <si>
    <t>232104-001</t>
  </si>
  <si>
    <t>https://dd3ka9h4chfr8.cloudfront.net/image/725136000567/image_olvo561qt95ulfiiad27ma8l32/-FJPG/232104-001_FRT_1.jpg</t>
  </si>
  <si>
    <t>Mixed materials make for great drama. A cone-tapered base of dark weathered oak supports a rounded tabletop of white-finished solid marble, with oak banding on the edges for contrast.</t>
  </si>
  <si>
    <t>12.54"</t>
  </si>
  <si>
    <t>Skye Round Dining Table</t>
  </si>
  <si>
    <t>https://dd3ka9h4chfr8.cloudfront.net/image/725136000567/image_0529sur73d1jr7su8apvfljq77/-FJPG/228008-001_PRM_1.jpg;https://dd3ka9h4chfr8.cloudfront.net/image/725136000567/image_s2jcdjpi7p4h5a5di4u42dnm36/-FJPG/228008-001_ESS_1.jpg;https://dd3ka9h4chfr8.cloudfront.net/image/725136000567/image_fv2bibuq1d4vv34rvij67a4f21/-FJPG/228008-001_DET_2.jpg;https://dd3ka9h4chfr8.cloudfront.net/image/725136000567/image_bsdip3nagd6l3duqatmfr9gj2p/-FJPG/228008-001_DET_1.jpg;https://dd3ka9h4chfr8.cloudfront.net/image/725136000567/image_am7dkt75615k1cjagj9cr57t5r/-FJPG/228008-001_DET_3.jpg;https://dd3ka9h4chfr8.cloudfront.net/image/725136000567/image_p9g20qp6kd4r14eutta3dtal63/-FJPG/228008-001_DET_4.jpg;https://dd3ka9h4chfr8.cloudfront.net/image/725136000567/image_ttplb61rct49l6a3i9so74bi4h/-FJPG/228008-001_PRM_2.jpg</t>
  </si>
  <si>
    <t>228008-001</t>
  </si>
  <si>
    <t>https://dd3ka9h4chfr8.cloudfront.net/image/725136000567/image_0529sur73d1jr7su8apvfljq77/-FJPG/228008-001_PRM_1.jpg</t>
  </si>
  <si>
    <t>Mixed materials make for great drama. A cone-tapered base of dark, weathered oak supports a rounded tabletop of white-finished solid marble, with oak banding on the edges for thoughtful contrast.</t>
  </si>
  <si>
    <t>{"value":60.43,"unit":"in"}</t>
  </si>
  <si>
    <t>26.85"</t>
  </si>
  <si>
    <t>15.69"</t>
  </si>
  <si>
    <t>https://dd3ka9h4chfr8.cloudfront.net/image/725136000567/image_u1qbhtcsil1k1acppuoeti784e/-FJPG/246440-001_FRT_1.jpg;https://dd3ka9h4chfr8.cloudfront.net/image/725136000567/image_bjbbicjh810p95mels4hr3d37g/-FJPG/246440-001_PRM_1.jpg;https://dd3ka9h4chfr8.cloudfront.net/image/725136000567/image_a55949r95d4ebak5aqtoqhkt5v/-FJPG/246440-001_SID_1.jpg;https://dd3ka9h4chfr8.cloudfront.net/image/725136000567/image_skv1gs3v4d2gb1bngd42do6u22/-FJPG/246440-001_ESS.tif;https://dd3ka9h4chfr8.cloudfront.net/image/725136000567/image_s0hpjormeh6514hk5jvi9utv2l/-FJPG/246440-001_DET_2.jpg;https://dd3ka9h4chfr8.cloudfront.net/image/725136000567/image_mdlc21b0bd7lt1ulq3gi9ijm13/-FJPG/246440-001_DET_1.jpg;https://dd3ka9h4chfr8.cloudfront.net/image/725136000567/image_594bvgd1jt3jl03lobt8v22j4g/-FJPG/246440-001_DET_3.jpg;https://dd3ka9h4chfr8.cloudfront.net/image/725136000567/image_eq0i56nk9p04v6jmaum0d0133n/-FJPG/246440-001_DET_4.jpg;https://dd3ka9h4chfr8.cloudfront.net/image/725136000567/image_0gb9iurv9912teltf5nar8jd4b/-FJPG/246440-001_DET_5.jpg;https://dd3ka9h4chfr8.cloudfront.net/image/725136000567/image_htob8roimp5ltad83one68ku6b/-FJPG/246440-001_DET_6.jpg</t>
  </si>
  <si>
    <t>246440-001</t>
  </si>
  <si>
    <t>https://dd3ka9h4chfr8.cloudfront.net/image/725136000567/image_u1qbhtcsil1k1acppuoeti784e/-FJPG/246440-001_FRT_1.jpg</t>
  </si>
  <si>
    <t>27.05"</t>
  </si>
  <si>
    <t>Sloane Bed</t>
  </si>
  <si>
    <t>https://dd3ka9h4chfr8.cloudfront.net/image/725136000567/image_djnu68kv6p1mb7r4k4d4e14c31/-FJPG/246168-005_FRT_1.jpg;https://dd3ka9h4chfr8.cloudfront.net/image/725136000567/image_b4frrvuuah4pl2anvl807l346i/-FJPG/246168-005_PRM_1.jpg;https://dd3ka9h4chfr8.cloudfront.net/image/725136000567/image_o9fv6dutrh69fce00qcqdspt7v/-FJPG/246168-005_SID_1.jpg;https://dd3ka9h4chfr8.cloudfront.net/image/725136000567/image_hdr671hqg96qvdldqhjfcgof0f/-FJPG/246168-005_DET_2.jpg;https://dd3ka9h4chfr8.cloudfront.net/image/725136000567/image_j2pgmjulp16pb01ghvcjp9q962/-FJPG/246168-005_BCK_1.jpg;https://dd3ka9h4chfr8.cloudfront.net/image/725136000567/image_r9v2ot2ivt2dl9vvov2rfvfp6m/-FJPG/246168-005_DET_1.jpg;https://dd3ka9h4chfr8.cloudfront.net/image/725136000567/image_g0fecuh9al12149bn20llop91b/-FJPG/246168-005_DET_3.jpg;https://dd3ka9h4chfr8.cloudfront.net/image/725136000567/image_r5rcumn5g1611b1fr2sqhv0t08/-FJPG/246168-005_DET_4.jpg;https://dd3ka9h4chfr8.cloudfront.net/image/725136000567/image_ncadc716vh7k1bavi872t5fh1i/-FJPG/246168-005_DET_5.jpg;https://dd3ka9h4chfr8.cloudfront.net/image/725136000567/image_q5ftr74iml1hpdo9ahvvei6h4s/-FJPG/246168-005_DET_6.jpg</t>
  </si>
  <si>
    <t>Crypton Wayfarer Snow</t>
  </si>
  <si>
    <t>246168-005</t>
  </si>
  <si>
    <t>311.95</t>
  </si>
  <si>
    <t>https://dd3ka9h4chfr8.cloudfront.net/image/725136000567/image_djnu68kv6p1mb7r4k4d4e14c31/-FJPG/246168-005_FRT_1.jpg</t>
  </si>
  <si>
    <t>["100% Polyester","Ash Veneer"]</t>
  </si>
  <si>
    <t>96.75</t>
  </si>
  <si>
    <t>{"value":96.75,"unit":"in"}</t>
  </si>
  <si>
    <t>Amber Ash Veneer</t>
  </si>
  <si>
    <t>Upholstered in a neutral, boucle-like fabric, bringing a textured feel and luxe look to the bedroom. Steam on occasion to smooth tracking.</t>
  </si>
  <si>
    <t>Sloane</t>
  </si>
  <si>
    <t>8.19"</t>
  </si>
  <si>
    <t>https://dd3ka9h4chfr8.cloudfront.net/image/725136000567/image_r2ehs7enjt4f11g64l5lbf9v7v/-FJPG/246168-006_FRT_1.jpg;https://dd3ka9h4chfr8.cloudfront.net/image/725136000567/image_0cr5tngis13359eeae4fqvct43/-FJPG/246168-006_PRM_1.jpg;https://dd3ka9h4chfr8.cloudfront.net/image/725136000567/image_nj1f5i8qp11tt5cn0u3k0cee6u/-FJPG/246168-006_SID_1.jpg;https://dd3ka9h4chfr8.cloudfront.net/image/725136000567/image_aq5o1h1qq56nl5f04sjg138v0f/-FJPG/246168-006_DET_2.jpg;https://dd3ka9h4chfr8.cloudfront.net/image/725136000567/image_6oauts4sl9255btqp66mpf007h/-FJPG/246168-006_BCK_1.jpg;https://dd3ka9h4chfr8.cloudfront.net/image/725136000567/image_sr2sm8jj6h18fak9dg3mc1ob6q/-FJPG/246168-006_DET_1.jpg;https://dd3ka9h4chfr8.cloudfront.net/image/725136000567/image_tbdbskst6102daln3jia8g1f37/-FJPG/246168-006_DET_3.jpg;https://dd3ka9h4chfr8.cloudfront.net/image/725136000567/image_qslbbl42qh0g1b8s6gg0g7m57g/-FJPG/246168-006_DET_4.jpg;https://dd3ka9h4chfr8.cloudfront.net/image/725136000567/image_o00g46i76h21daqcskarel1k2t/-FJPG/246168-006_DET_5.jpg;https://dd3ka9h4chfr8.cloudfront.net/image/725136000567/image_funpdrbie573bchr59j8pvh34u/-FJPG/246168-006_DET_6.jpg</t>
  </si>
  <si>
    <t>246168-006</t>
  </si>
  <si>
    <t>364.86</t>
  </si>
  <si>
    <t>https://dd3ka9h4chfr8.cloudfront.net/image/725136000567/image_r2ehs7enjt4f11g64l5lbf9v7v/-FJPG/246168-006_FRT_1.jpg</t>
  </si>
  <si>
    <t>{"value":179.68,"unit":"lb"}</t>
  </si>
  <si>
    <t>80.94"</t>
  </si>
  <si>
    <t>https://dd3ka9h4chfr8.cloudfront.net/image/725136000567/image_e1lkfo71vp5afeqocirlmbgc5u/-FJPG/246168-003_FRT_1.jpg;https://dd3ka9h4chfr8.cloudfront.net/image/725136000567/image_lhc6hp98lh7fj2topl7em4re09/-FJPG/246168-003_PRM_1.jpg;https://dd3ka9h4chfr8.cloudfront.net/image/725136000567/image_743qgmmn6552h2ihc9o8uj755f/-FJPG/246168-003_SID_1.jpg;https://dd3ka9h4chfr8.cloudfront.net/image/725136000567/image_k9foe60d0l3p73e5l4b0or1j1q/-FJPG/246168-003_ESS.tif;https://dd3ka9h4chfr8.cloudfront.net/image/725136000567/image_28e48jcfvd72r5t9icmaus0478/-FJPG/246168-003_DET_2.jpg;https://dd3ka9h4chfr8.cloudfront.net/image/725136000567/image_rbcjqrg7992o1bqesndhgfrk5q/-FJPG/246168-003_BCK_1.jpg;https://dd3ka9h4chfr8.cloudfront.net/image/725136000567/image_eep6bovf8t2kh5pd6ok6enlo27/-FJPG/246168-003_DET_1.jpg;https://dd3ka9h4chfr8.cloudfront.net/image/725136000567/image_voahld4eb170va0sfe1e8t203a/-FJPG/246168-003_DET_3.jpg;https://dd3ka9h4chfr8.cloudfront.net/image/725136000567/image_umt5ck89eh4dn2qm9hoodbq20d/-FJPG/246168-003_DET_4.jpg;https://dd3ka9h4chfr8.cloudfront.net/image/725136000567/image_qb3dv1btbh12b4suogu4ogvk3b/-FJPG/246168-003_DET_5.jpg;https://dd3ka9h4chfr8.cloudfront.net/image/725136000567/image_kgo18tq9bt1bjc0tokusr2ip59/-FJPG/246168-003_DET_6.jpg;https://dd3ka9h4chfr8.cloudfront.net/image/725136000567/image_7jqlpq4ic91gteg3v0umlasa4h/-FJPG/246168-003_DET_9.tif;https://dd3ka9h4chfr8.cloudfront.net/image/725136000567/image_cdcgj1aui95s9bvrqsnnkfqi59/-FJPG/FHMPRJ-018_SCENE-7.tif</t>
  </si>
  <si>
    <t>246168-003</t>
  </si>
  <si>
    <t>https://dd3ka9h4chfr8.cloudfront.net/image/725136000567/image_e1lkfo71vp5afeqocirlmbgc5u/-FJPG/246168-003_FRT_1.jpg</t>
  </si>
  <si>
    <t>["76.8% Cotton","23.2% Polyester","Ash Veneer"]</t>
  </si>
  <si>
    <t>Upholstered in a rich, chocolate-brown velvet, bringing a textured feel and luxe look to the bedroom. Steam on occasion to smooth tracking.</t>
  </si>
  <si>
    <t>https://dd3ka9h4chfr8.cloudfront.net/image/725136000567/image_e1lkfo71vp5afeqocirlmbgc5u/-FJPG/246168-003_FRT_1.jpg;https://dd3ka9h4chfr8.cloudfront.net/image/725136000567/image_lhc6hp98lh7fj2topl7em4re09/-FJPG/246168-003_PRM_1.jpg;https://dd3ka9h4chfr8.cloudfront.net/image/725136000567/image_743qgmmn6552h2ihc9o8uj755f/-FJPG/246168-003_SID_1.jpg;https://dd3ka9h4chfr8.cloudfront.net/image/725136000567/image_k9foe60d0l3p73e5l4b0or1j1q/-FJPG/246168-003_ESS.tif;https://dd3ka9h4chfr8.cloudfront.net/image/725136000567/image_28e48jcfvd72r5t9icmaus0478/-FJPG/246168-003_DET_2.jpg;https://dd3ka9h4chfr8.cloudfront.net/image/725136000567/image_rbcjqrg7992o1bqesndhgfrk5q/-FJPG/246168-003_BCK_1.jpg;https://dd3ka9h4chfr8.cloudfront.net/image/725136000567/image_eep6bovf8t2kh5pd6ok6enlo27/-FJPG/246168-003_DET_1.jpg;https://dd3ka9h4chfr8.cloudfront.net/image/725136000567/image_voahld4eb170va0sfe1e8t203a/-FJPG/246168-003_DET_3.jpg;https://dd3ka9h4chfr8.cloudfront.net/image/725136000567/image_umt5ck89eh4dn2qm9hoodbq20d/-FJPG/246168-003_DET_4.jpg;https://dd3ka9h4chfr8.cloudfront.net/image/725136000567/image_qb3dv1btbh12b4suogu4ogvk3b/-FJPG/246168-003_DET_5.jpg;https://dd3ka9h4chfr8.cloudfront.net/image/725136000567/image_kgo18tq9bt1bjc0tokusr2ip59/-FJPG/246168-003_DET_6.jpg;https://dd3ka9h4chfr8.cloudfront.net/image/725136000567/image_7jqlpq4ic91gteg3v0umlasa4h/-FJPG/246168-003_DET_9.tif</t>
  </si>
  <si>
    <t>246168-004</t>
  </si>
  <si>
    <t>Headboad</t>
  </si>
  <si>
    <t>Soho Dining Table</t>
  </si>
  <si>
    <t>https://dd3ka9h4chfr8.cloudfront.net/image/725136000567/image_q67vd5mqeh7ej0rhqalidg1p71/-FJPG/237944-001_FRT_1.jpg;https://dd3ka9h4chfr8.cloudfront.net/image/725136000567/image_55ieoe4h6t5lf7t2k4rnt6c04f/-FJPG/237944-001_PRM_1.jpg;https://dd3ka9h4chfr8.cloudfront.net/image/725136000567/image_04vp2q6f3d2lf4lkggs41rsa6v/-FJPG/237944-001_SID_1.jpg;https://dd3ka9h4chfr8.cloudfront.net/image/725136000567/image_gva92qntct0ctbk57a7e5b250k/-FJPG/237944-001_ESS.tif;https://dd3ka9h4chfr8.cloudfront.net/image/725136000567/image_hcqlnqoait159bp5fq8c7sh336/-FJPG/237944-001_DET_2.jpg;https://dd3ka9h4chfr8.cloudfront.net/image/725136000567/image_kvhr17ccft2r9212omq6ubne6r/-FJPG/237944-001_DET_1.jpg;https://dd3ka9h4chfr8.cloudfront.net/image/725136000567/image_go39b5nvad563fs0ba78r0jc7v/-FJPG/237944-001_TOP_1.jpg;https://dd3ka9h4chfr8.cloudfront.net/image/725136000567/image_7t1a3kjf0l5i9avq97v58rqg05/-FJPG/237944-001_DET_4.jpg;https://dd3ka9h4chfr8.cloudfront.net/image/725136000567/image_8ingive60h6hf6pc3j79u9h77u/-FJPG/237944-001_DET_5.jpg;https://dd3ka9h4chfr8.cloudfront.net/image/725136000567/image_nva4mt6cbh0t1fvnc12s2u9518/-FJPG/FHMPRJ016_SCENE-1-CROP-1.tif</t>
  </si>
  <si>
    <t>237944-001</t>
  </si>
  <si>
    <t>189.82</t>
  </si>
  <si>
    <t>https://dd3ka9h4chfr8.cloudfront.net/image/725136000567/image_q67vd5mqeh7ej0rhqalidg1p71/-FJPG/237944-001_FRT_1.jpg</t>
  </si>
  <si>
    <t>46.25</t>
  </si>
  <si>
    <t>{"value":46.25,"unit":"in"}</t>
  </si>
  <si>
    <t>A Parsons-style dining table is defined by heavy proportions and angled, over-scaled legs. Crafted from reclaimed wood and finished with an aged natural oak stain to showcase natural cracks and patches for added character.</t>
  </si>
  <si>
    <t>{"value":99,"unit":"in"}</t>
  </si>
  <si>
    <t>{"value":234.13,"unit":"lb"}</t>
  </si>
  <si>
    <t>Soho</t>
  </si>
  <si>
    <t>3.13"</t>
  </si>
  <si>
    <t>Sorrento End Table</t>
  </si>
  <si>
    <t>https://dd3ka9h4chfr8.cloudfront.net/image/725136000567/image_6q7amrhf1101b8kuerfkvlbv40/-FJPG/228897-003_FRT_1.jpg;https://dd3ka9h4chfr8.cloudfront.net/image/725136000567/image_l9huthqgi51mpcau3sa1mnds6u/-FJPG/228897-003_PRM_1.jpg;https://dd3ka9h4chfr8.cloudfront.net/image/725136000567/image_64ndeokoud33599vg3re3vc47v/-FJPG/228897-003_SID_1.jpg;https://dd3ka9h4chfr8.cloudfront.net/image/725136000567/image_fi28r6hrj11up1p6ab5rpv8334/-FJPG/228897-003_ESS.tif;https://dd3ka9h4chfr8.cloudfront.net/image/725136000567/image_lhm2lj0okt7ancflveh6gje32b/-FJPG/228897-003_DET_2.jpg;https://dd3ka9h4chfr8.cloudfront.net/image/725136000567/image_7t2agq79ll75j9h98fkk5hrv3d/-FJPG/228897-003_DET_1.jpg;https://dd3ka9h4chfr8.cloudfront.net/image/725136000567/image_pl5osrul0l3adbpkp8milu1h22/-FJPG/228897-003_DET_3.jpg;https://dd3ka9h4chfr8.cloudfront.net/image/725136000567/image_n9im8iofr97i77v06jlim1mn1l/-FJPG/228897-003_DET_4.jpg;https://dd3ka9h4chfr8.cloudfront.net/image/725136000567/image_heoe1mi1i928j0gnqrndbmtu5v/-FJPG/228897-003_DET_5.jpg</t>
  </si>
  <si>
    <t>Aged Drift Mindi</t>
  </si>
  <si>
    <t>228897-003</t>
  </si>
  <si>
    <t>https://dd3ka9h4chfr8.cloudfront.net/image/725136000567/image_6q7amrhf1101b8kuerfkvlbv40/-FJPG/228897-003_FRT_1.jpg</t>
  </si>
  <si>
    <t>Simple while stately. Made entirely from solid oak, a rounded-rectangular end table features beautifully arched legs and mitered edging, for a light, organic look with substance.</t>
  </si>
  <si>
    <t>Sorrento</t>
  </si>
  <si>
    <t>Sorrento Sideboard</t>
  </si>
  <si>
    <t>https://dd3ka9h4chfr8.cloudfront.net/image/725136000567/image_is5vfkeret3f1fctvnfuqmmq1c/-FJPG/226281-002_FRT_1.jpg;https://dd3ka9h4chfr8.cloudfront.net/image/725136000567/image_qnuiiu1pj11cv963gtcr6eva1e/-FJPG/226281-002_PRM_1.jpg;https://dd3ka9h4chfr8.cloudfront.net/image/725136000567/image_oskie6g31564p9fi37a6moju6l/-FJPG/226281-002_SID_1.jpg;https://dd3ka9h4chfr8.cloudfront.net/image/725136000567/image_ev7ibtfc1134r6rlt7378js678/-FJPG/226281-002_DET_2.jpg;https://dd3ka9h4chfr8.cloudfront.net/image/725136000567/image_0us3ou30pp75lb35so3mqkj05k/-FJPG/226281-002_BCK_1.jpg;https://dd3ka9h4chfr8.cloudfront.net/image/725136000567/image_7hssnl57bd0u34b41qaangud40/-FJPG/226281-002_DET_1.jpg;https://dd3ka9h4chfr8.cloudfront.net/image/725136000567/image_4dpmu6v3416275bl207kfju37i/-FJPG/226281-002_DET_3.jpg;https://dd3ka9h4chfr8.cloudfront.net/image/725136000567/image_ru0jrc5jb506dc50ag0l1rne79/-FJPG/226281-002_OPN_1.jpg;https://dd3ka9h4chfr8.cloudfront.net/image/725136000567/image_53uf60vi4t4j599hc49he2c91q/-FJPG/226281-002_DET_4.jpg;https://dd3ka9h4chfr8.cloudfront.net/image/725136000567/image_52hi9jnevl48952b3l2qq9h224/-FJPG/226281-002_DET_5.jpg;https://dd3ka9h4chfr8.cloudfront.net/image/725136000567/image_ae77vobu4d01n1inanhosgnb4d/-FJPG/226281-002_DET_6.jpg;https://dd3ka9h4chfr8.cloudfront.net/image/725136000567/image_08ckf376ad3j368m28p4e55k2f/-FJPG/226281-002_DET_7.jpg;https://dd3ka9h4chfr8.cloudfront.net/image/725136000567/image_k5g6juucmd5fp461054nibh74s/-FJPG/226281-002_DET_8.jpg;https://dd3ka9h4chfr8.cloudfront.net/image/725136000567/image_eok1dtr0kh6tpc8uofsrjktv5v/-FJPG/226281-002_ESS_2.jpg</t>
  </si>
  <si>
    <t>226281-002</t>
  </si>
  <si>
    <t>https://dd3ka9h4chfr8.cloudfront.net/image/725136000567/image_is5vfkeret3f1fctvnfuqmmq1c/-FJPG/226281-002_FRT_1.jpg</t>
  </si>
  <si>
    <t>Clean edging and soft curves spur a remarkable contrast. A sideboard of aged mindi pairs simple spirit with bold shape.</t>
  </si>
  <si>
    <t>{"value":169.76,"unit":"lb"}</t>
  </si>
  <si>
    <t>35.94"</t>
  </si>
  <si>
    <t>Soto 8 Drawer Dresser</t>
  </si>
  <si>
    <t>https://dd3ka9h4chfr8.cloudfront.net/image/725136000567/image_mv0ku462r50nt8dbnlspldei3c/-FJPG/228012-001_FRT_1.jpg;https://dd3ka9h4chfr8.cloudfront.net/image/725136000567/image_i360kdnbql3979egoaf055i225/-FJPG/228012-001_PRM_1.jpg;https://dd3ka9h4chfr8.cloudfront.net/image/725136000567/image_sdtai7fimd5qfa4po6bmm3vh4l/-FJPG/228012-001_SID_1.jpg;https://dd3ka9h4chfr8.cloudfront.net/image/725136000567/image_k2ifs5rbol32nd5rvlidlioi1u/-FJPG/228012-001_ESS_1.jpg;https://dd3ka9h4chfr8.cloudfront.net/image/725136000567/image_dpmim99aap3efbpc57uqqkta12/-FJPG/228012-001_DET_2.jpg;https://dd3ka9h4chfr8.cloudfront.net/image/725136000567/image_rvrano3tbl08h7u6pl8tbm054v/-FJPG/228012-001_BCK_1.jpg;https://dd3ka9h4chfr8.cloudfront.net/image/725136000567/image_rif8krsko57vb7uu8etpmurs0u/-FJPG/228012-001_DET_1.jpg;https://dd3ka9h4chfr8.cloudfront.net/image/725136000567/image_k5l7114dk94sh4ci2apn0cm61q/-FJPG/228012-001_DET_3.jpg;https://dd3ka9h4chfr8.cloudfront.net/image/725136000567/image_h3rftcphqd6uf589s2jpp3fb5u/-FJPG/228012-001_OPN_1.jpg;https://dd3ka9h4chfr8.cloudfront.net/image/725136000567/image_qdrt0e3bth2khffgi86rhq5a0f/-FJPG/228012-001_DET_4.jpg;https://dd3ka9h4chfr8.cloudfront.net/image/725136000567/image_olgdcv90th19539ouvsksogs07/-FJPG/228012-001_DET_5.jpg;https://dd3ka9h4chfr8.cloudfront.net/image/725136000567/image_2u1nf011bp2972bb06jkb8hd35/-FJPG/228012-001_DET_7.jpg;https://dd3ka9h4chfr8.cloudfront.net/image/725136000567/image_lkh6b8t0qh11t82mq7i66lrr1b/-FJPG/228012-001_DET_8.jpg;https://dd3ka9h4chfr8.cloudfront.net/image/725136000567/image_72jnfuo1ot48p9fc35c96omb4o/-FJPG/228012-001_VIG_2.jpg</t>
  </si>
  <si>
    <t>228012-001</t>
  </si>
  <si>
    <t>https://dd3ka9h4chfr8.cloudfront.net/image/725136000567/image_mv0ku462r50nt8dbnlspldei3c/-FJPG/228012-001_FRT_1.jpg</t>
  </si>
  <si>
    <t>Bring a clean, beautifully industrial look to the bedroom with a spacious six-drawer dresser made from black-finished iron, featuring bronzed iron hardware. This item has been modified to comply with the STURDY Act. See a full list of modified products and data changes in the â€œSTURDY Actâ€_x009d_ file in the Downloads section below.</t>
  </si>
  <si>
    <t>{"value":23.37,"unit":"in"}</t>
  </si>
  <si>
    <t>{"value":386.91,"unit":"lb"}</t>
  </si>
  <si>
    <t>Soto</t>
  </si>
  <si>
    <t>15.61"</t>
  </si>
  <si>
    <t>7.52"</t>
  </si>
  <si>
    <t>Soto Console Table</t>
  </si>
  <si>
    <t>https://dd3ka9h4chfr8.cloudfront.net/image/725136000567/image_scmqr11nch7qpddmi98mb64k1l/-FJPG/228775-001_FRT_1.jpg;https://dd3ka9h4chfr8.cloudfront.net/image/725136000567/image_7tvqbakee54717ab4f1dupac3q/-FJPG/228775-001_PRM_1.jpg;https://dd3ka9h4chfr8.cloudfront.net/image/725136000567/image_tspv3o09bt09neeh4ull1vk11e/-FJPG/228775-001_SID_1.jpg;https://dd3ka9h4chfr8.cloudfront.net/image/725136000567/image_ut1jllu9h56n57g65n9la81i0o/-FJPG/228775-001_ESS_1.jpg;https://dd3ka9h4chfr8.cloudfront.net/image/725136000567/image_l8blisu72p67tdomt7d7uutm10/-FJPG/228775-001_DET_2.jpg;https://dd3ka9h4chfr8.cloudfront.net/image/725136000567/image_9kachguhup62raf89f1veei91f/-FJPG/228775-001_BCK_1.jpg;https://dd3ka9h4chfr8.cloudfront.net/image/725136000567/image_acqaajoaup7kd8hrtu8g1f5g14/-FJPG/228775-001_DET_1.jpg;https://dd3ka9h4chfr8.cloudfront.net/image/725136000567/image_lmauriqes50s7espujidum5b2b/-FJPG/228775-001_DET_3.jpg;https://dd3ka9h4chfr8.cloudfront.net/image/725136000567/image_e7bnh5nl2p66r1g57gee4j0e2v/-FJPG/228775-001_OPN_1.jpg;https://dd3ka9h4chfr8.cloudfront.net/image/725136000567/image_0cn6dgn6pt145368i9f8lms46n/-FJPG/228775-001_DET_4.jpg;https://dd3ka9h4chfr8.cloudfront.net/image/725136000567/image_r7qnlu60j10spd68q5krftcq0t/-FJPG/228775-001_DET_5.jpg;https://dd3ka9h4chfr8.cloudfront.net/image/725136000567/image_ngkv9d54j920b4vacgh751pt0r/-FJPG/228775-001_DET_6.jpg;https://dd3ka9h4chfr8.cloudfront.net/image/725136000567/image_95btv02n0d5tnfjirfuddn7a1j/-FJPG/228775-001_DET_7.jpg</t>
  </si>
  <si>
    <t>228775-001</t>
  </si>
  <si>
    <t>https://dd3ka9h4chfr8.cloudfront.net/image/725136000567/image_scmqr11nch7qpddmi98mb64k1l/-FJPG/228775-001_FRT_1.jpg</t>
  </si>
  <si>
    <t>Bring a softened industrial look to the media room, dining space or entryway with a simple black-finished iron console table featuring bronzed iron hardware for modernity. Dual drawers and lower shelving add bonus storage space.</t>
  </si>
  <si>
    <t>{"value":160.94,"unit":"lb"}</t>
  </si>
  <si>
    <t>55.04"</t>
  </si>
  <si>
    <t>57.01"</t>
  </si>
  <si>
    <t>13.64"</t>
  </si>
  <si>
    <t>Soto Media Console</t>
  </si>
  <si>
    <t>https://dd3ka9h4chfr8.cloudfront.net/image/725136000567/image_3unkd98obl0kd5rhg5fhkb9u74/-FJPG/228776-001_FRT_1.jpg;https://dd3ka9h4chfr8.cloudfront.net/image/725136000567/image_2khj7icm6t10j5l5lv3n7emt54/-FJPG/228776-001_PRM_1.jpg;https://dd3ka9h4chfr8.cloudfront.net/image/725136000567/image_uaepvssb3d0sj92t9rkm73lf0t/-FJPG/228776-001_SID_1.jpg;https://dd3ka9h4chfr8.cloudfront.net/image/725136000567/image_l5qaduhq6l0arf4up715dddv2p/-FJPG/228776-001_ESS_1.jpg;https://dd3ka9h4chfr8.cloudfront.net/image/725136000567/image_sfmrltgedt6r14qisu1j5gh65l/-FJPG/228776-001_DET_2.jpg;https://dd3ka9h4chfr8.cloudfront.net/image/725136000567/image_a35tkj61jh3btb4b0lskfp435b/-FJPG/228776-001_BCK_1.jpg;https://dd3ka9h4chfr8.cloudfront.net/image/725136000567/image_iemai52gjd0e7bs9rht8nh5932/-FJPG/228776-001_DET_1.jpg;https://dd3ka9h4chfr8.cloudfront.net/image/725136000567/image_trnnai2csl5prd042stpa6m553/-FJPG/228776-001_DET_3.jpg;https://dd3ka9h4chfr8.cloudfront.net/image/725136000567/image_5352ounb1t45v07j5egl68ce25/-FJPG/228776-001_OPN_1.jpg;https://dd3ka9h4chfr8.cloudfront.net/image/725136000567/image_uom6l0eqgl5pl5emmnrsossd19/-FJPG/228776-001_DET_4.jpg;https://dd3ka9h4chfr8.cloudfront.net/image/725136000567/image_kro7srapc17lj5nue338cfgi5v/-FJPG/228776-001_DET_5.jpg;https://dd3ka9h4chfr8.cloudfront.net/image/725136000567/image_dsat18mrsh0if7b1cn65b08n39/-FJPG/228776-001_DET_7.jpg</t>
  </si>
  <si>
    <t>228776-001</t>
  </si>
  <si>
    <t>195.55</t>
  </si>
  <si>
    <t>https://dd3ka9h4chfr8.cloudfront.net/image/725136000567/image_3unkd98obl0kd5rhg5fhkb9u74/-FJPG/228776-001_FRT_1.jpg</t>
  </si>
  <si>
    <t>Bring a softened industrial look to the media room with a simple black-finished iron console table featuring bronzed iron hardware for modernity. Four roomy drawers plus open center shelving offer ample storage area for media needs, with a rear cutout for cord management.</t>
  </si>
  <si>
    <t>{"value":261.69,"unit":"lb"}</t>
  </si>
  <si>
    <t>9.47"</t>
  </si>
  <si>
    <t>19.80"</t>
  </si>
  <si>
    <t>Soto Sideboard</t>
  </si>
  <si>
    <t>https://dd3ka9h4chfr8.cloudfront.net/image/725136000567/image_db89d1kqk177f9o61uoj3on419/-FJPG/228731-001_FRT_1.jpg;https://dd3ka9h4chfr8.cloudfront.net/image/725136000567/image_ipnnu6o2rl7jhbg14mkjqihg3g/-FJPG/228731-001_PRM_1.jpg;https://dd3ka9h4chfr8.cloudfront.net/image/725136000567/image_kb3gcal5k907t5pepmkgbj6k54/-FJPG/228731-001_SID_1.jpg;https://dd3ka9h4chfr8.cloudfront.net/image/725136000567/image_0gmoman4356s3dme6hq0b1pt57/-FJPG/228731-001_ESS_1.jpg;https://dd3ka9h4chfr8.cloudfront.net/image/725136000567/image_o7gmlt5kfd559ep7va6tfmoe4a/-FJPG/228731-001_DET_2.jpg;https://dd3ka9h4chfr8.cloudfront.net/image/725136000567/image_tuiujk85bl5inc36hn61gv9a1j/-FJPG/228731-001_BCK_1.jpg;https://dd3ka9h4chfr8.cloudfront.net/image/725136000567/image_3v7acata7d72d8rflic8uscm0s/-FJPG/228731-001_DET_1.jpg;https://dd3ka9h4chfr8.cloudfront.net/image/725136000567/image_ptisp5i5bt051596lepqksr901/-FJPG/228731-001_DET_3.jpg;https://dd3ka9h4chfr8.cloudfront.net/image/725136000567/image_m1hko3ddft7e33n5ek6ai5nm4a/-FJPG/228731-001_OPN_1.jpg;https://dd3ka9h4chfr8.cloudfront.net/image/725136000567/image_uiq7mein056p70qogm7vpq3d55/-FJPG/228731-001_DET_4.jpg;https://dd3ka9h4chfr8.cloudfront.net/image/725136000567/image_kbcte9tqul3j14oona34nlt31m/-FJPG/228731-001_DET_5.jpg;https://dd3ka9h4chfr8.cloudfront.net/image/725136000567/image_q2h6dl75g111j02mksk0404j4p/-FJPG/228731-001_DET_6.jpg</t>
  </si>
  <si>
    <t>228731-001</t>
  </si>
  <si>
    <t>231.26</t>
  </si>
  <si>
    <t>https://dd3ka9h4chfr8.cloudfront.net/image/725136000567/image_db89d1kqk177f9o61uoj3on419/-FJPG/228731-001_FRT_1.jpg</t>
  </si>
  <si>
    <t>Bring a softened industrial look to the dining room with a simple black-finished iron console table featuring bronzed iron hardware for modernity. Three roomy drawers plus generous closed cabinetry offer ample storage area for table linens, serveware and more.</t>
  </si>
  <si>
    <t>{"value":305.34,"unit":"lb"}</t>
  </si>
  <si>
    <t>17.07"</t>
  </si>
  <si>
    <t>34.57"</t>
  </si>
  <si>
    <t>Sparrow Coffee Table</t>
  </si>
  <si>
    <t>https://dd3ka9h4chfr8.cloudfront.net/image/725136000567/image_q8eqp5a1bd4rl0qvdjo33sse0j/-FJPG/240088-001_FRT_1.jpg;https://dd3ka9h4chfr8.cloudfront.net/image/725136000567/image_a73reebfhh3bbd051j8m4ehi22/-FJPG/240088-001_PRM_1.jpg;https://dd3ka9h4chfr8.cloudfront.net/image/725136000567/image_hkjl4f671t7td45navtmkcna35/-FJPG/240088-001_SID_1.jpg;https://dd3ka9h4chfr8.cloudfront.net/image/725136000567/image_o3cshorh7p6nff8036fdfd2i49/-FJPG/240088-001_ESS.tif;https://dd3ka9h4chfr8.cloudfront.net/image/725136000567/image_0eurlc6umd58hcu7bfmpvvcs2t/-FJPG/240088-001_DET_2.jpg;https://dd3ka9h4chfr8.cloudfront.net/image/725136000567/image_b83ablar8h0m7frs986k0h4r0i/-FJPG/240088-001_BCK_1.jpg;https://dd3ka9h4chfr8.cloudfront.net/image/725136000567/image_eo86cvrfth4j5f28o7d1j2io3m/-FJPG/240088-001_DET_1.jpg;https://dd3ka9h4chfr8.cloudfront.net/image/725136000567/image_7kcskege4l2f50oubr94mvke3l/-FJPG/240088-001_DET_3.jpg;https://dd3ka9h4chfr8.cloudfront.net/image/725136000567/image_quromtaeqh7mtf64vctvk2qg5t/-FJPG/240088-001_TOP_1.jpg;https://dd3ka9h4chfr8.cloudfront.net/image/725136000567/image_ab3e74u9op0sl2lun7mhgtlb3h/-FJPG/240088-001_DET_4.jpg;https://dd3ka9h4chfr8.cloudfront.net/image/725136000567/image_6h5gaook8h6uda6k1b2720247u/-FJPG/240088-001_DET_5.jpg;https://dd3ka9h4chfr8.cloudfront.net/image/725136000567/image_39o0si4c9l05v811oa2tjrun2r/-FJPG/240088-001_DET_6.jpg;https://dd3ka9h4chfr8.cloudfront.net/image/725136000567/image_ce53u5j3q14cb6jl6617ni0r0m/-FJPG/240088-001_DET_7.jpg;https://dd3ka9h4chfr8.cloudfront.net/image/725136000567/image_bvhkub9q6135v1f87mmdnar223/-FJPG/240088-001_DET_9.tif;https://dd3ka9h4chfr8.cloudfront.net/image/725136000567/image_7lusg6tj557et3rcnqr437445d/-FJPG/FHMPRJ-010_SCENE-07.tif</t>
  </si>
  <si>
    <t>Ashen Oak Resawn</t>
  </si>
  <si>
    <t>240088-001</t>
  </si>
  <si>
    <t>https://dd3ka9h4chfr8.cloudfront.net/image/725136000567/image_q8eqp5a1bd4rl0qvdjo33sse0j/-FJPG/240088-001_FRT_1.jpg</t>
  </si>
  <si>
    <t>Made from character-rich resawn oak, a simple, rounded coffee table features splayed legs for a hint of shapely intrigue.</t>
  </si>
  <si>
    <t>Sparrow</t>
  </si>
  <si>
    <t>4.96"</t>
  </si>
  <si>
    <t>41.54"</t>
  </si>
  <si>
    <t>Spider Console Table</t>
  </si>
  <si>
    <t>https://dd3ka9h4chfr8.cloudfront.net/image/725136000567/image_kcmbgtcko93njersc9camepk0b/-FJPG/CIMP-205_FRT_1.jpg;https://dd3ka9h4chfr8.cloudfront.net/image/725136000567/image_61td7h1nat3c92dml00hj7au15/-FJPG/CIMP-205_PRM_1.jpg;https://dd3ka9h4chfr8.cloudfront.net/image/725136000567/image_vasppafhid27f6hpetf8r5lp6a/-FJPG/CIMP-205_SID_1.jpg;https://dd3ka9h4chfr8.cloudfront.net/image/725136000567/image_933sqo8iap62hc93cgbtmh9k0d/-FJPG/CIMP-205_DET_2.jpg;https://dd3ka9h4chfr8.cloudfront.net/image/725136000567/image_807o2hq80549l1niaelc8od521/-FJPG/CIMP-205_DET_1.jpg;https://dd3ka9h4chfr8.cloudfront.net/image/725136000567/image_g5q0f9rqkh03v59m66p203lf67/-FJPG/CIMP-205_DET_3.jpg;https://dd3ka9h4chfr8.cloudfront.net/image/725136000567/image_fosfk11hql1dv897qc3uhgsu5v/-FJPG/CIMP-205_TOP_1.jpg;https://dd3ka9h4chfr8.cloudfront.net/image/725136000567/image_3ko3k6092d7hhe63ul49a2dq5g/-FJPG/CIMP-205_DET_4.jpg;https://dd3ka9h4chfr8.cloudfront.net/image/725136000567/image_3v0jrsiev14q1962j4hjthcc2a/-FJPG/CIMP-205_DET_5.jpg;https://dd3ka9h4chfr8.cloudfront.net/image/725136000567/image_4ifqrt434d159enffql883tn4g/-FJPG/CIMP-205_ROM_1.jpg</t>
  </si>
  <si>
    <t>Bright Brass Clad</t>
  </si>
  <si>
    <t>CIMP-205</t>
  </si>
  <si>
    <t>61.729</t>
  </si>
  <si>
    <t>https://dd3ka9h4chfr8.cloudfront.net/image/725136000567/image_kcmbgtcko93njersc9camepk0b/-FJPG/CIMP-205_FRT_1.jpg</t>
  </si>
  <si>
    <t>["Brass","Iron","Solid Oak"]</t>
  </si>
  <si>
    <t>Light Rustic Black</t>
  </si>
  <si>
    <t>Atomic lines in rustic black iron support a brass-clad table top framed in sandy oak. Woodblock details accent and warm a dramatically angled, industrial base.</t>
  </si>
  <si>
    <t>Spider</t>
  </si>
  <si>
    <t>11.40"</t>
  </si>
  <si>
    <t>51.25"</t>
  </si>
  <si>
    <t>1.10"</t>
  </si>
  <si>
    <t>Stark Sideboard</t>
  </si>
  <si>
    <t>https://dd3ka9h4chfr8.cloudfront.net/image/725136000567/image_17h8stvhj95u15b8a8214ghr6p/-FJPG/224318-001_FRT_1.jpg;https://dd3ka9h4chfr8.cloudfront.net/image/725136000567/image_ga4pg6ffel2gpa97r6sggui604/-FJPG/224318-001_PRM_1.jpg;https://dd3ka9h4chfr8.cloudfront.net/image/725136000567/image_d2oktqmk4l3brf66nn0kamrm5d/-FJPG/224318-001_SID_1.jpg;https://dd3ka9h4chfr8.cloudfront.net/image/725136000567/image_ec2mucvnsl681c1ebn6e7d2q0v/-FJPG/224318-001_DET_2.jpg;https://dd3ka9h4chfr8.cloudfront.net/image/725136000567/image_h0nc1s0edt50f72c8n4gbhl71j/-FJPG/224318-001_BCK_1.jpg;https://dd3ka9h4chfr8.cloudfront.net/image/725136000567/image_ed3qbefm6h491c1gqroia2s31f/-FJPG/224318-001_DET_1.jpg;https://dd3ka9h4chfr8.cloudfront.net/image/725136000567/image_o13bjk9q5h4lh5nrbrqk4ohf2m/-FJPG/224318-001_DET_3.jpg;https://dd3ka9h4chfr8.cloudfront.net/image/725136000567/image_9difdnqrt178r22p2pjokmu179/-FJPG/224318-001_OPN_1.jpg;https://dd3ka9h4chfr8.cloudfront.net/image/725136000567/image_udt22lapvt3g5013rqqdu0h61p/-FJPG/224318-001_DET_4.jpg;https://dd3ka9h4chfr8.cloudfront.net/image/725136000567/image_r32g78i4md3gr1e3nq7stphn7v/-FJPG/224318-001_DET_5.jpg;https://dd3ka9h4chfr8.cloudfront.net/image/725136000567/image_ahocchvhu977ver4857haack74/-FJPG/224318-001_DET_6.jpg</t>
  </si>
  <si>
    <t>Warm Espresso Veneer</t>
  </si>
  <si>
    <t>224318-001</t>
  </si>
  <si>
    <t>159.39</t>
  </si>
  <si>
    <t>https://dd3ka9h4chfr8.cloudfront.net/image/725136000567/image_17h8stvhj95u15b8a8214ghr6p/-FJPG/224318-001_FRT_1.jpg</t>
  </si>
  <si>
    <t>["Mahogany Veneer","Solid Mahogany"]</t>
  </si>
  <si>
    <t>Tracey Boyd for Four Hands</t>
  </si>
  <si>
    <t>Solid mahogany is finished in a warm espresso, with vertical reeding for a linear look. Plinth base, rounded corners and iron hardware finished in an antique brass reflect midcentury inspiration.</t>
  </si>
  <si>
    <t>{"value":210.98,"unit":"lb"}</t>
  </si>
  <si>
    <t>Stark</t>
  </si>
  <si>
    <t>Stella 6 Drawer Dresser</t>
  </si>
  <si>
    <t>https://dd3ka9h4chfr8.cloudfront.net/image/725136000567/image_mdsnpsesbh7b9671v7ion2a72o/-FJPG/248226-001_FRT_1.jpg;https://dd3ka9h4chfr8.cloudfront.net/image/725136000567/image_5echq4g27d5en26qpvvbkrqm65/-FJPG/248226-001_PRM_1.jpg;https://dd3ka9h4chfr8.cloudfront.net/image/725136000567/image_vfhia9hnrt73n4tq9i1sgcaq0l/-FJPG/248226-001_SID_1.jpg;https://dd3ka9h4chfr8.cloudfront.net/image/725136000567/image_rad9vn11jp6q1ags85obho657u/-FJPG/248226-001_ESS.tif;https://dd3ka9h4chfr8.cloudfront.net/image/725136000567/image_ag60lpbcgp2gp32q2o778asl28/-FJPG/248226-001_DET_2.jpg;https://dd3ka9h4chfr8.cloudfront.net/image/725136000567/image_3ie11tubj966v025hmpvgr6l6t/-FJPG/248226-001_BCK_1.jpg;https://dd3ka9h4chfr8.cloudfront.net/image/725136000567/image_s84hbojjmp0lb1f70qf26onh67/-FJPG/248226-001_DET_1.jpg;https://dd3ka9h4chfr8.cloudfront.net/image/725136000567/image_oo590cnkgh5hr9q73qik8i1e4j/-FJPG/248226-001_DET_3.jpg;https://dd3ka9h4chfr8.cloudfront.net/image/725136000567/image_ec7rboa3dd1qb8de4vfm53dl2o/-FJPG/248226-001_OPN_1.jpg;https://dd3ka9h4chfr8.cloudfront.net/image/725136000567/image_tfkj4ds6sh0pv4n3o1i6uj7927/-FJPG/248226-001_TOP_1.jpg;https://dd3ka9h4chfr8.cloudfront.net/image/725136000567/image_iob2cnu27l5tp58n458i06tp1q/-FJPG/248226-001_DET_4.jpg;https://dd3ka9h4chfr8.cloudfront.net/image/725136000567/image_tte9iag3pt39nf5fk5k8qumr47/-FJPG/248226-001_DET_5.jpg;https://dd3ka9h4chfr8.cloudfront.net/image/725136000567/image_2sdjov4p1d41jc836ar684bh6e/-FJPG/248226-001_DET_6.jpg;https://dd3ka9h4chfr8.cloudfront.net/image/725136000567/image_s7496o7g6t6vf1top9lskti824/-FJPG/248226-001_DET_9.tif</t>
  </si>
  <si>
    <t>248226-001</t>
  </si>
  <si>
    <t>https://dd3ka9h4chfr8.cloudfront.net/image/725136000567/image_mdsnpsesbh7b9671v7ion2a72o/-FJPG/248226-001_FRT_1.jpg</t>
  </si>
  <si>
    <t>Hazel Oak</t>
  </si>
  <si>
    <t>Bring a Nordic, material-driven look to your bedroom with a six-drawer dresser of grain-rich oak and drawer fronts covered with tan top-grain leather. Finished out with long, linear iron hardware.</t>
  </si>
  <si>
    <t>{"value":289.91,"unit":"lb"}</t>
  </si>
  <si>
    <t>Stella</t>
  </si>
  <si>
    <t>5.43"</t>
  </si>
  <si>
    <t>31.38"</t>
  </si>
  <si>
    <t>Stella Nightstand</t>
  </si>
  <si>
    <t>https://dd3ka9h4chfr8.cloudfront.net/image/725136000567/image_gu6g0494hd22v4jl6l6hchj160/-FJPG/248227-001_FRT_1.jpg;https://dd3ka9h4chfr8.cloudfront.net/image/725136000567/image_9c1d3rtc3119b1gaia40si7a61/-FJPG/248227-001_PRM_1.jpg;https://dd3ka9h4chfr8.cloudfront.net/image/725136000567/image_1bs9s6i23929p48mcelp92ev2a/-FJPG/248227-001_SID_1.jpg;https://dd3ka9h4chfr8.cloudfront.net/image/725136000567/image_a2dgbdtgft2m1ab66nt79f9m79/-FJPG/248227-001_ESS.tif;https://dd3ka9h4chfr8.cloudfront.net/image/725136000567/image_r5jmb6hlld3anfgj05ibch8j7j/-FJPG/248227-001_DET_2.jpg;https://dd3ka9h4chfr8.cloudfront.net/image/725136000567/image_lulf52i7i13h16gog611t0143n/-FJPG/248227-001_BCK_1.jpg;https://dd3ka9h4chfr8.cloudfront.net/image/725136000567/image_132gr6f3kh6sh5blnakam7og0s/-FJPG/248227-001_DET_1.jpg;https://dd3ka9h4chfr8.cloudfront.net/image/725136000567/image_5qls1f4kh51en7h48vq0rkh41d/-FJPG/248227-001_DET_3.jpg;https://dd3ka9h4chfr8.cloudfront.net/image/725136000567/image_32mi70b92t0u98cg7sj0fj265k/-FJPG/248227-001_OPN_1.jpg;https://dd3ka9h4chfr8.cloudfront.net/image/725136000567/image_eht65de15d4lp8jrb9d27bfj6l/-FJPG/248227-001_TOP_1.jpg;https://dd3ka9h4chfr8.cloudfront.net/image/725136000567/image_klm7hsf7fd6aj048f4fpd4bl6l/-FJPG/248227-001_DET_4.jpg;https://dd3ka9h4chfr8.cloudfront.net/image/725136000567/image_2b44tv05vp3o15r57chgb69206/-FJPG/248227-001_DET_5.jpg;https://dd3ka9h4chfr8.cloudfront.net/image/725136000567/image_8hvb0005od77jb6o9c2t9uem0q/-FJPG/248227-001_DET_6.jpg</t>
  </si>
  <si>
    <t>Hazel Oak Veneer</t>
  </si>
  <si>
    <t>248227-001</t>
  </si>
  <si>
    <t>78.26</t>
  </si>
  <si>
    <t>https://dd3ka9h4chfr8.cloudfront.net/image/725136000567/image_gu6g0494hd22v4jl6l6hchj160/-FJPG/248227-001_FRT_1.jpg</t>
  </si>
  <si>
    <t>["Thick Oak Veneer","Top Grain Leather","Solid Oak"]</t>
  </si>
  <si>
    <t>Bring a Nordic-inspired look to your bedroom styling. A spacious two-drawer nightstand of thick, grain-rich oak veneer encases drawer fronts covered with tan top-grain leather exclusive to Four Hands. Finished out with long, linear iron hardware.</t>
  </si>
  <si>
    <t>Stevie Chaise Lounge</t>
  </si>
  <si>
    <t>https://dd3ka9h4chfr8.cloudfront.net/image/725136000567/image_o5phfvtfg96rb7gujbnioq3n2d/-FJPG/235958-002_FRT_1.jpg;https://dd3ka9h4chfr8.cloudfront.net/image/725136000567/image_pdsdlfu0794mr46sk4d1fnp446/-FJPG/235958-002_PRM_1.jpg;https://dd3ka9h4chfr8.cloudfront.net/image/725136000567/image_2e5r8va5ft0r79t8d9bkuq465q/-FJPG/235958-002_SID_1.jpg;https://dd3ka9h4chfr8.cloudfront.net/image/725136000567/image_5653khmmrp1l3275rbgm3uqq1g/-FJPG/235958-002_ESS_1.jpg;https://dd3ka9h4chfr8.cloudfront.net/image/725136000567/image_s5f25mro356j9ep4sa942dnb3q/-FJPG/235958-002_DET_2.jpg;https://dd3ka9h4chfr8.cloudfront.net/image/725136000567/image_9r62hukird0g7d0na50q3td57n/-FJPG/235958-002_BCK_1.jpg;https://dd3ka9h4chfr8.cloudfront.net/image/725136000567/image_4l4cjv30551bf26ddrotf2g80b/-FJPG/235958-002_DET_1.jpg;https://dd3ka9h4chfr8.cloudfront.net/image/725136000567/image_n01f5kb5kp5ef3vk1vl163hn1u/-FJPG/235958-002_DET_3.jpg;https://dd3ka9h4chfr8.cloudfront.net/image/725136000567/image_as38saore90hpd7uaet4o5qk59/-FJPG/235958-002_DET_4.jpg;https://dd3ka9h4chfr8.cloudfront.net/image/725136000567/image_5pog5rq2f16jj1qb0s8pct2i0d/-FJPG/235958-002_DET_5.jpg;https://dd3ka9h4chfr8.cloudfront.net/image/725136000567/image_mqgg2l1mip4prc8tpf3geirq4j/-FJPG/235958-002_DET_6.jpg;https://dd3ka9h4chfr8.cloudfront.net/image/725136000567/image_q08rb695jl4cl2a17upc6j1k1p/-FJPG/235958-002_ESS_2.jpg</t>
  </si>
  <si>
    <t>Anders Ivory</t>
  </si>
  <si>
    <t>235958-002</t>
  </si>
  <si>
    <t>160.27</t>
  </si>
  <si>
    <t>https://dd3ka9h4chfr8.cloudfront.net/image/725136000567/image_o5phfvtfg96rb7gujbnioq3n2d/-FJPG/235958-002_FRT_1.jpg</t>
  </si>
  <si>
    <t>Equal parts casual and chic. Feather-blend cushioning and high-performance upholstery with a crisp, tight weave make this chaise lounge an easy go-to. Fluff cushions regularly to maintain appearance, and steam fabric for a more tailored look. Performance fabrics are specially created to withstand spills, stains, high traffic and wear, ensuring long-term comfort and unmatched durability.</t>
  </si>
  <si>
    <t>{"value":167.88,"unit":"lb"}</t>
  </si>
  <si>
    <t>Stevie</t>
  </si>
  <si>
    <t>{"value":2,"unit":"lb"}</t>
  </si>
  <si>
    <t>https://dd3ka9h4chfr8.cloudfront.net/image/725136000567/image_k761i2fg75375crd55fn416j6b/-FJPG/235958-003_FRT_1.jpg;https://dd3ka9h4chfr8.cloudfront.net/image/725136000567/image_n5rqbnqd111n1b67h6rk1dee13/-FJPG/235958-003_PRM_1.jpg;https://dd3ka9h4chfr8.cloudfront.net/image/725136000567/image_ehlqtarqp90tfcs4fc8vspj43k/-FJPG/235958-003_SID_1.jpg;https://dd3ka9h4chfr8.cloudfront.net/image/725136000567/image_cd6u7it1oh2plakbguuodft105/-FJPG/235958-003_ESS_1.jpg;https://dd3ka9h4chfr8.cloudfront.net/image/725136000567/image_bub431vtal2ht5pre0roooga1o/-FJPG/235958-003_DET_2.jpg;https://dd3ka9h4chfr8.cloudfront.net/image/725136000567/image_61gfi9ots97gj1i9kl2u76065p/-FJPG/235958-003_BCK_1.jpg;https://dd3ka9h4chfr8.cloudfront.net/image/725136000567/image_vk5r08e2417vf924mt6fd3ak0t/-FJPG/235958-003_DET_1.jpg;https://dd3ka9h4chfr8.cloudfront.net/image/725136000567/image_d3r3ck9d4p7gj1kqm5blr0ns7l/-FJPG/235958-003_DET_3.jpg;https://dd3ka9h4chfr8.cloudfront.net/image/725136000567/image_c8ktv2hbjl7cndm109sbds1962/-FJPG/235958-003_DET_4.jpg;https://dd3ka9h4chfr8.cloudfront.net/image/725136000567/image_gc2cgv0r8t5epeoqch4bmltt33/-FJPG/235958-003_DET_5.jpg;https://dd3ka9h4chfr8.cloudfront.net/image/725136000567/image_catp67bbqt4on0586bkrbi3q3d/-FJPG/235958-003_DET_6.jpg;https://dd3ka9h4chfr8.cloudfront.net/image/725136000567/image_qsg56tnsdl4ub4ggts8u9j7f4p/-FJPG/235958-003_ESS_2.jpg</t>
  </si>
  <si>
    <t>Destin Flannel</t>
  </si>
  <si>
    <t>235958-003</t>
  </si>
  <si>
    <t>https://dd3ka9h4chfr8.cloudfront.net/image/725136000567/image_k761i2fg75375crd55fn416j6b/-FJPG/235958-003_FRT_1.jpg</t>
  </si>
  <si>
    <t>["95% Polyester","3% Nylon","2% Cotton"]</t>
  </si>
  <si>
    <t>Equal parts casual and chic. Feather-blend cushioning and high-performance upholstery with a soft brushed flannel feel make this chaise lounge an easy go-to. Fluff cushions regularly to maintain appearance, and steam fabric for a more tailored look. Performance fabrics are specially created to withstand spills, stains, high traffic and wear, ensuring long-term comfort and unmatched durability.</t>
  </si>
  <si>
    <t>https://dd3ka9h4chfr8.cloudfront.net/image/725136000567/image_7f7sgo4tgp6kt93kkrghnsgb72/-FJPG/235958-001_FRT_1.jpg;https://dd3ka9h4chfr8.cloudfront.net/image/725136000567/image_lvtaosj9k575dbonra3on8gs0i/-FJPG/235958-001_PRM_1.jpg;https://dd3ka9h4chfr8.cloudfront.net/image/725136000567/image_uvicv77agh4atem40v2vos737j/-FJPG/235958-001_SID_1.jpg;https://dd3ka9h4chfr8.cloudfront.net/image/725136000567/image_scj3heg68d1nldtj01n94e0d01/-FJPG/235958-001_ESS_1.jpg;https://dd3ka9h4chfr8.cloudfront.net/image/725136000567/image_0rf8o3okk93ffc231998hctk1o/-FJPG/235958-001_DET_2.jpg;https://dd3ka9h4chfr8.cloudfront.net/image/725136000567/image_ccpacifg4p5s72la1p0g2sn26h/-FJPG/235958-001_BCK_1.jpg;https://dd3ka9h4chfr8.cloudfront.net/image/725136000567/image_j0fnfo9ukp6pl2918nnlagtt2v/-FJPG/235958-001_DET_1.jpg;https://dd3ka9h4chfr8.cloudfront.net/image/725136000567/image_8erflou63d4c77usfjaldpju5f/-FJPG/235958-001_DET_3.jpg;https://dd3ka9h4chfr8.cloudfront.net/image/725136000567/image_r06m5hdfcl5pl43gkgeu3k8c58/-FJPG/235958-001_DET_4.jpg;https://dd3ka9h4chfr8.cloudfront.net/image/725136000567/image_9d42bi1iq93rn6vj590lnnnc3p/-FJPG/235958-001_DET_5.jpg;https://dd3ka9h4chfr8.cloudfront.net/image/725136000567/image_0imkojh6od4a3egpqiusb9lr26/-FJPG/235958-001_DET_6.jpg;https://dd3ka9h4chfr8.cloudfront.net/image/725136000567/image_vivnjosqot40j49m69fbdccb7r/-FJPG/235958-001_ESS_2.jpg</t>
  </si>
  <si>
    <t>235958-001</t>
  </si>
  <si>
    <t>https://dd3ka9h4chfr8.cloudfront.net/image/725136000567/image_7f7sgo4tgp6kt93kkrghnsgb72/-FJPG/235958-001_FRT_1.jpg</t>
  </si>
  <si>
    <t>Equal parts casual and chic. Feather-blend cushioning and high-performance upholstery with a heavily textured boucle feel make this chaise lounge an easy go-to. Fluff cushions regularly to maintain appearance, and steam fabric for a more tailored look. Performance fabrics are specially created to withstand spills, stains, high traffic and wear, ensuring long-term comfort and unmatched durability.</t>
  </si>
  <si>
    <t>Stormy Media Console</t>
  </si>
  <si>
    <t>https://dd3ka9h4chfr8.cloudfront.net/image/725136000567/image_hrlh8u14sh40ldp6kcp07rvm7l/-FJPG/IELE-122_FRT_1.jpg;https://dd3ka9h4chfr8.cloudfront.net/image/725136000567/image_opc4oo2ma51kj226fu2qvcl143/-FJPG/IELE-122_PRM_1.jpg;https://dd3ka9h4chfr8.cloudfront.net/image/725136000567/image_51eo216n393k7e9fkpkentfb54/-FJPG/IELE-122_SID_1.jpg;https://dd3ka9h4chfr8.cloudfront.net/image/725136000567/image_onlrcm9rs94b57l4p661k92m4p/-FJPG/IELE-122_DET_1.jpg;https://dd3ka9h4chfr8.cloudfront.net/image/725136000567/image_rqpjsjqqcd0mnf71jgi9ousa5h/-FJPG/IELE-122_DET_3.jpg;https://dd3ka9h4chfr8.cloudfront.net/image/725136000567/image_ribus0qbmp2r7f0sdfhokb8b0m/-FJPG/IELE-122_OPN_1.jpg;https://dd3ka9h4chfr8.cloudfront.net/image/725136000567/image_kb5ovip5h93ktdn4t703gab33e/-FJPG/IELE-122_DET_4.jpg;https://dd3ka9h4chfr8.cloudfront.net/image/725136000567/image_kr2k21gg7d4ob9f7qik6dcfa2v/-FJPG/IELE-122_DET_5.jpg;https://dd3ka9h4chfr8.cloudfront.net/image/725136000567/image_v11q59n6ht2pp86lstpjn30o7j/-FJPG/IELE-122_DET_6.jpg;https://dd3ka9h4chfr8.cloudfront.net/image/725136000567/image_292fod0sp936ldkb24hp1mo270/-FJPG/IELE-122_DET_7.jpg;https://dd3ka9h4chfr8.cloudfront.net/image/725136000567/image_19ib8m5c4l2o3c702pptod463q/-FJPG/IELE-122_DET_8.jpg</t>
  </si>
  <si>
    <t>IELE-122</t>
  </si>
  <si>
    <t>153.88</t>
  </si>
  <si>
    <t>https://dd3ka9h4chfr8.cloudfront.net/image/725136000567/image_hrlh8u14sh40ldp6kcp07rvm7l/-FJPG/IELE-122_FRT_1.jpg</t>
  </si>
  <si>
    <t>Element</t>
  </si>
  <si>
    <t>Distressed Ombre</t>
  </si>
  <si>
    <t>Iron's distressed ombre finish emits a feeling of movement that keeps the eye moving. Spacious interior brings plenty of space to media storage. Oxidation varies from piece to piece, due to organic nature of materials.</t>
  </si>
  <si>
    <t>Complete Box</t>
  </si>
  <si>
    <t>{"value":172.22,"unit":"lb"}</t>
  </si>
  <si>
    <t>35.82"</t>
  </si>
  <si>
    <t>Stormy</t>
  </si>
  <si>
    <t>Sullivan 10 Drawer Dresser</t>
  </si>
  <si>
    <t>https://dd3ka9h4chfr8.cloudfront.net/image/725136000567/image_8noqqhjrt17njdrhuc2sfeea0r/-FJPG/235837-001_FRT_1.jpg;https://dd3ka9h4chfr8.cloudfront.net/image/725136000567/image_81ce07o41135j3hgducrkvkk57/-FJPG/235837-001_PRM_1.jpg;https://dd3ka9h4chfr8.cloudfront.net/image/725136000567/image_u4ur89p1n52l77107rp93a4t71/-FJPG/235837-001_SID_1.jpg;https://dd3ka9h4chfr8.cloudfront.net/image/725136000567/image_v2o8m95e156pndeurqk56hje6v/-FJPG/235837-001_ESS.tif;https://dd3ka9h4chfr8.cloudfront.net/image/725136000567/image_5e25s3rvgl0a915s1ibhjc650a/-FJPG/235837-001_DET_2.jpg;https://dd3ka9h4chfr8.cloudfront.net/image/725136000567/image_nihnk5lqbp5nt0n3vi6oeaed0g/-FJPG/235837-001_BCK_1.jpg;https://dd3ka9h4chfr8.cloudfront.net/image/725136000567/image_pjcpqnta097bj296u6fl9qul7o/-FJPG/235837-001_DET_1.jpg;https://dd3ka9h4chfr8.cloudfront.net/image/725136000567/image_d66hkstod179l8jm49mg8pto39/-FJPG/235837-001_DET_3.jpg;https://dd3ka9h4chfr8.cloudfront.net/image/725136000567/image_241o4810n17019kemuedh5rp45/-FJPG/235837-001_OPN_1.jpg;https://dd3ka9h4chfr8.cloudfront.net/image/725136000567/image_7b0okau8ep4e5e0jv22gbkmq1t/-FJPG/235837-001_DET_5.jpg;https://dd3ka9h4chfr8.cloudfront.net/image/725136000567/image_oo6u1ong4t22t27lufmeula074/-FJPG/235837-001_DET_6.jpg;https://dd3ka9h4chfr8.cloudfront.net/image/725136000567/image_ddkhb4qkvp0rb7hk06g5ujq73i/-FJPG/235837-001_DET_7.jpg</t>
  </si>
  <si>
    <t>Saddle Tan Veneer</t>
  </si>
  <si>
    <t>235837-001</t>
  </si>
  <si>
    <t>261.25</t>
  </si>
  <si>
    <t>https://dd3ka9h4chfr8.cloudfront.net/image/725136000567/image_8noqqhjrt17njdrhuc2sfeea0r/-FJPG/235837-001_FRT_1.jpg</t>
  </si>
  <si>
    <t>A simple, heavy wood Parsons-style dresser with 10 varied sized drawers for ample storage. Finished in solid ash with brass hardware. This item has been modified to comply with the STURDY Act. See a full list of modified products and data changes in the â€œSTURDY Actâ€_x009d_ file in the Downloads section below.</t>
  </si>
  <si>
    <t>10 Drawer Dresser-1 Item Per Carton</t>
  </si>
  <si>
    <t>Sullivan</t>
  </si>
  <si>
    <t>Sullivan Bed</t>
  </si>
  <si>
    <t>https://dd3ka9h4chfr8.cloudfront.net/image/725136000567/image_jvqrc6f2pp5hle87noujdgsr3a/-FJPG/236132-001_FRT_1.jpg;https://dd3ka9h4chfr8.cloudfront.net/image/725136000567/image_6ao4d351t14ij4fceup9ogl25d/-FJPG/236132-001_PRM_1.jpg;https://dd3ka9h4chfr8.cloudfront.net/image/725136000567/image_q9lg7v3h050l389jmckni0153i/-FJPG/236132-001_SID_1.jpg;https://dd3ka9h4chfr8.cloudfront.net/image/725136000567/image_8fe3rs21gh6ihchk1hsanfgh0q/-FJPG/236132-001_ESS_1.jpg;https://dd3ka9h4chfr8.cloudfront.net/image/725136000567/image_mllrnuuohd2k17tpqecrpbe06e/-FJPG/236132-001_DET_2.jpg;https://dd3ka9h4chfr8.cloudfront.net/image/725136000567/image_tbgufv4odp27552l7pngist61f/-FJPG/236132-001_BCK_1.jpg;https://dd3ka9h4chfr8.cloudfront.net/image/725136000567/image_otc5lmo6fp18baod442efd2t5j/-FJPG/236132-001_DET_1.jpg;https://dd3ka9h4chfr8.cloudfront.net/image/725136000567/image_h8k1pc2qg115d5t0dcchra0a5h/-FJPG/236132-001_DET_3.jpg;https://dd3ka9h4chfr8.cloudfront.net/image/725136000567/image_c9m26ffd1154l7am8c81dl8m2p/-FJPG/236132-001_DET_4.jpg;https://dd3ka9h4chfr8.cloudfront.net/image/725136000567/image_e3bj3a6mch72d2c28l9u1k2h37/-FJPG/236132-001_DET_5.jpg;https://dd3ka9h4chfr8.cloudfront.net/image/725136000567/image_2mjv7uh2kd5170uadcng937a1n/-FJPG/236132-001_DET_6.jpg;https://dd3ka9h4chfr8.cloudfront.net/image/725136000567/image_r4n4j0t22h40v3a8rif57f8c49/-FJPG/236132-001_DET_7.jpg</t>
  </si>
  <si>
    <t>Harbor Sand</t>
  </si>
  <si>
    <t>236132-001</t>
  </si>
  <si>
    <t>https://dd3ka9h4chfr8.cloudfront.net/image/725136000567/image_jvqrc6f2pp5hle87noujdgsr3a/-FJPG/236132-001_FRT_1.jpg</t>
  </si>
  <si>
    <t>["60% Polyester","40% Viscose (Rayon)","Solid Acacia","Acacia Veneer"]</t>
  </si>
  <si>
    <t>Saddle Tan</t>
  </si>
  <si>
    <t>A simple, heavy wood bed frame with a removable sling cushion in a neutral fabric with blind button tufting. Choose the all-wood look or opt for a softer look with the pillow. The cushion is reinforced at the corners for added durability and easily removed for cleaning.</t>
  </si>
  <si>
    <t>{"value":59.06,"unit":"in"}</t>
  </si>
  <si>
    <t>Siderail/ Slats/Center Rail/ Center Legs</t>
  </si>
  <si>
    <t>64.96"</t>
  </si>
  <si>
    <t>54.02"</t>
  </si>
  <si>
    <t>82.56"</t>
  </si>
  <si>
    <t>https://dd3ka9h4chfr8.cloudfront.net/image/725136000567/image_jd7b23v17t5nbbme9re5evdo34/-FJPG/236132-002_FRT_1.jpg;https://dd3ka9h4chfr8.cloudfront.net/image/725136000567/image_9s8kll1lnl4en2q9clto1as245/-FJPG/236132-002_PRM_1.jpg;https://dd3ka9h4chfr8.cloudfront.net/image/725136000567/image_tp0khr2nnt5bnbo40njmpgti4a/-FJPG/236132-002_SID_1.jpg;https://dd3ka9h4chfr8.cloudfront.net/image/725136000567/image_eehri3lcnp553dqt5c36b8l23v/-FJPG/236132-002_ESS_1.jpg;https://dd3ka9h4chfr8.cloudfront.net/image/725136000567/image_rhfqhsb5ul7mt1rhiu6p2puq2l/-FJPG/236132-002_DET_2.jpg;https://dd3ka9h4chfr8.cloudfront.net/image/725136000567/image_8e5dcp8u8p5dvfke15d58gn95c/-FJPG/236132-002_BCK_1.jpg;https://dd3ka9h4chfr8.cloudfront.net/image/725136000567/image_kug9osiebh3qnc83e7b9fe0811/-FJPG/236132-002_DET_1.jpg;https://dd3ka9h4chfr8.cloudfront.net/image/725136000567/image_3g82dj8c7p4rtdbviq0r6etm12/-FJPG/236132-002_DET_3.jpg;https://dd3ka9h4chfr8.cloudfront.net/image/725136000567/image_ie7u7c69ip5t7f9duucndbq215/-FJPG/236132-002_DET_4.jpg;https://dd3ka9h4chfr8.cloudfront.net/image/725136000567/image_cah1cc0flp4nd0384deigjtj7f/-FJPG/236132-002_DET_5.jpg;https://dd3ka9h4chfr8.cloudfront.net/image/725136000567/image_avk76o3qj50i36ou7i9sg80g78/-FJPG/236132-002_DET_6.jpg</t>
  </si>
  <si>
    <t>236132-002</t>
  </si>
  <si>
    <t>248.02</t>
  </si>
  <si>
    <t>https://dd3ka9h4chfr8.cloudfront.net/image/725136000567/image_jd7b23v17t5nbbme9re5evdo34/-FJPG/236132-002_FRT_1.jpg</t>
  </si>
  <si>
    <t>{"value":13.58,"unit":"in"}</t>
  </si>
  <si>
    <t>84.53"</t>
  </si>
  <si>
    <t>Sullivan Nightstand</t>
  </si>
  <si>
    <t>https://dd3ka9h4chfr8.cloudfront.net/image/725136000567/image_4lin8rdt1t46nf7a7c48ruko2f/-FJPG/235835-001_FRT_1.jpg;https://dd3ka9h4chfr8.cloudfront.net/image/725136000567/image_fnpsb4mbv50lv3a67gvtvh0s1t/-FJPG/235835-001_PRM_1.jpg;https://dd3ka9h4chfr8.cloudfront.net/image/725136000567/image_i9j3umjljt47vapf2me9bi8l07/-FJPG/235835-001_SID_1.jpg;https://dd3ka9h4chfr8.cloudfront.net/image/725136000567/image_lgs8onkrt10kn6be02qm2an34f/-FJPG/235835-001_DET_2.jpg;https://dd3ka9h4chfr8.cloudfront.net/image/725136000567/image_q9vge3ef0l4tj1is9ce13q4i65/-FJPG/235835-001_BCK_1.jpg;https://dd3ka9h4chfr8.cloudfront.net/image/725136000567/image_4iq3dg374p595dinenhvcodf2u/-FJPG/235835-001_DET_1.jpg;https://dd3ka9h4chfr8.cloudfront.net/image/725136000567/image_m205ddj3g11dd25cm2heuq2t41/-FJPG/235835-001_DET_3.jpg;https://dd3ka9h4chfr8.cloudfront.net/image/725136000567/image_r2tqojfd1t5vp5k1502hnc3v1l/-FJPG/235835-001_OPN_1.jpg;https://dd3ka9h4chfr8.cloudfront.net/image/725136000567/image_66trpd4kap4o3fl7ih305nvp30/-FJPG/235835-001_DET_4.jpg;https://dd3ka9h4chfr8.cloudfront.net/image/725136000567/image_0se3fgf3b57udfghvd8po37e1d/-FJPG/235835-001_DET_5.jpg;https://dd3ka9h4chfr8.cloudfront.net/image/725136000567/image_adakhsnqbl2b3d65p6r464ca0u/-FJPG/235835-001_DET_6.jpg;https://dd3ka9h4chfr8.cloudfront.net/image/725136000567/image_s584l9128t4ndafa64hi2mg50o/-FJPG/235835-001_DET_7.jpg;https://dd3ka9h4chfr8.cloudfront.net/image/725136000567/image_5idug7uo9l6075dokkqt5d7p2m/-FJPG/235835-001_DET_8.jpg;https://dd3ka9h4chfr8.cloudfront.net/image/725136000567/image_9n2bti4pqp6i715b4hk0gnnm0t/-FJPG/235835-001_ESS.tif</t>
  </si>
  <si>
    <t>235835-001</t>
  </si>
  <si>
    <t>70.99</t>
  </si>
  <si>
    <t>https://dd3ka9h4chfr8.cloudfront.net/image/725136000567/image_4lin8rdt1t46nf7a7c48ruko2f/-FJPG/235835-001_FRT_1.jpg</t>
  </si>
  <si>
    <t>A simple, heavy wood Parsons-style nightstand with three drawers for ample storage. Finished in solid ash with brass hardware.</t>
  </si>
  <si>
    <t>Nightstand- 1 Item Per Carton</t>
  </si>
  <si>
    <t>3.11"</t>
  </si>
  <si>
    <t>14.21"</t>
  </si>
  <si>
    <t>3.27"</t>
  </si>
  <si>
    <t>Sully Chair</t>
  </si>
  <si>
    <t>https://dd3ka9h4chfr8.cloudfront.net/image/725136000567/image_ui0pj7o10d67h3v1rupi1bdm5f/-FJPG/238393-006_FRT_1.JPG;https://dd3ka9h4chfr8.cloudfront.net/image/725136000567/image_6updoj9cvh4hv9od7m06cgsb41/-FJPG/238393-006_PRM_1.JPG;https://dd3ka9h4chfr8.cloudfront.net/image/725136000567/image_60f0fdvlnp6rr89vfmfm7asc3j/-FJPG/238393-006_SID_1.JPG;https://dd3ka9h4chfr8.cloudfront.net/image/725136000567/image_gtto7flfah4np57ft7t571ki1n/-FJPG/238393-006_DET_2.JPG;https://dd3ka9h4chfr8.cloudfront.net/image/725136000567/image_p6didfne017jf3d5jdj0h7045h/-FJPG/238393-006_BCK_1.JPG;https://dd3ka9h4chfr8.cloudfront.net/image/725136000567/image_5e5vs30quh20j3ucrlotfhka0p/-FJPG/238393-006_DET_1.JPG;https://dd3ka9h4chfr8.cloudfront.net/image/725136000567/image_0kkpphulr52hdc5na7cfgndl1u/-FJPG/238393-006_DET_3.JPG;https://dd3ka9h4chfr8.cloudfront.net/image/725136000567/image_jsij3h4ejt7sp1mca52uh0v82f/-FJPG/238393-006_DET_4.JPG;https://dd3ka9h4chfr8.cloudfront.net/image/725136000567/image_gmk0iuv6n554h9uljog0i0t60p/-FJPG/238393-006_DET_5.JPG</t>
  </si>
  <si>
    <t>238393-006</t>
  </si>
  <si>
    <t>https://dd3ka9h4chfr8.cloudfront.net/image/725136000567/image_ui0pj7o10d67h3v1rupi1bdm5f/-FJPG/238393-006_FRT_1.JPG</t>
  </si>
  <si>
    <t>Shape-driven from top to bottom, this modern accent chair is tightly upholstered in a smooth wool-blend velvet. Subtle highs and lows throughout the fabric change in appearance depending on the direction of the fabric's nap and the lighting in the room, bringing movement to the entire piece. S-spring construction ensures a supportive sit, while side cutouts catch the eye.</t>
  </si>
  <si>
    <t>23.20"</t>
  </si>
  <si>
    <t>17.30"</t>
  </si>
  <si>
    <t>Sully</t>
  </si>
  <si>
    <t>13.20"</t>
  </si>
  <si>
    <t>https://dd3ka9h4chfr8.cloudfront.net/image/725136000567/image_ev6ehuk57h2hhbgr0fq4pq5n55/-FJPG/238393-001_FRT_1.jpg;https://dd3ka9h4chfr8.cloudfront.net/image/725136000567/image_g480rrqh5t5dhcv2eam5pj772h/-FJPG/238393-001_PRM_1.jpg;https://dd3ka9h4chfr8.cloudfront.net/image/725136000567/image_nko5sh9b3p04v28q5omq6jus58/-FJPG/238393-001_SID_1.jpg;https://dd3ka9h4chfr8.cloudfront.net/image/725136000567/image_o4ouc4308p3fj8gkg33rti6821/-FJPG/238393-001_ESS.tif;https://dd3ka9h4chfr8.cloudfront.net/image/725136000567/image_ae5pmj6atp4oj5vj88tsragf3b/-FJPG/238393-001_DET_2.jpg;https://dd3ka9h4chfr8.cloudfront.net/image/725136000567/image_ncdpskch010ef57fkka2rkc72b/-FJPG/238393-001_BCK_1.jpg;https://dd3ka9h4chfr8.cloudfront.net/image/725136000567/image_mlq3bpub2902356r2f0dficq6s/-FJPG/238393-001_DET_1.jpg;https://dd3ka9h4chfr8.cloudfront.net/image/725136000567/image_4qucfqsq5p2t71hg5jocttsd1h/-FJPG/238393-001_DET_3.jpg;https://dd3ka9h4chfr8.cloudfront.net/image/725136000567/image_rk9c3kbjop22f80bv1u6h1rn2h/-FJPG/238393-001_DET_4.jpg;https://dd3ka9h4chfr8.cloudfront.net/image/725136000567/image_5nfn6c67c15ot4tucjs8j1sb04/-FJPG/238393-001_DET_5.jpg;https://dd3ka9h4chfr8.cloudfront.net/image/725136000567/image_o2mancaeg54rl56rbgg912cm16/-FJPG/238393-001_DET_6.jpg;https://dd3ka9h4chfr8.cloudfront.net/image/725136000567/image_iekjkeeij144lahbbfi608m81t/-FJPG/238393-001_ESS.tif</t>
  </si>
  <si>
    <t>Surrey Moss</t>
  </si>
  <si>
    <t>238393-001</t>
  </si>
  <si>
    <t>https://dd3ka9h4chfr8.cloudfront.net/image/725136000567/image_ev6ehuk57h2hhbgr0fq4pq5n55/-FJPG/238393-001_FRT_1.jpg</t>
  </si>
  <si>
    <t>Shape-driven from top to bottom, this modern accent chair is tightly upholstered in a smooth cotton velvet fabric. Subtle highs and lows throughout the fabric change in appearance depending on the direction of the fabric's nap and the lighting in the room, bringing movement to the entire piece. S-spring construction ensures a supportive sit, while side cutouts catch the eye.</t>
  </si>
  <si>
    <t>Suspension Desk</t>
  </si>
  <si>
    <t>https://dd3ka9h4chfr8.cloudfront.net/image/725136000567/image_ghb4q7shjp53580npcqjoldr5o/-FJPG/235487-001_FRT_1.jpg;https://dd3ka9h4chfr8.cloudfront.net/image/725136000567/image_cbf3uemmdd5jf5e2u0ed2nea10/-FJPG/235487-001_PRM_1.jpg;https://dd3ka9h4chfr8.cloudfront.net/image/725136000567/image_0kopjci19l48heijue1ai7u114/-FJPG/235487-001_SID_1.jpg;https://dd3ka9h4chfr8.cloudfront.net/image/725136000567/image_esj9no1tdl1a5dlld3pbmi3q27/-FJPG/235487-001_DET_2.jpg;https://dd3ka9h4chfr8.cloudfront.net/image/725136000567/image_mjm8be3vht0hb2gjusuu18mm4s/-FJPG/235487-001_BCK_1.jpg;https://dd3ka9h4chfr8.cloudfront.net/image/725136000567/image_aoiuh008c55ab9vaot5tkpn22c/-FJPG/235487-001_DET_1.jpg;https://dd3ka9h4chfr8.cloudfront.net/image/725136000567/image_30hqp7s5j15j35t71j85c9r66h/-FJPG/235487-001_DET_3.jpg;https://dd3ka9h4chfr8.cloudfront.net/image/725136000567/image_p4taqbk4612a50b7cer8arnf74/-FJPG/235487-001_OPN_1.jpg;https://dd3ka9h4chfr8.cloudfront.net/image/725136000567/image_pom373ak7101leq1mrsq11n93t/-FJPG/235487-001_DET_4.jpg;https://dd3ka9h4chfr8.cloudfront.net/image/725136000567/image_m9c6uh95014gh5esq4mr7v9407/-FJPG/235487-001_DET_5.jpg;https://dd3ka9h4chfr8.cloudfront.net/image/725136000567/image_2lj4kl6ba14m35bsbiml8ukm2k/-FJPG/235487-001_DET_6.jpg;https://dd3ka9h4chfr8.cloudfront.net/image/725136000567/image_4df3vo03qd3qtae0iskpulif7r/-FJPG/235487-001_DET_7.jpg;https://dd3ka9h4chfr8.cloudfront.net/image/725136000567/image_7cr91ccvld2hbfgf6vj0jmv05j/-FJPG/235487-001_DET_8.jpg;https://dd3ka9h4chfr8.cloudfront.net/image/725136000567/image_lvp8m1apc16t32rnrmk0t0ak1d/-FJPG/FHMPRJ-007_SCENE_23.tif;https://dd3ka9h4chfr8.cloudfront.net/image/725136000567/image_4c5u2kfp052cpdfjj18vbnh31a/-FJPG/235487-001_ESS.jpg</t>
  </si>
  <si>
    <t>235487-001</t>
  </si>
  <si>
    <t>https://dd3ka9h4chfr8.cloudfront.net/image/725136000567/image_ghb4q7shjp53580npcqjoldr5o/-FJPG/235487-001_FRT_1.jpg</t>
  </si>
  <si>
    <t>72.5</t>
  </si>
  <si>
    <t>{"value":72.5,"unit":"in"}</t>
  </si>
  <si>
    <t>Made from oak veneer with a rustic grey finish, an executive-size desk features a fully finished back, offering the option to float-style in a room. Plenty of varied-size drawers offer generous storage space.</t>
  </si>
  <si>
    <t>Suspension</t>
  </si>
  <si>
    <t>69.53"</t>
  </si>
  <si>
    <t>72.52"</t>
  </si>
  <si>
    <t>20.61"</t>
  </si>
  <si>
    <t>21.44"</t>
  </si>
  <si>
    <t>https://dd3ka9h4chfr8.cloudfront.net/image/725136000567/image_t2foevoi3h51r434fkg3tqn07q/-FJPG/235487-002_FRT_1.jpg;https://dd3ka9h4chfr8.cloudfront.net/image/725136000567/image_hdqijo629d38bfc516m137797s/-FJPG/235487-002_PRM_1.jpg;https://dd3ka9h4chfr8.cloudfront.net/image/725136000567/image_iovptpv74h2pj757d7m26ojt7i/-FJPG/235487-002_SID_1.jpg;https://dd3ka9h4chfr8.cloudfront.net/image/725136000567/image_h6gq39l4up3jp02179hlatqm4r/-FJPG/235487-002_DET_2.jpg;https://dd3ka9h4chfr8.cloudfront.net/image/725136000567/image_41j8r14a9p75dd0tpch4ohp01g/-FJPG/235487-002_BCK_1.jpg;https://dd3ka9h4chfr8.cloudfront.net/image/725136000567/image_brl6tl2lgp7t1309h7rvn76j1f/-FJPG/235487-002_DET_1.jpg;https://dd3ka9h4chfr8.cloudfront.net/image/725136000567/image_a5grdt7hpp7or4ngg1glivc356/-FJPG/235487-002_DET_3.jpg;https://dd3ka9h4chfr8.cloudfront.net/image/725136000567/image_kso1em7sbt2ab211ngu9gvoh6h/-FJPG/235487-002_OPN_1.jpg;https://dd3ka9h4chfr8.cloudfront.net/image/725136000567/image_mjlubc1bqd5dr3rt4qpr1rqp26/-FJPG/235487-002_TOP_1.jpg;https://dd3ka9h4chfr8.cloudfront.net/image/725136000567/image_u2oeeipi7t7j11vlg1uftm2l11/-FJPG/235487-002_DET_4.jpg;https://dd3ka9h4chfr8.cloudfront.net/image/725136000567/image_8m18iejhc926t2gdkbq572on6g/-FJPG/235487-002_DET_5.jpg;https://dd3ka9h4chfr8.cloudfront.net/image/725136000567/image_ppt9t1q1094i3ecisbo7h3gh2u/-FJPG/235487-002_DET_6.jpg;https://dd3ka9h4chfr8.cloudfront.net/image/725136000567/image_ub8ri1r2jt1bj6p8eu8lqsl142/-FJPG/235487-002_DET_7.jpg</t>
  </si>
  <si>
    <t>235487-002</t>
  </si>
  <si>
    <t>https://dd3ka9h4chfr8.cloudfront.net/image/725136000567/image_t2foevoi3h51r434fkg3tqn07q/-FJPG/235487-002_FRT_1.jpg</t>
  </si>
  <si>
    <t>Made from solid oak and oak veneer and finished in a smoky black, an executive-size desk features a fully finished back, offering the option to float-style in a room. Plenty of varied-size drawers offer generous storage space.</t>
  </si>
  <si>
    <t>Swivel Wing Chair</t>
  </si>
  <si>
    <t>https://dd3ka9h4chfr8.cloudfront.net/image/725136000567/image_07hd9qsnup7qb4nnkuq3pop37l/-FJPG/106152-007_FRT_1.jpg;https://dd3ka9h4chfr8.cloudfront.net/image/725136000567/image_k5nk5f94mp4hh0046pmsm27d15/-FJPG/106152-007_PRM_1.jpg;https://dd3ka9h4chfr8.cloudfront.net/image/725136000567/image_2gh3im46ip0ijct643hr0slj2p/-FJPG/106152-007_SID_1.jpg;https://dd3ka9h4chfr8.cloudfront.net/image/725136000567/image_dp0c4p5k710il3tandrb1pq40f/-FJPG/106152-007_DET_2.jpg;https://dd3ka9h4chfr8.cloudfront.net/image/725136000567/image_2chagpikvh15tcr69909dv7f7v/-FJPG/106152-007_BCK_1.jpg;https://dd3ka9h4chfr8.cloudfront.net/image/725136000567/image_6r8ecaq2eh5dn44t8h2qi8vp0s/-FJPG/106152-007_DET_1.jpg;https://dd3ka9h4chfr8.cloudfront.net/image/725136000567/image_vp58k97ti914vcb6civ77knk2h/-FJPG/106152-007_ROM_1.jpg;https://dd3ka9h4chfr8.cloudfront.net/image/725136000567/image_r5ch5ioedh69dfg0cu57lie92b/-FJPG/106152-007_FRT_3.jpg</t>
  </si>
  <si>
    <t>Jette Linen</t>
  </si>
  <si>
    <t>106152-007</t>
  </si>
  <si>
    <t>https://dd3ka9h4chfr8.cloudfront.net/image/725136000567/image_07hd9qsnup7qb4nnkuq3pop37l/-FJPG/106152-007_FRT_1.jpg</t>
  </si>
  <si>
    <t>["46% Viscose (Rayon)","34% Polyester","20% Flax/Linen"]</t>
  </si>
  <si>
    <t>A hidden 360-degree swivel places a modern spin on slipcovered seating. A wingback shape and herringbone pattern update the look of traditional linen.</t>
  </si>
  <si>
    <t>{"value":43.9,"unit":"in"}</t>
  </si>
  <si>
    <t>26.89"</t>
  </si>
  <si>
    <t>11.22"</t>
  </si>
  <si>
    <t>Sydney 6 Drawer Dresser</t>
  </si>
  <si>
    <t>https://dd3ka9h4chfr8.cloudfront.net/image/725136000567/image_keo6938cj12fdand7m8kfj1h7a/-FJPG/224923-004_FRT_1.jpg;https://dd3ka9h4chfr8.cloudfront.net/image/725136000567/image_hvnjm97q9166b0eev81ft15a6l/-FJPG/224923-004_PRM_1.jpg;https://dd3ka9h4chfr8.cloudfront.net/image/725136000567/image_ufcsnnvv7l0kvcft3hi3uul546/-FJPG/224923-004_SID_1.jpg;https://dd3ka9h4chfr8.cloudfront.net/image/725136000567/image_kmnp6fk0vt6kr7149pn0rt8560/-FJPG/224923-004_DET_2.jpg;https://dd3ka9h4chfr8.cloudfront.net/image/725136000567/image_e1pabokdp56ml9ghghmb55p830/-FJPG/224923-004_BCK_1.jpg;https://dd3ka9h4chfr8.cloudfront.net/image/725136000567/image_jsaho9k4tp27haa52670k2h66h/-FJPG/224923-004_DET_1.jpg;https://dd3ka9h4chfr8.cloudfront.net/image/725136000567/image_228eed8ep1683839sr6erq0q2g/-FJPG/224923-004_DET_3.jpg;https://dd3ka9h4chfr8.cloudfront.net/image/725136000567/image_t276o00ugh4hb8lfhh054u0476/-FJPG/224923-004_OPN_1.jpg;https://dd3ka9h4chfr8.cloudfront.net/image/725136000567/image_0j08du9vml1g1cu91p5t5vlp1d/-FJPG/224923-004_TOP_1.jpg;https://dd3ka9h4chfr8.cloudfront.net/image/725136000567/image_utr77au7e948h2q02q1v5fuq0h/-FJPG/224923-004_DET_4.jpg;https://dd3ka9h4chfr8.cloudfront.net/image/725136000567/image_9p1c0c5qhd5ltdtek5fh72oq59/-FJPG/224923-004_DET_5.jpg;https://dd3ka9h4chfr8.cloudfront.net/image/725136000567/image_1uo4j3npkd59f7gmf98ka3n85k/-FJPG/224923-004_DET_6.jpg</t>
  </si>
  <si>
    <t>224923-008</t>
  </si>
  <si>
    <t>https://dd3ka9h4chfr8.cloudfront.net/image/725136000567/image_keo6938cj12fdand7m8kfj1h7a/-FJPG/224923-004_FRT_1.jpg</t>
  </si>
  <si>
    <t>["Cane","Solid Mango"]</t>
  </si>
  <si>
    <t>{"value":206.17,"unit":"lb"}</t>
  </si>
  <si>
    <t>Sydney</t>
  </si>
  <si>
    <t>https://dd3ka9h4chfr8.cloudfront.net/image/725136000567/image_hu3ffqtkv90e9c3jqefouj120n/-FJPG/224923-003_FRT_1.jpg;https://dd3ka9h4chfr8.cloudfront.net/image/725136000567/image_jt72kcqqr514f2824c1hhk9t0k/-FJPG/224923-003_PRM_1.jpg;https://dd3ka9h4chfr8.cloudfront.net/image/725136000567/image_eb60mpshpd2512ftkh8rql1t3m/-FJPG/224923-003_SID_1.jpg;https://dd3ka9h4chfr8.cloudfront.net/image/725136000567/image_4bpliigci92klfqonbscv96d4n/-FJPG/224923-003_ESS_1.jpg;https://dd3ka9h4chfr8.cloudfront.net/image/725136000567/image_ci5ed5rdm15td70olufs49vm1p/-FJPG/224923-003_DET_2.jpg;https://dd3ka9h4chfr8.cloudfront.net/image/725136000567/image_hpp8no23bt403ef9skkce0ls3i/-FJPG/224923-003_BCK_1.jpg;https://dd3ka9h4chfr8.cloudfront.net/image/725136000567/image_a5is9rg8ol1af6eb5sdv0f5p15/-FJPG/224923-003_DET_1.jpg;https://dd3ka9h4chfr8.cloudfront.net/image/725136000567/image_bicnv784bd4et5i0am4bh79g7m/-FJPG/224923-003_DET_3.jpg;https://dd3ka9h4chfr8.cloudfront.net/image/725136000567/image_te22753g055l1ff71l9n2rt35t/-FJPG/224923-003_OPN_1.jpg;https://dd3ka9h4chfr8.cloudfront.net/image/725136000567/image_jnr0slh2fd1cpa7m3463j69f2g/-FJPG/224923-003_DET_4.jpg;https://dd3ka9h4chfr8.cloudfront.net/image/725136000567/image_4d2hjooq2946f5j887amfiht2a/-FJPG/224923-003_DET_5.jpg;https://dd3ka9h4chfr8.cloudfront.net/image/725136000567/image_p7pe6jrp2l26henflsqdrrdd0d/-FJPG/224923-003_DET_6.jpg;https://dd3ka9h4chfr8.cloudfront.net/image/725136000567/image_vvkpv3f7ol38l1tqam53k82b0e/-FJPG/224923-003_DET_7.jpg</t>
  </si>
  <si>
    <t>224923-007</t>
  </si>
  <si>
    <t>https://dd3ka9h4chfr8.cloudfront.net/image/725136000567/image_hu3ffqtkv90e9c3jqefouj120n/-FJPG/224923-003_FRT_1.jpg</t>
  </si>
  <si>
    <t>Brown-washed mango encases six spacious drawers of woven cane, for a textural look with monochromatic vibes.</t>
  </si>
  <si>
    <t>https://dd3ka9h4chfr8.cloudfront.net/image/725136000567/image_ututq177dd5kp5ojflb8n8df6p/-FJPG/224923-001_FRT_1.jpg;https://dd3ka9h4chfr8.cloudfront.net/image/725136000567/image_7bfvqmso5t33lahlq6iogulg64/-FJPG/224923-001_PRM_1.jpg;https://dd3ka9h4chfr8.cloudfront.net/image/725136000567/image_9idrlbo4il3rrdbu164sbq7944/-FJPG/224923-001_SID_1.jpg;https://dd3ka9h4chfr8.cloudfront.net/image/725136000567/image_1glhgt3mhl6mt9vir8dj5d9k74/-FJPG/224923-001_ESS_1.jpg;https://dd3ka9h4chfr8.cloudfront.net/image/725136000567/image_mm643rt0dd37jekilbsetlot4v/-FJPG/224923-001_DET_2.jpg;https://dd3ka9h4chfr8.cloudfront.net/image/725136000567/image_k5cis8k5k16a35s2h4gn8jmi7f/-FJPG/224923-001_BCK_1.jpg;https://dd3ka9h4chfr8.cloudfront.net/image/725136000567/image_arng8go4gh3chad8pq3p3q5l4k/-FJPG/224923-001_DET_1.jpg;https://dd3ka9h4chfr8.cloudfront.net/image/725136000567/image_bqqhniqa2l4ntd9lmgnsgi3314/-FJPG/224923-001_DET_3.jpg;https://dd3ka9h4chfr8.cloudfront.net/image/725136000567/image_pikato0at132ffm6sbvgun9m2q/-FJPG/224923-001_OPN_1.jpg;https://dd3ka9h4chfr8.cloudfront.net/image/725136000567/image_535p3insvl6c56fi4g4k4jhc4d/-FJPG/224923-001_DET_4.jpg;https://dd3ka9h4chfr8.cloudfront.net/image/725136000567/image_6ru0emr6213tr36q6e1bn2aq40/-FJPG/224923-001_DET_5.jpg;https://dd3ka9h4chfr8.cloudfront.net/image/725136000567/image_m1o4rfa80p4ul20lmes60oil5j/-FJPG/224923-001_DET_6.jpg</t>
  </si>
  <si>
    <t>224923-005</t>
  </si>
  <si>
    <t>https://dd3ka9h4chfr8.cloudfront.net/image/725136000567/image_ututq177dd5kp5ojflb8n8df6p/-FJPG/224923-001_FRT_1.jpg</t>
  </si>
  <si>
    <t>Natural mango encases six spacious drawers of woven cane, for a textural look with eye-catching contrast.</t>
  </si>
  <si>
    <t>https://dd3ka9h4chfr8.cloudfront.net/image/725136000567/image_o3t0krrjrp0st34m6n314ipi5l/-FJPG/224923-002_FRT_1.jpg;https://dd3ka9h4chfr8.cloudfront.net/image/725136000567/image_1tbg0ql28l16v95jbcu0lv0u0j/-FJPG/224923-002_PRM_1.jpg;https://dd3ka9h4chfr8.cloudfront.net/image/725136000567/image_t4hs6seeot363e4gi4l3gurv02/-FJPG/224923-002_SID_1.jpg;https://dd3ka9h4chfr8.cloudfront.net/image/725136000567/image_crtodunul90u15lppma4hemb7o/-FJPG/224923-002_ESS_1.jpg;https://dd3ka9h4chfr8.cloudfront.net/image/725136000567/image_7fq17crlhh2q553dqea8cgup4i/-FJPG/224923-002_DET_2.jpg;https://dd3ka9h4chfr8.cloudfront.net/image/725136000567/image_v583pg6g7h6hjfjb51tqpraf3g/-FJPG/224923-002_BCK_1.jpg;https://dd3ka9h4chfr8.cloudfront.net/image/725136000567/image_go15t0r3n559ndp4c40c7mbj0c/-FJPG/224923-002_DET_1.jpg;https://dd3ka9h4chfr8.cloudfront.net/image/725136000567/image_theqv6hglp7q3drakske71di0q/-FJPG/224923-002_DET_3.jpg;https://dd3ka9h4chfr8.cloudfront.net/image/725136000567/image_gsf8poksc90518caj8vpknme6a/-FJPG/224923-002_OPN_1.jpg;https://dd3ka9h4chfr8.cloudfront.net/image/725136000567/image_3i8ds5f00p2mtfbl0pslt9gu0a/-FJPG/224923-002_DET_4.jpg;https://dd3ka9h4chfr8.cloudfront.net/image/725136000567/image_33nu6htaqd0552g5e3kq6t7306/-FJPG/224923-002_DET_5.jpg;https://dd3ka9h4chfr8.cloudfront.net/image/725136000567/image_q17ushvc8p2u50a4k4u5osjc12/-FJPG/224923-002_DET_6.jpg;https://dd3ka9h4chfr8.cloudfront.net/image/725136000567/image_hde5roit7l3k7chv1j8vn9a74k/-FJPG/224923-002_DET_7.jpg;https://dd3ka9h4chfr8.cloudfront.net/image/725136000567/image_hdssd1go5d2c39n9eikjdbtr0v/-FJPG/224923-002_DET_8.jpg</t>
  </si>
  <si>
    <t>224923-006</t>
  </si>
  <si>
    <t>https://dd3ka9h4chfr8.cloudfront.net/image/725136000567/image_o3t0krrjrp0st34m6n314ipi5l/-FJPG/224923-002_FRT_1.jpg</t>
  </si>
  <si>
    <t>Black-washed mango encases six spacious drawers of woven cane, for a textural look with eye-catching contrast.</t>
  </si>
  <si>
    <t>Sydney Bed</t>
  </si>
  <si>
    <t>https://dd3ka9h4chfr8.cloudfront.net/image/725136000567/image_cl0lm3b9vd72p3t6fl7qavbf76/-FJPG/106686-015_PRM_1.jpg;https://dd3ka9h4chfr8.cloudfront.net/image/725136000567/image_uu9jh0s3kh435ei1a47ls62h2a/-FJPG/106686-015_ESS.tif;https://dd3ka9h4chfr8.cloudfront.net/image/725136000567/image_73em6pdhdd22p9khqc3gobh90r/-FJPG/106686-015_DET_2.jpg;https://dd3ka9h4chfr8.cloudfront.net/image/725136000567/image_5cd9hlsotp65n0ev2bonqdd04t/-FJPG/106686-015_DET_1.jpg;https://dd3ka9h4chfr8.cloudfront.net/image/725136000567/image_dk3f2brunt75hfrmm2i5tmu13s/-FJPG/106686-015_DET_3.jpg;https://dd3ka9h4chfr8.cloudfront.net/image/725136000567/image_lc8ds71vj53hte47d9h3l9ti3j/-FJPG/106686-015_DET_4.jpg;https://dd3ka9h4chfr8.cloudfront.net/image/725136000567/image_pjptpjovr90at5bdcrm4ak6v0u/-FJPG/106686-015_DET_5.jpg;https://dd3ka9h4chfr8.cloudfront.net/image/725136000567/image_dds0ojdsg10mrf5qiilb1iko6h/-FJPG/106686-015_DET_6.jpg;https://dd3ka9h4chfr8.cloudfront.net/image/725136000567/image_2ebsafh1l173f6tn5o2oib7p27/-FJPG/106686-015_DET_7.jpg;https://dd3ka9h4chfr8.cloudfront.net/image/725136000567/image_101kp302396ft5idq6547s3717/-FJPG/106686-015_BCK_2.jpg;https://dd3ka9h4chfr8.cloudfront.net/image/725136000567/image_bidj0ralqh38je4oh6qjm6pk1e/-FJPG/106686-015_PRM_2.jpg;https://dd3ka9h4chfr8.cloudfront.net/image/725136000567/image_id61dicid97kh5sn83adgjqd5e/-FJPG/106686-015_FRT_2.jpg;https://dd3ka9h4chfr8.cloudfront.net/image/725136000567/image_v4bf8bhc7139ldfu9lpgkcfn6u/-FJPG/106686-015_SID_2.jpg</t>
  </si>
  <si>
    <t>106686-015</t>
  </si>
  <si>
    <t>148.11</t>
  </si>
  <si>
    <t>https://dd3ka9h4chfr8.cloudfront.net/image/725136000567/image_cl0lm3b9vd72p3t6fl7qavbf76/-FJPG/106686-015_PRM_1.jpg</t>
  </si>
  <si>
    <t>["Solid Mango","Cane"]</t>
  </si>
  <si>
    <t>62.25</t>
  </si>
  <si>
    <t>{"value":62.25,"unit":"in"}</t>
  </si>
  <si>
    <t>83</t>
  </si>
  <si>
    <t>{"value":83,"unit":"in"}</t>
  </si>
  <si>
    <t>Black-washed mango frames an inset of black woven cane, for a textural, monochromatic look.</t>
  </si>
  <si>
    <t>Siderails - Center Rail = Hardware</t>
  </si>
  <si>
    <t>{"value":12.5,"unit":"in"}</t>
  </si>
  <si>
    <t>{"value":110.89,"unit":"lb"}</t>
  </si>
  <si>
    <t>19.38"</t>
  </si>
  <si>
    <t>https://dd3ka9h4chfr8.cloudfront.net/image/725136000567/image_j2fqb57u8d4fj164hig24e9846/-FJPG/106686-016_FRT_1.jpg;https://dd3ka9h4chfr8.cloudfront.net/image/725136000567/image_homretvfet1fn774tib6te2p39/-FJPG/106686-016_PRM_1.jpg;https://dd3ka9h4chfr8.cloudfront.net/image/725136000567/image_c6k433d46p42heenjbnhi86b4o/-FJPG/106686-016_SID_1.jpg;https://dd3ka9h4chfr8.cloudfront.net/image/725136000567/image_uu9jh0s3kh435ei1a47ls62h2a/-FJPG/106686-015_ESS.tif;https://dd3ka9h4chfr8.cloudfront.net/image/725136000567/image_0vi7619ek94qf6gm5d6rihkg5t/-FJPG/106686-016_BCK_1.jpg;https://dd3ka9h4chfr8.cloudfront.net/image/725136000567/image_t12pt3a30h3dpeo9ujf7vsc82b/-FJPG/106686-016_DET_1.jpg;https://dd3ka9h4chfr8.cloudfront.net/image/725136000567/image_e10jnqmvhh2u58n5ncstt2rl21/-FJPG/106686-016_DET_3.jpg;https://dd3ka9h4chfr8.cloudfront.net/image/725136000567/image_vj89jv0r1d3274pjvdp0hcop3i/-FJPG/106686-016_DET_4.jpg;https://dd3ka9h4chfr8.cloudfront.net/image/725136000567/image_0abcasbb014lfbp5gphpk42a7c/-FJPG/106686-016_DET_5.jpg;https://dd3ka9h4chfr8.cloudfront.net/image/725136000567/image_lujv3aoall0rj5vhs1dmqjkj35/-FJPG/106686-016_DET_6.jpg;https://dd3ka9h4chfr8.cloudfront.net/image/725136000567/image_celk58khlp1h53thmd9isq7d6d/-FJPG/106686-016_DET_7.jpg;https://dd3ka9h4chfr8.cloudfront.net/image/725136000567/image_1487lc94095b92l8gdmsm9tm75/-FJPG/106686-016_BCK_2.jpg;https://dd3ka9h4chfr8.cloudfront.net/image/725136000567/image_hll7fstc0d083d1416hequgi63/-FJPG/106686-016_PRM_2.jpg;https://dd3ka9h4chfr8.cloudfront.net/image/725136000567/image_03n2m4aodt75729didbbnirm3c/-FJPG/106686-016_SID_2.jpg;https://dd3ka9h4chfr8.cloudfront.net/image/725136000567/image_57thro0rdd2679l80mbg66mu7h/-FJPG/106686-016_FRT_2.jpg</t>
  </si>
  <si>
    <t>106686-016</t>
  </si>
  <si>
    <t>172.35</t>
  </si>
  <si>
    <t>https://dd3ka9h4chfr8.cloudfront.net/image/725136000567/image_j2fqb57u8d4fj164hig24e9846/-FJPG/106686-016_FRT_1.jpg</t>
  </si>
  <si>
    <t>{"value":118.03,"unit":"lb"}</t>
  </si>
  <si>
    <t>{"value":112.83,"unit":"lb"}</t>
  </si>
  <si>
    <t>79.92"</t>
  </si>
  <si>
    <t>75.98"</t>
  </si>
  <si>
    <t>https://dd3ka9h4chfr8.cloudfront.net/image/725136000567/image_n4nuo5gk7d2vl4kfqrktduoq3i/-FJPG/106686-017_DET_2.jpg;https://dd3ka9h4chfr8.cloudfront.net/image/725136000567/image_0sfck5h79t24ldunkm7tnbon7n/-FJPG/106686-017_DET_1.jpg;https://dd3ka9h4chfr8.cloudfront.net/image/725136000567/image_6jlc6cgv512pj1rptocltf1f58/-FJPG/106686-017_DET_3.jpg;https://dd3ka9h4chfr8.cloudfront.net/image/725136000567/image_qmo07p5n3t1jjdlilkivc6o12h/-FJPG/106686-017_DET_4.jpg;https://dd3ka9h4chfr8.cloudfront.net/image/725136000567/image_idsi61gu6t5mb47o93cieu5s1f/-FJPG/106686-017_DET_5.jpg;https://dd3ka9h4chfr8.cloudfront.net/image/725136000567/image_lec8r4kood28ffpgo9vocj6h1t/-FJPG/106686-017_DET_6.jpg;https://dd3ka9h4chfr8.cloudfront.net/image/725136000567/image_bdn1rshf0h13d4b8dvglrilq59/-FJPG/106686-017_DET_7.jpg;https://dd3ka9h4chfr8.cloudfront.net/image/725136000567/image_se46rbao8l4e1e232qmhosfn2c/-FJPG/106686-017_FRT_2.jpg;https://dd3ka9h4chfr8.cloudfront.net/image/725136000567/image_sfurpakfuh3sv9aoh032noqd3a/-FJPG/106686-017_BCK_2.jpg;https://dd3ka9h4chfr8.cloudfront.net/image/725136000567/image_hvaqv3mb6h18v0tjvopaoef223/-FJPG/106686-017_SID_2.jpg;https://dd3ka9h4chfr8.cloudfront.net/image/725136000567/image_p0oe4qiuqp2ub1mcualg75ag7r/-FJPG/106686-017_PRM_2.jpg</t>
  </si>
  <si>
    <t>106686-017</t>
  </si>
  <si>
    <t>109.04</t>
  </si>
  <si>
    <t>https://dd3ka9h4chfr8.cloudfront.net/image/725136000567/image_n4nuo5gk7d2vl4kfqrktduoq3i/-FJPG/106686-017_DET_2.jpg</t>
  </si>
  <si>
    <t>{"value":56.04,"unit":"lb"}</t>
  </si>
  <si>
    <t>{"value":8.5,"unit":"in"}</t>
  </si>
  <si>
    <t>{"value":72.14,"unit":"lb"}</t>
  </si>
  <si>
    <t>42.52"</t>
  </si>
  <si>
    <t>72.99"</t>
  </si>
  <si>
    <t>https://dd3ka9h4chfr8.cloudfront.net/image/725136000567/image_u63cgsa2f11alds9tthvn0be4k/-FJPG/IPRS-030QB_FRT_1.jpg;https://dd3ka9h4chfr8.cloudfront.net/image/725136000567/image_ic2j89seat37j2m260oh2nk67j/-FJPG/IPRS-030QB_PRM_1.jpg;https://dd3ka9h4chfr8.cloudfront.net/image/725136000567/image_1ksl15fsch7ltddn4d0lu8uk27/-FJPG/IPRS-030QB_SID_1.jpg;https://dd3ka9h4chfr8.cloudfront.net/image/725136000567/image_ka1s0f9dqh4h3dankf1eo1524i/-FJPG/IPRS-030QB_DET_1.jpg;https://dd3ka9h4chfr8.cloudfront.net/image/725136000567/image_15476uaic15dl78f48komgr624/-FJPG/IPRS-030QB_DET_3.jpg;https://dd3ka9h4chfr8.cloudfront.net/image/725136000567/image_bqc0vmh4q94cf8m3hctcg8p85s/-FJPG/IPRS-030QB_DET_4.jpg;https://dd3ka9h4chfr8.cloudfront.net/image/725136000567/image_7dlkmsqvgl2a9bf1iig4g41p53/-FJPG/IPRS-030QB_DET_5.jpg;https://dd3ka9h4chfr8.cloudfront.net/image/725136000567/image_34d2jjt65h74t0u203lbsmek3m/-FJPG/IPRS-030QB_DET_6.jpg;https://dd3ka9h4chfr8.cloudfront.net/image/725136000567/image_ij5rguh8a51n10usufpeqqq91i/-FJPG/IPRS-030QB_DET_7.jpg;https://dd3ka9h4chfr8.cloudfront.net/image/725136000567/image_fucp1fddrd7bjcc2ivcj4ihn6q/-FJPG/IPRS-030QB_DET_8.jpg;https://dd3ka9h4chfr8.cloudfront.net/image/725136000567/image_hp189ajret241903t33grl7j0d/-FJPG/IPRS-030QB_ROM_1.jpg</t>
  </si>
  <si>
    <t>IPRS-030QB</t>
  </si>
  <si>
    <t>https://dd3ka9h4chfr8.cloudfront.net/image/725136000567/image_u63cgsa2f11alds9tthvn0be4k/-FJPG/IPRS-030QB_FRT_1.jpg</t>
  </si>
  <si>
    <t>Black-washed mango frames inset woven cane, for a textural look with  eye-catching contrast. Three-panel head and foot boards add a detail-rich touch. Box spring not required.</t>
  </si>
  <si>
    <t>https://dd3ka9h4chfr8.cloudfront.net/image/725136000567/image_7ohtcro0k171pc2i1d5fob8i64/-FJPG/IPRS-030TB_PRM_1.jpg;https://dd3ka9h4chfr8.cloudfront.net/image/725136000567/image_mrgi0rd4tp34vfv7ac7g0r5n3m/-FJPG/IPRS-030TB_SID_1.jpg;https://dd3ka9h4chfr8.cloudfront.net/image/725136000567/image_kajmgk7t1168laqsoscbu2vg7l/-FJPG/IPRS-030TB_DET_2.jpg;https://dd3ka9h4chfr8.cloudfront.net/image/725136000567/image_akfe4gprdt1n7d3hoedd1cnf0q/-FJPG/IPRS-030TB_DET_1.jpg;https://dd3ka9h4chfr8.cloudfront.net/image/725136000567/image_p5up75uiop6tt7585i97m9e158/-FJPG/IPRS-030TB_DET_3.jpg;https://dd3ka9h4chfr8.cloudfront.net/image/725136000567/image_t9b7hoov1t7ad6l1435chhr33o/-FJPG/IPRS-030TB_DET_4.jpg;https://dd3ka9h4chfr8.cloudfront.net/image/725136000567/image_c7vt1hljhh1h3bnffosegtj43g/-FJPG/IPRS-030TB_DET_5.jpg</t>
  </si>
  <si>
    <t>IPRS-030TB</t>
  </si>
  <si>
    <t>https://dd3ka9h4chfr8.cloudfront.net/image/725136000567/image_7ohtcro0k171pc2i1d5fob8i64/-FJPG/IPRS-030TB_PRM_1.jpg</t>
  </si>
  <si>
    <t>https://dd3ka9h4chfr8.cloudfront.net/image/725136000567/image_bebdhogbhh6fr9ft97rclhn83o/-FJPG/106686-009_FRT_1.jpg;https://dd3ka9h4chfr8.cloudfront.net/image/725136000567/image_1jtg8ant4h33fc1pvm6382r87g/-FJPG/106686-009_PRM_1.jpg;https://dd3ka9h4chfr8.cloudfront.net/image/725136000567/image_hfgg0ut4dh5evbb8nf0ivsuc3v/-FJPG/106686-009_SID_1.jpg;https://dd3ka9h4chfr8.cloudfront.net/image/725136000567/image_thjl368bd10qt8sqeo36q6q87l/-FJPG/106686-009_ESS_1.jpg;https://dd3ka9h4chfr8.cloudfront.net/image/725136000567/image_5te3oct7el00tfu07ruv3avu6k/-FJPG/106686-009_DET_2.jpg;https://dd3ka9h4chfr8.cloudfront.net/image/725136000567/image_8bmvrt1hvt4u7abqu4h08kl70j/-FJPG/106686-009_BCK_1.jpg;https://dd3ka9h4chfr8.cloudfront.net/image/725136000567/image_kjgiv8ismh4ptfo4lhbef1cq7g/-FJPG/106686-009_DET_1.jpg;https://dd3ka9h4chfr8.cloudfront.net/image/725136000567/image_qgq1qe5p092dv8bqk6ot254k67/-FJPG/106686-009_DET_3.jpg;https://dd3ka9h4chfr8.cloudfront.net/image/725136000567/image_0s96vacu9l7md55bjo3tp16b7r/-FJPG/106686-009_DET_4.jpg;https://dd3ka9h4chfr8.cloudfront.net/image/725136000567/image_tf3ksad1ot76bd0jp4pcgu602e/-FJPG/106686-009_DET_5.jpg;https://dd3ka9h4chfr8.cloudfront.net/image/725136000567/image_l9qpu68ipd6a509gm8bovovd0o/-FJPG/106686-009_DET_6.jpg;https://dd3ka9h4chfr8.cloudfront.net/image/725136000567/image_pehil1o0794853r30hv2hvar78/-FJPG/106686-009_SID_2.jpg;https://dd3ka9h4chfr8.cloudfront.net/image/725136000567/image_3f2tfpcsc56ef7bp04e0u8l17r/-FJPG/106686-009_BCK_2.jpg;https://dd3ka9h4chfr8.cloudfront.net/image/725136000567/image_gcifcs98c117fa8cfr6ll0bf7i/-FJPG/106686-009_FRT_2.jpg;https://dd3ka9h4chfr8.cloudfront.net/image/725136000567/image_ug391c8lud4sp64efcqtpa8g4r/-FJPG/106686-009_PRM_2.jpg</t>
  </si>
  <si>
    <t>106686-009</t>
  </si>
  <si>
    <t>https://dd3ka9h4chfr8.cloudfront.net/image/725136000567/image_bebdhogbhh6fr9ft97rclhn83o/-FJPG/106686-009_FRT_1.jpg</t>
  </si>
  <si>
    <t>Brown-washed mango frames woven cane, for a light, textural look with monochromatic vibes. Three-panel head and foot boards add a detail-driven touch.</t>
  </si>
  <si>
    <t>Siderails /Slats &amp; Legs</t>
  </si>
  <si>
    <t>Sylvie Sideboard</t>
  </si>
  <si>
    <t>https://dd3ka9h4chfr8.cloudfront.net/image/725136000567/image_pnq0n51hu95q7cd3eoi46nvf4o/-FJPG/238008-001_FRT_1.jpg;https://dd3ka9h4chfr8.cloudfront.net/image/725136000567/image_o6r9or8rf10837lt8pjs8d5r53/-FJPG/238008-001_PRM_1.jpg;https://dd3ka9h4chfr8.cloudfront.net/image/725136000567/image_pui6h4c1sd1df89id7djdssr6a/-FJPG/238008-001_SID_1.jpg;https://dd3ka9h4chfr8.cloudfront.net/image/725136000567/image_5roaqhc1at2i35pna2aip0701b/-FJPG/238008-001_ESS_1.tif;https://dd3ka9h4chfr8.cloudfront.net/image/725136000567/image_tq9r5fd15p3i1dtfa2nvg0q32c/-FJPG/238008-001_DET_2.jpg;https://dd3ka9h4chfr8.cloudfront.net/image/725136000567/image_5fkkndh6410c39tkqesql4v917/-FJPG/238008-001_BCK_1.jpg;https://dd3ka9h4chfr8.cloudfront.net/image/725136000567/image_tp96q1d21h0df84n99pi8bhg6k/-FJPG/238008-001_DET_1.jpg;https://dd3ka9h4chfr8.cloudfront.net/image/725136000567/image_6isb44qa296o54bkhq5g10gv4g/-FJPG/238008-001_DET_3.jpg;https://dd3ka9h4chfr8.cloudfront.net/image/725136000567/image_bid475m2jh7djaqvp9nf8hhh57/-FJPG/238008-001_OPN_1.jpg;https://dd3ka9h4chfr8.cloudfront.net/image/725136000567/image_k6pditlu4l52f74jp6bgjdpt7i/-FJPG/238008-001_TOP_1.jpg;https://dd3ka9h4chfr8.cloudfront.net/image/725136000567/image_5fgs22ansp7bj665a8fmqu5h55/-FJPG/238008-001_DET_4.jpg;https://dd3ka9h4chfr8.cloudfront.net/image/725136000567/image_slolumll8140beklpsno7o466e/-FJPG/238008-001_DET_5.jpg;https://dd3ka9h4chfr8.cloudfront.net/image/725136000567/image_jdsm803d8p3n9du7gl0qj72l5c/-FJPG/238008-001_DET_6.jpg;https://dd3ka9h4chfr8.cloudfront.net/image/725136000567/image_rv45egr95t6chdki30km8tb568/-FJPG/238008-001_DET_7.jpg;https://dd3ka9h4chfr8.cloudfront.net/image/725136000567/image_ra4emq0k1l37j8remtkj033m7t/-FJPG/238008-001_DET_8.jpg;https://dd3ka9h4chfr8.cloudfront.net/image/725136000567/image_mfm492dbhp4rr0dagj6dmk070k/-FJPG/238008-001_DET_9.jpg;https://dd3ka9h4chfr8.cloudfront.net/image/725136000567/image_rntsrujfm912d1skq4l74umu3g/-FJPG/238008-001_DET_9.tif;https://dd3ka9h4chfr8.cloudfront.net/image/725136000567/image_fl03g77ild2413dh765eliil26/-FJPG/238008-001_DET_10.tif</t>
  </si>
  <si>
    <t>Brushed Dark Brown</t>
  </si>
  <si>
    <t>238008-001</t>
  </si>
  <si>
    <t>240.32</t>
  </si>
  <si>
    <t>https://dd3ka9h4chfr8.cloudfront.net/image/725136000567/image_pnq0n51hu95q7cd3eoi46nvf4o/-FJPG/238008-001_FRT_1.jpg</t>
  </si>
  <si>
    <t>Made from rich oak, a spacious sideboard features wrap stretchers for a fluid, design-forward touch.</t>
  </si>
  <si>
    <t>{"value":286.6,"unit":"lb"}</t>
  </si>
  <si>
    <t>Sylvie</t>
  </si>
  <si>
    <t>Tamara Media Console</t>
  </si>
  <si>
    <t>https://dd3ka9h4chfr8.cloudfront.net/image/725136000567/image_2qmkndvh6p311bmn7bn59no52r/-FJPG/243664-001_FRT_1.jpg;https://dd3ka9h4chfr8.cloudfront.net/image/725136000567/image_v6oucghhpt2075j4vcpgndan1j/-FJPG/243664-001_PRM_1.jpg;https://dd3ka9h4chfr8.cloudfront.net/image/725136000567/image_43a5pelkbl6nl94dgtd8djnr2m/-FJPG/243664-001_SID_1.jpg;https://dd3ka9h4chfr8.cloudfront.net/image/725136000567/image_v0ea84is652mb1ah28nmt06443/-FJPG/243664-001_ESS.tif;https://dd3ka9h4chfr8.cloudfront.net/image/725136000567/image_2o689v3sj94q52mtea3emrb94t/-FJPG/243664-001_DET_2.jpg;https://dd3ka9h4chfr8.cloudfront.net/image/725136000567/image_mje4lr4hu93o7658u4tilsvv1i/-FJPG/243664-001_BCK_1.jpg;https://dd3ka9h4chfr8.cloudfront.net/image/725136000567/image_d33acdvr1h6v79j0n7to0upi75/-FJPG/243664-001_DET_1.jpg;https://dd3ka9h4chfr8.cloudfront.net/image/725136000567/image_1niorflsm547d01bb5ku1a4u33/-FJPG/243664-001_DET_3.jpg;https://dd3ka9h4chfr8.cloudfront.net/image/725136000567/image_9evhahb5g56l51ba8eno64gq2b/-FJPG/243664-001_OPN_1.jpg;https://dd3ka9h4chfr8.cloudfront.net/image/725136000567/image_bt2kfbcsi5725287fium3o7d6u/-FJPG/243664-001_DET_4.jpg;https://dd3ka9h4chfr8.cloudfront.net/image/725136000567/image_fkm21jfuel1fv78j4qf153bv64/-FJPG/243664-001_DET_5.jpg;https://dd3ka9h4chfr8.cloudfront.net/image/725136000567/image_jfihkuggf10r1c81ogop34ca5e/-FJPG/243664-001_DET_6.jpg;https://dd3ka9h4chfr8.cloudfront.net/image/725136000567/image_9shp43v5ll0cr7t3biv1m2sv7n/-FJPG/243664-001_DET_7.jpg;https://dd3ka9h4chfr8.cloudfront.net/image/725136000567/image_mjlo3il8rh33d2lv6ap4naiq31/-FJPG/243664-001_DET_8.jpg;https://dd3ka9h4chfr8.cloudfront.net/image/725136000567/image_9rofvu862h6fr9k913sjhr4m23/-FJPG/243664-001_DET_9.jpg;https://dd3ka9h4chfr8.cloudfront.net/image/725136000567/image_gfleo4f11l3u95hfpi6vta471u/-FJPG/243664-001_DET_9.tif;https://dd3ka9h4chfr8.cloudfront.net/image/725136000567/image_4anqd2js2h209bgm50nh5ii63u/-FJPG/243664-001_OPN_2.jpg</t>
  </si>
  <si>
    <t>243664-001</t>
  </si>
  <si>
    <t>141.3</t>
  </si>
  <si>
    <t>https://dd3ka9h4chfr8.cloudfront.net/image/725136000567/image_2qmkndvh6p311bmn7bn59no52r/-FJPG/243664-001_FRT_1.jpg</t>
  </si>
  <si>
    <t>A spacious console of worn oak features paneled doors, lending texture to a clean-lined design.</t>
  </si>
  <si>
    <t>{"value":162.92,"unit":"lb"}</t>
  </si>
  <si>
    <t>Tamara</t>
  </si>
  <si>
    <t>Tamara Small Cabinet</t>
  </si>
  <si>
    <t>https://dd3ka9h4chfr8.cloudfront.net/image/725136000567/image_rfrobfgto537p8s09sgppcgf6c/-FJPG/246512-001_FRT_1.jpg;https://dd3ka9h4chfr8.cloudfront.net/image/725136000567/image_58au6ogvh50en1pt07ioammk4s/-FJPG/246512-001_PRM_1.jpg;https://dd3ka9h4chfr8.cloudfront.net/image/725136000567/image_fj3utfirs941187ac55fuitt2n/-FJPG/246512-001_SID_1.jpg;https://dd3ka9h4chfr8.cloudfront.net/image/725136000567/image_3qhavr32np7jb2sujpmgj0l237/-FJPG/246512-001_ESS.tif;https://dd3ka9h4chfr8.cloudfront.net/image/725136000567/image_mj3i2j16dh3av9dr50493qre29/-FJPG/246512-001_DET_2.jpg;https://dd3ka9h4chfr8.cloudfront.net/image/725136000567/image_497t762g99225d5pll8ahcvo2f/-FJPG/246512-001_BCK_1.jpg;https://dd3ka9h4chfr8.cloudfront.net/image/725136000567/image_jpa1fn6jv13uvf3pp1cfhnh71r/-FJPG/246512-001_DET_1.jpg;https://dd3ka9h4chfr8.cloudfront.net/image/725136000567/image_u9264fm8693gv0ch0ds7rj9o23/-FJPG/246512-001_DET_3.jpg;https://dd3ka9h4chfr8.cloudfront.net/image/725136000567/image_4ie5mj2s3t0rr7rpk3hum8090q/-FJPG/246512-001_OPN_1.jpg;https://dd3ka9h4chfr8.cloudfront.net/image/725136000567/image_ga40pa9dg57i7cfn53gnsgqv4h/-FJPG/246512-001_DET_4.jpg;https://dd3ka9h4chfr8.cloudfront.net/image/725136000567/image_a1plq3103124hc6gmnh9po9v6a/-FJPG/246512-001_DET_5.jpg;https://dd3ka9h4chfr8.cloudfront.net/image/725136000567/image_t5ivfejudh1s12c569r4ru370j/-FJPG/246512-001_DET_6.jpg;https://dd3ka9h4chfr8.cloudfront.net/image/725136000567/image_m9t6uf7k056n96ucdm63a2li6a/-FJPG/246512-001_DET_7.jpg;https://dd3ka9h4chfr8.cloudfront.net/image/725136000567/image_oidgreq86t50h7sq78vnjr8m0i/-FJPG/246512-001_DET_8.jpg;https://dd3ka9h4chfr8.cloudfront.net/image/725136000567/image_v2s5qjp5bd1j7cepdjnu7u4632/-FJPG/246512-001_DET_9.tif;https://dd3ka9h4chfr8.cloudfront.net/image/725136000567/image_kq34irtsv52d7aeksns951v91n/-FJPG/246512-001_OPN_2.jpg</t>
  </si>
  <si>
    <t>246512-001</t>
  </si>
  <si>
    <t>89.5</t>
  </si>
  <si>
    <t>https://dd3ka9h4chfr8.cloudfront.net/image/725136000567/image_rfrobfgto537p8s09sgppcgf6c/-FJPG/246512-001_FRT_1.jpg</t>
  </si>
  <si>
    <t>Small-scale cabinetry of worn oak features paneled doors, lending texture to a clean-lined design.</t>
  </si>
  <si>
    <t>{"value":108.47,"unit":"lb"}</t>
  </si>
  <si>
    <t>Taryn Chair</t>
  </si>
  <si>
    <t>https://dd3ka9h4chfr8.cloudfront.net/image/725136000567/image_q5ms1hpmed2m16p4b14eecum4b/-FJPG/106096-008_FRT_1.jpg;https://dd3ka9h4chfr8.cloudfront.net/image/725136000567/image_h66soh742t3g14ctc0btr93m4b/-FJPG/106096-008_PRM_1.jpg;https://dd3ka9h4chfr8.cloudfront.net/image/725136000567/image_ondeh35hip4cpfq4vi769om31j/-FJPG/106096-008_SID_1.jpg;https://dd3ka9h4chfr8.cloudfront.net/image/725136000567/image_b1gfd65qtt4ejasvugioep4o7q/-FJPG/106096-008_DET_2.jpg;https://dd3ka9h4chfr8.cloudfront.net/image/725136000567/image_c6ucrl1p753497ditd4vbgnr6r/-FJPG/106096-008_BCK_1.jpg;https://dd3ka9h4chfr8.cloudfront.net/image/725136000567/image_22mfj44se16kj58dlvd04tio38/-FJPG/106096-008_DET_1.jpg;https://dd3ka9h4chfr8.cloudfront.net/image/725136000567/image_na9prvtrol2tletnhbubi23862/-FJPG/106096-008_DET_3.jpg;https://dd3ka9h4chfr8.cloudfront.net/image/725136000567/image_qs7l5eeah15lj98tnl17f6tn58/-FJPG/106096-008_DET_4.jpg;https://dd3ka9h4chfr8.cloudfront.net/image/725136000567/image_ldqr4m6pg97nv40ovab6vavp20/-FJPG/106096-008_DET_5.jpg;https://dd3ka9h4chfr8.cloudfront.net/image/725136000567/image_gairgmea991ln8cmng7ldb8o0i/-FJPG/106096-008_DET_6.jpg;https://dd3ka9h4chfr8.cloudfront.net/image/725136000567/image_4rnf9r9ush3gv0v69j3vhtg97m/-FJPG/106096-008_ROM_1.jpg</t>
  </si>
  <si>
    <t>106096-008</t>
  </si>
  <si>
    <t>36.16</t>
  </si>
  <si>
    <t>https://dd3ka9h4chfr8.cloudfront.net/image/725136000567/image_q5ms1hpmed2m16p4b14eecum4b/-FJPG/106096-008_FRT_1.jpg</t>
  </si>
  <si>
    <t>A nod to relaxed modernism, a warm butterscotch hue plays up the natural depth of Four Hands-exclusive top-grain leather, with buckle details and low-slung styling crafting the hippest of vibes.Â </t>
  </si>
  <si>
    <t>Complete Item/ L-Shaped Box</t>
  </si>
  <si>
    <t>{"value":55.34,"unit":"lb"}</t>
  </si>
  <si>
    <t>Taryn</t>
  </si>
  <si>
    <t>35% Polyester Fiber Batting, 35% Waterfowl Feather, 30% Polyurethane Foam Pad</t>
  </si>
  <si>
    <t>https://dd3ka9h4chfr8.cloudfront.net/image/725136000567/image_svahm5dij15bv0nafpclu2pv65/-FJPG/106096-007_FRT_1.jpg;https://dd3ka9h4chfr8.cloudfront.net/image/725136000567/image_0ompvc12et7e502smbvrv8qj3v/-FJPG/106096-007_PRM_1.jpg;https://dd3ka9h4chfr8.cloudfront.net/image/725136000567/image_cd50q22f5l2jldgjsdb33de91t/-FJPG/106096-007_SID_1.jpg;https://dd3ka9h4chfr8.cloudfront.net/image/725136000567/image_89neeed53p0dtfb2p7jh1crf3l/-FJPG/106096-007_ESS_1.jpg;https://dd3ka9h4chfr8.cloudfront.net/image/725136000567/image_agug2fklkd1p74s0l7eb8tbf0e/-FJPG/106096-007_DET_2.jpg;https://dd3ka9h4chfr8.cloudfront.net/image/725136000567/image_ok4a65sfvt3r927bdoej7tbi5l/-FJPG/106096-007_BCK_1.jpg;https://dd3ka9h4chfr8.cloudfront.net/image/725136000567/image_qe8ermh62p3i9fq5csb5spge5v/-FJPG/106096-007_DET_1.jpg;https://dd3ka9h4chfr8.cloudfront.net/image/725136000567/image_ensvf7gbu15kh57gu39cb4cs2n/-FJPG/106096-007_DET_3.jpg;https://dd3ka9h4chfr8.cloudfront.net/image/725136000567/image_n3ufo5pppp1ad1tmoaar7e7h4k/-FJPG/106096-007_DET_4.jpg;https://dd3ka9h4chfr8.cloudfront.net/image/725136000567/image_ou7p3eihf91711kpd0vud8dh6c/-FJPG/106096-007_DET_5.jpg;https://dd3ka9h4chfr8.cloudfront.net/image/725136000567/image_66vb6k12pt5hd0ghc8mrkr0n79/-FJPG/106096-007_DET_6.jpg;https://dd3ka9h4chfr8.cloudfront.net/image/725136000567/image_jvclsjfcnl6nbekdds9qhr8128/-FJPG/106096-007_DET_7.jpg;https://dd3ka9h4chfr8.cloudfront.net/image/725136000567/image_pba5rhtoid6815qgi935lp2r7k/-FJPG/106096-007_VIG_1.jpg;https://dd3ka9h4chfr8.cloudfront.net/image/725136000567/image_qdhgslenp91132baklt34pcn6r/-FJPG/106096-007_VIG_2.jpg</t>
  </si>
  <si>
    <t>106096-007</t>
  </si>
  <si>
    <t>https://dd3ka9h4chfr8.cloudfront.net/image/725136000567/image_svahm5dij15bv0nafpclu2pv65/-FJPG/106096-007_FRT_1.jpg</t>
  </si>
  <si>
    <t>https://dd3ka9h4chfr8.cloudfront.net/image/725136000567/image_3bu4rc21al53p5eh7acqdbm877/-FJPG/106096-009_FRT_1.jpg;https://dd3ka9h4chfr8.cloudfront.net/image/725136000567/image_g61pchptn52tlcqd27tr0sbs6m/-FJPG/106096-009_PRM_1.jpg;https://dd3ka9h4chfr8.cloudfront.net/image/725136000567/image_4s308raiql4od4to3pt8sj7j08/-FJPG/106096-009_SID_1.jpg;https://dd3ka9h4chfr8.cloudfront.net/image/725136000567/image_oh4jqf019t31teqgd74u5rpf52/-FJPG/106096-009_DET_2.jpg;https://dd3ka9h4chfr8.cloudfront.net/image/725136000567/image_p4moq5jfd11qr2uj84qc4v9o6f/-FJPG/106096-009_BCK_1.jpg;https://dd3ka9h4chfr8.cloudfront.net/image/725136000567/image_skav1o6lq97fp464e2bfd54j02/-FJPG/106096-009_DET_1.jpg;https://dd3ka9h4chfr8.cloudfront.net/image/725136000567/image_tfdbupf6m95ktb66klm7me780p/-FJPG/106096-009_DET_3.jpg;https://dd3ka9h4chfr8.cloudfront.net/image/725136000567/image_e1vavv1as954de8g52oc1gpb3s/-FJPG/106096-009_GRP_1.jpg;https://dd3ka9h4chfr8.cloudfront.net/image/725136000567/image_bu2aosgu2p7799hb3k1fm6a06p/-FJPG/106096-009_DET_4.jpg;https://dd3ka9h4chfr8.cloudfront.net/image/725136000567/image_5guavr0qch7mf2rplh9odrm70l/-FJPG/106096-009_DET_5.jpg;https://dd3ka9h4chfr8.cloudfront.net/image/725136000567/image_ii98r3b5n10jh9606a9vrvqi1q/-FJPG/106096-009_DET_6.jpg;https://dd3ka9h4chfr8.cloudfront.net/image/725136000567/image_hutdtqkmvd6m32jts04c6ea54o/-FJPG/106096-009_ROM_1.jpg</t>
  </si>
  <si>
    <t>106096-009</t>
  </si>
  <si>
    <t>https://dd3ka9h4chfr8.cloudfront.net/image/725136000567/image_3bu4rc21al53p5eh7acqdbm877/-FJPG/106096-009_FRT_1.jpg</t>
  </si>
  <si>
    <t>Aged Brass</t>
  </si>
  <si>
    <t>A nod to relaxed modernism, a jet-black hue plays up the natural depth of Four Hands-exclusive top-grain leather, with buckle details and low-slung styling crafting the hippest of vibes.</t>
  </si>
  <si>
    <t>Teak Square Stool</t>
  </si>
  <si>
    <t>https://dd3ka9h4chfr8.cloudfront.net/image/725136000567/image_g8j4ifiugl4sdco1prah6f6e0u/-FJPG/227026-003_FRT_1.jpg;https://dd3ka9h4chfr8.cloudfront.net/image/725136000567/image_lm7tingpjt5j907pn8fq3fn705/-FJPG/227026-003_PRM_1.jpg;https://dd3ka9h4chfr8.cloudfront.net/image/725136000567/image_6fgkd04ih97uja9vhtcp8v471d/-FJPG/227026-003_SID_1.jpg;https://dd3ka9h4chfr8.cloudfront.net/image/725136000567/image_hqolrg372p6nj4p2gr30dfq15a/-FJPG/227026-003_DET_2.jpg;https://dd3ka9h4chfr8.cloudfront.net/image/725136000567/image_t58thj48251v34dvqhc6b5c86i/-FJPG/227026-003_BCK_1.jpg;https://dd3ka9h4chfr8.cloudfront.net/image/725136000567/image_vnk6hf0i9d3tld9ghaqfnvtr5l/-FJPG/227026-003_DET_1.jpg;https://dd3ka9h4chfr8.cloudfront.net/image/725136000567/image_0on5jkb67p59j1qkjvmbc2f23b/-FJPG/227026-003_DET_3.jpg;https://dd3ka9h4chfr8.cloudfront.net/image/725136000567/image_l3ds5lntm54918t1i6d9aehr49/-FJPG/227026-003_DET_4.jpg;https://dd3ka9h4chfr8.cloudfront.net/image/725136000567/image_1mta5kupfh0pt6kn3ifjvj367i/-FJPG/227026-003_DET_5.jpg;https://dd3ka9h4chfr8.cloudfront.net/image/725136000567/image_e35l9fulnl4otffolp2jphcp5p/-FJPG/227026-003_DET_6.jpg;https://dd3ka9h4chfr8.cloudfront.net/image/725136000567/image_jjh7778nht5ida5a2vc7u95l34/-FJPG/227026-003_PRM_VAR-6.jpg;https://dd3ka9h4chfr8.cloudfront.net/image/725136000567/image_apb9l4b5sh7v5d9v2vgg9ppu0l/-FJPG/227026-003_PRM_VAR-5.jpg;https://dd3ka9h4chfr8.cloudfront.net/image/725136000567/image_ppqm1b9f6d51903tq0s78g7s6f/-FJPG/227026-003_PRM_VAR-2.jpg;https://dd3ka9h4chfr8.cloudfront.net/image/725136000567/image_edrd60jp852u71pfq7gd8vg75u/-FJPG/227026-003_PRM_VAR-3.jpg;https://dd3ka9h4chfr8.cloudfront.net/image/725136000567/image_7tv3i66aj566t567qjgkd02b1f/-FJPG/227026-003_PRM_VAR-1.jpg;https://dd3ka9h4chfr8.cloudfront.net/image/725136000567/image_h9d27vi3c12ntb5hkjt7qf1l40/-FJPG/227026-003_PRM_VAR-7.jpg;https://dd3ka9h4chfr8.cloudfront.net/image/725136000567/image_pii7cabj0l3437odf80mjdeu5u/-FJPG/227026-003_TOP_VAR-2.jpg;https://dd3ka9h4chfr8.cloudfront.net/image/725136000567/image_7tlcgnta4t33hftlk25b5l9p3n/-FJPG/227026-003_TOP_VAR-4.jpg;https://dd3ka9h4chfr8.cloudfront.net/image/725136000567/image_htnofr1brh3tn39fjkfhh9la56/-FJPG/227026-003_TOP_VAR-3.jpg;https://dd3ka9h4chfr8.cloudfront.net/image/725136000567/image_7j72ajulrl4n144verpvb7006o/-FJPG/227026-003_PRM_VAR-8.jpg;https://dd3ka9h4chfr8.cloudfront.net/image/725136000567/image_2ksaerjdvh1c3b0ep2hfo40861/-FJPG/227026-003_PRM_VAR-4.jpg;https://dd3ka9h4chfr8.cloudfront.net/image/725136000567/image_9glegus1gd79rdbiqhnmggov63/-FJPG/227026-003_TOP_VAR-1.jpg</t>
  </si>
  <si>
    <t>227026-003</t>
  </si>
  <si>
    <t>https://dd3ka9h4chfr8.cloudfront.net/image/725136000567/image_g8j4ifiugl4sdco1prah6f6e0u/-FJPG/227026-003_FRT_1.jpg</t>
  </si>
  <si>
    <t>Outdoor Benches &amp; Stools</t>
  </si>
  <si>
    <t>Outdoor Accent Benches &amp; Stools</t>
  </si>
  <si>
    <t>{"value":53.57,"unit":"lb"}</t>
  </si>
  <si>
    <t>Teak</t>
  </si>
  <si>
    <t>The 1500 Kilometer Dining Table</t>
  </si>
  <si>
    <t>https://dd3ka9h4chfr8.cloudfront.net/image/725136000567/image_4vjttcirrh5ib433av1fdkn86g/-FJPG/237659-002_FRT_1.jpg;https://dd3ka9h4chfr8.cloudfront.net/image/725136000567/image_cao2m4rfg144jbtk1s82p62d0g/-FJPG/237659-002_PRM_1.jpg;https://dd3ka9h4chfr8.cloudfront.net/image/725136000567/image_6e85tvkbgt2b11b7cjv9kvj93m/-FJPG/237659-002_SID_1.jpg;https://dd3ka9h4chfr8.cloudfront.net/image/725136000567/image_5tbav0im2t4ph9n6ha9aknh46f/-FJPG/237659-002_ESS_1.tif;https://dd3ka9h4chfr8.cloudfront.net/image/725136000567/image_r3gj3i02p96031prbecg7crk1k/-FJPG/237659-002_DET_2.jpg;https://dd3ka9h4chfr8.cloudfront.net/image/725136000567/image_ncf61mbo4d0o599up87v3p8r0o/-FJPG/237659-002_DET_1.jpg;https://dd3ka9h4chfr8.cloudfront.net/image/725136000567/image_iker2hjp9d3716ibije7hv2s0t/-FJPG/237659-002_DET_3.jpg;https://dd3ka9h4chfr8.cloudfront.net/image/725136000567/image_t49ppp9mvd5838rvvonk4uma48/-FJPG/237659-002_TOP_1.jpg;https://dd3ka9h4chfr8.cloudfront.net/image/725136000567/image_llsq06fotd7nt6g929hof7rp4u/-FJPG/237659-002_DET_4.jpg;https://dd3ka9h4chfr8.cloudfront.net/image/725136000567/image_gv5j1kj00p3tt6481tjtnfeo4n/-FJPG/237659-002_DET_5.jpg;https://dd3ka9h4chfr8.cloudfront.net/image/725136000567/image_q5dkch4rhd4ede14dlico5o30u/-FJPG/237659-002_ESS_2.tif</t>
  </si>
  <si>
    <t>237659-002</t>
  </si>
  <si>
    <t>https://dd3ka9h4chfr8.cloudfront.net/image/725136000567/image_4vjttcirrh5ib433av1fdkn86g/-FJPG/237659-002_FRT_1.jpg</t>
  </si>
  <si>
    <t>114</t>
  </si>
  <si>
    <t>{"value":114,"unit":"in"}</t>
  </si>
  <si>
    <t>By the makers at Van Thiel, known for their antique-inspired pieces and hand-applied finishes. This grand-scale vintage-style dining table is crafted from solid pine with X-structure stretchers beneath for extra support. Features hand-distressing throughout for the look of a handed-down piece. Seats 12.</t>
  </si>
  <si>
    <t>The 1500 Kilometer</t>
  </si>
  <si>
    <t>28.62"</t>
  </si>
  <si>
    <t>28.82"</t>
  </si>
  <si>
    <t>94.13"</t>
  </si>
  <si>
    <t>9.94"</t>
  </si>
  <si>
    <t>The Pimms Table</t>
  </si>
  <si>
    <t>https://dd3ka9h4chfr8.cloudfront.net/image/725136000567/image_tfqvr26vvh7h590k4qln1no65t/-FJPG/238732-001_FRT_1.jpg;https://dd3ka9h4chfr8.cloudfront.net/image/725136000567/image_rcrhvfs4e91bd2qiukf2m1sg29/-FJPG/238732-001_PRM_1.jpg;https://dd3ka9h4chfr8.cloudfront.net/image/725136000567/image_akbr27h9ft1e3511qfmpogdv27/-FJPG/238732-001_SID_1.jpg;https://dd3ka9h4chfr8.cloudfront.net/image/725136000567/image_km96gt161p1ib5iuavvqqnf65p/-FJPG/238732-001_ESS_1.jpg;https://dd3ka9h4chfr8.cloudfront.net/image/725136000567/image_sp3ntd517l4eh6q4qmrfkav356/-FJPG/238732-001_ESS_1.tif;https://dd3ka9h4chfr8.cloudfront.net/image/725136000567/image_amtdhp24f94qv1q0u7a34d7n19/-FJPG/238732-001_DET_2.jpg;https://dd3ka9h4chfr8.cloudfront.net/image/725136000567/image_s783qsl75p1cl3b15nmj2v4a71/-FJPG/238732-001_BCK_1..jpg;https://dd3ka9h4chfr8.cloudfront.net/image/725136000567/image_96mcagsphd1ldaucs6m31tc209/-FJPG/238732-001_BCK_1.jpg;https://dd3ka9h4chfr8.cloudfront.net/image/725136000567/image_54gvrs0aoh3q55agnf037lmr11/-FJPG/238732-001_DET_1.jpg;https://dd3ka9h4chfr8.cloudfront.net/image/725136000567/image_3aclbc4f5d3sl7hjdn7ccbsh1b/-FJPG/238732-001_DET_3.jpg;https://dd3ka9h4chfr8.cloudfront.net/image/725136000567/image_81gt2tf72575n6fv8b3j5p276a/-FJPG/238732-001_TOP_1.jpg;https://dd3ka9h4chfr8.cloudfront.net/image/725136000567/image_d48mq287ih6mj6r5tnri0ne93a/-FJPG/238732-001_DET_4.jpg;https://dd3ka9h4chfr8.cloudfront.net/image/725136000567/image_krhpiq125h6p13sv9u15i56u5g/-FJPG/238732-001_DET_5.jpg</t>
  </si>
  <si>
    <t>238732-001</t>
  </si>
  <si>
    <t>https://dd3ka9h4chfr8.cloudfront.net/image/725136000567/image_tfqvr26vvh7h590k4qln1no65t/-FJPG/238732-001_FRT_1.jpg</t>
  </si>
  <si>
    <t>["Pine Veneer","Solid Pine","Zinc Alloy"]</t>
  </si>
  <si>
    <t>Brown-finished pine forms a versatile three-legged end table with a playful feel. By the makers at Van Thiel, known for their antique-inspired pieces and hand-applied finishes.</t>
  </si>
  <si>
    <t>The Pimms</t>
  </si>
  <si>
    <t>1.08"</t>
  </si>
  <si>
    <t>Theodore Bookcase</t>
  </si>
  <si>
    <t>https://dd3ka9h4chfr8.cloudfront.net/image/725136000567/image_eia2hmn8j14dd997aq75bhns1t/-FJPG/245273-001_FRT_1.jpg;https://dd3ka9h4chfr8.cloudfront.net/image/725136000567/image_5u6j0unoa94rjal74lqp045e5a/-FJPG/245273-001_PRM_1.jpg;https://dd3ka9h4chfr8.cloudfront.net/image/725136000567/image_q6tm6i5kcd503d89kpi2kgrj0s/-FJPG/245273-001_SID_1.jpg;https://dd3ka9h4chfr8.cloudfront.net/image/725136000567/image_u5h0d21ts57vba2ktf7sisu17a/-FJPG/245273-001_ESS.tif;https://dd3ka9h4chfr8.cloudfront.net/image/725136000567/image_otgpafv9vh74f97t2vqgt97e2d/-FJPG/245273-001_DET_2.jpg;https://dd3ka9h4chfr8.cloudfront.net/image/725136000567/image_8u4kfatsit7ot3tbcokq9och0i/-FJPG/245273-001_DET_1.jpg;https://dd3ka9h4chfr8.cloudfront.net/image/725136000567/image_n2e2a5rrvt31n7f0qbfa651u57/-FJPG/245273-001_DET_3.jpg;https://dd3ka9h4chfr8.cloudfront.net/image/725136000567/image_d5k9atpdhl3tf25tcn9h4erk5l/-FJPG/245273-001_DET_4.jpg;https://dd3ka9h4chfr8.cloudfront.net/image/725136000567/image_4e2mt8evel7t5725pc54bfrp0q/-FJPG/245273-001_DET_5.jpg;https://dd3ka9h4chfr8.cloudfront.net/image/725136000567/image_9p4gn2adol2gv3p5olanacf233/-FJPG/245273-001_DET_9.tif;https://dd3ka9h4chfr8.cloudfront.net/image/725136000567/image_88013kjlnt6rrc987ts9t1bk5m/-FJPG/245273-001_DET_10.tif;https://dd3ka9h4chfr8.cloudfront.net/image/725136000567/image_b53i95msnp373av1ek4vr4fb15/-FJPG/FHMPRJ016_SCENE-3.tif</t>
  </si>
  <si>
    <t>245273-001</t>
  </si>
  <si>
    <t>207.23</t>
  </si>
  <si>
    <t>https://dd3ka9h4chfr8.cloudfront.net/image/725136000567/image_eia2hmn8j14dd997aq75bhns1t/-FJPG/245273-001_FRT_1.jpg</t>
  </si>
  <si>
    <t>Wide and stately, with plenty of space for storage and display. A bookcase made from rustic amber-finished oak shapes a wide floating shelf design, with layered cross supports bringing an architectural feel to the office or living room.</t>
  </si>
  <si>
    <t>{"value":66.54,"unit":"in"}</t>
  </si>
  <si>
    <t>52.05"</t>
  </si>
  <si>
    <t>Theodore</t>
  </si>
  <si>
    <t>Theodore Media Console</t>
  </si>
  <si>
    <t>https://dd3ka9h4chfr8.cloudfront.net/image/725136000567/image_32ifis76l54fdel0pv1ttk9l6u/-FJPG/246795-001_FRT_1.jpg;https://dd3ka9h4chfr8.cloudfront.net/image/725136000567/image_os6gojdp3165d1ohav3scs990n/-FJPG/246795-001_PRM_1.jpg;https://dd3ka9h4chfr8.cloudfront.net/image/725136000567/image_e0uk9pe3g556v04cp218eac60p/-FJPG/246795-001_SID_1.jpg;https://dd3ka9h4chfr8.cloudfront.net/image/725136000567/image_btdg06b1th76942t8hb0nqdm73/-FJPG/246795-001_ESS.tif;https://dd3ka9h4chfr8.cloudfront.net/image/725136000567/image_ki6sciou8t3jb647eptq3a6v7n/-FJPG/246795-001_DET_2.jpg;https://dd3ka9h4chfr8.cloudfront.net/image/725136000567/image_07sbt0l6dh1i9emq1r8aa7i06t/-FJPG/246795-001_DET_1.jpg;https://dd3ka9h4chfr8.cloudfront.net/image/725136000567/image_f7bci15ald4pt5qgff7dba741d/-FJPG/246795-001_DET_3.jpg;https://dd3ka9h4chfr8.cloudfront.net/image/725136000567/image_5u2el2c97t3mtd6eccpg4fi673/-FJPG/246795-001_TOP_1.jpg;https://dd3ka9h4chfr8.cloudfront.net/image/725136000567/image_pdrg5gi93d75pch0a1gv2vjg7n/-FJPG/246795-001_DET_4.jpg;https://dd3ka9h4chfr8.cloudfront.net/image/725136000567/image_o87bpe49uh1sjbpfs2ngqog03v/-FJPG/246795-001_DET_5.jpg;https://dd3ka9h4chfr8.cloudfront.net/image/725136000567/image_ea8cs25vbh5dl4h2gu4g9oh54r/-FJPG/246795-001_DET_9.tif</t>
  </si>
  <si>
    <t>246795-001</t>
  </si>
  <si>
    <t>https://dd3ka9h4chfr8.cloudfront.net/image/725136000567/image_32ifis76l54fdel0pv1ttk9l6u/-FJPG/246795-001_FRT_1.jpg</t>
  </si>
  <si>
    <t>A truly versatile design made from rustic amber oak, wide tiers of float-style shelves bring storage and display to any room. Layered cross supports add an architectural touch.</t>
  </si>
  <si>
    <t>70.04"</t>
  </si>
  <si>
    <t>Thurston Sofa</t>
  </si>
  <si>
    <t>https://dd3ka9h4chfr8.cloudfront.net/image/725136000567/image_8fd7st5vit6ol8m636qrrh2u48/-FJPG/236997-002_FRT_1.jpg;https://dd3ka9h4chfr8.cloudfront.net/image/725136000567/image_ci6ljq62qd693fkpbv3df7e97d/-FJPG/236997-002_PRM_1.jpg;https://dd3ka9h4chfr8.cloudfront.net/image/725136000567/image_aj3f3rrnfh3bdahbaj3s5n6f0b/-FJPG/236997-002_SID_1.jpg;https://dd3ka9h4chfr8.cloudfront.net/image/725136000567/image_g1t1mka4ih3th7ei7c1k4hmc2n/-FJPG/236997-002_ESS_1.tif;https://dd3ka9h4chfr8.cloudfront.net/image/725136000567/image_qlocd0e05t2h3a5q0klufhvf2k/-FJPG/236997-002_DET_2.jpg;https://dd3ka9h4chfr8.cloudfront.net/image/725136000567/image_52bnmnbdi51l17ra2brb395t24/-FJPG/236997-002_BCK_1.jpg;https://dd3ka9h4chfr8.cloudfront.net/image/725136000567/image_2o68c98qtl5ll1mf600tq02o2t/-FJPG/236997-002_DET_1.jpg;https://dd3ka9h4chfr8.cloudfront.net/image/725136000567/image_qc0s3ti1il3cfehodn0uer4l4q/-FJPG/236997-002_DET_3.jpg;https://dd3ka9h4chfr8.cloudfront.net/image/725136000567/image_0h0ccuk8953gbabrssecp9sg4c/-FJPG/236997-002_DET_4.jpg;https://dd3ka9h4chfr8.cloudfront.net/image/725136000567/image_ih0dvp6ar171l085uvjdjgiq4k/-FJPG/236997-002_DET_5.jpg;https://dd3ka9h4chfr8.cloudfront.net/image/725136000567/image_6bj2dth4d916l0b6ujuj927q7g/-FJPG/236997-002_DET_6.jpg;https://dd3ka9h4chfr8.cloudfront.net/image/725136000567/image_qlv72s9im11h57cnd3em64ea7f/-FJPG/236997-002_ESS_9.tif</t>
  </si>
  <si>
    <t>236997-002</t>
  </si>
  <si>
    <t>https://dd3ka9h4chfr8.cloudfront.net/image/725136000567/image_8fd7st5vit6ol8m636qrrh2u48/-FJPG/236997-002_FRT_1.jpg</t>
  </si>
  <si>
    <t>A modern take on the traditional Chesterfield sofa. Designed with buttonless-tufting in a diamond pattern around the arms and back, and a clean bench seat for subtle contrast. Upholstered in a soft, buttery top-grain leather in rich camel that pairs perfectly with classically tapered parawood legs.</t>
  </si>
  <si>
    <t>Onesofa</t>
  </si>
  <si>
    <t>{"value":162.04,"unit":"lb"}</t>
  </si>
  <si>
    <t>81.61"</t>
  </si>
  <si>
    <t>75% Polyurethane Foam,15% Feather 10% Fiber</t>
  </si>
  <si>
    <t>Thurston</t>
  </si>
  <si>
    <t>9.61"</t>
  </si>
  <si>
    <t>35.04"</t>
  </si>
  <si>
    <t>7.20"</t>
  </si>
  <si>
    <t>92.09"</t>
  </si>
  <si>
    <t>Tig End Table</t>
  </si>
  <si>
    <t>https://dd3ka9h4chfr8.cloudfront.net/image/725136000567/image_nc249b4v2t2kvfe0ie6b6oeu5b/-FJPG/227723-001_FRT_1.jpg;https://dd3ka9h4chfr8.cloudfront.net/image/725136000567/image_b2p92bs9ep1kv1fdl3dd57hs4k/-FJPG/227723-001_PRM_1.jpg;https://dd3ka9h4chfr8.cloudfront.net/image/725136000567/image_ku4ffcen351ivbf1uagng1in3s/-FJPG/227723-001_SID_1.jpg;https://dd3ka9h4chfr8.cloudfront.net/image/725136000567/image_kvl8v3k7qp7rra5vhu2jijuk4f/-FJPG/227723-001_DET_2.jpg;https://dd3ka9h4chfr8.cloudfront.net/image/725136000567/image_o4ei6jndut35f95ufbfqqqnk51/-FJPG/227723-001_BCK_1.jpg;https://dd3ka9h4chfr8.cloudfront.net/image/725136000567/image_nrkr1s9ac95i10uvvp9fjvdt5n/-FJPG/227723-001_DET_1.jpg;https://dd3ka9h4chfr8.cloudfront.net/image/725136000567/image_4kogn5pdnd1dl1td7pc3av0j7q/-FJPG/227723-001_DET_3.jpg;https://dd3ka9h4chfr8.cloudfront.net/image/725136000567/image_v0ut3kvfi96ftf27bhf3umiu1n/-FJPG/227723-001_DET_4.jpg;https://dd3ka9h4chfr8.cloudfront.net/image/725136000567/image_aagmh3okhd4tpd4l9id7u1ta05/-FJPG/227723-001_DET_5.jpg;https://dd3ka9h4chfr8.cloudfront.net/image/725136000567/image_ptpkh3pe113ftdtfh1e5jp6p0u/-FJPG/227723-001_DET_6.jpg;https://dd3ka9h4chfr8.cloudfront.net/image/725136000567/image_1thtk29hel7uh1krsf5pt7hu5k/-FJPG/227723-001_VIG_1.jpg</t>
  </si>
  <si>
    <t>227723-001</t>
  </si>
  <si>
    <t>https://dd3ka9h4chfr8.cloudfront.net/image/725136000567/image_nc249b4v2t2kvfe0ie6b6oeu5b/-FJPG/227723-001_FRT_1.jpg</t>
  </si>
  <si>
    <t>9.25</t>
  </si>
  <si>
    <t>{"value":15.35,"unit":"in"}</t>
  </si>
  <si>
    <t>{"value":18.3,"unit":"lb"}</t>
  </si>
  <si>
    <t>Tig</t>
  </si>
  <si>
    <t>Tillery Power Recliner 3-Piece Sectional</t>
  </si>
  <si>
    <t>https://dd3ka9h4chfr8.cloudfront.net/image/725136000567/image_smon1d7v996tb8q29oe38gpg7g/-FJPG/238975-001_FRT_1.jpg;https://dd3ka9h4chfr8.cloudfront.net/image/725136000567/image_dep69bjgu16h52c1dr5c67om0o/-FJPG/238975-001_PRM_1.jpg;https://dd3ka9h4chfr8.cloudfront.net/image/725136000567/image_3vq7cq48cp18t82v8tre2lck45/-FJPG/238975-001_SID_1.jpg;https://dd3ka9h4chfr8.cloudfront.net/image/725136000567/image_t7ctgjdvr971d0oakuhshb9p0s/-FJPG/238975-001_ESS.tif;https://dd3ka9h4chfr8.cloudfront.net/image/725136000567/image_k49e014d2h0sj43i42hqlblr5h/-FJPG/238975-001_DET_2.jpg;https://dd3ka9h4chfr8.cloudfront.net/image/725136000567/image_bq7ll2i7g144r6p4abb8baip49/-FJPG/238975-001_BCK_1.jpg;https://dd3ka9h4chfr8.cloudfront.net/image/725136000567/image_oaahl9bbil359es2rgkqeftp22/-FJPG/238975-001_DET_1.jpg;https://dd3ka9h4chfr8.cloudfront.net/image/725136000567/image_k2i35kf8c543fdqh1favohhp4l/-FJPG/238975-001_DET_9.tif;https://dd3ka9h4chfr8.cloudfront.net/image/725136000567/image_dd1jdh8v2d6lp0ds74kshc283b/-FJPG/238975-001_DET_10.tif;https://dd3ka9h4chfr8.cloudfront.net/image/725136000567/image_6bo3s90o8t0u55of974b0b0v55/-FJPG/238975-001_ROM_1.jpg;https://dd3ka9h4chfr8.cloudfront.net/image/725136000567/image_eau7lfg51h2et4mmuhqo3q441u/-FJPG/238975-001_HOV_1.jpg;https://dd3ka9h4chfr8.cloudfront.net/image/725136000567/image_id17fj8tf96896vhj8tg37e16f/-FJPG/238975-001_PRM_2.jpg;https://dd3ka9h4chfr8.cloudfront.net/image/725136000567/image_nj8he9rkql2q3e0svvqeeve06u/-FJPG/238975-001_FRT_2.jpg;https://dd3ka9h4chfr8.cloudfront.net/image/725136000567/image_2o49jlonfl6m92k5ksfj93io2t/-FJPG/238975-001_ESS_2.tif</t>
  </si>
  <si>
    <t>238975-001</t>
  </si>
  <si>
    <t>https://dd3ka9h4chfr8.cloudfront.net/image/725136000567/image_smon1d7v996tb8q29oe38gpg7g/-FJPG/238975-001_FRT_1.jpg</t>
  </si>
  <si>
    <t>111</t>
  </si>
  <si>
    <t>{"value":111,"unit":"in"}</t>
  </si>
  <si>
    <t>A modern, elevated take on the traditional recliner sectional. Customize your comfort level with the push of hidden buttons with pieces in our Power Motion collection. Sectional features a slightly higher seat and backrest, low, sleek arms, and a motion footrest. Plush feather-blend cushions create a relaxed look and feel. Fluff cushions regularly to maintain appearance. Zero-clearance design means the chair can be placed up against a wall. Performance fabrics are specially created to withstand spills, stains, high traffic and wear, ensuring long-term comfort and unmatched durability. Includes 9'5" power cord. There is a six-motor maximum per power outlet. Each motor comes with a two-year warranty.</t>
  </si>
  <si>
    <t>{"value":132.72,"unit":"lb"}</t>
  </si>
  <si>
    <t>Tillery</t>
  </si>
  <si>
    <t>https://dd3ka9h4chfr8.cloudfront.net/image/725136000567/image_0hdvbj9tb54mhamr9fqsmrgs2p/-FJPG/238975-004_FRT_1.jpg;https://dd3ka9h4chfr8.cloudfront.net/image/725136000567/image_sdg76t74113av73rqhih5vfs13/-FJPG/238975-004_PRM_1.jpg;https://dd3ka9h4chfr8.cloudfront.net/image/725136000567/image_6u5seuf0rd5jl6f7p2ssojha5c/-FJPG/238975-004_SID_1.jpg;https://dd3ka9h4chfr8.cloudfront.net/image/725136000567/image_gvngpkn5j17cl601k86ohb781h/-FJPG/238975-004_ESS.tif;https://dd3ka9h4chfr8.cloudfront.net/image/725136000567/image_j1l3m68ush5ipeovppinbp052s/-FJPG/238975-004_DET_2.jpg;https://dd3ka9h4chfr8.cloudfront.net/image/725136000567/image_vq0i4jssmh3lf9d63i18k4553d/-FJPG/238975-004_BCK_1.jpg;https://dd3ka9h4chfr8.cloudfront.net/image/725136000567/image_0esg8lq1rp3rb0j1ep45jbuh2g/-FJPG/238975-004_DET_1.jpg;https://dd3ka9h4chfr8.cloudfront.net/image/725136000567/image_oh3h30nep52f5f8l0o0uob514u/-FJPG/238975-004_DET_3.jpg;https://dd3ka9h4chfr8.cloudfront.net/image/725136000567/image_ig8vpk7utl5qv7jj05v1q6tv33/-FJPG/238975-004_DET_4.jpg;https://dd3ka9h4chfr8.cloudfront.net/image/725136000567/image_5n8r75u0c532j76rvkjg7ct725/-FJPG/238975-004_DET_5.jpg;https://dd3ka9h4chfr8.cloudfront.net/image/725136000567/image_b4a2ijn38d3mpbmvvvtuk07i4m/-FJPG/238975-004_PRM_2.jpg;https://dd3ka9h4chfr8.cloudfront.net/image/725136000567/image_tgn182galh5uf6dpe791h98u51/-FJPG/238975-004_ESS_2.tif;https://dd3ka9h4chfr8.cloudfront.net/image/725136000567/image_b51qpt10813r99tp17h995445e/-FJPG/238975-004_FRT_2.jpg</t>
  </si>
  <si>
    <t>238975-004</t>
  </si>
  <si>
    <t>https://dd3ka9h4chfr8.cloudfront.net/image/725136000567/image_0hdvbj9tb54mhamr9fqsmrgs2p/-FJPG/238975-004_FRT_1.jpg</t>
  </si>
  <si>
    <t>https://dd3ka9h4chfr8.cloudfront.net/image/725136000567/image_p7r1am5njh6lv83qr6oh64b818/-FJPG/238975-003_FRT_1.JPG;https://dd3ka9h4chfr8.cloudfront.net/image/725136000567/image_7rp16cb1s55ar6fesja1grsv37/-FJPG/238975-003_PRM_1.JPG;https://dd3ka9h4chfr8.cloudfront.net/image/725136000567/image_kcusou3pet67pcepjsurq4ak4s/-FJPG/238975-003_SID_1.JPG;https://dd3ka9h4chfr8.cloudfront.net/image/725136000567/image_0uejss5bv574led1vf81ch0l4v/-FJPG/238975-003_DET_2.JPG;https://dd3ka9h4chfr8.cloudfront.net/image/725136000567/image_e56747ipsh4h36cla9jr45gp0h/-FJPG/238975-003_BCK_1.JPG;https://dd3ka9h4chfr8.cloudfront.net/image/725136000567/image_nu884lsp594j32e2rhodneva06/-FJPG/238975-003_DET_1.JPG;https://dd3ka9h4chfr8.cloudfront.net/image/725136000567/image_krj5crrmhp25b3th5oe4nl8976/-FJPG/238975-003_DET_3.JPG;https://dd3ka9h4chfr8.cloudfront.net/image/725136000567/image_5lrvlocptd19vcdff8dakbp06l/-FJPG/238975-003_OPN_1.JPG;https://dd3ka9h4chfr8.cloudfront.net/image/725136000567/image_rij1opvti557d5vuu4mbj18i2c/-FJPG/238975-003_OPN_2.JPG</t>
  </si>
  <si>
    <t>238975-003</t>
  </si>
  <si>
    <t>https://dd3ka9h4chfr8.cloudfront.net/image/725136000567/image_p7r1am5njh6lv83qr6oh64b818/-FJPG/238975-003_FRT_1.JPG</t>
  </si>
  <si>
    <t>A modern, elevated take on the traditional recliner sectional. Customize your comfort level with the push of hidden buttons with pieces in our Power Motion collection. Recliner features a slightly higher seat and backrest, low, sleek arms, and a motion footrest. Plush feather-blend cushions create a relaxed look and feel. Fluff cushions regularly to maintain appearance. Zero-clearance design means the chair can be placed up against a wall. Includes 9'5" power cord. There is a six-motor maximum per power outlet. Each motor comes with a two-year warranty.</t>
  </si>
  <si>
    <t>https://dd3ka9h4chfr8.cloudfront.net/image/725136000567/image_ae46ji45c12d30hmebtqmljo7e/-FJPG/238975-002_FRT_1.jpg;https://dd3ka9h4chfr8.cloudfront.net/image/725136000567/image_2fktnbevo53lvahqakni2k1s7n/-FJPG/238975-002_PRM_1.jpg;https://dd3ka9h4chfr8.cloudfront.net/image/725136000567/image_2k01ioh3u13avft22cjjjtl924/-FJPG/238975-002_SID_1.jpg;https://dd3ka9h4chfr8.cloudfront.net/image/725136000567/image_lmvi079di96ere67fjr2usmg4l/-FJPG/238975-002_ESS_1.jpg;https://dd3ka9h4chfr8.cloudfront.net/image/725136000567/image_b9riquog5h2r1cficf7psiji54/-FJPG/238975-002_DET_2.jpg;https://dd3ka9h4chfr8.cloudfront.net/image/725136000567/image_cgif7iekr160t49eq711et1j1k/-FJPG/238975-002_BCK_1.jpg;https://dd3ka9h4chfr8.cloudfront.net/image/725136000567/image_4oc72195c91fj21so42t6eub0m/-FJPG/238975-002_DET_1.jpg;https://dd3ka9h4chfr8.cloudfront.net/image/725136000567/image_69h4173sj11fp7h2g04u8tnb1v/-FJPG/238975-002_DET_3.jpg;https://dd3ka9h4chfr8.cloudfront.net/image/725136000567/image_smd4abcg215kle2td4j0ah664m/-FJPG/238975-002_PRM_2.jpg;https://dd3ka9h4chfr8.cloudfront.net/image/725136000567/image_k7bvlnkus54v3d40c3cokvgn1v/-FJPG/238975-002_FRT_2.jpg;https://dd3ka9h4chfr8.cloudfront.net/image/725136000567/image_lddmala6tp2j19r7bke5163l2m/-FJPG/238975-002_FRT_3.jpg;https://dd3ka9h4chfr8.cloudfront.net/image/725136000567/image_a505c2n3qt6r15ot3trh2u0v7v/-FJPG/238975-002_PRM_3.jpg</t>
  </si>
  <si>
    <t>238975-002</t>
  </si>
  <si>
    <t>https://dd3ka9h4chfr8.cloudfront.net/image/725136000567/image_ae46ji45c12d30hmebtqmljo7e/-FJPG/238975-002_FRT_1.jpg</t>
  </si>
  <si>
    <t>A modern take on the traditional recliner sectional Customize your comfort level with the push of hidden buttons with pieces in our Power Motion collection. Sectional features a slightly higher seat and backrest, low, sleek arms, and a motion footrest. Plush feather-blend cushions create a relaxed look and feel. Fluff cushions regularly to maintain appearance. Zero-clearance design means the chair can be placed up against a wall. Upholstered in top-grain leather exclusive to Four Hands with slightly distressed character. Includes 9'5" power cord. There is a six-motor maximum per power outlet. Each motor comes with a two-year warranty.</t>
  </si>
  <si>
    <t>https://dd3ka9h4chfr8.cloudfront.net/image/725136000567/image_ehsj5si3g116l9hdqtq8gb6971/-FJPG/238975-005_FRT_1.jpg;https://dd3ka9h4chfr8.cloudfront.net/image/725136000567/image_5phgfact496j5b7894c1rtec56/-FJPG/238975-005_PRM_1.jpg;https://dd3ka9h4chfr8.cloudfront.net/image/725136000567/image_s5bf2l3u694434980qmus3446t/-FJPG/238975-005_SID_1.jpg;https://dd3ka9h4chfr8.cloudfront.net/image/725136000567/image_52ge1jepq927b8mdhrl85m7l7u/-FJPG/238975-005_DET_2.jpg;https://dd3ka9h4chfr8.cloudfront.net/image/725136000567/image_asgm508j4p4217nvc4l68eq158/-FJPG/238975-005_BCK_1.jpg;https://dd3ka9h4chfr8.cloudfront.net/image/725136000567/image_rekotrrert6jr9i3paqq9ned05/-FJPG/238975-005_DET_1.jpg;https://dd3ka9h4chfr8.cloudfront.net/image/725136000567/image_pm9s20i5od08t0poifquhm336b/-FJPG/238975-005_DET_3.jpg;https://dd3ka9h4chfr8.cloudfront.net/image/725136000567/image_dq2qqet3n90htfsmmfduep7m06/-FJPG/238975-005_PRM_2.jpg;https://dd3ka9h4chfr8.cloudfront.net/image/725136000567/image_r76j61j6kt1krcmuphg680ci49/-FJPG/238975-005_SID_2.jpg;https://dd3ka9h4chfr8.cloudfront.net/image/725136000567/image_9v8a3vpopp5732391l6700l06u/-FJPG/238975-005_FRT_2.jpg</t>
  </si>
  <si>
    <t>238975-005</t>
  </si>
  <si>
    <t>https://dd3ka9h4chfr8.cloudfront.net/image/725136000567/image_ehsj5si3g116l9hdqtq8gb6971/-FJPG/238975-005_FRT_1.jpg</t>
  </si>
  <si>
    <t>Toli End Table</t>
  </si>
  <si>
    <t>https://dd3ka9h4chfr8.cloudfront.net/image/725136000567/image_r7iv3o9eol7v72aqt6lp56m57o/-FJPG/228128-002_FRT_1.jpg;https://dd3ka9h4chfr8.cloudfront.net/image/725136000567/image_4cfatjprlh0pj20j6gt5043b22/-FJPG/228128-002_PRM_1.jpg;https://dd3ka9h4chfr8.cloudfront.net/image/725136000567/image_burb1eivn159leaotp532e3g7u/-FJPG/228128-002_SID_1.jpg;https://dd3ka9h4chfr8.cloudfront.net/image/725136000567/image_lvd2mnlqlh329ess1tvu0no343/-FJPG/228128-002_ESS.tif;https://dd3ka9h4chfr8.cloudfront.net/image/725136000567/image_0svvsjcael4h56q8dkhh30742u/-FJPG/228128-002_DET_2.jpg;https://dd3ka9h4chfr8.cloudfront.net/image/725136000567/image_vudvnc3sjd6h38ndu1h4gv113a/-FJPG/228128-002_DET_1.jpg;https://dd3ka9h4chfr8.cloudfront.net/image/725136000567/image_i9p1idb84t66p94bh36fedg404/-FJPG/228128-002_DET_3.jpg;https://dd3ka9h4chfr8.cloudfront.net/image/725136000567/image_7bv3es3hk54bf6kl3munb7gb3p/-FJPG/228128-002_DET_4.jpg;https://dd3ka9h4chfr8.cloudfront.net/image/725136000567/image_5b11b7vcp536jem946o07tkk3g/-FJPG/228128-002_DET_9.tif;https://dd3ka9h4chfr8.cloudfront.net/image/725136000567/image_6jgh4chbg513fb3jakb4hgjq7k/-FJPG/228128-002_VIG_1.jpg;https://dd3ka9h4chfr8.cloudfront.net/image/725136000567/image_4nfim0l8rp4ip1km67s905vq4h/-FJPG/228128-002_ESS_2.jpg</t>
  </si>
  <si>
    <t>228128-002</t>
  </si>
  <si>
    <t>https://dd3ka9h4chfr8.cloudfront.net/image/725136000567/image_r7iv3o9eol7v72aqt6lp56m57o/-FJPG/228128-002_FRT_1.jpg</t>
  </si>
  <si>
    <t>["Solid Marble","Solid Oak","Thick Oak Veneer"]</t>
  </si>
  <si>
    <t>Mixed materials make the table. Finished in a rustic grey, thick-cut oak forms a chunky pedestal base for a rounded tabletop of white Italian marble, with beautifully subtle natural veining. Designed in partnership with longtime Four Hands collaborator Thomas Bina and Brazilian designer Ronald Sasson.</t>
  </si>
  <si>
    <t>Toli</t>
  </si>
  <si>
    <t>Tolle Bookcase</t>
  </si>
  <si>
    <t>https://dd3ka9h4chfr8.cloudfront.net/image/725136000567/image_umcdc23tk14or4es8od34if10i/-FJPG/246044-003_FRT_1.jpg;https://dd3ka9h4chfr8.cloudfront.net/image/725136000567/image_ba6drii2np1v77er61bui29s51/-FJPG/246044-003_PRM_1.jpg;https://dd3ka9h4chfr8.cloudfront.net/image/725136000567/image_5g84akq3j92lt9cm157embv12l/-FJPG/246044-003_SID_1.jpg;https://dd3ka9h4chfr8.cloudfront.net/image/725136000567/image_d2i4qbbsf96k5b15253vhflr6b/-FJPG/246044-003_ESS.tif;https://dd3ka9h4chfr8.cloudfront.net/image/725136000567/image_m6l9p78pg96ube6n7uog7qp36e/-FJPG/246044-003_DET_2.jpg;https://dd3ka9h4chfr8.cloudfront.net/image/725136000567/image_4icri0cvdd7qn953oin2bpkt34/-FJPG/246044-003_BCK_1.jpg;https://dd3ka9h4chfr8.cloudfront.net/image/725136000567/image_l7l64gq621607funal9b5v2k1l/-FJPG/246044-003_DET_1.jpg;https://dd3ka9h4chfr8.cloudfront.net/image/725136000567/image_6q1tbmp04l2s99se1u07ubbq4s/-FJPG/246044-003_DET_3.jpg;https://dd3ka9h4chfr8.cloudfront.net/image/725136000567/image_3c8o7ljufh42j0e5netv4e1e48/-FJPG/246044-003_DET_4.jpg;https://dd3ka9h4chfr8.cloudfront.net/image/725136000567/image_36koo83l710dd9pabt0i82f051/-FJPG/246044-003_DET_5.jpg;https://dd3ka9h4chfr8.cloudfront.net/image/725136000567/image_gm0105gg61205351ffi3a7711l/-FJPG/246044-003_DET_6.jpg</t>
  </si>
  <si>
    <t>246044-003</t>
  </si>
  <si>
    <t>132.72</t>
  </si>
  <si>
    <t>https://dd3ka9h4chfr8.cloudfront.net/image/725136000567/image_umcdc23tk14or4es8od34if10i/-FJPG/246044-003_FRT_1.jpg</t>
  </si>
  <si>
    <t>{"value":41.73,"unit":"in"}</t>
  </si>
  <si>
    <t>{"value":92.13,"unit":"in"}</t>
  </si>
  <si>
    <t>{"value":170.2,"unit":"lb"}</t>
  </si>
  <si>
    <t>Tolle</t>
  </si>
  <si>
    <t>https://dd3ka9h4chfr8.cloudfront.net/image/725136000567/image_kpq541apc14kv25sqnu9l2pj32/-FJPG/246044-004_FRT_1.jpg;https://dd3ka9h4chfr8.cloudfront.net/image/725136000567/image_mcq39ilhs179rca75hgf7d4f31/-FJPG/246044-004_PRM_1.jpg;https://dd3ka9h4chfr8.cloudfront.net/image/725136000567/image_mbfb0dlkg54lreijqrlkqlb56l/-FJPG/246044-004_SID_1.jpg;https://dd3ka9h4chfr8.cloudfront.net/image/725136000567/image_5qnvlbou392ejcfat2tdamtn4k/-FJPG/246044-004_ESS.tif;https://dd3ka9h4chfr8.cloudfront.net/image/725136000567/image_kbfi84a8fh395fit77et2to85b/-FJPG/246044-004_DET_2.jpg;https://dd3ka9h4chfr8.cloudfront.net/image/725136000567/image_s30l04i64h4631b3imtd9cep5i/-FJPG/246044-004_BCK_1.jpg;https://dd3ka9h4chfr8.cloudfront.net/image/725136000567/image_98dqfu6nuh3bp7u22ulpr9hl1a/-FJPG/246044-004_DET_1.jpg;https://dd3ka9h4chfr8.cloudfront.net/image/725136000567/image_6m53cr3mqd1td0jis3rtg1cl14/-FJPG/246044-004_DET_3.jpg;https://dd3ka9h4chfr8.cloudfront.net/image/725136000567/image_3j3ee8b5at0ej3963vq0dt2r65/-FJPG/246044-004_DET_4.jpg;https://dd3ka9h4chfr8.cloudfront.net/image/725136000567/image_kiakjle6g96fpb2i0eg7eah972/-FJPG/246044-004_DET_5.jpg</t>
  </si>
  <si>
    <t>246044-004</t>
  </si>
  <si>
    <t>https://dd3ka9h4chfr8.cloudfront.net/image/725136000567/image_kpq541apc14kv25sqnu9l2pj32/-FJPG/246044-004_FRT_1.jpg</t>
  </si>
  <si>
    <t>https://dd3ka9h4chfr8.cloudfront.net/image/725136000567/image_cb260gfck55llbinsqv5i5r24e/-FJPG/246044-001_FRT_1.jpg;https://dd3ka9h4chfr8.cloudfront.net/image/725136000567/image_4tijdsj9ft7tbeb9r1iqfpf47p/-FJPG/246044-001_PRM_1.jpg;https://dd3ka9h4chfr8.cloudfront.net/image/725136000567/image_8cptqrmqul4413g3dod7unpr4n/-FJPG/246044-001_SID_1.jpg;https://dd3ka9h4chfr8.cloudfront.net/image/725136000567/image_iijougajkt5sfd38o3u5tm024g/-FJPG/246044-001_ESS.tif;https://dd3ka9h4chfr8.cloudfront.net/image/725136000567/image_8slu9aa03h20t1u7srr89c9p1i/-FJPG/246044-001_DET_2.jpg;https://dd3ka9h4chfr8.cloudfront.net/image/725136000567/image_lmc4vnrqpt2fnf9dbf65rr4857/-FJPG/246044-001_BCK_1.jpg;https://dd3ka9h4chfr8.cloudfront.net/image/725136000567/image_h1dg8505bp0g9adbj3i0g7ai63/-FJPG/246044-001_DET_1.jpg;https://dd3ka9h4chfr8.cloudfront.net/image/725136000567/image_3o3lee33gl5fl1me8b7d1n2u2c/-FJPG/246044-001_DET_3.jpg;https://dd3ka9h4chfr8.cloudfront.net/image/725136000567/image_h6f90u2vop0t3d7m8aemt4dc0i/-FJPG/246044-001_DET_4.jpg;https://dd3ka9h4chfr8.cloudfront.net/image/725136000567/image_j36lup7uch0bh5esvdjvuane2h/-FJPG/246044-001_DET_5.jpg</t>
  </si>
  <si>
    <t>246044-001</t>
  </si>
  <si>
    <t>https://dd3ka9h4chfr8.cloudfront.net/image/725136000567/image_cb260gfck55llbinsqv5i5r24e/-FJPG/246044-001_FRT_1.jpg</t>
  </si>
  <si>
    <t>https://dd3ka9h4chfr8.cloudfront.net/image/725136000567/image_8k1arflh8h4qt2gaj2td1a6v7r/-FJPG/246044-002_FRT_1.jpg;https://dd3ka9h4chfr8.cloudfront.net/image/725136000567/image_vcilk6alg96p5ba38jt5dssg29/-FJPG/246044-002_PRM_1.jpg;https://dd3ka9h4chfr8.cloudfront.net/image/725136000567/image_d3akpniilh56p706k3madrn804/-FJPG/246044-002_SID_1.jpg;https://dd3ka9h4chfr8.cloudfront.net/image/725136000567/image_iflsjm2npp28r1a5k6m9tmpb51/-FJPG/246044-002_DET_2.jpg;https://dd3ka9h4chfr8.cloudfront.net/image/725136000567/image_aj8dlamga57br14uo3f2sftf57/-FJPG/246044-002_BCK_1.jpg;https://dd3ka9h4chfr8.cloudfront.net/image/725136000567/image_e7tuq8fv890s1e3122dcs9hb53/-FJPG/246044-002_DET_1.jpg;https://dd3ka9h4chfr8.cloudfront.net/image/725136000567/image_p5vei7ff115bvc1btslsoko84t/-FJPG/246044-002_DET_3.jpg;https://dd3ka9h4chfr8.cloudfront.net/image/725136000567/image_bc7u1abe7d7679svigmss0g258/-FJPG/246044-002_DET_4.jpg;https://dd3ka9h4chfr8.cloudfront.net/image/725136000567/image_8coljp9lct7bh8rbqu49uv1124/-FJPG/246044-002_DET_5.jpg;https://dd3ka9h4chfr8.cloudfront.net/image/725136000567/image_fac32l3p493ahfus30aoeerm27/-FJPG/246044-002_DET_6.jpg</t>
  </si>
  <si>
    <t>Rustic White Solid</t>
  </si>
  <si>
    <t>246044-002</t>
  </si>
  <si>
    <t>https://dd3ka9h4chfr8.cloudfront.net/image/725136000567/image_8k1arflh8h4qt2gaj2td1a6v7r/-FJPG/246044-002_FRT_1.jpg</t>
  </si>
  <si>
    <t>Rustic White Veneer</t>
  </si>
  <si>
    <t>Store it in style. Beautifully shaped cabinetry of rustic white solid oak features spacious interior shelving, ready for displaying favorite books, photos and treasures.</t>
  </si>
  <si>
    <t>Tolle Cabinet</t>
  </si>
  <si>
    <t>https://dd3ka9h4chfr8.cloudfront.net/image/725136000567/image_l27mph15896bl8jndskcaqta48/-FJPG/225878-001_FRT_1.jpg;https://dd3ka9h4chfr8.cloudfront.net/image/725136000567/image_m71tso2ik51dp5vkiiap15jh2k/-FJPG/225878-001_PRM_1.jpg;https://dd3ka9h4chfr8.cloudfront.net/image/725136000567/image_00jud8hkdp3l91bvsu88a22v78/-FJPG/225878-001_SID_1.jpg;https://dd3ka9h4chfr8.cloudfront.net/image/725136000567/image_es0gne03d97a920p16ksfilm6u/-FJPG/225878-001_ESS_1.jpg;https://dd3ka9h4chfr8.cloudfront.net/image/725136000567/image_jige2hareh6cn0o4kelkjdu42e/-FJPG/225878-001_DET_2.jpg;https://dd3ka9h4chfr8.cloudfront.net/image/725136000567/image_lnjvkc07i92cv13e2t6vij0d6f/-FJPG/225878-001_BCK_1.jpg;https://dd3ka9h4chfr8.cloudfront.net/image/725136000567/image_vu4rjta3nt38vectd1gjsdrc40/-FJPG/225878-001_DET_3.jpg;https://dd3ka9h4chfr8.cloudfront.net/image/725136000567/image_p6d2sfbkbh76t4751m634fpc0j/-FJPG/225878-001_OPN_1.jpg;https://dd3ka9h4chfr8.cloudfront.net/image/725136000567/image_ntm749gfnl6sjbhct79svuvd4t/-FJPG/225878-001_DET_4.jpg;https://dd3ka9h4chfr8.cloudfront.net/image/725136000567/image_2rquna5fq12t9dl6e95i75in7v/-FJPG/225878-001_DET_5.jpg;https://dd3ka9h4chfr8.cloudfront.net/image/725136000567/image_47750m2vl57dn5sb1ut0b4hg3s/-FJPG/225878-001_DET_6.jpg;https://dd3ka9h4chfr8.cloudfront.net/image/725136000567/image_e0ipvijso135tcr7gcr0aj0o41/-FJPG/225878-001_DET_7.jpg;https://dd3ka9h4chfr8.cloudfront.net/image/725136000567/image_ojs1187ut9367fm3hnjqncij3v/-FJPG/225878-001_DET_8.jpg;https://dd3ka9h4chfr8.cloudfront.net/image/725136000567/image_oka9k5fg055n54f1jcokf5f22v/-FJPG/225878-001_DET_9.jpg;https://dd3ka9h4chfr8.cloudfront.net/image/725136000567/image_ila161so7p0on93gahm1fkig60/-FJPG/225878-001_DET_10.jpg;https://dd3ka9h4chfr8.cloudfront.net/image/725136000567/image_7t982l1att5prakek7siviqv48/-FJPG/225878-001_ROM_1.jpg;https://dd3ka9h4chfr8.cloudfront.net/image/725136000567/image_abkv1o9j350179hue9cflhk04q/-FJPG/225878-001_OPN_2.jpg;https://dd3ka9h4chfr8.cloudfront.net/image/725136000567/image_76ena1pjrl0j7br2c0k315jq5h/-FJPG/225878-001_ESS_2.jpg</t>
  </si>
  <si>
    <t>Drifted Matte Black &amp; Drifted Oak Solid</t>
  </si>
  <si>
    <t>225878-001</t>
  </si>
  <si>
    <t>https://dd3ka9h4chfr8.cloudfront.net/image/725136000567/image_l27mph15896bl8jndskcaqta48/-FJPG/225878-001_FRT_1.jpg</t>
  </si>
  <si>
    <t>Store it in style. Beautifully shaped cabinetry of black solid oak features spacious interior shelving and clear glass front, ready for displaying favorite books, photos and treasures.</t>
  </si>
  <si>
    <t>https://dd3ka9h4chfr8.cloudfront.net/image/725136000567/image_4a72li85hl3i1fva400pevfg22/-FJPG/225878-004_FRT_1.jpg;https://dd3ka9h4chfr8.cloudfront.net/image/725136000567/image_4vet68at956l95d5fs11taof7i/-FJPG/225878-004_PRM_1.jpg;https://dd3ka9h4chfr8.cloudfront.net/image/725136000567/image_if0mdpnv294ijecharl7lf4m2m/-FJPG/225878-004_SID_1.jpg;https://dd3ka9h4chfr8.cloudfront.net/image/725136000567/image_5aebr5l7hd1bv724vf8br6m477/-FJPG/225878-004_ESS_1.jpg;https://dd3ka9h4chfr8.cloudfront.net/image/725136000567/image_ru4t3ck0fl7kn5ntp5thcq4g62/-FJPG/225878-004_DET_2.jpg;https://dd3ka9h4chfr8.cloudfront.net/image/725136000567/image_bbjata45n16cn8vuu1l9ulha4d/-FJPG/225878-004_BCK_1.jpg;https://dd3ka9h4chfr8.cloudfront.net/image/725136000567/image_eg9dl9i4h52s92r3f055jobb6a/-FJPG/225878-004_DET_1.jpg;https://dd3ka9h4chfr8.cloudfront.net/image/725136000567/image_c5help9e3t0jncdva6c0om9q3e/-FJPG/225878-004_DET_3.jpg;https://dd3ka9h4chfr8.cloudfront.net/image/725136000567/image_o95l3sdjtl361bn4vh49ntld0p/-FJPG/225878-004_OPN_1.jpg;https://dd3ka9h4chfr8.cloudfront.net/image/725136000567/image_qd13m10idl6670vs91fif82n6g/-FJPG/225878-004_DET_4.jpg;https://dd3ka9h4chfr8.cloudfront.net/image/725136000567/image_5uff7lubh57a92cjku9vb6hj7g/-FJPG/225878-004_DET_5.jpg;https://dd3ka9h4chfr8.cloudfront.net/image/725136000567/image_qkidsb293136l276gn36csng3i/-FJPG/225878-004_DET_6.jpg</t>
  </si>
  <si>
    <t>225878-004</t>
  </si>
  <si>
    <t>https://dd3ka9h4chfr8.cloudfront.net/image/725136000567/image_4a72li85hl3i1fva400pevfg22/-FJPG/225878-004_FRT_1.jpg</t>
  </si>
  <si>
    <t>Made from black-finished solid oak, French-inspired cabinetry features an arched top, spacious interior and a clear glass front for storage and display.</t>
  </si>
  <si>
    <t>https://dd3ka9h4chfr8.cloudfront.net/image/725136000567/image_lar9f5jth52kh808drkr56ae29/-FJPG/225878-002_FRT_1.jpg;https://dd3ka9h4chfr8.cloudfront.net/image/725136000567/image_mc37g2c26l7av7jvk37sk8me2c/-FJPG/225878-002_PRM_1.jpg;https://dd3ka9h4chfr8.cloudfront.net/image/725136000567/image_7iu7untkcd33n0rpakeu205124/-FJPG/225878-002_SID_1.jpg;https://dd3ka9h4chfr8.cloudfront.net/image/725136000567/image_jsa7tv6p2t4718om6v6dsmut6k/-FJPG/225878-002_DET_2.jpg;https://dd3ka9h4chfr8.cloudfront.net/image/725136000567/image_bm3ntjp1bp6frdf84s2fqbbh78/-FJPG/225878-002_BCK_1.jpg;https://dd3ka9h4chfr8.cloudfront.net/image/725136000567/image_j3pm92gtft4ppagh731v1e3r52/-FJPG/225878-002_DET_1.jpg;https://dd3ka9h4chfr8.cloudfront.net/image/725136000567/image_rudot3va016g71fsppmarvcu7e/-FJPG/225878-002_DET_3.jpg;https://dd3ka9h4chfr8.cloudfront.net/image/725136000567/image_7c6c08g6op3j50485tjno55p2o/-FJPG/225878-002_OPN_1.jpg;https://dd3ka9h4chfr8.cloudfront.net/image/725136000567/image_g7rdi0r8553kpbsafaqatk9v7v/-FJPG/225878-002_DET_4.jpg;https://dd3ka9h4chfr8.cloudfront.net/image/725136000567/image_s43gtk8ukd0dhavbgd7urt5r5r/-FJPG/225878-002_DET_5.jpg;https://dd3ka9h4chfr8.cloudfront.net/image/725136000567/image_bj16bi19u12kl135dv6kr7611t/-FJPG/225878-002_DET_6.jpg;https://dd3ka9h4chfr8.cloudfront.net/image/725136000567/image_m3vic9ot9t5ah26bnh6isu9d7i/-FJPG/225878-002_DET_7.jpg;https://dd3ka9h4chfr8.cloudfront.net/image/725136000567/image_6sr75mu4o17g91ku5a08re7u40/-FJPG/225878-002_DET_8.jpg;https://dd3ka9h4chfr8.cloudfront.net/image/725136000567/image_4s6l2rauap4c3flc9u3o6ge91n/-FJPG/225878-002_DET_9.jpg;https://dd3ka9h4chfr8.cloudfront.net/image/725136000567/image_a2dimlfmah2v52o1e2cv6t7j2b/-FJPG/225878-002_DET_10.jpg;https://dd3ka9h4chfr8.cloudfront.net/image/725136000567/image_rjpdtb20et50b5vk876iheef3f/-FJPG/225878-002_VIG_1.jpg;https://dd3ka9h4chfr8.cloudfront.net/image/725136000567/image_v3efcru7it2npfimk17q7dtm62/-FJPG/225878-002_ESS_2.jpg;https://dd3ka9h4chfr8.cloudfront.net/image/725136000567/image_e5s8pfuuo15hv0sb5f07n8477b/-FJPG/225878-002_OPN_2.jpg</t>
  </si>
  <si>
    <t>225878-002</t>
  </si>
  <si>
    <t>https://dd3ka9h4chfr8.cloudfront.net/image/725136000567/image_lar9f5jth52kh808drkr56ae29/-FJPG/225878-002_FRT_1.jpg</t>
  </si>
  <si>
    <t>Crafted from natural-finished solid oak, this French-inspired cabinetry showcases an arched top, spacious interior and a clear glass front, perfect for storage and displaying your cherished items.</t>
  </si>
  <si>
    <t>https://dd3ka9h4chfr8.cloudfront.net/image/725136000567/image_1ap8ngpi5p0h19npvue7qn284g/-FJPG/225878-005_FRT_1.jpg;https://dd3ka9h4chfr8.cloudfront.net/image/725136000567/image_f9ec8spsl17897lnvf5ek0js3f/-FJPG/225878-005_PRM_1.jpg;https://dd3ka9h4chfr8.cloudfront.net/image/725136000567/image_i64mpdoeh1063edpa8eiftoc1e/-FJPG/225878-005_SID_1.jpg;https://dd3ka9h4chfr8.cloudfront.net/image/725136000567/image_28umljgkb93f96ep34735lbu29/-FJPG/225878-005_ESS.tif;https://dd3ka9h4chfr8.cloudfront.net/image/725136000567/image_o8aiqobhet5vh9doofsktd8o59/-FJPG/225878-005_DET_2.jpg;https://dd3ka9h4chfr8.cloudfront.net/image/725136000567/image_vaiqqkqcah5712nsh319juqi4t/-FJPG/225878-005_BCK_1.jpg;https://dd3ka9h4chfr8.cloudfront.net/image/725136000567/image_h8k1oet3s15qbc1h128df7jb7f/-FJPG/225878-005_DET_1.jpg;https://dd3ka9h4chfr8.cloudfront.net/image/725136000567/image_q4abevd3ct3q18k0e0pu2rhg0o/-FJPG/225878-005_DET_3.jpg;https://dd3ka9h4chfr8.cloudfront.net/image/725136000567/image_uupunk31fh1snekh7vu23ap735/-FJPG/225878-005_OPN_1.jpg;https://dd3ka9h4chfr8.cloudfront.net/image/725136000567/image_52j250ofj54c3avc7ia5fa0118/-FJPG/225878-005_DET_4.jpg;https://dd3ka9h4chfr8.cloudfront.net/image/725136000567/image_310jmlq3894dp0p775aj4ko41v/-FJPG/225878-005_DET_5.jpg;https://dd3ka9h4chfr8.cloudfront.net/image/725136000567/image_vo9ets09o542vffrm800p4kj71/-FJPG/225878-005_DET_6.jpg;https://dd3ka9h4chfr8.cloudfront.net/image/725136000567/image_u4gaen3n4t591bocp4qao5ea6g/-FJPG/225878-005_DET_7.jpg;https://dd3ka9h4chfr8.cloudfront.net/image/725136000567/image_d9s8tc48696a1eam10bqnpr01i/-FJPG/225878-005_DET_8.jpg;https://dd3ka9h4chfr8.cloudfront.net/image/725136000567/image_n5r9lop3ep4vl6a3i9sct1p65r/-FJPG/225878-005_DET_9.jpg;https://dd3ka9h4chfr8.cloudfront.net/image/725136000567/image_n2k945vrm90ll6uib5u1ist45d/-FJPG/225878-005_OPN_2.jpg</t>
  </si>
  <si>
    <t>225878-005</t>
  </si>
  <si>
    <t>https://dd3ka9h4chfr8.cloudfront.net/image/725136000567/image_1ap8ngpi5p0h19npvue7qn284g/-FJPG/225878-005_FRT_1.jpg</t>
  </si>
  <si>
    <t>Store it in style. Beautifully shaped cabinetry of rustic white solid oak features spacious interior shelving and clear glass front, ready for displaying favorite books, photos and treasures.</t>
  </si>
  <si>
    <t>Tolle Panel Door Cabinet</t>
  </si>
  <si>
    <t>https://dd3ka9h4chfr8.cloudfront.net/image/725136000567/image_kulhug5e7h0ihdlql9flc9hm0i/-FJPG/234782-001_FRT_1.jpg;https://dd3ka9h4chfr8.cloudfront.net/image/725136000567/image_neahmt4r992tr8sdav22khsn28/-FJPG/234782-001_PRM_1.jpg;https://dd3ka9h4chfr8.cloudfront.net/image/725136000567/image_hkp37u4p8t3qb3nqiqv00rb16q/-FJPG/234782-001_SID_1.jpg;https://dd3ka9h4chfr8.cloudfront.net/image/725136000567/image_86lqj3hthp3i577gefm6ji3966/-FJPG/234782-001_ESS_1.jpg;https://dd3ka9h4chfr8.cloudfront.net/image/725136000567/image_eeqj5unjit4o59is3g047ulp37/-FJPG/234782-001_DET_2.jpg;https://dd3ka9h4chfr8.cloudfront.net/image/725136000567/image_vf1m8u22gd34f1td1aougf5l4s/-FJPG/234782-001_BCK_1.jpg;https://dd3ka9h4chfr8.cloudfront.net/image/725136000567/image_femahv0q8t0h92hoverlcpdm65/-FJPG/234782-001_DET_1.jpg;https://dd3ka9h4chfr8.cloudfront.net/image/725136000567/image_cc18evv0pp2sr47l4ipjgqst0q/-FJPG/234782-001_DET_3.jpg;https://dd3ka9h4chfr8.cloudfront.net/image/725136000567/image_9epg9hl7dl3vf9nrc6ibjgpr0p/-FJPG/234782-001_OPN_1.jpg;https://dd3ka9h4chfr8.cloudfront.net/image/725136000567/image_1d4vovta6t0217nrqv1kc0224c/-FJPG/234782-001_DET_4.jpg;https://dd3ka9h4chfr8.cloudfront.net/image/725136000567/image_0tcdkgkkmd5kba5165k36k0a2m/-FJPG/234782-001_DET_5.jpg;https://dd3ka9h4chfr8.cloudfront.net/image/725136000567/image_3umnvl77ih7nb5shk3bregmg3k/-FJPG/234782-001_DET_6.jpg;https://dd3ka9h4chfr8.cloudfront.net/image/725136000567/image_l72vos3d6l0in8nnnmd2466c6f/-FJPG/234782-001_DET_7.jpg;https://dd3ka9h4chfr8.cloudfront.net/image/725136000567/image_b3ir4sptr51t5c41uqgov3o010/-FJPG/234782-001_DET_8.jpg;https://dd3ka9h4chfr8.cloudfront.net/image/725136000567/image_6oc6b6r9sh7178o37gfeukpe77/-FJPG/234782-001_DET_9.jpg;https://dd3ka9h4chfr8.cloudfront.net/image/725136000567/image_pv895tdse52ot1pdh8tun3lm4l/-FJPG/234782-001_PRM_2.jpg;https://dd3ka9h4chfr8.cloudfront.net/image/725136000567/image_puqoaubf196dd515lct03bct4b/-FJPG/234782-001_OPN_2.jpg;https://dd3ka9h4chfr8.cloudfront.net/image/725136000567/image_ampip9n8h56j77edif0oofoe7l/-FJPG/234782-001_ESS_2.jpg</t>
  </si>
  <si>
    <t>234782-001</t>
  </si>
  <si>
    <t>166.67</t>
  </si>
  <si>
    <t>https://dd3ka9h4chfr8.cloudfront.net/image/725136000567/image_kulhug5e7h0ihdlql9flc9hm0i/-FJPG/234782-001_FRT_1.jpg</t>
  </si>
  <si>
    <t>Store it in style. Beautifully shaped cabinetry in drifted matte black veneer features spacious interior shelving and recessed wood panel doors, ready for storing your treasures.</t>
  </si>
  <si>
    <t>26.51"</t>
  </si>
  <si>
    <t>https://dd3ka9h4chfr8.cloudfront.net/image/725136000567/image_dcvd8bpsd50i57kplgmo4u0s71/-FJPG/234782-003_FRT_1.jpg;https://dd3ka9h4chfr8.cloudfront.net/image/725136000567/image_1t9sef9491379eeq4mdsdubi5l/-FJPG/234782-003_PRM_1.jpg;https://dd3ka9h4chfr8.cloudfront.net/image/725136000567/image_52edhvaodt4fpde2hfcjuuqd6m/-FJPG/234782-003_SID_1.jpg;https://dd3ka9h4chfr8.cloudfront.net/image/725136000567/image_uhmcbi66d50mddk5hdsham3m31/-FJPG/234782-003_ESS_1.jpg;https://dd3ka9h4chfr8.cloudfront.net/image/725136000567/image_pbeuqfa6ol2rdav7j6anf3qh7g/-FJPG/234782-003_DET_2.jpg;https://dd3ka9h4chfr8.cloudfront.net/image/725136000567/image_h0s5p643k12q7bu51kacqv133f/-FJPG/234782-003_BCK_1.jpg;https://dd3ka9h4chfr8.cloudfront.net/image/725136000567/image_s399t3fc6l1lv3g581l6r1nc3j/-FJPG/234782-003_DET_1.jpg;https://dd3ka9h4chfr8.cloudfront.net/image/725136000567/image_rq2gq9adb96jl3hqucq78j9p3j/-FJPG/234782-003_DET_3.jpg;https://dd3ka9h4chfr8.cloudfront.net/image/725136000567/image_cftta1bfdp6lj28aif6ajb4p33/-FJPG/234782-003_OPN_1.jpg;https://dd3ka9h4chfr8.cloudfront.net/image/725136000567/image_0tq69gsf6l1lpc3s8f1493q406/-FJPG/234782-003_DET_4.jpg;https://dd3ka9h4chfr8.cloudfront.net/image/725136000567/image_78uu4c6j5t4bnfavn8fi1t7225/-FJPG/234782-003_DET_5.jpg;https://dd3ka9h4chfr8.cloudfront.net/image/725136000567/image_s6ib1654q967d6rbgq3k6ns04l/-FJPG/234782-003_DET_6.jpg;https://dd3ka9h4chfr8.cloudfront.net/image/725136000567/image_7ip3s9gea56c17osr8spdb745l/-FJPG/234782-003_DET_7.jpg;https://dd3ka9h4chfr8.cloudfront.net/image/725136000567/image_gq4bt6q3nl78f0saggpl76mv3f/-FJPG/234782-003_DET_8.jpg;https://dd3ka9h4chfr8.cloudfront.net/image/725136000567/image_onsq7fdnd97rn64hmo6d407c62/-FJPG/234782-003_DET_9.jpg;https://dd3ka9h4chfr8.cloudfront.net/image/725136000567/image_u42auqpgkt3q7bfnlnifaafr7a/-FJPG/234782-003_OPN_2.jpg</t>
  </si>
  <si>
    <t>234782-003</t>
  </si>
  <si>
    <t>https://dd3ka9h4chfr8.cloudfront.net/image/725136000567/image_dcvd8bpsd50i57kplgmo4u0s71/-FJPG/234782-003_FRT_1.jpg</t>
  </si>
  <si>
    <t>Store it in style. Beautifully shaped cabinetry of solid oak with recessed wood panels and iron hardware in an antique brass finish. Features thick, spacious shelves to store kitchenware, favorite books and treasured objects.</t>
  </si>
  <si>
    <t>https://dd3ka9h4chfr8.cloudfront.net/image/725136000567/image_of4itkp9sp4qv9ldbkmgn6p97b/-FJPG/234782-005_FRT_1.jpg;https://dd3ka9h4chfr8.cloudfront.net/image/725136000567/image_pur6eaf1rt4an2me9thdheno05/-FJPG/234782-005_PRM_1.jpg;https://dd3ka9h4chfr8.cloudfront.net/image/725136000567/image_25pusjvhd96ah9o5tamb3q7b03/-FJPG/234782-005_SID_1.jpg;https://dd3ka9h4chfr8.cloudfront.net/image/725136000567/image_ugdtep190h75p4ltmsdubta82l/-FJPG/234782-005_ESS.tif;https://dd3ka9h4chfr8.cloudfront.net/image/725136000567/image_0c2ert9r112gv24218gtpf9d3u/-FJPG/234782-005_DET_2.jpg;https://dd3ka9h4chfr8.cloudfront.net/image/725136000567/image_ne6l2t0chh0pb0psqnludk9p3p/-FJPG/234782-005_BCK_1.jpg;https://dd3ka9h4chfr8.cloudfront.net/image/725136000567/image_i7v5ssoolt5sj1qpsd7303451v/-FJPG/234782-005_DET_1.jpg;https://dd3ka9h4chfr8.cloudfront.net/image/725136000567/image_qdcuihbs096m9b3uid4pq9ns4c/-FJPG/234782-005_DET_3.jpg;https://dd3ka9h4chfr8.cloudfront.net/image/725136000567/image_d6kh5e1jdp6e7943g4301aud3b/-FJPG/234782-005_OPN_1.jpg;https://dd3ka9h4chfr8.cloudfront.net/image/725136000567/image_8fcb1ckn1p18v0mgsolamii87n/-FJPG/234782-005_DET_4.jpg;https://dd3ka9h4chfr8.cloudfront.net/image/725136000567/image_ftkmld8and1g154fusrfq40r5u/-FJPG/234782-005_DET_5.jpg;https://dd3ka9h4chfr8.cloudfront.net/image/725136000567/image_rgpvp224u50tv0oe7h75jnq63h/-FJPG/234782-005_DET_6.jpg;https://dd3ka9h4chfr8.cloudfront.net/image/725136000567/image_tnt7puqnid28j583qs6sbie82u/-FJPG/234782-005_DET_7.jpg;https://dd3ka9h4chfr8.cloudfront.net/image/725136000567/image_fv1i1kq3qt4v584vi10qdt660k/-FJPG/234782-005_DET_8.jpg;https://dd3ka9h4chfr8.cloudfront.net/image/725136000567/image_csnn9107g90mp7m9lnda7df71a/-FJPG/234782-005_OPN_2.jpg;https://dd3ka9h4chfr8.cloudfront.net/image/725136000567/image_ufkkik5kat0vrfd9vlbgn9fe2o/-FJPG/234782-005_ESS_2.tif</t>
  </si>
  <si>
    <t>234782-005</t>
  </si>
  <si>
    <t>https://dd3ka9h4chfr8.cloudfront.net/image/725136000567/image_of4itkp9sp4qv9ldbkmgn6p97b/-FJPG/234782-005_FRT_1.jpg</t>
  </si>
  <si>
    <t>Store it in style. Beautifully shaped cabinetry of rustic white solid oak features spacious interior shelving and recessed wood panel doors, ready for storing your treasures.</t>
  </si>
  <si>
    <t>Tolle Sideboard</t>
  </si>
  <si>
    <t>https://dd3ka9h4chfr8.cloudfront.net/image/725136000567/image_omeuvd286t537cjnt8pkga8c14/-FJPG/234883-001_FRT_1.jpg;https://dd3ka9h4chfr8.cloudfront.net/image/725136000567/image_qa16mojgv97nl5l3qimdnd7g1o/-FJPG/234883-001_PRM_1.jpg;https://dd3ka9h4chfr8.cloudfront.net/image/725136000567/image_6hvfcr39d953db8u0bpoevf967/-FJPG/234883-001_SID_1.jpg;https://dd3ka9h4chfr8.cloudfront.net/image/725136000567/image_7268tkt8u92d56diatifjjal49/-FJPG/234883-001_ESS_1.jpg;https://dd3ka9h4chfr8.cloudfront.net/image/725136000567/image_e1ui8bvs855m9bssq6i7478e0j/-FJPG/234883-001_DET_2.jpg;https://dd3ka9h4chfr8.cloudfront.net/image/725136000567/image_arcunau1497qt5sbsj8fi6m07b/-FJPG/234883-001_BCK_1.jpg;https://dd3ka9h4chfr8.cloudfront.net/image/725136000567/image_5ljbuh5sch4d52nssl3njtuu7e/-FJPG/234883-001_DET_1.jpg;https://dd3ka9h4chfr8.cloudfront.net/image/725136000567/image_l6lsro00md551a51vs2qlavi6e/-FJPG/234883-001_DET_3.jpg;https://dd3ka9h4chfr8.cloudfront.net/image/725136000567/image_ii8c54b4fl1bd8k913i8t0q47n/-FJPG/234883-001_OPN_1.jpg;https://dd3ka9h4chfr8.cloudfront.net/image/725136000567/image_v1rcma7mpt0jldmvemnjlv3t0v/-FJPG/234883-001_DET_4.jpg;https://dd3ka9h4chfr8.cloudfront.net/image/725136000567/image_v6ss90gv797kh26d3cfc2qrv1t/-FJPG/234883-001_DET_5.jpg;https://dd3ka9h4chfr8.cloudfront.net/image/725136000567/image_3r9m9k7uc12kdf4ufj87hp6k4b/-FJPG/234883-001_DET_6.jpg;https://dd3ka9h4chfr8.cloudfront.net/image/725136000567/image_qk5jm8fbnl4ad0l7ulrtr8d65j/-FJPG/234883-001_DET_7.jpg;https://dd3ka9h4chfr8.cloudfront.net/image/725136000567/image_e69186017t0mbf8kjn9fhbs420/-FJPG/234883-001_OPN_1.jpg</t>
  </si>
  <si>
    <t>234883-001</t>
  </si>
  <si>
    <t>https://dd3ka9h4chfr8.cloudfront.net/image/725136000567/image_omeuvd286t537cjnt8pkga8c14/-FJPG/234883-001_FRT_1.jpg</t>
  </si>
  <si>
    <t>Infuse your interior with timeless midcentury design. Sideboard is composed of a premium stained wood finish, graceful glass doors and brass hardware.</t>
  </si>
  <si>
    <t>{"value":279.98,"unit":"lb"}</t>
  </si>
  <si>
    <t>Tomlin Outdoor Bunching Table</t>
  </si>
  <si>
    <t>https://dd3ka9h4chfr8.cloudfront.net/image/725136000567/image_j8o4t2mt2t6mddhh30ini2e81f/-FJPG/233799-001_FRT_1.jpg;https://dd3ka9h4chfr8.cloudfront.net/image/725136000567/image_vnj8u2gpi10stbostg7uvd642t/-FJPG/233799-001_PRM_1.jpg;https://dd3ka9h4chfr8.cloudfront.net/image/725136000567/image_8obngvm2q154556h0g84v9fh20/-FJPG/233799-001_SID_1.jpg;https://dd3ka9h4chfr8.cloudfront.net/image/725136000567/image_85g2bsc7p51n72t2duno2f5e0b/-FJPG/233799-001_ESS_1.jpg;https://dd3ka9h4chfr8.cloudfront.net/image/725136000567/image_1qmgp1pv6d7434aibqb7mlbk6e/-FJPG/233799-001_DET_2.jpg;https://dd3ka9h4chfr8.cloudfront.net/image/725136000567/image_ecfo8aiu7p78f4ti3omka0as7i/-FJPG/233799-001_DET_1.jpg;https://dd3ka9h4chfr8.cloudfront.net/image/725136000567/image_ihlvvjo12p2ojd9qdqukukqd33/-FJPG/233799-001_DET_3.jpg;https://dd3ka9h4chfr8.cloudfront.net/image/725136000567/image_nj8crter7l5ud7rrm9rsbgj57e/-FJPG/233799-001_TOP_1.jpg;https://dd3ka9h4chfr8.cloudfront.net/image/725136000567/image_7f6ae0vk0130t32cvhtqghvi0n/-FJPG/233799-001_DET_4.jpg</t>
  </si>
  <si>
    <t>Teak Root</t>
  </si>
  <si>
    <t>233799-001</t>
  </si>
  <si>
    <t>https://dd3ka9h4chfr8.cloudfront.net/image/725136000567/image_j8o4t2mt2t6mddhh30ini2e81f/-FJPG/233799-001_FRT_1.jpg</t>
  </si>
  <si>
    <t>A unique layering piece â€” indoors or out. Made from laminated teak root with miter joinery, a simply shaped bunching table offers organic vibes and plenty of natural movement. Reflective or natural materials, tables will vary from piece to piece. Joint expansion may grow visible over time. Cover or store indoors during inclement weather and when not in use.</t>
  </si>
  <si>
    <t>{"value":79.03,"unit":"lb"}</t>
  </si>
  <si>
    <t>Tomlin</t>
  </si>
  <si>
    <t>Tomlin Outdoor End Table</t>
  </si>
  <si>
    <t>https://dd3ka9h4chfr8.cloudfront.net/image/725136000567/image_l02pi0m1ch07n7ovdgbo4sck0d/-FJPG/233363-001_FRT_1.jpg;https://dd3ka9h4chfr8.cloudfront.net/image/725136000567/image_q14lutibjd0g52ibee242s7t1k/-FJPG/233363-001_PRM_1.jpg;https://dd3ka9h4chfr8.cloudfront.net/image/725136000567/image_7n4auu4val40r6ohn8r2bg7v4b/-FJPG/233363-001_SID_1.jpg;https://dd3ka9h4chfr8.cloudfront.net/image/725136000567/image_vh4c9ibqkt2if30i8b63bfc438/-FJPG/233363-001_DET_2.jpg;https://dd3ka9h4chfr8.cloudfront.net/image/725136000567/image_cg284du7ed5uj95smv7tjvef2o/-FJPG/233363-001_DET_1.jpg;https://dd3ka9h4chfr8.cloudfront.net/image/725136000567/image_f3kvd2qe515jv62iepl0a27552/-FJPG/233363-001_DET_3.jpg;https://dd3ka9h4chfr8.cloudfront.net/image/725136000567/image_9jujscoqnp4o996rtjn6k5b75l/-FJPG/233363-001_DET_4.jpg</t>
  </si>
  <si>
    <t>233363-001</t>
  </si>
  <si>
    <t>51.37</t>
  </si>
  <si>
    <t>https://dd3ka9h4chfr8.cloudfront.net/image/725136000567/image_l02pi0m1ch07n7ovdgbo4sck0d/-FJPG/233363-001_FRT_1.jpg</t>
  </si>
  <si>
    <t>A unique layering piece â€” indoors or out. Made from laminated teak root with miter joinery, a simply shaped end table offers organic vibes and plenty of natural movement. Tables will vary from piece to piece, reflective of natural materials. Joint expansion may grow visible over time. Cover or store indoors during inclement weather and when not in use.</t>
  </si>
  <si>
    <t>Topanga Sofa-97"</t>
  </si>
  <si>
    <t>https://dd3ka9h4chfr8.cloudfront.net/image/725136000567/image_cs9vft28p52476ckfg7elcfo7r/-FJPG/241188-004_FRT_1.JPG;https://dd3ka9h4chfr8.cloudfront.net/image/725136000567/image_60rsvpr0h94r91c30oko5c9g32/-FJPG/241188-004_FRT_1.jpg;https://dd3ka9h4chfr8.cloudfront.net/image/725136000567/image_37h5mfdqrd5rb8smgkkn722n02/-FJPG/241188-004_PRM_1.JPG;https://dd3ka9h4chfr8.cloudfront.net/image/725136000567/image_vg2e6k91cd7u7a4logs0499i2p/-FJPG/241188-004_PRM_1.jpg;https://dd3ka9h4chfr8.cloudfront.net/image/725136000567/image_7idueg4kal27r3lasmg2clld3s/-FJPG/241188-004_SID_1.JPG;https://dd3ka9h4chfr8.cloudfront.net/image/725136000567/image_lkk6s91o3d2pf4fk8dlg1tq064/-FJPG/241188-004_SID_1.jpg;https://dd3ka9h4chfr8.cloudfront.net/image/725136000567/image_16ttt3qd8h5cb7hpbl6d15pm2i/-FJPG/241188-004_ESS.tif;https://dd3ka9h4chfr8.cloudfront.net/image/725136000567/image_npipf6eqlh3e11fdlegkpkbf1q/-FJPG/241188-004_DET_2.jpg;https://dd3ka9h4chfr8.cloudfront.net/image/725136000567/image_1m1bp02vk118t4arganjmqiv2k/-FJPG/241188-004_DET_2.JPG;https://dd3ka9h4chfr8.cloudfront.net/image/725136000567/image_k7vq16lid91atanvcpuc06fp5f/-FJPG/241188-004_BCK_1.JPG;https://dd3ka9h4chfr8.cloudfront.net/image/725136000567/image_5i6n06a4d13u95kg0g6hgbms13/-FJPG/241188-004_BCK_1.jpg;https://dd3ka9h4chfr8.cloudfront.net/image/725136000567/image_e1na2hs2gd57hf39e7t8igma2n/-FJPG/241188-004_DET_1.jpg;https://dd3ka9h4chfr8.cloudfront.net/image/725136000567/image_4kvkrfh3891qn7gukhk8q8fk50/-FJPG/241188-004_DET_1.JPG;https://dd3ka9h4chfr8.cloudfront.net/image/725136000567/image_v7ina28qkh2pd76hqcklu02324/-FJPG/241188-004_DET_3.jpg;https://dd3ka9h4chfr8.cloudfront.net/image/725136000567/image_p087noos2t4r79jj0pda232r0d/-FJPG/241188-004_DET_3.JPG;https://dd3ka9h4chfr8.cloudfront.net/image/725136000567/image_gjnc9paei953v3q9acbc45i66h/-FJPG/241188-004_TOP_1.jpg;https://dd3ka9h4chfr8.cloudfront.net/image/725136000567/image_dh3ddam3at1u3fog7vf0fh4g1m/-FJPG/241188-004_DET_4.JPG;https://dd3ka9h4chfr8.cloudfront.net/image/725136000567/image_k9mm7753rp03b8svgn78d55d4r/-FJPG/241188-004_DET_4.jpg;https://dd3ka9h4chfr8.cloudfront.net/image/725136000567/image_9b9r6cq1p17558qqcv5kq6vg2r/-FJPG/241188-004_DET_5.JPG;https://dd3ka9h4chfr8.cloudfront.net/image/725136000567/image_i3i2dcjkqh6rp8cgb7tcd5ve5t/-FJPG/241188-004_DET_5.jpg;https://dd3ka9h4chfr8.cloudfront.net/image/725136000567/image_d6kn2og06p4652fiqvjc63077p/-FJPG/241188-004_DET_6.JPG;https://dd3ka9h4chfr8.cloudfront.net/image/725136000567/image_i858miqfsl1er2k8peqmbndk6h/-FJPG/241188-004_DET_6.jpg;https://dd3ka9h4chfr8.cloudfront.net/image/725136000567/image_m3sm87kqsl5gb6kne1vh78ib7p/-FJPG/241188-004_DET_9.tif;https://dd3ka9h4chfr8.cloudfront.net/image/725136000567/image_d89554ktd14mn6vbm7p6a3me19/-FJPG/241188-004_DET_10.tif;https://dd3ka9h4chfr8.cloudfront.net/image/725136000567/image_kubjkuhkh557r47d5m16s6p601/-FJPG/241188-004_DET_11.tif;https://dd3ka9h4chfr8.cloudfront.net/image/725136000567/image_7lusg6tj557et3rcnqr437445d/-FJPG/FHMPRJ-010_SCENE-07.tif</t>
  </si>
  <si>
    <t>241188-004</t>
  </si>
  <si>
    <t>https://dd3ka9h4chfr8.cloudfront.net/image/725136000567/image_cs9vft28p52476ckfg7elcfo7r/-FJPG/241188-004_FRT_1.JPG</t>
  </si>
  <si>
    <t>["95% Polyester","5% Acrylic"]</t>
  </si>
  <si>
    <t>Textural boucle and angled arms give this sofa a stylish upgrade, while the two-over-one cushion configuration lend a laid-back look. Performance fabric is specially created to withstand spills, stains, high traffic and wear, ensuring long-term comfort and unmatched durability.</t>
  </si>
  <si>
    <t>Topanga</t>
  </si>
  <si>
    <t>Topanga Swivel Chair</t>
  </si>
  <si>
    <t>https://dd3ka9h4chfr8.cloudfront.net/image/725136000567/image_hpmstj16gh1djebcrd9p2rut1q/-FJPG/106008-020_FRT_1.JPG;https://dd3ka9h4chfr8.cloudfront.net/image/725136000567/image_rp4vkep73p62h5g9a10tffak51/-FJPG/106008-020_PRM_1.JPG;https://dd3ka9h4chfr8.cloudfront.net/image/725136000567/image_pui8032ki90h19l0i31oio0q3o/-FJPG/106008-020_SID_1.JPG;https://dd3ka9h4chfr8.cloudfront.net/image/725136000567/image_9bpg2q244908nctfqjinji9c5i/-FJPG/106008-020_ESS_1.jpg;https://dd3ka9h4chfr8.cloudfront.net/image/725136000567/image_3j0mtkg6ht2ht8bqm5s6qpse79/-FJPG/106008-020_DET_2.JPG;https://dd3ka9h4chfr8.cloudfront.net/image/725136000567/image_20mhm8qsjd7jdcu19qga7di81s/-FJPG/106008-020_DET_1.JPG;https://dd3ka9h4chfr8.cloudfront.net/image/725136000567/image_f74r4ds6ep48h3bgh090dsb45d/-FJPG/106008-020_DET_3.JPG;https://dd3ka9h4chfr8.cloudfront.net/image/725136000567/image_im81tdt1kh3pj399ae7t9seq43/-FJPG/106008-020_DET_4.JPG;https://dd3ka9h4chfr8.cloudfront.net/image/725136000567/image_b24fm5kjk93g948gf225jbhk6c/-FJPG/106008-020_DET_5.JPG;https://dd3ka9h4chfr8.cloudfront.net/image/725136000567/image_hbh2rvma4d5efchciq5fgu2l27/-FJPG/106008-020_PRM_2.JPG</t>
  </si>
  <si>
    <t>106008-020</t>
  </si>
  <si>
    <t>https://dd3ka9h4chfr8.cloudfront.net/image/725136000567/image_hpmstj16gh1djebcrd9p2rut1q/-FJPG/106008-020_FRT_1.JPG</t>
  </si>
  <si>
    <t>Angled arms and a single pillow create a laid-back look, with a 360-degree swivel for ease in your office or living room.Sourced from one of the oldest family-owned tanneries in Italyâ€™s Bassano del Grappa, our top-grain heirloom leather covering is salvaged and processed from upcycled hides featuring an abundance of natural markings, scars and color variations. The result? Supple, buttery soft hides with an unmatched depth of color and richness, and an authentic lived-in look.</t>
  </si>
  <si>
    <t>{"value":73.63,"unit":"lb"}</t>
  </si>
  <si>
    <t>20.55"</t>
  </si>
  <si>
    <t>https://dd3ka9h4chfr8.cloudfront.net/image/725136000567/image_mjbbhi6j714k9e3tvgmbe8nq4v/-FJPG/106008-018_FRT_1.jpg;https://dd3ka9h4chfr8.cloudfront.net/image/725136000567/image_i8lv3c3sa56s35ms04e8nb2e4q/-FJPG/106008-018_PRM_1.jpg;https://dd3ka9h4chfr8.cloudfront.net/image/725136000567/image_v9m39me5s961vf6h1afdll657v/-FJPG/106008-018_SID_1.jpg;https://dd3ka9h4chfr8.cloudfront.net/image/725136000567/image_qqjvmp44754p9fkt8l9bg4tn4r/-FJPG/106008-018_ESS_1.jpg;https://dd3ka9h4chfr8.cloudfront.net/image/725136000567/image_4ub9kom9pd07v8oecb03u6cb4d/-FJPG/106008-018_DET_2.jpg;https://dd3ka9h4chfr8.cloudfront.net/image/725136000567/image_lrue8seauh11dbh9tns0jovf2n/-FJPG/106008-018_BCK_1.jpg;https://dd3ka9h4chfr8.cloudfront.net/image/725136000567/image_s617rj0n956fv85h4d9bj6pu13/-FJPG/Color Variance Card_Heirloom Sienna.png;https://dd3ka9h4chfr8.cloudfront.net/image/725136000567/image_5k0gf7v24d5731ame5ofs8m36c/-FJPG/106008-018_DET_1.jpg;https://dd3ka9h4chfr8.cloudfront.net/image/725136000567/image_vui74re3g54bvbd13ta8vj0h1q/-FJPG/106008-018_DET_3.jpg;https://dd3ka9h4chfr8.cloudfront.net/image/725136000567/image_87ga0on5i97hl9dev5b0bo395e/-FJPG/106008-018_DET_4.jpg;https://dd3ka9h4chfr8.cloudfront.net/image/725136000567/image_is7998iftd41n0dmdvce1c0t4e/-FJPG/106008-018_DET_5.jpg;https://dd3ka9h4chfr8.cloudfront.net/image/725136000567/image_g6glvk5cg90epcn4tueoh7ld1t/-FJPG/106008-018_DET_6.jpg</t>
  </si>
  <si>
    <t>106008-018</t>
  </si>
  <si>
    <t>https://dd3ka9h4chfr8.cloudfront.net/image/725136000567/image_mjbbhi6j714k9e3tvgmbe8nq4v/-FJPG/106008-018_FRT_1.jpg</t>
  </si>
  <si>
    <t>Angled arms and a single pillow create a laid-back look, with a 360-degree swivel for ease in your office or living room. Sourced from one of the oldest family-owned tanneries in Italyâ€™s Bassano del Grappa, our top-grain heirloom leather covering is salvaged and processed from upcycled hides featuring an abundance of natural markings, scars and color variations. The result? Beautifully supple, buttery soft hides with an unmatched depth of color and richness, and an authentic lived-in look.</t>
  </si>
  <si>
    <t>https://dd3ka9h4chfr8.cloudfront.net/image/725136000567/image_37h2omg4i923he8te1hr2o7713/-FJPG/106008-009_FRT_1.jpg;https://dd3ka9h4chfr8.cloudfront.net/image/725136000567/image_cukm9asn1173h3oca71817rl71/-FJPG/106008-009_PRM_1.jpg;https://dd3ka9h4chfr8.cloudfront.net/image/725136000567/image_glvl4fp1pl7trdi4avoidsii75/-FJPG/106008-009_SID_1.jpg;https://dd3ka9h4chfr8.cloudfront.net/image/725136000567/image_s4norn6brt4jd008tbrtsmso34/-FJPG/106008-009_ESS_1.jpg;https://dd3ka9h4chfr8.cloudfront.net/image/725136000567/image_fcagddmdul6cjcnbq7nhcspg2l/-FJPG/106008-009_DET_2.jpg;https://dd3ka9h4chfr8.cloudfront.net/image/725136000567/image_d516uav2k52al81e9tk5udtm3t/-FJPG/106008-009_BCK_1.jpg;https://dd3ka9h4chfr8.cloudfront.net/image/725136000567/image_cio903qh3h7vbbiluplp0og62e/-FJPG/106008-009_INF_1.jpg;https://dd3ka9h4chfr8.cloudfront.net/image/725136000567/image_krargvgsjt4n7cm9sii4tuph1b/-FJPG/106008-009_DET_1.jpg;https://dd3ka9h4chfr8.cloudfront.net/image/725136000567/image_ocq1dgo99l2o555v1pdl31n72v/-FJPG/106008-009_DET_3.jpg;https://dd3ka9h4chfr8.cloudfront.net/image/725136000567/image_f9dl0g1r3h66t7bpbsbsmfuo0c/-FJPG/106008-009_DET_4.jpg;https://dd3ka9h4chfr8.cloudfront.net/image/725136000567/image_c3gqd5toal6dpfdne3rustni0k/-FJPG/106008-009_DET_5.jpg;https://dd3ka9h4chfr8.cloudfront.net/image/725136000567/image_ssrhralr3d0d590h30vku2p153/-FJPG/106008-009_DET_6.jpg;https://dd3ka9h4chfr8.cloudfront.net/image/725136000567/image_2p3b1f6g852adeo0vu3q7m8g1g/-FJPG/106008-009_DET_7.jpg;https://dd3ka9h4chfr8.cloudfront.net/image/725136000567/image_c8r28rpdh927rb19ku8n6vg35o/-FJPG/106008-009_PRM_2.jpg</t>
  </si>
  <si>
    <t>106008-009</t>
  </si>
  <si>
    <t>https://dd3ka9h4chfr8.cloudfront.net/image/725136000567/image_37h2omg4i923he8te1hr2o7713/-FJPG/106008-009_FRT_1.jpg</t>
  </si>
  <si>
    <t>Cream boucle, angled arms and a single pillow create a laid-back look, while a hidden swivel offers ease in your office of living room. Performance fabrics are specially created to withstand spills, stains, high traffic and wear, ensuring long-term comfort and unmatched durability.</t>
  </si>
  <si>
    <t>{"value":96.12,"unit":"lb"}</t>
  </si>
  <si>
    <t>50% Polyurethane Foam Pad, 40% Polyester Fiber Batting, 10% Waterfowl Feather</t>
  </si>
  <si>
    <t>75% Polyurethane Foam Pad, 25% Polyester Fiber Batting</t>
  </si>
  <si>
    <t>https://dd3ka9h4chfr8.cloudfront.net/image/725136000567/image_1ch3ud5vn94017652jvnrvr719/-FJPG/106008-013_FRT_1.jpg;https://dd3ka9h4chfr8.cloudfront.net/image/725136000567/image_sr21hhuogp7a10k3n6uk59pf53/-FJPG/106008-013_PRM_1.jpg;https://dd3ka9h4chfr8.cloudfront.net/image/725136000567/image_d73i2tf00p0j3e4bcfcgbu0v63/-FJPG/106008-013_SID_1.jpg;https://dd3ka9h4chfr8.cloudfront.net/image/725136000567/image_qg5hhbh9v550754j2skt704j3l/-FJPG/106008-013_ESS_1.jpg;https://dd3ka9h4chfr8.cloudfront.net/image/725136000567/image_out49tihmh3030qqq9m9jbck22/-FJPG/106008-013_DET_2.jpg;https://dd3ka9h4chfr8.cloudfront.net/image/725136000567/image_haden7ju5d6vne127qqet8387m/-FJPG/106008-013_BCK_1.jpg;https://dd3ka9h4chfr8.cloudfront.net/image/725136000567/image_urup6ttjh967p63fuuk13e543m/-FJPG/106008-013_INF_1.jpg;https://dd3ka9h4chfr8.cloudfront.net/image/725136000567/image_jphnf8qcfh5d1fsur9slvja445/-FJPG/106008-013_DET_1.jpg;https://dd3ka9h4chfr8.cloudfront.net/image/725136000567/image_ke1b45i12h6vvah8o58p9co60a/-FJPG/106008-013_DET_3.jpg;https://dd3ka9h4chfr8.cloudfront.net/image/725136000567/image_rcj738s6ap5o3frp091o1cjc4u/-FJPG/106008-013_DET_4.jpg;https://dd3ka9h4chfr8.cloudfront.net/image/725136000567/image_3vqvpnhqn56fr0q96k1gjlpr0m/-FJPG/106008-013_DET_5.jpg</t>
  </si>
  <si>
    <t>106008-013</t>
  </si>
  <si>
    <t>https://dd3ka9h4chfr8.cloudfront.net/image/725136000567/image_1ch3ud5vn94017652jvnrvr719/-FJPG/106008-013_FRT_1.jpg</t>
  </si>
  <si>
    <t>Understated luxury, soft to the touch. Soft natural hue, curved arms, plush seating and single pillow create a laid-back look, while a hidden swivel turns a traditional form into something novel. Performance fabrics are specially created to withstand spills, stains, high traffic and wear, ensuring long-term comfort and unmatched durability.</t>
  </si>
  <si>
    <t>Torrington Charging Nightstand</t>
  </si>
  <si>
    <t>https://dd3ka9h4chfr8.cloudfront.net/image/725136000567/image_jd369jgat12h1592p43d05jb1p/-FJPG/238222-002_FRT_1.jpg;https://dd3ka9h4chfr8.cloudfront.net/image/725136000567/image_ftrmckc0g91j32c2ad06otn35h/-FJPG/238222-002_PRM_1.jpg;https://dd3ka9h4chfr8.cloudfront.net/image/725136000567/image_vpcbf1lked1kdd31ku6e47g93u/-FJPG/238222-002_SID_1.jpg;https://dd3ka9h4chfr8.cloudfront.net/image/725136000567/image_jqm7hmlhqd11p6qicngbvg0b58/-FJPG/238222-002_DET_2.jpg;https://dd3ka9h4chfr8.cloudfront.net/image/725136000567/image_b5vv2bp5o16fdetm11h0k1r051/-FJPG/238222-002_BCK_1.jpg;https://dd3ka9h4chfr8.cloudfront.net/image/725136000567/image_hdsmlnt79126heorkrvf2mrj3q/-FJPG/238222-002_DET_1.jpg;https://dd3ka9h4chfr8.cloudfront.net/image/725136000567/image_j58qa961gt441839cqbrfe2l0k/-FJPG/238222-002_DET_3.jpg;https://dd3ka9h4chfr8.cloudfront.net/image/725136000567/image_ukfojbqe5t4ij6bjj8kot75r24/-FJPG/238222-002_OPN_1.jpg;https://dd3ka9h4chfr8.cloudfront.net/image/725136000567/image_tdg4uop1jl2dr1gueq00qou266/-FJPG/238222-002_DET_4.jpg;https://dd3ka9h4chfr8.cloudfront.net/image/725136000567/image_qj5fku3hn16c75scktvfj9ii18/-FJPG/238222-002_DET_5.jpg;https://dd3ka9h4chfr8.cloudfront.net/image/725136000567/image_9jjsb3lckh4ut2ngvba11r686p/-FJPG/238222-002_DET_6.jpg;https://dd3ka9h4chfr8.cloudfront.net/image/725136000567/image_rkcojnv9g95r16ubsq74j57v0s/-FJPG/238222-002_DET_7.jpg;https://dd3ka9h4chfr8.cloudfront.net/image/725136000567/image_4teeide9j970b6b8bc4io45h1k/-FJPG/238222-002_DET_8.jpg</t>
  </si>
  <si>
    <t>Sandy Oak Resawn</t>
  </si>
  <si>
    <t>238222-002</t>
  </si>
  <si>
    <t>https://dd3ka9h4chfr8.cloudfront.net/image/725136000567/image_jd369jgat12h1592p43d05jb1p/-FJPG/238222-002_FRT_1.jpg</t>
  </si>
  <si>
    <t>["Resawn Oak Veneer","Aluminum"]</t>
  </si>
  <si>
    <t>Torrington</t>
  </si>
  <si>
    <t>25.67"</t>
  </si>
  <si>
    <t>https://dd3ka9h4chfr8.cloudfront.net/image/725136000567/image_s4pbd4vb7d3hr7eanf5h66iv0n/-FJPG/238222-001_FRT_1.jpg;https://dd3ka9h4chfr8.cloudfront.net/image/725136000567/image_b20hq1du6p58d3fouv7qcipj25/-FJPG/238222-001_PRM_1.jpg;https://dd3ka9h4chfr8.cloudfront.net/image/725136000567/image_v86s0rn9c94rf88vvgc9a8ha5k/-FJPG/238222-001_SID_1.jpg;https://dd3ka9h4chfr8.cloudfront.net/image/725136000567/image_kq9d84idr91ilcjf8thf5ce731/-FJPG/238222-001_ESS_1.tif;https://dd3ka9h4chfr8.cloudfront.net/image/725136000567/image_j41ievqbi97ub5n5mfqs9nsa55/-FJPG/238222-001_DET_2.jpg;https://dd3ka9h4chfr8.cloudfront.net/image/725136000567/image_bm76cc98m55k1fc7d66iqcpv4n/-FJPG/238222-001_BCK_1.jpg;https://dd3ka9h4chfr8.cloudfront.net/image/725136000567/image_v8c46ghcqp1871rhp6n65oic5h/-FJPG/238222-001_DET_1.jpg;https://dd3ka9h4chfr8.cloudfront.net/image/725136000567/image_v2ospjsvll3rt47cubjmu6gp3d/-FJPG/238222-001_DET_3.jpg;https://dd3ka9h4chfr8.cloudfront.net/image/725136000567/image_0gqjih90l133j354v3lhd9ct1s/-FJPG/238222-001_OPN_1.jpg;https://dd3ka9h4chfr8.cloudfront.net/image/725136000567/image_cpjf5odlnt1k9536nq7g5p3a1g/-FJPG/238222-001_TOP_1.jpg;https://dd3ka9h4chfr8.cloudfront.net/image/725136000567/image_0e3lvmhbcp66t41hjj9v49tm05/-FJPG/238222-001_DET_4.jpg;https://dd3ka9h4chfr8.cloudfront.net/image/725136000567/image_5n2epdvd6p485evluam6on8p1s/-FJPG/238222-001_DET_6.jpg;https://dd3ka9h4chfr8.cloudfront.net/image/725136000567/image_jo2bqft8st6cddar6gfjc05m1p/-FJPG/238222-001_DET_7.jpg;https://dd3ka9h4chfr8.cloudfront.net/image/725136000567/image_u7viaciv3d4k3863t7vethof3o/-FJPG/238222-001_DET_9.jpg;https://dd3ka9h4chfr8.cloudfront.net/image/725136000567/image_5vduc7ucp1625bkfkn69bue734/-FJPG/238222-001_DET_10.jpg;https://dd3ka9h4chfr8.cloudfront.net/image/725136000567/image_sqhgkl0spp7bp1bba9bq4rn936/-FJPG/238222-001_ESS.tif</t>
  </si>
  <si>
    <t>Umber Oak Resawn</t>
  </si>
  <si>
    <t>238222-001</t>
  </si>
  <si>
    <t>https://dd3ka9h4chfr8.cloudfront.net/image/725136000567/image_s4pbd4vb7d3hr7eanf5h66iv0n/-FJPG/238222-001_FRT_1.jpg</t>
  </si>
  <si>
    <t>Straight planks of solid umber oak and veneer encase this spacious nightstand for an understated modern look. Deep wood grain adds natural character. Invisible wireless charging for Android and Apple products.</t>
  </si>
  <si>
    <t>Torrington Desk</t>
  </si>
  <si>
    <t>https://dd3ka9h4chfr8.cloudfront.net/image/725136000567/image_dlg6rhbcqp6t75ipcr9htmbd63/-FJPG/238144-002_FRT_1.jpg;https://dd3ka9h4chfr8.cloudfront.net/image/725136000567/image_ojlebcepmp00p552f0b0fl2i0v/-FJPG/238144-002_PRM_1.jpg;https://dd3ka9h4chfr8.cloudfront.net/image/725136000567/image_2jfibavact4i38srnl9sl7044d/-FJPG/238144-002_SID_1.jpg;https://dd3ka9h4chfr8.cloudfront.net/image/725136000567/image_ko7varodkh1q5bn5uofrgab45d/-FJPG/238144-002_DET_2.jpg;https://dd3ka9h4chfr8.cloudfront.net/image/725136000567/image_lf23o1larl2ntfn3jpsdv82027/-FJPG/238144-002_BCK_1.jpg;https://dd3ka9h4chfr8.cloudfront.net/image/725136000567/image_kvttgv4pp91fv8204a6vtfsv0g/-FJPG/238144-002_DET_1.jpg;https://dd3ka9h4chfr8.cloudfront.net/image/725136000567/image_3ag2t5v8kd4e17lq5psoa4bg25/-FJPG/238144-002_DET_3.jpg;https://dd3ka9h4chfr8.cloudfront.net/image/725136000567/image_ofk6o996kh3r942neecrgct45s/-FJPG/238144-002_OPN_1.jpg;https://dd3ka9h4chfr8.cloudfront.net/image/725136000567/image_ghfuvk8frd3j5eme87r8ir664l/-FJPG/238144-002_DET_4.jpg;https://dd3ka9h4chfr8.cloudfront.net/image/725136000567/image_k1rvrdub4h3dja6n2s9rafsa4j/-FJPG/238144-002_DET_5.jpg;https://dd3ka9h4chfr8.cloudfront.net/image/725136000567/image_gioi21pm9t7l94r7js4eer2b4s/-FJPG/238144-002_DET_6.jpg;https://dd3ka9h4chfr8.cloudfront.net/image/725136000567/image_r9rread6914lj2p0bdev0tse25/-FJPG/238144-002_DET_7.jpg;https://dd3ka9h4chfr8.cloudfront.net/image/725136000567/image_93rjuj3o315617hd29ulocje50/-FJPG/238144-002_DET_8.jpg</t>
  </si>
  <si>
    <t>238144-002</t>
  </si>
  <si>
    <t>279.98</t>
  </si>
  <si>
    <t>https://dd3ka9h4chfr8.cloudfront.net/image/725136000567/image_dlg6rhbcqp6t75ipcr9htmbd63/-FJPG/238144-002_FRT_1.jpg</t>
  </si>
  <si>
    <t>An executive-sized desk of resawn oak offers generous surface and storage space, while a flip top keeps cords out of sight. Invisible wireless charging for Android and Apple products.</t>
  </si>
  <si>
    <t>{"value":334,"unit":"lb"}</t>
  </si>
  <si>
    <t>73.98"</t>
  </si>
  <si>
    <t>https://dd3ka9h4chfr8.cloudfront.net/image/725136000567/image_99rk846o4t4b99pe0g45pt3103/-FJPG/238144-001_FRT_1.jpg;https://dd3ka9h4chfr8.cloudfront.net/image/725136000567/image_743e08qad579nck97nn44o2912/-FJPG/238144-001_PRM_1.jpg;https://dd3ka9h4chfr8.cloudfront.net/image/725136000567/image_qan1crd4j17st8s6dc8mlr4072/-FJPG/238144-001_SID_1.jpg;https://dd3ka9h4chfr8.cloudfront.net/image/725136000567/image_uioop8bgdl1rheu21t8oi24i13/-FJPG/238144-001_ESS_1.tif;https://dd3ka9h4chfr8.cloudfront.net/image/725136000567/image_9ug7oqbqlt5j30qk5sq2s9jn3p/-FJPG/238144-001_DET_2.jpg;https://dd3ka9h4chfr8.cloudfront.net/image/725136000567/image_dgqsvmvemp5fb8vqa8gps9jm2v/-FJPG/238144-001_BCK_1.jpg;https://dd3ka9h4chfr8.cloudfront.net/image/725136000567/image_v8c46ghcqp1871rhp6n65oic5h/-FJPG/238222-001_DET_1.jpg;https://dd3ka9h4chfr8.cloudfront.net/image/725136000567/image_okqkmk30pp62l1rdvrmcoi2v7n/-FJPG/238144-001_DET_5.jpg;https://dd3ka9h4chfr8.cloudfront.net/image/725136000567/image_i51hkajerl3l53l1n6sbmb5j2s/-FJPG/238144-001_DET_3.jpg;https://dd3ka9h4chfr8.cloudfront.net/image/725136000567/image_f8bbfmmffd4jfemabe38bbnh64/-FJPG/238144-001_OPN_1.jpg;https://dd3ka9h4chfr8.cloudfront.net/image/725136000567/image_8andmgrdm96d94otivrqntdc3i/-FJPG/238144-001_TOP_1.jpg;https://dd3ka9h4chfr8.cloudfront.net/image/725136000567/image_d6b46cekmp2c3diiptkpit9g6r/-FJPG/238144-001_DET_4.jpg;https://dd3ka9h4chfr8.cloudfront.net/image/725136000567/image_npi7umuqj970l00o2v5md8b06i/-FJPG/238144-001_DET_6.jpg;https://dd3ka9h4chfr8.cloudfront.net/image/725136000567/image_2eq54rkov90lv3d8vd30sc914r/-FJPG/238144-001_DET_7.jpg;https://dd3ka9h4chfr8.cloudfront.net/image/725136000567/image_dlg55c6b9p7rv3tompbn4s9t1u/-FJPG/238144-001_DET_8.jpg;https://dd3ka9h4chfr8.cloudfront.net/image/725136000567/image_sikucis6m16kvec0hnoc9sj51s/-FJPG/238144-001_DET_9.jpg;https://dd3ka9h4chfr8.cloudfront.net/image/725136000567/image_b33jm1h7r137j2uu796up0ma3s/-FJPG/238144-001_DET_9.tif;https://dd3ka9h4chfr8.cloudfront.net/image/725136000567/image_0c5fqpol157jba6c4svjo1e369/-FJPG/238144-001_DET_10.jpg;https://dd3ka9h4chfr8.cloudfront.net/image/725136000567/image_q3octlnnkp5099pls5sm7ej939/-FJPG/238144-001_DET_11.jpg;https://dd3ka9h4chfr8.cloudfront.net/image/725136000567/image_0ko03kg82965ddbricjs6vad33/-FJPG/238144-001_DET_12.jpg;https://dd3ka9h4chfr8.cloudfront.net/image/725136000567/image_6iac9toagd7bb5bp5pmliqtm00/-FJPG/238144-001_ESS.tif</t>
  </si>
  <si>
    <t>238144-001</t>
  </si>
  <si>
    <t>https://dd3ka9h4chfr8.cloudfront.net/image/725136000567/image_99rk846o4t4b99pe0g45pt3103/-FJPG/238144-001_FRT_1.jpg</t>
  </si>
  <si>
    <t>An executive-sized desk of rich brown oak offers generous surface and storage space, while a flip top keeps cords out of sight. Invisible wireless charging for Android and Apple products.</t>
  </si>
  <si>
    <t>Torrington Dining Table</t>
  </si>
  <si>
    <t>https://dd3ka9h4chfr8.cloudfront.net/image/725136000567/image_jua7pnsr797hldsjg45g0udq6p/-FJPG/238149-002_FRT_1.jpg;https://dd3ka9h4chfr8.cloudfront.net/image/725136000567/image_o1ktai9n2d0d1dilcgo31gqc66/-FJPG/238149-002_PRM_1.jpg;https://dd3ka9h4chfr8.cloudfront.net/image/725136000567/image_d18spemdu17fl5icmse3rsj937/-FJPG/238149-002_SID_1.jpg;https://dd3ka9h4chfr8.cloudfront.net/image/725136000567/image_dupmi6p33579j3ufbdavp28v27/-FJPG/238149-002_DET_2.jpg;https://dd3ka9h4chfr8.cloudfront.net/image/725136000567/image_fnm0rog6j91ot70ticeb6ot25f/-FJPG/238149-002_BCK_1.jpg;https://dd3ka9h4chfr8.cloudfront.net/image/725136000567/image_gusdsf1fp131775di3sutk0b3u/-FJPG/238149-002_DET_1.jpg;https://dd3ka9h4chfr8.cloudfront.net/image/725136000567/image_bk59kst7b11r77p4n32bn8ah7e/-FJPG/238149-002_DET_3.jpg;https://dd3ka9h4chfr8.cloudfront.net/image/725136000567/image_el4oemael12qd7qmqpterhk811/-FJPG/238149-002_TOP_1.jpg;https://dd3ka9h4chfr8.cloudfront.net/image/725136000567/image_ql42b9bsb549r1k12idq6fic70/-FJPG/238149-002_DET_4.jpg;https://dd3ka9h4chfr8.cloudfront.net/image/725136000567/image_81e1sa66rl3vneea73n4bf3n5p/-FJPG/238149-002_DET_5.jpg;https://dd3ka9h4chfr8.cloudfront.net/image/725136000567/image_bqeua4kodt0jt8hsj6i7efsb41/-FJPG/238149-002_DET_6.jpg;https://dd3ka9h4chfr8.cloudfront.net/image/725136000567/image_0m1gsvtbsd3g5br9q2deglvq3n/-FJPG/238149-002_DET_7.jpg</t>
  </si>
  <si>
    <t>238149-002</t>
  </si>
  <si>
    <t>https://dd3ka9h4chfr8.cloudfront.net/image/725136000567/image_jua7pnsr797hldsjg45g0udq6p/-FJPG/238149-002_FRT_1.jpg</t>
  </si>
  <si>
    <t>The primitive design of this table pairs a waterfall-inspired leg design with large slabs of resawn umber oak for a piece that is both modern and understated.</t>
  </si>
  <si>
    <t>{"value":298.72,"unit":"lb"}</t>
  </si>
  <si>
    <t>25.49"</t>
  </si>
  <si>
    <t>52.01"</t>
  </si>
  <si>
    <t>27.99"</t>
  </si>
  <si>
    <t>https://dd3ka9h4chfr8.cloudfront.net/image/725136000567/image_5s2k6a628h0vp95v68uknlkf72/-FJPG/238149-001_FRT_1.jpg;https://dd3ka9h4chfr8.cloudfront.net/image/725136000567/image_6si3gg9k055cl098a6bu8di17j/-FJPG/238149-001_PRM_1.jpg;https://dd3ka9h4chfr8.cloudfront.net/image/725136000567/image_gugeh12s2l63re2bp9k1j7oi5i/-FJPG/238149-001_SID_1.jpg;https://dd3ka9h4chfr8.cloudfront.net/image/725136000567/image_6cbuaeg62h607e25ur1br8fa7n/-FJPG/238149-001_ESS.tif;https://dd3ka9h4chfr8.cloudfront.net/image/725136000567/image_8jossngdu109hau4cmvjgpav7u/-FJPG/238149-001_DET_2.jpg;https://dd3ka9h4chfr8.cloudfront.net/image/725136000567/image_9amliofd9p0h58l0e59u4gcg5u/-FJPG/238149-001_BCK_1.jpg;https://dd3ka9h4chfr8.cloudfront.net/image/725136000567/image_jgst250b3h44j5mj74kvb93t5m/-FJPG/238149-001_DET_1.jpg;https://dd3ka9h4chfr8.cloudfront.net/image/725136000567/image_einhk29k595d1bomde5mtjsm26/-FJPG/238149-001_DET_3.jpg;https://dd3ka9h4chfr8.cloudfront.net/image/725136000567/image_2dgvquu2cl0ur6eum5217q4q2r/-FJPG/238149-001_TOP_1.jpg;https://dd3ka9h4chfr8.cloudfront.net/image/725136000567/image_1vlue2a3n55vl62bfpgs5hb81b/-FJPG/238149-001_DET_4.jpg;https://dd3ka9h4chfr8.cloudfront.net/image/725136000567/image_o8to252ceh2lr60i7oiln7274f/-FJPG/238149-001_DET_5.jpg;https://dd3ka9h4chfr8.cloudfront.net/image/725136000567/image_t6bsbkimd52f30kdh9m40f3c12/-FJPG/238149-001_DET_6.jpg;https://dd3ka9h4chfr8.cloudfront.net/image/725136000567/image_ol9autri2l7mv5rb55middp26b/-FJPG/238149-001_DET_9.tif;https://dd3ka9h4chfr8.cloudfront.net/image/725136000567/image_vil3dft4bt5kr4bs677hb6ku76/-FJPG/238149-001_DET_10.tif</t>
  </si>
  <si>
    <t>238149-001</t>
  </si>
  <si>
    <t>https://dd3ka9h4chfr8.cloudfront.net/image/725136000567/image_5s2k6a628h0vp95v68uknlkf72/-FJPG/238149-001_FRT_1.jpg</t>
  </si>
  <si>
    <t>Umber Oak Veneer</t>
  </si>
  <si>
    <t>Torrington Sideboard</t>
  </si>
  <si>
    <t>https://dd3ka9h4chfr8.cloudfront.net/image/725136000567/image_4c6fnhav3906rdppkf74rgpl01/-FJPG/236939-002_FRT_1.jpg;https://dd3ka9h4chfr8.cloudfront.net/image/725136000567/image_2377idgjdl49r6ccus6ae9b52j/-FJPG/236939-002_PRM_1.jpg;https://dd3ka9h4chfr8.cloudfront.net/image/725136000567/image_6tuv9pqs8d0utd1m3p7bq1fm0m/-FJPG/236939-002_SID_1.jpg;https://dd3ka9h4chfr8.cloudfront.net/image/725136000567/image_kbbo8hg3al6cj2hvth6utb0878/-FJPG/236939-002_DET_2.jpg;https://dd3ka9h4chfr8.cloudfront.net/image/725136000567/image_ko4jauku191vb44mval398ur2i/-FJPG/236939-002_BCK_1.jpg;https://dd3ka9h4chfr8.cloudfront.net/image/725136000567/image_2j0p05ois50v93e7h1u4mm5s18/-FJPG/236939-002_DET_1.jpg;https://dd3ka9h4chfr8.cloudfront.net/image/725136000567/image_utudnjbufl76t0iugii4kidu6p/-FJPG/236939-002_DET_3.jpg;https://dd3ka9h4chfr8.cloudfront.net/image/725136000567/image_edd9ne0ojp0qbajiu09nrmtk58/-FJPG/236939-002_OPN_1.jpg;https://dd3ka9h4chfr8.cloudfront.net/image/725136000567/image_gmnn7738kp0cb1nmq6fiuc4r4j/-FJPG/236939-002_DET_4.jpg;https://dd3ka9h4chfr8.cloudfront.net/image/725136000567/image_mpn8mqhdu54hp3avlu63bvjk36/-FJPG/236939-002_DET_5.jpg;https://dd3ka9h4chfr8.cloudfront.net/image/725136000567/image_o5t8gfq57536jdhrjqschhd735/-FJPG/236939-002_DET_6.jpg;https://dd3ka9h4chfr8.cloudfront.net/image/725136000567/image_rp5uglpam94ip50jkie6beda5i/-FJPG/236939-002_DET_7.jpg</t>
  </si>
  <si>
    <t>236939-002</t>
  </si>
  <si>
    <t>https://dd3ka9h4chfr8.cloudfront.net/image/725136000567/image_4c6fnhav3906rdppkf74rgpl01/-FJPG/236939-002_FRT_1.jpg</t>
  </si>
  <si>
    <t>["Oak Veneer","Resawn Oak Veneer"]</t>
  </si>
  <si>
    <t>This sideboard pairs a waterfall-inspired leg design with large slabs of resawn umber oak with small, simple hardware for a piece that is both modern and understated.</t>
  </si>
  <si>
    <t>38.62"</t>
  </si>
  <si>
    <t>38.39"</t>
  </si>
  <si>
    <t>Toulouse Bed</t>
  </si>
  <si>
    <t>https://dd3ka9h4chfr8.cloudfront.net/image/725136000567/image_oihr1l88mt4rlco3n9085qau5k/-FJPG/231966-004_FRT_1.jpg;https://dd3ka9h4chfr8.cloudfront.net/image/725136000567/image_qh3qs0sgop3415dn845ffkma04/-FJPG/231966-004_PRM_1.jpg;https://dd3ka9h4chfr8.cloudfront.net/image/725136000567/image_frfsc9kimt1t5ae5ern5la9n1t/-FJPG/231966-004_SID_1.jpg;https://dd3ka9h4chfr8.cloudfront.net/image/725136000567/image_1qoe4p29nt1tl74srinvph826k/-FJPG/231966-004_ESS.tif;https://dd3ka9h4chfr8.cloudfront.net/image/725136000567/image_ul4busedcp0nt6p0k6s89dfc3f/-FJPG/231966-004_DET_2.jpg;https://dd3ka9h4chfr8.cloudfront.net/image/725136000567/image_p1pi4stol95n9a2bt81sfv7j43/-FJPG/231966-004_BCK_1.jpg;https://dd3ka9h4chfr8.cloudfront.net/image/725136000567/image_4nm6ue5vr916re74re5peir945/-FJPG/231966-004_DET_1.jpg;https://dd3ka9h4chfr8.cloudfront.net/image/725136000567/image_a63iulg88t3j38q9ue9ocl9l1v/-FJPG/231966-004_DET_3.jpg;https://dd3ka9h4chfr8.cloudfront.net/image/725136000567/image_bebk91r8r554v2onrno1t4p17j/-FJPG/231966-004_DET_4.jpg;https://dd3ka9h4chfr8.cloudfront.net/image/725136000567/image_3kcpvv64s57un90k3kslon2i6a/-FJPG/231966-004_DET_5.jpg;https://dd3ka9h4chfr8.cloudfront.net/image/725136000567/image_sk3dmhl18d1v598mv1426dd850/-FJPG/231966-004_DET_6.jpg</t>
  </si>
  <si>
    <t>Distressed Black Oak</t>
  </si>
  <si>
    <t>231966-004</t>
  </si>
  <si>
    <t>https://dd3ka9h4chfr8.cloudfront.net/image/725136000567/image_oihr1l88mt4rlco3n9085qau5k/-FJPG/231966-004_FRT_1.jpg</t>
  </si>
  <si>
    <t>Influenced by vintage European lines, this inspired bed is elegant and full of presence. Framed headboard and footboard have rounded edges finished with tapered spindle legs for warm character. Made from solid oak and veneer in distressed black for a classic look.</t>
  </si>
  <si>
    <t>{"value":13.19,"unit":"in"}</t>
  </si>
  <si>
    <t>Toulouse</t>
  </si>
  <si>
    <t>https://dd3ka9h4chfr8.cloudfront.net/image/725136000567/image_12abjco6t50l5ahn0e7v362u03/-FJPG/231966-001_FRT_1.jpg;https://dd3ka9h4chfr8.cloudfront.net/image/725136000567/image_oulidu20dp1q390rlh621k446m/-FJPG/231966-001_PRM_1.jpg;https://dd3ka9h4chfr8.cloudfront.net/image/725136000567/image_f8djf1of5d7btc14lt7t17676c/-FJPG/231966-001_SID_1.jpg;https://dd3ka9h4chfr8.cloudfront.net/image/725136000567/image_nd0dmk8fqp7sl7iaoccck3e97q/-FJPG/231966-001_ESS.tif;https://dd3ka9h4chfr8.cloudfront.net/image/725136000567/image_nvtfp20p594jl699g9e1q0552r/-FJPG/231966-001_DET_2.jpg;https://dd3ka9h4chfr8.cloudfront.net/image/725136000567/image_o4m1k7f7qd32ndufsg01bnib7i/-FJPG/231966-001_BCK_1.jpg;https://dd3ka9h4chfr8.cloudfront.net/image/725136000567/image_hde9i2bhi56theb7r80utheg16/-FJPG/231966-001_DET_1.jpg;https://dd3ka9h4chfr8.cloudfront.net/image/725136000567/image_adstukdb195upbmo939t5ins6i/-FJPG/231966-001_DET_3.jpg;https://dd3ka9h4chfr8.cloudfront.net/image/725136000567/image_3t3lqvh13p64vdffi87jsi3p54/-FJPG/231966-001_DET_4.jpg;https://dd3ka9h4chfr8.cloudfront.net/image/725136000567/image_63obsods5956v0s6itkqq1qr2m/-FJPG/231966-001_PRM_2.jpg;https://dd3ka9h4chfr8.cloudfront.net/image/725136000567/image_b3kajnjj2d2dn44nv91pi59n4f/-FJPG/231966-001_SID_2.jpg;https://dd3ka9h4chfr8.cloudfront.net/image/725136000567/image_l7k0bhkqt95qpdg70m5qk1t32o/-FJPG/231966-001_FRT_2.jpg</t>
  </si>
  <si>
    <t>Toasted Oak Veneer</t>
  </si>
  <si>
    <t>231966-001</t>
  </si>
  <si>
    <t>https://dd3ka9h4chfr8.cloudfront.net/image/725136000567/image_12abjco6t50l5ahn0e7v362u03/-FJPG/231966-001_FRT_1.jpg</t>
  </si>
  <si>
    <t>https://dd3ka9h4chfr8.cloudfront.net/image/725136000567/image_6l2431o1j16j9c7sf5rdsibr0m/-FJPG/231966-002_FRT_1.jpg;https://dd3ka9h4chfr8.cloudfront.net/image/725136000567/image_dftrgssti97mn9e0hm3per7h73/-FJPG/231966-002_PRM_1.jpg;https://dd3ka9h4chfr8.cloudfront.net/image/725136000567/image_61sva0qd554k32qfioon4f0i5o/-FJPG/231966-002_SID_1.jpg;https://dd3ka9h4chfr8.cloudfront.net/image/725136000567/image_g6ll1opd1d6557vihf8hdv2e1f/-FJPG/231966-002_ESS_1.jpg;https://dd3ka9h4chfr8.cloudfront.net/image/725136000567/image_3j2kco16nt3tt83054lutfgj16/-FJPG/231966-002_DET_2.jpg;https://dd3ka9h4chfr8.cloudfront.net/image/725136000567/image_jg2doid3cd30j657dpcirh603s/-FJPG/231966-002_BCK_1.jpg;https://dd3ka9h4chfr8.cloudfront.net/image/725136000567/image_nrj701atm95v5dhre9qp2i267j/-FJPG/231966-002_DET_1.jpg;https://dd3ka9h4chfr8.cloudfront.net/image/725136000567/image_v09peonqud5edb3ut9b8d1591s/-FJPG/231966-002_DET_3.jpg;https://dd3ka9h4chfr8.cloudfront.net/image/725136000567/image_02fooa1hah02n0vbn88flf4u56/-FJPG/231966-002_DET_4.jpg;https://dd3ka9h4chfr8.cloudfront.net/image/725136000567/image_hof5esum8t06t74tinjeiq9a7r/-FJPG/231966-002_DET_5.jpg;https://dd3ka9h4chfr8.cloudfront.net/image/725136000567/image_hv4lp7241t64j2c33niq66ij14/-FJPG/231966-002_DET_6.jpg;https://dd3ka9h4chfr8.cloudfront.net/image/725136000567/image_00gntpljil4bj81vuvv4ocj37c/-FJPG/231966-002_SID_2.jpg;https://dd3ka9h4chfr8.cloudfront.net/image/725136000567/image_1mftspf59d5rb6v2uo05v2br37/-FJPG/231966-002_FRT_2.jpg;https://dd3ka9h4chfr8.cloudfront.net/image/725136000567/image_rk1bhu4iu51873cmijhlge2k75/-FJPG/231966-002_PRM_2.jpg;https://dd3ka9h4chfr8.cloudfront.net/image/725136000567/image_i7s17pignd42j8lakaddusu74v/-FJPG/231966-002_PRM_3.jpg</t>
  </si>
  <si>
    <t>231966-002</t>
  </si>
  <si>
    <t>https://dd3ka9h4chfr8.cloudfront.net/image/725136000567/image_6l2431o1j16j9c7sf5rdsibr0m/-FJPG/231966-002_FRT_1.jpg</t>
  </si>
  <si>
    <t>81.73"</t>
  </si>
  <si>
    <t>https://dd3ka9h4chfr8.cloudfront.net/image/725136000567/image_i8s71qfi6t4i97cmg52k8ipg6r/-FJPG/231966-005_FRT_1.jpg;https://dd3ka9h4chfr8.cloudfront.net/image/725136000567/image_4qc6pomsap0hp2qr6v3rekin3j/-FJPG/231966-005_PRM_1.jpg;https://dd3ka9h4chfr8.cloudfront.net/image/725136000567/image_4pjjvch1b922f9i8bopat1701g/-FJPG/231966-005_SID_1.jpg;https://dd3ka9h4chfr8.cloudfront.net/image/725136000567/image_6tghi9crll291fveiro28fra4h/-FJPG/231966-005_ESS_1.jpg;https://dd3ka9h4chfr8.cloudfront.net/image/725136000567/image_ntil6o8d3h1m39hocslvjm3b20/-FJPG/231966-005_DET_2.jpg;https://dd3ka9h4chfr8.cloudfront.net/image/725136000567/image_agaf6kbtr53690uiv0s3j1pu6t/-FJPG/231966-005_BCK_1.jpg;https://dd3ka9h4chfr8.cloudfront.net/image/725136000567/image_rvics69jp53ffd28f9hesl7m4t/-FJPG/231966-005_DET_1.jpg;https://dd3ka9h4chfr8.cloudfront.net/image/725136000567/image_bgmdu54le90nb1iocjuagrdq0f/-FJPG/231966-005_DET_3.jpg;https://dd3ka9h4chfr8.cloudfront.net/image/725136000567/image_54jfv4fj190cl3foss84cvoq34/-FJPG/231966-005_DET_4.jpg;https://dd3ka9h4chfr8.cloudfront.net/image/725136000567/image_s0hiee0d6l0hr2kbigppgjsp4e/-FJPG/231966-005_DET_5.jpg;https://dd3ka9h4chfr8.cloudfront.net/image/725136000567/image_f01njelgmd68n7jgecbhl1p907/-FJPG/231966-005_DET_6.jpg</t>
  </si>
  <si>
    <t>231966-005</t>
  </si>
  <si>
    <t>https://dd3ka9h4chfr8.cloudfront.net/image/725136000567/image_i8s71qfi6t4i97cmg52k8ipg6r/-FJPG/231966-005_FRT_1.jpg</t>
  </si>
  <si>
    <t>Toulouse Executive Desk</t>
  </si>
  <si>
    <t>https://dd3ka9h4chfr8.cloudfront.net/image/725136000567/image_vq3e298qv16vl7bhd0cldtds1l/-FJPG/231890-001_FRT_1.jpg;https://dd3ka9h4chfr8.cloudfront.net/image/725136000567/image_uc088e89fd75nan7dkq7235v2t/-FJPG/231890-001_PRM_1.jpg;https://dd3ka9h4chfr8.cloudfront.net/image/725136000567/image_pemsch53hl6ql7619jv4mekf2i/-FJPG/231890-001_SID_1.jpg;https://dd3ka9h4chfr8.cloudfront.net/image/725136000567/image_ask4hradjh5fbdmantagi6ud5o/-FJPG/231890-001_ESS_1.jpg;https://dd3ka9h4chfr8.cloudfront.net/image/725136000567/image_ra7b3jib491af6r8pgnnsh840e/-FJPG/231890-001_DET_2.jpg;https://dd3ka9h4chfr8.cloudfront.net/image/725136000567/image_q0n9qkls6t78v4qprbt11p2v69/-FJPG/231890-001_BCK_1.jpg;https://dd3ka9h4chfr8.cloudfront.net/image/725136000567/image_g8s1iin9fh1954jh13rp9mv747/-FJPG/231890-001_DET_1.jpg;https://dd3ka9h4chfr8.cloudfront.net/image/725136000567/image_d7g41ckpo90338ljon72rkgo47/-FJPG/231890-001_DET_3.jpg;https://dd3ka9h4chfr8.cloudfront.net/image/725136000567/image_u7betalf1905l3h7h7p570lf2n/-FJPG/231890-001_OPN_1.jpg;https://dd3ka9h4chfr8.cloudfront.net/image/725136000567/image_38hciisnp16st16fai1e06ns1m/-FJPG/231890-001_DET_4.jpg;https://dd3ka9h4chfr8.cloudfront.net/image/725136000567/image_o0ddi8s3nt5olc6g6j7dp7431m/-FJPG/231890-001_DET_5.jpg;https://dd3ka9h4chfr8.cloudfront.net/image/725136000567/image_0qrbi5g3l17sn3pgsu7t40dv3h/-FJPG/231890-001_DET_6.jpg;https://dd3ka9h4chfr8.cloudfront.net/image/725136000567/image_chraff1nr91br1rnnmcoukok2g/-FJPG/231890-001_DET_7.jpg;https://dd3ka9h4chfr8.cloudfront.net/image/725136000567/image_kv44gf5c094o196mvi8kd36p0i/-FJPG/231890-001_OPN_2.jpg;https://dd3ka9h4chfr8.cloudfront.net/image/725136000567/image_je2jhdfub16r58lndnmffefa2e/-FJPG/231890-001-BACK.jpg;https://dd3ka9h4chfr8.cloudfront.net/image/725136000567/image_rbsnbkfqfh7mv2fo3n9kh6lg3c/-FJPG/231890-001_PRM_2.jpg</t>
  </si>
  <si>
    <t>231890-001</t>
  </si>
  <si>
    <t>https://dd3ka9h4chfr8.cloudfront.net/image/725136000567/image_vq3e298qv16vl7bhd0cldtds1l/-FJPG/231890-001_FRT_1.jpg</t>
  </si>
  <si>
    <t>Influenced by vintage European lines, this inspired desk is elegant and full of presence. Framed panels, rounded corners and finished with aged brass drawer pulls and tapered spindle legs for warm character. Made from solid oak and veneer in toasted oak for a classic look.</t>
  </si>
  <si>
    <t>68.74"</t>
  </si>
  <si>
    <t>6.99"</t>
  </si>
  <si>
    <t>Trey 5 Drawer Dresser</t>
  </si>
  <si>
    <t>https://dd3ka9h4chfr8.cloudfront.net/image/725136000567/image_326m74rr5p2mn4ba2h95qinb16/-FJPG/108604-001_FRT_1.jpg;https://dd3ka9h4chfr8.cloudfront.net/image/725136000567/image_koq4t7lplp06f9g8q51spld23o/-FJPG/108604-001_PRM_1.jpg;https://dd3ka9h4chfr8.cloudfront.net/image/725136000567/image_52637pkop10mdc0aeasbjg236r/-FJPG/108604-001_DET_2.jpg;https://dd3ka9h4chfr8.cloudfront.net/image/725136000567/image_d2iill6gn15bpag0153avhha0p/-FJPG/108604-001_BCK_1.jpg;https://dd3ka9h4chfr8.cloudfront.net/image/725136000567/image_umhmesscbd5m9dijgo6tl3ej06/-FJPG/108604-001_DET_1.jpg;https://dd3ka9h4chfr8.cloudfront.net/image/725136000567/image_lcm6msr9p162v313iajm363c1s/-FJPG/108604-001_DET_3.jpg;https://dd3ka9h4chfr8.cloudfront.net/image/725136000567/image_fhvcau7kpd2enbrs746en4ga12/-FJPG/108604-001_OPN_1.jpg;https://dd3ka9h4chfr8.cloudfront.net/image/725136000567/image_bbkfnn93lp3jjdmvhrepr1g30u/-FJPG/108604-001_DET_4.jpg;https://dd3ka9h4chfr8.cloudfront.net/image/725136000567/image_584sup95hl4lb3clmiuim9j776/-FJPG/108604-001_DET_5.jpg;https://dd3ka9h4chfr8.cloudfront.net/image/725136000567/image_dbnlqk6gpl4d95jdl5fk2h7b2h/-FJPG/108604-001_VIG_1.jpg</t>
  </si>
  <si>
    <t>Auburn Poplar</t>
  </si>
  <si>
    <t>108604-004</t>
  </si>
  <si>
    <t>https://dd3ka9h4chfr8.cloudfront.net/image/725136000567/image_326m74rr5p2mn4ba2h95qinb16/-FJPG/108604-001_FRT_1.jpg</t>
  </si>
  <si>
    <t>Black Leather</t>
  </si>
  <si>
    <t>Inspired by clean mid-century design, a stylish dresser of auburn poplar offers plenty of bedroom storage space thanks to five spacious drawers. Metal-secured leather pulls add a textural element of surprise.</t>
  </si>
  <si>
    <t>Trey</t>
  </si>
  <si>
    <t>https://dd3ka9h4chfr8.cloudfront.net/image/725136000567/image_t0b8pg1pvt0175v35sqm3f211s/-FJPG/108604-002_FRT_1.jpg;https://dd3ka9h4chfr8.cloudfront.net/image/725136000567/image_8shh5d8bi102321cij55q02e65/-FJPG/108604-002_PRM_1.jpg;https://dd3ka9h4chfr8.cloudfront.net/image/725136000567/image_mue35975e915v37rs286hh8b3l/-FJPG/108604-002_SID_1.jpg;https://dd3ka9h4chfr8.cloudfront.net/image/725136000567/image_pqgffbr6hp63ded8l9q5v86s6r/-FJPG/108604-002_DET_2.jpg;https://dd3ka9h4chfr8.cloudfront.net/image/725136000567/image_d7s7766tbh1oha483r02g44l53/-FJPG/108604-002_BCK_1.jpg;https://dd3ka9h4chfr8.cloudfront.net/image/725136000567/image_0otb4ofnbl7qhe09a5rkt8lq52/-FJPG/108604-002_DET_1.jpg;https://dd3ka9h4chfr8.cloudfront.net/image/725136000567/image_311s1u1re56a9b6v7vsu7m8v52/-FJPG/108604-002_DET_3.jpg;https://dd3ka9h4chfr8.cloudfront.net/image/725136000567/image_r7mcj1r02565l90109ot32ct6q/-FJPG/108604-002_OPN_1.jpg;https://dd3ka9h4chfr8.cloudfront.net/image/725136000567/image_avqf8kp8jl39pbk181gom5aj7u/-FJPG/108604-002_DET_4.jpg;https://dd3ka9h4chfr8.cloudfront.net/image/725136000567/image_2j6quf5m2d2hf15iob8am10g38/-FJPG/108604-002_DET_5.jpg;https://dd3ka9h4chfr8.cloudfront.net/image/725136000567/image_o472kra50h3bj5btfsq8iod53d/-FJPG/108604-002_DET_6.jpg;https://dd3ka9h4chfr8.cloudfront.net/image/725136000567/image_6eq1i1gi2p74n10drls5guas7g/-FJPG/108604-002_DET_7.jpg</t>
  </si>
  <si>
    <t>Black Wash Poplar</t>
  </si>
  <si>
    <t>108604-005</t>
  </si>
  <si>
    <t>https://dd3ka9h4chfr8.cloudfront.net/image/725136000567/image_t0b8pg1pvt0175v35sqm3f211s/-FJPG/108604-002_FRT_1.jpg</t>
  </si>
  <si>
    <t>Inspired by clean mid-century design, a stylish dresser of black-washed poplar offers plenty of bedroom storage space thanks to five spacious drawers. Metal-secured leather pulls add a textural element of surprise.</t>
  </si>
  <si>
    <t>https://dd3ka9h4chfr8.cloudfront.net/image/725136000567/image_eopubalifp7lb2chkkdoj28d4n/-FJPG/108604-003_FRT_1.jpg;https://dd3ka9h4chfr8.cloudfront.net/image/725136000567/image_72kmhk4j812tvb04c4lrm81r6m/-FJPG/108604-003_PRM_1.jpg;https://dd3ka9h4chfr8.cloudfront.net/image/725136000567/image_9pivarocod1l72stdf31kc6i5u/-FJPG/108604-003_SID_1.jpg;https://dd3ka9h4chfr8.cloudfront.net/image/725136000567/image_9ers8jtbn11535qqqcs62mu97j/-FJPG/108604-003_DET_2.jpg;https://dd3ka9h4chfr8.cloudfront.net/image/725136000567/image_nra70b8k2h0qf2vmdbne7mbe55/-FJPG/108604-003_BCK_1.jpg;https://dd3ka9h4chfr8.cloudfront.net/image/725136000567/image_04r6jnnug54df6a6ni9t9irh0l/-FJPG/Color Variance Card_Trey Collection- Dove Poplar.jpg;https://dd3ka9h4chfr8.cloudfront.net/image/725136000567/image_va8op1rvuh7cl5snveq5eu5910/-FJPG/108604-003_DET_1.jpg;https://dd3ka9h4chfr8.cloudfront.net/image/725136000567/image_rsevtvhafl24t5kmdmq6fk1c6u/-FJPG/108604-003_DET_3.jpg;https://dd3ka9h4chfr8.cloudfront.net/image/725136000567/image_09l1u9ibnh38v4r591tbk7ri7o/-FJPG/108604-003_OPN_1.jpg;https://dd3ka9h4chfr8.cloudfront.net/image/725136000567/image_651ifa9vk571f2h7ma1fvkk14l/-FJPG/108604-003_DET_4.jpg;https://dd3ka9h4chfr8.cloudfront.net/image/725136000567/image_nha3apa2rd4gj52a2v5oeb9u0q/-FJPG/108604-003_DET_5.jpg;https://dd3ka9h4chfr8.cloudfront.net/image/725136000567/image_1dgr007m4l0dj05s9ugh1jbt02/-FJPG/108604-003_DET_6.jpg;https://dd3ka9h4chfr8.cloudfront.net/image/725136000567/image_2jql8eei916frbpumb0kelkm7c/-FJPG/108604-003_DET_7.jpg</t>
  </si>
  <si>
    <t>Dove Poplar</t>
  </si>
  <si>
    <t>108604-006</t>
  </si>
  <si>
    <t>https://dd3ka9h4chfr8.cloudfront.net/image/725136000567/image_eopubalifp7lb2chkkdoj28d4n/-FJPG/108604-003_FRT_1.jpg</t>
  </si>
  <si>
    <t>Inspired by clean mid-century design, a stylish dresser of light-washed poplar offers plenty of bedroom storage space thanks to five spacious drawers. Metal-secured leather pulls add a textural element of surprise.</t>
  </si>
  <si>
    <t>Trey 7 Drawer Dresser</t>
  </si>
  <si>
    <t>https://dd3ka9h4chfr8.cloudfront.net/image/725136000567/image_2u8vsv2eb53rn5vjlgaioub66i/-FJPG/108603-001_FRT_1.jpg;https://dd3ka9h4chfr8.cloudfront.net/image/725136000567/image_v2a1ti0aup7l9027ofddtsht0v/-FJPG/108603-001_PRM_1.jpg;https://dd3ka9h4chfr8.cloudfront.net/image/725136000567/image_tb5ppoflg10ql7s8fo9qo9l62k/-FJPG/108603-001_SID_1.jpg;https://dd3ka9h4chfr8.cloudfront.net/image/725136000567/image_a6hotm9v811e984a5ma9sv5s1p/-FJPG/108603-001_DET_2.jpg;https://dd3ka9h4chfr8.cloudfront.net/image/725136000567/image_obp2ogkv450k50jufmldibtd2o/-FJPG/108603-001_BCK_1.jpg;https://dd3ka9h4chfr8.cloudfront.net/image/725136000567/image_8g21s1du7h1oj3a9je2n5gkl69/-FJPG/108603-001_DET_1.jpg;https://dd3ka9h4chfr8.cloudfront.net/image/725136000567/image_o50itr7uf15n16li9njfeqj26r/-FJPG/108603-001_DET_3.jpg;https://dd3ka9h4chfr8.cloudfront.net/image/725136000567/image_i2v8en7jtl07l4db8rlfdglm4g/-FJPG/108603-001_OPN_1.jpg;https://dd3ka9h4chfr8.cloudfront.net/image/725136000567/image_3n2edc6v191qvdeuqb6cvq3d7n/-FJPG/108603-001_DET_4.jpg;https://dd3ka9h4chfr8.cloudfront.net/image/725136000567/image_3cni3ke92l03f4sgb4cn3vqe43/-FJPG/108603-001_DET_5.jpg;https://dd3ka9h4chfr8.cloudfront.net/image/725136000567/image_dd254q1s9p4o70j0qs3al4al4t/-FJPG/108603-001_VIG_1.jpg;https://dd3ka9h4chfr8.cloudfront.net/image/725136000567/image_efdmsrf1vt0bv8n79cr02one6v/-FJPG/108603-001_VIG_2.jpg</t>
  </si>
  <si>
    <t>108603-004</t>
  </si>
  <si>
    <t>https://dd3ka9h4chfr8.cloudfront.net/image/725136000567/image_2u8vsv2eb53rn5vjlgaioub66i/-FJPG/108603-001_FRT_1.jpg</t>
  </si>
  <si>
    <t>Inspired by clean mid-century design, a stylish dresser of auburn poplar offers plenty of bedroom storage space thanks to seven spacious drawers. Metal-secured leather pulls add a textural element of surprise.</t>
  </si>
  <si>
    <t>https://dd3ka9h4chfr8.cloudfront.net/image/725136000567/image_iem183hl7d6ej7c7qdb98t9d36/-FJPG/108603-002_FRT_1.jpg;https://dd3ka9h4chfr8.cloudfront.net/image/725136000567/image_stkuf2bmi94rh73h2at6uo5379/-FJPG/108603-002_PRM_1.jpg;https://dd3ka9h4chfr8.cloudfront.net/image/725136000567/image_dp0pkmkth92cvbh575117fh16i/-FJPG/108603-002_SID_1.jpg;https://dd3ka9h4chfr8.cloudfront.net/image/725136000567/image_co3cg7chth70dblmb06pmn021o/-FJPG/108603-002_DET_2.jpg;https://dd3ka9h4chfr8.cloudfront.net/image/725136000567/image_9es8cqvnhp7kr5qj69spe5n036/-FJPG/108603-002_BCK_1.jpg;https://dd3ka9h4chfr8.cloudfront.net/image/725136000567/image_i67pd2f4np6u3c4pqoqnije16b/-FJPG/108603-002_DET_1.jpg;https://dd3ka9h4chfr8.cloudfront.net/image/725136000567/image_n5nu1sihnh67798u0v503ejb50/-FJPG/108603-002_DET_3.jpg;https://dd3ka9h4chfr8.cloudfront.net/image/725136000567/image_4caj31217h13jburaknd8ib96t/-FJPG/108603-002_OPN_1.jpg;https://dd3ka9h4chfr8.cloudfront.net/image/725136000567/image_p8mu7qub4d7tt7ecjtkp4f7q2p/-FJPG/108603-002_DET_4.jpg;https://dd3ka9h4chfr8.cloudfront.net/image/725136000567/image_0eq2j4ub810nr9qtn4dp3oca7m/-FJPG/108603-002_DET_5.jpg;https://dd3ka9h4chfr8.cloudfront.net/image/725136000567/image_j0e9f33d095btd6ub6kimuf75s/-FJPG/108603-002_DET_6.jpg</t>
  </si>
  <si>
    <t>108603-005</t>
  </si>
  <si>
    <t>https://dd3ka9h4chfr8.cloudfront.net/image/725136000567/image_iem183hl7d6ej7c7qdb98t9d36/-FJPG/108603-002_FRT_1.jpg</t>
  </si>
  <si>
    <t>Inspired by clean mid-century design, a stylish dresser of black-washed poplar offers plenty of bedroom storage space thanks to seven spacious drawers. Metal-secured leather pulls add a textural element of surprise.</t>
  </si>
  <si>
    <t>https://dd3ka9h4chfr8.cloudfront.net/image/725136000567/image_i5a6ut4q19519fq97cohu0ra21/-FJPG/108603-003_FRT_1.jpg;https://dd3ka9h4chfr8.cloudfront.net/image/725136000567/image_jpk3jfve5568v9f3bfhhnjbe0n/-FJPG/108603-003_PRM_1.jpg;https://dd3ka9h4chfr8.cloudfront.net/image/725136000567/image_dndpsl1lal15dfmfa7gade032b/-FJPG/108603-003_SID_1.jpg;https://dd3ka9h4chfr8.cloudfront.net/image/725136000567/image_igm3r4cmdt4r7dq0e9rn6rdg2h/-FJPG/108603-003_DET_2.jpg;https://dd3ka9h4chfr8.cloudfront.net/image/725136000567/image_9c1t198cl94s7ar1s6bv46hl45/-FJPG/108603-003_BCK_1.jpg;https://dd3ka9h4chfr8.cloudfront.net/image/725136000567/image_04r6jnnug54df6a6ni9t9irh0l/-FJPG/Color Variance Card_Trey Collection- Dove Poplar.jpg;https://dd3ka9h4chfr8.cloudfront.net/image/725136000567/image_h35k4thdjp5qv6c63m09r6rm2q/-FJPG/108603-003_DET_1.jpg;https://dd3ka9h4chfr8.cloudfront.net/image/725136000567/image_i0nfjeick50b7b9e9kf2s9bo55/-FJPG/108603-003_DET_3.jpg;https://dd3ka9h4chfr8.cloudfront.net/image/725136000567/image_2o0v53h2lp3sp5qt7u3nvgv879/-FJPG/108603-003_OPN_1.jpg;https://dd3ka9h4chfr8.cloudfront.net/image/725136000567/image_2hqsb5g5pt5ob1p5nnjp68rj7i/-FJPG/108603-003_DET_4.jpg;https://dd3ka9h4chfr8.cloudfront.net/image/725136000567/image_lqgue9nftd4m54493tomskvc7t/-FJPG/108603-003_DET_5.jpg;https://dd3ka9h4chfr8.cloudfront.net/image/725136000567/image_747g36omq94473ci5kl7hv244u/-FJPG/108603-003_DET_6.jpg;https://dd3ka9h4chfr8.cloudfront.net/image/725136000567/image_jeh8ud1m7521jda9nrpn8gqr4l/-FJPG/108603-003_DET_7.jpg</t>
  </si>
  <si>
    <t>108603-006</t>
  </si>
  <si>
    <t>https://dd3ka9h4chfr8.cloudfront.net/image/725136000567/image_i5a6ut4q19519fq97cohu0ra21/-FJPG/108603-003_FRT_1.jpg</t>
  </si>
  <si>
    <t>Inspired by clean mid-century design, a stylish dresser of light-washed poplar offers plenty of storage space thanks to seven spacious drawers. Metal-secured leather pulls add a textural element of surprise.</t>
  </si>
  <si>
    <t>Trey 9 Drawer Dresser</t>
  </si>
  <si>
    <t>https://dd3ka9h4chfr8.cloudfront.net/image/725136000567/image_8rcq9ovhqt1fvak30m1obscp0e/-FJPG/230300-001_FRT_1.jpg;https://dd3ka9h4chfr8.cloudfront.net/image/725136000567/image_dfkajkm4ld2ht2j2l6lpf6ku00/-FJPG/230300-001_PRM_1.jpg;https://dd3ka9h4chfr8.cloudfront.net/image/725136000567/image_ln0ik8tnel541cbunngek1eu7f/-FJPG/230300-001_SID_1.jpg;https://dd3ka9h4chfr8.cloudfront.net/image/725136000567/image_skcuroiqgl007cbjm2f37jfe0a/-FJPG/230300-001_DET_2.jpg;https://dd3ka9h4chfr8.cloudfront.net/image/725136000567/image_r7sjmg4teh311bcjt9th12d41c/-FJPG/230300-001_BCK_1.jpg;https://dd3ka9h4chfr8.cloudfront.net/image/725136000567/image_qq5etopm3d7dbf3aaccus6o34u/-FJPG/230300-001_DET_1.jpg;https://dd3ka9h4chfr8.cloudfront.net/image/725136000567/image_4ts94fgrqh33l87c51v14nir2t/-FJPG/230300-001_DET_3.jpg;https://dd3ka9h4chfr8.cloudfront.net/image/725136000567/image_coim2s1o65341fl3l908vu4s2a/-FJPG/230300-001_OPN_1.jpg;https://dd3ka9h4chfr8.cloudfront.net/image/725136000567/image_7u1sihmh6d5272dbomqcot8g6p/-FJPG/230300-001_DET_4.jpg;https://dd3ka9h4chfr8.cloudfront.net/image/725136000567/image_ihdtl7muh14t9coikdnf03ug7g/-FJPG/230300-001_DET_5.jpg;https://dd3ka9h4chfr8.cloudfront.net/image/725136000567/image_bmqko1h8tl2676lhnm5r3ld54t/-FJPG/230300-001_DET_6.jpg;https://dd3ka9h4chfr8.cloudfront.net/image/725136000567/image_6aln27va113lj4jbl7brnksk1k/-FJPG/230300-001_DET_7.jpg;https://dd3ka9h4chfr8.cloudfront.net/image/725136000567/image_s0j7ffrg0t7i95ejvhvbusr27r/-FJPG/230300-001_VIG_1.jpg;https://dd3ka9h4chfr8.cloudfront.net/image/725136000567/image_02pvj77m493sd6h0hlubhei86o/-FJPG/230300-001_ESS_2.jpg</t>
  </si>
  <si>
    <t>230300-001</t>
  </si>
  <si>
    <t>https://dd3ka9h4chfr8.cloudfront.net/image/725136000567/image_8rcq9ovhqt1fvak30m1obscp0e/-FJPG/230300-001_FRT_1.jpg</t>
  </si>
  <si>
    <t>Inspired by clean midcentury design, a stylish dresser of auburn-finished poplar offers plenty of bedroom storage space thanks to nine spacious drawers. Metal-secured leather pulls add a textural element of surprise. This item has been modified to comply with the STURDY Act. See a full list of modified products and data changes in the â€œSTURDY Actâ€_x009d_ file in the Downloads section below.</t>
  </si>
  <si>
    <t>6.34"</t>
  </si>
  <si>
    <t>32.36"</t>
  </si>
  <si>
    <t>https://dd3ka9h4chfr8.cloudfront.net/image/725136000567/image_6ms6qd9ps53in1h523k266n34l/-FJPG/230300-002_FRT_1.jpg;https://dd3ka9h4chfr8.cloudfront.net/image/725136000567/image_4p9q2ordg17obfdtb87554s852/-FJPG/230300-002_PRM_1.jpg;https://dd3ka9h4chfr8.cloudfront.net/image/725136000567/image_64glvl39bl5srcgap1mq42o461/-FJPG/230300-002_SID_1.jpg;https://dd3ka9h4chfr8.cloudfront.net/image/725136000567/image_piu0m7kh5h29jebie3fg93s86d/-FJPG/230300-002_ESS.tif;https://dd3ka9h4chfr8.cloudfront.net/image/725136000567/image_jlibh2cu6t6ltcvc28iojb483c/-FJPG/230300-002_DET_2.jpg;https://dd3ka9h4chfr8.cloudfront.net/image/725136000567/image_779sqieho56ir9nvv3763ers2p/-FJPG/230300-002_BCK_1.jpg;https://dd3ka9h4chfr8.cloudfront.net/image/725136000567/image_8o4b0kl4sp7tpamts2phsnir50/-FJPG/230300-002_DET_1.jpg;https://dd3ka9h4chfr8.cloudfront.net/image/725136000567/image_n19qne82ud4enfpqpke827qg62/-FJPG/230300-002_DET_3.jpg;https://dd3ka9h4chfr8.cloudfront.net/image/725136000567/image_om2pd6et1d63b7soblr22ptr6d/-FJPG/230300-002_OPN_1.jpg;https://dd3ka9h4chfr8.cloudfront.net/image/725136000567/image_mm48c1oqht7p7dsprafqmhlf27/-FJPG/230300-002_DET_4.jpg;https://dd3ka9h4chfr8.cloudfront.net/image/725136000567/image_88k23d4qvh1d5db5c73ectll35/-FJPG/230300-002_DET_5.jpg;https://dd3ka9h4chfr8.cloudfront.net/image/725136000567/image_3l264m7en92sv71rjspc04t90n/-FJPG/230300-002_DET_6.jpg;https://dd3ka9h4chfr8.cloudfront.net/image/725136000567/image_bge79o0r5d731cfh4d1hhf2p33/-FJPG/230300-002_DET_7.jpg;https://dd3ka9h4chfr8.cloudfront.net/image/725136000567/image_04g0nkiart6lv9kodoo1igun64/-FJPG/230300-002_VIG_1.jpg</t>
  </si>
  <si>
    <t>230300-002</t>
  </si>
  <si>
    <t>https://dd3ka9h4chfr8.cloudfront.net/image/725136000567/image_6ms6qd9ps53in1h523k266n34l/-FJPG/230300-002_FRT_1.jpg</t>
  </si>
  <si>
    <t>Inspired by clean midcentury design, a stylish dresser of black-washed poplar offers plenty of bedroom storage space thanks to nine spacious drawers. Metal-secured leather pulls add a textural element of surprise. This item has been modified to comply with the STURDY Act. See a full list of modified products and data changes in the â€œSTURDY Actâ€_x009d_ file in the Downloads section below.</t>
  </si>
  <si>
    <t>https://dd3ka9h4chfr8.cloudfront.net/image/725136000567/image_9teehq52nh2ptbp70hsi2ure5b/-FJPG/230300-003_FRT_1.jpg;https://dd3ka9h4chfr8.cloudfront.net/image/725136000567/image_a65e2bs9bp6sp54155u4h9h31u/-FJPG/230300-003_PRM_1.jpg;https://dd3ka9h4chfr8.cloudfront.net/image/725136000567/image_gm84pmm3gd4aldaedr26fbqk21/-FJPG/230300-003_SID_1.jpg;https://dd3ka9h4chfr8.cloudfront.net/image/725136000567/image_4c1u7t7rct1jn63k3loj33hg6g/-FJPG/230300-003_DET_2.jpg;https://dd3ka9h4chfr8.cloudfront.net/image/725136000567/image_0b2ltl4lbh13b8m99o05577b34/-FJPG/230300-003_BCK_1.jpg;https://dd3ka9h4chfr8.cloudfront.net/image/725136000567/image_04r6jnnug54df6a6ni9t9irh0l/-FJPG/Color Variance Card_Trey Collection- Dove Poplar.jpg;https://dd3ka9h4chfr8.cloudfront.net/image/725136000567/image_oduollsmpl5nfd4ii20qbnjo5c/-FJPG/230300-003_DET_1.jpg;https://dd3ka9h4chfr8.cloudfront.net/image/725136000567/image_e28snnl5ql2eb9sbpp0j4v1637/-FJPG/230300-003_DET_3.jpg;https://dd3ka9h4chfr8.cloudfront.net/image/725136000567/image_j6pb0th40l5dr55ic1q4o4a234/-FJPG/230300-003_OPN_1.jpg;https://dd3ka9h4chfr8.cloudfront.net/image/725136000567/image_nuv7jomc0909f4o5vscu2u5a6u/-FJPG/230300-003_DET_4.jpg;https://dd3ka9h4chfr8.cloudfront.net/image/725136000567/image_lao6q8i3a11rbf01ggestfk120/-FJPG/230300-003_DET_5.jpg;https://dd3ka9h4chfr8.cloudfront.net/image/725136000567/image_8pnqmcltq934r6lmnd5cv9q627/-FJPG/230300-003_DET_6.jpg;https://dd3ka9h4chfr8.cloudfront.net/image/725136000567/image_fub9hdne1p6rp0ud484dfbdi5q/-FJPG/230300-003_DET_7.jpg;https://dd3ka9h4chfr8.cloudfront.net/image/725136000567/image_1sda5oqjut7ij3edmviub7ih3s/-FJPG/230300-003_ESS.jpg</t>
  </si>
  <si>
    <t>230300-003</t>
  </si>
  <si>
    <t>https://dd3ka9h4chfr8.cloudfront.net/image/725136000567/image_9teehq52nh2ptbp70hsi2ure5b/-FJPG/230300-003_FRT_1.jpg</t>
  </si>
  <si>
    <t>Inspired by clean midcentury design, a minimal dresser of white-washed poplar offers plenty of bedroom storage space thanks to nine spacious drawers. Metal-secured leather pulls add a textural element of surprise. This item has been modified to comply with the STURDY Act. See a full list of modified products and data changes in the â€œSTURDY Actâ€_x009d_ file in the Downloads section below.</t>
  </si>
  <si>
    <t>Trey Bed</t>
  </si>
  <si>
    <t>https://dd3ka9h4chfr8.cloudfront.net/image/725136000567/image_fe5kvtqb6d6khfrql1d5gem959/-FJPG/109337-001_FRT_1.jpg;https://dd3ka9h4chfr8.cloudfront.net/image/725136000567/image_0f0rgpcgth4654nic7ola23l0d/-FJPG/109337-001_PRM_1.jpg;https://dd3ka9h4chfr8.cloudfront.net/image/725136000567/image_bn5dai2uit3itentgcg6psr75o/-FJPG/109337-001_SID_1.jpg;https://dd3ka9h4chfr8.cloudfront.net/image/725136000567/image_1l6felhd1p67125kgf1l4trd34/-FJPG/109337-001_ESS_1.jpg;https://dd3ka9h4chfr8.cloudfront.net/image/725136000567/image_vf7sfulmu16b18qn96rsafso2s/-FJPG/109337-001_DET_2.jpg;https://dd3ka9h4chfr8.cloudfront.net/image/725136000567/image_kt5db7g5c50935jb23v8c8qe4s/-FJPG/109337-001_BCK_1.jpg;https://dd3ka9h4chfr8.cloudfront.net/image/725136000567/image_ba43e3gpn10kb6g5ck7pteti1q/-FJPG/109337-001_DET_1.jpg;https://dd3ka9h4chfr8.cloudfront.net/image/725136000567/image_3ehek1rd613onc58ma5emsfm2m/-FJPG/109337-001_DET_3.jpg;https://dd3ka9h4chfr8.cloudfront.net/image/725136000567/image_0d2nprtg396kfescpvjjq6ps03/-FJPG/109337-001_DET_4.jpg;https://dd3ka9h4chfr8.cloudfront.net/image/725136000567/image_m00doig5394i568c79n8gjq00k/-FJPG/109337-001_DET_5.jpg;https://dd3ka9h4chfr8.cloudfront.net/image/725136000567/image_abil5f57gd5cr7ocp3s3br3b6i/-FJPG/109337-001_DET_6.jpg;https://dd3ka9h4chfr8.cloudfront.net/image/725136000567/image_nmc8j8hefp6b5a75tamrd8ch47/-FJPG/109337-001_DET_7.jpg</t>
  </si>
  <si>
    <t>109337-001</t>
  </si>
  <si>
    <t>https://dd3ka9h4chfr8.cloudfront.net/image/725136000567/image_fe5kvtqb6d6khfrql1d5gem959/-FJPG/109337-001_FRT_1.jpg</t>
  </si>
  <si>
    <t>["Solid Poplar"]</t>
  </si>
  <si>
    <t>A simply stylish platform bed inspired by clean mid-century design, crafted from auburn-finished poplar for a fashion-forward feel.</t>
  </si>
  <si>
    <t>Footboard, Slats</t>
  </si>
  <si>
    <t>Side Rails, Center Support</t>
  </si>
  <si>
    <t>https://dd3ka9h4chfr8.cloudfront.net/image/725136000567/image_722ihomb9941d0ohqarshe7173/-FJPG/109337-002_FRT_1.jpg;https://dd3ka9h4chfr8.cloudfront.net/image/725136000567/image_efvak12h3h0hd1ldqe5ekmcp5e/-FJPG/109337-002_PRM_1.jpg;https://dd3ka9h4chfr8.cloudfront.net/image/725136000567/image_6ci43cbc9l69p377mm6sg8314v/-FJPG/109337-002_SID_1.jpg;https://dd3ka9h4chfr8.cloudfront.net/image/725136000567/image_1l6felhd1p67125kgf1l4trd34/-FJPG/109337-001_ESS_1.jpg;https://dd3ka9h4chfr8.cloudfront.net/image/725136000567/image_hulkfmvke50gnd35g55pm0qm6n/-FJPG/109337-002_DET_2.jpg;https://dd3ka9h4chfr8.cloudfront.net/image/725136000567/image_rs8cpisaap6lj664mjpbjocr6q/-FJPG/109337-002_BCK_1.jpg;https://dd3ka9h4chfr8.cloudfront.net/image/725136000567/image_a41h4ijgrp4sd5tngn9e3m2m53/-FJPG/109337-002_DET_1.jpg;https://dd3ka9h4chfr8.cloudfront.net/image/725136000567/image_nb192tdcat6874nun3duhml14e/-FJPG/109337-002_DET_3.jpg;https://dd3ka9h4chfr8.cloudfront.net/image/725136000567/image_78sv8t1ar90m3bf9sk1ogr5m5o/-FJPG/109337-002_DET_4.jpg;https://dd3ka9h4chfr8.cloudfront.net/image/725136000567/image_n18fu4d6fp1hr6ei6vj3dt0706/-FJPG/109337-002_DET_5.jpg;https://dd3ka9h4chfr8.cloudfront.net/image/725136000567/image_njjia51n1p7rf7l0n9kkbms94e/-FJPG/109337-002_DET_6.jpg;https://dd3ka9h4chfr8.cloudfront.net/image/725136000567/image_lu3cm62asp43r8rh1ai4d4t02h/-FJPG/109337-002_DET_7.jpg</t>
  </si>
  <si>
    <t>109337-002</t>
  </si>
  <si>
    <t>https://dd3ka9h4chfr8.cloudfront.net/image/725136000567/image_722ihomb9941d0ohqarshe7173/-FJPG/109337-002_FRT_1.jpg</t>
  </si>
  <si>
    <t>{"value":5.71,"unit":"in"}</t>
  </si>
  <si>
    <t>{"value":106.92,"unit":"lb"}</t>
  </si>
  <si>
    <t>https://dd3ka9h4chfr8.cloudfront.net/image/725136000567/image_tnkgcrncjp42p3lme9mbm8ie3t/-FJPG/109337-003_FRT_1.jpg;https://dd3ka9h4chfr8.cloudfront.net/image/725136000567/image_3ffj2jfnt918j7uhrqd7fvfa6s/-FJPG/109337-003_PRM_1.jpg;https://dd3ka9h4chfr8.cloudfront.net/image/725136000567/image_ubjvubeu6t1mtclvv81timf465/-FJPG/109337-003_SID_1.jpg;https://dd3ka9h4chfr8.cloudfront.net/image/725136000567/image_cuc37tq9o146dae19nfdngqf0i/-FJPG/109337-003_DET_2.jpg;https://dd3ka9h4chfr8.cloudfront.net/image/725136000567/image_1hb6q9i8ap1q73btjfr46pjd27/-FJPG/109337-003_BCK_1.jpg;https://dd3ka9h4chfr8.cloudfront.net/image/725136000567/image_oov5553l1d2tv2frhjnd5fen33/-FJPG/109337-003_DET_1.jpg;https://dd3ka9h4chfr8.cloudfront.net/image/725136000567/image_mdsh6srv99333auob7shm59b0e/-FJPG/109337-003_DET_3.jpg;https://dd3ka9h4chfr8.cloudfront.net/image/725136000567/image_6vso5slo9l2uhdhhfi98tos47c/-FJPG/109337-003_DET_4.jpg;https://dd3ka9h4chfr8.cloudfront.net/image/725136000567/image_vb4t2veqap3072p7isc2vvb408/-FJPG/109337-003_DET_5.jpg;https://dd3ka9h4chfr8.cloudfront.net/image/725136000567/image_f6p10qm25l77v07odscdarsc6m/-FJPG/109337-003_DET_6.jpg</t>
  </si>
  <si>
    <t>109337-003</t>
  </si>
  <si>
    <t>https://dd3ka9h4chfr8.cloudfront.net/image/725136000567/image_tnkgcrncjp42p3lme9mbm8ie3t/-FJPG/109337-003_FRT_1.jpg</t>
  </si>
  <si>
    <t>A simply stylish platform bed inspired by clean mid-century design, crafted from black-washed poplar for a fashion-forward feel.</t>
  </si>
  <si>
    <t>https://dd3ka9h4chfr8.cloudfront.net/image/725136000567/image_52p31pefa91if4du2f8ll0ae3p/-FJPG/109337-004_FRT_1.jpg;https://dd3ka9h4chfr8.cloudfront.net/image/725136000567/image_dofuqkpni95onb92gfns8iss3f/-FJPG/109337-004_PRM_1.jpg;https://dd3ka9h4chfr8.cloudfront.net/image/725136000567/image_oiiagetr2140h2odohgep2nu1b/-FJPG/109337-004_SID_1.jpg;https://dd3ka9h4chfr8.cloudfront.net/image/725136000567/image_sc2h2vfk555un4mbuk5d9lu920/-FJPG/109337-004_DET_2.jpg;https://dd3ka9h4chfr8.cloudfront.net/image/725136000567/image_7ko9pmn6050dp76r66l2hfkq27/-FJPG/109337-004_BCK_1.jpg;https://dd3ka9h4chfr8.cloudfront.net/image/725136000567/image_auegaa5icd12tahr72iqb5pl4r/-FJPG/109337-004_DET_1.jpg;https://dd3ka9h4chfr8.cloudfront.net/image/725136000567/image_02e61ue9th3p9ab2n7ii138k2b/-FJPG/109337-004_DET_3.jpg;https://dd3ka9h4chfr8.cloudfront.net/image/725136000567/image_55p3rh3psh4mh8ih7g1at9op63/-FJPG/109337-004_DET_4.jpg;https://dd3ka9h4chfr8.cloudfront.net/image/725136000567/image_3d0tcs890h7in1jd156eg0bp14/-FJPG/109337-004_DET_5.jpg;https://dd3ka9h4chfr8.cloudfront.net/image/725136000567/image_6b9fj7ated3ht32750621rki54/-FJPG/109337-004_DET_6.jpg;https://dd3ka9h4chfr8.cloudfront.net/image/725136000567/image_sb7c9tfe5d59l2cbrctb6afv03/-FJPG/109337-004_VIG_1.jpg</t>
  </si>
  <si>
    <t>109337-004</t>
  </si>
  <si>
    <t>https://dd3ka9h4chfr8.cloudfront.net/image/725136000567/image_52p31pefa91if4du2f8ll0ae3p/-FJPG/109337-004_FRT_1.jpg</t>
  </si>
  <si>
    <t>https://dd3ka9h4chfr8.cloudfront.net/image/725136000567/image_uhsmcr44o13kt3n6ico527r27g/-FJPG/109337-005_FRT_1.jpg;https://dd3ka9h4chfr8.cloudfront.net/image/725136000567/image_rudv6ck5kd7br3rpgqbpbm3t1p/-FJPG/109337-005_PRM_1.jpg;https://dd3ka9h4chfr8.cloudfront.net/image/725136000567/image_lrge8707j149nba5msgoq7ds17/-FJPG/109337-005_SID_1.jpg;https://dd3ka9h4chfr8.cloudfront.net/image/725136000567/image_n54g2o1a3p4v98h6eolr6vsm22/-FJPG/109337-005_DET_2.jpg;https://dd3ka9h4chfr8.cloudfront.net/image/725136000567/image_dn73ijoedt0st9qvv8m0bv8a2g/-FJPG/109337-005_BCK_1.jpg;https://dd3ka9h4chfr8.cloudfront.net/image/725136000567/image_04r6jnnug54df6a6ni9t9irh0l/-FJPG/Color Variance Card_Trey Collection- Dove Poplar.jpg;https://dd3ka9h4chfr8.cloudfront.net/image/725136000567/image_59oqf7kcf53g34t4e34t3f997d/-FJPG/109337-005_DET_1.jpg;https://dd3ka9h4chfr8.cloudfront.net/image/725136000567/image_larjig78653vlfpcolqq92tc2v/-FJPG/109337-005_DET_3.jpg;https://dd3ka9h4chfr8.cloudfront.net/image/725136000567/image_vbv77ld17967152nvm9aoqv72d/-FJPG/109337-005_DET_4.jpg;https://dd3ka9h4chfr8.cloudfront.net/image/725136000567/image_cbtltq172h0dn2gtef7ahsku4r/-FJPG/109337-005_DET_5.jpg;https://dd3ka9h4chfr8.cloudfront.net/image/725136000567/image_6f8ah6rle161r002fad44ro203/-FJPG/109337-005_DET_6.jpg;https://dd3ka9h4chfr8.cloudfront.net/image/725136000567/image_9eek834mc528teh2s6bdkub172/-FJPG/109337-005_DET_7.jpg;https://dd3ka9h4chfr8.cloudfront.net/image/725136000567/image_0u5uhc5j6d5grbc46j19n3g918/-FJPG/109337-005_FRT_2.jpg;https://dd3ka9h4chfr8.cloudfront.net/image/725136000567/image_p8s8844r396en9u7asfdiaga15/-FJPG/109337-005_SID_2.jpg;https://dd3ka9h4chfr8.cloudfront.net/image/725136000567/image_ssj04ud74h79v2415avn22cv4k/-FJPG/109337-005_PRM_2.jpg</t>
  </si>
  <si>
    <t>109337-005</t>
  </si>
  <si>
    <t>https://dd3ka9h4chfr8.cloudfront.net/image/725136000567/image_uhsmcr44o13kt3n6ico527r27g/-FJPG/109337-005_FRT_1.jpg</t>
  </si>
  <si>
    <t>A simple platform bed inspired by clean midcentury design, crafted from solid poplar for an organic, fashion-forward feel.</t>
  </si>
  <si>
    <t>Box 1 Headboard</t>
  </si>
  <si>
    <t>Box 2 Footboard</t>
  </si>
  <si>
    <t>Box 3 Side Rails, Center Support</t>
  </si>
  <si>
    <t>https://dd3ka9h4chfr8.cloudfront.net/image/725136000567/image_r2st2jeff13i74h4voflu2bt0m/-FJPG/109337-006_FRT_1.jpg;https://dd3ka9h4chfr8.cloudfront.net/image/725136000567/image_6kdmill5850d1ckmfb096df323/-FJPG/109337-006_PRM_1.jpg;https://dd3ka9h4chfr8.cloudfront.net/image/725136000567/image_h8af0luub50ab5p956j0a5h44c/-FJPG/109337-006_SID_1.jpg;https://dd3ka9h4chfr8.cloudfront.net/image/725136000567/image_icvj5en9e94qr7ubn2d2uasv2p/-FJPG/109337-006_DET_2.jpg;https://dd3ka9h4chfr8.cloudfront.net/image/725136000567/image_9o8rr7hb2h7e942140dlcj4321/-FJPG/109337-006_BCK_1.jpg;https://dd3ka9h4chfr8.cloudfront.net/image/725136000567/image_04r6jnnug54df6a6ni9t9irh0l/-FJPG/Color Variance Card_Trey Collection- Dove Poplar.jpg;https://dd3ka9h4chfr8.cloudfront.net/image/725136000567/image_e8gt5067t17kr8iilqt03oiq08/-FJPG/109337-006_DET_1.jpg;https://dd3ka9h4chfr8.cloudfront.net/image/725136000567/image_g6qa69i7t922v51cqeaiigus0s/-FJPG/109337-006_DET_3.jpg;https://dd3ka9h4chfr8.cloudfront.net/image/725136000567/image_iui1gsqacl44taf8q8pd056s7t/-FJPG/109337-006_DET_4.jpg;https://dd3ka9h4chfr8.cloudfront.net/image/725136000567/image_1h1f1usnp972n6861bnmgj4t0i/-FJPG/109337-006_DET_5.jpg;https://dd3ka9h4chfr8.cloudfront.net/image/725136000567/image_mfiscfbj2h4536fvq8ncpgk91s/-FJPG/109337-006_DET_6.jpg;https://dd3ka9h4chfr8.cloudfront.net/image/725136000567/image_uedc1sruhh4a55hmr4qgim704q/-FJPG/109337-006_DET_7.jpg;https://dd3ka9h4chfr8.cloudfront.net/image/725136000567/image_nd4gc88a8905rb7lahpfnnmt6h/-FJPG/109337-006_VIG_1.jpg;https://dd3ka9h4chfr8.cloudfront.net/image/725136000567/image_sci2h514p91jv811asck7v6j61/-FJPG/109337-006_SID_2.jpg;https://dd3ka9h4chfr8.cloudfront.net/image/725136000567/image_7gq9omsrql4uhd5k5v161jsn40/-FJPG/109337-006_PRM_2.jpg;https://dd3ka9h4chfr8.cloudfront.net/image/725136000567/image_i3cg4dbup17278ohu2erftau5m/-FJPG/109337-006_FRT_2.jpg</t>
  </si>
  <si>
    <t>109337-006</t>
  </si>
  <si>
    <t>https://dd3ka9h4chfr8.cloudfront.net/image/725136000567/image_r2st2jeff13i74h4voflu2bt0m/-FJPG/109337-006_FRT_1.jpg</t>
  </si>
  <si>
    <t>Trey Bookshelf</t>
  </si>
  <si>
    <t>https://dd3ka9h4chfr8.cloudfront.net/image/725136000567/image_eqi5l47a2h0vvb97g91tbgg332/-FJPG/107316-006_FRT_1.jpg;https://dd3ka9h4chfr8.cloudfront.net/image/725136000567/image_9gokdf3pb904bbrl419uhjr34o/-FJPG/107316-006_PRM_1.jpg;https://dd3ka9h4chfr8.cloudfront.net/image/725136000567/image_ehbpe7l1f55eh1fp8sai9so62d/-FJPG/107316-006_SID_1.jpg;https://dd3ka9h4chfr8.cloudfront.net/image/725136000567/image_ljbgddoshp2gl5rcrd075o9i53/-FJPG/107316-006_DET_2.jpg;https://dd3ka9h4chfr8.cloudfront.net/image/725136000567/image_ourh7eqe9l6mt9vb78s9dstm0v/-FJPG/107316-006_BCK_1.jpg;https://dd3ka9h4chfr8.cloudfront.net/image/725136000567/image_04r6jnnug54df6a6ni9t9irh0l/-FJPG/Color Variance Card_Trey Collection- Dove Poplar.jpg;https://dd3ka9h4chfr8.cloudfront.net/image/725136000567/image_ae866nnu092jnavr02vnp1gt5k/-FJPG/107316-006_DET_3.jpg;https://dd3ka9h4chfr8.cloudfront.net/image/725136000567/image_ianfn8kgrp3qferlvg3r22mr2u/-FJPG/107316-006_OPN_1.jpg;https://dd3ka9h4chfr8.cloudfront.net/image/725136000567/image_dk0e7oiflp0j7di3u3m9tckg7k/-FJPG/107316-006_DET_4.jpg;https://dd3ka9h4chfr8.cloudfront.net/image/725136000567/image_73qlfiiin56357dhr54f4blo5e/-FJPG/107316-006_DET_5.jpg;https://dd3ka9h4chfr8.cloudfront.net/image/725136000567/image_dcq0afa97t4v15n4c5sr4svr16/-FJPG/107316-006_DET_6.jpg;https://dd3ka9h4chfr8.cloudfront.net/image/725136000567/image_89bq081fc17dd1ejemr6dqqj3v/-FJPG/107316-006_DET_7.jpg;https://dd3ka9h4chfr8.cloudfront.net/image/725136000567/image_i3r8a1lu9d6pb6digcmtgrtn3i/-FJPG/107316-006_DET_8.jpg;https://dd3ka9h4chfr8.cloudfront.net/image/725136000567/image_vf9e1b6n0t1jb78q8nbuco405r/-FJPG/107316-006_DET_9.jpg</t>
  </si>
  <si>
    <t>107316-006</t>
  </si>
  <si>
    <t>https://dd3ka9h4chfr8.cloudfront.net/image/725136000567/image_eqi5l47a2h0vvb97g91tbgg332/-FJPG/107316-006_FRT_1.jpg</t>
  </si>
  <si>
    <t>["Iron","Top Grain Leather","Solid Poplar"]</t>
  </si>
  <si>
    <t>Natural Iron</t>
  </si>
  <si>
    <t>Inspired by clean midcentury design, solid poplar and raw iron fuse to offer storage and display space by way of open shelving and dual drawers. Metal-secured leather pulls add a textural element of surprise. Great alone or doubled and paired with matching media console.</t>
  </si>
  <si>
    <t>16.18"</t>
  </si>
  <si>
    <t>https://dd3ka9h4chfr8.cloudfront.net/image/725136000567/image_c6t78ahvsd6g3dqs6lhe7nqp7g/-FJPG/UFUL-032_FRT_1.jpg;https://dd3ka9h4chfr8.cloudfront.net/image/725136000567/image_9encqh64fl4879ed17v02r0i2n/-FJPG/UFUL-032_PRM_1.jpg;https://dd3ka9h4chfr8.cloudfront.net/image/725136000567/image_g2guh95t5t6bf2emeo34aj9s0g/-FJPG/UFUL-032_SID_1.jpg;https://dd3ka9h4chfr8.cloudfront.net/image/725136000567/image_6it8g2lsl94ot9ht9m5o3ml140/-FJPG/UFUL-032_DET_2.jpg;https://dd3ka9h4chfr8.cloudfront.net/image/725136000567/image_esal0u2mo524bd2sqqfbkijr1f/-FJPG/UFUL-032_BCK_1.jpg;https://dd3ka9h4chfr8.cloudfront.net/image/725136000567/image_fb7aarodqh4lf6d35tc3ea9k1u/-FJPG/UFUL-032_DET_1.jpg;https://dd3ka9h4chfr8.cloudfront.net/image/725136000567/image_l3dag69n4t6oh7ne6e4vfp8a1s/-FJPG/UFUL-032_DET_3.jpg;https://dd3ka9h4chfr8.cloudfront.net/image/725136000567/image_89iga16c6l73l3u90t2duoe57t/-FJPG/UFUL-032_OPN_1.jpg;https://dd3ka9h4chfr8.cloudfront.net/image/725136000567/image_rtltavsk353fb1vfn64e9b2c01/-FJPG/UFUL-032_OPN_1.jpg;https://dd3ka9h4chfr8.cloudfront.net/image/725136000567/image_j01j81d01p6o757r4k1evhj057/-FJPG/UFUL-032_DET_4.jpg;https://dd3ka9h4chfr8.cloudfront.net/image/725136000567/image_42uio5uc8h23j905ad60ar1q06/-FJPG/UFUL-032_DET_5.jpg;https://dd3ka9h4chfr8.cloudfront.net/image/725136000567/image_7paock66uh29r5kgg0gnhrgs3s/-FJPG/UFUL-032_DET_6.jpg;https://dd3ka9h4chfr8.cloudfront.net/image/725136000567/image_gdmlni7ovd2qf331rt4c0kou2l/-FJPG/UFUL-032_DET_7.jpg;https://dd3ka9h4chfr8.cloudfront.net/image/725136000567/image_ddqkpnhqgh5vp6v8pakt2mpd0e/-FJPG/UFUL-032_ROM_1.jpg;https://dd3ka9h4chfr8.cloudfront.net/image/725136000567/image_51hm6tqna91lbelcg3emnppq0e/-FJPG/UFUL-032_ROM_2.jpg</t>
  </si>
  <si>
    <t>UFUL-032</t>
  </si>
  <si>
    <t>https://dd3ka9h4chfr8.cloudfront.net/image/725136000567/image_c6t78ahvsd6g3dqs6lhe7nqp7g/-FJPG/UFUL-032_FRT_1.jpg</t>
  </si>
  <si>
    <t>Inspired by clean mid-century design, greyish auburn poplar and raw iron fuse for plenty of storage space by way of open shelving and dual drawers. Metal-secured leather pulls add a textural element of surprise. Great alone or doubled and paired with matching media console.</t>
  </si>
  <si>
    <t>https://dd3ka9h4chfr8.cloudfront.net/image/725136000567/image_chnrti4ui563r3p021kbk2dq6m/-FJPG/UFUL-032A_FRT_1.jpg;https://dd3ka9h4chfr8.cloudfront.net/image/725136000567/image_o75ntc8mi92sp245ebbb3rvc35/-FJPG/UFUL-032A_PRM_1.jpg;https://dd3ka9h4chfr8.cloudfront.net/image/725136000567/image_tefvcc698d45b2eoe8ljogca2h/-FJPG/UFUL-032A_SID_1.jpg;https://dd3ka9h4chfr8.cloudfront.net/image/725136000567/image_3nemotb2390ejd9r9vq6jqlf3i/-FJPG/UFUL-032A_BCK_1.jpg;https://dd3ka9h4chfr8.cloudfront.net/image/725136000567/image_ph0lvcjk6d1df1lfkrj2e07o7c/-FJPG/UFUL-032A_DET_1.jpg;https://dd3ka9h4chfr8.cloudfront.net/image/725136000567/image_usvco32cht47p09oeh73oh1b6m/-FJPG/UFUL-032A_DET_3.jpg;https://dd3ka9h4chfr8.cloudfront.net/image/725136000567/image_v6imjrqi6d4gv0h0c0hv9en44i/-FJPG/UFUL-032A_DET_4.jpg;https://dd3ka9h4chfr8.cloudfront.net/image/725136000567/image_qdfi6qsf3l0lr1t51nb84lch6p/-FJPG/UFUL-032A_DET_5.jpg;https://dd3ka9h4chfr8.cloudfront.net/image/725136000567/image_c142n986b1059bk9ihnkban34g/-FJPG/UFUL-032A_DET_6.jpg;https://dd3ka9h4chfr8.cloudfront.net/image/725136000567/image_m1idgig1914n39biv97nh7om6n/-FJPG/UFUL-032A_DET_7.jpg;https://dd3ka9h4chfr8.cloudfront.net/image/725136000567/image_4ihfuv77656jba84oruopiue3a/-FJPG/UFUL-032A_DET_8.jpg</t>
  </si>
  <si>
    <t>UFUL-032A</t>
  </si>
  <si>
    <t>https://dd3ka9h4chfr8.cloudfront.net/image/725136000567/image_chnrti4ui563r3p021kbk2dq6m/-FJPG/UFUL-032A_FRT_1.jpg</t>
  </si>
  <si>
    <t>A stylish bookshelf of black-washed poplar offers ample storage space by way of open shelving and dual drawers. Metal-secured pulls of toffee top-grain leather add a textural element of surprise. Great solo, doubled, or paired with matching desk or filing</t>
  </si>
  <si>
    <t>Trey Console Table</t>
  </si>
  <si>
    <t>https://dd3ka9h4chfr8.cloudfront.net/image/725136000567/image_3dif8i0fcd2brcr8un7uinjh42/-FJPG/223913-001_FRT_1.jpg;https://dd3ka9h4chfr8.cloudfront.net/image/725136000567/image_0f44vbegk96s161f7b6h8j196g/-FJPG/223913-001_PRM_1.jpg;https://dd3ka9h4chfr8.cloudfront.net/image/725136000567/image_802v35p9f565v8io31co507g1o/-FJPG/223913-001_SID_1.jpg;https://dd3ka9h4chfr8.cloudfront.net/image/725136000567/image_9h8up4h8811dp52eonsiebpm1s/-FJPG/223913-001_ESS_1.jpg;https://dd3ka9h4chfr8.cloudfront.net/image/725136000567/image_3skmfnefsd0a77nd7if84mam51/-FJPG/223913-001_DET_2.jpg;https://dd3ka9h4chfr8.cloudfront.net/image/725136000567/image_kl81uti35l1fn50ctrccio395l/-FJPG/223913-001_BCK_1.jpg;https://dd3ka9h4chfr8.cloudfront.net/image/725136000567/image_4gr0v2d47p6b7eg8ibohqh9l2q/-FJPG/223913-001_DET_1.jpg;https://dd3ka9h4chfr8.cloudfront.net/image/725136000567/image_6u6bttsql56i12jk5q8ucr0c1m/-FJPG/223913-001_DET_3.jpg;https://dd3ka9h4chfr8.cloudfront.net/image/725136000567/image_g76ici2o7910f695hdfm9s0c0e/-FJPG/223913-001_OPN_1.jpg;https://dd3ka9h4chfr8.cloudfront.net/image/725136000567/image_kt37ogno3d79l3v3vt59o44j3f/-FJPG/223913-001_DET_4.jpg;https://dd3ka9h4chfr8.cloudfront.net/image/725136000567/image_fejdeuc3355lvdf4te0qb7917t/-FJPG/223913-001_DET_5.jpg;https://dd3ka9h4chfr8.cloudfront.net/image/725136000567/image_hqhq87p4gt7o5eoptd402r5g27/-FJPG/223913-001_DET_6.jpg;https://dd3ka9h4chfr8.cloudfront.net/image/725136000567/image_ni64tvamhh44dagm1g9po4f60f/-FJPG/223913-001_DET_7.jpg</t>
  </si>
  <si>
    <t>223913-001</t>
  </si>
  <si>
    <t>https://dd3ka9h4chfr8.cloudfront.net/image/725136000567/image_3dif8i0fcd2brcr8un7uinjh42/-FJPG/223913-001_FRT_1.jpg</t>
  </si>
  <si>
    <t>Inspired by clean mid-century design, light auburn-finished poplar offers media storage and more by way of a center cubby and dual side drawers. Metal-secured leather pulls add a textural element of surprise.</t>
  </si>
  <si>
    <t>{"value":78.26,"unit":"lb"}</t>
  </si>
  <si>
    <t>53.62"</t>
  </si>
  <si>
    <t>15.87"</t>
  </si>
  <si>
    <t>https://dd3ka9h4chfr8.cloudfront.net/image/725136000567/image_bn2ooibud906f5gm1du6i8c60s/-FJPG/223913-002_FRT_1.jpg;https://dd3ka9h4chfr8.cloudfront.net/image/725136000567/image_trf9in70n93jrerh2s77r2n515/-FJPG/223913-002_PRM_1.jpg;https://dd3ka9h4chfr8.cloudfront.net/image/725136000567/image_h49ap2d0s12n9ehkp60prrb348/-FJPG/223913-002_SID_1.jpg;https://dd3ka9h4chfr8.cloudfront.net/image/725136000567/image_b128nsad1557fcmoca31nlsd60/-FJPG/223913-002_ESS.tif;https://dd3ka9h4chfr8.cloudfront.net/image/725136000567/image_2j4p8lsgr1565d6h0c41k5ra60/-FJPG/223913-002_DET_2.jpg;https://dd3ka9h4chfr8.cloudfront.net/image/725136000567/image_cfgcj162ld6dr9vk1v1gtt7g37/-FJPG/223913-002_BCK_1.jpg;https://dd3ka9h4chfr8.cloudfront.net/image/725136000567/image_p7pi0mgon560d46e71gubb081t/-FJPG/223913-002_DET_1.jpg;https://dd3ka9h4chfr8.cloudfront.net/image/725136000567/image_8ash3vc2l11m9bvhm9q7tm4o0m/-FJPG/223913-002_DET_3.jpg;https://dd3ka9h4chfr8.cloudfront.net/image/725136000567/image_1h2mla35ul7gj2ged02cf99m34/-FJPG/223913-002_OPN_1.jpg;https://dd3ka9h4chfr8.cloudfront.net/image/725136000567/image_11ala7ch7l693eued44ndvmf2b/-FJPG/223913-002_DET_4.jpg;https://dd3ka9h4chfr8.cloudfront.net/image/725136000567/image_kpajcornap74rbffgam3hoha7i/-FJPG/223913-002_DET_5.jpg;https://dd3ka9h4chfr8.cloudfront.net/image/725136000567/image_40smahhhep6q7arct88cqg5r0o/-FJPG/223913-002_DET_6.jpg;https://dd3ka9h4chfr8.cloudfront.net/image/725136000567/image_1o3bbr7c094v9551o0mi01dc0r/-FJPG/223913-002_DET_7.jpg</t>
  </si>
  <si>
    <t>223913-002</t>
  </si>
  <si>
    <t>https://dd3ka9h4chfr8.cloudfront.net/image/725136000567/image_bn2ooibud906f5gm1du6i8c60s/-FJPG/223913-002_FRT_1.jpg</t>
  </si>
  <si>
    <t>Inspired by clean mid-century design, black-washed poplar offers media storage and more by way of a center cubby and dual side drawers. Metal-secured leather pulls add a textural element of surprise.</t>
  </si>
  <si>
    <t>https://dd3ka9h4chfr8.cloudfront.net/image/725136000567/image_9agsfrp18l4597kone3tsjm75n/-FJPG/223913-003_FRT_1.jpg;https://dd3ka9h4chfr8.cloudfront.net/image/725136000567/image_9j4d2qqmi10lneq9flfo2q5673/-FJPG/223913-003_PRM_1.jpg;https://dd3ka9h4chfr8.cloudfront.net/image/725136000567/image_dfmagqmi5d7tj2npukp9vihe21/-FJPG/223913-003_SID_1.jpg;https://dd3ka9h4chfr8.cloudfront.net/image/725136000567/image_ivuhn8og5t13h7478ohds69j0c/-FJPG/223913-003_ESS.tif;https://dd3ka9h4chfr8.cloudfront.net/image/725136000567/image_k2m2nj0e3p3eb6bqtovo8ilj02/-FJPG/223913-003_DET_2.jpg;https://dd3ka9h4chfr8.cloudfront.net/image/725136000567/image_0naalpahet2n9b15gq2691n26a/-FJPG/223913-003_BCK_1.jpg;https://dd3ka9h4chfr8.cloudfront.net/image/725136000567/image_04r6jnnug54df6a6ni9t9irh0l/-FJPG/Color Variance Card_Trey Collection- Dove Poplar.jpg;https://dd3ka9h4chfr8.cloudfront.net/image/725136000567/image_rm972v2vk17l326nt9mgcbvf78/-FJPG/223913-003_DET_1.jpg;https://dd3ka9h4chfr8.cloudfront.net/image/725136000567/image_f2muv5ofst0qb7e7lnkuufks5q/-FJPG/223913-003_DET_3.jpg;https://dd3ka9h4chfr8.cloudfront.net/image/725136000567/image_bobjvb0nht4ldfu7acbvf57960/-FJPG/223913-003_OPN_1.jpg;https://dd3ka9h4chfr8.cloudfront.net/image/725136000567/image_0pnstk9iut5un9fm6bg1hiea3p/-FJPG/223913-003_DET_4.jpg;https://dd3ka9h4chfr8.cloudfront.net/image/725136000567/image_20gd8o2dq96er0vk0l0tefvo3s/-FJPG/223913-003_DET_5.jpg;https://dd3ka9h4chfr8.cloudfront.net/image/725136000567/image_atftnjtc2970r9qinknl4fcd53/-FJPG/223913-003_DET_6.jpg;https://dd3ka9h4chfr8.cloudfront.net/image/725136000567/image_pq0ui6s7rt51vb6ib0c6rg3d78/-FJPG/223913-003_DET_7.jpg;https://dd3ka9h4chfr8.cloudfront.net/image/725136000567/image_4e35tr64lt0716d5pjfnjiag5e/-FJPG/223913-003_VIG_1.jpg</t>
  </si>
  <si>
    <t>223913-003</t>
  </si>
  <si>
    <t>https://dd3ka9h4chfr8.cloudfront.net/image/725136000567/image_9agsfrp18l4597kone3tsjm75n/-FJPG/223913-003_FRT_1.jpg</t>
  </si>
  <si>
    <t>Inspired by clean midcentury design, solid poplar offers media storage and more by way of a center cubby and dual side drawers. Metal-secured leather pulls add a textural element of surprise.</t>
  </si>
  <si>
    <t>Trey Executive Desk</t>
  </si>
  <si>
    <t>https://dd3ka9h4chfr8.cloudfront.net/image/725136000567/image_8lkvm52ra930hcn18p5km5r36g/-FJPG/223816-001_FRT_1.jpg;https://dd3ka9h4chfr8.cloudfront.net/image/725136000567/image_59hsfsifil2b708i6pd4dm660f/-FJPG/223816-001_PRM_1.jpg;https://dd3ka9h4chfr8.cloudfront.net/image/725136000567/image_p5c38utk0158b2268j1kj17l69/-FJPG/223816-001_SID_1.jpg;https://dd3ka9h4chfr8.cloudfront.net/image/725136000567/image_v9v1dcoq0l579a7inupepb9a4l/-FJPG/223816-001_ESS.tif;https://dd3ka9h4chfr8.cloudfront.net/image/725136000567/image_vsiel5aiap2a7cfdeqms2fg712/-FJPG/223816-001_DET_2.jpg;https://dd3ka9h4chfr8.cloudfront.net/image/725136000567/image_2c2hshja3d1kbdjust83insh5g/-FJPG/223816-001_BCK_1.jpg;https://dd3ka9h4chfr8.cloudfront.net/image/725136000567/image_i2nnk6bv413ph1bnkq81fpd35k/-FJPG/223816-001_DET_1.jpg;https://dd3ka9h4chfr8.cloudfront.net/image/725136000567/image_gsnidg5at96u3bcitjb768f56i/-FJPG/223816-001_DET_3.jpg;https://dd3ka9h4chfr8.cloudfront.net/image/725136000567/image_3o2ifson3t1pd0ns9cabs8i12t/-FJPG/223816-001_OPN_1.jpg;https://dd3ka9h4chfr8.cloudfront.net/image/725136000567/image_e67b5indh54gf39aseognk3k1i/-FJPG/223816-001_DET_4.jpg;https://dd3ka9h4chfr8.cloudfront.net/image/725136000567/image_1r9jonljq152dar970p6rm7r4a/-FJPG/223816-001_DET_5.jpg;https://dd3ka9h4chfr8.cloudfront.net/image/725136000567/image_nvvs4qfhq52079qg6rvr28h86k/-FJPG/223816-001_DET_6.jpg;https://dd3ka9h4chfr8.cloudfront.net/image/725136000567/image_485qmif3u5571bhm97tdbcop46/-FJPG/223816-001_DET_7.jpg;https://dd3ka9h4chfr8.cloudfront.net/image/725136000567/image_l3k8jhjrgl12be0fn9nilvlh4q/-FJPG/223816-001_DET_8.jpg;https://dd3ka9h4chfr8.cloudfront.net/image/725136000567/image_tqv8rtpoe128b0bkdutve0426i/-FJPG/223816-001_DET_9.jpg;https://dd3ka9h4chfr8.cloudfront.net/image/725136000567/image_9f12b489tl5mvd00d29101j67f/-FJPG/223816-001_OPN_2.jpg</t>
  </si>
  <si>
    <t>223816-001</t>
  </si>
  <si>
    <t>https://dd3ka9h4chfr8.cloudfront.net/image/725136000567/image_8lkvm52ra930hcn18p5km5r36g/-FJPG/223816-001_FRT_1.jpg</t>
  </si>
  <si>
    <t>Inspired by clean mid-century design, light auburn-finished poplar offers plenty of desk storage by way of spacious drawers including one perfectly sized for file storage of legal and letter sized documents. Metal-secured leather pulls add a textural element of surprise. Cutouts for cord management.</t>
  </si>
  <si>
    <t>{"value":181.88,"unit":"lb"}</t>
  </si>
  <si>
    <t>10.94"</t>
  </si>
  <si>
    <t>https://dd3ka9h4chfr8.cloudfront.net/image/725136000567/image_90858i4jr954bcqk0e92r4q33f/-FJPG/223816-002_FRT_1.jpg;https://dd3ka9h4chfr8.cloudfront.net/image/725136000567/image_85qak0podt08l2k86l1815gg7t/-FJPG/223816-002_PRM_1.jpg;https://dd3ka9h4chfr8.cloudfront.net/image/725136000567/image_9jihne37f501l3qfiftqlhsk28/-FJPG/223816-002_SID_1.jpg;https://dd3ka9h4chfr8.cloudfront.net/image/725136000567/image_g7hul4kbdh4ovapdk86qelna26/-FJPG/223816-002_BCK_1.jpg</t>
  </si>
  <si>
    <t>223816-002</t>
  </si>
  <si>
    <t>https://dd3ka9h4chfr8.cloudfront.net/image/725136000567/image_90858i4jr954bcqk0e92r4q33f/-FJPG/223816-002_FRT_1.jpg</t>
  </si>
  <si>
    <t>Inspired by clean mid-century design, black-washed poplar offers plenty of desk storage by way of spacious drawers including one perfectly sized for file storage of legal and letter sized documents. Metal-secured leather pulls add a textural element of surprise. Cutouts for cord management.</t>
  </si>
  <si>
    <t>https://dd3ka9h4chfr8.cloudfront.net/image/725136000567/image_f8geqlrgmt7b9c45ps51p7ml0j/-FJPG/223816-003_FRT_1.jpg;https://dd3ka9h4chfr8.cloudfront.net/image/725136000567/image_7q3m8qaf5t5ppe1klp8eoe9705/-FJPG/223816-003_PRM_1.jpg;https://dd3ka9h4chfr8.cloudfront.net/image/725136000567/image_1b4uktbrt120ddthmd42gase71/-FJPG/223816-003_SID_1.jpg;https://dd3ka9h4chfr8.cloudfront.net/image/725136000567/image_50cd20k8nh5gtdv6alabd2go7t/-FJPG/223816-003_ESS.tif;https://dd3ka9h4chfr8.cloudfront.net/image/725136000567/image_5kanj353hd5jj98plkn71pel08/-FJPG/223816-003_DET_2.jpg;https://dd3ka9h4chfr8.cloudfront.net/image/725136000567/image_ebimf7l4gp73t6v22o9lbe2p08/-FJPG/223816-003_BCK_1.jpg;https://dd3ka9h4chfr8.cloudfront.net/image/725136000567/image_04r6jnnug54df6a6ni9t9irh0l/-FJPG/Color Variance Card_Trey Collection- Dove Poplar.jpg;https://dd3ka9h4chfr8.cloudfront.net/image/725136000567/image_b6uvjomt554et6s0v4ig7t6u1v/-FJPG/223816-003_DET_1.jpg;https://dd3ka9h4chfr8.cloudfront.net/image/725136000567/image_o0rb6osk3p1ul4hfes2njoed7p/-FJPG/223816-003_DET_3.jpg;https://dd3ka9h4chfr8.cloudfront.net/image/725136000567/image_cl25rioh095tb7t83ccndga14c/-FJPG/223816-003_OPN_1.jpg;https://dd3ka9h4chfr8.cloudfront.net/image/725136000567/image_7smtov1nk93lddaj9p41nrej57/-FJPG/223816-003_DET_4.jpg;https://dd3ka9h4chfr8.cloudfront.net/image/725136000567/image_egeiq3pvr55l31v4ncbj1g9t45/-FJPG/223816-003_DET_5.jpg;https://dd3ka9h4chfr8.cloudfront.net/image/725136000567/image_o3e015lcdl4vlbb8ec3k0pni2a/-FJPG/223816-003_DET_6.jpg;https://dd3ka9h4chfr8.cloudfront.net/image/725136000567/image_uqei837u4t2pn3vc7hv99elk0r/-FJPG/223816-003_DET_7.jpg;https://dd3ka9h4chfr8.cloudfront.net/image/725136000567/image_vhtgicc4750e36mvkl5pvh010h/-FJPG/223816-003_OPN_2.jpg</t>
  </si>
  <si>
    <t>223816-003</t>
  </si>
  <si>
    <t>https://dd3ka9h4chfr8.cloudfront.net/image/725136000567/image_f8geqlrgmt7b9c45ps51p7ml0j/-FJPG/223816-003_FRT_1.jpg</t>
  </si>
  <si>
    <t>Inspired by clean midcentury design, solid poplar and raw iron fuse for style and storage alike, offering spacious drawers plus cabinetry. Metal-secured leather pulls add a textural element of surprise. Great solo or paired with matching modular desk components.</t>
  </si>
  <si>
    <t>Trey Large Nightstand</t>
  </si>
  <si>
    <t>https://dd3ka9h4chfr8.cloudfront.net/image/725136000567/image_2jbusq0grd73tb62q99d508m1k/-FJPG/230316-001_FRT_1.jpg;https://dd3ka9h4chfr8.cloudfront.net/image/725136000567/image_u0j7aiu5ep1rf512fvems82l7b/-FJPG/230316-001_PRM_1.jpg;https://dd3ka9h4chfr8.cloudfront.net/image/725136000567/image_36ss29cnmt0dlc7vab4cc8b573/-FJPG/230316-001_SID_1.jpg;https://dd3ka9h4chfr8.cloudfront.net/image/725136000567/image_5rbvbsp39d1oh3v25dauv85u41/-FJPG/230316-001_DET_2.jpg;https://dd3ka9h4chfr8.cloudfront.net/image/725136000567/image_rk2ipveubh3p166vfnnbpmmn1h/-FJPG/230316-001_BCK_1.jpg;https://dd3ka9h4chfr8.cloudfront.net/image/725136000567/image_7ngsue8cip36p57pli9b35n86c/-FJPG/230316-001_DET_1.jpg;https://dd3ka9h4chfr8.cloudfront.net/image/725136000567/image_iik89in9c13prdclmi89g6mt3m/-FJPG/230316-001_DET_3.jpg;https://dd3ka9h4chfr8.cloudfront.net/image/725136000567/image_t50h0p5ng50j9dh4eojah2ot2v/-FJPG/230316-001_OPN_1.jpg;https://dd3ka9h4chfr8.cloudfront.net/image/725136000567/image_2o84scdss90kn7follhjvr8d4e/-FJPG/230316-001_DET_4.jpg;https://dd3ka9h4chfr8.cloudfront.net/image/725136000567/image_5ohetemi0t0chd465midi9dp0b/-FJPG/230316-001_DET_5.jpg;https://dd3ka9h4chfr8.cloudfront.net/image/725136000567/image_g2vitjg1e931l5piucdk6hco2d/-FJPG/230316-001_DET_6.jpg;https://dd3ka9h4chfr8.cloudfront.net/image/725136000567/image_7l6moishap3mp0t5mp79puv83p/-FJPG/230316-001_VIG_1.jpg;https://dd3ka9h4chfr8.cloudfront.net/image/725136000567/image_5vlg75h0d914b8e61bhiovoj1d/-FJPG/230316-001_VIG_2.jpg</t>
  </si>
  <si>
    <t>230316-004</t>
  </si>
  <si>
    <t>https://dd3ka9h4chfr8.cloudfront.net/image/725136000567/image_2jbusq0grd73tb62q99d508m1k/-FJPG/230316-001_FRT_1.jpg</t>
  </si>
  <si>
    <t>Simple style, inspired by midcentury décor. Made from auburn-finished poplar, a roomy three-drawer nightstand brings extra storage space to the bedside.</t>
  </si>
  <si>
    <t>{"value":30.98,"unit":"in"}</t>
  </si>
  <si>
    <t>6.73"</t>
  </si>
  <si>
    <t>https://dd3ka9h4chfr8.cloudfront.net/image/725136000567/image_6j8bpscq392qhcg0ivf126tn41/-FJPG/230316-002_FRT_1.jpg;https://dd3ka9h4chfr8.cloudfront.net/image/725136000567/image_2qj0ogj52953da6a34l9dngp72/-FJPG/230316-002_PRM_1.jpg;https://dd3ka9h4chfr8.cloudfront.net/image/725136000567/image_64vi53bdlh1r7fls2pqi9p8e75/-FJPG/230316-002_SID_1.jpg;https://dd3ka9h4chfr8.cloudfront.net/image/725136000567/image_f9mgtm9akh4h5a9p797kto8t4p/-FJPG/230316-002_DET_2.jpg;https://dd3ka9h4chfr8.cloudfront.net/image/725136000567/image_ii3fs49fo52k7023hs00b8ef7f/-FJPG/230316-002_BCK_1.jpg;https://dd3ka9h4chfr8.cloudfront.net/image/725136000567/image_5q5nm2emsl78nc3ak2sfqmvg4g/-FJPG/230316-002_DET_1.jpg;https://dd3ka9h4chfr8.cloudfront.net/image/725136000567/image_1ji1ng9kfd0gf5tc8vdp2noi5a/-FJPG/230316-002_DET_3.jpg;https://dd3ka9h4chfr8.cloudfront.net/image/725136000567/image_im7uv9ius17kl2klsi7v031h0c/-FJPG/230316-002_DET_4.jpg;https://dd3ka9h4chfr8.cloudfront.net/image/725136000567/image_c46de13s4p50t03h896n19jh2k/-FJPG/230316-002_DET_5.jpg;https://dd3ka9h4chfr8.cloudfront.net/image/725136000567/image_0v48ur3e1560d6kh20pcgr0v3h/-FJPG/230316-002_DET_7.jpg;https://dd3ka9h4chfr8.cloudfront.net/image/725136000567/image_i26vk3l0357unbckll449ham2v/-FJPG/230316-002_ESS.tif</t>
  </si>
  <si>
    <t>230316-005</t>
  </si>
  <si>
    <t>https://dd3ka9h4chfr8.cloudfront.net/image/725136000567/image_6j8bpscq392qhcg0ivf126tn41/-FJPG/230316-002_FRT_1.jpg</t>
  </si>
  <si>
    <t>Simple style, inspired by midcentury décor. Made from black-washed poplar, a roomy three-drawer nightstand brings extra storage space to the bedside. Top-grain leather pulls add a textural finishing touch.</t>
  </si>
  <si>
    <t>https://dd3ka9h4chfr8.cloudfront.net/image/725136000567/image_sk6kleq0p51jh6hbqbmo55rt50/-FJPG/230316-003_FRT_1.jpg;https://dd3ka9h4chfr8.cloudfront.net/image/725136000567/image_vdjs7igvdp4gb83or9nav86s20/-FJPG/230316-003_PRM_1.jpg;https://dd3ka9h4chfr8.cloudfront.net/image/725136000567/image_hni66bvoj979313tk473tmgj16/-FJPG/230316-003_SID_1.jpg;https://dd3ka9h4chfr8.cloudfront.net/image/725136000567/image_nbtbouptol4rl7umrjeb0hnv17/-FJPG/230316-006_ESS.tif;https://dd3ka9h4chfr8.cloudfront.net/image/725136000567/image_ko8qmf74r13c51cnto3mmjm87r/-FJPG/230316-003_DET_2.jpg;https://dd3ka9h4chfr8.cloudfront.net/image/725136000567/image_f38ggsloh15ij2fj01jrblpr7t/-FJPG/230316-003_BCK_1.jpg;https://dd3ka9h4chfr8.cloudfront.net/image/725136000567/image_04r6jnnug54df6a6ni9t9irh0l/-FJPG/Color Variance Card_Trey Collection- Dove Poplar.jpg;https://dd3ka9h4chfr8.cloudfront.net/image/725136000567/image_lmqm7jg3096vvflpqgou2q017e/-FJPG/230316-003_DET_1.jpg;https://dd3ka9h4chfr8.cloudfront.net/image/725136000567/image_sadvahjs7p0s160e42geq45j38/-FJPG/230316-003_DET_3.jpg;https://dd3ka9h4chfr8.cloudfront.net/image/725136000567/image_pg2ue843b57l950e18jnrhil6q/-FJPG/230316-003_OPN_1.jpg;https://dd3ka9h4chfr8.cloudfront.net/image/725136000567/image_k9bidc8uu121p28mesiels2r5k/-FJPG/230316-003_DET_4.jpg;https://dd3ka9h4chfr8.cloudfront.net/image/725136000567/image_q6c2ou5v31757c9j84ou0evt2n/-FJPG/230316-003_DET_5.jpg;https://dd3ka9h4chfr8.cloudfront.net/image/725136000567/image_mqoj51m4013c5dh82b88scoa62/-FJPG/230316-003_DET_6.jpg;https://dd3ka9h4chfr8.cloudfront.net/image/725136000567/image_1sefiiue4d4o73fi3ceq0v0e36/-FJPG/230316-003_DET_7.jpg</t>
  </si>
  <si>
    <t>230316-006</t>
  </si>
  <si>
    <t>https://dd3ka9h4chfr8.cloudfront.net/image/725136000567/image_sk6kleq0p51jh6hbqbmo55rt50/-FJPG/230316-003_FRT_1.jpg</t>
  </si>
  <si>
    <t>Simple style, inspired by midcentury décor. Made from light-finished poplar, a roomy three-drawer nightstand brings extra storage space to the bedside. Top-grain leather pulls add a textural finishing touch.</t>
  </si>
  <si>
    <t>Trey Media Console</t>
  </si>
  <si>
    <t>https://dd3ka9h4chfr8.cloudfront.net/image/725136000567/image_umde3kf2nl33d4lstetk3k232p/-FJPG/UFUL-031_FRT_1.jpg;https://dd3ka9h4chfr8.cloudfront.net/image/725136000567/image_camdpbdumh4hfdarojaqa2so07/-FJPG/UFUL-031_PRM_1.jpg;https://dd3ka9h4chfr8.cloudfront.net/image/725136000567/image_a9clr9aj2l3mvcl7vi4sq1dn46/-FJPG/UFUL-031_SID_1.jpg;https://dd3ka9h4chfr8.cloudfront.net/image/725136000567/image_ojd0kseg1t3c32t90k7lr0fd2r/-FJPG/UFUL-031_ESS_1.jpg;https://dd3ka9h4chfr8.cloudfront.net/image/725136000567/image_tqpd2ga9q569f5kdipsk3rgp23/-FJPG/UFUL-031_DET_2.jpg;https://dd3ka9h4chfr8.cloudfront.net/image/725136000567/image_ioampq9k6h4tr4v5il746msa5q/-FJPG/UFUL-031_DET_1.jpg;https://dd3ka9h4chfr8.cloudfront.net/image/725136000567/image_0vas5o5f4p4477s1p2isrjgj7t/-FJPG/UFUL-031_DET_3.jpg;https://dd3ka9h4chfr8.cloudfront.net/image/725136000567/image_8p0pkp4tmt0sf3jll1nrrajk6p/-FJPG/UFUL-031_OPN_1.jpg;https://dd3ka9h4chfr8.cloudfront.net/image/725136000567/image_4384t144bh0fl12iib1u3emg5p/-FJPG/UFUL-031_DET_4.jpg;https://dd3ka9h4chfr8.cloudfront.net/image/725136000567/image_399v21phap54h0v9psnph0tr6f/-FJPG/UFUL-031_DET_5.jpg;https://dd3ka9h4chfr8.cloudfront.net/image/725136000567/image_d859et8qc92ufbv2p6oapkvk3b/-FJPG/UFUL-031_DET_6.jpg;https://dd3ka9h4chfr8.cloudfront.net/image/725136000567/image_rmq62mm21p6756o6tja8uv2u4f/-FJPG/UFUL-031_DET_7.jpg</t>
  </si>
  <si>
    <t>UFUL-031</t>
  </si>
  <si>
    <t>https://dd3ka9h4chfr8.cloudfront.net/image/725136000567/image_umde3kf2nl33d4lstetk3k232p/-FJPG/UFUL-031_FRT_1.jpg</t>
  </si>
  <si>
    <t>Inspired by clean mid-century design, greyish auburn poplar offers plenty of media storage space by way of open shelving, front-open doors and dual drawers. Metal-secured leather pulls add a textural element of surprise. Great solo or paired with matching bookcases.</t>
  </si>
  <si>
    <t>{"value":142.2,"unit":"lb"}</t>
  </si>
  <si>
    <t>13.70"</t>
  </si>
  <si>
    <t>15.43"</t>
  </si>
  <si>
    <t>https://dd3ka9h4chfr8.cloudfront.net/image/725136000567/image_5r129eclv97o3631bdtq1n6j4i/-FJPG/UFUL-031A_FRT_1.jpg;https://dd3ka9h4chfr8.cloudfront.net/image/725136000567/image_7jv2b617n17375rl3utdgvsr0r/-FJPG/UFUL-031A_PRM_1.jpg;https://dd3ka9h4chfr8.cloudfront.net/image/725136000567/image_6b0dukftch0f12cv003eppjt3o/-FJPG/UFUL-031A_SID_1.jpg;https://dd3ka9h4chfr8.cloudfront.net/image/725136000567/image_n3nvf3pnup4bt687kliinjh41p/-FJPG/UFUL-031A_ESS_1.jpg;https://dd3ka9h4chfr8.cloudfront.net/image/725136000567/image_kbs1mmn2i970rb7v07muj3qt51/-FJPG/UFUL-031A_DET_2.jpg;https://dd3ka9h4chfr8.cloudfront.net/image/725136000567/image_bp41cvdin97jl666bhmg387a7t/-FJPG/UFUL-031A_BCK_1.jpg;https://dd3ka9h4chfr8.cloudfront.net/image/725136000567/image_ub3kvk5fvl0k13i06j2t4bah06/-FJPG/UFUL-031A_DET_1.jpg;https://dd3ka9h4chfr8.cloudfront.net/image/725136000567/image_pcoaes3cn13ev4po4rfu9dnu77/-FJPG/UFUL-031A_DET_3.jpg;https://dd3ka9h4chfr8.cloudfront.net/image/725136000567/image_j1kstoqvg10sl44fhjc7bp9571/-FJPG/UFUL-031A_OPN_1.jpg;https://dd3ka9h4chfr8.cloudfront.net/image/725136000567/image_5kstu71roh3al2sf7dcm3c2v78/-FJPG/UFUL-031A_DET_4.jpg;https://dd3ka9h4chfr8.cloudfront.net/image/725136000567/image_fs945bmnh9437e8l71k8j5lr66/-FJPG/UFUL-031A_DET_5.jpg;https://dd3ka9h4chfr8.cloudfront.net/image/725136000567/image_rb19spuc3172t85o7vbha4pf35/-FJPG/UFUL-031A_DET_6.jpg</t>
  </si>
  <si>
    <t>UFUL-031A</t>
  </si>
  <si>
    <t>https://dd3ka9h4chfr8.cloudfront.net/image/725136000567/image_5r129eclv97o3631bdtq1n6j4i/-FJPG/UFUL-031A_FRT_1.jpg</t>
  </si>
  <si>
    <t>Inspired by sleek mid-century design, a stylish console of black-washed poplar offers ample media storage space by way of open shelving, center cabinetry and spacious dual drawers. Metal-secured pulls of toffee top-grain leather add a textural element of surprise.</t>
  </si>
  <si>
    <t>https://dd3ka9h4chfr8.cloudfront.net/image/725136000567/image_i04qishk5t0u5f8rrd56tdf23t/-FJPG/107315-005_FRT_1.jpg;https://dd3ka9h4chfr8.cloudfront.net/image/725136000567/image_c56fbmvo9t04t79no5572cla2c/-FJPG/107315-005_PRM_1.jpg;https://dd3ka9h4chfr8.cloudfront.net/image/725136000567/image_6fp1bmcsm56j514agv1dggoj6l/-FJPG/107315-005_SID_1.jpg;https://dd3ka9h4chfr8.cloudfront.net/image/725136000567/image_tf17gstu5p2rd196hjgkle240c/-FJPG/107315-005_ESS_1.jpg;https://dd3ka9h4chfr8.cloudfront.net/image/725136000567/image_af1230njah3ab1uaroiada792f/-FJPG/107315-005_DET_2.jpg;https://dd3ka9h4chfr8.cloudfront.net/image/725136000567/image_ugav5o4cml50h684blql9s785o/-FJPG/107315-005_BCK_1.jpg;https://dd3ka9h4chfr8.cloudfront.net/image/725136000567/image_04r6jnnug54df6a6ni9t9irh0l/-FJPG/Color Variance Card_Trey Collection- Dove Poplar.jpg;https://dd3ka9h4chfr8.cloudfront.net/image/725136000567/image_fjrt2inqjl1n72rrll0a42sq70/-FJPG/107315-005_DET_1.jpg;https://dd3ka9h4chfr8.cloudfront.net/image/725136000567/image_v7e700l96l6utbucme51jrki1t/-FJPG/107315-005_DET_3.jpg;https://dd3ka9h4chfr8.cloudfront.net/image/725136000567/image_ipta1225254v17bp80fvocqv75/-FJPG/107315-005_OPN_1.jpg;https://dd3ka9h4chfr8.cloudfront.net/image/725136000567/image_clheooo5tt3e52p1mfh1gk6n0a/-FJPG/107315-005_DET_4.jpg;https://dd3ka9h4chfr8.cloudfront.net/image/725136000567/image_dgcv9cknrp38n4brctp56t2b2e/-FJPG/107315-005_DET_5.jpg;https://dd3ka9h4chfr8.cloudfront.net/image/725136000567/image_442lfr8r3l6l30albki03nb34u/-FJPG/107315-005_DET_6.jpg;https://dd3ka9h4chfr8.cloudfront.net/image/725136000567/image_hk0dmmjh9d70vfif341n4hio32/-FJPG/107315-005_DET_7.jpg</t>
  </si>
  <si>
    <t>107315-005</t>
  </si>
  <si>
    <t>https://dd3ka9h4chfr8.cloudfront.net/image/725136000567/image_i04qishk5t0u5f8rrd56tdf23t/-FJPG/107315-005_FRT_1.jpg</t>
  </si>
  <si>
    <t>Inspired by clean midcentury design, a stylish console of light-washed solid poplar offers plenty of media storage space by way of roomy cabinetry, open shelving and dual drawers. Metal-secured pulls of top-grain leather add a textural element of surprise. Great solo or paired with matching bookcases for even more storage.</t>
  </si>
  <si>
    <t>Trey Modular Filing Cabinet</t>
  </si>
  <si>
    <t>https://dd3ka9h4chfr8.cloudfront.net/image/725136000567/image_6osn372e9964d49akd7jbmge7u/-FJPG/107318-005_FRT_1.jpg;https://dd3ka9h4chfr8.cloudfront.net/image/725136000567/image_646m0ouas5471c1igrnh4jlm0m/-FJPG/107318-005_PRM_1.jpg;https://dd3ka9h4chfr8.cloudfront.net/image/725136000567/image_4f5dtisf0h15j9s9tbrpsr5e3s/-FJPG/107318-005_SID_1.jpg;https://dd3ka9h4chfr8.cloudfront.net/image/725136000567/image_td0pub2mqh3ed5ioh1n8mr4p5d/-FJPG/107318-005_ESS_1.jpg;https://dd3ka9h4chfr8.cloudfront.net/image/725136000567/image_oouerkv7jl2sd84dtg359p9v4m/-FJPG/107318-005_DET_2.jpg;https://dd3ka9h4chfr8.cloudfront.net/image/725136000567/image_l382jr9m291ev7ppq87813si2g/-FJPG/107318-005_DET_1.jpg;https://dd3ka9h4chfr8.cloudfront.net/image/725136000567/image_msveu6l4l51grek4bgcl4u337s/-FJPG/107318-005_DET_3.jpg;https://dd3ka9h4chfr8.cloudfront.net/image/725136000567/image_bumn1vtgt16phbhd76ka1ss54e/-FJPG/107318-005_OPN_1.jpg;https://dd3ka9h4chfr8.cloudfront.net/image/725136000567/image_7g5l0k5ivt035disefj5fs7o2l/-FJPG/107318-005_DET_4.jpg;https://dd3ka9h4chfr8.cloudfront.net/image/725136000567/image_6js3a90rpd6i15fn9riqidjs1s/-FJPG/107318-005_DET_5.jpg;https://dd3ka9h4chfr8.cloudfront.net/image/725136000567/image_f3pcd7b7q16l30p99pg8ctmd7q/-FJPG/107318-005_DET_6.jpg;https://dd3ka9h4chfr8.cloudfront.net/image/725136000567/image_m0o3l3umi958tahf9084too45n/-FJPG/107318-005_DET_7.jpg;https://dd3ka9h4chfr8.cloudfront.net/image/725136000567/image_08qqlo8me96n507ldhlkj5m303/-FJPG/107318-005_DET_8.jpg;https://dd3ka9h4chfr8.cloudfront.net/image/725136000567/image_vmalvjp9m15k71vdrea9cm2e4g/-FJPG/107318-005_ROM_1.jpg;https://dd3ka9h4chfr8.cloudfront.net/image/725136000567/image_fqihfk946h4kbdphi4thi1n261/-FJPG/107318-005_OPN_2.jpg</t>
  </si>
  <si>
    <t>107318-005</t>
  </si>
  <si>
    <t>https://dd3ka9h4chfr8.cloudfront.net/image/725136000567/image_6osn372e9964d49akd7jbmge7u/-FJPG/107318-005_FRT_1.jpg</t>
  </si>
  <si>
    <t>Office Storage</t>
  </si>
  <si>
    <t>Inspired by clean mid-century design, greyish auburn poplar offers generous extra file storage space, with a fully finished back plus metal-secured leather pulls for an element of surprise. Great solo or paired with matching desk or credenza.</t>
  </si>
  <si>
    <t>Filing Cabinet</t>
  </si>
  <si>
    <t>["Filing Cabinet"]</t>
  </si>
  <si>
    <t>https://dd3ka9h4chfr8.cloudfront.net/image/725136000567/image_979ha9r061303et7fssmcsqo5c/-FJPG/107318-006_FRT_1.jpg;https://dd3ka9h4chfr8.cloudfront.net/image/725136000567/image_vk1c5cv8el16ffki0etakvvd0s/-FJPG/107318-006_PRM_1.jpg;https://dd3ka9h4chfr8.cloudfront.net/image/725136000567/image_ltl0tt053l0nf74riu18gtvq62/-FJPG/107318-006_SID_1.jpg;https://dd3ka9h4chfr8.cloudfront.net/image/725136000567/image_hu9b227ke14q36putgoptbdc5k/-FJPG/107318-006_ESS_1.jpg;https://dd3ka9h4chfr8.cloudfront.net/image/725136000567/image_5r1bb9nqt50ln4evmv7991k95o/-FJPG/107318-006_DET_2.jpg;https://dd3ka9h4chfr8.cloudfront.net/image/725136000567/image_9b223rmm4p4pjagk9h4tabse6d/-FJPG/107318-006_BCK_1.jpg;https://dd3ka9h4chfr8.cloudfront.net/image/725136000567/image_6jmbfp76150uf62kudjec1q84a/-FJPG/107318-006_DET_1.jpg;https://dd3ka9h4chfr8.cloudfront.net/image/725136000567/image_ijh6i50kht4o3694pqjapukn1b/-FJPG/107318-006_DET_3.jpg;https://dd3ka9h4chfr8.cloudfront.net/image/725136000567/image_v62ihilunh7b75rjlc2kquri0b/-FJPG/107318-006_OPN_1.jpg;https://dd3ka9h4chfr8.cloudfront.net/image/725136000567/image_djvei2284l50j37c29gfdirj28/-FJPG/107318-006_DET_4.jpg;https://dd3ka9h4chfr8.cloudfront.net/image/725136000567/image_m0tb0ck4rp6h1bk9q0n17rkr50/-FJPG/107318-006_DET_5.jpg;https://dd3ka9h4chfr8.cloudfront.net/image/725136000567/image_o90o258tgp5dn8mu9mm5m2lf52/-FJPG/107318-006_DET_6.jpg;https://dd3ka9h4chfr8.cloudfront.net/image/725136000567/image_k2k4vblach1ed1lp1cg4ec0t1r/-FJPG/107318-006_DET_7.jpg;https://dd3ka9h4chfr8.cloudfront.net/image/725136000567/image_lirlumvv4d1rndhrh6o8c9gb51/-FJPG/107318-006_DET_8.jpg;https://dd3ka9h4chfr8.cloudfront.net/image/725136000567/image_8lss6gi3514t99782mpe8uci27/-FJPG/107318-006_DET_9.jpg;https://dd3ka9h4chfr8.cloudfront.net/image/725136000567/image_744gudeoqd11j0050ac5isk04q/-FJPG/107318-006_OPN_2.jpg</t>
  </si>
  <si>
    <t>107318-006</t>
  </si>
  <si>
    <t>https://dd3ka9h4chfr8.cloudfront.net/image/725136000567/image_979ha9r061303et7fssmcsqo5c/-FJPG/107318-006_FRT_1.jpg</t>
  </si>
  <si>
    <t>Inspired by clean mid-century design, black-finished poplar offers generous extra file storage space, with a fully finished back plus metal-secured leather pulls for an element of surprise. Great solo or paired with matching desk or credenza.</t>
  </si>
  <si>
    <t>https://dd3ka9h4chfr8.cloudfront.net/image/725136000567/image_no5qfogf3d1br81fd13d4gor51/-FJPG/107318-007_FRT_1.jpg;https://dd3ka9h4chfr8.cloudfront.net/image/725136000567/image_9octulst3h3p32smn9kit80a5g/-FJPG/107318-007_PRM_1.jpg;https://dd3ka9h4chfr8.cloudfront.net/image/725136000567/image_g3iel6nh7t4ntdvh2uc22i7m0o/-FJPG/107318-007_SID_1.jpg;https://dd3ka9h4chfr8.cloudfront.net/image/725136000567/image_crd6pc273l63bfgb48mr9nsg4r/-FJPG/107318-007_ESS_01.jpg;https://dd3ka9h4chfr8.cloudfront.net/image/725136000567/image_7kn0o7mo35403ehuhnpgsifh58/-FJPG/107318-007_DET_2.jpg;https://dd3ka9h4chfr8.cloudfront.net/image/725136000567/image_rp3qf31hot4vp7khdkb847ok21/-FJPG/107318-007_BCK_1.jpg;https://dd3ka9h4chfr8.cloudfront.net/image/725136000567/image_04r6jnnug54df6a6ni9t9irh0l/-FJPG/Color Variance Card_Trey Collection- Dove Poplar.jpg;https://dd3ka9h4chfr8.cloudfront.net/image/725136000567/image_72nvgoe9ph1cj6usofs3si2077/-FJPG/107318-007_DET_1.jpg;https://dd3ka9h4chfr8.cloudfront.net/image/725136000567/image_ev31dlco2p3q15g7abnnq95c6i/-FJPG/107318-007_DET_3.jpg;https://dd3ka9h4chfr8.cloudfront.net/image/725136000567/image_advlpu968h22hcd25r318brt1e/-FJPG/107318-007_OPN_1.jpg;https://dd3ka9h4chfr8.cloudfront.net/image/725136000567/image_q2ofij66kp1rpd4aa91fovm23d/-FJPG/107318-007_DET_4.jpg;https://dd3ka9h4chfr8.cloudfront.net/image/725136000567/image_ij68900kad0a3907or3oneq32g/-FJPG/107318-007_DET_5.jpg;https://dd3ka9h4chfr8.cloudfront.net/image/725136000567/image_tc3ujvvvgh4s369nnh6s5dnn2e/-FJPG/107318-007_DET_6.jpg;https://dd3ka9h4chfr8.cloudfront.net/image/725136000567/image_ek8lhaqdj93ct22qsqv5o7cf1c/-FJPG/107318-007_DET_7.jpg;https://dd3ka9h4chfr8.cloudfront.net/image/725136000567/image_rm1l8s60697q1cq8dec0l01158/-FJPG/107318-007_DET_8.jpg;https://dd3ka9h4chfr8.cloudfront.net/image/725136000567/image_cvo3ivd69t51r18868q4c48q53/-FJPG/107318-007_OPN_2.jpg</t>
  </si>
  <si>
    <t>107318-007</t>
  </si>
  <si>
    <t>https://dd3ka9h4chfr8.cloudfront.net/image/725136000567/image_no5qfogf3d1br81fd13d4gor51/-FJPG/107318-007_FRT_1.jpg</t>
  </si>
  <si>
    <t>Inspired by clean midcentury design, a modular filing cabinet of light-washed solid poplar offers roomy storage of legal and letter sized documents, with a fully finished back plus metal-secured top-grain leather pulls. Great solo or paired with matching desk or credenza.</t>
  </si>
  <si>
    <t>Trey Modular Filing Credenza</t>
  </si>
  <si>
    <t>https://dd3ka9h4chfr8.cloudfront.net/image/725136000567/image_oqrs60vp4166bdev0usrcj7o0j/-FJPG/UFUL-035_FRT_1.jpg;https://dd3ka9h4chfr8.cloudfront.net/image/725136000567/image_e6hlaudoqh1dl0mgtbot56mh7u/-FJPG/UFUL-035_PRM_1.jpg;https://dd3ka9h4chfr8.cloudfront.net/image/725136000567/image_1nqsr7m1e17495cr8c9gsr985s/-FJPG/UFUL-035_SID_1.jpg;https://dd3ka9h4chfr8.cloudfront.net/image/725136000567/image_70kfquioj15tbcebidds1lls54/-FJPG/UFUL-035_DET_2.jpg;https://dd3ka9h4chfr8.cloudfront.net/image/725136000567/image_jm99dfmrlp1h10lhmve65n4t17/-FJPG/UFUL-035_DET_1.jpg;https://dd3ka9h4chfr8.cloudfront.net/image/725136000567/image_lgn29cuih903je6lidhsh0k724/-FJPG/UFUL-035_DET_3.jpg;https://dd3ka9h4chfr8.cloudfront.net/image/725136000567/image_nib4sttbil2un2l66dp4llg04m/-FJPG/UFUL-035_OPN_1.jpg;https://dd3ka9h4chfr8.cloudfront.net/image/725136000567/image_9ls4572qnt0td58hmlh6ssnu0c/-FJPG/UFUL-035_DET_4.jpg;https://dd3ka9h4chfr8.cloudfront.net/image/725136000567/image_hi4puloaut17575gu0n6ja6j0e/-FJPG/UFUL-035_DET_5.jpg;https://dd3ka9h4chfr8.cloudfront.net/image/725136000567/image_914r2d6k2t75h7jgeqtqllv10u/-FJPG/UFUL-035_DET_6.jpg</t>
  </si>
  <si>
    <t>UFUL-035</t>
  </si>
  <si>
    <t>https://dd3ka9h4chfr8.cloudfront.net/image/725136000567/image_oqrs60vp4166bdev0usrcj7o0j/-FJPG/UFUL-035_FRT_1.jpg</t>
  </si>
  <si>
    <t>59.75</t>
  </si>
  <si>
    <t>{"value":59.75,"unit":"in"}</t>
  </si>
  <si>
    <t>Inspired by clean midcentury design, a modular filing credenza of greyish auburn poplar brings roomy storage space to the modern office, with a fully finished back plus metal-secured top-grain leather pulls. Great solo or paired with matching desk or filing cabinet.</t>
  </si>
  <si>
    <t>{"value":156.53,"unit":"lb"}</t>
  </si>
  <si>
    <t>20.94"</t>
  </si>
  <si>
    <t>9.21"</t>
  </si>
  <si>
    <t>Credenza</t>
  </si>
  <si>
    <t>["Credenza"]</t>
  </si>
  <si>
    <t>58.27"</t>
  </si>
  <si>
    <t>59.84"</t>
  </si>
  <si>
    <t>https://dd3ka9h4chfr8.cloudfront.net/image/725136000567/image_8sstpon9ll1l9em6spodraph7m/-FJPG/UFUL-035A_FRT_1.jpg;https://dd3ka9h4chfr8.cloudfront.net/image/725136000567/image_loj79mhg4h4m32jurrc9diaq6c/-FJPG/UFUL-035A_PRM_1.jpg;https://dd3ka9h4chfr8.cloudfront.net/image/725136000567/image_n0vns9otah1rj6b8fnpkg0dh3l/-FJPG/UFUL-035A_SID_1.jpg;https://dd3ka9h4chfr8.cloudfront.net/image/725136000567/image_talir842r955f582grsjs9t55p/-FJPG/UFUL-035A_ESS_1.jpg;https://dd3ka9h4chfr8.cloudfront.net/image/725136000567/image_8ef3q7m46l3lh0f1io5if1kj0e/-FJPG/UFUL-035A_BCK_1.jpg;https://dd3ka9h4chfr8.cloudfront.net/image/725136000567/image_be193pgo0p29l0s5srifiifh4u/-FJPG/UFUL-035A_DET_1.jpg;https://dd3ka9h4chfr8.cloudfront.net/image/725136000567/image_r6m2a9upal2jh2193l1salql5o/-FJPG/UFUL-035A_DET_3.jpg;https://dd3ka9h4chfr8.cloudfront.net/image/725136000567/image_ol74fmf7dl76tb3nche4klo477/-FJPG/UFUL-035A_OPN_1.jpg;https://dd3ka9h4chfr8.cloudfront.net/image/725136000567/image_s28dvobl897i90852ipfefvg51/-FJPG/UFUL-035A_DET_4.jpg;https://dd3ka9h4chfr8.cloudfront.net/image/725136000567/image_4tgiaf8p3l6vn5v4q327qnmt67/-FJPG/UFUL-035A_DET_5.jpg;https://dd3ka9h4chfr8.cloudfront.net/image/725136000567/image_1lj674j21p3cb8lieter9k1c2n/-FJPG/UFUL-035A_DET_6.jpg;https://dd3ka9h4chfr8.cloudfront.net/image/725136000567/image_9akl4rns1d38t7528s54mb017k/-FJPG/UFUL-035A_DET_7.jpg;https://dd3ka9h4chfr8.cloudfront.net/image/725136000567/image_k63839hosl7bh4962iccggr904/-FJPG/UFUL-035A_OPN_2.jpg</t>
  </si>
  <si>
    <t>UFUL-035A</t>
  </si>
  <si>
    <t>https://dd3ka9h4chfr8.cloudfront.net/image/725136000567/image_8sstpon9ll1l9em6spodraph7m/-FJPG/UFUL-035A_FRT_1.jpg</t>
  </si>
  <si>
    <t>Inspired by clean mid-century design, a modular filing credenza of black-finished solid poplar brings roomy storage space to the modern office, with a fully finished back plus metal-secured leather pulls for an element of surprise. Great solo or paired with matching desk or filing cabinet.</t>
  </si>
  <si>
    <t>https://dd3ka9h4chfr8.cloudfront.net/image/725136000567/image_lion6kptul7132p5aaek7cu16f/-FJPG/107319-004_FRT_1.jpg;https://dd3ka9h4chfr8.cloudfront.net/image/725136000567/image_1t8f6glp8t23j2mr69qhc8lt73/-FJPG/107319-004_PRM_1.jpg;https://dd3ka9h4chfr8.cloudfront.net/image/725136000567/image_fthcfc0kk54p9bpcqt08vfub5d/-FJPG/107319-004_SID_1.jpg;https://dd3ka9h4chfr8.cloudfront.net/image/725136000567/image_vdvr9rfsih5id1bieaj985f64o/-FJPG/107319-004_ESS_1.jpg;https://dd3ka9h4chfr8.cloudfront.net/image/725136000567/image_fhc1gq2lel7ml32sksg66lvh5e/-FJPG/107319-004_DET_2.jpg;https://dd3ka9h4chfr8.cloudfront.net/image/725136000567/image_v4gffb2pm11qd1vu37ap1eo91i/-FJPG/107319-004_BCK_1.jpg;https://dd3ka9h4chfr8.cloudfront.net/image/725136000567/image_04r6jnnug54df6a6ni9t9irh0l/-FJPG/Color Variance Card_Trey Collection- Dove Poplar.jpg;https://dd3ka9h4chfr8.cloudfront.net/image/725136000567/image_bg18e6imo176r53ao81a47bk12/-FJPG/107319-004_DET_1.jpg;https://dd3ka9h4chfr8.cloudfront.net/image/725136000567/image_g1jaqg0hgt2vn7rfiulvnel915/-FJPG/107319-004_DET_3.jpg;https://dd3ka9h4chfr8.cloudfront.net/image/725136000567/image_6rmn9eaqd55inbtm9qdf3fj04u/-FJPG/107319-004_OPN_1.jpg;https://dd3ka9h4chfr8.cloudfront.net/image/725136000567/image_s8gk09jvmp4c58dn1g419tbp49/-FJPG/107319-004_DET_4.jpg;https://dd3ka9h4chfr8.cloudfront.net/image/725136000567/image_trlt00q1rh7d75q2gfou94tn36/-FJPG/107319-004_DET_5.jpg;https://dd3ka9h4chfr8.cloudfront.net/image/725136000567/image_qe75cq656h5snelv12t9vga130/-FJPG/107319-004_DET_6.jpg;https://dd3ka9h4chfr8.cloudfront.net/image/725136000567/image_00qd21d1sd3vh6q2ihkerve17n/-FJPG/107319-004_DET_7.jpg;https://dd3ka9h4chfr8.cloudfront.net/image/725136000567/image_d05mqidh6d71d2b9s5fv4o751t/-FJPG/107319-004_DET_8.jpg;https://dd3ka9h4chfr8.cloudfront.net/image/725136000567/image_dlquq7e5ld73h8bufe1clj8k6t/-FJPG/107319-004_VIG_2.jpg;https://dd3ka9h4chfr8.cloudfront.net/image/725136000567/image_ml347aq1md4qn78qrconvnpr23/-FJPG/107319-004_OPN_2.jpg</t>
  </si>
  <si>
    <t>107319-004</t>
  </si>
  <si>
    <t>https://dd3ka9h4chfr8.cloudfront.net/image/725136000567/image_lion6kptul7132p5aaek7cu16f/-FJPG/107319-004_FRT_1.jpg</t>
  </si>
  <si>
    <t>Inspired by clean midcentury design, a modular filing cabinet of light-washed solid poplar brings roomy storage space to the modern office, with a fully finished back plus metal-secured top-grain leather pulls. Great solo or paired with matching desk or filing cabinet.</t>
  </si>
  <si>
    <t>Trey Modular Wide Bookcase</t>
  </si>
  <si>
    <t>https://dd3ka9h4chfr8.cloudfront.net/image/725136000567/image_5eu4cu26ed61je4dvpurb9s51i/-FJPG/223961-001_FRT_1.jpg;https://dd3ka9h4chfr8.cloudfront.net/image/725136000567/image_s5br8hn9fd1u75qus17ud4ns4r/-FJPG/223961-001_PRM_1.jpg;https://dd3ka9h4chfr8.cloudfront.net/image/725136000567/image_6m0oioes650h3cqrao13d4r15o/-FJPG/223961-001_SID_1.jpg;https://dd3ka9h4chfr8.cloudfront.net/image/725136000567/image_0f42mi4arl7ll81jmd1ad1cd73/-FJPG/223961-001_DET_2.jpg;https://dd3ka9h4chfr8.cloudfront.net/image/725136000567/image_7jq183eeip47f8mjgqk788sk0p/-FJPG/223961-001_BCK_1.jpg;https://dd3ka9h4chfr8.cloudfront.net/image/725136000567/image_k34javrsn9769d6e6gn5oi9n4q/-FJPG/223961-001_DET_1.jpg;https://dd3ka9h4chfr8.cloudfront.net/image/725136000567/image_ifo4be0vbl58l4gmpbv1vdev40/-FJPG/223961-001_DET_3.jpg;https://dd3ka9h4chfr8.cloudfront.net/image/725136000567/image_voe7k2phut53rb09biq1ih2p0n/-FJPG/223961-001_OPN_1.jpg;https://dd3ka9h4chfr8.cloudfront.net/image/725136000567/image_51si9crpet5lb8reit6o0mnk2g/-FJPG/223961-001_DET_4.jpg;https://dd3ka9h4chfr8.cloudfront.net/image/725136000567/image_j4nsi76h195bd8vqdjstjn9q7v/-FJPG/223961-001_DET_5.jpg;https://dd3ka9h4chfr8.cloudfront.net/image/725136000567/image_1jqn8i3m350d1ds4gqaqkgv85u/-FJPG/223961-001_DET_6.jpg;https://dd3ka9h4chfr8.cloudfront.net/image/725136000567/image_in8uc60lcd1frbcaoh72crkl2a/-FJPG/223961-001_DET_7.jpg;https://dd3ka9h4chfr8.cloudfront.net/image/725136000567/image_o122ehomet7ev8onhtratsmi3f/-FJPG/223961-001_VIG_1.jpg</t>
  </si>
  <si>
    <t>223961-001</t>
  </si>
  <si>
    <t>https://dd3ka9h4chfr8.cloudfront.net/image/725136000567/image_5eu4cu26ed61je4dvpurb9s51i/-FJPG/223961-001_FRT_1.jpg</t>
  </si>
  <si>
    <t>Inspired by clean midcentury design, solid auburn poplar and raw iron fuse to offer storage and display space for favorite books and treasures. Metal-secured leather pulls add a textural element of surprise. Great alone or doubled and paired with matching media console.</t>
  </si>
  <si>
    <t>{"value":90.35,"unit":"in"}</t>
  </si>
  <si>
    <t>31.97"</t>
  </si>
  <si>
    <t>33.54"</t>
  </si>
  <si>
    <t>https://dd3ka9h4chfr8.cloudfront.net/image/725136000567/image_b93205esed5j90qo74gfnhap0c/-FJPG/223961-002_FRT_1.jpg;https://dd3ka9h4chfr8.cloudfront.net/image/725136000567/image_cso1l7rs7d4cvdbimbmlg4dh0r/-FJPG/223961-002_PRM_1.jpg;https://dd3ka9h4chfr8.cloudfront.net/image/725136000567/image_9g03cltl7546v4lhdimmq70803/-FJPG/223961-002_SID_1.jpg;https://dd3ka9h4chfr8.cloudfront.net/image/725136000567/image_n85snpv2fd0g9dt0f3g4ehdj00/-FJPG/223961-002_DET_2.jpg;https://dd3ka9h4chfr8.cloudfront.net/image/725136000567/image_392kmkb72h12lf8kbpg2cpic20/-FJPG/223961-002_BCK_1.jpg;https://dd3ka9h4chfr8.cloudfront.net/image/725136000567/image_v2vdh9oi9522v21nf0vtoksl36/-FJPG/223961-002_DET_1.jpg;https://dd3ka9h4chfr8.cloudfront.net/image/725136000567/image_6o4iki9uo90op7b1bsd773ol3f/-FJPG/223961-002_DET_3.jpg;https://dd3ka9h4chfr8.cloudfront.net/image/725136000567/image_lbv8liemtp1o1ai8hqiuj81i0j/-FJPG/223961-002_OPN_1.jpg;https://dd3ka9h4chfr8.cloudfront.net/image/725136000567/image_e8ffhq4n8l2q98lk28irgrld4c/-FJPG/223961-002_DET_4.jpg;https://dd3ka9h4chfr8.cloudfront.net/image/725136000567/image_hgm8sf1rkh6lp9b32ku2e5as5s/-FJPG/223961-002_DET_5.jpg;https://dd3ka9h4chfr8.cloudfront.net/image/725136000567/image_s0d0onp9nl5ed8mvktfg47lj3g/-FJPG/223961-002_DET_6.jpg;https://dd3ka9h4chfr8.cloudfront.net/image/725136000567/image_um0sp3hi8t10bc4oae31026p1q/-FJPG/223961-002_DET_7.jpg;https://dd3ka9h4chfr8.cloudfront.net/image/725136000567/image_bg5n8o4gu96drcojufq1tgpa5n/-FJPG/223961-002_VIG_1.jpg;https://dd3ka9h4chfr8.cloudfront.net/image/725136000567/image_66ro5u4h2d0vb7uk1qmhfpul68/-FJPG/223961-002_OPN_2.jpg</t>
  </si>
  <si>
    <t>223961-002</t>
  </si>
  <si>
    <t>https://dd3ka9h4chfr8.cloudfront.net/image/725136000567/image_b93205esed5j90qo74gfnhap0c/-FJPG/223961-002_FRT_1.jpg</t>
  </si>
  <si>
    <t>Inspired by clean midcentury design, solid black wash poplar and raw iron fuse to offer storage and display space for favorite books and treasures. Metal-secured leather pulls add a textural element of surprise. Great alone or doubled and paired with matching media console.</t>
  </si>
  <si>
    <t>https://dd3ka9h4chfr8.cloudfront.net/image/725136000567/image_cmr1qv8ndd3p19l4eqivqff35q/-FJPG/223961-003_FRT_1.jpg;https://dd3ka9h4chfr8.cloudfront.net/image/725136000567/image_s18hp60af57m1f8qbjmunoel6a/-FJPG/223961-003_PRM_1.jpg;https://dd3ka9h4chfr8.cloudfront.net/image/725136000567/image_scfvrv87u94ohfkolgc4d4665b/-FJPG/223961-003_SID_1.jpg;https://dd3ka9h4chfr8.cloudfront.net/image/725136000567/image_avhdfso7r13lpfq8ptmdn88o2v/-FJPG/223961-003_DET_2.jpg;https://dd3ka9h4chfr8.cloudfront.net/image/725136000567/image_bsfqac2sit1mrdfa14krm4ks30/-FJPG/223961-003_BCK_1.jpg;https://dd3ka9h4chfr8.cloudfront.net/image/725136000567/image_04r6jnnug54df6a6ni9t9irh0l/-FJPG/Color Variance Card_Trey Collection- Dove Poplar.jpg;https://dd3ka9h4chfr8.cloudfront.net/image/725136000567/image_qd5v8g7nft5c5bdemfnjtosc5h/-FJPG/223961-003_DET_1.jpg;https://dd3ka9h4chfr8.cloudfront.net/image/725136000567/image_4leq6l4bi14lhffrcf00knhc4j/-FJPG/223961-003_DET_3.jpg;https://dd3ka9h4chfr8.cloudfront.net/image/725136000567/image_cpkqec0jrp7ene5eogs12he049/-FJPG/223961-003_OPN_1.jpg;https://dd3ka9h4chfr8.cloudfront.net/image/725136000567/image_htkrv32dhl645a314uk7jg7444/-FJPG/223961-003_DET_4.jpg;https://dd3ka9h4chfr8.cloudfront.net/image/725136000567/image_2l1gm6vvj925rb10ousahdim22/-FJPG/223961-003_DET_5.jpg;https://dd3ka9h4chfr8.cloudfront.net/image/725136000567/image_i7phjirh153dtbm6t43d558t43/-FJPG/223961-003_DET_6.jpg;https://dd3ka9h4chfr8.cloudfront.net/image/725136000567/image_bvcn008l5l29rbdql30eqf3664/-FJPG/223961-003_DET_7.jpg;https://dd3ka9h4chfr8.cloudfront.net/image/725136000567/image_55lbqr1fqp4on9f8i6kbeidm0f/-FJPG/223961-003_DET_8.jpg;https://dd3ka9h4chfr8.cloudfront.net/image/725136000567/image_3jait19kt91jv8oq301405ut32/-FJPG/223961-003_VIG_1.jpg</t>
  </si>
  <si>
    <t>223961-003</t>
  </si>
  <si>
    <t>https://dd3ka9h4chfr8.cloudfront.net/image/725136000567/image_cmr1qv8ndd3p19l4eqivqff35q/-FJPG/223961-003_FRT_1.jpg</t>
  </si>
  <si>
    <t>Inspired by clean midcentury design, solid poplar and raw iron fuse to offer storage and display space for favorite books and treasures. Metal-secured leather pulls add a textural element of surprise. Great alone or doubled and paired with matching media console.</t>
  </si>
  <si>
    <t>Trey Modular Writing Desk</t>
  </si>
  <si>
    <t>https://dd3ka9h4chfr8.cloudfront.net/image/725136000567/image_66v903n9m16a5ajf3pingr216s/-FJPG/UFUL-033_FRT_1.jpg;https://dd3ka9h4chfr8.cloudfront.net/image/725136000567/image_56fcvdh1dh15r1igoutb68ra7m/-FJPG/UFUL-033_PRM_1.jpg;https://dd3ka9h4chfr8.cloudfront.net/image/725136000567/image_kmu2rj1fkd7iv0bkajdh2tvq19/-FJPG/UFUL-033_SID_1.jpg;https://dd3ka9h4chfr8.cloudfront.net/image/725136000567/image_pdcu8352uh1tr700ov08to8745/-FJPG/UFUL-033_DET_2.jpg;https://dd3ka9h4chfr8.cloudfront.net/image/725136000567/image_ctn901nlu92sv39an5de9sig5i/-FJPG/UFUL-033_DET_1.jpg;https://dd3ka9h4chfr8.cloudfront.net/image/725136000567/image_qh8110vcrl0jn07tm1vd3j055c/-FJPG/UFUL-033_DET_3.jpg;https://dd3ka9h4chfr8.cloudfront.net/image/725136000567/image_85up45lncd5gb2gqnavghs7o54/-FJPG/UFUL-033_OPN_1.jpg;https://dd3ka9h4chfr8.cloudfront.net/image/725136000567/image_7g5u2337vd5oj0p95ig5i2ti3l/-FJPG/UFUL-033_DET_4.jpg;https://dd3ka9h4chfr8.cloudfront.net/image/725136000567/image_bkmtf3r4kh6iv8r3v4af23at7s/-FJPG/UFUL-033_DET_5.jpg;https://dd3ka9h4chfr8.cloudfront.net/image/725136000567/image_i313sk6bk16u34verhfp70vk61/-FJPG/UFUL-033_DET_7.jpg;https://dd3ka9h4chfr8.cloudfront.net/image/725136000567/image_5nqvf5s3b12o5792anf9ocgg7n/-FJPG/UFUL-033_ROM_1.jpg;https://dd3ka9h4chfr8.cloudfront.net/image/725136000567/image_u498g0j0850a56mgvpvk8ri275/-FJPG/UFUL-033_ROM_2.jpg</t>
  </si>
  <si>
    <t>UFUL-033</t>
  </si>
  <si>
    <t>80.47</t>
  </si>
  <si>
    <t>https://dd3ka9h4chfr8.cloudfront.net/image/725136000567/image_66v903n9m16a5ajf3pingr216s/-FJPG/UFUL-033_FRT_1.jpg</t>
  </si>
  <si>
    <t>Inspired by clean mid-century design, greyish auburn poplar offers generous desk storage by way of three spacious drawers, with a fully finished back plus metal-secured leather pulls for an element of surprise. Great solo or paired with matching corner desk, file cabinet or credenza.</t>
  </si>
  <si>
    <t>{"value":64.49,"unit":"in"}</t>
  </si>
  <si>
    <t>{"value":34.49,"unit":"in"}</t>
  </si>
  <si>
    <t>https://dd3ka9h4chfr8.cloudfront.net/image/725136000567/image_tgasql9l154gdbch3l9u3g4i0e/-FJPG/107317-004_FRT_1.jpg;https://dd3ka9h4chfr8.cloudfront.net/image/725136000567/image_injacivgn92tbd72fq4osmma1u/-FJPG/107317-004_PRM_1.jpg;https://dd3ka9h4chfr8.cloudfront.net/image/725136000567/image_g4b5dd27td2th9rh28p76hh26q/-FJPG/107317-004_SID_1.jpg;https://dd3ka9h4chfr8.cloudfront.net/image/725136000567/image_mua4o274mh7hb8dmad0tr7gh00/-FJPG/107317-004_ESS_1.jpg;https://dd3ka9h4chfr8.cloudfront.net/image/725136000567/image_70lqckhmkh1d135fc8r6c40e7a/-FJPG/107317-004_DET_2.jpg;https://dd3ka9h4chfr8.cloudfront.net/image/725136000567/image_sp71k1q1195e12mbtslff6og23/-FJPG/107317-004_BCK_1.jpg;https://dd3ka9h4chfr8.cloudfront.net/image/725136000567/image_04r6jnnug54df6a6ni9t9irh0l/-FJPG/Color Variance Card_Trey Collection- Dove Poplar.jpg;https://dd3ka9h4chfr8.cloudfront.net/image/725136000567/image_luicaua9r13k7epi2go3lfa72e/-FJPG/107317-004_DET_1.jpg;https://dd3ka9h4chfr8.cloudfront.net/image/725136000567/image_4a5c1u84393vr9s2fpebn72u7u/-FJPG/107317-004_DET_3.jpg;https://dd3ka9h4chfr8.cloudfront.net/image/725136000567/image_bolk4mpccl2i1bihde3u1a9s4h/-FJPG/107317-004_OPN_1.jpg;https://dd3ka9h4chfr8.cloudfront.net/image/725136000567/image_llm43svvll0s96he4kldea4i4g/-FJPG/107317-004_TOP_1.jpg;https://dd3ka9h4chfr8.cloudfront.net/image/725136000567/image_305eoqhsvd1td5gi2fgvt84o28/-FJPG/107317-004_DET_4.jpg;https://dd3ka9h4chfr8.cloudfront.net/image/725136000567/image_m8aarr2qoh2dl6tejoeska8u28/-FJPG/107317-004_DET_5.jpg;https://dd3ka9h4chfr8.cloudfront.net/image/725136000567/image_ff0mkt8anp6un01hacar4i6q0u/-FJPG/107317-004_DET_6.jpg;https://dd3ka9h4chfr8.cloudfront.net/image/725136000567/image_4fl4lbmaf528rd46qk0frgsc72/-FJPG/107317-004_DET_7.jpg</t>
  </si>
  <si>
    <t>107317-004</t>
  </si>
  <si>
    <t>https://dd3ka9h4chfr8.cloudfront.net/image/725136000567/image_tgasql9l154gdbch3l9u3g4i0e/-FJPG/107317-004_FRT_1.jpg</t>
  </si>
  <si>
    <t>Inspired by clean midcentury design, solid poplar and raw iron fuse for style and storage alike, offering three spacious drawers, with a fully finished back plus metal-secured leather pulls for an element of surprise. Great solo or paired with matching corner desk, file cabinet or credenza.</t>
  </si>
  <si>
    <t>Trey Nightstand</t>
  </si>
  <si>
    <t>https://dd3ka9h4chfr8.cloudfront.net/image/725136000567/image_9lgukr2jhd2vt0j2jfevfv9h08/-FJPG/108459-002_FRT_1.jpg;https://dd3ka9h4chfr8.cloudfront.net/image/725136000567/image_nh8a7o4b717g344ajneol26q4p/-FJPG/108459-002_PRM_1.jpg;https://dd3ka9h4chfr8.cloudfront.net/image/725136000567/image_n5npvnv5g56op72t9s3cp8fk3u/-FJPG/108459-002_SID_1.jpg;https://dd3ka9h4chfr8.cloudfront.net/image/725136000567/image_hvjt1edos972re783un679g21i/-FJPG/108459-002_BCK_1.jpg;https://dd3ka9h4chfr8.cloudfront.net/image/725136000567/image_g845hf3iop7orcfitvgrpuml0p/-FJPG/108459-002_DET_1.jpg;https://dd3ka9h4chfr8.cloudfront.net/image/725136000567/image_6hgom3a7e515negbcchh7vuo2l/-FJPG/108459-002_DET_3.jpg;https://dd3ka9h4chfr8.cloudfront.net/image/725136000567/image_f9u1198idp2rd7ue59b7ddt56f/-FJPG/108459-002_OPN_1.jpg;https://dd3ka9h4chfr8.cloudfront.net/image/725136000567/image_t5rhrbrvmp1ctbnb1l9e8v790n/-FJPG/108459-002_DET_4.jpg;https://dd3ka9h4chfr8.cloudfront.net/image/725136000567/image_ohhnjj18ql0alchciro3gre81h/-FJPG/108459-002_DET_5.jpg;https://dd3ka9h4chfr8.cloudfront.net/image/725136000567/image_ga8ievkjj95n399cdl97bhe875/-FJPG/108459-002_DET_6.jpg;https://dd3ka9h4chfr8.cloudfront.net/image/725136000567/image_igb1oeft1d1a93u7vgbfvt6r4v/-FJPG/108459-002_VIG_1.jpg</t>
  </si>
  <si>
    <t>108459-002</t>
  </si>
  <si>
    <t>40.79</t>
  </si>
  <si>
    <t>https://dd3ka9h4chfr8.cloudfront.net/image/725136000567/image_9lgukr2jhd2vt0j2jfevfv9h08/-FJPG/108459-002_FRT_1.jpg</t>
  </si>
  <si>
    <t>Inspired by clean mid-century design, a stylish nightstand of solid auburn-finished poplar brings extra space to bedside storage. Metal-secured leather pull adds a textural element of surprise.</t>
  </si>
  <si>
    <t>10.12"</t>
  </si>
  <si>
    <t>14.29"</t>
  </si>
  <si>
    <t>https://dd3ka9h4chfr8.cloudfront.net/image/725136000567/image_t7btlsbj7531pf34hq42sppu6b/-FJPG/108459-004_FRT_1.jpg;https://dd3ka9h4chfr8.cloudfront.net/image/725136000567/image_118k1crk5d4l30674qqbc3b61g/-FJPG/108459-004_PRM_1.jpg;https://dd3ka9h4chfr8.cloudfront.net/image/725136000567/image_hbrqm2geul3b50n98cuuce8l3f/-FJPG/108459-004_SID_1.jpg;https://dd3ka9h4chfr8.cloudfront.net/image/725136000567/image_56mlsl82o91r15qlb12m0jav44/-FJPG/108459-004_ESS_1.jpg;https://dd3ka9h4chfr8.cloudfront.net/image/725136000567/image_7t4kfp7h3d0fnce57oh77kr64l/-FJPG/108459-004_BCK_1.jpg;https://dd3ka9h4chfr8.cloudfront.net/image/725136000567/image_u3b9hj3gdl0sle80ibt10qiu65/-FJPG/108459-004_DET_1.jpg;https://dd3ka9h4chfr8.cloudfront.net/image/725136000567/image_6t963u71vt2d543qsab8foc27s/-FJPG/108459-004_DET_3.jpg;https://dd3ka9h4chfr8.cloudfront.net/image/725136000567/image_0prnmshkld5jfdjr9sginkae1t/-FJPG/108459-004_OPN_1.jpg;https://dd3ka9h4chfr8.cloudfront.net/image/725136000567/image_cnuivqb8vt31d2r9s2kqa3bg7o/-FJPG/108459-004_DET_4.jpg;https://dd3ka9h4chfr8.cloudfront.net/image/725136000567/image_a3snka57pp7th08r43safsih32/-FJPG/108459-004_DET_5.jpg</t>
  </si>
  <si>
    <t>108459-004</t>
  </si>
  <si>
    <t>https://dd3ka9h4chfr8.cloudfront.net/image/725136000567/image_t7btlsbj7531pf34hq42sppu6b/-FJPG/108459-004_FRT_1.jpg</t>
  </si>
  <si>
    <t>Inspired by clean mid-century design, a stylish nightstand of solid black-washed poplar brings extra space to bedside storage. Metal-secured leather pull adds a textural element of surprise.</t>
  </si>
  <si>
    <t>https://dd3ka9h4chfr8.cloudfront.net/image/725136000567/image_mp2dj353595838lo19u8f6qo2d/-FJPG/108459-005_FRT_1.jpg;https://dd3ka9h4chfr8.cloudfront.net/image/725136000567/image_vphjjage954sl0rinvep07a736/-FJPG/108459-005_PRM_1.jpg;https://dd3ka9h4chfr8.cloudfront.net/image/725136000567/image_fjt321j1sd6ctcns1sfer4vl0e/-FJPG/108459-005_SID_1.jpg;https://dd3ka9h4chfr8.cloudfront.net/image/725136000567/image_5kb691r11l731dbq19esst1g0j/-FJPG/108459-005_ESS.tif;https://dd3ka9h4chfr8.cloudfront.net/image/725136000567/image_netg3qva694lt2346o1haci179/-FJPG/108459-005_DET_2.jpg;https://dd3ka9h4chfr8.cloudfront.net/image/725136000567/image_acqe9m0p5d2dr861rmdp5h7o2t/-FJPG/108459-005_BCK_1.jpg;https://dd3ka9h4chfr8.cloudfront.net/image/725136000567/image_04r6jnnug54df6a6ni9t9irh0l/-FJPG/Color Variance Card_Trey Collection- Dove Poplar.jpg;https://dd3ka9h4chfr8.cloudfront.net/image/725136000567/image_f2pr86cb254k13mhesv2pmit1r/-FJPG/108459-005_DET_1.jpg;https://dd3ka9h4chfr8.cloudfront.net/image/725136000567/image_dlbjouf4kp6a714ugn3bigei7m/-FJPG/108459-005_DET_3.jpg;https://dd3ka9h4chfr8.cloudfront.net/image/725136000567/image_ef5jesbjq94o37vn224gn91q6c/-FJPG/108459-005_OPN_1.jpg;https://dd3ka9h4chfr8.cloudfront.net/image/725136000567/image_5kjna0b58t1jf2ep4618btv63p/-FJPG/108459-005_DET_4.jpg;https://dd3ka9h4chfr8.cloudfront.net/image/725136000567/image_7vgsuert495r1019ojtdg0rl41/-FJPG/108459-005_DET_5.jpg;https://dd3ka9h4chfr8.cloudfront.net/image/725136000567/image_mgsjm6ra9l50j07916v2i3c86v/-FJPG/108459-005_DET_6.jpg</t>
  </si>
  <si>
    <t>108459-005</t>
  </si>
  <si>
    <t>https://dd3ka9h4chfr8.cloudfront.net/image/725136000567/image_mp2dj353595838lo19u8f6qo2d/-FJPG/108459-005_FRT_1.jpg</t>
  </si>
  <si>
    <t>Inspired by clean midcentury design, a stylish nightstand of light-washed solid poplar brings extra storage space to the bedside. A metal-secured top-grain leather pull adds a textural element of surprise.</t>
  </si>
  <si>
    <t>Trey Sideboard</t>
  </si>
  <si>
    <t>https://dd3ka9h4chfr8.cloudfront.net/image/725136000567/image_h9b6rtlurl6fhfiel0ffmkl51q/-FJPG/UFUL-037A_FRT_1.jpg;https://dd3ka9h4chfr8.cloudfront.net/image/725136000567/image_u7q6m66u2d2r52qmbgl5df310f/-FJPG/UFUL-037A_PRM_1.jpg;https://dd3ka9h4chfr8.cloudfront.net/image/725136000567/image_p6drt8q21l67vdkc31oj76sa6j/-FJPG/UFUL-037A_SID_1.jpg;https://dd3ka9h4chfr8.cloudfront.net/image/725136000567/image_046bm5vlh90mrb5scbh9141r4s/-FJPG/UFUL-037A_ESS_1.jpg;https://dd3ka9h4chfr8.cloudfront.net/image/725136000567/image_rr7o3g2cb12p5ccpn4pn3ule45/-FJPG/UFUL-037A_DET_2.jpg;https://dd3ka9h4chfr8.cloudfront.net/image/725136000567/image_lpnh6fjrt51vfeuic37vt5963f/-FJPG/UFUL-037A_BCK_1.jpg;https://dd3ka9h4chfr8.cloudfront.net/image/725136000567/image_qk7m3u6lnh2mn79ct7bdl4lr61/-FJPG/UFUL-037A_DET_3.jpg;https://dd3ka9h4chfr8.cloudfront.net/image/725136000567/image_h71kllndbp7073nb8mpmjuv65b/-FJPG/UFUL-037A_OPN_1.jpg;https://dd3ka9h4chfr8.cloudfront.net/image/725136000567/image_1qmqbe6k5d7pr2p66evleu6q08/-FJPG/UFUL-037A_DET_4.jpg;https://dd3ka9h4chfr8.cloudfront.net/image/725136000567/image_7kd0ouf6kp7mn5hdhbmmtua123/-FJPG/UFUL-037A_DET_7.jpg;https://dd3ka9h4chfr8.cloudfront.net/image/725136000567/image_10qtc38tqp07j1impkrbjc543r/-FJPG/UFUL-037A_DET_8.jpg;https://dd3ka9h4chfr8.cloudfront.net/image/725136000567/image_vvm9m6934p7750vkve5j7lgm71/-FJPG/UFUL-037A_DET_9.jpg;https://dd3ka9h4chfr8.cloudfront.net/image/725136000567/image_pvkgq86l6p10t6ftha7149jk5g/-FJPG/UFUL-037A_DET_10.jpg;https://dd3ka9h4chfr8.cloudfront.net/image/725136000567/image_4p87kvu6lh33f04e1pjhn0cg3u/-FJPG/UFUL-037A_VIG_1.jpg;https://dd3ka9h4chfr8.cloudfront.net/image/725136000567/image_4tais3l7h956l49m2mdb81kh5l/-FJPG/UFUL-037A_VIG_2.jpg;https://dd3ka9h4chfr8.cloudfront.net/image/725136000567/image_ng4vekin0p5gfaaklg1q5lh47r/-FJPG/UFUL-037A_ESS_3.jpg</t>
  </si>
  <si>
    <t>UFUL-037A</t>
  </si>
  <si>
    <t>124.56</t>
  </si>
  <si>
    <t>https://dd3ka9h4chfr8.cloudfront.net/image/725136000567/image_h9b6rtlurl6fhfiel0ffmkl51q/-FJPG/UFUL-037A_FRT_1.jpg</t>
  </si>
  <si>
    <t>Inspired by sleek mid-century design, a stylish sideboard of black-washed poplar offers ample storage space by way of interior cabinetry and spacious dual drawers. Metal-secured pulls of toffee top-grain leather add a textural element of surprise.</t>
  </si>
  <si>
    <t>34.84"</t>
  </si>
  <si>
    <t>0.07"</t>
  </si>
  <si>
    <t>17.64"</t>
  </si>
  <si>
    <t>Trinity Coffee Table</t>
  </si>
  <si>
    <t>https://dd3ka9h4chfr8.cloudfront.net/image/725136000567/image_e3teibcm0d32h8ev5rog2nvp7q/-FJPG/241021-001_FRT_1.jpg;https://dd3ka9h4chfr8.cloudfront.net/image/725136000567/image_pfg1tfo2ep4t98mt6henn5gp17/-FJPG/241021-001_PRM_1.jpg;https://dd3ka9h4chfr8.cloudfront.net/image/725136000567/image_k6jpftfn411tv01untfdk58t6f/-FJPG/241021-001_SID_1.jpg;https://dd3ka9h4chfr8.cloudfront.net/image/725136000567/image_1v8fdvmjlt2736du81jqn7954d/-FJPG/241021-001_ESS.tif;https://dd3ka9h4chfr8.cloudfront.net/image/725136000567/image_esili5jjrh18r437ksm89mbt2v/-FJPG/241021-001_DET_2.jpg;https://dd3ka9h4chfr8.cloudfront.net/image/725136000567/image_80tl6jods150h4trv0kh1n623m/-FJPG/241021-001_DET_1.jpg;https://dd3ka9h4chfr8.cloudfront.net/image/725136000567/image_rddttn1lll6q79le54lto3i21e/-FJPG/241021-001_DET_3.jpg;https://dd3ka9h4chfr8.cloudfront.net/image/725136000567/image_khokros8p97of58s79228a461d/-FJPG/241021-001_DET_4.jpg;https://dd3ka9h4chfr8.cloudfront.net/image/725136000567/image_ot0l6j57oh3htesesc9hqpv77q/-FJPG/241021-001_DET_5.jpg;https://dd3ka9h4chfr8.cloudfront.net/image/725136000567/image_og14uhdggt1b5b4lae51nmak4h/-FJPG/241021-001_DET_6.jpg;https://dd3ka9h4chfr8.cloudfront.net/image/725136000567/image_8ir41h838h4utcdjo4bhe5ho2s/-FJPG/241021-001_DET_7.jpg;https://dd3ka9h4chfr8.cloudfront.net/image/725136000567/image_v8go3hi95d3lfek9idbjfmeh2m/-FJPG/FHMPRJ016_SCENE-2.tif</t>
  </si>
  <si>
    <t>Distressed Light Oak</t>
  </si>
  <si>
    <t>241021-001</t>
  </si>
  <si>
    <t>https://dd3ka9h4chfr8.cloudfront.net/image/725136000567/image_e3teibcm0d32h8ev5rog2nvp7q/-FJPG/241021-001_FRT_1.jpg</t>
  </si>
  <si>
    <t>This Asian-inspired design made from light, distressed oak features mortise-and-tenon joinery, which connects protruding stretchers to sturdy legs. Lower shelving for bonus storage and display.</t>
  </si>
  <si>
    <t>Trinity</t>
  </si>
  <si>
    <t>Trinity Console Table</t>
  </si>
  <si>
    <t>https://dd3ka9h4chfr8.cloudfront.net/image/725136000567/image_edm9av2r456kj23vqti3v9k10d/-FJPG/241019-001_FRT_1.JPG;https://dd3ka9h4chfr8.cloudfront.net/image/725136000567/image_c36l8ubj7h39tacb7oa30cgk0j/-FJPG/241019-001_PRM_1.JPG;https://dd3ka9h4chfr8.cloudfront.net/image/725136000567/image_q65ghcnutp2737cadb0hhlri3k/-FJPG/241019-001_SID_1.JPG;https://dd3ka9h4chfr8.cloudfront.net/image/725136000567/image_c6jq8r1fvh0q3ctj0a3lbtb46f/-FJPG/241019-001_ESS.tif;https://dd3ka9h4chfr8.cloudfront.net/image/725136000567/image_t7bi8ace4l0gbdto3odmusir5g/-FJPG/241019-001_DET_2.JPG;https://dd3ka9h4chfr8.cloudfront.net/image/725136000567/image_chg82fj2ld7sh7lc52h09cbe7k/-FJPG/241019-001_DET_1.JPG;https://dd3ka9h4chfr8.cloudfront.net/image/725136000567/image_a26tug4frp33b1342fabu8he1c/-FJPG/241019-001_DET_3.JPG;https://dd3ka9h4chfr8.cloudfront.net/image/725136000567/image_4sal3j4gop3gn8cdlpimoqfo19/-FJPG/241019-001_DET_4.JPG;https://dd3ka9h4chfr8.cloudfront.net/image/725136000567/image_c773mlmo2h73bdainusomft62g/-FJPG/241019-001_DET_5.JPG;https://dd3ka9h4chfr8.cloudfront.net/image/725136000567/image_67otuvf5jp0r97cqk03c7sji1q/-FJPG/241019-001_DET_6.JPG;https://dd3ka9h4chfr8.cloudfront.net/image/725136000567/image_52voqed3s57mnaaab0jp4p625u/-FJPG/241019-001_DET_9.tif;https://dd3ka9h4chfr8.cloudfront.net/image/725136000567/image_ki6ept84i57ap1e3afkmmchl7u/-FJPG/241019-001_DET_10.tif;https://dd3ka9h4chfr8.cloudfront.net/image/725136000567/image_gec4uhp6917bper2bbcos2mt7k/-FJPG/FHMPRJ016_SCENE-14-CROP-1.tif</t>
  </si>
  <si>
    <t>241019-001</t>
  </si>
  <si>
    <t>96.78</t>
  </si>
  <si>
    <t>https://dd3ka9h4chfr8.cloudfront.net/image/725136000567/image_edm9av2r456kj23vqti3v9k10d/-FJPG/241019-001_FRT_1.JPG</t>
  </si>
  <si>
    <t>{"value":46.74,"unit":"lb"}</t>
  </si>
  <si>
    <t>Tulip Side Table</t>
  </si>
  <si>
    <t>https://dd3ka9h4chfr8.cloudfront.net/image/725136000567/image_lfvbnjfict42v2ialff8q5lq4a/-FJPG/106580-005_PRM_1.jpg;https://dd3ka9h4chfr8.cloudfront.net/image/725136000567/image_1k8v5juugl65fbobodincs1b0o/-FJPG/106580-005_DET_2.jpg;https://dd3ka9h4chfr8.cloudfront.net/image/725136000567/image_1lrceg93mt53f6tgjr80c97f7g/-FJPG/106580-005_DET_1.jpg;https://dd3ka9h4chfr8.cloudfront.net/image/725136000567/image_sbs6p71e9167l80d3kbcs2h93i/-FJPG/106580-005_ROM_1.jpg;https://dd3ka9h4chfr8.cloudfront.net/image/725136000567/image_m2imajbo0d53pa64igi428jq5n/-FJPG/106580-005_ROM_2.jpg;https://dd3ka9h4chfr8.cloudfront.net/image/725136000567/image_e6it4k5k7l5eh78t6msaaiel3e/-FJPG/106580-005_ROM_3.jpg;https://dd3ka9h4chfr8.cloudfront.net/image/725136000567/image_3g1eaepbjl07dbrq2o3vjv3e0o/-FJPG/106580-005_ROM_4.jpg;https://dd3ka9h4chfr8.cloudfront.net/image/725136000567/image_en020bto510lf22eh4kpf29q7d/-FJPG/106580-005_ROM_5.jpg</t>
  </si>
  <si>
    <t>106580-005</t>
  </si>
  <si>
    <t>https://dd3ka9h4chfr8.cloudfront.net/image/725136000567/image_lfvbnjfict42v2ialff8q5lq4a/-FJPG/106580-005_PRM_1.jpg</t>
  </si>
  <si>
    <t>Classic tulip shaping in textural cast-aluminum makes for a modern side table. Finished in antique rust to bring out alluring highs and lows. Indoors or out; cover or store inside during inclement weather and when not in use.</t>
  </si>
  <si>
    <t>Tulip</t>
  </si>
  <si>
    <t>0.25"</t>
  </si>
  <si>
    <t>Tussac Media Console</t>
  </si>
  <si>
    <t>https://dd3ka9h4chfr8.cloudfront.net/image/725136000567/image_rbimldblq50mr1223qcnurcp16/-FJPG/232367-001_FRT_1.jpg;https://dd3ka9h4chfr8.cloudfront.net/image/725136000567/image_rhna4ogec505f3nsbk9i008v2g/-FJPG/232367-001_PRM_1.jpg;https://dd3ka9h4chfr8.cloudfront.net/image/725136000567/image_lkqv2rd4sl3i13sctpohk10769/-FJPG/232367-001_SID_1.jpg;https://dd3ka9h4chfr8.cloudfront.net/image/725136000567/image_tq2bhh7q3d1kn4724vv0p6sa7v/-FJPG/232367-001_ESS_1.jpg;https://dd3ka9h4chfr8.cloudfront.net/image/725136000567/image_aldhhflgq51f98m3uk1m2p9e53/-FJPG/232367-001_DET_2.jpg;https://dd3ka9h4chfr8.cloudfront.net/image/725136000567/image_7dpga08fv940fb1c4i1svqap23/-FJPG/232367-001_BCK_1.jpg;https://dd3ka9h4chfr8.cloudfront.net/image/725136000567/image_qn3qj5j6rt2et0erkebrro9v28/-FJPG/232367-001_DET_1.jpg;https://dd3ka9h4chfr8.cloudfront.net/image/725136000567/image_9rg2o16o3p7b7636vmb9c5693s/-FJPG/232367-001_DET_3.jpg;https://dd3ka9h4chfr8.cloudfront.net/image/725136000567/image_nkjma2uh617t1blte06558e625/-FJPG/232367-001_OPN_1.jpg;https://dd3ka9h4chfr8.cloudfront.net/image/725136000567/image_7lb9bm3obt3dr70k5umff4jm6f/-FJPG/232367-001_DET_4.jpg;https://dd3ka9h4chfr8.cloudfront.net/image/725136000567/image_t8lv65ueoh4576nvmcrtjc6r4b/-FJPG/232367-001_DET_5.jpg;https://dd3ka9h4chfr8.cloudfront.net/image/725136000567/image_5l2cd82bch2jh01275illrd32t/-FJPG/232367-001_DET_6.jpg;https://dd3ka9h4chfr8.cloudfront.net/image/725136000567/image_abnnndhoet7nn48hhjr7kbnr6s/-FJPG/232367-001_DET_7.jpg</t>
  </si>
  <si>
    <t>Matte Brown Neem</t>
  </si>
  <si>
    <t>232367-001</t>
  </si>
  <si>
    <t>https://dd3ka9h4chfr8.cloudfront.net/image/725136000567/image_rbimldblq50mr1223qcnurcp16/-FJPG/232367-001_FRT_1.jpg</t>
  </si>
  <si>
    <t>["Solid Neem Wood"]</t>
  </si>
  <si>
    <t>Made from dark-finished neem native to India, Africa and other semi-tropical regions, chamfer detailing brings a linear, textured look to a storage-driven media console. Dual rear cutouts for cord management.</t>
  </si>
  <si>
    <t>{"value":184.64,"unit":"lb"}</t>
  </si>
  <si>
    <t>23.38"</t>
  </si>
  <si>
    <t>Tussac</t>
  </si>
  <si>
    <t>Two Tier Coffee Table</t>
  </si>
  <si>
    <t>https://dd3ka9h4chfr8.cloudfront.net/image/725136000567/image_ropgeri2r55spbnv7imb8d8f7g/-FJPG/236343-002_FRT_1.jpg;https://dd3ka9h4chfr8.cloudfront.net/image/725136000567/image_ne4ps8lohp5t71o44e19v2h710/-FJPG/236343-002_PRM_1.jpg;https://dd3ka9h4chfr8.cloudfront.net/image/725136000567/image_3uqe4miogt4iv1m10s7q884j7f/-FJPG/236343-002_SID_1.jpg;https://dd3ka9h4chfr8.cloudfront.net/image/725136000567/image_mk9r51gagp6vbfntmci63m2558/-FJPG/236343-002_ESS_1.tif;https://dd3ka9h4chfr8.cloudfront.net/image/725136000567/image_a5j840jmh511p0tnukdjhm014n/-FJPG/236343-002_DET_2.jpg;https://dd3ka9h4chfr8.cloudfront.net/image/725136000567/image_070tsc5jfl73dbhobp09f8r245/-FJPG/236343-002_DET_1.jpg;https://dd3ka9h4chfr8.cloudfront.net/image/725136000567/image_3i7bmfola913pcaa5ao9njjr5p/-FJPG/236343-002_DET_3.jpg;https://dd3ka9h4chfr8.cloudfront.net/image/725136000567/image_bmjgh4fvmd6815einr5himft0q/-FJPG/236343-002_TOP_1.jpg;https://dd3ka9h4chfr8.cloudfront.net/image/725136000567/image_ms66j94tpd30jf8cr5poljhd44/-FJPG/236343-002_DET_4.jpg;https://dd3ka9h4chfr8.cloudfront.net/image/725136000567/image_inmpg27ln513hdo47m5m291v5m/-FJPG/236343-002_DET_5.jpg;https://dd3ka9h4chfr8.cloudfront.net/image/725136000567/image_l5gh6odjo97kf0qt5078bdk636/-FJPG/236343-002_PRM_2.jpg</t>
  </si>
  <si>
    <t>236343-002</t>
  </si>
  <si>
    <t>https://dd3ka9h4chfr8.cloudfront.net/image/725136000567/image_ropgeri2r55spbnv7imb8d8f7g/-FJPG/236343-002_FRT_1.jpg</t>
  </si>
  <si>
    <t>Two tiers of mixed woods shape an airy yet substantial coffee table with options for storage and display.</t>
  </si>
  <si>
    <t>{"value":197.97,"unit":"lb"}</t>
  </si>
  <si>
    <t>Two Tier</t>
  </si>
  <si>
    <t>Two Tier End Table</t>
  </si>
  <si>
    <t>https://dd3ka9h4chfr8.cloudfront.net/image/725136000567/image_t76l98rklh2k31in8snts4sd17/-FJPG/236463-002_FRT_1.jpg;https://dd3ka9h4chfr8.cloudfront.net/image/725136000567/image_ung0ijbr8d4b5bk39iugmvsq70/-FJPG/236463-002_PRM_1.jpg;https://dd3ka9h4chfr8.cloudfront.net/image/725136000567/image_4n88qtpnp9423b84b4b8hk3e08/-FJPG/236463-002_SID_1.jpg;https://dd3ka9h4chfr8.cloudfront.net/image/725136000567/image_iiho0rmu851573l513b6qc2859/-FJPG/236463-002_DET_2.jpg;https://dd3ka9h4chfr8.cloudfront.net/image/725136000567/image_5giricdt596nndcp7u7f76nj5j/-FJPG/236463-002_BCK_1.jpg;https://dd3ka9h4chfr8.cloudfront.net/image/725136000567/image_45kktgu5sh019024k1acp3ed3p/-FJPG/236463-002_DET_1.jpg;https://dd3ka9h4chfr8.cloudfront.net/image/725136000567/image_2kvc5p97lt5136mkofi0g9j84e/-FJPG/236463-002_DET_3.jpg;https://dd3ka9h4chfr8.cloudfront.net/image/725136000567/image_gjab0aptap5afe9l4tuun2ro02/-FJPG/236463-002_TOP_1.jpg;https://dd3ka9h4chfr8.cloudfront.net/image/725136000567/image_7lk78d12k152f48tndd1imm502/-FJPG/236463-002_DET_4.jpg;https://dd3ka9h4chfr8.cloudfront.net/image/725136000567/image_e9qec9srtp2tb23sdt1u8bbm6t/-FJPG/FHMPRJ-008_SCENE_6.tif;https://dd3ka9h4chfr8.cloudfront.net/image/725136000567/image_5feqgbj9id5jtf472fmo9j3b26/-FJPG/236463-002_ESS.tif</t>
  </si>
  <si>
    <t>236463-002</t>
  </si>
  <si>
    <t>29.54</t>
  </si>
  <si>
    <t>https://dd3ka9h4chfr8.cloudfront.net/image/725136000567/image_t76l98rklh2k31in8snts4sd17/-FJPG/236463-002_FRT_1.jpg</t>
  </si>
  <si>
    <t>Two tiers of mixed woods shape an airy yet substantial-feeling end table that can be styled just about anywhere.</t>
  </si>
  <si>
    <t>Tybalt Swivel Chair</t>
  </si>
  <si>
    <t>https://dd3ka9h4chfr8.cloudfront.net/image/725136000567/image_asgeepbtfp0o17tve8g7m09b7e/-FJPG/231367-001_FRT_1.jpg;https://dd3ka9h4chfr8.cloudfront.net/image/725136000567/image_pel5q8e2010c53k3ue6aqn7d1n/-FJPG/231367-001_PRM_1.jpg;https://dd3ka9h4chfr8.cloudfront.net/image/725136000567/image_f0h98sp7vl1u77gjd0pbu0241b/-FJPG/231367-001_SID_1.jpg;https://dd3ka9h4chfr8.cloudfront.net/image/725136000567/image_fq090vdl956rfbli1258v67p7n/-FJPG/231367-001_ESS_1.jpg;https://dd3ka9h4chfr8.cloudfront.net/image/725136000567/image_9lp4lespr14sr7104cmmmm950i/-FJPG/231367-001_DET_2.jpg;https://dd3ka9h4chfr8.cloudfront.net/image/725136000567/image_nm8ujkkju51pn7g49ocmaljj3m/-FJPG/231367-001_BCK_1.jpg;https://dd3ka9h4chfr8.cloudfront.net/image/725136000567/image_lj5qqvs50t205cb8osk2tnfr2i/-FJPG/231367-001_DET_3.jpg;https://dd3ka9h4chfr8.cloudfront.net/image/725136000567/image_scf476i61p4h9f2o5oegb4ab1g/-FJPG/231367-001_DET_4.jpg;https://dd3ka9h4chfr8.cloudfront.net/image/725136000567/image_n73b19iknl6qv0govrtt92jq6d/-FJPG/231367-001_DET_5.jpg;https://dd3ka9h4chfr8.cloudfront.net/image/725136000567/image_7g5h0l7va1769br0o58sk90u0c/-FJPG/231367-001_DET_6.jpg</t>
  </si>
  <si>
    <t>231367-001</t>
  </si>
  <si>
    <t>https://dd3ka9h4chfr8.cloudfront.net/image/725136000567/image_asgeepbtfp0o17tve8g7m09b7e/-FJPG/231367-001_FRT_1.jpg</t>
  </si>
  <si>
    <t>Soft volume speaks to the European inspiration behind faux shearling-upholstered seating. A 360-degree swivel offers ease in any room.</t>
  </si>
  <si>
    <t>Tybalt</t>
  </si>
  <si>
    <t>Valen 6 Drawer Dresser</t>
  </si>
  <si>
    <t>https://dd3ka9h4chfr8.cloudfront.net/image/725136000567/image_plgaqme81d7gv7cqlfsceeqm0m/-FJPG/244511-002_FRT_1.jpg;https://dd3ka9h4chfr8.cloudfront.net/image/725136000567/image_6apao1lt512ln5p2rodv3h6g7r/-FJPG/244511-002_PRM_1.jpg;https://dd3ka9h4chfr8.cloudfront.net/image/725136000567/image_dsif1le91p2ef80aibt98h5t3u/-FJPG/244511-002_SID_1.jpg;https://dd3ka9h4chfr8.cloudfront.net/image/725136000567/image_bvkkrlel0d6rj64le8vh53o23u/-FJPG/244511-002_DET_2.jpg;https://dd3ka9h4chfr8.cloudfront.net/image/725136000567/image_edjl855hf50s7aume992f1sn7d/-FJPG/244511-002_BCK_1.jpg;https://dd3ka9h4chfr8.cloudfront.net/image/725136000567/image_0egdn3svql2qv2a91eakiq9c0r/-FJPG/244511-002_DET_1.jpg;https://dd3ka9h4chfr8.cloudfront.net/image/725136000567/image_9g8mvp1a6t72lasgcf99em077e/-FJPG/244511-002_DET_3.jpg;https://dd3ka9h4chfr8.cloudfront.net/image/725136000567/image_d6j4a6vb0p4t10353cq2b31v74/-FJPG/244511-002_OPN_1.jpg;https://dd3ka9h4chfr8.cloudfront.net/image/725136000567/image_r1f4e6uupl2st17tu411k2m27f/-FJPG/244511-002_TOP_1.jpg;https://dd3ka9h4chfr8.cloudfront.net/image/725136000567/image_q9ioivqpu12a1btq9fb74hvc70/-FJPG/244511-002_DET_4.jpg;https://dd3ka9h4chfr8.cloudfront.net/image/725136000567/image_1jap0lahfp48pavt8m04hnru5m/-FJPG/244511-002_DET_5.jpg;https://dd3ka9h4chfr8.cloudfront.net/image/725136000567/image_pqs24kicg919v2l73b9920tt68/-FJPG/244511-002_DET_6.jpg</t>
  </si>
  <si>
    <t>Rustic Brown Oak Veneer</t>
  </si>
  <si>
    <t>244511-002</t>
  </si>
  <si>
    <t>https://dd3ka9h4chfr8.cloudfront.net/image/725136000567/image_plgaqme81d7gv7cqlfsceeqm0m/-FJPG/244511-002_FRT_1.jpg</t>
  </si>
  <si>
    <t>Rustic Brown Oak Solid</t>
  </si>
  <si>
    <t>Made from solid oak with a rustic brown finish, a six-drawer dresser brings generous storage space to your bedroom collection, while mixing into a wide range of styles.</t>
  </si>
  <si>
    <t>{"value":316.36,"unit":"lb"}</t>
  </si>
  <si>
    <t>Valen</t>
  </si>
  <si>
    <t>30.20"</t>
  </si>
  <si>
    <t>Valen Console Table</t>
  </si>
  <si>
    <t>https://dd3ka9h4chfr8.cloudfront.net/image/725136000567/image_pbrqbi94bt4i3afopkoehs5i7m/-FJPG/244505-001_FRT_1.jpg;https://dd3ka9h4chfr8.cloudfront.net/image/725136000567/image_jo9hs0nmkt4hl18aohhu3mn60d/-FJPG/244505-001_PRM_1.jpg;https://dd3ka9h4chfr8.cloudfront.net/image/725136000567/image_so2ju531s1255430hd5f02552n/-FJPG/244505-001_SID_1.jpg;https://dd3ka9h4chfr8.cloudfront.net/image/725136000567/image_ictatavphd26r4jr6cie38rh58/-FJPG/244505-001_ESS.tif;https://dd3ka9h4chfr8.cloudfront.net/image/725136000567/image_bs1jpodvuh62p44vsq4mqtqs2h/-FJPG/244505-001_DET_2.jpg;https://dd3ka9h4chfr8.cloudfront.net/image/725136000567/image_gnjukmak891vt26j4aga9o0u1v/-FJPG/244505-001_DET_1.jpg;https://dd3ka9h4chfr8.cloudfront.net/image/725136000567/image_qoumuu3flt5rf13u1e9skuer66/-FJPG/244505-001_DET_3.jpg;https://dd3ka9h4chfr8.cloudfront.net/image/725136000567/image_f35f6arlf90oteu6l9v8p0me2a/-FJPG/244505-001_TOP_1.jpg;https://dd3ka9h4chfr8.cloudfront.net/image/725136000567/image_a1ofa5sgg103haull0ikte8m33/-FJPG/244505-001_DET_4.jpg;https://dd3ka9h4chfr8.cloudfront.net/image/725136000567/image_enuoulukkt5glcu48mun08167f/-FJPG/244505-001_DET_5.jpg;https://dd3ka9h4chfr8.cloudfront.net/image/725136000567/image_2fs47gs9gt49dcrhcjk68c264b/-FJPG/244505-001_DET_9.tif;https://dd3ka9h4chfr8.cloudfront.net/image/725136000567/image_258p5audop29deeou5ug8u0c1l/-FJPG/FHMPRJ-018_SCENE-5.tif;https://dd3ka9h4chfr8.cloudfront.net/image/725136000567/image_e6ln4j7uol3bv5g5limcr62r7p/-FJPG/FHMPRJ-018_SCENE-10.tif</t>
  </si>
  <si>
    <t>244505-001</t>
  </si>
  <si>
    <t>https://dd3ka9h4chfr8.cloudfront.net/image/725136000567/image_pbrqbi94bt4i3afopkoehs5i7m/-FJPG/244505-001_FRT_1.jpg</t>
  </si>
  <si>
    <t>Made from rustic brown oak, an open-style console table is streamlined while not short on presence, with its exaggerated cylinder legs and polished pill-shaped top.</t>
  </si>
  <si>
    <t>{"value":83.27,"unit":"in"}</t>
  </si>
  <si>
    <t>29.57"</t>
  </si>
  <si>
    <t>12.17"</t>
  </si>
  <si>
    <t>10.39"</t>
  </si>
  <si>
    <t>Valen Sideboard</t>
  </si>
  <si>
    <t>https://dd3ka9h4chfr8.cloudfront.net/image/725136000567/image_mi7kq4gmgl71reafe8c26sr74u/-FJPG/244497-001_FRT_1.jpg;https://dd3ka9h4chfr8.cloudfront.net/image/725136000567/image_nopnkj4g2t0af49g26noucum43/-FJPG/244497-001_PRM_1.jpg;https://dd3ka9h4chfr8.cloudfront.net/image/725136000567/image_9qqnq6rumt03b63tdklmbpl42i/-FJPG/244497-001_SID_1.jpg;https://dd3ka9h4chfr8.cloudfront.net/image/725136000567/image_dc96qjmdqd5rb1sdtit7lq3e3v/-FJPG/244497-001_ESS.tif;https://dd3ka9h4chfr8.cloudfront.net/image/725136000567/image_a9tiufafht2at6vsvuo4ccgr6e/-FJPG/244497-001_DET_2.jpg;https://dd3ka9h4chfr8.cloudfront.net/image/725136000567/image_1fh1jmi31h6oh413ch6pmumo18/-FJPG/244497-001_BCK_1.jpg;https://dd3ka9h4chfr8.cloudfront.net/image/725136000567/image_gs8kqd0ru936h24sv8v84oln50/-FJPG/244497-001_DET_1.jpg;https://dd3ka9h4chfr8.cloudfront.net/image/725136000567/image_4k0dgbkra95vh6knvfs6a6p249/-FJPG/244497-001_DET_3.jpg;https://dd3ka9h4chfr8.cloudfront.net/image/725136000567/image_rnbatflhc950rfdbk0pc9rv80g/-FJPG/244497-001_OPN_1.jpg;https://dd3ka9h4chfr8.cloudfront.net/image/725136000567/image_e76ls0dtml7el1kdbfn037gd1e/-FJPG/244497-001_TOP_1.jpg;https://dd3ka9h4chfr8.cloudfront.net/image/725136000567/image_4ptc78ftup7on86jhjijf5ef47/-FJPG/244497-001_DET_4.jpg;https://dd3ka9h4chfr8.cloudfront.net/image/725136000567/image_1v9u2dvi7l1s132ut50b78sq0g/-FJPG/244497-001_DET_5.jpg;https://dd3ka9h4chfr8.cloudfront.net/image/725136000567/image_kkb1d6ci2l3fh0b1k3vo4fnb71/-FJPG/244497-001_DET_6.jpg;https://dd3ka9h4chfr8.cloudfront.net/image/725136000567/image_b2t7uqpkc17h94mj6dq22p0c6c/-FJPG/244497-001_DET_9.tif;https://dd3ka9h4chfr8.cloudfront.net/image/725136000567/image_k4tvetbpad54d1uen7rqtf8m4c/-FJPG/FHMPRJ-018_SCENE_1.tif</t>
  </si>
  <si>
    <t>244497-001</t>
  </si>
  <si>
    <t>259.04</t>
  </si>
  <si>
    <t>https://dd3ka9h4chfr8.cloudfront.net/image/725136000567/image_mi7kq4gmgl71reafe8c26sr74u/-FJPG/244497-001_FRT_1.jpg</t>
  </si>
  <si>
    <t>Made from rustic brown oak, a spacious sideboard is streamlined while not short on presence, with its thick top, plinth base and oversized hardware.</t>
  </si>
  <si>
    <t>44.88"</t>
  </si>
  <si>
    <t>21.57"</t>
  </si>
  <si>
    <t>Vanna Sofa</t>
  </si>
  <si>
    <t>https://dd3ka9h4chfr8.cloudfront.net/image/725136000567/image_a5f5csdrjl4bjaqdk2dvblmh12/-FJPG/227148-002_FRT_1.jpg;https://dd3ka9h4chfr8.cloudfront.net/image/725136000567/image_eslslap8oh113dji7b504u6t2r/-FJPG/227148-002_PRM_1.jpg;https://dd3ka9h4chfr8.cloudfront.net/image/725136000567/image_48n7eokm0h6alb2d5igiqdqa26/-FJPG/227148-002_SID_1.jpg;https://dd3ka9h4chfr8.cloudfront.net/image/725136000567/image_vast75650l5gr3r7f8ll3ih656/-FJPG/227148-002_DET_2.jpg;https://dd3ka9h4chfr8.cloudfront.net/image/725136000567/image_52tq06mtpd7mh32isrfskhf10u/-FJPG/227148-002_BCK_1.jpg;https://dd3ka9h4chfr8.cloudfront.net/image/725136000567/image_9jpu0fp4ph7s37s79a3ocs8k54/-FJPG/227148-002_INF_1.jpg;https://dd3ka9h4chfr8.cloudfront.net/image/725136000567/image_9m6i7u7s8h76d0alqj0lqgcv4r/-FJPG/227148-002_DET_1.jpg;https://dd3ka9h4chfr8.cloudfront.net/image/725136000567/image_trifnmtj393evdk5a0k0hs6g7n/-FJPG/227148-002_DET_3.jpg;https://dd3ka9h4chfr8.cloudfront.net/image/725136000567/image_13itk0f5ql7it302u1im36fj32/-FJPG/227148-002_DET_4.jpg;https://dd3ka9h4chfr8.cloudfront.net/image/725136000567/image_n2ch7qeh9p33f72fj7rrini44d/-FJPG/227148-002_DET_5.jpg;https://dd3ka9h4chfr8.cloudfront.net/image/725136000567/image_mgdt0q37a50alfaildbcpqbk54/-FJPG/227148-002_DET_6.jpg;https://dd3ka9h4chfr8.cloudfront.net/image/725136000567/image_rmp8rgn8ch16bc0ani0llidk47/-FJPG/227148-002_DET_7.jpg</t>
  </si>
  <si>
    <t>227148-002</t>
  </si>
  <si>
    <t>https://dd3ka9h4chfr8.cloudfront.net/image/725136000567/image_a5f5csdrjl4bjaqdk2dvblmh12/-FJPG/227148-002_FRT_1.jpg</t>
  </si>
  <si>
    <t>["95% Polyester","5% Acrylic","Iron"]</t>
  </si>
  <si>
    <t>Carbon Ebony</t>
  </si>
  <si>
    <t>Plush and modern-minded. Atop an airy, ebony-finished iron base, thick, boucle-like upholstery features clean, angular track arms and comfy cushioning, for the best of both worlds.</t>
  </si>
  <si>
    <t>{"value":139.77,"unit":"lb"}</t>
  </si>
  <si>
    <t>65.50"</t>
  </si>
  <si>
    <t>Vanna</t>
  </si>
  <si>
    <t>https://dd3ka9h4chfr8.cloudfront.net/image/725136000567/image_d3fr8lfv391ht7bq4fsmed8v4r/-FJPG/227148-003_FRT_1.jpg;https://dd3ka9h4chfr8.cloudfront.net/image/725136000567/image_25vo89prut6ap4ln8n8ajl2s5d/-FJPG/227148-003_PRM_1.jpg;https://dd3ka9h4chfr8.cloudfront.net/image/725136000567/image_0h1k3mtvo10b31h5iuk7eakc0b/-FJPG/227148-003_SID_1.jpg;https://dd3ka9h4chfr8.cloudfront.net/image/725136000567/image_43ok3c9u7p4gb19mmumdlhsv0d/-FJPG/227148-003_ESS_1.jpg;https://dd3ka9h4chfr8.cloudfront.net/image/725136000567/image_lb2rmcbrhd3tbcums5puevok0o/-FJPG/227148-003_DET_2.jpg;https://dd3ka9h4chfr8.cloudfront.net/image/725136000567/image_9j4ta3gjt105t5dr1gkcjorq68/-FJPG/227148-003_BCK_1.jpg;https://dd3ka9h4chfr8.cloudfront.net/image/725136000567/image_opccq0ftap1qt082rog4ivsa2k/-FJPG/227148-003_DET_1.jpg;https://dd3ka9h4chfr8.cloudfront.net/image/725136000567/image_6e85l3me4h6rt63595mipthn4o/-FJPG/227148-003_DET_3.jpg;https://dd3ka9h4chfr8.cloudfront.net/image/725136000567/image_e6382ksfb131lcdnefnn4ns32c/-FJPG/227148-003_DET_4.jpg;https://dd3ka9h4chfr8.cloudfront.net/image/725136000567/image_dfsduivgs50s5817bb11ooro33/-FJPG/227148-003_DET_5.jpg;https://dd3ka9h4chfr8.cloudfront.net/image/725136000567/image_g5njtok3et2f1bu6kh7d427q64/-FJPG/227148-003_DET_6.jpg;https://dd3ka9h4chfr8.cloudfront.net/image/725136000567/image_u7auukmkqd2ht494tqbkj3lk3g/-FJPG/227148-003_DET_7.jpg</t>
  </si>
  <si>
    <t>Umber Pewter</t>
  </si>
  <si>
    <t>227148-003</t>
  </si>
  <si>
    <t>https://dd3ka9h4chfr8.cloudfront.net/image/725136000567/image_d3fr8lfv391ht7bq4fsmed8v4r/-FJPG/227148-003_FRT_1.jpg</t>
  </si>
  <si>
    <t>Brushed Slate</t>
  </si>
  <si>
    <t>Plush and modern-minded. Atop an airy, slate-brushed iron base, grey top-grain leather features clean, angular track arms and comfy cushioning, for the best of both worlds.</t>
  </si>
  <si>
    <t>Veta Sideboard</t>
  </si>
  <si>
    <t>https://dd3ka9h4chfr8.cloudfront.net/image/725136000567/image_e1sqs8d59p181cnhavgjvqkd42/-FJPG/230334-002_FRT_1.jpg;https://dd3ka9h4chfr8.cloudfront.net/image/725136000567/image_fetlfk1d1t5gjafctooj8o5a3q/-FJPG/230334-002_PRM_1.jpg;https://dd3ka9h4chfr8.cloudfront.net/image/725136000567/image_5ejbb1tqq53cv25rcjk9864m4s/-FJPG/230334-002_SID_1.jpg;https://dd3ka9h4chfr8.cloudfront.net/image/725136000567/image_iti0o6d1hl3f12ihosv28opv44/-FJPG/230334-002_ESS_1.jpg;https://dd3ka9h4chfr8.cloudfront.net/image/725136000567/image_qv8fnblcjd0bdef02glebh0n7u/-FJPG/230334-002_DET_2.jpg;https://dd3ka9h4chfr8.cloudfront.net/image/725136000567/image_ifkoqtl87h0krdtokkfs82u31n/-FJPG/230334-002_BCK_1.jpg;https://dd3ka9h4chfr8.cloudfront.net/image/725136000567/image_pqjoidiatp5ah0ol9r43u88o1e/-FJPG/230334-002_DET_1.jpg;https://dd3ka9h4chfr8.cloudfront.net/image/725136000567/image_g7kdedqhv10a3bgpdgmr907m3f/-FJPG/230334-002_DET_3.jpg;https://dd3ka9h4chfr8.cloudfront.net/image/725136000567/image_cgnumbj3td11155m6ngma09537/-FJPG/230334-002_OPN_1.jpg;https://dd3ka9h4chfr8.cloudfront.net/image/725136000567/image_jkb766rrrl4bpbgjd3mk3d627i/-FJPG/230334-002_DET_4.jpg;https://dd3ka9h4chfr8.cloudfront.net/image/725136000567/image_m0s603f61t6qrd4cuh5pp2o13g/-FJPG/230334-002_DET_5.jpg;https://dd3ka9h4chfr8.cloudfront.net/image/725136000567/image_d4o02et2od77l3jsbulqnnt36v/-FJPG/230334-002_DET_6.jpg;https://dd3ka9h4chfr8.cloudfront.net/image/725136000567/image_54dc40bv7l3bhce3t2eq3n6q66/-FJPG/230334-002_DET_7.jpg;https://dd3ka9h4chfr8.cloudfront.net/image/725136000567/image_uj1o1mb42l2853i9o3andrn85n/-FJPG/230334-002_DET_8.jpg;https://dd3ka9h4chfr8.cloudfront.net/image/725136000567/image_gbckr4ouit23vaqsopicsek32g/-FJPG/230334-002_DET_9.jpg;https://dd3ka9h4chfr8.cloudfront.net/image/725136000567/image_9n71lmt3215g70p1dut5hfar0r/-FJPG/230334-002_DET_10.jpg</t>
  </si>
  <si>
    <t>Black Wash Mango</t>
  </si>
  <si>
    <t>230334-002</t>
  </si>
  <si>
    <t>134.92</t>
  </si>
  <si>
    <t>https://dd3ka9h4chfr8.cloudfront.net/image/725136000567/image_e1sqs8d59p181cnhavgjvqkd42/-FJPG/230334-002_FRT_1.jpg</t>
  </si>
  <si>
    <t>Leighton</t>
  </si>
  <si>
    <t>A modern weave pattern refreshes an ever-trending material. Solid mango encases cane door fronts with a black finish and textural basket weave. Dowel legs separate from casing for a float-like look. Spacious interior perfect for storing table linens and serve ware.</t>
  </si>
  <si>
    <t>Veta</t>
  </si>
  <si>
    <t>Viggo 6 Drawer Dresser</t>
  </si>
  <si>
    <t>https://dd3ka9h4chfr8.cloudfront.net/image/725136000567/image_l154spnq9t5k1faia7hghic96i/-FJPG/223978-001_FRT_1.jpg;https://dd3ka9h4chfr8.cloudfront.net/image/725136000567/image_h4lpbt2ps1735chmr2h6pc717i/-FJPG/223978-001_PRM_1.jpg;https://dd3ka9h4chfr8.cloudfront.net/image/725136000567/image_72nsst8i0d58901rh8r59f9003/-FJPG/223978-001_SID_1.jpg;https://dd3ka9h4chfr8.cloudfront.net/image/725136000567/image_1sqpgu3bil3hv8og0447i36m42/-FJPG/223978-001_ESS_1.jpg;https://dd3ka9h4chfr8.cloudfront.net/image/725136000567/image_9flfev7qbd2dn6kbt1vlh1o87g/-FJPG/223978-001_DET_2.jpg;https://dd3ka9h4chfr8.cloudfront.net/image/725136000567/image_1koqckjf8p1ch15rmgcoclbl6s/-FJPG/223978-001_BCK_1.jpg;https://dd3ka9h4chfr8.cloudfront.net/image/725136000567/image_b70cgdaes13458s4ureu541b1p/-FJPG/223978-001_DET_1.jpg;https://dd3ka9h4chfr8.cloudfront.net/image/725136000567/image_gpjhe722bl31dcp0erslqjr85l/-FJPG/223978-001_DET_3.jpg;https://dd3ka9h4chfr8.cloudfront.net/image/725136000567/image_b0o58gkc5l201e1t26ha8c5s6q/-FJPG/223978-001_OPN_1.jpg;https://dd3ka9h4chfr8.cloudfront.net/image/725136000567/image_r1ofkjgb511p72rnce8iq5up76/-FJPG/223978-001_TOP_1.jpg;https://dd3ka9h4chfr8.cloudfront.net/image/725136000567/image_e21p3n59a56vl5vtr858gc1j16/-FJPG/223978-001_DET_4.jpg;https://dd3ka9h4chfr8.cloudfront.net/image/725136000567/image_qnvm6ip6gd16fag9pu2be7b85j/-FJPG/223978-001_DET_5.jpg;https://dd3ka9h4chfr8.cloudfront.net/image/725136000567/image_mjmoicg02d26j7s9d23648jp47/-FJPG/223978-001_DET_6.jpg;https://dd3ka9h4chfr8.cloudfront.net/image/725136000567/image_jld45mpj393f10bn9tet2piv3g/-FJPG/223978-001_DET_7.jpg</t>
  </si>
  <si>
    <t>Vintage White Oak</t>
  </si>
  <si>
    <t>223978-001</t>
  </si>
  <si>
    <t>https://dd3ka9h4chfr8.cloudfront.net/image/725136000567/image_l154spnq9t5k1faia7hghic96i/-FJPG/223978-001_FRT_1.jpg</t>
  </si>
  <si>
    <t>Vintage White Oak Solid</t>
  </si>
  <si>
    <t>Vintage white oak is finished with a dry hand for a light look, while a top of white Italian marble offers a sophisticated material mix. Six spacious drawers bring generous storage space to the bedroom. This item has been modified to comply with the STURDY Act. See a full list of modified products and data changes in the â€œSTURDY Actâ€_x009d_ file in the Downloads section below.</t>
  </si>
  <si>
    <t>Marble Top</t>
  </si>
  <si>
    <t>{"value":22.72,"unit":"in"}</t>
  </si>
  <si>
    <t>Viggo</t>
  </si>
  <si>
    <t>Viola Accent Table</t>
  </si>
  <si>
    <t>https://dd3ka9h4chfr8.cloudfront.net/image/725136000567/image_fjoh2o8oqh5fb35cv6ju6e5508/-FJPG/224056-001_FRT_1.jpg;https://dd3ka9h4chfr8.cloudfront.net/image/725136000567/image_ptq55t3l4d1bta50aia2kub16v/-FJPG/224056-001_PRM_1.jpg;https://dd3ka9h4chfr8.cloudfront.net/image/725136000567/image_f3teuri9j15jj95cn8bjkcs70e/-FJPG/224056-001_DET_2.jpg;https://dd3ka9h4chfr8.cloudfront.net/image/725136000567/image_icei6fp0r158t5rnbteoi04s57/-FJPG/224056-001_DET_1.jpg;https://dd3ka9h4chfr8.cloudfront.net/image/725136000567/image_fhmhtl43rl21903313c5hlk56h/-FJPG/224056-001_DET_3.jpg;https://dd3ka9h4chfr8.cloudfront.net/image/725136000567/image_q87gg0mor12otb2ecb8fbr3f6k/-FJPG/224056-001_TOP_1.jpg;https://dd3ka9h4chfr8.cloudfront.net/image/725136000567/image_nkkr51ang120f4h94cb7fdqj70/-FJPG/224056-001_DET_4.jpg;https://dd3ka9h4chfr8.cloudfront.net/image/725136000567/image_cu7tboa5gd071ammicv3mgjm3f/-FJPG/224056-001_ESS_3.jpg</t>
  </si>
  <si>
    <t>Antique White Marble</t>
  </si>
  <si>
    <t>224056-001</t>
  </si>
  <si>
    <t>29.1</t>
  </si>
  <si>
    <t>https://dd3ka9h4chfr8.cloudfront.net/image/725136000567/image_fjoh2o8oqh5fb35cv6ju6e5508/-FJPG/224056-001_FRT_1.jpg</t>
  </si>
  <si>
    <t>18.75</t>
  </si>
  <si>
    <t>Layer in sophistication anywhere. A dramatically shaped base of white antique marble supports slim iron piping and rounded tray-style tabletop - the perfect place to perch a drink or favorite book.</t>
  </si>
  <si>
    <t>{"value":40.01,"unit":"lb"}</t>
  </si>
  <si>
    <t>Viola</t>
  </si>
  <si>
    <t>https://dd3ka9h4chfr8.cloudfront.net/image/725136000567/image_vievgnmua53j581margv3bmc00/-FJPG/224056-003_PRM_1.jpg;https://dd3ka9h4chfr8.cloudfront.net/image/725136000567/image_e5q27l74f56pj90l652non2r5g/-FJPG/224056-003_ESS_1.jpg;https://dd3ka9h4chfr8.cloudfront.net/image/725136000567/image_rlhdes78v51gja91m5klkrcu6t/-FJPG/224056-003_DET_2.jpg;https://dd3ka9h4chfr8.cloudfront.net/image/725136000567/image_udn9pkrop10bjbtsms716obc46/-FJPG/224056-003_DET_1.jpg;https://dd3ka9h4chfr8.cloudfront.net/image/725136000567/image_4i93sjrn5d62152g7vgqmbis2u/-FJPG/224056-003_DET_3.jpg;https://dd3ka9h4chfr8.cloudfront.net/image/725136000567/image_586d78m3h952d274vqqh6giv50/-FJPG/224056-003_DET_4.jpg;https://dd3ka9h4chfr8.cloudfront.net/image/725136000567/image_phic6pg56t0bp0hn5qaf2ett2i/-FJPG/224056-003_DET_5.jpg</t>
  </si>
  <si>
    <t>224056-003</t>
  </si>
  <si>
    <t>https://dd3ka9h4chfr8.cloudfront.net/image/725136000567/image_vievgnmua53j581margv3bmc00/-FJPG/224056-003_PRM_1.jpg</t>
  </si>
  <si>
    <t>Layer in a sculptural element anywhere. A dramatically shaped base of black marble supports slim iron piping and rounded tray-style tabletop - the perfect place to perch a drink or favorite book.</t>
  </si>
  <si>
    <t>https://dd3ka9h4chfr8.cloudfront.net/image/725136000567/image_5uslqqbt5d4ml4663167gid93e/-FJPG/224056-004_PRM_1.jpg;https://dd3ka9h4chfr8.cloudfront.net/image/725136000567/image_15rnoo3a8d5u9em7ci2mgtct32/-FJPG/224056-004_ESS_1.jpg;https://dd3ka9h4chfr8.cloudfront.net/image/725136000567/image_6c9qs7cf5d28f5mu4cg5glv46g/-FJPG/224056-004_DET_1.jpg;https://dd3ka9h4chfr8.cloudfront.net/image/725136000567/image_vrvdadj4ih4opfg6eitvibbi25/-FJPG/224056-004_DET_3.jpg;https://dd3ka9h4chfr8.cloudfront.net/image/725136000567/image_84s136pf9d5h5b8qg1oag13i33/-FJPG/224056-004_TOP_1.jpg;https://dd3ka9h4chfr8.cloudfront.net/image/725136000567/image_bicslsou3l1btfpv6372u27a0t/-FJPG/224056-004_DET_4.jpg;https://dd3ka9h4chfr8.cloudfront.net/image/725136000567/image_20njgnbhq923namle1g1m91b21/-FJPG/224056-004_DET_5.jpg;https://dd3ka9h4chfr8.cloudfront.net/image/725136000567/image_p5utj5jg9p3kr23f8u6ij5a373/-FJPG/224056-004_DET_6.jpg</t>
  </si>
  <si>
    <t>Merlot Marble</t>
  </si>
  <si>
    <t>224056-004</t>
  </si>
  <si>
    <t>https://dd3ka9h4chfr8.cloudfront.net/image/725136000567/image_5uslqqbt5d4ml4663167gid93e/-FJPG/224056-004_PRM_1.jpg</t>
  </si>
  <si>
    <t>https://dd3ka9h4chfr8.cloudfront.net/image/725136000567/image_0ue4lkeiht55lbn435l2pdiv5k/-FJPG/224056-005_PRM_1.jpg;https://dd3ka9h4chfr8.cloudfront.net/image/725136000567/image_l6uu3icapp1bd6rtfr0c6b9p4m/-FJPG/224056-005_ESS_1.jpg;https://dd3ka9h4chfr8.cloudfront.net/image/725136000567/image_rgqg6gngc16mp87m9tn8t1dh1l/-FJPG/224056-005_DET_2.jpg;https://dd3ka9h4chfr8.cloudfront.net/image/725136000567/image_09m6p9m0ut3j9b54rl0etpuq4v/-FJPG/224056-005_DET_1.jpg;https://dd3ka9h4chfr8.cloudfront.net/image/725136000567/image_b932jdsead0bla25pniq8van23/-FJPG/224056-005_DET_3.jpg;https://dd3ka9h4chfr8.cloudfront.net/image/725136000567/image_rle38thoap0pn17fm67r41mi14/-FJPG/224056-005_TOP_1.jpg;https://dd3ka9h4chfr8.cloudfront.net/image/725136000567/image_gof4lru0511on006r5bfktim1i/-FJPG/224056-005_DET_4.jpg;https://dd3ka9h4chfr8.cloudfront.net/image/725136000567/image_ufiir4kh3t0p78r2a0mk845b42/-FJPG/224056-005_ESS_2.jpg</t>
  </si>
  <si>
    <t>224056-005</t>
  </si>
  <si>
    <t>https://dd3ka9h4chfr8.cloudfront.net/image/725136000567/image_0ue4lkeiht55lbn435l2pdiv5k/-FJPG/224056-005_PRM_1.jpg</t>
  </si>
  <si>
    <t>Layer in a sculptural element anywhere. A dramatically shaped base of polished white marble supports slim iron piping and rounded tray-style tabletop - the perfect place to perch a drink or favorite book.</t>
  </si>
  <si>
    <t>Warby 6 Drawer Dresser</t>
  </si>
  <si>
    <t>https://dd3ka9h4chfr8.cloudfront.net/image/725136000567/image_g4aa7970m16un9qommf817a62v/-FJPG/235361-002_FRT_1.jpg;https://dd3ka9h4chfr8.cloudfront.net/image/725136000567/image_0ibc0cdib57hf04v6341gmo64d/-FJPG/235361-002_PRM_1.jpg;https://dd3ka9h4chfr8.cloudfront.net/image/725136000567/image_9s2tu83qn918f3cgp2trgpn31n/-FJPG/235361-002_SID_1.jpg;https://dd3ka9h4chfr8.cloudfront.net/image/725136000567/image_0hnv0f3bdd1v56b1d7cs0vrc09/-FJPG/235361-002_DET_2.jpg;https://dd3ka9h4chfr8.cloudfront.net/image/725136000567/image_6qeka673e120j0h6beerpvng4u/-FJPG/235361-002_BCK_1.jpg;https://dd3ka9h4chfr8.cloudfront.net/image/725136000567/image_8ssghak97549p33vbu995fr31c/-FJPG/235361-002_DET_1.jpg;https://dd3ka9h4chfr8.cloudfront.net/image/725136000567/image_ejillcsdv93a5da5d032sp6r33/-FJPG/235361-002_DET_3.jpg;https://dd3ka9h4chfr8.cloudfront.net/image/725136000567/image_hmlnnvl5n145d21odc6194ks1o/-FJPG/235361-002_OPN_1.jpg;https://dd3ka9h4chfr8.cloudfront.net/image/725136000567/image_8hd96frfe55ct52dhg5oogs35e/-FJPG/235361-002_TOP_1.jpg;https://dd3ka9h4chfr8.cloudfront.net/image/725136000567/image_81mon0bud911vb5k0dhs248p46/-FJPG/235361-002_DET_4.jpg;https://dd3ka9h4chfr8.cloudfront.net/image/725136000567/image_pbq60feokt6t32oog45t7a8g3n/-FJPG/235361-002_DET_5.jpg;https://dd3ka9h4chfr8.cloudfront.net/image/725136000567/image_1lmed4jpm52dv59q5lg8b3k75o/-FJPG/235361-002_DET_9.tif;https://dd3ka9h4chfr8.cloudfront.net/image/725136000567/image_lk58fmlm6l6373f827bmh7887s/-FJPG/235361-002_ESS.tif;https://dd3ka9h4chfr8.cloudfront.net/image/725136000567/image_ghvr6gde9p6uj82kc9a4nugt0p/-FJPG/235361-002_PRM_2.jpg</t>
  </si>
  <si>
    <t>235361-002</t>
  </si>
  <si>
    <t>271.17</t>
  </si>
  <si>
    <t>https://dd3ka9h4chfr8.cloudfront.net/image/725136000567/image_g4aa7970m16un9qommf817a62v/-FJPG/235361-002_FRT_1.jpg</t>
  </si>
  <si>
    <t>Worn oak shapes a streamlined box-style dresser, with lap joint corners for a detail-driven touch.</t>
  </si>
  <si>
    <t>{"value":315.26,"unit":"lb"}</t>
  </si>
  <si>
    <t>Warby</t>
  </si>
  <si>
    <t>Warby Coffee Table</t>
  </si>
  <si>
    <t>https://dd3ka9h4chfr8.cloudfront.net/image/725136000567/image_qj22ta4mol21jf9um4etumh76k/-FJPG/235178-003_FRT_1.jpg;https://dd3ka9h4chfr8.cloudfront.net/image/725136000567/image_g2029r9h1h7pnefqr6phmcga6o/-FJPG/235178-003_PRM_1.jpg;https://dd3ka9h4chfr8.cloudfront.net/image/725136000567/image_n09utsqnq9449drkbl2cth9i44/-FJPG/235178-003_SID_1.jpg;https://dd3ka9h4chfr8.cloudfront.net/image/725136000567/image_l8v506adeh4k9de6vo61nnsn70/-FJPG/235178-003_ESS_1.tif;https://dd3ka9h4chfr8.cloudfront.net/image/725136000567/image_7b042ugru529p0dukri5tp085h/-FJPG/235178-003_DET_2.jpg;https://dd3ka9h4chfr8.cloudfront.net/image/725136000567/image_9nin16242l2s705pbegdksn43a/-FJPG/235178-003_BCK_1.jpg;https://dd3ka9h4chfr8.cloudfront.net/image/725136000567/image_8cn4akfem55l951lmb1ohgos2e/-FJPG/235178-003_DET_1.jpg;https://dd3ka9h4chfr8.cloudfront.net/image/725136000567/image_ft5n095p1t2th5bbb6obdcml3s/-FJPG/235178-003_DET_3.jpg;https://dd3ka9h4chfr8.cloudfront.net/image/725136000567/image_aifbtitefp6frf40uk3ci2vt2l/-FJPG/235178-003_TOP_1.jpg;https://dd3ka9h4chfr8.cloudfront.net/image/725136000567/image_8om583h66d13r2te46s8mrgk1n/-FJPG/235178-003_DET_4.jpg</t>
  </si>
  <si>
    <t>Worn Black Veneer</t>
  </si>
  <si>
    <t>235178-003</t>
  </si>
  <si>
    <t>https://dd3ka9h4chfr8.cloudfront.net/image/725136000567/image_qj22ta4mol21jf9um4etumh76k/-FJPG/235178-003_FRT_1.jpg</t>
  </si>
  <si>
    <t>Worn Black Oak</t>
  </si>
  <si>
    <t>Black-finished oak shapes a streamlined coffee table with a rich while minimalist look.</t>
  </si>
  <si>
    <t>{"value":147.26,"unit":"lb"}</t>
  </si>
  <si>
    <t>https://dd3ka9h4chfr8.cloudfront.net/image/725136000567/image_omiocr8ggt1ifcmvfehjip4i7c/-FJPG/235178-002_FRT_1.jpg;https://dd3ka9h4chfr8.cloudfront.net/image/725136000567/image_5viq0ap7u12pt4onvl5n51am7s/-FJPG/235178-002_PRM_1.jpg;https://dd3ka9h4chfr8.cloudfront.net/image/725136000567/image_rdgl8m46pt23905p6q2hmt234m/-FJPG/235178-002_SID_1.jpg;https://dd3ka9h4chfr8.cloudfront.net/image/725136000567/image_1vtg6bqar961v31ho0gei6q044/-FJPG/235178-002_ESS_1.tif;https://dd3ka9h4chfr8.cloudfront.net/image/725136000567/image_iu4tcs5peh33hfd6rlcp4m2e1i/-FJPG/235178-002_DET_2.jpg;https://dd3ka9h4chfr8.cloudfront.net/image/725136000567/image_doq2bvf5kt6q18nicgg164dm1v/-FJPG/235178-002_BCK_1.jpg;https://dd3ka9h4chfr8.cloudfront.net/image/725136000567/image_08cdtp3pf140p823f7pequpv1d/-FJPG/235178-002_DET_1.jpg;https://dd3ka9h4chfr8.cloudfront.net/image/725136000567/image_r17qiijtk56794be6p57533s60/-FJPG/235178-002_DET_3.jpg;https://dd3ka9h4chfr8.cloudfront.net/image/725136000567/image_523mn1b26p517fv2ik8fi0m81p/-FJPG/235178-002_TOP_1.jpg;https://dd3ka9h4chfr8.cloudfront.net/image/725136000567/image_hsg85siu7t7or5o8cro6t5a36p/-FJPG/235178-002_TOP.jpg;https://dd3ka9h4chfr8.cloudfront.net/image/725136000567/image_76tgdln7i13dn6gg49njpslf18/-FJPG/235178-002_DET_4.jpg;https://dd3ka9h4chfr8.cloudfront.net/image/725136000567/image_jq4su9oeq517f6t11phacpph7g/-FJPG/235178-002_DET_5.jpg;https://dd3ka9h4chfr8.cloudfront.net/image/725136000567/image_9sj8qq4f0d42jc40m27blbm27v/-FJPG/235178-002_DET_9.tif</t>
  </si>
  <si>
    <t>235178-002</t>
  </si>
  <si>
    <t>https://dd3ka9h4chfr8.cloudfront.net/image/725136000567/image_omiocr8ggt1ifcmvfehjip4i7c/-FJPG/235178-002_FRT_1.jpg</t>
  </si>
  <si>
    <t>Light, worn oak shapes a streamlined coffee table with a naturally minimalist look.</t>
  </si>
  <si>
    <t>Warby Console Table</t>
  </si>
  <si>
    <t>https://dd3ka9h4chfr8.cloudfront.net/image/725136000567/image_g52aqatb6p0slcs0q66j3dnc7c/-FJPG/235177-003_FRT_1.jpg;https://dd3ka9h4chfr8.cloudfront.net/image/725136000567/image_jcaeurqaa54mb5uke6ofjupd54/-FJPG/235177-003_PRM_1.jpg;https://dd3ka9h4chfr8.cloudfront.net/image/725136000567/image_rm2lcpu8214hn4qcmb2c17o94d/-FJPG/235177-003_SID_1.jpg;https://dd3ka9h4chfr8.cloudfront.net/image/725136000567/image_qaefl89m1p3r33f2gd432abl63/-FJPG/235177-003_ESS.tif;https://dd3ka9h4chfr8.cloudfront.net/image/725136000567/image_jl22m7qaft5gfbmdh2vug08q4q/-FJPG/235177-003_DET_2.jpg;https://dd3ka9h4chfr8.cloudfront.net/image/725136000567/image_itonh5igst5g78g2j4dhkmbo52/-FJPG/235177-003_BCK_1.jpg;https://dd3ka9h4chfr8.cloudfront.net/image/725136000567/image_bk5lrie0vd0tt331e1s21og66h/-FJPG/235177-003_DET_1.jpg;https://dd3ka9h4chfr8.cloudfront.net/image/725136000567/image_lhiroq2ev1153borjiolainb0v/-FJPG/235177-003_DET_3.jpg</t>
  </si>
  <si>
    <t>235177-003</t>
  </si>
  <si>
    <t>97.88</t>
  </si>
  <si>
    <t>https://dd3ka9h4chfr8.cloudfront.net/image/725136000567/image_g52aqatb6p0slcs0q66j3dnc7c/-FJPG/235177-003_FRT_1.jpg</t>
  </si>
  <si>
    <t>Black-finished oak shapes a streamlined console table with a clean, minimalist look.</t>
  </si>
  <si>
    <t>{"value":10.5,"unit":"in"}</t>
  </si>
  <si>
    <t>https://dd3ka9h4chfr8.cloudfront.net/image/725136000567/image_h5t3vm22sd3hd10ilnu0065a0c/-FJPG/235177-002_FRT_1.jpg;https://dd3ka9h4chfr8.cloudfront.net/image/725136000567/image_kso447e3et2kj02kr3sgotdu4s/-FJPG/235177-002_PRM_1.jpg;https://dd3ka9h4chfr8.cloudfront.net/image/725136000567/image_bqovupk3nd33t54v406rc4n80p/-FJPG/235177-002_SID_1.jpg;https://dd3ka9h4chfr8.cloudfront.net/image/725136000567/image_ptbma781pl7afd2634m39f972t/-FJPG/235177-002_ESS_1.tif;https://dd3ka9h4chfr8.cloudfront.net/image/725136000567/image_5pho4ug2dp18f60q9q2j961u5a/-FJPG/235177-002_DET_2.jpg;https://dd3ka9h4chfr8.cloudfront.net/image/725136000567/image_rc93cemq111e79qmmct3q76d1k/-FJPG/235177-002_DET_1.jpg;https://dd3ka9h4chfr8.cloudfront.net/image/725136000567/image_9ctnscvfpl3gf2g46e7a5u0f6j/-FJPG/235177-002_DET_3.jpg;https://dd3ka9h4chfr8.cloudfront.net/image/725136000567/image_u1i8ob3mnh0l5emhu0itfs3t3s/-FJPG/235177-002_TOP_1.jpg;https://dd3ka9h4chfr8.cloudfront.net/image/725136000567/image_51gv4lm95969fbgq67ejqbae6g/-FJPG/235177-002_DET_4.jpg;https://dd3ka9h4chfr8.cloudfront.net/image/725136000567/image_oamt6i9pul41pavaveijg2bt40/-FJPG/235177-002_DET_9.tif</t>
  </si>
  <si>
    <t>235177-002</t>
  </si>
  <si>
    <t>https://dd3ka9h4chfr8.cloudfront.net/image/725136000567/image_h5t3vm22sd3hd10ilnu0065a0c/-FJPG/235177-002_FRT_1.jpg</t>
  </si>
  <si>
    <t>Worn oak shapes a streamlined console table with a naturally minimalist look.</t>
  </si>
  <si>
    <t>Warby Desk</t>
  </si>
  <si>
    <t>https://dd3ka9h4chfr8.cloudfront.net/image/725136000567/image_t7cec5v9fh2593hm7qn35sdu1o/-FJPG/235179-002_FRT_1.jpg;https://dd3ka9h4chfr8.cloudfront.net/image/725136000567/image_fei47iv1k53o14def96ek1lf1m/-FJPG/235179-002_PRM_1.jpg;https://dd3ka9h4chfr8.cloudfront.net/image/725136000567/image_lb8r5pahop1p5d6pu478m8d76m/-FJPG/235179-002_SID_1.jpg;https://dd3ka9h4chfr8.cloudfront.net/image/725136000567/image_nfopgbp3nt79h4amtc9efo7k52/-FJPG/235179-002_ESS_1.tif;https://dd3ka9h4chfr8.cloudfront.net/image/725136000567/image_afls7li805459em8ooi5m4u36r/-FJPG/235179-002_DET_2.jpg;https://dd3ka9h4chfr8.cloudfront.net/image/725136000567/image_1uvgqtr07h2if7cqjj6jcede3p/-FJPG/235179-002_BCK_1.jpg;https://dd3ka9h4chfr8.cloudfront.net/image/725136000567/image_ol98ftk3b13jb45equhnfc510s/-FJPG/235179-002_DET_1.jpg;https://dd3ka9h4chfr8.cloudfront.net/image/725136000567/image_8fdh44i4fl6mbf9ni9lqn26r40/-FJPG/235179-002_DET_3.jpg;https://dd3ka9h4chfr8.cloudfront.net/image/725136000567/image_9rd7iaej357opejeneaojt0e4o/-FJPG/235179-002_TOP_1.jpg;https://dd3ka9h4chfr8.cloudfront.net/image/725136000567/image_narksv5sop7ohagtakvuoihc35/-FJPG/235179-002_DET_9.tif;https://dd3ka9h4chfr8.cloudfront.net/image/725136000567/image_9v8jcj8tul4hf72gobiudqu61h/-FJPG/235179-002_PRM_2.jpg</t>
  </si>
  <si>
    <t>235179-002</t>
  </si>
  <si>
    <t>200.61</t>
  </si>
  <si>
    <t>https://dd3ka9h4chfr8.cloudfront.net/image/725136000567/image_t7cec5v9fh2593hm7qn35sdu1o/-FJPG/235179-002_FRT_1.jpg</t>
  </si>
  <si>
    <t>Worn oak shapes a streamlined desk with a naturally minimalist look. Four drawers for handy storage space.</t>
  </si>
  <si>
    <t>{"value":140.21,"unit":"lb"}</t>
  </si>
  <si>
    <t>{"value":86.64,"unit":"lb"}</t>
  </si>
  <si>
    <t>Warby Dining Table</t>
  </si>
  <si>
    <t>https://dd3ka9h4chfr8.cloudfront.net/image/725136000567/image_m5kc0t467d6ddangkv9jrh2o6q/-FJPG/235116-003_FRT_1.jpg;https://dd3ka9h4chfr8.cloudfront.net/image/725136000567/image_75l4sveqmp615avlhp2vvqje0c/-FJPG/235116-003_PRM_1.jpg;https://dd3ka9h4chfr8.cloudfront.net/image/725136000567/image_al5svcgovp3mjfurvdgt4qk152/-FJPG/235116-003_SID_1.jpg;https://dd3ka9h4chfr8.cloudfront.net/image/725136000567/image_ukvqbvn58d4a5cse8v9jq6nr1e/-FJPG/235116-003_ESS_1.tif;https://dd3ka9h4chfr8.cloudfront.net/image/725136000567/image_oilr88cpdt6i77smlf029rq16b/-FJPG/235116-003_DET_2.jpg;https://dd3ka9h4chfr8.cloudfront.net/image/725136000567/image_65uognlm414vlfjtbbc14oir1u/-FJPG/235116-003_BCK_1.jpg;https://dd3ka9h4chfr8.cloudfront.net/image/725136000567/image_b5q2kfjg350j7b5fgf4tqpva18/-FJPG/235116-003_DET_1.jpg;https://dd3ka9h4chfr8.cloudfront.net/image/725136000567/image_nb62ek0kf96qd2kh2cs8t9iq2q/-FJPG/235116-003_DET_3.jpg;https://dd3ka9h4chfr8.cloudfront.net/image/725136000567/image_r9occlu6514kb4aejq3lprmn0c/-FJPG/235116-003_TOP_1.tif;https://dd3ka9h4chfr8.cloudfront.net/image/725136000567/image_8l2vh884tl705boevvkpnb5a02/-FJPG/235116-003_TOP_1.jpg;https://dd3ka9h4chfr8.cloudfront.net/image/725136000567/image_4kaci0ro1942bdhfkpbs1ffn7g/-FJPG/235116-003_DET_4.jpg;https://dd3ka9h4chfr8.cloudfront.net/image/725136000567/image_m2ddh7kpf543pd2enr56pabj7u/-FJPG/235116-003_DET_5.jpg;https://dd3ka9h4chfr8.cloudfront.net/image/725136000567/image_d90se6s6td17h5k25cs9epb004/-FJPG/235116-003_DET_6.jpg;https://dd3ka9h4chfr8.cloudfront.net/image/725136000567/image_ojbg4cai094jn5hjvrgra88q6p/-FJPG/235116-003_DET_7.jpg</t>
  </si>
  <si>
    <t>235116-003</t>
  </si>
  <si>
    <t>246.03</t>
  </si>
  <si>
    <t>https://dd3ka9h4chfr8.cloudfront.net/image/725136000567/image_m5kc0t467d6ddangkv9jrh2o6q/-FJPG/235116-003_FRT_1.jpg</t>
  </si>
  <si>
    <t>Black-finished oak shapes a streamlined dining table with a rich yet minimalist look. Seats 8.</t>
  </si>
  <si>
    <t>{"value":192.24,"unit":"lb"}</t>
  </si>
  <si>
    <t>Ski Leg</t>
  </si>
  <si>
    <t>https://dd3ka9h4chfr8.cloudfront.net/image/725136000567/image_620lvak51t2a3bhgu7nem8cu0l/-FJPG/235116-002_FRT_1.jpg;https://dd3ka9h4chfr8.cloudfront.net/image/725136000567/image_sklb6l50kd7i95qtot7e09gh79/-FJPG/235116-002_PRM_1.jpg;https://dd3ka9h4chfr8.cloudfront.net/image/725136000567/image_aaeffq4md54j7d6tglidm22b55/-FJPG/235116-002_SID_1.jpg;https://dd3ka9h4chfr8.cloudfront.net/image/725136000567/image_pl53co6re516p4etnisfe68j42/-FJPG/235116-002_ESS_1.tif;https://dd3ka9h4chfr8.cloudfront.net/image/725136000567/image_91iej21qb52f76err09afeha5q/-FJPG/235116-002_DET_2.jpg;https://dd3ka9h4chfr8.cloudfront.net/image/725136000567/image_7n1n8i7frd5q97pdni70au231i/-FJPG/235116-002_DET_1.jpg;https://dd3ka9h4chfr8.cloudfront.net/image/725136000567/image_v1vuej86r53at06t8f2lqq5n1u/-FJPG/235116-002_DET_3.jpg;https://dd3ka9h4chfr8.cloudfront.net/image/725136000567/image_8m3gmi9b8t4vd71ijavf92ff4q/-FJPG/235116-002_TOP_1.jpg;https://dd3ka9h4chfr8.cloudfront.net/image/725136000567/image_aks76sbpp12il6ecslfclr443g/-FJPG/235116-002_DET_4.jpg;https://dd3ka9h4chfr8.cloudfront.net/image/725136000567/image_qn5e6j5eih7i9221d6qk0u5d3g/-FJPG/235116-002_DET_5.jpg</t>
  </si>
  <si>
    <t>235116-002</t>
  </si>
  <si>
    <t>https://dd3ka9h4chfr8.cloudfront.net/image/725136000567/image_620lvak51t2a3bhgu7nem8cu0l/-FJPG/235116-002_FRT_1.jpg</t>
  </si>
  <si>
    <t>Worn oak shapes a streamlined dining table with a naturally minimalist look. Seats 8.</t>
  </si>
  <si>
    <t>Warby End Table</t>
  </si>
  <si>
    <t>https://dd3ka9h4chfr8.cloudfront.net/image/725136000567/image_a195va4un133b017m1a7divj1h/-FJPG/236317-003_FRT_1.JPG;https://dd3ka9h4chfr8.cloudfront.net/image/725136000567/image_2dkaq5o85d0r729qb4bltbm63l/-FJPG/236317-003_FRT_1.jpg;https://dd3ka9h4chfr8.cloudfront.net/image/725136000567/image_okrl6k326l5p944kolqiqkhh6g/-FJPG/236317-003_PRM_1.jpg;https://dd3ka9h4chfr8.cloudfront.net/image/725136000567/image_qdj7smuerh7pv1h80n3c9jvk7p/-FJPG/236317-003_SID_1.jpg;https://dd3ka9h4chfr8.cloudfront.net/image/725136000567/image_jb5cj87v89293330vu09432j35/-FJPG/236317-003_ESS_1.tif;https://dd3ka9h4chfr8.cloudfront.net/image/725136000567/image_fuiv2hdnop54r075121rdbql2t/-FJPG/236317-003_DET_2.jpg;https://dd3ka9h4chfr8.cloudfront.net/image/725136000567/image_r8qmnlt7j50j14e8p7241bkn4b/-FJPG/236317-003_BCK_1.jpg;https://dd3ka9h4chfr8.cloudfront.net/image/725136000567/image_o0dpqkjk756lfe8hd73obs1q76/-FJPG/236317-003_DET_1.jpg;https://dd3ka9h4chfr8.cloudfront.net/image/725136000567/image_mikklo1jap13v8uksm27kqd92j/-FJPG/236317-003_DET_3.jpg;https://dd3ka9h4chfr8.cloudfront.net/image/725136000567/image_qqtbl74pah5nnb0cn2db7ag575/-FJPG/236317-003_TOP_1.jpg;https://dd3ka9h4chfr8.cloudfront.net/image/725136000567/image_3cae9eejup2bv7uc3pbjceg458/-FJPG/236317-003_DET_4.jpg</t>
  </si>
  <si>
    <t>236317-003</t>
  </si>
  <si>
    <t>61.06</t>
  </si>
  <si>
    <t>https://dd3ka9h4chfr8.cloudfront.net/image/725136000567/image_a195va4un133b017m1a7divj1h/-FJPG/236317-003_FRT_1.JPG</t>
  </si>
  <si>
    <t>Black-finished oak shapes a streamlined end table with a rich yet minimalist look.</t>
  </si>
  <si>
    <t>{"value":12.25,"unit":"in"}</t>
  </si>
  <si>
    <t>{"value":72.09,"unit":"lb"}</t>
  </si>
  <si>
    <t>https://dd3ka9h4chfr8.cloudfront.net/image/725136000567/image_ndrifmjb116cdccpsj9ngi3o23/-FJPG/236317-002_FRT_1.jpg;https://dd3ka9h4chfr8.cloudfront.net/image/725136000567/image_8jrjvs10m13av5e3mvl0qrvh0r/-FJPG/236317-002_PRM_1.jpg;https://dd3ka9h4chfr8.cloudfront.net/image/725136000567/image_hadb4qf1f960hdauujrh83dt7p/-FJPG/236317-002_SID_1.jpg;https://dd3ka9h4chfr8.cloudfront.net/image/725136000567/image_c1tluuoek947dbki2on66ucm22/-FJPG/236317-002_ESS_1.tif;https://dd3ka9h4chfr8.cloudfront.net/image/725136000567/image_ge8b15oefl2mbdp216la9uht4t/-FJPG/239356-001_ESS_1.tif;https://dd3ka9h4chfr8.cloudfront.net/image/725136000567/image_d8i6mr6a2d379bkd3j7bsols15/-FJPG/236317-002_DET_2.jpg;https://dd3ka9h4chfr8.cloudfront.net/image/725136000567/image_38e6h2g6i92v98omii6ltb4o3p/-FJPG/236317-002_DET_1.jpg;https://dd3ka9h4chfr8.cloudfront.net/image/725136000567/image_akguhuljsp6an3q5pma94jnc4f/-FJPG/236317-002_DET_3.jpg;https://dd3ka9h4chfr8.cloudfront.net/image/725136000567/image_9p83jcf2sh3ov0rcr3alrrq976/-FJPG/236317-002_TOP_1.jpg;https://dd3ka9h4chfr8.cloudfront.net/image/725136000567/image_scapkisa9559dcc7dlf0nnqh1m/-FJPG/236317-002_DET_9.tif;https://dd3ka9h4chfr8.cloudfront.net/image/725136000567/image_ou1cojqmh57874e5p9i7v5rg73/-FJPG/236317-002_DET_10.tif</t>
  </si>
  <si>
    <t>236317-002</t>
  </si>
  <si>
    <t>https://dd3ka9h4chfr8.cloudfront.net/image/725136000567/image_ndrifmjb116cdccpsj9ngi3o23/-FJPG/236317-002_FRT_1.jpg</t>
  </si>
  <si>
    <t>Worn oak shapes a streamlined end table with a naturally minimalist look.</t>
  </si>
  <si>
    <t>Warby Nightstand</t>
  </si>
  <si>
    <t>https://dd3ka9h4chfr8.cloudfront.net/image/725136000567/image_6vdo2d3pvl71bbhbsgefrg7m79/-FJPG/235362-003_FRT_1.jpg;https://dd3ka9h4chfr8.cloudfront.net/image/725136000567/image_iebhdgam2h1sfaicdl8tfg2333/-FJPG/235362-003_PRM_1.jpg;https://dd3ka9h4chfr8.cloudfront.net/image/725136000567/image_q28i3p3qut2p35cqa6movu9e24/-FJPG/235362-003_SID_1.jpg;https://dd3ka9h4chfr8.cloudfront.net/image/725136000567/image_dq9rprmf3911nes5hb7v69gg4s/-FJPG/235362-003_ESS.tif;https://dd3ka9h4chfr8.cloudfront.net/image/725136000567/image_kb32bpcl6p4r502bnpmk8oc66g/-FJPG/235362-003_DET_2.jpg;https://dd3ka9h4chfr8.cloudfront.net/image/725136000567/image_r73i184q1d77h35og6618ihm04/-FJPG/235362-003_BCK_1.jpg;https://dd3ka9h4chfr8.cloudfront.net/image/725136000567/image_dlurar8ddh2j38erjs4i4vdg6t/-FJPG/235362-003_DET_1.jpg;https://dd3ka9h4chfr8.cloudfront.net/image/725136000567/image_3u42nuc8r14bn8dun036j55s7f/-FJPG/235362-003_DET_3.jpg;https://dd3ka9h4chfr8.cloudfront.net/image/725136000567/image_bgvgjqv61d4fp09qagb4il1j3a/-FJPG/235362-003_OPN_1.jpg;https://dd3ka9h4chfr8.cloudfront.net/image/725136000567/image_q4b7paqvdh5jnb4nof05em880f/-FJPG/235362-003_TOP_1.jpg;https://dd3ka9h4chfr8.cloudfront.net/image/725136000567/image_l9bodbb3mh63n8j44119cmks6b/-FJPG/235362-003_DET_4.jpg;https://dd3ka9h4chfr8.cloudfront.net/image/725136000567/image_f1sujt9ord77jemr7oamst2a24/-FJPG/235362-003_DET_5.jpg;https://dd3ka9h4chfr8.cloudfront.net/image/725136000567/image_ouic07t5hd3tldm35h74b2p67f/-FJPG/235362-003_DET_6.jpg</t>
  </si>
  <si>
    <t>235362-003</t>
  </si>
  <si>
    <t>https://dd3ka9h4chfr8.cloudfront.net/image/725136000567/image_6vdo2d3pvl71bbhbsgefrg7m79/-FJPG/235362-003_FRT_1.jpg</t>
  </si>
  <si>
    <t>Solid acacia shapes a streamlined box-style nightstand, with lap joint corners for a detail-driven touch. Finished with smooth, push-latch drawer glides.</t>
  </si>
  <si>
    <t>{"value":108.25,"unit":"lb"}</t>
  </si>
  <si>
    <t>https://dd3ka9h4chfr8.cloudfront.net/image/725136000567/image_hk4tmblb613sb3m9997dkp5g2a/-FJPG/235362-002_FRT_1.jpg;https://dd3ka9h4chfr8.cloudfront.net/image/725136000567/image_hp9mv2m2e542f6fjtqn2b3om3u/-FJPG/235362-002_PRM_1.jpg;https://dd3ka9h4chfr8.cloudfront.net/image/725136000567/image_qlulnugjhd75ndccjp3nq5c265/-FJPG/235362-002_SID_1.jpg;https://dd3ka9h4chfr8.cloudfront.net/image/725136000567/image_1pioicoif50f53l1bsp01cr56b/-FJPG/235362-002_ESS.tif;https://dd3ka9h4chfr8.cloudfront.net/image/725136000567/image_6lenbgstb91fbeg2hk1g958161/-FJPG/235362-002_DET_2.jpg;https://dd3ka9h4chfr8.cloudfront.net/image/725136000567/image_0anq8f8lhp3ur1jrhj8enfml3a/-FJPG/235362-002_BCK_1.jpg;https://dd3ka9h4chfr8.cloudfront.net/image/725136000567/image_h4u6vvdc3d4tb11oc8ai7s9s68/-FJPG/235362-002_DET_1.jpg;https://dd3ka9h4chfr8.cloudfront.net/image/725136000567/image_0rrf8uogt16n5fl0a2qli09802/-FJPG/235362-002_DET_3.jpg;https://dd3ka9h4chfr8.cloudfront.net/image/725136000567/image_vndtsktmn56i1asr0uhooha23o/-FJPG/235362-002_OPN_1.jpg;https://dd3ka9h4chfr8.cloudfront.net/image/725136000567/image_jb3s4vaf611lp6n1cf0cci3p5q/-FJPG/235362-002_TOP_1.jpg;https://dd3ka9h4chfr8.cloudfront.net/image/725136000567/image_u7ggd5570p633evob93emjq70a/-FJPG/235362-002_DET_4.jpg;https://dd3ka9h4chfr8.cloudfront.net/image/725136000567/image_i2ca5m9sgt09545i925np1ct2p/-FJPG/235362-002_DET_5.jpg</t>
  </si>
  <si>
    <t>235362-002</t>
  </si>
  <si>
    <t>94.799</t>
  </si>
  <si>
    <t>https://dd3ka9h4chfr8.cloudfront.net/image/725136000567/image_hk4tmblb613sb3m9997dkp5g2a/-FJPG/235362-002_FRT_1.jpg</t>
  </si>
  <si>
    <t>Warby Sideboard</t>
  </si>
  <si>
    <t>https://dd3ka9h4chfr8.cloudfront.net/image/725136000567/image_ru2th5phgt1qv4d8a78ad4tk37/-FJPG/235117-002_FRT_1.jpg;https://dd3ka9h4chfr8.cloudfront.net/image/725136000567/image_2khrmfs7dd29p684b3vdjgjs1a/-FJPG/235117-002_PRM_1.jpg;https://dd3ka9h4chfr8.cloudfront.net/image/725136000567/image_bq2rajt1kp22h7situ9ig5qe0k/-FJPG/235117-002_SID_1.jpg;https://dd3ka9h4chfr8.cloudfront.net/image/725136000567/image_ij890pu43l06917av5ui6fik71/-FJPG/235117-002_ESS_1.tif;https://dd3ka9h4chfr8.cloudfront.net/image/725136000567/image_ua0nm7oha50o1973cmtaco0c5l/-FJPG/235117-002_DET_2.jpg;https://dd3ka9h4chfr8.cloudfront.net/image/725136000567/image_tckscred2135dbf4iaot5lnn61/-FJPG/235117-002_DET_1.jpg;https://dd3ka9h4chfr8.cloudfront.net/image/725136000567/image_08uqdooqd556f2pnnsgdkh7v74/-FJPG/235117-002_DET_3.jpg;https://dd3ka9h4chfr8.cloudfront.net/image/725136000567/image_f7j192qif50gr1h13uujlt3v59/-FJPG/235117-002_TOP_1.jpg;https://dd3ka9h4chfr8.cloudfront.net/image/725136000567/image_4ai0b8bs114mv2cgu2j1if565c/-FJPG/235117-002_DET_4.jpg;https://dd3ka9h4chfr8.cloudfront.net/image/725136000567/image_mmkhc0tuf93p93gnj8du5h4h2c/-FJPG/235117-002_PRM_2.JPG</t>
  </si>
  <si>
    <t>235117-002</t>
  </si>
  <si>
    <t>217.15</t>
  </si>
  <si>
    <t>https://dd3ka9h4chfr8.cloudfront.net/image/725136000567/image_ru2th5phgt1qv4d8a78ad4tk37/-FJPG/235117-002_FRT_1.jpg</t>
  </si>
  <si>
    <t>Worn oak shapes a streamlined box-style sideboard, with lap joint corners for a detail-driven touch.</t>
  </si>
  <si>
    <t>45.75"</t>
  </si>
  <si>
    <t>Wellborn Swivel Chair</t>
  </si>
  <si>
    <t>https://dd3ka9h4chfr8.cloudfront.net/image/725136000567/image_67d73qabc15kf4grfhn834c25r/-FJPG/236762-002_FRT_1.jpg;https://dd3ka9h4chfr8.cloudfront.net/image/725136000567/image_ing4kcbtfd1s30vf80cqqd8d7m/-FJPG/236762-002_PRM_1.jpg;https://dd3ka9h4chfr8.cloudfront.net/image/725136000567/image_5nl4ecm3s564l1g7bo77clc704/-FJPG/236762-002_SID_1.jpg;https://dd3ka9h4chfr8.cloudfront.net/image/725136000567/image_3hr3egec5t6rj04avub07aad0u/-FJPG/236762-002_ESS_1.jpg;https://dd3ka9h4chfr8.cloudfront.net/image/725136000567/image_07dhj4dkup6bn17vcq0hvdcq36/-FJPG/236762-002_DET_2.jpg;https://dd3ka9h4chfr8.cloudfront.net/image/725136000567/image_9clei0dtml7upcqh4b5dar7a5a/-FJPG/236762-002_BCK_1.jpg;https://dd3ka9h4chfr8.cloudfront.net/image/725136000567/image_sll36nijch4abcbgt5dq2n092q/-FJPG/Color Variance Card_Palermo Cognac.jpg;https://dd3ka9h4chfr8.cloudfront.net/image/725136000567/image_nuvb7mpb8t5r31eulamt1gv319/-FJPG/236762-002_DET_1.jpg;https://dd3ka9h4chfr8.cloudfront.net/image/725136000567/image_ql488tab1t6995grm64v2tgh45/-FJPG/236762-002_DET_3.jpg;https://dd3ka9h4chfr8.cloudfront.net/image/725136000567/image_pfdb16iurd0ol6ra7mj8cf3d49/-FJPG/236762-002_DET_4.jpg;https://dd3ka9h4chfr8.cloudfront.net/image/725136000567/image_o8tjur193l2lhdo5957un8r834/-FJPG/236762-002_DET_5.jpg;https://dd3ka9h4chfr8.cloudfront.net/image/725136000567/image_21egn9aeg151nce0btlkegfq24/-FJPG/236762-002_DET_6.jpg;https://dd3ka9h4chfr8.cloudfront.net/image/725136000567/image_j03dnj0gmp3f995oraka6eo84l/-FJPG/236762-002_DET_7.jpg;https://dd3ka9h4chfr8.cloudfront.net/image/725136000567/image_94rp27q5bd4a11813rnqdf1n2h/-FJPG/236762-002_DET_8.jpg</t>
  </si>
  <si>
    <t>236762-002</t>
  </si>
  <si>
    <t>https://dd3ka9h4chfr8.cloudfront.net/image/725136000567/image_67d73qabc15kf4grfhn834c25r/-FJPG/236762-002_FRT_1.jpg</t>
  </si>
  <si>
    <t>Inspired by 70s vintage seating and plush duvet toppers, a structured, supportive seat is covered in a Four Hands-exclusive top-grain leather in a rich cognac tone. A 360-degree swivel modernizes this vintage-leaning look.</t>
  </si>
  <si>
    <t>Wellborn</t>
  </si>
  <si>
    <t>Westhoff Sideboard</t>
  </si>
  <si>
    <t>https://dd3ka9h4chfr8.cloudfront.net/image/725136000567/image_dmefg449bl52nbdk3bnsjvs70o/-FJPG/236117-001_FRT_1.jpg;https://dd3ka9h4chfr8.cloudfront.net/image/725136000567/image_nepa9m2n9138r04onpqkjdg51j/-FJPG/236117-001_PRM_1.jpg;https://dd3ka9h4chfr8.cloudfront.net/image/725136000567/image_kdsg2s8i017t57rsaibgsnut3n/-FJPG/236117-001_SID_1.jpg;https://dd3ka9h4chfr8.cloudfront.net/image/725136000567/image_lkcn9ugsql72n7dehmdaa4u84k/-FJPG/236117-001_ESS.tif;https://dd3ka9h4chfr8.cloudfront.net/image/725136000567/image_uv5berp8dh3mfdhr1dd00aqg1o/-FJPG/236117-001_DET_2.jpg;https://dd3ka9h4chfr8.cloudfront.net/image/725136000567/image_m4dodmrlkp0b915phu6eijsb6v/-FJPG/236117-001_BCK_1.jpg;https://dd3ka9h4chfr8.cloudfront.net/image/725136000567/image_ui3tvjueod249blpgkv27rh169/-FJPG/236117-001_DET_1.jpg;https://dd3ka9h4chfr8.cloudfront.net/image/725136000567/image_u9pvdb8u6t5kj9u6og8083ll5k/-FJPG/236117-001_DET_3.jpg;https://dd3ka9h4chfr8.cloudfront.net/image/725136000567/image_uqpb5inv0945deegeskq0imf1g/-FJPG/236117-001_OPN_1.jpg;https://dd3ka9h4chfr8.cloudfront.net/image/725136000567/image_g3ihcjc7qt7nbf0k42h9ueq11h/-FJPG/236117-001_DET_4.jpg;https://dd3ka9h4chfr8.cloudfront.net/image/725136000567/image_rk94p61d5521d6r815bqt6rm4k/-FJPG/236117-001_DET_5.jpg;https://dd3ka9h4chfr8.cloudfront.net/image/725136000567/image_r8isdg6q1t6kj0pthq5rrtgp1g/-FJPG/236117-001_DET_6.jpg;https://dd3ka9h4chfr8.cloudfront.net/image/725136000567/image_kma4d08gh107f53masgu5sos25/-FJPG/236117-001_DET_7.jpg;https://dd3ka9h4chfr8.cloudfront.net/image/725136000567/image_k017t8vubt42lfn8da8hhim15r/-FJPG/236117-001_DET_8.jpg;https://dd3ka9h4chfr8.cloudfront.net/image/725136000567/image_6smm57g4el2tbcu1501lma1053/-FJPG/236117-001_DET_9.tif;https://dd3ka9h4chfr8.cloudfront.net/image/725136000567/image_5gqlh8hcfd1hp5pt1ku55ij95v/-FJPG/236117-001_DET_10.tif;https://dd3ka9h4chfr8.cloudfront.net/image/725136000567/image_riesc4dfi91e93rako9rfir44s/-FJPG/236117-001_DET_11.tif;https://dd3ka9h4chfr8.cloudfront.net/image/725136000567/image_ejg9r4tgm16vl6c0e321ajc53m/-FJPG/236117-001_DET_12.tif</t>
  </si>
  <si>
    <t>236117-001</t>
  </si>
  <si>
    <t>https://dd3ka9h4chfr8.cloudfront.net/image/725136000567/image_dmefg449bl52nbdk3bnsjvs70o/-FJPG/236117-001_FRT_1.jpg</t>
  </si>
  <si>
    <t>Rubbed Black Oak Veneer</t>
  </si>
  <si>
    <t>Dark Iron</t>
  </si>
  <si>
    <t>Structured and minimalist, this sideboard's simple box-shape makes it a seamless complementary piece. Its mixed materials â€” black oak, metal framework and dark iron pulls â€” add visual interest.</t>
  </si>
  <si>
    <t>Westhoff  Sideboard</t>
  </si>
  <si>
    <t>{"value":86.81,"unit":"in"}</t>
  </si>
  <si>
    <t>39.92"</t>
  </si>
  <si>
    <t>Westhoff</t>
  </si>
  <si>
    <t>Westwood Sofa</t>
  </si>
  <si>
    <t>https://dd3ka9h4chfr8.cloudfront.net/image/725136000567/image_l0kdmnpq8t5ataaidnu49c695g/-FJPG/106134-006_FRT_1.jpg;https://dd3ka9h4chfr8.cloudfront.net/image/725136000567/image_luacjbl5j90u16mfc5gqkhv12b/-FJPG/106134-006_PRM_1.jpg;https://dd3ka9h4chfr8.cloudfront.net/image/725136000567/image_ppjio75vf17tt75o6ld0p0542f/-FJPG/106134-006_SID_1.jpg;https://dd3ka9h4chfr8.cloudfront.net/image/725136000567/image_7n72970r4p0rj78r1jankhqk6t/-FJPG/106134-006_ESS_1.jpg;https://dd3ka9h4chfr8.cloudfront.net/image/725136000567/image_1qgq59c31l0ghbd5gs38f5h301/-FJPG/106134-006_DET_2.jpg;https://dd3ka9h4chfr8.cloudfront.net/image/725136000567/image_jj6vsle8395dtfe6dm0ulq5p1e/-FJPG/106134-006_BCK_1.jpg;https://dd3ka9h4chfr8.cloudfront.net/image/725136000567/image_65bkqva6m5275fmaausc4rd16p/-FJPG/106134-006_DET_1.jpg;https://dd3ka9h4chfr8.cloudfront.net/image/725136000567/image_u4rktjup255hteml9o696v7g6q/-FJPG/106134-006_DET_3.jpg;https://dd3ka9h4chfr8.cloudfront.net/image/725136000567/image_agt73099rh04hei7a4vk164i7q/-FJPG/106134-006_DET_4.jpg;https://dd3ka9h4chfr8.cloudfront.net/image/725136000567/image_uk66god3610hte0s8evc5cce0b/-FJPG/106134-006_DET_5.jpg;https://dd3ka9h4chfr8.cloudfront.net/image/725136000567/image_ct3l92rpph175ehqmmutsuui0q/-FJPG/106134-006_DET_6.jpg;https://dd3ka9h4chfr8.cloudfront.net/image/725136000567/image_5jncmlseh509f08ojlgs5f546g/-FJPG/106134-006_DET_7.jpg;https://dd3ka9h4chfr8.cloudfront.net/image/725136000567/image_ciktcjuh410q9dih0armak2t54/-FJPG/106134-006_DET_8.jpg;https://dd3ka9h4chfr8.cloudfront.net/image/725136000567/image_pnr8n0p8v1027cradvt93rj85a/-FJPG/106134-006_DET_9.jpg</t>
  </si>
  <si>
    <t>106134-006</t>
  </si>
  <si>
    <t>https://dd3ka9h4chfr8.cloudfront.net/image/725136000567/image_l0kdmnpq8t5ataaidnu49c695g/-FJPG/106134-006_FRT_1.jpg</t>
  </si>
  <si>
    <t>Everyday lounging, refreshed. Clean lines and charcoal upholstery meet a low, wooden base to keep things classy while casual.</t>
  </si>
  <si>
    <t>67.75"</t>
  </si>
  <si>
    <t>Westwood</t>
  </si>
  <si>
    <t>https://dd3ka9h4chfr8.cloudfront.net/image/725136000567/image_fr6g015k5h7nlb3kj8v33efg51/-FJPG/106134-007_FRT_1.jpg;https://dd3ka9h4chfr8.cloudfront.net/image/725136000567/image_o1o1hl3rah05n5litlrol8iu5h/-FJPG/106134-007_PRM_1.jpg;https://dd3ka9h4chfr8.cloudfront.net/image/725136000567/image_dom85hkae170bef5p5u9ogr21o/-FJPG/106134-007_SID_1.jpg;https://dd3ka9h4chfr8.cloudfront.net/image/725136000567/image_unf9s0ohe96qh1k7lsvtcbrf42/-FJPG/106134-007_ESS_1.jpg;https://dd3ka9h4chfr8.cloudfront.net/image/725136000567/image_4cfmhhh4jt21h69dh0r2ecga4a/-FJPG/106134-007_DET_2.jpg;https://dd3ka9h4chfr8.cloudfront.net/image/725136000567/image_akj388jcid5tl4q1uvmllim93e/-FJPG/106134-007_BCK_1.jpg;https://dd3ka9h4chfr8.cloudfront.net/image/725136000567/image_i33dsi972953takq5ta3qcgn1j/-FJPG/106134-007_DET_1.jpg;https://dd3ka9h4chfr8.cloudfront.net/image/725136000567/image_4b3h2ldumd3o1d0c8l1sn3dk4v/-FJPG/106134-007_DET_3.jpg;https://dd3ka9h4chfr8.cloudfront.net/image/725136000567/image_jsn5iua2r55mtaie20s7640e2e/-FJPG/106134-007_DET_4.jpg;https://dd3ka9h4chfr8.cloudfront.net/image/725136000567/image_3f0f2bjfep7277bt9ke0da643o/-FJPG/106134-007_DET_5.jpg;https://dd3ka9h4chfr8.cloudfront.net/image/725136000567/image_tu8nguog6t7j31js6idetot92a/-FJPG/106134-007_DET_6.jpg</t>
  </si>
  <si>
    <t>106134-007</t>
  </si>
  <si>
    <t>https://dd3ka9h4chfr8.cloudfront.net/image/725136000567/image_fr6g015k5h7nlb3kj8v33efg51/-FJPG/106134-007_FRT_1.jpg</t>
  </si>
  <si>
    <t>Everyday lounging gets a luxurious update. Clean-lined and simply styled, neutral upholstery and a low, wooden base keep things classy while casual.</t>
  </si>
  <si>
    <t>Wickham 2-Piece Sleeper Sectional</t>
  </si>
  <si>
    <t>https://dd3ka9h4chfr8.cloudfront.net/image/725136000567/image_19fmh8qkd10s93kqdjq3romp7q/-FJPG/248620-001_FRT_1.jpg;https://dd3ka9h4chfr8.cloudfront.net/image/725136000567/image_7ed8s0k7gd3dfch1vou4n6r33e/-FJPG/248620-001_PRM_1.jpg;https://dd3ka9h4chfr8.cloudfront.net/image/725136000567/image_2i9vgr2mj53srdbsievm9gdn74/-FJPG/248620-001_SID_1.jpg;https://dd3ka9h4chfr8.cloudfront.net/image/725136000567/image_uoqscirkc14kh66rjlnt4vur6h/-FJPG/248620-001_ESS.tif;https://dd3ka9h4chfr8.cloudfront.net/image/725136000567/image_la7f3dpdet7k70f8v3ikqegv6u/-FJPG/248620-001_DET_2.jpg;https://dd3ka9h4chfr8.cloudfront.net/image/725136000567/image_hc73pqse6969v1vp7hvp2v006q/-FJPG/248620-001_BCK_1.jpg;https://dd3ka9h4chfr8.cloudfront.net/image/725136000567/image_4hvjsu39dp17f7v2apshu4mo55/-FJPG/248620-001_DET_1.jpg;https://dd3ka9h4chfr8.cloudfront.net/image/725136000567/image_heo2d7pqfp7utfqasulosbgj5l/-FJPG/248620-001_DET_3.jpg;https://dd3ka9h4chfr8.cloudfront.net/image/725136000567/image_etapob0fmt1837doqc7nuluc5e/-FJPG/248620-001_OPN_1.jpg;https://dd3ka9h4chfr8.cloudfront.net/image/725136000567/image_h0m94o55bd13j92obnjmus0147/-FJPG/248620-001_TOP.jpg;https://dd3ka9h4chfr8.cloudfront.net/image/725136000567/image_mm86942mud5uh1dkqocbetsg1a/-FJPG/248620-001_DET_4.jpg;https://dd3ka9h4chfr8.cloudfront.net/image/725136000567/image_4emp3da4ct3ql2tvofnnpjrr3l/-FJPG/248620-001_DET_6.jpg;https://dd3ka9h4chfr8.cloudfront.net/image/725136000567/image_2k03dajleh3m58qcbruc7knk5t/-FJPG/248620-001_DET_7.jpg;https://dd3ka9h4chfr8.cloudfront.net/image/725136000567/image_dh8kfg5e7t4up15513f3t4o604/-FJPG/248620-001_DET_9.tif;https://dd3ka9h4chfr8.cloudfront.net/image/725136000567/image_sr09ijrhh959h5kvh0vps4fu1s/-FJPG/248620-001_ESS_2.tif</t>
  </si>
  <si>
    <t>125.5 Left Chaise</t>
  </si>
  <si>
    <t>248620-001</t>
  </si>
  <si>
    <t>404</t>
  </si>
  <si>
    <t>https://dd3ka9h4chfr8.cloudfront.net/image/725136000567/image_19fmh8qkd10s93kqdjq3romp7q/-FJPG/248620-001_FRT_1.jpg</t>
  </si>
  <si>
    <t>["88% Olefin","11% Polyester (UV)","1% Polyester","Solid Maple","Faux Leather"]</t>
  </si>
  <si>
    <t>125.5</t>
  </si>
  <si>
    <t>{"value":125.5,"unit":"in"}</t>
  </si>
  <si>
    <t>Ronan Linen</t>
  </si>
  <si>
    <t>A simple, stylish silhouette redefines the classic sofa bed, now as a sectional. With knife-edge pillows and high-performance fabric, the sleeper mechanism remains discreetly concealed, allowing for an easy one-step pullout. When unfolded, the sectional cushions form a comfortable bed, perfect for overnight guests or cozy movie nights?no extra mattress necessary. Plus, the addition of a storage chaise offers ample space for blankets and pillows, easily accessed by lifting the front of the chaise cushion. Comfort, storage, and style all in one. Performance fabrics are specially created to withstand spills, stains, high traffic and wear, ensuring long-term comfort and unmatched durability.</t>
  </si>
  <si>
    <t>{"value":234,"unit":"lb"}</t>
  </si>
  <si>
    <t>Chaise</t>
  </si>
  <si>
    <t>{"value":188,"unit":"lb"}</t>
  </si>
  <si>
    <t>["None"]</t>
  </si>
  <si>
    <t>Wickham</t>
  </si>
  <si>
    <t>https://dd3ka9h4chfr8.cloudfront.net/image/725136000567/image_294as1b6o13mh6257fv94ood2c/-FJPG/248621-001_FRT_1.jpg;https://dd3ka9h4chfr8.cloudfront.net/image/725136000567/image_ltjnb9vf7l14t6vbb5t2rbe617/-FJPG/248621-001_PRM_1.jpg;https://dd3ka9h4chfr8.cloudfront.net/image/725136000567/image_9earhmhcnt581d8opc1a061u45/-FJPG/248621-001_SID_1.jpg;https://dd3ka9h4chfr8.cloudfront.net/image/725136000567/image_sdr274g0r15g9bkjno2e97t007/-FJPG/248621-001_ESS.jpg;https://dd3ka9h4chfr8.cloudfront.net/image/725136000567/image_se390ugbrl6f5cg4fknio3902p/-FJPG/248621-001_DET_2.jpg;https://dd3ka9h4chfr8.cloudfront.net/image/725136000567/image_26aiafq7kt7ch5gh9dov0sus0f/-FJPG/248621-001_BCK_1.jpg;https://dd3ka9h4chfr8.cloudfront.net/image/725136000567/image_lovjhvi019071ci82ruvdid17d/-FJPG/248621-001_DET_1.jpg;https://dd3ka9h4chfr8.cloudfront.net/image/725136000567/image_rrabna13vd179dprr67rt40057/-FJPG/248621-001_DET_3.jpg;https://dd3ka9h4chfr8.cloudfront.net/image/725136000567/image_unai0b723h3hp189isq1e1ne18/-FJPG/248621-001_OPN_1.jpg;https://dd3ka9h4chfr8.cloudfront.net/image/725136000567/image_d3ue7cspil69rct38dgc0sm914/-FJPG/248621-001_TOP_1.jpg;https://dd3ka9h4chfr8.cloudfront.net/image/725136000567/image_ecoe89r7a93kraquouuqhbc34g/-FJPG/248621-001_DET_4.jpg;https://dd3ka9h4chfr8.cloudfront.net/image/725136000567/image_au5mt7q73l25j3lkaesb87ch33/-FJPG/248621-001_DET_6.jpg;https://dd3ka9h4chfr8.cloudfront.net/image/725136000567/image_lg5ab6hhi56cbb7pdsc226f017/-FJPG/248621-001_DET_7.jpg;https://dd3ka9h4chfr8.cloudfront.net/image/725136000567/image_tb9068hp494f19dlqvhk689b3o/-FJPG/248621-001_DET_9.jpg;https://dd3ka9h4chfr8.cloudfront.net/image/725136000567/image_s2585ifmf57ah8icrh024k4e55/-FJPG/248621-001_ESS_2.jpg</t>
  </si>
  <si>
    <t>125.5 Right Chaise</t>
  </si>
  <si>
    <t>248621-001</t>
  </si>
  <si>
    <t>https://dd3ka9h4chfr8.cloudfront.net/image/725136000567/image_294as1b6o13mh6257fv94ood2c/-FJPG/248621-001_FRT_1.jpg</t>
  </si>
  <si>
    <t>A simple, stylish silhouette redefines the classic sofa bed, now as a sectional. With knife-edge pillows and high-performance upholstery, the sleeper mechanism remains discreetly concealed, allowing for an easy one-step pullout. When unfolded, the sectional cushions form a comfortable bed, perfect for overnight guests or cozy movie nights?no extra mattress necessary. Plus, the addition of a storage chaise offers ample space for blankets and pillows, easily accessed by lifting the front of the chaise cushion. Comfort, storage, and style all in one. Performance fabrics are specially created to withstand spills, stains, high traffic and wear, ensuring long-term comfort and unmatched durability.</t>
  </si>
  <si>
    <t>https://dd3ka9h4chfr8.cloudfront.net/image/725136000567/image_qe01locqrt3ij276e6t6o2ts2e/-FJPG/248644-001_FRT_1.jpg;https://dd3ka9h4chfr8.cloudfront.net/image/725136000567/image_8qrctb8d5t6cnconq49295hk4d/-FJPG/248644-001_PRM_1.jpg;https://dd3ka9h4chfr8.cloudfront.net/image/725136000567/image_vi9s4r530t76j2fjic5dfgm143/-FJPG/248644-001_SID_1.jpg;https://dd3ka9h4chfr8.cloudfront.net/image/725136000567/image_3dre0apjot071cjncrgredm718/-FJPG/248644-001_ESS.tif;https://dd3ka9h4chfr8.cloudfront.net/image/725136000567/image_if1uir8s3p3on3q77f8f0j0s2l/-FJPG/248644-001_DET_2.jpg;https://dd3ka9h4chfr8.cloudfront.net/image/725136000567/image_j42au8lu292ulafueajfstpp54/-FJPG/248644-001_BCK_1.jpg;https://dd3ka9h4chfr8.cloudfront.net/image/725136000567/image_39c2b4qc6p1ltfomcq9ctdp86g/-FJPG/248644-001_DET_1.jpg;https://dd3ka9h4chfr8.cloudfront.net/image/725136000567/image_lv7mdkimoh44ja6nnbumh9p64s/-FJPG/248644-001_DET_3.jpg;https://dd3ka9h4chfr8.cloudfront.net/image/725136000567/image_d8gbdr5a4l11r209uosqq3tt28/-FJPG/248644-001_OPN_1.jpg;https://dd3ka9h4chfr8.cloudfront.net/image/725136000567/image_l8b5s65gd50dt9qdi6q65pqq3q/-FJPG/248644-001_DET_4.jpg;https://dd3ka9h4chfr8.cloudfront.net/image/725136000567/image_1a35vjk8mt7mn8j3k99eqbn161/-FJPG/248644-001_DET_5.jpg;https://dd3ka9h4chfr8.cloudfront.net/image/725136000567/image_4ijb5f9ecl4cd4shr7euqk5m45/-FJPG/248644-001_DET_6.jpg;https://dd3ka9h4chfr8.cloudfront.net/image/725136000567/image_d6l0rkeobp7i92k1hjse9lfc50/-FJPG/248644-001_DET_7.jpg;https://dd3ka9h4chfr8.cloudfront.net/image/725136000567/image_h99fi5dknl0v3fdqkinecju01j/-FJPG/248644-001_DET_8.jpg;https://dd3ka9h4chfr8.cloudfront.net/image/725136000567/image_he7k5op0ql0bnd9fqgpaquhp3i/-FJPG/248644-001_DET_9.jpg;https://dd3ka9h4chfr8.cloudfront.net/image/725136000567/image_dt0vuf10dd0ddf35pmt0bpjc6j/-FJPG/248644-001_ESS_2.tif</t>
  </si>
  <si>
    <t>126.5 Left Chaise</t>
  </si>
  <si>
    <t>248644-001</t>
  </si>
  <si>
    <t>340</t>
  </si>
  <si>
    <t>https://dd3ka9h4chfr8.cloudfront.net/image/725136000567/image_qe01locqrt3ij276e6t6o2ts2e/-FJPG/248644-001_FRT_1.jpg</t>
  </si>
  <si>
    <t>126.5</t>
  </si>
  <si>
    <t>{"value":126.5,"unit":"in"}</t>
  </si>
  <si>
    <t>A simple, stylish silhouette redefines the classic sectional sofa bed. With knife-edge pillows and high-performance fabric, the sleeper mechanism remains discreetly concealed, allowing for an easy one-step pullout. When unfolded, the sectional cushions form a comfortable bed, perfect for overnight guests or movie nights. No extra mattress necessary. Performance fabrics are specially created to withstand spills, stains, high traffic and wear, ensuring long-term comfort and unmatched durability.</t>
  </si>
  <si>
    <t>1 Laf Chaise</t>
  </si>
  <si>
    <t>{"value":132,"unit":"lb"}</t>
  </si>
  <si>
    <t>Wickham Sleeper Sofa</t>
  </si>
  <si>
    <t>https://dd3ka9h4chfr8.cloudfront.net/image/725136000567/image_2iq0bemtsp6f54qsj4uf5o7a2p/-FJPG/107197-011_FRT_1.jpg;https://dd3ka9h4chfr8.cloudfront.net/image/725136000567/image_8uqbmm5n497eh1lbhrdilami0q/-FJPG/107197-011_PRM_1.jpg;https://dd3ka9h4chfr8.cloudfront.net/image/725136000567/image_i1a2c2rcvl58b0tjd0fdii0j34/-FJPG/107197-011_SID_1.jpg;https://dd3ka9h4chfr8.cloudfront.net/image/725136000567/image_q8m0eli13p6795edsf1o77jh7h/-FJPG/107197-011_ESS_1.jpg;https://dd3ka9h4chfr8.cloudfront.net/image/725136000567/image_ak3dm9fs515fvfe2so934nq141/-FJPG/107197-011_DET_2.jpg;https://dd3ka9h4chfr8.cloudfront.net/image/725136000567/image_8q75lputvd2pr8n71s1pq9g467/-FJPG/107197-011_BCK_1.jpg;https://dd3ka9h4chfr8.cloudfront.net/image/725136000567/image_vboht3t7el7gv5r3pmpb486o20/-FJPG/107197-011_INF_1.jpg;https://dd3ka9h4chfr8.cloudfront.net/image/725136000567/image_mv1fl1ghsh3816hhm04b488d7h/-FJPG/107197-011_DET_1.jpg;https://dd3ka9h4chfr8.cloudfront.net/image/725136000567/image_gnijr71mmh3g71f2b016gt2d2u/-FJPG/107197-011_DET_3.jpg;https://dd3ka9h4chfr8.cloudfront.net/image/725136000567/image_9pckllagm942jbpatjjqn0do3j/-FJPG/107197-011_OPN_1.jpg;https://dd3ka9h4chfr8.cloudfront.net/image/725136000567/image_195t1l42hl3pp0525gnjekp63b/-FJPG/107197-011_DET_4.jpg;https://dd3ka9h4chfr8.cloudfront.net/image/725136000567/image_95k103nohp4pt6epu55sf6hf4c/-FJPG/107197-011_DET_5.jpg;https://dd3ka9h4chfr8.cloudfront.net/image/725136000567/image_uoarigklh50vt35akl42egei14/-FJPG/107197-011_DET_6.jpg;https://dd3ka9h4chfr8.cloudfront.net/image/725136000567/image_22tq5bep0505v94uhhbui8mp74/-FJPG/107197-011_DET_7.jpg;https://dd3ka9h4chfr8.cloudfront.net/image/725136000567/image_6pk52vv8g91mj0lu53a6f9he5v/-FJPG/107197-011_DET_9.jpg;https://dd3ka9h4chfr8.cloudfront.net/image/725136000567/image_j25ghdss811oh806us6lohii18/-FJPG/107197-011_DET_10.jpg;https://dd3ka9h4chfr8.cloudfront.net/image/725136000567/image_q6lmom2vhh0i3301onjqdkt77e/-FJPG/107197-011_OPN_2.jpg;https://dd3ka9h4chfr8.cloudfront.net/image/725136000567/image_pl7814pu6h19n9r0ecq2fl8838/-FJPG/107197-011_OPN_3.jpg</t>
  </si>
  <si>
    <t>107197-011</t>
  </si>
  <si>
    <t>https://dd3ka9h4chfr8.cloudfront.net/image/725136000567/image_2iq0bemtsp6f54qsj4uf5o7a2p/-FJPG/107197-011_FRT_1.jpg</t>
  </si>
  <si>
    <t>["88% Olefin","11% Polyester (UV)","1% Polyester","Faux Leather","Solid Maple"]</t>
  </si>
  <si>
    <t>A simple, stylish silhouette redefines the classic sofa bed. With knife-edge pillows and high-performance upholstery, a discreetly concealed sleeper mechanism allows for one-step pullout with ultimate ease. Unfolded, sofa cushions form a comfortable Queen-size bed, ready to welcome overnight guests or make movie nights a little comfier. Best yet, no extra mattress necessary.</t>
  </si>
  <si>
    <t>1 Sofa Bed - Queen</t>
  </si>
  <si>
    <t>41.50"</t>
  </si>
  <si>
    <t>https://dd3ka9h4chfr8.cloudfront.net/image/725136000567/image_t93ib7mepp36f6kve7c3r6ul10/-FJPG/107197-013_FRT_1.jpg;https://dd3ka9h4chfr8.cloudfront.net/image/725136000567/image_9o58ju54el26b4cuv6vcns5a7s/-FJPG/107197-013_PRM_1.jpg;https://dd3ka9h4chfr8.cloudfront.net/image/725136000567/image_bmosor0m2h69pbv36ber61a46r/-FJPG/107197-013_SID_1.jpg;https://dd3ka9h4chfr8.cloudfront.net/image/725136000567/image_p275jq4pdh3s7ce4ppchsiuq1e/-FJPG/UATR-067E-892P_ESS_1.jpg;https://dd3ka9h4chfr8.cloudfront.net/image/725136000567/image_aa9p1pio9d2vl0hff1e6gbus2c/-FJPG/107197-013_ESS_1.jpg;https://dd3ka9h4chfr8.cloudfront.net/image/725136000567/image_i1f1gnpmql2tv2l6t7llhpe34h/-FJPG/107197-013_DET_2.jpg;https://dd3ka9h4chfr8.cloudfront.net/image/725136000567/image_ia4kittup112h8hj7lmgkd6n6t/-FJPG/UATR-067E-892P_DET_2.jpg;https://dd3ka9h4chfr8.cloudfront.net/image/725136000567/image_mt2fl3bru937va21ru8rid853i/-FJPG/107197-013_BCK_1.jpg;https://dd3ka9h4chfr8.cloudfront.net/image/725136000567/image_k7va978tm1641euhnlbm6hoe4s/-FJPG/107197-013_INF_1.jpg;https://dd3ka9h4chfr8.cloudfront.net/image/725136000567/image_ebmbgmmrs51mp98i2a5com2f17/-FJPG/107197-013_DET_1.jpg;https://dd3ka9h4chfr8.cloudfront.net/image/725136000567/image_00utthk7ep73h3h516996drq6n/-FJPG/107197-013_DET_3.jpg;https://dd3ka9h4chfr8.cloudfront.net/image/725136000567/image_35f2pah3b10gnbch76e90fu30i/-FJPG/107197-013_DET_4.jpg;https://dd3ka9h4chfr8.cloudfront.net/image/725136000567/image_4ejsq0fmjp03hasb7pb0pqcv1b/-FJPG/107197-013_DET_5.jpg;https://dd3ka9h4chfr8.cloudfront.net/image/725136000567/image_bvfsqpkqup1lvcrdqnneu74k1c/-FJPG/107197-013_DET_6.jpg;https://dd3ka9h4chfr8.cloudfront.net/image/725136000567/image_ccjfidnm414h7c9mk9j1pa2d55/-FJPG/107197-013_DET_7.jpg;https://dd3ka9h4chfr8.cloudfront.net/image/725136000567/image_vad9ke2re922ffo43m6bv1uc0f/-FJPG/107197-013_DET_9.jpg;https://dd3ka9h4chfr8.cloudfront.net/image/725136000567/image_6u5v487lu14ml3uadkl6ml0t3o/-FJPG/107197-013_DET_10.jpg;https://dd3ka9h4chfr8.cloudfront.net/image/725136000567/image_4nhd4t8b2955n027kobhj23i5n/-FJPG/107197-013_OPN_2.jpg;https://dd3ka9h4chfr8.cloudfront.net/image/725136000567/image_ph7a7pr4vt76d7df66ijpisp34/-FJPG/107197-013_ESS_2.jpg;https://dd3ka9h4chfr8.cloudfront.net/image/725136000567/image_2vaal097b1019eng4cok92jl2j/-FJPG/UATR-067E-892P_ESS_2.jpg;https://dd3ka9h4chfr8.cloudfront.net/image/725136000567/image_n3g0a7peft3657e7tp1n6kog2v/-FJPG/107197-013_OPN_3.jpg</t>
  </si>
  <si>
    <t>107197-013</t>
  </si>
  <si>
    <t>220</t>
  </si>
  <si>
    <t>https://dd3ka9h4chfr8.cloudfront.net/image/725136000567/image_t93ib7mepp36f6kve7c3r6ul10/-FJPG/107197-013_FRT_1.jpg</t>
  </si>
  <si>
    <t>A simple, stylish silhouette redefines the classic sofa bed. With knife-edge pillows and high-performance upholstery, a discreetly concealed sleeper mechanism allows for one-step pullout with ultimate ease. Unfolded, sofa cushions form a comfortable full-size bed, ready to welcome overnight guests or make movie nights a little comfier. Best yet, no extra mattress necessary.</t>
  </si>
  <si>
    <t>1 Sofa Bed - Full</t>
  </si>
  <si>
    <t>{"value":234.44,"unit":"lb"}</t>
  </si>
  <si>
    <t>Full</t>
  </si>
  <si>
    <t>Wickham Sofa</t>
  </si>
  <si>
    <t>https://dd3ka9h4chfr8.cloudfront.net/image/725136000567/image_3rqikabjjp6mh20efpuuk3h96a/-FJPG/250632-001_FRT_1.jpg;https://dd3ka9h4chfr8.cloudfront.net/image/725136000567/image_02jtkg043l79p7etuir7ra3336/-FJPG/250632-001_PRM_1.jpg;https://dd3ka9h4chfr8.cloudfront.net/image/725136000567/image_jfb4hsdpf17kbcd84qenc7ea3o/-FJPG/250632-001_SID_1.jpg;https://dd3ka9h4chfr8.cloudfront.net/image/725136000567/image_1tmsi45ill7ej6bd8a8dldhu1h/-FJPG/250632-001_ESS.tif;https://dd3ka9h4chfr8.cloudfront.net/image/725136000567/image_ubfuema2m1529353itch6v6s3d/-FJPG/250632-001_DET_2.jpg;https://dd3ka9h4chfr8.cloudfront.net/image/725136000567/image_j6qfdg2qnd3g32dh5kfp9pra54/-FJPG/250632-001_BCK_1.jpg;https://dd3ka9h4chfr8.cloudfront.net/image/725136000567/image_dcadgsrpt929v2lr50to7j8i1i/-FJPG/250632-001_DET_1.jpg;https://dd3ka9h4chfr8.cloudfront.net/image/725136000567/image_82ctrnm2ch68h9kceln3tc5v18/-FJPG/250632-001_DET_3.jpg;https://dd3ka9h4chfr8.cloudfront.net/image/725136000567/image_086aui62j95333jtcfl51tdn0v/-FJPG/250632-001_TOP.jpg;https://dd3ka9h4chfr8.cloudfront.net/image/725136000567/image_jt8pvrm4gp5k72eph4bq2lpb08/-FJPG/250632-001_DET_4.jpg;https://dd3ka9h4chfr8.cloudfront.net/image/725136000567/image_fnu0mq7tgd1kfd4qs62f384503/-FJPG/250632-001_DET_9.tif</t>
  </si>
  <si>
    <t>250632-001</t>
  </si>
  <si>
    <t>https://dd3ka9h4chfr8.cloudfront.net/image/725136000567/image_3rqikabjjp6mh20efpuuk3h96a/-FJPG/250632-001_FRT_1.jpg</t>
  </si>
  <si>
    <t>["88% Olefin","11% Polyester (UV)","1% Polyester","Solid Maple"]</t>
  </si>
  <si>
    <t>A simple, stylish silhouette covers all the bases. Covered in a soft high-performance fabric, this sofa is perfect for everything from afternoon naps to movie nights. Performance fabrics are specially created to withstand spills, stains, high traffic and wear, ensuring long-term comfort and unmatched durability.</t>
  </si>
  <si>
    <t>{"value":172,"unit":"lb"}</t>
  </si>
  <si>
    <t>73.25"</t>
  </si>
  <si>
    <t>Willem Bed</t>
  </si>
  <si>
    <t>https://dd3ka9h4chfr8.cloudfront.net/image/725136000567/image_5j8eiq4oul5hn4sl2t34d7ga22/-FJPG/235877-003_FRT_1.jpg;https://dd3ka9h4chfr8.cloudfront.net/image/725136000567/image_pvuc6olabp5ubbs71acjribu0s/-FJPG/235877-003_PRM_1.jpg;https://dd3ka9h4chfr8.cloudfront.net/image/725136000567/image_keplpoofdd1gf6unoojppbrb3i/-FJPG/235877-003_SID_1.jpg;https://dd3ka9h4chfr8.cloudfront.net/image/725136000567/image_c7dj9p1dol3lf7gqefge32471f/-FJPG/235877-003_ESS_1.tif;https://dd3ka9h4chfr8.cloudfront.net/image/725136000567/image_tg3q5uipq51frblu39jrgubr7r/-FJPG/235877-003_DET_2.jpg;https://dd3ka9h4chfr8.cloudfront.net/image/725136000567/image_cpgljusj753sl0jb95piti4j10/-FJPG/235877-003_BCK_1.jpg;https://dd3ka9h4chfr8.cloudfront.net/image/725136000567/image_30ipe8j73149f6no34ubbpv061/-FJPG/235877-003_DET_1.jpg;https://dd3ka9h4chfr8.cloudfront.net/image/725136000567/image_6j12cs48sl0fn0b4fhsr9sqg4b/-FJPG/235877-003_DET_3.jpg;https://dd3ka9h4chfr8.cloudfront.net/image/725136000567/image_qkocsi7q0l4tp2c1mrd92mht47/-FJPG/235877-003_DET_4.jpg;https://dd3ka9h4chfr8.cloudfront.net/image/725136000567/image_9h40buo6pd0fbcgdf2409kb22g/-FJPG/235877-003_DET_5.jpg;https://dd3ka9h4chfr8.cloudfront.net/image/725136000567/image_rj3idgqck96b7avrr6ibiolh3k/-FJPG/235877-003_DET_6.jpg;https://dd3ka9h4chfr8.cloudfront.net/image/725136000567/image_cblhglug7l2hneub2cco42kr6h/-FJPG/235877-003_DET_7.jpg;https://dd3ka9h4chfr8.cloudfront.net/image/725136000567/image_in8v2k5ns10odevf1fcqf5c270/-FJPG/235877-003_DET_8.jpg;https://dd3ka9h4chfr8.cloudfront.net/image/725136000567/image_t6aelgupk53q75uj08mspjpb0r/-FJPG/235877-003_DET_9.tif</t>
  </si>
  <si>
    <t>235877-003</t>
  </si>
  <si>
    <t>https://dd3ka9h4chfr8.cloudfront.net/image/725136000567/image_5j8eiq4oul5hn4sl2t34d7ga22/-FJPG/235877-003_FRT_1.jpg</t>
  </si>
  <si>
    <t>["79% Polyester","16% Viscose (Rayon)","5% Flax/Linen","Solid Oak","Oak Veneer"]</t>
  </si>
  <si>
    <t>90.25</t>
  </si>
  <si>
    <t>{"value":90.25,"unit":"in"}</t>
  </si>
  <si>
    <t>52.75</t>
  </si>
  <si>
    <t>{"value":52.75,"unit":"in"}</t>
  </si>
  <si>
    <t>Saddle Tan Oak</t>
  </si>
  <si>
    <t>Saddle Tan Oak Veneer</t>
  </si>
  <si>
    <t>A midcentury-inspired frame is updated with modern lines and plush upholstery on both ends. Headboard and footboard cushioning wrap around a wooden frame made from a mix of solid oak and oak veneer with beautiful graining throughout.</t>
  </si>
  <si>
    <t>{"value":70.47,"unit":"in"}</t>
  </si>
  <si>
    <t>{"value":56.1,"unit":"in"}</t>
  </si>
  <si>
    <t>{"value":106.33,"unit":"lb"}</t>
  </si>
  <si>
    <t>Side Rails, Slats, Support Rails</t>
  </si>
  <si>
    <t>{"value":97.86,"unit":"lb"}</t>
  </si>
  <si>
    <t>Willem</t>
  </si>
  <si>
    <t>4.88"</t>
  </si>
  <si>
    <t>52.76"</t>
  </si>
  <si>
    <t>Individual Slats</t>
  </si>
  <si>
    <t>https://dd3ka9h4chfr8.cloudfront.net/image/725136000567/image_982j24jur94hn8pt220q8o1v14/-FJPG/235877-004_FRT_1.jpg;https://dd3ka9h4chfr8.cloudfront.net/image/725136000567/image_slunlie1nt2tj9tivs3c7alp58/-FJPG/235877-004_PRM_1.jpg;https://dd3ka9h4chfr8.cloudfront.net/image/725136000567/image_3jj74fp94p77l6d7gmmt3m7o3m/-FJPG/235877-004_SID_1.jpg;https://dd3ka9h4chfr8.cloudfront.net/image/725136000567/image_a4c1j6nms95c10q4tqdkl1c31t/-FJPG/235877-004_ESS_1.jpg;https://dd3ka9h4chfr8.cloudfront.net/image/725136000567/image_9jhkl3ufid71d4v0tlctca2o6j/-FJPG/235877-004_DET_2.jpg;https://dd3ka9h4chfr8.cloudfront.net/image/725136000567/image_fk3rhf73il0vd36q3lju9i752b/-FJPG/235877-004_BCK_1.jpg;https://dd3ka9h4chfr8.cloudfront.net/image/725136000567/image_lrdqbjnmc97611sutt3tfkak6r/-FJPG/235877-004_DET_1.jpg;https://dd3ka9h4chfr8.cloudfront.net/image/725136000567/image_bm13638ts13cvd0lbig6mgr66s/-FJPG/235877-004_DET_3.jpg;https://dd3ka9h4chfr8.cloudfront.net/image/725136000567/image_f2i89q2135169en1krqs5q774i/-FJPG/235877-004_DET_4.jpg;https://dd3ka9h4chfr8.cloudfront.net/image/725136000567/image_9fo1gmmemd0nj25ehiqe6l244q/-FJPG/235877-004_DET_5.jpg;https://dd3ka9h4chfr8.cloudfront.net/image/725136000567/image_9qdb00ve110tleauvtku7hfv6k/-FJPG/235877-004_DET_6.jpg;https://dd3ka9h4chfr8.cloudfront.net/image/725136000567/image_d604sc59i94rpeng20plpc9825/-FJPG/235877-004_DET_7.jpg;https://dd3ka9h4chfr8.cloudfront.net/image/725136000567/image_ucue316bkl30t71i9n8vilo54s/-FJPG/235877-004_DET_8.jpg</t>
  </si>
  <si>
    <t>235877-004</t>
  </si>
  <si>
    <t>257.94</t>
  </si>
  <si>
    <t>https://dd3ka9h4chfr8.cloudfront.net/image/725136000567/image_982j24jur94hn8pt220q8o1v14/-FJPG/235877-004_FRT_1.jpg</t>
  </si>
  <si>
    <t>Side Rails, Slats, Support Slalts</t>
  </si>
  <si>
    <t>{"value":120.15,"unit":"lb"}</t>
  </si>
  <si>
    <t>Williams Leather Chair</t>
  </si>
  <si>
    <t>https://dd3ka9h4chfr8.cloudfront.net/image/725136000567/image_vsk28oao7t4o55e58qlr8c3g3b/-FJPG/100117-004_FRT_1.jpg;https://dd3ka9h4chfr8.cloudfront.net/image/725136000567/image_prkfij18g57a54bkgq8p3bss14/-FJPG/100117-004_PRM_1.jpg;https://dd3ka9h4chfr8.cloudfront.net/image/725136000567/image_akpibf1rr16pd8d2gepplkes3q/-FJPG/100117-004_SID_1.jpg;https://dd3ka9h4chfr8.cloudfront.net/image/725136000567/image_0ikic39k1p2s999uqdhrrjcd4c/-FJPG/100117-004_DET_2.jpg;https://dd3ka9h4chfr8.cloudfront.net/image/725136000567/image_e7rha0shk905167q2lloup9m35/-FJPG/100117-004_BCK_1.jpg;https://dd3ka9h4chfr8.cloudfront.net/image/725136000567/image_83tfj1rv255bd2hsjtph40q404/-FJPG/100117-004_DET_1.jpg;https://dd3ka9h4chfr8.cloudfront.net/image/725136000567/image_fkv4va2st14dj0ddme9uogf75i/-FJPG/100117-004_DET_3.jpg;https://dd3ka9h4chfr8.cloudfront.net/image/725136000567/image_o75b9dgvu51vl0u2oo3ud2fv7t/-FJPG/100117-004_DET_4.jpg;https://dd3ka9h4chfr8.cloudfront.net/image/725136000567/image_550g5svr412j32bnjs8g95k00h/-FJPG/100117-004_DET_5.jpg;https://dd3ka9h4chfr8.cloudfront.net/image/725136000567/image_csq45tc18h30787prfsgvgef53/-FJPG/100117-004_DET_6.jpg;https://dd3ka9h4chfr8.cloudfront.net/image/725136000567/image_b0kbljscpd4cd7qqu3pkhgmc2f/-FJPG/100117-004_DET_7.jpg;https://dd3ka9h4chfr8.cloudfront.net/image/725136000567/image_lkb0uq9o9l4ft0f7e4dhao3b6t/-FJPG/100117-004_DET_8.jpg</t>
  </si>
  <si>
    <t>100117-004</t>
  </si>
  <si>
    <t>https://dd3ka9h4chfr8.cloudfront.net/image/725136000567/image_vsk28oao7t4o55e58qlr8c3g3b/-FJPG/100117-004_FRT_1.jpg</t>
  </si>
  <si>
    <t>Tufted and well-tailored. Squared shelter arms and a low profile deliver a dose of mid-century flair to top-grain leather seating in a natural-washed camel.</t>
  </si>
  <si>
    <t>{"value":78.04,"unit":"lb"}</t>
  </si>
  <si>
    <t>Williams</t>
  </si>
  <si>
    <t>79% Polyurethane Foam Pad, 21% Polyester Fiber Batting</t>
  </si>
  <si>
    <t>Winchester Coffee Table</t>
  </si>
  <si>
    <t>https://dd3ka9h4chfr8.cloudfront.net/image/725136000567/image_cocu5edeql691049smontfhh5a/-FJPG/239081-002_FRT_1.jpg;https://dd3ka9h4chfr8.cloudfront.net/image/725136000567/image_u74s77p5e96etejrufn80iq378/-FJPG/239081-002_PRM_1.jpg;https://dd3ka9h4chfr8.cloudfront.net/image/725136000567/image_fhcl7s08gp33v0aqr0vcp5or38/-FJPG/239081-002_SID_1.jpg;https://dd3ka9h4chfr8.cloudfront.net/image/725136000567/image_nn4fhjahat7f39ri673k0bih5v/-FJPG/239081-002_ESS.tif;https://dd3ka9h4chfr8.cloudfront.net/image/725136000567/image_26b6gqgpv143lajhagnka2q722/-FJPG/239081-002_DET_2.jpg;https://dd3ka9h4chfr8.cloudfront.net/image/725136000567/image_mnipcsem3h5lt3utbh8ado335n/-FJPG/239081-002_BCK_1.jpg;https://dd3ka9h4chfr8.cloudfront.net/image/725136000567/image_6o6hk8dont7v90r7n1tcqte735/-FJPG/239081-002_DET_3.jpg;https://dd3ka9h4chfr8.cloudfront.net/image/725136000567/image_dc14cek0lh56v6uiguvg1g0h45/-FJPG/239081-002_TOP_1.jpg;https://dd3ka9h4chfr8.cloudfront.net/image/725136000567/image_7b2dneo3bl5cfdo7o6esdsoi3e/-FJPG/239081-002_DET_4.jpg;https://dd3ka9h4chfr8.cloudfront.net/image/725136000567/image_6peol75b1538t9te4c54lolo74/-FJPG/239081-002_DET_5.jpg;https://dd3ka9h4chfr8.cloudfront.net/image/725136000567/image_bakkn0s9dt2cj2icebbcjlbj3b/-FJPG/239081-002_DET_9.tif</t>
  </si>
  <si>
    <t>239081-002</t>
  </si>
  <si>
    <t>95.02</t>
  </si>
  <si>
    <t>https://dd3ka9h4chfr8.cloudfront.net/image/725136000567/image_cocu5edeql691049smontfhh5a/-FJPG/239081-002_FRT_1.jpg</t>
  </si>
  <si>
    <t>Smoked alder shapes a character-rich coffee table with Wabi Sabi vibes. Joinery pulls through stretchers, with groove detailing on legs, for an artisan feel.</t>
  </si>
  <si>
    <t>{"value":150.57,"unit":"lb"}</t>
  </si>
  <si>
    <t>Winchester</t>
  </si>
  <si>
    <t>52.13"</t>
  </si>
  <si>
    <t>Wycliffe Chair</t>
  </si>
  <si>
    <t>https://dd3ka9h4chfr8.cloudfront.net/image/725136000567/image_4954dd646h38f0jcln5gsakm6e/-FJPG/233821-002_FRT_1.jpg;https://dd3ka9h4chfr8.cloudfront.net/image/725136000567/image_oubur02dul74770b8e6ak3mg3o/-FJPG/233821-002_PRM_1.jpg;https://dd3ka9h4chfr8.cloudfront.net/image/725136000567/image_dsbb00ka1h6ut0b38m7c0mdt6s/-FJPG/233821-002_SID_1.jpg;https://dd3ka9h4chfr8.cloudfront.net/image/725136000567/image_r5ee0hsr7t4fh6ots9i6s8q37r/-FJPG/233821-002_ESS_1.jpg;https://dd3ka9h4chfr8.cloudfront.net/image/725136000567/image_r9vu05bcgh41vcof9ff45sic68/-FJPG/233821-002_DET_2.jpg;https://dd3ka9h4chfr8.cloudfront.net/image/725136000567/image_df04irb7vt4r11i36k9hl7ru7r/-FJPG/233821-002_BCK_1.jpg;https://dd3ka9h4chfr8.cloudfront.net/image/725136000567/image_mhm522bb0h1r59fpknkeju4t7r/-FJPG/233821-002_DET_1.jpg;https://dd3ka9h4chfr8.cloudfront.net/image/725136000567/image_0lcibksk6d2gb6dr2e15p1366e/-FJPG/233821-002_DET_3.jpg;https://dd3ka9h4chfr8.cloudfront.net/image/725136000567/image_2ecsu4om413avae1lrk9vpml5u/-FJPG/233821-002_DET_4.jpg;https://dd3ka9h4chfr8.cloudfront.net/image/725136000567/image_0bcje2a1h911tb9hmggdp48f7t/-FJPG/233821-002_DET_5.jpg;https://dd3ka9h4chfr8.cloudfront.net/image/725136000567/image_33j522o9bp3mtbmd15ad3d4r6p/-FJPG/233821-002_DET_6.jpg</t>
  </si>
  <si>
    <t>Harben Ivory</t>
  </si>
  <si>
    <t>233821-002</t>
  </si>
  <si>
    <t>https://dd3ka9h4chfr8.cloudfront.net/image/725136000567/image_4954dd646h38f0jcln5gsakm6e/-FJPG/233821-002_FRT_1.jpg</t>
  </si>
  <si>
    <t>A statement seat all its own. This regal Parisian club chair is honored with a profound scooped back and rolled arms in cozy boucle.</t>
  </si>
  <si>
    <t>{"value":52.03,"unit":"lb"}</t>
  </si>
  <si>
    <t>Wycliffe</t>
  </si>
  <si>
    <t>92% Polyurethane Foam, 8% Fiber</t>
  </si>
  <si>
    <t>https://dd3ka9h4chfr8.cloudfront.net/image/725136000567/image_q0gujak2ed66919nte9res8h5q/-FJPG/233821-001_FRT_1.jpg;https://dd3ka9h4chfr8.cloudfront.net/image/725136000567/image_ulksjj1hn10u52ud3v6rs4kb10/-FJPG/233821-001_PRM_1.jpg;https://dd3ka9h4chfr8.cloudfront.net/image/725136000567/image_qig969roop2jv2fk91kna32t56/-FJPG/233821-001_SID_1.jpg;https://dd3ka9h4chfr8.cloudfront.net/image/725136000567/image_4hhk5i66r14mb7es5hm90pu31t/-FJPG/233821-001_ESS_1.jpg;https://dd3ka9h4chfr8.cloudfront.net/image/725136000567/image_blmm973jf53j99k1h9hruvpd6t/-FJPG/233821-001_DET_2.jpg;https://dd3ka9h4chfr8.cloudfront.net/image/725136000567/image_vfrkt2f7ut4oh02ei4274mke5d/-FJPG/233821-001_BCK_1.jpg;https://dd3ka9h4chfr8.cloudfront.net/image/725136000567/image_rki6u85bvl411fflqesuvepj7m/-FJPG/233821-001_DET_1.jpg;https://dd3ka9h4chfr8.cloudfront.net/image/725136000567/image_3u77jj9hat3v1eco17vrhdvu3p/-FJPG/233821-001_DET_3.jpg;https://dd3ka9h4chfr8.cloudfront.net/image/725136000567/image_714grvn8qd2gd9dbgt8o5o9e08/-FJPG/233821-001_DET_4.jpg;https://dd3ka9h4chfr8.cloudfront.net/image/725136000567/image_5e75hp28h15hp9dulvivtqh27d/-FJPG/233821-001_DET_5.jpg;https://dd3ka9h4chfr8.cloudfront.net/image/725136000567/image_8h6dkmvc651cde7eubeeh37p0k/-FJPG/233821-001_DET_6.jpg</t>
  </si>
  <si>
    <t>Vintage Soft Camel</t>
  </si>
  <si>
    <t>233821-001</t>
  </si>
  <si>
    <t>https://dd3ka9h4chfr8.cloudfront.net/image/725136000567/image_q0gujak2ed66919nte9res8h5q/-FJPG/233821-001_FRT_1.jpg</t>
  </si>
  <si>
    <t>A statement seat all its own. This regal Parisian club chair is honored with a profound scooped back and rolled arms in classic, lived in tan top-grain leather.</t>
  </si>
  <si>
    <t>Wyeth 3 Drawer Dresser</t>
  </si>
  <si>
    <t>https://dd3ka9h4chfr8.cloudfront.net/image/725136000567/image_sc854e854d0adbacd78pggk81m/-FJPG/108381-006_FRT_1.jpg;https://dd3ka9h4chfr8.cloudfront.net/image/725136000567/image_mdbinqqgep6rv4vk4v1ha89r4k/-FJPG/108381-006_PRM_1.jpg;https://dd3ka9h4chfr8.cloudfront.net/image/725136000567/image_h0j3crti457832uc81gln41b11/-FJPG/108381-006_SID_1.jpg;https://dd3ka9h4chfr8.cloudfront.net/image/725136000567/image_j7b2meu1154g183iajd45lhn48/-FJPG/108381-006_ESS.tif;https://dd3ka9h4chfr8.cloudfront.net/image/725136000567/image_qf52otej514uf98p4smknv1r55/-FJPG/108381-006_DET_2.jpg;https://dd3ka9h4chfr8.cloudfront.net/image/725136000567/image_un3ggu09g11mtbou06smma4e54/-FJPG/108381-006_DET_1.jpg;https://dd3ka9h4chfr8.cloudfront.net/image/725136000567/image_350tpt2cpd4593r2s2tgdqh60a/-FJPG/108381-006_DET_3.jpg;https://dd3ka9h4chfr8.cloudfront.net/image/725136000567/image_hitvf11ctl3mb3usi6r56akd69/-FJPG/108381-006_OPN_1.jpg;https://dd3ka9h4chfr8.cloudfront.net/image/725136000567/image_8ffc6rieut4qt4og35a90v4f48/-FJPG/108381-006_DET_4.jpg;https://dd3ka9h4chfr8.cloudfront.net/image/725136000567/image_t8a841mi9d17hb4o8ma3upff2q/-FJPG/108381-006_DET_5.jpg;https://dd3ka9h4chfr8.cloudfront.net/image/725136000567/image_v3ddjs6mdt2t1085f78ovsp61u/-FJPG/108381-006_DET_6.jpg</t>
  </si>
  <si>
    <t>Dark Carbon</t>
  </si>
  <si>
    <t>108381-006</t>
  </si>
  <si>
    <t>https://dd3ka9h4chfr8.cloudfront.net/image/725136000567/image_sc854e854d0adbacd78pggk81m/-FJPG/108381-006_FRT_1.jpg</t>
  </si>
  <si>
    <t>["Solid Reclaimed Pine","Iron"]</t>
  </si>
  <si>
    <t>Wyeth</t>
  </si>
  <si>
    <t>Reclaimed pine takes on a deep carbon tone, letting natural graining emit its innately rich character. Slim legs and flat, antique brass-finished iron hardware place a fresh spin on a streamlined form. Three drawers for ample bedroom storage. This item has been modified to comply with the STURDY Act. See a full list of modified products and data changes in the â€œSTURDY Actâ€_x009d_ file in the Downloads section below.</t>
  </si>
  <si>
    <t>13.15"</t>
  </si>
  <si>
    <t>Wyeth 5 Drawer Dresser</t>
  </si>
  <si>
    <t>https://dd3ka9h4chfr8.cloudfront.net/image/725136000567/image_rmm8jcj22t7dh9dogf9i82dk42/-FJPG/108382-005_FRT_1.jpg;https://dd3ka9h4chfr8.cloudfront.net/image/725136000567/image_e8g5n6epjl67p6q45l6e1nq04v/-FJPG/108382-005_PRM_1.jpg;https://dd3ka9h4chfr8.cloudfront.net/image/725136000567/image_g6mc32gi5h0vtf7gdq0v395a1b/-FJPG/108382-005_SID_1.jpg;https://dd3ka9h4chfr8.cloudfront.net/image/725136000567/image_lb1bqi01e533p59h89lpin8j44/-FJPG/108382-005_DET_2.jpg;https://dd3ka9h4chfr8.cloudfront.net/image/725136000567/image_08o9gq5co15e90iae5ng591f5j/-FJPG/108382-005_DET_1.jpg;https://dd3ka9h4chfr8.cloudfront.net/image/725136000567/image_vog5f9rqsh25h0n75tnfp6bt4p/-FJPG/108382-005_DET_3.jpg;https://dd3ka9h4chfr8.cloudfront.net/image/725136000567/image_269ic7936123h3nlm96h901m71/-FJPG/108382-005_OPN_1.jpg;https://dd3ka9h4chfr8.cloudfront.net/image/725136000567/image_a0ifup4sep7t14gcfbjv737p3d/-FJPG/108382-005_DET_4.jpg;https://dd3ka9h4chfr8.cloudfront.net/image/725136000567/image_3j7epgqrft5sj4rqeuqe2u8n1t/-FJPG/108382-005_DET_5.jpg;https://dd3ka9h4chfr8.cloudfront.net/image/725136000567/image_va34d9itr546jbbrchmr1osi5h/-FJPG/108382-005_DET_6.jpg;https://dd3ka9h4chfr8.cloudfront.net/image/725136000567/image_upvvl3jrrd5hb31t65qbsmjb0c/-FJPG/108382-005_VIG_1.jpg</t>
  </si>
  <si>
    <t>108382-010</t>
  </si>
  <si>
    <t>143.3</t>
  </si>
  <si>
    <t>https://dd3ka9h4chfr8.cloudfront.net/image/725136000567/image_rmm8jcj22t7dh9dogf9i82dk42/-FJPG/108382-005_FRT_1.jpg</t>
  </si>
  <si>
    <t>Reclaimed pine takes on a deep carbon tone, letting natural graining emit its innately rich character. Slim legs and flat, antique brass-finished iron hardware place a fresh spin on a streamlined form. Five drawers for ample bedroom storage.</t>
  </si>
  <si>
    <t>Wyeth 6 Drawer Dresser</t>
  </si>
  <si>
    <t>https://dd3ka9h4chfr8.cloudfront.net/image/725136000567/image_r5oml44khp6nl15ute0qv0445q/-FJPG/108383-005_FRT_1.jpg;https://dd3ka9h4chfr8.cloudfront.net/image/725136000567/image_f42qljskfp1anfijsk7h1n3d5h/-FJPG/108383-005_PRM_1.jpg;https://dd3ka9h4chfr8.cloudfront.net/image/725136000567/image_2aa9q98lt508f3fta45qg6n30q/-FJPG/108383-005_SID_1.jpg;https://dd3ka9h4chfr8.cloudfront.net/image/725136000567/image_sogjfl17qh6cd6nv8vq91r1c60/-FJPG/108383-005_DET_2.jpg;https://dd3ka9h4chfr8.cloudfront.net/image/725136000567/image_u4utvtoua150j98is2lfd58v22/-FJPG/108383-005_DET_1.jpg;https://dd3ka9h4chfr8.cloudfront.net/image/725136000567/image_g8aj97j09l6b318bjdk3f7ro1d/-FJPG/108383-005_DET_3.jpg;https://dd3ka9h4chfr8.cloudfront.net/image/725136000567/image_tik8724dqt4npcr4ih9m4bm31g/-FJPG/108383-005_OPN_1.jpg;https://dd3ka9h4chfr8.cloudfront.net/image/725136000567/image_5pslqj0u852sha6hvupje3ci6u/-FJPG/108383-005_DET_4.jpg;https://dd3ka9h4chfr8.cloudfront.net/image/725136000567/image_d5fae25hm13s961nr1naisvh7i/-FJPG/108383-005_DET_5.jpg;https://dd3ka9h4chfr8.cloudfront.net/image/725136000567/image_ra9ajeqedd5sj3fv83cbiqod16/-FJPG/108383-005_DET_6.jpg;https://dd3ka9h4chfr8.cloudfront.net/image/725136000567/image_4r5939ek4h2mr8n8iitns22e1r/-FJPG/108383-005_VIG_1.jpg</t>
  </si>
  <si>
    <t>108383-005</t>
  </si>
  <si>
    <t>156.09</t>
  </si>
  <si>
    <t>https://dd3ka9h4chfr8.cloudfront.net/image/725136000567/image_r5oml44khp6nl15ute0qv0445q/-FJPG/108383-005_FRT_1.jpg</t>
  </si>
  <si>
    <t>Reclaimed pine takes on a deep carbon tone, letting natural graining emit its innately rich character. Slim legs and flat, antique brass-finished iron hardware place a fresh spin on a streamlined form. Six drawers for ample bedroom storage. This item has been modified to comply with the STURDY Act. See a full list of modified products and data changes in the â€œSTURDY Actâ€_x009d_ file in the Downloads section below.</t>
  </si>
  <si>
    <t>{"value":62.01,"unit":"in"}</t>
  </si>
  <si>
    <t>{"value":177.03,"unit":"lb"}</t>
  </si>
  <si>
    <t>Wylie Desk</t>
  </si>
  <si>
    <t>https://dd3ka9h4chfr8.cloudfront.net/image/725136000567/image_53vholga7p0k37vma9u63i742t/-FJPG/241794-001_FRT_1.jpg;https://dd3ka9h4chfr8.cloudfront.net/image/725136000567/image_njv1k0chb10sn7ssoen27dg049/-FJPG/241794-001_PRM_1.jpg;https://dd3ka9h4chfr8.cloudfront.net/image/725136000567/image_jugp0rv9dl3m1c4jk2juiv4b3v/-FJPG/241794-001_SID_1.jpg;https://dd3ka9h4chfr8.cloudfront.net/image/725136000567/image_2luv1btft12g5cjq2i9o61u35l/-FJPG/241794-001_DET_2.jpg;https://dd3ka9h4chfr8.cloudfront.net/image/725136000567/image_4fne7u5ndh6d9djdumpe6blr2m/-FJPG/241794-001_BCK_1.jpg;https://dd3ka9h4chfr8.cloudfront.net/image/725136000567/image_59pim3546h1off5c9eub0v3i12/-FJPG/241794-001_DET_1.jpg;https://dd3ka9h4chfr8.cloudfront.net/image/725136000567/image_hubrddgrm97vj0msmki2kg3064/-FJPG/241794-001_DET_3.jpg;https://dd3ka9h4chfr8.cloudfront.net/image/725136000567/image_sv28r67ogl3b12os9f1aclu22p/-FJPG/241794-001_DET_4.jpg;https://dd3ka9h4chfr8.cloudfront.net/image/725136000567/image_amfe0b4as113jb1ktgdrh55530/-FJPG/241794-001_DET_5.jpg;https://dd3ka9h4chfr8.cloudfront.net/image/725136000567/image_dj9knfvhqd58v69cr6rqif1q53/-FJPG/241794-001_DET_6.jpg;https://dd3ka9h4chfr8.cloudfront.net/image/725136000567/image_55s2drni2d16bfklkbuj70l760/-FJPG/241794-001_DET_7.jpg;https://dd3ka9h4chfr8.cloudfront.net/image/725136000567/image_101hao22rt6c5frpvo8r8ih10d/-FJPG/241794-001_DET_8.jpg;https://dd3ka9h4chfr8.cloudfront.net/image/725136000567/image_ri8sjgmbrt54lf7s8rrcdol30u/-FJPG/241794-001_DET_9.jpg;https://dd3ka9h4chfr8.cloudfront.net/image/725136000567/image_a2lhgrh2id5ud0072mmmms5811/-FJPG/241794-001_DET_10.jpg;https://dd3ka9h4chfr8.cloudfront.net/image/725136000567/image_k4iccf30ml18dak21hml9q511s/-FJPG/FHMPRJ-010_SCENE-08.tif</t>
  </si>
  <si>
    <t>241794-001</t>
  </si>
  <si>
    <t>https://dd3ka9h4chfr8.cloudfront.net/image/725136000567/image_53vholga7p0k37vma9u63i742t/-FJPG/241794-001_FRT_1.jpg</t>
  </si>
  <si>
    <t>A minimalist frame on this large-scale desk lets the natural character of cracked oak take center stage. Designed with A-frame legs with exposed wood dowel joinery.</t>
  </si>
  <si>
    <t>Wylie</t>
  </si>
  <si>
    <t>28.43"</t>
  </si>
  <si>
    <t>Xavier Chair</t>
  </si>
  <si>
    <t>https://dd3ka9h4chfr8.cloudfront.net/image/725136000567/image_67t2eji5r17t575tfkrs12nv2o/-FJPG/229360-007_FRT_1.jpg;https://dd3ka9h4chfr8.cloudfront.net/image/725136000567/image_p66lul7g59185655oj1elvek5p/-FJPG/229360-007_PRM_1.jpg;https://dd3ka9h4chfr8.cloudfront.net/image/725136000567/image_abr53mls9d579dj1k5vq502668/-FJPG/229360-007_SID_1.jpg;https://dd3ka9h4chfr8.cloudfront.net/image/725136000567/image_dmefi53ht50kv9a8jhjru54k5s/-FJPG/229360-007_ESS.tif;https://dd3ka9h4chfr8.cloudfront.net/image/725136000567/image_rc62prbi1164p9uu3ah6f6il5o/-FJPG/229360-007_ESS.tif;https://dd3ka9h4chfr8.cloudfront.net/image/725136000567/image_ahu6n97i296u34r68et3bjbr51/-FJPG/229360-007_DET_2.jpg;https://dd3ka9h4chfr8.cloudfront.net/image/725136000567/image_mo1l8bo1qt0fp5a4sfocmh4875/-FJPG/229360-007_BCK_1.jpg;https://dd3ka9h4chfr8.cloudfront.net/image/725136000567/image_n8t8uimjt56hdf51toj5iigh3t/-FJPG/229360-007_DET_1.jpg;https://dd3ka9h4chfr8.cloudfront.net/image/725136000567/image_fbk02lvq350u135bvgblcfb04r/-FJPG/229360-007_DET_3.jpg;https://dd3ka9h4chfr8.cloudfront.net/image/725136000567/image_7tkcb9erml68vd8d8cnotlq67j/-FJPG/229360-007_DET_4.jpg;https://dd3ka9h4chfr8.cloudfront.net/image/725136000567/image_a5jgit7vfd12peu0e6j7egsm2v/-FJPG/229360-007_DET_5.jpg;https://dd3ka9h4chfr8.cloudfront.net/image/725136000567/image_bka24298293u1928b0iesqg45a/-FJPG/229360-007_DET_6.jpg;https://dd3ka9h4chfr8.cloudfront.net/image/725136000567/image_kfc5ab5dst5mvct66h7h9e7m1q/-FJPG/229360-007_DET_7.jpg;https://dd3ka9h4chfr8.cloudfront.net/image/725136000567/image_tf6gu230i10717hfhto5098622/-FJPG/229360-007_DET_9.tif</t>
  </si>
  <si>
    <t>Antwerp Bone</t>
  </si>
  <si>
    <t>229360-007</t>
  </si>
  <si>
    <t>28.66</t>
  </si>
  <si>
    <t>https://dd3ka9h4chfr8.cloudfront.net/image/725136000567/image_67t2eji5r17t575tfkrs12nv2o/-FJPG/229360-007_FRT_1.jpg</t>
  </si>
  <si>
    <t>["39% Linen","35% Cotton","26% Polyester","Solid Parawood","Cane"]</t>
  </si>
  <si>
    <t>Aged Almond</t>
  </si>
  <si>
    <t>Aged Almond Cane</t>
  </si>
  <si>
    <t>Vintage inspiration gives the feel of rich heritage. A warm wood frame in an aged finish supports a cane back and worn Italian leather seat, for low-profile comfort.</t>
  </si>
  <si>
    <t>Xavier</t>
  </si>
  <si>
    <t>https://dd3ka9h4chfr8.cloudfront.net/image/725136000567/image_jgle5mjmh10lh8ps0nkc9v907s/-FJPG/229360-003_FRT_1.jpg;https://dd3ka9h4chfr8.cloudfront.net/image/725136000567/image_3km1je72ut1n33c33m2k3rtr4f/-FJPG/229360-003_PRM_1.jpg;https://dd3ka9h4chfr8.cloudfront.net/image/725136000567/image_3euk4puk8d6ml1akesmqcd5n28/-FJPG/229360-003_SID_1.jpg;https://dd3ka9h4chfr8.cloudfront.net/image/725136000567/image_iv8p5pooa91v532o70fte2vr0h/-FJPG/229360-003_ESS_1.jpg;https://dd3ka9h4chfr8.cloudfront.net/image/725136000567/image_iluc6vv2j91r7bgp9n6ttgfo0q/-FJPG/229360-003_DET_2.jpg;https://dd3ka9h4chfr8.cloudfront.net/image/725136000567/image_pkc0b3s9ep5r3ergrhi0pklo06/-FJPG/229360-003_BCK_1.jpg;https://dd3ka9h4chfr8.cloudfront.net/image/725136000567/image_71dk4th5st6f38jba9i4f8mb1a/-FJPG/229360-003_DET_1.jpg;https://dd3ka9h4chfr8.cloudfront.net/image/725136000567/image_g59bl8b1v15nj56tiag0i23k4o/-FJPG/229360-003_DET_3.jpg;https://dd3ka9h4chfr8.cloudfront.net/image/725136000567/image_r6c8520rih30v9gtubthd8g13i/-FJPG/229360-003_DET_4.jpg;https://dd3ka9h4chfr8.cloudfront.net/image/725136000567/image_vv4912gmqd6thfpsk4u3a3h97h/-FJPG/229360-003_DET_5.jpg;https://dd3ka9h4chfr8.cloudfront.net/image/725136000567/image_883k0dglb139b0epv3lsa8mf53/-FJPG/229360-003_DET_6.jpg;https://dd3ka9h4chfr8.cloudfront.net/image/725136000567/image_sq10e8vfrt3s777vhe96m8nh12/-FJPG/229360-003_DET_7.jpg</t>
  </si>
  <si>
    <t>229360-003</t>
  </si>
  <si>
    <t>https://dd3ka9h4chfr8.cloudfront.net/image/725136000567/image_jgle5mjmh10lh8ps0nkc9v907s/-FJPG/229360-003_FRT_1.jpg</t>
  </si>
  <si>
    <t>["Top Grain Leather","Solid Parawood","Cane"]</t>
  </si>
  <si>
    <t>https://dd3ka9h4chfr8.cloudfront.net/image/725136000567/image_l30vh395dp55d19616f0ah5569/-FJPG/229360-002_FRT_1.jpg;https://dd3ka9h4chfr8.cloudfront.net/image/725136000567/image_5otoesaur12590fi0iesr62462/-FJPG/229360-002_PRM_1.jpg;https://dd3ka9h4chfr8.cloudfront.net/image/725136000567/image_hncjllhm312bl6udj0v37uqs3m/-FJPG/229360-002_SID_1.jpg;https://dd3ka9h4chfr8.cloudfront.net/image/725136000567/image_op8q4h896h7m96vhsmte9vvv59/-FJPG/229360-002_ESS_1.jpg;https://dd3ka9h4chfr8.cloudfront.net/image/725136000567/image_ba8r50e9ut1dh0hi1vklv5ll3m/-FJPG/229360-002_DET_2.jpg;https://dd3ka9h4chfr8.cloudfront.net/image/725136000567/image_s7f3trfhh15nfa6olerujs827g/-FJPG/229360-002_BCK_1.jpg;https://dd3ka9h4chfr8.cloudfront.net/image/725136000567/image_nt22bm3fop593eajr95l1ift3h/-FJPG/229360-002_DET_1.jpg;https://dd3ka9h4chfr8.cloudfront.net/image/725136000567/image_ksappo5t6t09n4b2b6rq1d7404/-FJPG/229360-002_DET_3.jpg;https://dd3ka9h4chfr8.cloudfront.net/image/725136000567/image_n7dhe9vsul2shb82d2312bnb59/-FJPG/229360-002_DET_4.jpg;https://dd3ka9h4chfr8.cloudfront.net/image/725136000567/image_75uu5v5vt91svcn3gpgo5j3o1m/-FJPG/229360-002_DET_5.jpg;https://dd3ka9h4chfr8.cloudfront.net/image/725136000567/image_cch4fknjhp6ft64oj329rfje3a/-FJPG/229360-002_DET_6.jpg;https://dd3ka9h4chfr8.cloudfront.net/image/725136000567/image_sege39g2f94vb5jh2mo9m53t0i/-FJPG/229360-002_DET_7.jpg</t>
  </si>
  <si>
    <t>229360-002</t>
  </si>
  <si>
    <t>https://dd3ka9h4chfr8.cloudfront.net/image/725136000567/image_l30vh395dp55d19616f0ah5569/-FJPG/229360-002_FRT_1.jpg</t>
  </si>
  <si>
    <t>["51% Linen","49% Wool-Stonewash","Solid Parawood","Cane"]</t>
  </si>
  <si>
    <t>An antique style is reimagined with a rich cane backing and sustainably made, stone-washed Belgian Linenâ„¢. Detailed with fluted tapered legs and smooth arms that wrap around the back for the look of a vintage market find. Naturally durable and soft to the touch, Libecoâ„¢-sourced linens are artisan-made and free of toxic chemicals. Perfect as an accent chair or in pairs.</t>
  </si>
  <si>
    <t>Yann Sofa-96"</t>
  </si>
  <si>
    <t>https://dd3ka9h4chfr8.cloudfront.net/image/725136000567/image_jr0pfclgrd1v15vnor5bfo542s/-FJPG/242971-001_FRT_1.jpg;https://dd3ka9h4chfr8.cloudfront.net/image/725136000567/image_5f9e45rusd4vl1bgcbqpvnav0t/-FJPG/242971-001_PRM_1.jpg;https://dd3ka9h4chfr8.cloudfront.net/image/725136000567/image_2a639190bd5ctaanpjjtpeos0c/-FJPG/242971-001_SID_1.jpg;https://dd3ka9h4chfr8.cloudfront.net/image/725136000567/image_ul62i8vomp6pdeq5kqqqputd59/-FJPG/242971-001_ESS.tif;https://dd3ka9h4chfr8.cloudfront.net/image/725136000567/image_5flbnh9hp96of7bfgjp6bqhs0d/-FJPG/242971-001_DET_2.jpg;https://dd3ka9h4chfr8.cloudfront.net/image/725136000567/image_gf9rivcm3h20fc2ltdvnbdjf5m/-FJPG/242971-001_BCK_1.jpg;https://dd3ka9h4chfr8.cloudfront.net/image/725136000567/image_fm8h2fjv413st3fdugm4lo9c5l/-FJPG/242971-001_DET_1.jpg;https://dd3ka9h4chfr8.cloudfront.net/image/725136000567/image_ia88j5s75t691e36t8btpk5a3m/-FJPG/242971-001_DET_3.jpg;https://dd3ka9h4chfr8.cloudfront.net/image/725136000567/image_pjjp7g29l54u51o3uf0be97n3l/-FJPG/242971-001_DET_4.jpg;https://dd3ka9h4chfr8.cloudfront.net/image/725136000567/image_jm3st7fjql5epdvcb7gk80q970/-FJPG/242971-001_DET_5.jpg;https://dd3ka9h4chfr8.cloudfront.net/image/725136000567/image_j95so7astd2kdc0ov83qspa421/-FJPG/242971-001_DET_6.jpg;https://dd3ka9h4chfr8.cloudfront.net/image/725136000567/image_isfioe445h1339i30bgg9o3a33/-FJPG/242971-001_DET_7.jpg;https://dd3ka9h4chfr8.cloudfront.net/image/725136000567/image_9nbaoqg09d55f7vd6vfmg2na5a/-FJPG/242971-001_DET_8.jpg;https://dd3ka9h4chfr8.cloudfront.net/image/725136000567/image_ce15o5nin56tt6qqn9m9vhhs3e/-FJPG/FHMPRJ-013_SCENE_5.tif</t>
  </si>
  <si>
    <t>242971-001</t>
  </si>
  <si>
    <t>190.7</t>
  </si>
  <si>
    <t>https://dd3ka9h4chfr8.cloudfront.net/image/725136000567/image_jr0pfclgrd1v15vnor5bfo542s/-FJPG/242971-001_FRT_1.jpg</t>
  </si>
  <si>
    <t>41</t>
  </si>
  <si>
    <t>A wider, sleeker take on a modern sofa. Two thin wood slab sides support a tightly stitched midcentury frame and boxed arms, giving the piece a sculptural look. Oversized cushions in a two-over-two format are covered in a taupe top-grain leather.</t>
  </si>
  <si>
    <t>{"value":97.24,"unit":"in"}</t>
  </si>
  <si>
    <t>{"value":42.32,"unit":"in"}</t>
  </si>
  <si>
    <t>{"value":231.49,"unit":"lb"}</t>
  </si>
  <si>
    <t>38.35"</t>
  </si>
  <si>
    <t>17.87"</t>
  </si>
  <si>
    <t>76.69"</t>
  </si>
  <si>
    <t>35% Foam, 65% Feather</t>
  </si>
  <si>
    <t>Yann</t>
  </si>
  <si>
    <t>40.47"</t>
  </si>
  <si>
    <t>Yarra Console Table</t>
  </si>
  <si>
    <t>https://dd3ka9h4chfr8.cloudfront.net/image/725136000567/image_e90pescqfl4590g6nvcblkkq7t/-FJPG/240090-001_FRT_1.jpg;https://dd3ka9h4chfr8.cloudfront.net/image/725136000567/image_pc0lptr8ol04pd1a89f3td896f/-FJPG/240090-001_PRM_1.jpg;https://dd3ka9h4chfr8.cloudfront.net/image/725136000567/image_veu0nddk354g1ak9t2fq61ps0s/-FJPG/240090-001_SID_1.jpg;https://dd3ka9h4chfr8.cloudfront.net/image/725136000567/image_ognofgp39l58b99mc01erpfp12/-FJPG/240090-001_ESS.tif;https://dd3ka9h4chfr8.cloudfront.net/image/725136000567/image_rdgu0d30e16d59klm7lia08r63/-FJPG/240090-001_DET_2.jpg;https://dd3ka9h4chfr8.cloudfront.net/image/725136000567/image_elspn7tgth27r00etu7hjkdq7q/-FJPG/240090-001_DET_1.jpg;https://dd3ka9h4chfr8.cloudfront.net/image/725136000567/image_gl24b7iqe1639fb4hkilmlsj5t/-FJPG/240090-001_DET_3.jpg;https://dd3ka9h4chfr8.cloudfront.net/image/725136000567/image_p80a5um0n92h9fp24e1fg1vq22/-FJPG/240090-001_DET_4.jpg;https://dd3ka9h4chfr8.cloudfront.net/image/725136000567/image_7jqrpt9fl55t50ul84d8hkk140/-FJPG/240090-001_DET_5.jpg;https://dd3ka9h4chfr8.cloudfront.net/image/725136000567/image_qnlqhabu2h59ff0jhm19dfur77/-FJPG/FHMPRJ-010_SCENE-02-V1-B.tif</t>
  </si>
  <si>
    <t>Grey Oak Veneer</t>
  </si>
  <si>
    <t>240090-001</t>
  </si>
  <si>
    <t>141.54</t>
  </si>
  <si>
    <t>https://dd3ka9h4chfr8.cloudfront.net/image/725136000567/image_e90pescqfl4590g6nvcblkkq7t/-FJPG/240090-001_FRT_1.jpg</t>
  </si>
  <si>
    <t>With wide proportions and natural presence, an open-style console table of dark grey oak veneer features beautiful natural texture.</t>
  </si>
  <si>
    <t>{"value":79.81,"unit":"lb"}</t>
  </si>
  <si>
    <t>Yarra</t>
  </si>
  <si>
    <t>50.35"</t>
  </si>
  <si>
    <t>Yoko Nesting Tables</t>
  </si>
  <si>
    <t>https://dd3ka9h4chfr8.cloudfront.net/image/725136000567/image_9qmbjn856d2r961kip4l0ivj7v/-FJPG/241299-004_FRT_1.jpg;https://dd3ka9h4chfr8.cloudfront.net/image/725136000567/image_m1pm65ebqp3c53j2thuu09e23h/-FJPG/241299-004_PRM_1.jpg</t>
  </si>
  <si>
    <t>Clear Cast Glass</t>
  </si>
  <si>
    <t>241299-007</t>
  </si>
  <si>
    <t>133.29</t>
  </si>
  <si>
    <t>https://dd3ka9h4chfr8.cloudfront.net/image/725136000567/image_9qmbjn856d2r961kip4l0ivj7v/-FJPG/241299-004_FRT_1.jpg</t>
  </si>
  <si>
    <t>["Cast Glass","Iron"]</t>
  </si>
  <si>
    <t>Clear cast glass tops slim, tapered matte black metal frames in a sleek, contemporary design. Available as a nesting set or standalone tables.</t>
  </si>
  <si>
    <t>Small Table Top</t>
  </si>
  <si>
    <t>{"value":34.61,"unit":"lb"}</t>
  </si>
  <si>
    <t>Large Table Top</t>
  </si>
  <si>
    <t>{"value":99.3,"unit":"lb"}</t>
  </si>
  <si>
    <t>Large Table Base</t>
  </si>
  <si>
    <t>{"value":70.77,"unit":"lb"}</t>
  </si>
  <si>
    <t>Small Table Base</t>
  </si>
  <si>
    <t>Yoko</t>
  </si>
  <si>
    <t>Zach End Table</t>
  </si>
  <si>
    <t>https://dd3ka9h4chfr8.cloudfront.net/image/725136000567/image_412et27rjl5i30lp6c8bcbfj4l/-FJPG/226636-007_FRT_1.jpg;https://dd3ka9h4chfr8.cloudfront.net/image/725136000567/image_corfk94i8p53912qiut1anuu0f/-FJPG/226636-007_PRM_1.jpg;https://dd3ka9h4chfr8.cloudfront.net/image/725136000567/image_2p38f5mvmp5jh98dd2a735q813/-FJPG/226636-007_ESS_1.jpg;https://dd3ka9h4chfr8.cloudfront.net/image/725136000567/image_ek6jirgiqh6c15gana2tf4pr7m/-FJPG/226636-007_DET_2.jpg;https://dd3ka9h4chfr8.cloudfront.net/image/725136000567/image_vgsto2bv8h3tf699j3653t726j/-FJPG/226636-007_DET_1.jpg;https://dd3ka9h4chfr8.cloudfront.net/image/725136000567/image_m65m2kue910q3058pfq0s9v679/-FJPG/226636-007_DET_3.jpg;https://dd3ka9h4chfr8.cloudfront.net/image/725136000567/image_nbm9i3ppdt4mva8jeposbcpr5t/-FJPG/226636-007_DET_4.jpg;https://dd3ka9h4chfr8.cloudfront.net/image/725136000567/image_ti73jlv85t1onb8p546s3c7j4k/-FJPG/226636-007_DET_5.jpg;https://dd3ka9h4chfr8.cloudfront.net/image/725136000567/image_qmnpfr9ffp3g52o3cjituu485u/-FJPG/226636-007_ROM_1.jpg</t>
  </si>
  <si>
    <t>226636-007</t>
  </si>
  <si>
    <t>https://dd3ka9h4chfr8.cloudfront.net/image/725136000567/image_412et27rjl5i30lp6c8bcbfj4l/-FJPG/226636-007_FRT_1.jpg</t>
  </si>
  <si>
    <t>["Solid Parawood","Parawood Veneer"]</t>
  </si>
  <si>
    <t>Burnished Parawood Veneer</t>
  </si>
  <si>
    <t>Turn up the volume. A cylindrical pedestal-style base of solid burnished parawood supports a rounded tabletop with bullnose edging, for style and softness alike.</t>
  </si>
  <si>
    <t>{"value":19.49,"unit":"in"}</t>
  </si>
  <si>
    <t>Zach</t>
  </si>
  <si>
    <t>https://dd3ka9h4chfr8.cloudfront.net/image/725136000567/image_if8v0d5uh11mb2ohsn2p2r3660/-FJPG/226636-005_PRM_1.jpg;https://dd3ka9h4chfr8.cloudfront.net/image/725136000567/image_hbm3i526614ij2otd1ocjc8924/-FJPG/226636-005_ESS_1.jpg;https://dd3ka9h4chfr8.cloudfront.net/image/725136000567/image_doscbhp5e12fdahjqb2ojgog15/-FJPG/226636-005_DET_2.jpg;https://dd3ka9h4chfr8.cloudfront.net/image/725136000567/image_8bdbrjeq4h2l10luc0fdvo047k/-FJPG/226636-005_DET_1.jpg;https://dd3ka9h4chfr8.cloudfront.net/image/725136000567/image_plo08t3smt36v0bb7almd7ea2a/-FJPG/226636-005_DET_3.jpg;https://dd3ka9h4chfr8.cloudfront.net/image/725136000567/image_0g6muec91l6pr538hhqcpdo758/-FJPG/226636-005_DET_4.jpg</t>
  </si>
  <si>
    <t>Tofu Solid</t>
  </si>
  <si>
    <t>226636-005</t>
  </si>
  <si>
    <t>https://dd3ka9h4chfr8.cloudfront.net/image/725136000567/image_if8v0d5uh11mb2ohsn2p2r3660/-FJPG/226636-005_PRM_1.jpg</t>
  </si>
  <si>
    <t>Tofu Veneer</t>
  </si>
  <si>
    <t>A cylindrical pedestal-style base of solid white parawood supports a rounded tabletop with bullnose edging, for style and softness alike.</t>
  </si>
  <si>
    <t>Zena Ottoman</t>
  </si>
  <si>
    <t>https://dd3ka9h4chfr8.cloudfront.net/image/725136000567/image_r41ul7avth75h0tmmses35vl3p/-FJPG/241633-007_FRT_1.jpg;https://dd3ka9h4chfr8.cloudfront.net/image/725136000567/image_bok5s6nqjp6dtb4v32cst2g45q/-FJPG/241633-007_PRM_1.jpg;https://dd3ka9h4chfr8.cloudfront.net/image/725136000567/image_t34kpvas8d3n36je9t30nucn7h/-FJPG/241633-007_SID_1.jpg;https://dd3ka9h4chfr8.cloudfront.net/image/725136000567/image_ecj6jldp5h0qdco79to3urif4a/-FJPG/241633-007_DET_2.jpg;https://dd3ka9h4chfr8.cloudfront.net/image/725136000567/image_871oerupu91jh27g28o8nhih6p/-FJPG/241633-007_DET_1.jpg;https://dd3ka9h4chfr8.cloudfront.net/image/725136000567/image_f7cf5sub0p7hl6icjupsemio7l/-FJPG/241633-007_DET_3.jpg;https://dd3ka9h4chfr8.cloudfront.net/image/725136000567/image_dqp8otlqv52295srbl734q7d4a/-FJPG/241633-007_DET_4.jpg</t>
  </si>
  <si>
    <t>241633-007</t>
  </si>
  <si>
    <t>13.89</t>
  </si>
  <si>
    <t>https://dd3ka9h4chfr8.cloudfront.net/image/725136000567/image_r41ul7avth75h0tmmses35vl3p/-FJPG/241633-007_FRT_1.jpg</t>
  </si>
  <si>
    <t>Perfectly sized for smaller spaces, a versatile ottoman brings an extra surface or seat â€” and pop of color â€” to any room.</t>
  </si>
  <si>
    <t>{"value":18.08,"unit":"lb"}</t>
  </si>
  <si>
    <t>Zena</t>
  </si>
  <si>
    <t>Zion Nesting Coffee Table Set</t>
  </si>
  <si>
    <t>https://dd3ka9h4chfr8.cloudfront.net/image/725136000567/image_44bsr8h4l965hagg1qh0u2ee54/-FJPG/238223-003_PRM_1.jpg;https://dd3ka9h4chfr8.cloudfront.net/image/725136000567/image_omoif19m9l3in5p3jed9r0q23q/-FJPG/238223-003_SID_1.jpg;https://dd3ka9h4chfr8.cloudfront.net/image/725136000567/image_ti9623mkdt49lc81amv110j83f/-FJPG/238223-003_ESS.tif;https://dd3ka9h4chfr8.cloudfront.net/image/725136000567/image_ug298et36h1adf3msirtuonh27/-FJPG/238223-003_DET_2.jpg;https://dd3ka9h4chfr8.cloudfront.net/image/725136000567/image_305qvilfvl1pvbfk8cdcar743l/-FJPG/238223-003_DET_1.jpg;https://dd3ka9h4chfr8.cloudfront.net/image/725136000567/image_33s2upvtlh7nd55b51flod4q7s/-FJPG/238223-003_DET_3.jpg;https://dd3ka9h4chfr8.cloudfront.net/image/725136000567/image_qep5d32ugl299drdv20piuao23/-FJPG/238223-003_DET_4.jpg;https://dd3ka9h4chfr8.cloudfront.net/image/725136000567/image_4d7c9579n144v8nq3c9mpl1b0o/-FJPG/238223-003_DET_5.jpg;https://dd3ka9h4chfr8.cloudfront.net/image/725136000567/image_hl065mm2id7a3c7b44jeppod3m/-FJPG/238223-003_DET_6.jpg;https://dd3ka9h4chfr8.cloudfront.net/image/725136000567/image_oe3tgqfq5p1gvdlnu69lv80q1o/-FJPG/238223-003_DET_7.jpg;https://dd3ka9h4chfr8.cloudfront.net/image/725136000567/image_9irapd71v16qtfr03j9odhra46/-FJPG/238223-003_DET_9.tif;https://dd3ka9h4chfr8.cloudfront.net/image/725136000567/image_04qb3kgbch2r1enr1bhngagc4v/-FJPG/238223-003_DET_10.tif;https://dd3ka9h4chfr8.cloudfront.net/image/725136000567/image_dle8uf4uk53t92drmigrpt015e/-FJPG/238223-003_DET_11.tif</t>
  </si>
  <si>
    <t>238223-003</t>
  </si>
  <si>
    <t>386.78</t>
  </si>
  <si>
    <t>https://dd3ka9h4chfr8.cloudfront.net/image/725136000567/image_44bsr8h4l965hagg1qh0u2ee54/-FJPG/238223-003_PRM_1.jpg</t>
  </si>
  <si>
    <t>Made from solid marble with visible natural veining, turned pillar-style legs complement organically shaped tabletops, perfectly sized for nesting. Option to buy tables individually or together as a two-piece set.</t>
  </si>
  <si>
    <t>{"value":59.5,"unit":"in"}</t>
  </si>
  <si>
    <t>{"value":160.82,"unit":"lb"}</t>
  </si>
  <si>
    <t>{"value":42.75,"unit":"in"}</t>
  </si>
  <si>
    <t>{"value":147.37,"unit":"lb"}</t>
  </si>
  <si>
    <t>{"value":115.85,"unit":"lb"}</t>
  </si>
  <si>
    <t>{"value":94.13,"unit":"lb"}</t>
  </si>
  <si>
    <t>Zion</t>
  </si>
  <si>
    <t>https://dd3ka9h4chfr8.cloudfront.net/image/725136000567/image_9g58i3sma51ofb7nlul820h647/-FJPG/238223-001_FRT_1.jpg;https://dd3ka9h4chfr8.cloudfront.net/image/725136000567/image_i8ba11c6ad3qjbv79l917pde35/-FJPG/238223-001_PRM_1.jpg;https://dd3ka9h4chfr8.cloudfront.net/image/725136000567/image_kgckhns1l565p0lhqsf5mlan3c/-FJPG/238223-001_SID_1.jpg;https://dd3ka9h4chfr8.cloudfront.net/image/725136000567/image_dnqfguvsv9169btomqgd75t079/-FJPG/238223-001_ESS.tif;https://dd3ka9h4chfr8.cloudfront.net/image/725136000567/image_ov54m6sn1h4r98kjddalkdkt4n/-FJPG/238223-001_DET_2.jpg;https://dd3ka9h4chfr8.cloudfront.net/image/725136000567/image_61ntecg1kd32n72opopl4k2u46/-FJPG/238223-001_BCK_1.jpg;https://dd3ka9h4chfr8.cloudfront.net/image/725136000567/image_ophgjg1n7h1oj0irduthspl54p/-FJPG/238223-001_DET_1.jpg;https://dd3ka9h4chfr8.cloudfront.net/image/725136000567/image_8gt70pi7h15qbedod06slrd135/-FJPG/238223-001_DET_3.jpg;https://dd3ka9h4chfr8.cloudfront.net/image/725136000567/image_kuf4saos713nv2f8g7p5p7614n/-FJPG/238223-001_TOP_1.jpg;https://dd3ka9h4chfr8.cloudfront.net/image/725136000567/image_cutd661pl102367q4t6aofg97p/-FJPG/238223-001_DET_4.jpg;https://dd3ka9h4chfr8.cloudfront.net/image/725136000567/image_rdfoib4u957j31b719g90dso2u/-FJPG/238223-001_DET_5.jpg;https://dd3ka9h4chfr8.cloudfront.net/image/725136000567/image_8d7psko2914hn4r76f6oi9de0j/-FJPG/238223-001_DET_9.tif;https://dd3ka9h4chfr8.cloudfront.net/image/725136000567/image_4e86sqj8t563n3mp30td7kji16/-FJPG/238223-001_PRM_2.jpg</t>
  </si>
  <si>
    <t>238223-001</t>
  </si>
  <si>
    <t>https://dd3ka9h4chfr8.cloudfront.net/image/725136000567/image_9g58i3sma51ofb7nlul820h647/-FJPG/238223-001_FRT_1.jpg</t>
  </si>
  <si>
    <t>https://dd3ka9h4chfr8.cloudfront.net/image/725136000567/image_du3c7bb9p92c916pft6j8j5e63/-FJPG/238223-004_FRT_1.jpg;https://dd3ka9h4chfr8.cloudfront.net/image/725136000567/image_enurvk673t5c58eoemq3bk2i3l/-FJPG/238223-004_PRM_1.jpg;https://dd3ka9h4chfr8.cloudfront.net/image/725136000567/image_hgefhnq5el3s170ndgu5ujat32/-FJPG/239699-005_SID_1.jpg;https://dd3ka9h4chfr8.cloudfront.net/image/725136000567/image_p81mbumu850hfe3ks7c581an4a/-FJPG/238223-004_ESS.tif;https://dd3ka9h4chfr8.cloudfront.net/image/725136000567/image_vml04tulhp7jpd8dh8pfnrj946/-FJPG/239699-005_DET_2.jpg;https://dd3ka9h4chfr8.cloudfront.net/image/725136000567/image_6okrjrv1914k9egf3d18pmc26a/-FJPG/239699-005_DET_1.jpg;https://dd3ka9h4chfr8.cloudfront.net/image/725136000567/image_ve7dbkgd113fndeiektv8pqq51/-FJPG/239699-005_DET_3.jpg;https://dd3ka9h4chfr8.cloudfront.net/image/725136000567/image_9leji439n15tt4rfah427ttm46/-FJPG/239699-005_TOP_1.jpg;https://dd3ka9h4chfr8.cloudfront.net/image/725136000567/image_geptvhhn291vv2t6vdp26oa175/-FJPG/239699-005_DET_4.jpg;https://dd3ka9h4chfr8.cloudfront.net/image/725136000567/image_sftotnahn50f7dr5n9jniqu20q/-FJPG/238223-004_DET_9.tif</t>
  </si>
  <si>
    <t>238223-004</t>
  </si>
  <si>
    <t>86.09</t>
  </si>
  <si>
    <t>https://dd3ka9h4chfr8.cloudfront.net/image/725136000567/image_du3c7bb9p92c916pft6j8j5e63/-FJPG/238223-004_FRT_1.jpg</t>
  </si>
  <si>
    <t>Made from solid natural oak, turned pillar-style legs complement organically shaped tabletops, perfectly sized for nesting. Option to buy tables individually or together as a two-piece set.</t>
  </si>
  <si>
    <t>{"value":77.71,"unit":"lb"}</t>
  </si>
  <si>
    <t>{"value":40.12,"unit":"lb"}</t>
  </si>
  <si>
    <t>{"value":57.98,"unit":"lb"}</t>
  </si>
  <si>
    <t>{"value":29.54,"unit":"lb"}</t>
  </si>
  <si>
    <t>Zuma 6 Drawer Dresser</t>
  </si>
  <si>
    <t>https://dd3ka9h4chfr8.cloudfront.net/image/725136000567/image_4huuqbdpv53d1cqggvrgf9p826/-FJPG/228896-001_FRT_1.jpg;https://dd3ka9h4chfr8.cloudfront.net/image/725136000567/image_ueo37l72m1177euveodd4j013q/-FJPG/228896-001_PRM_1.jpg;https://dd3ka9h4chfr8.cloudfront.net/image/725136000567/image_7osqscp92t7b5942lsu091r56o/-FJPG/228896-001_SID_1.jpg;https://dd3ka9h4chfr8.cloudfront.net/image/725136000567/image_0fl5v8oefl17hfo8bacr9umh2k/-FJPG/228896-001_ESS_1.jpg;https://dd3ka9h4chfr8.cloudfront.net/image/725136000567/image_e2dkpbon053hlet55c0ipveh5h/-FJPG/228896-001_DET_2.jpg;https://dd3ka9h4chfr8.cloudfront.net/image/725136000567/image_u3ehfjh13l331eo6oh80f6633d/-FJPG/228896-001_BCK_1.jpg;https://dd3ka9h4chfr8.cloudfront.net/image/725136000567/image_1eivsa7f7h13lepn2ccf8hg74j/-FJPG/228896-001_DET_1.jpg;https://dd3ka9h4chfr8.cloudfront.net/image/725136000567/image_h2bkjoh5i96dhd22fn1ffot61p/-FJPG/228896-001_DET_3.jpg;https://dd3ka9h4chfr8.cloudfront.net/image/725136000567/image_hh001linq12g94ltr62si6lo3q/-FJPG/228896-001_OPN_1.jpg;https://dd3ka9h4chfr8.cloudfront.net/image/725136000567/image_mc91k9j1m909v5i3br7jd7gd5t/-FJPG/228896-001_DET_4.jpg;https://dd3ka9h4chfr8.cloudfront.net/image/725136000567/image_s2u28pb9lt7ntftn5cmmvtnm32/-FJPG/228896-001_DET_5.jpg</t>
  </si>
  <si>
    <t>Dune Ash Veneer</t>
  </si>
  <si>
    <t>228896-001</t>
  </si>
  <si>
    <t>219.36</t>
  </si>
  <si>
    <t>https://dd3ka9h4chfr8.cloudfront.net/image/725136000567/image_4huuqbdpv53d1cqggvrgf9p826/-FJPG/228896-001_FRT_1.jpg</t>
  </si>
  <si>
    <t>["Ash Veneer","Rush"]</t>
  </si>
  <si>
    <t>Simple yet refined, a Danish design-influenced dresser is made from solid ash, with iron hardware finished in a sleek gunmetal. Stretcher-style shelving made from woven paper cord serves up a textural finishing touch. Six spacious drawers bring generous storage space to the bedroom. This item has been modified to comply with the STURDY Act. See a full list of modified products and data changes in the â€œSTURDY Actâ€_x009d_ file in the Downloads section below.</t>
  </si>
  <si>
    <t>{"value":259.04,"unit":"lb"}</t>
  </si>
  <si>
    <t>69.02"</t>
  </si>
  <si>
    <t>Zuma</t>
  </si>
  <si>
    <t>Zuma Coffee Table</t>
  </si>
  <si>
    <t>https://dd3ka9h4chfr8.cloudfront.net/image/725136000567/image_j09l7a8op921fcj5oaejvhdn12/-FJPG/228770-001_FRT_1.jpg;https://dd3ka9h4chfr8.cloudfront.net/image/725136000567/image_gu9oo0to2p3mj5q6dfu85tcr4p/-FJPG/228770-001_PRM_1.jpg;https://dd3ka9h4chfr8.cloudfront.net/image/725136000567/image_1o6nr8mjr90tve4ucvtb4vre3t/-FJPG/228770-001_SID_1.jpg;https://dd3ka9h4chfr8.cloudfront.net/image/725136000567/image_dn2e23b00h07rdni1g9gue2a68/-FJPG/228770-001_DET_2.jpg;https://dd3ka9h4chfr8.cloudfront.net/image/725136000567/image_1qs9g047g50drea05o3a1u185f/-FJPG/228770-001_BCK_1.jpg;https://dd3ka9h4chfr8.cloudfront.net/image/725136000567/image_omsn4dg2g143v2aj21btmgdm48/-FJPG/228770-001_DET_1.jpg;https://dd3ka9h4chfr8.cloudfront.net/image/725136000567/image_0cttme7h6147bf1f5aq83lgo2t/-FJPG/228770-001_DET_3.jpg;https://dd3ka9h4chfr8.cloudfront.net/image/725136000567/image_ojst83nbr17gdcba1ij9kujo4u/-FJPG/228770-001_OPN_1.jpg;https://dd3ka9h4chfr8.cloudfront.net/image/725136000567/image_2gintm76b56610gokilp3iva4e/-FJPG/228770-001_DET_4.jpg;https://dd3ka9h4chfr8.cloudfront.net/image/725136000567/image_hparbod8jp621040j7fkf6uo1v/-FJPG/228770-001_DET_5.jpg;https://dd3ka9h4chfr8.cloudfront.net/image/725136000567/image_71550rr97d5b9dtivfkurig31f/-FJPG/228770-001_DET_6.jpg;https://dd3ka9h4chfr8.cloudfront.net/image/725136000567/image_2fsudnc6612hf4km70n9utpi4p/-FJPG/228770-001_DET_7.jpg;https://dd3ka9h4chfr8.cloudfront.net/image/725136000567/image_u4ln3ne3ip6bj6k82ha1kkmr0i/-FJPG/228770-001_DET_8.jpg</t>
  </si>
  <si>
    <t>228770-001</t>
  </si>
  <si>
    <t>https://dd3ka9h4chfr8.cloudfront.net/image/725136000567/image_j09l7a8op921fcj5oaejvhdn12/-FJPG/228770-001_FRT_1.jpg</t>
  </si>
  <si>
    <t>["Ash Veneer","Rush","Solid Ash"]</t>
  </si>
  <si>
    <t>A Danish-inspired design celebrates simple, refined shaping. Made from solid ash with dual drawers, open shelving of woven paper cord further ups storage and display options.</t>
  </si>
  <si>
    <t>10.87"</t>
  </si>
  <si>
    <t>20.18"</t>
  </si>
  <si>
    <t>Zuma Console</t>
  </si>
  <si>
    <t>https://dd3ka9h4chfr8.cloudfront.net/image/725136000567/image_chtgv5eph15j7e7np2qro3ji4o/-FJPG/228835-001_FRT_1.jpg;https://dd3ka9h4chfr8.cloudfront.net/image/725136000567/image_sle5b44p896lv299vujudrlj62/-FJPG/228835-001_PRM_1.jpg;https://dd3ka9h4chfr8.cloudfront.net/image/725136000567/image_ei22pscp9l247dsktmansnm13l/-FJPG/228835-001_SID_1.jpg;https://dd3ka9h4chfr8.cloudfront.net/image/725136000567/image_79vvdcfpfl1mfc7lhlq7d71q31/-FJPG/228835-001_ESS_1.jpg;https://dd3ka9h4chfr8.cloudfront.net/image/725136000567/image_4nd5gogcqt1l9caprq4v9qp30b/-FJPG/228835-001_DET_2.jpg;https://dd3ka9h4chfr8.cloudfront.net/image/725136000567/image_8is4qdas0p0kn8ndfci6cjit7s/-FJPG/228835-001_BCK_1.jpg;https://dd3ka9h4chfr8.cloudfront.net/image/725136000567/image_fpsc0lqd417ol3lajik5fitr2d/-FJPG/228835-001_DET_1.jpg;https://dd3ka9h4chfr8.cloudfront.net/image/725136000567/image_j91srdk3d10ojcunf9efhpug4t/-FJPG/228835-001_DET_3.jpg;https://dd3ka9h4chfr8.cloudfront.net/image/725136000567/image_8le750em611gl2faphabt91t1h/-FJPG/228835-001_OPN_1.jpg;https://dd3ka9h4chfr8.cloudfront.net/image/725136000567/image_dnrq0m85e9683ffh8cphcg1458/-FJPG/228835-001_DET_4.jpg;https://dd3ka9h4chfr8.cloudfront.net/image/725136000567/image_7t9omf36d137b5ol8ltms55s2d/-FJPG/228835-001_DET_5.jpg;https://dd3ka9h4chfr8.cloudfront.net/image/725136000567/image_ciimjqhuq96hp7odvle09uis7j/-FJPG/228835-001_DET_6.jpg;https://dd3ka9h4chfr8.cloudfront.net/image/725136000567/image_m7jversffd0h30hep7fsb3r46j/-FJPG/228835-001_ROM_1.jpg</t>
  </si>
  <si>
    <t>228835-001</t>
  </si>
  <si>
    <t>https://dd3ka9h4chfr8.cloudfront.net/image/725136000567/image_chtgv5eph15j7e7np2qro3ji4o/-FJPG/228835-001_FRT_1.jpg</t>
  </si>
  <si>
    <t>54.92"</t>
  </si>
  <si>
    <t>23.68"</t>
  </si>
  <si>
    <t>Zuma Nightstand</t>
  </si>
  <si>
    <t>https://dd3ka9h4chfr8.cloudfront.net/image/725136000567/image_5u4vmjtsh940v53j1jto7so611/-FJPG/228899-001_FRT_1.jpg;https://dd3ka9h4chfr8.cloudfront.net/image/725136000567/image_6u1kv9sli132t0h1g1gt9ue674/-FJPG/228899-001_PRM_1.jpg;https://dd3ka9h4chfr8.cloudfront.net/image/725136000567/image_dpbbqk40lh6nlafd80oa46nd54/-FJPG/228899-001_SID_1.jpg;https://dd3ka9h4chfr8.cloudfront.net/image/725136000567/image_t6e6tnrh2d75v7hlvfbmbeqg2p/-FJPG/228899-001_ESS.tif;https://dd3ka9h4chfr8.cloudfront.net/image/725136000567/image_vouh1tctup7q32t6ar5hlvtp7h/-FJPG/228899-001_DET_2.jpg;https://dd3ka9h4chfr8.cloudfront.net/image/725136000567/image_aaa73puneh13h4n7gup7dsu82s/-FJPG/228899-001_BCK_1.jpg;https://dd3ka9h4chfr8.cloudfront.net/image/725136000567/image_h7q99iu3f14232667plsphh619/-FJPG/228899-001_DET_1.jpg;https://dd3ka9h4chfr8.cloudfront.net/image/725136000567/image_5eo30dldj158ldpa01eupbtn7l/-FJPG/228899-001_DET_3.jpg;https://dd3ka9h4chfr8.cloudfront.net/image/725136000567/image_58c9em4dd55c5aibnv7ukkfg4o/-FJPG/228899-001_OPN_1.jpg;https://dd3ka9h4chfr8.cloudfront.net/image/725136000567/image_n8d0l5hgjt787dbjc4a8depd67/-FJPG/228899-001_DET_4.jpg;https://dd3ka9h4chfr8.cloudfront.net/image/725136000567/image_i720rhh0mh4j9a0jo7pmohkv0d/-FJPG/228899-001_DET_5.jpg;https://dd3ka9h4chfr8.cloudfront.net/image/725136000567/image_pi81tbg03132d5re8m8hpp1b00/-FJPG/228899-001_DET_6.jpg;https://dd3ka9h4chfr8.cloudfront.net/image/725136000567/image_4g6vdst88d1anbg15isui2o85c/-FJPG/228899-001_DET_7.jpg;https://dd3ka9h4chfr8.cloudfront.net/image/725136000567/image_gd2c3asuft5m56eequmc0i6d51/-FJPG/228899-001_VIG_1.jpg</t>
  </si>
  <si>
    <t>228899-001</t>
  </si>
  <si>
    <t>https://dd3ka9h4chfr8.cloudfront.net/image/725136000567/image_5u4vmjtsh940v53j1jto7so611/-FJPG/228899-001_FRT_1.jpg</t>
  </si>
  <si>
    <t>Simple yet refined, a Danish design-influenced nightstand is made from solid ash, with iron hardware finished in a sleek gunmetal. Dual drawers bring generous storage space to the bedside, while stretcher-style shelving made from woven paper cord doles a textural finishing touch.</t>
  </si>
  <si>
    <t>18.94"</t>
  </si>
  <si>
    <t>Zuma Sideboard</t>
  </si>
  <si>
    <t>https://dd3ka9h4chfr8.cloudfront.net/image/725136000567/image_qnhc0b6sg97h1addr9mi3v3i3v/-FJPG/228295-001_FRT_1.jpg;https://dd3ka9h4chfr8.cloudfront.net/image/725136000567/image_7v0hsh9ru519p5b7marf9pqo5k/-FJPG/228295-001_PRM_1.jpg;https://dd3ka9h4chfr8.cloudfront.net/image/725136000567/image_ar9v1m1l7d2lj7lu3aff2e9j61/-FJPG/228295-001_SID_1.jpg;https://dd3ka9h4chfr8.cloudfront.net/image/725136000567/image_90hhkdknah07haihdrbdlci957/-FJPG/228295-001_ESS_1.jpg;https://dd3ka9h4chfr8.cloudfront.net/image/725136000567/image_pap7flqol11tn2r1n1m8imlc7l/-FJPG/228295-001_DET_2.jpg;https://dd3ka9h4chfr8.cloudfront.net/image/725136000567/image_v09u3v7c0h7un09o5h4d0inu44/-FJPG/228295-001_BCK_1.jpg;https://dd3ka9h4chfr8.cloudfront.net/image/725136000567/image_53430749ip1tb8nhpglasicv41/-FJPG/228295-001_DET_1.jpg;https://dd3ka9h4chfr8.cloudfront.net/image/725136000567/image_aut2v0gga91214h7j9ab1cdm38/-FJPG/228295-001_DET_3.jpg;https://dd3ka9h4chfr8.cloudfront.net/image/725136000567/image_tu7kj7iki11r38hh59ulcbj660/-FJPG/228295-001_OPN_1.jpg;https://dd3ka9h4chfr8.cloudfront.net/image/725136000567/image_39otbsfpvl5jr8i6aq8a1b0j0d/-FJPG/228295-001_DET_4.jpg;https://dd3ka9h4chfr8.cloudfront.net/image/725136000567/image_bt85vav9a97krbq067a3t6mc4c/-FJPG/228295-001_DET_5.jpg;https://dd3ka9h4chfr8.cloudfront.net/image/725136000567/image_a59keapt0d089d1ar0q93uc83b/-FJPG/228295-001_DET_6.jpg</t>
  </si>
  <si>
    <t>228295-001</t>
  </si>
  <si>
    <t>https://dd3ka9h4chfr8.cloudfront.net/image/725136000567/image_qnhc0b6sg97h1addr9mi3v3i3v/-FJPG/228295-001_FRT_1.jpg</t>
  </si>
  <si>
    <t>Simple yet refined, a Danish design-influenced sideboard is made from solid ash, with iron hardware finished in a sleek gunmetal. Stretcher-style shelving made from woven paper cord serves up a textural finishing touch.</t>
  </si>
  <si>
    <t>17.15"</t>
  </si>
  <si>
    <t>Old title</t>
  </si>
  <si>
    <t>Merged into one</t>
  </si>
  <si>
    <t>price</t>
  </si>
  <si>
    <t>Item Number</t>
  </si>
  <si>
    <t>UPC</t>
  </si>
  <si>
    <t>Name</t>
  </si>
  <si>
    <t>Checker</t>
  </si>
  <si>
    <t>NEW TITLE</t>
  </si>
  <si>
    <t>Option1 name</t>
  </si>
  <si>
    <t>Option1 value</t>
  </si>
  <si>
    <t>Option2 name</t>
  </si>
  <si>
    <t>Option2 value</t>
  </si>
  <si>
    <t>Category Display Name</t>
  </si>
  <si>
    <t>Subcategory Display Name</t>
  </si>
  <si>
    <t>Width</t>
  </si>
  <si>
    <t>Depth</t>
  </si>
  <si>
    <t>Height</t>
  </si>
  <si>
    <t>Weight</t>
  </si>
  <si>
    <t>Material</t>
  </si>
  <si>
    <t>Material 1</t>
  </si>
  <si>
    <t>Material 2</t>
  </si>
  <si>
    <t>Material 3</t>
  </si>
  <si>
    <t>Material 4</t>
  </si>
  <si>
    <t>Material 5</t>
  </si>
  <si>
    <t>Material 6</t>
  </si>
  <si>
    <t>Hospitality Grade</t>
  </si>
  <si>
    <t>Description</t>
  </si>
  <si>
    <t>Primary Image Thumbnail Url</t>
  </si>
  <si>
    <t>Image 1</t>
  </si>
  <si>
    <t>Image 2</t>
  </si>
  <si>
    <t>Image 3</t>
  </si>
  <si>
    <t>Image 4</t>
  </si>
  <si>
    <t>Image 5</t>
  </si>
  <si>
    <t>Image 6</t>
  </si>
  <si>
    <t>Image 7</t>
  </si>
  <si>
    <t>Image 8</t>
  </si>
  <si>
    <t>Image 9</t>
  </si>
  <si>
    <t>Image 10</t>
  </si>
  <si>
    <t>Image 11</t>
  </si>
  <si>
    <t>Image 12</t>
  </si>
  <si>
    <t>Image 13</t>
  </si>
  <si>
    <t>Image 14</t>
  </si>
  <si>
    <t>Image 15</t>
  </si>
  <si>
    <t>Image 16</t>
  </si>
  <si>
    <t>Image 17</t>
  </si>
  <si>
    <t>Image 18</t>
  </si>
  <si>
    <t>Image 19</t>
  </si>
  <si>
    <t>Image 20</t>
  </si>
  <si>
    <t>Image 21</t>
  </si>
  <si>
    <t>Image 22</t>
  </si>
  <si>
    <t>Image 23</t>
  </si>
  <si>
    <t>Image 24</t>
  </si>
  <si>
    <t>Image 25</t>
  </si>
  <si>
    <t>Image 26</t>
  </si>
  <si>
    <t>Image 27</t>
  </si>
  <si>
    <t>Image 28</t>
  </si>
  <si>
    <t>Image 29</t>
  </si>
  <si>
    <t>Images</t>
  </si>
  <si>
    <t>MAP</t>
  </si>
  <si>
    <t>COST</t>
  </si>
  <si>
    <t>Box Count</t>
  </si>
  <si>
    <t>Box 1 Contents</t>
  </si>
  <si>
    <t>Box 1 Width</t>
  </si>
  <si>
    <t>Box 1 Depth</t>
  </si>
  <si>
    <t>Box 1 Height</t>
  </si>
  <si>
    <t>Box 1 Weight</t>
  </si>
  <si>
    <t>Box 2 Contents</t>
  </si>
  <si>
    <t>Box 2 Width</t>
  </si>
  <si>
    <t>Box 2 Depth</t>
  </si>
  <si>
    <t>Box 2 Height</t>
  </si>
  <si>
    <t>Box 2 Weight</t>
  </si>
  <si>
    <t>Box 3 Contents</t>
  </si>
  <si>
    <t>Box 3 Width</t>
  </si>
  <si>
    <t>Box 3 Depth</t>
  </si>
  <si>
    <t>Box 3 Height</t>
  </si>
  <si>
    <t>Box 3 Weight</t>
  </si>
  <si>
    <t>Box 4 Contents</t>
  </si>
  <si>
    <t>Box 4 Width</t>
  </si>
  <si>
    <t>Box 4 Depth</t>
  </si>
  <si>
    <t>Box 4 Height</t>
  </si>
  <si>
    <t>Box 4 Weight</t>
  </si>
  <si>
    <t>Volume Cubic Feet</t>
  </si>
  <si>
    <t>Volume Cubic Meters</t>
  </si>
  <si>
    <t>Item Class Rank</t>
  </si>
  <si>
    <t>Seat Depth 1</t>
  </si>
  <si>
    <t>Seat Height 1</t>
  </si>
  <si>
    <t>Seat Width 1</t>
  </si>
  <si>
    <t>Arm Pillow Qty</t>
  </si>
  <si>
    <t>Back Cushion Qty</t>
  </si>
  <si>
    <t>Chair Arm Option</t>
  </si>
  <si>
    <t>Cleaning Code</t>
  </si>
  <si>
    <t>Rub Rate</t>
  </si>
  <si>
    <t>Seating Capacity</t>
  </si>
  <si>
    <t>Shape Type</t>
  </si>
  <si>
    <t>Weight Capacity</t>
  </si>
  <si>
    <t>Arm Height from Floor</t>
  </si>
  <si>
    <t>Abaso 6-Drawer Dresser - Ebony Rustic Wormwood Oak</t>
  </si>
  <si>
    <t>Thick Oak Veneer</t>
  </si>
  <si>
    <t>https://dd3ka9h4chfr8.cloudfront.net/image/725136000567/image_od7fgelf190gp89vokk5slm836/-S150x150-FJPG/239844-002_PRM_1.jpg</t>
  </si>
  <si>
    <t>https://dd3ka9h4chfr8.cloudfront.net/image/725136000567/image_od7fgelf190gp89vokk5slm836/-FJPG/239844-002_PRM_1.jpg</t>
  </si>
  <si>
    <t>https://dd3ka9h4chfr8.cloudfront.net/image/725136000567/image_jpqfqujft144l6poot3eqice70/-FJPG/239844-002_SID_1.jpg</t>
  </si>
  <si>
    <t>https://dd3ka9h4chfr8.cloudfront.net/image/725136000567/image_3v3ac2vu55667d3ackqot4952l/-FJPG/239844-002_ESS_1.jpg</t>
  </si>
  <si>
    <t>https://dd3ka9h4chfr8.cloudfront.net/image/725136000567/image_fifcnjg2jd4fl9hhp85a22if6d/-FJPG/239844-002_DET_2.jpg</t>
  </si>
  <si>
    <t>https://dd3ka9h4chfr8.cloudfront.net/image/725136000567/image_rafe38g82p0f95532d5d2qat6o/-FJPG/239844-002_BCK_1.jpg</t>
  </si>
  <si>
    <t>https://dd3ka9h4chfr8.cloudfront.net/image/725136000567/image_np0cahrk7d41h83656qm26qo6r/-FJPG/Color Variance Card_Ebony Rustic Wormwood.jpg</t>
  </si>
  <si>
    <t>https://dd3ka9h4chfr8.cloudfront.net/image/725136000567/image_drv98806555u54li4bukgaji4q/-FJPG/239844-002_DET_1.jpg</t>
  </si>
  <si>
    <t>https://dd3ka9h4chfr8.cloudfront.net/image/725136000567/image_l6pokv08dh4fr0j4u0so9jad7r/-FJPG/239844-002_OPN_1.jpg</t>
  </si>
  <si>
    <t>https://dd3ka9h4chfr8.cloudfront.net/image/725136000567/image_6inj2p2qed13557lftptr3460l/-FJPG/239844-002_TOP_1.jpg</t>
  </si>
  <si>
    <t>Abaso 6-Drawer Dresser - Rustic Wormwood Oak</t>
  </si>
  <si>
    <t>https://dd3ka9h4chfr8.cloudfront.net/image/725136000567/image_2ijs6dj42d4e1frt8452e5nr5k/-S150x150-FJPG/239844-001_PRM_1.jpg</t>
  </si>
  <si>
    <t>https://dd3ka9h4chfr8.cloudfront.net/image/725136000567/image_2ijs6dj42d4e1frt8452e5nr5k/-FJPG/239844-001_PRM_1.jpg</t>
  </si>
  <si>
    <t>https://dd3ka9h4chfr8.cloudfront.net/image/725136000567/image_ek00ed0bqh76l0drdp56knkp6j/-FJPG/239844-001_SID_1.jpg</t>
  </si>
  <si>
    <t>https://dd3ka9h4chfr8.cloudfront.net/image/725136000567/image_li60n6h6l55at53t7lhorscn73/-FJPG/239844-001_ESS_1.jpg</t>
  </si>
  <si>
    <t>https://dd3ka9h4chfr8.cloudfront.net/image/725136000567/image_tj95c5v1jt013em34sk24knn4h/-FJPG/239844-001_DET_2.jpg</t>
  </si>
  <si>
    <t>https://dd3ka9h4chfr8.cloudfront.net/image/725136000567/image_iurtlg64s956vd21h0m9f5p95p/-FJPG/239844-001_BCK_1.jpg</t>
  </si>
  <si>
    <t>https://dd3ka9h4chfr8.cloudfront.net/image/725136000567/image_jddfbo3vt507rbt0ls1dko090r/-FJPG/239844-001_DET_1.jpg</t>
  </si>
  <si>
    <t>https://dd3ka9h4chfr8.cloudfront.net/image/725136000567/image_ihu66i7hnt4hr23k4nf4gm6o3u/-FJPG/239844-001_TOP_1.jpg</t>
  </si>
  <si>
    <t>https://dd3ka9h4chfr8.cloudfront.net/image/725136000567/image_2j8f8d5ro931j52qq0pmu93s09/-FJPG/239844-001_PRM_2.jpg</t>
  </si>
  <si>
    <t>Abaso Accent Bench - Ebony Rustic Wormwood Oak</t>
  </si>
  <si>
    <t>https://dd3ka9h4chfr8.cloudfront.net/image/725136000567/image_rk6qngc2dh4phedb7ru3ggno3i/-S150x150-FJPG/239396-002_PRM_1.jpg</t>
  </si>
  <si>
    <t>https://dd3ka9h4chfr8.cloudfront.net/image/725136000567/image_rk6qngc2dh4phedb7ru3ggno3i/-FJPG/239396-002_PRM_1.jpg</t>
  </si>
  <si>
    <t>https://dd3ka9h4chfr8.cloudfront.net/image/725136000567/image_198i86qcih6j36m0v1aagmug1k/-FJPG/239396-002_SID_1.jpg</t>
  </si>
  <si>
    <t>https://dd3ka9h4chfr8.cloudfront.net/image/725136000567/image_v160moces919v0qqfmguh6k95f/-FJPG/239396-002_ESS.tif</t>
  </si>
  <si>
    <t>https://dd3ka9h4chfr8.cloudfront.net/image/725136000567/image_2el5978sr10f52bbgcbpacid7q/-FJPG/239396-002_DET_2.jpg</t>
  </si>
  <si>
    <t>https://dd3ka9h4chfr8.cloudfront.net/image/725136000567/image_kuin0v575l5prb7tmoehlf0u7g/-FJPG/239396-002_BCK_1.jpg</t>
  </si>
  <si>
    <t>https://dd3ka9h4chfr8.cloudfront.net/image/725136000567/image_1e97th6itd6l31suo14b2sch56/-FJPG/239396-002_DET_1.jpg</t>
  </si>
  <si>
    <t>https://dd3ka9h4chfr8.cloudfront.net/image/725136000567/image_g8mgr5k0095mjbqtaeppspjv1v/-FJPG/239396-002_DET_3.jpg</t>
  </si>
  <si>
    <t>https://dd3ka9h4chfr8.cloudfront.net/image/725136000567/image_pjs08ok2r961d51mam1ij5ob1h/-FJPG/239396-0021_TOP_1.jpg</t>
  </si>
  <si>
    <t>https://dd3ka9h4chfr8.cloudfront.net/image/725136000567/image_peqj3b4i6h6b1cfrqbponr3m6h/-FJPG/239396-002_DET_4.jpg</t>
  </si>
  <si>
    <t>https://dd3ka9h4chfr8.cloudfront.net/image/725136000567/image_doq81ecbdt1ap6abb20gl64p5q/-FJPG/239396-002_DET_5.jpg</t>
  </si>
  <si>
    <t>https://dd3ka9h4chfr8.cloudfront.net/image/725136000567/image_43f7u0en3930lc20ejh6r31l4h/-FJPG/239396-002_DET_6.jpg</t>
  </si>
  <si>
    <t>https://dd3ka9h4chfr8.cloudfront.net/image/725136000567/image_l4s3umpqhp1kh0ji24m6st502t/-FJPG/239396-002_DET_7.jpg</t>
  </si>
  <si>
    <t>https://dd3ka9h4chfr8.cloudfront.net/image/725136000567/image_98m5pb6ei957f0d2jo359bis13/-FJPG/239396-002_DET_8.jpg</t>
  </si>
  <si>
    <t>Abaso Accent Bench - Rustic Wormwood Oak</t>
  </si>
  <si>
    <t>https://dd3ka9h4chfr8.cloudfront.net/image/725136000567/image_lgpivettpt0qbfj5ih5ruh2u76/-S150x150-FJPG/239396-001_PRM_1.jpg</t>
  </si>
  <si>
    <t>https://dd3ka9h4chfr8.cloudfront.net/image/725136000567/image_lgpivettpt0qbfj5ih5ruh2u76/-FJPG/239396-001_PRM_1.jpg</t>
  </si>
  <si>
    <t>https://dd3ka9h4chfr8.cloudfront.net/image/725136000567/image_kpeb9j429p5ujcvlk3civdad0r/-FJPG/239396-001_SID_1.tif</t>
  </si>
  <si>
    <t>https://dd3ka9h4chfr8.cloudfront.net/image/725136000567/image_574bjlmna11td1snohvr534o77/-FJPG/239396-001_ESS_1.tif</t>
  </si>
  <si>
    <t>https://dd3ka9h4chfr8.cloudfront.net/image/725136000567/image_mbl3l1fdbl56b22h6u3m2b356t/-FJPG/239396-001_DET_2.jpg</t>
  </si>
  <si>
    <t>https://dd3ka9h4chfr8.cloudfront.net/image/725136000567/image_vh4grgfj4h65j6tc8eq1020p3m/-FJPG/239396-001_BCK_1.jpg</t>
  </si>
  <si>
    <t>https://dd3ka9h4chfr8.cloudfront.net/image/725136000567/image_ontjrn7g850g1crk86hid1tl74/-FJPG/239396-001_DET_1.jpg</t>
  </si>
  <si>
    <t>https://dd3ka9h4chfr8.cloudfront.net/image/725136000567/image_rbk5jjl1c93q9avmo10d8pqc1i/-FJPG/239396-001_DET_3.jpg</t>
  </si>
  <si>
    <t>https://dd3ka9h4chfr8.cloudfront.net/image/725136000567/image_7jn0dv941d1gld845qnt8dkk3v/-FJPG/239396-001_TOP_1.tif</t>
  </si>
  <si>
    <t>https://dd3ka9h4chfr8.cloudfront.net/image/725136000567/image_pv26cggb8d1k524qu1h4n1ou3j/-FJPG/239396-001_DET_4.jpg</t>
  </si>
  <si>
    <t>https://dd3ka9h4chfr8.cloudfront.net/image/725136000567/image_32ghppec3h6bv06iftpk6f3n4l/-FJPG/239396-001_DET_5.jpg</t>
  </si>
  <si>
    <t>https://dd3ka9h4chfr8.cloudfront.net/image/725136000567/image_5g32a2q0o504hbdv3mlmqt4600/-FJPG/239396-001_DET_6.jpg</t>
  </si>
  <si>
    <t>https://dd3ka9h4chfr8.cloudfront.net/image/725136000567/image_h1v7nn3pu52v5e8npgd8rifp4p/-FJPG/239396-001_DET_7.jpg</t>
  </si>
  <si>
    <t>https://dd3ka9h4chfr8.cloudfront.net/image/725136000567/image_19lkvgc54p5811us968rf4kf5m/-FJPG/239396-001_DET_8.jpg</t>
  </si>
  <si>
    <t>https://dd3ka9h4chfr8.cloudfront.net/image/725136000567/image_n7qdn5fn0h511bd9mugina4q30/-FJPG/239396-001_DET_8.tif</t>
  </si>
  <si>
    <t>https://dd3ka9h4chfr8.cloudfront.net/image/725136000567/image_o35vnqtjep37h7583t4li6ov6e/-FJPG/239396-001_DET_9.jpg</t>
  </si>
  <si>
    <t>https://dd3ka9h4chfr8.cloudfront.net/image/725136000567/image_pvlm1qcu3h1n9ai238s6j0544j/-FJPG/239396-001_DET_9.tif</t>
  </si>
  <si>
    <t>https://dd3ka9h4chfr8.cloudfront.net/image/725136000567/image_ljh3v0m1n15mr0hispol773a3o/-FJPG/239396-001_DET_10.tif</t>
  </si>
  <si>
    <t>Abaso Coffee Table - Ebony Rustic Wormwood Oak</t>
  </si>
  <si>
    <t>https://dd3ka9h4chfr8.cloudfront.net/image/725136000567/image_1suf8f0qpp2ljapjfgt98klm5k/-S150x150-FJPG/232775-002_PRM_1.jpg</t>
  </si>
  <si>
    <t>https://dd3ka9h4chfr8.cloudfront.net/image/725136000567/image_1suf8f0qpp2ljapjfgt98klm5k/-FJPG/232775-002_PRM_1.jpg</t>
  </si>
  <si>
    <t>https://dd3ka9h4chfr8.cloudfront.net/image/725136000567/image_h4f03gucsd3j99e7n0oqeaiq2p/-FJPG/232775-002_SID_1.jpg</t>
  </si>
  <si>
    <t>https://dd3ka9h4chfr8.cloudfront.net/image/725136000567/image_s7t03klhbt5ifcicnfbapecc1u/-FJPG/232775-002_ESS_1.jpg</t>
  </si>
  <si>
    <t>https://dd3ka9h4chfr8.cloudfront.net/image/725136000567/image_ck3fdnbq8t5lf2nfk263auig2i/-FJPG/232775-002_DET_2.jpg</t>
  </si>
  <si>
    <t>https://dd3ka9h4chfr8.cloudfront.net/image/725136000567/image_0p6b33us090s141an6a850ik20/-FJPG/232775-002_DET_1.jpg</t>
  </si>
  <si>
    <t>https://dd3ka9h4chfr8.cloudfront.net/image/725136000567/image_2n3eg4hr8d7kh3t5phdpgbua2i/-FJPG/232775-002_DET_3.jpg</t>
  </si>
  <si>
    <t>https://dd3ka9h4chfr8.cloudfront.net/image/725136000567/image_e88lc8h98h1pr0g1atknh7jt2q/-FJPG/232775-002_TOP_1.jpg</t>
  </si>
  <si>
    <t>https://dd3ka9h4chfr8.cloudfront.net/image/725136000567/image_mk5h063cv57ln7tkakmrs17q0h/-FJPG/232775-002_DET_4.jpg</t>
  </si>
  <si>
    <t>https://dd3ka9h4chfr8.cloudfront.net/image/725136000567/image_odsc56iv856vtb3nd9c8ee4a0h/-FJPG/232775-002_DET_5.jpg</t>
  </si>
  <si>
    <t>https://dd3ka9h4chfr8.cloudfront.net/image/725136000567/image_p7ce3j9m9l1ilbb28ba9bbp45m/-FJPG/232775-002_DET_6.jpg</t>
  </si>
  <si>
    <t>Abaso Console Table - Ebony Rustic Ash Oyster</t>
  </si>
  <si>
    <t>Thick Oyster Cut Ash Oyster Veneer</t>
  </si>
  <si>
    <t>https://dd3ka9h4chfr8.cloudfront.net/image/725136000567/image_s8m5ae5irp46ja124j86o7sb4e/-S150x150-FJPG/229656-003_PRM_1.jpg</t>
  </si>
  <si>
    <t>https://dd3ka9h4chfr8.cloudfront.net/image/725136000567/image_s8m5ae5irp46ja124j86o7sb4e/-FJPG/229656-003_PRM_1.jpg</t>
  </si>
  <si>
    <t>https://dd3ka9h4chfr8.cloudfront.net/image/725136000567/image_sue799auvd4u177d27p7p0va71/-FJPG/229656-003_SID_1.jpg</t>
  </si>
  <si>
    <t>https://dd3ka9h4chfr8.cloudfront.net/image/725136000567/image_ei40rdmj65145epp0uj3od0d5g/-FJPG/229656-003_ESS_1.jpg</t>
  </si>
  <si>
    <t>https://dd3ka9h4chfr8.cloudfront.net/image/725136000567/image_drnok33kbt11hf9mg1s2958158/-FJPG/229656-003_ESS.tif</t>
  </si>
  <si>
    <t>https://dd3ka9h4chfr8.cloudfront.net/image/725136000567/image_3rq9fmvj4d3pr3jdidgj34d96d/-FJPG/229656-003_HOV_1.jpg</t>
  </si>
  <si>
    <t>https://dd3ka9h4chfr8.cloudfront.net/image/725136000567/image_rphups9c055or6nj91uhf1l067/-FJPG/229656-003_DET_2.jpg</t>
  </si>
  <si>
    <t>https://dd3ka9h4chfr8.cloudfront.net/image/725136000567/image_v8hb9o3jr15lv1v9mt200aak7s/-FJPG/229656-003_DET_1.jpg</t>
  </si>
  <si>
    <t>https://dd3ka9h4chfr8.cloudfront.net/image/725136000567/image_538ooo7u4t0gdb84hscm23ol04/-FJPG/229656-003_DET_3.jpg</t>
  </si>
  <si>
    <t>https://dd3ka9h4chfr8.cloudfront.net/image/725136000567/image_3hv90vton123p6b0j7j1f6st63/-FJPG/229656-003_DET_4.jpg</t>
  </si>
  <si>
    <t>https://dd3ka9h4chfr8.cloudfront.net/image/725136000567/image_hpj4g1mnp14vja7h9a5bb79d6h/-FJPG/229656-003_DET_5.jpg</t>
  </si>
  <si>
    <t>Abaso Console Table - Rustic Ash Oyster</t>
  </si>
  <si>
    <t>https://dd3ka9h4chfr8.cloudfront.net/image/725136000567/image_lkocca1ghd5cre5i2t5na35i4d/-S150x150-FJPG/229656-002_PRM_1.jpg</t>
  </si>
  <si>
    <t>https://dd3ka9h4chfr8.cloudfront.net/image/725136000567/image_lkocca1ghd5cre5i2t5na35i4d/-FJPG/229656-002_PRM_1.jpg</t>
  </si>
  <si>
    <t>https://dd3ka9h4chfr8.cloudfront.net/image/725136000567/image_i6cblqu8ul5h1fol2860p2mo1b/-FJPG/229656-002_SID_1.jpg</t>
  </si>
  <si>
    <t>https://dd3ka9h4chfr8.cloudfront.net/image/725136000567/image_cr5qnc2o597537f4olfp1j8o5u/-FJPG/229656-002_ESS_1.jpg</t>
  </si>
  <si>
    <t>https://dd3ka9h4chfr8.cloudfront.net/image/725136000567/image_mb1hd2jmr51vv3uis9s506rp41/-FJPG/Page 10-TR_FHMPRJ_Q4LB22-0823_ALT.jpg</t>
  </si>
  <si>
    <t>https://dd3ka9h4chfr8.cloudfront.net/image/725136000567/image_n562mo9eeh4lrbeaeucfrq6u32/-FJPG/229656-002_DET_2.jpg</t>
  </si>
  <si>
    <t>https://dd3ka9h4chfr8.cloudfront.net/image/725136000567/image_17l9n7kurh24nd2fenpfts7r4p/-FJPG/229656-002_DET_1.jpg</t>
  </si>
  <si>
    <t>https://dd3ka9h4chfr8.cloudfront.net/image/725136000567/image_bkkusddmep1bre67v14el03510/-FJPG/229656-002_DET_3.jpg</t>
  </si>
  <si>
    <t>https://dd3ka9h4chfr8.cloudfront.net/image/725136000567/image_mubpndkst55l74afdl3egf8307/-FJPG/229656-002_DET_4.jpg</t>
  </si>
  <si>
    <t>https://dd3ka9h4chfr8.cloudfront.net/image/725136000567/image_8ina3qdh7p7f326jj4n0fp8e0d/-FJPG/229656-002_DET_5.jpg</t>
  </si>
  <si>
    <t>Abaso Dining Table - Ebony Rustic Wormwood Oak</t>
  </si>
  <si>
    <t>https://dd3ka9h4chfr8.cloudfront.net/image/725136000567/image_ha2fedp0th1nh38ce1djf7gr5u/-S150x150-FJPG/233931-002_PRM_1.jpg</t>
  </si>
  <si>
    <t>https://dd3ka9h4chfr8.cloudfront.net/image/725136000567/image_ha2fedp0th1nh38ce1djf7gr5u/-FJPG/233931-002_PRM_1.jpg</t>
  </si>
  <si>
    <t>https://dd3ka9h4chfr8.cloudfront.net/image/725136000567/image_nsflja49il645b2cf8pcn0vp6q/-FJPG/233931-002_SID_1.jpg</t>
  </si>
  <si>
    <t>https://dd3ka9h4chfr8.cloudfront.net/image/725136000567/image_7ocj5qajjd7i193qnu4pp9vn74/-FJPG/233931-002_ESS_1.jpg</t>
  </si>
  <si>
    <t>https://dd3ka9h4chfr8.cloudfront.net/image/725136000567/image_oom363pd114339joa63rfums2a/-FJPG/233931-002_DET_2.jpg</t>
  </si>
  <si>
    <t>https://dd3ka9h4chfr8.cloudfront.net/image/725136000567/image_j5quk463m55vrep98kgapf5d37/-FJPG/233931-002_DET_1.jpg</t>
  </si>
  <si>
    <t>https://dd3ka9h4chfr8.cloudfront.net/image/725136000567/image_n0cfj54kkl1hn1qimoftufn45i/-FJPG/233931-002_DET_4.jpg</t>
  </si>
  <si>
    <t>https://dd3ka9h4chfr8.cloudfront.net/image/725136000567/image_7ql55ive9t77ncqnbstfjc875o/-FJPG/233931-002_DET_5.jpg</t>
  </si>
  <si>
    <t>https://dd3ka9h4chfr8.cloudfront.net/image/725136000567/image_vk77lh3npl7lb6lfo2aq80d817/-FJPG/233931-002_DET_6.jpg</t>
  </si>
  <si>
    <t>https://dd3ka9h4chfr8.cloudfront.net/image/725136000567/image_735l1rmgpl7mp5itpd9bsv7d44/-S150x150-FJPG/241459-002_PRM_1.jpg</t>
  </si>
  <si>
    <t>https://dd3ka9h4chfr8.cloudfront.net/image/725136000567/image_735l1rmgpl7mp5itpd9bsv7d44/-FJPG/241459-002_PRM_1.jpg</t>
  </si>
  <si>
    <t>https://dd3ka9h4chfr8.cloudfront.net/image/725136000567/image_fsdks0kolp0nt9qc73ds9hpk67/-FJPG/241459-002_SID_1.jpg</t>
  </si>
  <si>
    <t>https://dd3ka9h4chfr8.cloudfront.net/image/725136000567/image_sg19rrcru17pfej53gai80lm2n/-FJPG/241459-002_ESS_1.jpg</t>
  </si>
  <si>
    <t>https://dd3ka9h4chfr8.cloudfront.net/image/725136000567/image_c4tdth3ret4nh98casgl69ng4d/-FJPG/241459-002_DET_2.jpg</t>
  </si>
  <si>
    <t>https://dd3ka9h4chfr8.cloudfront.net/image/725136000567/image_36flaun7m97up0s63knum5147e/-FJPG/241459-002_BCK_1.jpg</t>
  </si>
  <si>
    <t>https://dd3ka9h4chfr8.cloudfront.net/image/725136000567/image_v0iqrbjqol3e7bp4e3ruf9pf29/-FJPG/241459-002_DET_1.jpg</t>
  </si>
  <si>
    <t>https://dd3ka9h4chfr8.cloudfront.net/image/725136000567/image_dl2djo1tn52j3582gucuetfp38/-FJPG/241459-002_DET_3.jpg</t>
  </si>
  <si>
    <t>https://dd3ka9h4chfr8.cloudfront.net/image/725136000567/image_qtgiphvj896o96grvgom9oa665/-FJPG/241459-002_TOP_1.jpg</t>
  </si>
  <si>
    <t>https://dd3ka9h4chfr8.cloudfront.net/image/725136000567/image_6i6m8ngfht52rdf1tv99v6b86b/-FJPG/241459-002_DET_4.jpg</t>
  </si>
  <si>
    <t>Abaso Dining Table - Rustic Wormwood Oak</t>
  </si>
  <si>
    <t>https://dd3ka9h4chfr8.cloudfront.net/image/725136000567/image_1ri089la9p6mv9bcqs9m4iaf5v/-S150x150-FJPG/233931-001_PRM_1.jpg</t>
  </si>
  <si>
    <t>https://dd3ka9h4chfr8.cloudfront.net/image/725136000567/image_1ri089la9p6mv9bcqs9m4iaf5v/-FJPG/233931-001_PRM_1.jpg</t>
  </si>
  <si>
    <t>https://dd3ka9h4chfr8.cloudfront.net/image/725136000567/image_m69f04vrud0tv66qfjbafmbf4u/-FJPG/233931-001_SID_1.jpg</t>
  </si>
  <si>
    <t>https://dd3ka9h4chfr8.cloudfront.net/image/725136000567/image_ppr5bedhmt7ll7atgkt29olj7a/-FJPG/233931-001_ESS_1.jpg</t>
  </si>
  <si>
    <t>https://dd3ka9h4chfr8.cloudfront.net/image/725136000567/image_j4pfhibvcd34rdtqg2hh5r8p1k/-FJPG/233931-001_DET_2.jpg</t>
  </si>
  <si>
    <t>https://dd3ka9h4chfr8.cloudfront.net/image/725136000567/image_k0shd0tse13l35op1l46aol079/-FJPG/233931-001_DET_1.jpg</t>
  </si>
  <si>
    <t>https://dd3ka9h4chfr8.cloudfront.net/image/725136000567/image_p3m0m1dfgd1mp7lg6s5t6coc3d/-FJPG/233931-001_DET_4.jpg</t>
  </si>
  <si>
    <t>https://dd3ka9h4chfr8.cloudfront.net/image/725136000567/image_uk8vm7apo11n7dmbj5194cdv1g/-FJPG/233931-001_DET_5.jpg</t>
  </si>
  <si>
    <t>https://dd3ka9h4chfr8.cloudfront.net/image/725136000567/image_gk3mitfomh4075e9m8ctu2ga3l/-FJPG/233931-001_DET_6.jpg</t>
  </si>
  <si>
    <t>https://dd3ka9h4chfr8.cloudfront.net/image/725136000567/image_utr3tefn4d43ja5f01bqoi3747/-S150x150-FJPG/241459-001_PRM_1.jpg</t>
  </si>
  <si>
    <t>https://dd3ka9h4chfr8.cloudfront.net/image/725136000567/image_utr3tefn4d43ja5f01bqoi3747/-FJPG/241459-001_PRM_1.jpg</t>
  </si>
  <si>
    <t>https://dd3ka9h4chfr8.cloudfront.net/image/725136000567/image_aro3eiejjt7dd6csnh3vlfst5v/-FJPG/241459-001_SID_1.jpg</t>
  </si>
  <si>
    <t>https://dd3ka9h4chfr8.cloudfront.net/image/725136000567/image_pt0dcu9d2d6rd636u1srvarc7m/-FJPG/241459-001_ESS.tif</t>
  </si>
  <si>
    <t>https://dd3ka9h4chfr8.cloudfront.net/image/725136000567/image_sf0oikss4d5jl71lv75n4pv742/-FJPG/241459-001_DET_2.jpg</t>
  </si>
  <si>
    <t>https://dd3ka9h4chfr8.cloudfront.net/image/725136000567/image_ghbmoh4hs16ih79uidle4p463k/-FJPG/241459-001_BCK_1.jpg</t>
  </si>
  <si>
    <t>https://dd3ka9h4chfr8.cloudfront.net/image/725136000567/image_9uhhggskhp2t79s8t6r1hscp0a/-FJPG/241459-001_DET_1.jpg</t>
  </si>
  <si>
    <t>https://dd3ka9h4chfr8.cloudfront.net/image/725136000567/image_210u19p1qt5bvcr3fe1v8rm31n/-FJPG/241459-001_DET_3.jpg</t>
  </si>
  <si>
    <t>https://dd3ka9h4chfr8.cloudfront.net/image/725136000567/image_n55imqks2160jar53nb6gec319/-FJPG/241459-001_DET_4.jpg</t>
  </si>
  <si>
    <t>https://dd3ka9h4chfr8.cloudfront.net/image/725136000567/image_afd8nn6cv168759kdefgh52k2d/-FJPG/241459-001_DET_5.jpg</t>
  </si>
  <si>
    <t>https://dd3ka9h4chfr8.cloudfront.net/image/725136000567/image_9vqilqbl753l37f6m2vatnmn5s/-FJPG/241459-001_DET_6.jpg</t>
  </si>
  <si>
    <t>https://dd3ka9h4chfr8.cloudfront.net/image/725136000567/image_7e8gdphkkp2up7i6bvsbibcj44/-FJPG/241459-001_DET_9.tif</t>
  </si>
  <si>
    <t>Abaso Large Accent Bench - Rustic Wormwood Oak</t>
  </si>
  <si>
    <t>https://dd3ka9h4chfr8.cloudfront.net/image/725136000567/image_48soa7btbt4f3frvf9p73udc61/-S150x150-FJPG/239398-001_PRM_1.jpg</t>
  </si>
  <si>
    <t>https://dd3ka9h4chfr8.cloudfront.net/image/725136000567/image_48soa7btbt4f3frvf9p73udc61/-FJPG/239398-001_PRM_1.jpg</t>
  </si>
  <si>
    <t>https://dd3ka9h4chfr8.cloudfront.net/image/725136000567/image_bnmo79hetp7rb5hbaefsc70a66/-FJPG/239398-001_SID_1.jpg</t>
  </si>
  <si>
    <t>https://dd3ka9h4chfr8.cloudfront.net/image/725136000567/image_bkdggio3f15b98uu49aiilia40/-FJPG/239398-001_ESS_1.jpg</t>
  </si>
  <si>
    <t>https://dd3ka9h4chfr8.cloudfront.net/image/725136000567/image_fg59u00jlh3mndb18tg41k7n18/-FJPG/239398-001_DET_2.jpg</t>
  </si>
  <si>
    <t>https://dd3ka9h4chfr8.cloudfront.net/image/725136000567/image_28lc9v83h15f98uuafm3p4og03/-FJPG/239398-001_DET_1.jpg</t>
  </si>
  <si>
    <t>https://dd3ka9h4chfr8.cloudfront.net/image/725136000567/image_n0cicmqhih2f3cchloo3tuvf6g/-FJPG/239398-001_DET_3.jpg</t>
  </si>
  <si>
    <t>https://dd3ka9h4chfr8.cloudfront.net/image/725136000567/image_7mllfv6nfp4p79e3os4gi7al72/-FJPG/239398-001_DET_4.jpg</t>
  </si>
  <si>
    <t>https://dd3ka9h4chfr8.cloudfront.net/image/725136000567/image_s6mgtng0dd53f17ejt25al9n47/-FJPG/239398-001_DET_5.jpg</t>
  </si>
  <si>
    <t>https://dd3ka9h4chfr8.cloudfront.net/image/725136000567/image_l6pnk413rd05p61o32ihlp151t/-FJPG/239398-001_DET_6.jpg</t>
  </si>
  <si>
    <t>https://dd3ka9h4chfr8.cloudfront.net/image/725136000567/image_7dm9c52i6p1th0q9koi9hssd0v/-FJPG/239398-001_DET_7.jpg</t>
  </si>
  <si>
    <t>https://dd3ka9h4chfr8.cloudfront.net/image/725136000567/image_h15kf5imap4dndrnaal2k0ad5k/-FJPG/239398-001_DET_8.jpg</t>
  </si>
  <si>
    <t>Abaso Media Console - Ebony Rustic Wormwood Oak</t>
  </si>
  <si>
    <t>https://dd3ka9h4chfr8.cloudfront.net/image/725136000567/image_4q9r1baf6958h8u9a3g7rbgo4j/-S150x150-FJPG/239400-002_PRM_1.jpg</t>
  </si>
  <si>
    <t>https://dd3ka9h4chfr8.cloudfront.net/image/725136000567/image_4q9r1baf6958h8u9a3g7rbgo4j/-FJPG/239400-002_PRM_1.jpg</t>
  </si>
  <si>
    <t>https://dd3ka9h4chfr8.cloudfront.net/image/725136000567/image_6rap7ga8jl1pjb6fh78ih16q41/-FJPG/239400-002_ESS_1.jpg</t>
  </si>
  <si>
    <t>https://dd3ka9h4chfr8.cloudfront.net/image/725136000567/image_bmh0vbgjpp67n68j2c1l42b66q/-FJPG/239400-002_BCK_1.jpg</t>
  </si>
  <si>
    <t>https://dd3ka9h4chfr8.cloudfront.net/image/725136000567/image_8rj6vhutah3v33hlaji42frt15/-FJPG/239400-002_DET_1.jpg</t>
  </si>
  <si>
    <t>https://dd3ka9h4chfr8.cloudfront.net/image/725136000567/image_adntq5a1vt0gtco58ggckv941t/-FJPG/239400-002_DET_3.jpg</t>
  </si>
  <si>
    <t>https://dd3ka9h4chfr8.cloudfront.net/image/725136000567/image_hlpjd8fh7p3ph039t6kbdp5o5i/-FJPG/239400-002_DET_4.jpg</t>
  </si>
  <si>
    <t>https://dd3ka9h4chfr8.cloudfront.net/image/725136000567/image_l8b71u3kbp31ja2nvj67e3cb5t/-FJPG/239400-002_DET_5.jpg</t>
  </si>
  <si>
    <t>https://dd3ka9h4chfr8.cloudfront.net/image/725136000567/image_lbdp6vr8ol0kb7gaorm59ibk5v/-FJPG/239400-002_DET_6.jpg</t>
  </si>
  <si>
    <t>https://dd3ka9h4chfr8.cloudfront.net/image/725136000567/image_nn3kdv2tu9591esmocu9l0en53/-FJPG/239400-002_DET_7.jpg</t>
  </si>
  <si>
    <t>https://dd3ka9h4chfr8.cloudfront.net/image/725136000567/image_uc0nnu4vit3vj9o4re9c6snt63/-FJPG/239400-002_DET_8.jpg</t>
  </si>
  <si>
    <t>https://dd3ka9h4chfr8.cloudfront.net/image/725136000567/image_u18ip5gk1t2vj44bpnckjcns0q/-FJPG/239400-002_DET_10.jpg</t>
  </si>
  <si>
    <t>Abaso Nightstand - Ebony Rustic Wormwood Oak</t>
  </si>
  <si>
    <t>https://dd3ka9h4chfr8.cloudfront.net/image/725136000567/image_dc6h5f5g6p13vd2lbrjcdviq0q/-S150x150-FJPG/239842-002_PRM_1.jpg</t>
  </si>
  <si>
    <t>https://dd3ka9h4chfr8.cloudfront.net/image/725136000567/image_dc6h5f5g6p13vd2lbrjcdviq0q/-FJPG/239842-002_PRM_1.jpg</t>
  </si>
  <si>
    <t>https://dd3ka9h4chfr8.cloudfront.net/image/725136000567/image_q9s82p54ap4nnf6rsjk564a87n/-FJPG/239842-002_SID_1.jpg</t>
  </si>
  <si>
    <t>https://dd3ka9h4chfr8.cloudfront.net/image/725136000567/image_4r5jf99n3p2vl1c8ehnvv2c072/-FJPG/239842-002_ESS.tif</t>
  </si>
  <si>
    <t>https://dd3ka9h4chfr8.cloudfront.net/image/725136000567/image_kqsou95cvh5tr4emks53ukdk4r/-FJPG/239842-002_ESS.tif</t>
  </si>
  <si>
    <t>https://dd3ka9h4chfr8.cloudfront.net/image/725136000567/image_on7p9o2j393shec1qli5p0pd5j/-FJPG/239842-002_DET_2.jpg</t>
  </si>
  <si>
    <t>https://dd3ka9h4chfr8.cloudfront.net/image/725136000567/image_6gginor8np1490raeriqp10p73/-FJPG/239842-002_BCK_1.jpg</t>
  </si>
  <si>
    <t>https://dd3ka9h4chfr8.cloudfront.net/image/725136000567/image_nt3hgbtg2573r7tt0tilbtf57v/-FJPG/239842-002_DET_1.jpg</t>
  </si>
  <si>
    <t>https://dd3ka9h4chfr8.cloudfront.net/image/725136000567/image_0pcvjbpmv53t7704bfgocg7p4g/-FJPG/239842-002_DET_3.jpg</t>
  </si>
  <si>
    <t>https://dd3ka9h4chfr8.cloudfront.net/image/725136000567/image_4ujfoarivd3d32vprdcs8a1u1t/-FJPG/239842-002_OPN_1.jpg</t>
  </si>
  <si>
    <t>https://dd3ka9h4chfr8.cloudfront.net/image/725136000567/image_g779553m5h3o94dhbf79irr16u/-FJPG/239842-002_TOP_1.jpg</t>
  </si>
  <si>
    <t>https://dd3ka9h4chfr8.cloudfront.net/image/725136000567/image_dqaqg3pf7t5vh4unp91i7ckc0b/-FJPG/239842-002_DET_4.jpg</t>
  </si>
  <si>
    <t>https://dd3ka9h4chfr8.cloudfront.net/image/725136000567/image_gmm590kidl6tl73djh74qmj846/-FJPG/239842-002_DET_5.jpg</t>
  </si>
  <si>
    <t>https://dd3ka9h4chfr8.cloudfront.net/image/725136000567/image_i2b3vhjfsl7efft1n8c43nks54/-FJPG/239842-002_DET_6.jpg</t>
  </si>
  <si>
    <t>https://dd3ka9h4chfr8.cloudfront.net/image/725136000567/image_p0a0udgn2d1pb7uhpdhcsa3664/-FJPG/239842-002_DET_7.jpg</t>
  </si>
  <si>
    <t>https://dd3ka9h4chfr8.cloudfront.net/image/725136000567/image_uardcdr0g17ohasqa2otdpg042/-FJPG/239842-002_DET_8.jpg</t>
  </si>
  <si>
    <t>https://dd3ka9h4chfr8.cloudfront.net/image/725136000567/image_gbqro3ikuh15h33id7g57ace6e/-FJPG/239842-002_DET_9.tif</t>
  </si>
  <si>
    <t>Abaso Nightstand - Rustic Wormwood Oak</t>
  </si>
  <si>
    <t>https://dd3ka9h4chfr8.cloudfront.net/image/725136000567/image_ikqn620am14pb18ma1sousgb6r/-S150x150-FJPG/239842-001_PRM_1.jpg</t>
  </si>
  <si>
    <t>https://dd3ka9h4chfr8.cloudfront.net/image/725136000567/image_ikqn620am14pb18ma1sousgb6r/-FJPG/239842-001_PRM_1.jpg</t>
  </si>
  <si>
    <t>https://dd3ka9h4chfr8.cloudfront.net/image/725136000567/image_j31jopvem57ot0crofieqrri2r/-FJPG/239842-001_SID_1.jpg</t>
  </si>
  <si>
    <t>https://dd3ka9h4chfr8.cloudfront.net/image/725136000567/image_a49308dpbd1jt0hhf7a8uecu6q/-FJPG/239842-001_ESS_1.jpg</t>
  </si>
  <si>
    <t>https://dd3ka9h4chfr8.cloudfront.net/image/725136000567/image_ijc3kfq6ad56j1tde1jbdkje1d/-FJPG/239842-001_ESS_1.tif</t>
  </si>
  <si>
    <t>https://dd3ka9h4chfr8.cloudfront.net/image/725136000567/image_jscldv39493gnf5qk7jmtbva09/-FJPG/240042-006_ESS_1.jpg</t>
  </si>
  <si>
    <t>https://dd3ka9h4chfr8.cloudfront.net/image/725136000567/image_2f272ngs1d71ldfm5ft5oqvk62/-FJPG/239842-001_DET_2.jpg</t>
  </si>
  <si>
    <t>https://dd3ka9h4chfr8.cloudfront.net/image/725136000567/image_66mu9q5krd56p249vrrjtupm6r/-FJPG/239842-001_BCK_1.jpg</t>
  </si>
  <si>
    <t>https://dd3ka9h4chfr8.cloudfront.net/image/725136000567/image_o0c4csssvt26919421gq8hg80h/-FJPG/239842-001_DET_1.jpg</t>
  </si>
  <si>
    <t>https://dd3ka9h4chfr8.cloudfront.net/image/725136000567/image_kofrb9h6gp53t3caoeghmuqv7q/-FJPG/239842-001_DET_3.jpg</t>
  </si>
  <si>
    <t>https://dd3ka9h4chfr8.cloudfront.net/image/725136000567/image_6iil6fog5t1h57adfcdilccg3e/-FJPG/239842-001_OPN_1.jpg</t>
  </si>
  <si>
    <t>https://dd3ka9h4chfr8.cloudfront.net/image/725136000567/image_eigagv4glh7bf8hpctj13pgd2t/-FJPG/239842-001_TOP_1.jpg</t>
  </si>
  <si>
    <t>https://dd3ka9h4chfr8.cloudfront.net/image/725136000567/image_8pov0blmut3a7e80oivp0kk03q/-FJPG/239842-001_DET_4.jpg</t>
  </si>
  <si>
    <t>https://dd3ka9h4chfr8.cloudfront.net/image/725136000567/image_7585i5j8np0kjamkvrjmsi1v5e/-FJPG/239842-001_DET_6.jpg</t>
  </si>
  <si>
    <t>https://dd3ka9h4chfr8.cloudfront.net/image/725136000567/image_0k896k722h2fnaukdrgjkbo161/-FJPG/239842-001_DET_7.jpg</t>
  </si>
  <si>
    <t>https://dd3ka9h4chfr8.cloudfront.net/image/725136000567/image_dov67tvmo15njf94ktq1c5sj2m/-FJPG/239842-001_DET_8.jpg</t>
  </si>
  <si>
    <t>https://dd3ka9h4chfr8.cloudfront.net/image/725136000567/image_oijrs63mn92dpd0r6fuauo881u/-FJPG/239842-001_DET_9.tif</t>
  </si>
  <si>
    <t>Abaso Rectangular Coffee Table - Ebony Rustic Wormwood Oak</t>
  </si>
  <si>
    <t>https://dd3ka9h4chfr8.cloudfront.net/image/725136000567/image_oiest7ris17tn2124fe06k7a5l/-S150x150-FJPG/238571-002_PRM_1.jpg</t>
  </si>
  <si>
    <t>https://dd3ka9h4chfr8.cloudfront.net/image/725136000567/image_oiest7ris17tn2124fe06k7a5l/-FJPG/238571-002_PRM_1.jpg</t>
  </si>
  <si>
    <t>https://dd3ka9h4chfr8.cloudfront.net/image/725136000567/image_ieanquk7hh0e7aducqpgrcpi1k/-FJPG/238571-002_SID_1.jpg</t>
  </si>
  <si>
    <t>https://dd3ka9h4chfr8.cloudfront.net/image/725136000567/image_knpselatb95n72unkr099jfk11/-FJPG/238571-002_DET_2.jpg</t>
  </si>
  <si>
    <t>https://dd3ka9h4chfr8.cloudfront.net/image/725136000567/image_phaalr0h79233eknhfm7onei6r/-FJPG/238571-002_DET_1.jpg</t>
  </si>
  <si>
    <t>https://dd3ka9h4chfr8.cloudfront.net/image/725136000567/image_0ot2rnp0q90dv7a92hnb2uec6o/-FJPG/238571-002_DET_3.jpg</t>
  </si>
  <si>
    <t>https://dd3ka9h4chfr8.cloudfront.net/image/725136000567/image_amk5kp230p72j5j7rhn53b196u/-FJPG/238571-002_DET_4.jpg</t>
  </si>
  <si>
    <t>https://dd3ka9h4chfr8.cloudfront.net/image/725136000567/image_enafqihfc17at0qmopbqicad5p/-FJPG/238571-002_DET_5.jpg</t>
  </si>
  <si>
    <t>https://dd3ka9h4chfr8.cloudfront.net/image/725136000567/image_gvtgeglgn165r5bm6emsrnf96q/-FJPG/238571-002_DET_6.jpg</t>
  </si>
  <si>
    <t>https://dd3ka9h4chfr8.cloudfront.net/image/725136000567/image_qfm3f9rug560374h6sfobato27/-FJPG/238571-002_DET_7.jpg</t>
  </si>
  <si>
    <t>https://dd3ka9h4chfr8.cloudfront.net/image/725136000567/image_efcf8731hh2cv4pufmamg2aq1a/-FJPG/238571-002_DET_8.jpg</t>
  </si>
  <si>
    <t>Abaso Rectangular Coffee Table - Rustic Wormwood Oak</t>
  </si>
  <si>
    <t>https://dd3ka9h4chfr8.cloudfront.net/image/725136000567/image_526lvaq5c92tt0n1sh226nv47a/-S150x150-FJPG/238571-001_PRM_1.jpg</t>
  </si>
  <si>
    <t>https://dd3ka9h4chfr8.cloudfront.net/image/725136000567/image_526lvaq5c92tt0n1sh226nv47a/-FJPG/238571-001_PRM_1.jpg</t>
  </si>
  <si>
    <t>https://dd3ka9h4chfr8.cloudfront.net/image/725136000567/image_ps287kvul90lddtg6tibkrgs7l/-FJPG/238571-001_SID_1.jpg</t>
  </si>
  <si>
    <t>https://dd3ka9h4chfr8.cloudfront.net/image/725136000567/image_5s7bq4kgsh42p88al4ua00t94f/-FJPG/238571-001_ESS_1.jpg</t>
  </si>
  <si>
    <t>https://dd3ka9h4chfr8.cloudfront.net/image/725136000567/image_r90grh9cqp5hpc4q76rc7n1774/-FJPG/238571-001_DET_2.jpg</t>
  </si>
  <si>
    <t>https://dd3ka9h4chfr8.cloudfront.net/image/725136000567/image_mno1tkittd515951vln5l1km6k/-FJPG/238571-001_DET_1.jpg</t>
  </si>
  <si>
    <t>https://dd3ka9h4chfr8.cloudfront.net/image/725136000567/image_cfo04m1gvh7jndovjvut4c7g1h/-FJPG/238571-001_DET_3.jpg</t>
  </si>
  <si>
    <t>https://dd3ka9h4chfr8.cloudfront.net/image/725136000567/image_j2kouaj3c10sb7qakg4u5iga4j/-FJPG/238571-001_DET_4.jpg</t>
  </si>
  <si>
    <t>https://dd3ka9h4chfr8.cloudfront.net/image/725136000567/image_l2spmoeeah19576b155kqm5n7m/-FJPG/238571-001_DET_5.jpg</t>
  </si>
  <si>
    <t>https://dd3ka9h4chfr8.cloudfront.net/image/725136000567/image_8k8kpa23up11letiov74pqvs2l/-FJPG/238571-001_DET_6.jpg</t>
  </si>
  <si>
    <t>https://dd3ka9h4chfr8.cloudfront.net/image/725136000567/image_edipocigb16cd8ooor5evkku2d/-FJPG/238571-001_DET_7.jpg</t>
  </si>
  <si>
    <t>https://dd3ka9h4chfr8.cloudfront.net/image/725136000567/image_5p7h8udlb95l79d8e9q7r5as7v/-FJPG/238571-001_DET_8.jpg</t>
  </si>
  <si>
    <t>Abaso Sideboard - Ebony Rustic Wormwood Oak</t>
  </si>
  <si>
    <t>https://dd3ka9h4chfr8.cloudfront.net/image/725136000567/image_1snich2l8t6enb12eilejkut4g/-S150x150-FJPG/229169-003_PRM_1.jpg</t>
  </si>
  <si>
    <t>https://dd3ka9h4chfr8.cloudfront.net/image/725136000567/image_1snich2l8t6enb12eilejkut4g/-FJPG/229169-003_PRM_1.jpg</t>
  </si>
  <si>
    <t>https://dd3ka9h4chfr8.cloudfront.net/image/725136000567/image_tac569im4h3k3c814h7t1vsk1f/-FJPG/229169-003_SID_1.jpg</t>
  </si>
  <si>
    <t>https://dd3ka9h4chfr8.cloudfront.net/image/725136000567/image_bvsi0k7qml35nat4nd0ger8p34/-FJPG/229169-003_ESS_1.jpg</t>
  </si>
  <si>
    <t>https://dd3ka9h4chfr8.cloudfront.net/image/725136000567/image_13ra3951vd4bfd68d5b4u2hb7f/-FJPG/229169-003_DET_2.jpg</t>
  </si>
  <si>
    <t>https://dd3ka9h4chfr8.cloudfront.net/image/725136000567/image_3v01dkhb1p4cjebi04cedb1s3d/-FJPG/229169-003_DET_1.jpg</t>
  </si>
  <si>
    <t>https://dd3ka9h4chfr8.cloudfront.net/image/725136000567/image_labfrmv6dt0s32hdc0tmd1g82r/-FJPG/229169-003_DET_3.jpg</t>
  </si>
  <si>
    <t>https://dd3ka9h4chfr8.cloudfront.net/image/725136000567/image_mf93eavd0t3oj60lcota8jf23d/-FJPG/229169-003_OPN_1.jpg</t>
  </si>
  <si>
    <t>https://dd3ka9h4chfr8.cloudfront.net/image/725136000567/image_mlcqmf8hul5stckb0i8uscqa52/-FJPG/229169-003_DET_4.jpg</t>
  </si>
  <si>
    <t>https://dd3ka9h4chfr8.cloudfront.net/image/725136000567/image_lubpt8atil2vr10s61ub5hqh08/-FJPG/229169-003_DET_5.jpg</t>
  </si>
  <si>
    <t>https://dd3ka9h4chfr8.cloudfront.net/image/725136000567/image_3r9a0p966d0m5f1l19cvfnru23/-FJPG/229169-003_ESS_2.jpg</t>
  </si>
  <si>
    <t>Abaso Small Square Coffee Table - Ebony Rustic Wormwood Oak</t>
  </si>
  <si>
    <t>https://dd3ka9h4chfr8.cloudfront.net/image/725136000567/image_gqdh3rrna52j59cug3rj7jf17u/-S150x150-FJPG/239394-002_PRM_1.jpg</t>
  </si>
  <si>
    <t>https://dd3ka9h4chfr8.cloudfront.net/image/725136000567/image_e246ijf3b57ftela356t7gvb50/-FJPG/239394-002_SID_1.jpg</t>
  </si>
  <si>
    <t>https://dd3ka9h4chfr8.cloudfront.net/image/725136000567/image_40t34ul6e504p0uacs4r9q9u33/-FJPG/239394-002_ESS.tif</t>
  </si>
  <si>
    <t>https://dd3ka9h4chfr8.cloudfront.net/image/725136000567/image_hv3qp1a64p6h18hco8m3vamh3g/-FJPG/239394-002_DET_1.jpg</t>
  </si>
  <si>
    <t>https://dd3ka9h4chfr8.cloudfront.net/image/725136000567/image_9rqjkth1q9579b63kfnevah17i/-FJPG/239394-002_DET_3.jpg</t>
  </si>
  <si>
    <t>https://dd3ka9h4chfr8.cloudfront.net/image/725136000567/image_jur3jm8v752mn1sdrrmhe5re1q/-FJPG/239394-002_DET_4.jpg</t>
  </si>
  <si>
    <t>https://dd3ka9h4chfr8.cloudfront.net/image/725136000567/image_tjnaq0ggh90kn04n83p5sldu73/-FJPG/239394-002_DET_5.jpg</t>
  </si>
  <si>
    <t>https://dd3ka9h4chfr8.cloudfront.net/image/725136000567/image_m2bu5sd1d17eb251qejeo66g59/-FJPG/239394-002_DET_6.jpg</t>
  </si>
  <si>
    <t>https://dd3ka9h4chfr8.cloudfront.net/image/725136000567/image_6c7f3929vd5o5da84psnv5152u/-FJPG/239394-002_DET_7.jpg</t>
  </si>
  <si>
    <t>https://dd3ka9h4chfr8.cloudfront.net/image/725136000567/image_kfj21b13vd6qr5dvbnclreg07b/-FJPG/239394-002_DET_8.jpg</t>
  </si>
  <si>
    <t>Abaso Small Square Coffee Table - Rustic Wormwood Oak</t>
  </si>
  <si>
    <t>https://dd3ka9h4chfr8.cloudfront.net/image/725136000567/image_rj69253t9h1b77hns2dvu2m47j/-S150x150-FJPG/239394-001_PRM_1.jpg</t>
  </si>
  <si>
    <t>https://dd3ka9h4chfr8.cloudfront.net/image/725136000567/image_p671564gp9073fvva7lje4b80p/-FJPG/239394-001_SID_1.jpg</t>
  </si>
  <si>
    <t>https://dd3ka9h4chfr8.cloudfront.net/image/725136000567/image_jhjfsqt2pp5vr4v0nokbkd1424/-FJPG/239394-001_ESS_1.jpg</t>
  </si>
  <si>
    <t>https://dd3ka9h4chfr8.cloudfront.net/image/725136000567/image_lo1ehg16s97l3578qpob8p6e5u/-FJPG/239394-001_DET_1.jpg</t>
  </si>
  <si>
    <t>https://dd3ka9h4chfr8.cloudfront.net/image/725136000567/image_4vbcgvmbip1cl7l5n47vpe2810/-FJPG/239394-001 _DET_1.jpg</t>
  </si>
  <si>
    <t>https://dd3ka9h4chfr8.cloudfront.net/image/725136000567/image_4okvsqea0d5eba978u35nva01f/-FJPG/239394-001_DET_3.jpg</t>
  </si>
  <si>
    <t>https://dd3ka9h4chfr8.cloudfront.net/image/725136000567/image_jono83ciep5f74dfjuipp8at05/-FJPG/239394-001_DET_4.jpg</t>
  </si>
  <si>
    <t>https://dd3ka9h4chfr8.cloudfront.net/image/725136000567/image_asnn4kivd90o50oa2b7qftu16l/-FJPG/239394-001_DET_5.jpg</t>
  </si>
  <si>
    <t>https://dd3ka9h4chfr8.cloudfront.net/image/725136000567/image_dn68e4oskd73rejcnoq7nhf905/-FJPG/239394-001_DET_6.jpg</t>
  </si>
  <si>
    <t>https://dd3ka9h4chfr8.cloudfront.net/image/725136000567/image_tf3a6veqe14qr1c5qkepdmro01/-FJPG/239394-001_DET_7.jpg</t>
  </si>
  <si>
    <t>https://dd3ka9h4chfr8.cloudfront.net/image/725136000567/image_bgnlsbnu4t22dfpapqf2o11e07/-FJPG/239394-001_DET_8.jpg</t>
  </si>
  <si>
    <t>Abbott Club Chair - Cigar</t>
  </si>
  <si>
    <t>Top Grain Leather</t>
  </si>
  <si>
    <t>Solid Ash</t>
  </si>
  <si>
    <t>Iron</t>
  </si>
  <si>
    <t>https://dd3ka9h4chfr8.cloudfront.net/image/725136000567/image_j28b52tl5l1up0nggifnan3h04/-S150x150-FJPG/100129-002_PRM_1.jpg</t>
  </si>
  <si>
    <t>https://dd3ka9h4chfr8.cloudfront.net/image/725136000567/image_j28b52tl5l1up0nggifnan3h04/-FJPG/100129-002_PRM_1.jpg</t>
  </si>
  <si>
    <t>https://dd3ka9h4chfr8.cloudfront.net/image/725136000567/image_uhq00tnm415ll9pa4nnrb65071/-FJPG/100129-002_SID_1.jpg</t>
  </si>
  <si>
    <t>https://dd3ka9h4chfr8.cloudfront.net/image/725136000567/image_01ecth6pdd21f11r8sb1ne8p1u/-FJPG/100129-002_ESS_1.jpg</t>
  </si>
  <si>
    <t>https://dd3ka9h4chfr8.cloudfront.net/image/725136000567/image_ngvhv6pjqt4kj9ea0079895l49/-FJPG/100129-002_DET_2.jpg</t>
  </si>
  <si>
    <t>https://dd3ka9h4chfr8.cloudfront.net/image/725136000567/image_9eeaoi0nep7t56f4ti7s4kkm6v/-FJPG/100129-002_BCK_1.jpg</t>
  </si>
  <si>
    <t>https://dd3ka9h4chfr8.cloudfront.net/image/725136000567/image_s1de5pi2p91dl4novalip8lu3i/-FJPG/100129-002_DET_1.jpg</t>
  </si>
  <si>
    <t>https://dd3ka9h4chfr8.cloudfront.net/image/725136000567/image_m1skhtqbdd3mp41gkthetqmr34/-FJPG/100129-002_DET_3.jpg</t>
  </si>
  <si>
    <t>Adolfo 6 Drawer Dresser - Modern Black Ash</t>
  </si>
  <si>
    <t>Ash Veneer</t>
  </si>
  <si>
    <t>https://dd3ka9h4chfr8.cloudfront.net/image/725136000567/image_hvisln44fp22lcvqi6h33ckt5u/-S150x150-FJPG/243911-001_PRM_1.jpg</t>
  </si>
  <si>
    <t>https://dd3ka9h4chfr8.cloudfront.net/image/725136000567/image_hvisln44fp22lcvqi6h33ckt5u/-FJPG/243911-001_PRM_1.jpg</t>
  </si>
  <si>
    <t>https://dd3ka9h4chfr8.cloudfront.net/image/725136000567/image_rflp8qor0d6k57ar1o86ggvq1h/-FJPG/243911-001_SID_1.jpg</t>
  </si>
  <si>
    <t>https://dd3ka9h4chfr8.cloudfront.net/image/725136000567/image_h58m6h6l496v5ec1ilqc4to225/-FJPG/243911-001_ESS.tif</t>
  </si>
  <si>
    <t>https://dd3ka9h4chfr8.cloudfront.net/image/725136000567/image_b17cpdgdc90390n883h287cp7e/-FJPG/243911-001_DET_2.jpg</t>
  </si>
  <si>
    <t>https://dd3ka9h4chfr8.cloudfront.net/image/725136000567/image_i3u5rmttlh0t588adf4n69i472/-FJPG/243911-001_BCK_1.jpg</t>
  </si>
  <si>
    <t>https://dd3ka9h4chfr8.cloudfront.net/image/725136000567/image_0b7je019st11l7i0nrtfm3687a/-FJPG/243911-001_DET_1.jpg</t>
  </si>
  <si>
    <t>https://dd3ka9h4chfr8.cloudfront.net/image/725136000567/image_lm8tppv50p7ibful8elgeq8t10/-FJPG/243911-001_DET_3.jpg</t>
  </si>
  <si>
    <t>https://dd3ka9h4chfr8.cloudfront.net/image/725136000567/image_90gu3cf5p12hbadsmal5jmfq7k/-FJPG/243911-001_OPN_1.jpg</t>
  </si>
  <si>
    <t>https://dd3ka9h4chfr8.cloudfront.net/image/725136000567/image_p1uk5284rd16p3a4gc3um7bh2m/-FJPG/243911-001_TOP_1.jpg</t>
  </si>
  <si>
    <t>https://dd3ka9h4chfr8.cloudfront.net/image/725136000567/image_mmt3mr08s13t77t4bqplqvsm64/-FJPG/243911-001_DET_4.jpg</t>
  </si>
  <si>
    <t>https://dd3ka9h4chfr8.cloudfront.net/image/725136000567/image_8oas56u77160r0k0ktcmf5up0f/-FJPG/243911-001_DET_5.jpg</t>
  </si>
  <si>
    <t>https://dd3ka9h4chfr8.cloudfront.net/image/725136000567/image_nfnierqend2u7a2ofh8981004f/-FJPG/243911-001_DET_6.jpg</t>
  </si>
  <si>
    <t>https://dd3ka9h4chfr8.cloudfront.net/image/725136000567/image_n6p3fuff5p7c926lkf3gt3n673/-FJPG/243911-001_DET_9.tif</t>
  </si>
  <si>
    <t>https://dd3ka9h4chfr8.cloudfront.net/image/725136000567/image_cdcgj1aui95s9bvrqsnnkfqi59/-FJPG/FHMPRJ-018_SCENE-7.tif</t>
  </si>
  <si>
    <t>Adolfo Media Console - Modern Black Ash</t>
  </si>
  <si>
    <t>https://dd3ka9h4chfr8.cloudfront.net/image/725136000567/image_5pqmjk1uhh7fl0jo22ub62nt2p/-S150x150-FJPG/243772-001_PRM_1.jpg</t>
  </si>
  <si>
    <t>https://dd3ka9h4chfr8.cloudfront.net/image/725136000567/image_5pqmjk1uhh7fl0jo22ub62nt2p/-FJPG/243772-001_PRM_1.jpg</t>
  </si>
  <si>
    <t>https://dd3ka9h4chfr8.cloudfront.net/image/725136000567/image_qt6lvvajrl6slf1ea06bn4n87n/-FJPG/243772-001_SID_1.jpg</t>
  </si>
  <si>
    <t>https://dd3ka9h4chfr8.cloudfront.net/image/725136000567/image_c8mfm1908d1c37qk3v6pscq363/-FJPG/243772-001_DET_2.jpg</t>
  </si>
  <si>
    <t>https://dd3ka9h4chfr8.cloudfront.net/image/725136000567/image_nie4no7m7t3otf07428kvptu6n/-FJPG/243772-001_BCK_1.jpg</t>
  </si>
  <si>
    <t>https://dd3ka9h4chfr8.cloudfront.net/image/725136000567/image_jd7iais04l5in1ldh8kbvli17v/-FJPG/243772-001_DET_1.jpg</t>
  </si>
  <si>
    <t>https://dd3ka9h4chfr8.cloudfront.net/image/725136000567/image_22etk7999147bdnn3bj2932k69/-FJPG/243772-001_DET_3.jpg</t>
  </si>
  <si>
    <t>https://dd3ka9h4chfr8.cloudfront.net/image/725136000567/image_i320idqd051n18e9au2ctnnh0j/-FJPG/243772-001_OPN_1.jpg</t>
  </si>
  <si>
    <t>https://dd3ka9h4chfr8.cloudfront.net/image/725136000567/image_go6fsi0mv570t65uf2m1s86i6t/-FJPG/243772-001_TOP_1.jpg</t>
  </si>
  <si>
    <t>https://dd3ka9h4chfr8.cloudfront.net/image/725136000567/image_icmfised7t1kve7383g4bhne6n/-FJPG/243772-001_DET_4.jpg</t>
  </si>
  <si>
    <t>https://dd3ka9h4chfr8.cloudfront.net/image/725136000567/image_fbkpohe44h7md8j1oqd2don34s/-FJPG/243772-001_DET_5.jpg</t>
  </si>
  <si>
    <t>https://dd3ka9h4chfr8.cloudfront.net/image/725136000567/image_hoct86etnh595bo1696d34nk20/-FJPG/243772-001_DET_6.jpg</t>
  </si>
  <si>
    <t>https://dd3ka9h4chfr8.cloudfront.net/image/725136000567/image_76gb6ienlt3nhfe80a3b66tj38/-FJPG/243772-001_DET_7.jpg</t>
  </si>
  <si>
    <t>https://dd3ka9h4chfr8.cloudfront.net/image/725136000567/image_qgio0t41hl5bv7n5mrjfv24c5r/-FJPG/FHMPRJ-018_SCENE-8.tif</t>
  </si>
  <si>
    <t>Adolfo Sideboard - Modern Black Ash</t>
  </si>
  <si>
    <t>https://dd3ka9h4chfr8.cloudfront.net/image/725136000567/image_sncoon8s6d4hn5v2os54fl816d/-S150x150-FJPG/244202-001_PRM_1.jpg</t>
  </si>
  <si>
    <t>https://dd3ka9h4chfr8.cloudfront.net/image/725136000567/image_sncoon8s6d4hn5v2os54fl816d/-FJPG/244202-001_PRM_1.jpg</t>
  </si>
  <si>
    <t>https://dd3ka9h4chfr8.cloudfront.net/image/725136000567/image_cq5d3emm5p25t6321kr10q331e/-FJPG/244202-001_SID_1.jpg</t>
  </si>
  <si>
    <t>https://dd3ka9h4chfr8.cloudfront.net/image/725136000567/image_a4nj3q4jld4h1ej34p58o4p94h/-FJPG/244202-001_ESS.tif</t>
  </si>
  <si>
    <t>https://dd3ka9h4chfr8.cloudfront.net/image/725136000567/image_a8k4s4hh457656i45jn9ov8d6o/-FJPG/244202-001_DET_2.jpg</t>
  </si>
  <si>
    <t>https://dd3ka9h4chfr8.cloudfront.net/image/725136000567/image_h14gu762tl1al5r9j8u747be03/-FJPG/244202-001_BCK_1.jpg</t>
  </si>
  <si>
    <t>https://dd3ka9h4chfr8.cloudfront.net/image/725136000567/image_n5kuju0svt07faqk3c242v3l72/-FJPG/244202-001_DET_1.jpg</t>
  </si>
  <si>
    <t>https://dd3ka9h4chfr8.cloudfront.net/image/725136000567/image_5lq0ogupm949p8evcr57peaq5o/-FJPG/244202-001_DET_3.jpg</t>
  </si>
  <si>
    <t>https://dd3ka9h4chfr8.cloudfront.net/image/725136000567/image_uak1chmn2h4vl6917hlfuicc2a/-FJPG/244202-001_OPN_1.jpg</t>
  </si>
  <si>
    <t>https://dd3ka9h4chfr8.cloudfront.net/image/725136000567/image_ohot2ppfhh2rnd4ibf5h72j65a/-FJPG/244202-001_TOP_1.jpg</t>
  </si>
  <si>
    <t>https://dd3ka9h4chfr8.cloudfront.net/image/725136000567/image_ugpvemtitt3lbdnt4di8lulg6t/-FJPG/244202-001_DET_4.jpg</t>
  </si>
  <si>
    <t>https://dd3ka9h4chfr8.cloudfront.net/image/725136000567/image_bq84ll2j6526f1ai830r8ean66/-FJPG/244202-001_DET_5.jpg</t>
  </si>
  <si>
    <t>https://dd3ka9h4chfr8.cloudfront.net/image/725136000567/image_lpndkuo0i10j7blovchu6j8j35/-FJPG/244202-001_DET_6.jpg</t>
  </si>
  <si>
    <t>https://dd3ka9h4chfr8.cloudfront.net/image/725136000567/image_9252udfsm53vl0hskfuj00346s/-FJPG/244202-001_DET_9.tif</t>
  </si>
  <si>
    <t>https://dd3ka9h4chfr8.cloudfront.net/image/725136000567/image_8ktjt5eocl50j7dbuo8ic5mg2r/-FJPG/244202-001_DET_9.tif</t>
  </si>
  <si>
    <t>https://dd3ka9h4chfr8.cloudfront.net/image/725136000567/image_f2ao59kspt46d7ruvv8jj0sc6r/-FJPG/244202-001_DET_10.tif</t>
  </si>
  <si>
    <t>Aesop Magazine Rack - Patina Brown</t>
  </si>
  <si>
    <t>https://dd3ka9h4chfr8.cloudfront.net/image/725136000567/image_j9ll3v51tp2hd2nocpl7do3g2b/-S150x150-FJPG/CBSH-013-031_PRM_1.jpg</t>
  </si>
  <si>
    <t>https://dd3ka9h4chfr8.cloudfront.net/image/725136000567/image_4ok3efu8vd1jt8786e60i4v57i/-FJPG/CBSH-013-031_PRM_2.jpg</t>
  </si>
  <si>
    <t>https://dd3ka9h4chfr8.cloudfront.net/image/725136000567/image_s2jq5vvr1d0kj0ido9c95qtg17/-FJPG/CBSH-013-031_DET_1.jpg</t>
  </si>
  <si>
    <t>https://dd3ka9h4chfr8.cloudfront.net/image/725136000567/image_c8f45ds6ul195dsh7l3i9vqj6g/-FJPG/CBSH-013-031_ESS_1.jpg</t>
  </si>
  <si>
    <t>https://dd3ka9h4chfr8.cloudfront.net/image/725136000567/image_e9ncifuadd4d7e6khio4uubf06/-FJPG/CBSH-013-031_DET_2.jpg</t>
  </si>
  <si>
    <t>https://dd3ka9h4chfr8.cloudfront.net/image/725136000567/image_jum3o6ttsh7s56dlso9qf8335j/-FJPG/CBSH-013-031_DET_3.jpg</t>
  </si>
  <si>
    <t>https://dd3ka9h4chfr8.cloudfront.net/image/725136000567/image_ruamtanm7p2j53mngd850hp55a/-FJPG/CBSH-013-031_DET_4.jpg</t>
  </si>
  <si>
    <t>https://dd3ka9h4chfr8.cloudfront.net/image/725136000567/image_kp72u2l83p7h34vb8ag2rmtm0g/-FJPG/CBSH-013-031_VIG_1.jpg</t>
  </si>
  <si>
    <t>https://dd3ka9h4chfr8.cloudfront.net/image/725136000567/image_332sm6j7h9053bt59ej5jma167/-FJPG/CBSH-013-031_SID_1.jpg</t>
  </si>
  <si>
    <t>https://dd3ka9h4chfr8.cloudfront.net/image/725136000567/image_74hqeq7jp95clbi7u70p90bs6m/-FJPG/CBSH-013-031_FRT_1.jpg</t>
  </si>
  <si>
    <t>Aidan Bed - Plushtone Linen</t>
  </si>
  <si>
    <t>100% Polyester</t>
  </si>
  <si>
    <t>Solid Parawood</t>
  </si>
  <si>
    <t>https://dd3ka9h4chfr8.cloudfront.net/image/725136000567/image_7s2e2nkbp53rv7c9bgdp86fm0a/-S150x150-FJPG/106185-045_PRM_1.jpg</t>
  </si>
  <si>
    <t>https://dd3ka9h4chfr8.cloudfront.net/image/725136000567/image_7s2e2nkbp53rv7c9bgdp86fm0a/-FJPG/106185-045_PRM_1.jpg</t>
  </si>
  <si>
    <t>https://dd3ka9h4chfr8.cloudfront.net/image/725136000567/image_5m15qe5t713cnbkmgm5a7jes4g/-FJPG/106185-045_SID_1.jpg</t>
  </si>
  <si>
    <t>https://dd3ka9h4chfr8.cloudfront.net/image/725136000567/image_b85b7fpio52096d5h52gr4l142/-FJPG/106185-045_DET_2.jpg</t>
  </si>
  <si>
    <t>https://dd3ka9h4chfr8.cloudfront.net/image/725136000567/image_sl2us64bkh66t3531taf1g6h74/-FJPG/106185-045_BCK_1.jpg</t>
  </si>
  <si>
    <t>https://dd3ka9h4chfr8.cloudfront.net/image/725136000567/image_tr7bcjqgj92fl6g7hllret2b0p/-FJPG/106185-045_DET_1.jpg</t>
  </si>
  <si>
    <t>https://dd3ka9h4chfr8.cloudfront.net/image/725136000567/image_qhlvk6glbl4el4cnqo6uk7dm1c/-FJPG/106185-045_DET_3.jpg</t>
  </si>
  <si>
    <t>https://dd3ka9h4chfr8.cloudfront.net/image/725136000567/image_i6h57vs1mh123fgh93lbcsuq6e/-FJPG/106185-045_DET_4.jpg</t>
  </si>
  <si>
    <t>https://dd3ka9h4chfr8.cloudfront.net/image/725136000567/image_j68idnini520v1dk7boimof16a/-FJPG/106185-045_DET_5.jpg</t>
  </si>
  <si>
    <t>https://dd3ka9h4chfr8.cloudfront.net/image/725136000567/image_flerdvl5bh6odd40nfsfaugv5c/-FJPG/106185-045_DET_6.jpg</t>
  </si>
  <si>
    <t>https://dd3ka9h4chfr8.cloudfront.net/image/725136000567/image_cue1bed7ed7av5c50b1m3d670e/-FJPG/106185-045_DET_7.jpg</t>
  </si>
  <si>
    <t>https://dd3ka9h4chfr8.cloudfront.net/image/725136000567/image_333vedbg9h5h38mf6asoiar71k/-S150x150-FJPG/106185-046_PRM_1.jpg</t>
  </si>
  <si>
    <t>https://dd3ka9h4chfr8.cloudfront.net/image/725136000567/image_333vedbg9h5h38mf6asoiar71k/-FJPG/106185-046_PRM_1.jpg</t>
  </si>
  <si>
    <t>https://dd3ka9h4chfr8.cloudfront.net/image/725136000567/image_hav36bdtrl18h889acu9uarp5n/-FJPG/106185-046_SID_1.jpg</t>
  </si>
  <si>
    <t>https://dd3ka9h4chfr8.cloudfront.net/image/725136000567/image_iu5o1e7a9d4f96pp7e9lv88b75/-FJPG/106185-046_DET_2.jpg</t>
  </si>
  <si>
    <t>https://dd3ka9h4chfr8.cloudfront.net/image/725136000567/image_idehekkajd3q1dnd84ar07qc6n/-FJPG/106185-046_BCK_1.jpg</t>
  </si>
  <si>
    <t>https://dd3ka9h4chfr8.cloudfront.net/image/725136000567/image_t88crfvfm51p5e3gevvi0d7f4t/-FJPG/106185-046_DET_1.jpg</t>
  </si>
  <si>
    <t>https://dd3ka9h4chfr8.cloudfront.net/image/725136000567/image_gl34eajbmd3itckb6sjbosvg0g/-FJPG/106185-046_DET_3.jpg</t>
  </si>
  <si>
    <t>https://dd3ka9h4chfr8.cloudfront.net/image/725136000567/image_0eft9qf4kt4o76vnda55e8m02c/-FJPG/106185-046_DET_4.jpg</t>
  </si>
  <si>
    <t>https://dd3ka9h4chfr8.cloudfront.net/image/725136000567/image_n7va2isml14nv1c56hs57l1d4m/-FJPG/106185-046_DET_5.jpg</t>
  </si>
  <si>
    <t>https://dd3ka9h4chfr8.cloudfront.net/image/725136000567/image_ifmobsgplh643froc7a53rs34e/-FJPG/106185-046_DET_6.jpg</t>
  </si>
  <si>
    <t>https://dd3ka9h4chfr8.cloudfront.net/image/725136000567/image_muipqbhfmd77d38rp7bldgtu7k/-FJPG/106185-046_DET_7.jpg</t>
  </si>
  <si>
    <t>Aidan Bed - Vintage Tobacco</t>
  </si>
  <si>
    <t>95% Polyester</t>
  </si>
  <si>
    <t>5% Polyurethane Fibre</t>
  </si>
  <si>
    <t>https://dd3ka9h4chfr8.cloudfront.net/image/725136000567/image_kbks11d69p4r94gkuo48s8m85i/-S150x150-FJPG/106185-047_PRM_1.jpg</t>
  </si>
  <si>
    <t>https://dd3ka9h4chfr8.cloudfront.net/image/725136000567/image_kbks11d69p4r94gkuo48s8m85i/-FJPG/106185-047_PRM_1.jpg</t>
  </si>
  <si>
    <t>https://dd3ka9h4chfr8.cloudfront.net/image/725136000567/image_es5976jtst4hp8ndgogjr3en4k/-FJPG/106185-047_SID_1.jpg</t>
  </si>
  <si>
    <t>https://dd3ka9h4chfr8.cloudfront.net/image/725136000567/image_s9710ult1d4hl4o4uehbpo097o/-FJPG/106185-047_DET_2.jpg</t>
  </si>
  <si>
    <t>https://dd3ka9h4chfr8.cloudfront.net/image/725136000567/image_9u6ip5332h1g1e0ndo7aq65g7q/-FJPG/106185-047_DET_1.jpg</t>
  </si>
  <si>
    <t>https://dd3ka9h4chfr8.cloudfront.net/image/725136000567/image_un2qs62vut0ah9qdo5osv1082j/-FJPG/106185-047_DET_3.jpg</t>
  </si>
  <si>
    <t>https://dd3ka9h4chfr8.cloudfront.net/image/725136000567/image_0e0jd0ikv540j1955p4quuo67v/-FJPG/106185-047_DET_4.jpg</t>
  </si>
  <si>
    <t>https://dd3ka9h4chfr8.cloudfront.net/image/725136000567/image_uc53vjhk7l20h7f6ts2ges2508/-FJPG/106185-047_DET_5.jpg</t>
  </si>
  <si>
    <t>https://dd3ka9h4chfr8.cloudfront.net/image/725136000567/image_j46r3nmuk16uh4ai5tbfjvu67n/-FJPG/106185-047_DET_6.jpg</t>
  </si>
  <si>
    <t>https://dd3ka9h4chfr8.cloudfront.net/image/725136000567/image_vnmdbdjt6d5s30n3122ktq7730/-S150x150-FJPG/106185-048_PRM_1.jpg</t>
  </si>
  <si>
    <t>https://dd3ka9h4chfr8.cloudfront.net/image/725136000567/image_vnmdbdjt6d5s30n3122ktq7730/-FJPG/106185-048_PRM_1.jpg</t>
  </si>
  <si>
    <t>https://dd3ka9h4chfr8.cloudfront.net/image/725136000567/image_2vqdd6d1jp3b7drc41mhn84h73/-FJPG/106185-048_SID_1.jpg</t>
  </si>
  <si>
    <t>https://dd3ka9h4chfr8.cloudfront.net/image/725136000567/image_5e4dfb040511def8ds1tuotl28/-FJPG/106185-048_DET_2.jpg</t>
  </si>
  <si>
    <t>https://dd3ka9h4chfr8.cloudfront.net/image/725136000567/image_j5q3arlfgd4k3ekbvk74e0bk5e/-FJPG/106185-048_BCK_1.jpg</t>
  </si>
  <si>
    <t>https://dd3ka9h4chfr8.cloudfront.net/image/725136000567/image_jeg9mj1rhd139eh13a43sfbi6p/-FJPG/106185-048_DET_1.jpg</t>
  </si>
  <si>
    <t>https://dd3ka9h4chfr8.cloudfront.net/image/725136000567/image_99qr3t30dh6tj6qnak31b0si5q/-FJPG/106185-048_DET_3.jpg</t>
  </si>
  <si>
    <t>https://dd3ka9h4chfr8.cloudfront.net/image/725136000567/image_0ucfrvbl896hp2om37ll0fkc4j/-FJPG/106185-048_DET_4.jpg</t>
  </si>
  <si>
    <t>https://dd3ka9h4chfr8.cloudfront.net/image/725136000567/image_s9t9vntovp2mf1cbp4sbopin6j/-FJPG/106185-048_DET_5.jpg</t>
  </si>
  <si>
    <t>https://dd3ka9h4chfr8.cloudfront.net/image/725136000567/image_9akjrj0go13cbchnu00bai9j44/-FJPG/106185-048_DET_6.jpg</t>
  </si>
  <si>
    <t>https://dd3ka9h4chfr8.cloudfront.net/image/725136000567/image_jg1165ces50c14cohggpbumh24/-FJPG/106185-048_DET_7.jpg</t>
  </si>
  <si>
    <t>Aidan Slipcover Bed - Brussels Coffee</t>
  </si>
  <si>
    <t>100% Flax/Linen</t>
  </si>
  <si>
    <t>https://dd3ka9h4chfr8.cloudfront.net/image/725136000567/image_79t28o2upt5q9d7dqujoudka02/-S150x150-FJPG/234707-009_PRM_1.jpg</t>
  </si>
  <si>
    <t>https://dd3ka9h4chfr8.cloudfront.net/image/725136000567/image_79t28o2upt5q9d7dqujoudka02/-FJPG/234707-009_PRM_1.jpg</t>
  </si>
  <si>
    <t>https://dd3ka9h4chfr8.cloudfront.net/image/725136000567/image_157t2hj8q14mv2bs45v8scv20t/-FJPG/234707-009_SID_1.jpg</t>
  </si>
  <si>
    <t>https://dd3ka9h4chfr8.cloudfront.net/image/725136000567/image_b58qcqhdn91vvcr024v1vn7k28/-FJPG/234707-009_ESS_1.jpg</t>
  </si>
  <si>
    <t>https://dd3ka9h4chfr8.cloudfront.net/image/725136000567/image_07sdi7hpp54ab5bg0bncdkf241/-FJPG/234707-009_DET_2.jpg</t>
  </si>
  <si>
    <t>https://dd3ka9h4chfr8.cloudfront.net/image/725136000567/image_4iv04rr0k5003d0e924ch78d0c/-FJPG/234707-009_BCK_1.jpg</t>
  </si>
  <si>
    <t>https://dd3ka9h4chfr8.cloudfront.net/image/725136000567/image_3arengpa2100pdr9ubjppv2l16/-FJPG/234707-009_INF_1.jpg</t>
  </si>
  <si>
    <t>https://dd3ka9h4chfr8.cloudfront.net/image/725136000567/image_0mu10s7ppd0l10iroeg4k3kf65/-FJPG/234707-009_DET_1.jpg</t>
  </si>
  <si>
    <t>https://dd3ka9h4chfr8.cloudfront.net/image/725136000567/image_mf3o73h58h6ul6hb6ovuunab3a/-FJPG/234707-009_DET_3.jpg</t>
  </si>
  <si>
    <t>https://dd3ka9h4chfr8.cloudfront.net/image/725136000567/image_s9llg8l8dd5699ssfn9ijmhn7o/-FJPG/234707-009_DET_4.jpg</t>
  </si>
  <si>
    <t>https://dd3ka9h4chfr8.cloudfront.net/image/725136000567/image_jqu3vtj6rp4fb9gs7s2aluub51/-FJPG/234707-009_DET_5.jpg</t>
  </si>
  <si>
    <t>https://dd3ka9h4chfr8.cloudfront.net/image/725136000567/image_2ld0kor4od1f15nrmsm2isj14o/-FJPG/234707-009_DET_6.jpg</t>
  </si>
  <si>
    <t>https://dd3ka9h4chfr8.cloudfront.net/image/725136000567/image_32p2cc9ktp1mje7ho91boao14g/-FJPG/234707-009_DET_7.jpg</t>
  </si>
  <si>
    <t>https://dd3ka9h4chfr8.cloudfront.net/image/725136000567/image_cfbc861e110mjcs1iricd2dc1n/-FJPG/234707-009_PRM_2.jpg</t>
  </si>
  <si>
    <t>https://dd3ka9h4chfr8.cloudfront.net/image/725136000567/image_pjj07i85113aj8mt0lrnpfe25t/-FJPG/234707-009_SID_2.jpg</t>
  </si>
  <si>
    <t>https://dd3ka9h4chfr8.cloudfront.net/image/725136000567/image_sl8nb3hdqp79n8rehdtbtr4h68/-FJPG/234707-009_FRT_2.jpg</t>
  </si>
  <si>
    <t>https://dd3ka9h4chfr8.cloudfront.net/image/725136000567/image_cuopkeb0l943lf1cc3kqjr9u0v/-S150x150-FJPG/234707-010_PRM_1.jpg</t>
  </si>
  <si>
    <t>https://dd3ka9h4chfr8.cloudfront.net/image/725136000567/image_cuopkeb0l943lf1cc3kqjr9u0v/-FJPG/234707-010_PRM_1.jpg</t>
  </si>
  <si>
    <t>https://dd3ka9h4chfr8.cloudfront.net/image/725136000567/image_8qqvaol8jt1cdels9il5bva90b/-FJPG/234707-010_SID_1.jpg</t>
  </si>
  <si>
    <t>https://dd3ka9h4chfr8.cloudfront.net/image/725136000567/image_ko6ufn93ft5nn509r3mcgr3e7p/-FJPG/234707-010_ESS.jpg</t>
  </si>
  <si>
    <t>https://dd3ka9h4chfr8.cloudfront.net/image/725136000567/image_0v10jkq56d39l84nlm1md9ns24/-FJPG/234707-010_ESS_1.jpg</t>
  </si>
  <si>
    <t>https://dd3ka9h4chfr8.cloudfront.net/image/725136000567/image_ds2lrp9h897t3aadm7hvmi8a5m/-FJPG/234707-010_DET_2.jpg</t>
  </si>
  <si>
    <t>https://dd3ka9h4chfr8.cloudfront.net/image/725136000567/image_b8fgtccndl4up2n1u5jqa59k52/-FJPG/234707-010_BCK_1.jpg</t>
  </si>
  <si>
    <t>https://dd3ka9h4chfr8.cloudfront.net/image/725136000567/image_oasu7dkpol3h35i81lmss1fr71/-FJPG/234707-010_INF_1.jpg</t>
  </si>
  <si>
    <t>https://dd3ka9h4chfr8.cloudfront.net/image/725136000567/image_58hml1u95l2j33gor1a9mdgs79/-FJPG/234707-010_DET_1.jpg</t>
  </si>
  <si>
    <t>https://dd3ka9h4chfr8.cloudfront.net/image/725136000567/image_qg4u9f6oi91spdhnd1oam4ia7m/-FJPG/234707-010_DET_3.jpg</t>
  </si>
  <si>
    <t>https://dd3ka9h4chfr8.cloudfront.net/image/725136000567/image_jqd29qcrcp2eheid80lr287070/-FJPG/234707-010_DET_4.jpg</t>
  </si>
  <si>
    <t>https://dd3ka9h4chfr8.cloudfront.net/image/725136000567/image_a0ug230is97vvfd3up9g92867r/-FJPG/234707-010_DET_5.jpg</t>
  </si>
  <si>
    <t>https://dd3ka9h4chfr8.cloudfront.net/image/725136000567/image_nln2nm5rj96ovdu3v4dgn9op1k/-FJPG/234707-010_DET_6.jpg</t>
  </si>
  <si>
    <t>https://dd3ka9h4chfr8.cloudfront.net/image/725136000567/image_jt9vugoqmt6s93vgq2at6gev3a/-FJPG/234707-010_DET_7.jpg</t>
  </si>
  <si>
    <t>https://dd3ka9h4chfr8.cloudfront.net/image/725136000567/image_oop4groj0d6pf1l49v64s8f02u/-FJPG/234707-010_FRT_2.jpg</t>
  </si>
  <si>
    <t>https://dd3ka9h4chfr8.cloudfront.net/image/725136000567/image_am3m2v0p3d5s52o4cko4ivg543/-FJPG/234707-010_PRM_2.jpg</t>
  </si>
  <si>
    <t>https://dd3ka9h4chfr8.cloudfront.net/image/725136000567/image_oo8m9g4r515hf9dv1t743jdu11/-FJPG/234707-010_SID_2.jpg</t>
  </si>
  <si>
    <t>Aidan Slipcover Bed - Brussels Natural</t>
  </si>
  <si>
    <t>https://dd3ka9h4chfr8.cloudfront.net/image/725136000567/image_5jvha7cv354db57oafkkkovf1m/-S150x150-FJPG/234707-001_PRM_1.jpg</t>
  </si>
  <si>
    <t>https://dd3ka9h4chfr8.cloudfront.net/image/725136000567/image_5jvha7cv354db57oafkkkovf1m/-FJPG/234707-001_PRM_1.jpg</t>
  </si>
  <si>
    <t>https://dd3ka9h4chfr8.cloudfront.net/image/725136000567/image_936no20vhp5kn5sgt9porgs922/-FJPG/234707-001_SID_1.jpg</t>
  </si>
  <si>
    <t>https://dd3ka9h4chfr8.cloudfront.net/image/725136000567/image_qom9mn4aup6s3b0omfhnjpbm5m/-FJPG/234707-002_ESS_1.jpg</t>
  </si>
  <si>
    <t>https://dd3ka9h4chfr8.cloudfront.net/image/725136000567/image_l6p88spcep7glelauudoadh84u/-FJPG/234707-001_ESS_1.jpg</t>
  </si>
  <si>
    <t>https://dd3ka9h4chfr8.cloudfront.net/image/725136000567/image_7vgl35qn0947teuqdr4rmk302k/-FJPG/234707-001_DET_2.jpg</t>
  </si>
  <si>
    <t>https://dd3ka9h4chfr8.cloudfront.net/image/725136000567/image_9ivq0bfjop39b7ji663lk61n31/-FJPG/234707-001_BCK_1.jpg</t>
  </si>
  <si>
    <t>https://dd3ka9h4chfr8.cloudfront.net/image/725136000567/image_8uq157amb129bbvqf317e91i3h/-FJPG/234707-001_INF_1.jpg</t>
  </si>
  <si>
    <t>https://dd3ka9h4chfr8.cloudfront.net/image/725136000567/image_di0icrt83h4fh5jeohjgj9mo20/-FJPG/234707-001_DET_1.jpg</t>
  </si>
  <si>
    <t>https://dd3ka9h4chfr8.cloudfront.net/image/725136000567/image_ecve6lrji10j19r76n5goh5i0m/-FJPG/234707-001_DET_3.jpg</t>
  </si>
  <si>
    <t>https://dd3ka9h4chfr8.cloudfront.net/image/725136000567/image_g2uirtuuip2b1bg3qdm7q76e0u/-FJPG/234707-001_DET_4.jpg</t>
  </si>
  <si>
    <t>https://dd3ka9h4chfr8.cloudfront.net/image/725136000567/image_gqasroskph0d1calan68stm510/-FJPG/234707-001_DET_7.jpg</t>
  </si>
  <si>
    <t>https://dd3ka9h4chfr8.cloudfront.net/image/725136000567/image_b7ht4efvcd46lcut0crf5jg32p/-S150x150-FJPG/234707-002_PRM_1.jpg</t>
  </si>
  <si>
    <t>https://dd3ka9h4chfr8.cloudfront.net/image/725136000567/image_b7ht4efvcd46lcut0crf5jg32p/-FJPG/234707-002_PRM_1.jpg</t>
  </si>
  <si>
    <t>https://dd3ka9h4chfr8.cloudfront.net/image/725136000567/image_t80iaq699t1ht0naq05e89q81s/-FJPG/234707-002_SID_1.jpg</t>
  </si>
  <si>
    <t>https://dd3ka9h4chfr8.cloudfront.net/image/725136000567/image_4cmd5nesmt7ltdpgmfag5etd0v/-FJPG/234707-002_DET_2.jpg</t>
  </si>
  <si>
    <t>https://dd3ka9h4chfr8.cloudfront.net/image/725136000567/image_54ttogb1bd49n84la4q1aitv0n/-FJPG/234707-002_BCK_1.jpg</t>
  </si>
  <si>
    <t>https://dd3ka9h4chfr8.cloudfront.net/image/725136000567/image_pi5664snpt4il6614aqhp46n7t/-FJPG/234707-002_INF_1.jpg</t>
  </si>
  <si>
    <t>https://dd3ka9h4chfr8.cloudfront.net/image/725136000567/image_iaa9t1e1u14f351pf8jv58744i/-FJPG/234707-002_DET_1.jpg</t>
  </si>
  <si>
    <t>https://dd3ka9h4chfr8.cloudfront.net/image/725136000567/image_kjfani5hb96l3a4kv4a6d05e1f/-FJPG/234707-002_DET_3.jpg</t>
  </si>
  <si>
    <t>https://dd3ka9h4chfr8.cloudfront.net/image/725136000567/image_2aefti4knh1m120lhs6ksdqp6n/-FJPG/234707-002_DET_4.jpg</t>
  </si>
  <si>
    <t>https://dd3ka9h4chfr8.cloudfront.net/image/725136000567/image_5c8r99lok57n3bl9ooeru4kk4j/-FJPG/234707-002_ESS_2.jpg</t>
  </si>
  <si>
    <t>Alec Chair &amp; Half - Dulane Mahogany</t>
  </si>
  <si>
    <t>https://dd3ka9h4chfr8.cloudfront.net/image/725136000567/image_rto8h4159p22h5t5rf72lv6u14/-S150x150-FJPG/234820-005_PRM_1.jpg</t>
  </si>
  <si>
    <t>https://dd3ka9h4chfr8.cloudfront.net/image/725136000567/image_rto8h4159p22h5t5rf72lv6u14/-FJPG/234820-005_PRM_1.jpg</t>
  </si>
  <si>
    <t>https://dd3ka9h4chfr8.cloudfront.net/image/725136000567/image_p7pk8cr3bt6ah50ufaogr75a32/-FJPG/234820-005_SID_1.jpg</t>
  </si>
  <si>
    <t>https://dd3ka9h4chfr8.cloudfront.net/image/725136000567/image_c18qq0oim10p3ehggb7d2o9322/-FJPG/234820-005_DET_2.jpg</t>
  </si>
  <si>
    <t>https://dd3ka9h4chfr8.cloudfront.net/image/725136000567/image_laqs347h0l1b1c5tmidkluq25b/-FJPG/234820-005_BCK_1.jpg</t>
  </si>
  <si>
    <t>https://dd3ka9h4chfr8.cloudfront.net/image/725136000567/image_7vs3odslm106r5jmgl7idlgk2l/-FJPG/234820-005_DET_1.jpg</t>
  </si>
  <si>
    <t>https://dd3ka9h4chfr8.cloudfront.net/image/725136000567/image_ujbql6783l5apdu1g25s037a71/-FJPG/234820-005_DET_3.jpg</t>
  </si>
  <si>
    <t>https://dd3ka9h4chfr8.cloudfront.net/image/725136000567/image_tt4f0v96b563b2ndqaehsch27o/-FJPG/234820-005_DET_4.jpg</t>
  </si>
  <si>
    <t>https://dd3ka9h4chfr8.cloudfront.net/image/725136000567/image_oqoroiehbp3jr1e0vmqgct1o0c/-FJPG/234820-005_DET_5.jpg</t>
  </si>
  <si>
    <t>https://dd3ka9h4chfr8.cloudfront.net/image/725136000567/image_87r5rmtrih6239elosmu2m921j/-FJPG/234820-005_DET_6.jpg</t>
  </si>
  <si>
    <t>https://dd3ka9h4chfr8.cloudfront.net/image/725136000567/image_oton5jk1ep2of9i8vkbo0j0c1f/-FJPG/234820-005_DET_7.jpg</t>
  </si>
  <si>
    <t>Alec Storage Ottoman - Dulane Mahogany</t>
  </si>
  <si>
    <t>https://dd3ka9h4chfr8.cloudfront.net/image/725136000567/image_2kjjkhlh993kd5rdua1r3mca0e/-S150x150-FJPG/234865-005_PRM_1.jpg</t>
  </si>
  <si>
    <t>https://dd3ka9h4chfr8.cloudfront.net/image/725136000567/image_2kjjkhlh993kd5rdua1r3mca0e/-FJPG/234865-005_PRM_1.jpg</t>
  </si>
  <si>
    <t>https://dd3ka9h4chfr8.cloudfront.net/image/725136000567/image_1kq0388c8l7mn4irqbr2qn6r1a/-FJPG/234865-005_SID_1.jpg</t>
  </si>
  <si>
    <t>https://dd3ka9h4chfr8.cloudfront.net/image/725136000567/image_sgagn2otjl4393i0at9lg48g29/-FJPG/234865-005_DET_2.jpg</t>
  </si>
  <si>
    <t>https://dd3ka9h4chfr8.cloudfront.net/image/725136000567/image_ssko08kvhh3l9263dn2eau3l4p/-FJPG/234865-005_DET_1.jpg</t>
  </si>
  <si>
    <t>https://dd3ka9h4chfr8.cloudfront.net/image/725136000567/image_q0o2p9pm4164t7qvf9djff4063/-FJPG/234865-005_DET_3.jpg</t>
  </si>
  <si>
    <t>https://dd3ka9h4chfr8.cloudfront.net/image/725136000567/image_1ooepv5ik15u50va1j1inss71e/-FJPG/234865-005_OPN_1.jpg</t>
  </si>
  <si>
    <t>https://dd3ka9h4chfr8.cloudfront.net/image/725136000567/image_1vr0fcdhnd5i5d1fd690u1v17a/-FJPG/234865-005_DET_4.jpg</t>
  </si>
  <si>
    <t>https://dd3ka9h4chfr8.cloudfront.net/image/725136000567/image_9j8of22d2l2kv3udr8a75p2c5q/-FJPG/234865-005_DET_5.jpg</t>
  </si>
  <si>
    <t>https://dd3ka9h4chfr8.cloudfront.net/image/725136000567/image_3055745gnt1il8c4v4cic4tn4u/-FJPG/234865-005_DET_6.jpg</t>
  </si>
  <si>
    <t>Alessio Sideboard - Aged Natural Oak Veneer</t>
  </si>
  <si>
    <t>Solid Oak</t>
  </si>
  <si>
    <t>https://dd3ka9h4chfr8.cloudfront.net/image/725136000567/image_vf6mcqd25l03nf4d2c69napa7m/-S150x150-FJPG/245348-005_PRM_1.jpg</t>
  </si>
  <si>
    <t>https://dd3ka9h4chfr8.cloudfront.net/image/725136000567/image_vf6mcqd25l03nf4d2c69napa7m/-FJPG/245348-005_PRM_1.jpg</t>
  </si>
  <si>
    <t>https://dd3ka9h4chfr8.cloudfront.net/image/725136000567/image_6d4clib2ep0up1gev4d1hvus13/-FJPG/245348-005_SID_1.jpg</t>
  </si>
  <si>
    <t>https://dd3ka9h4chfr8.cloudfront.net/image/725136000567/image_f1nqukskn16rrbd9coginqne7a/-FJPG/245348-005_ESS.tif</t>
  </si>
  <si>
    <t>https://dd3ka9h4chfr8.cloudfront.net/image/725136000567/image_pcftsa2as10898kh5v5te8lj6d/-FJPG/245348-005_DET_2.jpg</t>
  </si>
  <si>
    <t>https://dd3ka9h4chfr8.cloudfront.net/image/725136000567/image_3v5p66bkud30vde9emsrnul57u/-FJPG/245348-005_BCK_1.jpg</t>
  </si>
  <si>
    <t>https://dd3ka9h4chfr8.cloudfront.net/image/725136000567/image_6u3ns5llnl025a5glr1srut73t/-FJPG/245348-005_DET_1.jpg</t>
  </si>
  <si>
    <t>https://dd3ka9h4chfr8.cloudfront.net/image/725136000567/image_p6gb97nh3l4l5diie5ejb7es4a/-FJPG/245348-005_DET_3.jpg</t>
  </si>
  <si>
    <t>https://dd3ka9h4chfr8.cloudfront.net/image/725136000567/image_pmudpghaah56v0r61dmau3nc3r/-FJPG/245348-005_OPN_1.jpg</t>
  </si>
  <si>
    <t>https://dd3ka9h4chfr8.cloudfront.net/image/725136000567/image_bm4p2l5mtp36rbbrhk3lukqi0i/-FJPG/245348-005_TOP_1.jpg</t>
  </si>
  <si>
    <t>https://dd3ka9h4chfr8.cloudfront.net/image/725136000567/image_0ar9uvkl0t4ij7jpmccv1dun6a/-FJPG/245348-005_DET_4.jpg</t>
  </si>
  <si>
    <t>https://dd3ka9h4chfr8.cloudfront.net/image/725136000567/image_sjoarc4cd10hd1k14nbuod0m2b/-FJPG/245348-005_DET_5.jpg</t>
  </si>
  <si>
    <t>https://dd3ka9h4chfr8.cloudfront.net/image/725136000567/image_3apllsiait2ardv7e54v90g53b/-FJPG/245348-005_DET_6.jpg</t>
  </si>
  <si>
    <t>https://dd3ka9h4chfr8.cloudfront.net/image/725136000567/image_4tfubqg5l531bbe1higdlfm26k/-FJPG/245348-005_DET_7.jpg</t>
  </si>
  <si>
    <t>https://dd3ka9h4chfr8.cloudfront.net/image/725136000567/image_jc11k1ln453vhdaqdhqcusoa58/-FJPG/245348-005_DET_9.tif</t>
  </si>
  <si>
    <t>https://dd3ka9h4chfr8.cloudfront.net/image/725136000567/image_bn0lf1ubvt7rf2m5hrbeu8kn6a/-FJPG/FHMPRJ-018_SCENE-11.tif</t>
  </si>
  <si>
    <t>Alexandria Accent Chair - Honey Wheat</t>
  </si>
  <si>
    <t>70% Polyester</t>
  </si>
  <si>
    <t>30% Viscose (Rayon)</t>
  </si>
  <si>
    <t>Cane</t>
  </si>
  <si>
    <t>https://dd3ka9h4chfr8.cloudfront.net/image/725136000567/image_qu51m4lldd3mf2mihphe9de76l/-S150x150-FJPG/CABT-79-40_PRM_1.jpg</t>
  </si>
  <si>
    <t>https://dd3ka9h4chfr8.cloudfront.net/image/725136000567/image_qu51m4lldd3mf2mihphe9de76l/-FJPG/CABT-79-40_PRM_1.jpg</t>
  </si>
  <si>
    <t>https://dd3ka9h4chfr8.cloudfront.net/image/725136000567/image_5j2jbs529179jetf4qke7cn67g/-FJPG/CABT-79-40_SID_1.jpg</t>
  </si>
  <si>
    <t>https://dd3ka9h4chfr8.cloudfront.net/image/725136000567/image_l01jpd3s4h5nhfckj4ha7l4m2b/-FJPG/CABT-79-40_DET_2.jpg</t>
  </si>
  <si>
    <t>https://dd3ka9h4chfr8.cloudfront.net/image/725136000567/image_87bjrrg3i16q72je5q75tf8a7b/-FJPG/CABT-79-40_BCK_1.jpg</t>
  </si>
  <si>
    <t>https://dd3ka9h4chfr8.cloudfront.net/image/725136000567/image_ktn2pgdh516tt9527u5ijaje7i/-FJPG/CABT-79-40_DET_1.jpg</t>
  </si>
  <si>
    <t>https://dd3ka9h4chfr8.cloudfront.net/image/725136000567/image_3dpjr0gmed2ch29qku320p3j2h/-FJPG/CABT-79-40_DET_3.jpg</t>
  </si>
  <si>
    <t>https://dd3ka9h4chfr8.cloudfront.net/image/725136000567/image_oh9n8i727h5nfb576oq5o79v4s/-FJPG/CABT-79-40_DET_4.jpg</t>
  </si>
  <si>
    <t>https://dd3ka9h4chfr8.cloudfront.net/image/725136000567/image_c26jcv22ct3g9dt8p0kgchg472/-FJPG/CABT-79-40_DET_5.jpg</t>
  </si>
  <si>
    <t>https://dd3ka9h4chfr8.cloudfront.net/image/725136000567/image_n89jm9sn69139cjdl7q4sojr19/-FJPG/CABT-79-40_DET_6.jpg</t>
  </si>
  <si>
    <t>https://dd3ka9h4chfr8.cloudfront.net/image/725136000567/image_0fu05gru0t5il2ag0o1bdmnn0k/-FJPG/CABT-79-40_ROM_1.jpg</t>
  </si>
  <si>
    <t>Alexandria Accent Chair - Knoll Natural</t>
  </si>
  <si>
    <t>5% Acrylic</t>
  </si>
  <si>
    <t>https://dd3ka9h4chfr8.cloudfront.net/image/725136000567/image_lt5cpkjhmp0gv98g9sm07kmh3q/-S150x150-FJPG/CABT-79-493_PRM_1.jpg</t>
  </si>
  <si>
    <t>https://dd3ka9h4chfr8.cloudfront.net/image/725136000567/image_lt5cpkjhmp0gv98g9sm07kmh3q/-FJPG/CABT-79-493_PRM_1.jpg</t>
  </si>
  <si>
    <t>https://dd3ka9h4chfr8.cloudfront.net/image/725136000567/image_45s6ms8bcp1450m2fq4enbfm5k/-FJPG/CABT-79-493_SID_1.jpg</t>
  </si>
  <si>
    <t>https://dd3ka9h4chfr8.cloudfront.net/image/725136000567/image_j4dq9o98th1q34f851lrp8165r/-FJPG/CABT-79-493_ESS_1.jpg</t>
  </si>
  <si>
    <t>https://dd3ka9h4chfr8.cloudfront.net/image/725136000567/image_aavi9lho355gpbv56u17o4bq2p/-FJPG/CABT-79-493_DET_2.jpg</t>
  </si>
  <si>
    <t>https://dd3ka9h4chfr8.cloudfront.net/image/725136000567/image_mk8h873e9152hbtsoibi9rn54o/-FJPG/CABT-79-493_BCK_1.jpg</t>
  </si>
  <si>
    <t>https://dd3ka9h4chfr8.cloudfront.net/image/725136000567/image_djf5rdnunp29v22gdmflo23f2l/-FJPG/CABT-79-493_INF_1.jpg</t>
  </si>
  <si>
    <t>https://dd3ka9h4chfr8.cloudfront.net/image/725136000567/image_2bakcr2ppl4i31b3854p6pme72/-FJPG/CABT-79-493_DET_1.jpg</t>
  </si>
  <si>
    <t>https://dd3ka9h4chfr8.cloudfront.net/image/725136000567/image_kg1b1shpl13hjdrbqlb3f8on3u/-FJPG/CABT-79-493_DET_3.jpg</t>
  </si>
  <si>
    <t>https://dd3ka9h4chfr8.cloudfront.net/image/725136000567/image_ils6eckcmp10r4pepn8n9bt165/-FJPG/CABT-79-493_DET_4.jpg</t>
  </si>
  <si>
    <t>https://dd3ka9h4chfr8.cloudfront.net/image/725136000567/image_ge4cbe2e4h5ef12fva7e7ejc2n/-FJPG/CABT-79-493_DET_5.jpg</t>
  </si>
  <si>
    <t>https://dd3ka9h4chfr8.cloudfront.net/image/725136000567/image_o0q6d520ep0of1l5lifj374v71/-FJPG/CABT-79-493_DET_6.jpg</t>
  </si>
  <si>
    <t>https://dd3ka9h4chfr8.cloudfront.net/image/725136000567/image_igdalod5dh5q1d0ol707h49a62/-FJPG/CABT-79-493_DET_7.jpg</t>
  </si>
  <si>
    <t>Alfie Dining Table - Black Pine</t>
  </si>
  <si>
    <t>Solid Pine</t>
  </si>
  <si>
    <t>https://dd3ka9h4chfr8.cloudfront.net/image/725136000567/image_5m8nj4ifop0p72crhf4f3qcu0j/-S150x150-FJPG/229886-003_PRM_1.jpg</t>
  </si>
  <si>
    <t>https://dd3ka9h4chfr8.cloudfront.net/image/725136000567/image_5m8nj4ifop0p72crhf4f3qcu0j/-FJPG/229886-003_PRM_1.jpg</t>
  </si>
  <si>
    <t>https://dd3ka9h4chfr8.cloudfront.net/image/725136000567/image_ve908m2su132508o1ud2fq483v/-FJPG/229886-003_SID_1.jpg</t>
  </si>
  <si>
    <t>https://dd3ka9h4chfr8.cloudfront.net/image/725136000567/image_j2abvt7ft90olfhi6lj5453961/-FJPG/229886-003_ESS.tif</t>
  </si>
  <si>
    <t>https://dd3ka9h4chfr8.cloudfront.net/image/725136000567/image_dmh8h7vtgl2i94tjufsnp8sm1k/-FJPG/229886-003_DET_2.jpg</t>
  </si>
  <si>
    <t>https://dd3ka9h4chfr8.cloudfront.net/image/725136000567/image_lqa3gt3vnt3f95cm8ge8m7q613/-FJPG/229886-003_DET_1.jpg</t>
  </si>
  <si>
    <t>https://dd3ka9h4chfr8.cloudfront.net/image/725136000567/image_9fu2rsb9613ft17nf5rdobdl5h/-FJPG/229886-003_DET_3.jpg</t>
  </si>
  <si>
    <t>https://dd3ka9h4chfr8.cloudfront.net/image/725136000567/image_2au4ncdial4fh1l2hs43pr4430/-FJPG/229886-003_DET_4.jpg</t>
  </si>
  <si>
    <t>https://dd3ka9h4chfr8.cloudfront.net/image/725136000567/image_hc4qousfad2o58le48kjai3q58/-FJPG/229886-003_DET_5.jpg</t>
  </si>
  <si>
    <t>https://dd3ka9h4chfr8.cloudfront.net/image/725136000567/image_nmp46rm4nl6i128e58ionqss2g/-FJPG/229886-003_DET_6.jpg</t>
  </si>
  <si>
    <t>https://dd3ka9h4chfr8.cloudfront.net/image/725136000567/image_lvaoc8m11d3e1c37tbm6tr7p51/-S150x150-FJPG/229887-002_PRM_1.jpg</t>
  </si>
  <si>
    <t>https://dd3ka9h4chfr8.cloudfront.net/image/725136000567/image_lvaoc8m11d3e1c37tbm6tr7p51/-FJPG/229887-002_PRM_1.jpg</t>
  </si>
  <si>
    <t>https://dd3ka9h4chfr8.cloudfront.net/image/725136000567/image_8i6frl9eh54tr6d4q1gbld7163/-FJPG/229887-002_SID_1.jpg</t>
  </si>
  <si>
    <t>https://dd3ka9h4chfr8.cloudfront.net/image/725136000567/image_i4ab9k4v1h6c96r7hblm004k4b/-FJPG/229887-002_DET_2.jpg</t>
  </si>
  <si>
    <t>https://dd3ka9h4chfr8.cloudfront.net/image/725136000567/image_8iimfqon4t1et5madhdovilf4q/-FJPG/229887-002_DET_1.jpg</t>
  </si>
  <si>
    <t>https://dd3ka9h4chfr8.cloudfront.net/image/725136000567/image_o5tqhkpdlt681dcjbqe312aj65/-FJPG/229887-002_DET_3.jpg</t>
  </si>
  <si>
    <t>https://dd3ka9h4chfr8.cloudfront.net/image/725136000567/image_2eirj1kdvd28neq1n6hnrsmp29/-FJPG/229887-002_DET_4.jpg</t>
  </si>
  <si>
    <t>https://dd3ka9h4chfr8.cloudfront.net/image/725136000567/image_3ovb2suqe56518ul114qbcfj1k/-FJPG/229887-002_DET_5.jpg</t>
  </si>
  <si>
    <t>https://dd3ka9h4chfr8.cloudfront.net/image/725136000567/image_atb77pq1hl48h2ak3ev0cffv7p/-FJPG/229887-002_DET_6.jpg</t>
  </si>
  <si>
    <t>Alfie Dining Table - Waxed Pine</t>
  </si>
  <si>
    <t>https://dd3ka9h4chfr8.cloudfront.net/image/725136000567/image_kbhqp282u13tjdis8lt2tnqh5j/-S150x150-FJPG/229886-001_PRM_1.jpg</t>
  </si>
  <si>
    <t>https://dd3ka9h4chfr8.cloudfront.net/image/725136000567/image_kbhqp282u13tjdis8lt2tnqh5j/-FJPG/229886-001_PRM_1.jpg</t>
  </si>
  <si>
    <t>https://dd3ka9h4chfr8.cloudfront.net/image/725136000567/image_dkqtm62a4143f23m7ahpkqn37l/-FJPG/229886-001_SID_1.jpg</t>
  </si>
  <si>
    <t>https://dd3ka9h4chfr8.cloudfront.net/image/725136000567/image_s19ku43kqp5g550fs01tint578/-FJPG/229886-001_DET_2.jpg</t>
  </si>
  <si>
    <t>https://dd3ka9h4chfr8.cloudfront.net/image/725136000567/image_jco90aapd96ehcl6pfskhu8v7k/-FJPG/229886-001_DET_1.jpg</t>
  </si>
  <si>
    <t>https://dd3ka9h4chfr8.cloudfront.net/image/725136000567/image_n9rqis7u7t0r59ua2fa82hr06r/-FJPG/229886-001_DET_3.jpg</t>
  </si>
  <si>
    <t>https://dd3ka9h4chfr8.cloudfront.net/image/725136000567/image_lli03or9qd6nl96qhagoudql0l/-FJPG/229886-001_DET_4.jpg</t>
  </si>
  <si>
    <t>https://dd3ka9h4chfr8.cloudfront.net/image/725136000567/image_4vl6vhpe6t0r7a632mvk5qe90s/-FJPG/229886-001_DET_5.jpg</t>
  </si>
  <si>
    <t>https://dd3ka9h4chfr8.cloudfront.net/image/725136000567/image_s3hpupmuu57ep348qgtntsgp4a/-FJPG/229886-001_DET_6.jpg</t>
  </si>
  <si>
    <t>https://dd3ka9h4chfr8.cloudfront.net/image/725136000567/image_7splh8o7pd441ekm13dt3p1o7c/-FJPG/229886-001_ROM_1.jpg</t>
  </si>
  <si>
    <t>https://dd3ka9h4chfr8.cloudfront.net/image/725136000567/image_c9457pj4vd3fd1sa5nk0o0u412/-S150x150-FJPG/229887-001_PRM_1.jpg</t>
  </si>
  <si>
    <t>https://dd3ka9h4chfr8.cloudfront.net/image/725136000567/image_c9457pj4vd3fd1sa5nk0o0u412/-FJPG/229887-001_PRM_1.jpg</t>
  </si>
  <si>
    <t>https://dd3ka9h4chfr8.cloudfront.net/image/725136000567/image_9g6mp0dh017cb6roa2cjj5tf6c/-FJPG/229887-001_SID_1.jpg</t>
  </si>
  <si>
    <t>https://dd3ka9h4chfr8.cloudfront.net/image/725136000567/image_btk6j9m8l13bbe06mf046alj5n/-FJPG/229887-001_ESS_1.jpg</t>
  </si>
  <si>
    <t>https://dd3ka9h4chfr8.cloudfront.net/image/725136000567/image_rtlnb3ci250fv4h7t24gne5o65/-FJPG/229887-001_DET_2.jpg</t>
  </si>
  <si>
    <t>https://dd3ka9h4chfr8.cloudfront.net/image/725136000567/image_blovh9ibit69v37jfd5t4d0u5b/-FJPG/229887-001_DET_1.jpg</t>
  </si>
  <si>
    <t>https://dd3ka9h4chfr8.cloudfront.net/image/725136000567/image_k89vanlq114gdacrb91s6tiu2f/-FJPG/229887-001_DET_3.jpg</t>
  </si>
  <si>
    <t>https://dd3ka9h4chfr8.cloudfront.net/image/725136000567/image_h9dphdd7n96ld9n9c8qvorg84f/-FJPG/229887-001_DET_4.jpg</t>
  </si>
  <si>
    <t>https://dd3ka9h4chfr8.cloudfront.net/image/725136000567/image_rob4kphlj53eh7p9c03n8inb7n/-FJPG/229887-001_DET_5.jpg</t>
  </si>
  <si>
    <t>https://dd3ka9h4chfr8.cloudfront.net/image/725136000567/image_bhsg5qh499713apjr7r15lcg5p/-FJPG/229887-001_DET_6.jpg</t>
  </si>
  <si>
    <t>Aliza End Table - Black Pine</t>
  </si>
  <si>
    <t>https://dd3ka9h4chfr8.cloudfront.net/image/725136000567/image_bpe8ijc8cd22relve2801pnq51/-S150x150-FJPG/100093-002_PRM_1.jpg</t>
  </si>
  <si>
    <t>https://dd3ka9h4chfr8.cloudfront.net/image/725136000567/image_l3trl7ke7h4hr1vqnfbg11h90a/-FJPG/100093-002_ESS.jpg</t>
  </si>
  <si>
    <t>https://dd3ka9h4chfr8.cloudfront.net/image/725136000567/image_h77huoaknp38jcj7ggrdjvm41k/-FJPG/Color Variance Card_Pagoda.jpg</t>
  </si>
  <si>
    <t>https://dd3ka9h4chfr8.cloudfront.net/image/725136000567/image_r1h99og3r91av7ei255vlspe7t/-FJPG/100093-002_DET_1.jpg</t>
  </si>
  <si>
    <t>https://dd3ka9h4chfr8.cloudfront.net/image/725136000567/image_6jug6980ah3ofd6qr7750efe6k/-FJPG/100093-002_DET_3.jpg</t>
  </si>
  <si>
    <t>https://dd3ka9h4chfr8.cloudfront.net/image/725136000567/image_rqv51ivar93qffiprdngoal50k/-FJPG/100093-002_DET_4.jpg</t>
  </si>
  <si>
    <t>https://dd3ka9h4chfr8.cloudfront.net/image/725136000567/image_9hmd5a8d7h0hf6e2hm6gcedf1a/-FJPG/100093-002_DET_5.jpg</t>
  </si>
  <si>
    <t>https://dd3ka9h4chfr8.cloudfront.net/image/725136000567/image_mvvrlgfipt3u58hui9q2mhaf1e/-FJPG/100093-002_ROM_1.jpg</t>
  </si>
  <si>
    <t>https://dd3ka9h4chfr8.cloudfront.net/image/725136000567/image_04k6am5a297d77452olcnh7v7v/-FJPG/100093-002_VIG_1.jpg</t>
  </si>
  <si>
    <t>Aliza End Table - Natural Pine</t>
  </si>
  <si>
    <t>https://dd3ka9h4chfr8.cloudfront.net/image/725136000567/image_vdktbe3rct0fv0jg7n8688sb5a/-S150x150-FJPG/CBSH-024_PRM_1.jpg</t>
  </si>
  <si>
    <t>https://dd3ka9h4chfr8.cloudfront.net/image/725136000567/image_dnsbc0trhl2s37vfg64ve1eq5b/-FJPG/CBSH-024_DET_2.jpg</t>
  </si>
  <si>
    <t>https://dd3ka9h4chfr8.cloudfront.net/image/725136000567/image_mq4bcuipop7pn7va4e3ricqu09/-FJPG/CBSH-024_DET_1.jpg</t>
  </si>
  <si>
    <t>https://dd3ka9h4chfr8.cloudfront.net/image/725136000567/image_tur2iq8fgd09tdvkj7pj98oj4l/-FJPG/CBSH-024_DET_3.jpg</t>
  </si>
  <si>
    <t>https://dd3ka9h4chfr8.cloudfront.net/image/725136000567/image_ho44r20m1l79f8q124lkcnf07a/-FJPG/CBSH-024_TOP_1.jpg</t>
  </si>
  <si>
    <t>https://dd3ka9h4chfr8.cloudfront.net/image/725136000567/image_0c77bku0op6lfaqo95mf6p4m1m/-FJPG/CBSH-024_DET_4.jpg</t>
  </si>
  <si>
    <t>https://dd3ka9h4chfr8.cloudfront.net/image/725136000567/image_4pulr4rslt2b5a11b1911kas5u/-FJPG/CBSH-024_DET_5.jpg</t>
  </si>
  <si>
    <t>https://dd3ka9h4chfr8.cloudfront.net/image/725136000567/image_ptl8cdvqnt52t56fliao8egm00/-FJPG/CBSH-024_DET_9.jpg</t>
  </si>
  <si>
    <t>https://dd3ka9h4chfr8.cloudfront.net/image/725136000567/image_83bc1cusd91f50u8i5v5d2e87q/-FJPG/CBSH-024_ROM_1.jpg</t>
  </si>
  <si>
    <t>https://dd3ka9h4chfr8.cloudfront.net/image/725136000567/image_gkqgmfgtj50b37i66mod3shr5u/-FJPG/CBSH-024_ROM_2.jpg</t>
  </si>
  <si>
    <t>https://dd3ka9h4chfr8.cloudfront.net/image/725136000567/image_i2ae77cjq161b0sf2mbcm1iu7s/-FJPG/CBSH-024_VIG_1.jpg</t>
  </si>
  <si>
    <t>Amelia Oval Nightstand - Black Linen</t>
  </si>
  <si>
    <t>Painted Linen</t>
  </si>
  <si>
    <t>https://dd3ka9h4chfr8.cloudfront.net/image/725136000567/image_7pm6c4jmr55plchr3kck21hh4g/-S150x150-FJPG/245941-002_PRM_1.jpg</t>
  </si>
  <si>
    <t>https://dd3ka9h4chfr8.cloudfront.net/image/725136000567/image_7pm6c4jmr55plchr3kck21hh4g/-FJPG/245941-002_PRM_1.jpg</t>
  </si>
  <si>
    <t>https://dd3ka9h4chfr8.cloudfront.net/image/725136000567/image_9dcuuen7id4kncuksc14r5293r/-FJPG/245941-002_SID_1.jpg</t>
  </si>
  <si>
    <t>https://dd3ka9h4chfr8.cloudfront.net/image/725136000567/image_74vh8m60qt09j3spqb8aleod56/-FJPG/245941-002_DET_2.jpg</t>
  </si>
  <si>
    <t>https://dd3ka9h4chfr8.cloudfront.net/image/725136000567/image_8hl3ar6s4p6559s1h9h61a237m/-FJPG/245941-002_BCK_1.jpg</t>
  </si>
  <si>
    <t>https://dd3ka9h4chfr8.cloudfront.net/image/725136000567/image_7ge8rdh1f11a5cf17irtf0482n/-FJPG/245941-002_DET_1.jpg</t>
  </si>
  <si>
    <t>https://dd3ka9h4chfr8.cloudfront.net/image/725136000567/image_t5b61cvi4d641c561njmr6ap6q/-FJPG/245941-002_DET_3.jpg</t>
  </si>
  <si>
    <t>https://dd3ka9h4chfr8.cloudfront.net/image/725136000567/image_a84jdekt3t4kpafvc73uv3ui41/-FJPG/245941-002_OPN_1.jpg</t>
  </si>
  <si>
    <t>https://dd3ka9h4chfr8.cloudfront.net/image/725136000567/image_0v974ugli556h2mdhn7fgjv40a/-FJPG/245941-002_DET_4.jpg</t>
  </si>
  <si>
    <t>https://dd3ka9h4chfr8.cloudfront.net/image/725136000567/image_e1jvkcnj1l34f39or0birett4i/-FJPG/245941-002_DET_5.jpg</t>
  </si>
  <si>
    <t>Amelia Oval Nightstand - Ivory Painted Linen</t>
  </si>
  <si>
    <t>https://dd3ka9h4chfr8.cloudfront.net/image/725136000567/image_u2dvrmj2hd7k1d9ksti9t02v0s/-S150x150-FJPG/245941-001_PRM_1.jpg</t>
  </si>
  <si>
    <t>https://dd3ka9h4chfr8.cloudfront.net/image/725136000567/image_u2dvrmj2hd7k1d9ksti9t02v0s/-FJPG/245941-001_PRM_1.jpg</t>
  </si>
  <si>
    <t>https://dd3ka9h4chfr8.cloudfront.net/image/725136000567/image_71tdbq15ul4rhat5tn1ee9lc0e/-FJPG/245941-001_SID_1.jpg</t>
  </si>
  <si>
    <t>https://dd3ka9h4chfr8.cloudfront.net/image/725136000567/image_uce2c2ivh166l2kphsgtjtbs3f/-FJPG/245941-001_ESS.tif</t>
  </si>
  <si>
    <t>https://dd3ka9h4chfr8.cloudfront.net/image/725136000567/image_vio8fcdimd0qd1khuhcovvsc3j/-FJPG/245941-001_DET_2.jpg</t>
  </si>
  <si>
    <t>https://dd3ka9h4chfr8.cloudfront.net/image/725136000567/image_78is43j4ph22r0r7cc6lem575c/-FJPG/245941-001_BCK_1.jpg</t>
  </si>
  <si>
    <t>https://dd3ka9h4chfr8.cloudfront.net/image/725136000567/image_5tp2aej81h1k7e7iieibphfd5h/-FJPG/245941-001_DET_1.jpg</t>
  </si>
  <si>
    <t>https://dd3ka9h4chfr8.cloudfront.net/image/725136000567/image_ee3088mmel0lrdm2p8ua0uc93j/-FJPG/245941-001_DET_3.jpg</t>
  </si>
  <si>
    <t>https://dd3ka9h4chfr8.cloudfront.net/image/725136000567/image_17ir6ok4t17g9fk5kio9b0ns5g/-FJPG/245941-001_OPN_1.jpg</t>
  </si>
  <si>
    <t>https://dd3ka9h4chfr8.cloudfront.net/image/725136000567/image_uipj4q8akd4gn68i9oru3aqi2d/-FJPG/245941-001_TOP_1.jpg</t>
  </si>
  <si>
    <t>https://dd3ka9h4chfr8.cloudfront.net/image/725136000567/image_qv8pb4trul7jfdgtqq2t0s6658/-FJPG/245941-001_DET_4.jpg</t>
  </si>
  <si>
    <t>https://dd3ka9h4chfr8.cloudfront.net/image/725136000567/image_ap4hklk58137bcmd1gav5bfh16/-FJPG/245941-001_DET_5.jpg</t>
  </si>
  <si>
    <t>https://dd3ka9h4chfr8.cloudfront.net/image/725136000567/image_i62p3vm1ld76d0blvbqcj13o64/-FJPG/245941-001_DET_6.jpg</t>
  </si>
  <si>
    <t>https://dd3ka9h4chfr8.cloudfront.net/image/725136000567/image_ec4oum1nf548vb4a7r5r3fne4b/-FJPG/245941-001_DET_7.jpg</t>
  </si>
  <si>
    <t>https://dd3ka9h4chfr8.cloudfront.net/image/725136000567/image_rb4j0vo6n11q11mf1p01uupq48/-FJPG/FHMPRJ-018_SCENE-9.tif</t>
  </si>
  <si>
    <t>Amelie Chair - Beige Shearling</t>
  </si>
  <si>
    <t>Shearling</t>
  </si>
  <si>
    <t>https://dd3ka9h4chfr8.cloudfront.net/image/725136000567/image_9besc7sec949t920f4dooqg039/-S150x150-FJPG/247168-002_PRM_1.JPG</t>
  </si>
  <si>
    <t>https://dd3ka9h4chfr8.cloudfront.net/image/725136000567/image_9besc7sec949t920f4dooqg039/-FJPG/247168-002_PRM_1.JPG</t>
  </si>
  <si>
    <t>https://dd3ka9h4chfr8.cloudfront.net/image/725136000567/image_72tu37gj4t6nt57g8e45c5i97c/-FJPG/247168-002_SID_1.JPG</t>
  </si>
  <si>
    <t>https://dd3ka9h4chfr8.cloudfront.net/image/725136000567/image_sqhuauf5s91glebhk5l3u1162t/-FJPG/247168-002_ESS.tif</t>
  </si>
  <si>
    <t>https://dd3ka9h4chfr8.cloudfront.net/image/725136000567/image_jtq1n6ega90h3bc3ur8bio4450/-FJPG/247168-002_ESS.tif</t>
  </si>
  <si>
    <t>https://dd3ka9h4chfr8.cloudfront.net/image/725136000567/image_t7i6ve1cut1k7doh8qpj0po554/-FJPG/247168-002_DET_2.JPG</t>
  </si>
  <si>
    <t>https://dd3ka9h4chfr8.cloudfront.net/image/725136000567/image_1j4tl8vfmp2plaqi96sdk6qq26/-FJPG/247168-002_BCK_1.JPG</t>
  </si>
  <si>
    <t>https://dd3ka9h4chfr8.cloudfront.net/image/725136000567/image_ar560vc4bl07rf32uvhs35e11i/-FJPG/247168-002_DET_1.JPG</t>
  </si>
  <si>
    <t>https://dd3ka9h4chfr8.cloudfront.net/image/725136000567/image_kpe0ht5col6cratolef0763u2e/-FJPG/247168-002_DET_3.JPG</t>
  </si>
  <si>
    <t>https://dd3ka9h4chfr8.cloudfront.net/image/725136000567/image_mtkdnpop7h31fe6g95nq78av28/-FJPG/247168-002_DET_4.JPG</t>
  </si>
  <si>
    <t>https://dd3ka9h4chfr8.cloudfront.net/image/725136000567/image_prfk0m65gl6r987oo7foj4kk30/-FJPG/247168-002_DET_5.JPG</t>
  </si>
  <si>
    <t>https://dd3ka9h4chfr8.cloudfront.net/image/725136000567/image_ri7bf4n5b9319340ob50if191b/-FJPG/247168-002_DET_6.JPG</t>
  </si>
  <si>
    <t>https://dd3ka9h4chfr8.cloudfront.net/image/725136000567/image_dp12on2sh51o9fnr24sck8im3l/-FJPG/247168-002_DET_9.tif</t>
  </si>
  <si>
    <t>Aniston Chaise - Andes Natural</t>
  </si>
  <si>
    <t>https://dd3ka9h4chfr8.cloudfront.net/image/725136000567/image_vemgu7c7ep0075b0scdgk63j2a/-S150x150-FJPG/243056-001_PRM_1.jpg</t>
  </si>
  <si>
    <t>https://dd3ka9h4chfr8.cloudfront.net/image/725136000567/image_vemgu7c7ep0075b0scdgk63j2a/-FJPG/243056-001_PRM_1.jpg</t>
  </si>
  <si>
    <t>https://dd3ka9h4chfr8.cloudfront.net/image/725136000567/image_8fb72ksgrh7jnbqch6cn1an35j/-FJPG/243056-001_SID_1.jpg</t>
  </si>
  <si>
    <t>https://dd3ka9h4chfr8.cloudfront.net/image/725136000567/image_j9eqp1tbe973r8kjb8qb8htv2i/-FJPG/243056-001_ESS.tif</t>
  </si>
  <si>
    <t>https://dd3ka9h4chfr8.cloudfront.net/image/725136000567/image_afatgb8udl00dc55gi7emog31e/-FJPG/243056-001_DET_2.jpg</t>
  </si>
  <si>
    <t>https://dd3ka9h4chfr8.cloudfront.net/image/725136000567/image_se1krbps1d1532bqadl3refj4t/-FJPG/243056-001_BCK_1.jpg</t>
  </si>
  <si>
    <t>https://dd3ka9h4chfr8.cloudfront.net/image/725136000567/image_ionpgmgqu56e33jbcnv7gr1t2v/-FJPG/243056-001_DET_1.jpg</t>
  </si>
  <si>
    <t>https://dd3ka9h4chfr8.cloudfront.net/image/725136000567/image_dftgicejfp08h0124e5s6q165o/-FJPG/243056-001_DET_3.jpg</t>
  </si>
  <si>
    <t>https://dd3ka9h4chfr8.cloudfront.net/image/725136000567/image_8uu6elpui13ct9otouea5mqq7m/-FJPG/243056-001_DET_4.jpg</t>
  </si>
  <si>
    <t>https://dd3ka9h4chfr8.cloudfront.net/image/725136000567/image_sv33viuve94un6oa1mkr23ht24/-FJPG/243056-001_DET_5.jpg</t>
  </si>
  <si>
    <t>https://dd3ka9h4chfr8.cloudfront.net/image/725136000567/image_0ge4bt9125629cpm7142v41v3h/-FJPG/243056-001_DET_6.jpg</t>
  </si>
  <si>
    <t>Aniston Ottoman - Andes Natural</t>
  </si>
  <si>
    <t>https://dd3ka9h4chfr8.cloudfront.net/image/725136000567/image_dmi20prrsl4b3calqdcekbo314/-S150x150-FJPG/230810-002_PRM_1.jpg</t>
  </si>
  <si>
    <t>https://dd3ka9h4chfr8.cloudfront.net/image/725136000567/image_dmi20prrsl4b3calqdcekbo314/-FJPG/230810-002_PRM_1.jpg</t>
  </si>
  <si>
    <t>https://dd3ka9h4chfr8.cloudfront.net/image/725136000567/image_4bjujjg1ud5e1d49edo9lec80o/-FJPG/230810-002_SID_1.jpg</t>
  </si>
  <si>
    <t>https://dd3ka9h4chfr8.cloudfront.net/image/725136000567/image_80p0l1pdbd20t1251k8dnf0h64/-FJPG/230810-002_ESS_1.jpg</t>
  </si>
  <si>
    <t>https://dd3ka9h4chfr8.cloudfront.net/image/725136000567/image_pqh3dt0o455s756a9em08dsa7l/-FJPG/230810-002_DET_2.jpg</t>
  </si>
  <si>
    <t>https://dd3ka9h4chfr8.cloudfront.net/image/725136000567/image_tg3u664khp0rrc0i9a37ittl7a/-FJPG/230810-002_DET_3.jpg</t>
  </si>
  <si>
    <t>https://dd3ka9h4chfr8.cloudfront.net/image/725136000567/image_iebufeijl90brd6upihvccb37j/-FJPG/230810-002_DET_4.jpg</t>
  </si>
  <si>
    <t>Aniston Ottoman - Andes Toast</t>
  </si>
  <si>
    <t>https://dd3ka9h4chfr8.cloudfront.net/image/725136000567/image_lmcvjsb7rt0rr0v7f24tu2ad1s/-S150x150-FJPG/230810-004_PRM_1.JPG</t>
  </si>
  <si>
    <t>https://dd3ka9h4chfr8.cloudfront.net/image/725136000567/image_lmcvjsb7rt0rr0v7f24tu2ad1s/-FJPG/230810-004_PRM_1.JPG</t>
  </si>
  <si>
    <t>https://dd3ka9h4chfr8.cloudfront.net/image/725136000567/image_qh4jcarcq151vd7i8u6vop2g3u/-FJPG/230810-004_SID_1.JPG</t>
  </si>
  <si>
    <t>https://dd3ka9h4chfr8.cloudfront.net/image/725136000567/image_1b675l7jph57j000mgikir867j/-FJPG/230810-004_ESS.tif</t>
  </si>
  <si>
    <t>https://dd3ka9h4chfr8.cloudfront.net/image/725136000567/image_umto8dac2l5sp0ff6e0139776m/-FJPG/230810-004_DET_2.JPG</t>
  </si>
  <si>
    <t>https://dd3ka9h4chfr8.cloudfront.net/image/725136000567/image_4g8uvgghm94j14i51m91334u26/-FJPG/230810-004_DET_1.jpg</t>
  </si>
  <si>
    <t>https://dd3ka9h4chfr8.cloudfront.net/image/725136000567/image_o8aovain513dj2spiuok8m2d3b/-FJPG/FHMPRJ-007_SCENE_26_V1-NO-DOG.tif</t>
  </si>
  <si>
    <t>https://dd3ka9h4chfr8.cloudfront.net/image/725136000567/image_sdvgoe600d4v199opegqf4nd3t/-FJPG/FHMPRJ-007_SCENE_26_V2-DOG.tif</t>
  </si>
  <si>
    <t>Aniston Ottoman - Solema Cream</t>
  </si>
  <si>
    <t>65% Acrylic</t>
  </si>
  <si>
    <t>21% Polyester</t>
  </si>
  <si>
    <t>10% Wool</t>
  </si>
  <si>
    <t>3% Cotton</t>
  </si>
  <si>
    <t>and 1% Rayon</t>
  </si>
  <si>
    <t>https://dd3ka9h4chfr8.cloudfront.net/image/725136000567/image_bdlulapnip61b6tia9uceqr17f/-S150x150-FJPG/230810-006_PRM_1.jpg</t>
  </si>
  <si>
    <t>https://dd3ka9h4chfr8.cloudfront.net/image/725136000567/image_bdlulapnip61b6tia9uceqr17f/-FJPG/230810-006_PRM_1.jpg</t>
  </si>
  <si>
    <t>https://dd3ka9h4chfr8.cloudfront.net/image/725136000567/image_7dg82nhi490m5e8jhb1vjl5u1u/-FJPG/230810-006_SID_1.jpg</t>
  </si>
  <si>
    <t>https://dd3ka9h4chfr8.cloudfront.net/image/725136000567/image_kencq2i0td7sp6l8j7gdoo9266/-FJPG/230810-006_ESS.tif</t>
  </si>
  <si>
    <t>https://dd3ka9h4chfr8.cloudfront.net/image/725136000567/image_mrr7p3t2qt70jfap0uiochr15g/-FJPG/230810-006_DET_2.jpg</t>
  </si>
  <si>
    <t>https://dd3ka9h4chfr8.cloudfront.net/image/725136000567/image_4h0sbvd0154lvf37ep3kasst6d/-FJPG/230810-006_BCK_1.jpg</t>
  </si>
  <si>
    <t>https://dd3ka9h4chfr8.cloudfront.net/image/725136000567/image_n8a4rpb95d2tt6ppdt9ogn7970/-FJPG/230810-006_DET_1.jpg</t>
  </si>
  <si>
    <t>https://dd3ka9h4chfr8.cloudfront.net/image/725136000567/image_97eluvpkk96or7trsdfcg2dd7h/-FJPG/230810-006_DET_3.jpg</t>
  </si>
  <si>
    <t>https://dd3ka9h4chfr8.cloudfront.net/image/725136000567/image_k1co9ptq3h51harkec176j486r/-FJPG/230810-006_DET_4.jpg</t>
  </si>
  <si>
    <t>Ariel Chair - Thames Coal</t>
  </si>
  <si>
    <t>66% Polyester</t>
  </si>
  <si>
    <t>19% Acrylic</t>
  </si>
  <si>
    <t>15% Flax/Linen</t>
  </si>
  <si>
    <t>https://dd3ka9h4chfr8.cloudfront.net/image/725136000567/image_3gbkfrt4v50fr6j1ufu16n1u68/-S150x150-FJPG/CKEN-329N-829P_PRM_1.jpg</t>
  </si>
  <si>
    <t>https://dd3ka9h4chfr8.cloudfront.net/image/725136000567/image_3gbkfrt4v50fr6j1ufu16n1u68/-FJPG/CKEN-329N-829P_PRM_1.jpg</t>
  </si>
  <si>
    <t>https://dd3ka9h4chfr8.cloudfront.net/image/725136000567/image_nen9pk13893gp6qppu8s5itm7j/-FJPG/CKEN-329N-829P_SID_1.jpg</t>
  </si>
  <si>
    <t>https://dd3ka9h4chfr8.cloudfront.net/image/725136000567/image_2hftlp25vl0h1b96ms5oplo05a/-FJPG/CKEN-329N-829P_ESS_1.jpg</t>
  </si>
  <si>
    <t>https://dd3ka9h4chfr8.cloudfront.net/image/725136000567/image_eceg1ghat978ralrv4kecf2n20/-FJPG/CKEN-329N-829P_DET_2.jpg</t>
  </si>
  <si>
    <t>https://dd3ka9h4chfr8.cloudfront.net/image/725136000567/image_bn3umi8cht6et8p20isu1nm42a/-FJPG/CKEN-329N-829P_BCK_1.jpg</t>
  </si>
  <si>
    <t>https://dd3ka9h4chfr8.cloudfront.net/image/725136000567/image_06h6rbrial2q749um3lujc0q1k/-FJPG/CKEN-329N-829P_INF_1.jpg</t>
  </si>
  <si>
    <t>https://dd3ka9h4chfr8.cloudfront.net/image/725136000567/image_7mllfor6tl4afctkrhnccgq77r/-FJPG/CKEN-329N-829P_DET_1.jpg</t>
  </si>
  <si>
    <t>https://dd3ka9h4chfr8.cloudfront.net/image/725136000567/image_i0evu8lb2t4vt3mfj01ovahq62/-FJPG/CKEN-329N-829P_DET_3.jpg</t>
  </si>
  <si>
    <t>https://dd3ka9h4chfr8.cloudfront.net/image/725136000567/image_q23sbcd10l2j12eoqo1b2mqt7h/-FJPG/CKEN-329N-829P_DET_4.jpg</t>
  </si>
  <si>
    <t>https://dd3ka9h4chfr8.cloudfront.net/image/725136000567/image_e4s0se4hht35h3ai59ed03r83h/-FJPG/CKEN-329N-829P_DET_5.jpg</t>
  </si>
  <si>
    <t>https://dd3ka9h4chfr8.cloudfront.net/image/725136000567/image_3s8vreftt55atd17hds6ib5r2m/-FJPG/CKEN-329N-829P_DET_6.jpg</t>
  </si>
  <si>
    <t>Arlington 6 Door Sideboard - Espresso Oak Veneer</t>
  </si>
  <si>
    <t>Oak Veneer</t>
  </si>
  <si>
    <t>https://dd3ka9h4chfr8.cloudfront.net/image/725136000567/image_s5j1san3ll37742bmn8g1up44d/-S150x150-FJPG/236129-001_PRM_1.jpg</t>
  </si>
  <si>
    <t>https://dd3ka9h4chfr8.cloudfront.net/image/725136000567/image_s5j1san3ll37742bmn8g1up44d/-FJPG/236129-001_PRM_1.jpg</t>
  </si>
  <si>
    <t>https://dd3ka9h4chfr8.cloudfront.net/image/725136000567/image_napuu7mpil2hn5r6kjghtdmg6k/-FJPG/236129-001_SID_1.jpg</t>
  </si>
  <si>
    <t>https://dd3ka9h4chfr8.cloudfront.net/image/725136000567/image_7vi2db1cfd0drdnigqk9uofm2m/-FJPG/236129-001_ESS.tif</t>
  </si>
  <si>
    <t>https://dd3ka9h4chfr8.cloudfront.net/image/725136000567/image_e8nntub9g142tbmmg9pqu4f26l/-FJPG/236129-001_DET_2.jpg</t>
  </si>
  <si>
    <t>https://dd3ka9h4chfr8.cloudfront.net/image/725136000567/image_5qts40jlkh7mn02k6agqbk0470/-FJPG/236129-001_BCK_1.jpg</t>
  </si>
  <si>
    <t>https://dd3ka9h4chfr8.cloudfront.net/image/725136000567/image_7nl69ot3gl78p1o55mfbfnc018/-FJPG/236129-001_DET_1.jpg</t>
  </si>
  <si>
    <t>https://dd3ka9h4chfr8.cloudfront.net/image/725136000567/image_a16kamit756f7bilic8bs07d0k/-FJPG/236129-001_DET_3.jpg</t>
  </si>
  <si>
    <t>https://dd3ka9h4chfr8.cloudfront.net/image/725136000567/image_pjcrrog1896qn5i2durjrkvm25/-FJPG/236129-001_OPN_1.jpg</t>
  </si>
  <si>
    <t>https://dd3ka9h4chfr8.cloudfront.net/image/725136000567/image_pfeilp09q14ct2o53c6lsvge47/-FJPG/236129-001_TOP_1.jpg</t>
  </si>
  <si>
    <t>https://dd3ka9h4chfr8.cloudfront.net/image/725136000567/image_9503k56t9d325d1pndhmbfea5t/-FJPG/236129-001_DET_4.jpg</t>
  </si>
  <si>
    <t>https://dd3ka9h4chfr8.cloudfront.net/image/725136000567/image_384vdrgsd13m53nvk1k2iote5u/-FJPG/236129-001_DET_5.jpg</t>
  </si>
  <si>
    <t>https://dd3ka9h4chfr8.cloudfront.net/image/725136000567/image_3poamkodgl1pfdksg323roh00e/-FJPG/236129-001_DET_6.jpg</t>
  </si>
  <si>
    <t>https://dd3ka9h4chfr8.cloudfront.net/image/725136000567/image_fm6gusl8b11o33ihvjp798uh5j/-FJPG/236129-001_DET_7.jpg</t>
  </si>
  <si>
    <t>https://dd3ka9h4chfr8.cloudfront.net/image/725136000567/image_pg6cn4uu8l2sve9hse2i0nh07k/-FJPG/236129-001_DET_8.jpg</t>
  </si>
  <si>
    <t>https://dd3ka9h4chfr8.cloudfront.net/image/725136000567/image_l3o7gi8dd118ndkc5k6uq9p54f/-FJPG/236129-001_DET_9.tif</t>
  </si>
  <si>
    <t>https://dd3ka9h4chfr8.cloudfront.net/image/725136000567/image_ga63dc3jop6njaq9pr8v854k0h/-FJPG/236129-001_DET_10.tif</t>
  </si>
  <si>
    <t>https://dd3ka9h4chfr8.cloudfront.net/image/725136000567/image_rbdk4t0jop2kteaul5kmc1dt73/-FJPG/FHMPRJ016_SCENE-5.tif</t>
  </si>
  <si>
    <t>https://dd3ka9h4chfr8.cloudfront.net/image/725136000567/image_2qdd2l5c0h3v7433k1ac8plp4d/-FJPG/FHMPRJ016_SCENE-15-CROP-1.tif</t>
  </si>
  <si>
    <t>Arnett Chair - Alcala Fawn</t>
  </si>
  <si>
    <t>20% Viscose (Rayon)</t>
  </si>
  <si>
    <t>10% Flax/Linen</t>
  </si>
  <si>
    <t>https://dd3ka9h4chfr8.cloudfront.net/image/725136000567/image_ulf3g0257h79n5q7p8jfil1c4q/-S150x150-FJPG/106085-022_PRM_1.jpg</t>
  </si>
  <si>
    <t>https://dd3ka9h4chfr8.cloudfront.net/image/725136000567/image_ulf3g0257h79n5q7p8jfil1c4q/-FJPG/106085-022_PRM_1.jpg</t>
  </si>
  <si>
    <t>https://dd3ka9h4chfr8.cloudfront.net/image/725136000567/image_lj12mtunfl1qb78o5l74phne3s/-FJPG/106085-022_SID_1.jpg</t>
  </si>
  <si>
    <t>https://dd3ka9h4chfr8.cloudfront.net/image/725136000567/image_pm648tate57fl5k5rd0ute9u3c/-FJPG/106085-022_ESS_1.jpg</t>
  </si>
  <si>
    <t>https://dd3ka9h4chfr8.cloudfront.net/image/725136000567/image_3je6gind4h017bfo6lr5caka3k/-FJPG/106085-022_DET_2.jpg</t>
  </si>
  <si>
    <t>https://dd3ka9h4chfr8.cloudfront.net/image/725136000567/image_p9dfnevblp5q7ai7jedoo24652/-FJPG/106085-022_BCK_1.jpg</t>
  </si>
  <si>
    <t>https://dd3ka9h4chfr8.cloudfront.net/image/725136000567/image_3nhgeedqut6i7bhs9ngt15jj3e/-FJPG/106085-022_DET_1.jpg</t>
  </si>
  <si>
    <t>https://dd3ka9h4chfr8.cloudfront.net/image/725136000567/image_grmioh64g56fj3mm1s8ivdlo2a/-FJPG/106085-022_DET_3.jpg</t>
  </si>
  <si>
    <t>https://dd3ka9h4chfr8.cloudfront.net/image/725136000567/image_l5dm54aig5641f6guocqgscn6s/-FJPG/106085-022_DET_4.jpg</t>
  </si>
  <si>
    <t>https://dd3ka9h4chfr8.cloudfront.net/image/725136000567/image_3v6e1etdod2st8pr2e09s0mv7d/-FJPG/106085-022_DET_5.jpg</t>
  </si>
  <si>
    <t>https://dd3ka9h4chfr8.cloudfront.net/image/725136000567/image_ejasmunpvl6sj1s30fdue4657i/-FJPG/106085-022_DET_6.jpg</t>
  </si>
  <si>
    <t>Arnett Chair - Dakota Black</t>
  </si>
  <si>
    <t>https://dd3ka9h4chfr8.cloudfront.net/image/725136000567/image_bapcdoj61d1rd3l15f01it7209/-S150x150-FJPG/106085-016_PRM_1.jpg</t>
  </si>
  <si>
    <t>https://dd3ka9h4chfr8.cloudfront.net/image/725136000567/image_bapcdoj61d1rd3l15f01it7209/-FJPG/106085-016_PRM_1.jpg</t>
  </si>
  <si>
    <t>https://dd3ka9h4chfr8.cloudfront.net/image/725136000567/image_pkfie2pq5l00t6cblf2vbrhm3a/-FJPG/106085-016_SID_1.jpg</t>
  </si>
  <si>
    <t>https://dd3ka9h4chfr8.cloudfront.net/image/725136000567/image_66q0lqmqp1729ddtjm8ll0uu02/-FJPG/106085-016_DET_2.jpg</t>
  </si>
  <si>
    <t>https://dd3ka9h4chfr8.cloudfront.net/image/725136000567/image_6papfrgr8h70t4ar81lolh322q/-FJPG/106085-016_BCK_1.jpg</t>
  </si>
  <si>
    <t>https://dd3ka9h4chfr8.cloudfront.net/image/725136000567/image_t6v62b2n016cjaiot1q4cdoo3i/-FJPG/106085-016_DET_1.jpg</t>
  </si>
  <si>
    <t>https://dd3ka9h4chfr8.cloudfront.net/image/725136000567/image_9qc6vbgib54lta1qh40id2ov5i/-FJPG/106085-016_DET_3.jpg</t>
  </si>
  <si>
    <t>https://dd3ka9h4chfr8.cloudfront.net/image/725136000567/image_n07imhou352br4mccf6m3s5q0d/-FJPG/106085-016_DET_4.jpg</t>
  </si>
  <si>
    <t>https://dd3ka9h4chfr8.cloudfront.net/image/725136000567/image_192n0eh1fp7v70n49k98arkb1p/-FJPG/106085-016_DET_5.jpg</t>
  </si>
  <si>
    <t>https://dd3ka9h4chfr8.cloudfront.net/image/725136000567/image_fnutufs9856cfcbkapfhlqvn6q/-FJPG/106085-016_DET_6.jpg</t>
  </si>
  <si>
    <t>https://dd3ka9h4chfr8.cloudfront.net/image/725136000567/image_fbmlfc9nnt0qj0u23foai1ls3o/-FJPG/106085-016_DET_7.jpg</t>
  </si>
  <si>
    <t>https://dd3ka9h4chfr8.cloudfront.net/image/725136000567/image_inhaj6o08t4gr6q2de4524nn34/-FJPG/106085-016_ROM_1.jpg</t>
  </si>
  <si>
    <t>Arnett Chair - Harness Burlap</t>
  </si>
  <si>
    <t>https://dd3ka9h4chfr8.cloudfront.net/image/725136000567/image_pl2c0f55up2qvc109fgqf3tl1i/-S150x150-FJPG/106085-012_PRM_1.jpg</t>
  </si>
  <si>
    <t>https://dd3ka9h4chfr8.cloudfront.net/image/725136000567/image_pl2c0f55up2qvc109fgqf3tl1i/-FJPG/106085-012_PRM_1.jpg</t>
  </si>
  <si>
    <t>https://dd3ka9h4chfr8.cloudfront.net/image/725136000567/image_52nsnh06oh16f50egb2q5tp60l/-FJPG/106085-012_SID_1.jpg</t>
  </si>
  <si>
    <t>https://dd3ka9h4chfr8.cloudfront.net/image/725136000567/image_9claqf0mdd1s56bgv5a9eo8t57/-FJPG/106085-012_ESS_1.jpg</t>
  </si>
  <si>
    <t>https://dd3ka9h4chfr8.cloudfront.net/image/725136000567/image_cctu1r316t6ejbiv54u4tfl756/-FJPG/106085-012_DET_2.jpg</t>
  </si>
  <si>
    <t>https://dd3ka9h4chfr8.cloudfront.net/image/725136000567/image_f255qan6al2ep3m6ekdnc54o0v/-FJPG/106085-012_BCK_1.jpg</t>
  </si>
  <si>
    <t>https://dd3ka9h4chfr8.cloudfront.net/image/725136000567/image_d0h47bbseh6u14sn64bvrmmh5q/-FJPG/106085-012_DET_1.jpg</t>
  </si>
  <si>
    <t>https://dd3ka9h4chfr8.cloudfront.net/image/725136000567/image_k9tr0efm8d7s511309soacm85i/-FJPG/106085-012_DET_3.jpg</t>
  </si>
  <si>
    <t>https://dd3ka9h4chfr8.cloudfront.net/image/725136000567/image_eq82bl75at0abesffu07mvv61g/-FJPG/106085-012_DET_4.jpg</t>
  </si>
  <si>
    <t>https://dd3ka9h4chfr8.cloudfront.net/image/725136000567/image_f9hlver8tt1972nipmrf1tc441/-FJPG/106085-012_DET_5.jpg</t>
  </si>
  <si>
    <t>https://dd3ka9h4chfr8.cloudfront.net/image/725136000567/image_rlucsc5q1d2on8ag6csce0be7u/-FJPG/106085-012_DET_6.jpg</t>
  </si>
  <si>
    <t>Arnett Chair - Knoll Natural</t>
  </si>
  <si>
    <t>https://dd3ka9h4chfr8.cloudfront.net/image/725136000567/image_sm0t0b77ft52d24i19ttklbg58/-S150x150-FJPG/106085-017_PRM_1.jpg</t>
  </si>
  <si>
    <t>https://dd3ka9h4chfr8.cloudfront.net/image/725136000567/image_sm0t0b77ft52d24i19ttklbg58/-FJPG/106085-017_PRM_1.jpg</t>
  </si>
  <si>
    <t>https://dd3ka9h4chfr8.cloudfront.net/image/725136000567/image_j078dlp7td69rbi12ecp9bkf2n/-FJPG/106085-017_SID_1.jpg</t>
  </si>
  <si>
    <t>https://dd3ka9h4chfr8.cloudfront.net/image/725136000567/image_e4mgc489i96p94lq1n26uib52f/-FJPG/106085-017_ESS_1.jpg</t>
  </si>
  <si>
    <t>https://dd3ka9h4chfr8.cloudfront.net/image/725136000567/image_cu30euuj5h329eot196jtp734c/-FJPG/106085-017_DET_2.jpg</t>
  </si>
  <si>
    <t>https://dd3ka9h4chfr8.cloudfront.net/image/725136000567/image_3sr9ovvt410qnfnplbb63irv6b/-FJPG/106085-017_BCK_1.jpg</t>
  </si>
  <si>
    <t>https://dd3ka9h4chfr8.cloudfront.net/image/725136000567/image_05pt9r7so95mpdmrr0of78fl1l/-FJPG/106085-017_INF_1.jpg</t>
  </si>
  <si>
    <t>https://dd3ka9h4chfr8.cloudfront.net/image/725136000567/image_55r93b87b56st2utbjnberfl4l/-FJPG/106085-017_DET_1.jpg</t>
  </si>
  <si>
    <t>https://dd3ka9h4chfr8.cloudfront.net/image/725136000567/image_9q9n512dl54mh7d4csvab35b6k/-FJPG/106085-017_DET_3.jpg</t>
  </si>
  <si>
    <t>https://dd3ka9h4chfr8.cloudfront.net/image/725136000567/image_hpe58vhq3h6g9coaioavdi9o78/-FJPG/106085-017_DET_4.jpg</t>
  </si>
  <si>
    <t>https://dd3ka9h4chfr8.cloudfront.net/image/725136000567/image_vbq2vn2at910nfe722lrisbt3v/-FJPG/106085-017_DET_5.jpg</t>
  </si>
  <si>
    <t>https://dd3ka9h4chfr8.cloudfront.net/image/725136000567/image_pu2togu5692gn8gqlsra9mis3t/-FJPG/106085-017_DET_6.jpg</t>
  </si>
  <si>
    <t>https://dd3ka9h4chfr8.cloudfront.net/image/725136000567/image_e64clli8g979denbv81n80mn4m/-FJPG/106085-017_DET_7.jpg</t>
  </si>
  <si>
    <t>https://dd3ka9h4chfr8.cloudfront.net/image/725136000567/image_3ds7rti041575br5t38ap2td0q/-FJPG/106085-017_ROM_1.jpg</t>
  </si>
  <si>
    <t>https://dd3ka9h4chfr8.cloudfront.net/image/725136000567/image_e9kitsnsbp0o34d8mnm72o6q6t/-FJPG/106085-017_VIG_1.jpg</t>
  </si>
  <si>
    <t>Arnett Chair - Sheffield Ivory</t>
  </si>
  <si>
    <t>https://dd3ka9h4chfr8.cloudfront.net/image/725136000567/image_c05kgi2tg16hl3ugfg98r9gs7v/-S150x150-FJPG/106085-026_PRM_1.jpg</t>
  </si>
  <si>
    <t>https://dd3ka9h4chfr8.cloudfront.net/image/725136000567/image_c05kgi2tg16hl3ugfg98r9gs7v/-FJPG/106085-026_PRM_1.jpg</t>
  </si>
  <si>
    <t>https://dd3ka9h4chfr8.cloudfront.net/image/725136000567/image_00gnmt87vd0tl7akgne9rj5t0i/-FJPG/106085-026_SID_1.jpg</t>
  </si>
  <si>
    <t>https://dd3ka9h4chfr8.cloudfront.net/image/725136000567/image_uorjthijmh4qdaei8hnb8i7k4r/-FJPG/106085-026_DET_2.jpg</t>
  </si>
  <si>
    <t>https://dd3ka9h4chfr8.cloudfront.net/image/725136000567/image_9uggvr5ebd4mh67f5np4hujl5h/-FJPG/106085-026_BCK_1.jpg</t>
  </si>
  <si>
    <t>https://dd3ka9h4chfr8.cloudfront.net/image/725136000567/image_sksbi2jp916o18gakn8778op7c/-FJPG/106085-026_DET_1.jpg</t>
  </si>
  <si>
    <t>https://dd3ka9h4chfr8.cloudfront.net/image/725136000567/image_12cv6pa1vp22fdccsontc9ur0k/-FJPG/106085-026_DET_3.jpg</t>
  </si>
  <si>
    <t>https://dd3ka9h4chfr8.cloudfront.net/image/725136000567/image_l5r9qkec3p6r792pct8u9trh0n/-FJPG/106085-026_DET_4.jpg</t>
  </si>
  <si>
    <t>https://dd3ka9h4chfr8.cloudfront.net/image/725136000567/image_fhsl7ujdk97d1fgh4ni4f00f36/-FJPG/106085-026_DET_5.jpg</t>
  </si>
  <si>
    <t>Arturo 6 Drawer Dresser - Natural Walnut Veneer</t>
  </si>
  <si>
    <t>Walnut Veneer</t>
  </si>
  <si>
    <t>Solid Walnut</t>
  </si>
  <si>
    <t>https://dd3ka9h4chfr8.cloudfront.net/image/725136000567/image_fjbid8mect5qd3q1bag349qd2u/-S150x150-FJPG/234477-001_PRM_1.jpg</t>
  </si>
  <si>
    <t>https://dd3ka9h4chfr8.cloudfront.net/image/725136000567/image_fjbid8mect5qd3q1bag349qd2u/-FJPG/234477-001_PRM_1.jpg</t>
  </si>
  <si>
    <t>https://dd3ka9h4chfr8.cloudfront.net/image/725136000567/image_bgf002f8vh3ub69d3569h2n35m/-FJPG/234477-001_SID_1.jpg</t>
  </si>
  <si>
    <t>https://dd3ka9h4chfr8.cloudfront.net/image/725136000567/image_d0o87rgn5119nbihb8g82t7c35/-FJPG/234477-001_ESS_1.jpg</t>
  </si>
  <si>
    <t>https://dd3ka9h4chfr8.cloudfront.net/image/725136000567/image_q7of52l5fl4r1e7eihhoigq95o/-FJPG/234477-001_DET_2.jpg</t>
  </si>
  <si>
    <t>https://dd3ka9h4chfr8.cloudfront.net/image/725136000567/image_amkkomsl9d0bnbsedijo5vnh3h/-FJPG/234477-001_BCK_1.jpg</t>
  </si>
  <si>
    <t>https://dd3ka9h4chfr8.cloudfront.net/image/725136000567/image_dau7j5t9j15sb7kr8oroemte7i/-FJPG/234477-001_DET_1.jpg</t>
  </si>
  <si>
    <t>https://dd3ka9h4chfr8.cloudfront.net/image/725136000567/image_v4mblba8sh02713ud1kblohv1k/-FJPG/234477-001_DET_3.jpg</t>
  </si>
  <si>
    <t>https://dd3ka9h4chfr8.cloudfront.net/image/725136000567/image_7u0nrhd1ep0ab1t1580vu1av4d/-FJPG/234477-001_OPN_1.jpg</t>
  </si>
  <si>
    <t>https://dd3ka9h4chfr8.cloudfront.net/image/725136000567/image_132lqm5qj13e7aufrt38me3l6q/-FJPG/234477-001_DET_4.jpg</t>
  </si>
  <si>
    <t>https://dd3ka9h4chfr8.cloudfront.net/image/725136000567/image_jf3kt4fjr501bcbuqrnpn0f805/-FJPG/234477-001_DET_5.jpg</t>
  </si>
  <si>
    <t>https://dd3ka9h4chfr8.cloudfront.net/image/725136000567/image_vujc4invnp3tv7qpc14rfevo0n/-FJPG/234477-001_DET_6.jpg</t>
  </si>
  <si>
    <t>https://dd3ka9h4chfr8.cloudfront.net/image/725136000567/image_kpaesksv7l6pd8sgqfp0cq5a2f/-FJPG/234477-001_DET_7.jpg</t>
  </si>
  <si>
    <t>https://dd3ka9h4chfr8.cloudfront.net/image/725136000567/image_ljdk3l1u357392tvrdnl27m97m/-FJPG/234477-001_DET_8.jpg</t>
  </si>
  <si>
    <t>https://dd3ka9h4chfr8.cloudfront.net/image/725136000567/image_p8otf55od95pf56h81a14shc57/-FJPG/234477-001_DET_9.jpg</t>
  </si>
  <si>
    <t>https://dd3ka9h4chfr8.cloudfront.net/image/725136000567/image_vm7j9rvr5h5bf54tamtr3khd6k/-FJPG/234477-001_DET_10.jpg</t>
  </si>
  <si>
    <t>Arturo 9 Drawer Dresser - Natural Walnut Veneer</t>
  </si>
  <si>
    <t>https://dd3ka9h4chfr8.cloudfront.net/image/725136000567/image_mkun5139817u16o42je1b7ld5o/-S150x150-FJPG/234479-001_PRM_1.jpg</t>
  </si>
  <si>
    <t>https://dd3ka9h4chfr8.cloudfront.net/image/725136000567/image_mkun5139817u16o42je1b7ld5o/-FJPG/234479-001_PRM_1.jpg</t>
  </si>
  <si>
    <t>https://dd3ka9h4chfr8.cloudfront.net/image/725136000567/image_cb61jheai96kd5eb8701un5i1f/-FJPG/234479-001_SID_1.jpg</t>
  </si>
  <si>
    <t>https://dd3ka9h4chfr8.cloudfront.net/image/725136000567/image_opb7d468ct1qb70amlp8l2nc07/-FJPG/234479-001_DET_2.jpg</t>
  </si>
  <si>
    <t>https://dd3ka9h4chfr8.cloudfront.net/image/725136000567/image_bqiq5e7af53pn2urcjc1jgua6q/-FJPG/234479-001_BCK_1.jpg</t>
  </si>
  <si>
    <t>https://dd3ka9h4chfr8.cloudfront.net/image/725136000567/image_tdlof45and26fdha85odhn6b5o/-FJPG/234479-001_DET_1.jpg</t>
  </si>
  <si>
    <t>https://dd3ka9h4chfr8.cloudfront.net/image/725136000567/image_mknpusual15hn360fehmnek62g/-FJPG/234479-001_DET_3.jpg</t>
  </si>
  <si>
    <t>https://dd3ka9h4chfr8.cloudfront.net/image/725136000567/image_vqgrgv04dt7cpfgqpmt139c61p/-FJPG/234479-001_OPN_1.jpg</t>
  </si>
  <si>
    <t>https://dd3ka9h4chfr8.cloudfront.net/image/725136000567/image_476db3fgah6ed609dhmkcbqf49/-FJPG/234479-001_TOP_1.jpg</t>
  </si>
  <si>
    <t>https://dd3ka9h4chfr8.cloudfront.net/image/725136000567/image_dniv16qmsh54jal9vc7fevqj2q/-FJPG/234479-001_DET_4.jpg</t>
  </si>
  <si>
    <t>https://dd3ka9h4chfr8.cloudfront.net/image/725136000567/image_mioj0tr2ot53b4hkbmq28gd97e/-FJPG/234479-001_DET_5.jpg</t>
  </si>
  <si>
    <t>https://dd3ka9h4chfr8.cloudfront.net/image/725136000567/image_42ajor05ah5u19126f59ribr0s/-FJPG/234479-001_DET_6.jpg</t>
  </si>
  <si>
    <t>https://dd3ka9h4chfr8.cloudfront.net/image/725136000567/image_4pf92bbv395bd3023pl03nvk6u/-FJPG/234479-001_DET_7.jpg</t>
  </si>
  <si>
    <t>Arturo Chest - Natural Walnut Veneer</t>
  </si>
  <si>
    <t>https://dd3ka9h4chfr8.cloudfront.net/image/725136000567/image_kmh81lgi911afbek889p0o0344/-S150x150-FJPG/247037-001_PRM_1.jpg</t>
  </si>
  <si>
    <t>https://dd3ka9h4chfr8.cloudfront.net/image/725136000567/image_kmh81lgi911afbek889p0o0344/-FJPG/247037-001_PRM_1.jpg</t>
  </si>
  <si>
    <t>https://dd3ka9h4chfr8.cloudfront.net/image/725136000567/image_3uvl7enaup70115bs9512df425/-FJPG/247037-001_SID_1.jpg</t>
  </si>
  <si>
    <t>https://dd3ka9h4chfr8.cloudfront.net/image/725136000567/image_8lcr9v36et2sddjmu62lgjms21/-FJPG/247037-001_DET_2.jpg</t>
  </si>
  <si>
    <t>https://dd3ka9h4chfr8.cloudfront.net/image/725136000567/image_gi4hf3f4u106d3o6cpr6gk5l76/-FJPG/247037-001_BCK_1.jpg</t>
  </si>
  <si>
    <t>https://dd3ka9h4chfr8.cloudfront.net/image/725136000567/image_g4g7dr6m097lncm3fgcng9po3p/-FJPG/247037-001_DET_1.jpg</t>
  </si>
  <si>
    <t>https://dd3ka9h4chfr8.cloudfront.net/image/725136000567/image_uvk42eliap1ftd7bi8dhjh4448/-FJPG/247037-001_DET_3.jpg</t>
  </si>
  <si>
    <t>https://dd3ka9h4chfr8.cloudfront.net/image/725136000567/image_6n0hu5k2111t14ioirpvm0cf31/-FJPG/247037-001_OPN_1.jpg</t>
  </si>
  <si>
    <t>https://dd3ka9h4chfr8.cloudfront.net/image/725136000567/image_0ptu0o9gjd3u197nk2h5bfs76l/-FJPG/247037-001_TOP_1.jpg</t>
  </si>
  <si>
    <t>https://dd3ka9h4chfr8.cloudfront.net/image/725136000567/image_h8c8f9dqul2bn48el7t011sh09/-FJPG/247037-001_DET_4.jpg</t>
  </si>
  <si>
    <t>https://dd3ka9h4chfr8.cloudfront.net/image/725136000567/image_541mr35adt4l71mkel9in4l62o/-FJPG/247037-001_DET_5.jpg</t>
  </si>
  <si>
    <t>Arturo Media Console - Natural Walnut Veneer</t>
  </si>
  <si>
    <t>https://dd3ka9h4chfr8.cloudfront.net/image/725136000567/image_eo33r1hls50djcl2vssmbrjk0h/-S150x150-FJPG/234206-001_PRM_1.jpg</t>
  </si>
  <si>
    <t>https://dd3ka9h4chfr8.cloudfront.net/image/725136000567/image_eo33r1hls50djcl2vssmbrjk0h/-FJPG/234206-001_PRM_1.jpg</t>
  </si>
  <si>
    <t>https://dd3ka9h4chfr8.cloudfront.net/image/725136000567/image_d53i4c1okt6ij4seou55vani7f/-FJPG/234206-001_SID_1.jpg</t>
  </si>
  <si>
    <t>https://dd3ka9h4chfr8.cloudfront.net/image/725136000567/image_dk36cf7eu96g34t822m5lvgd1m/-FJPG/234206-001_DET_2.jpg</t>
  </si>
  <si>
    <t>https://dd3ka9h4chfr8.cloudfront.net/image/725136000567/image_eh9tmmpokt0o926a2fc01oa90e/-FJPG/234206-001_BCK_1.jpg</t>
  </si>
  <si>
    <t>https://dd3ka9h4chfr8.cloudfront.net/image/725136000567/image_98kpjj92kp1fb3i1s8eas2oa0r/-FJPG/234206-001_DET_1.jpg</t>
  </si>
  <si>
    <t>https://dd3ka9h4chfr8.cloudfront.net/image/725136000567/image_sro66h8vrl0vp15p13411ana0o/-FJPG/234206-001_DET_3.jpg</t>
  </si>
  <si>
    <t>https://dd3ka9h4chfr8.cloudfront.net/image/725136000567/image_5ta92gq8g54i142kdttk13so5p/-FJPG/234206-001_OPN_1.jpg</t>
  </si>
  <si>
    <t>https://dd3ka9h4chfr8.cloudfront.net/image/725136000567/image_ovmr9koa9l0sbbbejh4pvshe5e/-FJPG/234206-001_TOP_1.jpg</t>
  </si>
  <si>
    <t>https://dd3ka9h4chfr8.cloudfront.net/image/725136000567/image_dbdob716550q75933cigp2ge2j/-FJPG/234206-001_DET_4.jpg</t>
  </si>
  <si>
    <t>https://dd3ka9h4chfr8.cloudfront.net/image/725136000567/image_ors6r2tvnl08b2398h6e3oe62e/-FJPG/234206-001_DET_5.jpg</t>
  </si>
  <si>
    <t>https://dd3ka9h4chfr8.cloudfront.net/image/725136000567/image_fcrh7ivqpp3e51t6pj31bc6q1h/-FJPG/234206-001_DET_6.jpg</t>
  </si>
  <si>
    <t>https://dd3ka9h4chfr8.cloudfront.net/image/725136000567/image_akhs1jtc8l453eogl7n4q2s40u/-FJPG/234206-001_DET_7.jpg</t>
  </si>
  <si>
    <t>Arturo Nightstand - Natural Walnut Veneer</t>
  </si>
  <si>
    <t>https://dd3ka9h4chfr8.cloudfront.net/image/725136000567/image_6oejcj2hu54jva5hq5ab797s0j/-S150x150-FJPG/234480-001_PRM_1.jpg</t>
  </si>
  <si>
    <t>https://dd3ka9h4chfr8.cloudfront.net/image/725136000567/image_6oejcj2hu54jva5hq5ab797s0j/-FJPG/234480-001_PRM_1.jpg</t>
  </si>
  <si>
    <t>https://dd3ka9h4chfr8.cloudfront.net/image/725136000567/image_q3rjm1rjlt6c3an25cpobjc94h/-FJPG/234480-001_SID_1.jpg</t>
  </si>
  <si>
    <t>https://dd3ka9h4chfr8.cloudfront.net/image/725136000567/image_g2b0hdjpg96pf6h4bvuir09a0p/-FJPG/234480-001_ESS_1.jpg</t>
  </si>
  <si>
    <t>https://dd3ka9h4chfr8.cloudfront.net/image/725136000567/image_rsoggrmta56h3d1a2aoj7ncr5a/-FJPG/234480-001_ESS_1.tif</t>
  </si>
  <si>
    <t>https://dd3ka9h4chfr8.cloudfront.net/image/725136000567/image_ailnj3462h4qt6veltbhqpve1l/-FJPG/234480-001_DET_2.jpg</t>
  </si>
  <si>
    <t>https://dd3ka9h4chfr8.cloudfront.net/image/725136000567/image_smot2qgmed03rc2sh0dmfkiv67/-FJPG/234480-001_BCK_1.jpg</t>
  </si>
  <si>
    <t>https://dd3ka9h4chfr8.cloudfront.net/image/725136000567/image_joo8gohr292bba2u4im3l8b94a/-FJPG/234480-001_DET_1.jpg</t>
  </si>
  <si>
    <t>https://dd3ka9h4chfr8.cloudfront.net/image/725136000567/image_rj5ri2q28l2cn2vd07pmhqss3q/-FJPG/234480-001_DET_3.jpg</t>
  </si>
  <si>
    <t>https://dd3ka9h4chfr8.cloudfront.net/image/725136000567/image_mm9au0e6ut4u71s7opop0ian32/-FJPG/234480-001_OPN_1.jpg</t>
  </si>
  <si>
    <t>https://dd3ka9h4chfr8.cloudfront.net/image/725136000567/image_fpfljdd91h7vddp0hcc7io3l0g/-FJPG/234480-001_DET_4.jpg</t>
  </si>
  <si>
    <t>https://dd3ka9h4chfr8.cloudfront.net/image/725136000567/image_st4a0d8af95tr2toclg8mra56a/-FJPG/234480-001_DET_5.jpg</t>
  </si>
  <si>
    <t>https://dd3ka9h4chfr8.cloudfront.net/image/725136000567/image_c3rcm2ie8t6d7951u8kscc4r5s/-FJPG/234480-001_DET_6.jpg</t>
  </si>
  <si>
    <t>https://dd3ka9h4chfr8.cloudfront.net/image/725136000567/image_igtt1qo1c5411ejcucd2etv64i/-FJPG/234480-001_DET_7.jpg</t>
  </si>
  <si>
    <t>https://dd3ka9h4chfr8.cloudfront.net/image/725136000567/image_21l1omt1o962fcc0oj6ernro6n/-FJPG/234480-001_DET_8.jpg</t>
  </si>
  <si>
    <t>https://dd3ka9h4chfr8.cloudfront.net/image/725136000567/image_8s3r166pf911j5c8m5ao446l3g/-FJPG/234480-001_ROM_1.jpg</t>
  </si>
  <si>
    <t>Arturo Sideboard - Natural Walnut Veneer</t>
  </si>
  <si>
    <t>https://dd3ka9h4chfr8.cloudfront.net/image/725136000567/image_5ovgh990i52cv0ugj2lj851n2t/-S150x150-FJPG/230393-001_PRM_1.jpg</t>
  </si>
  <si>
    <t>https://dd3ka9h4chfr8.cloudfront.net/image/725136000567/image_5ovgh990i52cv0ugj2lj851n2t/-FJPG/230393-001_PRM_1.jpg</t>
  </si>
  <si>
    <t>https://dd3ka9h4chfr8.cloudfront.net/image/725136000567/image_8rg8phs2pd10vcds14sfglb13r/-FJPG/230393-001_SID_1.jpg</t>
  </si>
  <si>
    <t>https://dd3ka9h4chfr8.cloudfront.net/image/725136000567/image_buhchke6k17k38f7cctgan6r70/-FJPG/230393-001_ESS.tif</t>
  </si>
  <si>
    <t>https://dd3ka9h4chfr8.cloudfront.net/image/725136000567/image_tcorf7cv8d29n35v7fnb511336/-FJPG/230393-001_DET_2.jpg</t>
  </si>
  <si>
    <t>https://dd3ka9h4chfr8.cloudfront.net/image/725136000567/image_h47dbq5qih0rh3cqnlc17c0d21/-FJPG/230393-001_BCK_1.jpg</t>
  </si>
  <si>
    <t>https://dd3ka9h4chfr8.cloudfront.net/image/725136000567/image_omcit5keet6kb81ov61vf1g11r/-FJPG/230393-001_DET_1.jpg</t>
  </si>
  <si>
    <t>https://dd3ka9h4chfr8.cloudfront.net/image/725136000567/image_opk5c2la5t1g5b8dpbstv3q97s/-FJPG/230393-001_DET_3.jpg</t>
  </si>
  <si>
    <t>https://dd3ka9h4chfr8.cloudfront.net/image/725136000567/image_daoorq15h92ir0983rg2ucrn4i/-FJPG/230393-001_OPN_1.jpg</t>
  </si>
  <si>
    <t>https://dd3ka9h4chfr8.cloudfront.net/image/725136000567/image_d06fc6h8g16v54acguerhumg3k/-FJPG/230393-001_DET_4.jpg</t>
  </si>
  <si>
    <t>https://dd3ka9h4chfr8.cloudfront.net/image/725136000567/image_1thtrfsje57vl9qscbd29dbh0v/-FJPG/230393-001_DET_5.jpg</t>
  </si>
  <si>
    <t>https://dd3ka9h4chfr8.cloudfront.net/image/725136000567/image_e2gog362d50h130nl6pmdkab5p/-FJPG/230393-001_DET_6.jpg</t>
  </si>
  <si>
    <t>https://dd3ka9h4chfr8.cloudfront.net/image/725136000567/image_6u0b2jkql57fpf5vm72ibqf94p/-FJPG/230393-001_DET_7.jpg</t>
  </si>
  <si>
    <t>https://dd3ka9h4chfr8.cloudfront.net/image/725136000567/image_5v3j1ni4jd25v325keini3d529/-FJPG/230393-001_DET_10.jpg</t>
  </si>
  <si>
    <t>Ashland Armchair - Mongolia Cream Fur</t>
  </si>
  <si>
    <t>Mongolia Fur</t>
  </si>
  <si>
    <t>https://dd3ka9h4chfr8.cloudfront.net/image/725136000567/image_n511n8egul6h1aeeggp0ac462j/-S150x150-FJPG/100637-002_PRM_1.jpg</t>
  </si>
  <si>
    <t>https://dd3ka9h4chfr8.cloudfront.net/image/725136000567/image_n511n8egul6h1aeeggp0ac462j/-FJPG/100637-002_PRM_1.jpg</t>
  </si>
  <si>
    <t>https://dd3ka9h4chfr8.cloudfront.net/image/725136000567/image_as3pku0u690rp79bpilb6i6e3j/-FJPG/100637-002_SID_1.jpg</t>
  </si>
  <si>
    <t>https://dd3ka9h4chfr8.cloudfront.net/image/725136000567/image_vs83jn8qi91pbcme4hepcbvm14/-FJPG/100637-002_DET_2.jpg</t>
  </si>
  <si>
    <t>https://dd3ka9h4chfr8.cloudfront.net/image/725136000567/image_c1a79ivdft5p71jc3o36obv337/-FJPG/100637-002_BCK_1.jpg</t>
  </si>
  <si>
    <t>https://dd3ka9h4chfr8.cloudfront.net/image/725136000567/image_3oreblha9l3rp1gt6a2b6i4h5v/-FJPG/100637-002_DET_1.jpg</t>
  </si>
  <si>
    <t>https://dd3ka9h4chfr8.cloudfront.net/image/725136000567/image_b397q37l9d0e5fgohpsmbo9e6v/-FJPG/100637-002_DET_3.jpg</t>
  </si>
  <si>
    <t>https://dd3ka9h4chfr8.cloudfront.net/image/725136000567/image_a4st6q1i3511d3ttsessnqcb17/-FJPG/100637-002_DET_4.jpg</t>
  </si>
  <si>
    <t>https://dd3ka9h4chfr8.cloudfront.net/image/725136000567/image_h7opf506g9093fgen35ac24m0j/-FJPG/100637-002_DET_5.jpg</t>
  </si>
  <si>
    <t>https://dd3ka9h4chfr8.cloudfront.net/image/725136000567/image_tp6d7dp0pp72542a22m9bon51h/-FJPG/100637-002_DET_6.jpg</t>
  </si>
  <si>
    <t>https://dd3ka9h4chfr8.cloudfront.net/image/725136000567/image_cuii0repe5007cg2rdbmhhbr7a/-FJPG/100637-002_ROM_1.jpg</t>
  </si>
  <si>
    <t>https://dd3ka9h4chfr8.cloudfront.net/image/725136000567/image_bvpnqptbgp15t0bi1kuf6hm02e/-S150x150-FJPG/100637-004_PRM_1.jpg</t>
  </si>
  <si>
    <t>https://dd3ka9h4chfr8.cloudfront.net/image/725136000567/image_bvpnqptbgp15t0bi1kuf6hm02e/-FJPG/100637-004_PRM_1.jpg</t>
  </si>
  <si>
    <t>https://dd3ka9h4chfr8.cloudfront.net/image/725136000567/image_4k98n7s5657jv3ibftrqsfh30m/-FJPG/100637-004_SID_1.jpg</t>
  </si>
  <si>
    <t>https://dd3ka9h4chfr8.cloudfront.net/image/725136000567/image_5r874tcvnh0d595nrssecl8a72/-FJPG/100637-004_ESS_1.jpg</t>
  </si>
  <si>
    <t>https://dd3ka9h4chfr8.cloudfront.net/image/725136000567/image_mbc20r64ml2hjcidlll0q21p4p/-FJPG/100637-004_DET_2.jpg</t>
  </si>
  <si>
    <t>https://dd3ka9h4chfr8.cloudfront.net/image/725136000567/image_6qmehdnrt93b77qvskva2h9v11/-FJPG/100637-004_BCK_1.jpg</t>
  </si>
  <si>
    <t>https://dd3ka9h4chfr8.cloudfront.net/image/725136000567/image_brmf5jbpfp6sb855bg0jo7rq36/-FJPG/100637-004_DET_1.jpg</t>
  </si>
  <si>
    <t>https://dd3ka9h4chfr8.cloudfront.net/image/725136000567/image_som96dtde90rjeomri0duf523b/-FJPG/100637-004_DET_3.jpg</t>
  </si>
  <si>
    <t>https://dd3ka9h4chfr8.cloudfront.net/image/725136000567/image_m8prt21gl96kr6pa51o7p60437/-FJPG/100637-004_DET_4.jpg</t>
  </si>
  <si>
    <t>https://dd3ka9h4chfr8.cloudfront.net/image/725136000567/image_7ddnoisoi517ndpbco62m3id3r/-FJPG/100637-004_DET_5.jpg</t>
  </si>
  <si>
    <t>https://dd3ka9h4chfr8.cloudfront.net/image/725136000567/image_79av50s7fl70lb1md5f7rgp967/-FJPG/100637-004_DET_6.jpg</t>
  </si>
  <si>
    <t>Ashton Nightstand - Cream Marble</t>
  </si>
  <si>
    <t>Solid Marble</t>
  </si>
  <si>
    <t>https://dd3ka9h4chfr8.cloudfront.net/image/725136000567/image_nls3p7s5ip6bbfi6m72fra8963/-S150x150-FJPG/245943-001_PRM_1.jpg</t>
  </si>
  <si>
    <t>https://dd3ka9h4chfr8.cloudfront.net/image/725136000567/image_nls3p7s5ip6bbfi6m72fra8963/-FJPG/245943-001_PRM_1.jpg</t>
  </si>
  <si>
    <t>https://dd3ka9h4chfr8.cloudfront.net/image/725136000567/image_6takk2daqp1h35djuh6gbd6b0b/-FJPG/245943-001_SID_1.jpg</t>
  </si>
  <si>
    <t>https://dd3ka9h4chfr8.cloudfront.net/image/725136000567/image_s1dshcm7rt6cb3lg8e0ice1r2p/-FJPG/245943-001_ESS.tif</t>
  </si>
  <si>
    <t>https://dd3ka9h4chfr8.cloudfront.net/image/725136000567/image_upqi0och8d23jbir37qpahj621/-FJPG/245943-001_DET_2.jpg</t>
  </si>
  <si>
    <t>https://dd3ka9h4chfr8.cloudfront.net/image/725136000567/image_6mgu78dm6p6gdc1uiduiluba7j/-FJPG/245943-001_BCK_1.jpg</t>
  </si>
  <si>
    <t>https://dd3ka9h4chfr8.cloudfront.net/image/725136000567/image_0f79vjt3qt1a16i4uu2v3jji2f/-FJPG/245943-001_DET_1.jpg</t>
  </si>
  <si>
    <t>https://dd3ka9h4chfr8.cloudfront.net/image/725136000567/image_hjunpmiaql03fb3kar5kq0um5q/-FJPG/245943-001_DET_3.jpg</t>
  </si>
  <si>
    <t>https://dd3ka9h4chfr8.cloudfront.net/image/725136000567/image_58acsvvjt53ibdsjd2mkcenn1q/-FJPG/245943-001_OPN_1.jpg</t>
  </si>
  <si>
    <t>https://dd3ka9h4chfr8.cloudfront.net/image/725136000567/image_hdgdv44b3t3bj2iguja8cad459/-FJPG/245943-001_TOP_1.jpg</t>
  </si>
  <si>
    <t>https://dd3ka9h4chfr8.cloudfront.net/image/725136000567/image_shll9mjnu97st17v7imcb3mh3d/-FJPG/245943-001_DET_4.jpg</t>
  </si>
  <si>
    <t>https://dd3ka9h4chfr8.cloudfront.net/image/725136000567/image_l96lmrf76h1d52pc7ne2jld26v/-FJPG/245943-001_DET_5.jpg</t>
  </si>
  <si>
    <t>https://dd3ka9h4chfr8.cloudfront.net/image/725136000567/image_tkil1b1f8161lfv16lp5ugn21l/-FJPG/245943-001_DET_6.jpg</t>
  </si>
  <si>
    <t>https://dd3ka9h4chfr8.cloudfront.net/image/725136000567/image_ggc306d5dh6r10ehdvdfvq1v20/-FJPG/245943-001_DET_7.jpg</t>
  </si>
  <si>
    <t>https://dd3ka9h4chfr8.cloudfront.net/image/725136000567/image_pd2f5cg7gh5jv2hn9amnfltv52/-FJPG/245943-001_DET_9.tif</t>
  </si>
  <si>
    <t>https://dd3ka9h4chfr8.cloudfront.net/image/725136000567/image_ub652sltp97e1cu522i5foie7f/-FJPG/245943-001_DET_10.tif</t>
  </si>
  <si>
    <t>Ashton Nightstand - Natural Poplar Burl</t>
  </si>
  <si>
    <t>Poplar Burl Veneer</t>
  </si>
  <si>
    <t>https://dd3ka9h4chfr8.cloudfront.net/image/725136000567/image_2n0t44e6q97ct34fghg6se7s4c/-S150x150-FJPG/245943-002_PRM_1.jpg</t>
  </si>
  <si>
    <t>https://dd3ka9h4chfr8.cloudfront.net/image/725136000567/image_7p6gra1cu14uha5tpneq2i8121/-FJPG/245943-002_SID_1.jpg</t>
  </si>
  <si>
    <t>https://dd3ka9h4chfr8.cloudfront.net/image/725136000567/image_73hmnrl05l5vhae02fuuqe904a/-FJPG/245943_002_ESS.tif</t>
  </si>
  <si>
    <t>https://dd3ka9h4chfr8.cloudfront.net/image/725136000567/image_6clra544dl1b79q5b8d68mfk3e/-FJPG/245943-002_BCK_1.jpg</t>
  </si>
  <si>
    <t>https://dd3ka9h4chfr8.cloudfront.net/image/725136000567/image_7f0iuhh7qt6dp327dcq2pf3007/-FJPG/245943-002_DET_4.jpg</t>
  </si>
  <si>
    <t>https://dd3ka9h4chfr8.cloudfront.net/image/725136000567/image_fh3rr6ommd6u37uecaru3e2j72/-FJPG/245943-002_DET_7.jpg</t>
  </si>
  <si>
    <t>https://dd3ka9h4chfr8.cloudfront.net/image/725136000567/image_qsp20o5vrd19t432agabrvs939/-FJPG/245943_002_DET_9.tif</t>
  </si>
  <si>
    <t>Aspen Bench - Sandy Oak</t>
  </si>
  <si>
    <t>https://dd3ka9h4chfr8.cloudfront.net/image/725136000567/image_bq4r9ra7s54a1fne5dlisoq54n/-S150x150-FJPG/VBFS-020B_PRM_1.jpg</t>
  </si>
  <si>
    <t>https://dd3ka9h4chfr8.cloudfront.net/image/725136000567/image_bq4r9ra7s54a1fne5dlisoq54n/-FJPG/VBFS-020B_PRM_1.jpg</t>
  </si>
  <si>
    <t>https://dd3ka9h4chfr8.cloudfront.net/image/725136000567/image_pdpf0r56j55gf8ho67qesr2l2h/-FJPG/VBFS-020B_SID_1.jpg</t>
  </si>
  <si>
    <t>https://dd3ka9h4chfr8.cloudfront.net/image/725136000567/image_c11ns5ji5p50l4c3oucqd2u52e/-FJPG/VBFS-020B_DET_2.jpg</t>
  </si>
  <si>
    <t>https://dd3ka9h4chfr8.cloudfront.net/image/725136000567/image_8r44tvkosl751cln15t96lim1d/-FJPG/VBFS-020B_BCK_1.jpg</t>
  </si>
  <si>
    <t>https://dd3ka9h4chfr8.cloudfront.net/image/725136000567/image_eu9uqdl5b17or4j083ppcud51j/-FJPG/VBFS-020B_DET_1.jpg</t>
  </si>
  <si>
    <t>https://dd3ka9h4chfr8.cloudfront.net/image/725136000567/image_pud9bgq9lh6irf4ihd0jcakc7r/-FJPG/VBFS-020B_DET_3.jpg</t>
  </si>
  <si>
    <t>https://dd3ka9h4chfr8.cloudfront.net/image/725136000567/image_44tb226i5t1hbcb6s3580bjm2d/-FJPG/VBFS-020B_DET_4.jpg</t>
  </si>
  <si>
    <t>https://dd3ka9h4chfr8.cloudfront.net/image/725136000567/image_v7grs1dl8h4rhb778h3u09i810/-FJPG/VBFS-020B_DET_5.jpg</t>
  </si>
  <si>
    <t>https://dd3ka9h4chfr8.cloudfront.net/image/725136000567/image_uq2krsliit0v169uju9ckm0p0h/-FJPG/VBFS-020B_ROM_2.jpg</t>
  </si>
  <si>
    <t>https://dd3ka9h4chfr8.cloudfront.net/image/725136000567/image_bi4o7qceu55631nq7u1ublmb4t/-FJPG/VBFS-020B_PRM_2.jpg</t>
  </si>
  <si>
    <t>Atlas Console Table - Bleached Alder</t>
  </si>
  <si>
    <t>Resawn Alder Veneer</t>
  </si>
  <si>
    <t>https://dd3ka9h4chfr8.cloudfront.net/image/725136000567/image_ebu3toajsh3bfck1gosa7n0q5a/-S150x150-FJPG/239183-002_PRM_1.jpg</t>
  </si>
  <si>
    <t>https://dd3ka9h4chfr8.cloudfront.net/image/725136000567/image_ebu3toajsh3bfck1gosa7n0q5a/-FJPG/239183-002_PRM_1.jpg</t>
  </si>
  <si>
    <t>https://dd3ka9h4chfr8.cloudfront.net/image/725136000567/image_kg0o565so12qfatefie0eruo34/-FJPG/239183-002_SID_1.jpg</t>
  </si>
  <si>
    <t>https://dd3ka9h4chfr8.cloudfront.net/image/725136000567/image_r7eoapptoh5th1n8ghfbjnor0e/-FJPG/239183-002_ESS.tif</t>
  </si>
  <si>
    <t>https://dd3ka9h4chfr8.cloudfront.net/image/725136000567/image_60eku6sgb91g90tvmv4jer9h1c/-FJPG/239183-002_DET_2.jpg</t>
  </si>
  <si>
    <t>https://dd3ka9h4chfr8.cloudfront.net/image/725136000567/image_fbievpqe6d6ab9pa0hifebm650/-FJPG/239183-002_BCK_1.jpg</t>
  </si>
  <si>
    <t>https://dd3ka9h4chfr8.cloudfront.net/image/725136000567/image_in946didnt2br0lbtemrvl742d/-FJPG/239183-002_DET_1.jpg</t>
  </si>
  <si>
    <t>https://dd3ka9h4chfr8.cloudfront.net/image/725136000567/image_inpcb0dn1t77lb1s0q0fl8fj70/-FJPG/239183-002_DET_3.jpg</t>
  </si>
  <si>
    <t>https://dd3ka9h4chfr8.cloudfront.net/image/725136000567/image_f0icpanvkp1g1ej151mp2h9d5b/-FJPG/239183-002_DET_4.jpg</t>
  </si>
  <si>
    <t>https://dd3ka9h4chfr8.cloudfront.net/image/725136000567/image_7m4ej0mrat487d65qhtcfp8a4i/-FJPG/239183-002_DET_5.jpg</t>
  </si>
  <si>
    <t>Atlas Console Table - Smoked Alder</t>
  </si>
  <si>
    <t>https://dd3ka9h4chfr8.cloudfront.net/image/725136000567/image_phv3st9p85415c79p8b8ege32j/-S150x150-FJPG/239183-001_PRM_1.jpg</t>
  </si>
  <si>
    <t>https://dd3ka9h4chfr8.cloudfront.net/image/725136000567/image_phv3st9p85415c79p8b8ege32j/-FJPG/239183-001_PRM_1.jpg</t>
  </si>
  <si>
    <t>https://dd3ka9h4chfr8.cloudfront.net/image/725136000567/image_qqc38uo23p4hh3h9cf2cnhqu6a/-FJPG/239183-001_SID_1.jpg</t>
  </si>
  <si>
    <t>https://dd3ka9h4chfr8.cloudfront.net/image/725136000567/image_p0mjmgdjh12sv8dad9ioe4ik0o/-FJPG/239183-001_ESS_1.tif</t>
  </si>
  <si>
    <t>https://dd3ka9h4chfr8.cloudfront.net/image/725136000567/image_puv758abuh0sn2st8hbnr4hj0s/-FJPG/239183-001_DET_2.jpg</t>
  </si>
  <si>
    <t>https://dd3ka9h4chfr8.cloudfront.net/image/725136000567/image_opnv9jqi7l1e14rhsgu7emd80h/-FJPG/239183-001_BCK_1.jpg</t>
  </si>
  <si>
    <t>https://dd3ka9h4chfr8.cloudfront.net/image/725136000567/image_023r25ee0974lcd0ae243bud60/-FJPG/239183-001_DET_1.jpg</t>
  </si>
  <si>
    <t>https://dd3ka9h4chfr8.cloudfront.net/image/725136000567/image_a6222fnuvl7adfpv07tfv2n00h/-FJPG/239183-001_DET_3.jpg</t>
  </si>
  <si>
    <t>https://dd3ka9h4chfr8.cloudfront.net/image/725136000567/image_8a8h832gmt0qp4v5adlge0b97l/-FJPG/239183-001_TOP_1.jpg</t>
  </si>
  <si>
    <t>https://dd3ka9h4chfr8.cloudfront.net/image/725136000567/image_chn1kp016p64lbg6qs8cnoan2j/-FJPG/239183-001_DET_4.jpg</t>
  </si>
  <si>
    <t>https://dd3ka9h4chfr8.cloudfront.net/image/725136000567/image_51vjtbo17d0a911fm2le4k7l72/-FJPG/239183-001_DET_5.jpg</t>
  </si>
  <si>
    <t>https://dd3ka9h4chfr8.cloudfront.net/image/725136000567/image_p1cjdevg0l44v9fjiam31fno3e/-FJPG/239183-001_DET_6.jpg</t>
  </si>
  <si>
    <t>https://dd3ka9h4chfr8.cloudfront.net/image/725136000567/image_q2g3327gi507p7m0he142gmv5s/-FJPG/239183-001_DET_7.jpg</t>
  </si>
  <si>
    <t>https://dd3ka9h4chfr8.cloudfront.net/image/725136000567/image_bdorq40pkp0l79ao4m9j1qs35p/-FJPG/239183-001_DET_9.tif</t>
  </si>
  <si>
    <t>https://dd3ka9h4chfr8.cloudfront.net/image/725136000567/image_nd22i7pleh4ab6ht3mqtr44j7n/-FJPG/239183-001_DET_10.tif</t>
  </si>
  <si>
    <t>https://dd3ka9h4chfr8.cloudfront.net/image/725136000567/image_c91dud4td97br7klfsvak3666l/-FJPG/FHMPRJ-007_SCENE_6_V2.tif</t>
  </si>
  <si>
    <t>https://dd3ka9h4chfr8.cloudfront.net/image/725136000567/image_8s1vo1iicp5u942llmpsi8sn0u/-S150x150-FJPG/247001-001_PRM_1.jpg</t>
  </si>
  <si>
    <t>https://dd3ka9h4chfr8.cloudfront.net/image/725136000567/image_8s1vo1iicp5u942llmpsi8sn0u/-FJPG/247001-001_PRM_1.jpg</t>
  </si>
  <si>
    <t>https://dd3ka9h4chfr8.cloudfront.net/image/725136000567/image_41g1nh4fqt0evatdlmmcbt3l3u/-FJPG/247001-001_SID_1.jpg</t>
  </si>
  <si>
    <t>https://dd3ka9h4chfr8.cloudfront.net/image/725136000567/image_6gifpc7ld16f5d4epmqidtme6k/-FJPG/247001-001_ESS.tif</t>
  </si>
  <si>
    <t>https://dd3ka9h4chfr8.cloudfront.net/image/725136000567/image_q0voens7gt4o73nkbapt77sv34/-FJPG/247001-001_DET_2.jpg</t>
  </si>
  <si>
    <t>https://dd3ka9h4chfr8.cloudfront.net/image/725136000567/image_dq0sa3fv9h6a10qv0fsj1mpp73/-FJPG/247001-001_BCK_1.jpg</t>
  </si>
  <si>
    <t>https://dd3ka9h4chfr8.cloudfront.net/image/725136000567/image_vgp9hcu9411jf9db0isalqd51v/-FJPG/247001-001_DET_1.jpg</t>
  </si>
  <si>
    <t>https://dd3ka9h4chfr8.cloudfront.net/image/725136000567/image_0erp527f9d04f9j4p9p5b3n43c/-FJPG/247001-001_DET_3.jpg</t>
  </si>
  <si>
    <t>https://dd3ka9h4chfr8.cloudfront.net/image/725136000567/image_3tvnfgsp6175p7qj2jkrn4b07a/-FJPG/247001-001_TOP_1.jpg</t>
  </si>
  <si>
    <t>https://dd3ka9h4chfr8.cloudfront.net/image/725136000567/image_b5r9nq7ivl29p25gfr1skgmt05/-FJPG/247001-001_DET_4.jpg</t>
  </si>
  <si>
    <t>Audie Swivel Chair - Heirloom Sienna</t>
  </si>
  <si>
    <t>https://dd3ka9h4chfr8.cloudfront.net/image/725136000567/image_o7cpcgt9s16b144irs7e2u7l4o/-S150x150-FJPG/226408-005_PRM_1.jpg</t>
  </si>
  <si>
    <t>https://dd3ka9h4chfr8.cloudfront.net/image/725136000567/image_o7cpcgt9s16b144irs7e2u7l4o/-FJPG/226408-005_PRM_1.jpg</t>
  </si>
  <si>
    <t>https://dd3ka9h4chfr8.cloudfront.net/image/725136000567/image_oaou32ce357u14lnbhkpg8ep36/-FJPG/226408-005_SID_1.jpg</t>
  </si>
  <si>
    <t>https://dd3ka9h4chfr8.cloudfront.net/image/725136000567/image_rigkdljchd1pbai7tv3np2je2t/-FJPG/226408-005_ESS_1.jpg</t>
  </si>
  <si>
    <t>https://dd3ka9h4chfr8.cloudfront.net/image/725136000567/image_94i2ullm0l27h9c9bjt5l8aj1d/-FJPG/226408-005_DET_2.jpg</t>
  </si>
  <si>
    <t>https://dd3ka9h4chfr8.cloudfront.net/image/725136000567/image_7o9fh4jb057r56bdsm8o2a9s20/-FJPG/226408-005_BCK_1.jpg</t>
  </si>
  <si>
    <t>https://dd3ka9h4chfr8.cloudfront.net/image/725136000567/image_s617rj0n956fv85h4d9bj6pu13/-FJPG/Color Variance Card_Heirloom Sienna.png</t>
  </si>
  <si>
    <t>https://dd3ka9h4chfr8.cloudfront.net/image/725136000567/image_ifu8ef02ah5et6spigec6gq62n/-FJPG/226408-005_DET_1.jpg</t>
  </si>
  <si>
    <t>https://dd3ka9h4chfr8.cloudfront.net/image/725136000567/image_k2titpbrbl1v1e3dkjvr5n6951/-FJPG/226408-005_DET_3.jpg</t>
  </si>
  <si>
    <t>https://dd3ka9h4chfr8.cloudfront.net/image/725136000567/image_rolg8geoeh7i79nacv87755n2v/-FJPG/226408-005_DET_4.jpg</t>
  </si>
  <si>
    <t>https://dd3ka9h4chfr8.cloudfront.net/image/725136000567/image_t6jkcp1h095in6a84sq2s45m2n/-FJPG/226408-005_DET_5.jpg</t>
  </si>
  <si>
    <t>https://dd3ka9h4chfr8.cloudfront.net/image/725136000567/image_vd442hu0st6nfb26gcgbfni048/-FJPG/226408-005_DET_6.jpg</t>
  </si>
  <si>
    <t>Audie Swivel Chair - Surrey Olive</t>
  </si>
  <si>
    <t>76.8% Cotton</t>
  </si>
  <si>
    <t>23.2% Polyester</t>
  </si>
  <si>
    <t>https://dd3ka9h4chfr8.cloudfront.net/image/725136000567/image_tp40g71k7966vb3cales2cen32/-S150x150-FJPG/226408-007_PRM_1.jpg</t>
  </si>
  <si>
    <t>https://dd3ka9h4chfr8.cloudfront.net/image/725136000567/image_tp40g71k7966vb3cales2cen32/-FJPG/226408-007_PRM_1.jpg</t>
  </si>
  <si>
    <t>https://dd3ka9h4chfr8.cloudfront.net/image/725136000567/image_bjul42onol4qf1utcd0apum74c/-FJPG/226408-007_SID_1.jpg</t>
  </si>
  <si>
    <t>https://dd3ka9h4chfr8.cloudfront.net/image/725136000567/image_5pn5oh8j5h7jv2a92q54m2o57r/-FJPG/226408-007_ESS_1.jpg</t>
  </si>
  <si>
    <t>https://dd3ka9h4chfr8.cloudfront.net/image/725136000567/image_24m2p1ldml5cnbkveoeqouou26/-FJPG/226408-007_DET_2.jpg</t>
  </si>
  <si>
    <t>https://dd3ka9h4chfr8.cloudfront.net/image/725136000567/image_lvc8c1c5351s18t3kul9s2un2f/-FJPG/226408-007_BCK_1.jpg</t>
  </si>
  <si>
    <t>https://dd3ka9h4chfr8.cloudfront.net/image/725136000567/image_n7m0b4dd1134teh7ho1k7qnj4b/-FJPG/226408-007_DET_1.jpg</t>
  </si>
  <si>
    <t>https://dd3ka9h4chfr8.cloudfront.net/image/725136000567/image_0598ij502h6nlf75rjp7cs0n4g/-FJPG/226408-007_DET_3.jpg</t>
  </si>
  <si>
    <t>https://dd3ka9h4chfr8.cloudfront.net/image/725136000567/image_ra6batol956epc2hgbp80s6n7e/-FJPG/226408-007_DET_4.jpg</t>
  </si>
  <si>
    <t>https://dd3ka9h4chfr8.cloudfront.net/image/725136000567/image_6p8s7r79sl57bahb31dnrd0e69/-FJPG/226408-007_DET_5.jpg</t>
  </si>
  <si>
    <t>Augustine 3-Piece Sectional - Crypton Nomad Taupe</t>
  </si>
  <si>
    <t>92% Polyester</t>
  </si>
  <si>
    <t>8% Flax/Linen</t>
  </si>
  <si>
    <t>https://dd3ka9h4chfr8.cloudfront.net/image/725136000567/image_s3lci2oid564d14j2sl131ga4q/-S150x150-FJPG/234067-006_PRM_1.JPG</t>
  </si>
  <si>
    <t>https://dd3ka9h4chfr8.cloudfront.net/image/725136000567/image_s3lci2oid564d14j2sl131ga4q/-FJPG/234067-006_PRM_1.JPG</t>
  </si>
  <si>
    <t>https://dd3ka9h4chfr8.cloudfront.net/image/725136000567/image_l36rcqo22t6o3103sb157h3c2t/-FJPG/234067-006_SID_1.JPG</t>
  </si>
  <si>
    <t>https://dd3ka9h4chfr8.cloudfront.net/image/725136000567/image_is44ttpvvh6ll55vl8ve0lhf20/-FJPG/234067-006_BCK_1.JPG</t>
  </si>
  <si>
    <t>https://dd3ka9h4chfr8.cloudfront.net/image/725136000567/image_3tamlq9bjp0n7a3l6tmphovd0d/-FJPG/234067-006_DET_1.JPG</t>
  </si>
  <si>
    <t>Augustine 3-Piece Sectional - Deacon Wolf</t>
  </si>
  <si>
    <t>https://dd3ka9h4chfr8.cloudfront.net/image/725136000567/image_n6jsvnfb0t6b17i2dqvtovtp01/-S150x150-FJPG/234067-003_PRM_1.jpg</t>
  </si>
  <si>
    <t>https://dd3ka9h4chfr8.cloudfront.net/image/725136000567/image_n6jsvnfb0t6b17i2dqvtovtp01/-FJPG/234067-003_PRM_1.jpg</t>
  </si>
  <si>
    <t>https://dd3ka9h4chfr8.cloudfront.net/image/725136000567/image_adcnrfndnp5894u87pu7ud0h0g/-FJPG/234067-003_SID_1.jpg</t>
  </si>
  <si>
    <t>https://dd3ka9h4chfr8.cloudfront.net/image/725136000567/image_gv008rihvp45p59e78ba13265h/-FJPG/234067-003_ESS_1.jpg</t>
  </si>
  <si>
    <t>https://dd3ka9h4chfr8.cloudfront.net/image/725136000567/image_70in9hek4l15d33orl0609bn1a/-FJPG/234067-003_BCK_1.jpg</t>
  </si>
  <si>
    <t>https://dd3ka9h4chfr8.cloudfront.net/image/725136000567/image_j545j1bjhp2vv2ug9d55fvv54e/-FJPG/234067-003_TOP_1.jpg</t>
  </si>
  <si>
    <t>Augustine 3-Piece Sectional - Dover Crescent</t>
  </si>
  <si>
    <t>71% Viscose (Rayon)</t>
  </si>
  <si>
    <t>17% Polyester</t>
  </si>
  <si>
    <t>12% Flax/Linen</t>
  </si>
  <si>
    <t>https://dd3ka9h4chfr8.cloudfront.net/image/725136000567/image_bmb0l5qpj52bb4abdn1bjcvs65/-S150x150-FJPG/234067-002_PRM_1.jpg</t>
  </si>
  <si>
    <t>https://dd3ka9h4chfr8.cloudfront.net/image/725136000567/image_bmb0l5qpj52bb4abdn1bjcvs65/-FJPG/234067-002_PRM_1.jpg</t>
  </si>
  <si>
    <t>https://dd3ka9h4chfr8.cloudfront.net/image/725136000567/image_josnse1ahh5gl0u7pok3id1i6q/-FJPG/234067-002_SID_1.jpg</t>
  </si>
  <si>
    <t>https://dd3ka9h4chfr8.cloudfront.net/image/725136000567/image_qi2skrb6g92lhfjqm3v3gfd33j/-FJPG/234067-002_ESS_1.jpg</t>
  </si>
  <si>
    <t>https://dd3ka9h4chfr8.cloudfront.net/image/725136000567/image_oqqmg72e1p22hcruqcjeecjv7p/-FJPG/234067-002_BCK_1.jpg</t>
  </si>
  <si>
    <t>https://dd3ka9h4chfr8.cloudfront.net/image/725136000567/image_m6h7bi1r9d0r75sp0h5agbjb72/-FJPG/234067-002_INF_1.jpg</t>
  </si>
  <si>
    <t>https://dd3ka9h4chfr8.cloudfront.net/image/725136000567/image_kofqu7i76l3kb6fcn60hfm2d2t/-FJPG/234067-002_TOP_1.jpg</t>
  </si>
  <si>
    <t>Augustine 3-Piece Sectional - Orly Natural</t>
  </si>
  <si>
    <t>https://dd3ka9h4chfr8.cloudfront.net/image/725136000567/image_lome9gvggd0uhemfr93ngrnv5k/-S150x150-FJPG/234067-001_PRM_1.jpg</t>
  </si>
  <si>
    <t>https://dd3ka9h4chfr8.cloudfront.net/image/725136000567/image_lome9gvggd0uhemfr93ngrnv5k/-FJPG/234067-001_PRM_1.jpg</t>
  </si>
  <si>
    <t>https://dd3ka9h4chfr8.cloudfront.net/image/725136000567/image_fbksfpnk7p74b1lq578150966s/-FJPG/234067-001_SID_1.jpg</t>
  </si>
  <si>
    <t>https://dd3ka9h4chfr8.cloudfront.net/image/725136000567/image_ebr3jqh5ap7u3e1d8djlbms801/-FJPG/234067-001_ESS_1.jpg</t>
  </si>
  <si>
    <t>https://dd3ka9h4chfr8.cloudfront.net/image/725136000567/image_geqktm1qfh44p64539jr510h2f/-FJPG/234067-001_BCK_1.jpg</t>
  </si>
  <si>
    <t>https://dd3ka9h4chfr8.cloudfront.net/image/725136000567/image_afq7cr59u978p4vsn7tlp53n54/-FJPG/234067-001_TOP_1.jpg</t>
  </si>
  <si>
    <t>Augustine 3-Piece Sectional - Palermo Drift</t>
  </si>
  <si>
    <t>https://dd3ka9h4chfr8.cloudfront.net/image/725136000567/image_bab2ps17s53c90tc5kuffu4e6r/-S150x150-FJPG/234067-005_PRM_1.jpg</t>
  </si>
  <si>
    <t>https://dd3ka9h4chfr8.cloudfront.net/image/725136000567/image_bab2ps17s53c90tc5kuffu4e6r/-FJPG/234067-005_PRM_1.jpg</t>
  </si>
  <si>
    <t>https://dd3ka9h4chfr8.cloudfront.net/image/725136000567/image_7gima1lvdt59rempt5v3hkpd0b/-FJPG/234067-005_SID_1.jpg</t>
  </si>
  <si>
    <t>https://dd3ka9h4chfr8.cloudfront.net/image/725136000567/image_soq8lva3kt02n7sfsfn81has67/-FJPG/234067-005_ESS_1.jpg</t>
  </si>
  <si>
    <t>https://dd3ka9h4chfr8.cloudfront.net/image/725136000567/image_9lqik2a9j133f3sqtdv3i3gm7r/-FJPG/234067-005_BCK_1.jpg</t>
  </si>
  <si>
    <t>https://dd3ka9h4chfr8.cloudfront.net/image/725136000567/image_e9uvp7c7dl50716n2pcoaqh57n/-FJPG/234067-005_TOP_1.jpg</t>
  </si>
  <si>
    <t>Augustine 3-Piece Sectional - Sapphire Navy</t>
  </si>
  <si>
    <t>5% Cotton</t>
  </si>
  <si>
    <t>https://dd3ka9h4chfr8.cloudfront.net/image/725136000567/image_mfj98o7t2t0nhen0lavoid5k21/-S150x150-FJPG/234067-004_PRM_1.jpeg</t>
  </si>
  <si>
    <t>https://dd3ka9h4chfr8.cloudfront.net/image/725136000567/image_j6vljf8q0p4k9d1qj5bkp8356i/-FJPG/234067-004_FRT_1.jpg</t>
  </si>
  <si>
    <t>https://dd3ka9h4chfr8.cloudfront.net/image/725136000567/image_mfj98o7t2t0nhen0lavoid5k21/-FJPG/234067-004_PRM_1.jpeg</t>
  </si>
  <si>
    <t>https://dd3ka9h4chfr8.cloudfront.net/image/725136000567/image_rqan2pfveh3j5abrkuajaq8h58/-FJPG/234067-004_PRM_1.jpg</t>
  </si>
  <si>
    <t>https://dd3ka9h4chfr8.cloudfront.net/image/725136000567/image_ur0pb1iatp2kjbd1lo9el9vl0t/-FJPG/234067-004_SID_1.jpeg</t>
  </si>
  <si>
    <t>https://dd3ka9h4chfr8.cloudfront.net/image/725136000567/image_ni6tc4gj5p7ef3ko4kq9ajh41a/-FJPG/234067-004_SID_1.jpg</t>
  </si>
  <si>
    <t>https://dd3ka9h4chfr8.cloudfront.net/image/725136000567/image_4mgb97rod92ad3ne6s6eglqi77/-FJPG/234067-004_ESS_1.jpg</t>
  </si>
  <si>
    <t>https://dd3ka9h4chfr8.cloudfront.net/image/725136000567/image_qgvaes5dsd1rj618vbnc5lar28/-FJPG/234067-004_BCK_1.jpg</t>
  </si>
  <si>
    <t>https://dd3ka9h4chfr8.cloudfront.net/image/725136000567/image_3cus1buqvp0irdcr26rvo3sa7c/-FJPG/234067-004_BCK_1.jpeg</t>
  </si>
  <si>
    <t>https://dd3ka9h4chfr8.cloudfront.net/image/725136000567/image_tscemi109h7sb0o4gfqa8c7p04/-FJPG/234067-004_TOP_1.jpg</t>
  </si>
  <si>
    <t>https://dd3ka9h4chfr8.cloudfront.net/image/725136000567/image_hodqp24hrl0qp88pgc22p7kr0f/-FJPG/234067-004_TOP_1.jpeg</t>
  </si>
  <si>
    <t>Augustine Bench - Deacon Wolf</t>
  </si>
  <si>
    <t>https://dd3ka9h4chfr8.cloudfront.net/image/725136000567/image_hvqqiivp4116rd7iqgcuk7n97i/-S150x150-FJPG/230152-001_PRM_1.jpg</t>
  </si>
  <si>
    <t>https://dd3ka9h4chfr8.cloudfront.net/image/725136000567/image_hvqqiivp4116rd7iqgcuk7n97i/-FJPG/230152-001_PRM_1.jpg</t>
  </si>
  <si>
    <t>https://dd3ka9h4chfr8.cloudfront.net/image/725136000567/image_nt98mj88s11g5bnn45ji1rrv6n/-FJPG/230152-001_SID_1.jpg</t>
  </si>
  <si>
    <t>https://dd3ka9h4chfr8.cloudfront.net/image/725136000567/image_77g4a5akp12pf4gkipjmoncu66/-FJPG/230152-001_ESS.tif</t>
  </si>
  <si>
    <t>https://dd3ka9h4chfr8.cloudfront.net/image/725136000567/image_m9ip8jofch5dv87f90e9pl6o7l/-FJPG/230152-001_DET_2.jpg</t>
  </si>
  <si>
    <t>https://dd3ka9h4chfr8.cloudfront.net/image/725136000567/image_gohehrvnkh1519bh2d4bko0a2u/-FJPG/230152-001_DET_1.jpg</t>
  </si>
  <si>
    <t>https://dd3ka9h4chfr8.cloudfront.net/image/725136000567/image_fqlmi78mjd3ovcckvrt3s17g39/-FJPG/230152-001_DET_3.jpg</t>
  </si>
  <si>
    <t>https://dd3ka9h4chfr8.cloudfront.net/image/725136000567/image_jfrr0svnbp3mv0soaigdmqd21m/-FJPG/230152-001_TOP_1.jpg</t>
  </si>
  <si>
    <t>https://dd3ka9h4chfr8.cloudfront.net/image/725136000567/image_69bau4so8h2sjb3t068aoa7714/-FJPG/230152-001_DET_4.jpg</t>
  </si>
  <si>
    <t>https://dd3ka9h4chfr8.cloudfront.net/image/725136000567/image_0c64nb2ku94tpc5nktohev5q4c/-FJPG/230152-001_DET_5.jpg</t>
  </si>
  <si>
    <t>https://dd3ka9h4chfr8.cloudfront.net/image/725136000567/image_es9pi2ntlh7q525t34ss9osc4l/-FJPG/230152-001_DET_6.jpg</t>
  </si>
  <si>
    <t>Augustine Bench - Sapphire Navy</t>
  </si>
  <si>
    <t>https://dd3ka9h4chfr8.cloudfront.net/image/725136000567/image_7bie1unkll7gd73e7gfbpogf3k/-S150x150-FJPG/230152-003_PRM_1.JPG</t>
  </si>
  <si>
    <t>https://dd3ka9h4chfr8.cloudfront.net/image/725136000567/image_7bie1unkll7gd73e7gfbpogf3k/-FJPG/230152-003_PRM_1.JPG</t>
  </si>
  <si>
    <t>https://dd3ka9h4chfr8.cloudfront.net/image/725136000567/image_donvriljmt20bdghith6cam332/-FJPG/230152-003_SID_1.JPG</t>
  </si>
  <si>
    <t>https://dd3ka9h4chfr8.cloudfront.net/image/725136000567/image_vbemi1ro0l7qf6b27no47rmq3f/-FJPG/230152-003_ESS.tif</t>
  </si>
  <si>
    <t>https://dd3ka9h4chfr8.cloudfront.net/image/725136000567/image_dgbeahas992ff77p0hgt1bdf4b/-FJPG/230152-003_DET_2.JPG</t>
  </si>
  <si>
    <t>https://dd3ka9h4chfr8.cloudfront.net/image/725136000567/image_i8ru9juu752kb9nfoca7qtg34n/-FJPG/230152-003_DET_1.JPG</t>
  </si>
  <si>
    <t>https://dd3ka9h4chfr8.cloudfront.net/image/725136000567/image_d0fnndl89h27b247v3fj90ef2l/-FJPG/230152-003_DET_3.JPG</t>
  </si>
  <si>
    <t>https://dd3ka9h4chfr8.cloudfront.net/image/725136000567/image_b4850789mp2vp1odk6m1cume5j/-FJPG/230152-003_DET_4.JPG</t>
  </si>
  <si>
    <t>https://dd3ka9h4chfr8.cloudfront.net/image/725136000567/image_3coohldl0p1od9khv6it0jtu31/-FJPG/230152-003_PRM_2.JPG</t>
  </si>
  <si>
    <t>Augustine Bench - Surrey Auburn</t>
  </si>
  <si>
    <t>https://dd3ka9h4chfr8.cloudfront.net/image/725136000567/image_vl2iivags509nb2asvakhmrq1m/-S150x150-FJPG/230152-004_PRM_1.jpg</t>
  </si>
  <si>
    <t>https://dd3ka9h4chfr8.cloudfront.net/image/725136000567/image_vl2iivags509nb2asvakhmrq1m/-FJPG/230152-004_PRM_1.jpg</t>
  </si>
  <si>
    <t>https://dd3ka9h4chfr8.cloudfront.net/image/725136000567/image_cpvgutag215srdp4ffpp58qc5l/-FJPG/230152-004_SID_1.jpg</t>
  </si>
  <si>
    <t>https://dd3ka9h4chfr8.cloudfront.net/image/725136000567/image_3ob6aqfqeh1nb4tm4qjgs2qc6n/-FJPG/230152-004_ESS_1.jpg</t>
  </si>
  <si>
    <t>https://dd3ka9h4chfr8.cloudfront.net/image/725136000567/image_omhuurb4ap16h6pr9lar6ls935/-FJPG/230152-004_DET_2.jpg</t>
  </si>
  <si>
    <t>https://dd3ka9h4chfr8.cloudfront.net/image/725136000567/image_l22atg3cmp0kp4qe05ob8t262t/-FJPG/230152-004_DET_1.jpg</t>
  </si>
  <si>
    <t>https://dd3ka9h4chfr8.cloudfront.net/image/725136000567/image_621ou83m4t3u55of4a71ra9c1u/-FJPG/230152-004_DET_3.jpg</t>
  </si>
  <si>
    <t>https://dd3ka9h4chfr8.cloudfront.net/image/725136000567/image_is4qp8vq7120lfhrassbr3l054/-FJPG/230152-004_DET_4.jpg</t>
  </si>
  <si>
    <t>https://dd3ka9h4chfr8.cloudfront.net/image/725136000567/image_9ctunik68100t5fu1gsijccu7j/-FJPG/230152-004_DET_5.jpg</t>
  </si>
  <si>
    <t>https://dd3ka9h4chfr8.cloudfront.net/image/725136000567/image_1drt0b5k9d36he84srtpg75774/-FJPG/230152-004_DET_6.jpg</t>
  </si>
  <si>
    <t>Augustine Ottoman-21" - Crypton Nomad Taupe</t>
  </si>
  <si>
    <t>https://dd3ka9h4chfr8.cloudfront.net/image/725136000567/image_rg7ma4u5l948n95e3sf35fgi6p/-S150x150-FJPG/108563-016_PRM_1.JPG</t>
  </si>
  <si>
    <t>https://dd3ka9h4chfr8.cloudfront.net/image/725136000567/image_rg7ma4u5l948n95e3sf35fgi6p/-FJPG/108563-016_PRM_1.JPG</t>
  </si>
  <si>
    <t>https://dd3ka9h4chfr8.cloudfront.net/image/725136000567/image_fhc24ogful0s19jkod5uh3pl6f/-FJPG/108563-016_SID_1.JPG</t>
  </si>
  <si>
    <t>https://dd3ka9h4chfr8.cloudfront.net/image/725136000567/image_hmvvonp5jp483cup29qkndgt4t/-FJPG/108563-016_DET_2.JPG</t>
  </si>
  <si>
    <t>https://dd3ka9h4chfr8.cloudfront.net/image/725136000567/image_0tf8irn7ql0uh3jv36vdddmr52/-FJPG/108563-016_DET_1.JPG</t>
  </si>
  <si>
    <t>https://dd3ka9h4chfr8.cloudfront.net/image/725136000567/image_52h7lr43t976j49t397ne8g61v/-FJPG/108563-016_DET_3.JPG</t>
  </si>
  <si>
    <t>https://dd3ka9h4chfr8.cloudfront.net/image/725136000567/image_bgtc96a8e908t8nllp9tqm8o04/-FJPG/108563-016_DET_4.JPG</t>
  </si>
  <si>
    <t>https://dd3ka9h4chfr8.cloudfront.net/image/725136000567/image_5a81fbibmt1b344g2jnmtchp6u/-FJPG/108563-016_DET_5.JPG</t>
  </si>
  <si>
    <t>Augustine Ottoman-21" - Deacon Wolf</t>
  </si>
  <si>
    <t>https://dd3ka9h4chfr8.cloudfront.net/image/725136000567/image_11iclhbcr12lldnae32g8bl31d/-S150x150-FJPG/108563-001_PRM_1.jpg</t>
  </si>
  <si>
    <t>https://dd3ka9h4chfr8.cloudfront.net/image/725136000567/image_11iclhbcr12lldnae32g8bl31d/-FJPG/108563-001_PRM_1.jpg</t>
  </si>
  <si>
    <t>https://dd3ka9h4chfr8.cloudfront.net/image/725136000567/image_sfitlng3rh2ifffcka9ctujr35/-FJPG/108563-001_SID_1.jpg</t>
  </si>
  <si>
    <t>https://dd3ka9h4chfr8.cloudfront.net/image/725136000567/image_ah44bdego127p65n0vvc3o145p/-FJPG/108563-001_ESS_1.jpg</t>
  </si>
  <si>
    <t>https://dd3ka9h4chfr8.cloudfront.net/image/725136000567/image_bdc31sh0lp7m316c9p50892c1q/-FJPG/108563-001_BCK_1.jpg</t>
  </si>
  <si>
    <t>https://dd3ka9h4chfr8.cloudfront.net/image/725136000567/image_qjaud9fblt7c90aa0d6qos1u31/-FJPG/108563-001_TOP_1.jpg</t>
  </si>
  <si>
    <t>Augustine Ottoman-21" - Dover Crescent</t>
  </si>
  <si>
    <t>https://dd3ka9h4chfr8.cloudfront.net/image/725136000567/image_k54umlkbs93317ou0rscrka30p/-S150x150-FJPG/108563-002_PRM_1.jpg</t>
  </si>
  <si>
    <t>https://dd3ka9h4chfr8.cloudfront.net/image/725136000567/image_k54umlkbs93317ou0rscrka30p/-FJPG/108563-002_PRM_1.jpg</t>
  </si>
  <si>
    <t>https://dd3ka9h4chfr8.cloudfront.net/image/725136000567/image_sqvt4123jd42jauisekr20487k/-FJPG/108563-002_SID_1.jpg</t>
  </si>
  <si>
    <t>https://dd3ka9h4chfr8.cloudfront.net/image/725136000567/image_b7300enojl3oh7ccc75hq02p55/-FJPG/108563-002_ESS_1.jpg</t>
  </si>
  <si>
    <t>https://dd3ka9h4chfr8.cloudfront.net/image/725136000567/image_5149neu3b1051b16iktf7ilg1j/-FJPG/108563-002_BCK_1.jpg</t>
  </si>
  <si>
    <t>https://dd3ka9h4chfr8.cloudfront.net/image/725136000567/image_kv5kmm4ae11r78ntkenki0qa14/-FJPG/108563-002_INF_1.jpg</t>
  </si>
  <si>
    <t>https://dd3ka9h4chfr8.cloudfront.net/image/725136000567/image_5qnp2qm5lt2r71rppl31pa5613/-FJPG/108563-002_TOP_1.jpg</t>
  </si>
  <si>
    <t>Augustine Ottoman-21" - Orly Natural</t>
  </si>
  <si>
    <t>https://dd3ka9h4chfr8.cloudfront.net/image/725136000567/image_pdbvpk936t42raukpeekdkuc7n/-S150x150-FJPG/108563-004_PRM_1.jpg</t>
  </si>
  <si>
    <t>https://dd3ka9h4chfr8.cloudfront.net/image/725136000567/image_pdbvpk936t42raukpeekdkuc7n/-FJPG/108563-004_PRM_1.jpg</t>
  </si>
  <si>
    <t>https://dd3ka9h4chfr8.cloudfront.net/image/725136000567/image_476qkoltv97fn3m2dijsja2m19/-FJPG/108563-004_SID_1.jpg</t>
  </si>
  <si>
    <t>https://dd3ka9h4chfr8.cloudfront.net/image/725136000567/image_dbp51aqanp2dp21h2gmg7u2j64/-FJPG/108563-004_ESS_1.jpg</t>
  </si>
  <si>
    <t>https://dd3ka9h4chfr8.cloudfront.net/image/725136000567/image_4o7oqbljcd06h8k69s6b5pi308/-FJPG/108563-004_BCK_1.jpg</t>
  </si>
  <si>
    <t>https://dd3ka9h4chfr8.cloudfront.net/image/725136000567/image_9405sfv49p1kf0v7itg4s2nd7b/-FJPG/108563-004_TOP_1.jpg</t>
  </si>
  <si>
    <t>https://dd3ka9h4chfr8.cloudfront.net/image/725136000567/image_9e5qusa68p6tf2ts4lddc0kr63/-FJPG/108563-004_DET_4.jpg</t>
  </si>
  <si>
    <t>https://dd3ka9h4chfr8.cloudfront.net/image/725136000567/image_agh4n3g3ol779efv5oe6lg7n7c/-FJPG/108563-004_VIG_1.jpg</t>
  </si>
  <si>
    <t>Augustine Ottoman-21" - Palermo Drift</t>
  </si>
  <si>
    <t>https://dd3ka9h4chfr8.cloudfront.net/image/725136000567/image_8mg09n7rod4271rmtolgmstt26/-S150x150-FJPG/108563-007_PRM_1.jpg</t>
  </si>
  <si>
    <t>https://dd3ka9h4chfr8.cloudfront.net/image/725136000567/image_8mg09n7rod4271rmtolgmstt26/-FJPG/108563-007_PRM_1.jpg</t>
  </si>
  <si>
    <t>https://dd3ka9h4chfr8.cloudfront.net/image/725136000567/image_b5emac1sl548vb0ea0apavll76/-FJPG/108563-007_SID_1.jpg</t>
  </si>
  <si>
    <t>https://dd3ka9h4chfr8.cloudfront.net/image/725136000567/image_kgbvaojef11e33n86r5f6o126h/-FJPG/108563-007_ESS_1.jpg</t>
  </si>
  <si>
    <t>https://dd3ka9h4chfr8.cloudfront.net/image/725136000567/image_s0gd8qc8211cdc71if19lusg2d/-FJPG/108563-007_BCK_1.jpg</t>
  </si>
  <si>
    <t>https://dd3ka9h4chfr8.cloudfront.net/image/725136000567/image_b8sl7te34d60h5mdlr8ku2br1m/-FJPG/108563-007_TOP_1.jpg</t>
  </si>
  <si>
    <t>Augustine Ottoman-21" - Sapphire Navy</t>
  </si>
  <si>
    <t>https://dd3ka9h4chfr8.cloudfront.net/image/725136000567/image_2kgavf90p56s1d4d4plcqunr4u/-S150x150-FJPG/108563-005_PRM_1.jpg</t>
  </si>
  <si>
    <t>https://dd3ka9h4chfr8.cloudfront.net/image/725136000567/image_2kgavf90p56s1d4d4plcqunr4u/-FJPG/108563-005_PRM_1.jpg</t>
  </si>
  <si>
    <t>https://dd3ka9h4chfr8.cloudfront.net/image/725136000567/image_adb8j23v2t0in0ruq7dln4ma75/-FJPG/108563-005_SID_1.jpg</t>
  </si>
  <si>
    <t>https://dd3ka9h4chfr8.cloudfront.net/image/725136000567/image_1mre21sqbt0cv0kpsdrja5vt2d/-FJPG/108563-005_ESS_1.jpg</t>
  </si>
  <si>
    <t>https://dd3ka9h4chfr8.cloudfront.net/image/725136000567/image_8t8j3mrhgt23p9eppm383c6o51/-FJPG/108563-005_BCK_1.jpg</t>
  </si>
  <si>
    <t>https://dd3ka9h4chfr8.cloudfront.net/image/725136000567/image_2cslfi96dl66935dlrrnvlp37f/-FJPG/108563-005_TOP_1.jpg</t>
  </si>
  <si>
    <t>Augustine Ottoman-21" - Surrey Auburn</t>
  </si>
  <si>
    <t>https://dd3ka9h4chfr8.cloudfront.net/image/725136000567/image_ngeuu0m0up5g7dsilkmsh0tk6g/-S150x150-FJPG/108563-006_PRM_1.jpg</t>
  </si>
  <si>
    <t>https://dd3ka9h4chfr8.cloudfront.net/image/725136000567/image_qt6nc8uiml27t0qqqp8ig2of7r/-FJPG/108563-006_SID_1.jpg</t>
  </si>
  <si>
    <t>https://dd3ka9h4chfr8.cloudfront.net/image/725136000567/image_54rpg7jqmt7hjd4eluu4uhsk49/-FJPG/108563-006_ESS_1.jpg</t>
  </si>
  <si>
    <t>https://dd3ka9h4chfr8.cloudfront.net/image/725136000567/image_4jdtat38lh7uvboraco70ce83b/-FJPG/108563-006_DET_2.jpg</t>
  </si>
  <si>
    <t>https://dd3ka9h4chfr8.cloudfront.net/image/725136000567/image_auq0t984cl533bgmnojnpdad6i/-FJPG/108563-006_DET_1.jpg</t>
  </si>
  <si>
    <t>https://dd3ka9h4chfr8.cloudfront.net/image/725136000567/image_3mnno6csjh3ut6u3i43urtl43h/-FJPG/108563-006_DET_3.jpg</t>
  </si>
  <si>
    <t>https://dd3ka9h4chfr8.cloudfront.net/image/725136000567/image_bic4575b3d4ur7remrb2tbej0o/-FJPG/108563-006_DET_4.jpg</t>
  </si>
  <si>
    <t>https://dd3ka9h4chfr8.cloudfront.net/image/725136000567/image_5n4ek21tn517d9bvqtm6ju5r04/-FJPG/108563-006_PRM_2.jpg</t>
  </si>
  <si>
    <t>Augustine Sofa - Crypton Nomad Taupe</t>
  </si>
  <si>
    <t>https://dd3ka9h4chfr8.cloudfront.net/image/725136000567/image_5bkpr78gr11vl74fltunp39l7e/-S150x150-FJPG/105769-011_PRM_1.JPG</t>
  </si>
  <si>
    <t>https://dd3ka9h4chfr8.cloudfront.net/image/725136000567/image_54ff2o7g3551j50d04jcup2j4r/-FJPG/105769-011_SID_1.JPG</t>
  </si>
  <si>
    <t>https://dd3ka9h4chfr8.cloudfront.net/image/725136000567/image_6fnmgsn8b51gje6ji4samhkl1l/-FJPG/105769-011_DET_2.JPG</t>
  </si>
  <si>
    <t>https://dd3ka9h4chfr8.cloudfront.net/image/725136000567/image_tup51amjop013chs4rj27fuo18/-FJPG/105769-011_BCK_1.JPG</t>
  </si>
  <si>
    <t>https://dd3ka9h4chfr8.cloudfront.net/image/725136000567/image_6j2qcb5f315lp1iilh3oe85c0k/-FJPG/105769-011_DET_1.JPG</t>
  </si>
  <si>
    <t>https://dd3ka9h4chfr8.cloudfront.net/image/725136000567/image_3fk9kk77c90q530pn8uolm7e60/-FJPG/105769-011_DET_3.JPG</t>
  </si>
  <si>
    <t>https://dd3ka9h4chfr8.cloudfront.net/image/725136000567/image_u4cf3mfvq10r1cn9nkibka922d/-FJPG/105769-011_DET_4.JPG</t>
  </si>
  <si>
    <t>https://dd3ka9h4chfr8.cloudfront.net/image/725136000567/image_qtpfg2omnd20vc7um7ddtu317s/-FJPG/105769-011_DET_5.JPG</t>
  </si>
  <si>
    <t>https://dd3ka9h4chfr8.cloudfront.net/image/725136000567/image_aaqphbt1rh6cvejrf7oghs410v/-FJPG/105769-011_DET_6.JPG</t>
  </si>
  <si>
    <t>https://dd3ka9h4chfr8.cloudfront.net/image/725136000567/image_37qn3enh9h7ddbvip50qojj54l/-FJPG/105769-011_DET_7.JPG</t>
  </si>
  <si>
    <t>https://dd3ka9h4chfr8.cloudfront.net/image/725136000567/image_r3t8kl9u2d01h8tj91mktacn0f/-FJPG/105769-011_DET_8.JPG</t>
  </si>
  <si>
    <t>Augustine Sofa - Deacon Wolf</t>
  </si>
  <si>
    <t>https://dd3ka9h4chfr8.cloudfront.net/image/725136000567/image_ej209ptvf551jfkq72q8j8tv68/-S150x150-FJPG/CGRY-013-660_PRM_1.jpg</t>
  </si>
  <si>
    <t>https://dd3ka9h4chfr8.cloudfront.net/image/725136000567/image_ej209ptvf551jfkq72q8j8tv68/-FJPG/CGRY-013-660_PRM_1.jpg</t>
  </si>
  <si>
    <t>https://dd3ka9h4chfr8.cloudfront.net/image/725136000567/image_reaurfnd4t527bj20pr260d02q/-FJPG/CGRY-013-660_SID_1.jpg</t>
  </si>
  <si>
    <t>https://dd3ka9h4chfr8.cloudfront.net/image/725136000567/image_gladqn8cph6h99pleol4cmc958/-FJPG/CGRY-013-660_ESS_1.jpg</t>
  </si>
  <si>
    <t>https://dd3ka9h4chfr8.cloudfront.net/image/725136000567/image_c6a4cv6i6p20132jp1npug9717/-FJPG/CGRY-013-660_BCK_1.jpg</t>
  </si>
  <si>
    <t>https://dd3ka9h4chfr8.cloudfront.net/image/725136000567/image_1pfgk0lhr523nafrjb5ugfld5i/-FJPG/CGRY-013-660_TOP_1.jpg</t>
  </si>
  <si>
    <t>https://dd3ka9h4chfr8.cloudfront.net/image/725136000567/image_v07u9i6ngp5fnch1h6ibqvfg5c/-FJPG/CGRY-013-660_ROM_2.jpg</t>
  </si>
  <si>
    <t>Augustine Sofa - Dover Crescent</t>
  </si>
  <si>
    <t>https://dd3ka9h4chfr8.cloudfront.net/image/725136000567/image_qk6bjj3u2h26jcf6i1fd37vk3r/-S150x150-FJPG/100239-006_PRM_1.jpg</t>
  </si>
  <si>
    <t>https://dd3ka9h4chfr8.cloudfront.net/image/725136000567/image_qk6bjj3u2h26jcf6i1fd37vk3r/-FJPG/100239-006_PRM_1.jpg</t>
  </si>
  <si>
    <t>https://dd3ka9h4chfr8.cloudfront.net/image/725136000567/image_jm6rfqlpl54oh7i0jl9j1sp92i/-FJPG/100239-006_SID_1.jpg</t>
  </si>
  <si>
    <t>https://dd3ka9h4chfr8.cloudfront.net/image/725136000567/image_ki0efvrpi54m7fivioslr54d0f/-FJPG/100239-006_ESS_1.jpg</t>
  </si>
  <si>
    <t>https://dd3ka9h4chfr8.cloudfront.net/image/725136000567/image_20ihkfedfp0gpa16ndngn5k97n/-FJPG/100239-006_BCK_1.jpg</t>
  </si>
  <si>
    <t>https://dd3ka9h4chfr8.cloudfront.net/image/725136000567/image_jd418mf07h32p4lae3t9a0ko1u/-FJPG/100239-006_INF_1.jpg</t>
  </si>
  <si>
    <t>https://dd3ka9h4chfr8.cloudfront.net/image/725136000567/image_0glan268c158l9unmk8caqkc7t/-FJPG/100239-006_TOP_1.jpg</t>
  </si>
  <si>
    <t>https://dd3ka9h4chfr8.cloudfront.net/image/725136000567/image_ch17vb2ln93htatfkbsmg8gt2e/-S150x150-FJPG/CGRY-013-213_PRM_1.jpg</t>
  </si>
  <si>
    <t>https://dd3ka9h4chfr8.cloudfront.net/image/725136000567/image_ch17vb2ln93htatfkbsmg8gt2e/-FJPG/CGRY-013-213_PRM_1.jpg</t>
  </si>
  <si>
    <t>https://dd3ka9h4chfr8.cloudfront.net/image/725136000567/image_p4c7is79st14f0db2utlgqmm0r/-FJPG/CGRY-013-213_SID_1.jpg</t>
  </si>
  <si>
    <t>https://dd3ka9h4chfr8.cloudfront.net/image/725136000567/image_3vs1isf1sp4udbcegavhjgnv5u/-FJPG/CGRY-013-213_ESS_1.jpg</t>
  </si>
  <si>
    <t>https://dd3ka9h4chfr8.cloudfront.net/image/725136000567/image_g0abu3i9r91f11vlul9j9rkn04/-FJPG/CGRY-013-213_BCK_1.jpg</t>
  </si>
  <si>
    <t>https://dd3ka9h4chfr8.cloudfront.net/image/725136000567/image_cqj6oo2kth371egvgh3tf7lp6j/-FJPG/CGRY-013-213_INF_1.jpg</t>
  </si>
  <si>
    <t>https://dd3ka9h4chfr8.cloudfront.net/image/725136000567/image_9qsololjol199f77h6s9kj895b/-FJPG/CGRY-013-213_TOP_1.jpg</t>
  </si>
  <si>
    <t>https://dd3ka9h4chfr8.cloudfront.net/image/725136000567/image_oup1euh5lh1tv3gb3sv3m0l30l/-FJPG/CGRY-013-213_ROM_1.jpg</t>
  </si>
  <si>
    <t>Augustine Sofa - Orly Natural</t>
  </si>
  <si>
    <t>https://dd3ka9h4chfr8.cloudfront.net/image/725136000567/image_kvn9de5dtp1djae9uf8dnmrt30/-S150x150-FJPG/CGRY-013-092_PRM_1.jpg</t>
  </si>
  <si>
    <t>https://dd3ka9h4chfr8.cloudfront.net/image/725136000567/image_kvn9de5dtp1djae9uf8dnmrt30/-FJPG/CGRY-013-092_PRM_1.jpg</t>
  </si>
  <si>
    <t>https://dd3ka9h4chfr8.cloudfront.net/image/725136000567/image_s7l8q9135l6dr12g2se4ldm64s/-FJPG/CGRY-013-092_SID_1.jpg</t>
  </si>
  <si>
    <t>https://dd3ka9h4chfr8.cloudfront.net/image/725136000567/image_prtfqur5n13o9f86i7rete3s2o/-FJPG/CGRY-013-092_ESS_1.jpg</t>
  </si>
  <si>
    <t>https://dd3ka9h4chfr8.cloudfront.net/image/725136000567/image_2vr5943co56sb2ib2d3g1pbo27/-FJPG/CGRY-013-092_BCK_1.jpg</t>
  </si>
  <si>
    <t>https://dd3ka9h4chfr8.cloudfront.net/image/725136000567/image_u7vjt9clpl5jj0ss57u4q94t3v/-FJPG/CGRY-013-092_TOP_1.jpg</t>
  </si>
  <si>
    <t>Augustine Sofa - Palermo Drift</t>
  </si>
  <si>
    <t>https://dd3ka9h4chfr8.cloudfront.net/image/725136000567/image_e8jl52jd411cj5gkp470k2od0m/-S150x150-FJPG/105769-009_PRM_1.jpg</t>
  </si>
  <si>
    <t>https://dd3ka9h4chfr8.cloudfront.net/image/725136000567/image_e8jl52jd411cj5gkp470k2od0m/-FJPG/105769-009_PRM_1.jpg</t>
  </si>
  <si>
    <t>https://dd3ka9h4chfr8.cloudfront.net/image/725136000567/image_eb1eouo4u10jbb53gnpblp3447/-FJPG/105769-009_SID_1.jpg</t>
  </si>
  <si>
    <t>https://dd3ka9h4chfr8.cloudfront.net/image/725136000567/image_85qj3dk9mt6j114rvem7nr2g0e/-FJPG/105769-009_ESS_1.jpg</t>
  </si>
  <si>
    <t>https://dd3ka9h4chfr8.cloudfront.net/image/725136000567/image_vndplu26q528b9hs8s7sh42732/-FJPG/105769-009_BCK_1.jpg</t>
  </si>
  <si>
    <t>https://dd3ka9h4chfr8.cloudfront.net/image/725136000567/image_8pcsk2ftld2j9bo4ip40d7ff19/-FJPG/105769-009_TOP_1.jpg</t>
  </si>
  <si>
    <t>https://dd3ka9h4chfr8.cloudfront.net/image/725136000567/image_gpbtdir6m52rhd30k9ensml802/-FJPG/105769-009_ROM_1.jpg</t>
  </si>
  <si>
    <t>Augustine Sofa - Surrey Auburn</t>
  </si>
  <si>
    <t>https://dd3ka9h4chfr8.cloudfront.net/image/725136000567/image_30vplgsj2p3db4a2nb2hf2ok56/-S150x150-FJPG/105769-008_PRM_1.jpg</t>
  </si>
  <si>
    <t>https://dd3ka9h4chfr8.cloudfront.net/image/725136000567/image_30vplgsj2p3db4a2nb2hf2ok56/-FJPG/105769-008_PRM_1.jpg</t>
  </si>
  <si>
    <t>https://dd3ka9h4chfr8.cloudfront.net/image/725136000567/image_blirvbulcl5h97oog6a3a0jn6v/-FJPG/105769-008_SID_1.jpg</t>
  </si>
  <si>
    <t>https://dd3ka9h4chfr8.cloudfront.net/image/725136000567/image_84fe6tc0ep6v96184kal2hf35r/-FJPG/105769-008_ESS_1.jpg</t>
  </si>
  <si>
    <t>https://dd3ka9h4chfr8.cloudfront.net/image/725136000567/image_57fa95uklp6tb315d7qd7i053k/-FJPG/105769-008_DET_2.jpg</t>
  </si>
  <si>
    <t>https://dd3ka9h4chfr8.cloudfront.net/image/725136000567/image_kpdej947c90rhca5sefhoqro0u/-FJPG/105769-008_BCK_1.jpg</t>
  </si>
  <si>
    <t>https://dd3ka9h4chfr8.cloudfront.net/image/725136000567/image_4n37af9oeh6tj8t25csc3muk5s/-FJPG/105769-008_DET_1.jpg</t>
  </si>
  <si>
    <t>https://dd3ka9h4chfr8.cloudfront.net/image/725136000567/image_apdvnnjrh13of8ks4jc94tle7f/-FJPG/105769-008_DET_3.jpg</t>
  </si>
  <si>
    <t>https://dd3ka9h4chfr8.cloudfront.net/image/725136000567/image_hi9tatdrmh6m1f61d5f0704l1s/-FJPG/105769-008_DET_4.jpg</t>
  </si>
  <si>
    <t>https://dd3ka9h4chfr8.cloudfront.net/image/725136000567/image_sfk3jviu49075env4jupp73r55/-FJPG/105769-008_DET_5.jpg</t>
  </si>
  <si>
    <t>Augustine Swivel Chair - Crypton Nomad Taupe</t>
  </si>
  <si>
    <t>https://dd3ka9h4chfr8.cloudfront.net/image/725136000567/image_flnon7mccl5715me3elte6ii2a/-S150x150-FJPG/105768-017_PRM_1.JPG</t>
  </si>
  <si>
    <t>https://dd3ka9h4chfr8.cloudfront.net/image/725136000567/image_flnon7mccl5715me3elte6ii2a/-FJPG/105768-017_PRM_1.JPG</t>
  </si>
  <si>
    <t>https://dd3ka9h4chfr8.cloudfront.net/image/725136000567/image_a88q8locdp2fr5cdet4i10qe45/-FJPG/105768-017_SID_1.JPG</t>
  </si>
  <si>
    <t>https://dd3ka9h4chfr8.cloudfront.net/image/725136000567/image_n4buksgeal5vj90mb2a255rr39/-FJPG/105768-017_DET_2.JPG</t>
  </si>
  <si>
    <t>https://dd3ka9h4chfr8.cloudfront.net/image/725136000567/image_8n77hgcd294p5do70aj0sug11u/-FJPG/105768-017_BCK_1.JPG</t>
  </si>
  <si>
    <t>https://dd3ka9h4chfr8.cloudfront.net/image/725136000567/image_hlck35luhl1fb1drdk32gtu85o/-FJPG/105768-017_DET_1.JPG</t>
  </si>
  <si>
    <t>https://dd3ka9h4chfr8.cloudfront.net/image/725136000567/image_usijf8hq8l3fj9poes7krg0p5v/-FJPG/105768-017_DET_3.JPG</t>
  </si>
  <si>
    <t>https://dd3ka9h4chfr8.cloudfront.net/image/725136000567/image_9cnho5p715693063lm4qv6e05s/-FJPG/105768-017_DET_4.JPG</t>
  </si>
  <si>
    <t>https://dd3ka9h4chfr8.cloudfront.net/image/725136000567/image_5opfbj7a3h7jt4t9vv4i8f7l3t/-FJPG/105768-017_DET_5.JPG</t>
  </si>
  <si>
    <t>https://dd3ka9h4chfr8.cloudfront.net/image/725136000567/image_flge2r58jp10ldhlu93ej88n6u/-FJPG/105768-017_DET_6.JPG</t>
  </si>
  <si>
    <t>Augustine Swivel Chair - Deacon Wolf</t>
  </si>
  <si>
    <t>https://dd3ka9h4chfr8.cloudfront.net/image/725136000567/image_i9qshnk01l5gpbfeq9vhv8l00i/-S150x150-FJPG/105768-014_PRM_1.jpg</t>
  </si>
  <si>
    <t>https://dd3ka9h4chfr8.cloudfront.net/image/725136000567/image_i9qshnk01l5gpbfeq9vhv8l00i/-FJPG/105768-014_PRM_1.jpg</t>
  </si>
  <si>
    <t>https://dd3ka9h4chfr8.cloudfront.net/image/725136000567/image_dv2m1p06355m18aj5b3k1fd421/-FJPG/105768-014_SID_1.jpg</t>
  </si>
  <si>
    <t>https://dd3ka9h4chfr8.cloudfront.net/image/725136000567/image_q0hocr32217dr56tl5cekr1e1b/-FJPG/105768-014_ESS_1.jpg</t>
  </si>
  <si>
    <t>https://dd3ka9h4chfr8.cloudfront.net/image/725136000567/image_d4i9jch6u97jheho3rndo5p65o/-FJPG/105768-014_BCK_1.jpg</t>
  </si>
  <si>
    <t>https://dd3ka9h4chfr8.cloudfront.net/image/725136000567/image_l7oncc8t4t4rp8ipluumm1mh06/-FJPG/105768-014_TOP_1.jpg</t>
  </si>
  <si>
    <t>Augustine Swivel Chair - Orly Natural</t>
  </si>
  <si>
    <t>https://dd3ka9h4chfr8.cloudfront.net/image/725136000567/image_oi0alfsjch5cv293phn9qc3f49/-S150x150-FJPG/105768-007_PRM_1.jpg</t>
  </si>
  <si>
    <t>https://dd3ka9h4chfr8.cloudfront.net/image/725136000567/image_oi0alfsjch5cv293phn9qc3f49/-FJPG/105768-007_PRM_1.jpg</t>
  </si>
  <si>
    <t>https://dd3ka9h4chfr8.cloudfront.net/image/725136000567/image_nlcorqd8710t560ib5ql4nt915/-FJPG/105768-007_SID_1.jpg</t>
  </si>
  <si>
    <t>https://dd3ka9h4chfr8.cloudfront.net/image/725136000567/image_npo51pvckd759717mqc5e6eg13/-FJPG/105768-007_ESS_1.jpg</t>
  </si>
  <si>
    <t>https://dd3ka9h4chfr8.cloudfront.net/image/725136000567/image_9hek35je957t55rust3bd66b7t/-FJPG/105768-007_BCK_1.jpg</t>
  </si>
  <si>
    <t>https://dd3ka9h4chfr8.cloudfront.net/image/725136000567/image_cvaa89j16l0cv39s7h0hlrjp2f/-FJPG/105768-007_TOP_1.jpg</t>
  </si>
  <si>
    <t>Augustine Swivel Chair - Palermo Drift</t>
  </si>
  <si>
    <t>https://dd3ka9h4chfr8.cloudfront.net/image/725136000567/image_ukhc5sa6d14ub3bk7kocrurq1b/-S150x150-FJPG/105768-011_PRM_1.jpg</t>
  </si>
  <si>
    <t>https://dd3ka9h4chfr8.cloudfront.net/image/725136000567/image_ukhc5sa6d14ub3bk7kocrurq1b/-FJPG/105768-011_PRM_1.jpg</t>
  </si>
  <si>
    <t>https://dd3ka9h4chfr8.cloudfront.net/image/725136000567/image_sm2osv6rpt5dlfq1hceot7gh1j/-FJPG/105768-011_SID_1.jpg</t>
  </si>
  <si>
    <t>https://dd3ka9h4chfr8.cloudfront.net/image/725136000567/image_2bmam8dn894q3ekrk25orcbn75/-FJPG/105768-011_ESS_1.jpg</t>
  </si>
  <si>
    <t>https://dd3ka9h4chfr8.cloudfront.net/image/725136000567/image_q5j43s5ii900bcj7r0eformn34/-FJPG/105768-011_BCK_1.jpg</t>
  </si>
  <si>
    <t>https://dd3ka9h4chfr8.cloudfront.net/image/725136000567/image_i7opc3gi993qf7p12d5rpep50h/-FJPG/105768-011_TOP_1.jpg</t>
  </si>
  <si>
    <t>Aurora Swivel Chair - Balkan Ochre</t>
  </si>
  <si>
    <t>60% Viscose (Rayon)</t>
  </si>
  <si>
    <t>40% Polyester</t>
  </si>
  <si>
    <t>https://dd3ka9h4chfr8.cloudfront.net/image/725136000567/image_gvc73emqk565fd7rni98vo2s2r/-S150x150-FJPG/106102-037_PRM_1.JPG</t>
  </si>
  <si>
    <t>https://dd3ka9h4chfr8.cloudfront.net/image/725136000567/image_gvc73emqk565fd7rni98vo2s2r/-FJPG/106102-037_PRM_1.JPG</t>
  </si>
  <si>
    <t>https://dd3ka9h4chfr8.cloudfront.net/image/725136000567/image_uqbbnci69p1gt5659c26ppti2c/-FJPG/106102-037_SID_1.JPG</t>
  </si>
  <si>
    <t>https://dd3ka9h4chfr8.cloudfront.net/image/725136000567/image_m4qb78ljeh32raogbntmcnco11/-FJPG/106102-037_ESS.tif</t>
  </si>
  <si>
    <t>https://dd3ka9h4chfr8.cloudfront.net/image/725136000567/image_8rebgcng993q91c3q8a34jk05r/-FJPG/106102-037_DET_2.JPG</t>
  </si>
  <si>
    <t>https://dd3ka9h4chfr8.cloudfront.net/image/725136000567/image_bi63hs04e55a7be1iedcbqvm12/-FJPG/106102-037_BCK_1.JPG</t>
  </si>
  <si>
    <t>https://dd3ka9h4chfr8.cloudfront.net/image/725136000567/image_127at9a91p1gre90r8f0619j34/-FJPG/106102-037_DET_1.JPG</t>
  </si>
  <si>
    <t>https://dd3ka9h4chfr8.cloudfront.net/image/725136000567/image_385vi2et1l1hdbmopnvnvim33n/-FJPG/106102-037_DET_3.JPG</t>
  </si>
  <si>
    <t>https://dd3ka9h4chfr8.cloudfront.net/image/725136000567/image_i6ecorcujd10lc58f2eeos665h/-FJPG/106102-037_DET_4.JPG</t>
  </si>
  <si>
    <t>https://dd3ka9h4chfr8.cloudfront.net/image/725136000567/image_ba5s897bnd3f5blhoj1bk2ro2v/-FJPG/106102-037_DET_5.JPG</t>
  </si>
  <si>
    <t>https://dd3ka9h4chfr8.cloudfront.net/image/725136000567/image_258p5audop29deeou5ug8u0c1l/-FJPG/FHMPRJ-018_SCENE-5.tif</t>
  </si>
  <si>
    <t>Aurora Swivel Chair - Copenhagen Indigo</t>
  </si>
  <si>
    <t>https://dd3ka9h4chfr8.cloudfront.net/image/725136000567/image_5grq6ftvmt7sv3c8euqv6tcc0u/-S150x150-FJPG/106102-024_PRM_1.jpg</t>
  </si>
  <si>
    <t>https://dd3ka9h4chfr8.cloudfront.net/image/725136000567/image_5grq6ftvmt7sv3c8euqv6tcc0u/-FJPG/106102-024_PRM_1.jpg</t>
  </si>
  <si>
    <t>https://dd3ka9h4chfr8.cloudfront.net/image/725136000567/image_pof3av57ll09daj0rgp7b0li60/-FJPG/106102-024_SID_1.jpg</t>
  </si>
  <si>
    <t>https://dd3ka9h4chfr8.cloudfront.net/image/725136000567/image_p2ejupgb0l1e11uklu0ulv0j7q/-FJPG/106102-024_ESS_1.jpg</t>
  </si>
  <si>
    <t>https://dd3ka9h4chfr8.cloudfront.net/image/725136000567/image_mm6fgujrpt3ttf2ia1hvg19n7i/-FJPG/106102-024_DET_2.jpg</t>
  </si>
  <si>
    <t>https://dd3ka9h4chfr8.cloudfront.net/image/725136000567/image_2lq6t55fj13990pf888l85516n/-FJPG/106102-024_BCK_1.jpg</t>
  </si>
  <si>
    <t>https://dd3ka9h4chfr8.cloudfront.net/image/725136000567/image_1cfiphohp93h988b0aig9gp80v/-FJPG/106102-024_DET_1.jpg</t>
  </si>
  <si>
    <t>https://dd3ka9h4chfr8.cloudfront.net/image/725136000567/image_oj37akul011dn8rcqk80fus84s/-FJPG/106102-024_DET_3.jpg</t>
  </si>
  <si>
    <t>https://dd3ka9h4chfr8.cloudfront.net/image/725136000567/image_v0jkq64agd3832ngebkrp4oq3b/-FJPG/106102-024_DET_4.jpg</t>
  </si>
  <si>
    <t>Aurora Swivel Chair - FIQA Boucle Olive</t>
  </si>
  <si>
    <t>https://dd3ka9h4chfr8.cloudfront.net/image/725136000567/image_8i5rhf254h029207jmtjrhge2f/-S150x150-FJPG/106102-036_PRM_1.jpg</t>
  </si>
  <si>
    <t>https://dd3ka9h4chfr8.cloudfront.net/image/725136000567/image_8i5rhf254h029207jmtjrhge2f/-FJPG/106102-036_PRM_1.jpg</t>
  </si>
  <si>
    <t>https://dd3ka9h4chfr8.cloudfront.net/image/725136000567/image_1vn3r90h5557j7nm8o1bq91762/-FJPG/106102-036_SID_1.jpg</t>
  </si>
  <si>
    <t>https://dd3ka9h4chfr8.cloudfront.net/image/725136000567/image_j7agg26fs11u35aca8h5659719/-FJPG/106102-036_ESS_1.jpg</t>
  </si>
  <si>
    <t>https://dd3ka9h4chfr8.cloudfront.net/image/725136000567/image_cnbeup6cqp7lbblkgtfg4k6f5h/-FJPG/106102-036_DET_2.jpg</t>
  </si>
  <si>
    <t>https://dd3ka9h4chfr8.cloudfront.net/image/725136000567/image_emcs5qfmc93nvdhan68pju2947/-FJPG/106102-036_BCK_1.jpg</t>
  </si>
  <si>
    <t>https://dd3ka9h4chfr8.cloudfront.net/image/725136000567/image_nqi7fs1vrt2kt38jdje9c3pp19/-FJPG/106102-036_DET_1.jpg</t>
  </si>
  <si>
    <t>https://dd3ka9h4chfr8.cloudfront.net/image/725136000567/image_mrao8205ch5v14o9e099htrq2i/-FJPG/106102-036_DET_3.jpg</t>
  </si>
  <si>
    <t>https://dd3ka9h4chfr8.cloudfront.net/image/725136000567/image_vp19hm8gqh3rl7t8faqlvoii0i/-FJPG/106102-036_DET_4.jpg</t>
  </si>
  <si>
    <t>https://dd3ka9h4chfr8.cloudfront.net/image/725136000567/image_5pe2lhkgi55o3fuui8upiclf70/-FJPG/106102-036_DET_5.jpg</t>
  </si>
  <si>
    <t>https://dd3ka9h4chfr8.cloudfront.net/image/725136000567/image_ns4fo5kafh48va61cgg2s0sn1n/-FJPG/106102-036_DET_6.jpg</t>
  </si>
  <si>
    <t>https://dd3ka9h4chfr8.cloudfront.net/image/725136000567/image_4g8qd8001p32fe8ouv23sg7u6r/-FJPG/106102-036_PRM_2.jpg</t>
  </si>
  <si>
    <t>Aurora Swivel Chair - Gibson Silver</t>
  </si>
  <si>
    <t>97% Polyester</t>
  </si>
  <si>
    <t>3% Acrylic</t>
  </si>
  <si>
    <t>https://dd3ka9h4chfr8.cloudfront.net/image/725136000567/image_9n69duhvcd5tr6160ob3f1jo1j/-S150x150-FJPG/106102-025_PRM_1.jpg</t>
  </si>
  <si>
    <t>https://dd3ka9h4chfr8.cloudfront.net/image/725136000567/image_9n69duhvcd5tr6160ob3f1jo1j/-FJPG/106102-025_PRM_1.jpg</t>
  </si>
  <si>
    <t>https://dd3ka9h4chfr8.cloudfront.net/image/725136000567/image_51qt4jnglh3d36rls0sqkgtc6p/-FJPG/106102-025_SID_1.jpg</t>
  </si>
  <si>
    <t>https://dd3ka9h4chfr8.cloudfront.net/image/725136000567/image_vt91bno2l900ddm8shsoudod46/-FJPG/106102-025_ESS.tif</t>
  </si>
  <si>
    <t>https://dd3ka9h4chfr8.cloudfront.net/image/725136000567/image_ocha4n5u0d5f92q6rvrtn6p56b/-FJPG/106102-025_DET_2.jpg</t>
  </si>
  <si>
    <t>https://dd3ka9h4chfr8.cloudfront.net/image/725136000567/image_hpqeeb6r5t575cpvhibh9ucj6k/-FJPG/106102-025_BCK_1.jpg</t>
  </si>
  <si>
    <t>https://dd3ka9h4chfr8.cloudfront.net/image/725136000567/image_lfkf3s1ccp0e77hsns1kdp8b2u/-FJPG/106102-025_INF_1.jpg</t>
  </si>
  <si>
    <t>https://dd3ka9h4chfr8.cloudfront.net/image/725136000567/image_esn4f1gftd3lfcdb0pt97c020h/-FJPG/106102-025_DET_1.jpg</t>
  </si>
  <si>
    <t>https://dd3ka9h4chfr8.cloudfront.net/image/725136000567/image_2p10nm1hj51it1pjave59ash16/-FJPG/106102-025_DET_3.jpg</t>
  </si>
  <si>
    <t>https://dd3ka9h4chfr8.cloudfront.net/image/725136000567/image_ml6bslrvdh0kj2kcj47m9g3530/-FJPG/106102-025_DET_4.jpg</t>
  </si>
  <si>
    <t>Aurora Swivel Chair - Knoll Natural</t>
  </si>
  <si>
    <t>https://dd3ka9h4chfr8.cloudfront.net/image/725136000567/image_3qvt6civl9577eal5plb256963/-S150x150-FJPG/106102-022_PRM_1.jpg</t>
  </si>
  <si>
    <t>https://dd3ka9h4chfr8.cloudfront.net/image/725136000567/image_3qvt6civl9577eal5plb256963/-FJPG/106102-022_PRM_1.jpg</t>
  </si>
  <si>
    <t>https://dd3ka9h4chfr8.cloudfront.net/image/725136000567/image_i1cddssvcd27v0fecfqbk62d2l/-FJPG/106102-022_SID_1.jpg</t>
  </si>
  <si>
    <t>https://dd3ka9h4chfr8.cloudfront.net/image/725136000567/image_f2qpkp04316u303299fpqmgo7p/-FJPG/106102-022_ESS_1.jpg</t>
  </si>
  <si>
    <t>https://dd3ka9h4chfr8.cloudfront.net/image/725136000567/image_03eqnhkgdl27ndbkmee2hood1i/-FJPG/106102-022_DET_2.jpg</t>
  </si>
  <si>
    <t>https://dd3ka9h4chfr8.cloudfront.net/image/725136000567/image_hnq1135ok96b5faa6lu5onm644/-FJPG/106102-022_BCK_1.jpg</t>
  </si>
  <si>
    <t>https://dd3ka9h4chfr8.cloudfront.net/image/725136000567/image_p3keq3bsft47p9it3tfeh3b576/-FJPG/106102-022_INF_1.jpg</t>
  </si>
  <si>
    <t>https://dd3ka9h4chfr8.cloudfront.net/image/725136000567/image_vk2i13k1fd4jd2mmufsv1hn92p/-FJPG/106102-022_DET_1.jpg</t>
  </si>
  <si>
    <t>https://dd3ka9h4chfr8.cloudfront.net/image/725136000567/image_9fi8dp35ep1gj6oj8rc3v6ei2d/-FJPG/106102-022_DET_3.jpg</t>
  </si>
  <si>
    <t>https://dd3ka9h4chfr8.cloudfront.net/image/725136000567/image_vj9qhvnot105j97jbrjn034861/-FJPG/106102-022_DET_4.jpg</t>
  </si>
  <si>
    <t>https://dd3ka9h4chfr8.cloudfront.net/image/725136000567/image_es5a6l61596817v95tf1c19a55/-FJPG/106102-022_DET_5.jpg</t>
  </si>
  <si>
    <t>https://dd3ka9h4chfr8.cloudfront.net/image/725136000567/image_96pdul3sot37v29leorndcvr7v/-FJPG/106102-022_DET_6.jpg</t>
  </si>
  <si>
    <t>https://dd3ka9h4chfr8.cloudfront.net/image/725136000567/image_dk74cp9atp54t7ojkd92bk3o61/-FJPG/106102-022_ROM_1.jpg</t>
  </si>
  <si>
    <t>https://dd3ka9h4chfr8.cloudfront.net/image/725136000567/image_pttj3j6eat3s30j3juuvonaq6a/-FJPG/106102-022_VIG_1.jpg</t>
  </si>
  <si>
    <t>Aurora Swivel Chair - Patton Burnish</t>
  </si>
  <si>
    <t>https://dd3ka9h4chfr8.cloudfront.net/image/725136000567/image_8h80ma4a7126tad6v11nbjoa7v/-S150x150-FJPG/106102-035_PRM_1.jpg</t>
  </si>
  <si>
    <t>https://dd3ka9h4chfr8.cloudfront.net/image/725136000567/image_8h80ma4a7126tad6v11nbjoa7v/-FJPG/106102-035_PRM_1.jpg</t>
  </si>
  <si>
    <t>https://dd3ka9h4chfr8.cloudfront.net/image/725136000567/image_rkc2bc03hd6k93fprkiqc25c7o/-FJPG/106102-035_SID_1.jpg</t>
  </si>
  <si>
    <t>https://dd3ka9h4chfr8.cloudfront.net/image/725136000567/image_shk6aqkjr10759qnouh8iqpf1k/-FJPG/106102-035_ESS_1.jpg</t>
  </si>
  <si>
    <t>https://dd3ka9h4chfr8.cloudfront.net/image/725136000567/image_s3fknm19u51hl6jqk9ghv54e2m/-FJPG/106102-035_DET_2.jpg</t>
  </si>
  <si>
    <t>https://dd3ka9h4chfr8.cloudfront.net/image/725136000567/image_6mqu5cbrv14fd0prer2vggp71i/-FJPG/106102-035_BCK_1.jpg</t>
  </si>
  <si>
    <t>https://dd3ka9h4chfr8.cloudfront.net/image/725136000567/image_2l26e74mnt49r2fq5954hpv40o/-FJPG/106102-035_DET_1.jpg</t>
  </si>
  <si>
    <t>https://dd3ka9h4chfr8.cloudfront.net/image/725136000567/image_u8kc0mpcrh3djddd5vernpr02a/-FJPG/106102-035_DET_3.jpg</t>
  </si>
  <si>
    <t>https://dd3ka9h4chfr8.cloudfront.net/image/725136000567/image_30t3jn420548t55h2u6i9mo52b/-FJPG/106102-035_DET_4.jpg</t>
  </si>
  <si>
    <t>https://dd3ka9h4chfr8.cloudfront.net/image/725136000567/image_oetsrestip7tp73tdu9mbtbk7q/-FJPG/106102-035_DET_5.jpg</t>
  </si>
  <si>
    <t>Avett Coffee Table Set - Bleached Guanacaste Oyster</t>
  </si>
  <si>
    <t>Thick Oyster Cut Guanacaste Veneer</t>
  </si>
  <si>
    <t>Thick Guanacaste Veneer</t>
  </si>
  <si>
    <t>https://dd3ka9h4chfr8.cloudfront.net/image/725136000567/image_l5e1kjapel4fl7pmn59j0a716m/-S150x150-FJPG/223615-001_PRM_1.jpg</t>
  </si>
  <si>
    <t>https://dd3ka9h4chfr8.cloudfront.net/image/725136000567/image_l5e1kjapel4fl7pmn59j0a716m/-FJPG/223615-001_PRM_1.jpg</t>
  </si>
  <si>
    <t>https://dd3ka9h4chfr8.cloudfront.net/image/725136000567/image_g9ka8eogi91vt4fd4o62011a50/-FJPG/223615-001_SID_1.jpg</t>
  </si>
  <si>
    <t>https://dd3ka9h4chfr8.cloudfront.net/image/725136000567/image_a81ldt5vt90vvcdbntg2bpcd3h/-FJPG/223615-001_ESS_1.jpg</t>
  </si>
  <si>
    <t>https://dd3ka9h4chfr8.cloudfront.net/image/725136000567/image_7g58af6p4p2ff66uqt9p7r6o1l/-FJPG/223615-001_DET_2.jpg</t>
  </si>
  <si>
    <t>https://dd3ka9h4chfr8.cloudfront.net/image/725136000567/image_o93gks5nqh3pr86ntbvbodlb4a/-FJPG/223615-001_BCK_1.jpg</t>
  </si>
  <si>
    <t>https://dd3ka9h4chfr8.cloudfront.net/image/725136000567/image_de7oheer1p2mlertr21gdg3o78/-FJPG/223615-001_DET_1.jpg</t>
  </si>
  <si>
    <t>https://dd3ka9h4chfr8.cloudfront.net/image/725136000567/image_3ejquvqjn12l9e329k78c5v038/-FJPG/223615-001_DET_3.jpg</t>
  </si>
  <si>
    <t>https://dd3ka9h4chfr8.cloudfront.net/image/725136000567/image_eubts20m7t275dgp13l0pnti5o/-FJPG/223615-001_TOP_1.jpg</t>
  </si>
  <si>
    <t>https://dd3ka9h4chfr8.cloudfront.net/image/725136000567/image_utlhdt3bkl7m30knic88751721/-FJPG/223615-001_DET_4.jpg</t>
  </si>
  <si>
    <t>https://dd3ka9h4chfr8.cloudfront.net/image/725136000567/image_r31lkvf5k94lp0qjtvt4mqd32m/-FJPG/223615-001_DET_5.jpg</t>
  </si>
  <si>
    <t>https://dd3ka9h4chfr8.cloudfront.net/image/725136000567/image_dmig6sgctl0ejddjedad4ep00v/-FJPG/223615-001_DET_6.jpg</t>
  </si>
  <si>
    <t>https://dd3ka9h4chfr8.cloudfront.net/image/725136000567/image_kcgcbauhdl1ehfse8nfnn1vn00/-FJPG/223615-001_DET_7.jpg</t>
  </si>
  <si>
    <t>https://dd3ka9h4chfr8.cloudfront.net/image/725136000567/image_jvl9f0mbp91un1q8r92o4udd62/-FJPG/223615-001_DET_10.jpg</t>
  </si>
  <si>
    <t>https://dd3ka9h4chfr8.cloudfront.net/image/725136000567/image_tsvj8jtcd14kh9mq4c7q0gcr7b/-FJPG/223615-001_DET_11.jpg</t>
  </si>
  <si>
    <t>https://dd3ka9h4chfr8.cloudfront.net/image/725136000567/image_bn9nq2dv2t61ld3anakss0o93n/-FJPG/223615-001_DET_12.jpg</t>
  </si>
  <si>
    <t>https://dd3ka9h4chfr8.cloudfront.net/image/725136000567/image_kcailt4rgl7377bprd1gl0b540/-FJPG/223615-001_DET_13.jpg</t>
  </si>
  <si>
    <t>https://dd3ka9h4chfr8.cloudfront.net/image/725136000567/image_tehhurk64d3ir88qek02b9ib6b/-FJPG/223615-001_DET_14.jpg</t>
  </si>
  <si>
    <t>https://dd3ka9h4chfr8.cloudfront.net/image/725136000567/image_ut3vthcmbl1999285pdqm2tk1i/-FJPG/223615-001_DET_15.jpg</t>
  </si>
  <si>
    <t>Avett Coffee Table Set - Smoked Guanacaste Oyster</t>
  </si>
  <si>
    <t>https://dd3ka9h4chfr8.cloudfront.net/image/725136000567/image_rc811pq0cp0aj92nmiotncsp32/-S150x150-FJPG/223615-002_PRM_1.jpg</t>
  </si>
  <si>
    <t>https://dd3ka9h4chfr8.cloudfront.net/image/725136000567/image_rc811pq0cp0aj92nmiotncsp32/-FJPG/223615-002_PRM_1.jpg</t>
  </si>
  <si>
    <t>https://dd3ka9h4chfr8.cloudfront.net/image/725136000567/image_p6cutp7b6d0u1eq62ba5dbn653/-FJPG/223615-002_SID_1.jpg</t>
  </si>
  <si>
    <t>https://dd3ka9h4chfr8.cloudfront.net/image/725136000567/image_rstd0gu7dt60da2o0ui9jsk650/-FJPG/223615-002_ESS_1.jpg</t>
  </si>
  <si>
    <t>https://dd3ka9h4chfr8.cloudfront.net/image/725136000567/image_ouc0d6ihkl079d0ktq96752l63/-FJPG/223615-002_BCK_1.jpg</t>
  </si>
  <si>
    <t>https://dd3ka9h4chfr8.cloudfront.net/image/725136000567/image_j8nu5qsm6911f87f43kukpd92q/-FJPG/223615-002_DET_1.jpg</t>
  </si>
  <si>
    <t>https://dd3ka9h4chfr8.cloudfront.net/image/725136000567/image_p4uv3jida97rfc1iu7oihi3r5h/-FJPG/223615-002_DET_3.jpg</t>
  </si>
  <si>
    <t>https://dd3ka9h4chfr8.cloudfront.net/image/725136000567/image_220thscpup74l6ir0k2hl96u68/-FJPG/223615-002_DET_4.jpg</t>
  </si>
  <si>
    <t>https://dd3ka9h4chfr8.cloudfront.net/image/725136000567/image_f6qf0mkpdl44r02or3i66rpv1i/-FJPG/223615-002_DET_5.jpg</t>
  </si>
  <si>
    <t>https://dd3ka9h4chfr8.cloudfront.net/image/725136000567/image_ttlmfjlugp3f10sqe3hdod6j50/-FJPG/223615-002_DET_6.jpg</t>
  </si>
  <si>
    <t>https://dd3ka9h4chfr8.cloudfront.net/image/725136000567/image_n5kc0ttl651er68mto8atbt95l/-FJPG/223615-002_DET_7.jpg</t>
  </si>
  <si>
    <t>Bahari Sideboard - Light Warm Maple Veneer</t>
  </si>
  <si>
    <t>Light Maple Veneer</t>
  </si>
  <si>
    <t>https://dd3ka9h4chfr8.cloudfront.net/image/725136000567/image_lttqt6l72t0lne6lqlnpds0d3i/-S150x150-FJPG/237906-002_PRM_1.jpg</t>
  </si>
  <si>
    <t>https://dd3ka9h4chfr8.cloudfront.net/image/725136000567/image_lttqt6l72t0lne6lqlnpds0d3i/-FJPG/237906-002_PRM_1.jpg</t>
  </si>
  <si>
    <t>https://dd3ka9h4chfr8.cloudfront.net/image/725136000567/image_csnou3o0857cd274m6an0thl4n/-FJPG/237906-002_SID_1.jpg</t>
  </si>
  <si>
    <t>https://dd3ka9h4chfr8.cloudfront.net/image/725136000567/image_tghcp657ol4638siob8knbv85i/-FJPG/237906-002_ESS.tif</t>
  </si>
  <si>
    <t>https://dd3ka9h4chfr8.cloudfront.net/image/725136000567/image_5ag6415q5t6mdfotdt1c398d5m/-FJPG/237906-002_DET_2.jpg</t>
  </si>
  <si>
    <t>https://dd3ka9h4chfr8.cloudfront.net/image/725136000567/image_45ohj9o91d3v33tj7dorgrab2k/-FJPG/237906-002_BCK_1.jpg</t>
  </si>
  <si>
    <t>https://dd3ka9h4chfr8.cloudfront.net/image/725136000567/image_54lml9v6rt76t0ehgubgbpf257/-FJPG/237906-002_DET_1.jpg</t>
  </si>
  <si>
    <t>https://dd3ka9h4chfr8.cloudfront.net/image/725136000567/image_1upts8hhu92ih3ltb0t823hn3h/-FJPG/237906-002_DET_3.jpg</t>
  </si>
  <si>
    <t>https://dd3ka9h4chfr8.cloudfront.net/image/725136000567/image_mnt4v459752l3277ae90tjsc62/-FJPG/237906-002_OPN_1.jpg</t>
  </si>
  <si>
    <t>https://dd3ka9h4chfr8.cloudfront.net/image/725136000567/image_06abepaevd24942pl8i3td8l4q/-FJPG/237906-002_TOP_1.jpg</t>
  </si>
  <si>
    <t>https://dd3ka9h4chfr8.cloudfront.net/image/725136000567/image_h3ab9kvmah48tf4rtmhmlp4f57/-FJPG/237906-002_DET_8.jpg</t>
  </si>
  <si>
    <t>https://dd3ka9h4chfr8.cloudfront.net/image/725136000567/image_j1sf25720p5k500fan3qv5en2a/-FJPG/237906-002_DET_9.tif</t>
  </si>
  <si>
    <t>https://dd3ka9h4chfr8.cloudfront.net/image/725136000567/image_vi956pj0up2ph99v09vaemgv2s/-FJPG/237906-002_DET_9.jpg</t>
  </si>
  <si>
    <t>https://dd3ka9h4chfr8.cloudfront.net/image/725136000567/image_ttp0fdis3958beap7ad15g5u68/-FJPG/FHMPRJ-013_SCENE_1.tif</t>
  </si>
  <si>
    <t>Bane Bookshelf - Smoked Pine</t>
  </si>
  <si>
    <t>https://dd3ka9h4chfr8.cloudfront.net/image/725136000567/image_bt6ti6ka4p32bcjh61ofr9de3g/-S150x150-FJPG/223550-001_PRM_1.jpg</t>
  </si>
  <si>
    <t>https://dd3ka9h4chfr8.cloudfront.net/image/725136000567/image_bt6ti6ka4p32bcjh61ofr9de3g/-FJPG/223550-001_PRM_1.jpg</t>
  </si>
  <si>
    <t>https://dd3ka9h4chfr8.cloudfront.net/image/725136000567/image_va9rbikn3t5d18i5gt48l90l2t/-FJPG/223550-001_SID_1.jpg</t>
  </si>
  <si>
    <t>https://dd3ka9h4chfr8.cloudfront.net/image/725136000567/image_5oibh0q1o54e12tr3m1a4ov460/-FJPG/223550-001_ESS.tif</t>
  </si>
  <si>
    <t>https://dd3ka9h4chfr8.cloudfront.net/image/725136000567/image_ehckm1noct51tf1q8ircvra745/-FJPG/223550-001_BCK_1.jpg</t>
  </si>
  <si>
    <t>https://dd3ka9h4chfr8.cloudfront.net/image/725136000567/image_48tbcodjp51ppdrn9utufe7t6k/-FJPG/223550-001_DET_1.jpg</t>
  </si>
  <si>
    <t>https://dd3ka9h4chfr8.cloudfront.net/image/725136000567/image_4spskj5o254p32q0ho7un6c73b/-FJPG/223550-001_DET_3.jpg</t>
  </si>
  <si>
    <t>https://dd3ka9h4chfr8.cloudfront.net/image/725136000567/image_00c1lvivv12aj3sh3ha3roha5o/-FJPG/223550-001_OPN_1.jpg</t>
  </si>
  <si>
    <t>https://dd3ka9h4chfr8.cloudfront.net/image/725136000567/image_qch2pk192t083450s6ja29sd2b/-FJPG/223550-001_DET_4.jpg</t>
  </si>
  <si>
    <t>https://dd3ka9h4chfr8.cloudfront.net/image/725136000567/image_rk6etqdp8t6uvb099tsd1tas6f/-FJPG/223550-001_DET_5.jpg</t>
  </si>
  <si>
    <t>https://dd3ka9h4chfr8.cloudfront.net/image/725136000567/image_u0dpabid7t5er4k51pvqlgur4b/-FJPG/223550-001_DET_6.jpg</t>
  </si>
  <si>
    <t>https://dd3ka9h4chfr8.cloudfront.net/image/725136000567/image_uqe4avntkl0uf9scl5pdid3n6d/-FJPG/223550-001_DET_7.jpg</t>
  </si>
  <si>
    <t>https://dd3ka9h4chfr8.cloudfront.net/image/725136000567/image_a9ol1l8rm568v40e8r6606aa2l/-FJPG/223550-001_DET_8.jpg</t>
  </si>
  <si>
    <t>https://dd3ka9h4chfr8.cloudfront.net/image/725136000567/image_lbe6egs4g14g7foaahatejnp1l/-FJPG/223550-001_ROM_2.jpg</t>
  </si>
  <si>
    <t>https://dd3ka9h4chfr8.cloudfront.net/image/725136000567/image_0313744nal6df8kgq2i0kej87t/-FJPG/223550-001_VIG_1.jpg</t>
  </si>
  <si>
    <t>https://dd3ka9h4chfr8.cloudfront.net/image/725136000567/image_dlc7u1jrnh0uj1c9tnk3qhql5b/-S150x150-FJPG/223749-001_PRM_1.jpg</t>
  </si>
  <si>
    <t>https://dd3ka9h4chfr8.cloudfront.net/image/725136000567/image_dlc7u1jrnh0uj1c9tnk3qhql5b/-FJPG/223749-001_PRM_1.jpg</t>
  </si>
  <si>
    <t>https://dd3ka9h4chfr8.cloudfront.net/image/725136000567/image_ncuh70v4ol12n988leqo928q26/-FJPG/223749-001_SID_1.jpg</t>
  </si>
  <si>
    <t>https://dd3ka9h4chfr8.cloudfront.net/image/725136000567/image_qo3o2m4m590pp2ptlf8mfoil6l/-FJPG/223749-001_ESS_1.jpg</t>
  </si>
  <si>
    <t>https://dd3ka9h4chfr8.cloudfront.net/image/725136000567/image_fomebd9kep1754d1ttiokln51q/-FJPG/223749-001_DET_2.jpg</t>
  </si>
  <si>
    <t>https://dd3ka9h4chfr8.cloudfront.net/image/725136000567/image_mubdflr8ih2lp55388ho53k95q/-FJPG/223749-001_BCK_1.jpg</t>
  </si>
  <si>
    <t>https://dd3ka9h4chfr8.cloudfront.net/image/725136000567/image_0tv2psnrb95edbkbs9270q7l7e/-FJPG/223749-001_DET_1.jpg</t>
  </si>
  <si>
    <t>https://dd3ka9h4chfr8.cloudfront.net/image/725136000567/image_0bsttheprh76v36crldlelsk72/-FJPG/223749-001_DET_3.jpg</t>
  </si>
  <si>
    <t>https://dd3ka9h4chfr8.cloudfront.net/image/725136000567/image_va0k511b291edch65t34p2dt6k/-FJPG/223749-001_OPN_1.jpg</t>
  </si>
  <si>
    <t>https://dd3ka9h4chfr8.cloudfront.net/image/725136000567/image_oif7a4de516dl8lcib7s3fks7b/-FJPG/223749-001_DET_4.jpg</t>
  </si>
  <si>
    <t>https://dd3ka9h4chfr8.cloudfront.net/image/725136000567/image_kcbt04ibnl4vhfjh9adjip1f1n/-FJPG/223749-001_DET_5.jpg</t>
  </si>
  <si>
    <t>https://dd3ka9h4chfr8.cloudfront.net/image/725136000567/image_eo571il03516f10c7i9j269k4v/-FJPG/223749-001_DET_6.jpg</t>
  </si>
  <si>
    <t>https://dd3ka9h4chfr8.cloudfront.net/image/725136000567/image_47v2a2jsk95ul4hvqbcqkg374h/-FJPG/223749-001_PRM_2.jpg</t>
  </si>
  <si>
    <t>https://dd3ka9h4chfr8.cloudfront.net/image/725136000567/image_r57g2advvh0o7230v1o0fpmd7a/-FJPG/223749-001_FRT_2.jpg</t>
  </si>
  <si>
    <t>https://dd3ka9h4chfr8.cloudfront.net/image/725136000567/image_618b091d117sf98b053sokmv38/-FJPG/223749-001_PRM_3.jpg</t>
  </si>
  <si>
    <t>https://dd3ka9h4chfr8.cloudfront.net/image/725136000567/image_7gpsgd8gcd47v8f8cll0urlj79/-S150x150-FJPG/223750-001_PRM_1.jpg</t>
  </si>
  <si>
    <t>https://dd3ka9h4chfr8.cloudfront.net/image/725136000567/image_7gpsgd8gcd47v8f8cll0urlj79/-FJPG/223750-001_PRM_1.jpg</t>
  </si>
  <si>
    <t>https://dd3ka9h4chfr8.cloudfront.net/image/725136000567/image_ho9b3pulet3cd5m82p4ec07g17/-FJPG/223750-001_SID_1.jpg</t>
  </si>
  <si>
    <t>https://dd3ka9h4chfr8.cloudfront.net/image/725136000567/image_trajevcjkd55j4jbcbr2r0sj1m/-FJPG/223750-001_BCK_1.jpg</t>
  </si>
  <si>
    <t>https://dd3ka9h4chfr8.cloudfront.net/image/725136000567/image_k8ale0egtd0b3a1rvqkc2bv35h/-FJPG/223750-001_DET_1.jpg</t>
  </si>
  <si>
    <t>https://dd3ka9h4chfr8.cloudfront.net/image/725136000567/image_pkdb20cjup71r3iuvvivihel5j/-FJPG/223750-001_DET_3.jpg</t>
  </si>
  <si>
    <t>https://dd3ka9h4chfr8.cloudfront.net/image/725136000567/image_887gg461ld36b40kirajpapr3b/-FJPG/223750-001_OPN_1.jpg</t>
  </si>
  <si>
    <t>https://dd3ka9h4chfr8.cloudfront.net/image/725136000567/image_lk2osgpjml64b80c4up0k9ru03/-FJPG/223750-001_DET_4.jpg</t>
  </si>
  <si>
    <t>https://dd3ka9h4chfr8.cloudfront.net/image/725136000567/image_t40g1hnr7177n2bv2qs1dtjb6n/-FJPG/223750-001_DET_5.jpg</t>
  </si>
  <si>
    <t>https://dd3ka9h4chfr8.cloudfront.net/image/725136000567/image_37dr3csdal7h76s3m6hnag0n4q/-FJPG/223750-001_DET_6.jpg</t>
  </si>
  <si>
    <t>https://dd3ka9h4chfr8.cloudfront.net/image/725136000567/image_6ih5tjm5rt53d5o23u9htkag7d/-FJPG/223750-001_DET_7.jpg</t>
  </si>
  <si>
    <t>https://dd3ka9h4chfr8.cloudfront.net/image/725136000567/image_0htgth85rp40d6kqdj5isboi7t/-FJPG/223750-001_DET_8.jpg</t>
  </si>
  <si>
    <t>https://dd3ka9h4chfr8.cloudfront.net/image/725136000567/image_ok7t4ql24l05j1nq8s7vh4744k/-FJPG/223750-001_DET_9.jpg</t>
  </si>
  <si>
    <t>https://dd3ka9h4chfr8.cloudfront.net/image/725136000567/image_ea8136g9gp5d1btepf4lc7u246/-FJPG/223750-001_DET_10.jpg</t>
  </si>
  <si>
    <t>https://dd3ka9h4chfr8.cloudfront.net/image/725136000567/image_dtck5meda15g7bk7vsc0hhsq62/-FJPG/223750-001_DET_11.jpg</t>
  </si>
  <si>
    <t>https://dd3ka9h4chfr8.cloudfront.net/image/725136000567/image_9bnleeoibd5ala6ku0lefr2n7f/-FJPG/223750-001_DET_12.jpg</t>
  </si>
  <si>
    <t>https://dd3ka9h4chfr8.cloudfront.net/image/725136000567/image_3a33u3aaah2ld2rpmb57vbbn0k/-FJPG/223750-001_OPN_2.jpg</t>
  </si>
  <si>
    <t>https://dd3ka9h4chfr8.cloudfront.net/image/725136000567/image_6m0ndg37d12ibbqbbe004hgv31/-S150x150-FJPG/VHDN-039_PRM_1.jpg</t>
  </si>
  <si>
    <t>https://dd3ka9h4chfr8.cloudfront.net/image/725136000567/image_6m0ndg37d12ibbqbbe004hgv31/-FJPG/VHDN-039_PRM_1.jpg</t>
  </si>
  <si>
    <t>https://dd3ka9h4chfr8.cloudfront.net/image/725136000567/image_7li4l46o6p7qjejlgmgrgmds47/-FJPG/VHDN-039_SID_1.jpg</t>
  </si>
  <si>
    <t>https://dd3ka9h4chfr8.cloudfront.net/image/725136000567/image_l3hctcf54h43p6i4mfkfrvp173/-FJPG/VHDN-039_ESS_1.jpg</t>
  </si>
  <si>
    <t>https://dd3ka9h4chfr8.cloudfront.net/image/725136000567/image_1juqed2ebl1a5483p1bm4brm7d/-FJPG/VHDN-039_DET_2.jpg</t>
  </si>
  <si>
    <t>https://dd3ka9h4chfr8.cloudfront.net/image/725136000567/image_ulhi0ajfgl5o1fhj94cpmdgs6v/-FJPG/VHDN-039_BCK_1.jpg</t>
  </si>
  <si>
    <t>https://dd3ka9h4chfr8.cloudfront.net/image/725136000567/image_ufhh1fdskt72ve8vqd24q4380d/-FJPG/VHDN-039_DET_1.jpg</t>
  </si>
  <si>
    <t>https://dd3ka9h4chfr8.cloudfront.net/image/725136000567/image_ucvk3qcs6571rf7bbmphs5712s/-FJPG/VHDN-039_DET_3.jpg</t>
  </si>
  <si>
    <t>https://dd3ka9h4chfr8.cloudfront.net/image/725136000567/image_itc4tcniq55o15tibk8t2tag5b/-FJPG/VHDN-039_OPN_1.jpg</t>
  </si>
  <si>
    <t>https://dd3ka9h4chfr8.cloudfront.net/image/725136000567/image_1jdhfglqod54ncgi3r9m6imf6g/-FJPG/VHDN-039_DET_4.jpg</t>
  </si>
  <si>
    <t>https://dd3ka9h4chfr8.cloudfront.net/image/725136000567/image_nra9i22j054od9arnm6dfv9q79/-FJPG/VHDN-039_DET_5.jpg</t>
  </si>
  <si>
    <t>https://dd3ka9h4chfr8.cloudfront.net/image/725136000567/image_ql89ct3th57f5a9foia598i96e/-FJPG/VHDN-039_DET_6.jpg</t>
  </si>
  <si>
    <t>https://dd3ka9h4chfr8.cloudfront.net/image/725136000567/image_5of3a0c8mh47jc0756mjbp9579/-FJPG/VHDN-039_DET_7.jpg</t>
  </si>
  <si>
    <t>https://dd3ka9h4chfr8.cloudfront.net/image/725136000567/image_2lsci4781l17d1lhlaukoo8j12/-FJPG/VHDN-039_DET_8.jpg</t>
  </si>
  <si>
    <t>https://dd3ka9h4chfr8.cloudfront.net/image/725136000567/image_t4nlcirkq13ddb9011gh6pu36b/-FJPG/VHDN-039_DET_9.jpg</t>
  </si>
  <si>
    <t>https://dd3ka9h4chfr8.cloudfront.net/image/725136000567/image_vh63rod2b10ejdsd6jc3m16337/-FJPG/VHDN-039_VIG_2.jpg</t>
  </si>
  <si>
    <t>https://dd3ka9h4chfr8.cloudfront.net/image/725136000567/image_9dck0dcm0p6l32js1ddj6rsq49/-FJPG/VHDN-039_PRM_2.jpg</t>
  </si>
  <si>
    <t>Banks Slipcover Swivel Chair - Alcala Taupe</t>
  </si>
  <si>
    <t>https://dd3ka9h4chfr8.cloudfront.net/image/725136000567/image_dtfcsq7vml1813qlblfs65997t/-S150x150-FJPG/106182-096_PRM_1.jpg</t>
  </si>
  <si>
    <t>https://dd3ka9h4chfr8.cloudfront.net/image/725136000567/image_dtfcsq7vml1813qlblfs65997t/-FJPG/106182-096_PRM_1.jpg</t>
  </si>
  <si>
    <t>https://dd3ka9h4chfr8.cloudfront.net/image/725136000567/image_3aqkt3ch5p0t512s74902f8k3a/-FJPG/106182-096_SID_1.jpg</t>
  </si>
  <si>
    <t>https://dd3ka9h4chfr8.cloudfront.net/image/725136000567/image_g2r5ls5ivl1sba8952s2jvig2m/-FJPG/106182-096_ESS_1.jpg</t>
  </si>
  <si>
    <t>https://dd3ka9h4chfr8.cloudfront.net/image/725136000567/image_3abbutfp1p3h50s6gmsri0ra5c/-FJPG/106182-096_DET_2.jpg</t>
  </si>
  <si>
    <t>https://dd3ka9h4chfr8.cloudfront.net/image/725136000567/image_pvv5m5nq152n10fnqpgbug6s2d/-FJPG/106182-096_BCK_1.jpg</t>
  </si>
  <si>
    <t>https://dd3ka9h4chfr8.cloudfront.net/image/725136000567/image_0kk7uskm5h6c7adqavdtd5vr5c/-FJPG/106182-096_DET_1.jpg</t>
  </si>
  <si>
    <t>https://dd3ka9h4chfr8.cloudfront.net/image/725136000567/image_l66s4ko7td7490aai0ispe5e1f/-FJPG/106182-096_DET_3.jpg</t>
  </si>
  <si>
    <t>https://dd3ka9h4chfr8.cloudfront.net/image/725136000567/image_vg7ausalkd4qr6r9eqe7eiat65/-FJPG/106182-096_DET_4.jpg</t>
  </si>
  <si>
    <t>https://dd3ka9h4chfr8.cloudfront.net/image/725136000567/image_pb4nafcevh42lbu1o409318i7u/-FJPG/106182-096_DET_5.jpg</t>
  </si>
  <si>
    <t>https://dd3ka9h4chfr8.cloudfront.net/image/725136000567/image_hcgrq0uhud3j56gpojg1avit4e/-FJPG/106182-096_DET_6.jpg</t>
  </si>
  <si>
    <t>https://dd3ka9h4chfr8.cloudfront.net/image/725136000567/image_e9g48sugd91ib5e5vt9pksf629/-FJPG/106182-096_DET_7.jpg</t>
  </si>
  <si>
    <t>Banks Slipcover Swivel Chair - Cambric Ivory</t>
  </si>
  <si>
    <t>90% Polyester</t>
  </si>
  <si>
    <t>https://dd3ka9h4chfr8.cloudfront.net/image/725136000567/image_458bno6qa53btag42grpoend1b/-S150x150-FJPG/106182-087_PRM_1.jpg</t>
  </si>
  <si>
    <t>https://dd3ka9h4chfr8.cloudfront.net/image/725136000567/image_458bno6qa53btag42grpoend1b/-FJPG/106182-087_PRM_1.jpg</t>
  </si>
  <si>
    <t>https://dd3ka9h4chfr8.cloudfront.net/image/725136000567/image_0743iqn0ll5rp0q7498mno7n5s/-FJPG/106182-087_SID_1.jpg</t>
  </si>
  <si>
    <t>https://dd3ka9h4chfr8.cloudfront.net/image/725136000567/image_rj5r2rh7bl5r1ecrcmrb0hbr1p/-FJPG/106182-087_DET_2.jpg</t>
  </si>
  <si>
    <t>https://dd3ka9h4chfr8.cloudfront.net/image/725136000567/image_t5lr43lcmd4a7c9cn2gqedue0n/-FJPG/106182-087_BCK_1.jpg</t>
  </si>
  <si>
    <t>https://dd3ka9h4chfr8.cloudfront.net/image/725136000567/image_c3dqpfdq0t2b5cp2d4ogc2eh7r/-FJPG/106182-087_INF_1.jpg</t>
  </si>
  <si>
    <t>https://dd3ka9h4chfr8.cloudfront.net/image/725136000567/image_ujbrmcggu52vjbk3fvn9n19859/-FJPG/106182-087_DET_1.jpg</t>
  </si>
  <si>
    <t>https://dd3ka9h4chfr8.cloudfront.net/image/725136000567/image_au5ntd37jl6kh3kaeluqj7bu1u/-FJPG/106182-087_DET_3.jpg</t>
  </si>
  <si>
    <t>https://dd3ka9h4chfr8.cloudfront.net/image/725136000567/image_fquqhipjhh5iff0v93l9a4es3u/-FJPG/106182-087_DET_4.jpg</t>
  </si>
  <si>
    <t>https://dd3ka9h4chfr8.cloudfront.net/image/725136000567/image_vvqan0nc3t5o9bbtgsfmppg501/-FJPG/106182-087_DET_5.jpg</t>
  </si>
  <si>
    <t>https://dd3ka9h4chfr8.cloudfront.net/image/725136000567/image_gnpv37ols51dpcc38haeuekj2o/-FJPG/106182-087_DET_6.jpg</t>
  </si>
  <si>
    <t>https://dd3ka9h4chfr8.cloudfront.net/image/725136000567/image_14juoco69h7m13kqpopngml20f/-FJPG/106182-087_DET_7.jpg</t>
  </si>
  <si>
    <t>https://dd3ka9h4chfr8.cloudfront.net/image/725136000567/image_3lkh92l289279d5u50hb8l1b17/-FJPG/106182-087_ROM_1.jpg</t>
  </si>
  <si>
    <t>https://dd3ka9h4chfr8.cloudfront.net/image/725136000567/image_usbg125vtd5vvd7prm54mac13c/-FJPG/106182-087_ROM_2.jpg</t>
  </si>
  <si>
    <t>Banks Slipcover Swivel Chair - Palermo Drift</t>
  </si>
  <si>
    <t>https://dd3ka9h4chfr8.cloudfront.net/image/725136000567/image_1bimrq4n7543f931msci7qo53t/-S150x150-FJPG/106182-091_PRM_1.jpg</t>
  </si>
  <si>
    <t>https://dd3ka9h4chfr8.cloudfront.net/image/725136000567/image_1bimrq4n7543f931msci7qo53t/-FJPG/106182-091_PRM_1.jpg</t>
  </si>
  <si>
    <t>https://dd3ka9h4chfr8.cloudfront.net/image/725136000567/image_v8ih993g8l421ejfkricngcf7o/-FJPG/106182-091_SID_1.jpg</t>
  </si>
  <si>
    <t>https://dd3ka9h4chfr8.cloudfront.net/image/725136000567/image_v36a9hnc497gn15rai5tpie53r/-FJPG/106182-091_DET_2.jpg</t>
  </si>
  <si>
    <t>https://dd3ka9h4chfr8.cloudfront.net/image/725136000567/image_dgi0ugsq351qh3bu3katuv761g/-FJPG/106182-091_BCK_1.jpg</t>
  </si>
  <si>
    <t>https://dd3ka9h4chfr8.cloudfront.net/image/725136000567/image_0qdfjiajl94616j2qi55aahj1e/-FJPG/106182-091_DET_1.jpg</t>
  </si>
  <si>
    <t>https://dd3ka9h4chfr8.cloudfront.net/image/725136000567/image_s56avjqgh95j36is98td8fck66/-FJPG/106182-091_DET_3.jpg</t>
  </si>
  <si>
    <t>https://dd3ka9h4chfr8.cloudfront.net/image/725136000567/image_tcbgpretld7k177o9vl11bbv3e/-FJPG/106182-091_DET_4.jpg</t>
  </si>
  <si>
    <t>https://dd3ka9h4chfr8.cloudfront.net/image/725136000567/image_8vhagsr3lt1nr59qqchb7dm55t/-FJPG/106182-091_DET_5.jpg</t>
  </si>
  <si>
    <t>https://dd3ka9h4chfr8.cloudfront.net/image/725136000567/image_l17ujsr5i15u15qoqbkqtnrb7h/-FJPG/106182-091_DET_6.jpg</t>
  </si>
  <si>
    <t>https://dd3ka9h4chfr8.cloudfront.net/image/725136000567/image_i2ib07t35d0epb1ko7s6hm2p23/-FJPG/106182-091_ESS.tif</t>
  </si>
  <si>
    <t>Bates Bunching Table - Caramel Oak Veneer</t>
  </si>
  <si>
    <t>Thick Oyster Cut Oak Veneer</t>
  </si>
  <si>
    <t>Thick Eucalyptus Veneer</t>
  </si>
  <si>
    <t>https://dd3ka9h4chfr8.cloudfront.net/image/725136000567/image_g2rn8q036d4lvd50meg1eakt7c/-S150x150-FJPG/223616-001_PRM_1.jpg</t>
  </si>
  <si>
    <t>https://dd3ka9h4chfr8.cloudfront.net/image/725136000567/image_g2rn8q036d4lvd50meg1eakt7c/-FJPG/223616-001_PRM_1.jpg</t>
  </si>
  <si>
    <t>https://dd3ka9h4chfr8.cloudfront.net/image/725136000567/image_7hkjr26db10np2j8dq8i78312n/-FJPG/223616-001_SID_1.jpg</t>
  </si>
  <si>
    <t>https://dd3ka9h4chfr8.cloudfront.net/image/725136000567/image_efk73p0tsd7s9bgokf3c60ee1l/-FJPG/223616-001_ESS_1.jpg</t>
  </si>
  <si>
    <t>https://dd3ka9h4chfr8.cloudfront.net/image/725136000567/image_c5eidodvst2bd85cer6rap0p2o/-FJPG/223616-001_DET_2.jpg</t>
  </si>
  <si>
    <t>https://dd3ka9h4chfr8.cloudfront.net/image/725136000567/image_mrrgicslb56bb4svv3frismb25/-FJPG/223616-001_BCK_1.jpg</t>
  </si>
  <si>
    <t>https://dd3ka9h4chfr8.cloudfront.net/image/725136000567/image_h3hfr0d3ah0anbg7jgd3cv2l0r/-FJPG/223616-001_DET_1.jpg</t>
  </si>
  <si>
    <t>https://dd3ka9h4chfr8.cloudfront.net/image/725136000567/image_209kvskff50496o37stlh76841/-FJPG/223616-001_DET_3.jpg</t>
  </si>
  <si>
    <t>https://dd3ka9h4chfr8.cloudfront.net/image/725136000567/image_09efhdiqh94br7kq6jhr217d29/-FJPG/223616-001_TOP_1.jpg</t>
  </si>
  <si>
    <t>https://dd3ka9h4chfr8.cloudfront.net/image/725136000567/image_2cb4elrq516atfh8hvq2eo0s4u/-FJPG/223616-001_DET_4.jpg</t>
  </si>
  <si>
    <t>https://dd3ka9h4chfr8.cloudfront.net/image/725136000567/image_t8rj97afc90d95duoe8dj15l2r/-FJPG/223616-001_DET_5.jpg</t>
  </si>
  <si>
    <t>https://dd3ka9h4chfr8.cloudfront.net/image/725136000567/image_e4u97hjdqh1pjdaaaidiijqm3e/-FJPG/223616-001_PRM_2.jpg</t>
  </si>
  <si>
    <t>Bauer Chair - Dakota Warm Taupe</t>
  </si>
  <si>
    <t>https://dd3ka9h4chfr8.cloudfront.net/image/725136000567/image_quntsqbh9h2b11m9ifdes8ko15/-S150x150-FJPG/105572-007_PRM_1.JPG</t>
  </si>
  <si>
    <t>https://dd3ka9h4chfr8.cloudfront.net/image/725136000567/image_quntsqbh9h2b11m9ifdes8ko15/-FJPG/105572-007_PRM_1.JPG</t>
  </si>
  <si>
    <t>https://dd3ka9h4chfr8.cloudfront.net/image/725136000567/image_3bv0e8886p74t78p7b7lo1qi0m/-FJPG/105572-007_SID_1.JPG</t>
  </si>
  <si>
    <t>https://dd3ka9h4chfr8.cloudfront.net/image/725136000567/image_fb1vfhstn94or5u7q65tro7c32/-FJPG/105572-007_DET_2.JPG</t>
  </si>
  <si>
    <t>https://dd3ka9h4chfr8.cloudfront.net/image/725136000567/image_5bd0qvme05705ecpuamalr1d3p/-FJPG/105572-007_BCK_1.JPG</t>
  </si>
  <si>
    <t>https://dd3ka9h4chfr8.cloudfront.net/image/725136000567/image_lu6uhfpd5158ndvf5tuah0f90f/-FJPG/105572-007_DET_1.JPG</t>
  </si>
  <si>
    <t>https://dd3ka9h4chfr8.cloudfront.net/image/725136000567/image_79ic9t54fl7o7b0fjr8133225v/-FJPG/105572-007_DET_3.JPG</t>
  </si>
  <si>
    <t>https://dd3ka9h4chfr8.cloudfront.net/image/725136000567/image_ur7fean5392sbbgdrg6fpmd14s/-FJPG/105572-007_DET_4.JPG</t>
  </si>
  <si>
    <t>https://dd3ka9h4chfr8.cloudfront.net/image/725136000567/image_vl26l38cft32tc7s9s17ctum35/-FJPG/105572-007_DET_5.JPG</t>
  </si>
  <si>
    <t>Bauer Chair - Thames Cream</t>
  </si>
  <si>
    <t>https://dd3ka9h4chfr8.cloudfront.net/image/725136000567/image_bjoq6np54d39p709sfsclc0f1d/-S150x150-FJPG/105572-004_PRM_1.jpg</t>
  </si>
  <si>
    <t>https://dd3ka9h4chfr8.cloudfront.net/image/725136000567/image_bjoq6np54d39p709sfsclc0f1d/-FJPG/105572-004_PRM_1.jpg</t>
  </si>
  <si>
    <t>https://dd3ka9h4chfr8.cloudfront.net/image/725136000567/image_aoddt80k656857aaj8gu5hc722/-FJPG/105572-004_SID_1.jpg</t>
  </si>
  <si>
    <t>https://dd3ka9h4chfr8.cloudfront.net/image/725136000567/image_km3ag084dh3jp462klpov4fc38/-FJPG/105572-004_ESS_1.jpg</t>
  </si>
  <si>
    <t>https://dd3ka9h4chfr8.cloudfront.net/image/725136000567/image_8jj46it6tp75ncero1p408i160/-FJPG/105572-004_DET_2.jpg</t>
  </si>
  <si>
    <t>https://dd3ka9h4chfr8.cloudfront.net/image/725136000567/image_3c44ooi0g97m737smn2ctd2b3l/-FJPG/105572-004_BCK_1.jpg</t>
  </si>
  <si>
    <t>https://dd3ka9h4chfr8.cloudfront.net/image/725136000567/image_280quvr6st7m994m6dsn49j033/-FJPG/105572-004_INF_1.jpg</t>
  </si>
  <si>
    <t>https://dd3ka9h4chfr8.cloudfront.net/image/725136000567/image_3ij16322652gj6vkad9n0is650/-FJPG/105572-004_DET_1.jpg</t>
  </si>
  <si>
    <t>https://dd3ka9h4chfr8.cloudfront.net/image/725136000567/image_1qrcdefu5t7e95e8mo5bq3m36j/-FJPG/105572-004_DET_3.jpg</t>
  </si>
  <si>
    <t>https://dd3ka9h4chfr8.cloudfront.net/image/725136000567/image_5dngnhcs5h5lbea7rgtgp3ge5e/-FJPG/105572-004_DET_4.jpg</t>
  </si>
  <si>
    <t>Beckwith Sofa - Natural Washed Camel</t>
  </si>
  <si>
    <t>https://dd3ka9h4chfr8.cloudfront.net/image/725136000567/image_1pt1m8ig8d5534k0g9q5ouig2r/-S150x150-FJPG/105714-003_PRM_1.jpg</t>
  </si>
  <si>
    <t>https://dd3ka9h4chfr8.cloudfront.net/image/725136000567/image_1pt1m8ig8d5534k0g9q5ouig2r/-FJPG/105714-003_PRM_1.jpg</t>
  </si>
  <si>
    <t>https://dd3ka9h4chfr8.cloudfront.net/image/725136000567/image_in13mch5j51un4hf4acidkjd16/-FJPG/105714-003_SID_1.jpg</t>
  </si>
  <si>
    <t>https://dd3ka9h4chfr8.cloudfront.net/image/725136000567/image_ps86siqvcd5qh2i24neatvdp4n/-FJPG/105714-003_ESS_1.jpg</t>
  </si>
  <si>
    <t>https://dd3ka9h4chfr8.cloudfront.net/image/725136000567/image_8ha6v8pu8l0096grfgucs07c1c/-FJPG/105714-003_DET_2.jpg</t>
  </si>
  <si>
    <t>https://dd3ka9h4chfr8.cloudfront.net/image/725136000567/image_louc644qa13ojfm08bk0nsi57u/-FJPG/105714-003_BCK_1.jpg</t>
  </si>
  <si>
    <t>https://dd3ka9h4chfr8.cloudfront.net/image/725136000567/image_nor0fen3t50sd88mql6k9n6i1h/-FJPG/105714-003_DET_1.jpg</t>
  </si>
  <si>
    <t>https://dd3ka9h4chfr8.cloudfront.net/image/725136000567/image_3klki2jdgl7q33r4ma1jr3qc2s/-FJPG/105714-003_DET_3.jpg</t>
  </si>
  <si>
    <t>https://dd3ka9h4chfr8.cloudfront.net/image/725136000567/image_4d5lgvsibp08jb1387v44rqo7o/-FJPG/105714-003_DET_4.jpg</t>
  </si>
  <si>
    <t>https://dd3ka9h4chfr8.cloudfront.net/image/725136000567/image_29hdfkcue51ib5q85pkpiuda43/-FJPG/105714-003_DET_5.jpg</t>
  </si>
  <si>
    <t>https://dd3ka9h4chfr8.cloudfront.net/image/725136000567/image_f40n01v3s12f958i29ljdagn3a/-FJPG/105714-003_DET_6.jpg</t>
  </si>
  <si>
    <t>https://dd3ka9h4chfr8.cloudfront.net/image/725136000567/image_fn2j1o0q7971b5v3nto0f5l16o/-FJPG/105714-003_DET_7.jpg</t>
  </si>
  <si>
    <t>https://dd3ka9h4chfr8.cloudfront.net/image/725136000567/image_5s0qkr315t2uh883pn7fk4ss57/-FJPG/105714-003_ROM_1.jpg</t>
  </si>
  <si>
    <t>https://dd3ka9h4chfr8.cloudfront.net/image/725136000567/image_87dg2jgpb12c7682qhdueq5e5q/-FJPG/105714-003_VIG_1.jpg</t>
  </si>
  <si>
    <t>Beckwourth Coffee Table-60" - Sierra Rustic Natural</t>
  </si>
  <si>
    <t>Solid Reclaimed Pine</t>
  </si>
  <si>
    <t>https://dd3ka9h4chfr8.cloudfront.net/image/725136000567/image_vi72tacoip2vvbulir8gddl547/-S150x150-FJPG/105023-005_PRM_1.jpg</t>
  </si>
  <si>
    <t>https://dd3ka9h4chfr8.cloudfront.net/image/725136000567/image_vi72tacoip2vvbulir8gddl547/-FJPG/105023-005_PRM_1.jpg</t>
  </si>
  <si>
    <t>https://dd3ka9h4chfr8.cloudfront.net/image/725136000567/image_jjrhkmr3ul309849vfdd31ac4o/-FJPG/105023-005_SID_1.jpg</t>
  </si>
  <si>
    <t>https://dd3ka9h4chfr8.cloudfront.net/image/725136000567/image_p0vhnh8qrh4836fdhhddr16m4t/-FJPG/105023-005_DET_2.jpg</t>
  </si>
  <si>
    <t>https://dd3ka9h4chfr8.cloudfront.net/image/725136000567/image_d1p0oi7g290m1927c1rdelec5b/-FJPG/105023-005_DET_1.jpg</t>
  </si>
  <si>
    <t>https://dd3ka9h4chfr8.cloudfront.net/image/725136000567/image_lcfitfv6590gp32hqedcugnc06/-FJPG/105023-005_DET_3.jpg</t>
  </si>
  <si>
    <t>https://dd3ka9h4chfr8.cloudfront.net/image/725136000567/image_u33nbkrf393o54sdh845cemo4j/-FJPG/105023-005_DET_4.jpg</t>
  </si>
  <si>
    <t>https://dd3ka9h4chfr8.cloudfront.net/image/725136000567/image_gk4b0ushfh4npcoiiuomm7g55i/-FJPG/105023-005_DET_5.jpg</t>
  </si>
  <si>
    <t>https://dd3ka9h4chfr8.cloudfront.net/image/725136000567/image_agc45702st1jfa1hq7ccukqq0g/-FJPG/105023-005_DET_6.jpg</t>
  </si>
  <si>
    <t>https://dd3ka9h4chfr8.cloudfront.net/image/725136000567/image_sms8odme0h46961kunimct682l/-FJPG/105023-005_DET_7.jpg</t>
  </si>
  <si>
    <t>Belmont 2 Drawer Nightstand - Black</t>
  </si>
  <si>
    <t>https://dd3ka9h4chfr8.cloudfront.net/image/725136000567/image_enbedvk8m95cldefgqrc131m5g/-S150x150-FJPG/104440-003_PRM_1.jpg</t>
  </si>
  <si>
    <t>https://dd3ka9h4chfr8.cloudfront.net/image/725136000567/image_enbedvk8m95cldefgqrc131m5g/-FJPG/104440-003_PRM_1.jpg</t>
  </si>
  <si>
    <t>https://dd3ka9h4chfr8.cloudfront.net/image/725136000567/image_nqp81v7jhp1dhar5bt85ls5i6r/-FJPG/104440-003_SID_1.jpg</t>
  </si>
  <si>
    <t>https://dd3ka9h4chfr8.cloudfront.net/image/725136000567/image_2sfmq9s8ml7jh5ebpb0p7gge5c/-FJPG/104440-003_ESS.tif</t>
  </si>
  <si>
    <t>https://dd3ka9h4chfr8.cloudfront.net/image/725136000567/image_rgcpaktjkl71j4dabmhk08ch03/-FJPG/104440-003_DET_2.jpg</t>
  </si>
  <si>
    <t>https://dd3ka9h4chfr8.cloudfront.net/image/725136000567/image_5kgmvo0a311mjdn4ad2r0rio4d/-FJPG/104440-003_BCK_1.jpg</t>
  </si>
  <si>
    <t>https://dd3ka9h4chfr8.cloudfront.net/image/725136000567/image_ep9c69r0u91a9bk4tju2fr9e57/-FJPG/104440-003_DET_1.jpg</t>
  </si>
  <si>
    <t>https://dd3ka9h4chfr8.cloudfront.net/image/725136000567/image_e4r910un1953v3kpuruiftta59/-FJPG/104440-003_DET_3.jpg</t>
  </si>
  <si>
    <t>https://dd3ka9h4chfr8.cloudfront.net/image/725136000567/image_5vedam9hop13nb5m7hsp149d5a/-FJPG/104440-003_OPN_1.jpg</t>
  </si>
  <si>
    <t>https://dd3ka9h4chfr8.cloudfront.net/image/725136000567/image_m01k188p3p3h1089he6vjt4k3p/-FJPG/104440-003_DET_4.jpg</t>
  </si>
  <si>
    <t>Belmont 8 Drawer Metal Dresser - Black</t>
  </si>
  <si>
    <t>https://dd3ka9h4chfr8.cloudfront.net/image/725136000567/image_mv6kf8pdb906j106cs32itae40/-S150x150-FJPG/104448-002_PRM_1.jpg</t>
  </si>
  <si>
    <t>https://dd3ka9h4chfr8.cloudfront.net/image/725136000567/image_mv6kf8pdb906j106cs32itae40/-FJPG/104448-002_PRM_1.jpg</t>
  </si>
  <si>
    <t>https://dd3ka9h4chfr8.cloudfront.net/image/725136000567/image_6ra42f03614kt48ce2fbvst60d/-FJPG/104448-002_SID_1.jpg</t>
  </si>
  <si>
    <t>https://dd3ka9h4chfr8.cloudfront.net/image/725136000567/image_dj46uecjf52s93clbiodeqmd3o/-FJPG/104448-002_DET_2.jpg</t>
  </si>
  <si>
    <t>https://dd3ka9h4chfr8.cloudfront.net/image/725136000567/image_sdtajlkm8l5rt7hk8tcit3si5c/-FJPG/104448-002_BCK_1.jpg</t>
  </si>
  <si>
    <t>https://dd3ka9h4chfr8.cloudfront.net/image/725136000567/image_4nq749f8it68dbit4d1o5do96h/-FJPG/104448-002_DET_1.jpg</t>
  </si>
  <si>
    <t>https://dd3ka9h4chfr8.cloudfront.net/image/725136000567/image_n6cuuhlfhl68t8u6ncfggl7v5d/-FJPG/104448-002_DET_3.jpg</t>
  </si>
  <si>
    <t>https://dd3ka9h4chfr8.cloudfront.net/image/725136000567/image_g6rj2f0p5922tf810792dmc434/-FJPG/104448-002_OPN_1.jpg</t>
  </si>
  <si>
    <t>https://dd3ka9h4chfr8.cloudfront.net/image/725136000567/image_bkr551eooh1lvetf95sbak8o6i/-FJPG/104448-002_DET_4.jpg</t>
  </si>
  <si>
    <t>https://dd3ka9h4chfr8.cloudfront.net/image/725136000567/image_hvn5i9oo5911h2om3gku69n40e/-FJPG/104448-002_DET_5.jpg</t>
  </si>
  <si>
    <t>https://dd3ka9h4chfr8.cloudfront.net/image/725136000567/image_aoe2r6l2214qr4uu6q9pjuep26/-FJPG/104448-002_DET_6.jpg</t>
  </si>
  <si>
    <t>https://dd3ka9h4chfr8.cloudfront.net/image/725136000567/image_a8r6o6hla970hcj215q3kfqv4n/-FJPG/104448-002_DET_7.jpg</t>
  </si>
  <si>
    <t>Belmont 8 Drawer Tall Dresser - Black</t>
  </si>
  <si>
    <t>https://dd3ka9h4chfr8.cloudfront.net/image/725136000567/image_q0i1d42au97773gctirbk6q311/-S150x150-FJPG/104428-003_PRM_1.jpg</t>
  </si>
  <si>
    <t>https://dd3ka9h4chfr8.cloudfront.net/image/725136000567/image_q0i1d42au97773gctirbk6q311/-FJPG/104428-003_PRM_1.jpg</t>
  </si>
  <si>
    <t>https://dd3ka9h4chfr8.cloudfront.net/image/725136000567/image_rr671aanfl7tf3vnhfa4mbja6g/-FJPG/104428-003_SID_1.jpg</t>
  </si>
  <si>
    <t>https://dd3ka9h4chfr8.cloudfront.net/image/725136000567/image_6d85nse0i10fp1v2ie31u4cm21/-FJPG/104428-003_DET_2.jpg</t>
  </si>
  <si>
    <t>https://dd3ka9h4chfr8.cloudfront.net/image/725136000567/image_3isvvref0p7p169n0uerdane4k/-FJPG/104428-003_BCK_1.jpg</t>
  </si>
  <si>
    <t>https://dd3ka9h4chfr8.cloudfront.net/image/725136000567/image_bklvt1ufah5830re3iq4jc6035/-FJPG/104428-003_DET_1.jpg</t>
  </si>
  <si>
    <t>https://dd3ka9h4chfr8.cloudfront.net/image/725136000567/image_8pm7rond5h1nffcq7hv90vld6f/-FJPG/104428-003_DET_3.jpg</t>
  </si>
  <si>
    <t>https://dd3ka9h4chfr8.cloudfront.net/image/725136000567/image_cijkksl3n12pv47ncefleqvd15/-FJPG/104428-003_OPN_1.jpg</t>
  </si>
  <si>
    <t>https://dd3ka9h4chfr8.cloudfront.net/image/725136000567/image_h00e0lc8814un6eq7rfohbja5l/-FJPG/104428-003_DET_4.jpg</t>
  </si>
  <si>
    <t>https://dd3ka9h4chfr8.cloudfront.net/image/725136000567/image_clfqp5en1p0s725841oh58954c/-FJPG/104428-003_DET_5.jpg</t>
  </si>
  <si>
    <t>https://dd3ka9h4chfr8.cloudfront.net/image/725136000567/image_rkede2lgjt50rebvo7heren95e/-FJPG/104428-003_DET_6.jpg</t>
  </si>
  <si>
    <t>https://dd3ka9h4chfr8.cloudfront.net/image/725136000567/image_8q269an6nt7n7030jlqpunk00u/-FJPG/104428-003_DET_7.jpg</t>
  </si>
  <si>
    <t>https://dd3ka9h4chfr8.cloudfront.net/image/725136000567/image_10cd1spptt3gb0ligtkcd9755c/-FJPG/104428-003_DET_8.jpg</t>
  </si>
  <si>
    <t>https://dd3ka9h4chfr8.cloudfront.net/image/725136000567/image_ffafk0sva95q59vuoug0ap756q/-FJPG/104428-003_ESS.jpg</t>
  </si>
  <si>
    <t>Benito Sofa - Plushtone Linen</t>
  </si>
  <si>
    <t>Solid Rosa Morada</t>
  </si>
  <si>
    <t>https://dd3ka9h4chfr8.cloudfront.net/image/725136000567/image_makoabs6al5mbeiqvqfhf7as16/-S150x150-FJPG/108952-002_PRM_1.jpg</t>
  </si>
  <si>
    <t>https://dd3ka9h4chfr8.cloudfront.net/image/725136000567/image_makoabs6al5mbeiqvqfhf7as16/-FJPG/108952-002_PRM_1.jpg</t>
  </si>
  <si>
    <t>https://dd3ka9h4chfr8.cloudfront.net/image/725136000567/image_6e7cbj31l55of4kkvcuaia5b1b/-FJPG/108952-002_SID_1.jpg</t>
  </si>
  <si>
    <t>https://dd3ka9h4chfr8.cloudfront.net/image/725136000567/image_eo64ddi88h49v9nudfnboto935/-FJPG/108952-002_ESS.tif</t>
  </si>
  <si>
    <t>https://dd3ka9h4chfr8.cloudfront.net/image/725136000567/image_rvp226rs997vv55d04bvppao3m/-FJPG/108952-002_DET_2.jpg</t>
  </si>
  <si>
    <t>https://dd3ka9h4chfr8.cloudfront.net/image/725136000567/image_t1bi82qp6l43j7pkqr2c7d1a23/-FJPG/108952-002_BCK_1.jpg</t>
  </si>
  <si>
    <t>https://dd3ka9h4chfr8.cloudfront.net/image/725136000567/image_qq5vc3cf3l2e56kfbcvef82m2g/-FJPG/108952-002_DET_3.jpg</t>
  </si>
  <si>
    <t>https://dd3ka9h4chfr8.cloudfront.net/image/725136000567/image_imaj8skjlt6ircv61t4fdgq814/-FJPG/108952-002_DET_4.jpg</t>
  </si>
  <si>
    <t>https://dd3ka9h4chfr8.cloudfront.net/image/725136000567/image_asu1odgv9h1o92kjemf7h4cu1u/-FJPG/108952-002_DET_5.jpg</t>
  </si>
  <si>
    <t>https://dd3ka9h4chfr8.cloudfront.net/image/725136000567/image_v2euljc85t33tdqnv5uejog35e/-FJPG/108952-002_DET_6.jpg</t>
  </si>
  <si>
    <t>https://dd3ka9h4chfr8.cloudfront.net/image/725136000567/image_o2kj8qpq2d6b53q9n24fhd1b26/-FJPG/108952-002_VIG_1.jpg</t>
  </si>
  <si>
    <t>https://dd3ka9h4chfr8.cloudfront.net/image/725136000567/image_uknlb3t98l7hf74bp5ftjp213g/-FJPG/108952-002_VIG_2.jpg</t>
  </si>
  <si>
    <t>Benito Sofa - Surrey Cocoa</t>
  </si>
  <si>
    <t>https://dd3ka9h4chfr8.cloudfront.net/image/725136000567/image_4st12vkr9t0cn981ogb6rdnp60/-S150x150-FJPG/108952-010_PRM_1.jpg</t>
  </si>
  <si>
    <t>https://dd3ka9h4chfr8.cloudfront.net/image/725136000567/image_4st12vkr9t0cn981ogb6rdnp60/-FJPG/108952-010_PRM_1.jpg</t>
  </si>
  <si>
    <t>https://dd3ka9h4chfr8.cloudfront.net/image/725136000567/image_148t0305rh39fae3ilugpl6f3p/-FJPG/108952-010_SID_1.jpg</t>
  </si>
  <si>
    <t>https://dd3ka9h4chfr8.cloudfront.net/image/725136000567/image_b0o30eb24l5p111kfb503c5t6b/-FJPG/108952-010_ESS.tif</t>
  </si>
  <si>
    <t>https://dd3ka9h4chfr8.cloudfront.net/image/725136000567/image_r2ds93lb3t2o9431hma0dsus37/-FJPG/108952-010_DET_2.jpg</t>
  </si>
  <si>
    <t>https://dd3ka9h4chfr8.cloudfront.net/image/725136000567/image_gqkn29plgd2cpd5t74o0dk3h16/-FJPG/108952-010_BCK_1.jpg</t>
  </si>
  <si>
    <t>https://dd3ka9h4chfr8.cloudfront.net/image/725136000567/image_fvsv49dl2d1f90lt91g9ichi32/-FJPG/108952-010_DET_1.jpg</t>
  </si>
  <si>
    <t>https://dd3ka9h4chfr8.cloudfront.net/image/725136000567/image_ip38kf5plt18fecrdshdu30434/-FJPG/108952-010_DET_3.jpg</t>
  </si>
  <si>
    <t>https://dd3ka9h4chfr8.cloudfront.net/image/725136000567/image_r2agd2b25p4jlaa50fp0lqit0r/-FJPG/108952-010_DET_4.jpg</t>
  </si>
  <si>
    <t>https://dd3ka9h4chfr8.cloudfront.net/image/725136000567/image_66fbvhpekd1vh9gfrckpk3oc6k/-FJPG/108952-010_DET_9.tif</t>
  </si>
  <si>
    <t>Benito Sofa - Surrey Olive</t>
  </si>
  <si>
    <t>https://dd3ka9h4chfr8.cloudfront.net/image/725136000567/image_r8ug07d79d6rn5ft045tj9fg79/-S150x150-FJPG/108952-004_PRM_1.jpg</t>
  </si>
  <si>
    <t>https://dd3ka9h4chfr8.cloudfront.net/image/725136000567/image_r8ug07d79d6rn5ft045tj9fg79/-FJPG/108952-004_PRM_1.jpg</t>
  </si>
  <si>
    <t>https://dd3ka9h4chfr8.cloudfront.net/image/725136000567/image_up8kbtki0t38t3har80e1cev5q/-FJPG/108952-004_SID_1.jpg</t>
  </si>
  <si>
    <t>https://dd3ka9h4chfr8.cloudfront.net/image/725136000567/image_n3gqrrl22l3b72m00mnsvnge1m/-FJPG/108952-004_ESS_1.jpg</t>
  </si>
  <si>
    <t>https://dd3ka9h4chfr8.cloudfront.net/image/725136000567/image_65ske1rgu55hvacupe0d6jp52j/-FJPG/108952-004_DET_2.jpg</t>
  </si>
  <si>
    <t>https://dd3ka9h4chfr8.cloudfront.net/image/725136000567/image_oched1jvkl0h1435d2srs6j42r/-FJPG/108952-004_BCK_1.jpg</t>
  </si>
  <si>
    <t>https://dd3ka9h4chfr8.cloudfront.net/image/725136000567/image_mr4166ulu92bn26d18npqgka1e/-FJPG/108952-004_DET_1.jpg</t>
  </si>
  <si>
    <t>https://dd3ka9h4chfr8.cloudfront.net/image/725136000567/image_81t7g830550mtfjj5c55mh7o3u/-FJPG/108952-004_DET_3.jpg</t>
  </si>
  <si>
    <t>https://dd3ka9h4chfr8.cloudfront.net/image/725136000567/image_r2j9p92ke97lnadvjsqi4oek61/-FJPG/108952-004_DET_4.jpg</t>
  </si>
  <si>
    <t>https://dd3ka9h4chfr8.cloudfront.net/image/725136000567/image_oiptugeqdd1jlfsok9n7eo0005/-FJPG/108952-004_DET_5.jpg</t>
  </si>
  <si>
    <t>https://dd3ka9h4chfr8.cloudfront.net/image/725136000567/image_1g3t9dakep6fn55ijhf135pq31/-FJPG/108952-004_DET_6.jpg</t>
  </si>
  <si>
    <t>https://dd3ka9h4chfr8.cloudfront.net/image/725136000567/image_jdescjv0hl49r57oohlb0hsp0b/-FJPG/108952-004_DET_11.jpg</t>
  </si>
  <si>
    <t>Bergstrom Desk - Warm Natural Oak Veneer</t>
  </si>
  <si>
    <t>https://dd3ka9h4chfr8.cloudfront.net/image/725136000567/image_bft6sbp04124d2dq9s7iqcqq7u/-S150x150-FJPG/243658-001_PRM_1.jpg</t>
  </si>
  <si>
    <t>https://dd3ka9h4chfr8.cloudfront.net/image/725136000567/image_bft6sbp04124d2dq9s7iqcqq7u/-FJPG/243658-001_PRM_1.jpg</t>
  </si>
  <si>
    <t>https://dd3ka9h4chfr8.cloudfront.net/image/725136000567/image_550lp6f7615d96anhf7nd0aq08/-FJPG/243658-001_SID_1.jpg</t>
  </si>
  <si>
    <t>https://dd3ka9h4chfr8.cloudfront.net/image/725136000567/image_srd4rt8p596279oc6l1vdkge7d/-FJPG/243658-001_ESS.tif</t>
  </si>
  <si>
    <t>https://dd3ka9h4chfr8.cloudfront.net/image/725136000567/image_2lo1ejtr315aj30il7qjk31a1g/-FJPG/243658-001_DET_2.jpg</t>
  </si>
  <si>
    <t>https://dd3ka9h4chfr8.cloudfront.net/image/725136000567/image_i7lc9goiel0q720j1ndp734d78/-FJPG/243658-001_BCK_1.jpg</t>
  </si>
  <si>
    <t>https://dd3ka9h4chfr8.cloudfront.net/image/725136000567/image_esrlsnrruh68j7t6f07vnhlh5u/-FJPG/243658-001_DET_1.jpg</t>
  </si>
  <si>
    <t>https://dd3ka9h4chfr8.cloudfront.net/image/725136000567/image_sutb5ncs2h0gr5mmveapesq61l/-FJPG/243658-001_DET_3.jpg</t>
  </si>
  <si>
    <t>https://dd3ka9h4chfr8.cloudfront.net/image/725136000567/image_nn8cq54hrl66r5m0qi73e4db0p/-FJPG/243658-001_OPN_1.jpg</t>
  </si>
  <si>
    <t>https://dd3ka9h4chfr8.cloudfront.net/image/725136000567/image_7ns86hant11g1dna95dos30j68/-FJPG/243658-001_TOP_1.jpg</t>
  </si>
  <si>
    <t>https://dd3ka9h4chfr8.cloudfront.net/image/725136000567/image_u4shp2c0s93qb9kms78t57s13p/-FJPG/243658-001_DET_4.jpg</t>
  </si>
  <si>
    <t>https://dd3ka9h4chfr8.cloudfront.net/image/725136000567/image_4qfr4igo7970jcvl522e6g9c19/-FJPG/243658-001_DET_5.jpg</t>
  </si>
  <si>
    <t>https://dd3ka9h4chfr8.cloudfront.net/image/725136000567/image_l6tmrqtp4p2tnd4cdkpj3vj03a/-FJPG/243658-001_DET_6.jpg</t>
  </si>
  <si>
    <t>https://dd3ka9h4chfr8.cloudfront.net/image/725136000567/image_7pqd09u2cl6pnetd351mu90n18/-FJPG/243658-001_DET_7.jpg</t>
  </si>
  <si>
    <t>https://dd3ka9h4chfr8.cloudfront.net/image/725136000567/image_vij67leiup7srb5lr4tvph4l67/-FJPG/243658-001_DET_8.jpg</t>
  </si>
  <si>
    <t>https://dd3ka9h4chfr8.cloudfront.net/image/725136000567/image_tj3jnhcjs93it7ghrn89fl2v2b/-FJPG/243658-001_DET_9.tif</t>
  </si>
  <si>
    <t>Bergstrom Media Console - Warm Natural Oak Veneer</t>
  </si>
  <si>
    <t>https://dd3ka9h4chfr8.cloudfront.net/image/725136000567/image_ekoftasnsd1u1715mn0ek5385e/-S150x150-FJPG/243560-001_PRM_1.jpg</t>
  </si>
  <si>
    <t>https://dd3ka9h4chfr8.cloudfront.net/image/725136000567/image_ekoftasnsd1u1715mn0ek5385e/-FJPG/243560-001_PRM_1.jpg</t>
  </si>
  <si>
    <t>https://dd3ka9h4chfr8.cloudfront.net/image/725136000567/image_f03uur0hmd369523koecmra94e/-FJPG/243560-001_SID_1.jpg</t>
  </si>
  <si>
    <t>https://dd3ka9h4chfr8.cloudfront.net/image/725136000567/image_pd9nkounr57af7jpa8np7dh50o/-FJPG/243560-001_ESS.tif</t>
  </si>
  <si>
    <t>https://dd3ka9h4chfr8.cloudfront.net/image/725136000567/image_apgl9d9t6h6apd2r14uqq50e2m/-FJPG/243560-001_DET_2.jpg</t>
  </si>
  <si>
    <t>https://dd3ka9h4chfr8.cloudfront.net/image/725136000567/image_rfa1lfl2et3nbfs0a170r90p69/-FJPG/243560-001_BCK_1.jpg</t>
  </si>
  <si>
    <t>https://dd3ka9h4chfr8.cloudfront.net/image/725136000567/image_8qgnlvqs0d4ul1ep2s6109o53k/-FJPG/243560-001_DET_1.jpg</t>
  </si>
  <si>
    <t>https://dd3ka9h4chfr8.cloudfront.net/image/725136000567/image_356b553nit7fhc7nh33rdcdb21/-FJPG/243560-001_DET_3.jpg</t>
  </si>
  <si>
    <t>https://dd3ka9h4chfr8.cloudfront.net/image/725136000567/image_2gk6vahbvp4bt9qpfsdlor4t2m/-FJPG/243560-001_OPN_1.jpg</t>
  </si>
  <si>
    <t>https://dd3ka9h4chfr8.cloudfront.net/image/725136000567/image_0qth58l75968te1bauhm3jh33v/-FJPG/243560-001_TOP_1.jpg</t>
  </si>
  <si>
    <t>https://dd3ka9h4chfr8.cloudfront.net/image/725136000567/image_ti85evb9r15175peoj8cekan5m/-FJPG/243560-001_DET_4.jpg</t>
  </si>
  <si>
    <t>https://dd3ka9h4chfr8.cloudfront.net/image/725136000567/image_ic47dpnooh4if9r7ct3tg1kg5p/-FJPG/243560-001_DET_5.jpg</t>
  </si>
  <si>
    <t>https://dd3ka9h4chfr8.cloudfront.net/image/725136000567/image_vne76umcrl05515qargj70dh53/-FJPG/243560-001_DET_6.jpg</t>
  </si>
  <si>
    <t>https://dd3ka9h4chfr8.cloudfront.net/image/725136000567/image_2mpub6b9pl4lvck3di34suv24n/-FJPG/243560-001_DET_7.jpg</t>
  </si>
  <si>
    <t>https://dd3ka9h4chfr8.cloudfront.net/image/725136000567/image_oj0vndf7hd6vledh64v2kg4e1m/-FJPG/243560-001_DET_8.jpg</t>
  </si>
  <si>
    <t>https://dd3ka9h4chfr8.cloudfront.net/image/725136000567/image_6qoqdbub9p1c5bmdi1pjrocg0s/-FJPG/243560-001_DET_9.tif</t>
  </si>
  <si>
    <t>Bergstrom Secretary Desk - Warm Natural Oak Veneer</t>
  </si>
  <si>
    <t>https://dd3ka9h4chfr8.cloudfront.net/image/725136000567/image_prtl4u2ki928faequctv52jv59/-S150x150-FJPG/243797-001_PRM_1.jpg</t>
  </si>
  <si>
    <t>https://dd3ka9h4chfr8.cloudfront.net/image/725136000567/image_prtl4u2ki928faequctv52jv59/-FJPG/243797-001_PRM_1.jpg</t>
  </si>
  <si>
    <t>https://dd3ka9h4chfr8.cloudfront.net/image/725136000567/image_k0ucqtdqmd2v10qfketqtm0i7m/-FJPG/243797-001_SID_1.jpg</t>
  </si>
  <si>
    <t>https://dd3ka9h4chfr8.cloudfront.net/image/725136000567/image_bo3c1kd6bh6qhe336jsbsl161g/-FJPG/243797-001_ESS.tif</t>
  </si>
  <si>
    <t>https://dd3ka9h4chfr8.cloudfront.net/image/725136000567/image_hsc1ehdihl10n4k34l2dn2dc6o/-FJPG/243797-001_DET_2.jpg</t>
  </si>
  <si>
    <t>https://dd3ka9h4chfr8.cloudfront.net/image/725136000567/image_e8mmcct7095613crf6945duq0b/-FJPG/243797-001_BCK_1.jpg</t>
  </si>
  <si>
    <t>https://dd3ka9h4chfr8.cloudfront.net/image/725136000567/image_ptqluiofbt607c3r0c0a9avp7j/-FJPG/243797-001_DET_1.jpg</t>
  </si>
  <si>
    <t>https://dd3ka9h4chfr8.cloudfront.net/image/725136000567/image_of6i1odpep4911qa0s95lj5v28/-FJPG/243797-001_DET_3.jpg</t>
  </si>
  <si>
    <t>https://dd3ka9h4chfr8.cloudfront.net/image/725136000567/image_c88pvj5qeh6s1e7n8tvcoi5i7o/-FJPG/243797-001_OPN_1.jpg</t>
  </si>
  <si>
    <t>https://dd3ka9h4chfr8.cloudfront.net/image/725136000567/image_rktr95p79d4r51n24jq3bf5p48/-FJPG/243797-001_TOP_1.jpg</t>
  </si>
  <si>
    <t>https://dd3ka9h4chfr8.cloudfront.net/image/725136000567/image_p1ii8chnm556f4aucgdvje5j4h/-FJPG/243797-001_DET_4.jpg</t>
  </si>
  <si>
    <t>https://dd3ka9h4chfr8.cloudfront.net/image/725136000567/image_ecdvcnf3d56jh60osqhraksc0j/-FJPG/243797-001_DET_5.jpg</t>
  </si>
  <si>
    <t>https://dd3ka9h4chfr8.cloudfront.net/image/725136000567/image_g5msc9l0td5evcd4tgtkjl7459/-FJPG/243797-001_DET_6.jpg</t>
  </si>
  <si>
    <t>https://dd3ka9h4chfr8.cloudfront.net/image/725136000567/image_3gqj5s46cd1rrctgp0ehtoon31/-FJPG/243797-001_DET_7.jpg</t>
  </si>
  <si>
    <t>https://dd3ka9h4chfr8.cloudfront.net/image/725136000567/image_cn7g4d66l53m91obgras2kmm3c/-FJPG/243797-001_DET_8.jpg</t>
  </si>
  <si>
    <t>https://dd3ka9h4chfr8.cloudfront.net/image/725136000567/image_cijodu7iih3np8tu4qsphsvq4a/-FJPG/243797-001_DET_9.tif</t>
  </si>
  <si>
    <t>Bethan Chair - Antwerp Taupe</t>
  </si>
  <si>
    <t>39% Linen</t>
  </si>
  <si>
    <t>35% Cotton</t>
  </si>
  <si>
    <t>26% Polyester</t>
  </si>
  <si>
    <t>Rush</t>
  </si>
  <si>
    <t>https://dd3ka9h4chfr8.cloudfront.net/image/725136000567/image_2is30onjj952teii8i7f44qv78/-S150x150-FJPG/243117-001_PRM_1.jpg</t>
  </si>
  <si>
    <t>https://dd3ka9h4chfr8.cloudfront.net/image/725136000567/image_2is30onjj952teii8i7f44qv78/-FJPG/243117-001_PRM_1.jpg</t>
  </si>
  <si>
    <t>https://dd3ka9h4chfr8.cloudfront.net/image/725136000567/image_vfu3fpj8jt7fd7sb7j1ucm9v17/-FJPG/243117-001_SID_1.jpg</t>
  </si>
  <si>
    <t>https://dd3ka9h4chfr8.cloudfront.net/image/725136000567/image_imuja4d7od0cbbl66gi5tnu35a/-FJPG/243117-001_ESS.tif</t>
  </si>
  <si>
    <t>https://dd3ka9h4chfr8.cloudfront.net/image/725136000567/image_bnnrkgqesh1lp4i6ii442rtm2d/-FJPG/243117-001_DET_2.jpg</t>
  </si>
  <si>
    <t>https://dd3ka9h4chfr8.cloudfront.net/image/725136000567/image_709m55809147l4nredifpe3o48/-FJPG/243117-001_BCK_1.jpg</t>
  </si>
  <si>
    <t>https://dd3ka9h4chfr8.cloudfront.net/image/725136000567/image_oe0fjpe2fp57p8hukgb949pk7a/-FJPG/243117-001_DET_1.jpg</t>
  </si>
  <si>
    <t>https://dd3ka9h4chfr8.cloudfront.net/image/725136000567/image_gd39pjptbl4ur46o84gqgqij0g/-FJPG/243117-001_DET_3.jpg</t>
  </si>
  <si>
    <t>https://dd3ka9h4chfr8.cloudfront.net/image/725136000567/image_4mi2dh5spl3i9797ftbvjpfu4g/-FJPG/243117-001_DET_4.jpg</t>
  </si>
  <si>
    <t>https://dd3ka9h4chfr8.cloudfront.net/image/725136000567/image_rl2tiuvn9h7sn0vp1fke7jlp2r/-FJPG/243117-001_DET_5.jpg</t>
  </si>
  <si>
    <t>https://dd3ka9h4chfr8.cloudfront.net/image/725136000567/image_12758oeri53or438ak2ftv860j/-FJPG/243117-001_DET_9.tif</t>
  </si>
  <si>
    <t>https://dd3ka9h4chfr8.cloudfront.net/image/725136000567/image_ifmf00uac12ltegmvo2fngld1n/-FJPG/243117-001_DET_10.tif</t>
  </si>
  <si>
    <t>Bevin End Table - Dark Petrified Wood</t>
  </si>
  <si>
    <t>Petrified Wood</t>
  </si>
  <si>
    <t>Stainless Steel</t>
  </si>
  <si>
    <t>https://dd3ka9h4chfr8.cloudfront.net/image/725136000567/image_o5dkng8u5943d10dok87lqbj1h/-S150x150-FJPG/227724-001_PRM_1.jpg</t>
  </si>
  <si>
    <t>https://dd3ka9h4chfr8.cloudfront.net/image/725136000567/image_o5dkng8u5943d10dok87lqbj1h/-FJPG/227724-001_PRM_1.jpg</t>
  </si>
  <si>
    <t>https://dd3ka9h4chfr8.cloudfront.net/image/725136000567/image_tpbot06on91et1rnp6mrid0r61/-FJPG/227724-001_ESS.tif</t>
  </si>
  <si>
    <t>https://dd3ka9h4chfr8.cloudfront.net/image/725136000567/image_s8er2gcvol22rfpq0kl2bkh261/-FJPG/227724-001_DET_2.jpg</t>
  </si>
  <si>
    <t>https://dd3ka9h4chfr8.cloudfront.net/image/725136000567/image_dfal5tlb3t12fdkasrt2v3bu4p/-FJPG/227724-001_DET_1.jpg</t>
  </si>
  <si>
    <t>https://dd3ka9h4chfr8.cloudfront.net/image/725136000567/image_l8924v7n0h2gbaomjno21ss922/-FJPG/227724-001_DET_3.jpg</t>
  </si>
  <si>
    <t>https://dd3ka9h4chfr8.cloudfront.net/image/725136000567/image_us4tn5a9gh1khc7nnv4dl5985o/-FJPG/227724-001_TOP_1.jpg</t>
  </si>
  <si>
    <t>https://dd3ka9h4chfr8.cloudfront.net/image/725136000567/image_ub6gqktrm52bdad1c3stal9s2o/-FJPG/227724-001_DET_4.jpg</t>
  </si>
  <si>
    <t>https://dd3ka9h4chfr8.cloudfront.net/image/725136000567/image_m5f66fhhrl09v7hib90onbfk59/-FJPG/227724-001_DET_6.jpg</t>
  </si>
  <si>
    <t>https://dd3ka9h4chfr8.cloudfront.net/image/725136000567/image_06g61vff2p3dj4q938po7vfp77/-FJPG/227724-001_VIG_1.jpg</t>
  </si>
  <si>
    <t>Bibianna Dining Table - Smoked Honey</t>
  </si>
  <si>
    <t>https://dd3ka9h4chfr8.cloudfront.net/image/725136000567/image_sijq7c2hg57mbf48pdg4p3g76g/-S150x150-FJPG/224556-001_PRM_1.jpg</t>
  </si>
  <si>
    <t>https://dd3ka9h4chfr8.cloudfront.net/image/725136000567/image_tp2kqufsuh11b9r6jr7a18gd14/-FJPG/224556-001_ESS.tif</t>
  </si>
  <si>
    <t>https://dd3ka9h4chfr8.cloudfront.net/image/725136000567/image_7c97ruffnh6h92rbk2a67i8e1e/-FJPG/224556-001_ESS_1.jpg</t>
  </si>
  <si>
    <t>https://dd3ka9h4chfr8.cloudfront.net/image/725136000567/image_o0old46vlp4mr5sg8tm7p5p61k/-FJPG/224556-001_DET_2.jpg</t>
  </si>
  <si>
    <t>https://dd3ka9h4chfr8.cloudfront.net/image/725136000567/image_6fqk3ef1pl1ffdaop0fquatj4m/-FJPG/224556-001_INF_1.jpg</t>
  </si>
  <si>
    <t>https://dd3ka9h4chfr8.cloudfront.net/image/725136000567/image_cmv5imktpp31n7hls0scbqic6o/-FJPG/224556-001_DET_1.jpg</t>
  </si>
  <si>
    <t>https://dd3ka9h4chfr8.cloudfront.net/image/725136000567/image_m4b31uq9m138p9vj7brur97u2l/-FJPG/224556-001_DET_3.jpg</t>
  </si>
  <si>
    <t>https://dd3ka9h4chfr8.cloudfront.net/image/725136000567/image_vbb471ic0t0ll2j0ggk7aahp02/-FJPG/224556-001_DET_4.jpg</t>
  </si>
  <si>
    <t>https://dd3ka9h4chfr8.cloudfront.net/image/725136000567/image_g765h9m8o90ktarhhcjege137p/-FJPG/224556-001_DET_5.jpg</t>
  </si>
  <si>
    <t>https://dd3ka9h4chfr8.cloudfront.net/image/725136000567/image_378t7hu5kd6fd73on3a1ecr34d/-FJPG/224556-001_DET_6.jpg</t>
  </si>
  <si>
    <t>https://dd3ka9h4chfr8.cloudfront.net/image/725136000567/image_drmh5dvcgd3abf6ti4kpdkge7i/-FJPG/224556-001_DET_7.jpg</t>
  </si>
  <si>
    <t>https://dd3ka9h4chfr8.cloudfront.net/image/725136000567/image_8o0d1r2i5h4kh4l4ntukjg997r/-FJPG/224556-001_DET_8.jpg</t>
  </si>
  <si>
    <t>https://dd3ka9h4chfr8.cloudfront.net/image/725136000567/image_kc8uf4hc291tvcqc2l5qmkre79/-FJPG/FourHands2_7239.tif</t>
  </si>
  <si>
    <t>https://dd3ka9h4chfr8.cloudfront.net/image/725136000567/image_l22deei1q12o723i8u9iq6t00l/-FJPG/224556-001_VIG_3.jpg</t>
  </si>
  <si>
    <t>https://dd3ka9h4chfr8.cloudfront.net/image/725136000567/image_chm43h13kt3ddf6mm5667gmi5p/-S150x150-FJPG/224556-002_PRM_1.jpg</t>
  </si>
  <si>
    <t>https://dd3ka9h4chfr8.cloudfront.net/image/725136000567/image_1bstu78ua96lr27ab6blufu958/-FJPG/224556-002_ESS_1.jpg</t>
  </si>
  <si>
    <t>https://dd3ka9h4chfr8.cloudfront.net/image/725136000567/image_4mj5e95ur550peb20aelsthm1s/-FJPG/224556-002_DET_2.jpg</t>
  </si>
  <si>
    <t>https://dd3ka9h4chfr8.cloudfront.net/image/725136000567/image_mm8mfr0mm970b6cnn8qfqhoq2q/-FJPG/224556-002_DET_1.jpg</t>
  </si>
  <si>
    <t>https://dd3ka9h4chfr8.cloudfront.net/image/725136000567/image_cppt4b1bjt1171m0v1gmbi7s0d/-FJPG/224556-002_DET_3.jpg</t>
  </si>
  <si>
    <t>Bibianna Dining Table - Worn Black Parawood</t>
  </si>
  <si>
    <t>https://dd3ka9h4chfr8.cloudfront.net/image/725136000567/image_3ddbc0g3k10vd3772v6ofn1f2d/-S150x150-FJPG/224556-003_PRM_1.jpg</t>
  </si>
  <si>
    <t>https://dd3ka9h4chfr8.cloudfront.net/image/725136000567/image_fojsb3uaop04b319k7qaolot41/-FJPG/224556-003_ESS_1.jpg</t>
  </si>
  <si>
    <t>https://dd3ka9h4chfr8.cloudfront.net/image/725136000567/image_kvbffpt5cd7gd7bn7ktp4o6d63/-FJPG/224556-003_DET_2.jpg</t>
  </si>
  <si>
    <t>https://dd3ka9h4chfr8.cloudfront.net/image/725136000567/image_1lv2o97o990q77g698noctd56g/-FJPG/224556-003_DET_1.jpg</t>
  </si>
  <si>
    <t>https://dd3ka9h4chfr8.cloudfront.net/image/725136000567/image_4q7l5ch07t7610vt2q4aedd90n/-FJPG/224556-003_DET_3.jpg</t>
  </si>
  <si>
    <t>https://dd3ka9h4chfr8.cloudfront.net/image/725136000567/image_siv28daj1904f54uvuu2c04812/-FJPG/224556-003_DET_4.jpg</t>
  </si>
  <si>
    <t>https://dd3ka9h4chfr8.cloudfront.net/image/725136000567/image_goqn3msl4h3371rudup8578r3l/-FJPG/224556-003_DET_5.jpg</t>
  </si>
  <si>
    <t>https://dd3ka9h4chfr8.cloudfront.net/image/725136000567/image_7gsgsadlm56ur7433krgqc2b05/-FJPG/224556-003_DET_6.jpg</t>
  </si>
  <si>
    <t>https://dd3ka9h4chfr8.cloudfront.net/image/725136000567/image_h07ii1nug16snf54gcaiqpph3a/-FJPG/224556-003_DET_7.jpg</t>
  </si>
  <si>
    <t>Bindi Sideboard - Umber Brown Veneer</t>
  </si>
  <si>
    <t>https://dd3ka9h4chfr8.cloudfront.net/image/725136000567/image_hh9oa064sl2v96uv12dgog562n/-S150x150-FJPG/245350-001_PRM_1.jpg</t>
  </si>
  <si>
    <t>https://dd3ka9h4chfr8.cloudfront.net/image/725136000567/image_hh9oa064sl2v96uv12dgog562n/-FJPG/245350-001_PRM_1.jpg</t>
  </si>
  <si>
    <t>https://dd3ka9h4chfr8.cloudfront.net/image/725136000567/image_2i682p73m94freaobrtn4qej5t/-FJPG/245350-001_SID_1.jpg</t>
  </si>
  <si>
    <t>https://dd3ka9h4chfr8.cloudfront.net/image/725136000567/image_os4nhjdchd0hrc52jr3muapj2v/-FJPG/245350-001_ESS.tif</t>
  </si>
  <si>
    <t>https://dd3ka9h4chfr8.cloudfront.net/image/725136000567/image_ivg6ntpdd175t9bc4asjq4786c/-FJPG/245350-001_DET_2.jpg</t>
  </si>
  <si>
    <t>https://dd3ka9h4chfr8.cloudfront.net/image/725136000567/image_09dt0bttr57bhfb2kdt4qvs66u/-FJPG/245350-001_BCK_1.jpg</t>
  </si>
  <si>
    <t>https://dd3ka9h4chfr8.cloudfront.net/image/725136000567/image_f5a5nuuf0d0jhbm3snkgrn182u/-FJPG/245350-001_DET_1.jpg</t>
  </si>
  <si>
    <t>https://dd3ka9h4chfr8.cloudfront.net/image/725136000567/image_il202n6nrh6b74qvsgvpqddt3i/-FJPG/245350-001_DET_3.jpg</t>
  </si>
  <si>
    <t>https://dd3ka9h4chfr8.cloudfront.net/image/725136000567/image_d91loqo9j90vd6euo568t5fa62/-FJPG/245350-001_OPN_1.jpg</t>
  </si>
  <si>
    <t>https://dd3ka9h4chfr8.cloudfront.net/image/725136000567/image_2o7tnpvehd0e5fja1afroc1p37/-FJPG/245350-001_TOP_1.jpg</t>
  </si>
  <si>
    <t>https://dd3ka9h4chfr8.cloudfront.net/image/725136000567/image_26f987sjl513p9mu8928qnd74k/-FJPG/245350-001_DET_4.jpg</t>
  </si>
  <si>
    <t>https://dd3ka9h4chfr8.cloudfront.net/image/725136000567/image_lamvurvr111879csaq740tab7v/-FJPG/245350-001_DET_5.jpg</t>
  </si>
  <si>
    <t>https://dd3ka9h4chfr8.cloudfront.net/image/725136000567/image_htige494112l1cng1hsc81sk48/-FJPG/245350-001_DET_6.jpg</t>
  </si>
  <si>
    <t>https://dd3ka9h4chfr8.cloudfront.net/image/725136000567/image_maoqcfhl6d6fh7e5hd7gk3mj0t/-FJPG/245350-001_DET_7.jpg</t>
  </si>
  <si>
    <t>https://dd3ka9h4chfr8.cloudfront.net/image/725136000567/image_1ojpodd8vh47n3rqlguu25n25m/-FJPG/245350-001_DET_9.tif</t>
  </si>
  <si>
    <t>Bingham Coffee Table - Rustic Oak Veneer</t>
  </si>
  <si>
    <t>https://dd3ka9h4chfr8.cloudfront.net/image/725136000567/image_lr619bj0fp5rrbb2bvcdo0t72j/-S150x150-FJPG/223619-001_PRM_1.jpg</t>
  </si>
  <si>
    <t>https://dd3ka9h4chfr8.cloudfront.net/image/725136000567/image_lr619bj0fp5rrbb2bvcdo0t72j/-FJPG/223619-001_PRM_1.jpg</t>
  </si>
  <si>
    <t>https://dd3ka9h4chfr8.cloudfront.net/image/725136000567/image_6uncj8cos17bhbrm2gspumtb25/-FJPG/223619-001_SID_1.jpg</t>
  </si>
  <si>
    <t>https://dd3ka9h4chfr8.cloudfront.net/image/725136000567/image_67fpacpce52t1de8814a360m1o/-FJPG/223619-001_ESS_1.jpg</t>
  </si>
  <si>
    <t>https://dd3ka9h4chfr8.cloudfront.net/image/725136000567/image_6nkrjc72f53dren2f0kv7c123c/-FJPG/223619-001_DET_2.jpg</t>
  </si>
  <si>
    <t>https://dd3ka9h4chfr8.cloudfront.net/image/725136000567/image_bq4rrasqdt40v1id7gomli887s/-FJPG/223619-001_DET_1.jpg</t>
  </si>
  <si>
    <t>https://dd3ka9h4chfr8.cloudfront.net/image/725136000567/image_9oik2jrta142r9903ceo0msn38/-FJPG/223619-001_DET_3.jpg</t>
  </si>
  <si>
    <t>https://dd3ka9h4chfr8.cloudfront.net/image/725136000567/image_c6mcbhstit3slc9r74dlqdhp2h/-FJPG/223619-001_TOP_1.jpg</t>
  </si>
  <si>
    <t>https://dd3ka9h4chfr8.cloudfront.net/image/725136000567/image_v567n75j796gd4nulas6s3e87l/-FJPG/223619-001_DET_4.jpg</t>
  </si>
  <si>
    <t>https://dd3ka9h4chfr8.cloudfront.net/image/725136000567/image_3ps81qr9397ud17sb21ml2h86k/-FJPG/223619-001_DET_5.jpg</t>
  </si>
  <si>
    <t>https://dd3ka9h4chfr8.cloudfront.net/image/725136000567/image_nigdtcrp9h2jh56uunuq5loh3h/-FJPG/223619-001_DET_6.jpg</t>
  </si>
  <si>
    <t>https://dd3ka9h4chfr8.cloudfront.net/image/725136000567/image_k23pr3u6ct7tp1as5as4bpo971/-FJPG/223619-001_ROM_1.jpg</t>
  </si>
  <si>
    <t>https://dd3ka9h4chfr8.cloudfront.net/image/725136000567/image_j6ssi532s501vcg1dlngjojk5u/-S150x150-FJPG/223619-002_PRM_1.jpg</t>
  </si>
  <si>
    <t>https://dd3ka9h4chfr8.cloudfront.net/image/725136000567/image_j6ssi532s501vcg1dlngjojk5u/-FJPG/223619-002_PRM_1.jpg</t>
  </si>
  <si>
    <t>https://dd3ka9h4chfr8.cloudfront.net/image/725136000567/image_n765n1r5p10t7ctffgn7sgo23g/-FJPG/223619-002_ESS_1.jpg</t>
  </si>
  <si>
    <t>https://dd3ka9h4chfr8.cloudfront.net/image/725136000567/image_dffipp53nh2ah68aknq91fk63v/-FJPG/223619-002_DET_2.jpg</t>
  </si>
  <si>
    <t>https://dd3ka9h4chfr8.cloudfront.net/image/725136000567/image_cq357ska0t4n77n677pvsfoq50/-FJPG/223619-002_DET_1.jpg</t>
  </si>
  <si>
    <t>https://dd3ka9h4chfr8.cloudfront.net/image/725136000567/image_ucj018mhg96bf4gmdj9258lf3c/-FJPG/223619-002_DET_3.jpg</t>
  </si>
  <si>
    <t>https://dd3ka9h4chfr8.cloudfront.net/image/725136000567/image_0optd2hvdt1dt15pqivtbjg91l/-FJPG/223619-002_DET_4.jpg</t>
  </si>
  <si>
    <t>https://dd3ka9h4chfr8.cloudfront.net/image/725136000567/image_llapojhjut0n1fiou8qcjolc2l/-FJPG/223619-002_DET_5.jpg</t>
  </si>
  <si>
    <t>https://dd3ka9h4chfr8.cloudfront.net/image/725136000567/image_enc4g2ibdd46nahrbfhtj7aq2i/-FJPG/223619-002_DET_7.jpg</t>
  </si>
  <si>
    <t>Bingham Console Table - Rustic Oak Veneer</t>
  </si>
  <si>
    <t>https://dd3ka9h4chfr8.cloudfront.net/image/725136000567/image_akvrpnl7u932v5bv6of4el2a1q/-S150x150-FJPG/223621-001_PRM_1.jpg</t>
  </si>
  <si>
    <t>https://dd3ka9h4chfr8.cloudfront.net/image/725136000567/image_akvrpnl7u932v5bv6of4el2a1q/-FJPG/223621-001_PRM_1.jpg</t>
  </si>
  <si>
    <t>https://dd3ka9h4chfr8.cloudfront.net/image/725136000567/image_pub523mddl6ohco6kcmsv3bt05/-FJPG/223621-001_SID_1.jpg</t>
  </si>
  <si>
    <t>https://dd3ka9h4chfr8.cloudfront.net/image/725136000567/image_s9mfj962c50opf97ebtl7dlo75/-FJPG/223621-001_ESS_1.jpg</t>
  </si>
  <si>
    <t>https://dd3ka9h4chfr8.cloudfront.net/image/725136000567/image_hq6hqv1rj109n2asjimtnstq63/-FJPG/223621-001_DET_2.jpg</t>
  </si>
  <si>
    <t>https://dd3ka9h4chfr8.cloudfront.net/image/725136000567/image_44do4vbjqd0df84njcngmnht3e/-FJPG/223621-001_DET_1.jpg</t>
  </si>
  <si>
    <t>https://dd3ka9h4chfr8.cloudfront.net/image/725136000567/image_6jg6ilko0l25r4q06onfir793j/-FJPG/223621-001_DET_3.jpg</t>
  </si>
  <si>
    <t>https://dd3ka9h4chfr8.cloudfront.net/image/725136000567/image_poaitbqm5116n78u5pgeiv5c6q/-FJPG/223621-001_DET_4.jpg</t>
  </si>
  <si>
    <t>https://dd3ka9h4chfr8.cloudfront.net/image/725136000567/image_fah38k6qqp61l8b15ijqvtld14/-FJPG/223621-001_DET_5.jpg</t>
  </si>
  <si>
    <t>https://dd3ka9h4chfr8.cloudfront.net/image/725136000567/image_ipdp6h8lrh24r4etdld1f5887f/-FJPG/223621-001_DET_6.jpg</t>
  </si>
  <si>
    <t>https://dd3ka9h4chfr8.cloudfront.net/image/725136000567/image_7av1l783at2fb08er18m214a1l/-FJPG/223621-001_DET_7.jpg</t>
  </si>
  <si>
    <t>https://dd3ka9h4chfr8.cloudfront.net/image/725136000567/image_6jbu98v8vt3hjb5hssout14r53/-FJPG/223621-001_DET_8.jpg</t>
  </si>
  <si>
    <t>https://dd3ka9h4chfr8.cloudfront.net/image/725136000567/image_tmk1hn4lpt0u5er832hg691j16/-FJPG/223621-001_ROM_1.jpg</t>
  </si>
  <si>
    <t>https://dd3ka9h4chfr8.cloudfront.net/image/725136000567/image_adk7bm1nbl275bd6eidml23o1g/-FJPG/223621-001_PRM_2.jpg</t>
  </si>
  <si>
    <t>Bingham End Table - Rustic Oak Veneer</t>
  </si>
  <si>
    <t>https://dd3ka9h4chfr8.cloudfront.net/image/725136000567/image_vqm6ssa12t4ft9654vqsnqfd3u/-S150x150-FJPG/223620-001_PRM_1.jpg</t>
  </si>
  <si>
    <t>https://dd3ka9h4chfr8.cloudfront.net/image/725136000567/image_vqm6ssa12t4ft9654vqsnqfd3u/-FJPG/223620-001_PRM_1.jpg</t>
  </si>
  <si>
    <t>https://dd3ka9h4chfr8.cloudfront.net/image/725136000567/image_fl3cuqf1n976tcj24rbt8s4m20/-FJPG/223620-001_SID_1.jpg</t>
  </si>
  <si>
    <t>https://dd3ka9h4chfr8.cloudfront.net/image/725136000567/image_4qbeq9s5fd5r52kn6i17llev3k/-FJPG/223620-001_ESS.tif</t>
  </si>
  <si>
    <t>https://dd3ka9h4chfr8.cloudfront.net/image/725136000567/image_n6slkrg2gd2cpe6oa4q1o5ll60/-FJPG/223620-001_DET_2.jpg</t>
  </si>
  <si>
    <t>https://dd3ka9h4chfr8.cloudfront.net/image/725136000567/image_htpapa59710or8sau6ku3jkq2k/-FJPG/223620-001_DET_1.jpg</t>
  </si>
  <si>
    <t>https://dd3ka9h4chfr8.cloudfront.net/image/725136000567/image_el2iqhvrol1et0o0v8mu6g486d/-FJPG/223620-001_DET_3.jpg</t>
  </si>
  <si>
    <t>https://dd3ka9h4chfr8.cloudfront.net/image/725136000567/image_2u9gdc3j815pp3r4p6bha0ln22/-FJPG/223620-001_TOP_1.jpg</t>
  </si>
  <si>
    <t>https://dd3ka9h4chfr8.cloudfront.net/image/725136000567/image_641lbpjng10q75oc3ssvelk31s/-FJPG/223620-001_DET_4.jpg</t>
  </si>
  <si>
    <t>https://dd3ka9h4chfr8.cloudfront.net/image/725136000567/image_0e998n8rq110n6qohgvdmmm70l/-FJPG/223620-001_DET_5.jpg</t>
  </si>
  <si>
    <t>https://dd3ka9h4chfr8.cloudfront.net/image/725136000567/image_5eeed7690t33t0149arepfgr30/-S150x150-FJPG/223620-002_PRM_1.jpg</t>
  </si>
  <si>
    <t>https://dd3ka9h4chfr8.cloudfront.net/image/725136000567/image_5eeed7690t33t0149arepfgr30/-FJPG/223620-002_PRM_1.jpg</t>
  </si>
  <si>
    <t>https://dd3ka9h4chfr8.cloudfront.net/image/725136000567/image_fc1me0ed8p1vn2prh8qpcoen3l/-FJPG/223620-002_ESS.tif</t>
  </si>
  <si>
    <t>https://dd3ka9h4chfr8.cloudfront.net/image/725136000567/image_j6ddckh2r13k9ehvl7o81ima2v/-FJPG/223620-002_DET_2.jpg</t>
  </si>
  <si>
    <t>https://dd3ka9h4chfr8.cloudfront.net/image/725136000567/image_f23o8quocd36v65r79kk2n8b5p/-FJPG/223620-002_DET_1.jpg</t>
  </si>
  <si>
    <t>https://dd3ka9h4chfr8.cloudfront.net/image/725136000567/image_msip3bl2dh5u38g794uj80rk3s/-FJPG/223620-002_DET_3.jpg</t>
  </si>
  <si>
    <t>https://dd3ka9h4chfr8.cloudfront.net/image/725136000567/image_hk6ice3ndl4jvdt67toct44n4p/-FJPG/223620-002_DET_4.jpg</t>
  </si>
  <si>
    <t>https://dd3ka9h4chfr8.cloudfront.net/image/725136000567/image_cvua24o8tl3a5ft16k1m1fso4p/-FJPG/223620-002_DET_5.jpg</t>
  </si>
  <si>
    <t>https://dd3ka9h4chfr8.cloudfront.net/image/725136000567/image_r24nd3vs3t6cvf9i1jpg2s710u/-FJPG/223620-002_DET_6.jpg</t>
  </si>
  <si>
    <t>Bingham Large Coffee Table - Distressed Iron</t>
  </si>
  <si>
    <t>https://dd3ka9h4chfr8.cloudfront.net/image/725136000567/image_ss06i8sb6h4l3biu3aure4731u/-S150x150-FJPG/239681-001_PRM_1.jpg</t>
  </si>
  <si>
    <t>https://dd3ka9h4chfr8.cloudfront.net/image/725136000567/image_ss06i8sb6h4l3biu3aure4731u/-FJPG/239681-001_PRM_1.jpg</t>
  </si>
  <si>
    <t>https://dd3ka9h4chfr8.cloudfront.net/image/725136000567/image_njki7elkjp3ap0fu7rfnvg5g51/-FJPG/239681-001_SID_1.jpg</t>
  </si>
  <si>
    <t>https://dd3ka9h4chfr8.cloudfront.net/image/725136000567/image_vojfj2qbk90r5d1mh2jufgva1h/-FJPG/239681-001_ESS_1.tif</t>
  </si>
  <si>
    <t>https://dd3ka9h4chfr8.cloudfront.net/image/725136000567/image_beuid6bhl14qp22814coqvrs6b/-FJPG/239681-001_DET_2.jpg</t>
  </si>
  <si>
    <t>https://dd3ka9h4chfr8.cloudfront.net/image/725136000567/image_jk61h7raet2hn1nrn7dh69ur5v/-FJPG/239681-001_BCK_1.jpg</t>
  </si>
  <si>
    <t>https://dd3ka9h4chfr8.cloudfront.net/image/725136000567/image_3g475mua697u9cp4bi1kreb13c/-FJPG/239681-001_DET_1.jpg</t>
  </si>
  <si>
    <t>https://dd3ka9h4chfr8.cloudfront.net/image/725136000567/image_5es1ls1rql06p2amaml0lfsk4h/-FJPG/239681-001_DET_3.jpg</t>
  </si>
  <si>
    <t>https://dd3ka9h4chfr8.cloudfront.net/image/725136000567/image_vmoij071n932t5vq15mnom0q2n/-FJPG/239681-001_TOP_1.jpg</t>
  </si>
  <si>
    <t>https://dd3ka9h4chfr8.cloudfront.net/image/725136000567/image_95uomgb011169e6lac4rgrrp2j/-FJPG/239681-001_DET_4.jpg</t>
  </si>
  <si>
    <t>https://dd3ka9h4chfr8.cloudfront.net/image/725136000567/image_9pdlaanm0p04r5koms13not34e/-FJPG/239681-001_DET_5.jpg</t>
  </si>
  <si>
    <t>https://dd3ka9h4chfr8.cloudfront.net/image/725136000567/image_kofbroplh108745splrcjfim08/-FJPG/239681-001_DET_6.jpg</t>
  </si>
  <si>
    <t>https://dd3ka9h4chfr8.cloudfront.net/image/725136000567/image_mrbksj82tp12pdk5or5gd88t69/-FJPG/239681-001_DET_9.tif</t>
  </si>
  <si>
    <t>Binx Swivel Chair - Heirloom Sienna</t>
  </si>
  <si>
    <t>https://dd3ka9h4chfr8.cloudfront.net/image/725136000567/image_hl0obdf9rp3vvc9o758l8v9i6l/-S150x150-FJPG/226429-002_PRM_1.jpg</t>
  </si>
  <si>
    <t>https://dd3ka9h4chfr8.cloudfront.net/image/725136000567/image_hl0obdf9rp3vvc9o758l8v9i6l/-FJPG/226429-002_PRM_1.jpg</t>
  </si>
  <si>
    <t>https://dd3ka9h4chfr8.cloudfront.net/image/725136000567/image_nfc3fgo4ql0a3em7an2b45ot1k/-FJPG/226429-002_SID_1.jpg</t>
  </si>
  <si>
    <t>https://dd3ka9h4chfr8.cloudfront.net/image/725136000567/image_0s85ehhifh37lfr4jqkgq0pj11/-FJPG/226429-002_ESS_1.jpg</t>
  </si>
  <si>
    <t>https://dd3ka9h4chfr8.cloudfront.net/image/725136000567/image_a32pqtfffl6ofaqt8e64lphc5n/-FJPG/226429-002_DET_2.jpg</t>
  </si>
  <si>
    <t>https://dd3ka9h4chfr8.cloudfront.net/image/725136000567/image_cvkn0hbkkd0jfev9rgj7pjkt01/-FJPG/226429-002_BCK_1.jpg</t>
  </si>
  <si>
    <t>https://dd3ka9h4chfr8.cloudfront.net/image/725136000567/image_i0bin5b0ll70jdekaeh3uplv7r/-FJPG/226429-002_DET_1.jpg</t>
  </si>
  <si>
    <t>https://dd3ka9h4chfr8.cloudfront.net/image/725136000567/image_8c22fm32gp46t2cecfl01oif6s/-FJPG/226429-002_DET_3.jpg</t>
  </si>
  <si>
    <t>https://dd3ka9h4chfr8.cloudfront.net/image/725136000567/image_94vcenblod15b8jdtenhv27i3b/-FJPG/226429-002_DET_4.jpg</t>
  </si>
  <si>
    <t>https://dd3ka9h4chfr8.cloudfront.net/image/725136000567/image_s1d59covpd5phel9rngir8n93o/-FJPG/226429-002_DET_5.jpg</t>
  </si>
  <si>
    <t>https://dd3ka9h4chfr8.cloudfront.net/image/725136000567/image_2ruicia0qp309an0bkhb9gpj0q/-FJPG/FHMPRJ22-005_234875-006_226429-002_230874-002_.jpg</t>
  </si>
  <si>
    <t>https://dd3ka9h4chfr8.cloudfront.net/image/725136000567/image_o5qt7ff3a9325d5aea58uutl49/-FJPG/234875-006_226429-002_230874-002_.jpg</t>
  </si>
  <si>
    <t>Bloomfield Media Console - Worn Oak Veneer</t>
  </si>
  <si>
    <t>https://dd3ka9h4chfr8.cloudfront.net/image/725136000567/image_5fupf2vt294p12os0un9sjeq6q/-S150x150-FJPG/248140-001_PRM_1.jpg</t>
  </si>
  <si>
    <t>https://dd3ka9h4chfr8.cloudfront.net/image/725136000567/image_5fupf2vt294p12os0un9sjeq6q/-FJPG/248140-001_PRM_1.jpg</t>
  </si>
  <si>
    <t>https://dd3ka9h4chfr8.cloudfront.net/image/725136000567/image_gsvjbkhi717plfe1ab2h5q0o4s/-FJPG/248140-001_SID_1.jpg</t>
  </si>
  <si>
    <t>https://dd3ka9h4chfr8.cloudfront.net/image/725136000567/image_anls7gdpal0nt3pssg4h97ld2m/-FJPG/248140-001_ESS.tif</t>
  </si>
  <si>
    <t>https://dd3ka9h4chfr8.cloudfront.net/image/725136000567/image_8mhb45l6d531fauhtfom86o627/-FJPG/248140-001_DET_2.jpg</t>
  </si>
  <si>
    <t>https://dd3ka9h4chfr8.cloudfront.net/image/725136000567/image_bmpso6ai5l29t1akncsii41c0a/-FJPG/248140-001_BCK_1.jpg</t>
  </si>
  <si>
    <t>https://dd3ka9h4chfr8.cloudfront.net/image/725136000567/image_ntaup2cm5l1c99d8r7jis75m7c/-FJPG/248140-001_DET_1.jpg</t>
  </si>
  <si>
    <t>https://dd3ka9h4chfr8.cloudfront.net/image/725136000567/image_v8fbran81t4n36m2ho2b2ef53i/-FJPG/248140-001_DET_3.jpg</t>
  </si>
  <si>
    <t>https://dd3ka9h4chfr8.cloudfront.net/image/725136000567/image_7ih4rcfsqh4jtc2404287fnd5d/-FJPG/248140-001_OPN_1.jpg</t>
  </si>
  <si>
    <t>https://dd3ka9h4chfr8.cloudfront.net/image/725136000567/image_iqa1i940gl0r7fdsb584s2mh3b/-FJPG/248140-001_TOP_1.jpg</t>
  </si>
  <si>
    <t>https://dd3ka9h4chfr8.cloudfront.net/image/725136000567/image_u0bifspe110af3t3mkh1dvtb7p/-FJPG/248140-001_DET_4.jpg</t>
  </si>
  <si>
    <t>https://dd3ka9h4chfr8.cloudfront.net/image/725136000567/image_32hm67mpah0an3l351vpde2l15/-FJPG/248140-001_DET_5.jpg</t>
  </si>
  <si>
    <t>https://dd3ka9h4chfr8.cloudfront.net/image/725136000567/image_8pi6vfqmtd4t7b4ildm7a8k715/-FJPG/248140-001_DET_7.jpg</t>
  </si>
  <si>
    <t>https://dd3ka9h4chfr8.cloudfront.net/image/725136000567/image_a7s1fousol3f16t0su524ot26q/-FJPG/248140-001_DET_9.tif</t>
  </si>
  <si>
    <t>https://dd3ka9h4chfr8.cloudfront.net/image/725136000567/image_41shngen555o1echptc661535u/-FJPG/248140-001_DET_10.tif</t>
  </si>
  <si>
    <t>Bloor Sleeper Sofa-95'' - Essence Natural</t>
  </si>
  <si>
    <t>49% Viscose (Rayon)</t>
  </si>
  <si>
    <t>22% Flax/Linen</t>
  </si>
  <si>
    <t>18% Polyester</t>
  </si>
  <si>
    <t>11% Cotton</t>
  </si>
  <si>
    <t>https://dd3ka9h4chfr8.cloudfront.net/image/725136000567/image_udrbtn9av556h7g3l09c8fil04/-S150x150-FJPG/109525-009_PRM_1.jpg</t>
  </si>
  <si>
    <t>https://dd3ka9h4chfr8.cloudfront.net/image/725136000567/image_udrbtn9av556h7g3l09c8fil04/-FJPG/109525-009_PRM_1.jpg</t>
  </si>
  <si>
    <t>https://dd3ka9h4chfr8.cloudfront.net/image/725136000567/image_0kaeadq4et3u3epho9i5bqus11/-FJPG/109525-009_SID_1.jpg</t>
  </si>
  <si>
    <t>https://dd3ka9h4chfr8.cloudfront.net/image/725136000567/image_0t1p8m2bqh7pv3gcbjp88hdk45/-FJPG/109525-009_ESS_1.jpg</t>
  </si>
  <si>
    <t>https://dd3ka9h4chfr8.cloudfront.net/image/725136000567/image_486thvobld1ojcungig47t084f/-FJPG/109525-009_BCK_1.jpg</t>
  </si>
  <si>
    <t>https://dd3ka9h4chfr8.cloudfront.net/image/725136000567/image_d02dsbckcd2i374tf5mdajes03/-FJPG/109525-009_TOP_1.jpg</t>
  </si>
  <si>
    <t>https://dd3ka9h4chfr8.cloudfront.net/image/725136000567/image_kialv1cuk16jn7t3ehdinr7d71/-FJPG/109525-009_ESS_2.jpg</t>
  </si>
  <si>
    <t>https://dd3ka9h4chfr8.cloudfront.net/image/725136000567/image_vki8ta54bl1517ilvq215di46g/-FJPG/109525-009_PRM_2.jpg</t>
  </si>
  <si>
    <t>https://dd3ka9h4chfr8.cloudfront.net/image/725136000567/image_hpcunm1qrd71tck9f0lkmkm02q/-FJPG/109525-009_PRM_3.jpg</t>
  </si>
  <si>
    <t>Bloor Sofa - Essence Natural</t>
  </si>
  <si>
    <t>https://dd3ka9h4chfr8.cloudfront.net/image/725136000567/image_njh44311dl7cnekcios95pgt45/-S150x150-FJPG/UATR-064-377_PRM_1.jpg</t>
  </si>
  <si>
    <t>https://dd3ka9h4chfr8.cloudfront.net/image/725136000567/image_njh44311dl7cnekcios95pgt45/-FJPG/UATR-064-377_PRM_1.jpg</t>
  </si>
  <si>
    <t>https://dd3ka9h4chfr8.cloudfront.net/image/725136000567/image_4kjulagq4h3dv7g0kgfpcl2d78/-FJPG/UATR-064-377_SID_1.jpg</t>
  </si>
  <si>
    <t>https://dd3ka9h4chfr8.cloudfront.net/image/725136000567/image_u36mrotch54npeop7k768j6c5k/-FJPG/UATR-064-377_ESS_1.jpg</t>
  </si>
  <si>
    <t>https://dd3ka9h4chfr8.cloudfront.net/image/725136000567/image_i1dbrg2kq92st8c6vekepium4e/-FJPG/UATR-064-377_BCK_1.jpg</t>
  </si>
  <si>
    <t>https://dd3ka9h4chfr8.cloudfront.net/image/725136000567/image_jp8glaimt126jagiq8jfarfo21/-FJPG/UATR-064-377_DET_3.jpg</t>
  </si>
  <si>
    <t>https://dd3ka9h4chfr8.cloudfront.net/image/725136000567/image_1nndmperl5739ago0rmomnqa55/-FJPG/UATR-064-377_TOP_1.jpg</t>
  </si>
  <si>
    <t>https://dd3ka9h4chfr8.cloudfront.net/image/725136000567/image_fdqfr3edpd76tbb4t04l3csh3l/-FJPG/UATR-064-377_DET_4.jpg</t>
  </si>
  <si>
    <t>https://dd3ka9h4chfr8.cloudfront.net/image/725136000567/image_bdtf57ivm17edad14tkd36me0g/-FJPG/UATR-064-377_DET_5.jpg</t>
  </si>
  <si>
    <t>https://dd3ka9h4chfr8.cloudfront.net/image/725136000567/image_jm23e78s157gtckd71em9ic647/-FJPG/UATR-064-377_VIG_1.jpg</t>
  </si>
  <si>
    <t>Bloor Sofa - Landale Charcoal</t>
  </si>
  <si>
    <t>https://dd3ka9h4chfr8.cloudfront.net/image/725136000567/image_ug52404odh46tdj8icjmu8br1h/-S150x150-FJPG/105941-022_PRM_1.jpg</t>
  </si>
  <si>
    <t>https://dd3ka9h4chfr8.cloudfront.net/image/725136000567/image_ug52404odh46tdj8icjmu8br1h/-FJPG/105941-022_PRM_1.jpg</t>
  </si>
  <si>
    <t>https://dd3ka9h4chfr8.cloudfront.net/image/725136000567/image_5hbfmvbipd5h55oh6ahr49985q/-FJPG/105941-022_SID_1.jpg</t>
  </si>
  <si>
    <t>https://dd3ka9h4chfr8.cloudfront.net/image/725136000567/image_cim7f682pd59j8kbqj2hb5h569/-FJPG/105941-022_BCK_1.jpg</t>
  </si>
  <si>
    <t>https://dd3ka9h4chfr8.cloudfront.net/image/725136000567/image_55pr8j5jbd071bjc7colovnm59/-FJPG/105941-022_TOP_1.jpg</t>
  </si>
  <si>
    <t>Boden Chair - Palermo Cigar</t>
  </si>
  <si>
    <t>https://dd3ka9h4chfr8.cloudfront.net/image/725136000567/image_89qb5i2hml5k5c308aj83jpr6q/-S150x150-FJPG/238567-003_PRM_1.jpg</t>
  </si>
  <si>
    <t>https://dd3ka9h4chfr8.cloudfront.net/image/725136000567/image_89qb5i2hml5k5c308aj83jpr6q/-FJPG/238567-003_PRM_1.jpg</t>
  </si>
  <si>
    <t>https://dd3ka9h4chfr8.cloudfront.net/image/725136000567/image_85s6m371il4vb2ri0cid5d7a6n/-FJPG/238567-003_SID_1.jpg</t>
  </si>
  <si>
    <t>https://dd3ka9h4chfr8.cloudfront.net/image/725136000567/image_r96lnmqs317pd9j7bc0j14h65b/-FJPG/238567-003_ESS.tif</t>
  </si>
  <si>
    <t>https://dd3ka9h4chfr8.cloudfront.net/image/725136000567/image_e1u3kuag552utan6gofahmvr2h/-FJPG/238567-003_DET_2.jpg</t>
  </si>
  <si>
    <t>https://dd3ka9h4chfr8.cloudfront.net/image/725136000567/image_kf3ul0mqk518n6eamse89eaj39/-FJPG/238567-003_BCK_1.jpg</t>
  </si>
  <si>
    <t>https://dd3ka9h4chfr8.cloudfront.net/image/725136000567/image_9aqulp4k3d5g54mvreaqlg531h/-FJPG/238567-003_DET_1.jpg</t>
  </si>
  <si>
    <t>https://dd3ka9h4chfr8.cloudfront.net/image/725136000567/image_d0qdbcbq7d74t5fbbftj7vla5u/-FJPG/238567-003_DET_3.jpg</t>
  </si>
  <si>
    <t>https://dd3ka9h4chfr8.cloudfront.net/image/725136000567/image_1ae589ebf95d3djopl25cih22k/-FJPG/238567-003_DET_4.jpg</t>
  </si>
  <si>
    <t>https://dd3ka9h4chfr8.cloudfront.net/image/725136000567/image_04bf00bvhd4f32ged0uv54906r/-FJPG/238567-003_DET_5.jpg</t>
  </si>
  <si>
    <t>https://dd3ka9h4chfr8.cloudfront.net/image/725136000567/image_7a19olle9d7er082meipvmoa2l/-FJPG/238567-003_DET_9.tif</t>
  </si>
  <si>
    <t>Boone Sofa - Thames Coal</t>
  </si>
  <si>
    <t>https://dd3ka9h4chfr8.cloudfront.net/image/725136000567/image_sfqhv2q3mt1k5bonhlur4gib2c/-S150x150-FJPG/CKEN-29864-829P_PRM_1.jpg</t>
  </si>
  <si>
    <t>https://dd3ka9h4chfr8.cloudfront.net/image/725136000567/image_sfqhv2q3mt1k5bonhlur4gib2c/-FJPG/CKEN-29864-829P_PRM_1.jpg</t>
  </si>
  <si>
    <t>https://dd3ka9h4chfr8.cloudfront.net/image/725136000567/image_up9lloi6894jj6gkukt6sruc2h/-FJPG/CKEN-29864-829P_SID_1.jpg</t>
  </si>
  <si>
    <t>https://dd3ka9h4chfr8.cloudfront.net/image/725136000567/image_47e7qvkcqd27ven6ta8luj0k5q/-FJPG/CKEN-29864-829P_ESS_1.jpg</t>
  </si>
  <si>
    <t>https://dd3ka9h4chfr8.cloudfront.net/image/725136000567/image_v7kkav3ahl4a5boudk501mvs6h/-FJPG/CKEN-29864-829P_DET_2.jpg</t>
  </si>
  <si>
    <t>https://dd3ka9h4chfr8.cloudfront.net/image/725136000567/image_4q3c7d689h4v3e5br2u7lst44v/-FJPG/CKEN-29864-829P_BCK_1.jpg</t>
  </si>
  <si>
    <t>https://dd3ka9h4chfr8.cloudfront.net/image/725136000567/image_2riam03lrh5rjcfq96l52dhi5o/-FJPG/CKEN-29864-829P_INF_1.jpg</t>
  </si>
  <si>
    <t>https://dd3ka9h4chfr8.cloudfront.net/image/725136000567/image_pn1kl66p3915hf4mvjui1j9v4r/-FJPG/CKEN-29864-829P_DET_1.jpg</t>
  </si>
  <si>
    <t>https://dd3ka9h4chfr8.cloudfront.net/image/725136000567/image_h9h99bh5ql0er5ddv5379q1t5a/-FJPG/CKEN-29864-829P_DET_3.jpg</t>
  </si>
  <si>
    <t>https://dd3ka9h4chfr8.cloudfront.net/image/725136000567/image_m5830thga530leoup3sktbrl7c/-FJPG/CKEN-29864-829P_DET_4.jpg</t>
  </si>
  <si>
    <t>https://dd3ka9h4chfr8.cloudfront.net/image/725136000567/image_6541gdc3c57and7491etgg8d3d/-FJPG/CKEN-29864-829P_DET_5.jpg</t>
  </si>
  <si>
    <t>https://dd3ka9h4chfr8.cloudfront.net/image/725136000567/image_imf6l1gqbd3sf0n0kcavvbgt0p/-FJPG/CKEN-29864-829P_DET_6.jpg</t>
  </si>
  <si>
    <t>Boone Sofa - Thames Cream</t>
  </si>
  <si>
    <t>https://dd3ka9h4chfr8.cloudfront.net/image/725136000567/image_f6shhv1f0p5p5331a9i0f4064n/-S150x150-FJPG/100939-003_PRM_1.JPG</t>
  </si>
  <si>
    <t>https://dd3ka9h4chfr8.cloudfront.net/image/725136000567/image_f6shhv1f0p5p5331a9i0f4064n/-FJPG/100939-003_PRM_1.JPG</t>
  </si>
  <si>
    <t>https://dd3ka9h4chfr8.cloudfront.net/image/725136000567/image_2uha834e7p6ovfeml98o8pgb4t/-FJPG/100939-003_SID_1.JPG</t>
  </si>
  <si>
    <t>https://dd3ka9h4chfr8.cloudfront.net/image/725136000567/image_3nub4cjer95hv910im7geoks1l/-FJPG/100939-003_ESS_1.jpg</t>
  </si>
  <si>
    <t>https://dd3ka9h4chfr8.cloudfront.net/image/725136000567/image_51ae3199b95g517kbt24v6fh1c/-FJPG/100939-003_DET_2.JPG</t>
  </si>
  <si>
    <t>https://dd3ka9h4chfr8.cloudfront.net/image/725136000567/image_bdf7ftpv5h2spfa8cr1at0ig3l/-FJPG/100939-003_BCK_1.JPG</t>
  </si>
  <si>
    <t>https://dd3ka9h4chfr8.cloudfront.net/image/725136000567/image_sp14r6si3t6v538f9dkbs9vb5t/-FJPG/100939-003_INF_1.jpg</t>
  </si>
  <si>
    <t>https://dd3ka9h4chfr8.cloudfront.net/image/725136000567/image_1c0rcaisal29nedjao6pvf5e34/-FJPG/100939-003_DET_1.JPG</t>
  </si>
  <si>
    <t>https://dd3ka9h4chfr8.cloudfront.net/image/725136000567/image_kaetbp776l3fvc7l72h0t7eo0s/-FJPG/100939-003_DET_3.JPG</t>
  </si>
  <si>
    <t>Bowen Bed - Sheepskin Natural</t>
  </si>
  <si>
    <t>https://dd3ka9h4chfr8.cloudfront.net/image/725136000567/image_iqfbk4q1116pha0143sv97g518/-S150x150-FJPG/226071-006_PRM_1.jpg</t>
  </si>
  <si>
    <t>https://dd3ka9h4chfr8.cloudfront.net/image/725136000567/image_iqfbk4q1116pha0143sv97g518/-FJPG/226071-006_PRM_1.jpg</t>
  </si>
  <si>
    <t>https://dd3ka9h4chfr8.cloudfront.net/image/725136000567/image_tae2ou8iup0p361fh66aa9ov2j/-FJPG/226071-006_SID_1.jpg</t>
  </si>
  <si>
    <t>https://dd3ka9h4chfr8.cloudfront.net/image/725136000567/image_0vnpk93o114cnec2r423bkjd5h/-FJPG/226071-006_DET_2.jpg</t>
  </si>
  <si>
    <t>https://dd3ka9h4chfr8.cloudfront.net/image/725136000567/image_lo7q1m87554epagsc2al2p5g60/-FJPG/226071-006_BCK_1.jpg</t>
  </si>
  <si>
    <t>https://dd3ka9h4chfr8.cloudfront.net/image/725136000567/image_37fammpsv11jvest24n1r3ih5l/-FJPG/226071-006_DET_1.jpg</t>
  </si>
  <si>
    <t>https://dd3ka9h4chfr8.cloudfront.net/image/725136000567/image_8epvekpds95pjbntlcfc6ugl1k/-FJPG/226071-006_DET_3.jpg</t>
  </si>
  <si>
    <t>https://dd3ka9h4chfr8.cloudfront.net/image/725136000567/image_m1705n0uh536l8kc85hgu1c32l/-FJPG/226071-006_DET_4.jpg</t>
  </si>
  <si>
    <t>https://dd3ka9h4chfr8.cloudfront.net/image/725136000567/image_aq1qfcte956andnul2ij9khh4j/-FJPG/226071-006_DET_5.jpg</t>
  </si>
  <si>
    <t>https://dd3ka9h4chfr8.cloudfront.net/image/725136000567/image_pceehkn4o94tj7a1ikroj8ss2d/-FJPG/226071-006_DET_6.jpg</t>
  </si>
  <si>
    <t>https://dd3ka9h4chfr8.cloudfront.net/image/725136000567/image_8brnjjdq7h5418ju1ibmdvq64l/-FJPG/226071-006_DET_7.jpg</t>
  </si>
  <si>
    <t>https://dd3ka9h4chfr8.cloudfront.net/image/725136000567/image_irgosq9uhp3lv15c6qguks3l6v/-FJPG/226071-006_DET_8.jpg</t>
  </si>
  <si>
    <t>https://dd3ka9h4chfr8.cloudfront.net/image/725136000567/image_iffsu9f70h33v7vk4ig0gm7u3n/-FJPG/226071-006_ROM_2.jpg</t>
  </si>
  <si>
    <t>https://dd3ka9h4chfr8.cloudfront.net/image/725136000567/image_53djg9mg5l7hhemtkgbdte8e2n/-FJPG/226071-006_PRM_2.jpg</t>
  </si>
  <si>
    <t>https://dd3ka9h4chfr8.cloudfront.net/image/725136000567/image_ck1fo9c2ht2or7qjl8gmui7t03/-FJPG/226071-006_SID_2.jpg</t>
  </si>
  <si>
    <t>https://dd3ka9h4chfr8.cloudfront.net/image/725136000567/image_n7ob2je5f92hbfmudnb2a2b25k/-FJPG/226071-006_FRT_2.jpg</t>
  </si>
  <si>
    <t>https://dd3ka9h4chfr8.cloudfront.net/image/725136000567/image_6br0m2772p00n5og7pks06cq5e/-S150x150-FJPG/226071-007_PRM_1.jpg</t>
  </si>
  <si>
    <t>https://dd3ka9h4chfr8.cloudfront.net/image/725136000567/image_6br0m2772p00n5og7pks06cq5e/-FJPG/226071-007_PRM_1.jpg</t>
  </si>
  <si>
    <t>https://dd3ka9h4chfr8.cloudfront.net/image/725136000567/image_8hmi088dmp4jta2vkgo5kg9l6s/-FJPG/226071-007_SID_1.jpg</t>
  </si>
  <si>
    <t>https://dd3ka9h4chfr8.cloudfront.net/image/725136000567/image_cmd0ao512t4s59cv9is9ebu70d/-FJPG/226071-007_ESS_1.jpg</t>
  </si>
  <si>
    <t>https://dd3ka9h4chfr8.cloudfront.net/image/725136000567/image_p4ikneocbp0bj6bdjivg9p9c37/-FJPG/226071-007_DET_2.jpg</t>
  </si>
  <si>
    <t>https://dd3ka9h4chfr8.cloudfront.net/image/725136000567/image_4n4pa1671p32j8saaha76vsl4f/-FJPG/226071-007_BCK_1.jpg</t>
  </si>
  <si>
    <t>https://dd3ka9h4chfr8.cloudfront.net/image/725136000567/image_7sbdv0hjo90hp7a8fvm241og2k/-FJPG/226071-007_DET_1.jpg</t>
  </si>
  <si>
    <t>https://dd3ka9h4chfr8.cloudfront.net/image/725136000567/image_99q3oi9qf15fle1l1h58b4sn4b/-FJPG/226071-007_DET_3.jpg</t>
  </si>
  <si>
    <t>https://dd3ka9h4chfr8.cloudfront.net/image/725136000567/image_5frisdn9p53611qo2gh6kukk0f/-FJPG/226071-007_DET_4.jpg</t>
  </si>
  <si>
    <t>https://dd3ka9h4chfr8.cloudfront.net/image/725136000567/image_h0a9e8hs192hh42qfagj484141/-FJPG/226071-007_DET_5.jpg</t>
  </si>
  <si>
    <t>https://dd3ka9h4chfr8.cloudfront.net/image/725136000567/image_nflpn4jol50gnfgak0tk4sq04o/-FJPG/226071-007_DET_6.jpg</t>
  </si>
  <si>
    <t>https://dd3ka9h4chfr8.cloudfront.net/image/725136000567/image_gtl2jlciup4q1ch7446fo96b54/-FJPG/226071-007_DET_7.jpg</t>
  </si>
  <si>
    <t>https://dd3ka9h4chfr8.cloudfront.net/image/725136000567/image_vgvno9r4494e1btiglia2e6g3d/-FJPG/226071-007_DET_8.jpg</t>
  </si>
  <si>
    <t>https://dd3ka9h4chfr8.cloudfront.net/image/725136000567/image_71drmnqdjd27r5r3e0n3htri39/-FJPG/226071-007_SID_2.jpg</t>
  </si>
  <si>
    <t>https://dd3ka9h4chfr8.cloudfront.net/image/725136000567/image_f1e6cv74n12v74voah1nk2p31o/-FJPG/226071-007_FRT_2.jpg</t>
  </si>
  <si>
    <t>https://dd3ka9h4chfr8.cloudfront.net/image/725136000567/image_e8le0rnc3p2un0ld5d9762884g/-FJPG/226071-007_PRM_2.jpg</t>
  </si>
  <si>
    <t>Braden Chair - Brandy</t>
  </si>
  <si>
    <t>https://dd3ka9h4chfr8.cloudfront.net/image/725136000567/image_kaa7858fk14d94un9vmvp8ln7s/-S150x150-FJPG/105660-019_PRM_1.jpg</t>
  </si>
  <si>
    <t>https://dd3ka9h4chfr8.cloudfront.net/image/725136000567/image_kaa7858fk14d94un9vmvp8ln7s/-FJPG/105660-019_PRM_1.jpg</t>
  </si>
  <si>
    <t>https://dd3ka9h4chfr8.cloudfront.net/image/725136000567/image_0jv632if416a148mpua7ket64t/-FJPG/105660-019_SID_1.jpg</t>
  </si>
  <si>
    <t>https://dd3ka9h4chfr8.cloudfront.net/image/725136000567/image_dsh96ugelh1v79dl6leglttm32/-FJPG/105660-019_DET_2.jpg</t>
  </si>
  <si>
    <t>https://dd3ka9h4chfr8.cloudfront.net/image/725136000567/image_1n20t9isll3un87qmvodrrnj2l/-FJPG/105660-019_BCK_1.jpg</t>
  </si>
  <si>
    <t>https://dd3ka9h4chfr8.cloudfront.net/image/725136000567/image_ltc4ijripl2e541vhv559hmc49/-FJPG/105660-019_DET_1.jpg</t>
  </si>
  <si>
    <t>https://dd3ka9h4chfr8.cloudfront.net/image/725136000567/image_0ahi9rpmgl6dtep4kulmfq9g4k/-FJPG/105660-019_DET_3.jpg</t>
  </si>
  <si>
    <t>https://dd3ka9h4chfr8.cloudfront.net/image/725136000567/image_4k20i6ogut6110t1hegaud666o/-FJPG/105660-019_DET_4.jpg</t>
  </si>
  <si>
    <t>https://dd3ka9h4chfr8.cloudfront.net/image/725136000567/image_houpa2jei12gd96di1m02j1a5c/-FJPG/105660-019_DET_5.jpg</t>
  </si>
  <si>
    <t>https://dd3ka9h4chfr8.cloudfront.net/image/725136000567/image_7usmd8nboh1110srp83516n209/-FJPG/105660-019_DET_6.jpg</t>
  </si>
  <si>
    <t>https://dd3ka9h4chfr8.cloudfront.net/image/725136000567/image_79ji8q605p0lte9dn7adhp6h5o/-FJPG/105660-019_DET_7.jpg</t>
  </si>
  <si>
    <t>https://dd3ka9h4chfr8.cloudfront.net/image/725136000567/image_sonanjqsfl5sne0c0bk9hnu34h/-FJPG/105660-019_ROM_1.jpg</t>
  </si>
  <si>
    <t>https://dd3ka9h4chfr8.cloudfront.net/image/725136000567/image_0e9iuq66up025a1pke8lrh3c1m/-FJPG/105660-019_ESS.tif</t>
  </si>
  <si>
    <t>Braden Chair - Durango Smoke</t>
  </si>
  <si>
    <t>https://dd3ka9h4chfr8.cloudfront.net/image/725136000567/image_smclht5ftd3it14nuggn8p0m4f/-S150x150-FJPG/105660-024_PRM_1.jpg</t>
  </si>
  <si>
    <t>https://dd3ka9h4chfr8.cloudfront.net/image/725136000567/image_smclht5ftd3it14nuggn8p0m4f/-FJPG/105660-024_PRM_1.jpg</t>
  </si>
  <si>
    <t>https://dd3ka9h4chfr8.cloudfront.net/image/725136000567/image_ircm4g2d3d577b85o9n71kki10/-FJPG/105660-024_ESS_1.jpg</t>
  </si>
  <si>
    <t>https://dd3ka9h4chfr8.cloudfront.net/image/725136000567/image_e956nb28qp22pembn3q3ftv930/-FJPG/105660-024_DET_2.jpg</t>
  </si>
  <si>
    <t>https://dd3ka9h4chfr8.cloudfront.net/image/725136000567/image_78r4n3ck2175l78nb58pdvjr2b/-FJPG/105660-024_DET_1.jpg</t>
  </si>
  <si>
    <t>https://dd3ka9h4chfr8.cloudfront.net/image/725136000567/image_9rkmpso6tt5356rla2gm7m380a/-FJPG/105660-024_DET_3.jpg</t>
  </si>
  <si>
    <t>https://dd3ka9h4chfr8.cloudfront.net/image/725136000567/image_1mqlm8bprh4p91o3cmp0g2ps0r/-FJPG/105660-024_DET_4.jpg</t>
  </si>
  <si>
    <t>https://dd3ka9h4chfr8.cloudfront.net/image/725136000567/image_ccbqulo1lh3gh7ork4gd3n8u0l/-FJPG/105660-024_DET_5.jpg</t>
  </si>
  <si>
    <t>https://dd3ka9h4chfr8.cloudfront.net/image/725136000567/image_n828iaar0t7hf4jr0rt98lgt0e/-FJPG/105660-024_ROM_1.jpg</t>
  </si>
  <si>
    <t>https://dd3ka9h4chfr8.cloudfront.net/image/725136000567/image_vjlp3s05bd1b3cbv9q7sdtjm1s/-FJPG/105660-024_ROM_2.jpg</t>
  </si>
  <si>
    <t>Braden Chair - Eden Sage</t>
  </si>
  <si>
    <t>https://dd3ka9h4chfr8.cloudfront.net/image/725136000567/image_h2is3bi67h7jtf3besfd281141/-S150x150-FJPG/CASH-8317-889_PRM_1.jpg</t>
  </si>
  <si>
    <t>https://dd3ka9h4chfr8.cloudfront.net/image/725136000567/image_h2is3bi67h7jtf3besfd281141/-FJPG/CASH-8317-889_PRM_1.jpg</t>
  </si>
  <si>
    <t>https://dd3ka9h4chfr8.cloudfront.net/image/725136000567/image_0bc0ddmrm92g58l1em68hsuk4u/-FJPG/CASH-8317-889_SID_1.jpg</t>
  </si>
  <si>
    <t>https://dd3ka9h4chfr8.cloudfront.net/image/725136000567/image_43hss96291101b5p69hkh13h2r/-FJPG/CASH-8317-889_ESS_1.jpg</t>
  </si>
  <si>
    <t>https://dd3ka9h4chfr8.cloudfront.net/image/725136000567/image_dkcvlg7ko53vtc9erqu9hji22d/-FJPG/CASH-8317-889_DET_2.jpg</t>
  </si>
  <si>
    <t>https://dd3ka9h4chfr8.cloudfront.net/image/725136000567/image_b2cue9vvc94s1232qjengfin5e/-FJPG/CASH-8317-889_BCK_1.jpg</t>
  </si>
  <si>
    <t>https://dd3ka9h4chfr8.cloudfront.net/image/725136000567/image_665r6r4mnt37la0gfudn8r962k/-FJPG/CASH-8317-889_DET_1.jpg</t>
  </si>
  <si>
    <t>https://dd3ka9h4chfr8.cloudfront.net/image/725136000567/image_k3iv03vdqh4up4vtgfq70ltm3e/-FJPG/CASH-8317-889_DET_3.jpg</t>
  </si>
  <si>
    <t>https://dd3ka9h4chfr8.cloudfront.net/image/725136000567/image_u3g6stevk12qt2uof4ej9pnc0v/-FJPG/CASH-8317-889_DET_4.jpg</t>
  </si>
  <si>
    <t>https://dd3ka9h4chfr8.cloudfront.net/image/725136000567/image_115ep8n5m57gjdvvn9hsuljn55/-FJPG/CASH-8317-889_DET_5.jpg</t>
  </si>
  <si>
    <t>https://dd3ka9h4chfr8.cloudfront.net/image/725136000567/image_ba30pdmg7168jbvvcn9hrf7o3n/-FJPG/CASH-8317-889_DET_6.jpg</t>
  </si>
  <si>
    <t>https://dd3ka9h4chfr8.cloudfront.net/image/725136000567/image_7712enjkkl6ar7kb6ukm826t4g/-FJPG/CASH-8317-889_ROM_1.jpg</t>
  </si>
  <si>
    <t>Braden Chair - Light Camel</t>
  </si>
  <si>
    <t>https://dd3ka9h4chfr8.cloudfront.net/image/725136000567/image_l2h97b87il72t10ljti37epa2l/-S150x150-FJPG/105660-025_PRM_1.jpg</t>
  </si>
  <si>
    <t>https://dd3ka9h4chfr8.cloudfront.net/image/725136000567/image_l2h97b87il72t10ljti37epa2l/-FJPG/105660-025_PRM_1.jpg</t>
  </si>
  <si>
    <t>https://dd3ka9h4chfr8.cloudfront.net/image/725136000567/image_qm0s81kteh6gl5153pl69th00l/-FJPG/105660-025_SID_1.jpg</t>
  </si>
  <si>
    <t>https://dd3ka9h4chfr8.cloudfront.net/image/725136000567/image_5jl4on4ai9499aqtnpbt9u3c0p/-FJPG/105660-025_ESS_1.jpg</t>
  </si>
  <si>
    <t>https://dd3ka9h4chfr8.cloudfront.net/image/725136000567/image_37pquk0vu55vb0cdvi9e8k5b3b/-FJPG/105660-025_DET_2.jpg</t>
  </si>
  <si>
    <t>https://dd3ka9h4chfr8.cloudfront.net/image/725136000567/image_9bfd6lcg3p5b719qq7lo7d5o5u/-FJPG/105660-025_BCK_1.jpg</t>
  </si>
  <si>
    <t>https://dd3ka9h4chfr8.cloudfront.net/image/725136000567/image_92k018cj7t61j1red2s5og6k39/-FJPG/105660-025_DET_1.jpg</t>
  </si>
  <si>
    <t>https://dd3ka9h4chfr8.cloudfront.net/image/725136000567/image_2rhf0ij9c133jbtkrm7jesml4u/-FJPG/105660-025_DET_4.jpg</t>
  </si>
  <si>
    <t>https://dd3ka9h4chfr8.cloudfront.net/image/725136000567/image_h2uclq3ps9745b0bhrd401f317/-FJPG/105660-025_DET_5.jpg</t>
  </si>
  <si>
    <t>https://dd3ka9h4chfr8.cloudfront.net/image/725136000567/image_gghc25ufb52j9cacikuc067k4t/-FJPG/105660-025_DET_6.jpg</t>
  </si>
  <si>
    <t>https://dd3ka9h4chfr8.cloudfront.net/image/725136000567/image_0u7kivub792d53qcfdcq2ial54/-FJPG/105660-025_DET_7.jpg</t>
  </si>
  <si>
    <t>https://dd3ka9h4chfr8.cloudfront.net/image/725136000567/image_eucklkbtg13t337ct1b74ubi2e/-FJPG/105660-025_ROM_1.jpg</t>
  </si>
  <si>
    <t>Braden Chair - Modern Velvet Shadow</t>
  </si>
  <si>
    <t>https://dd3ka9h4chfr8.cloudfront.net/image/725136000567/image_nddbvqclgl3n1652shdka5737t/-S150x150-FJPG/105660-023_PRM_1.jpg</t>
  </si>
  <si>
    <t>https://dd3ka9h4chfr8.cloudfront.net/image/725136000567/image_nddbvqclgl3n1652shdka5737t/-FJPG/105660-023_PRM_1.jpg</t>
  </si>
  <si>
    <t>https://dd3ka9h4chfr8.cloudfront.net/image/725136000567/image_4vct6vpkql5g5e5t0sd1ntks04/-FJPG/105660-023_SID_1.jpg</t>
  </si>
  <si>
    <t>https://dd3ka9h4chfr8.cloudfront.net/image/725136000567/image_6cio991lj15rh1hskqu83cv62t/-FJPG/105660-023_ESS_1.jpg</t>
  </si>
  <si>
    <t>https://dd3ka9h4chfr8.cloudfront.net/image/725136000567/image_406l5m0rsl7cd2soju8fis712k/-FJPG/105660-023_DET_2.jpg</t>
  </si>
  <si>
    <t>https://dd3ka9h4chfr8.cloudfront.net/image/725136000567/image_3brar0giup37r6v1ffb6q94r2c/-FJPG/105660-023_BCK_1.jpg</t>
  </si>
  <si>
    <t>https://dd3ka9h4chfr8.cloudfront.net/image/725136000567/image_1tgc0h6f9p5ehee3g1f7ne2a4f/-FJPG/105660-023_DET_1.jpg</t>
  </si>
  <si>
    <t>https://dd3ka9h4chfr8.cloudfront.net/image/725136000567/image_svak76r4tt60hf1kmjg5cf2r4o/-FJPG/105660-023_DET_3.jpg</t>
  </si>
  <si>
    <t>https://dd3ka9h4chfr8.cloudfront.net/image/725136000567/image_is0ptekr955ep1uakvt70fjf17/-FJPG/105660-023_DET_4.jpg</t>
  </si>
  <si>
    <t>https://dd3ka9h4chfr8.cloudfront.net/image/725136000567/image_f52hl4eo3l24vfr12feij9gm3k/-FJPG/105660-023_DET_5.jpg</t>
  </si>
  <si>
    <t>https://dd3ka9h4chfr8.cloudfront.net/image/725136000567/image_98ij0o7l6d3mpekungl9aotk1l/-FJPG/105660-023_ROM_1.jpg</t>
  </si>
  <si>
    <t>https://dd3ka9h4chfr8.cloudfront.net/image/725136000567/image_7vl6dd91vh5mp9ctmfmdk1r05g/-FJPG/105660-023_ROM_2.jpg</t>
  </si>
  <si>
    <t>Braden Recliner - Sattley Fog</t>
  </si>
  <si>
    <t>96% Polyester</t>
  </si>
  <si>
    <t>4% Acrylic</t>
  </si>
  <si>
    <t>https://dd3ka9h4chfr8.cloudfront.net/image/725136000567/image_g5b1vl6os90hv4hd3m7ep9u575/-S150x150-FJPG/223406-052_PRM_1.jpg</t>
  </si>
  <si>
    <t>https://dd3ka9h4chfr8.cloudfront.net/image/725136000567/image_g5b1vl6os90hv4hd3m7ep9u575/-FJPG/223406-052_PRM_1.jpg</t>
  </si>
  <si>
    <t>https://dd3ka9h4chfr8.cloudfront.net/image/725136000567/image_e286c7rsp13r96slibtp7d8i0d/-FJPG/223406-052_SID_1.jpg</t>
  </si>
  <si>
    <t>https://dd3ka9h4chfr8.cloudfront.net/image/725136000567/image_gpe4kqaq5t24100c4kjdoinp6f/-FJPG/223406-052_ESS.tif</t>
  </si>
  <si>
    <t>https://dd3ka9h4chfr8.cloudfront.net/image/725136000567/image_p251gguch56vh7orkr5n4qqn0k/-FJPG/223406-052_DET_2.jpg</t>
  </si>
  <si>
    <t>https://dd3ka9h4chfr8.cloudfront.net/image/725136000567/image_luh114tv0p7i1crdj8l6ujma59/-FJPG/223406-052_BCK_1.jpg</t>
  </si>
  <si>
    <t>https://dd3ka9h4chfr8.cloudfront.net/image/725136000567/image_b9uvvoie094cfeh4tao82vbv2t/-FJPG/223406-052_DET_1.jpg</t>
  </si>
  <si>
    <t>https://dd3ka9h4chfr8.cloudfront.net/image/725136000567/image_bu77mhnj0h7cjf37mihvh4tl2r/-FJPG/223406-052_DET_3.jpg</t>
  </si>
  <si>
    <t>https://dd3ka9h4chfr8.cloudfront.net/image/725136000567/image_6ra0btfaed3s74ij101npc2o3m/-FJPG/223406-052_DET_4.jpg</t>
  </si>
  <si>
    <t>https://dd3ka9h4chfr8.cloudfront.net/image/725136000567/image_gsivofk5r56jteuqnf7oo7ks1l/-FJPG/223406-052_DET_5.jpg</t>
  </si>
  <si>
    <t>https://dd3ka9h4chfr8.cloudfront.net/image/725136000567/image_oni4ueond57e9bl0mmoji4qs3t/-FJPG/223406-052_DET_6.jpg</t>
  </si>
  <si>
    <t>https://dd3ka9h4chfr8.cloudfront.net/image/725136000567/image_pq5sk36ktt2bfe0e6ealbvn62n/-FJPG/223406-052_DET_7.jpg</t>
  </si>
  <si>
    <t>https://dd3ka9h4chfr8.cloudfront.net/image/725136000567/image_i89e3k0rgh2bt75k2ucst8vm65/-FJPG/223406-052_DET_8.jpg</t>
  </si>
  <si>
    <t>https://dd3ka9h4chfr8.cloudfront.net/image/725136000567/image_64l47saf0d12f1ao6v5apbf02c/-FJPG/223406-052_DET_9.tif</t>
  </si>
  <si>
    <t>https://dd3ka9h4chfr8.cloudfront.net/image/725136000567/image_g2vmrovcqt1b3c1b9fd7g7j228/-FJPG/223406-052_DET_9.jpg</t>
  </si>
  <si>
    <t>https://dd3ka9h4chfr8.cloudfront.net/image/725136000567/image_p0a7mgkult66l6t1vmg7aslo0l/-FJPG/223406-052_PRM_2.jpg</t>
  </si>
  <si>
    <t>https://dd3ka9h4chfr8.cloudfront.net/image/725136000567/image_tfd15s30dt7s70ubk60jpopl4u/-FJPG/223406-052_SID_2.jpg</t>
  </si>
  <si>
    <t>https://dd3ka9h4chfr8.cloudfront.net/image/725136000567/image_6o99tc4sdp2af42mdhihsabh0v/-FJPG/223406-052_FRT_2.jpg</t>
  </si>
  <si>
    <t>https://dd3ka9h4chfr8.cloudfront.net/image/725136000567/image_a1kl4bkonh6rr8s3o47bc5jo3n/-FJPG/223406-052_BCK_2.jpg</t>
  </si>
  <si>
    <t>https://dd3ka9h4chfr8.cloudfront.net/image/725136000567/image_o1l3misp2p5330031uavudsh0f/-FJPG/223406-052_ESS_2.tif</t>
  </si>
  <si>
    <t>Brennan Dining Table - Dove Oak</t>
  </si>
  <si>
    <t>https://dd3ka9h4chfr8.cloudfront.net/image/725136000567/image_4qis8ass3917951lvhc0l6gh7d/-S150x150-FJPG/223086-006_PRM_1.jpg</t>
  </si>
  <si>
    <t>https://dd3ka9h4chfr8.cloudfront.net/image/725136000567/image_4qis8ass3917951lvhc0l6gh7d/-FJPG/223086-006_PRM_1.jpg</t>
  </si>
  <si>
    <t>https://dd3ka9h4chfr8.cloudfront.net/image/725136000567/image_uker38h2o95mv1agbcqp7rgj1i/-FJPG/223086-006_SID_1.jpg</t>
  </si>
  <si>
    <t>https://dd3ka9h4chfr8.cloudfront.net/image/725136000567/image_stf48lpkc144fcglrplimf9e7b/-FJPG/223086-006_DET_1.jpg</t>
  </si>
  <si>
    <t>https://dd3ka9h4chfr8.cloudfront.net/image/725136000567/image_tpe9allald3t155utjmjij503m/-FJPG/223086-006_DET_3.jpg</t>
  </si>
  <si>
    <t>https://dd3ka9h4chfr8.cloudfront.net/image/725136000567/image_o41m0h13tp2in8fpveqnqmag1l/-FJPG/223086-006_DET_4.jpg</t>
  </si>
  <si>
    <t>https://dd3ka9h4chfr8.cloudfront.net/image/725136000567/image_gqkeuic6u91552gf2377plmh60/-FJPG/223086-006_DET_5.jpg</t>
  </si>
  <si>
    <t>https://dd3ka9h4chfr8.cloudfront.net/image/725136000567/image_prch77t9ah33jfrr4468d32p5s/-FJPG/223086-006_DET_6.jpg</t>
  </si>
  <si>
    <t>https://dd3ka9h4chfr8.cloudfront.net/image/725136000567/image_li919at0654k7e36013iojfl3i/-FJPG/223086-006_DET_7.jpg</t>
  </si>
  <si>
    <t>https://dd3ka9h4chfr8.cloudfront.net/image/725136000567/image_2sg99fif09097ehltb7gjlll3j/-FJPG/223086-006_DET_8.jpg</t>
  </si>
  <si>
    <t>https://dd3ka9h4chfr8.cloudfront.net/image/725136000567/image_9cnmlubsc91478oqis897i3n14/-FJPG/223086-006_VIG_1.jpg</t>
  </si>
  <si>
    <t>https://dd3ka9h4chfr8.cloudfront.net/image/725136000567/image_7b9c4gv2kt57j3r5mnhvucqp7n/-FJPG/223086-006_VIG_2.jpg</t>
  </si>
  <si>
    <t>Bria Chair - Heirloom Black</t>
  </si>
  <si>
    <t>https://dd3ka9h4chfr8.cloudfront.net/image/725136000567/image_6jkm3e2t194v900ijpjatosu2i/-S150x150-FJPG/225440-008_PRM_1.jpg</t>
  </si>
  <si>
    <t>https://dd3ka9h4chfr8.cloudfront.net/image/725136000567/image_6jkm3e2t194v900ijpjatosu2i/-FJPG/225440-008_PRM_1.jpg</t>
  </si>
  <si>
    <t>https://dd3ka9h4chfr8.cloudfront.net/image/725136000567/image_98l8tdfc6d3h7cumhasult8i7f/-FJPG/225440-008_SID_1.jpg</t>
  </si>
  <si>
    <t>https://dd3ka9h4chfr8.cloudfront.net/image/725136000567/image_1tvs3f7te11epfam57m7egr95u/-FJPG/225440-008_ESS_1.jpg</t>
  </si>
  <si>
    <t>https://dd3ka9h4chfr8.cloudfront.net/image/725136000567/image_4sgulvjl095tf5o2mocti43s67/-FJPG/225440-008_DET_2.jpg</t>
  </si>
  <si>
    <t>https://dd3ka9h4chfr8.cloudfront.net/image/725136000567/image_4bjuk9ioq15uv8lm6qmauofi6d/-FJPG/225440-008_BCK_1.jpg</t>
  </si>
  <si>
    <t>https://dd3ka9h4chfr8.cloudfront.net/image/725136000567/image_qab238jsn14ft4db2h7gj02l6q/-FJPG/225440-008_DET_1.jpg</t>
  </si>
  <si>
    <t>https://dd3ka9h4chfr8.cloudfront.net/image/725136000567/image_ms02fjnral1f1c1jm8thqjrc79/-FJPG/225440-008_DET_3.jpg</t>
  </si>
  <si>
    <t>https://dd3ka9h4chfr8.cloudfront.net/image/725136000567/image_sb46pqs2rt6ut50ln0tj9qan59/-FJPG/225440-008_DET_4.jpg</t>
  </si>
  <si>
    <t>https://dd3ka9h4chfr8.cloudfront.net/image/725136000567/image_02gqapes5d6rfb2ir07pcslm63/-FJPG/225440-008_DET_5.jpg</t>
  </si>
  <si>
    <t>https://dd3ka9h4chfr8.cloudfront.net/image/725136000567/image_4cu8q23abh751001ql9pe8g74d/-FJPG/225440-008_DET_6.jpg</t>
  </si>
  <si>
    <t>Bria Chair - Surrey Olive</t>
  </si>
  <si>
    <t>https://dd3ka9h4chfr8.cloudfront.net/image/725136000567/image_ktajsplub57jbfpm2kbptm717o/-S150x150-FJPG/225440-009_PRM_1.jpg</t>
  </si>
  <si>
    <t>https://dd3ka9h4chfr8.cloudfront.net/image/725136000567/image_ktajsplub57jbfpm2kbptm717o/-FJPG/225440-009_PRM_1.jpg</t>
  </si>
  <si>
    <t>https://dd3ka9h4chfr8.cloudfront.net/image/725136000567/image_vbamamlpuh45523vdoqolqq03h/-FJPG/225440-009_SID_1.jpg</t>
  </si>
  <si>
    <t>https://dd3ka9h4chfr8.cloudfront.net/image/725136000567/image_3cabsinslh4nlfju7v72k0gn78/-FJPG/225440-009_ESS_1.jpg</t>
  </si>
  <si>
    <t>https://dd3ka9h4chfr8.cloudfront.net/image/725136000567/image_l6fmr2s3714ch4ms36u3eflg4t/-FJPG/225440-009_DET_2.jpg</t>
  </si>
  <si>
    <t>https://dd3ka9h4chfr8.cloudfront.net/image/725136000567/image_7765p6pcm11sd4m4iqkipjtf1e/-FJPG/225440-009_BCK_1.jpg</t>
  </si>
  <si>
    <t>https://dd3ka9h4chfr8.cloudfront.net/image/725136000567/image_if0s84bt8t6692gu3u17t9j376/-FJPG/225440-009_DET_1.jpg</t>
  </si>
  <si>
    <t>https://dd3ka9h4chfr8.cloudfront.net/image/725136000567/image_u14l6cb55d7hh32uk1vq2qii1e/-FJPG/225440-009_DET_3.jpg</t>
  </si>
  <si>
    <t>https://dd3ka9h4chfr8.cloudfront.net/image/725136000567/image_jmuafn5p9p10jd5l6tr77b6q3d/-FJPG/225440-009_DET_4.jpg</t>
  </si>
  <si>
    <t>https://dd3ka9h4chfr8.cloudfront.net/image/725136000567/image_n1rkqrngq539baus7eje0hrl6i/-FJPG/225440-009_DET_5.jpg</t>
  </si>
  <si>
    <t>https://dd3ka9h4chfr8.cloudfront.net/image/725136000567/image_dcm8easu1h1k36g94702k9kg2v/-FJPG/225440-009_DET_6.jpg</t>
  </si>
  <si>
    <t>Briarbrook Sideboard - Distressed Light Pine</t>
  </si>
  <si>
    <t>https://dd3ka9h4chfr8.cloudfront.net/image/725136000567/image_i2k0ufq98l4gf0rjigigs3is30/-S150x150-FJPG/235918-001_PRM_1.jpg</t>
  </si>
  <si>
    <t>https://dd3ka9h4chfr8.cloudfront.net/image/725136000567/image_i2k0ufq98l4gf0rjigigs3is30/-FJPG/235918-001_PRM_1.jpg</t>
  </si>
  <si>
    <t>https://dd3ka9h4chfr8.cloudfront.net/image/725136000567/image_f3vuivvt495t77tb88o16r4b7c/-FJPG/235918-001_SID_1.jpg</t>
  </si>
  <si>
    <t>https://dd3ka9h4chfr8.cloudfront.net/image/725136000567/image_sfru7027vt0v730uq6237gdj7r/-FJPG/235918-001_ESS_1.tif</t>
  </si>
  <si>
    <t>https://dd3ka9h4chfr8.cloudfront.net/image/725136000567/image_q6jik2bfo91prcmqb1gtqn6a2r/-FJPG/235918-001_DET_2.jpg</t>
  </si>
  <si>
    <t>https://dd3ka9h4chfr8.cloudfront.net/image/725136000567/image_3to6e7isfh1iv40p0u0obp6m6l/-FJPG/235918-001_BCK_1.jpg</t>
  </si>
  <si>
    <t>https://dd3ka9h4chfr8.cloudfront.net/image/725136000567/image_g8jfoi5uo17tfcngpri1rl576f/-FJPG/235918-001_DET_1.jpg</t>
  </si>
  <si>
    <t>https://dd3ka9h4chfr8.cloudfront.net/image/725136000567/image_gfl5osuje1157brsjplfqtjv4t/-FJPG/235918-001_DET_3.jpg</t>
  </si>
  <si>
    <t>https://dd3ka9h4chfr8.cloudfront.net/image/725136000567/image_hfijt7uva91gd9ottpg7jtvc0b/-FJPG/235918-001_TOP_1.jpg</t>
  </si>
  <si>
    <t>https://dd3ka9h4chfr8.cloudfront.net/image/725136000567/image_g917or1u4d3qjf6bavpv18634e/-FJPG/235918-001_DET_4.jpg</t>
  </si>
  <si>
    <t>https://dd3ka9h4chfr8.cloudfront.net/image/725136000567/image_ma463ahkmt1hf0bv9cf1vqsa61/-FJPG/235918-001_DET_5.jpg</t>
  </si>
  <si>
    <t>https://dd3ka9h4chfr8.cloudfront.net/image/725136000567/image_7jpon0ldj979p21e2g530k3k3v/-FJPG/235918-001_DET_6.jpg</t>
  </si>
  <si>
    <t>https://dd3ka9h4chfr8.cloudfront.net/image/725136000567/image_pue5qbn2lh551es8u9h6i0h745/-FJPG/235918-001_DET_9.tif</t>
  </si>
  <si>
    <t>Brimley Sideboard - Aged Light Pine</t>
  </si>
  <si>
    <t>Copper Cladding</t>
  </si>
  <si>
    <t>https://dd3ka9h4chfr8.cloudfront.net/image/725136000567/image_42ed5670n112d9uu9tn9bfdv34/-S150x150-FJPG/244662-001_PRM_1.jpg</t>
  </si>
  <si>
    <t>https://dd3ka9h4chfr8.cloudfront.net/image/725136000567/image_42ed5670n112d9uu9tn9bfdv34/-FJPG/244662-001_PRM_1.jpg</t>
  </si>
  <si>
    <t>https://dd3ka9h4chfr8.cloudfront.net/image/725136000567/image_9dhktf9fht2grd3t712lgd3a2c/-FJPG/244662-001_SID_1.jpg</t>
  </si>
  <si>
    <t>https://dd3ka9h4chfr8.cloudfront.net/image/725136000567/image_c4d69mbbvd2tv9q5ila1nq6510/-FJPG/244662-001_ESS.tif</t>
  </si>
  <si>
    <t>https://dd3ka9h4chfr8.cloudfront.net/image/725136000567/image_n2b3vbv3996gjej5fefop18e60/-FJPG/244662-001_DET_2.jpg</t>
  </si>
  <si>
    <t>https://dd3ka9h4chfr8.cloudfront.net/image/725136000567/image_7iqh8ukojd4rf0b7fbp8jubi2s/-FJPG/244662-001_BCK_1.jpg</t>
  </si>
  <si>
    <t>https://dd3ka9h4chfr8.cloudfront.net/image/725136000567/image_7qha135i8h4152k5s1m3g6613o/-FJPG/244662-001_DET_1.jpg</t>
  </si>
  <si>
    <t>https://dd3ka9h4chfr8.cloudfront.net/image/725136000567/image_auufv47jfl7e5cauiengbb094f/-FJPG/244662-001_DET_3.jpg</t>
  </si>
  <si>
    <t>https://dd3ka9h4chfr8.cloudfront.net/image/725136000567/image_00fjtil7e51lbf4rb96hgpke0l/-FJPG/244662-001_OPN_1.jpg</t>
  </si>
  <si>
    <t>https://dd3ka9h4chfr8.cloudfront.net/image/725136000567/image_vvciono4f1363cln455shhjm0j/-FJPG/244662-001_DET_4.jpg</t>
  </si>
  <si>
    <t>https://dd3ka9h4chfr8.cloudfront.net/image/725136000567/image_qqi5rvktll7rn9jkj2g6nlil01/-FJPG/244662-001_DET_5.jpg</t>
  </si>
  <si>
    <t>https://dd3ka9h4chfr8.cloudfront.net/image/725136000567/image_t64ita42ih3p79o3doe4m2r73k/-FJPG/244662-001_DET_6.jpg</t>
  </si>
  <si>
    <t>https://dd3ka9h4chfr8.cloudfront.net/image/725136000567/image_gbks21u1il40h1ge1vrdlr6v6e/-FJPG/244662-001_DET_7.jpg</t>
  </si>
  <si>
    <t>https://dd3ka9h4chfr8.cloudfront.net/image/725136000567/image_povctaq2ph4r566t055oed740m/-FJPG/244662-001_DET_9.tif</t>
  </si>
  <si>
    <t>https://dd3ka9h4chfr8.cloudfront.net/image/725136000567/image_23onum70gl4dn7v9k7ki288r7j/-FJPG/244662-001_OPN_2.jpg</t>
  </si>
  <si>
    <t>Brisa Round Dining Table 55" - Dune Onyx</t>
  </si>
  <si>
    <t>Onyx</t>
  </si>
  <si>
    <t>https://dd3ka9h4chfr8.cloudfront.net/image/725136000567/image_j5s8mgbpm17bl6ulofnsepj42l/-S150x150-FJPG/233555-001_PRM_1.jpg</t>
  </si>
  <si>
    <t>https://dd3ka9h4chfr8.cloudfront.net/image/725136000567/image_j5s8mgbpm17bl6ulofnsepj42l/-FJPG/233555-001_PRM_1.jpg</t>
  </si>
  <si>
    <t>https://dd3ka9h4chfr8.cloudfront.net/image/725136000567/image_7ubjjrbbcp0al7inhr3jq81508/-FJPG/231882-007_ESS_1.jpg</t>
  </si>
  <si>
    <t>https://dd3ka9h4chfr8.cloudfront.net/image/725136000567/image_47bg9mo6bd2s92cvddn1o8ta12/-FJPG/233555-001_ESS_1.jpg</t>
  </si>
  <si>
    <t>https://dd3ka9h4chfr8.cloudfront.net/image/725136000567/image_ev8cc2bgel7h7ddilci935fp7t/-FJPG/233555-001_DET_2.jpg</t>
  </si>
  <si>
    <t>https://dd3ka9h4chfr8.cloudfront.net/image/725136000567/image_149728n5al4u945d0gc1mb3s78/-FJPG/233555-001_DET_1.jpg</t>
  </si>
  <si>
    <t>https://dd3ka9h4chfr8.cloudfront.net/image/725136000567/image_t7l02mgmal5c155j0k0dnfmt78/-FJPG/233555-001_DET_3.jpg</t>
  </si>
  <si>
    <t>https://dd3ka9h4chfr8.cloudfront.net/image/725136000567/image_mtfffb3t9532ldibv75ftoej6p/-FJPG/233555-001_DET_4.jpg</t>
  </si>
  <si>
    <t>https://dd3ka9h4chfr8.cloudfront.net/image/725136000567/image_mmc8748ilt4kl8eea5ntggvr1d/-FJPG/233555-001_DET_5.jpg</t>
  </si>
  <si>
    <t>https://dd3ka9h4chfr8.cloudfront.net/image/725136000567/image_88mmpf7t25165afba9gc8tk514/-FJPG/233555-001_DET_6.jpg</t>
  </si>
  <si>
    <t>https://dd3ka9h4chfr8.cloudfront.net/image/725136000567/image_v1r78qhf4h4050jr8cf345lp4v/-FJPG/233555-001_DET_7.jpg</t>
  </si>
  <si>
    <t>https://dd3ka9h4chfr8.cloudfront.net/image/725136000567/image_1thh4s5l250pra77k4eq18h847/-FJPG/233555-001_DET_8.jpg</t>
  </si>
  <si>
    <t>https://dd3ka9h4chfr8.cloudfront.net/image/725136000567/image_fcgkgt3svl1av5r1ng6evlbs3c/-FJPG/FHMPRJ-007_SCENE_3_V1.tif</t>
  </si>
  <si>
    <t>Brodie Chair - Andes Toast</t>
  </si>
  <si>
    <t>https://dd3ka9h4chfr8.cloudfront.net/image/725136000567/image_s34hjf679535b51407glhd2j1s/-S150x150-FJPG/235235-003_PRM_1.jpg</t>
  </si>
  <si>
    <t>https://dd3ka9h4chfr8.cloudfront.net/image/725136000567/image_s34hjf679535b51407glhd2j1s/-FJPG/235235-003_PRM_1.jpg</t>
  </si>
  <si>
    <t>https://dd3ka9h4chfr8.cloudfront.net/image/725136000567/image_0pr88oload0c70no1c3t4jpc3s/-FJPG/235235-003_SID_1.jpg</t>
  </si>
  <si>
    <t>https://dd3ka9h4chfr8.cloudfront.net/image/725136000567/image_lbsms09tkt2gt8gcvvbvvo1039/-FJPG/235235-003_ESS.tif</t>
  </si>
  <si>
    <t>https://dd3ka9h4chfr8.cloudfront.net/image/725136000567/image_3rhth5ub2t1an9v2a6c6gi9f2b/-FJPG/235235-003_DET_2.jpg</t>
  </si>
  <si>
    <t>https://dd3ka9h4chfr8.cloudfront.net/image/725136000567/image_g0a4n5tpi92hf94ta5gva3o76a/-FJPG/235235-003_BCK_1.jpg</t>
  </si>
  <si>
    <t>https://dd3ka9h4chfr8.cloudfront.net/image/725136000567/image_u554q6v7q918tanhlijls7ni3j/-FJPG/235235-003_DET_1.jpg</t>
  </si>
  <si>
    <t>https://dd3ka9h4chfr8.cloudfront.net/image/725136000567/image_u4ef22om7d4bte0r8278c5o53v/-FJPG/235235-003_DET_3.jpg</t>
  </si>
  <si>
    <t>https://dd3ka9h4chfr8.cloudfront.net/image/725136000567/image_73m1a6tsk908n14c9vdgn8hp46/-FJPG/235235-003_DET_4.jpg</t>
  </si>
  <si>
    <t>https://dd3ka9h4chfr8.cloudfront.net/image/725136000567/image_ffsp321gd13pj386j3jl0d646m/-FJPG/235235-003_DET_5.jpg</t>
  </si>
  <si>
    <t>https://dd3ka9h4chfr8.cloudfront.net/image/725136000567/image_3ebdttfr855kn5nfger6t3gm7v/-FJPG/235235-003_DET_6.jpg</t>
  </si>
  <si>
    <t>Brodie Chair - Ivan Granite</t>
  </si>
  <si>
    <t>60% Acrylic</t>
  </si>
  <si>
    <t>33% Cotton</t>
  </si>
  <si>
    <t>7% Polyester</t>
  </si>
  <si>
    <t>https://dd3ka9h4chfr8.cloudfront.net/image/725136000567/image_o8b1jlgj210rp5mj29lghp9k3g/-S150x150-FJPG/235235-005_PRM_1.jpg</t>
  </si>
  <si>
    <t>https://dd3ka9h4chfr8.cloudfront.net/image/725136000567/image_o8b1jlgj210rp5mj29lghp9k3g/-FJPG/235235-005_PRM_1.jpg</t>
  </si>
  <si>
    <t>https://dd3ka9h4chfr8.cloudfront.net/image/725136000567/image_cl6gaht97530lblecb7ik6r20o/-FJPG/235235-005_SID_1.jpg</t>
  </si>
  <si>
    <t>https://dd3ka9h4chfr8.cloudfront.net/image/725136000567/image_d2ji5jb5u93vb4uspt5nt2bp72/-FJPG/235235-005_DET_2.jpg</t>
  </si>
  <si>
    <t>https://dd3ka9h4chfr8.cloudfront.net/image/725136000567/image_qul768rk250u937st0el89oj4q/-FJPG/235235-005_BCK_1.jpg</t>
  </si>
  <si>
    <t>https://dd3ka9h4chfr8.cloudfront.net/image/725136000567/image_1hclvtekfh0p5bcuii58kpg61f/-FJPG/235235-005_DET_1.jpg</t>
  </si>
  <si>
    <t>https://dd3ka9h4chfr8.cloudfront.net/image/725136000567/image_31lu6338515k76scvoapoqif2s/-FJPG/235235-005_DET_3.jpg</t>
  </si>
  <si>
    <t>https://dd3ka9h4chfr8.cloudfront.net/image/725136000567/image_d0snior8355cndlsluapqtfq1a/-FJPG/235235-005_DET_4.jpg</t>
  </si>
  <si>
    <t>https://dd3ka9h4chfr8.cloudfront.net/image/725136000567/image_ga16ngdobt6175arrvn0nbbd7p/-FJPG/235235-005_DET_5.jpg</t>
  </si>
  <si>
    <t>https://dd3ka9h4chfr8.cloudfront.net/image/725136000567/image_90vem416bt1f97gj558rpg9t59/-FJPG/235235-005_DET_6.jpg</t>
  </si>
  <si>
    <t>Brodie Chair - Sheldon Ivory</t>
  </si>
  <si>
    <t>https://dd3ka9h4chfr8.cloudfront.net/image/725136000567/image_gfr8ad7ill32d68htogehmib3j/-S150x150-FJPG/235235-001_PRM_1.jpg</t>
  </si>
  <si>
    <t>https://dd3ka9h4chfr8.cloudfront.net/image/725136000567/image_gfr8ad7ill32d68htogehmib3j/-FJPG/235235-001_PRM_1.jpg</t>
  </si>
  <si>
    <t>https://dd3ka9h4chfr8.cloudfront.net/image/725136000567/image_vo7a2c8pg95o18t8rje17b3v4i/-FJPG/235235-001_SID_1.jpg</t>
  </si>
  <si>
    <t>https://dd3ka9h4chfr8.cloudfront.net/image/725136000567/image_e0o3libhl51739mto367m5d161/-FJPG/235235-001_ESS_1.jpg</t>
  </si>
  <si>
    <t>https://dd3ka9h4chfr8.cloudfront.net/image/725136000567/image_h6567vu80119p2nh1634ddvp5d/-FJPG/235235-001_DET_2.jpg</t>
  </si>
  <si>
    <t>https://dd3ka9h4chfr8.cloudfront.net/image/725136000567/image_uheolj13md3l5c036b0fn06u6o/-FJPG/235235-001_BCK_1.jpg</t>
  </si>
  <si>
    <t>https://dd3ka9h4chfr8.cloudfront.net/image/725136000567/image_2q2nusrtf55ot7m10a017tjg58/-FJPG/235235-001_DET_1.jpg</t>
  </si>
  <si>
    <t>https://dd3ka9h4chfr8.cloudfront.net/image/725136000567/image_8iljuip1td3cpcrs5g45ua804q/-FJPG/235235-001_DET_3.jpg</t>
  </si>
  <si>
    <t>https://dd3ka9h4chfr8.cloudfront.net/image/725136000567/image_aathlnpo7l4pb1qrre7p2nvu0r/-FJPG/235235-001_DET_4.jpg</t>
  </si>
  <si>
    <t>https://dd3ka9h4chfr8.cloudfront.net/image/725136000567/image_seccv0elk562t29fpikk684m66/-FJPG/235235-001_DET_5.jpg</t>
  </si>
  <si>
    <t>https://dd3ka9h4chfr8.cloudfront.net/image/725136000567/image_1neo4uip8d2f964t3ajhs83h43/-FJPG/235235-001_PRM_2.jpg</t>
  </si>
  <si>
    <t>Bronx Dining Table - Light Brushed Parawood</t>
  </si>
  <si>
    <t>Solid Mixed Reclaimed Wood</t>
  </si>
  <si>
    <t>https://dd3ka9h4chfr8.cloudfront.net/image/725136000567/image_3l9agbm0sh31b52sobgkbg4367/-S150x150-FJPG/101447-002_PRM_1.jpg</t>
  </si>
  <si>
    <t>https://dd3ka9h4chfr8.cloudfront.net/image/725136000567/image_fe45s9k0p57j77nunds574aj4g/-FJPG/101447-002_DET_2.jpg</t>
  </si>
  <si>
    <t>https://dd3ka9h4chfr8.cloudfront.net/image/725136000567/image_d9js0sild57ate5o907b353t18/-FJPG/101447-002_DET_1.jpg</t>
  </si>
  <si>
    <t>https://dd3ka9h4chfr8.cloudfront.net/image/725136000567/image_irj9u3kjmh28bfnsoh0icufk1r/-FJPG/101447-002_DET_3.jpg</t>
  </si>
  <si>
    <t>https://dd3ka9h4chfr8.cloudfront.net/image/725136000567/image_9e7dibg5l123tajrjh6n74s23r/-FJPG/101447-002_TOP_1.jpg</t>
  </si>
  <si>
    <t>https://dd3ka9h4chfr8.cloudfront.net/image/725136000567/image_99uurjl9n546hb7bdnvptmm60a/-FJPG/101447-002_DET_4.jpg</t>
  </si>
  <si>
    <t>https://dd3ka9h4chfr8.cloudfront.net/image/725136000567/image_ponajtqi0517f4fv4icrd5ph1g/-FJPG/101447-002_DET_5.jpg</t>
  </si>
  <si>
    <t>https://dd3ka9h4chfr8.cloudfront.net/image/725136000567/image_ls84gnbafd0ctcv21qfkrapo29/-FJPG/101447-002_DET_6.jpg</t>
  </si>
  <si>
    <t>https://dd3ka9h4chfr8.cloudfront.net/image/725136000567/image_8i0d7guvu52bp5q87dh79s5a35/-FJPG/101447-002_DET_7.jpg</t>
  </si>
  <si>
    <t>https://dd3ka9h4chfr8.cloudfront.net/image/725136000567/image_498h51vghh0dd0f85rae36qi1u/-FJPG/101447-002_DET_8.jpg</t>
  </si>
  <si>
    <t>Bronx Dining Table - Tanner Brown</t>
  </si>
  <si>
    <t>https://dd3ka9h4chfr8.cloudfront.net/image/725136000567/image_ckccpb8int2il7kdpbbd4a4v3c/-S150x150-FJPG/IHRM-074_PRM_1.jpg</t>
  </si>
  <si>
    <t>https://dd3ka9h4chfr8.cloudfront.net/image/725136000567/image_ckccpb8int2il7kdpbbd4a4v3c/-FJPG/IHRM-074_PRM_1.jpg</t>
  </si>
  <si>
    <t>https://dd3ka9h4chfr8.cloudfront.net/image/725136000567/image_osc1r9pmn55e51mfoa6jq30l0m/-FJPG/IHRM-074_DET_2.jpg</t>
  </si>
  <si>
    <t>https://dd3ka9h4chfr8.cloudfront.net/image/725136000567/image_sickc175j95g3e9ioij413kv65/-FJPG/IHRM-074_DET_1.jpg</t>
  </si>
  <si>
    <t>https://dd3ka9h4chfr8.cloudfront.net/image/725136000567/image_vdu7723m8t5697oom9hn59bp4i/-FJPG/IHRM-074_DET_3.jpg</t>
  </si>
  <si>
    <t>https://dd3ka9h4chfr8.cloudfront.net/image/725136000567/image_p7n1at16ph3it0ohmol12vvs67/-FJPG/IHRM-074_DET_4.jpg</t>
  </si>
  <si>
    <t>https://dd3ka9h4chfr8.cloudfront.net/image/725136000567/image_cl2picurfd7974sv6q7asan902/-FJPG/IHRM-074_DET_5.jpg</t>
  </si>
  <si>
    <t>https://dd3ka9h4chfr8.cloudfront.net/image/725136000567/image_pu11pt375t0sdcupg6cfhgft71/-FJPG/IHRM-074_DET_6.jpg</t>
  </si>
  <si>
    <t>https://dd3ka9h4chfr8.cloudfront.net/image/725136000567/image_2mnt0aai116b1865sgamsnth75/-FJPG/IHRM-074_DET_7.jpg</t>
  </si>
  <si>
    <t>https://dd3ka9h4chfr8.cloudfront.net/image/725136000567/image_ddspcl8lu12u1b2nniq7jeph1s/-FJPG/IHRM-074_ROM_1.jpg</t>
  </si>
  <si>
    <t>Brooklyn Coffee Table - Ashen Walnut</t>
  </si>
  <si>
    <t>Thick Walnut Veneer</t>
  </si>
  <si>
    <t>https://dd3ka9h4chfr8.cloudfront.net/image/725136000567/image_nli6jo1vt53k77ol0nlv57ve5k/-S150x150-FJPG/107561-007_PRM_1.jpg</t>
  </si>
  <si>
    <t>https://dd3ka9h4chfr8.cloudfront.net/image/725136000567/image_nli6jo1vt53k77ol0nlv57ve5k/-FJPG/107561-007_PRM_1.jpg</t>
  </si>
  <si>
    <t>https://dd3ka9h4chfr8.cloudfront.net/image/725136000567/image_1ik472vael7nj5pdpnbliejp0d/-FJPG/107561-007_SID_1.jpg</t>
  </si>
  <si>
    <t>https://dd3ka9h4chfr8.cloudfront.net/image/725136000567/image_tjag4t3eid6j920ac03em3uq5m/-FJPG/107561-007_ESS_1.jpg</t>
  </si>
  <si>
    <t>https://dd3ka9h4chfr8.cloudfront.net/image/725136000567/image_9n8bk8qcm90g51o0ohj17c503r/-FJPG/107561-007_DET_2.jpg</t>
  </si>
  <si>
    <t>https://dd3ka9h4chfr8.cloudfront.net/image/725136000567/image_e5c9uftg455jp975eqei3vch0r/-FJPG/Color Variance Card_Ashen Walnut.jpg</t>
  </si>
  <si>
    <t>https://dd3ka9h4chfr8.cloudfront.net/image/725136000567/image_f8bmfm9r016a9bovcvtv09c11b/-FJPG/107561-007_DET_1.jpg</t>
  </si>
  <si>
    <t>https://dd3ka9h4chfr8.cloudfront.net/image/725136000567/image_e70fdls97h45b7o6cr8joak05d/-FJPG/107561-007_TOP_1.jpg</t>
  </si>
  <si>
    <t>https://dd3ka9h4chfr8.cloudfront.net/image/725136000567/image_oh5b1mh8m17rh95p0r8olei04i/-FJPG/107561-007_DET_4.jpg</t>
  </si>
  <si>
    <t>https://dd3ka9h4chfr8.cloudfront.net/image/725136000567/image_edgafeagk537lbvjacb9og8t0v/-FJPG/107561-007_DET_5.jpg</t>
  </si>
  <si>
    <t>https://dd3ka9h4chfr8.cloudfront.net/image/725136000567/image_q6ql61uqgh1cp5bd3qna3l3645/-FJPG/107561-007_DET_6.jpg</t>
  </si>
  <si>
    <t>https://dd3ka9h4chfr8.cloudfront.net/image/725136000567/image_4205kuqepp7ul7oc8l96t24g5m/-FJPG/107561-007_ESS_2.jpg</t>
  </si>
  <si>
    <t>Brooklyn Coffee Table - Blonde Yukas</t>
  </si>
  <si>
    <t>https://dd3ka9h4chfr8.cloudfront.net/image/725136000567/image_3f45u8tkol1kjes41a4aoekf04/-S150x150-FJPG/UWES-156_PRM_1.jpg</t>
  </si>
  <si>
    <t>https://dd3ka9h4chfr8.cloudfront.net/image/725136000567/image_3f45u8tkol1kjes41a4aoekf04/-FJPG/UWES-156_PRM_1.jpg</t>
  </si>
  <si>
    <t>https://dd3ka9h4chfr8.cloudfront.net/image/725136000567/image_tf555r8k0d7j76vagc4qjcer1e/-FJPG/UWES-156_DET_2.jpg</t>
  </si>
  <si>
    <t>https://dd3ka9h4chfr8.cloudfront.net/image/725136000567/image_v571ret2sl1eff5eiq25922u0h/-FJPG/UWES-156_DET_1.jpg</t>
  </si>
  <si>
    <t>https://dd3ka9h4chfr8.cloudfront.net/image/725136000567/image_et1h9ob38p573b7hemfo249e4n/-FJPG/UWES-156_DET_3.jpg</t>
  </si>
  <si>
    <t>https://dd3ka9h4chfr8.cloudfront.net/image/725136000567/image_2ldefmvq9d7irfskvpfusoc55n/-FJPG/UWES-156_DET_4.jpg</t>
  </si>
  <si>
    <t>https://dd3ka9h4chfr8.cloudfront.net/image/725136000567/image_e97mlitma57et4dc5bobg5mv63/-FJPG/UWES-156_ROM_1.jpg</t>
  </si>
  <si>
    <t>https://dd3ka9h4chfr8.cloudfront.net/image/725136000567/image_4u7tvnmkn90vrfakvrfm2cac4i/-FJPG/UWES-156_ESS.tif</t>
  </si>
  <si>
    <t>https://dd3ka9h4chfr8.cloudfront.net/image/725136000567/image_4ne2g8f84t60j4tqbd958c5l1i/-FJPG/UWES-156_ESS_9.tif</t>
  </si>
  <si>
    <t>Brooks Lounge Chair - Avant Natural</t>
  </si>
  <si>
    <t>74% Polyester</t>
  </si>
  <si>
    <t>26% Acrylic</t>
  </si>
  <si>
    <t>67% Cotton</t>
  </si>
  <si>
    <t>33% Flax/Linen</t>
  </si>
  <si>
    <t>https://dd3ka9h4chfr8.cloudfront.net/image/725136000567/image_1sb3bgc5mt0g9f2l48jqlcsd2d/-S150x150-FJPG/105917-010_PRM_1.jpg</t>
  </si>
  <si>
    <t>https://dd3ka9h4chfr8.cloudfront.net/image/725136000567/image_1sb3bgc5mt0g9f2l48jqlcsd2d/-FJPG/105917-010_PRM_1.jpg</t>
  </si>
  <si>
    <t>https://dd3ka9h4chfr8.cloudfront.net/image/725136000567/image_mtl5k1kqh11rl0gc2jpbnu6d7m/-FJPG/105917-010_SID_1.jpg</t>
  </si>
  <si>
    <t>https://dd3ka9h4chfr8.cloudfront.net/image/725136000567/image_ns5afhlu7h52rbejub540s0r23/-FJPG/105917-010_DET_2.jpg</t>
  </si>
  <si>
    <t>https://dd3ka9h4chfr8.cloudfront.net/image/725136000567/image_ljescctf813dr78qfca2d0i674/-FJPG/105917-010_BCK_1.jpg</t>
  </si>
  <si>
    <t>https://dd3ka9h4chfr8.cloudfront.net/image/725136000567/image_kl9ctv6uk50tddj26oq4jg0i18/-FJPG/105917-010_DET_1.jpg</t>
  </si>
  <si>
    <t>https://dd3ka9h4chfr8.cloudfront.net/image/725136000567/image_s4uo37aitt30r3v1oha0nfaj5g/-FJPG/105917-010_DET_3.jpg</t>
  </si>
  <si>
    <t>https://dd3ka9h4chfr8.cloudfront.net/image/725136000567/image_ht3e2qpq7d3gndup36husvft7l/-FJPG/105917-010_DET_4.jpg</t>
  </si>
  <si>
    <t>https://dd3ka9h4chfr8.cloudfront.net/image/725136000567/image_gol6sna50l04j8k5afupkudp6h/-FJPG/105917-010_DET_5.jpg</t>
  </si>
  <si>
    <t>https://dd3ka9h4chfr8.cloudfront.net/image/725136000567/image_bpcfk634995n1cjkgc31ogfr5p/-FJPG/105917-010_DET_6.jpg</t>
  </si>
  <si>
    <t>https://dd3ka9h4chfr8.cloudfront.net/image/725136000567/image_30gh8s40lh48tda4t3hidbdi55/-FJPG/105917-010_ROM_1.jpg</t>
  </si>
  <si>
    <t>https://dd3ka9h4chfr8.cloudfront.net/image/725136000567/image_acv106emv17nnc5vga0ge64i07/-FJPG/105917-010_ROM_2.jpg</t>
  </si>
  <si>
    <t>Brooks Lounge Chair - Rialto Ebony</t>
  </si>
  <si>
    <t>https://dd3ka9h4chfr8.cloudfront.net/image/725136000567/image_7ovquu6eb51ure53ar6il1e616/-S150x150-FJPG/105917-007_PRM_1.jpg</t>
  </si>
  <si>
    <t>https://dd3ka9h4chfr8.cloudfront.net/image/725136000567/image_7ovquu6eb51ure53ar6il1e616/-FJPG/105917-007_PRM_1.jpg</t>
  </si>
  <si>
    <t>https://dd3ka9h4chfr8.cloudfront.net/image/725136000567/image_naahk60mat5p32fnep5p5c9n08/-FJPG/105917-007_SID_1.jpg</t>
  </si>
  <si>
    <t>https://dd3ka9h4chfr8.cloudfront.net/image/725136000567/image_pll9h2biid3n562e34mibpd505/-FJPG/105917-007_ESS_1.jpg</t>
  </si>
  <si>
    <t>https://dd3ka9h4chfr8.cloudfront.net/image/725136000567/image_jktj10pjk94hr2t89qee54pl23/-FJPG/105917-007_DET_2.jpg</t>
  </si>
  <si>
    <t>https://dd3ka9h4chfr8.cloudfront.net/image/725136000567/image_ts7vnb39p57e95c6cepr660n7k/-FJPG/105917-007_BCK_1.jpg</t>
  </si>
  <si>
    <t>https://dd3ka9h4chfr8.cloudfront.net/image/725136000567/image_qtnaifr82t2ghfdvq3stojof2p/-FJPG/105917-007_DET_1.jpg</t>
  </si>
  <si>
    <t>https://dd3ka9h4chfr8.cloudfront.net/image/725136000567/image_89335t6tld34r3btp5df4cke1u/-FJPG/105917-007_DET_3.jpg</t>
  </si>
  <si>
    <t>https://dd3ka9h4chfr8.cloudfront.net/image/725136000567/image_uf9kg4b5mt64n8gi53pgngmo22/-FJPG/105917-007_ROM_1.jpg</t>
  </si>
  <si>
    <t>https://dd3ka9h4chfr8.cloudfront.net/image/725136000567/image_67chvard9d7nt1636qsr5gka1e/-FJPG/105917-007_ROM_2.jpg</t>
  </si>
  <si>
    <t>https://dd3ka9h4chfr8.cloudfront.net/image/725136000567/image_na4fhc17ph0it9i3812i3mrm5b/-FJPG/105917-007_ROM_3.jpg</t>
  </si>
  <si>
    <t>https://dd3ka9h4chfr8.cloudfront.net/image/725136000567/image_09g14edtot43b5f14u450ls441/-FJPG/105917-007_ROM_4.jpg</t>
  </si>
  <si>
    <t>Brynn Dresser - Dark Walnut Veneer</t>
  </si>
  <si>
    <t>https://dd3ka9h4chfr8.cloudfront.net/image/725136000567/image_v4jphisoot7t3f9lictcqga659/-S150x150-FJPG/242182-001_PRM_1.jpg</t>
  </si>
  <si>
    <t>https://dd3ka9h4chfr8.cloudfront.net/image/725136000567/image_v4jphisoot7t3f9lictcqga659/-FJPG/242182-001_PRM_1.jpg</t>
  </si>
  <si>
    <t>https://dd3ka9h4chfr8.cloudfront.net/image/725136000567/image_3469l24hkh2p15knhhs2op7t1a/-FJPG/242182-001_SID_1.jpg</t>
  </si>
  <si>
    <t>https://dd3ka9h4chfr8.cloudfront.net/image/725136000567/image_bb7tct3rg94dd7i82qo7pvgh3k/-FJPG/242182-001_DET_2.jpg</t>
  </si>
  <si>
    <t>https://dd3ka9h4chfr8.cloudfront.net/image/725136000567/image_2kovjvjnf160f8s50m4f0g106q/-FJPG/242182-001_BCK_1.jpg</t>
  </si>
  <si>
    <t>https://dd3ka9h4chfr8.cloudfront.net/image/725136000567/image_ptihnqjqp14ob7nvlqe0migp5j/-FJPG/242182-001_DET_1.jpg</t>
  </si>
  <si>
    <t>https://dd3ka9h4chfr8.cloudfront.net/image/725136000567/image_bqoo70bp351g7ci2iqeteglr63/-FJPG/242182-001_DET_3.jpg</t>
  </si>
  <si>
    <t>https://dd3ka9h4chfr8.cloudfront.net/image/725136000567/image_0idgo5cdfh0fp2llaj76m5483j/-FJPG/242182-001_OPN_1.jpg</t>
  </si>
  <si>
    <t>https://dd3ka9h4chfr8.cloudfront.net/image/725136000567/image_qloukrhjr973rcr3k252ke1911/-FJPG/242182-001_DET_4.jpg</t>
  </si>
  <si>
    <t>https://dd3ka9h4chfr8.cloudfront.net/image/725136000567/image_44j03gjob55l7dm410p5ihs517/-FJPG/242182-001_DET_5.jpg</t>
  </si>
  <si>
    <t>https://dd3ka9h4chfr8.cloudfront.net/image/725136000567/image_v1k5ao72e109l92b7l5ancud10/-FJPG/242182-001_DET_6.jpg</t>
  </si>
  <si>
    <t>https://dd3ka9h4chfr8.cloudfront.net/image/725136000567/image_th9hahfd917vrd8h4ujet0r50a/-FJPG/242182-001_DET_7.jpg</t>
  </si>
  <si>
    <t>https://dd3ka9h4chfr8.cloudfront.net/image/725136000567/image_5mrrgndaa16jvb2dps88uoor6p/-FJPG/242182-001_DET_8.jpg</t>
  </si>
  <si>
    <t>Buck End Table - Dark Petrified Wood</t>
  </si>
  <si>
    <t>https://dd3ka9h4chfr8.cloudfront.net/image/725136000567/image_l8iridqadl5op07mcbus1a9i4g/-S150x150-FJPG/227730-001_PRM_1.jpg</t>
  </si>
  <si>
    <t>https://dd3ka9h4chfr8.cloudfront.net/image/725136000567/image_l8iridqadl5op07mcbus1a9i4g/-FJPG/227730-001_PRM_1.jpg</t>
  </si>
  <si>
    <t>https://dd3ka9h4chfr8.cloudfront.net/image/725136000567/image_tp0kaanhj54s369n7cinbjau4l/-FJPG/227730-001_SID_1.jpg</t>
  </si>
  <si>
    <t>https://dd3ka9h4chfr8.cloudfront.net/image/725136000567/image_cigoiopnep2k15t78b9qkbqv7q/-FJPG/227730-001_ESS_1.jpg</t>
  </si>
  <si>
    <t>https://dd3ka9h4chfr8.cloudfront.net/image/725136000567/image_voosuuq7dl6o170h574cmp8h35/-FJPG/227730-001_DET_2.jpg</t>
  </si>
  <si>
    <t>https://dd3ka9h4chfr8.cloudfront.net/image/725136000567/image_0b2gc3jgth3t9fu3l8jja8eg33/-FJPG/227730-001_DET_1.jpg</t>
  </si>
  <si>
    <t>https://dd3ka9h4chfr8.cloudfront.net/image/725136000567/image_nd541i2ul11ud7a9qtuvlp4b65/-FJPG/227730-001_DET_3.jpg</t>
  </si>
  <si>
    <t>https://dd3ka9h4chfr8.cloudfront.net/image/725136000567/image_l1sjhq97b90pvd9hc67qn6kb29/-FJPG/227730-001_DET_4.jpg</t>
  </si>
  <si>
    <t>https://dd3ka9h4chfr8.cloudfront.net/image/725136000567/image_agkg5kpke533hc1j83rsteog3n/-FJPG/227730-001_DET_5.jpg</t>
  </si>
  <si>
    <t>https://dd3ka9h4chfr8.cloudfront.net/image/725136000567/image_25kmlj0f5p2nh4nccrus1c4q1g/-FJPG/227730-001_DET_6.jpg</t>
  </si>
  <si>
    <t>https://dd3ka9h4chfr8.cloudfront.net/image/725136000567/image_tgbl125o3h7c1443uinadatu4v/-FJPG/227730-001_DET_7.jpg</t>
  </si>
  <si>
    <t>https://dd3ka9h4chfr8.cloudfront.net/image/725136000567/image_f5hvnb0jr94gfc29qs2ad2p86d/-FJPG/227730-001_VIG_2.jpg</t>
  </si>
  <si>
    <t>Cain Floating Shelf - Gold Guanacaste</t>
  </si>
  <si>
    <t>https://dd3ka9h4chfr8.cloudfront.net/image/725136000567/image_mnaodjpgk13g141pn6cj09ti0n/-S150x150-FJPG/226970-005_PRM_1.jpg</t>
  </si>
  <si>
    <t>https://dd3ka9h4chfr8.cloudfront.net/image/725136000567/image_tjne3bj32t3pf7ngbba2f57a7l/-FJPG/226970-005_DET_1.jpg</t>
  </si>
  <si>
    <t>https://dd3ka9h4chfr8.cloudfront.net/image/725136000567/image_h5nun4jg151ah938vvaqqflb6u/-FJPG/226970-005_DET_3.jpg</t>
  </si>
  <si>
    <t>https://dd3ka9h4chfr8.cloudfront.net/image/725136000567/image_pa21763a5l0v922ljs7slrus45/-FJPG/226970-005_DET_4.jpg</t>
  </si>
  <si>
    <t>https://dd3ka9h4chfr8.cloudfront.net/image/725136000567/image_4p0h37a1q12qjbuouj7olhb864/-FJPG/226970-005_DET_5.jpg</t>
  </si>
  <si>
    <t>https://dd3ka9h4chfr8.cloudfront.net/image/725136000567/image_erj167j3190el7bh4oqbnnsa06/-FJPG/226970-005_DET_6.jpg</t>
  </si>
  <si>
    <t>https://dd3ka9h4chfr8.cloudfront.net/image/725136000567/image_q93ja51v611v3d7sqqkul4df2t/-FJPG/226970-005_DET_7.jpg</t>
  </si>
  <si>
    <t>Cairo Chair - Harrison Black</t>
  </si>
  <si>
    <t>Solid Beech</t>
  </si>
  <si>
    <t>https://dd3ka9h4chfr8.cloudfront.net/image/725136000567/image_jksu6mnu3l25ragpuku57ikj1f/-S150x150-FJPG/229370-007_PRM_1.jpg</t>
  </si>
  <si>
    <t>https://dd3ka9h4chfr8.cloudfront.net/image/725136000567/image_jksu6mnu3l25ragpuku57ikj1f/-FJPG/229370-007_PRM_1.jpg</t>
  </si>
  <si>
    <t>https://dd3ka9h4chfr8.cloudfront.net/image/725136000567/image_koplpknr991uhbpqdiosqf7q5n/-FJPG/229370-007_SID_1.JPG</t>
  </si>
  <si>
    <t>https://dd3ka9h4chfr8.cloudfront.net/image/725136000567/image_sd44n52pkl1up5cfm1dm4mha7q/-FJPG/229370-007_ESS_1.jpg</t>
  </si>
  <si>
    <t>https://dd3ka9h4chfr8.cloudfront.net/image/725136000567/image_dimd4tpjkd3pp825qcajdqor2d/-FJPG/229370-007_DET_2.JPG</t>
  </si>
  <si>
    <t>https://dd3ka9h4chfr8.cloudfront.net/image/725136000567/image_1dfcv00qn141t3r6b6bha3br6o/-FJPG/229370-007_BCK_1.JPG</t>
  </si>
  <si>
    <t>https://dd3ka9h4chfr8.cloudfront.net/image/725136000567/image_m3trj84sgt6en6quip535ltu4l/-FJPG/229370-007_DET_1.JPG</t>
  </si>
  <si>
    <t>https://dd3ka9h4chfr8.cloudfront.net/image/725136000567/image_3tqp89j6dp0jv0sk31prcsti69/-FJPG/229370-007_DET_3.JPG</t>
  </si>
  <si>
    <t>https://dd3ka9h4chfr8.cloudfront.net/image/725136000567/image_liusqeiodh0fr0uhd54l963s3v/-FJPG/229370-007_DET_4.JPG</t>
  </si>
  <si>
    <t>Cairo Chair - Modern Velvet Smoke</t>
  </si>
  <si>
    <t>https://dd3ka9h4chfr8.cloudfront.net/image/725136000567/image_2fd0akv9e13g91a3asrvaq8306/-S150x150-FJPG/229370-003_PRM_1.jpg</t>
  </si>
  <si>
    <t>https://dd3ka9h4chfr8.cloudfront.net/image/725136000567/image_2fd0akv9e13g91a3asrvaq8306/-FJPG/229370-003_PRM_1.jpg</t>
  </si>
  <si>
    <t>https://dd3ka9h4chfr8.cloudfront.net/image/725136000567/image_p9t0k8dkmp41r7d88fe67co67i/-FJPG/229370-003_SID_1.jpg</t>
  </si>
  <si>
    <t>https://dd3ka9h4chfr8.cloudfront.net/image/725136000567/image_614ots8dnh0d94a11io98ark42/-FJPG/229370-003_ESS_1.jpg</t>
  </si>
  <si>
    <t>https://dd3ka9h4chfr8.cloudfront.net/image/725136000567/image_b6tkelank54ff6692r14chq87f/-FJPG/229370-003_DET_2.jpg</t>
  </si>
  <si>
    <t>https://dd3ka9h4chfr8.cloudfront.net/image/725136000567/image_tro9qkctv15l7fk7c5g6enao14/-FJPG/229370-003_BCK_1.jpg</t>
  </si>
  <si>
    <t>https://dd3ka9h4chfr8.cloudfront.net/image/725136000567/image_j2s0tp1mft2mb109ca43e81k54/-FJPG/229370-003_DET_1.jpg</t>
  </si>
  <si>
    <t>https://dd3ka9h4chfr8.cloudfront.net/image/725136000567/image_h2cd1drqod6k7amclg8i41gi54/-FJPG/229370-003_DET_3.jpg</t>
  </si>
  <si>
    <t>https://dd3ka9h4chfr8.cloudfront.net/image/725136000567/image_2qvqfvf8l508j9ecn8utc4ug3v/-FJPG/229370-003_DET_4.jpg</t>
  </si>
  <si>
    <t>https://dd3ka9h4chfr8.cloudfront.net/image/725136000567/image_imkhthts3t69j8bfba28mi2u6c/-FJPG/229370-003_DET_5.jpg</t>
  </si>
  <si>
    <t>https://dd3ka9h4chfr8.cloudfront.net/image/725136000567/image_a83hapcap132v9a0k0mh8e801k/-FJPG/229370-003_DET_6.jpg</t>
  </si>
  <si>
    <t>https://dd3ka9h4chfr8.cloudfront.net/image/725136000567/image_m17e6v15eh6ubd057k0n0n201r/-FJPG/229370-003_VIG_1.jpg</t>
  </si>
  <si>
    <t>Cairo Chair - Palermo Cognac</t>
  </si>
  <si>
    <t>https://dd3ka9h4chfr8.cloudfront.net/image/725136000567/image_buappp4rhd3i14t3utgbh3ds0f/-S150x150-FJPG/229370-005_PRM_1.jpg</t>
  </si>
  <si>
    <t>https://dd3ka9h4chfr8.cloudfront.net/image/725136000567/image_buappp4rhd3i14t3utgbh3ds0f/-FJPG/229370-005_PRM_1.jpg</t>
  </si>
  <si>
    <t>https://dd3ka9h4chfr8.cloudfront.net/image/725136000567/image_k6ivd5ejbp28n68s23eg83477t/-FJPG/229370-005_SID_1.jpg</t>
  </si>
  <si>
    <t>https://dd3ka9h4chfr8.cloudfront.net/image/725136000567/image_l455ir3ih96c5fcfc2roed5q4t/-FJPG/229370-005_ESS_1.jpg</t>
  </si>
  <si>
    <t>https://dd3ka9h4chfr8.cloudfront.net/image/725136000567/image_qaitks96t96i54kk9s24mkt274/-FJPG/229370-005_DET_2.jpg</t>
  </si>
  <si>
    <t>https://dd3ka9h4chfr8.cloudfront.net/image/725136000567/image_me7uksn3al1end5acchf3g2j3l/-FJPG/229370-005_BCK_1.jpg</t>
  </si>
  <si>
    <t>https://dd3ka9h4chfr8.cloudfront.net/image/725136000567/image_sll36nijch4abcbgt5dq2n092q/-FJPG/Color Variance Card_Palermo Cognac.jpg</t>
  </si>
  <si>
    <t>https://dd3ka9h4chfr8.cloudfront.net/image/725136000567/image_pel4pu9e3l3h5c5fqbq0rp4710/-FJPG/229370-005_DET_1.jpg</t>
  </si>
  <si>
    <t>https://dd3ka9h4chfr8.cloudfront.net/image/725136000567/image_01gp498id12rrbp38aaoae7235/-FJPG/229370-005_DET_3.jpg</t>
  </si>
  <si>
    <t>https://dd3ka9h4chfr8.cloudfront.net/image/725136000567/image_kki6ou0p8t0ch0murde0651344/-FJPG/229370-005_DET_4.jpg</t>
  </si>
  <si>
    <t>https://dd3ka9h4chfr8.cloudfront.net/image/725136000567/image_sl97utleu90md7er9rqmdh5411/-FJPG/229370-005_DET_5.jpg</t>
  </si>
  <si>
    <t>https://dd3ka9h4chfr8.cloudfront.net/image/725136000567/image_8tubhvkpk51k735hhsoeah8215/-FJPG/229370-005_DET_6.jpg</t>
  </si>
  <si>
    <t>https://dd3ka9h4chfr8.cloudfront.net/image/725136000567/image_ar9qqeq8o55dr58o9gfmgq5e0t/-FJPG/229370-005_ROM_1.jpg</t>
  </si>
  <si>
    <t>Cairo Chair - Thames Cream</t>
  </si>
  <si>
    <t>https://dd3ka9h4chfr8.cloudfront.net/image/725136000567/image_7koqpf5dfp17henfu377kf871g/-S150x150-FJPG/229370-006_PRM_1.jpg</t>
  </si>
  <si>
    <t>https://dd3ka9h4chfr8.cloudfront.net/image/725136000567/image_7koqpf5dfp17henfu377kf871g/-FJPG/229370-006_PRM_1.jpg</t>
  </si>
  <si>
    <t>https://dd3ka9h4chfr8.cloudfront.net/image/725136000567/image_54bhs87lml6k398sp7ql3htq4q/-FJPG/229370-006_SID_1.jpg</t>
  </si>
  <si>
    <t>https://dd3ka9h4chfr8.cloudfront.net/image/725136000567/image_g58hpapfq577n8d2qhq69hjl7j/-FJPG/229370-006_ESS_1.jpg</t>
  </si>
  <si>
    <t>https://dd3ka9h4chfr8.cloudfront.net/image/725136000567/image_r0gsa6r4t57cvaln1jbum4hs1l/-FJPG/229370-006_DET_2.jpg</t>
  </si>
  <si>
    <t>https://dd3ka9h4chfr8.cloudfront.net/image/725136000567/image_2mo8i841153tnfml7gbucneb6q/-FJPG/229370-006_BCK_1.jpg</t>
  </si>
  <si>
    <t>https://dd3ka9h4chfr8.cloudfront.net/image/725136000567/image_ctmov6rt357q92msncu929126n/-FJPG/229370-006_DET_1.jpg</t>
  </si>
  <si>
    <t>https://dd3ka9h4chfr8.cloudfront.net/image/725136000567/image_9cuaengle57k3da3ukksq87p13/-FJPG/229370-006_DET_3.jpg</t>
  </si>
  <si>
    <t>https://dd3ka9h4chfr8.cloudfront.net/image/725136000567/image_u0dq0l1glp0q56lnhn924sti6c/-FJPG/229370-006_DET_4.jpg</t>
  </si>
  <si>
    <t>Cairo Sofa - Modern Velvet Smoke</t>
  </si>
  <si>
    <t>https://dd3ka9h4chfr8.cloudfront.net/image/725136000567/image_a58icfqk554ltd1ej2hpgh9n1g/-S150x150-FJPG/236088-004_PRM_1.jpg</t>
  </si>
  <si>
    <t>https://dd3ka9h4chfr8.cloudfront.net/image/725136000567/image_a58icfqk554ltd1ej2hpgh9n1g/-FJPG/236088-004_PRM_1.jpg</t>
  </si>
  <si>
    <t>https://dd3ka9h4chfr8.cloudfront.net/image/725136000567/image_bnhim5i7gl4l19jp7pgasavk0k/-FJPG/236088-004_SID_1.jpg</t>
  </si>
  <si>
    <t>https://dd3ka9h4chfr8.cloudfront.net/image/725136000567/image_bgbpqbu1910cl10d8bljsl7175/-FJPG/236088-004_ESS_1.jpg</t>
  </si>
  <si>
    <t>https://dd3ka9h4chfr8.cloudfront.net/image/725136000567/image_cflr10bu6h3a9adh2f5l4k3d28/-FJPG/236088-004_DET_2.jpg</t>
  </si>
  <si>
    <t>https://dd3ka9h4chfr8.cloudfront.net/image/725136000567/image_3kfqsaeuv50sr8d4lk9sp5ac1k/-FJPG/236088-004_BCK_1.jpg</t>
  </si>
  <si>
    <t>https://dd3ka9h4chfr8.cloudfront.net/image/725136000567/image_keblr3m4dd2dvfs92n5m606r0d/-FJPG/236088-004_DET_1.jpg</t>
  </si>
  <si>
    <t>https://dd3ka9h4chfr8.cloudfront.net/image/725136000567/image_ndmc2s06j96hd75sqcmkn7cb16/-FJPG/236088-004_DET_3.jpg</t>
  </si>
  <si>
    <t>https://dd3ka9h4chfr8.cloudfront.net/image/725136000567/image_pems30hd017elc94o6une5ne0p/-FJPG/236088-004_DET_4.jpg</t>
  </si>
  <si>
    <t>https://dd3ka9h4chfr8.cloudfront.net/image/725136000567/image_uu1qio4v8d18p44i0tu5doh564/-FJPG/236088-004_DET_5.jpg</t>
  </si>
  <si>
    <t>https://dd3ka9h4chfr8.cloudfront.net/image/725136000567/image_5ee9v3emfl5h9cupsbltq1mt7n/-FJPG/236088-004_DET_6.jpg</t>
  </si>
  <si>
    <t>Cairo Sofa - Palermo Cognac</t>
  </si>
  <si>
    <t>https://dd3ka9h4chfr8.cloudfront.net/image/725136000567/image_id3gi8bd0t05pfrrg6vfh8qg01/-S150x150-FJPG/236088-002_PRM_1.jpg</t>
  </si>
  <si>
    <t>https://dd3ka9h4chfr8.cloudfront.net/image/725136000567/image_id3gi8bd0t05pfrrg6vfh8qg01/-FJPG/236088-002_PRM_1.jpg</t>
  </si>
  <si>
    <t>https://dd3ka9h4chfr8.cloudfront.net/image/725136000567/image_41kk16h78l7sr4douo7et18u5q/-FJPG/236088-002_SID_1.jpg</t>
  </si>
  <si>
    <t>https://dd3ka9h4chfr8.cloudfront.net/image/725136000567/image_qrllr5b1013rj3orao7q2ffl3h/-FJPG/236088-002_ESS_1.jpg</t>
  </si>
  <si>
    <t>https://dd3ka9h4chfr8.cloudfront.net/image/725136000567/image_kj8n7dmq7l2f9d3g701u39jp5q/-FJPG/236088-002_DET_2.jpg</t>
  </si>
  <si>
    <t>https://dd3ka9h4chfr8.cloudfront.net/image/725136000567/image_8eqhj7lmkp6nd5l826i45bqu6u/-FJPG/236088-002_BCK_1.jpg</t>
  </si>
  <si>
    <t>https://dd3ka9h4chfr8.cloudfront.net/image/725136000567/image_geligb201h5cb5889omcantq2l/-FJPG/236088-002_DET_1.jpg</t>
  </si>
  <si>
    <t>https://dd3ka9h4chfr8.cloudfront.net/image/725136000567/image_kv92rf8kp55v93f1aeigu43n6q/-FJPG/236088-002_DET_3.jpg</t>
  </si>
  <si>
    <t>https://dd3ka9h4chfr8.cloudfront.net/image/725136000567/image_5qiibdbv810890f18a358jc913/-FJPG/236088-002_DET_4.jpg</t>
  </si>
  <si>
    <t>https://dd3ka9h4chfr8.cloudfront.net/image/725136000567/image_fh217ltci52ld39q9g24e52r2c/-FJPG/236088-002_DET_5.jpg</t>
  </si>
  <si>
    <t>https://dd3ka9h4chfr8.cloudfront.net/image/725136000567/image_u0kv92mqvd1fvf299guvftaj21/-FJPG/236088-002_DET_6.jpg</t>
  </si>
  <si>
    <t>Cairo Sofa - Thames Cream</t>
  </si>
  <si>
    <t>https://dd3ka9h4chfr8.cloudfront.net/image/725136000567/image_i9bflbn8d557d43jnm4l948j1l/-S150x150-FJPG/236088-003_PRM_1.jpg</t>
  </si>
  <si>
    <t>https://dd3ka9h4chfr8.cloudfront.net/image/725136000567/image_i9bflbn8d557d43jnm4l948j1l/-FJPG/236088-003_PRM_1.jpg</t>
  </si>
  <si>
    <t>https://dd3ka9h4chfr8.cloudfront.net/image/725136000567/image_icqql04avd20p2gsr9ig3pts63/-FJPG/236088-003_SID_1.jpg</t>
  </si>
  <si>
    <t>https://dd3ka9h4chfr8.cloudfront.net/image/725136000567/image_7sb7fnbknd15l587974agtsl4r/-FJPG/236088-003_ESS_1.tif</t>
  </si>
  <si>
    <t>https://dd3ka9h4chfr8.cloudfront.net/image/725136000567/image_sak06mg0sd5fhel7m934m81d08/-FJPG/236088-003_DET_2.jpg</t>
  </si>
  <si>
    <t>https://dd3ka9h4chfr8.cloudfront.net/image/725136000567/image_c0q4h226t94j1db09f20j5l26p/-FJPG/236088-003_BCK_1.jpg</t>
  </si>
  <si>
    <t>https://dd3ka9h4chfr8.cloudfront.net/image/725136000567/image_94oonrmivd5avd39b86jfmu501/-FJPG/236088-003_DET_1.jpg</t>
  </si>
  <si>
    <t>https://dd3ka9h4chfr8.cloudfront.net/image/725136000567/image_9codn42r316jn31ldaherrt751/-FJPG/236088-003_DET_3.jpg</t>
  </si>
  <si>
    <t>https://dd3ka9h4chfr8.cloudfront.net/image/725136000567/image_48d8b0ka6h71d8rf0g6sl60o6v/-FJPG/236088-003_DET_4.jpg</t>
  </si>
  <si>
    <t>https://dd3ka9h4chfr8.cloudfront.net/image/725136000567/image_56npjgoo0d337b36dsi930tg6d/-FJPG/236088-003_DET_5.jpg</t>
  </si>
  <si>
    <t>https://dd3ka9h4chfr8.cloudfront.net/image/725136000567/image_c98r18aad53ctfecemadsl2l75/-FJPG/236088-003_ESS.tif</t>
  </si>
  <si>
    <t>Cameron End Table - Ombre Antique Brass</t>
  </si>
  <si>
    <t>https://dd3ka9h4chfr8.cloudfront.net/image/725136000567/image_tnusv6ajlh0av1230vlvthi104/-S150x150-FJPG/106310-005_PRM_1.jpg</t>
  </si>
  <si>
    <t>https://dd3ka9h4chfr8.cloudfront.net/image/725136000567/image_qdm0jie5753njdcl265aq8ds0e/-FJPG/106310-005_DET_2.jpg</t>
  </si>
  <si>
    <t>https://dd3ka9h4chfr8.cloudfront.net/image/725136000567/image_vf4na11bg92t5ad7emv2870p3j/-FJPG/106310-005_DET_1.jpg</t>
  </si>
  <si>
    <t>https://dd3ka9h4chfr8.cloudfront.net/image/725136000567/image_mq0vp7stbp255d3621q95coq7r/-FJPG/106310-005_DET_4.jpg</t>
  </si>
  <si>
    <t>https://dd3ka9h4chfr8.cloudfront.net/image/725136000567/image_7816a81rl15hv1fddt0r8goh7f/-FJPG/106310-005_ROM_1.jpg</t>
  </si>
  <si>
    <t>Cameron End Table - Ombre Antique Pewter</t>
  </si>
  <si>
    <t>https://dd3ka9h4chfr8.cloudfront.net/image/725136000567/image_brln6vpr6h1pvduup86rka9a4p/-S150x150-FJPG/IASR-107A_PRM_1.jpg</t>
  </si>
  <si>
    <t>https://dd3ka9h4chfr8.cloudfront.net/image/725136000567/image_c7h7dib73924d6112vpp4la94i/-FJPG/106310-001_ESS_1.jpg</t>
  </si>
  <si>
    <t>https://dd3ka9h4chfr8.cloudfront.net/image/725136000567/image_lnt3l5n5l50sr3vvtr4encdt43/-FJPG/IASR-107A_DET_2.jpg</t>
  </si>
  <si>
    <t>https://dd3ka9h4chfr8.cloudfront.net/image/725136000567/image_i8buautfct6mh59vecimch7d3b/-FJPG/IASR-107A_DET_1.jpg</t>
  </si>
  <si>
    <t>https://dd3ka9h4chfr8.cloudfront.net/image/725136000567/image_dv75p2095l3tra6ro3vbctlh2j/-FJPG/IASR-107A_DET_3.jpg</t>
  </si>
  <si>
    <t>https://dd3ka9h4chfr8.cloudfront.net/image/725136000567/image_28cdci088h58580bk7foldps2u/-FJPG/IASR-107A_TOP_1.jpg</t>
  </si>
  <si>
    <t>https://dd3ka9h4chfr8.cloudfront.net/image/725136000567/image_u7abttafop3a31pq2gl32jrj5n/-FJPG/IASR-107A_DET_4.jpg</t>
  </si>
  <si>
    <t>https://dd3ka9h4chfr8.cloudfront.net/image/725136000567/image_9vuh44ktq553738htuc427r57o/-FJPG/IASR-107A_DET_5.jpg</t>
  </si>
  <si>
    <t>https://dd3ka9h4chfr8.cloudfront.net/image/725136000567/image_2u0jn98m6d7qh480gb5br8bf2n/-FJPG/IASR-107A_VIG_1.jpg</t>
  </si>
  <si>
    <t>Carlisle 6 Drawer Dresser - Natural Oak</t>
  </si>
  <si>
    <t>https://dd3ka9h4chfr8.cloudfront.net/image/725136000567/image_p9hco1ti4h5odesh7g00t6624m/-S150x150-FJPG/101353-002_PRM_1.jpg</t>
  </si>
  <si>
    <t>https://dd3ka9h4chfr8.cloudfront.net/image/725136000567/image_p9hco1ti4h5odesh7g00t6624m/-FJPG/101353-002_PRM_1.jpg</t>
  </si>
  <si>
    <t>https://dd3ka9h4chfr8.cloudfront.net/image/725136000567/image_svqpvorsf16plfpm73pqgbjm11/-FJPG/101353-002_SID_1.jpg</t>
  </si>
  <si>
    <t>https://dd3ka9h4chfr8.cloudfront.net/image/725136000567/image_t5i5d6a7t934pfv7ip1v4jni0r/-FJPG/101353-002_DET_2.jpg</t>
  </si>
  <si>
    <t>https://dd3ka9h4chfr8.cloudfront.net/image/725136000567/image_7qkp6chqqt3ar2dqbbtvd6c26a/-FJPG/101353-002_DET_1.jpg</t>
  </si>
  <si>
    <t>https://dd3ka9h4chfr8.cloudfront.net/image/725136000567/image_rvtc9m1ogp6k5dus5t5jnocr7h/-FJPG/101353-002_DET_3.jpg</t>
  </si>
  <si>
    <t>https://dd3ka9h4chfr8.cloudfront.net/image/725136000567/image_tf68ib8g1t3e1f2vl9irafr42i/-FJPG/101353-002_OPN_1.jpg</t>
  </si>
  <si>
    <t>https://dd3ka9h4chfr8.cloudfront.net/image/725136000567/image_d498g72hfp401flim3albhuj1i/-FJPG/101353-002_DET_4.jpg</t>
  </si>
  <si>
    <t>https://dd3ka9h4chfr8.cloudfront.net/image/725136000567/image_q1echnsjhl02n5t1vvmq2gjf3o/-FJPG/101353-002_DET_5.jpg</t>
  </si>
  <si>
    <t>https://dd3ka9h4chfr8.cloudfront.net/image/725136000567/image_7mlsr3ic2t4qjcb50r5juca84n/-FJPG/101353-002_DET_6.jpg</t>
  </si>
  <si>
    <t>https://dd3ka9h4chfr8.cloudfront.net/image/725136000567/image_j46gado8th41pabovkkk4fsf6p/-FJPG/101353-002_DET_7.jpg</t>
  </si>
  <si>
    <t>https://dd3ka9h4chfr8.cloudfront.net/image/725136000567/image_8frrli0gtd7o5a16f3lc7t426u/-FJPG/101353-002_DET_8.jpg</t>
  </si>
  <si>
    <t>https://dd3ka9h4chfr8.cloudfront.net/image/725136000567/image_ktd47mkso17t3djse74k61to03/-FJPG/101353-002_DET_9.jpg</t>
  </si>
  <si>
    <t>https://dd3ka9h4chfr8.cloudfront.net/image/725136000567/image_i87sth2tn522n58eq25q6k3j29/-FJPG/101353-002_DET_10.jpg</t>
  </si>
  <si>
    <t>https://dd3ka9h4chfr8.cloudfront.net/image/725136000567/image_m4omcr9kbl0u91b5opsnc7mr3a/-FJPG/101353-002_ROM_1.jpg</t>
  </si>
  <si>
    <t>Carmel Small Cabinet - Black Wash</t>
  </si>
  <si>
    <t>Solid Mango</t>
  </si>
  <si>
    <t>https://dd3ka9h4chfr8.cloudfront.net/image/725136000567/image_01qkvvrchp1p1e1ccrqg71v806/-S150x150-FJPG/106692-004_PRM_1.jpg</t>
  </si>
  <si>
    <t>https://dd3ka9h4chfr8.cloudfront.net/image/725136000567/image_01qkvvrchp1p1e1ccrqg71v806/-FJPG/106692-004_PRM_1.jpg</t>
  </si>
  <si>
    <t>https://dd3ka9h4chfr8.cloudfront.net/image/725136000567/image_48mr935ho50nffqpkup1ppid2q/-FJPG/106692-004_SID_1.jpg</t>
  </si>
  <si>
    <t>https://dd3ka9h4chfr8.cloudfront.net/image/725136000567/image_8lhvbf6m1l47p0vrh3aodv7j3b/-FJPG/106692-004_ESS.tif</t>
  </si>
  <si>
    <t>https://dd3ka9h4chfr8.cloudfront.net/image/725136000567/image_jau9rvlasp6gtefk2foj6g1128/-FJPG/106692-004_DET_2.jpg</t>
  </si>
  <si>
    <t>https://dd3ka9h4chfr8.cloudfront.net/image/725136000567/image_4hpbss6m0h7dt591bjofu6uo6c/-FJPG/106692-004_BCK_1.jpg</t>
  </si>
  <si>
    <t>https://dd3ka9h4chfr8.cloudfront.net/image/725136000567/image_g22ksh9tkh30rf3qbqimmse55b/-FJPG/106692-004_DET_1.jpg</t>
  </si>
  <si>
    <t>https://dd3ka9h4chfr8.cloudfront.net/image/725136000567/image_q3kb3npsml0gr59bp1fverq67v/-FJPG/106692-004_DET_3.jpg</t>
  </si>
  <si>
    <t>https://dd3ka9h4chfr8.cloudfront.net/image/725136000567/image_ipdo0nuie531b1rdb9vu3hsr1q/-FJPG/106692-004_OPN_1.jpg</t>
  </si>
  <si>
    <t>https://dd3ka9h4chfr8.cloudfront.net/image/725136000567/image_ohl7ebs9ll6gl6s87s36nfij46/-FJPG/106692-004_DET_4.jpg</t>
  </si>
  <si>
    <t>https://dd3ka9h4chfr8.cloudfront.net/image/725136000567/image_6jm0atimj94qf2mej2fbcqsk0q/-FJPG/106692-004_DET_5.jpg</t>
  </si>
  <si>
    <t>https://dd3ka9h4chfr8.cloudfront.net/image/725136000567/image_iqdh2tnhk56d13ho668bs8i159/-FJPG/106692-004_DET_6.jpg</t>
  </si>
  <si>
    <t>https://dd3ka9h4chfr8.cloudfront.net/image/725136000567/image_r4oqh1s26h2kt1aulo94hlqf71/-FJPG/106692-004_DET_7.jpg</t>
  </si>
  <si>
    <t>Carmel Small Cabinet - Brown Wash</t>
  </si>
  <si>
    <t>https://dd3ka9h4chfr8.cloudfront.net/image/725136000567/image_lfu3l7v9rl6ppe7t2ld7a3a00e/-S150x150-FJPG/106692-003_PRM_1.jpg</t>
  </si>
  <si>
    <t>https://dd3ka9h4chfr8.cloudfront.net/image/725136000567/image_lfu3l7v9rl6ppe7t2ld7a3a00e/-FJPG/106692-003_PRM_1.jpg</t>
  </si>
  <si>
    <t>https://dd3ka9h4chfr8.cloudfront.net/image/725136000567/image_jn84fl5sgt2070313jkhg4gd0q/-FJPG/106692-003_SID_1.jpg</t>
  </si>
  <si>
    <t>https://dd3ka9h4chfr8.cloudfront.net/image/725136000567/image_ukg7r7juap5gleru7ck5ta7560/-FJPG/106692-003_ESS_1.jpg</t>
  </si>
  <si>
    <t>https://dd3ka9h4chfr8.cloudfront.net/image/725136000567/image_7740mf136t5v12edf1kqb85b4p/-FJPG/106692-003_DET_2.jpg</t>
  </si>
  <si>
    <t>https://dd3ka9h4chfr8.cloudfront.net/image/725136000567/image_flju30rvb52r32r8ilugrstd4j/-FJPG/106692-003_BCK_1.jpg</t>
  </si>
  <si>
    <t>https://dd3ka9h4chfr8.cloudfront.net/image/725136000567/image_fj808vfo2t5ppe8ks5orp63664/-FJPG/106692-003_DET_1.jpg</t>
  </si>
  <si>
    <t>https://dd3ka9h4chfr8.cloudfront.net/image/725136000567/image_5vlhgbfro907pbns0bovcppv2h/-FJPG/106692-003_DET_3.jpg</t>
  </si>
  <si>
    <t>https://dd3ka9h4chfr8.cloudfront.net/image/725136000567/image_03o31kcetp2pd52uj8ielk903q/-FJPG/106692-003_OPN_1.jpg</t>
  </si>
  <si>
    <t>https://dd3ka9h4chfr8.cloudfront.net/image/725136000567/image_4m9m9cp3o92rn01apahhfuen41/-FJPG/106692-003_DET_4.jpg</t>
  </si>
  <si>
    <t>https://dd3ka9h4chfr8.cloudfront.net/image/725136000567/image_jelvm66it527pbb9kmarru005l/-FJPG/106692-003_DET_5.jpg</t>
  </si>
  <si>
    <t>https://dd3ka9h4chfr8.cloudfront.net/image/725136000567/image_nnr9qedqo1303faoa2s6pe9l4o/-FJPG/106692-003_DET_6.jpg</t>
  </si>
  <si>
    <t>https://dd3ka9h4chfr8.cloudfront.net/image/725136000567/image_qj0ple1d994459uttoc1a3ln3k/-FJPG/106692-003_DET_7.jpg</t>
  </si>
  <si>
    <t>https://dd3ka9h4chfr8.cloudfront.net/image/725136000567/image_mrrirgv2up11nbdh6jt97pos7s/-FJPG/106692-003_DET_8.jpg</t>
  </si>
  <si>
    <t>Carmel Small Cabinet - Natural Mango</t>
  </si>
  <si>
    <t>https://dd3ka9h4chfr8.cloudfront.net/image/725136000567/image_5nkn38n1m57t909dfjeaig1b70/-S150x150-FJPG/IPRS-039_PRM_1.jpg</t>
  </si>
  <si>
    <t>https://dd3ka9h4chfr8.cloudfront.net/image/725136000567/image_5nkn38n1m57t909dfjeaig1b70/-FJPG/IPRS-039_PRM_1.jpg</t>
  </si>
  <si>
    <t>https://dd3ka9h4chfr8.cloudfront.net/image/725136000567/image_o9qkmv9opt2fh76ih86kcrnl3u/-FJPG/IPRS-039_SID_1.jpg</t>
  </si>
  <si>
    <t>https://dd3ka9h4chfr8.cloudfront.net/image/725136000567/image_trstbce3015a99tbk8ro3vj86b/-FJPG/IPRS-039_ESS_1.jpg</t>
  </si>
  <si>
    <t>https://dd3ka9h4chfr8.cloudfront.net/image/725136000567/image_lbbtrv83m91pb1hll84g6qgb4m/-FJPG/IPRS-039_DET_2.jpg</t>
  </si>
  <si>
    <t>https://dd3ka9h4chfr8.cloudfront.net/image/725136000567/image_mrh34t9ao91bb39ci9r7ga4p48/-FJPG/IPRS-039_DET_1.jpg</t>
  </si>
  <si>
    <t>https://dd3ka9h4chfr8.cloudfront.net/image/725136000567/image_kv7ler38k55q3a2asnlvgitn2r/-FJPG/IPRS-039_DET_3.jpg</t>
  </si>
  <si>
    <t>https://dd3ka9h4chfr8.cloudfront.net/image/725136000567/image_54ijp29t511td580t32gi0n728/-FJPG/IPRS-039_OPN_1.jpg</t>
  </si>
  <si>
    <t>https://dd3ka9h4chfr8.cloudfront.net/image/725136000567/image_e0ph5o5vod3nfdem4b0foibs15/-FJPG/IPRS-039_DET_4.jpg</t>
  </si>
  <si>
    <t>https://dd3ka9h4chfr8.cloudfront.net/image/725136000567/image_q2gec8chod4jhe1vf2jpjuqc7d/-FJPG/IPRS-039_DET_5.jpg</t>
  </si>
  <si>
    <t>https://dd3ka9h4chfr8.cloudfront.net/image/725136000567/image_flfvr1n40h50n7jsd9seqprp23/-FJPG/IPRS-039_DET_6.jpg</t>
  </si>
  <si>
    <t>https://dd3ka9h4chfr8.cloudfront.net/image/725136000567/image_cpkuvdgqi133747mkgm2eqfg3s/-FJPG/IPRS-039_DET_7.jpg</t>
  </si>
  <si>
    <t>https://dd3ka9h4chfr8.cloudfront.net/image/725136000567/image_p6otq6qff15235t2ordt0oa743/-FJPG/IPRS-039_DET_8.jpg</t>
  </si>
  <si>
    <t>Carmela Chaise - Irving Taupe</t>
  </si>
  <si>
    <t>56% Polyester</t>
  </si>
  <si>
    <t>44% Acrylic</t>
  </si>
  <si>
    <t>https://dd3ka9h4chfr8.cloudfront.net/image/725136000567/image_sirjbg6tfh6o18pqv9s7256675/-S150x150-FJPG/227699-002_PRM_1.jpg</t>
  </si>
  <si>
    <t>https://dd3ka9h4chfr8.cloudfront.net/image/725136000567/image_sirjbg6tfh6o18pqv9s7256675/-FJPG/227699-002_PRM_1.jpg</t>
  </si>
  <si>
    <t>https://dd3ka9h4chfr8.cloudfront.net/image/725136000567/image_6an7emruk97p93pu2pdu44c049/-FJPG/227699-002_SID_1.jpg</t>
  </si>
  <si>
    <t>https://dd3ka9h4chfr8.cloudfront.net/image/725136000567/image_8b2j0aqc5d29t1hh5i4gov240i/-FJPG/227699-002_ESS_1.jpg</t>
  </si>
  <si>
    <t>https://dd3ka9h4chfr8.cloudfront.net/image/725136000567/image_4ep59egq755h1bjpqefjlob36k/-FJPG/227699-002_DET_2.jpg</t>
  </si>
  <si>
    <t>https://dd3ka9h4chfr8.cloudfront.net/image/725136000567/image_6dgkrmjgf94nf8tbh5m5cd0t0s/-FJPG/227699-002_BCK_1.jpg</t>
  </si>
  <si>
    <t>https://dd3ka9h4chfr8.cloudfront.net/image/725136000567/image_t1ub4hrd4l7o39pgk7525rch62/-FJPG/227699-002_DET_1.jpg</t>
  </si>
  <si>
    <t>https://dd3ka9h4chfr8.cloudfront.net/image/725136000567/image_lqv2sn0p7h0p964ji4iontf80t/-FJPG/227699-002_DET_3.jpg</t>
  </si>
  <si>
    <t>https://dd3ka9h4chfr8.cloudfront.net/image/725136000567/image_nsdcas10895f3fabluln969o1l/-FJPG/227699-002_DET_4.jpg</t>
  </si>
  <si>
    <t>https://dd3ka9h4chfr8.cloudfront.net/image/725136000567/image_sb1se5n1b912jbpefjdca8171f/-FJPG/227699-002_DET_5.jpg</t>
  </si>
  <si>
    <t>https://dd3ka9h4chfr8.cloudfront.net/image/725136000567/image_q9vshp48gp5lfe6d1faff6en24/-FJPG/227699-002_DET_6.jpg</t>
  </si>
  <si>
    <t>https://dd3ka9h4chfr8.cloudfront.net/image/725136000567/image_ak7o49dhft6d71pnp296qgke7m/-FJPG/227699-002_DET_7.jpg</t>
  </si>
  <si>
    <t>https://dd3ka9h4chfr8.cloudfront.net/image/725136000567/image_bbvgovffbh4ej8ecnqirc5a467/-FJPG/227699-002_DET_8.jpg</t>
  </si>
  <si>
    <t>https://dd3ka9h4chfr8.cloudfront.net/image/725136000567/image_n5uiadofn511haomipv5pmi14l/-FJPG/227699-002_SID_2.jpg</t>
  </si>
  <si>
    <t>https://dd3ka9h4chfr8.cloudfront.net/image/725136000567/image_om3vuddv215nfaeees4f0fd90q/-S150x150-FJPG/227701-002_PRM_1.jpg</t>
  </si>
  <si>
    <t>https://dd3ka9h4chfr8.cloudfront.net/image/725136000567/image_om3vuddv215nfaeees4f0fd90q/-FJPG/227701-002_PRM_1.jpg</t>
  </si>
  <si>
    <t>https://dd3ka9h4chfr8.cloudfront.net/image/725136000567/image_1p899nui8502500pnh1b4hft5u/-FJPG/227701-002_SID_1.jpg</t>
  </si>
  <si>
    <t>https://dd3ka9h4chfr8.cloudfront.net/image/725136000567/image_vm9ppqrn657ejef100c5f0ah0e/-FJPG/227701-002_ESS_1.jpg</t>
  </si>
  <si>
    <t>https://dd3ka9h4chfr8.cloudfront.net/image/725136000567/image_udnkoid9112lv3bi96k3r7dn45/-FJPG/227701-002_DET_2.jpg</t>
  </si>
  <si>
    <t>https://dd3ka9h4chfr8.cloudfront.net/image/725136000567/image_plkdebtdt56kh6kfou1bjt7b1t/-FJPG/227701-002_BCK_1.jpg</t>
  </si>
  <si>
    <t>https://dd3ka9h4chfr8.cloudfront.net/image/725136000567/image_kg84d545kt2kb5utcg7vrg1c5j/-FJPG/227701-002_DET_1.jpg</t>
  </si>
  <si>
    <t>https://dd3ka9h4chfr8.cloudfront.net/image/725136000567/image_rrev8l1s0d5cvc85onfmhfmp42/-FJPG/227701-002_DET_3.jpg</t>
  </si>
  <si>
    <t>https://dd3ka9h4chfr8.cloudfront.net/image/725136000567/image_d7l8k8p6kt231cktss7us1581r/-FJPG/227701-002_DET_4.jpg</t>
  </si>
  <si>
    <t>https://dd3ka9h4chfr8.cloudfront.net/image/725136000567/image_cet3oqhqdp5obb1t8i7jni535l/-FJPG/227701-002_DET_5.jpg</t>
  </si>
  <si>
    <t>https://dd3ka9h4chfr8.cloudfront.net/image/725136000567/image_79jihrkfm94k1928n6jmd3s526/-FJPG/227701-002_DET_6.jpg</t>
  </si>
  <si>
    <t>Caroline 6 Drawer Dresser - Smoked Oak Veneer</t>
  </si>
  <si>
    <t>https://dd3ka9h4chfr8.cloudfront.net/image/725136000567/image_492hcph42l2rp7a4lvt9ed484o/-S150x150-FJPG/227882-002_PRM_1.jpg</t>
  </si>
  <si>
    <t>https://dd3ka9h4chfr8.cloudfront.net/image/725136000567/image_492hcph42l2rp7a4lvt9ed484o/-FJPG/227882-002_PRM_1.jpg</t>
  </si>
  <si>
    <t>https://dd3ka9h4chfr8.cloudfront.net/image/725136000567/image_s647ohg0fp69h1dc95o7i8co4j/-FJPG/227882-002_SID_1.jpg</t>
  </si>
  <si>
    <t>https://dd3ka9h4chfr8.cloudfront.net/image/725136000567/image_3sgkc45pmt7tn74qb1t8jkud6h/-FJPG/227882-002_ESS_1.jpg</t>
  </si>
  <si>
    <t>https://dd3ka9h4chfr8.cloudfront.net/image/725136000567/image_12qvctdom92u560jrpugkl0305/-FJPG/227882-002_DET_2.jpg</t>
  </si>
  <si>
    <t>https://dd3ka9h4chfr8.cloudfront.net/image/725136000567/image_83l8np6j6l6tl15sqicnpq580b/-FJPG/227882-002_BCK_1.jpg</t>
  </si>
  <si>
    <t>https://dd3ka9h4chfr8.cloudfront.net/image/725136000567/image_cu61h40k9t5974ee8cc851rc2p/-FJPG/227882-002_DET_1.jpg</t>
  </si>
  <si>
    <t>https://dd3ka9h4chfr8.cloudfront.net/image/725136000567/image_n1r2c0b0t57o99a7hn4ktkag24/-FJPG/227882-002_DET_3.jpg</t>
  </si>
  <si>
    <t>https://dd3ka9h4chfr8.cloudfront.net/image/725136000567/image_88hg5ci5450f5a4squpnkm611b/-FJPG/227882-002_OPN_1.jpg</t>
  </si>
  <si>
    <t>https://dd3ka9h4chfr8.cloudfront.net/image/725136000567/image_i8hqcd2g3d5bp2150dr5usfn6v/-FJPG/227882-002_DET_4.jpg</t>
  </si>
  <si>
    <t>https://dd3ka9h4chfr8.cloudfront.net/image/725136000567/image_ma5e1t9kd91272ovusbnuq426a/-FJPG/227882-002_DET_5.jpg</t>
  </si>
  <si>
    <t>Caroline Bed - Kerbey Ivory</t>
  </si>
  <si>
    <t>https://dd3ka9h4chfr8.cloudfront.net/image/725136000567/image_ib6t4tsf5l1557aikv9rtb036o/-S150x150-FJPG/226453-003_PRM_1.jpg</t>
  </si>
  <si>
    <t>https://dd3ka9h4chfr8.cloudfront.net/image/725136000567/image_ib6t4tsf5l1557aikv9rtb036o/-FJPG/226453-003_PRM_1.jpg</t>
  </si>
  <si>
    <t>https://dd3ka9h4chfr8.cloudfront.net/image/725136000567/image_20g8cohvnh10383g0fr8vbsd42/-FJPG/226453-003_SID_1.jpg</t>
  </si>
  <si>
    <t>https://dd3ka9h4chfr8.cloudfront.net/image/725136000567/image_9gire3t2n561n8s7u1mvcr8s0i/-FJPG/226453-003_ESS_1.jpg</t>
  </si>
  <si>
    <t>https://dd3ka9h4chfr8.cloudfront.net/image/725136000567/image_a4lb98jeut7sbe6a7iq9vod629/-FJPG/226453-003_DET_2.jpg</t>
  </si>
  <si>
    <t>https://dd3ka9h4chfr8.cloudfront.net/image/725136000567/image_ci2bpvnbph4i3d2pk6g7qq066t/-FJPG/226453-003_BCK_1.jpg</t>
  </si>
  <si>
    <t>https://dd3ka9h4chfr8.cloudfront.net/image/725136000567/image_cj12r4b46h6ll8lupmg790j41c/-FJPG/226453-003_DET_1.jpg</t>
  </si>
  <si>
    <t>https://dd3ka9h4chfr8.cloudfront.net/image/725136000567/image_ltajiijqcl4pp69pl1qip0mu09/-FJPG/226453-003_DET_3.jpg</t>
  </si>
  <si>
    <t>https://dd3ka9h4chfr8.cloudfront.net/image/725136000567/image_f6kjlj6rj5511fetvmfci3jl5k/-FJPG/226453-003_DET_4.jpg</t>
  </si>
  <si>
    <t>https://dd3ka9h4chfr8.cloudfront.net/image/725136000567/image_74egvrqg5p5s9ajq153hjhsn06/-FJPG/226453-003_DET_5.jpg</t>
  </si>
  <si>
    <t>https://dd3ka9h4chfr8.cloudfront.net/image/725136000567/image_c2msl6omg15hd6142f87s40o4e/-FJPG/226453-003_DET_6.jpg</t>
  </si>
  <si>
    <t>https://dd3ka9h4chfr8.cloudfront.net/image/725136000567/image_u3m6o51251191auhc52pa7de6b/-FJPG/226453-003_DET_7.jpg</t>
  </si>
  <si>
    <t>https://dd3ka9h4chfr8.cloudfront.net/image/725136000567/image_bdibbj2b1t5ij1nvme3jeu6r03/-FJPG/226453-003_DET_8.jpg</t>
  </si>
  <si>
    <t>https://dd3ka9h4chfr8.cloudfront.net/image/725136000567/image_g38aakdgkt02l0ul4d6751jl3s/-FJPG/226453-003_DET_9.jpg</t>
  </si>
  <si>
    <t>https://dd3ka9h4chfr8.cloudfront.net/image/725136000567/image_h7pp7qsoj15jr6fuppu7omql25/-FJPG/226453-003_DET_10.jpg</t>
  </si>
  <si>
    <t>https://dd3ka9h4chfr8.cloudfront.net/image/725136000567/image_skj7iud18d08736ede6frri96t/-FJPG/226453-003_DET_11.jpg</t>
  </si>
  <si>
    <t>https://dd3ka9h4chfr8.cloudfront.net/image/725136000567/image_rn6k3ebjrh0dh9psqfueqbo96c/-FJPG/226453-003_PRM_2.jpg</t>
  </si>
  <si>
    <t>https://dd3ka9h4chfr8.cloudfront.net/image/725136000567/image_gtrm18eslp0qtbmlromulrp76i/-FJPG/226453-003_FRT_2.jpg</t>
  </si>
  <si>
    <t>https://dd3ka9h4chfr8.cloudfront.net/image/725136000567/image_3um7flclsd1u5e3s28d0e5uc0n/-FJPG/226453-003_SID_2.jpg</t>
  </si>
  <si>
    <t>https://dd3ka9h4chfr8.cloudfront.net/image/725136000567/image_6ufgk1ro9h3qr8micco0ujth4h/-FJPG/226453-003_BCK_2.jpg</t>
  </si>
  <si>
    <t>https://dd3ka9h4chfr8.cloudfront.net/image/725136000567/image_1mgdot22jh7qt9g6rbok2k771v/-S150x150-FJPG/226453-004_PRM_1.jpg</t>
  </si>
  <si>
    <t>https://dd3ka9h4chfr8.cloudfront.net/image/725136000567/image_1mgdot22jh7qt9g6rbok2k771v/-FJPG/226453-004_PRM_1.jpg</t>
  </si>
  <si>
    <t>https://dd3ka9h4chfr8.cloudfront.net/image/725136000567/image_e8rpp8p8op3752esneohd2q83b/-FJPG/226453-004_SID_1.jpg</t>
  </si>
  <si>
    <t>https://dd3ka9h4chfr8.cloudfront.net/image/725136000567/image_c7c0miqjh94lt1pg0qb83gle12/-FJPG/226453-004_ESS_1.jpg</t>
  </si>
  <si>
    <t>https://dd3ka9h4chfr8.cloudfront.net/image/725136000567/image_uu564bktmd4if4akr4qpeeet50/-FJPG/226453-004_DET_2.jpg</t>
  </si>
  <si>
    <t>https://dd3ka9h4chfr8.cloudfront.net/image/725136000567/image_i399jp9kk91iv0936bi8ordf72/-FJPG/226453-004_BCK_1.jpg</t>
  </si>
  <si>
    <t>https://dd3ka9h4chfr8.cloudfront.net/image/725136000567/image_eq6tgba9194gdb5aj8qls33870/-FJPG/226453-004_DET_1.jpg</t>
  </si>
  <si>
    <t>https://dd3ka9h4chfr8.cloudfront.net/image/725136000567/image_gc6evk4qrh78h5jb3210tdf007/-FJPG/226453-004_DET_3.jpg</t>
  </si>
  <si>
    <t>https://dd3ka9h4chfr8.cloudfront.net/image/725136000567/image_3g66uhhk0d2v14tvhveoohjm07/-FJPG/226453-004_DET_4.jpg</t>
  </si>
  <si>
    <t>https://dd3ka9h4chfr8.cloudfront.net/image/725136000567/image_rqpsi88rrd18td2k1bb8uuo43p/-FJPG/226453-004_DET_5.jpg</t>
  </si>
  <si>
    <t>https://dd3ka9h4chfr8.cloudfront.net/image/725136000567/image_ivkisma3m56dp9tfmoc4330a7j/-FJPG/226453-004_DET_6.jpg</t>
  </si>
  <si>
    <t>https://dd3ka9h4chfr8.cloudfront.net/image/725136000567/image_u8fr1u71r52arfrgp91uqm1129/-FJPG/226453-004_DET_7.jpg</t>
  </si>
  <si>
    <t>https://dd3ka9h4chfr8.cloudfront.net/image/725136000567/image_ol3h4bu6g535natlvnask6450d/-FJPG/226453-004_DET_8.jpg</t>
  </si>
  <si>
    <t>https://dd3ka9h4chfr8.cloudfront.net/image/725136000567/image_k04jfut4qp35j1gs246evhs028/-FJPG/226453-004_DET_9.jpg</t>
  </si>
  <si>
    <t>https://dd3ka9h4chfr8.cloudfront.net/image/725136000567/image_v5f9ci5tf90ibccm5ub8thuf1j/-FJPG/226453-004_DET_10.jpg</t>
  </si>
  <si>
    <t>https://dd3ka9h4chfr8.cloudfront.net/image/725136000567/image_u0ps6q6j3p4tr8bdv53sffpf7u/-FJPG/226453-004_DET_11.jpg</t>
  </si>
  <si>
    <t>https://dd3ka9h4chfr8.cloudfront.net/image/725136000567/image_9234uj23cl7s3cnunl3qiocl03/-FJPG/226453-004_FRT_2.jpg</t>
  </si>
  <si>
    <t>https://dd3ka9h4chfr8.cloudfront.net/image/725136000567/image_cnn449lhvl3cl05qv3mppssv0h/-FJPG/226453-004_SID_2.jpg</t>
  </si>
  <si>
    <t>https://dd3ka9h4chfr8.cloudfront.net/image/725136000567/image_k032vchjt13sve823ab61r3l2h/-FJPG/226453-004_PRM_2.jpg</t>
  </si>
  <si>
    <t>https://dd3ka9h4chfr8.cloudfront.net/image/725136000567/image_rt2llsa3852713vqh54dmab17g/-FJPG/226453-004_BCK_2.jpg</t>
  </si>
  <si>
    <t>Casey Bed - Sandblasted Vintage Black</t>
  </si>
  <si>
    <t>https://dd3ka9h4chfr8.cloudfront.net/image/725136000567/image_rshk471dtd6fh7q66ackangm41/-S150x150-FJPG/ICAP-K7_PRM_1.jpg</t>
  </si>
  <si>
    <t>https://dd3ka9h4chfr8.cloudfront.net/image/725136000567/image_rshk471dtd6fh7q66ackangm41/-FJPG/ICAP-K7_PRM_1.jpg</t>
  </si>
  <si>
    <t>https://dd3ka9h4chfr8.cloudfront.net/image/725136000567/image_gigm9h65hd6c395pjcl23lbb4p/-FJPG/ICAP-K7_SID_1.jpg</t>
  </si>
  <si>
    <t>https://dd3ka9h4chfr8.cloudfront.net/image/725136000567/image_v71ar3bp2h5ln3n64qr8u0kv10/-FJPG/ICAP-K7_DET_2.jpg</t>
  </si>
  <si>
    <t>https://dd3ka9h4chfr8.cloudfront.net/image/725136000567/image_ulgrhcsbvl4hpfct2rh41cmm37/-FJPG/ICAP-K7_DET_1.jpg</t>
  </si>
  <si>
    <t>https://dd3ka9h4chfr8.cloudfront.net/image/725136000567/image_a2eqka0p5t5k7b9d9277801f3t/-FJPG/ICAP-K7_DET_3.jpg</t>
  </si>
  <si>
    <t>https://dd3ka9h4chfr8.cloudfront.net/image/725136000567/image_ulbd3pr9bh5h9cqecu54305i3k/-FJPG/ICAP-K7_DET_4.jpg</t>
  </si>
  <si>
    <t>https://dd3ka9h4chfr8.cloudfront.net/image/725136000567/image_8t1nkl8jr54ir0okptclinnk6c/-FJPG/ICAP-K7_DET_5.jpg</t>
  </si>
  <si>
    <t>https://dd3ka9h4chfr8.cloudfront.net/image/725136000567/image_oii533igjl6tt29bo6btgrn534/-FJPG/ICAP-K7_ROM_1.jpg</t>
  </si>
  <si>
    <t>https://dd3ka9h4chfr8.cloudfront.net/image/725136000567/image_en4j586nb508hcrjba6q479o7r/-S150x150-FJPG/ICAP-Q7_PRM_1.jpg</t>
  </si>
  <si>
    <t>https://dd3ka9h4chfr8.cloudfront.net/image/725136000567/image_en4j586nb508hcrjba6q479o7r/-FJPG/ICAP-Q7_PRM_1.jpg</t>
  </si>
  <si>
    <t>https://dd3ka9h4chfr8.cloudfront.net/image/725136000567/image_o8fmhtn7nd4oj3nicf30ll4i26/-FJPG/ICAP-Q7_SID_1.jpg</t>
  </si>
  <si>
    <t>https://dd3ka9h4chfr8.cloudfront.net/image/725136000567/image_5h9mfkng3p685fvag2ebcmtl5r/-FJPG/ICAP-Q7_DET_2.jpg</t>
  </si>
  <si>
    <t>https://dd3ka9h4chfr8.cloudfront.net/image/725136000567/image_3u095fvenp6jbe0tklrvs1pv7f/-FJPG/ICAP-Q7_DET_1.jpg</t>
  </si>
  <si>
    <t>https://dd3ka9h4chfr8.cloudfront.net/image/725136000567/image_te09nsqvi96op9pqhh2072f86i/-FJPG/ICAP-Q7_DET_3.jpg</t>
  </si>
  <si>
    <t>https://dd3ka9h4chfr8.cloudfront.net/image/725136000567/image_ig4b4lmm7h5mp7rsmui24b094p/-FJPG/ICAP-Q7_DET_4.jpg</t>
  </si>
  <si>
    <t>https://dd3ka9h4chfr8.cloudfront.net/image/725136000567/image_7f13pb20ud4bf83athoqql6j1m/-FJPG/ICAP-Q7_DET_5.jpg</t>
  </si>
  <si>
    <t>https://dd3ka9h4chfr8.cloudfront.net/image/725136000567/image_rqusmo32355b7c0hl7qqsih90p/-FJPG/ICAP-Q7_ROM_1.jpg</t>
  </si>
  <si>
    <t>https://dd3ka9h4chfr8.cloudfront.net/image/725136000567/image_a927fhsf857k9ebkc1cc8pf60t/-S150x150-FJPG/ICAP-T7_PRM_1.jpg</t>
  </si>
  <si>
    <t>https://dd3ka9h4chfr8.cloudfront.net/image/725136000567/image_a927fhsf857k9ebkc1cc8pf60t/-FJPG/ICAP-T7_PRM_1.jpg</t>
  </si>
  <si>
    <t>https://dd3ka9h4chfr8.cloudfront.net/image/725136000567/image_tpv5euqjjp70t7j6rr0duiat26/-FJPG/ICAP-T7_SID_1.jpg</t>
  </si>
  <si>
    <t>https://dd3ka9h4chfr8.cloudfront.net/image/725136000567/image_n870gs89sh42l7996q4hk2ik59/-FJPG/ICAP-T7_DET_2.jpg</t>
  </si>
  <si>
    <t>https://dd3ka9h4chfr8.cloudfront.net/image/725136000567/image_qm5dp8s8kl6ll5dgoe5kldbt7q/-FJPG/ICAP-T7_DET_1.jpg</t>
  </si>
  <si>
    <t>https://dd3ka9h4chfr8.cloudfront.net/image/725136000567/image_b3qto5ij691ff30qicgjia950c/-FJPG/ICAP-T7_DET_3.jpg</t>
  </si>
  <si>
    <t>https://dd3ka9h4chfr8.cloudfront.net/image/725136000567/image_088l02sfrp0l5cbglga2a9mt5j/-FJPG/ICAP-T7_DET_4.jpg</t>
  </si>
  <si>
    <t>https://dd3ka9h4chfr8.cloudfront.net/image/725136000567/image_f2skm42qkd00tema0tg72tsp75/-FJPG/ICAP-T7_DET_5.jpg</t>
  </si>
  <si>
    <t>https://dd3ka9h4chfr8.cloudfront.net/image/725136000567/image_ojua6d3cmd263akj9s174t1h51/-FJPG/ICAP-T7_PRM_2.jpg</t>
  </si>
  <si>
    <t>Caspian 6 Drawer Dresser - Black Ash</t>
  </si>
  <si>
    <t>Resawn Ash Veneer</t>
  </si>
  <si>
    <t>https://dd3ka9h4chfr8.cloudfront.net/image/725136000567/image_v8hp4rlgct3p3c467q4mu8g70o/-S150x150-FJPG/231263-002_PRM_1.jpg</t>
  </si>
  <si>
    <t>https://dd3ka9h4chfr8.cloudfront.net/image/725136000567/image_v8hp4rlgct3p3c467q4mu8g70o/-FJPG/231263-002_PRM_1.jpg</t>
  </si>
  <si>
    <t>https://dd3ka9h4chfr8.cloudfront.net/image/725136000567/image_o2fc4ua1613odb3nmp4si44q2s/-FJPG/231263-002_SID_1.jpg</t>
  </si>
  <si>
    <t>https://dd3ka9h4chfr8.cloudfront.net/image/725136000567/image_po8mdcdatp79l39tjdc5gjo874/-FJPG/231263-002_ESS.tif</t>
  </si>
  <si>
    <t>https://dd3ka9h4chfr8.cloudfront.net/image/725136000567/image_bt4fdmmnkh7dv6qs7vsl9i3157/-FJPG/231263-002_DET_2.jpg</t>
  </si>
  <si>
    <t>https://dd3ka9h4chfr8.cloudfront.net/image/725136000567/image_3rj6odt0857cram4cor4ort91f/-FJPG/231263-002_BCK_1.jpg</t>
  </si>
  <si>
    <t>https://dd3ka9h4chfr8.cloudfront.net/image/725136000567/image_6lf04daejl4etcua75sv77o33s/-FJPG/231263-002_DET_1.jpg</t>
  </si>
  <si>
    <t>https://dd3ka9h4chfr8.cloudfront.net/image/725136000567/image_4s97ojfcr10bd7l3vd8l01vq5a/-FJPG/231263-002_DET_3.jpg</t>
  </si>
  <si>
    <t>https://dd3ka9h4chfr8.cloudfront.net/image/725136000567/image_h6pbtrb88h7lpfrpbge9fvee2j/-FJPG/231263-002_OPN_1.jpg</t>
  </si>
  <si>
    <t>https://dd3ka9h4chfr8.cloudfront.net/image/725136000567/image_lg7ea1dnft44h5npt9g141uv34/-FJPG/231263-002_DET_4.jpg</t>
  </si>
  <si>
    <t>https://dd3ka9h4chfr8.cloudfront.net/image/725136000567/image_cb3pvjncnl6d9addcaij5i4j38/-FJPG/231263-002_DET_5.jpg</t>
  </si>
  <si>
    <t>https://dd3ka9h4chfr8.cloudfront.net/image/725136000567/image_fnfls8hpm90grde6edl8u9c96v/-FJPG/231263-002_DET_6.jpg</t>
  </si>
  <si>
    <t>https://dd3ka9h4chfr8.cloudfront.net/image/725136000567/image_c6pqtc006177r9898t2fmbdh1q/-FJPG/231263-002_DET_7.jpg</t>
  </si>
  <si>
    <t>https://dd3ka9h4chfr8.cloudfront.net/image/725136000567/image_1qpl21qf9p029734ffuumntr7u/-FJPG/231263-002_DET_9.tif</t>
  </si>
  <si>
    <t>Caspian 6 Drawer Dresser - Natural Ash</t>
  </si>
  <si>
    <t>https://dd3ka9h4chfr8.cloudfront.net/image/725136000567/image_8b8lif5q6d07l9aclh2gshrl5q/-S150x150-FJPG/231263-001_PRM_1.jpg</t>
  </si>
  <si>
    <t>https://dd3ka9h4chfr8.cloudfront.net/image/725136000567/image_8b8lif5q6d07l9aclh2gshrl5q/-FJPG/231263-001_PRM_1.jpg</t>
  </si>
  <si>
    <t>https://dd3ka9h4chfr8.cloudfront.net/image/725136000567/image_755uogi7d14nr76t63jqp3ji1h/-FJPG/231263-001_SID_1.jpg</t>
  </si>
  <si>
    <t>https://dd3ka9h4chfr8.cloudfront.net/image/725136000567/image_02an0g7ql17c7bb74o0pl0co6b/-FJPG/231263-001_DET_2.jpg</t>
  </si>
  <si>
    <t>https://dd3ka9h4chfr8.cloudfront.net/image/725136000567/image_btgn87tsf925fckk7tu2rns843/-FJPG/231263-001_BCK_1.jpg</t>
  </si>
  <si>
    <t>https://dd3ka9h4chfr8.cloudfront.net/image/725136000567/image_mpgb2d2rr51jp9tqb3q52u8t7q/-FJPG/231263-001_DET_1.jpg</t>
  </si>
  <si>
    <t>https://dd3ka9h4chfr8.cloudfront.net/image/725136000567/image_s1kov086sp32378ccs6mf3pa6j/-FJPG/231263-001_DET_3.jpg</t>
  </si>
  <si>
    <t>https://dd3ka9h4chfr8.cloudfront.net/image/725136000567/image_uktd4flrkd4qp04apo4unm173h/-FJPG/231263-001_OPN_1.jpg</t>
  </si>
  <si>
    <t>https://dd3ka9h4chfr8.cloudfront.net/image/725136000567/image_cjci32hfkd4s561ofpmu0b8d2v/-FJPG/231263-001_DET_4.jpg</t>
  </si>
  <si>
    <t>https://dd3ka9h4chfr8.cloudfront.net/image/725136000567/image_363gbjpd9d2t9eoj7fpbcg3a22/-FJPG/231263-001_DET_5.jpg</t>
  </si>
  <si>
    <t>https://dd3ka9h4chfr8.cloudfront.net/image/725136000567/image_rrr85i94t154rd8ahdqn5h5u3r/-FJPG/231263-001_DET_6.jpg</t>
  </si>
  <si>
    <t>https://dd3ka9h4chfr8.cloudfront.net/image/725136000567/image_hmctjiao5902pb8qo6ugacgh3p/-FJPG/231263-001_DET_7.jpg</t>
  </si>
  <si>
    <t>https://dd3ka9h4chfr8.cloudfront.net/image/725136000567/image_plbg3c4fjd4ol59vjkpc53j17r/-FJPG/102648-002_VIG_1.jpg</t>
  </si>
  <si>
    <t>https://dd3ka9h4chfr8.cloudfront.net/image/725136000567/image_upu6vjn3r56mv71ida67tefp0k/-FJPG/231263-001_VIG_1.jpg</t>
  </si>
  <si>
    <t>Caspian Coffee Table - Black Ash</t>
  </si>
  <si>
    <t>https://dd3ka9h4chfr8.cloudfront.net/image/725136000567/image_b4c1m1rrcd6dlducthhqqgoj3b/-S150x150-FJPG/231405-002_PRM_1.jpg</t>
  </si>
  <si>
    <t>https://dd3ka9h4chfr8.cloudfront.net/image/725136000567/image_b4c1m1rrcd6dlducthhqqgoj3b/-FJPG/231405-002_PRM_1.jpg</t>
  </si>
  <si>
    <t>https://dd3ka9h4chfr8.cloudfront.net/image/725136000567/image_rg778jf9j137dckc418q9t6n12/-FJPG/231405-002_ESS_1.jpg</t>
  </si>
  <si>
    <t>https://dd3ka9h4chfr8.cloudfront.net/image/725136000567/image_gs9765srat4hhca8pbmjdokt23/-FJPG/231405-002_DET_2.jpg</t>
  </si>
  <si>
    <t>https://dd3ka9h4chfr8.cloudfront.net/image/725136000567/image_gdtcn18sop75bccae6il21ht2s/-FJPG/231405-002_DET_1.jpg</t>
  </si>
  <si>
    <t>https://dd3ka9h4chfr8.cloudfront.net/image/725136000567/image_nvh3rtfuhh4216cvlgri0cg735/-FJPG/231405-002_DET_3.jpg</t>
  </si>
  <si>
    <t>https://dd3ka9h4chfr8.cloudfront.net/image/725136000567/image_id7m2k636d5j53bvr7djkpga4f/-FJPG/231405-002_TOP_1.jpg</t>
  </si>
  <si>
    <t>https://dd3ka9h4chfr8.cloudfront.net/image/725136000567/image_ne8i083spd7t7861marhe44772/-FJPG/231405-002_DET_4.jpg</t>
  </si>
  <si>
    <t>https://dd3ka9h4chfr8.cloudfront.net/image/725136000567/image_65nso131gh477aldbn2vjkf55f/-FJPG/231405-002_DET_5.jpg</t>
  </si>
  <si>
    <t>https://dd3ka9h4chfr8.cloudfront.net/image/725136000567/image_djkto8qji560b63r3phevu3d19/-FJPG/231405-002_DET_6.jpg</t>
  </si>
  <si>
    <t>Caspian Coffee Table - Natural Ash</t>
  </si>
  <si>
    <t>https://dd3ka9h4chfr8.cloudfront.net/image/725136000567/image_fsdb0sj8i165tdar8fp4ciof3p/-S150x150-FJPG/231405-001_PRM_1.jpg</t>
  </si>
  <si>
    <t>https://dd3ka9h4chfr8.cloudfront.net/image/725136000567/image_fsdb0sj8i165tdar8fp4ciof3p/-FJPG/231405-001_PRM_1.jpg</t>
  </si>
  <si>
    <t>https://dd3ka9h4chfr8.cloudfront.net/image/725136000567/image_vsi8qud6nd4fvfuanff0p5iv5u/-FJPG/231405-001_SID_1.jpg</t>
  </si>
  <si>
    <t>https://dd3ka9h4chfr8.cloudfront.net/image/725136000567/image_nscqdp2pd94mp8n1ecntcmt73p/-FJPG/231405-001_ESS_1.jpg</t>
  </si>
  <si>
    <t>https://dd3ka9h4chfr8.cloudfront.net/image/725136000567/image_6gi4qfuce90a96ch9dkb5or93p/-FJPG/231405-001_DET_2.jpg</t>
  </si>
  <si>
    <t>https://dd3ka9h4chfr8.cloudfront.net/image/725136000567/image_b66v8janjd0ab6mvkc6dpbvn4i/-FJPG/231405-001_DET_1.jpg</t>
  </si>
  <si>
    <t>https://dd3ka9h4chfr8.cloudfront.net/image/725136000567/image_s8ti5sp5813dnffubg5ntcht7n/-FJPG/231405-001_DET_3.jpg</t>
  </si>
  <si>
    <t>https://dd3ka9h4chfr8.cloudfront.net/image/725136000567/image_oru40ers2d6eh321avttc6ht6n/-FJPG/231405-001_TOP_1.jpg</t>
  </si>
  <si>
    <t>https://dd3ka9h4chfr8.cloudfront.net/image/725136000567/image_p8pnk8ul1t0gn3f5lecj0qps7p/-FJPG/231405-001_DET_4.jpg</t>
  </si>
  <si>
    <t>https://dd3ka9h4chfr8.cloudfront.net/image/725136000567/image_434btavkd16l3dpc1bsh5dbc4m/-FJPG/231405-001_DET_5.jpg</t>
  </si>
  <si>
    <t>https://dd3ka9h4chfr8.cloudfront.net/image/725136000567/image_smk61liknl00vc1e25tjhdkq3d/-FJPG/231405-001_DET_6.jpg</t>
  </si>
  <si>
    <t>https://dd3ka9h4chfr8.cloudfront.net/image/725136000567/image_n7q9okhq214q31n6ihu12l1s3p/-FJPG/231405-001_DET_7.jpg</t>
  </si>
  <si>
    <t>https://dd3ka9h4chfr8.cloudfront.net/image/725136000567/image_kicjin1rql52f9fc9dkg74ao5b/-FJPG/231405-001_ESS_2.jpg</t>
  </si>
  <si>
    <t>Caspian Console Table - Black Ash Veneer</t>
  </si>
  <si>
    <t>https://dd3ka9h4chfr8.cloudfront.net/image/725136000567/image_am5j7g1b611ad9dqd10catqi5m/-S150x150-FJPG/231408-002_PRM_1.jpg</t>
  </si>
  <si>
    <t>https://dd3ka9h4chfr8.cloudfront.net/image/725136000567/image_am5j7g1b611ad9dqd10catqi5m/-FJPG/231408-002_PRM_1.jpg</t>
  </si>
  <si>
    <t>https://dd3ka9h4chfr8.cloudfront.net/image/725136000567/image_imb6qdrlj13cn0lt7016natc6s/-FJPG/231408-002_SID_1.jpg</t>
  </si>
  <si>
    <t>https://dd3ka9h4chfr8.cloudfront.net/image/725136000567/image_ibemveh06d54f3fq9b8ue7jc2t/-FJPG/231408-002_ESS_1.jpg</t>
  </si>
  <si>
    <t>https://dd3ka9h4chfr8.cloudfront.net/image/725136000567/image_1bg2j8thb10vd24off5ljh4b47/-FJPG/231408-002_DET_2.jpg</t>
  </si>
  <si>
    <t>https://dd3ka9h4chfr8.cloudfront.net/image/725136000567/image_oub1e29vuh7npf31htkv52tp7c/-FJPG/231408-002_DET_1.jpg</t>
  </si>
  <si>
    <t>https://dd3ka9h4chfr8.cloudfront.net/image/725136000567/image_sg8ni64ao107t21q811vnraf5o/-FJPG/231408-002_DET_3.jpg</t>
  </si>
  <si>
    <t>https://dd3ka9h4chfr8.cloudfront.net/image/725136000567/image_mben0lkubh61n7q4dtdgv1157n/-FJPG/231408-002_OPN_1.jpg</t>
  </si>
  <si>
    <t>https://dd3ka9h4chfr8.cloudfront.net/image/725136000567/image_ga52ct9k8p6lhfuk4j79nmqd6f/-FJPG/231408-002_DET_4.jpg</t>
  </si>
  <si>
    <t>https://dd3ka9h4chfr8.cloudfront.net/image/725136000567/image_r1qnu90tv12ur65f594dk7545k/-FJPG/231408-002_DET_5.jpg</t>
  </si>
  <si>
    <t>https://dd3ka9h4chfr8.cloudfront.net/image/725136000567/image_9buais36n17uhfsmlqpu01q82a/-FJPG/231408-002_DET_6.jpg</t>
  </si>
  <si>
    <t>https://dd3ka9h4chfr8.cloudfront.net/image/725136000567/image_f1c3i5522l6m94bhii3ngtpe5n/-FJPG/231408-002_DET_7.jpg</t>
  </si>
  <si>
    <t>Caspian Console Table - Natural Ash Veneer</t>
  </si>
  <si>
    <t>https://dd3ka9h4chfr8.cloudfront.net/image/725136000567/image_1f2ig10tv57av3ukufc1ma9e52/-S150x150-FJPG/231408-001_PRM_1.jpg</t>
  </si>
  <si>
    <t>https://dd3ka9h4chfr8.cloudfront.net/image/725136000567/image_1f2ig10tv57av3ukufc1ma9e52/-FJPG/231408-001_PRM_1.jpg</t>
  </si>
  <si>
    <t>https://dd3ka9h4chfr8.cloudfront.net/image/725136000567/image_ckaf5dtkb150b8eedlb37glr5n/-FJPG/231408-001_SID_1.jpg</t>
  </si>
  <si>
    <t>https://dd3ka9h4chfr8.cloudfront.net/image/725136000567/image_et87grq4vh5r3etpu61q6p827q/-FJPG/231408-001_ESS_1.jpg</t>
  </si>
  <si>
    <t>https://dd3ka9h4chfr8.cloudfront.net/image/725136000567/image_hoif0voghh7e73loe7t3gar94i/-FJPG/231408-001_DET_2.jpg</t>
  </si>
  <si>
    <t>https://dd3ka9h4chfr8.cloudfront.net/image/725136000567/image_rb7qv3tnkh2kd0mbkidn53623a/-FJPG/231408-001_BCK_1.jpg</t>
  </si>
  <si>
    <t>https://dd3ka9h4chfr8.cloudfront.net/image/725136000567/image_6ttrk6alip0id7c4hfku1g9c2s/-FJPG/231408-001_DET_1.jpg</t>
  </si>
  <si>
    <t>https://dd3ka9h4chfr8.cloudfront.net/image/725136000567/image_5chonm8dml6clag6rfom2vju24/-FJPG/231408-001_DET_3.jpg</t>
  </si>
  <si>
    <t>https://dd3ka9h4chfr8.cloudfront.net/image/725136000567/image_qecim3s4e93al348hr75e5bt48/-FJPG/231408-001_OPN_1.jpg</t>
  </si>
  <si>
    <t>https://dd3ka9h4chfr8.cloudfront.net/image/725136000567/image_b2dlmh3ig166bbl9i91lnsc064/-FJPG/231408-001_DET_4.jpg</t>
  </si>
  <si>
    <t>https://dd3ka9h4chfr8.cloudfront.net/image/725136000567/image_84hs8q1ljp50h6qh67chto247c/-FJPG/231408-001_DET_5.jpg</t>
  </si>
  <si>
    <t>https://dd3ka9h4chfr8.cloudfront.net/image/725136000567/image_j2s45jks6l2ov3108a8vrc0m68/-FJPG/231408-001_DET_6.jpg</t>
  </si>
  <si>
    <t>https://dd3ka9h4chfr8.cloudfront.net/image/725136000567/image_2i38uhlcf11oh6qr94cbc1nu09/-FJPG/231408-001_DET_7.jpg</t>
  </si>
  <si>
    <t>https://dd3ka9h4chfr8.cloudfront.net/image/725136000567/image_8arcud3pu94dt2v24vbj081r1j/-FJPG/231408-001_DET_8.jpg</t>
  </si>
  <si>
    <t>Caspian Media Console - Natural Ash</t>
  </si>
  <si>
    <t>https://dd3ka9h4chfr8.cloudfront.net/image/725136000567/image_5b4bo555v111va99gubtna7b24/-S150x150-FJPG/231266-001_PRM_1.jpg</t>
  </si>
  <si>
    <t>https://dd3ka9h4chfr8.cloudfront.net/image/725136000567/image_5b4bo555v111va99gubtna7b24/-FJPG/231266-001_PRM_1.jpg</t>
  </si>
  <si>
    <t>https://dd3ka9h4chfr8.cloudfront.net/image/725136000567/image_5aarp0aa315jjcdltuivoja049/-FJPG/231266-001_SID_1.jpg</t>
  </si>
  <si>
    <t>https://dd3ka9h4chfr8.cloudfront.net/image/725136000567/image_f1k2d7o4l165nf89h7h64bvm2k/-FJPG/231266-001_ESS_1.jpg</t>
  </si>
  <si>
    <t>https://dd3ka9h4chfr8.cloudfront.net/image/725136000567/image_qbsvern8ch2q95honk2uj1721t/-FJPG/231266-001_DET_2.jpg</t>
  </si>
  <si>
    <t>https://dd3ka9h4chfr8.cloudfront.net/image/725136000567/image_favb794ko15thefrcn9ahses01/-FJPG/231266-001_BCK_1.jpg</t>
  </si>
  <si>
    <t>https://dd3ka9h4chfr8.cloudfront.net/image/725136000567/image_o1d5thoftt5dr6kbkah7ucus19/-FJPG/231266-001_DET_1.jpg</t>
  </si>
  <si>
    <t>https://dd3ka9h4chfr8.cloudfront.net/image/725136000567/image_8kh18qifkh4u95bbcs513af672/-FJPG/231266-001_DET_3.jpg</t>
  </si>
  <si>
    <t>https://dd3ka9h4chfr8.cloudfront.net/image/725136000567/image_b57pfbljel253ed0v0k3l0nm6f/-FJPG/231266-001_OPN_1.jpg</t>
  </si>
  <si>
    <t>https://dd3ka9h4chfr8.cloudfront.net/image/725136000567/image_orblh24sr52ipct2635a1cqc1f/-FJPG/231266-001_DET_4.jpg</t>
  </si>
  <si>
    <t>https://dd3ka9h4chfr8.cloudfront.net/image/725136000567/image_7kss5g9uu103v6f632nld1v36u/-FJPG/231266-001_DET_5.jpg</t>
  </si>
  <si>
    <t>https://dd3ka9h4chfr8.cloudfront.net/image/725136000567/image_50h6tichrp6kjd1mgsco5qj82f/-FJPG/231266-001_DET_6.jpg</t>
  </si>
  <si>
    <t>https://dd3ka9h4chfr8.cloudfront.net/image/725136000567/image_5sfenk061p64j97h3pcsrbvr4m/-FJPG/231266-001_DET_7.jpg</t>
  </si>
  <si>
    <t>https://dd3ka9h4chfr8.cloudfront.net/image/725136000567/image_8qm3u787995491cp15rvtuc44r/-FJPG/231266-001_OPN_2.jpg</t>
  </si>
  <si>
    <t>Caspian Nightstand - Black Ash Veneer</t>
  </si>
  <si>
    <t>https://dd3ka9h4chfr8.cloudfront.net/image/725136000567/image_d271cii6v97cp9u01eo5vl5t3q/-S150x150-FJPG/231262-002_PRM_1.jpg</t>
  </si>
  <si>
    <t>https://dd3ka9h4chfr8.cloudfront.net/image/725136000567/image_d271cii6v97cp9u01eo5vl5t3q/-FJPG/231262-002_PRM_1.jpg</t>
  </si>
  <si>
    <t>https://dd3ka9h4chfr8.cloudfront.net/image/725136000567/image_t0oj13fqs13nta22tgu5tega6e/-FJPG/231262-002_SID_1.jpg</t>
  </si>
  <si>
    <t>https://dd3ka9h4chfr8.cloudfront.net/image/725136000567/image_jic3am7v2p785ds0tec86rij25/-FJPG/231262-002_ESS.tif</t>
  </si>
  <si>
    <t>https://dd3ka9h4chfr8.cloudfront.net/image/725136000567/image_7ijflpp5bp7db7usfhtuh63j6k/-FJPG/231262-002_DET_2.jpg</t>
  </si>
  <si>
    <t>https://dd3ka9h4chfr8.cloudfront.net/image/725136000567/image_a38aa7lsfp7450hfiri12j3b0l/-FJPG/231262-002_BCK_1.jpg</t>
  </si>
  <si>
    <t>https://dd3ka9h4chfr8.cloudfront.net/image/725136000567/image_pmd9vc1a353sjdbmbjnmt0pf04/-FJPG/231262-002_DET_1.jpg</t>
  </si>
  <si>
    <t>https://dd3ka9h4chfr8.cloudfront.net/image/725136000567/image_sti6m72rs92lr0r10sr12tnd6t/-FJPG/231262-002_DET_3.jpg</t>
  </si>
  <si>
    <t>https://dd3ka9h4chfr8.cloudfront.net/image/725136000567/image_4dtdkbnjjd17r9rj4d3gi11q6o/-FJPG/231262-002_OPN_1.jpg</t>
  </si>
  <si>
    <t>https://dd3ka9h4chfr8.cloudfront.net/image/725136000567/image_0at19to5l14c9erqpso2t5og6e/-FJPG/231262-002_DET_4.jpg</t>
  </si>
  <si>
    <t>https://dd3ka9h4chfr8.cloudfront.net/image/725136000567/image_g7tq43kobt39b98sm23g10rv67/-FJPG/231262-002_DET_5.jpg</t>
  </si>
  <si>
    <t>https://dd3ka9h4chfr8.cloudfront.net/image/725136000567/image_do7a58eqep3l573sdpt2e6ft3a/-FJPG/231262-002_DET_6.jpg</t>
  </si>
  <si>
    <t>Caspian Nightstand - Natural Ash Veneer</t>
  </si>
  <si>
    <t>https://dd3ka9h4chfr8.cloudfront.net/image/725136000567/image_v7p9ho6v793vh83fgf563cgt4f/-S150x150-FJPG/231262-001_PRM_1.jpg</t>
  </si>
  <si>
    <t>https://dd3ka9h4chfr8.cloudfront.net/image/725136000567/image_v7p9ho6v793vh83fgf563cgt4f/-FJPG/231262-001_PRM_1.jpg</t>
  </si>
  <si>
    <t>https://dd3ka9h4chfr8.cloudfront.net/image/725136000567/image_19rr4i52f530p1eb3umsae0i27/-FJPG/231262-001_SID_1.jpg</t>
  </si>
  <si>
    <t>https://dd3ka9h4chfr8.cloudfront.net/image/725136000567/image_b1ul7gunrd5n97dqr8n5kot432/-FJPG/231262-001_DET_2.jpg</t>
  </si>
  <si>
    <t>https://dd3ka9h4chfr8.cloudfront.net/image/725136000567/image_bf1j8br8ql5qr279m1ioput53j/-FJPG/231262-001_BCK_1.jpg</t>
  </si>
  <si>
    <t>https://dd3ka9h4chfr8.cloudfront.net/image/725136000567/image_u7hpfuu8h153t1s0v5jpf36b17/-FJPG/231262-001_DET_1.jpg</t>
  </si>
  <si>
    <t>https://dd3ka9h4chfr8.cloudfront.net/image/725136000567/image_0tbnfj1h314jlenorfq4d6b20m/-FJPG/231262-001_DET_3.jpg</t>
  </si>
  <si>
    <t>https://dd3ka9h4chfr8.cloudfront.net/image/725136000567/image_ecd5f1mrqd7mnbq9uc12rerh04/-FJPG/231262-001_OPN_1.jpg</t>
  </si>
  <si>
    <t>https://dd3ka9h4chfr8.cloudfront.net/image/725136000567/image_jmsh34vjpp5lfdlev26q0cp93s/-FJPG/231262-001_DET_4.jpg</t>
  </si>
  <si>
    <t>https://dd3ka9h4chfr8.cloudfront.net/image/725136000567/image_sqgkiiuqvl1ul274ihudhd6c4f/-FJPG/231262-001_DET_5.jpg</t>
  </si>
  <si>
    <t>Caspian Sideboard - Black Ash Veneer</t>
  </si>
  <si>
    <t>https://dd3ka9h4chfr8.cloudfront.net/image/725136000567/image_i4imsiebu95vnb6edacl92h32g/-S150x150-FJPG/231265-002_PRM_1.jpg</t>
  </si>
  <si>
    <t>https://dd3ka9h4chfr8.cloudfront.net/image/725136000567/image_i4imsiebu95vnb6edacl92h32g/-FJPG/231265-002_PRM_1.jpg</t>
  </si>
  <si>
    <t>https://dd3ka9h4chfr8.cloudfront.net/image/725136000567/image_02a49i39hh32v5er7eok6h2i00/-FJPG/231265-002_SID_1.jpg</t>
  </si>
  <si>
    <t>https://dd3ka9h4chfr8.cloudfront.net/image/725136000567/image_fjn31rchmd66t73i3dhv802e3j/-FJPG/231265-002_ESS_1.jpg</t>
  </si>
  <si>
    <t>https://dd3ka9h4chfr8.cloudfront.net/image/725136000567/image_8qnprul0ut0330m87klcmu9608/-FJPG/231265-002_DET_2.jpg</t>
  </si>
  <si>
    <t>https://dd3ka9h4chfr8.cloudfront.net/image/725136000567/image_kl4ih1tdu176l9sok5e0275i54/-FJPG/231265-002_BCK_1.jpg</t>
  </si>
  <si>
    <t>https://dd3ka9h4chfr8.cloudfront.net/image/725136000567/image_7g5tsjb2f53bfbufhdqs4saj25/-FJPG/231265-002_DET_1.jpg</t>
  </si>
  <si>
    <t>https://dd3ka9h4chfr8.cloudfront.net/image/725136000567/image_7msg0opoll143cq13aegfrc402/-FJPG/231265-002_DET_3.jpg</t>
  </si>
  <si>
    <t>https://dd3ka9h4chfr8.cloudfront.net/image/725136000567/image_d10ha2f9tl5otd3nn72js9oq6r/-FJPG/231265-002_OPN_1.jpg</t>
  </si>
  <si>
    <t>https://dd3ka9h4chfr8.cloudfront.net/image/725136000567/image_m42bkc3u3l3mfdi7elolpnt75s/-FJPG/231265-002_DET_4.jpg</t>
  </si>
  <si>
    <t>https://dd3ka9h4chfr8.cloudfront.net/image/725136000567/image_502l0usl1l6j1ccpfhhdsjbd6t/-FJPG/231265-002_DET_5.jpg</t>
  </si>
  <si>
    <t>https://dd3ka9h4chfr8.cloudfront.net/image/725136000567/image_litkp0282p45pdgio4g3i1fe4j/-FJPG/231265-002_DET_6.jpg</t>
  </si>
  <si>
    <t>https://dd3ka9h4chfr8.cloudfront.net/image/725136000567/image_v45oj4mo5d7hf90gehj2gd2t0p/-FJPG/231265-002_DET_7.jpg</t>
  </si>
  <si>
    <t>Caspian Sideboard - Natural Ash Veneer</t>
  </si>
  <si>
    <t>https://dd3ka9h4chfr8.cloudfront.net/image/725136000567/image_8v5qga4uk51jvf6664ul1efm5c/-S150x150-FJPG/231265-001_PRM_1.jpg</t>
  </si>
  <si>
    <t>https://dd3ka9h4chfr8.cloudfront.net/image/725136000567/image_8v5qga4uk51jvf6664ul1efm5c/-FJPG/231265-001_PRM_1.jpg</t>
  </si>
  <si>
    <t>https://dd3ka9h4chfr8.cloudfront.net/image/725136000567/image_065gpr7hcp2lndgf8dn6vp0q0m/-FJPG/231265-001_SID_1.jpg</t>
  </si>
  <si>
    <t>https://dd3ka9h4chfr8.cloudfront.net/image/725136000567/image_nh4mejs6453v3db7qact55791l/-FJPG/231265-001_DET_2.jpg</t>
  </si>
  <si>
    <t>https://dd3ka9h4chfr8.cloudfront.net/image/725136000567/image_1d81ci4drp69h8b7bsu5c0hd2k/-FJPG/231265-001_BCK_1.jpg</t>
  </si>
  <si>
    <t>https://dd3ka9h4chfr8.cloudfront.net/image/725136000567/image_svesm0cmot6f1a2162bvorev2i/-FJPG/231265-001_DET_1.jpg</t>
  </si>
  <si>
    <t>https://dd3ka9h4chfr8.cloudfront.net/image/725136000567/image_7rffdt57613qj0v16gqh8sdj2g/-FJPG/231265-001_DET_3.jpg</t>
  </si>
  <si>
    <t>https://dd3ka9h4chfr8.cloudfront.net/image/725136000567/image_4uo84ui39d4f51js59jcgil30v/-FJPG/231265-001_OPN_1.jpg</t>
  </si>
  <si>
    <t>https://dd3ka9h4chfr8.cloudfront.net/image/725136000567/image_ghs8v3htv964lbkc338uh0vr46/-FJPG/231265-001_DET_4.jpg</t>
  </si>
  <si>
    <t>https://dd3ka9h4chfr8.cloudfront.net/image/725136000567/image_89qdobba2h1obaps1i7o5u1h4q/-FJPG/231265-001_DET_5.jpg</t>
  </si>
  <si>
    <t>https://dd3ka9h4chfr8.cloudfront.net/image/725136000567/image_bqqg3ol9rt4o31gr2c640cse7i/-FJPG/231265-001_DET_6.jpg</t>
  </si>
  <si>
    <t>https://dd3ka9h4chfr8.cloudfront.net/image/725136000567/image_h036hgoamp4mh0ek8vvta22168/-FJPG/231265-001_DET_7.jpg</t>
  </si>
  <si>
    <t>https://dd3ka9h4chfr8.cloudfront.net/image/725136000567/image_56n0hve4it6j31sumlae836j5m/-FJPG/231265-001_VIG_1.jpg</t>
  </si>
  <si>
    <t>https://dd3ka9h4chfr8.cloudfront.net/image/725136000567/image_1ns5kpgg1118p9cre3c3d8eh0m/-FJPG/231265-001_VIG_2.jpg</t>
  </si>
  <si>
    <t>https://dd3ka9h4chfr8.cloudfront.net/image/725136000567/image_pu75gjgtj52gjau2jr6pud0c5r/-FJPG/231265-001_VIG_3.jpg</t>
  </si>
  <si>
    <t>Cassio Dresser - Natural Reclaimed French Oak</t>
  </si>
  <si>
    <t>Solid Reclaimed Oak</t>
  </si>
  <si>
    <t>Brass</t>
  </si>
  <si>
    <t>https://dd3ka9h4chfr8.cloudfront.net/image/725136000567/image_9t4hastqnd5djbi22uviktu10t/-S150x150-FJPG/242188-001_PRM_1.jpg</t>
  </si>
  <si>
    <t>https://dd3ka9h4chfr8.cloudfront.net/image/725136000567/image_9t4hastqnd5djbi22uviktu10t/-FJPG/242188-001_PRM_1.jpg</t>
  </si>
  <si>
    <t>https://dd3ka9h4chfr8.cloudfront.net/image/725136000567/image_f9110s295d7i3ck4ppej11ho68/-FJPG/242188-001_SID_1.jpg</t>
  </si>
  <si>
    <t>https://dd3ka9h4chfr8.cloudfront.net/image/725136000567/image_rpb2qaitl15k9a6qgvbd5pmf63/-FJPG/242188-001_ESS.tif</t>
  </si>
  <si>
    <t>https://dd3ka9h4chfr8.cloudfront.net/image/725136000567/image_ndcdkmtj4p0h9ebmti5rh17r7v/-FJPG/242188-001_DET_2.jpg</t>
  </si>
  <si>
    <t>https://dd3ka9h4chfr8.cloudfront.net/image/725136000567/image_klop0t7c8d38f38jgg936r9t0k/-FJPG/242188-001_BCK_1.jpg</t>
  </si>
  <si>
    <t>https://dd3ka9h4chfr8.cloudfront.net/image/725136000567/image_9d9l60htqt2s198k559orb177b/-FJPG/242188-001_DET_1.jpg</t>
  </si>
  <si>
    <t>https://dd3ka9h4chfr8.cloudfront.net/image/725136000567/image_b9ae5bjucp5pb65g5v2g0h8i3s/-FJPG/242188-001_DET_3.jpg</t>
  </si>
  <si>
    <t>https://dd3ka9h4chfr8.cloudfront.net/image/725136000567/image_9kq2rk4til11t1o27c8ks46c0c/-FJPG/242188-001_OPN_1.jpg</t>
  </si>
  <si>
    <t>https://dd3ka9h4chfr8.cloudfront.net/image/725136000567/image_f2kdsqtkjl2616rt5dl3djjt0h/-FJPG/242188-001_TOP_1.jpg</t>
  </si>
  <si>
    <t>https://dd3ka9h4chfr8.cloudfront.net/image/725136000567/image_olndlkdvcp7lt2m0runb2omu6l/-FJPG/242188-001_DET_4.jpg</t>
  </si>
  <si>
    <t>https://dd3ka9h4chfr8.cloudfront.net/image/725136000567/image_iseanin91p1atcg2cjavme6520/-FJPG/242188-001_DET_5.jpg</t>
  </si>
  <si>
    <t>https://dd3ka9h4chfr8.cloudfront.net/image/725136000567/image_0hvmd429bt54l3id81ggmbkg6f/-FJPG/242188-001_DET_6.jpg</t>
  </si>
  <si>
    <t>https://dd3ka9h4chfr8.cloudfront.net/image/725136000567/image_i9brgviv1l5rb1kfrm6736ad5q/-FJPG/242188-001_DET_7.jpg</t>
  </si>
  <si>
    <t>https://dd3ka9h4chfr8.cloudfront.net/image/725136000567/image_17hdfbj8i51a33uiiric6lsk4h/-FJPG/242188-001_DET_8.jpg</t>
  </si>
  <si>
    <t>Cassio Nightstand - Natural Reclaimed French Oak</t>
  </si>
  <si>
    <t>https://dd3ka9h4chfr8.cloudfront.net/image/725136000567/image_5bc4ff2lnp6gb3k8cc6vi04r3e/-S150x150-FJPG/242186-001_PRM_1.jpg</t>
  </si>
  <si>
    <t>https://dd3ka9h4chfr8.cloudfront.net/image/725136000567/image_5bc4ff2lnp6gb3k8cc6vi04r3e/-FJPG/242186-001_PRM_1.jpg</t>
  </si>
  <si>
    <t>https://dd3ka9h4chfr8.cloudfront.net/image/725136000567/image_r17q3ji4ed07f5mn7657lhil20/-FJPG/242186-001_SID_1.jpg</t>
  </si>
  <si>
    <t>https://dd3ka9h4chfr8.cloudfront.net/image/725136000567/image_qrrlil1ut947b7jm6i2klqi44i/-FJPG/242186-001_ESS_1.tif</t>
  </si>
  <si>
    <t>https://dd3ka9h4chfr8.cloudfront.net/image/725136000567/image_2e62bul2rt73rfabotbad6576h/-FJPG/242186-001_DET_2.jpg</t>
  </si>
  <si>
    <t>https://dd3ka9h4chfr8.cloudfront.net/image/725136000567/image_vb4f5acu1d1r7ff6b3gai5e36h/-FJPG/242186-001_BCK_1.jpg</t>
  </si>
  <si>
    <t>https://dd3ka9h4chfr8.cloudfront.net/image/725136000567/image_idep95fff107faqedph5i4s868/-FJPG/242186-001_DET_1.jpg</t>
  </si>
  <si>
    <t>https://dd3ka9h4chfr8.cloudfront.net/image/725136000567/image_p7dgd291t1503a03svmkkjg940/-FJPG/242186-001_DET_3.jpg</t>
  </si>
  <si>
    <t>https://dd3ka9h4chfr8.cloudfront.net/image/725136000567/image_6djp5tpbnh6rf81a70uj7ob145/-FJPG/242186-001_OPN_1.jpg</t>
  </si>
  <si>
    <t>https://dd3ka9h4chfr8.cloudfront.net/image/725136000567/image_qeokhbaul56n70shi5dhdb3i1a/-FJPG/242186-001_DET_4.jpg</t>
  </si>
  <si>
    <t>https://dd3ka9h4chfr8.cloudfront.net/image/725136000567/image_64ilb61pft6a53h89fc2d34s1p/-FJPG/242186-001_DET_5.jpg</t>
  </si>
  <si>
    <t>https://dd3ka9h4chfr8.cloudfront.net/image/725136000567/image_ns7tc4e9dp69pee65dupn6as6m/-FJPG/242186-001_DET_6.jpg</t>
  </si>
  <si>
    <t>https://dd3ka9h4chfr8.cloudfront.net/image/725136000567/image_g8uti9a7j54epevleasjok7a5j/-FJPG/242186-001_DET_7.jpg</t>
  </si>
  <si>
    <t>https://dd3ka9h4chfr8.cloudfront.net/image/725136000567/image_os9mr17a6t1p7amaq355sq306v/-FJPG/242186-001_DET_9.tif</t>
  </si>
  <si>
    <t>Cassius Chair - Torrance Silver</t>
  </si>
  <si>
    <t>100% Recycled Olefin</t>
  </si>
  <si>
    <t>Acrylic</t>
  </si>
  <si>
    <t>https://dd3ka9h4chfr8.cloudfront.net/image/725136000567/image_b9u7j20emp1qd5351vpa9d9j2q/-S150x150-FJPG/226548-001_PRM_1.jpg</t>
  </si>
  <si>
    <t>https://dd3ka9h4chfr8.cloudfront.net/image/725136000567/image_b9u7j20emp1qd5351vpa9d9j2q/-FJPG/226548-001_PRM_1.jpg</t>
  </si>
  <si>
    <t>https://dd3ka9h4chfr8.cloudfront.net/image/725136000567/image_48eophaa317nn7icipmlbnr360/-FJPG/226548-001_SID_1.jpg</t>
  </si>
  <si>
    <t>https://dd3ka9h4chfr8.cloudfront.net/image/725136000567/image_t5tsbd5ggp03h1n19ad9pgb333/-FJPG/226548-001_ESS_1.jpg</t>
  </si>
  <si>
    <t>https://dd3ka9h4chfr8.cloudfront.net/image/725136000567/image_lk0qo5cd7h16tbfh80ej573m4m/-FJPG/226548-001_BCK_1.jpg</t>
  </si>
  <si>
    <t>https://dd3ka9h4chfr8.cloudfront.net/image/725136000567/image_s4kvf5du8t0unbi0auilc5ra5f/-FJPG/226548-001_INF_1.jpg</t>
  </si>
  <si>
    <t>https://dd3ka9h4chfr8.cloudfront.net/image/725136000567/image_ajpg64ohel57f329o97i1unu77/-FJPG/226548-001_DET_1.jpg</t>
  </si>
  <si>
    <t>https://dd3ka9h4chfr8.cloudfront.net/image/725136000567/image_39ocknahkt259b329qe98f8v73/-FJPG/226548-001_DET_3.jpg</t>
  </si>
  <si>
    <t>https://dd3ka9h4chfr8.cloudfront.net/image/725136000567/image_0li7c48p2t6avb5s90v39er042/-FJPG/226548-001_DET_4.jpg</t>
  </si>
  <si>
    <t>https://dd3ka9h4chfr8.cloudfront.net/image/725136000567/image_3p21o5eqa13l79v5j81ob5rv7a/-FJPG/226548-001_DET_5.jpg</t>
  </si>
  <si>
    <t>https://dd3ka9h4chfr8.cloudfront.net/image/725136000567/image_bg11j0skgp2rv08v89vh9ck73f/-FJPG/226548-001_DET_6.jpg</t>
  </si>
  <si>
    <t>Caya End Table - Caramel Burl</t>
  </si>
  <si>
    <t>https://dd3ka9h4chfr8.cloudfront.net/image/725136000567/image_ghlvu4su4p0tbabiiioauh2n6e/-S150x150-FJPG/243829-001_PRM_1.jpg</t>
  </si>
  <si>
    <t>https://dd3ka9h4chfr8.cloudfront.net/image/725136000567/image_ghlvu4su4p0tbabiiioauh2n6e/-FJPG/243829-001_PRM_1.jpg</t>
  </si>
  <si>
    <t>https://dd3ka9h4chfr8.cloudfront.net/image/725136000567/image_ad8dcebv5l6bt8f9f8ndm6t525/-FJPG/243829-001_SID_1.jpg</t>
  </si>
  <si>
    <t>https://dd3ka9h4chfr8.cloudfront.net/image/725136000567/image_qjq6ae9sa56713btbbo4sjos07/-FJPG/243829-001_ESS.tif</t>
  </si>
  <si>
    <t>https://dd3ka9h4chfr8.cloudfront.net/image/725136000567/image_nte0v2d1ip0mvchui2csmhdb5t/-FJPG/243829-001_DET_2.jpg</t>
  </si>
  <si>
    <t>https://dd3ka9h4chfr8.cloudfront.net/image/725136000567/image_cqpclb4bjl3995j0t82nbg431h/-FJPG/243829-001_BCK_1.jpg</t>
  </si>
  <si>
    <t>https://dd3ka9h4chfr8.cloudfront.net/image/725136000567/image_2mqm6nrq6h6ehfsbhv10a46i0r/-FJPG/243829-001_DET_1.jpg</t>
  </si>
  <si>
    <t>https://dd3ka9h4chfr8.cloudfront.net/image/725136000567/image_3pqh9b6mi57tbfiphsf4fm8668/-FJPG/243829-001_DET_3.jpg</t>
  </si>
  <si>
    <t>https://dd3ka9h4chfr8.cloudfront.net/image/725136000567/image_ibg9thhq4l6qh4iv51if5o6f11/-FJPG/243829-001_DET_4.jpg</t>
  </si>
  <si>
    <t>https://dd3ka9h4chfr8.cloudfront.net/image/725136000567/image_grvoulhs3l1hn7ksop5v9uvf39/-FJPG/243829-001_DET_5.jpg</t>
  </si>
  <si>
    <t>https://dd3ka9h4chfr8.cloudfront.net/image/725136000567/image_77t5desurl6jh4ht1ssi42rd7p/-FJPG/243829-001_DET_10.tif</t>
  </si>
  <si>
    <t>Celeste Accent Bench - Altair Mushroom</t>
  </si>
  <si>
    <t>Thick Ash Veneer</t>
  </si>
  <si>
    <t>https://dd3ka9h4chfr8.cloudfront.net/image/725136000567/image_co7j7n8o9l4sn2tkgco5iht92c/-S150x150-FJPG/247961-001_PRM_1.JPG</t>
  </si>
  <si>
    <t>https://dd3ka9h4chfr8.cloudfront.net/image/725136000567/image_co7j7n8o9l4sn2tkgco5iht92c/-FJPG/247961-001_PRM_1.JPG</t>
  </si>
  <si>
    <t>https://dd3ka9h4chfr8.cloudfront.net/image/725136000567/image_l6864ve7qp6p5atskdscb0s82e/-FJPG/247961-001_SID_1.JPG</t>
  </si>
  <si>
    <t>https://dd3ka9h4chfr8.cloudfront.net/image/725136000567/image_5rnf10lssd4f91ej54p8a4rv6n/-FJPG/247961-001_ESS.tif</t>
  </si>
  <si>
    <t>https://dd3ka9h4chfr8.cloudfront.net/image/725136000567/image_3k8t8a512l0nv3tc3mmo4ohq3i/-FJPG/247961-001_DET_2.JPG</t>
  </si>
  <si>
    <t>https://dd3ka9h4chfr8.cloudfront.net/image/725136000567/image_75bkoks4r50r5bjbflu6du705o/-FJPG/247961-001_BCK_1.JPG</t>
  </si>
  <si>
    <t>https://dd3ka9h4chfr8.cloudfront.net/image/725136000567/image_5oeic6ngh920h0e3utej61ut2s/-FJPG/247961-001_DET_1.JPG</t>
  </si>
  <si>
    <t>https://dd3ka9h4chfr8.cloudfront.net/image/725136000567/image_hrfc16irbd7er35a61f4v8pj0l/-FJPG/247961-001_DET_3.JPG</t>
  </si>
  <si>
    <t>https://dd3ka9h4chfr8.cloudfront.net/image/725136000567/image_p7b7cupr590idd3jo6868grk2d/-FJPG/247961-001_DET_4.JPG</t>
  </si>
  <si>
    <t>https://dd3ka9h4chfr8.cloudfront.net/image/725136000567/image_dr817pqloh75t9m7tkg6q70t3g/-FJPG/247961-001_DET_5.JPG</t>
  </si>
  <si>
    <t>https://dd3ka9h4chfr8.cloudfront.net/image/725136000567/image_p3ld1o0i656gp6sejt2u81pt4t/-FJPG/247961-001_DET_6.JPG</t>
  </si>
  <si>
    <t>https://dd3ka9h4chfr8.cloudfront.net/image/725136000567/image_1qajp6nlh57b9fskn1ibpq3h0g/-FJPG/247961-001_DET_9.tif</t>
  </si>
  <si>
    <t>Celine Chair - Monte Olive</t>
  </si>
  <si>
    <t>50% Viscose</t>
  </si>
  <si>
    <t>50% Wool</t>
  </si>
  <si>
    <t>https://dd3ka9h4chfr8.cloudfront.net/image/725136000567/image_8qfn2jeald2hbfuichiiubph3b/-S150x150-FJPG/245887-001_PRM_1.jpg</t>
  </si>
  <si>
    <t>https://dd3ka9h4chfr8.cloudfront.net/image/725136000567/image_8qfn2jeald2hbfuichiiubph3b/-FJPG/245887-001_PRM_1.jpg</t>
  </si>
  <si>
    <t>https://dd3ka9h4chfr8.cloudfront.net/image/725136000567/image_h1phvhoubd6vt2ljs34so6bd67/-FJPG/245887-001_SID_1.jpg</t>
  </si>
  <si>
    <t>https://dd3ka9h4chfr8.cloudfront.net/image/725136000567/image_96mbfven952nh3olapim72i374/-FJPG/245887-001_ESS.tif</t>
  </si>
  <si>
    <t>https://dd3ka9h4chfr8.cloudfront.net/image/725136000567/image_8f81mj7p157klersk4f0h3vj05/-FJPG/245887-001_DET_2.jpg</t>
  </si>
  <si>
    <t>https://dd3ka9h4chfr8.cloudfront.net/image/725136000567/image_skge2f0k6h5m39a3qd3l44kr7o/-FJPG/245887-001_BCK_1.jpg</t>
  </si>
  <si>
    <t>https://dd3ka9h4chfr8.cloudfront.net/image/725136000567/image_9b0h5bhr5h37396m7gurbeln5f/-FJPG/245887-001_DET_1.jpg</t>
  </si>
  <si>
    <t>https://dd3ka9h4chfr8.cloudfront.net/image/725136000567/image_f0bi312bcd5ar9upi12nbiit66/-FJPG/245887-001_DET_3.jpg</t>
  </si>
  <si>
    <t>https://dd3ka9h4chfr8.cloudfront.net/image/725136000567/image_5s31pgb5m56pv1pjauj28p7v6u/-FJPG/245887-001_DET_4.jpg</t>
  </si>
  <si>
    <t>https://dd3ka9h4chfr8.cloudfront.net/image/725136000567/image_25bfflbhcp3of9pcfl5nk68r79/-FJPG/245887-001_DET_5.jpg</t>
  </si>
  <si>
    <t>https://dd3ka9h4chfr8.cloudfront.net/image/725136000567/image_vcq4284m3h019f3p28pmmhql77/-FJPG/245887-001_DET_6.jpg</t>
  </si>
  <si>
    <t>https://dd3ka9h4chfr8.cloudfront.net/image/725136000567/image_s1ooenuikt1th9vr3efvb5980d/-FJPG/245887-001_DET_9.tif</t>
  </si>
  <si>
    <t>https://dd3ka9h4chfr8.cloudfront.net/image/725136000567/image_cvarudf1kl2dt0v4sl97qgg219/-FJPG/FHMPRJ-018_SCENE_2.tif</t>
  </si>
  <si>
    <t>Chalmers Media Console - Weathered Oak Veneer</t>
  </si>
  <si>
    <t>https://dd3ka9h4chfr8.cloudfront.net/image/725136000567/image_tif1n5ago57vrfhms0vul8n81m/-S150x150-FJPG/241031-001_PRM_1.jpg</t>
  </si>
  <si>
    <t>https://dd3ka9h4chfr8.cloudfront.net/image/725136000567/image_tif1n5ago57vrfhms0vul8n81m/-FJPG/241031-001_PRM_1.jpg</t>
  </si>
  <si>
    <t>https://dd3ka9h4chfr8.cloudfront.net/image/725136000567/image_8ifpik43ld43v59niinm69jb7g/-FJPG/241031-001_SID_1.jpg</t>
  </si>
  <si>
    <t>https://dd3ka9h4chfr8.cloudfront.net/image/725136000567/image_hoolsbuon94s7ad230igd7di0f/-FJPG/241031-001_DET_2.jpg</t>
  </si>
  <si>
    <t>https://dd3ka9h4chfr8.cloudfront.net/image/725136000567/image_vd5t8mejm53vjcnobvi30lpn20/-FJPG/241031-001_BCK_1.jpg</t>
  </si>
  <si>
    <t>https://dd3ka9h4chfr8.cloudfront.net/image/725136000567/image_sjq2h9hool1df7mqtms9qoe227/-FJPG/241031-001_DET_1.jpg</t>
  </si>
  <si>
    <t>https://dd3ka9h4chfr8.cloudfront.net/image/725136000567/image_t4rlnrh52l1ajfdgqu5rgo5t1p/-FJPG/241031-001_DET_3.jpg</t>
  </si>
  <si>
    <t>https://dd3ka9h4chfr8.cloudfront.net/image/725136000567/image_cfq7qc01u577v7rqdlbgv0do0r/-FJPG/241031-001_OPN_1.jpg</t>
  </si>
  <si>
    <t>https://dd3ka9h4chfr8.cloudfront.net/image/725136000567/image_9dks3clan503n57vkp41u39i73/-FJPG/241031-001_DET_4.jpg</t>
  </si>
  <si>
    <t>https://dd3ka9h4chfr8.cloudfront.net/image/725136000567/image_djn7pfo18d6ljb4879nv073q69/-FJPG/241031-001_DET_5.jpg</t>
  </si>
  <si>
    <t>https://dd3ka9h4chfr8.cloudfront.net/image/725136000567/image_t255i626q15ur19joakh2p9q3c/-FJPG/241031-001_DET_6.jpg</t>
  </si>
  <si>
    <t>https://dd3ka9h4chfr8.cloudfront.net/image/725136000567/image_a0ibhmd8lt1kj4hdblnl2jm373/-FJPG/241031-001_DET_7.jpg</t>
  </si>
  <si>
    <t>https://dd3ka9h4chfr8.cloudfront.net/image/725136000567/image_bdrcfid90t49d7bcek1ms6hi06/-FJPG/241031-001_ESS.tif</t>
  </si>
  <si>
    <t>Chance Chair - Dakota Warm Taupe</t>
  </si>
  <si>
    <t>https://dd3ka9h4chfr8.cloudfront.net/image/725136000567/image_jbe5i5vcq12n90uplltp4ovo48/-S150x150-FJPG/CKEN-11247-08_PRM_1.jpg</t>
  </si>
  <si>
    <t>https://dd3ka9h4chfr8.cloudfront.net/image/725136000567/image_jbe5i5vcq12n90uplltp4ovo48/-FJPG/CKEN-11247-08_PRM_1.jpg</t>
  </si>
  <si>
    <t>https://dd3ka9h4chfr8.cloudfront.net/image/725136000567/image_a2uhascfbl3175almlitcpst16/-FJPG/CKEN-11247-08_SID_1.jpg</t>
  </si>
  <si>
    <t>https://dd3ka9h4chfr8.cloudfront.net/image/725136000567/image_872biiab3l44l30sc80lept52n/-FJPG/CKEN-11247-08_DET_2.jpg</t>
  </si>
  <si>
    <t>https://dd3ka9h4chfr8.cloudfront.net/image/725136000567/image_so9buqdu457gl0tunvu3q8b37l/-FJPG/CKEN-11247-08_BCK_1.jpg</t>
  </si>
  <si>
    <t>https://dd3ka9h4chfr8.cloudfront.net/image/725136000567/image_0muvtdst2p6t756panlk526l39/-FJPG/CKEN-11247-08_DET_1.jpg</t>
  </si>
  <si>
    <t>https://dd3ka9h4chfr8.cloudfront.net/image/725136000567/image_8ttpsge6g97473h4an8eu3lc42/-FJPG/CKEN-11247-08_DET_3.jpg</t>
  </si>
  <si>
    <t>https://dd3ka9h4chfr8.cloudfront.net/image/725136000567/image_4bfgou995t6f9evtnkobqedu5b/-FJPG/CKEN-11247-08_DET_4.jpg</t>
  </si>
  <si>
    <t>https://dd3ka9h4chfr8.cloudfront.net/image/725136000567/image_gghfng85q55v3ci2t02mb90p36/-FJPG/CKEN-11247-08_DET_5.jpg</t>
  </si>
  <si>
    <t>https://dd3ka9h4chfr8.cloudfront.net/image/725136000567/image_9teslm0li14296f979brsnnn5t/-FJPG/CKEN-11247-08_DET_6.jpg</t>
  </si>
  <si>
    <t>https://dd3ka9h4chfr8.cloudfront.net/image/725136000567/image_f4t3t1ojn52r5fgr2mmgj4l16a/-FJPG/CKEN-11247-08_DET_7.jpg</t>
  </si>
  <si>
    <t>https://dd3ka9h4chfr8.cloudfront.net/image/725136000567/image_a71al8v47l5rp02v2mf9hgcv1j/-FJPG/CKEN-11247-08_ROM_1.jpg</t>
  </si>
  <si>
    <t>https://dd3ka9h4chfr8.cloudfront.net/image/725136000567/image_h6ple0jj0d4sha18iibg0no152/-FJPG/CKEN-11247-08_ROM_2.jpg</t>
  </si>
  <si>
    <t>https://dd3ka9h4chfr8.cloudfront.net/image/725136000567/image_9etjvmcrft5on1ppqhe93rgn2u/-FJPG/CKEN-11247-08_BCK_2.jpg</t>
  </si>
  <si>
    <t>Chance Recliner - Dakota Black</t>
  </si>
  <si>
    <t>https://dd3ka9h4chfr8.cloudfront.net/image/725136000567/image_2hek6hl4e97rf2p5d2gfgelr7k/-S150x150-FJPG/CKEN-17371-849_PRM_1.jpg</t>
  </si>
  <si>
    <t>https://dd3ka9h4chfr8.cloudfront.net/image/725136000567/image_2hek6hl4e97rf2p5d2gfgelr7k/-FJPG/CKEN-17371-849_PRM_1.jpg</t>
  </si>
  <si>
    <t>https://dd3ka9h4chfr8.cloudfront.net/image/725136000567/image_rk2gcpoifl39lc7s9ii0p7ol7n/-FJPG/CKEN-17371-849_SID_1.jpg</t>
  </si>
  <si>
    <t>https://dd3ka9h4chfr8.cloudfront.net/image/725136000567/image_575b3llue519p176ck0vkh5b65/-FJPG/CKEN-17371-849_ESS_1.jpg</t>
  </si>
  <si>
    <t>https://dd3ka9h4chfr8.cloudfront.net/image/725136000567/image_075eaoolo5371b4u70mu1vfm0i/-FJPG/CKEN-17371-849_DET_2.jpg</t>
  </si>
  <si>
    <t>https://dd3ka9h4chfr8.cloudfront.net/image/725136000567/image_149nudpk2d0sr03ub11pbv276i/-FJPG/CKEN-17371-849_BCK_1.jpg</t>
  </si>
  <si>
    <t>https://dd3ka9h4chfr8.cloudfront.net/image/725136000567/image_0p56q89d2l6m34264htqpj1e6h/-FJPG/CKEN-17371-849_DET_1.jpg</t>
  </si>
  <si>
    <t>https://dd3ka9h4chfr8.cloudfront.net/image/725136000567/image_n67445nfrl607ave8mlvsudm5b/-FJPG/CKEN-17371-849_DET_3.jpg</t>
  </si>
  <si>
    <t>https://dd3ka9h4chfr8.cloudfront.net/image/725136000567/image_tvgnrdrqip5dvdvhrs5o92kq7t/-FJPG/CKEN-17371-849_DET_4.jpg</t>
  </si>
  <si>
    <t>https://dd3ka9h4chfr8.cloudfront.net/image/725136000567/image_i87cgtfq254stcje8fvuju1a37/-FJPG/CKEN-17371-849_DET_5.jpg</t>
  </si>
  <si>
    <t>https://dd3ka9h4chfr8.cloudfront.net/image/725136000567/image_hsihmtl9fh7kn0g5qjq6j84o6t/-FJPG/CKEN-17371-849_DET_6.jpg</t>
  </si>
  <si>
    <t>https://dd3ka9h4chfr8.cloudfront.net/image/725136000567/image_gmpq5ehlud09vbkatqp72lu02i/-FJPG/CKEN-17371-849_DET_7.jpg</t>
  </si>
  <si>
    <t>https://dd3ka9h4chfr8.cloudfront.net/image/725136000567/image_mgfshqaetp5c16echra36a4g3b/-FJPG/CKEN-17371-849_ESS_2.jpg</t>
  </si>
  <si>
    <t>https://dd3ka9h4chfr8.cloudfront.net/image/725136000567/image_tefhb5uls90ab9a8si8unecm43/-FJPG/CKEN-17371-849_PRM_2.jpg</t>
  </si>
  <si>
    <t>https://dd3ka9h4chfr8.cloudfront.net/image/725136000567/image_vn9n7g64615rn2nruaionj5071/-FJPG/CKEN-17371-849_SID_2.jpg</t>
  </si>
  <si>
    <t>https://dd3ka9h4chfr8.cloudfront.net/image/725136000567/image_90vqrhakr17epdo8e8umq7gr1o/-FJPG/CKEN-17371-849_PRM_3.jpg</t>
  </si>
  <si>
    <t>Chance Recliner - Dakota Warm Taupe</t>
  </si>
  <si>
    <t>https://dd3ka9h4chfr8.cloudfront.net/image/725136000567/image_fjj9pfbpn14in77echag3rsr62/-S150x150-FJPG/CKEN-17347-208_PRM_1.jpg</t>
  </si>
  <si>
    <t>https://dd3ka9h4chfr8.cloudfront.net/image/725136000567/image_fjj9pfbpn14in77echag3rsr62/-FJPG/CKEN-17347-208_PRM_1.jpg</t>
  </si>
  <si>
    <t>https://dd3ka9h4chfr8.cloudfront.net/image/725136000567/image_knfo954hv91qn6rqmn39b6do43/-FJPG/CKEN-17347-208_SID_1.jpg</t>
  </si>
  <si>
    <t>https://dd3ka9h4chfr8.cloudfront.net/image/725136000567/image_gp3pfaqkil20765lu88na4uq31/-FJPG/CKEN-17347-208_DET_2.jpg</t>
  </si>
  <si>
    <t>https://dd3ka9h4chfr8.cloudfront.net/image/725136000567/image_s8e92qvdl50at4fbhehbtgaj1p/-FJPG/CKEN-17347-208_BCK_1.jpg</t>
  </si>
  <si>
    <t>https://dd3ka9h4chfr8.cloudfront.net/image/725136000567/image_vjq9bqbda96r13skrkjk0fb66d/-FJPG/CKEN-17347-208_DET_1.jpg</t>
  </si>
  <si>
    <t>https://dd3ka9h4chfr8.cloudfront.net/image/725136000567/image_7l4h3496ih32990dvplfcnan1l/-FJPG/CKEN-17347-208_DET_3.jpg</t>
  </si>
  <si>
    <t>https://dd3ka9h4chfr8.cloudfront.net/image/725136000567/image_332uajn9kh2rh5rb4car769s0i/-FJPG/CKEN-17347-208_OPN_1.jpg</t>
  </si>
  <si>
    <t>https://dd3ka9h4chfr8.cloudfront.net/image/725136000567/image_ut6t07p5n93ml3grvp4rstid2h/-FJPG/CKEN-17347-208_DET_4.jpg</t>
  </si>
  <si>
    <t>https://dd3ka9h4chfr8.cloudfront.net/image/725136000567/image_buiqdkug6t3indr3tg6b9fjp4a/-FJPG/CKEN-17347-208_DET_5.jpg</t>
  </si>
  <si>
    <t>https://dd3ka9h4chfr8.cloudfront.net/image/725136000567/image_qngft9o2up1blb565hqdi2d14f/-FJPG/CKEN-17347-208_DET_6.jpg</t>
  </si>
  <si>
    <t>https://dd3ka9h4chfr8.cloudfront.net/image/725136000567/image_j8f9nsph990116f06rji06s065/-FJPG/CKEN-17347-208_DET_7.jpg</t>
  </si>
  <si>
    <t>https://dd3ka9h4chfr8.cloudfront.net/image/725136000567/image_4rp0nccusd3dp3tpu5orhmnk7q/-FJPG/CKEN-17347-208_ROM_1.jpg</t>
  </si>
  <si>
    <t>https://dd3ka9h4chfr8.cloudfront.net/image/725136000567/image_qk0akbq4b9569ct0p4l32jgp4f/-FJPG/CKEN-17347-208_ROM_2.jpg</t>
  </si>
  <si>
    <t>https://dd3ka9h4chfr8.cloudfront.net/image/725136000567/image_403p2cg07h25p4j3p6v5m08c2q/-FJPG/CKEN-17347-208_OPN_2.jpg</t>
  </si>
  <si>
    <t>https://dd3ka9h4chfr8.cloudfront.net/image/725136000567/image_51n7jril9h3fb2ta8hnq14j10d/-FJPG/CKEN-17347-208_PRM_3.gif</t>
  </si>
  <si>
    <t>Chance Recliner - Linen Natural</t>
  </si>
  <si>
    <t>82% Viscose (Rayon)</t>
  </si>
  <si>
    <t>14% Flax/Linen</t>
  </si>
  <si>
    <t>4% Polyester</t>
  </si>
  <si>
    <t>https://dd3ka9h4chfr8.cloudfront.net/image/725136000567/image_akke4vlepd2rvbl2ol2d46kj5q/-S150x150-FJPG/CKEN-17347-188_PRM_1.jpg</t>
  </si>
  <si>
    <t>https://dd3ka9h4chfr8.cloudfront.net/image/725136000567/image_akke4vlepd2rvbl2ol2d46kj5q/-FJPG/CKEN-17347-188_PRM_1.jpg</t>
  </si>
  <si>
    <t>https://dd3ka9h4chfr8.cloudfront.net/image/725136000567/image_0htt1sj3455jl1mkodmc3ct04g/-FJPG/CKEN-17347-188_SID_1.jpg</t>
  </si>
  <si>
    <t>https://dd3ka9h4chfr8.cloudfront.net/image/725136000567/image_6mo9t7ni3h08j59vrgjhjuip1v/-FJPG/CKEN-17347-188_DET_2.jpg</t>
  </si>
  <si>
    <t>https://dd3ka9h4chfr8.cloudfront.net/image/725136000567/image_t6oq3g3nhd0r9ao1mc5a8jae17/-FJPG/CKEN-17347-188_BCK_1.jpg</t>
  </si>
  <si>
    <t>https://dd3ka9h4chfr8.cloudfront.net/image/725136000567/image_eu2v07rcb958jctig991pdsf47/-FJPG/CKEN-17347-188_DET_1.jpg</t>
  </si>
  <si>
    <t>https://dd3ka9h4chfr8.cloudfront.net/image/725136000567/image_vns4tkc9vp5lvernhj1sgbq83s/-FJPG/CKEN-17347-188_DET_3.jpg</t>
  </si>
  <si>
    <t>https://dd3ka9h4chfr8.cloudfront.net/image/725136000567/image_9j9118r0c91hbcossjra36r85s/-FJPG/CKEN-17347-188_OPN_1.jpg</t>
  </si>
  <si>
    <t>https://dd3ka9h4chfr8.cloudfront.net/image/725136000567/image_hdhvamfd952b903sa858lofg4u/-FJPG/CKEN-17347-188_DET_4.jpg</t>
  </si>
  <si>
    <t>https://dd3ka9h4chfr8.cloudfront.net/image/725136000567/image_5ek886nbd56m35bneap472622p/-FJPG/CKEN-17347-188_DET_5.jpg</t>
  </si>
  <si>
    <t>https://dd3ka9h4chfr8.cloudfront.net/image/725136000567/image_4jju0enffh70d79icunqpmnj2u/-FJPG/CKEN-17347-188_DET_6.jpg</t>
  </si>
  <si>
    <t>https://dd3ka9h4chfr8.cloudfront.net/image/725136000567/image_aat50aaot929t3ee85u8na275o/-FJPG/CKEN-17347-188_DET_7.jpg</t>
  </si>
  <si>
    <t>https://dd3ka9h4chfr8.cloudfront.net/image/725136000567/image_ilkdf835qh0b956a8hm6j5vu6o/-FJPG/CKEN-17347-188_ROM_1.jpg</t>
  </si>
  <si>
    <t>https://dd3ka9h4chfr8.cloudfront.net/image/725136000567/image_bk9q6b44ap6pl43r79pojsj46t/-FJPG/CKEN-17347-188_ROM_2.jpg</t>
  </si>
  <si>
    <t>Chance Recliner - Palermo Nude</t>
  </si>
  <si>
    <t>https://dd3ka9h4chfr8.cloudfront.net/image/725136000567/image_dtdac61nn91bv696d3fcsggj79/-S150x150-FJPG/106051-010_PRM_1.jpg</t>
  </si>
  <si>
    <t>https://dd3ka9h4chfr8.cloudfront.net/image/725136000567/image_dtdac61nn91bv696d3fcsggj79/-FJPG/106051-010_PRM_1.jpg</t>
  </si>
  <si>
    <t>https://dd3ka9h4chfr8.cloudfront.net/image/725136000567/image_8lkugtl0il62d5166gjccntl1m/-FJPG/106051-010_SID_1.jpg</t>
  </si>
  <si>
    <t>https://dd3ka9h4chfr8.cloudfront.net/image/725136000567/image_c319339a057pn0t1djbr43tu2l/-FJPG/106051-010_ESS_1.jpg</t>
  </si>
  <si>
    <t>https://dd3ka9h4chfr8.cloudfront.net/image/725136000567/image_pfrmqq3fm93cj2mdr9nmemag2d/-FJPG/106051-010_DET_2.jpg</t>
  </si>
  <si>
    <t>https://dd3ka9h4chfr8.cloudfront.net/image/725136000567/image_smdci666m96qlab2c1ums59e5n/-FJPG/106051-010_BCK_1.jpg</t>
  </si>
  <si>
    <t>https://dd3ka9h4chfr8.cloudfront.net/image/725136000567/image_h8h39hi63d7af3qftk095o794k/-FJPG/106051-010_DET_1.jpg</t>
  </si>
  <si>
    <t>https://dd3ka9h4chfr8.cloudfront.net/image/725136000567/image_ciacj0rpbd2m7178mmur1k4v76/-FJPG/106051-010_DET_3.jpg</t>
  </si>
  <si>
    <t>https://dd3ka9h4chfr8.cloudfront.net/image/725136000567/image_ckrtadjdnh7r3edo2rh7k1lt0l/-FJPG/106051-010_OPN_1.jpg</t>
  </si>
  <si>
    <t>https://dd3ka9h4chfr8.cloudfront.net/image/725136000567/image_47bk2blu816ov75enb1uqc267r/-FJPG/106051-010_DET_4.jpg</t>
  </si>
  <si>
    <t>https://dd3ka9h4chfr8.cloudfront.net/image/725136000567/image_i5f1hqm9s52pdfljusr3l1p536/-FJPG/106051-010_DET_5.jpg</t>
  </si>
  <si>
    <t>https://dd3ka9h4chfr8.cloudfront.net/image/725136000567/image_id85dj3gcp5sbdmoa6trmoos0f/-FJPG/106051-010_DET_6.jpg</t>
  </si>
  <si>
    <t>https://dd3ka9h4chfr8.cloudfront.net/image/725136000567/image_9v48gkcjtt60hfi761q8ba6o26/-FJPG/106051-010_DET_7.jpg</t>
  </si>
  <si>
    <t>https://dd3ka9h4chfr8.cloudfront.net/image/725136000567/image_m10kpia0eh6958rdvmjqj2gn1n/-FJPG/106051-010_DET_8.jpg</t>
  </si>
  <si>
    <t>Channing Chaise - Crypton Nomad Mushroom</t>
  </si>
  <si>
    <t>https://dd3ka9h4chfr8.cloudfront.net/image/725136000567/image_dtcbncsddp1190p23apeei5l2v/-S150x150-FJPG/243413-002_PRM_1.jpg</t>
  </si>
  <si>
    <t>https://dd3ka9h4chfr8.cloudfront.net/image/725136000567/image_dtcbncsddp1190p23apeei5l2v/-FJPG/243413-002_PRM_1.jpg</t>
  </si>
  <si>
    <t>https://dd3ka9h4chfr8.cloudfront.net/image/725136000567/image_tivtqjlpch3vn065ovb4u2t556/-FJPG/243413-002_SID_1.jpg</t>
  </si>
  <si>
    <t>https://dd3ka9h4chfr8.cloudfront.net/image/725136000567/image_336ogipd4p0p1286r41e805f3j/-FJPG/243413-002_DET_2.jpg</t>
  </si>
  <si>
    <t>https://dd3ka9h4chfr8.cloudfront.net/image/725136000567/image_nnbjhqcoe53vr89d7kh6vrog3v/-FJPG/243413-002_BCK_1.jpg</t>
  </si>
  <si>
    <t>https://dd3ka9h4chfr8.cloudfront.net/image/725136000567/image_0eea6eo13l7mlf6j1ptpd5fv6s/-FJPG/243413-002_DET_1.jpg</t>
  </si>
  <si>
    <t>https://dd3ka9h4chfr8.cloudfront.net/image/725136000567/image_3ofita8a8p7jd634jlm0inag5j/-FJPG/243413-002_DET_3.jpg</t>
  </si>
  <si>
    <t>https://dd3ka9h4chfr8.cloudfront.net/image/725136000567/image_76cv9chuht5399n7fau9i08f15/-FJPG/243413-002_TOP_1.jpg</t>
  </si>
  <si>
    <t>https://dd3ka9h4chfr8.cloudfront.net/image/725136000567/image_qc6djamb254530bgmg2erf864b/-FJPG/243413-002_DET_4.jpg</t>
  </si>
  <si>
    <t>https://dd3ka9h4chfr8.cloudfront.net/image/725136000567/image_nnofr3id095fjc0es29kmgh10j/-FJPG/243413-002_DET_5.jpg</t>
  </si>
  <si>
    <t>https://dd3ka9h4chfr8.cloudfront.net/image/725136000567/image_d26d25app11dhf6i7ng9f3l828/-FJPG/243413-002_DET_6.jpg</t>
  </si>
  <si>
    <t>https://dd3ka9h4chfr8.cloudfront.net/image/725136000567/image_u9ic3n271h4a3d5lkodk4s4220/-FJPG/243413-002_DET_7.jpg</t>
  </si>
  <si>
    <t>Charlotte Bench - Mongolian Cream Fur</t>
  </si>
  <si>
    <t>https://dd3ka9h4chfr8.cloudfront.net/image/725136000567/image_skldkis88l1j99o3i54i9hki54/-S150x150-FJPG/108543-003_PRM_1.JPG</t>
  </si>
  <si>
    <t>https://dd3ka9h4chfr8.cloudfront.net/image/725136000567/image_skldkis88l1j99o3i54i9hki54/-FJPG/108543-003_PRM_1.JPG</t>
  </si>
  <si>
    <t>https://dd3ka9h4chfr8.cloudfront.net/image/725136000567/image_pc6hlimtsh7k353p76n416tp22/-FJPG/108543-003_SID_1.JPG</t>
  </si>
  <si>
    <t>https://dd3ka9h4chfr8.cloudfront.net/image/725136000567/image_jjngtk60rh1790v3rk0g6iga24/-FJPG/108543-003_ESS_1.jpg</t>
  </si>
  <si>
    <t>https://dd3ka9h4chfr8.cloudfront.net/image/725136000567/image_bpbln1nfjh2ijcttje9tbfpr4e/-FJPG/108543-003_DET_2.JPG</t>
  </si>
  <si>
    <t>https://dd3ka9h4chfr8.cloudfront.net/image/725136000567/image_9bg9m6j7c15891ql1rijhpdd0a/-FJPG/108543-003_DET_1.JPG</t>
  </si>
  <si>
    <t>https://dd3ka9h4chfr8.cloudfront.net/image/725136000567/image_7o7o711ei92hd3dmgb6svjis3a/-FJPG/108543-003_DET_3.JPG</t>
  </si>
  <si>
    <t>Charlotte Bench - Palermo Drift</t>
  </si>
  <si>
    <t>https://dd3ka9h4chfr8.cloudfront.net/image/725136000567/image_0eidmthtfd5ejfkijqear0080o/-S150x150-FJPG/108543-002_PRM_1.jpg</t>
  </si>
  <si>
    <t>https://dd3ka9h4chfr8.cloudfront.net/image/725136000567/image_0eidmthtfd5ejfkijqear0080o/-FJPG/108543-002_PRM_1.jpg</t>
  </si>
  <si>
    <t>https://dd3ka9h4chfr8.cloudfront.net/image/725136000567/image_cssbueu3lh21p3bl3j8n4sij0s/-FJPG/108543-002_SID_1.jpg</t>
  </si>
  <si>
    <t>https://dd3ka9h4chfr8.cloudfront.net/image/725136000567/image_grb48mg84h02r9fssljgg2em1d/-FJPG/108543-002_ESS_1.jpg</t>
  </si>
  <si>
    <t>https://dd3ka9h4chfr8.cloudfront.net/image/725136000567/image_265a5qd5t157h15h8mgn4l674c/-FJPG/108543-002_DET_2.jpg</t>
  </si>
  <si>
    <t>https://dd3ka9h4chfr8.cloudfront.net/image/725136000567/image_htg2eepgbd3kd8rirvm7o0co75/-FJPG/108543-002_DET_1.jpg</t>
  </si>
  <si>
    <t>https://dd3ka9h4chfr8.cloudfront.net/image/725136000567/image_214o21pu9h6214lmvueb90l961/-FJPG/108543-002_DET_3.jpg</t>
  </si>
  <si>
    <t>Charlotte Bench - Thames Raven</t>
  </si>
  <si>
    <t>https://dd3ka9h4chfr8.cloudfront.net/image/725136000567/image_36m2dpji8d0t73e6jh121lpa7q/-S150x150-FJPG/108543-004_PRM_1.jpg</t>
  </si>
  <si>
    <t>https://dd3ka9h4chfr8.cloudfront.net/image/725136000567/image_36m2dpji8d0t73e6jh121lpa7q/-FJPG/108543-004_PRM_1.jpg</t>
  </si>
  <si>
    <t>https://dd3ka9h4chfr8.cloudfront.net/image/725136000567/image_rm8534oovt7336eg7cdoek6q1s/-FJPG/108543-004_SID_1.jpg</t>
  </si>
  <si>
    <t>https://dd3ka9h4chfr8.cloudfront.net/image/725136000567/image_j13ra2588d1hp7l9ugumhl3n6u/-FJPG/108543-004_DET_2.jpg</t>
  </si>
  <si>
    <t>https://dd3ka9h4chfr8.cloudfront.net/image/725136000567/image_t5macfm15t4bt3age096gc5773/-FJPG/108543-004_INF_1.jpg</t>
  </si>
  <si>
    <t>https://dd3ka9h4chfr8.cloudfront.net/image/725136000567/image_9o37o0e06t6r1c6g7jmk94sv47/-FJPG/108543-004_DET_1.jpg</t>
  </si>
  <si>
    <t>https://dd3ka9h4chfr8.cloudfront.net/image/725136000567/image_a4tihd7rbt1mh1n3v35dui3i4p/-FJPG/108543-004_DET_3.jpg</t>
  </si>
  <si>
    <t>https://dd3ka9h4chfr8.cloudfront.net/image/725136000567/image_5bfub6e4055210d75up936e03e/-FJPG/108543-004_DET_4.jpg</t>
  </si>
  <si>
    <t>https://dd3ka9h4chfr8.cloudfront.net/image/725136000567/image_miv3j2vjsh4ij0g22rds8v3q6k/-FJPG/108543-004_DET_5.jpg</t>
  </si>
  <si>
    <t>https://dd3ka9h4chfr8.cloudfront.net/image/725136000567/image_q0dpvnpku53abaav71haolod3t/-FJPG/108543-004_DET_6.jpg</t>
  </si>
  <si>
    <t>Chloe Media Lounger - Crypton Henry Coffee</t>
  </si>
  <si>
    <t>https://dd3ka9h4chfr8.cloudfront.net/image/725136000567/image_942rs6uar15f9crbcgtni3ba5g/-S150x150-FJPG/102766-014_PRM_1.jpg</t>
  </si>
  <si>
    <t>https://dd3ka9h4chfr8.cloudfront.net/image/725136000567/image_942rs6uar15f9crbcgtni3ba5g/-FJPG/102766-014_PRM_1.jpg</t>
  </si>
  <si>
    <t>https://dd3ka9h4chfr8.cloudfront.net/image/725136000567/image_8p2tejkull0u16m549ceh7fh0h/-FJPG/102766-014_SID_1.jpg</t>
  </si>
  <si>
    <t>https://dd3ka9h4chfr8.cloudfront.net/image/725136000567/image_c5mipfrtfd4nl35e3ikb10qt44/-FJPG/102766-014_ESS.jpg</t>
  </si>
  <si>
    <t>https://dd3ka9h4chfr8.cloudfront.net/image/725136000567/image_tktjpv6aj95cp8v39aeed2h742/-FJPG/102766-014_BCK_1.jpg</t>
  </si>
  <si>
    <t>https://dd3ka9h4chfr8.cloudfront.net/image/725136000567/image_8d6ugg142p64bd8ks10512fi0o/-FJPG/102766-014_TOP_1.jpg</t>
  </si>
  <si>
    <t>Chloe Swivel Chair - Delta Bisque</t>
  </si>
  <si>
    <t>97% Olefin</t>
  </si>
  <si>
    <t>3% Polyester</t>
  </si>
  <si>
    <t>https://dd3ka9h4chfr8.cloudfront.net/image/725136000567/image_5fvprsghot7qvcv0fpu1lum93e/-S150x150-FJPG/228290-001_PRM_1.jpg</t>
  </si>
  <si>
    <t>https://dd3ka9h4chfr8.cloudfront.net/image/725136000567/image_5fvprsghot7qvcv0fpu1lum93e/-FJPG/228290-001_PRM_1.jpg</t>
  </si>
  <si>
    <t>https://dd3ka9h4chfr8.cloudfront.net/image/725136000567/image_4osu8pam0h21r2qj49ddeve104/-FJPG/228290-001_SID_1.jpg</t>
  </si>
  <si>
    <t>https://dd3ka9h4chfr8.cloudfront.net/image/725136000567/image_0prhg6k88d7etfetg9q0df3s2e/-FJPG/228290-001_ESS.tif</t>
  </si>
  <si>
    <t>https://dd3ka9h4chfr8.cloudfront.net/image/725136000567/image_vh472m4n590oj7t5d2il58vn5v/-FJPG/228290-001_DET_2.jpg</t>
  </si>
  <si>
    <t>https://dd3ka9h4chfr8.cloudfront.net/image/725136000567/image_ci3g3ti7v154d81kkhf2k8uk1i/-FJPG/228290-001_BCK_1.jpg</t>
  </si>
  <si>
    <t>https://dd3ka9h4chfr8.cloudfront.net/image/725136000567/image_6frqtvb6t955rambrremup8q4m/-FJPG/228290-001_INF_1.jpg</t>
  </si>
  <si>
    <t>https://dd3ka9h4chfr8.cloudfront.net/image/725136000567/image_e7k1vs4g5d7nhfodjmv9j0ri6n/-FJPG/228290-001_DET_1.jpg</t>
  </si>
  <si>
    <t>https://dd3ka9h4chfr8.cloudfront.net/image/725136000567/image_ceue1tdv3p2c5a7mesgj9jpj2d/-FJPG/228290-001_DET_3.jpg</t>
  </si>
  <si>
    <t>https://dd3ka9h4chfr8.cloudfront.net/image/725136000567/image_u6i9cf7g0p5dp523bi85hdp76a/-FJPG/228290-001_DET_4.jpg</t>
  </si>
  <si>
    <t>https://dd3ka9h4chfr8.cloudfront.net/image/725136000567/image_p3ppv81ep564farcta8pkc1h2b/-FJPG/228290-001_DET_5.jpg</t>
  </si>
  <si>
    <t>https://dd3ka9h4chfr8.cloudfront.net/image/725136000567/image_5ei0dg3me90pnfp654hkm0ps0p/-FJPG/228290-001_DET_6.jpg</t>
  </si>
  <si>
    <t>https://dd3ka9h4chfr8.cloudfront.net/image/725136000567/image_i7esf1nm3912dauqs7p6lb6j1p/-FJPG/228290-001_DET_9.tif</t>
  </si>
  <si>
    <t>Chloe Swivel Chair - Ivan Granite</t>
  </si>
  <si>
    <t>https://dd3ka9h4chfr8.cloudfront.net/image/725136000567/image_cmfk5noodp5e10v4057bnbkv36/-S150x150-FJPG/228290-005_PRM_1.jpg</t>
  </si>
  <si>
    <t>https://dd3ka9h4chfr8.cloudfront.net/image/725136000567/image_cmfk5noodp5e10v4057bnbkv36/-FJPG/228290-005_PRM_1.jpg</t>
  </si>
  <si>
    <t>https://dd3ka9h4chfr8.cloudfront.net/image/725136000567/image_clgojsio295l38u8kjvci8u348/-FJPG/228290-005_SID_1.jpg</t>
  </si>
  <si>
    <t>https://dd3ka9h4chfr8.cloudfront.net/image/725136000567/image_jmq88p8us1265ed91iho66dj40/-FJPG/228290-005_ESS.tif</t>
  </si>
  <si>
    <t>https://dd3ka9h4chfr8.cloudfront.net/image/725136000567/image_4ugcn14p2t6f1ei3g021ntgt3j/-FJPG/228290-005_DET_2.jpg</t>
  </si>
  <si>
    <t>https://dd3ka9h4chfr8.cloudfront.net/image/725136000567/image_9m190qd4lh0sv9ohvscp91vi5u/-FJPG/228290-005_BCK_1.jpg</t>
  </si>
  <si>
    <t>https://dd3ka9h4chfr8.cloudfront.net/image/725136000567/image_sj29f1nkf90br3373mdaljqb4t/-FJPG/228290-005_DET_1.jpg</t>
  </si>
  <si>
    <t>https://dd3ka9h4chfr8.cloudfront.net/image/725136000567/image_dasfllsrrh6kv52rf3lj9pan0u/-FJPG/228290-005_DET_3.jpg</t>
  </si>
  <si>
    <t>https://dd3ka9h4chfr8.cloudfront.net/image/725136000567/image_agnkfhpvm566dc70ts78viu83d/-FJPG/228290-005_DET_4.jpg</t>
  </si>
  <si>
    <t>https://dd3ka9h4chfr8.cloudfront.net/image/725136000567/image_rfcf5cmhk14gh4vd0qsdp5pl6q/-FJPG/228290-005_DET_5.jpg</t>
  </si>
  <si>
    <t>https://dd3ka9h4chfr8.cloudfront.net/image/725136000567/image_mef331ep6d0vhe7ci32g0cpt6h/-FJPG/228290-005_DET_6.jpg</t>
  </si>
  <si>
    <t>https://dd3ka9h4chfr8.cloudfront.net/image/725136000567/image_honfoqjusl5t16qoltbj3pm868/-FJPG/228290-005_DET_7.jpg</t>
  </si>
  <si>
    <t>https://dd3ka9h4chfr8.cloudfront.net/image/725136000567/image_u35hdt91eh5s1dekl9btphn327/-FJPG/228290-005_DET_9.tif</t>
  </si>
  <si>
    <t>Clermont Chair - Charcoal Worn Velvet</t>
  </si>
  <si>
    <t>https://dd3ka9h4chfr8.cloudfront.net/image/725136000567/image_55jg8g75ll1tp4c7cks15vsa2b/-S150x150-FJPG/CKEN-L1Y-003_PRM_1.jpg</t>
  </si>
  <si>
    <t>https://dd3ka9h4chfr8.cloudfront.net/image/725136000567/image_55jg8g75ll1tp4c7cks15vsa2b/-FJPG/CKEN-L1Y-003_PRM_1.jpg</t>
  </si>
  <si>
    <t>https://dd3ka9h4chfr8.cloudfront.net/image/725136000567/image_0so37041m94cvajokbi2fstq1k/-FJPG/CKEN-L1Y-003_SID_1.jpg</t>
  </si>
  <si>
    <t>https://dd3ka9h4chfr8.cloudfront.net/image/725136000567/image_kmevkrh32h5q98i4vjj2gb884p/-FJPG/CKEN-L1Y-003_ESS_1.jpg</t>
  </si>
  <si>
    <t>https://dd3ka9h4chfr8.cloudfront.net/image/725136000567/image_1u58f1q6r92pp8esmknamtfo7s/-FJPG/CKEN-L1Y-003_DET_2.jpg</t>
  </si>
  <si>
    <t>https://dd3ka9h4chfr8.cloudfront.net/image/725136000567/image_mgl74g5lf95u98di3mm6j3d97m/-FJPG/CKEN-L1Y-003_BCK_1.jpg</t>
  </si>
  <si>
    <t>https://dd3ka9h4chfr8.cloudfront.net/image/725136000567/image_q78n2841v50grfglr2geitqb79/-FJPG/CKEN-L1Y-003_INF_1.jpg</t>
  </si>
  <si>
    <t>https://dd3ka9h4chfr8.cloudfront.net/image/725136000567/image_343j00hrb53bhc20buu0mkaj5l/-FJPG/CKEN-L1Y-003_DET_1.jpg</t>
  </si>
  <si>
    <t>https://dd3ka9h4chfr8.cloudfront.net/image/725136000567/image_41sq941qqd1ejec8p6o11n5n0i/-FJPG/CKEN-L1Y-003_DET_3.jpg</t>
  </si>
  <si>
    <t>https://dd3ka9h4chfr8.cloudfront.net/image/725136000567/image_vc4id1thjt2ln994sp9atrii0a/-FJPG/CKEN-L1Y-003_DET_4.jpg</t>
  </si>
  <si>
    <t>https://dd3ka9h4chfr8.cloudfront.net/image/725136000567/image_dmef7j15th66remm1t0mg7h75n/-FJPG/CKEN-L1Y-003_DET_5.jpg</t>
  </si>
  <si>
    <t>Cobain Dining Table - Flint Black</t>
  </si>
  <si>
    <t>https://dd3ka9h4chfr8.cloudfront.net/image/725136000567/image_b4irin0qq146n5ea864fju7337/-S150x150-FJPG/237191-002_PRM_1.jpg</t>
  </si>
  <si>
    <t>https://dd3ka9h4chfr8.cloudfront.net/image/725136000567/image_b4irin0qq146n5ea864fju7337/-FJPG/237191-002_PRM_1.jpg</t>
  </si>
  <si>
    <t>https://dd3ka9h4chfr8.cloudfront.net/image/725136000567/image_l0b5r1d27d3gb95maipcc0mr72/-FJPG/237191-002_SID_1.jpg</t>
  </si>
  <si>
    <t>https://dd3ka9h4chfr8.cloudfront.net/image/725136000567/image_usuoedrgjp7r17qaum0dfotk4a/-FJPG/237191-002_ESS.tif</t>
  </si>
  <si>
    <t>https://dd3ka9h4chfr8.cloudfront.net/image/725136000567/image_rd9eftoo2p37lda6pbquibc83r/-FJPG/237191-002_DET_2.jpg</t>
  </si>
  <si>
    <t>https://dd3ka9h4chfr8.cloudfront.net/image/725136000567/image_u3kdb8ajgd6p57uldul8emla2b/-FJPG/237191-002_DET_1.jpg</t>
  </si>
  <si>
    <t>https://dd3ka9h4chfr8.cloudfront.net/image/725136000567/image_b6jbpud37924f976empf3v9v44/-FJPG/237191-002_DET_3.jpg</t>
  </si>
  <si>
    <t>https://dd3ka9h4chfr8.cloudfront.net/image/725136000567/image_ngcagcsl6539f4beuopvc9t55m/-FJPG/237191-002_TOP_1.jpg</t>
  </si>
  <si>
    <t>https://dd3ka9h4chfr8.cloudfront.net/image/725136000567/image_9l259vm43945382fslf2bep828/-FJPG/237191-002_DET_4.jpg</t>
  </si>
  <si>
    <t>https://dd3ka9h4chfr8.cloudfront.net/image/725136000567/image_c9r2d0ufqt0lrdral86qleeu57/-FJPG/237191-002_DET_5.jpg</t>
  </si>
  <si>
    <t>https://dd3ka9h4chfr8.cloudfront.net/image/725136000567/image_hanjq0spfl7qf0asv2kr5gt61t/-FJPG/237191-002_DET_10.tif</t>
  </si>
  <si>
    <t>Colson Chair - Raleigh Chestnut</t>
  </si>
  <si>
    <t>https://dd3ka9h4chfr8.cloudfront.net/image/725136000567/image_2mbfr200i50n7f3r9cct2uf550/-S150x150-FJPG/231368-001_PRM_1.jpg</t>
  </si>
  <si>
    <t>https://dd3ka9h4chfr8.cloudfront.net/image/725136000567/image_2mbfr200i50n7f3r9cct2uf550/-FJPG/231368-001_PRM_1.jpg</t>
  </si>
  <si>
    <t>https://dd3ka9h4chfr8.cloudfront.net/image/725136000567/image_mn123d3uuh1bt6af8olm4j2o19/-FJPG/231368-001_SID_1.jpg</t>
  </si>
  <si>
    <t>https://dd3ka9h4chfr8.cloudfront.net/image/725136000567/image_tg3ni7h5dh1392gb5tfohnfg5q/-FJPG/231368-001_ESS_1.jpg</t>
  </si>
  <si>
    <t>https://dd3ka9h4chfr8.cloudfront.net/image/725136000567/image_t3alce68l12771rq07mgcgjp11/-FJPG/231368-001_DET_2.jpg</t>
  </si>
  <si>
    <t>https://dd3ka9h4chfr8.cloudfront.net/image/725136000567/image_0f7gvh39g53sb6u3p2a47bob2v/-FJPG/231368-001_BCK_1.jpg</t>
  </si>
  <si>
    <t>https://dd3ka9h4chfr8.cloudfront.net/image/725136000567/image_54t8ftgv6h7tde3vtddheafv33/-FJPG/231368-001_DET_1.jpg</t>
  </si>
  <si>
    <t>https://dd3ka9h4chfr8.cloudfront.net/image/725136000567/image_llpuehvgrh1jnem1krffr3fv6e/-FJPG/231368-001_DET_3.jpg</t>
  </si>
  <si>
    <t>https://dd3ka9h4chfr8.cloudfront.net/image/725136000567/image_7r3mpfkr2h6sj0da56688mor22/-FJPG/231368-001_DET_4.jpg</t>
  </si>
  <si>
    <t>https://dd3ka9h4chfr8.cloudfront.net/image/725136000567/image_cecqqk24fp7770gi4t8kuc8n5j/-FJPG/231368-001_DET_5.jpg</t>
  </si>
  <si>
    <t>https://dd3ka9h4chfr8.cloudfront.net/image/725136000567/image_g7eltlennl1qh9m7gudno3vg3i/-FJPG/231368-001_PRM_2.jpg</t>
  </si>
  <si>
    <t>Colt 2-Piece Sectional - Aldred Silver</t>
  </si>
  <si>
    <t>5% Flax/Linen</t>
  </si>
  <si>
    <t>https://dd3ka9h4chfr8.cloudfront.net/image/725136000567/image_49lafjl6f94oh8u7bic1clk33s/-S150x150-FJPG/102878-002_PRM_1.jpg</t>
  </si>
  <si>
    <t>https://dd3ka9h4chfr8.cloudfront.net/image/725136000567/image_49lafjl6f94oh8u7bic1clk33s/-FJPG/102878-002_PRM_1.jpg</t>
  </si>
  <si>
    <t>https://dd3ka9h4chfr8.cloudfront.net/image/725136000567/image_f08ape2h4t2on284lv5hb2uf6o/-FJPG/102878-002_SID_1.jpg</t>
  </si>
  <si>
    <t>https://dd3ka9h4chfr8.cloudfront.net/image/725136000567/image_215uo3g6ll57ncsm8nsi82q50q/-FJPG/102878-002_ESS_1.jpg</t>
  </si>
  <si>
    <t>https://dd3ka9h4chfr8.cloudfront.net/image/725136000567/image_cj0pjrtvat1dv2ispi2fi32m5s/-FJPG/102878-002_DET_2.jpg</t>
  </si>
  <si>
    <t>https://dd3ka9h4chfr8.cloudfront.net/image/725136000567/image_ueqbine87159b9her7u02n0j2f/-FJPG/102878-002_BCK_1.jpg</t>
  </si>
  <si>
    <t>https://dd3ka9h4chfr8.cloudfront.net/image/725136000567/image_0qpghjh3th5off6tuc5ba7n936/-FJPG/102878-002_DET_1.jpg</t>
  </si>
  <si>
    <t>https://dd3ka9h4chfr8.cloudfront.net/image/725136000567/image_02go7387ll28f3jd1hhn0cek68/-FJPG/102878-002_DET_3.jpg</t>
  </si>
  <si>
    <t>https://dd3ka9h4chfr8.cloudfront.net/image/725136000567/image_l0df3e0pet05145gvkiu3g9p4j/-FJPG/102878-002_DET_4.jpg</t>
  </si>
  <si>
    <t>https://dd3ka9h4chfr8.cloudfront.net/image/725136000567/image_9i2fcu244p3sr5enoo1v37s65a/-FJPG/102878-002_DET_5.jpg</t>
  </si>
  <si>
    <t>https://dd3ka9h4chfr8.cloudfront.net/image/725136000567/image_rhuso2k3rd0vtck00r6iqsq45o/-FJPG/102878-002_DET_6.jpg</t>
  </si>
  <si>
    <t>https://dd3ka9h4chfr8.cloudfront.net/image/725136000567/image_oq3vqc9vs914pd077p5hhmkd70/-S150x150-FJPG/UCEN-01102-789-S3_PRM_1.jpg</t>
  </si>
  <si>
    <t>https://dd3ka9h4chfr8.cloudfront.net/image/725136000567/image_oq3vqc9vs914pd077p5hhmkd70/-FJPG/UCEN-01102-789-S3_PRM_1.jpg</t>
  </si>
  <si>
    <t>https://dd3ka9h4chfr8.cloudfront.net/image/725136000567/image_aqk7jlh1pp15l29mlu663vt92b/-FJPG/UCEN-01102-789-S3_SID_1.jpg</t>
  </si>
  <si>
    <t>https://dd3ka9h4chfr8.cloudfront.net/image/725136000567/image_1b6i0c44rl0gl9m14lglndej0h/-FJPG/UCEN-01102-789-S3_ESS_1.jpg</t>
  </si>
  <si>
    <t>https://dd3ka9h4chfr8.cloudfront.net/image/725136000567/image_82ku9ov33p74j29ar8ritg1n5o/-FJPG/UCEN-01102-789-S3_DET_2.jpg</t>
  </si>
  <si>
    <t>https://dd3ka9h4chfr8.cloudfront.net/image/725136000567/image_2ne7qpkedp0v14he9b6b22sj4f/-FJPG/UCEN-01102-789-S3_BCK_1.jpg</t>
  </si>
  <si>
    <t>https://dd3ka9h4chfr8.cloudfront.net/image/725136000567/image_bqjpik9j591nl8jjnt1cpvc83q/-FJPG/UCEN-01102-789-S3_DET_1.jpg</t>
  </si>
  <si>
    <t>https://dd3ka9h4chfr8.cloudfront.net/image/725136000567/image_fgd2c51hol33117pokildr5q08/-FJPG/UCEN-01102-789-S3_DET_3.jpg</t>
  </si>
  <si>
    <t>https://dd3ka9h4chfr8.cloudfront.net/image/725136000567/image_b08so3a6t50hreu3d3rfnj051a/-FJPG/UCEN-01102-789-S3_DET_4.jpg</t>
  </si>
  <si>
    <t>https://dd3ka9h4chfr8.cloudfront.net/image/725136000567/image_e1h4q83o3d2031p7no5o28kp7h/-FJPG/UCEN-01102-789-S3_DET_5.jpg</t>
  </si>
  <si>
    <t>https://dd3ka9h4chfr8.cloudfront.net/image/725136000567/image_l10fpot8115e3750kuggtid15c/-FJPG/UCEN-01102-789-S3_DET_6.jpg</t>
  </si>
  <si>
    <t>Colt 2-Piece Sectional - Heirloom Cigar</t>
  </si>
  <si>
    <t>https://dd3ka9h4chfr8.cloudfront.net/image/725136000567/image_pq2mgdd6e91tddk5on32arc52j/-S150x150-FJPG/102878-023_PRM_1.jpg</t>
  </si>
  <si>
    <t>https://dd3ka9h4chfr8.cloudfront.net/image/725136000567/image_pq2mgdd6e91tddk5on32arc52j/-FJPG/102878-023_PRM_1.jpg</t>
  </si>
  <si>
    <t>https://dd3ka9h4chfr8.cloudfront.net/image/725136000567/image_hbf56tmmrh5e539b8h160op10i/-FJPG/102878-023_SID_1.jpg</t>
  </si>
  <si>
    <t>https://dd3ka9h4chfr8.cloudfront.net/image/725136000567/image_ja64p0gthd4s910erlaq834h26/-FJPG/102878-023_ESS_1.jpg</t>
  </si>
  <si>
    <t>https://dd3ka9h4chfr8.cloudfront.net/image/725136000567/image_po8auocc114jv3r21ub9rch54j/-FJPG/102878-023_ESS.tif</t>
  </si>
  <si>
    <t>https://dd3ka9h4chfr8.cloudfront.net/image/725136000567/image_tfhbfkfjol0bt8n3p1985j6926/-FJPG/102878-023_DET_2.jpg</t>
  </si>
  <si>
    <t>https://dd3ka9h4chfr8.cloudfront.net/image/725136000567/image_33c77ff90l1hpd8865hkgk570l/-FJPG/102878-023_BCK_1.jpg</t>
  </si>
  <si>
    <t>https://dd3ka9h4chfr8.cloudfront.net/image/725136000567/image_hvcpkt9uh57ibeqob5j05ur74d/-FJPG/102878-023_DET_1.jpg</t>
  </si>
  <si>
    <t>https://dd3ka9h4chfr8.cloudfront.net/image/725136000567/image_kp5qakqdgd05vadjf0kmus8b4s/-FJPG/102878-023_DET_3.jpg</t>
  </si>
  <si>
    <t>https://dd3ka9h4chfr8.cloudfront.net/image/725136000567/image_hn70ttkrap2aj368socahspi2u/-FJPG/102878-023_DET_4.jpg</t>
  </si>
  <si>
    <t>https://dd3ka9h4chfr8.cloudfront.net/image/725136000567/image_3s239o6ihp1k96s0adlmrl9275/-FJPG/102878-023_DET_5.jpg</t>
  </si>
  <si>
    <t>https://dd3ka9h4chfr8.cloudfront.net/image/725136000567/image_5cbtg28c2l285fopbdc176hq12/-FJPG/102878-023_DET_6.jpg</t>
  </si>
  <si>
    <t>https://dd3ka9h4chfr8.cloudfront.net/image/725136000567/image_lnb3mljq752blenrfb4mgds35u/-FJPG/102878-023_DET_9.tif</t>
  </si>
  <si>
    <t>https://dd3ka9h4chfr8.cloudfront.net/image/725136000567/image_sn8v6rhkn10dp35o7aksqte714/-S150x150-FJPG/107271-023_PRM_1.jpg</t>
  </si>
  <si>
    <t>https://dd3ka9h4chfr8.cloudfront.net/image/725136000567/image_sn8v6rhkn10dp35o7aksqte714/-FJPG/107271-023_PRM_1.jpg</t>
  </si>
  <si>
    <t>https://dd3ka9h4chfr8.cloudfront.net/image/725136000567/image_elhscha3sl7u9587ei9k0fvl4j/-FJPG/107271-023_SID_1.jpg</t>
  </si>
  <si>
    <t>https://dd3ka9h4chfr8.cloudfront.net/image/725136000567/image_oigh10q1bt4ur3qjekmabink7j/-FJPG/107271-023_ESS_1.jpg</t>
  </si>
  <si>
    <t>https://dd3ka9h4chfr8.cloudfront.net/image/725136000567/image_vhpj3qodhd1jp0ig56dv4qbd7d/-FJPG/107271-023_DET_2.jpg</t>
  </si>
  <si>
    <t>https://dd3ka9h4chfr8.cloudfront.net/image/725136000567/image_ebntgr033d7rr905mpi0hjuo0p/-FJPG/107271-023_BCK_1.jpg</t>
  </si>
  <si>
    <t>https://dd3ka9h4chfr8.cloudfront.net/image/725136000567/image_2ta52ibkvd7bb9lkd2dru8kq6i/-FJPG/107271-023_DET_1.jpg</t>
  </si>
  <si>
    <t>https://dd3ka9h4chfr8.cloudfront.net/image/725136000567/image_7a59aae8dl2ut972m4mvcapb3a/-FJPG/107271-023_DET_3.jpg</t>
  </si>
  <si>
    <t>https://dd3ka9h4chfr8.cloudfront.net/image/725136000567/image_dd5macnuol2c79hhs47folrq24/-FJPG/107271-023_DET_4.jpg</t>
  </si>
  <si>
    <t>https://dd3ka9h4chfr8.cloudfront.net/image/725136000567/image_mlmirbgtc95050etq253a09e7o/-FJPG/107271-023_DET_5.jpg</t>
  </si>
  <si>
    <t>https://dd3ka9h4chfr8.cloudfront.net/image/725136000567/image_9c2e095ffd0h9duoibl489b33r/-FJPG/107271-023_DET_6.jpg</t>
  </si>
  <si>
    <t>Colt 2-Piece Sectional - Merino Cotton</t>
  </si>
  <si>
    <t>https://dd3ka9h4chfr8.cloudfront.net/image/725136000567/image_iaj83ro6b92odes18ngo5bec1v/-S150x150-FJPG/102878-014_PRM_1.jpg</t>
  </si>
  <si>
    <t>https://dd3ka9h4chfr8.cloudfront.net/image/725136000567/image_iaj83ro6b92odes18ngo5bec1v/-FJPG/102878-014_PRM_1.jpg</t>
  </si>
  <si>
    <t>https://dd3ka9h4chfr8.cloudfront.net/image/725136000567/image_sga758bibh3f7bh52foeic392h/-FJPG/102878-014_SID_1.jpg</t>
  </si>
  <si>
    <t>https://dd3ka9h4chfr8.cloudfront.net/image/725136000567/image_j12brb6cad0j952nsfpcko583c/-FJPG/102878-014_ESS.tif</t>
  </si>
  <si>
    <t>https://dd3ka9h4chfr8.cloudfront.net/image/725136000567/image_14bvbb7aap6l39aep5024c6c62/-FJPG/102878-014_BCK_1.jpg</t>
  </si>
  <si>
    <t>https://dd3ka9h4chfr8.cloudfront.net/image/725136000567/image_2jknmuj06l5l1e6sauuvmqe805/-FJPG/102878-014_INF_1.jpg</t>
  </si>
  <si>
    <t>https://dd3ka9h4chfr8.cloudfront.net/image/725136000567/image_1u84jdpb353u97kd3fac41nn2f/-S150x150-FJPG/107271-014_PRM_1.jpg</t>
  </si>
  <si>
    <t>https://dd3ka9h4chfr8.cloudfront.net/image/725136000567/image_1u84jdpb353u97kd3fac41nn2f/-FJPG/107271-014_PRM_1.jpg</t>
  </si>
  <si>
    <t>https://dd3ka9h4chfr8.cloudfront.net/image/725136000567/image_7b573qfndl4rt1gu2tebav6a0j/-FJPG/107271-014_SID_1.jpg</t>
  </si>
  <si>
    <t>https://dd3ka9h4chfr8.cloudfront.net/image/725136000567/image_6nvfudqe9d6fh9lhgc3c72ep07/-FJPG/107271-014_BCK_1.jpg</t>
  </si>
  <si>
    <t>https://dd3ka9h4chfr8.cloudfront.net/image/725136000567/image_3jhcn8ibh13vf36jes7om7k209/-FJPG/107271-014_INF_1.jpg</t>
  </si>
  <si>
    <t>Colt 3-Piece Sectional - Aldred Silver</t>
  </si>
  <si>
    <t>https://dd3ka9h4chfr8.cloudfront.net/image/725136000567/image_p6j9v9qlm16hh5a1rk3m92b93k/-S150x150-FJPG/UCEN-01102-789-S1_PRM_1.jpg</t>
  </si>
  <si>
    <t>https://dd3ka9h4chfr8.cloudfront.net/image/725136000567/image_43jv0oh90h16f8dsvt2mhnpa27/-FJPG/UCEN-01102-789-S1_SID_1.jpg</t>
  </si>
  <si>
    <t>https://dd3ka9h4chfr8.cloudfront.net/image/725136000567/image_eo1hrr1s6d0bb1oj1crtapks5f/-FJPG/UCEN-01102-789-S1_DET_2.jpg</t>
  </si>
  <si>
    <t>https://dd3ka9h4chfr8.cloudfront.net/image/725136000567/image_7f46vgretd0i34u8qsc4q9m51j/-FJPG/UCEN-01102-789-S1_DIM_1.jpg</t>
  </si>
  <si>
    <t>https://dd3ka9h4chfr8.cloudfront.net/image/725136000567/image_e28qo29icd20l7h8c2k97v433k/-FJPG/UCEN-01102-789-S1_BCK_1.jpg</t>
  </si>
  <si>
    <t>https://dd3ka9h4chfr8.cloudfront.net/image/725136000567/image_7k0c8t85bh0q3722s35h6tpv6q/-FJPG/UCEN-01102-789-S1_DET_1.jpg</t>
  </si>
  <si>
    <t>https://dd3ka9h4chfr8.cloudfront.net/image/725136000567/image_ib9m7ec87h2gda489i917eas47/-FJPG/UCEN-01102-789-S1_DET_4.jpg</t>
  </si>
  <si>
    <t>https://dd3ka9h4chfr8.cloudfront.net/image/725136000567/image_d6fuf7eat96nb5715qj96i3s1l/-FJPG/UCEN-01102-789-S1_DET_5.jpg</t>
  </si>
  <si>
    <t>https://dd3ka9h4chfr8.cloudfront.net/image/725136000567/image_bs7i3j5emh0nt9ftfq0doul536/-FJPG/UCEN-01102-789-S1_DET_6.jpg</t>
  </si>
  <si>
    <t>https://dd3ka9h4chfr8.cloudfront.net/image/725136000567/image_h8pp9ci7ft17377698gtvh186k/-FJPG/UCEN-01102-789-S1_ROM_1.jpg</t>
  </si>
  <si>
    <t>Colt 3-Piece Sectional - Heirloom Cigar</t>
  </si>
  <si>
    <t>https://dd3ka9h4chfr8.cloudfront.net/image/725136000567/image_pektiug8np3jl66qs1i51re424/-S150x150-FJPG/107269-024_PRM_1.jpg</t>
  </si>
  <si>
    <t>https://dd3ka9h4chfr8.cloudfront.net/image/725136000567/image_pektiug8np3jl66qs1i51re424/-FJPG/107269-024_PRM_1.jpg</t>
  </si>
  <si>
    <t>https://dd3ka9h4chfr8.cloudfront.net/image/725136000567/image_pih35iqma51mr4jfa7lavi3i4r/-FJPG/107269-024_ESS.jpg</t>
  </si>
  <si>
    <t>https://dd3ka9h4chfr8.cloudfront.net/image/725136000567/image_8lijloo8cd1md1s4a71ke6r560/-FJPG/107269-024_ESS.tif</t>
  </si>
  <si>
    <t>https://dd3ka9h4chfr8.cloudfront.net/image/725136000567/image_ohibq373ap4aledvsibqkc0r62/-FJPG/107269-024_ESS_1.jpg</t>
  </si>
  <si>
    <t>https://dd3ka9h4chfr8.cloudfront.net/image/725136000567/image_dutmc4u7j95rn2o8pa4hioll5f/-FJPG/107269-024_DET_2.jpg</t>
  </si>
  <si>
    <t>https://dd3ka9h4chfr8.cloudfront.net/image/725136000567/image_pjtg87723101tbkjq6uu8j810a/-FJPG/107269-024_BCK_1.jpg</t>
  </si>
  <si>
    <t>https://dd3ka9h4chfr8.cloudfront.net/image/725136000567/image_3fl15vm5i93rh7fm4a6eaaqd0j/-FJPG/107269-024_DET_1.jpg</t>
  </si>
  <si>
    <t>https://dd3ka9h4chfr8.cloudfront.net/image/725136000567/image_d8dg077pd12i55vtejufdfs12h/-FJPG/107269-024_DET_3.jpg</t>
  </si>
  <si>
    <t>https://dd3ka9h4chfr8.cloudfront.net/image/725136000567/image_mdn4ks3rc14br91qiein205e5p/-FJPG/107269-024_DET_4.jpg</t>
  </si>
  <si>
    <t>https://dd3ka9h4chfr8.cloudfront.net/image/725136000567/image_kmeihcj8vt7lf1i6o8fl1g9340/-FJPG/107269-024_DET_5.jpg</t>
  </si>
  <si>
    <t>https://dd3ka9h4chfr8.cloudfront.net/image/725136000567/image_g2q9s24rrp3rp9spld6hmu8700/-FJPG/107269-024_DET_6.jpg</t>
  </si>
  <si>
    <t>https://dd3ka9h4chfr8.cloudfront.net/image/725136000567/image_1q6r91o9j91d349p9ovu1snb0v/-FJPG/107269-024_DET_7.jpg</t>
  </si>
  <si>
    <t>Colt 3-Piece Sectional - Merino Cotton</t>
  </si>
  <si>
    <t>https://dd3ka9h4chfr8.cloudfront.net/image/725136000567/image_ck5siq8h491f3elep1g70jj76h/-S150x150-FJPG/107269-015_PRM_1.jpg</t>
  </si>
  <si>
    <t>https://dd3ka9h4chfr8.cloudfront.net/image/725136000567/image_ck5siq8h491f3elep1g70jj76h/-FJPG/107269-015_PRM_1.jpg</t>
  </si>
  <si>
    <t>https://dd3ka9h4chfr8.cloudfront.net/image/725136000567/image_8h53uo1li15apfl49do7dg8c3v/-FJPG/107269-015_SID_1.jpg</t>
  </si>
  <si>
    <t>https://dd3ka9h4chfr8.cloudfront.net/image/725136000567/image_g69sh0up610dl12bolkog0qa66/-FJPG/107269-015_ESS.tif</t>
  </si>
  <si>
    <t>https://dd3ka9h4chfr8.cloudfront.net/image/725136000567/image_98tot7m9i96lt1fedghsjhuv2f/-FJPG/107269-015_BCK_1.jpg</t>
  </si>
  <si>
    <t>Colt Sleeper Sofa - Aldred Silver</t>
  </si>
  <si>
    <t>https://dd3ka9h4chfr8.cloudfront.net/image/725136000567/image_gdderc63rd7tbagviekcd2km4q/-S150x150-FJPG/227991-002_PRM_1.jpg</t>
  </si>
  <si>
    <t>https://dd3ka9h4chfr8.cloudfront.net/image/725136000567/image_gdderc63rd7tbagviekcd2km4q/-FJPG/227991-002_PRM_1.jpg</t>
  </si>
  <si>
    <t>https://dd3ka9h4chfr8.cloudfront.net/image/725136000567/image_vn926fijel1pp15dcdtc6p0g11/-FJPG/227991-002_SID_1.jpg</t>
  </si>
  <si>
    <t>https://dd3ka9h4chfr8.cloudfront.net/image/725136000567/image_010u5fmo0d7mpatkqo4ao50746/-FJPG/227991-002_ESS_1.jpg</t>
  </si>
  <si>
    <t>https://dd3ka9h4chfr8.cloudfront.net/image/725136000567/image_bg2quauelp0kp2gqh3kkgn055p/-FJPG/227991-002_DET_2.jpg</t>
  </si>
  <si>
    <t>https://dd3ka9h4chfr8.cloudfront.net/image/725136000567/image_k6b9vk7uip5k1dr2l91gs39s2a/-FJPG/227991-002_BCK_1.jpg</t>
  </si>
  <si>
    <t>https://dd3ka9h4chfr8.cloudfront.net/image/725136000567/image_9vui7e6u0h6ulcmke7gont2e0o/-FJPG/227991-002_DET_1.jpg</t>
  </si>
  <si>
    <t>https://dd3ka9h4chfr8.cloudfront.net/image/725136000567/image_ch8jk64a8l1jd1d156gldvuc36/-FJPG/227991-002_DET_3.jpg</t>
  </si>
  <si>
    <t>https://dd3ka9h4chfr8.cloudfront.net/image/725136000567/image_cbf4t3fn5l4hpc3i8kuqgjfu4j/-FJPG/227991-002_OPN_1.jpg</t>
  </si>
  <si>
    <t>https://dd3ka9h4chfr8.cloudfront.net/image/725136000567/image_c2r7htjl5d2atc3esssroqla78/-FJPG/227991-002_DET_4.jpg</t>
  </si>
  <si>
    <t>https://dd3ka9h4chfr8.cloudfront.net/image/725136000567/image_3g2tmdv9hh2jr1hckdsgf34819/-FJPG/227991-002_DET_5.jpg</t>
  </si>
  <si>
    <t>https://dd3ka9h4chfr8.cloudfront.net/image/725136000567/image_dsbnnsu56p2tt4oeae1lfdl44g/-FJPG/227991-002_DET_6.jpg</t>
  </si>
  <si>
    <t>https://dd3ka9h4chfr8.cloudfront.net/image/725136000567/image_ilrij05pul1j5a55blrpohs87s/-FJPG/227991-002_ROM_1.jpg</t>
  </si>
  <si>
    <t>https://dd3ka9h4chfr8.cloudfront.net/image/725136000567/image_800k4t72eh1673vmjmt9u0hs45/-FJPG/227991-002_ESS_2.jpg</t>
  </si>
  <si>
    <t>https://dd3ka9h4chfr8.cloudfront.net/image/725136000567/image_930k09t28d3g3326a9cv1ctu2i/-FJPG/227991-002_OPN_2.jpg</t>
  </si>
  <si>
    <t>https://dd3ka9h4chfr8.cloudfront.net/image/725136000567/image_s4l0eh4jcl6blf9gvkah4fum0e/-FJPG/227991-002_OPN_3.jpg</t>
  </si>
  <si>
    <t>Colt Sleeper Sofa - Merino Cotton</t>
  </si>
  <si>
    <t>https://dd3ka9h4chfr8.cloudfront.net/image/725136000567/image_meje38telt345acusl7g65r02u/-S150x150-FJPG/227991-005_PRM_1.jpg</t>
  </si>
  <si>
    <t>https://dd3ka9h4chfr8.cloudfront.net/image/725136000567/image_meje38telt345acusl7g65r02u/-FJPG/227991-005_PRM_1.jpg</t>
  </si>
  <si>
    <t>https://dd3ka9h4chfr8.cloudfront.net/image/725136000567/image_5spjbijg6d26t94edqd97op879/-FJPG/227991-005_SID_1.jpg</t>
  </si>
  <si>
    <t>https://dd3ka9h4chfr8.cloudfront.net/image/725136000567/image_57vcm2748d7m93bp77v481de1d/-FJPG/227991-005_ESS.tif</t>
  </si>
  <si>
    <t>https://dd3ka9h4chfr8.cloudfront.net/image/725136000567/image_nkakbd48u571pfas2a7qt5pb7u/-FJPG/227991-005_DET_2.jpg</t>
  </si>
  <si>
    <t>https://dd3ka9h4chfr8.cloudfront.net/image/725136000567/image_v1f6ttfivt3ntd9aa254th6p30/-FJPG/227991-005_BCK_1.jpg</t>
  </si>
  <si>
    <t>https://dd3ka9h4chfr8.cloudfront.net/image/725136000567/image_f4d5lncjd57c9ealqfr8btdb3l/-FJPG/227991-005_INF_1.jpg</t>
  </si>
  <si>
    <t>https://dd3ka9h4chfr8.cloudfront.net/image/725136000567/image_7okin0o48p6u31l5nrip68ct77/-FJPG/227991-005_DET_1.jpg</t>
  </si>
  <si>
    <t>https://dd3ka9h4chfr8.cloudfront.net/image/725136000567/image_uhjc6utsc10pn80fsip3bbpr1j/-FJPG/227991-005_DET_3.jpg</t>
  </si>
  <si>
    <t>https://dd3ka9h4chfr8.cloudfront.net/image/725136000567/image_eun1bi6rm14r75cou8e55iir70/-FJPG/227991-005_OPN_1.jpg</t>
  </si>
  <si>
    <t>https://dd3ka9h4chfr8.cloudfront.net/image/725136000567/image_rt9t9inivd4tr7g4pbkiim7f4v/-FJPG/227991-005_DET_4.jpg</t>
  </si>
  <si>
    <t>https://dd3ka9h4chfr8.cloudfront.net/image/725136000567/image_9r9o7vjve50bt7g5g6b9j0l13v/-FJPG/227991-005_DET_5.jpg</t>
  </si>
  <si>
    <t>https://dd3ka9h4chfr8.cloudfront.net/image/725136000567/image_ht2tu80bel77l56u23u2jq364e/-FJPG/227991-005_DET_6.jpg</t>
  </si>
  <si>
    <t>https://dd3ka9h4chfr8.cloudfront.net/image/725136000567/image_v8j22ougi56lvak5ev4tfkqb2o/-FJPG/227991-005_OPN_2.jpg</t>
  </si>
  <si>
    <t>https://dd3ka9h4chfr8.cloudfront.net/image/725136000567/image_2hg2higbr97jnc2rlb1l32713f/-FJPG/227991-005_PRM_2.jpg</t>
  </si>
  <si>
    <t>https://dd3ka9h4chfr8.cloudfront.net/image/725136000567/image_5o2c7igpnl2irbb1169gkpvt1q/-FJPG/227991-005_ESS_2.tif</t>
  </si>
  <si>
    <t>https://dd3ka9h4chfr8.cloudfront.net/image/725136000567/image_ual19v292h1r58fj9ncgsi3i7e/-FJPG/227991-005_OPN_3.jpg</t>
  </si>
  <si>
    <t>Colt Sofa - Canton Dove</t>
  </si>
  <si>
    <t>https://dd3ka9h4chfr8.cloudfront.net/image/725136000567/image_kpvjl8fd3901f9j9f49bm02s3u/-S150x150-FJPG/107261-031_PRM_1.jpg</t>
  </si>
  <si>
    <t>https://dd3ka9h4chfr8.cloudfront.net/image/725136000567/image_kpvjl8fd3901f9j9f49bm02s3u/-FJPG/107261-031_PRM_1.jpg</t>
  </si>
  <si>
    <t>https://dd3ka9h4chfr8.cloudfront.net/image/725136000567/image_pie7qtof114e33l306kbsjo90g/-FJPG/107261-031_SID_1.jpg</t>
  </si>
  <si>
    <t>https://dd3ka9h4chfr8.cloudfront.net/image/725136000567/image_ikcpaimcj11vbclg2en1gtmp1i/-FJPG/107261-031_DET_2.jpg</t>
  </si>
  <si>
    <t>https://dd3ka9h4chfr8.cloudfront.net/image/725136000567/image_0qoe9dhc8t7updalvouu24fu27/-FJPG/107261-031_BCK_1.jpg</t>
  </si>
  <si>
    <t>https://dd3ka9h4chfr8.cloudfront.net/image/725136000567/image_6cf3j4jjcd7ur5lidml542m148/-FJPG/107261-031_DET_1.jpg</t>
  </si>
  <si>
    <t>https://dd3ka9h4chfr8.cloudfront.net/image/725136000567/image_n78v8e2hk97a5aq0bfgbdd8r2e/-FJPG/107261-031_DET_3.jpg</t>
  </si>
  <si>
    <t>https://dd3ka9h4chfr8.cloudfront.net/image/725136000567/image_f9i2kc159l6prcihbjkrnvvn28/-FJPG/107261-031_DET_4.jpg</t>
  </si>
  <si>
    <t>https://dd3ka9h4chfr8.cloudfront.net/image/725136000567/image_o040cfm7qp0efejjfa22vffc3a/-FJPG/107261-031_DET_5.jpg</t>
  </si>
  <si>
    <t>https://dd3ka9h4chfr8.cloudfront.net/image/725136000567/image_67v543i3ll0j32cmnug9usal3e/-FJPG/107261-031_DET_6.jpg</t>
  </si>
  <si>
    <t>Colt Sofa - Merino Cotton</t>
  </si>
  <si>
    <t>https://dd3ka9h4chfr8.cloudfront.net/image/725136000567/image_87djlvhn9t6epar2ofdkeusq6m/-S150x150-FJPG/107261-020_PRM_1.jpg</t>
  </si>
  <si>
    <t>https://dd3ka9h4chfr8.cloudfront.net/image/725136000567/image_87djlvhn9t6epar2ofdkeusq6m/-FJPG/107261-020_PRM_1.jpg</t>
  </si>
  <si>
    <t>https://dd3ka9h4chfr8.cloudfront.net/image/725136000567/image_nmabcolarp30l3rou4q9pmlf73/-FJPG/107261-020_SID_1.jpg</t>
  </si>
  <si>
    <t>https://dd3ka9h4chfr8.cloudfront.net/image/725136000567/image_cokls95kpd2ihd5dblp21cjc09/-FJPG/107261-020_ESS_1.jpg</t>
  </si>
  <si>
    <t>https://dd3ka9h4chfr8.cloudfront.net/image/725136000567/image_3753p2psr533b83msdj7r6ju6j/-FJPG/107261-020_BCK_1.jpg</t>
  </si>
  <si>
    <t>Columbus Trunk Console - Dark Totem</t>
  </si>
  <si>
    <t>https://dd3ka9h4chfr8.cloudfront.net/image/725136000567/image_mr55cchgc97f724mfbmnmk4j1m/-S150x150-FJPG/IMYA-002_PRM_1.jpg</t>
  </si>
  <si>
    <t>https://dd3ka9h4chfr8.cloudfront.net/image/725136000567/image_mr55cchgc97f724mfbmnmk4j1m/-FJPG/IMYA-002_PRM_1.jpg</t>
  </si>
  <si>
    <t>https://dd3ka9h4chfr8.cloudfront.net/image/725136000567/image_ksgbb6jucl2m1cqkebic17nr5b/-FJPG/IMYA-002_SID_1.jpg</t>
  </si>
  <si>
    <t>https://dd3ka9h4chfr8.cloudfront.net/image/725136000567/image_qv6dao0rod4tlc30g4omvp6n18/-FJPG/IMYA-002_DET_2.jpg</t>
  </si>
  <si>
    <t>https://dd3ka9h4chfr8.cloudfront.net/image/725136000567/image_oh74madf1h1hlbrknbc1sugo67/-FJPG/IMYA-002_DET_1.jpg</t>
  </si>
  <si>
    <t>https://dd3ka9h4chfr8.cloudfront.net/image/725136000567/image_jr265u5r914k9br0r7fe08ij5d/-FJPG/IMYA-002_DET_3.jpg</t>
  </si>
  <si>
    <t>https://dd3ka9h4chfr8.cloudfront.net/image/725136000567/image_nuiffmhe616l57jppsl7pnia62/-FJPG/IMYA-002_OPN_1.jpg</t>
  </si>
  <si>
    <t>https://dd3ka9h4chfr8.cloudfront.net/image/725136000567/image_telcam3kr55jtdrlbfqom0tb29/-FJPG/IMYA-002_DET_5.jpg</t>
  </si>
  <si>
    <t>https://dd3ka9h4chfr8.cloudfront.net/image/725136000567/image_dbv7nc48hp34h1h4l7r8l4ci10/-FJPG/IMYA-002_ROM_1.jpg</t>
  </si>
  <si>
    <t>https://dd3ka9h4chfr8.cloudfront.net/image/725136000567/image_fm28sabqjl1j1drmtqh5vq6v65/-FJPG/IMYA-002_ROM_2.jpg</t>
  </si>
  <si>
    <t>Conrad Sofa - Cigar</t>
  </si>
  <si>
    <t>https://dd3ka9h4chfr8.cloudfront.net/image/725136000567/image_3ao3mub7n949l9q3245o4i5350/-S150x150-FJPG/CCAR-36_PRM_1.jpg</t>
  </si>
  <si>
    <t>https://dd3ka9h4chfr8.cloudfront.net/image/725136000567/image_3ao3mub7n949l9q3245o4i5350/-FJPG/CCAR-36_PRM_1.jpg</t>
  </si>
  <si>
    <t>https://dd3ka9h4chfr8.cloudfront.net/image/725136000567/image_k0e825s8v51t5b3554djj6rm1l/-FJPG/CCAR-36_SID_1.jpg</t>
  </si>
  <si>
    <t>https://dd3ka9h4chfr8.cloudfront.net/image/725136000567/image_u0kpj43qj97hn7r12mrut59m1g/-FJPG/CCAR-36_DET_2.jpg</t>
  </si>
  <si>
    <t>https://dd3ka9h4chfr8.cloudfront.net/image/725136000567/image_05er1rv6p93653bik2ee2uje17/-FJPG/CCAR-36_BCK_1.jpg</t>
  </si>
  <si>
    <t>https://dd3ka9h4chfr8.cloudfront.net/image/725136000567/image_83ev9pfv750kpcsv7cvcj6562q/-FJPG/CCAR-36_DET_1.jpg</t>
  </si>
  <si>
    <t>https://dd3ka9h4chfr8.cloudfront.net/image/725136000567/image_4umitua3l53tn0om3nl8vhki4p/-FJPG/CCAR-36_DET_3.jpg</t>
  </si>
  <si>
    <t>Conrad Sofa - Rider Black</t>
  </si>
  <si>
    <t>https://dd3ka9h4chfr8.cloudfront.net/image/725136000567/image_j1l932ue0956rdm04h2pa4hv6i/-S150x150-FJPG/CCAR-36-OSB_PRM_1.jpg</t>
  </si>
  <si>
    <t>https://dd3ka9h4chfr8.cloudfront.net/image/725136000567/image_j1l932ue0956rdm04h2pa4hv6i/-FJPG/CCAR-36-OSB_PRM_1.jpg</t>
  </si>
  <si>
    <t>https://dd3ka9h4chfr8.cloudfront.net/image/725136000567/image_dkmdrpiqpt777053ioh1stdv3s/-FJPG/CCAR-36-OSB_SID_1.jpg</t>
  </si>
  <si>
    <t>https://dd3ka9h4chfr8.cloudfront.net/image/725136000567/image_sk61m8t17t6j34r2rn5vtl4f6g/-FJPG/CCAR-36-OSB_DET_2.jpg</t>
  </si>
  <si>
    <t>https://dd3ka9h4chfr8.cloudfront.net/image/725136000567/image_8gn5gsbvot79t003posri4ru3j/-FJPG/CCAR-36-OSB_BCK_1.jpg</t>
  </si>
  <si>
    <t>https://dd3ka9h4chfr8.cloudfront.net/image/725136000567/image_ln68llrt2h39p9iv934ibmse7k/-FJPG/CCAR-36-OSB_DET_1.jpg</t>
  </si>
  <si>
    <t>https://dd3ka9h4chfr8.cloudfront.net/image/725136000567/image_a75oghi44549faop4ujqifro5c/-FJPG/CCAR-36-OSB_DET_3.jpg</t>
  </si>
  <si>
    <t>Contessa Console Table - Smoked Alder</t>
  </si>
  <si>
    <t>Solid Alder</t>
  </si>
  <si>
    <t>https://dd3ka9h4chfr8.cloudfront.net/image/725136000567/image_5amcpk4tq14jh07oues62bsb18/-S150x150-FJPG/247376-001_PRM_1.jpg</t>
  </si>
  <si>
    <t>https://dd3ka9h4chfr8.cloudfront.net/image/725136000567/image_5amcpk4tq14jh07oues62bsb18/-FJPG/247376-001_PRM_1.jpg</t>
  </si>
  <si>
    <t>https://dd3ka9h4chfr8.cloudfront.net/image/725136000567/image_0uc9nhopul4cvdg62151iqha6v/-FJPG/247376-001_SID_1.jpg</t>
  </si>
  <si>
    <t>https://dd3ka9h4chfr8.cloudfront.net/image/725136000567/image_bqhuehserh4kp4kn84t7fp0g7c/-FJPG/247376-001_ESS.tif</t>
  </si>
  <si>
    <t>https://dd3ka9h4chfr8.cloudfront.net/image/725136000567/image_5m9egnp3jh4lr1ubsg05vopo7n/-FJPG/247376-001_DET_2.jpg</t>
  </si>
  <si>
    <t>https://dd3ka9h4chfr8.cloudfront.net/image/725136000567/image_i37d1agusl52p2t1obfudr983p/-FJPG/247376-001_BCK_1.jpg</t>
  </si>
  <si>
    <t>https://dd3ka9h4chfr8.cloudfront.net/image/725136000567/image_48pbp7qo3l0kd1v4apf7651q61/-FJPG/247376-001_DET_1.jpg</t>
  </si>
  <si>
    <t>https://dd3ka9h4chfr8.cloudfront.net/image/725136000567/image_5tfsjj2g6t2j576p18msvl5l6q/-FJPG/247376-001_DET_3.jpg</t>
  </si>
  <si>
    <t>https://dd3ka9h4chfr8.cloudfront.net/image/725136000567/image_enne11h3pd41h0naj5i9kage42/-FJPG/247376-001_DET_4.jpg</t>
  </si>
  <si>
    <t>https://dd3ka9h4chfr8.cloudfront.net/image/725136000567/image_d4cogjbrdp1kpebgt0bpri5r0i/-FJPG/247376-001_DET_5.jpg</t>
  </si>
  <si>
    <t>https://dd3ka9h4chfr8.cloudfront.net/image/725136000567/image_s9lpic2chl0o9a76fuvm8f9i3d/-FJPG/247376-001_DET_6.jpg</t>
  </si>
  <si>
    <t>https://dd3ka9h4chfr8.cloudfront.net/image/725136000567/image_olmplmn6qh5rp22ckqmauffn4u/-FJPG/247376-001_DET_7.jpg</t>
  </si>
  <si>
    <t>https://dd3ka9h4chfr8.cloudfront.net/image/725136000567/image_impeqbl7gp41p8s431g1lpne7k/-FJPG/247376-001_DET_8.jpg</t>
  </si>
  <si>
    <t>https://dd3ka9h4chfr8.cloudfront.net/image/725136000567/image_ieu959i4hd2v18si1n7cl5ha48/-FJPG/247376-001_DET_9.tif</t>
  </si>
  <si>
    <t>https://dd3ka9h4chfr8.cloudfront.net/image/725136000567/image_87c67t246d7dhbr931cm80bk6v/-FJPG/247376-001_PRM_2.jpg</t>
  </si>
  <si>
    <t>Copeland Chair - Orly Natural</t>
  </si>
  <si>
    <t>https://dd3ka9h4chfr8.cloudfront.net/image/725136000567/image_qmmm39ns8d1ej8md8nttvt3t1u/-S150x150-FJPG/CABT-10849-092_PRM_1.jpg</t>
  </si>
  <si>
    <t>https://dd3ka9h4chfr8.cloudfront.net/image/725136000567/image_qmmm39ns8d1ej8md8nttvt3t1u/-FJPG/CABT-10849-092_PRM_1.jpg</t>
  </si>
  <si>
    <t>https://dd3ka9h4chfr8.cloudfront.net/image/725136000567/image_vmsjjnke4d1tj80au7d3pfjs64/-FJPG/CABT-10849-092_SID_1.jpg</t>
  </si>
  <si>
    <t>https://dd3ka9h4chfr8.cloudfront.net/image/725136000567/image_6kvr00rhgl1if8k7qplkbpbc64/-FJPG/CABT-10849-092_DET_2.jpg</t>
  </si>
  <si>
    <t>https://dd3ka9h4chfr8.cloudfront.net/image/725136000567/image_orrfjtm5rd3pbab00g0jen057r/-FJPG/CABT-10849-092_BCK_1.jpg</t>
  </si>
  <si>
    <t>https://dd3ka9h4chfr8.cloudfront.net/image/725136000567/image_564t1f54ap2p775ff86bftoi5k/-FJPG/CABT-10849-092_DET_1.jpg</t>
  </si>
  <si>
    <t>https://dd3ka9h4chfr8.cloudfront.net/image/725136000567/image_38pip9a8a108te7kg5d1sg5p2m/-FJPG/CABT-10849-092_DET_3.jpg</t>
  </si>
  <si>
    <t>https://dd3ka9h4chfr8.cloudfront.net/image/725136000567/image_ldmd72kifl19f1eahiod1c3d3a/-FJPG/CABT-10849-092_DET_4.jpg</t>
  </si>
  <si>
    <t>https://dd3ka9h4chfr8.cloudfront.net/image/725136000567/image_3vehrrqopl1bda6sl77bsfro2d/-FJPG/CABT-10849-092_DET_5.jpg</t>
  </si>
  <si>
    <t>https://dd3ka9h4chfr8.cloudfront.net/image/725136000567/image_nlk99c2j0161dc2piag3t3k73c/-FJPG/CABT-10849-092_ROM_1.jpg</t>
  </si>
  <si>
    <t>Copeland Chair - Thames Cream</t>
  </si>
  <si>
    <t>https://dd3ka9h4chfr8.cloudfront.net/image/725136000567/image_i8vh17l9kd6jdef1s99qpfv47g/-S150x150-FJPG/105570-005_PRM_1.JPG</t>
  </si>
  <si>
    <t>https://dd3ka9h4chfr8.cloudfront.net/image/725136000567/image_i8vh17l9kd6jdef1s99qpfv47g/-FJPG/105570-005_PRM_1.JPG</t>
  </si>
  <si>
    <t>https://dd3ka9h4chfr8.cloudfront.net/image/725136000567/image_3h8ruq6c995uf2cmj1uf1qgn4j/-FJPG/105570-005_SID_1.JPG</t>
  </si>
  <si>
    <t>https://dd3ka9h4chfr8.cloudfront.net/image/725136000567/image_not0kjfgmd21dfd26tr70l9p6q/-FJPG/105570-005_ESS_1.jpg</t>
  </si>
  <si>
    <t>https://dd3ka9h4chfr8.cloudfront.net/image/725136000567/image_32809f3m6d10b8ncke6q5i0p2g/-FJPG/105570-005_DET_2.JPG</t>
  </si>
  <si>
    <t>https://dd3ka9h4chfr8.cloudfront.net/image/725136000567/image_rp19ddv9uh1u97fule1pp7ue61/-FJPG/105570-005_BCK_1.JPG</t>
  </si>
  <si>
    <t>https://dd3ka9h4chfr8.cloudfront.net/image/725136000567/image_nposm08d1t31j0lrvjhokee53t/-FJPG/105570-005_DET_1.JPG</t>
  </si>
  <si>
    <t>https://dd3ka9h4chfr8.cloudfront.net/image/725136000567/image_7lskkrg1o11ed85ji769jeb11d/-FJPG/105570-005_DET_3.JPG</t>
  </si>
  <si>
    <t>Cora Chair - Conroe Cigar</t>
  </si>
  <si>
    <t>https://dd3ka9h4chfr8.cloudfront.net/image/725136000567/image_1u4mujlgjt507bnhm479h86q7b/-S150x150-FJPG/239249-001_PRM_1.jpg</t>
  </si>
  <si>
    <t>https://dd3ka9h4chfr8.cloudfront.net/image/725136000567/image_1u4mujlgjt507bnhm479h86q7b/-FJPG/239249-001_PRM_1.jpg</t>
  </si>
  <si>
    <t>https://dd3ka9h4chfr8.cloudfront.net/image/725136000567/image_533uj5vbc56rpb4cvl2rt0cd4q/-FJPG/239249-001_SID_1.jpg</t>
  </si>
  <si>
    <t>https://dd3ka9h4chfr8.cloudfront.net/image/725136000567/image_d8ohoehc753v72g0jtk1mnsi7p/-FJPG/239249-001_ESS.tif</t>
  </si>
  <si>
    <t>https://dd3ka9h4chfr8.cloudfront.net/image/725136000567/image_cokvb5pp8d3ldc0krdl6455h23/-FJPG/239249-001_DET_2.jpg</t>
  </si>
  <si>
    <t>https://dd3ka9h4chfr8.cloudfront.net/image/725136000567/image_abdffe6a4p2vl7cpoi6ib83n5k/-FJPG/239249-001_BCK_1.jpg</t>
  </si>
  <si>
    <t>https://dd3ka9h4chfr8.cloudfront.net/image/725136000567/image_jgvh94s6m93pr1i7rrqf9dts2n/-FJPG/239249-001_DET_1.jpg</t>
  </si>
  <si>
    <t>https://dd3ka9h4chfr8.cloudfront.net/image/725136000567/image_4hmtkup9m13f1akvt0k8anm666/-FJPG/239249-001_DET_3.jpg</t>
  </si>
  <si>
    <t>https://dd3ka9h4chfr8.cloudfront.net/image/725136000567/image_fr9h1nc6ql4unfpmmhmmj7lp6t/-FJPG/239249-001_DET_4.jpg</t>
  </si>
  <si>
    <t>https://dd3ka9h4chfr8.cloudfront.net/image/725136000567/image_k4po3htbc11od3n0dgjut2e35t/-FJPG/239249-001_DET_5.jpg</t>
  </si>
  <si>
    <t>https://dd3ka9h4chfr8.cloudfront.net/image/725136000567/image_goj897j9294el2nlvu05f93b4u/-FJPG/239249-001_DET_6.jpg</t>
  </si>
  <si>
    <t>Cora Chair - Hasselt Taupe</t>
  </si>
  <si>
    <t>51% Linen</t>
  </si>
  <si>
    <t>49% Wool-Stonewash</t>
  </si>
  <si>
    <t>https://dd3ka9h4chfr8.cloudfront.net/image/725136000567/image_p4m0pf2q3h3jd65dohu3nv5v6k/-S150x150-FJPG/239249-002_PRM_1.JPG</t>
  </si>
  <si>
    <t>https://dd3ka9h4chfr8.cloudfront.net/image/725136000567/image_p4m0pf2q3h3jd65dohu3nv5v6k/-FJPG/239249-002_PRM_1.JPG</t>
  </si>
  <si>
    <t>https://dd3ka9h4chfr8.cloudfront.net/image/725136000567/image_p822sld2bt69b7k1e5e6q0gq4g/-FJPG/239249-002_SID_1.JPG</t>
  </si>
  <si>
    <t>https://dd3ka9h4chfr8.cloudfront.net/image/725136000567/image_r3r7bka1dp5g1c19jm6co9hv25/-FJPG/239249-002_ESS.tif</t>
  </si>
  <si>
    <t>https://dd3ka9h4chfr8.cloudfront.net/image/725136000567/image_p3jcdsrbv55975hj9ejf7n5q72/-FJPG/239249-002_DET_2.JPG</t>
  </si>
  <si>
    <t>https://dd3ka9h4chfr8.cloudfront.net/image/725136000567/image_m8ipgt81rp1058nl5lgkgq0f5m/-FJPG/239249-002_BCK_1.JPG</t>
  </si>
  <si>
    <t>https://dd3ka9h4chfr8.cloudfront.net/image/725136000567/image_4pca3kcu0t2gpft3i52b8mf52i/-FJPG/239249-002_DET_1.JPG</t>
  </si>
  <si>
    <t>https://dd3ka9h4chfr8.cloudfront.net/image/725136000567/image_kq3cpqvfkh04j3035roer3c92e/-FJPG/239249-002_DET_3.JPG</t>
  </si>
  <si>
    <t>https://dd3ka9h4chfr8.cloudfront.net/image/725136000567/image_90fnjavakh1hh5qgdgjffqha5c/-FJPG/239249-002_DET_4.JPG</t>
  </si>
  <si>
    <t>https://dd3ka9h4chfr8.cloudfront.net/image/725136000567/image_s9necvv70p101bfq1g7e6un44t/-FJPG/239249-002_DET_5.JPG</t>
  </si>
  <si>
    <t>https://dd3ka9h4chfr8.cloudfront.net/image/725136000567/image_je2142obel7rpasd1743veco3u/-FJPG/239249-002_DET_6.JPG</t>
  </si>
  <si>
    <t>Cora Nesting End Tables - Textured Sandy Grey</t>
  </si>
  <si>
    <t>Solid Concrete</t>
  </si>
  <si>
    <t>https://dd3ka9h4chfr8.cloudfront.net/image/725136000567/image_duj21cevad71j0tn0l5et39j1l/-S150x150-FJPG/248340-001_PRM_1.jpg</t>
  </si>
  <si>
    <t>https://dd3ka9h4chfr8.cloudfront.net/image/725136000567/image_duj21cevad71j0tn0l5et39j1l/-FJPG/248340-001_PRM_1.jpg</t>
  </si>
  <si>
    <t>https://dd3ka9h4chfr8.cloudfront.net/image/725136000567/image_khrrn7ecbd6nvadfj4k9n9611r/-FJPG/248340-001_SID_1.jpg</t>
  </si>
  <si>
    <t>https://dd3ka9h4chfr8.cloudfront.net/image/725136000567/image_dqpq89hf652in1knefcs677q2f/-FJPG/248340-001_ESS.tif</t>
  </si>
  <si>
    <t>https://dd3ka9h4chfr8.cloudfront.net/image/725136000567/image_e4p547jsl145j1dmlt8lbmvn6h/-FJPG/248340-001_DET_2.jpg</t>
  </si>
  <si>
    <t>https://dd3ka9h4chfr8.cloudfront.net/image/725136000567/image_n5vgaeumjd5p3f9kbr6qoloi4n/-FJPG/248340-001_DET_1.jpg</t>
  </si>
  <si>
    <t>https://dd3ka9h4chfr8.cloudfront.net/image/725136000567/image_sdgnnkmu8t603bagrjbvcqp049/-FJPG/248340-001_DET_3.jpg</t>
  </si>
  <si>
    <t>https://dd3ka9h4chfr8.cloudfront.net/image/725136000567/image_70t1mqlfg96kl0v7ogehnhfi4j/-FJPG/248340-001_TOP_1.jpg</t>
  </si>
  <si>
    <t>https://dd3ka9h4chfr8.cloudfront.net/image/725136000567/image_pui0mnofuh6r30enc5kd2gic3k/-FJPG/248340-001_DET_4.jpg</t>
  </si>
  <si>
    <t>https://dd3ka9h4chfr8.cloudfront.net/image/725136000567/image_h2a7olnjgl1gnek09jcbg1r83f/-FJPG/248340-001_DET_5.jpg</t>
  </si>
  <si>
    <t>Corbett Coffee Table - Creamy Taupe Marble</t>
  </si>
  <si>
    <t>Aluminum</t>
  </si>
  <si>
    <t>https://dd3ka9h4chfr8.cloudfront.net/image/725136000567/image_46h29onf0p1hl0at7vbfbo9c73/-S150x150-FJPG/224138-001_PRM_1.jpg</t>
  </si>
  <si>
    <t>https://dd3ka9h4chfr8.cloudfront.net/image/725136000567/image_mpqraq8osp5rf37auqhec0hh1m/-FJPG/224138-001_DET_2.jpg</t>
  </si>
  <si>
    <t>https://dd3ka9h4chfr8.cloudfront.net/image/725136000567/image_qbunhuq4513490a1rh5u72en74/-FJPG/224138-001_INF_1.png</t>
  </si>
  <si>
    <t>https://dd3ka9h4chfr8.cloudfront.net/image/725136000567/image_ajp25bilf13e1aelriu4kloa0f/-FJPG/224138-001_DET_3.jpg</t>
  </si>
  <si>
    <t>https://dd3ka9h4chfr8.cloudfront.net/image/725136000567/image_mh9s4ihtd137hd8gpn2bqodo3p/-FJPG/224138-001_DET_4.jpg</t>
  </si>
  <si>
    <t>https://dd3ka9h4chfr8.cloudfront.net/image/725136000567/image_dlvskis3c57jjb96envs7eh842/-FJPG/224138-001_DET_5.jpg</t>
  </si>
  <si>
    <t>https://dd3ka9h4chfr8.cloudfront.net/image/725136000567/image_lc6krl2p7h6df2r196o47ooq5j/-FJPG/224138-001_ROM_1.jpg</t>
  </si>
  <si>
    <t>https://dd3ka9h4chfr8.cloudfront.net/image/725136000567/image_qcaima5o0d6ihb690ec0t59m79/-FJPG/224138-001_VIG_2.jpg</t>
  </si>
  <si>
    <t>https://dd3ka9h4chfr8.cloudfront.net/image/725136000567/image_bhuf669qht4kf99glu4md0583r/-FJPG/224138-001_ESS_3.jpg</t>
  </si>
  <si>
    <t>https://dd3ka9h4chfr8.cloudfront.net/image/725136000567/image_jnh8cqnhu154n3roq7k1l1m82q/-FJPG/224138-001_VIG_4.jpg</t>
  </si>
  <si>
    <t>https://dd3ka9h4chfr8.cloudfront.net/image/725136000567/image_iksdu655gt2chfmio761b57l40/-S150x150-FJPG/224138-002_PRM_1.jpg</t>
  </si>
  <si>
    <t>https://dd3ka9h4chfr8.cloudfront.net/image/725136000567/image_l9gh8sbva965l49t9scme2ho40/-FJPG/224138-002_ESS_1.jpg</t>
  </si>
  <si>
    <t>https://dd3ka9h4chfr8.cloudfront.net/image/725136000567/image_jbjgn4ch1l3ft9s5eet9ok0e6u/-FJPG/224138-002_DET_2.jpg</t>
  </si>
  <si>
    <t>https://dd3ka9h4chfr8.cloudfront.net/image/725136000567/image_rgouk1tbmd6bndof5sooo6fc7r/-FJPG/224138-002_DET_1.jpg</t>
  </si>
  <si>
    <t>https://dd3ka9h4chfr8.cloudfront.net/image/725136000567/image_sqg1holiuh6h34s2m1h17kbd42/-FJPG/224138-002_DET_3.jpg</t>
  </si>
  <si>
    <t>https://dd3ka9h4chfr8.cloudfront.net/image/725136000567/image_k0ga35popp1qfd4vv2rtgojn5p/-FJPG/224138-002_DET_4.jpg</t>
  </si>
  <si>
    <t>https://dd3ka9h4chfr8.cloudfront.net/image/725136000567/image_q011fnfo2d03nfk0bkqb54301h/-FJPG/224138-002_DET_5.jpg</t>
  </si>
  <si>
    <t>https://dd3ka9h4chfr8.cloudfront.net/image/725136000567/image_29jdc228n54fpfq3vcuipktj37/-FJPG/224138-002_DET_6.jpg</t>
  </si>
  <si>
    <t>Corbett Coffee Table - Polished Black Marble</t>
  </si>
  <si>
    <t>https://dd3ka9h4chfr8.cloudfront.net/image/725136000567/image_pdgb8bh6ap4m59vu8fv163b86p/-S150x150-FJPG/224138-005_PRM_1.jpg</t>
  </si>
  <si>
    <t>https://dd3ka9h4chfr8.cloudfront.net/image/725136000567/image_pdgb8bh6ap4m59vu8fv163b86p/-FJPG/224138-005_PRM_1.jpg</t>
  </si>
  <si>
    <t>https://dd3ka9h4chfr8.cloudfront.net/image/725136000567/image_03bl8hvpq165rb5u4pm8dka10n/-FJPG/224138-005_SID_1.jpg</t>
  </si>
  <si>
    <t>https://dd3ka9h4chfr8.cloudfront.net/image/725136000567/image_mn3cfqiu0p4nvf1qj99lf1jj23/-FJPG/224138-005_DET_2.jpg</t>
  </si>
  <si>
    <t>https://dd3ka9h4chfr8.cloudfront.net/image/725136000567/image_r42l45d52p4nr6olkc3bju7l79/-FJPG/224138-005_DET_1.jpg</t>
  </si>
  <si>
    <t>https://dd3ka9h4chfr8.cloudfront.net/image/725136000567/image_34bi4lgjeh3bt2atctkqpe666v/-FJPG/224138-005_DET_3.jpg</t>
  </si>
  <si>
    <t>https://dd3ka9h4chfr8.cloudfront.net/image/725136000567/image_rsl5o4nqj17nt84bck1ej79d0f/-FJPG/224138-005_TOP_1.jpg</t>
  </si>
  <si>
    <t>https://dd3ka9h4chfr8.cloudfront.net/image/725136000567/image_6dcs9uo2313r3asp0kejegcl02/-FJPG/224138-005_DET_4.jpg</t>
  </si>
  <si>
    <t>Corbett Coffee Table - River Grey Marble</t>
  </si>
  <si>
    <t>https://dd3ka9h4chfr8.cloudfront.net/image/725136000567/image_jghp3id8p16ut7amavms19j75v/-S150x150-FJPG/224138-003_PRM_1.jpg</t>
  </si>
  <si>
    <t>https://dd3ka9h4chfr8.cloudfront.net/image/725136000567/image_oi4qu75da97tn8kp7oatgpbg6k/-FJPG/224138-003_ESS_1.jpg</t>
  </si>
  <si>
    <t>https://dd3ka9h4chfr8.cloudfront.net/image/725136000567/image_nr08269nqd4lr49svmablrh859/-FJPG/224138-003_DET_2.jpg</t>
  </si>
  <si>
    <t>https://dd3ka9h4chfr8.cloudfront.net/image/725136000567/image_mta929gj553mn13shqas90i874/-FJPG/224138-003_INF_1.jpg</t>
  </si>
  <si>
    <t>https://dd3ka9h4chfr8.cloudfront.net/image/725136000567/image_hb0gjpbci57b96g20k5vbakk3r/-FJPG/224138-003_DET_1.jpg</t>
  </si>
  <si>
    <t>https://dd3ka9h4chfr8.cloudfront.net/image/725136000567/image_nvm99spd516fr38qslt7b22f5o/-FJPG/224138-003_DET_3.jpg</t>
  </si>
  <si>
    <t>https://dd3ka9h4chfr8.cloudfront.net/image/725136000567/image_b9fmvgd7l52tde585gd76fkd3o/-FJPG/224138-003_DET_4.jpg</t>
  </si>
  <si>
    <t>https://dd3ka9h4chfr8.cloudfront.net/image/725136000567/image_sb09imhl1h6o5f82q99l3mk506/-FJPG/224138-003_DET_5.jpg</t>
  </si>
  <si>
    <t>Corbett Large Coffee Table - Creamy Taupe Marble</t>
  </si>
  <si>
    <t>https://dd3ka9h4chfr8.cloudfront.net/image/725136000567/image_bq6p2fg6ed7al8fhpgb3f6nc66/-S150x150-FJPG/236723-001_PRM_1.jpg</t>
  </si>
  <si>
    <t>https://dd3ka9h4chfr8.cloudfront.net/image/725136000567/image_g5339i4unl5pdd3jt6fj09hv00/-FJPG/236723-001_ESS_1.jpg</t>
  </si>
  <si>
    <t>https://dd3ka9h4chfr8.cloudfront.net/image/725136000567/image_d4pr091g3t1ghbd7lnlvedje79/-FJPG/236723-001_DET_2.jpg</t>
  </si>
  <si>
    <t>https://dd3ka9h4chfr8.cloudfront.net/image/725136000567/image_5lqdti36ct7sl6mci3nd79jg75/-FJPG/236723-001_INF_1.png</t>
  </si>
  <si>
    <t>https://dd3ka9h4chfr8.cloudfront.net/image/725136000567/image_pv9jbjkntt77f5bjf0v15vhk57/-FJPG/236723-001_DET_1.jpg</t>
  </si>
  <si>
    <t>https://dd3ka9h4chfr8.cloudfront.net/image/725136000567/image_69pnkh72tl09v99l25evv42r18/-FJPG/236723-001_DET_3.jpg</t>
  </si>
  <si>
    <t>https://dd3ka9h4chfr8.cloudfront.net/image/725136000567/image_mbptm5l9n11653ni73dt41d431/-FJPG/236723-001_DET_4.jpg</t>
  </si>
  <si>
    <t>Corin End Table - Bluestone</t>
  </si>
  <si>
    <t>Solid Bluestone</t>
  </si>
  <si>
    <t>https://dd3ka9h4chfr8.cloudfront.net/image/725136000567/image_1b41no5n1l4rp9acs96d0s7o4c/-S150x150-FJPG/CIMP-181_PRM_1.jpg</t>
  </si>
  <si>
    <t>https://dd3ka9h4chfr8.cloudfront.net/image/725136000567/image_13teban9tl2q10auksjgdosi2q/-FJPG/CIMP-181_BCK_1.jpg</t>
  </si>
  <si>
    <t>https://dd3ka9h4chfr8.cloudfront.net/image/725136000567/image_a1ruhe3pm1185eb8g5bq2rnj6f/-FJPG/CIMP-181_INF_1.jpg</t>
  </si>
  <si>
    <t>https://dd3ka9h4chfr8.cloudfront.net/image/725136000567/image_9t88j4uo6l5clftocdu3gscg2m/-FJPG/CIMP-181_DET_1.jpg</t>
  </si>
  <si>
    <t>https://dd3ka9h4chfr8.cloudfront.net/image/725136000567/image_he6pvoe6nt2td1ohvdci6pqs2n/-FJPG/CIMP-181_DET_6.jpg</t>
  </si>
  <si>
    <t>https://dd3ka9h4chfr8.cloudfront.net/image/725136000567/image_9alssruv294p3d9ln34v5l2777/-FJPG/CIMP-181_ROM_1.jpg</t>
  </si>
  <si>
    <t>https://dd3ka9h4chfr8.cloudfront.net/image/725136000567/image_267gr30rgh5mndl4av89dk7p4e/-FJPG/CIMP-181_ROM_2.jpg</t>
  </si>
  <si>
    <t>Cristopher Sideboard - Rubbed Light Oak Veneer</t>
  </si>
  <si>
    <t>https://dd3ka9h4chfr8.cloudfront.net/image/725136000567/image_dp1ouesh3l73l4omre0uoruf6s/-S150x150-FJPG/237543-001_PRM_1.jpg</t>
  </si>
  <si>
    <t>https://dd3ka9h4chfr8.cloudfront.net/image/725136000567/image_dp1ouesh3l73l4omre0uoruf6s/-FJPG/237543-001_PRM_1.jpg</t>
  </si>
  <si>
    <t>https://dd3ka9h4chfr8.cloudfront.net/image/725136000567/image_a40b3qn8bl6g7cicta4cei5933/-FJPG/237543-001_SID_1.jpg</t>
  </si>
  <si>
    <t>https://dd3ka9h4chfr8.cloudfront.net/image/725136000567/image_bqtdb2h3op50j163fm331a265d/-FJPG/237543-001_ESS.tif</t>
  </si>
  <si>
    <t>https://dd3ka9h4chfr8.cloudfront.net/image/725136000567/image_1jnsj1v0hp6nna6mtrtpl1kg0e/-FJPG/237543-001_DET_2.jpg</t>
  </si>
  <si>
    <t>https://dd3ka9h4chfr8.cloudfront.net/image/725136000567/image_fhcphd9ej51kh6o81tbt2ibt1r/-FJPG/237543-001_BCK_1.jpg</t>
  </si>
  <si>
    <t>https://dd3ka9h4chfr8.cloudfront.net/image/725136000567/image_0q02ac7to1765ecm39a2kv0e6i/-FJPG/237543-001_DET_1.jpg</t>
  </si>
  <si>
    <t>https://dd3ka9h4chfr8.cloudfront.net/image/725136000567/image_vo2mnv5m417ldcog71crmput5g/-FJPG/237543-001_DET_3.jpg</t>
  </si>
  <si>
    <t>https://dd3ka9h4chfr8.cloudfront.net/image/725136000567/image_52293bc2q15urd16i9lt1dqj3j/-FJPG/237543-001_OPN_1.jpg</t>
  </si>
  <si>
    <t>https://dd3ka9h4chfr8.cloudfront.net/image/725136000567/image_c5rkpfo89l7rd8716nsta4na20/-FJPG/237543-001_DET_4.jpg</t>
  </si>
  <si>
    <t>https://dd3ka9h4chfr8.cloudfront.net/image/725136000567/image_01g4ga5rhd45rfetjta9e4qr5c/-FJPG/237543-001_DET_5.jpg</t>
  </si>
  <si>
    <t>https://dd3ka9h4chfr8.cloudfront.net/image/725136000567/image_tevnin82kl0kfe859bt4vda52a/-FJPG/237543-001_DET_6.jpg</t>
  </si>
  <si>
    <t>https://dd3ka9h4chfr8.cloudfront.net/image/725136000567/image_erqu8kpbrp3gfa3co350ddpo5b/-FJPG/237543-001_DET_7.jpg</t>
  </si>
  <si>
    <t>Crosby Round Coffee Table - Natural Peroba</t>
  </si>
  <si>
    <t>Reclaimed  Resawn Peroba Veneer</t>
  </si>
  <si>
    <t>Solid Acacia</t>
  </si>
  <si>
    <t>Faux Shagreen</t>
  </si>
  <si>
    <t>https://dd3ka9h4chfr8.cloudfront.net/image/725136000567/image_ptib30iant01t7bancj22e4227/-S150x150-FJPG/VBNA-CT998_PRM_1.jpg</t>
  </si>
  <si>
    <t>https://dd3ka9h4chfr8.cloudfront.net/image/725136000567/image_p04m19a27t397fh5k7mvhctp4d/-FJPG/VBNA-CT998_DET_2.jpg</t>
  </si>
  <si>
    <t>https://dd3ka9h4chfr8.cloudfront.net/image/725136000567/image_bcr51vpfcd2vfedd2945t1n37a/-FJPG/VBNA-CT998_DET_1.jpg</t>
  </si>
  <si>
    <t>https://dd3ka9h4chfr8.cloudfront.net/image/725136000567/image_m5bll7h3ml7op8qj0l1v3ahm3h/-FJPG/VBNA-CT998_DET_3.jpg</t>
  </si>
  <si>
    <t>https://dd3ka9h4chfr8.cloudfront.net/image/725136000567/image_epql96n5ph29h614ofddvbd55h/-FJPG/VBNA-CT998_TOP_1.jpg</t>
  </si>
  <si>
    <t>https://dd3ka9h4chfr8.cloudfront.net/image/725136000567/image_lckonogkf94kv3p9obgi4lnh3e/-FJPG/VBNA-CT998_DET_4.jpg</t>
  </si>
  <si>
    <t>https://dd3ka9h4chfr8.cloudfront.net/image/725136000567/image_9deak4c6qh3gr9ip3a0s31nt25/-FJPG/VBNA-CT998_DET_5.jpg</t>
  </si>
  <si>
    <t>https://dd3ka9h4chfr8.cloudfront.net/image/725136000567/image_d0shlj8qp113vbl6lrhs7b010k/-FJPG/VBNA-CT998_ROM_1.jpg</t>
  </si>
  <si>
    <t>Crosby Side Table - Natural Peroba</t>
  </si>
  <si>
    <t>https://dd3ka9h4chfr8.cloudfront.net/image/725136000567/image_nmc33iujvl1v71ll7kft4nc63j/-S150x150-FJPG/VBNA-ST267_PRM_1.jpg</t>
  </si>
  <si>
    <t>https://dd3ka9h4chfr8.cloudfront.net/image/725136000567/image_nmc33iujvl1v71ll7kft4nc63j/-FJPG/VBNA-ST267_PRM_1.jpg</t>
  </si>
  <si>
    <t>https://dd3ka9h4chfr8.cloudfront.net/image/725136000567/image_irrn9has150pj68f0ecv27t236/-FJPG/VBNA-ST267_DET_2.jpg</t>
  </si>
  <si>
    <t>https://dd3ka9h4chfr8.cloudfront.net/image/725136000567/image_9n3itfgnmp7cv4kedph2m1v066/-FJPG/VBNA-ST267_DET_1.jpg</t>
  </si>
  <si>
    <t>https://dd3ka9h4chfr8.cloudfront.net/image/725136000567/image_36i5qis9gp12fb9kjn2veuu75s/-FJPG/VBNA-ST267_DET_3.jpg</t>
  </si>
  <si>
    <t>https://dd3ka9h4chfr8.cloudfront.net/image/725136000567/image_8htep6nsdl7ida8h4safgg2d3h/-FJPG/VBNA-ST267_ROM_1.jpg</t>
  </si>
  <si>
    <t>https://dd3ka9h4chfr8.cloudfront.net/image/725136000567/image_51jlhoi0h1391blk5r00bbpe2e/-FJPG/VBNA-ST267_ROM_2.jpg</t>
  </si>
  <si>
    <t>Crosby Side Table - Natural Resawn Oak</t>
  </si>
  <si>
    <t>Resawn Oak Veneer</t>
  </si>
  <si>
    <t>https://dd3ka9h4chfr8.cloudfront.net/image/725136000567/image_qi7f8vgs8l1gp1632774eko326/-S150x150-FJPG/104629-002_PRM_1.jpg</t>
  </si>
  <si>
    <t>https://dd3ka9h4chfr8.cloudfront.net/image/725136000567/image_n4dbe53kf57hdbdpgvl03kol6u/-FJPG/104629-002_ESS_1.jpg</t>
  </si>
  <si>
    <t>https://dd3ka9h4chfr8.cloudfront.net/image/725136000567/image_bahs2g9sl57dh93p56bbupcd3g/-FJPG/104629-002_DET_2.jpg</t>
  </si>
  <si>
    <t>https://dd3ka9h4chfr8.cloudfront.net/image/725136000567/image_qsgs97jn650mr4qp6jkfdonq0q/-FJPG/104629-002_DET_1.jpg</t>
  </si>
  <si>
    <t>https://dd3ka9h4chfr8.cloudfront.net/image/725136000567/image_c0vgeq2imh4jv7ab5sj7cr5v6s/-FJPG/104629-002_DET_3.jpg</t>
  </si>
  <si>
    <t>Cross Dining Table - Dark Spalted Primavera</t>
  </si>
  <si>
    <t>Thick Primavera Veneer</t>
  </si>
  <si>
    <t>https://dd3ka9h4chfr8.cloudfront.net/image/725136000567/image_ou9btd89gt1jdfoa66ahb2bh3n/-S150x150-FJPG/UWES-116_PRM_1.jpg</t>
  </si>
  <si>
    <t>https://dd3ka9h4chfr8.cloudfront.net/image/725136000567/image_ou9btd89gt1jdfoa66ahb2bh3n/-FJPG/UWES-116_PRM_1.jpg</t>
  </si>
  <si>
    <t>https://dd3ka9h4chfr8.cloudfront.net/image/725136000567/image_22gktm7cl160fanaq5tngri823/-FJPG/UWES-116_SID_1.jpg</t>
  </si>
  <si>
    <t>https://dd3ka9h4chfr8.cloudfront.net/image/725136000567/image_rp9m6os8dt7o5den6scfhf0t1s/-FJPG/UWES-116_DET_2.jpg</t>
  </si>
  <si>
    <t>https://dd3ka9h4chfr8.cloudfront.net/image/725136000567/image_biia4afp7t13l2tin4tu36ka01/-FJPG/UWES-116_DET_1.jpg</t>
  </si>
  <si>
    <t>https://dd3ka9h4chfr8.cloudfront.net/image/725136000567/image_meu6eo1kb158v1lj3hhejie80d/-FJPG/UWES-116_DET_3.jpg</t>
  </si>
  <si>
    <t>https://dd3ka9h4chfr8.cloudfront.net/image/725136000567/image_2p0hmv0dhd0c37e08ekco6n91f/-FJPG/UWES-116_TOP_1.jpg</t>
  </si>
  <si>
    <t>https://dd3ka9h4chfr8.cloudfront.net/image/725136000567/image_utqd2un63h1pt9hgkvcs3sq52u/-FJPG/UWES-116_DET_4.jpg</t>
  </si>
  <si>
    <t>https://dd3ka9h4chfr8.cloudfront.net/image/725136000567/image_k5ru4pa2gl6qvcqutt98cbf31i/-FJPG/UWES-116_DET_5.jpg</t>
  </si>
  <si>
    <t>https://dd3ka9h4chfr8.cloudfront.net/image/725136000567/image_taqoa11jmd3sb1au3gfk0mcd4c/-FJPG/UWES-116_DET_6.jpg</t>
  </si>
  <si>
    <t>https://dd3ka9h4chfr8.cloudfront.net/image/725136000567/image_33q2i0448p6ah0diomumnk6a0k/-FJPG/UWES-116_ROM_1.jpg</t>
  </si>
  <si>
    <t>Cruz End Table - Antique Rust</t>
  </si>
  <si>
    <t>https://dd3ka9h4chfr8.cloudfront.net/image/725136000567/image_053n7mbpgt4ir1g38su0tctg6q/-S150x150-FJPG/106516-003_PRM_1.jpg</t>
  </si>
  <si>
    <t>https://dd3ka9h4chfr8.cloudfront.net/image/725136000567/image_01hlcms4ed7t146e9666fgsj38/-FJPG/106516-003_DET_2.jpg</t>
  </si>
  <si>
    <t>https://dd3ka9h4chfr8.cloudfront.net/image/725136000567/image_nsgvfaq9qh1c37086mislqk259/-FJPG/106516-003_DET_1.jpg</t>
  </si>
  <si>
    <t>https://dd3ka9h4chfr8.cloudfront.net/image/725136000567/image_5nq1hhl4rp769eetcb2e8nbg3b/-FJPG/106516-003_DET_3.jpg</t>
  </si>
  <si>
    <t>https://dd3ka9h4chfr8.cloudfront.net/image/725136000567/image_5g4sd2p8b503t215t8e3i6e52p/-FJPG/106516-003_DET_4.jpg</t>
  </si>
  <si>
    <t>https://dd3ka9h4chfr8.cloudfront.net/image/725136000567/image_bvuu1pig056ut6kc8vu4cdt544/-FJPG/106516-003_ROM_1.jpg</t>
  </si>
  <si>
    <t>https://dd3ka9h4chfr8.cloudfront.net/image/725136000567/image_q7sed0dkad51jd6jpu4dpo457d/-FJPG/106516-003_VIG_1.jpg</t>
  </si>
  <si>
    <t>https://dd3ka9h4chfr8.cloudfront.net/image/725136000567/image_f6to9olk5l4jt6okqnvf74h27q/-FJPG/106516-003_ROM_3.jpg</t>
  </si>
  <si>
    <t>https://dd3ka9h4chfr8.cloudfront.net/image/725136000567/image_cr7oeh7vkd47n9tk9ogagkr078/-FJPG/106516-003_ROM_4.jpg</t>
  </si>
  <si>
    <t>Cybil Sideboard - Dark Walnut</t>
  </si>
  <si>
    <t>https://dd3ka9h4chfr8.cloudfront.net/image/725136000567/image_spgscndblt1v94v22mi3ah996o/-S150x150-FJPG/CIMP-209_PRM_1.jpg</t>
  </si>
  <si>
    <t>https://dd3ka9h4chfr8.cloudfront.net/image/725136000567/image_spgscndblt1v94v22mi3ah996o/-FJPG/CIMP-209_PRM_1.jpg</t>
  </si>
  <si>
    <t>https://dd3ka9h4chfr8.cloudfront.net/image/725136000567/image_fmpq0h2inp1659oa985nen495l/-FJPG/CIMP-209_SID_1.jpg</t>
  </si>
  <si>
    <t>https://dd3ka9h4chfr8.cloudfront.net/image/725136000567/image_oiiu4655494t1a2545e33mq90c/-FJPG/CIMP-209_ESS_1.jpg</t>
  </si>
  <si>
    <t>https://dd3ka9h4chfr8.cloudfront.net/image/725136000567/image_jcjknfsi0106vfb6jie78auf6l/-FJPG/CIMP-209_DET_2.jpg</t>
  </si>
  <si>
    <t>https://dd3ka9h4chfr8.cloudfront.net/image/725136000567/image_l2rumvq5pt4vb06f6u0a2jhr3h/-FJPG/CIMP-209_DET_1.jpg</t>
  </si>
  <si>
    <t>https://dd3ka9h4chfr8.cloudfront.net/image/725136000567/image_cg1au644d10jt5i79bg7khfv1p/-FJPG/CIMP-209_OPN_1.jpg</t>
  </si>
  <si>
    <t>https://dd3ka9h4chfr8.cloudfront.net/image/725136000567/image_chvs710c1h0b9b5joj0po3c054/-FJPG/CIMP-209_ROM_1.jpg</t>
  </si>
  <si>
    <t>https://dd3ka9h4chfr8.cloudfront.net/image/725136000567/image_r0qvns5rtd6g76gu6b143hsa1l/-FJPG/CIMP-209_ROM_2.jpg</t>
  </si>
  <si>
    <t>Dalston Nesting End Table Set - Raw Black</t>
  </si>
  <si>
    <t>https://dd3ka9h4chfr8.cloudfront.net/image/725136000567/image_33tplfh9id7t50d3tnkp5rh67v/-S150x150-FJPG/101650-003_PRM_1.jpg</t>
  </si>
  <si>
    <t>https://dd3ka9h4chfr8.cloudfront.net/image/725136000567/image_kgclbrtna12gbfmij34tbsg222/-FJPG/101650-003_DET_2.jpg</t>
  </si>
  <si>
    <t>https://dd3ka9h4chfr8.cloudfront.net/image/725136000567/image_a3tjhe3o895k7a7kaed88s3e0t/-FJPG/101650-003_DET_1.jpg</t>
  </si>
  <si>
    <t>https://dd3ka9h4chfr8.cloudfront.net/image/725136000567/image_f9p3ifu8452tp45fpoj20tfa0r/-FJPG/101650-003_DET_3.jpg</t>
  </si>
  <si>
    <t>https://dd3ka9h4chfr8.cloudfront.net/image/725136000567/image_c66c8kngfl0gheg7l22mcp941b/-FJPG/101650-003_DET_4.jpg</t>
  </si>
  <si>
    <t>https://dd3ka9h4chfr8.cloudfront.net/image/725136000567/image_tdjnrv1fe965r7shu4pf38ee6g/-FJPG/101650-003_DET_5.jpg</t>
  </si>
  <si>
    <t>https://dd3ka9h4chfr8.cloudfront.net/image/725136000567/image_71076g4v9t6el62e08a3e7t46v/-FJPG/101650-003_DET_6.jpg</t>
  </si>
  <si>
    <t>https://dd3ka9h4chfr8.cloudfront.net/image/725136000567/image_i7olsvfl3p7792eqn4d08o1l09/-FJPG/101650-003_DET_7.jpg</t>
  </si>
  <si>
    <t>Danya Chair - Dakota Warm Taupe</t>
  </si>
  <si>
    <t>https://dd3ka9h4chfr8.cloudfront.net/image/725136000567/image_jbh1hcuo1t3kv2jlfb0pogst2n/-S150x150-FJPG/105938-119_PRM_1.jpg</t>
  </si>
  <si>
    <t>https://dd3ka9h4chfr8.cloudfront.net/image/725136000567/image_jbh1hcuo1t3kv2jlfb0pogst2n/-FJPG/105938-119_PRM_1.jpg</t>
  </si>
  <si>
    <t>https://dd3ka9h4chfr8.cloudfront.net/image/725136000567/image_qksjit4cgt5mp23cg1k5b19e1s/-FJPG/105938-119_SID_1.jpg</t>
  </si>
  <si>
    <t>https://dd3ka9h4chfr8.cloudfront.net/image/725136000567/image_fedjv3j6ap6tl3llvic15lhe6d/-FJPG/105938-119_DET_2.jpg</t>
  </si>
  <si>
    <t>https://dd3ka9h4chfr8.cloudfront.net/image/725136000567/image_kja6cpihc55e37jssduu8gt052/-FJPG/105938-119_BCK_1.jpg</t>
  </si>
  <si>
    <t>https://dd3ka9h4chfr8.cloudfront.net/image/725136000567/image_f43svibh4l74jeckb5mulro558/-FJPG/105938-119_DET_1.jpg</t>
  </si>
  <si>
    <t>https://dd3ka9h4chfr8.cloudfront.net/image/725136000567/image_da1al7ht7p6i1ap7a3kksgrb2n/-FJPG/105938-119_DET_3.jpg</t>
  </si>
  <si>
    <t>https://dd3ka9h4chfr8.cloudfront.net/image/725136000567/image_te8kk5dan9621435cvn8ltoh46/-FJPG/105938-119_DET_4.jpg</t>
  </si>
  <si>
    <t>https://dd3ka9h4chfr8.cloudfront.net/image/725136000567/image_dlsf6uk1el5qvajbjkrarif84p/-FJPG/105938-119_DET_5.jpg</t>
  </si>
  <si>
    <t>https://dd3ka9h4chfr8.cloudfront.net/image/725136000567/image_f4v7r5joc94r32aavpmqbnlj5k/-FJPG/105938-119_DET_6.jpg</t>
  </si>
  <si>
    <t>https://dd3ka9h4chfr8.cloudfront.net/image/725136000567/image_dv7e4g1fl57anfi3det0g5t34e/-FJPG/105938-119_DET_7.jpg</t>
  </si>
  <si>
    <t>https://dd3ka9h4chfr8.cloudfront.net/image/725136000567/image_pstvna6ba93jdf3t6gpkeaun5s/-FJPG/105938-119_ROM_1.jpg</t>
  </si>
  <si>
    <t>Darian Console Table - White Mahogany</t>
  </si>
  <si>
    <t>Thick Mahogany Veneer</t>
  </si>
  <si>
    <t>Thick Ash Burl Veneer</t>
  </si>
  <si>
    <t>https://dd3ka9h4chfr8.cloudfront.net/image/725136000567/image_8smrjql2hl1rd7q8m1pitdv368/-S150x150-FJPG/228917-001_PRM_1.jpg</t>
  </si>
  <si>
    <t>https://dd3ka9h4chfr8.cloudfront.net/image/725136000567/image_8smrjql2hl1rd7q8m1pitdv368/-FJPG/228917-001_PRM_1.jpg</t>
  </si>
  <si>
    <t>https://dd3ka9h4chfr8.cloudfront.net/image/725136000567/image_qp23k49bdl7v530eresiup3c5v/-FJPG/228917-001_SID_1.jpg</t>
  </si>
  <si>
    <t>https://dd3ka9h4chfr8.cloudfront.net/image/725136000567/image_aebc6i03sl723ckkdnls2ujt1f/-FJPG/228917-001_ESS_1.jpg</t>
  </si>
  <si>
    <t>https://dd3ka9h4chfr8.cloudfront.net/image/725136000567/image_tqrn7f055p19b8qbdqq54vgs6a/-FJPG/228917-001_DET_2.jpg</t>
  </si>
  <si>
    <t>https://dd3ka9h4chfr8.cloudfront.net/image/725136000567/image_f7p3o9uu15787f1v5l2gnndp5g/-FJPG/228917-001_DET_1.jpg</t>
  </si>
  <si>
    <t>https://dd3ka9h4chfr8.cloudfront.net/image/725136000567/image_9jl9f8es815kr1tfbbmen82u4h/-FJPG/228917-001_DET_3.jpg</t>
  </si>
  <si>
    <t>https://dd3ka9h4chfr8.cloudfront.net/image/725136000567/image_7i6vi1p1n94lf4o1c8nefahd0p/-FJPG/228917-001_TOP_1.jpg</t>
  </si>
  <si>
    <t>https://dd3ka9h4chfr8.cloudfront.net/image/725136000567/image_nf4otfhta93qlcf4sjn6fqgg3u/-FJPG/228917-001_DET_4.jpg</t>
  </si>
  <si>
    <t>https://dd3ka9h4chfr8.cloudfront.net/image/725136000567/image_jhaavepscp03p1gdang8bfq807/-FJPG/228917-001_DET_5.jpg</t>
  </si>
  <si>
    <t>https://dd3ka9h4chfr8.cloudfront.net/image/725136000567/image_uf9rora6r527tcn1o05nssp435/-FJPG/228917-001_DET_6.jpg</t>
  </si>
  <si>
    <t>https://dd3ka9h4chfr8.cloudfront.net/image/725136000567/image_dq5bqbn4uh5h79tiol8c8m496i/-FJPG/228917-001_DET_7.jpg</t>
  </si>
  <si>
    <t>https://dd3ka9h4chfr8.cloudfront.net/image/725136000567/image_8j7a1npkop42p9dgjjer9p9s4r/-FJPG/228917-001_DET_8.jpg</t>
  </si>
  <si>
    <t>Darrow Bench - Palermo Cognac</t>
  </si>
  <si>
    <t>https://dd3ka9h4chfr8.cloudfront.net/image/725136000567/image_nuc3g4j46p5f71i25004g57d65/-S150x150-FJPG/106189-009_PRM_1.jpg</t>
  </si>
  <si>
    <t>https://dd3ka9h4chfr8.cloudfront.net/image/725136000567/image_nuc3g4j46p5f71i25004g57d65/-FJPG/106189-009_PRM_1.jpg</t>
  </si>
  <si>
    <t>https://dd3ka9h4chfr8.cloudfront.net/image/725136000567/image_r8lv7e53f54fn7tm7e6vsmhb21/-FJPG/106189-009_SID_1.jpg</t>
  </si>
  <si>
    <t>https://dd3ka9h4chfr8.cloudfront.net/image/725136000567/image_pcr0m83je15470t3v2ei716c3o/-FJPG/106189-009_ESS.tif</t>
  </si>
  <si>
    <t>https://dd3ka9h4chfr8.cloudfront.net/image/725136000567/image_brdjkv003l7qt18v0ge0etuk7s/-FJPG/106189-009_DET_2.jpg</t>
  </si>
  <si>
    <t>https://dd3ka9h4chfr8.cloudfront.net/image/725136000567/image_v15rjkn25t4t16svke8gikbh3c/-FJPG/106189-009_DET_1.jpg</t>
  </si>
  <si>
    <t>https://dd3ka9h4chfr8.cloudfront.net/image/725136000567/image_gq8rogobhl3f7d2t0nu9t2t40g/-FJPG/106189-009_DET_3.jpg</t>
  </si>
  <si>
    <t>https://dd3ka9h4chfr8.cloudfront.net/image/725136000567/image_l222jacv8p5ilccts0g1tusc19/-FJPG/106189-009_DET_4.jpg</t>
  </si>
  <si>
    <t>https://dd3ka9h4chfr8.cloudfront.net/image/725136000567/image_53g0g7gdvd3v71ff5de4m52o0l/-FJPG/106189-009_DET_5.jpg</t>
  </si>
  <si>
    <t>Darts Cabinet - Tonal Dartboard</t>
  </si>
  <si>
    <t>Agave Fiber</t>
  </si>
  <si>
    <t>Engineered Hardwood</t>
  </si>
  <si>
    <t>https://dd3ka9h4chfr8.cloudfront.net/image/725136000567/image_8tdn69lsp5755f93n1lk9ild38/-S150x150-FJPG/246282-001_PRM_1.JPG</t>
  </si>
  <si>
    <t>https://dd3ka9h4chfr8.cloudfront.net/image/725136000567/image_qmhdv5f68p2up2im0qf4pb8923/-FJPG/246282-001_PRM_2.JPG</t>
  </si>
  <si>
    <t>https://dd3ka9h4chfr8.cloudfront.net/image/725136000567/image_s7op9dbhft54l95iavtvaesa6k/-FJPG/246282-001_DET_1.JPG</t>
  </si>
  <si>
    <t>https://dd3ka9h4chfr8.cloudfront.net/image/725136000567/image_8r3jhl9pad3497n6votlhihg4c/-FJPG/246282-001_ESS.tif</t>
  </si>
  <si>
    <t>https://dd3ka9h4chfr8.cloudfront.net/image/725136000567/image_hpprjb2g791njb0lvkk7tj8n0n/-FJPG/246282-001_DET_2.JPG</t>
  </si>
  <si>
    <t>https://dd3ka9h4chfr8.cloudfront.net/image/725136000567/image_b3tboec76150723vcj5fn6iq0m/-FJPG/246282-001_DET_3.JPG</t>
  </si>
  <si>
    <t>https://dd3ka9h4chfr8.cloudfront.net/image/725136000567/image_nu14mqba953652c8oose3da73k/-FJPG/246282-001_DET_4.JPG</t>
  </si>
  <si>
    <t>https://dd3ka9h4chfr8.cloudfront.net/image/725136000567/image_8p5b7fisml7ul752bg8q9ov324/-FJPG/246282-001_DET_5.JPG</t>
  </si>
  <si>
    <t>https://dd3ka9h4chfr8.cloudfront.net/image/725136000567/image_g27mtm4h4h27l2lhm331p6673e/-FJPG/246282-001_DET_6.JPG</t>
  </si>
  <si>
    <t>https://dd3ka9h4chfr8.cloudfront.net/image/725136000567/image_ae8f599d7900943tulrdd77v57/-FJPG/246282-001_DET_7.JPG</t>
  </si>
  <si>
    <t>https://dd3ka9h4chfr8.cloudfront.net/image/725136000567/image_aret4sq2l1791ahumuvjvlgq3q/-FJPG/246282-001_DET_8.JPG</t>
  </si>
  <si>
    <t>https://dd3ka9h4chfr8.cloudfront.net/image/725136000567/image_0qs1ea8hsh7fn7ogd22lpmrr2j/-FJPG/246282-001_DET_9.JPG</t>
  </si>
  <si>
    <t>https://dd3ka9h4chfr8.cloudfront.net/image/725136000567/image_u40bbplo8h2f306gr51cb4f40e/-FJPG/246282-001_DET_9.tif</t>
  </si>
  <si>
    <t>https://dd3ka9h4chfr8.cloudfront.net/image/725136000567/image_8ol9n1dio5201053sh0ivktt0p/-FJPG/246282-001_DET_10.tif</t>
  </si>
  <si>
    <t>https://dd3ka9h4chfr8.cloudfront.net/image/725136000567/image_fg1lc1a0g10v1apfckdl03h11b/-FJPG/246282-001_BCK_1.JPG</t>
  </si>
  <si>
    <t>https://dd3ka9h4chfr8.cloudfront.net/image/725136000567/image_ijuvuhk4d93e31vus61nba7t5h/-FJPG/246282-001_SID_1.JPG</t>
  </si>
  <si>
    <t>https://dd3ka9h4chfr8.cloudfront.net/image/725136000567/image_ogc6kgh1897qn6gnldas2c2846/-FJPG/246282-001_OPN_1.JPG</t>
  </si>
  <si>
    <t>https://dd3ka9h4chfr8.cloudfront.net/image/725136000567/image_74jh0neorh4l5bgkde4b71p47c/-FJPG/246282-001_FRT_1.JPG</t>
  </si>
  <si>
    <t>https://dd3ka9h4chfr8.cloudfront.net/image/725136000567/image_4q53k72dfh0hd05vkumajioo5r/-FJPG/246282-001_BCK_2.JPG</t>
  </si>
  <si>
    <t>Dash Chair - Palermo Drift</t>
  </si>
  <si>
    <t>https://dd3ka9h4chfr8.cloudfront.net/image/725136000567/image_8gssv7uvih2ah7edoj448i426q/-S150x150-FJPG/100198-003_PRM_1.jpg</t>
  </si>
  <si>
    <t>https://dd3ka9h4chfr8.cloudfront.net/image/725136000567/image_8gssv7uvih2ah7edoj448i426q/-FJPG/100198-003_PRM_1.jpg</t>
  </si>
  <si>
    <t>https://dd3ka9h4chfr8.cloudfront.net/image/725136000567/image_acjis3qd9h5ivdjln4ihm6ko6c/-FJPG/100198-003_SID_1.jpg</t>
  </si>
  <si>
    <t>https://dd3ka9h4chfr8.cloudfront.net/image/725136000567/image_5ug4skp33p343b2iqds9cit45i/-FJPG/100198-003_ESS_1.jpg</t>
  </si>
  <si>
    <t>https://dd3ka9h4chfr8.cloudfront.net/image/725136000567/image_lg2iadk53l06n8r73jb0cqfu21/-FJPG/100198-003_DET_2.jpg</t>
  </si>
  <si>
    <t>https://dd3ka9h4chfr8.cloudfront.net/image/725136000567/image_rjmhc8rvbl0qn3nl0lj2nsjo1c/-FJPG/100198-003_BCK_1.jpg</t>
  </si>
  <si>
    <t>https://dd3ka9h4chfr8.cloudfront.net/image/725136000567/image_aojg2is0e16j187tmtmkji9j05/-FJPG/100198-003_DET_1.jpg</t>
  </si>
  <si>
    <t>https://dd3ka9h4chfr8.cloudfront.net/image/725136000567/image_0hbb479jfp7dn6ka1vf370rj69/-FJPG/100198-003_DET_3.jpg</t>
  </si>
  <si>
    <t>https://dd3ka9h4chfr8.cloudfront.net/image/725136000567/image_s1ms18b6052kl1vc7saads9p0e/-FJPG/100198-003_DET_4.jpg</t>
  </si>
  <si>
    <t>https://dd3ka9h4chfr8.cloudfront.net/image/725136000567/image_lgk4h88kat55nfk74ob1012l56/-FJPG/100198-003_DET_5.jpg</t>
  </si>
  <si>
    <t>https://dd3ka9h4chfr8.cloudfront.net/image/725136000567/image_td1jvul8rt2dj9ob6e4toa5o7a/-FJPG/100198-003_DET_6.jpg</t>
  </si>
  <si>
    <t>https://dd3ka9h4chfr8.cloudfront.net/image/725136000567/image_ctbibiavjl27n88mruet6l8t0c/-FJPG/100198-003_DET_7.jpg</t>
  </si>
  <si>
    <t>Dax Accent Stool - Gibson Wheat</t>
  </si>
  <si>
    <t>https://dd3ka9h4chfr8.cloudfront.net/image/725136000567/image_3l2uka8o9d7v5356admuudjc6t/-S150x150-FJPG/229392-002_PRM_1.jpg</t>
  </si>
  <si>
    <t>https://dd3ka9h4chfr8.cloudfront.net/image/725136000567/image_3l2uka8o9d7v5356admuudjc6t/-FJPG/229392-002_PRM_1.jpg</t>
  </si>
  <si>
    <t>https://dd3ka9h4chfr8.cloudfront.net/image/725136000567/image_t6fkb9vrs15ij8qf2kcvtmgn29/-FJPG/229392-002_SID_1.jpg</t>
  </si>
  <si>
    <t>https://dd3ka9h4chfr8.cloudfront.net/image/725136000567/image_67525uj5h94f15cdbeql22685r/-FJPG/229392-002_DET_2.jpg</t>
  </si>
  <si>
    <t>https://dd3ka9h4chfr8.cloudfront.net/image/725136000567/image_a8964qmjh11nf7qtpo8parqh1e/-FJPG/229392-002_INF_1.jpg</t>
  </si>
  <si>
    <t>https://dd3ka9h4chfr8.cloudfront.net/image/725136000567/image_677rmbkdrl4areio43v6e9o30p/-FJPG/229392-002_DET_1.jpg</t>
  </si>
  <si>
    <t>https://dd3ka9h4chfr8.cloudfront.net/image/725136000567/image_7tbfs5nbc11bf928sk825eek2r/-FJPG/229392-002_DET_3.jpg</t>
  </si>
  <si>
    <t>https://dd3ka9h4chfr8.cloudfront.net/image/725136000567/image_6drgj33sdh1fjfcqdnksmbse2i/-FJPG/229392-002_TOP_1.jpg</t>
  </si>
  <si>
    <t>https://dd3ka9h4chfr8.cloudfront.net/image/725136000567/image_l2m9s4pjf97vlc0uqcpn3v3m00/-FJPG/229392-002_DET_4.jpg</t>
  </si>
  <si>
    <t>https://dd3ka9h4chfr8.cloudfront.net/image/725136000567/image_a6o7mlsb2d4c71imf435ro0p4u/-FJPG/229392-002_DET_5.jpg</t>
  </si>
  <si>
    <t>https://dd3ka9h4chfr8.cloudfront.net/image/725136000567/image_lgo4rh7eid5hb0jp2doogd705e/-FJPG/229392-002_ESS.tif</t>
  </si>
  <si>
    <t>Delray Slipcover Sofa-97" - Evere Creme</t>
  </si>
  <si>
    <t>51% Rayon</t>
  </si>
  <si>
    <t>22% Linen</t>
  </si>
  <si>
    <t>16% Polyester</t>
  </si>
  <si>
    <t>https://dd3ka9h4chfr8.cloudfront.net/image/725136000567/image_qjsmic54fl4np1u14dm9s6kp0t/-S150x150-FJPG/237973-001_PRM_1.jpg</t>
  </si>
  <si>
    <t>https://dd3ka9h4chfr8.cloudfront.net/image/725136000567/image_qjsmic54fl4np1u14dm9s6kp0t/-FJPG/237973-001_PRM_1.jpg</t>
  </si>
  <si>
    <t>https://dd3ka9h4chfr8.cloudfront.net/image/725136000567/image_ci1ldmb0753tf06p0h1ukdmj2v/-FJPG/237973-001_SID_1.jpg</t>
  </si>
  <si>
    <t>https://dd3ka9h4chfr8.cloudfront.net/image/725136000567/image_qsc4kg5nqd42nfketkmkf1f65f/-FJPG/237973-001_ESS_1.jpg</t>
  </si>
  <si>
    <t>https://dd3ka9h4chfr8.cloudfront.net/image/725136000567/image_s8td5ppe8p3grej18scc239v0k/-FJPG/237973-001_DET_2.jpg</t>
  </si>
  <si>
    <t>https://dd3ka9h4chfr8.cloudfront.net/image/725136000567/image_djgfd1bvj16872jrbrv8ebq137/-FJPG/237973-001_BCK_1.jpg</t>
  </si>
  <si>
    <t>https://dd3ka9h4chfr8.cloudfront.net/image/725136000567/image_u449n0mlrl2150qpg10hu64m0d/-FJPG/237973-001_INF_1.jpg</t>
  </si>
  <si>
    <t>https://dd3ka9h4chfr8.cloudfront.net/image/725136000567/image_pc0klm31452fbbafqk6k04nl7c/-FJPG/237973-001_DET_1.jpg</t>
  </si>
  <si>
    <t>https://dd3ka9h4chfr8.cloudfront.net/image/725136000567/image_86n7tjgn0128f1dh3smu3cel64/-FJPG/237973-001_DET_3.jpg</t>
  </si>
  <si>
    <t>https://dd3ka9h4chfr8.cloudfront.net/image/725136000567/image_nfijhh1fol4992s1m9vu0ccu6s/-FJPG/237973-001_DET_4.jpg</t>
  </si>
  <si>
    <t>https://dd3ka9h4chfr8.cloudfront.net/image/725136000567/image_68jjjjkfb95jf2304g0jmcoj3d/-FJPG/237973-001_DET_5.jpg</t>
  </si>
  <si>
    <t>https://dd3ka9h4chfr8.cloudfront.net/image/725136000567/image_6d1akdj2gp3o3cfffpcb1ils4t/-FJPG/237973-001_ROM_1.jpg</t>
  </si>
  <si>
    <t>Dexter Chair - Gibson Silver</t>
  </si>
  <si>
    <t>Solid Nettlewood</t>
  </si>
  <si>
    <t>https://dd3ka9h4chfr8.cloudfront.net/image/725136000567/image_m19h5fradt4q98psgqaij4vu6s/-S150x150-FJPG/224908-014_PRM_1.jpg</t>
  </si>
  <si>
    <t>https://dd3ka9h4chfr8.cloudfront.net/image/725136000567/image_alhcfo6e4h3cn99psruongpc0p/-FJPG/224908-014_FRT_1.jpg</t>
  </si>
  <si>
    <t>https://dd3ka9h4chfr8.cloudfront.net/image/725136000567/image_m19h5fradt4q98psgqaij4vu6s/-FJPG/224908-014_PRM_1.jpg</t>
  </si>
  <si>
    <t>https://dd3ka9h4chfr8.cloudfront.net/image/725136000567/image_rss0imn3d164f8ujongv9vee7f/-FJPG/224908-005_PRM_1.jpg</t>
  </si>
  <si>
    <t>https://dd3ka9h4chfr8.cloudfront.net/image/725136000567/image_ob35khri0l053d4cvj9cfkd434/-FJPG/224908-014_SID_1.jpg</t>
  </si>
  <si>
    <t>https://dd3ka9h4chfr8.cloudfront.net/image/725136000567/image_f40feo6lap7flb45bi2t0efl6c/-FJPG/224908-005_SID_1.JPG</t>
  </si>
  <si>
    <t>https://dd3ka9h4chfr8.cloudfront.net/image/725136000567/image_b1kav4kma95knap6cbrcic5m2v/-FJPG/224908-005_ESS_1.jpg</t>
  </si>
  <si>
    <t>https://dd3ka9h4chfr8.cloudfront.net/image/725136000567/image_4f5ns2sq9p79dd6mpj47ianm48/-FJPG/224908-014_ESS_1.jpg</t>
  </si>
  <si>
    <t>https://dd3ka9h4chfr8.cloudfront.net/image/725136000567/image_lvrg3tmjd97695spsv2oa0576n/-FJPG/224908-014_DET_2.jpg</t>
  </si>
  <si>
    <t>https://dd3ka9h4chfr8.cloudfront.net/image/725136000567/image_4lf74bifbd5r9ffjlg2dld9156/-FJPG/224908-005_DET_2.JPG</t>
  </si>
  <si>
    <t>https://dd3ka9h4chfr8.cloudfront.net/image/725136000567/image_inb3n6ljnt2lnfdqjfgc47c56j/-FJPG/224908-005_BCK_1.JPG</t>
  </si>
  <si>
    <t>https://dd3ka9h4chfr8.cloudfront.net/image/725136000567/image_qmlj1qvsq11prcncnmvi8igu1k/-FJPG/224908-014_BCK_1.jpg</t>
  </si>
  <si>
    <t>https://dd3ka9h4chfr8.cloudfront.net/image/725136000567/image_qs0raj1ecl2gb4r8barjapne1o/-FJPG/224908-014_INF_1.jpg</t>
  </si>
  <si>
    <t>https://dd3ka9h4chfr8.cloudfront.net/image/725136000567/image_85117ofikh7hv4em5ulvqprc0e/-FJPG/224908-005_INF_1.jpg</t>
  </si>
  <si>
    <t>https://dd3ka9h4chfr8.cloudfront.net/image/725136000567/image_03judljre52ubc9vorjan0cd5c/-FJPG/224908-014_DET_1.jpg</t>
  </si>
  <si>
    <t>https://dd3ka9h4chfr8.cloudfront.net/image/725136000567/image_1646e8u121615b72j7mt1mke2v/-FJPG/224908-005_DET_1.JPG</t>
  </si>
  <si>
    <t>https://dd3ka9h4chfr8.cloudfront.net/image/725136000567/image_usfjij0aah4cfdqibl6p2gg14t/-FJPG/224908-014_DET_3.jpg</t>
  </si>
  <si>
    <t>https://dd3ka9h4chfr8.cloudfront.net/image/725136000567/image_50u86k58dd22j7urufnnupmp4i/-FJPG/224908-005_DET_3.JPG</t>
  </si>
  <si>
    <t>https://dd3ka9h4chfr8.cloudfront.net/image/725136000567/image_3pmajpu6l11ip9igmlkhnfet0d/-FJPG/224908-005_DET_4.JPG</t>
  </si>
  <si>
    <t>https://dd3ka9h4chfr8.cloudfront.net/image/725136000567/image_9h131tpbgl4uhc1h7fcnee307a/-FJPG/224908-014_DET_4.jpg</t>
  </si>
  <si>
    <t>https://dd3ka9h4chfr8.cloudfront.net/image/725136000567/image_nldtipu8ih7dh0du75qn1u7l3t/-FJPG/224908-005_DET_5.JPG</t>
  </si>
  <si>
    <t>https://dd3ka9h4chfr8.cloudfront.net/image/725136000567/image_cpi8hj955d3vn20a14vao12444/-FJPG/224908-014_DET_5.jpg</t>
  </si>
  <si>
    <t>https://dd3ka9h4chfr8.cloudfront.net/image/725136000567/image_her03db8bt7p134l0hpaubma6p/-FJPG/224908-014_PRM_2.jpg</t>
  </si>
  <si>
    <t>https://dd3ka9h4chfr8.cloudfront.net/image/725136000567/image_3sice5rcs54gtd9ncpeobfu12q/-FJPG/224908-005_PRM_2.JPG</t>
  </si>
  <si>
    <t>Dexter Chair - Gibson White</t>
  </si>
  <si>
    <t>https://dd3ka9h4chfr8.cloudfront.net/image/725136000567/image_jruherl6hl0q520d418gs0tb6i/-S150x150-FJPG/224908-015_PRM_1.jpg</t>
  </si>
  <si>
    <t>https://dd3ka9h4chfr8.cloudfront.net/image/725136000567/image_jruherl6hl0q520d418gs0tb6i/-FJPG/224908-015_PRM_1.jpg</t>
  </si>
  <si>
    <t>https://dd3ka9h4chfr8.cloudfront.net/image/725136000567/image_qa3dsmvd6l7vhfqcr2htehd16c/-FJPG/224908-015_SID_1.jpg</t>
  </si>
  <si>
    <t>https://dd3ka9h4chfr8.cloudfront.net/image/725136000567/image_jjlj4p33qh7516intgnfs30v5j/-FJPG/224908-015_DET_2.jpg</t>
  </si>
  <si>
    <t>https://dd3ka9h4chfr8.cloudfront.net/image/725136000567/image_pm7d87nmtp35p9805k63qmhv0h/-FJPG/224908-015_BCK_1.jpg</t>
  </si>
  <si>
    <t>https://dd3ka9h4chfr8.cloudfront.net/image/725136000567/image_0gf9l1v84p0ulblieci7eobj67/-FJPG/224908-015_INF_1.jpg</t>
  </si>
  <si>
    <t>https://dd3ka9h4chfr8.cloudfront.net/image/725136000567/image_ljjoe8dlgd0bt8ru39mqnlsp1k/-FJPG/224908-015_DET_1.jpg</t>
  </si>
  <si>
    <t>https://dd3ka9h4chfr8.cloudfront.net/image/725136000567/image_hphrsrfn2d2u35ga3ra8lleh4h/-FJPG/224908-015_DET_3.jpg</t>
  </si>
  <si>
    <t>https://dd3ka9h4chfr8.cloudfront.net/image/725136000567/image_ddukcj9och5m9ft6h0r3rfph5c/-FJPG/224908-015_DET_4.jpg</t>
  </si>
  <si>
    <t>https://dd3ka9h4chfr8.cloudfront.net/image/725136000567/image_v68bsum70t6fldojeci0s4ir3g/-FJPG/224908-015_DET_5.jpg</t>
  </si>
  <si>
    <t>https://dd3ka9h4chfr8.cloudfront.net/image/725136000567/image_2q5o5i27et7i3cpnd4v3dlim0r/-FJPG/224908-015_DET_6.jpg</t>
  </si>
  <si>
    <t>https://dd3ka9h4chfr8.cloudfront.net/image/725136000567/image_pedboqls5p1qpani6nas4hmg6g/-FJPG/224908-015_ROM_1.jpg</t>
  </si>
  <si>
    <t>https://dd3ka9h4chfr8.cloudfront.net/image/725136000567/image_5s9q3igd7t4lp6ujlf32puq16k/-FJPG/224908-015_VIG_1.jpg</t>
  </si>
  <si>
    <t>https://dd3ka9h4chfr8.cloudfront.net/image/725136000567/image_0qjfbi4nct09pe7krnl58q9q5q/-FJPG/224908-015_VIG_2.jpg</t>
  </si>
  <si>
    <t>Diana Chair - Heirloom Black</t>
  </si>
  <si>
    <t>https://dd3ka9h4chfr8.cloudfront.net/image/725136000567/image_khq32l25113lf43sags68a0v74/-S150x150-FJPG/106103-005_PRM_1.JPG</t>
  </si>
  <si>
    <t>https://dd3ka9h4chfr8.cloudfront.net/image/725136000567/image_khq32l25113lf43sags68a0v74/-FJPG/106103-005_PRM_1.JPG</t>
  </si>
  <si>
    <t>https://dd3ka9h4chfr8.cloudfront.net/image/725136000567/image_kms8d34tbd2r1659uhfb3lk67h/-FJPG/106103-005_SID_1.JPG</t>
  </si>
  <si>
    <t>https://dd3ka9h4chfr8.cloudfront.net/image/725136000567/image_4qe4643n017ltamvo7n6dfpg15/-FJPG/106103-005_ESS_1.jpg</t>
  </si>
  <si>
    <t>https://dd3ka9h4chfr8.cloudfront.net/image/725136000567/image_cv7ndtal15157dmn0p7pko4i37/-FJPG/106103-005_DET_2.JPG</t>
  </si>
  <si>
    <t>https://dd3ka9h4chfr8.cloudfront.net/image/725136000567/image_s3as21kopd3f54vge1g1digv2i/-FJPG/106103-005_BCK_1.JPG</t>
  </si>
  <si>
    <t>https://dd3ka9h4chfr8.cloudfront.net/image/725136000567/image_nlqfpeqoed0at0605uigsrd069/-FJPG/106103-005_DET_1.JPG</t>
  </si>
  <si>
    <t>https://dd3ka9h4chfr8.cloudfront.net/image/725136000567/image_6fu2sptq1h2m9ch7ala1o6o343/-FJPG/106103-005_DET_3.JPG</t>
  </si>
  <si>
    <t>https://dd3ka9h4chfr8.cloudfront.net/image/725136000567/image_1hfs43rnt92vh73cm86mk34n6e/-FJPG/106103-005_DET_4.JPG</t>
  </si>
  <si>
    <t>https://dd3ka9h4chfr8.cloudfront.net/image/725136000567/image_ma5d3cb4od0lt8h8du9ov6432r/-FJPG/106103-005_DET_5.JPG</t>
  </si>
  <si>
    <t>https://dd3ka9h4chfr8.cloudfront.net/image/725136000567/image_kl7ulk4b7h2t51qjimc7e80o26/-FJPG/106103-005_PRM_2.JPG</t>
  </si>
  <si>
    <t>Diana Chair - Sonoma Butterscotch</t>
  </si>
  <si>
    <t>https://dd3ka9h4chfr8.cloudfront.net/image/725136000567/image_s7r4b9d2ap4fpbk2cj77udk31s/-S150x150-FJPG/CKEN-294N-671_PRM_1.jpg</t>
  </si>
  <si>
    <t>https://dd3ka9h4chfr8.cloudfront.net/image/725136000567/image_s7r4b9d2ap4fpbk2cj77udk31s/-FJPG/CKEN-294N-671_PRM_1.jpg</t>
  </si>
  <si>
    <t>https://dd3ka9h4chfr8.cloudfront.net/image/725136000567/image_rcbgpcvlpp4o7dqtss1fnqe65s/-FJPG/CKEN-294N-671_SID_1.jpg</t>
  </si>
  <si>
    <t>https://dd3ka9h4chfr8.cloudfront.net/image/725136000567/image_vok2cj3k3h6ql6oilvg7f38l3b/-FJPG/CKEN-294N-671_ESS_1.jpg</t>
  </si>
  <si>
    <t>https://dd3ka9h4chfr8.cloudfront.net/image/725136000567/image_t0dn8hiv5h0c99matgg5a0b10f/-FJPG/CKEN-294N-671_BCK_1.jpg</t>
  </si>
  <si>
    <t>https://dd3ka9h4chfr8.cloudfront.net/image/725136000567/image_6g1m8o4irt7gh98i8kdtbic50j/-FJPG/CKEN-294N-671_DET_1.jpg</t>
  </si>
  <si>
    <t>https://dd3ka9h4chfr8.cloudfront.net/image/725136000567/image_ko1svs5epl2fj90buss5ghl003/-FJPG/CKEN-294N-671_DET_3.jpg</t>
  </si>
  <si>
    <t>https://dd3ka9h4chfr8.cloudfront.net/image/725136000567/image_ncuura1buh5dh1865rfsfamf2j/-FJPG/CKEN-294N-671_GRP_1.jpg</t>
  </si>
  <si>
    <t>https://dd3ka9h4chfr8.cloudfront.net/image/725136000567/image_9ap73qpstt6nff96onmpek2902/-FJPG/CKEN-294N-671_DET_4.jpg</t>
  </si>
  <si>
    <t>https://dd3ka9h4chfr8.cloudfront.net/image/725136000567/image_e7bi2h55kh5jtfddvmsth76k2m/-FJPG/CKEN-294N-671_DET_5.jpg</t>
  </si>
  <si>
    <t>https://dd3ka9h4chfr8.cloudfront.net/image/725136000567/image_sp4kqmledl2dn7q79ab3tvol7u/-FJPG/CKEN-294N-671_DET_6.jpg</t>
  </si>
  <si>
    <t>Diana Sofa - Heirloom Black</t>
  </si>
  <si>
    <t>https://dd3ka9h4chfr8.cloudfront.net/image/725136000567/image_gp5etoh10h11n9dgetna5e1q0t/-S150x150-FJPG/228734-006_PRM_1.jpg</t>
  </si>
  <si>
    <t>https://dd3ka9h4chfr8.cloudfront.net/image/725136000567/image_gp5etoh10h11n9dgetna5e1q0t/-FJPG/228734-006_PRM_1.jpg</t>
  </si>
  <si>
    <t>https://dd3ka9h4chfr8.cloudfront.net/image/725136000567/image_2789u8ej9l76v71utuvmqg9m0h/-FJPG/228734-006_SID_1.jpg</t>
  </si>
  <si>
    <t>https://dd3ka9h4chfr8.cloudfront.net/image/725136000567/image_4t0r86mub50jb6gaemj27jm05f/-FJPG/228734-006_ESS.tif</t>
  </si>
  <si>
    <t>https://dd3ka9h4chfr8.cloudfront.net/image/725136000567/image_s4kliisuip4ft7km6dcnkv5275/-FJPG/228734-006_DET_2.jpg</t>
  </si>
  <si>
    <t>https://dd3ka9h4chfr8.cloudfront.net/image/725136000567/image_j0kgmonrih7c55ic8udaf5jo03/-FJPG/228734-006_BCK_1.jpg</t>
  </si>
  <si>
    <t>https://dd3ka9h4chfr8.cloudfront.net/image/725136000567/image_ajpbk277251tp5mqd55sr2a160/-FJPG/228734-006_DET_1.jpg</t>
  </si>
  <si>
    <t>https://dd3ka9h4chfr8.cloudfront.net/image/725136000567/image_07vods26ph1q91gldbi47i671r/-FJPG/228734-006_DET_3.jpg</t>
  </si>
  <si>
    <t>https://dd3ka9h4chfr8.cloudfront.net/image/725136000567/image_cdiuufqav910lcd7m1g3aou47v/-FJPG/228734-006_DET_4.jpg</t>
  </si>
  <si>
    <t>https://dd3ka9h4chfr8.cloudfront.net/image/725136000567/image_4dimu0dc417839rclqsekn7f40/-FJPG/228734-006_DET_5.jpg</t>
  </si>
  <si>
    <t>https://dd3ka9h4chfr8.cloudfront.net/image/725136000567/image_so8992k1i576hegkdb2hjgv77c/-FJPG/228734-006_DET_6.jpg</t>
  </si>
  <si>
    <t>https://dd3ka9h4chfr8.cloudfront.net/image/725136000567/image_023p5l1ctd32j1khbh373bsj32/-FJPG/228734-006_DET_7.jpg</t>
  </si>
  <si>
    <t>https://dd3ka9h4chfr8.cloudfront.net/image/725136000567/image_dcbtcj823d5iddk0aqt2efb03f/-FJPG/228734-006_DET_8.jpg</t>
  </si>
  <si>
    <t>Diana Sofa - Palermo Nude</t>
  </si>
  <si>
    <t>https://dd3ka9h4chfr8.cloudfront.net/image/725136000567/image_papst0ucd52j791eiqsc452k6j/-S150x150-FJPG/228734-002_PRM_1.jpg</t>
  </si>
  <si>
    <t>https://dd3ka9h4chfr8.cloudfront.net/image/725136000567/image_papst0ucd52j791eiqsc452k6j/-FJPG/228734-002_PRM_1.jpg</t>
  </si>
  <si>
    <t>https://dd3ka9h4chfr8.cloudfront.net/image/725136000567/image_60l8qvrsh52cr6lpqn0653dt2m/-FJPG/228734-002_SID_1.jpg</t>
  </si>
  <si>
    <t>https://dd3ka9h4chfr8.cloudfront.net/image/725136000567/image_mukp41ll9102p0vgcknmjtpr78/-FJPG/228734-002_ESS_1.jpg</t>
  </si>
  <si>
    <t>https://dd3ka9h4chfr8.cloudfront.net/image/725136000567/image_fhqjsoqe3d48h405vlq2bl6125/-FJPG/228734-002_DET_2.jpg</t>
  </si>
  <si>
    <t>https://dd3ka9h4chfr8.cloudfront.net/image/725136000567/image_2p74ic9vkh4fr3i9ufuo9qbe36/-FJPG/228734-002_BCK_1.jpg</t>
  </si>
  <si>
    <t>https://dd3ka9h4chfr8.cloudfront.net/image/725136000567/image_p2r2h6ngdd4g17rl381rk0h27l/-FJPG/228734-002_DET_1.jpg</t>
  </si>
  <si>
    <t>https://dd3ka9h4chfr8.cloudfront.net/image/725136000567/image_ma3ajtin0536h7qu1415gg3v0d/-FJPG/228734-002_DET_3.jpg</t>
  </si>
  <si>
    <t>https://dd3ka9h4chfr8.cloudfront.net/image/725136000567/image_dtug5oaoi561r7bpmgbspn9q4g/-FJPG/228734-002_DET_4.jpg</t>
  </si>
  <si>
    <t>https://dd3ka9h4chfr8.cloudfront.net/image/725136000567/image_75tmuc9a5h1c9459vkk0jge53f/-FJPG/228734-002_DET_5.jpg</t>
  </si>
  <si>
    <t>https://dd3ka9h4chfr8.cloudfront.net/image/725136000567/image_nu1kbs66k938l928d4rnptad4o/-FJPG/228734-002_DET_6.jpg</t>
  </si>
  <si>
    <t>https://dd3ka9h4chfr8.cloudfront.net/image/725136000567/image_bcnhcs8bjd5r111oor62g2e90a/-FJPG/228734-002_DET_7.jpg</t>
  </si>
  <si>
    <t>Diana Sofa - Sonoma Butterscotch</t>
  </si>
  <si>
    <t>https://dd3ka9h4chfr8.cloudfront.net/image/725136000567/image_fkl92rsfcd5n9aud6tkao1al2l/-S150x150-FJPG/228734-004_PRM_1.JPG</t>
  </si>
  <si>
    <t>https://dd3ka9h4chfr8.cloudfront.net/image/725136000567/image_fkl92rsfcd5n9aud6tkao1al2l/-FJPG/228734-004_PRM_1.JPG</t>
  </si>
  <si>
    <t>https://dd3ka9h4chfr8.cloudfront.net/image/725136000567/image_pk8ubfq0kh46j4tshvdra80p33/-FJPG/228734-004_SID_1.JPG</t>
  </si>
  <si>
    <t>https://dd3ka9h4chfr8.cloudfront.net/image/725136000567/image_a1lq3h0nmp0mvf8vvlipmc643p/-FJPG/228734-004_DET_2.JPG</t>
  </si>
  <si>
    <t>https://dd3ka9h4chfr8.cloudfront.net/image/725136000567/image_2ifv8r9lsl2a93c0nhis2tog7l/-FJPG/228734-004_BCK_1.JPG</t>
  </si>
  <si>
    <t>https://dd3ka9h4chfr8.cloudfront.net/image/725136000567/image_oij8q3h6u916vaq6p4utqioj2a/-FJPG/228734-004_DET_1.JPG</t>
  </si>
  <si>
    <t>https://dd3ka9h4chfr8.cloudfront.net/image/725136000567/image_d1sn21agv90jdaev0n33e09c7c/-FJPG/228734-004_DET_3.JPG</t>
  </si>
  <si>
    <t>https://dd3ka9h4chfr8.cloudfront.net/image/725136000567/image_q2lqia8j45103dgnaj54j9mu1p/-FJPG/228734-004_DET_4.JPG</t>
  </si>
  <si>
    <t>Doss Media Lounger - Altro Snow</t>
  </si>
  <si>
    <t>https://dd3ka9h4chfr8.cloudfront.net/image/725136000567/image_ag32h826k51890rng302mqqs76/-S150x150-FJPG/240660-001_PRM_1.jpg</t>
  </si>
  <si>
    <t>https://dd3ka9h4chfr8.cloudfront.net/image/725136000567/image_ag32h826k51890rng302mqqs76/-FJPG/240660-001_PRM_1.jpg</t>
  </si>
  <si>
    <t>https://dd3ka9h4chfr8.cloudfront.net/image/725136000567/image_46oh37d6nt76n9imfchu3g9a22/-FJPG/240660-001_SID_1.jpg</t>
  </si>
  <si>
    <t>https://dd3ka9h4chfr8.cloudfront.net/image/725136000567/image_r2slsu2ced5od32gdo4rnl885p/-FJPG/240660-001_ESS.tif</t>
  </si>
  <si>
    <t>https://dd3ka9h4chfr8.cloudfront.net/image/725136000567/image_6s7nuikcqt4132d170928q5p02/-FJPG/240660-001_DET_2.jpg</t>
  </si>
  <si>
    <t>https://dd3ka9h4chfr8.cloudfront.net/image/725136000567/image_oqtqm20vul0adbb28ofe3f1f6i/-FJPG/240660-001_BCK_1.jpg</t>
  </si>
  <si>
    <t>https://dd3ka9h4chfr8.cloudfront.net/image/725136000567/image_81r4oess9527b72eu7ej2gsr1v/-FJPG/240660-001_DET_1.jpg</t>
  </si>
  <si>
    <t>https://dd3ka9h4chfr8.cloudfront.net/image/725136000567/image_vjkbvf0sjd0o347cu7l2hg4a0u/-FJPG/240660-001_DET_3.jpg</t>
  </si>
  <si>
    <t>https://dd3ka9h4chfr8.cloudfront.net/image/725136000567/image_1b5ukqoi9p2tl1v88ppknat14r/-FJPG/240660-001_TOP_1.jpg</t>
  </si>
  <si>
    <t>https://dd3ka9h4chfr8.cloudfront.net/image/725136000567/image_5qurrmi7k94vd3oevrfu3din5s/-FJPG/240660-001_DET_4.jpg</t>
  </si>
  <si>
    <t>https://dd3ka9h4chfr8.cloudfront.net/image/725136000567/image_u8mdp7f7p93al62l1bv8p6js42/-FJPG/240660-001_DET_5.jpg</t>
  </si>
  <si>
    <t>https://dd3ka9h4chfr8.cloudfront.net/image/725136000567/image_o8727h3kdd6vp3an32tgf6sh5k/-FJPG/240660-001_DET_6.jpg</t>
  </si>
  <si>
    <t>Dottie Swivel Chair - Berber Oatmeal</t>
  </si>
  <si>
    <t>71% Flax/Linen</t>
  </si>
  <si>
    <t>13.5% Wool</t>
  </si>
  <si>
    <t>9.5% Viscose (Rayon)</t>
  </si>
  <si>
    <t>6% Polyester</t>
  </si>
  <si>
    <t>https://dd3ka9h4chfr8.cloudfront.net/image/725136000567/image_ojvpo2teo966n5us23fm9qc07r/-S150x150-FJPG/241281-001_PRM_1.jpg</t>
  </si>
  <si>
    <t>https://dd3ka9h4chfr8.cloudfront.net/image/725136000567/image_ojvpo2teo966n5us23fm9qc07r/-FJPG/241281-001_PRM_1.jpg</t>
  </si>
  <si>
    <t>https://dd3ka9h4chfr8.cloudfront.net/image/725136000567/image_gual79ho8t70f2dpi8n87eui2d/-FJPG/241281-001_SID_1.jpg</t>
  </si>
  <si>
    <t>https://dd3ka9h4chfr8.cloudfront.net/image/725136000567/image_teqg5qkfr50rhbmpdtl3o0nu23/-FJPG/241281-001_DET_2.jpg</t>
  </si>
  <si>
    <t>https://dd3ka9h4chfr8.cloudfront.net/image/725136000567/image_k0s7jg8h7h62v714levrrj0b5n/-FJPG/241281-001_BCK_1.jpg</t>
  </si>
  <si>
    <t>https://dd3ka9h4chfr8.cloudfront.net/image/725136000567/image_m7d6vfslsd7m11up82fhm2sj5k/-FJPG/241281-001_DET_1.jpg</t>
  </si>
  <si>
    <t>https://dd3ka9h4chfr8.cloudfront.net/image/725136000567/image_4p5a0r4l0t7mj6606vlvt0797r/-FJPG/241281-001_DET_3.jpg</t>
  </si>
  <si>
    <t>https://dd3ka9h4chfr8.cloudfront.net/image/725136000567/image_8j6n5bckcd49f94phs81bfos10/-FJPG/241281-001_TOP_1.jpg</t>
  </si>
  <si>
    <t>https://dd3ka9h4chfr8.cloudfront.net/image/725136000567/image_7g8pddfv652k9454b0fti8uo34/-FJPG/241281-001_DET_4.jpg</t>
  </si>
  <si>
    <t>https://dd3ka9h4chfr8.cloudfront.net/image/725136000567/image_g476l75d9922ba3ld7c5qf0475/-FJPG/241281-001_DET_5.jpg</t>
  </si>
  <si>
    <t>https://dd3ka9h4chfr8.cloudfront.net/image/725136000567/image_4h0i5pvc211khaijfn68iqdp4q/-FJPG/241281-001_DET_6.jpg</t>
  </si>
  <si>
    <t>https://dd3ka9h4chfr8.cloudfront.net/image/725136000567/image_52fclnvd7p5c31qk3r9065pp4g/-FJPG/241281-001_DET_8.jpg</t>
  </si>
  <si>
    <t>https://dd3ka9h4chfr8.cloudfront.net/image/725136000567/image_mur7e9nbkp2gl5io5ue0ucap3q/-FJPG/241281-001_ESS.tif</t>
  </si>
  <si>
    <t>Dottie Swivel Chair - Monte Navy</t>
  </si>
  <si>
    <t>https://dd3ka9h4chfr8.cloudfront.net/image/725136000567/image_lfean4hfnh06h4vpid1aojle74/-S150x150-FJPG/241281-002_PRM_1.jpg</t>
  </si>
  <si>
    <t>https://dd3ka9h4chfr8.cloudfront.net/image/725136000567/image_lfean4hfnh06h4vpid1aojle74/-FJPG/241281-002_PRM_1.jpg</t>
  </si>
  <si>
    <t>https://dd3ka9h4chfr8.cloudfront.net/image/725136000567/image_6h4igq10rt1gd144dtqmv9mf22/-FJPG/241281-002_SID_1.jpg</t>
  </si>
  <si>
    <t>https://dd3ka9h4chfr8.cloudfront.net/image/725136000567/image_3vk81evp1h3qb9cb548ko4nr1v/-FJPG/241281-002_ESS.tif</t>
  </si>
  <si>
    <t>https://dd3ka9h4chfr8.cloudfront.net/image/725136000567/image_ghjgfi07it7flaqc8ed7tde06r/-FJPG/241281-002_DET_2.jpg</t>
  </si>
  <si>
    <t>https://dd3ka9h4chfr8.cloudfront.net/image/725136000567/image_jjbefm4ft50nb524dul6te7o7o/-FJPG/241281-002_BCK_1.jpg</t>
  </si>
  <si>
    <t>https://dd3ka9h4chfr8.cloudfront.net/image/725136000567/image_55rs6l58ch019632eqj5kiuc6n/-FJPG/241281-002_DET_1.jpg</t>
  </si>
  <si>
    <t>https://dd3ka9h4chfr8.cloudfront.net/image/725136000567/image_ttjlenhdb10nh3c931n19bog25/-FJPG/241281-002_DET_3.jpg</t>
  </si>
  <si>
    <t>https://dd3ka9h4chfr8.cloudfront.net/image/725136000567/image_qsei3ot6ld2rl923d9tat2nl24/-FJPG/241281-002_TOP_1.jpg</t>
  </si>
  <si>
    <t>https://dd3ka9h4chfr8.cloudfront.net/image/725136000567/image_0n95ht7jj97112d5gquf3ven32/-FJPG/241281-002_DET_4.jpg</t>
  </si>
  <si>
    <t>https://dd3ka9h4chfr8.cloudfront.net/image/725136000567/image_va20ctj6gd7b51h2l7k2gvue0a/-FJPG/241281-002_DET_5.jpg</t>
  </si>
  <si>
    <t>https://dd3ka9h4chfr8.cloudfront.net/image/725136000567/image_thi4vsdfsl64hcinboce6som18/-FJPG/241281-002_DET_6.jpg</t>
  </si>
  <si>
    <t>https://dd3ka9h4chfr8.cloudfront.net/image/725136000567/image_9m9j6fam6h7gj6mab91iseol73/-FJPG/241281-002_DET_9.tif</t>
  </si>
  <si>
    <t>Dover Bed - Hockney Linen</t>
  </si>
  <si>
    <t>86% Polyester</t>
  </si>
  <si>
    <t>https://dd3ka9h4chfr8.cloudfront.net/image/725136000567/image_olu8qvgdcd12v9h3aag86dlb1u/-S150x150-FJPG/243216-003_PRM_1.jpg</t>
  </si>
  <si>
    <t>https://dd3ka9h4chfr8.cloudfront.net/image/725136000567/image_olu8qvgdcd12v9h3aag86dlb1u/-FJPG/243216-003_PRM_1.jpg</t>
  </si>
  <si>
    <t>https://dd3ka9h4chfr8.cloudfront.net/image/725136000567/image_o906rmarth7d7238jvbtt67f0n/-FJPG/243216-003_SID_1.jpg</t>
  </si>
  <si>
    <t>https://dd3ka9h4chfr8.cloudfront.net/image/725136000567/image_laoul1s2u52sb89vrmmlrmrf2j/-FJPG/243216-003_ESS.tif</t>
  </si>
  <si>
    <t>https://dd3ka9h4chfr8.cloudfront.net/image/725136000567/image_n8gf5bq3b947v5lp3qhjdclh3i/-FJPG/243216-003_ESS_1.tif</t>
  </si>
  <si>
    <t>https://dd3ka9h4chfr8.cloudfront.net/image/725136000567/image_iidd88cgl117jcach4sjinbk07/-FJPG/243216-003_DET_2.jpg</t>
  </si>
  <si>
    <t>https://dd3ka9h4chfr8.cloudfront.net/image/725136000567/image_c3uq56pobd3on3fj3cv284u93b/-FJPG/243216-003_BCK_1.jpg</t>
  </si>
  <si>
    <t>https://dd3ka9h4chfr8.cloudfront.net/image/725136000567/image_r003bo312d7mfdes97pjo5n16j/-FJPG/243216-003_BCK_1.jpg</t>
  </si>
  <si>
    <t>https://dd3ka9h4chfr8.cloudfront.net/image/725136000567/image_u28e861e0d6sp1nt1cer0n7723/-FJPG/243216-003_DET_1.jpg</t>
  </si>
  <si>
    <t>https://dd3ka9h4chfr8.cloudfront.net/image/725136000567/image_mikj19n3nl75n151rv8b1j0s3e/-FJPG/243216-003_DET_3.jpg</t>
  </si>
  <si>
    <t>https://dd3ka9h4chfr8.cloudfront.net/image/725136000567/image_120b02vg8h43f659qcnfsvji32/-FJPG/243216-003_DET_4.jpg</t>
  </si>
  <si>
    <t>https://dd3ka9h4chfr8.cloudfront.net/image/725136000567/image_jt02lbidq95gj98u2uua13425u/-FJPG/243216-003_DET_5.jpg</t>
  </si>
  <si>
    <t>https://dd3ka9h4chfr8.cloudfront.net/image/725136000567/image_ip56deeofh3svc29at4iqg1n6a/-FJPG/243216-003_DET_6.jpg</t>
  </si>
  <si>
    <t>https://dd3ka9h4chfr8.cloudfront.net/image/725136000567/image_t014p99uuh5fbd380ktkr11p0l/-FJPG/243216-003_DET_7.jpg</t>
  </si>
  <si>
    <t>https://dd3ka9h4chfr8.cloudfront.net/image/725136000567/image_uqi0bpurbh1cbck4eiit0fn32f/-FJPG/243216-003_DET_9.tif</t>
  </si>
  <si>
    <t>https://dd3ka9h4chfr8.cloudfront.net/image/725136000567/image_64118e5ffh0k9040c6f7s28g5q/-FJPG/243216-003_DET_10.tif</t>
  </si>
  <si>
    <t>Drake Coffee Table - Aged Brown</t>
  </si>
  <si>
    <t>https://dd3ka9h4chfr8.cloudfront.net/image/725136000567/image_61d3cf4sk904147veetkpn1d3g/-S150x150-FJPG/IHRM-047C_PRM_1.jpg</t>
  </si>
  <si>
    <t>https://dd3ka9h4chfr8.cloudfront.net/image/725136000567/image_61d3cf4sk904147veetkpn1d3g/-FJPG/IHRM-047C_PRM_1.jpg</t>
  </si>
  <si>
    <t>https://dd3ka9h4chfr8.cloudfront.net/image/725136000567/image_h743u9t0cl1tj0mqkhops7p34o/-FJPG/IHRM-047C_ESS_1.jpg</t>
  </si>
  <si>
    <t>https://dd3ka9h4chfr8.cloudfront.net/image/725136000567/image_74ladc5kjd5h75r2b0as7d5v52/-FJPG/IHRM-047C_DET_2.jpg</t>
  </si>
  <si>
    <t>https://dd3ka9h4chfr8.cloudfront.net/image/725136000567/image_h3di01s9qt1uh5krhees48677o/-FJPG/IHRM-047C_DET_1.jpg</t>
  </si>
  <si>
    <t>https://dd3ka9h4chfr8.cloudfront.net/image/725136000567/image_ce69omfct14k52che97jn5f63b/-FJPG/IHRM-047C_DET_3.jpg</t>
  </si>
  <si>
    <t>https://dd3ka9h4chfr8.cloudfront.net/image/725136000567/image_njctq3c6bt6vpe24ivobb3h52q/-FJPG/IHRM-047C_DET_4.jpg</t>
  </si>
  <si>
    <t>https://dd3ka9h4chfr8.cloudfront.net/image/725136000567/image_3cfvg12r8l2iv2llqg4rivg955/-FJPG/IHRM-047C_VIG_2.jpg</t>
  </si>
  <si>
    <t>Drake Coffee Table - Reclaimed Fruitwood</t>
  </si>
  <si>
    <t>https://dd3ka9h4chfr8.cloudfront.net/image/725136000567/image_rl3954305t57bd8aoelajntj2o/-S150x150-FJPG/IHRM-047_PRM_1.jpg</t>
  </si>
  <si>
    <t>https://dd3ka9h4chfr8.cloudfront.net/image/725136000567/image_rl3954305t57bd8aoelajntj2o/-FJPG/IHRM-047_PRM_1.jpg</t>
  </si>
  <si>
    <t>https://dd3ka9h4chfr8.cloudfront.net/image/725136000567/image_jegb5jbcqd2v7fnnqk2punm32g/-FJPG/IHRM-047_ESS_1.jpg</t>
  </si>
  <si>
    <t>https://dd3ka9h4chfr8.cloudfront.net/image/725136000567/image_l0nbl4lmmh1u7bed2s7fhuvc2f/-FJPG/IHRM-047_DET_2.jpg</t>
  </si>
  <si>
    <t>https://dd3ka9h4chfr8.cloudfront.net/image/725136000567/image_fq07mklpi95ot51m60vli5g038/-FJPG/IHRM-047_DET_1.jpg</t>
  </si>
  <si>
    <t>https://dd3ka9h4chfr8.cloudfront.net/image/725136000567/image_mcs0779vvh76tei050hiltbr0a/-FJPG/IHRM-047_DET_3.jpg</t>
  </si>
  <si>
    <t>https://dd3ka9h4chfr8.cloudfront.net/image/725136000567/image_vj7kq7fnl921d5t0nrsot82q30/-FJPG/IHRM-047_DET_4.jpg</t>
  </si>
  <si>
    <t>https://dd3ka9h4chfr8.cloudfront.net/image/725136000567/image_pr1pn4q4fp52ddr21slnmliq7k/-FJPG/IHRM-047_DET_6.jpg</t>
  </si>
  <si>
    <t>https://dd3ka9h4chfr8.cloudfront.net/image/725136000567/image_e7plqoq80l0td9si5uvtnesj28/-FJPG/IHRM-047_ROM_1.jpg</t>
  </si>
  <si>
    <t>https://dd3ka9h4chfr8.cloudfront.net/image/725136000567/image_k6tf2q9bip4r1cl1uhl852d41n/-FJPG/IHRM-047_PRM_2.jpg</t>
  </si>
  <si>
    <t>https://dd3ka9h4chfr8.cloudfront.net/image/725136000567/image_ukutj1fobd5m97ep3avjnn0c6r/-FJPG/IHRM-047_FRT_2.jpg</t>
  </si>
  <si>
    <t>Duncan End Table - Reclaimed Fruitwood</t>
  </si>
  <si>
    <t>https://dd3ka9h4chfr8.cloudfront.net/image/725136000567/image_0ajjhr8gt56md2a0v9gcjft015/-S150x150-FJPG/106438-010_PRM_1.jpg</t>
  </si>
  <si>
    <t>https://dd3ka9h4chfr8.cloudfront.net/image/725136000567/image_0ajjhr8gt56md2a0v9gcjft015/-FJPG/106438-010_PRM_1.jpg</t>
  </si>
  <si>
    <t>https://dd3ka9h4chfr8.cloudfront.net/image/725136000567/image_c3gumeg27t33r0tmrv6qun4s4l/-FJPG/106438-010_DET_2.jpg</t>
  </si>
  <si>
    <t>https://dd3ka9h4chfr8.cloudfront.net/image/725136000567/image_6rhqabitft1if71c3lqkvfjt1n/-FJPG/106438-010_DET_1.jpg</t>
  </si>
  <si>
    <t>https://dd3ka9h4chfr8.cloudfront.net/image/725136000567/image_vq6ajis8ft7u5cp4afiq9eug4m/-FJPG/106438-010_DET_3.jpg</t>
  </si>
  <si>
    <t>https://dd3ka9h4chfr8.cloudfront.net/image/725136000567/image_gnd4fhgh251td7f3khf0cl4a6c/-FJPG/106438-010_DET_4.jpg</t>
  </si>
  <si>
    <t>https://dd3ka9h4chfr8.cloudfront.net/image/725136000567/image_cpjp580ik125dd614hctr0n612/-FJPG/106438-010_ROM_1.jpg</t>
  </si>
  <si>
    <t>https://dd3ka9h4chfr8.cloudfront.net/image/725136000567/image_0tpcavb74t6vn8a1q198h4fg1v/-FJPG/106438-010_VIG_1.jpg</t>
  </si>
  <si>
    <t>Duncan Storage Coffee Table - Reclaimed Fruitwood</t>
  </si>
  <si>
    <t>https://dd3ka9h4chfr8.cloudfront.net/image/725136000567/image_tvgsm9dkup07n54lqi1jnon20b/-S150x150-FJPG/IHRM-068_PRM_1.jpg</t>
  </si>
  <si>
    <t>https://dd3ka9h4chfr8.cloudfront.net/image/725136000567/image_tvgsm9dkup07n54lqi1jnon20b/-FJPG/IHRM-068_PRM_1.jpg</t>
  </si>
  <si>
    <t>https://dd3ka9h4chfr8.cloudfront.net/image/725136000567/image_o777tmg6jp79ldlqmd0nlgkp52/-FJPG/IHRM-068_SID_1.jpg</t>
  </si>
  <si>
    <t>https://dd3ka9h4chfr8.cloudfront.net/image/725136000567/image_es1ne9l5od3fnevecd70nmrh4r/-FJPG/IHRM-068_DET_2.jpg</t>
  </si>
  <si>
    <t>https://dd3ka9h4chfr8.cloudfront.net/image/725136000567/image_fv1b3031593t91of3nm6gss118/-FJPG/IHRM-068_DET_1.jpg</t>
  </si>
  <si>
    <t>https://dd3ka9h4chfr8.cloudfront.net/image/725136000567/image_oq71fochth5sb5pivu0eg8lj09/-FJPG/IHRM-068_DET_3.jpg</t>
  </si>
  <si>
    <t>https://dd3ka9h4chfr8.cloudfront.net/image/725136000567/image_p6m7rdhbs55nha5cqufbut0l41/-FJPG/IHRM-068_OPN_1.jpg</t>
  </si>
  <si>
    <t>https://dd3ka9h4chfr8.cloudfront.net/image/725136000567/image_90g96tuhap23jadeill4g6ab18/-FJPG/IHRM-068_DET_4.jpg</t>
  </si>
  <si>
    <t>https://dd3ka9h4chfr8.cloudfront.net/image/725136000567/image_iog91fbrp5387fi0fhafobv31k/-FJPG/IHRM-068_DET_5.jpg</t>
  </si>
  <si>
    <t>https://dd3ka9h4chfr8.cloudfront.net/image/725136000567/image_1l4ebbgent3tj5p1dl9fjs896d/-FJPG/IHRM-068_DET_6.jpg</t>
  </si>
  <si>
    <t>https://dd3ka9h4chfr8.cloudfront.net/image/725136000567/image_9d47dlc8lt37v8hc42t63jve2o/-FJPG/IHRM-068_DET_7.jpg</t>
  </si>
  <si>
    <t>https://dd3ka9h4chfr8.cloudfront.net/image/725136000567/image_9091gbodkp27fd3ji6grj8jm7i/-FJPG/IHRM-068_DET_8.jpg</t>
  </si>
  <si>
    <t>https://dd3ka9h4chfr8.cloudfront.net/image/725136000567/image_7o29e63ehh7dfcgphjgqj9cv2m/-FJPG/IHRM-068_DET_9.jpg</t>
  </si>
  <si>
    <t>https://dd3ka9h4chfr8.cloudfront.net/image/725136000567/image_rtf1ip21e17jn0k2hsnm8ief13/-FJPG/IHRM-068_ROM_1.jpg</t>
  </si>
  <si>
    <t>https://dd3ka9h4chfr8.cloudfront.net/image/725136000567/image_6lps9m11f50fjdoa5onjd2m370/-FJPG/IHRM-068_OPN_2.jpg</t>
  </si>
  <si>
    <t>Duncan Trunk - Reclaimed Fruitwood</t>
  </si>
  <si>
    <t>https://dd3ka9h4chfr8.cloudfront.net/image/725136000567/image_k09qejeppd5pvbagfks5ubqs45/-S150x150-FJPG/IHRM-156_PRM_1.jpg</t>
  </si>
  <si>
    <t>https://dd3ka9h4chfr8.cloudfront.net/image/725136000567/image_k09qejeppd5pvbagfks5ubqs45/-FJPG/IHRM-156_PRM_1.jpg</t>
  </si>
  <si>
    <t>https://dd3ka9h4chfr8.cloudfront.net/image/725136000567/image_t6nhmklib11rn353192uclvn0a/-FJPG/IHRM-156_SID_1.jpg</t>
  </si>
  <si>
    <t>https://dd3ka9h4chfr8.cloudfront.net/image/725136000567/image_akmncpp5bh0cbb6oq1p262v662/-FJPG/IHRM-156_ESS_1.jpg</t>
  </si>
  <si>
    <t>https://dd3ka9h4chfr8.cloudfront.net/image/725136000567/image_4dpfscs7th69525bkfsm8ps26i/-FJPG/IHRM-156_DET_2.jpg</t>
  </si>
  <si>
    <t>https://dd3ka9h4chfr8.cloudfront.net/image/725136000567/image_m2qmgh29155pl5k53u3diu0957/-FJPG/IHRM-156_DET_1.jpg</t>
  </si>
  <si>
    <t>https://dd3ka9h4chfr8.cloudfront.net/image/725136000567/image_uej6hs4pbt5lre2l80fr0q7b74/-FJPG/IHRM-156_DET_3.jpg</t>
  </si>
  <si>
    <t>https://dd3ka9h4chfr8.cloudfront.net/image/725136000567/image_asco66edtt7hb007n3cjlqcb45/-FJPG/IHRM-156_OPN_1.jpg</t>
  </si>
  <si>
    <t>https://dd3ka9h4chfr8.cloudfront.net/image/725136000567/image_10vvsstoa90mbbdkk77uj5hb5r/-FJPG/IHRM-156_DET_4.jpg</t>
  </si>
  <si>
    <t>https://dd3ka9h4chfr8.cloudfront.net/image/725136000567/image_6bt785d8b176763teiqibu3g6e/-FJPG/IHRM-156_DET_5.jpg</t>
  </si>
  <si>
    <t>https://dd3ka9h4chfr8.cloudfront.net/image/725136000567/image_c7lgsj1ba13v9bt7r3jfh6og44/-FJPG/IHRM-156_OPN_2.jpg</t>
  </si>
  <si>
    <t>Durham Dining Table - Waxed Bleached Reclaimed Pine</t>
  </si>
  <si>
    <t>https://dd3ka9h4chfr8.cloudfront.net/image/725136000567/image_jgcqimliqh4qt2dfkjtgf27l7c/-S150x150-FJPG/CIMP-C52-BO_PRM_1.jpg</t>
  </si>
  <si>
    <t>https://dd3ka9h4chfr8.cloudfront.net/image/725136000567/image_jgcqimliqh4qt2dfkjtgf27l7c/-FJPG/CIMP-C52-BO_PRM_1.jpg</t>
  </si>
  <si>
    <t>https://dd3ka9h4chfr8.cloudfront.net/image/725136000567/image_k5ncahn9el2a906rii8dkt2960/-FJPG/CIMP-C52-BO_SID_1.jpg</t>
  </si>
  <si>
    <t>https://dd3ka9h4chfr8.cloudfront.net/image/725136000567/image_fhnm4nf2mt09r2r5nqdtso4l16/-FJPG/CIMP-C52-BO_ESS_1.jpg</t>
  </si>
  <si>
    <t>https://dd3ka9h4chfr8.cloudfront.net/image/725136000567/image_3ddvqcakj17056lvbd6e1ves4p/-FJPG/CIMP-C52-BO_DET_2.jpg</t>
  </si>
  <si>
    <t>https://dd3ka9h4chfr8.cloudfront.net/image/725136000567/image_kd58anu1ah7o57s4mepa2bq821/-FJPG/CIMP-C52-BO_DET_1.jpg</t>
  </si>
  <si>
    <t>https://dd3ka9h4chfr8.cloudfront.net/image/725136000567/image_qel1q1clep47754utrpr8tpb6n/-FJPG/CIMP-C52-BO_DET_3.jpg</t>
  </si>
  <si>
    <t>https://dd3ka9h4chfr8.cloudfront.net/image/725136000567/image_ca1hd182j13qp696333r827r0v/-FJPG/CIMP-C52-BO_ROM_1.jpg</t>
  </si>
  <si>
    <t>https://dd3ka9h4chfr8.cloudfront.net/image/725136000567/image_354an25q9d5ah178jdcli4182c/-FJPG/CIMP-C52-BO_ROM_2.jpg</t>
  </si>
  <si>
    <t>https://dd3ka9h4chfr8.cloudfront.net/image/725136000567/image_q0adrbts616ibfb1potevv0o7t/-FJPG/CIMP-C52-BO_ROM_3.jpg</t>
  </si>
  <si>
    <t>Dustin Chair - Palermo Cognac</t>
  </si>
  <si>
    <t>https://dd3ka9h4chfr8.cloudfront.net/image/725136000567/image_o3c3h4ek6l68l5fnui1hbs4p2i/-S150x150-FJPG/231320-001_PRM_1.jpg</t>
  </si>
  <si>
    <t>https://dd3ka9h4chfr8.cloudfront.net/image/725136000567/image_o3c3h4ek6l68l5fnui1hbs4p2i/-FJPG/231320-001_PRM_1.jpg</t>
  </si>
  <si>
    <t>https://dd3ka9h4chfr8.cloudfront.net/image/725136000567/image_94u7v0jpbp5j9eudajliiau72s/-FJPG/231320-001_SID_1.jpg</t>
  </si>
  <si>
    <t>https://dd3ka9h4chfr8.cloudfront.net/image/725136000567/image_bnqkfj6nhd3p99tq9dt4o39k6v/-FJPG/231320-001_ESS.tif</t>
  </si>
  <si>
    <t>https://dd3ka9h4chfr8.cloudfront.net/image/725136000567/image_60o74gkjmd0qb9kri7pdufk64g/-FJPG/231320-001_DET_2.jpg</t>
  </si>
  <si>
    <t>https://dd3ka9h4chfr8.cloudfront.net/image/725136000567/image_pkm8d561dt2u9e9os2ljrdbi5l/-FJPG/231320-001_BCK_1.jpg</t>
  </si>
  <si>
    <t>https://dd3ka9h4chfr8.cloudfront.net/image/725136000567/image_ns0n5d791t5pvdgid4ju6vbm0n/-FJPG/231320-001_DET_1.jpg</t>
  </si>
  <si>
    <t>https://dd3ka9h4chfr8.cloudfront.net/image/725136000567/image_gaun1v08sh2v58mqg591cqbe2t/-FJPG/231320-001_DET_3.jpg</t>
  </si>
  <si>
    <t>https://dd3ka9h4chfr8.cloudfront.net/image/725136000567/image_btqv88shed4952i0d815g3k77n/-FJPG/231320-001_DET_4.jpg</t>
  </si>
  <si>
    <t>https://dd3ka9h4chfr8.cloudfront.net/image/725136000567/image_5sdovhn8i97mlbas2ajd2off1m/-FJPG/231320-001_DET_5.jpg</t>
  </si>
  <si>
    <t>https://dd3ka9h4chfr8.cloudfront.net/image/725136000567/image_rce4hsubi50435q1kecubq0f15/-FJPG/231320-001_ROM_1.jpg</t>
  </si>
  <si>
    <t>Dylan Chair - Palermo Drift</t>
  </si>
  <si>
    <t>https://dd3ka9h4chfr8.cloudfront.net/image/725136000567/image_sb03uk21r53id7ptsqnnmsn33e/-S150x150-FJPG/106139-009_PRM_1.jpg</t>
  </si>
  <si>
    <t>https://dd3ka9h4chfr8.cloudfront.net/image/725136000567/image_sb03uk21r53id7ptsqnnmsn33e/-FJPG/106139-009_PRM_1.jpg</t>
  </si>
  <si>
    <t>https://dd3ka9h4chfr8.cloudfront.net/image/725136000567/image_64oniof8094sd5foh4l2qpan64/-FJPG/106139-009_SID_1.jpg</t>
  </si>
  <si>
    <t>https://dd3ka9h4chfr8.cloudfront.net/image/725136000567/image_jsb2rnru3906lcp3p26skqna09/-FJPG/106139-009_DET_2.jpg</t>
  </si>
  <si>
    <t>https://dd3ka9h4chfr8.cloudfront.net/image/725136000567/image_ru1jvbs43d5e5es8bgvabpm34a/-FJPG/106139-009_BCK_1.jpg</t>
  </si>
  <si>
    <t>https://dd3ka9h4chfr8.cloudfront.net/image/725136000567/image_cigs7neqph06veba2k0ffpm16o/-FJPG/106139-009_DET_1.jpg</t>
  </si>
  <si>
    <t>https://dd3ka9h4chfr8.cloudfront.net/image/725136000567/image_b30n4ub645589cj8tja7opul5b/-FJPG/106139-009_DET_3.jpg</t>
  </si>
  <si>
    <t>https://dd3ka9h4chfr8.cloudfront.net/image/725136000567/image_dpt3rl98017272v4i6unugvt40/-FJPG/106139-009_DET_4.jpg</t>
  </si>
  <si>
    <t>https://dd3ka9h4chfr8.cloudfront.net/image/725136000567/image_v5ce6d65cl25b5ti4lr74i051d/-FJPG/106139-009_DET_5.jpg</t>
  </si>
  <si>
    <t>https://dd3ka9h4chfr8.cloudfront.net/image/725136000567/image_cmp5d5mp2d4vtce12n3f3lb652/-FJPG/106139-009_DET_6.jpg</t>
  </si>
  <si>
    <t>Dylan Chair - Sapphire Olive</t>
  </si>
  <si>
    <t>https://dd3ka9h4chfr8.cloudfront.net/image/725136000567/image_mbm4aiv5mp1pv4r4k9njesvs3r/-S150x150-FJPG/CKEN-52C-557_PRM_1.jpg</t>
  </si>
  <si>
    <t>https://dd3ka9h4chfr8.cloudfront.net/image/725136000567/image_mbm4aiv5mp1pv4r4k9njesvs3r/-FJPG/CKEN-52C-557_PRM_1.jpg</t>
  </si>
  <si>
    <t>https://dd3ka9h4chfr8.cloudfront.net/image/725136000567/image_ok2t3tdcuh0t773hbn2gh1nj64/-FJPG/CKEN-52C-557_SID_1.jpg</t>
  </si>
  <si>
    <t>https://dd3ka9h4chfr8.cloudfront.net/image/725136000567/image_esuns35t8t6t9fi84rfmh99u5d/-FJPG/CKEN-52C-557_DET_2.jpg</t>
  </si>
  <si>
    <t>https://dd3ka9h4chfr8.cloudfront.net/image/725136000567/image_ke2jo8ebv93jre65ujvdtoe52o/-FJPG/CKEN-52C-557_BCK_1.jpg</t>
  </si>
  <si>
    <t>https://dd3ka9h4chfr8.cloudfront.net/image/725136000567/image_b9enbnb2r157j3cp6accm8h64a/-FJPG/CKEN-52C-557_DET_1.jpg</t>
  </si>
  <si>
    <t>https://dd3ka9h4chfr8.cloudfront.net/image/725136000567/image_4e19jgjoh54gb895o3spd4cr6k/-FJPG/CKEN-52C-557_DET_3.jpg</t>
  </si>
  <si>
    <t>https://dd3ka9h4chfr8.cloudfront.net/image/725136000567/image_5vnh4afnfd6rhbt1msg7smel6h/-FJPG/CKEN-52C-557_DET_4.jpg</t>
  </si>
  <si>
    <t>https://dd3ka9h4chfr8.cloudfront.net/image/725136000567/image_3o0c8kfdil1ap7f6ck2f6k494r/-FJPG/CKEN-52C-557_DET_5.jpg</t>
  </si>
  <si>
    <t>https://dd3ka9h4chfr8.cloudfront.net/image/725136000567/image_r638g42us92rr72c7g28d5s91j/-FJPG/CKEN-52C-557_DET_6.jpg</t>
  </si>
  <si>
    <t>https://dd3ka9h4chfr8.cloudfront.net/image/725136000567/image_lemrict6bt4tf7mg4ii9i2is4l/-FJPG/CKEN-52C-557_DET_7.jpg</t>
  </si>
  <si>
    <t>Dylan Chaise Lounge - Palermo Drift</t>
  </si>
  <si>
    <t>https://dd3ka9h4chfr8.cloudfront.net/image/725136000567/image_u5fmehlkqt5rp4veto6kbf157q/-S150x150-FJPG/105997-012_PRM_1.jpg</t>
  </si>
  <si>
    <t>https://dd3ka9h4chfr8.cloudfront.net/image/725136000567/image_u5fmehlkqt5rp4veto6kbf157q/-FJPG/105997-012_PRM_1.jpg</t>
  </si>
  <si>
    <t>https://dd3ka9h4chfr8.cloudfront.net/image/725136000567/image_s6ufkgk5g165bc7ri60qhsl655/-FJPG/105997-012_SID_1.jpg</t>
  </si>
  <si>
    <t>https://dd3ka9h4chfr8.cloudfront.net/image/725136000567/image_aoeil628052td5igth5pgah25p/-FJPG/105997-012_ESS.tif</t>
  </si>
  <si>
    <t>https://dd3ka9h4chfr8.cloudfront.net/image/725136000567/image_njhs5o47sh4m58lefuogqo0a4k/-FJPG/105997-012_DET_2.jpg</t>
  </si>
  <si>
    <t>https://dd3ka9h4chfr8.cloudfront.net/image/725136000567/image_svr55ocl913bfdinebm4n1305n/-FJPG/105997-012_BCK_1.jpg</t>
  </si>
  <si>
    <t>https://dd3ka9h4chfr8.cloudfront.net/image/725136000567/image_5iq104800p4p59fu6q2qq3353d/-FJPG/105997-012_DET_1.jpg</t>
  </si>
  <si>
    <t>https://dd3ka9h4chfr8.cloudfront.net/image/725136000567/image_sgcsqhf2hh2sb2las2op2isn70/-FJPG/105997-012_DET_3.jpg</t>
  </si>
  <si>
    <t>https://dd3ka9h4chfr8.cloudfront.net/image/725136000567/image_tb84a2q2r150j1fitdgdr6jl32/-FJPG/105997-012_DET_4.jpg</t>
  </si>
  <si>
    <t>https://dd3ka9h4chfr8.cloudfront.net/image/725136000567/image_6qvja05t6130f25tqa8jsorq72/-FJPG/105997-012_DET_5.jpg</t>
  </si>
  <si>
    <t>https://dd3ka9h4chfr8.cloudfront.net/image/725136000567/image_onds7mpn852s1143hf3pooco41/-FJPG/105997-012_DET_6.jpg</t>
  </si>
  <si>
    <t>https://dd3ka9h4chfr8.cloudfront.net/image/725136000567/image_i6km11lmbp7d7cqhakb3t1fn1s/-FJPG/105997-012_DET_9.tif</t>
  </si>
  <si>
    <t>Dylan Chaise Lounge - Sapphire Olive</t>
  </si>
  <si>
    <t>https://dd3ka9h4chfr8.cloudfront.net/image/725136000567/image_33r6d4tk5l4k33fkvpj5ssvq7n/-S150x150-FJPG/CKEN-154C-557_PRM_1.jpg</t>
  </si>
  <si>
    <t>https://dd3ka9h4chfr8.cloudfront.net/image/725136000567/image_33r6d4tk5l4k33fkvpj5ssvq7n/-FJPG/CKEN-154C-557_PRM_1.jpg</t>
  </si>
  <si>
    <t>https://dd3ka9h4chfr8.cloudfront.net/image/725136000567/image_3in978h39174feepifeqq64812/-FJPG/CKEN-154C-557_SID_1.jpg</t>
  </si>
  <si>
    <t>https://dd3ka9h4chfr8.cloudfront.net/image/725136000567/image_1fgl20561l27d5csbi2mbdf028/-FJPG/CKEN-154C-557_DET_2.jpg</t>
  </si>
  <si>
    <t>https://dd3ka9h4chfr8.cloudfront.net/image/725136000567/image_h3glrnofj11ad534pc73gt0057/-FJPG/CKEN-154C-557_BCK_1.jpg</t>
  </si>
  <si>
    <t>https://dd3ka9h4chfr8.cloudfront.net/image/725136000567/image_elh0frf2kt6qh3og98l4qa124s/-FJPG/CKEN-154C-557_DET_1.jpg</t>
  </si>
  <si>
    <t>https://dd3ka9h4chfr8.cloudfront.net/image/725136000567/image_o2vsekh54168779t5s15tru33m/-FJPG/CKEN-154C-557_DET_3.jpg</t>
  </si>
  <si>
    <t>https://dd3ka9h4chfr8.cloudfront.net/image/725136000567/image_duq066uj315ff3bkd25om8ol52/-FJPG/CKEN-154C-557_DET_4.jpg</t>
  </si>
  <si>
    <t>https://dd3ka9h4chfr8.cloudfront.net/image/725136000567/image_0tm9jd5nbl01rbvpcjqae4r450/-FJPG/CKEN-154C-557_DET_5.jpg</t>
  </si>
  <si>
    <t>https://dd3ka9h4chfr8.cloudfront.net/image/725136000567/image_2b4m7sg8g12vj7oh1vahbqe56g/-FJPG/CKEN-154C-557_DET_6.jpg</t>
  </si>
  <si>
    <t>https://dd3ka9h4chfr8.cloudfront.net/image/725136000567/image_0e0c4ivbm555neoichgipg1v2c/-FJPG/CKEN-154C-557_DET_7.jpg</t>
  </si>
  <si>
    <t>https://dd3ka9h4chfr8.cloudfront.net/image/725136000567/image_1dcqh55vvd16tb659e5amq803t/-FJPG/CKEN-154C-557_ROM_1.jpg</t>
  </si>
  <si>
    <t>Dylan Sofa - Kerbey Taupe</t>
  </si>
  <si>
    <t>https://dd3ka9h4chfr8.cloudfront.net/image/725136000567/image_bdnsi3sto90qtcocoevdhctl5s/-S150x150-FJPG/106172-018_PRM_1.jpg</t>
  </si>
  <si>
    <t>https://dd3ka9h4chfr8.cloudfront.net/image/725136000567/image_bdnsi3sto90qtcocoevdhctl5s/-FJPG/106172-018_PRM_1.jpg</t>
  </si>
  <si>
    <t>https://dd3ka9h4chfr8.cloudfront.net/image/725136000567/image_f3trvfuucd4q13dvf9h4m3ol0s/-FJPG/106172-018_SID_1.jpg</t>
  </si>
  <si>
    <t>https://dd3ka9h4chfr8.cloudfront.net/image/725136000567/image_5jblr05s4d1rp7p6urpmqedv7b/-FJPG/106172-018_DET_2.jpg</t>
  </si>
  <si>
    <t>https://dd3ka9h4chfr8.cloudfront.net/image/725136000567/image_lqkno9kgg15lffi7q6tve3lu14/-FJPG/106172-018_BCK_1.jpg</t>
  </si>
  <si>
    <t>https://dd3ka9h4chfr8.cloudfront.net/image/725136000567/image_lj3thftb1d2pf341ebl0bjmn60/-FJPG/106172-018_DET_1.jpg</t>
  </si>
  <si>
    <t>https://dd3ka9h4chfr8.cloudfront.net/image/725136000567/image_1e2j3064d94th84t506i34h53h/-FJPG/106172-018_DET_3.jpg</t>
  </si>
  <si>
    <t>https://dd3ka9h4chfr8.cloudfront.net/image/725136000567/image_7t4rl2f8q90fd9bd0qq9kt9p0r/-FJPG/106172-018_DET_4.jpg</t>
  </si>
  <si>
    <t>https://dd3ka9h4chfr8.cloudfront.net/image/725136000567/image_khaung3t8d0955f27ial0pbs1g/-FJPG/106172-018_DET_5.jpg</t>
  </si>
  <si>
    <t>https://dd3ka9h4chfr8.cloudfront.net/image/725136000567/image_eqfajl7f194c92bqeq2ie0sg0j/-FJPG/106172-018_DET_6.jpg</t>
  </si>
  <si>
    <t>https://dd3ka9h4chfr8.cloudfront.net/image/725136000567/image_r2knld1o9l3rj6s19obm31rn77/-FJPG/106172-018_DET_7.jpg</t>
  </si>
  <si>
    <t>https://dd3ka9h4chfr8.cloudfront.net/image/725136000567/image_14v1rlq6fp4b1f964o2ssno052/-FJPG/106172-018_DET_8.jpg</t>
  </si>
  <si>
    <t>Dylan Sofa - Palermo Drift</t>
  </si>
  <si>
    <t>https://dd3ka9h4chfr8.cloudfront.net/image/725136000567/image_c0cjla3g15771et9ab6pudkh6j/-S150x150-FJPG/106172-017_PRM_1.jpg</t>
  </si>
  <si>
    <t>https://dd3ka9h4chfr8.cloudfront.net/image/725136000567/image_c0cjla3g15771et9ab6pudkh6j/-FJPG/106172-017_PRM_1.jpg</t>
  </si>
  <si>
    <t>https://dd3ka9h4chfr8.cloudfront.net/image/725136000567/image_e99j57fdit2mh9iscnbjdme04l/-FJPG/106172-017_SID_1.jpg</t>
  </si>
  <si>
    <t>https://dd3ka9h4chfr8.cloudfront.net/image/725136000567/image_6jm5b3on3114f7drrlsvnb0b3r/-FJPG/106172-017_DET_2.jpg</t>
  </si>
  <si>
    <t>https://dd3ka9h4chfr8.cloudfront.net/image/725136000567/image_eeafj1k84h5bldi94tevn5922r/-FJPG/106172-017_BCK_1.jpg</t>
  </si>
  <si>
    <t>https://dd3ka9h4chfr8.cloudfront.net/image/725136000567/image_mmv57bjujt75j0nh06boe0a73t/-FJPG/106172-017_DET_1.jpg</t>
  </si>
  <si>
    <t>https://dd3ka9h4chfr8.cloudfront.net/image/725136000567/image_u8f30bakih2o38c4j0jmnv8e1u/-FJPG/106172-017_DET_3.jpg</t>
  </si>
  <si>
    <t>https://dd3ka9h4chfr8.cloudfront.net/image/725136000567/image_6c1pnqcms96pd3igcmdm0eef2b/-FJPG/106172-017_DET_4.jpg</t>
  </si>
  <si>
    <t>https://dd3ka9h4chfr8.cloudfront.net/image/725136000567/image_2muvv7nrf965j9afilv7du6o3h/-FJPG/106172-017_DET_5.jpg</t>
  </si>
  <si>
    <t>https://dd3ka9h4chfr8.cloudfront.net/image/725136000567/image_devcl9jjs17p9fbcrlmdqe520r/-FJPG/106172-017_DET_6.jpg</t>
  </si>
  <si>
    <t>https://dd3ka9h4chfr8.cloudfront.net/image/725136000567/image_pj04p3vut51bnfmscnd6ae1d2f/-FJPG/106172-017_DET_7.jpg</t>
  </si>
  <si>
    <t>https://dd3ka9h4chfr8.cloudfront.net/image/725136000567/image_knqjqpa0pl2g1dne9t4kpjv60i/-FJPG/106172-017_DET_8.jpg</t>
  </si>
  <si>
    <t>https://dd3ka9h4chfr8.cloudfront.net/image/725136000567/image_bkfskj7gu53lfehrnduo709c7g/-FJPG/106172-017_DET_9.tif</t>
  </si>
  <si>
    <t>https://dd3ka9h4chfr8.cloudfront.net/image/725136000567/image_pk7esnaa7172f5pci69qantd4s/-FJPG/106172-017_DET_9.jpg</t>
  </si>
  <si>
    <t>https://dd3ka9h4chfr8.cloudfront.net/image/725136000567/image_saa973b3e5359fp8soukh0tb23/-FJPG/106172-017_DET_10.tif</t>
  </si>
  <si>
    <t>https://dd3ka9h4chfr8.cloudfront.net/image/725136000567/image_sbrhqcf2k907f727bo6vj57n5u/-FJPG/106172-017_ESS.tif</t>
  </si>
  <si>
    <t>Dylan Sofa - Rider Black</t>
  </si>
  <si>
    <t>https://dd3ka9h4chfr8.cloudfront.net/image/725136000567/image_a9rt2cmu7h2b90od9ajmcljb4q/-S150x150-FJPG/CKEN-F7C-396_PRM_1.jpg</t>
  </si>
  <si>
    <t>https://dd3ka9h4chfr8.cloudfront.net/image/725136000567/image_a9rt2cmu7h2b90od9ajmcljb4q/-FJPG/CKEN-F7C-396_PRM_1.jpg</t>
  </si>
  <si>
    <t>https://dd3ka9h4chfr8.cloudfront.net/image/725136000567/image_pa68ru9ent6jf8rs8jhd912d73/-FJPG/CKEN-F7C-396_SID_1.jpg</t>
  </si>
  <si>
    <t>https://dd3ka9h4chfr8.cloudfront.net/image/725136000567/image_gt6qh8lvsh3opbnp4p1surmj4d/-FJPG/CKEN-F7C-396_DET_2.jpg</t>
  </si>
  <si>
    <t>https://dd3ka9h4chfr8.cloudfront.net/image/725136000567/image_5g6unkk6rt3d99c9gj88spnb6a/-FJPG/CKEN-F7C-396_BCK_1.jpg</t>
  </si>
  <si>
    <t>https://dd3ka9h4chfr8.cloudfront.net/image/725136000567/image_874hdsm9bd3i96m3d98r0j6a50/-FJPG/CKEN-F7C-396_DET_1.jpg</t>
  </si>
  <si>
    <t>https://dd3ka9h4chfr8.cloudfront.net/image/725136000567/image_5sssp7raal7qtbnddratdla543/-FJPG/CKEN-F7C-396_DET_3.jpg</t>
  </si>
  <si>
    <t>https://dd3ka9h4chfr8.cloudfront.net/image/725136000567/image_gvmto3plmt4d9cjd2hqu498d7u/-FJPG/CKEN-F7C-396_ROM_1.jpg</t>
  </si>
  <si>
    <t>Dylan Sofa - Sapphire Navy</t>
  </si>
  <si>
    <t>https://dd3ka9h4chfr8.cloudfront.net/image/725136000567/image_mh8sic351t1a7dfm5riomj1g3c/-S150x150-FJPG/106172-012_PRM_1.jpg</t>
  </si>
  <si>
    <t>https://dd3ka9h4chfr8.cloudfront.net/image/725136000567/image_mh8sic351t1a7dfm5riomj1g3c/-FJPG/106172-012_PRM_1.jpg</t>
  </si>
  <si>
    <t>https://dd3ka9h4chfr8.cloudfront.net/image/725136000567/image_4iante16p57p18bm9u3e6i427q/-FJPG/106172-012_SID_1.jpg</t>
  </si>
  <si>
    <t>https://dd3ka9h4chfr8.cloudfront.net/image/725136000567/image_ts4g29q1414637cuh92joqd507/-FJPG/106172-012_DET_2.jpg</t>
  </si>
  <si>
    <t>https://dd3ka9h4chfr8.cloudfront.net/image/725136000567/image_up2fr4ds7t7h7f0neaunkk0s6u/-FJPG/106172-012_BCK_1.jpg</t>
  </si>
  <si>
    <t>https://dd3ka9h4chfr8.cloudfront.net/image/725136000567/image_cs8mvr5ib932t4satjsnk1no1q/-FJPG/106172-012_DET_1.jpg</t>
  </si>
  <si>
    <t>https://dd3ka9h4chfr8.cloudfront.net/image/725136000567/image_gos110rdpt5b97tig4qggnab6k/-FJPG/106172-012_DET_3.jpg</t>
  </si>
  <si>
    <t>https://dd3ka9h4chfr8.cloudfront.net/image/725136000567/image_514k2l04490i3abbr3s7g0bs1s/-FJPG/106172-012_DET_4.jpg</t>
  </si>
  <si>
    <t>https://dd3ka9h4chfr8.cloudfront.net/image/725136000567/image_8nhtt2iqr94dvbssi3tjta6k60/-FJPG/106172-012_DET_5.jpg</t>
  </si>
  <si>
    <t>https://dd3ka9h4chfr8.cloudfront.net/image/725136000567/image_mjfbjsjdfh0v9e51eua47hmp3h/-FJPG/106172-012_DET_6.jpg</t>
  </si>
  <si>
    <t>Dylan Sofa - Sapphire Olive</t>
  </si>
  <si>
    <t>https://dd3ka9h4chfr8.cloudfront.net/image/725136000567/image_hdj0lmp70p33b0rjp151fipr4l/-S150x150-FJPG/CKEN-E1C-557_PRM_1.jpg</t>
  </si>
  <si>
    <t>https://dd3ka9h4chfr8.cloudfront.net/image/725136000567/image_hdj0lmp70p33b0rjp151fipr4l/-FJPG/CKEN-E1C-557_PRM_1.jpg</t>
  </si>
  <si>
    <t>https://dd3ka9h4chfr8.cloudfront.net/image/725136000567/image_8bhp6pv7l52jleinr4qa8t4j5u/-FJPG/CKEN-E1C-557_SID_1.jpg</t>
  </si>
  <si>
    <t>https://dd3ka9h4chfr8.cloudfront.net/image/725136000567/image_lssq1ketrh47781892okjqus4h/-FJPG/CKEN-E1C-557_ESS_1.jpg</t>
  </si>
  <si>
    <t>https://dd3ka9h4chfr8.cloudfront.net/image/725136000567/image_1t2kkmpiit23tal6sfr0krkv5l/-FJPG/CKEN-E1C-557_DET_2.jpg</t>
  </si>
  <si>
    <t>https://dd3ka9h4chfr8.cloudfront.net/image/725136000567/image_odtfl8n3u95b1ct7qi1dm87s2e/-FJPG/CKEN-E1C-557_BCK_1.jpg</t>
  </si>
  <si>
    <t>https://dd3ka9h4chfr8.cloudfront.net/image/725136000567/image_bvtcrnr74h5sh558vj67l3c96f/-FJPG/CKEN-E1C-557_DET_1.jpg</t>
  </si>
  <si>
    <t>https://dd3ka9h4chfr8.cloudfront.net/image/725136000567/image_io2sgro07d4vreg8ltafccmo6a/-FJPG/CKEN-E1C-557_DET_3.jpg</t>
  </si>
  <si>
    <t>https://dd3ka9h4chfr8.cloudfront.net/image/725136000567/image_3br93t66ul7o9culcp1r2a903i/-FJPG/CKEN-E1C-557_DET_4.jpg</t>
  </si>
  <si>
    <t>https://dd3ka9h4chfr8.cloudfront.net/image/725136000567/image_ek9aa0h7dh57ff3gha43scp71m/-FJPG/CKEN-E1C-557_DET_5.jpg</t>
  </si>
  <si>
    <t>https://dd3ka9h4chfr8.cloudfront.net/image/725136000567/image_07lrp3riot2r5etbjgiap5em4u/-FJPG/CKEN-E1C-557_DET_6.jpg</t>
  </si>
  <si>
    <t>https://dd3ka9h4chfr8.cloudfront.net/image/725136000567/image_t00m61n8id665854fs9dq91h00/-FJPG/CKEN-E1C-557_DET_7.jpg</t>
  </si>
  <si>
    <t>https://dd3ka9h4chfr8.cloudfront.net/image/725136000567/image_ko2d9e34rt17r721vdu36q1s22/-FJPG/CKEN-E1C-557_DET_8.jpg</t>
  </si>
  <si>
    <t>https://dd3ka9h4chfr8.cloudfront.net/image/725136000567/image_tbeumtk5ch76d6o77160o11513/-FJPG/CKEN-E1C-557_DET_9.jpg</t>
  </si>
  <si>
    <t>https://dd3ka9h4chfr8.cloudfront.net/image/725136000567/image_4k4sitjv1l0srakqfraqs5dl40/-FJPG/CKEN-E1C-557_ROM_1.jpg</t>
  </si>
  <si>
    <t>Eaton 5 Drawer Dresser - Amber Oak Resin</t>
  </si>
  <si>
    <t>https://dd3ka9h4chfr8.cloudfront.net/image/725136000567/image_i0lgkmf96t6h12q4sqn37u3a3r/-S150x150-FJPG/109284-002_PRM_1.jpg</t>
  </si>
  <si>
    <t>https://dd3ka9h4chfr8.cloudfront.net/image/725136000567/image_i0lgkmf96t6h12q4sqn37u3a3r/-FJPG/109284-002_PRM_1.jpg</t>
  </si>
  <si>
    <t>https://dd3ka9h4chfr8.cloudfront.net/image/725136000567/image_frj5r9bvdl2f5dmfpjnu4s9a3o/-FJPG/109284-002_SID_1.jpg</t>
  </si>
  <si>
    <t>https://dd3ka9h4chfr8.cloudfront.net/image/725136000567/image_0dgh0ob6v12db61cntk6qr5c2d/-FJPG/109284-002_ESS_1.jpg</t>
  </si>
  <si>
    <t>https://dd3ka9h4chfr8.cloudfront.net/image/725136000567/image_bcgpg3pb2p1jne397fld0uk26n/-FJPG/109284-002_DET_2.jpg</t>
  </si>
  <si>
    <t>https://dd3ka9h4chfr8.cloudfront.net/image/725136000567/image_tls14at4v57ghafnus1j7hvg4v/-FJPG/109284-002_BCK_1.jpg</t>
  </si>
  <si>
    <t>https://dd3ka9h4chfr8.cloudfront.net/image/725136000567/image_lfigd4of1p1pt947b1321b8m7g/-FJPG/109284-002_DET_1.jpg</t>
  </si>
  <si>
    <t>https://dd3ka9h4chfr8.cloudfront.net/image/725136000567/image_5v1qu0d0nd2krc0cq8pnvhnt4e/-FJPG/109284-002_DET_3.jpg</t>
  </si>
  <si>
    <t>https://dd3ka9h4chfr8.cloudfront.net/image/725136000567/image_4vocir219l1e50vgr3pbvl6m0h/-FJPG/109284-002_OPN_1.jpg</t>
  </si>
  <si>
    <t>https://dd3ka9h4chfr8.cloudfront.net/image/725136000567/image_57mdnr2qud3nt4icik513h5j3a/-FJPG/109284-002_DET_4.jpg</t>
  </si>
  <si>
    <t>https://dd3ka9h4chfr8.cloudfront.net/image/725136000567/image_4hil51n66t64r236gm2lmiqi3u/-FJPG/109284-002_DET_5.jpg</t>
  </si>
  <si>
    <t>https://dd3ka9h4chfr8.cloudfront.net/image/725136000567/image_k60ajatni15av5rn15ipbl9m5e/-FJPG/109284-002_DET_6.jpg</t>
  </si>
  <si>
    <t>https://dd3ka9h4chfr8.cloudfront.net/image/725136000567/image_c61o3uos996s3ac2ehh8i2cl3l/-FJPG/109284-002_DET_7.jpg</t>
  </si>
  <si>
    <t>https://dd3ka9h4chfr8.cloudfront.net/image/725136000567/image_qonmbkm8kp7bv8v0btftftpj7q/-FJPG/109284-002_DET_8.jpg</t>
  </si>
  <si>
    <t>Eaton 9 Drawer Dresser - Amber Oak Resin</t>
  </si>
  <si>
    <t>https://dd3ka9h4chfr8.cloudfront.net/image/725136000567/image_kkj6a1r4np1a99cskpetu6ei5e/-S150x150-FJPG/109283-002_PRM_1.jpg</t>
  </si>
  <si>
    <t>https://dd3ka9h4chfr8.cloudfront.net/image/725136000567/image_kkj6a1r4np1a99cskpetu6ei5e/-FJPG/109283-002_PRM_1.jpg</t>
  </si>
  <si>
    <t>https://dd3ka9h4chfr8.cloudfront.net/image/725136000567/image_nni81mnsol53r5e81o6qqpdj1i/-FJPG/109283-002_SID_1.jpg</t>
  </si>
  <si>
    <t>https://dd3ka9h4chfr8.cloudfront.net/image/725136000567/image_jhds7ocq4t6j3bhvm3lrb0cb34/-FJPG/109283-002_ESS_1.jpg</t>
  </si>
  <si>
    <t>https://dd3ka9h4chfr8.cloudfront.net/image/725136000567/image_liro5tc0b10kd7tp8805glp92l/-FJPG/109283-002_DET_2.jpg</t>
  </si>
  <si>
    <t>https://dd3ka9h4chfr8.cloudfront.net/image/725136000567/image_ubc1km445p66v0g7brsjt3ro28/-FJPG/109283-002_BCK_1.jpg</t>
  </si>
  <si>
    <t>https://dd3ka9h4chfr8.cloudfront.net/image/725136000567/image_rl5bn2lrfp3qh0omv1v22umc0j/-FJPG/109283-002_DET_1.jpg</t>
  </si>
  <si>
    <t>https://dd3ka9h4chfr8.cloudfront.net/image/725136000567/image_gn4v96pe8t35b6t9vte40qtg2d/-FJPG/109283-002_DET_3.jpg</t>
  </si>
  <si>
    <t>https://dd3ka9h4chfr8.cloudfront.net/image/725136000567/image_7t4sq3f7651330nrt8qln3ef66/-FJPG/109283-002_OPN_1.jpg</t>
  </si>
  <si>
    <t>https://dd3ka9h4chfr8.cloudfront.net/image/725136000567/image_e6hr8bkb9t4hfd7hbicua0fs1o/-FJPG/109283-002_DET_4.jpg</t>
  </si>
  <si>
    <t>https://dd3ka9h4chfr8.cloudfront.net/image/725136000567/image_c2kcs462q93creu9papemmhq7l/-FJPG/109283-002_DET_5.jpg</t>
  </si>
  <si>
    <t>https://dd3ka9h4chfr8.cloudfront.net/image/725136000567/image_8o7olr69993k53cu27n0t06p21/-FJPG/109283-002_DET_6.jpg</t>
  </si>
  <si>
    <t>https://dd3ka9h4chfr8.cloudfront.net/image/725136000567/image_gqoug6a9jd4gfc3edko21dq10m/-FJPG/109283-002_DET_7.jpg</t>
  </si>
  <si>
    <t>Eaton Drum Coffee Table - Light Oak Resin</t>
  </si>
  <si>
    <t>https://dd3ka9h4chfr8.cloudfront.net/image/725136000567/image_6fee2hct9h4o39eqi2ppsif46s/-S150x150-FJPG/228346-001_PRM_1.jpg</t>
  </si>
  <si>
    <t>https://dd3ka9h4chfr8.cloudfront.net/image/725136000567/image_6fee2hct9h4o39eqi2ppsif46s/-FJPG/228346-001_PRM_1.jpg</t>
  </si>
  <si>
    <t>https://dd3ka9h4chfr8.cloudfront.net/image/725136000567/image_iq5uosa0t94sh0njf8lekofj7h/-FJPG/228346-001_DET_2.jpg</t>
  </si>
  <si>
    <t>https://dd3ka9h4chfr8.cloudfront.net/image/725136000567/image_2tibuflk6t2knaom55rm73kj35/-FJPG/228346-001_DET_1.jpg</t>
  </si>
  <si>
    <t>https://dd3ka9h4chfr8.cloudfront.net/image/725136000567/image_526slfq3rt4756rgcbolc4834l/-FJPG/228346-001_DET_3.jpg</t>
  </si>
  <si>
    <t>https://dd3ka9h4chfr8.cloudfront.net/image/725136000567/image_8ism6ouan50lb8b4gpf2sfj40m/-FJPG/228346-001_DET_4.jpg</t>
  </si>
  <si>
    <t>https://dd3ka9h4chfr8.cloudfront.net/image/725136000567/image_mu5m84p4ld3ejbm9f83itnpo56/-FJPG/228346-001_DET_5.jpg</t>
  </si>
  <si>
    <t>https://dd3ka9h4chfr8.cloudfront.net/image/725136000567/image_takqjnr7bd6gfbv81fe84ulj0r/-FJPG/228346-001_VIG_1.jpg</t>
  </si>
  <si>
    <t>https://dd3ka9h4chfr8.cloudfront.net/image/725136000567/image_kugarr76gh2mrbcju9be0vko0p/-FJPG/228346-001_ESS.tif</t>
  </si>
  <si>
    <t>Eaton Executive Desk - Amber Oak Resin</t>
  </si>
  <si>
    <t>https://dd3ka9h4chfr8.cloudfront.net/image/725136000567/image_65b3f7hktp4ep788uudi801p74/-S150x150-FJPG/227862-002_PRM_1.jpg</t>
  </si>
  <si>
    <t>https://dd3ka9h4chfr8.cloudfront.net/image/725136000567/image_65b3f7hktp4ep788uudi801p74/-FJPG/227862-002_PRM_1.jpg</t>
  </si>
  <si>
    <t>https://dd3ka9h4chfr8.cloudfront.net/image/725136000567/image_77u95ujrq91op3rtjoflabr22t/-FJPG/227862-002_SID_1.jpg</t>
  </si>
  <si>
    <t>https://dd3ka9h4chfr8.cloudfront.net/image/725136000567/image_3q3napf53d14d5mdkb3degs146/-FJPG/227862-002_ESS_1.jpg</t>
  </si>
  <si>
    <t>https://dd3ka9h4chfr8.cloudfront.net/image/725136000567/image_l8spv6sv7151jaug44mla1fh01/-FJPG/227862-002_DET_2.jpg</t>
  </si>
  <si>
    <t>https://dd3ka9h4chfr8.cloudfront.net/image/725136000567/image_1fd21li975123cm4lh1mqr7c53/-FJPG/227862-002_BCK_1.jpg</t>
  </si>
  <si>
    <t>https://dd3ka9h4chfr8.cloudfront.net/image/725136000567/image_9pk4hhc97p2n17a7jr1g31hc27/-FJPG/227862-002_DET_1.jpg</t>
  </si>
  <si>
    <t>https://dd3ka9h4chfr8.cloudfront.net/image/725136000567/image_r4a6pdlett2cva8q3birn7lo50/-FJPG/227862-002_DET_3.jpg</t>
  </si>
  <si>
    <t>https://dd3ka9h4chfr8.cloudfront.net/image/725136000567/image_13tjohlb890jv7ahs84bqnn346/-FJPG/227862-002_OPN_1.jpg</t>
  </si>
  <si>
    <t>https://dd3ka9h4chfr8.cloudfront.net/image/725136000567/image_26kela2kmp28n399g2sb7d290a/-FJPG/227862-002_DET_4.jpg</t>
  </si>
  <si>
    <t>https://dd3ka9h4chfr8.cloudfront.net/image/725136000567/image_jd9joj81jt505e34imqlgnne4b/-FJPG/227862-002_DET_5.jpg</t>
  </si>
  <si>
    <t>https://dd3ka9h4chfr8.cloudfront.net/image/725136000567/image_qgfl9p7hit3gp8p0q5bp8jet4l/-FJPG/227862-002_DET_6.jpg</t>
  </si>
  <si>
    <t>https://dd3ka9h4chfr8.cloudfront.net/image/725136000567/image_titu7ubdb50rv9o6cq9qg5o251/-FJPG/227862-002_DET_7.jpg</t>
  </si>
  <si>
    <t>Eaton Executive Desk - Light Oak Resin</t>
  </si>
  <si>
    <t>https://dd3ka9h4chfr8.cloudfront.net/image/725136000567/image_69c2bkacft6930h078vt9u583u/-S150x150-FJPG/227862-001_PRM_1.jpg</t>
  </si>
  <si>
    <t>https://dd3ka9h4chfr8.cloudfront.net/image/725136000567/image_69c2bkacft6930h078vt9u583u/-FJPG/227862-001_PRM_1.jpg</t>
  </si>
  <si>
    <t>https://dd3ka9h4chfr8.cloudfront.net/image/725136000567/image_0lhu6u7h7h5dnfl5noe12b1u23/-FJPG/227862-001_SID_1.jpg</t>
  </si>
  <si>
    <t>https://dd3ka9h4chfr8.cloudfront.net/image/725136000567/image_5hq78grrg16lv1mnfcb9k6rq5k/-FJPG/227862-001_ESS_1.jpg</t>
  </si>
  <si>
    <t>https://dd3ka9h4chfr8.cloudfront.net/image/725136000567/image_mt69sga7bp19r8hklq241v3t0p/-FJPG/227862-001_DET_2.jpg</t>
  </si>
  <si>
    <t>https://dd3ka9h4chfr8.cloudfront.net/image/725136000567/image_kh0jral4e50ir79vf5ti65f53k/-FJPG/227862-001_BCK_1.jpg</t>
  </si>
  <si>
    <t>https://dd3ka9h4chfr8.cloudfront.net/image/725136000567/image_uv63qbelft63l0pr4p43m5rv18/-FJPG/227862-001_DET_1.jpg</t>
  </si>
  <si>
    <t>https://dd3ka9h4chfr8.cloudfront.net/image/725136000567/image_7vmjip5u7l2kra1oobosvhf37n/-FJPG/227862-001_DET_3.jpg</t>
  </si>
  <si>
    <t>https://dd3ka9h4chfr8.cloudfront.net/image/725136000567/image_3f4n519j0t5vt7emsfcffju82j/-FJPG/227862-001_OPN_1.jpg</t>
  </si>
  <si>
    <t>https://dd3ka9h4chfr8.cloudfront.net/image/725136000567/image_n7ri082le120dfvk8tdpq79g2n/-FJPG/227862-001_DET_4.jpg</t>
  </si>
  <si>
    <t>https://dd3ka9h4chfr8.cloudfront.net/image/725136000567/image_urotu4a2jp5r763n2so0qv4p6n/-FJPG/227862-001_DET_5.jpg</t>
  </si>
  <si>
    <t>https://dd3ka9h4chfr8.cloudfront.net/image/725136000567/image_c7o9kevj7964n663s355pc4546/-FJPG/227862-001_DET_6.jpg</t>
  </si>
  <si>
    <t>https://dd3ka9h4chfr8.cloudfront.net/image/725136000567/image_a84t6harp97a9atq1ga1p04h3t/-FJPG/227862-001_DET_7.jpg</t>
  </si>
  <si>
    <t>Eaton Large Nightstand - Amber Oak Resin</t>
  </si>
  <si>
    <t>https://dd3ka9h4chfr8.cloudfront.net/image/725136000567/image_ebjnd88ih51ph1bpu7gb9ehg6h/-S150x150-FJPG/234770-002_PRM_1.jpg</t>
  </si>
  <si>
    <t>https://dd3ka9h4chfr8.cloudfront.net/image/725136000567/image_ebjnd88ih51ph1bpu7gb9ehg6h/-FJPG/234770-002_PRM_1.jpg</t>
  </si>
  <si>
    <t>https://dd3ka9h4chfr8.cloudfront.net/image/725136000567/image_n87dasj0jt4g52f59fd4jj391o/-FJPG/234770-002_SID_1.jpg</t>
  </si>
  <si>
    <t>https://dd3ka9h4chfr8.cloudfront.net/image/725136000567/image_m1dkqe6r410s5bllt6bhtie75g/-FJPG/234770-002_ESS.tif</t>
  </si>
  <si>
    <t>https://dd3ka9h4chfr8.cloudfront.net/image/725136000567/image_u76jl99qpd1t71i3l7vjmps52u/-FJPG/234770-002_DET_2.jpg</t>
  </si>
  <si>
    <t>https://dd3ka9h4chfr8.cloudfront.net/image/725136000567/image_38npn5np2h0of67jnp430lj35b/-FJPG/234770-002_BCK_1.jpg</t>
  </si>
  <si>
    <t>https://dd3ka9h4chfr8.cloudfront.net/image/725136000567/image_22k7e3ifkl70tdmmq1jrknu22p/-FJPG/234770-002_DET_1.jpg</t>
  </si>
  <si>
    <t>https://dd3ka9h4chfr8.cloudfront.net/image/725136000567/image_stpgg2gt0l3f52mbvp2da4br4h/-FJPG/234770-002_DET_3.jpg</t>
  </si>
  <si>
    <t>https://dd3ka9h4chfr8.cloudfront.net/image/725136000567/image_mm52mogd3h19v5aduok4g48q6v/-FJPG/234770-002_OPN_1.jpg</t>
  </si>
  <si>
    <t>https://dd3ka9h4chfr8.cloudfront.net/image/725136000567/image_uegcjcdui50j36qgbp3d8j727n/-FJPG/234770-002_DET_4.jpg</t>
  </si>
  <si>
    <t>https://dd3ka9h4chfr8.cloudfront.net/image/725136000567/image_6f34vq25u920l1499nvjcgf070/-FJPG/234770-002_DET_5.jpg</t>
  </si>
  <si>
    <t>https://dd3ka9h4chfr8.cloudfront.net/image/725136000567/image_61t6q3l8i91q7fqn9o1htkar0p/-FJPG/234770-002_DET_6.jpg</t>
  </si>
  <si>
    <t>https://dd3ka9h4chfr8.cloudfront.net/image/725136000567/image_3a1mdrtotd12v2eunlijskp70l/-FJPG/234770-002_DET_7.jpg</t>
  </si>
  <si>
    <t>Eaton Large Nightstand - Light Oak Resin</t>
  </si>
  <si>
    <t>https://dd3ka9h4chfr8.cloudfront.net/image/725136000567/image_drh20r516960h6v73qdhdj263a/-S150x150-FJPG/234770-001_PRM_1.jpg</t>
  </si>
  <si>
    <t>https://dd3ka9h4chfr8.cloudfront.net/image/725136000567/image_drh20r516960h6v73qdhdj263a/-FJPG/234770-001_PRM_1.jpg</t>
  </si>
  <si>
    <t>https://dd3ka9h4chfr8.cloudfront.net/image/725136000567/image_n0dcsp3drl0rfb7bnsvbsv0s0n/-FJPG/234770-001_SID_1.jpg</t>
  </si>
  <si>
    <t>https://dd3ka9h4chfr8.cloudfront.net/image/725136000567/image_s3splavrrd3fj19gmtkm8ho718/-FJPG/234770-001_ESS_1.jpg</t>
  </si>
  <si>
    <t>https://dd3ka9h4chfr8.cloudfront.net/image/725136000567/image_o94d81r9695l5abpb86cjpuj2e/-FJPG/234770-001_DET_2.jpg</t>
  </si>
  <si>
    <t>https://dd3ka9h4chfr8.cloudfront.net/image/725136000567/image_b4b8dk3d8l46954vfdup1fvq5s/-FJPG/234770-001_BCK_1.jpg</t>
  </si>
  <si>
    <t>https://dd3ka9h4chfr8.cloudfront.net/image/725136000567/image_56g2qe6tjd6t96t0lc9qetn85e/-FJPG/234770-001_DET_1.jpg</t>
  </si>
  <si>
    <t>https://dd3ka9h4chfr8.cloudfront.net/image/725136000567/image_2tmc2os5u90at5ebu4dsqpd122/-FJPG/234770-001_DET_3.jpg</t>
  </si>
  <si>
    <t>https://dd3ka9h4chfr8.cloudfront.net/image/725136000567/image_t04civoj8h65309qsk8arc9v1i/-FJPG/234770-001_OPN_1.jpg</t>
  </si>
  <si>
    <t>https://dd3ka9h4chfr8.cloudfront.net/image/725136000567/image_ecjgqfqal13udarant362jcv6q/-FJPG/234770-001_DET_4.jpg</t>
  </si>
  <si>
    <t>https://dd3ka9h4chfr8.cloudfront.net/image/725136000567/image_pov73pf85t3s1842qg37sgqp1j/-FJPG/234770-001_DET_5.jpg</t>
  </si>
  <si>
    <t>https://dd3ka9h4chfr8.cloudfront.net/image/725136000567/image_pss0aqssjd4m7b8a8pv2f5kq1o/-FJPG/234770-001_DET_6.jpg</t>
  </si>
  <si>
    <t>https://dd3ka9h4chfr8.cloudfront.net/image/725136000567/image_alpbbdmfp907h2i2iqp0am455v/-FJPG/234770-001_DET_7.jpg</t>
  </si>
  <si>
    <t>Eaton Media - Amber Oak Resin</t>
  </si>
  <si>
    <t>https://dd3ka9h4chfr8.cloudfront.net/image/725136000567/image_flcgnf96q9621fte4d22uv0b2l/-S150x150-FJPG/228349-002_PRM_1.jpg</t>
  </si>
  <si>
    <t>https://dd3ka9h4chfr8.cloudfront.net/image/725136000567/image_flcgnf96q9621fte4d22uv0b2l/-FJPG/228349-002_PRM_1.jpg</t>
  </si>
  <si>
    <t>https://dd3ka9h4chfr8.cloudfront.net/image/725136000567/image_hace7rsj1p4o788lnobr1mkr66/-FJPG/228349-002_SID_1.jpg</t>
  </si>
  <si>
    <t>https://dd3ka9h4chfr8.cloudfront.net/image/725136000567/image_uqoh4jn84d7ale922cigtg2j10/-FJPG/228349-002_ESS_1.jpg</t>
  </si>
  <si>
    <t>https://dd3ka9h4chfr8.cloudfront.net/image/725136000567/image_3vhps776h5333528lhun2ia47q/-FJPG/228349-002_DET_2.jpg</t>
  </si>
  <si>
    <t>https://dd3ka9h4chfr8.cloudfront.net/image/725136000567/image_pmt1dd7iep5qhbk8932uhh5s6q/-FJPG/228349-002_BCK_1.jpg</t>
  </si>
  <si>
    <t>https://dd3ka9h4chfr8.cloudfront.net/image/725136000567/image_ba7v4579up5bbbcd7u3helj57q/-FJPG/228349-002_DET_1.jpg</t>
  </si>
  <si>
    <t>https://dd3ka9h4chfr8.cloudfront.net/image/725136000567/image_g9mo6cnn1l2trann39oms62535/-FJPG/228349-002_DET_3.jpg</t>
  </si>
  <si>
    <t>https://dd3ka9h4chfr8.cloudfront.net/image/725136000567/image_oepchkdvsl1e1c8d9tdqom8r5j/-FJPG/228349-002_OPN_1.jpg</t>
  </si>
  <si>
    <t>https://dd3ka9h4chfr8.cloudfront.net/image/725136000567/image_u4e0n87vnh0q3bkagibtkkb66q/-FJPG/228349-002_DET_4.jpg</t>
  </si>
  <si>
    <t>https://dd3ka9h4chfr8.cloudfront.net/image/725136000567/image_l67d3ftk3t0or4a3812301eu6f/-FJPG/228349-002_DET_5.jpg</t>
  </si>
  <si>
    <t>https://dd3ka9h4chfr8.cloudfront.net/image/725136000567/image_0olq3i3s2t051cvgmlmjr3kf5v/-FJPG/228349-002_DET_6.jpg</t>
  </si>
  <si>
    <t>https://dd3ka9h4chfr8.cloudfront.net/image/725136000567/image_6qpbe2ese124vdulbldu3p7b6n/-FJPG/228349-002_DET_7.jpg</t>
  </si>
  <si>
    <t>https://dd3ka9h4chfr8.cloudfront.net/image/725136000567/image_llhi7qdshd4fd5h3vse4cg2n6h/-FJPG/228349-002_ESS_2.jpg</t>
  </si>
  <si>
    <t>Eaton Nightstand - Amber Oak Resin</t>
  </si>
  <si>
    <t>https://dd3ka9h4chfr8.cloudfront.net/image/725136000567/image_am8efff2g156r56qfic32hrs1a/-S150x150-FJPG/109286-002_PRM_1.jpg</t>
  </si>
  <si>
    <t>https://dd3ka9h4chfr8.cloudfront.net/image/725136000567/image_am8efff2g156r56qfic32hrs1a/-FJPG/109286-002_PRM_1.jpg</t>
  </si>
  <si>
    <t>https://dd3ka9h4chfr8.cloudfront.net/image/725136000567/image_qq2q88j65l54f1c2au5ki5sq02/-FJPG/109286-002_SID_1.jpg</t>
  </si>
  <si>
    <t>https://dd3ka9h4chfr8.cloudfront.net/image/725136000567/image_tv4f9dgdct1hf9l8sh6ho7g42i/-FJPG/109286-002_ESS_1.jpg</t>
  </si>
  <si>
    <t>https://dd3ka9h4chfr8.cloudfront.net/image/725136000567/image_ml6sclpa3p02vcfn5ioqdcvb19/-FJPG/109286-002_DET_2.jpg</t>
  </si>
  <si>
    <t>https://dd3ka9h4chfr8.cloudfront.net/image/725136000567/image_dhqi5g5ep96nv9bksdc6sms900/-FJPG/109286-002_BCK_1.jpg</t>
  </si>
  <si>
    <t>https://dd3ka9h4chfr8.cloudfront.net/image/725136000567/image_n3g5mkq5jl6sv2ap4dhbufvo7p/-FJPG/109286-002_DET_1.jpg</t>
  </si>
  <si>
    <t>https://dd3ka9h4chfr8.cloudfront.net/image/725136000567/image_nkpov7jj6l5q134gm0drc1644s/-FJPG/109286-002_DET_3.jpg</t>
  </si>
  <si>
    <t>https://dd3ka9h4chfr8.cloudfront.net/image/725136000567/image_mncfg5v4mp6id6f12m68tbtv6o/-FJPG/109286-002_OPN_1.jpg</t>
  </si>
  <si>
    <t>https://dd3ka9h4chfr8.cloudfront.net/image/725136000567/image_gs4fc7m40970hd4k8089oa6n06/-FJPG/109286-002_DET_4.jpg</t>
  </si>
  <si>
    <t>https://dd3ka9h4chfr8.cloudfront.net/image/725136000567/image_kkg26hdjb17tj56j0rn6q42u7n/-FJPG/109286-002_DET_5.jpg</t>
  </si>
  <si>
    <t>https://dd3ka9h4chfr8.cloudfront.net/image/725136000567/image_bpevob1mb90fp3903e7ojahu6m/-FJPG/109286-002_DET_6.jpg</t>
  </si>
  <si>
    <t>https://dd3ka9h4chfr8.cloudfront.net/image/725136000567/image_mcj8tvjdrh66t78sj1dq7v5b4g/-FJPG/109286-002_DET_7.jpg</t>
  </si>
  <si>
    <t>Eaton Nightstand - Light Oak Resin</t>
  </si>
  <si>
    <t>https://dd3ka9h4chfr8.cloudfront.net/image/725136000567/image_ra76n1trfd1e34ffnkugac0v75/-S150x150-FJPG/109286-003_PRM_1.jpg</t>
  </si>
  <si>
    <t>https://dd3ka9h4chfr8.cloudfront.net/image/725136000567/image_ra76n1trfd1e34ffnkugac0v75/-FJPG/109286-003_PRM_1.jpg</t>
  </si>
  <si>
    <t>https://dd3ka9h4chfr8.cloudfront.net/image/725136000567/image_7222b8s5lt5cfck1cjou3drj0u/-FJPG/109286-003_SID_1.jpg</t>
  </si>
  <si>
    <t>https://dd3ka9h4chfr8.cloudfront.net/image/725136000567/image_f4du0jm9tp4k94mlv6g5evcu52/-FJPG/109286-003_ESS_1.jpg</t>
  </si>
  <si>
    <t>https://dd3ka9h4chfr8.cloudfront.net/image/725136000567/image_oc6nfgostd41jfas266btjtp1e/-FJPG/109286-003_DET_2.jpg</t>
  </si>
  <si>
    <t>https://dd3ka9h4chfr8.cloudfront.net/image/725136000567/image_jslco11i9139t74spneo8bs607/-FJPG/109286-003_DET_1.jpg</t>
  </si>
  <si>
    <t>https://dd3ka9h4chfr8.cloudfront.net/image/725136000567/image_rglggutka93932cttl3tgbhl1g/-FJPG/109286-003_DET_3.jpg</t>
  </si>
  <si>
    <t>https://dd3ka9h4chfr8.cloudfront.net/image/725136000567/image_ff5nemniut15vbmbd16n7ihq6h/-FJPG/109286-003_OPN_1.jpg</t>
  </si>
  <si>
    <t>https://dd3ka9h4chfr8.cloudfront.net/image/725136000567/image_2scuuqoiih23h49o9l6bnhgu7a/-FJPG/109286-003_DET_4.jpg</t>
  </si>
  <si>
    <t>https://dd3ka9h4chfr8.cloudfront.net/image/725136000567/image_f563obvn5h4g96dsav86957b1o/-FJPG/109286-003_DET_5.jpg</t>
  </si>
  <si>
    <t>https://dd3ka9h4chfr8.cloudfront.net/image/725136000567/image_ku1hd6nuc524j9s7vdrqctjc6i/-FJPG/109286-003_DET_6.jpg</t>
  </si>
  <si>
    <t>https://dd3ka9h4chfr8.cloudfront.net/image/725136000567/image_5l46qb9tn149pcd2f0m5s50j50/-FJPG/109286-003_VIG_1.jpg</t>
  </si>
  <si>
    <t>Eaton Sideboard - Amber Oak Resin</t>
  </si>
  <si>
    <t>https://dd3ka9h4chfr8.cloudfront.net/image/725136000567/image_pvd3k2d6jt5c51q9qe83hd0v5g/-S150x150-FJPG/228016-003_PRM_1.jpg</t>
  </si>
  <si>
    <t>https://dd3ka9h4chfr8.cloudfront.net/image/725136000567/image_pvd3k2d6jt5c51q9qe83hd0v5g/-FJPG/228016-003_PRM_1.jpg</t>
  </si>
  <si>
    <t>https://dd3ka9h4chfr8.cloudfront.net/image/725136000567/image_tvvj6ftmp54114aievs7uprg07/-FJPG/228016-003_SID_1.jpg</t>
  </si>
  <si>
    <t>https://dd3ka9h4chfr8.cloudfront.net/image/725136000567/image_30s2d6bq2t5h3665b8b3jemo1c/-FJPG/228016-003_ESS_1.jpg</t>
  </si>
  <si>
    <t>https://dd3ka9h4chfr8.cloudfront.net/image/725136000567/image_4mf3rq4lmh6gp8ab68bj260m2s/-FJPG/228016-003_DET_2.jpg</t>
  </si>
  <si>
    <t>https://dd3ka9h4chfr8.cloudfront.net/image/725136000567/image_d638868s3d58n79jnka91ot16n/-FJPG/228016-003_BCK_1.jpg</t>
  </si>
  <si>
    <t>https://dd3ka9h4chfr8.cloudfront.net/image/725136000567/image_9ohcu448c500j3v4541aju8a4v/-FJPG/228016-003_DET_1.jpg</t>
  </si>
  <si>
    <t>https://dd3ka9h4chfr8.cloudfront.net/image/725136000567/image_4gc96uqtpd7fl5h8vskh4p5s3r/-FJPG/228016-003_DET_3.jpg</t>
  </si>
  <si>
    <t>https://dd3ka9h4chfr8.cloudfront.net/image/725136000567/image_copk6n5ggl69rdgjun0b0gjc7l/-FJPG/228016-003_OPN_1.jpg</t>
  </si>
  <si>
    <t>https://dd3ka9h4chfr8.cloudfront.net/image/725136000567/image_pbhthn7qp90tr446js4mook538/-FJPG/228016-003_DET_4.jpg</t>
  </si>
  <si>
    <t>https://dd3ka9h4chfr8.cloudfront.net/image/725136000567/image_glm40b534h7dd41f34u4f16v08/-FJPG/228016-003_DET_5.jpg</t>
  </si>
  <si>
    <t>https://dd3ka9h4chfr8.cloudfront.net/image/725136000567/image_o74qj8qlil1q15f8tc92pc8v3l/-FJPG/228016-003_DET_6.jpg</t>
  </si>
  <si>
    <t>https://dd3ka9h4chfr8.cloudfront.net/image/725136000567/image_utgjvrqedt0gd3bj1v14rvc806/-FJPG/228016-003_DET_7.jpg</t>
  </si>
  <si>
    <t>https://dd3ka9h4chfr8.cloudfront.net/image/725136000567/image_jnrc8dm0790mr62ua1h9v80r7g/-FJPG/228016-003_DET_8.jpg</t>
  </si>
  <si>
    <t>Edmon Bench - Savile Flax</t>
  </si>
  <si>
    <t>https://dd3ka9h4chfr8.cloudfront.net/image/725136000567/image_tfh2620glt7891fsqh1fr8lj0f/-S150x150-FJPG/CASH-143J-084P_PRM_1.jpg</t>
  </si>
  <si>
    <t>https://dd3ka9h4chfr8.cloudfront.net/image/725136000567/image_tfh2620glt7891fsqh1fr8lj0f/-FJPG/CASH-143J-084P_PRM_1.jpg</t>
  </si>
  <si>
    <t>https://dd3ka9h4chfr8.cloudfront.net/image/725136000567/image_tn1ovl7evh75pbtru37gnhbk7q/-FJPG/CASH-143J-084P_SID_1.jpg</t>
  </si>
  <si>
    <t>https://dd3ka9h4chfr8.cloudfront.net/image/725136000567/image_na74554no13033t1qb130g5m1h/-FJPG/CASH-143J-084P_DET_2.jpg</t>
  </si>
  <si>
    <t>https://dd3ka9h4chfr8.cloudfront.net/image/725136000567/image_11u93ufm9127l3rdj8u774q45u/-FJPG/CASH-143J-084P_INF_1.jpg</t>
  </si>
  <si>
    <t>https://dd3ka9h4chfr8.cloudfront.net/image/725136000567/image_rvmk64sd6l771b3vmvvrd3k20f/-FJPG/CASH-143J-084P_DET_1.jpg</t>
  </si>
  <si>
    <t>https://dd3ka9h4chfr8.cloudfront.net/image/725136000567/image_cf5arae9tt4qpfbs3edc88tc5e/-FJPG/CASH-143J-084P_DET_3.jpg</t>
  </si>
  <si>
    <t>https://dd3ka9h4chfr8.cloudfront.net/image/725136000567/image_rf61jhn5rl04b082bc194c3474/-FJPG/CASH-143J-084P_DET_4.jpg</t>
  </si>
  <si>
    <t>https://dd3ka9h4chfr8.cloudfront.net/image/725136000567/image_a04rfsuml120h71jdss2jo2p1h/-FJPG/CASH-143J-084P_DET_5.jpg</t>
  </si>
  <si>
    <t>https://dd3ka9h4chfr8.cloudfront.net/image/725136000567/image_rm9uq5qin5669b9120j9dd6o1a/-FJPG/CASH-143J-084P_ROM_1.jpg</t>
  </si>
  <si>
    <t>Edmon Bench - Sheffield Ivory</t>
  </si>
  <si>
    <t>https://dd3ka9h4chfr8.cloudfront.net/image/725136000567/image_6pfssg35jt2iv50c3nbod4li5e/-S150x150-FJPG/100039-002_PRM_1.jpg</t>
  </si>
  <si>
    <t>https://dd3ka9h4chfr8.cloudfront.net/image/725136000567/image_6pfssg35jt2iv50c3nbod4li5e/-FJPG/100039-002_PRM_1.jpg</t>
  </si>
  <si>
    <t>https://dd3ka9h4chfr8.cloudfront.net/image/725136000567/image_3ocuo1j4n10nj1vj477ivmrd1l/-FJPG/100039-002_SID_1.jpg</t>
  </si>
  <si>
    <t>https://dd3ka9h4chfr8.cloudfront.net/image/725136000567/image_vlolaeuuoh0p7bp03f414bsn22/-FJPG/100039-002_ESS.tif</t>
  </si>
  <si>
    <t>https://dd3ka9h4chfr8.cloudfront.net/image/725136000567/image_efunrj5olh2atblgaihice925e/-FJPG/100039-002_DET_2.jpg</t>
  </si>
  <si>
    <t>https://dd3ka9h4chfr8.cloudfront.net/image/725136000567/image_bed4hht4h90qr1nuvtbb6put1b/-FJPG/100039-002_DET_1.jpg</t>
  </si>
  <si>
    <t>https://dd3ka9h4chfr8.cloudfront.net/image/725136000567/image_fgs30lk61l1ed8jnqjduhakr29/-FJPG/100039-002_DET_3.jpg</t>
  </si>
  <si>
    <t>https://dd3ka9h4chfr8.cloudfront.net/image/725136000567/image_53p6593fcd6apega7m72flhp33/-FJPG/100039-002_DET_4.jpg</t>
  </si>
  <si>
    <t>https://dd3ka9h4chfr8.cloudfront.net/image/725136000567/image_jf0en1dh8155hb3rjgrlc0dt2v/-FJPG/100039-002_DET_5.jpg</t>
  </si>
  <si>
    <t>https://dd3ka9h4chfr8.cloudfront.net/image/725136000567/image_78fobfkiup1qd0s2g7db1c2o5b/-FJPG/100039-002_DET_6.jpg</t>
  </si>
  <si>
    <t>https://dd3ka9h4chfr8.cloudfront.net/image/725136000567/image_ihl877gkq933n83aveeaast248/-FJPG/100039-002_DET_7.jpg</t>
  </si>
  <si>
    <t>https://dd3ka9h4chfr8.cloudfront.net/image/725136000567/image_i0uujlo8ep5qb8851u0f55dt1u/-FJPG/100039-002_DET_8.jpg</t>
  </si>
  <si>
    <t>Edwyn Large Ottoman - Gibson Wheat</t>
  </si>
  <si>
    <t>https://dd3ka9h4chfr8.cloudfront.net/image/725136000567/image_4atfghjbh96rvdq6luopn3ht19/-S150x150-FJPG/224315-001_PRM_1.jpg</t>
  </si>
  <si>
    <t>https://dd3ka9h4chfr8.cloudfront.net/image/725136000567/image_4atfghjbh96rvdq6luopn3ht19/-FJPG/224315-001_PRM_1.jpg</t>
  </si>
  <si>
    <t>https://dd3ka9h4chfr8.cloudfront.net/image/725136000567/image_jakkk20p0171738htloiupqf44/-FJPG/224315-001_SID_1.jpg</t>
  </si>
  <si>
    <t>https://dd3ka9h4chfr8.cloudfront.net/image/725136000567/image_j5445sito54k54fn6ojr7bh52f/-FJPG/224315-001_ESS_1.jpg</t>
  </si>
  <si>
    <t>https://dd3ka9h4chfr8.cloudfront.net/image/725136000567/image_b6jj623c351r3dr4l6n6g7f72b/-FJPG/224315-001_DET_2.jpg</t>
  </si>
  <si>
    <t>https://dd3ka9h4chfr8.cloudfront.net/image/725136000567/image_uq034qclvp7id0d6qee72ofi0m/-FJPG/224315-001_INF_1.jpg</t>
  </si>
  <si>
    <t>https://dd3ka9h4chfr8.cloudfront.net/image/725136000567/image_9luuvkmjlp64v0hkctk85bi95t/-FJPG/224315-001_DET_1.jpg</t>
  </si>
  <si>
    <t>https://dd3ka9h4chfr8.cloudfront.net/image/725136000567/image_l49bfejnfd1nd36pvh8g7jcn2h/-FJPG/224315-001_DET_3.jpg</t>
  </si>
  <si>
    <t>https://dd3ka9h4chfr8.cloudfront.net/image/725136000567/image_mv52u1osqd1i380dcprtk4et5f/-FJPG/224315-001_TOP_1.jpg</t>
  </si>
  <si>
    <t>https://dd3ka9h4chfr8.cloudfront.net/image/725136000567/image_tvi6enbdk90cj1hvmprph6fo0k/-FJPG/224315-001_DET_4.jpg</t>
  </si>
  <si>
    <t>https://dd3ka9h4chfr8.cloudfront.net/image/725136000567/image_1kr0v9csfp66fcun6aj5phmo75/-FJPG/224315-001_DET_5.jpg</t>
  </si>
  <si>
    <t>https://dd3ka9h4chfr8.cloudfront.net/image/725136000567/image_f2amqsvva532j9bc5hsvvtlj7g/-FJPG/224315-001_DET_6.jpg</t>
  </si>
  <si>
    <t>https://dd3ka9h4chfr8.cloudfront.net/image/725136000567/image_lmf1fg6g0p7ivdn0lbnsvcko0v/-FJPG/224315-001_PRM_2.jpg</t>
  </si>
  <si>
    <t>Edwyn Large Ottoman - Sonoma Black</t>
  </si>
  <si>
    <t>https://dd3ka9h4chfr8.cloudfront.net/image/725136000567/image_3hudl6efg11qdat8ha14c0gt1v/-S150x150-FJPG/224315-002_PRM_1.jpg</t>
  </si>
  <si>
    <t>https://dd3ka9h4chfr8.cloudfront.net/image/725136000567/image_3hudl6efg11qdat8ha14c0gt1v/-FJPG/224315-002_PRM_1.jpg</t>
  </si>
  <si>
    <t>https://dd3ka9h4chfr8.cloudfront.net/image/725136000567/image_7f68ppo2197r16pdjb0duoir2n/-FJPG/224315-002_SID_1.jpg</t>
  </si>
  <si>
    <t>https://dd3ka9h4chfr8.cloudfront.net/image/725136000567/image_emivfmb3490d78mb6bba8ecv2p/-FJPG/224315-002_ESS.tif</t>
  </si>
  <si>
    <t>https://dd3ka9h4chfr8.cloudfront.net/image/725136000567/image_hr1ke7gnph26hd7b50rss38v79/-FJPG/224315-002_DET_2.jpg</t>
  </si>
  <si>
    <t>https://dd3ka9h4chfr8.cloudfront.net/image/725136000567/image_3ptv31hl7104td5luks7nl347v/-FJPG/224315-002_DET_1.jpg</t>
  </si>
  <si>
    <t>https://dd3ka9h4chfr8.cloudfront.net/image/725136000567/image_4gsahdf4rp13re07tcv68rhm1p/-FJPG/224315-002_DET_3.jpg</t>
  </si>
  <si>
    <t>Elena Sideboard and Hutch - Satin Black</t>
  </si>
  <si>
    <t>https://dd3ka9h4chfr8.cloudfront.net/image/725136000567/image_b6n5i4l2jl2ijfmmp788soh53c/-S150x150-FJPG/IPRS-027_PRM_1.jpg</t>
  </si>
  <si>
    <t>https://dd3ka9h4chfr8.cloudfront.net/image/725136000567/image_b6n5i4l2jl2ijfmmp788soh53c/-FJPG/IPRS-027_PRM_1.jpg</t>
  </si>
  <si>
    <t>https://dd3ka9h4chfr8.cloudfront.net/image/725136000567/image_8llp1o38vp76j5i67r7vhc9003/-FJPG/IPRS-027_SID_1.jpg</t>
  </si>
  <si>
    <t>https://dd3ka9h4chfr8.cloudfront.net/image/725136000567/image_6iuoesbd0h0f95afeuhv0m391c/-FJPG/IPRS-027_ESS_1.jpg</t>
  </si>
  <si>
    <t>https://dd3ka9h4chfr8.cloudfront.net/image/725136000567/image_hmrmlmhbm57qtdd8ae7tg5tc31/-FJPG/IPRS-027_DET_2.jpg</t>
  </si>
  <si>
    <t>https://dd3ka9h4chfr8.cloudfront.net/image/725136000567/image_niqa0or4p57dt8crqemuu0u37o/-FJPG/IPRS-027_DET_1.jpg</t>
  </si>
  <si>
    <t>https://dd3ka9h4chfr8.cloudfront.net/image/725136000567/image_uql5fqn0it3k75oj97ln5mgu6t/-FJPG/IPRS-027_DET_3.jpg</t>
  </si>
  <si>
    <t>https://dd3ka9h4chfr8.cloudfront.net/image/725136000567/image_h9cd5tsrup7c583s9gm0aqfd2b/-FJPG/IPRS-027_OPN_1.jpg</t>
  </si>
  <si>
    <t>https://dd3ka9h4chfr8.cloudfront.net/image/725136000567/image_u6s0hq89ft6b328o9iql2lhq3p/-FJPG/IPRS-027_DET_4.jpg</t>
  </si>
  <si>
    <t>https://dd3ka9h4chfr8.cloudfront.net/image/725136000567/image_4tpk34lif904rd5veu8dskp21e/-FJPG/IPRS-027_DET_5.jpg</t>
  </si>
  <si>
    <t>https://dd3ka9h4chfr8.cloudfront.net/image/725136000567/image_9ks0r56a214grf6982d4ks0i5m/-FJPG/IPRS-027_DET_6.jpg</t>
  </si>
  <si>
    <t>https://dd3ka9h4chfr8.cloudfront.net/image/725136000567/image_akvvq12ul95pfen4v0013f8m2i/-FJPG/IPRS-027_DET_7.jpg</t>
  </si>
  <si>
    <t>https://dd3ka9h4chfr8.cloudfront.net/image/725136000567/image_c4uvno527t08p8nvpjri2m4o6i/-FJPG/IPRS-027_DET_8.jpg</t>
  </si>
  <si>
    <t>https://dd3ka9h4chfr8.cloudfront.net/image/725136000567/image_f7hgpbb3v945j7qf4jb8fpo440/-FJPG/IPRS-027_ROM_1.jpg</t>
  </si>
  <si>
    <t>Elio Accent Bench - Burnt Bleached Oak</t>
  </si>
  <si>
    <t>https://dd3ka9h4chfr8.cloudfront.net/image/725136000567/image_uasgk1h3313ahf9aekanit3k5n/-S150x150-FJPG/243471-001_PRM_1.jpg</t>
  </si>
  <si>
    <t>https://dd3ka9h4chfr8.cloudfront.net/image/725136000567/image_uasgk1h3313ahf9aekanit3k5n/-FJPG/243471-001_PRM_1.jpg</t>
  </si>
  <si>
    <t>https://dd3ka9h4chfr8.cloudfront.net/image/725136000567/image_okjpggjd2p3mvd1h690ssi1l2j/-FJPG/243471-001_SID_1.jpg</t>
  </si>
  <si>
    <t>https://dd3ka9h4chfr8.cloudfront.net/image/725136000567/image_clhrrt89191anad6gfmg3c4f6g/-FJPG/243471-001_ESS.tif</t>
  </si>
  <si>
    <t>https://dd3ka9h4chfr8.cloudfront.net/image/725136000567/image_m91tmhb90l1cf8qc26nqlrg97g/-FJPG/011515 Burnt Bleached Oak 1.jpg</t>
  </si>
  <si>
    <t>https://dd3ka9h4chfr8.cloudfront.net/image/725136000567/image_ug14i08ho504f4r999o7g5o33t/-FJPG/243471-001_BCK_1.jpg</t>
  </si>
  <si>
    <t>https://dd3ka9h4chfr8.cloudfront.net/image/725136000567/image_n03nauugqp1frctsrsqatdqs0t/-FJPG/Color Variance Card_Burnt Bleached Oak.jpg</t>
  </si>
  <si>
    <t>https://dd3ka9h4chfr8.cloudfront.net/image/725136000567/image_88m2s6v8th5vd883gp22kj433c/-FJPG/243471-001_DET_1.jpg</t>
  </si>
  <si>
    <t>https://dd3ka9h4chfr8.cloudfront.net/image/725136000567/image_8tig1iaoph5v94fk9hh45vv42a/-FJPG/243471-001_DET_3.jpg</t>
  </si>
  <si>
    <t>https://dd3ka9h4chfr8.cloudfront.net/image/725136000567/image_94femd47u950b9k07p5b5fnh0r/-FJPG/243471-001_TOP_1.jpg</t>
  </si>
  <si>
    <t>https://dd3ka9h4chfr8.cloudfront.net/image/725136000567/image_b1tg349hdl0p949t6ggip1qi5h/-FJPG/243471-001_DET_4.jpg</t>
  </si>
  <si>
    <t>https://dd3ka9h4chfr8.cloudfront.net/image/725136000567/image_33v8ds0nkl2r39bo0l53p8ij5e/-FJPG/243471-001_DET_5.jpg</t>
  </si>
  <si>
    <t>https://dd3ka9h4chfr8.cloudfront.net/image/725136000567/image_h39o146vjh3jja6jsnjsdhsv1i/-FJPG/243471-001_DET_6.jpg</t>
  </si>
  <si>
    <t>https://dd3ka9h4chfr8.cloudfront.net/image/725136000567/image_5qolla4km14ub1nt75s0qc7g0b/-FJPG/243471-001_DET_7.jpg</t>
  </si>
  <si>
    <t>https://dd3ka9h4chfr8.cloudfront.net/image/725136000567/image_kun5ra79592jbf6cp3kekln76a/-FJPG/243471-001_DET_9.tif</t>
  </si>
  <si>
    <t>Elio Coffee Table Small - Burnt Bleached Oak</t>
  </si>
  <si>
    <t>https://dd3ka9h4chfr8.cloudfront.net/image/725136000567/image_1f5hbl5qi163t6pshp6enkgt68/-S150x150-FJPG/246955-001_PRM_1.jpg</t>
  </si>
  <si>
    <t>https://dd3ka9h4chfr8.cloudfront.net/image/725136000567/image_1f5hbl5qi163t6pshp6enkgt68/-FJPG/246955-001_PRM_1.jpg</t>
  </si>
  <si>
    <t>https://dd3ka9h4chfr8.cloudfront.net/image/725136000567/image_m57q2hhgg96vdf9m902v89co1h/-FJPG/246955-001_SID_1.jpg</t>
  </si>
  <si>
    <t>https://dd3ka9h4chfr8.cloudfront.net/image/725136000567/image_a9akceoo550up8d2lajf8ta41t/-FJPG/246955-001_ESS.tif</t>
  </si>
  <si>
    <t>https://dd3ka9h4chfr8.cloudfront.net/image/725136000567/image_gjv0u0tccd3od6ve45nup59j1j/-FJPG/011515 Burnt Bleached Oak 2.jpg</t>
  </si>
  <si>
    <t>https://dd3ka9h4chfr8.cloudfront.net/image/725136000567/image_3ifmf5rbpt3dteqtke9lj96c3m/-FJPG/246955-001_BCK_1.jpg</t>
  </si>
  <si>
    <t>https://dd3ka9h4chfr8.cloudfront.net/image/725136000567/image_nga573vo3l1813pblj79ns5g7j/-FJPG/246955-001_DET_1.jpg</t>
  </si>
  <si>
    <t>https://dd3ka9h4chfr8.cloudfront.net/image/725136000567/image_pukjcvsm514htbvmeksu06lc5p/-FJPG/246955-001_DET_3.jpg</t>
  </si>
  <si>
    <t>https://dd3ka9h4chfr8.cloudfront.net/image/725136000567/image_scke905c7p0n75vdmcl26unj47/-FJPG/246955-001_TOP_1.jpg</t>
  </si>
  <si>
    <t>https://dd3ka9h4chfr8.cloudfront.net/image/725136000567/image_16jog4apsh7570g03btmr0uu76/-FJPG/246955-001_DET_4.jpg</t>
  </si>
  <si>
    <t>https://dd3ka9h4chfr8.cloudfront.net/image/725136000567/image_smffbc4o5h7gn3cod8mvdoc17t/-FJPG/246955-001_DET_5.jpg</t>
  </si>
  <si>
    <t>https://dd3ka9h4chfr8.cloudfront.net/image/725136000567/image_oe5kl1u9fp3kt8f05s8f1nnn5q/-FJPG/246955-001_DET_11.tif</t>
  </si>
  <si>
    <t>Elio End Table - Burnt Bleached Oak</t>
  </si>
  <si>
    <t>https://dd3ka9h4chfr8.cloudfront.net/image/725136000567/image_3i8fu03f6t54b389a38nsko66u/-S150x150-FJPG/246956-001_PRM_1.jpg</t>
  </si>
  <si>
    <t>https://dd3ka9h4chfr8.cloudfront.net/image/725136000567/image_3i8fu03f6t54b389a38nsko66u/-FJPG/246956-001_PRM_1.jpg</t>
  </si>
  <si>
    <t>https://dd3ka9h4chfr8.cloudfront.net/image/725136000567/image_u1o7512fb177d11eprqmbrgj6o/-FJPG/246956-001_SID_1.jpg</t>
  </si>
  <si>
    <t>https://dd3ka9h4chfr8.cloudfront.net/image/725136000567/image_rud7e1lsoh7k53fqkaqfc63c4b/-FJPG/246956-001_ESS.tif</t>
  </si>
  <si>
    <t>https://dd3ka9h4chfr8.cloudfront.net/image/725136000567/image_tgmeed6kgh3tjc0o6a95oljn7k/-FJPG/011515 Burnt Bleached Oak 3.jpg</t>
  </si>
  <si>
    <t>https://dd3ka9h4chfr8.cloudfront.net/image/725136000567/image_it58injbld381evs61h6q3gm0b/-FJPG/246956-001_BCK_1.jpg</t>
  </si>
  <si>
    <t>https://dd3ka9h4chfr8.cloudfront.net/image/725136000567/image_do5ugcpuq52q5ddo5r1f7l0s20/-FJPG/246956-001_DET_1.jpg</t>
  </si>
  <si>
    <t>https://dd3ka9h4chfr8.cloudfront.net/image/725136000567/image_6a8v0oca2d1sb7bn755uuklo1j/-FJPG/246956-001_DET_3.jpg</t>
  </si>
  <si>
    <t>https://dd3ka9h4chfr8.cloudfront.net/image/725136000567/image_0l312seded6of97903d19lss4n/-FJPG/246956-001_TOP_1.jpg</t>
  </si>
  <si>
    <t>https://dd3ka9h4chfr8.cloudfront.net/image/725136000567/image_10tlcptqfp679abq15makqqm50/-FJPG/246956-001_DET_4.jpg</t>
  </si>
  <si>
    <t>https://dd3ka9h4chfr8.cloudfront.net/image/725136000567/image_e4ses1ksup6cr0b7k5glg1a97u/-FJPG/246956-001_DET_5.jpg</t>
  </si>
  <si>
    <t>https://dd3ka9h4chfr8.cloudfront.net/image/725136000567/image_a82lct5kot5kd3g97asbhji64d/-FJPG/246956-001_DET_6.jpg</t>
  </si>
  <si>
    <t>https://dd3ka9h4chfr8.cloudfront.net/image/725136000567/image_cl5j1fvudt4t1epokk7m5ks62s/-FJPG/246956-001_DET_7.jpg</t>
  </si>
  <si>
    <t>https://dd3ka9h4chfr8.cloudfront.net/image/725136000567/image_ft515903rp5kbc8es9glrain68/-FJPG/246956-001_DET_8.jpg</t>
  </si>
  <si>
    <t>Elle Media Console - Tawny Oak</t>
  </si>
  <si>
    <t>https://dd3ka9h4chfr8.cloudfront.net/image/725136000567/image_dv1rdjid2d5t9161cqnhvhai0k/-S150x150-FJPG/241763-001_PRM_1.jpg</t>
  </si>
  <si>
    <t>https://dd3ka9h4chfr8.cloudfront.net/image/725136000567/image_dv1rdjid2d5t9161cqnhvhai0k/-FJPG/241763-001_PRM_1.jpg</t>
  </si>
  <si>
    <t>https://dd3ka9h4chfr8.cloudfront.net/image/725136000567/image_lvaltb16pp6qlanljqjji1ar04/-FJPG/241763-001_SID_1.jpg</t>
  </si>
  <si>
    <t>https://dd3ka9h4chfr8.cloudfront.net/image/725136000567/image_lduafhori129fell40givn1n7n/-FJPG/241763-001_ESS.tif</t>
  </si>
  <si>
    <t>https://dd3ka9h4chfr8.cloudfront.net/image/725136000567/image_b0135itrp10mt7300u59vc843g/-FJPG/241763-001_DET_2.jpg</t>
  </si>
  <si>
    <t>https://dd3ka9h4chfr8.cloudfront.net/image/725136000567/image_15nti9r8i95k112ff5c4h9jj27/-FJPG/241763-001_BCK_1.jpg</t>
  </si>
  <si>
    <t>https://dd3ka9h4chfr8.cloudfront.net/image/725136000567/image_hhusegvnk9603e15qk3pcq690a/-FJPG/241763-001_DET_1.jpg</t>
  </si>
  <si>
    <t>https://dd3ka9h4chfr8.cloudfront.net/image/725136000567/image_ov2qc7dcbl4g7epgagh8drul32/-FJPG/241763-001_DET_3.jpg</t>
  </si>
  <si>
    <t>https://dd3ka9h4chfr8.cloudfront.net/image/725136000567/image_406ae4kj59363ff1koa71b4p19/-FJPG/241763-001_OPN_1.jpg</t>
  </si>
  <si>
    <t>https://dd3ka9h4chfr8.cloudfront.net/image/725136000567/image_joerl6ke5d1hn8mvrkd5eilg2q/-FJPG/241763-001_TOP_1.jpg</t>
  </si>
  <si>
    <t>https://dd3ka9h4chfr8.cloudfront.net/image/725136000567/image_kkng3ga5nt6npd09065gaa4i05/-FJPG/241763-001_DET_4.jpg</t>
  </si>
  <si>
    <t>https://dd3ka9h4chfr8.cloudfront.net/image/725136000567/image_d4m46obdh15np6adcm8d5bmp6s/-FJPG/241763-001_DET_5.jpg</t>
  </si>
  <si>
    <t>https://dd3ka9h4chfr8.cloudfront.net/image/725136000567/image_d84r2komsp1kf7nio470trhm2n/-FJPG/241763-001_DET_6.jpg</t>
  </si>
  <si>
    <t>https://dd3ka9h4chfr8.cloudfront.net/image/725136000567/image_2i3ohui7tp5nd1v6gj7qogch4q/-FJPG/241763-001_DET_7.jpg</t>
  </si>
  <si>
    <t>https://dd3ka9h4chfr8.cloudfront.net/image/725136000567/image_e69cvrbsad0l31htqucagbk15j/-FJPG/241763-001_DET_8.jpg</t>
  </si>
  <si>
    <t>https://dd3ka9h4chfr8.cloudfront.net/image/725136000567/image_a6s4069r993c98a2nc66955m1p/-FJPG/241763-001_DET_9.tif</t>
  </si>
  <si>
    <t>https://dd3ka9h4chfr8.cloudfront.net/image/725136000567/image_2fn5ci48hl0il1ia65j1c9v951/-FJPG/FHMPRJ016_SCENE-9.jpg</t>
  </si>
  <si>
    <t>Elliana Swivel Chair - Blamont Cream</t>
  </si>
  <si>
    <t>https://dd3ka9h4chfr8.cloudfront.net/image/725136000567/image_gs2v2pkgn94oj5bkaj3h4k6515/-S150x150-FJPG/235243-009_PRM_1.jpg</t>
  </si>
  <si>
    <t>https://dd3ka9h4chfr8.cloudfront.net/image/725136000567/image_gs2v2pkgn94oj5bkaj3h4k6515/-FJPG/235243-009_PRM_1.jpg</t>
  </si>
  <si>
    <t>https://dd3ka9h4chfr8.cloudfront.net/image/725136000567/image_9qdngj6mod0fd267382s9v2m7k/-FJPG/235243-009_SID_1.jpg</t>
  </si>
  <si>
    <t>https://dd3ka9h4chfr8.cloudfront.net/image/725136000567/image_sh6ru99sst39d5kn91uhkiua20/-FJPG/235243-009_ESS.tif</t>
  </si>
  <si>
    <t>https://dd3ka9h4chfr8.cloudfront.net/image/725136000567/image_e3so000c6p2119lh5jvolel454/-FJPG/235243-009_DET_2.jpg</t>
  </si>
  <si>
    <t>https://dd3ka9h4chfr8.cloudfront.net/image/725136000567/image_ip0vligrop2bddr49iu6jdm36b/-FJPG/235243-009_BCK_1.jpg</t>
  </si>
  <si>
    <t>https://dd3ka9h4chfr8.cloudfront.net/image/725136000567/image_a48e1c8jdl3np796u6sfs67a52/-FJPG/235243-009_DET_1.jpg</t>
  </si>
  <si>
    <t>https://dd3ka9h4chfr8.cloudfront.net/image/725136000567/image_n5v42vdde51ipb57cs4gkh2o0p/-FJPG/235243-009_DET_3.jpg</t>
  </si>
  <si>
    <t>https://dd3ka9h4chfr8.cloudfront.net/image/725136000567/image_18osgjjj3d4i71l50psh9mea4d/-FJPG/235243-009_DET_4.jpg</t>
  </si>
  <si>
    <t>https://dd3ka9h4chfr8.cloudfront.net/image/725136000567/image_peoko0upgt0h9avi7htbtsl359/-FJPG/235243-009_DET_5.jpg</t>
  </si>
  <si>
    <t>https://dd3ka9h4chfr8.cloudfront.net/image/725136000567/image_r7k6gra65l5ll9vtlbenvjat72/-FJPG/235243-009_DET_9.tif</t>
  </si>
  <si>
    <t>Elliana Swivel Chair - FIQA Boucle Natural</t>
  </si>
  <si>
    <t>https://dd3ka9h4chfr8.cloudfront.net/image/725136000567/image_j0rmv4v9ml0ifa4g53jp30uv2i/-S150x150-FJPG/235243-003_PRM_1.JPG</t>
  </si>
  <si>
    <t>https://dd3ka9h4chfr8.cloudfront.net/image/725136000567/image_j0rmv4v9ml0ifa4g53jp30uv2i/-FJPG/235243-003_PRM_1.JPG</t>
  </si>
  <si>
    <t>https://dd3ka9h4chfr8.cloudfront.net/image/725136000567/image_noscft0en57ebe5rg9hi55f321/-FJPG/235243-003_SID_1.JPG</t>
  </si>
  <si>
    <t>https://dd3ka9h4chfr8.cloudfront.net/image/725136000567/image_c1upethjr54sn5hdajd3285r5k/-FJPG/235243-003_ESS_1.jpg</t>
  </si>
  <si>
    <t>https://dd3ka9h4chfr8.cloudfront.net/image/725136000567/image_r634209au901h4sjmvs16gme6a/-FJPG/235243-003_DET_2.JPG</t>
  </si>
  <si>
    <t>https://dd3ka9h4chfr8.cloudfront.net/image/725136000567/image_oflact58ap0rn1c687c2o9cp5j/-FJPG/235243-003_BCK_1.JPG</t>
  </si>
  <si>
    <t>https://dd3ka9h4chfr8.cloudfront.net/image/725136000567/image_50gga0vi197210oqdk6kmsas3r/-FJPG/235243-003_INF_1.jpg</t>
  </si>
  <si>
    <t>https://dd3ka9h4chfr8.cloudfront.net/image/725136000567/image_e83uneeksd4v1ek7elhh1mem77/-FJPG/235243-003_DET_1.JPG</t>
  </si>
  <si>
    <t>https://dd3ka9h4chfr8.cloudfront.net/image/725136000567/image_30cambdms57t363qmcmcq59h7c/-FJPG/235243-003_DET_3.JPG</t>
  </si>
  <si>
    <t>Elliana Swivel Chair - FIQA Boucle Olive</t>
  </si>
  <si>
    <t>https://dd3ka9h4chfr8.cloudfront.net/image/725136000567/image_qhb2p0ral92sfap2jvmu9fft4a/-S150x150-FJPG/235243-007_PRM_1.jpg</t>
  </si>
  <si>
    <t>https://dd3ka9h4chfr8.cloudfront.net/image/725136000567/image_qhb2p0ral92sfap2jvmu9fft4a/-FJPG/235243-007_PRM_1.jpg</t>
  </si>
  <si>
    <t>https://dd3ka9h4chfr8.cloudfront.net/image/725136000567/image_5f2je9bu9d2vj9cme4b9s23v24/-FJPG/235243-007_SID_1.jpg</t>
  </si>
  <si>
    <t>https://dd3ka9h4chfr8.cloudfront.net/image/725136000567/image_2f4qa3hu8d5k33t0b8tu76su2g/-FJPG/235243-007_ESS_1.jpg</t>
  </si>
  <si>
    <t>https://dd3ka9h4chfr8.cloudfront.net/image/725136000567/image_drahe007kt4q15hdrhnbohov69/-FJPG/235243-007_DET_2.jpg</t>
  </si>
  <si>
    <t>https://dd3ka9h4chfr8.cloudfront.net/image/725136000567/image_g7ljla3g7p35f5b99qfjtagm4d/-FJPG/235243-007_BCK_1.jpg</t>
  </si>
  <si>
    <t>https://dd3ka9h4chfr8.cloudfront.net/image/725136000567/image_tvrfdsq4o90cf1jhuhmldf8p17/-FJPG/235243-007_INF_1.jpg</t>
  </si>
  <si>
    <t>https://dd3ka9h4chfr8.cloudfront.net/image/725136000567/image_84sjaltit94c97jb6i4es6ib32/-FJPG/235243-007_DET_1.jpg</t>
  </si>
  <si>
    <t>https://dd3ka9h4chfr8.cloudfront.net/image/725136000567/image_0fm5g448bl62naqvj4m4liun68/-FJPG/235243-007_DET_3.jpg</t>
  </si>
  <si>
    <t>https://dd3ka9h4chfr8.cloudfront.net/image/725136000567/image_410egu59ht5dh8bmfvuk6c3b4j/-FJPG/235243-007_DET_4.jpg</t>
  </si>
  <si>
    <t>https://dd3ka9h4chfr8.cloudfront.net/image/725136000567/image_s5c9126qvp0cj4nlqfk4f1fk77/-FJPG/235243-007_DET_5.jpg</t>
  </si>
  <si>
    <t>https://dd3ka9h4chfr8.cloudfront.net/image/725136000567/image_06djtvjgnt2uj3dhqfn61l3a0v/-FJPG/FHMPRJ-007_SCENE_7.tif</t>
  </si>
  <si>
    <t>Elliana Swivel Chair - Surrey Olive</t>
  </si>
  <si>
    <t>https://dd3ka9h4chfr8.cloudfront.net/image/725136000567/image_scvqfrelmd3uh8kual9ukkfr3h/-S150x150-FJPG/235243-008_PRM_1.JPG</t>
  </si>
  <si>
    <t>https://dd3ka9h4chfr8.cloudfront.net/image/725136000567/image_scvqfrelmd3uh8kual9ukkfr3h/-FJPG/235243-008_PRM_1.JPG</t>
  </si>
  <si>
    <t>https://dd3ka9h4chfr8.cloudfront.net/image/725136000567/image_l6b1prk6qp43p4qisjnkfvgk4s/-FJPG/235243-008_SID_1.JPG</t>
  </si>
  <si>
    <t>https://dd3ka9h4chfr8.cloudfront.net/image/725136000567/image_33nat5hlfd7g3d27pp9ep6p637/-FJPG/235243-008_DET_2.JPG</t>
  </si>
  <si>
    <t>https://dd3ka9h4chfr8.cloudfront.net/image/725136000567/image_pd66ah6mmd09n4jgpa1qfk6s0f/-FJPG/235243-008_BCK_1.JPG</t>
  </si>
  <si>
    <t>https://dd3ka9h4chfr8.cloudfront.net/image/725136000567/image_l4mop45vdt4dr531tg9rtj0n6j/-FJPG/235243-008_DET_1.JPG</t>
  </si>
  <si>
    <t>https://dd3ka9h4chfr8.cloudfront.net/image/725136000567/image_qr4uguv2o17thfe1pv4a3ka962/-FJPG/235243-008_DET_3.JPG</t>
  </si>
  <si>
    <t>https://dd3ka9h4chfr8.cloudfront.net/image/725136000567/image_kv9q7f05ih55d87lop926fri4k/-FJPG/235243-008_DET_4.JPG</t>
  </si>
  <si>
    <t>Elora Chair - Sheepskin Camel</t>
  </si>
  <si>
    <t>https://dd3ka9h4chfr8.cloudfront.net/image/725136000567/image_bhqo9da5dl13n44uucb1vmbc22/-S150x150-FJPG/231386-003_PRM_1.jpg</t>
  </si>
  <si>
    <t>https://dd3ka9h4chfr8.cloudfront.net/image/725136000567/image_bhqo9da5dl13n44uucb1vmbc22/-FJPG/231386-003_PRM_1.jpg</t>
  </si>
  <si>
    <t>https://dd3ka9h4chfr8.cloudfront.net/image/725136000567/image_gp5duprh2p095b6rsdrk934o5d/-FJPG/231386-003_SID_1.jpg</t>
  </si>
  <si>
    <t>https://dd3ka9h4chfr8.cloudfront.net/image/725136000567/image_4m13kbqvsd6pj101h0gfbfuv0n/-FJPG/231386-003_ESS_1.jpg</t>
  </si>
  <si>
    <t>https://dd3ka9h4chfr8.cloudfront.net/image/725136000567/image_rnbpfabq3p5p3dfe2c3udkoo3m/-FJPG/231386-003_DET_2.jpg</t>
  </si>
  <si>
    <t>https://dd3ka9h4chfr8.cloudfront.net/image/725136000567/image_4kgbj9iued3fnfuun9c3p2k61j/-FJPG/231386-003_BCK_1.jpg</t>
  </si>
  <si>
    <t>https://dd3ka9h4chfr8.cloudfront.net/image/725136000567/image_62didpf1at2mlbbl9mm188bu3l/-FJPG/231386-003_DET_1.jpg</t>
  </si>
  <si>
    <t>https://dd3ka9h4chfr8.cloudfront.net/image/725136000567/image_8k59g65dgp4b734cfng2jqpf7n/-FJPG/231386-003_DET_3.jpg</t>
  </si>
  <si>
    <t>https://dd3ka9h4chfr8.cloudfront.net/image/725136000567/image_1n541mili52np8jo67pet2vv5f/-FJPG/231386-003_DET_4.jpg</t>
  </si>
  <si>
    <t>https://dd3ka9h4chfr8.cloudfront.net/image/725136000567/image_2hi9ofeg0t65ta9v90akudr760/-FJPG/231386-003_DET_5.jpg</t>
  </si>
  <si>
    <t>Emery Sofa - Sapphire Bay</t>
  </si>
  <si>
    <t>https://dd3ka9h4chfr8.cloudfront.net/image/725136000567/image_ak9625ueid5bd3vgsg3gmbo34g/-S150x150-FJPG/109573-019_PRM_1.jpg</t>
  </si>
  <si>
    <t>https://dd3ka9h4chfr8.cloudfront.net/image/725136000567/image_ak9625ueid5bd3vgsg3gmbo34g/-FJPG/109573-019_PRM_1.jpg</t>
  </si>
  <si>
    <t>https://dd3ka9h4chfr8.cloudfront.net/image/725136000567/image_lgrujn54nl1rpfo6qmdgkgjt76/-FJPG/109573-019_SID_1.jpg</t>
  </si>
  <si>
    <t>https://dd3ka9h4chfr8.cloudfront.net/image/725136000567/image_fduqma48nd5sffmrvbg0ub8j34/-FJPG/109573-019_DET_2.jpg</t>
  </si>
  <si>
    <t>https://dd3ka9h4chfr8.cloudfront.net/image/725136000567/image_qo9v0a3bbh6pre6tk1e85v7u5a/-FJPG/109573-019_BCK_1.jpg</t>
  </si>
  <si>
    <t>https://dd3ka9h4chfr8.cloudfront.net/image/725136000567/image_iinc4fqhmt4ht67rio2nlkak40/-FJPG/109573-019_DET_1.jpg</t>
  </si>
  <si>
    <t>https://dd3ka9h4chfr8.cloudfront.net/image/725136000567/image_put01dk8pl7r35j2gdviotp151/-FJPG/109573-019_DET_3.jpg</t>
  </si>
  <si>
    <t>https://dd3ka9h4chfr8.cloudfront.net/image/725136000567/image_rtqtqamvch2d5dm0evrenc2s4f/-FJPG/109573-019_DET_4.jpg</t>
  </si>
  <si>
    <t>https://dd3ka9h4chfr8.cloudfront.net/image/725136000567/image_abr99385j10off32kh47k3r77s/-FJPG/109573-019_DET_5.jpg</t>
  </si>
  <si>
    <t>https://dd3ka9h4chfr8.cloudfront.net/image/725136000567/image_d2c50eeu9522hf7a3eb7jf2v1d/-FJPG/109573-019_ROM_1.jpg</t>
  </si>
  <si>
    <t>Emery Sofa - Sapphire Birch</t>
  </si>
  <si>
    <t>https://dd3ka9h4chfr8.cloudfront.net/image/725136000567/image_e7p214tac55lpfcrgjbgsbqf0i/-S150x150-FJPG/109573-020_PRM_1.jpg</t>
  </si>
  <si>
    <t>https://dd3ka9h4chfr8.cloudfront.net/image/725136000567/image_e7p214tac55lpfcrgjbgsbqf0i/-FJPG/109573-020_PRM_1.jpg</t>
  </si>
  <si>
    <t>https://dd3ka9h4chfr8.cloudfront.net/image/725136000567/image_hsld3i3bq91kfejvb5p2o8sl7i/-FJPG/109573-020_SID_1.jpg</t>
  </si>
  <si>
    <t>https://dd3ka9h4chfr8.cloudfront.net/image/725136000567/image_r68ik6g1vd3tr996qf63fpa07r/-FJPG/109573-020_ESS_1.jpg</t>
  </si>
  <si>
    <t>https://dd3ka9h4chfr8.cloudfront.net/image/725136000567/image_1v8p4c09mh7q51ho9mahvo1n2m/-FJPG/109573-020_DET_2.jpg</t>
  </si>
  <si>
    <t>https://dd3ka9h4chfr8.cloudfront.net/image/725136000567/image_9ab69movjp7b103h3h15j12v7e/-FJPG/109573-020_BCK_1.jpg</t>
  </si>
  <si>
    <t>https://dd3ka9h4chfr8.cloudfront.net/image/725136000567/image_ch53t24gol061aekl9dampvl18/-FJPG/Color Variance Card_Sapphire Birch.jpg</t>
  </si>
  <si>
    <t>https://dd3ka9h4chfr8.cloudfront.net/image/725136000567/image_n97hcflak94aj5hq85mvjn6m22/-FJPG/109573-020_DET_1.jpg</t>
  </si>
  <si>
    <t>https://dd3ka9h4chfr8.cloudfront.net/image/725136000567/image_qlg54ccj1t791757o7n01jks6k/-FJPG/109573-020_DET_3.jpg</t>
  </si>
  <si>
    <t>https://dd3ka9h4chfr8.cloudfront.net/image/725136000567/image_gfqnmp9gml2mf5ctjcecjb6r1d/-FJPG/109573-020_DET_4.jpg</t>
  </si>
  <si>
    <t>https://dd3ka9h4chfr8.cloudfront.net/image/725136000567/image_e2irpvjom559f6sfe3r0qkr51o/-FJPG/109573-020_DET_5.jpg</t>
  </si>
  <si>
    <t>https://dd3ka9h4chfr8.cloudfront.net/image/725136000567/image_iq7vnln1u91i913q1gqmddts41/-FJPG/109573-020_DET_6.jpg</t>
  </si>
  <si>
    <t>https://dd3ka9h4chfr8.cloudfront.net/image/725136000567/image_q7ht0c8df15tdf1pbaahmuhi2h/-FJPG/109573-020_ROM_1.jpg</t>
  </si>
  <si>
    <t>Emery Sofa - Sonoma Butterscotch</t>
  </si>
  <si>
    <t>https://dd3ka9h4chfr8.cloudfront.net/image/725136000567/image_6at2sud7sh0k59c94qbvof6f4b/-S150x150-FJPG/109573-022_PRM_1.jpg</t>
  </si>
  <si>
    <t>https://dd3ka9h4chfr8.cloudfront.net/image/725136000567/image_6at2sud7sh0k59c94qbvof6f4b/-FJPG/109573-022_PRM_1.jpg</t>
  </si>
  <si>
    <t>https://dd3ka9h4chfr8.cloudfront.net/image/725136000567/image_rt99fdp99932h8jpujfppcc06a/-FJPG/109573-022_SID_1.jpg</t>
  </si>
  <si>
    <t>https://dd3ka9h4chfr8.cloudfront.net/image/725136000567/image_oaan47t09p04ha2ag2g7jucj6b/-FJPG/109573-022_DET_2.jpg</t>
  </si>
  <si>
    <t>https://dd3ka9h4chfr8.cloudfront.net/image/725136000567/image_fk4ebd2vt95a91eguqjjm73519/-FJPG/109573-022_BCK_1.jpg</t>
  </si>
  <si>
    <t>https://dd3ka9h4chfr8.cloudfront.net/image/725136000567/image_6bueh4u6td7d1a03f3sufi2m57/-FJPG/109573-022_DET_1.jpg</t>
  </si>
  <si>
    <t>https://dd3ka9h4chfr8.cloudfront.net/image/725136000567/image_hke011r2dl3kl2tbiqmpfa9r3g/-FJPG/109573-022_DET_3.jpg</t>
  </si>
  <si>
    <t>https://dd3ka9h4chfr8.cloudfront.net/image/725136000567/image_7nld22fj4h57h6tlr07eo2rm3j/-FJPG/109573-022_DET_4.jpg</t>
  </si>
  <si>
    <t>https://dd3ka9h4chfr8.cloudfront.net/image/725136000567/image_qpmsufeked6dn1utng61l5p45i/-FJPG/109573-022_DET_5.jpg</t>
  </si>
  <si>
    <t>https://dd3ka9h4chfr8.cloudfront.net/image/725136000567/image_8l7emfe5it79vc33rdvqlajh42/-FJPG/109573-022_ROM_1.jpg</t>
  </si>
  <si>
    <t>Emery Sofa - Thames Coal</t>
  </si>
  <si>
    <t>https://dd3ka9h4chfr8.cloudfront.net/image/725136000567/image_f8gpvo7rs9429ab3t907uete32/-S150x150-FJPG/109573-024_PRM_1.jpg</t>
  </si>
  <si>
    <t>https://dd3ka9h4chfr8.cloudfront.net/image/725136000567/image_f8gpvo7rs9429ab3t907uete32/-FJPG/109573-024_PRM_1.jpg</t>
  </si>
  <si>
    <t>https://dd3ka9h4chfr8.cloudfront.net/image/725136000567/image_d7ppor39d907p211qcg2bcgn2v/-FJPG/109573-024_SID_1.jpg</t>
  </si>
  <si>
    <t>https://dd3ka9h4chfr8.cloudfront.net/image/725136000567/image_b5si56uph52nd8b2kkm69itj45/-FJPG/109573-024_DET_2.jpg</t>
  </si>
  <si>
    <t>https://dd3ka9h4chfr8.cloudfront.net/image/725136000567/image_rl6te75drl11r8cqlcphdmvs5c/-FJPG/109573-024_BCK_1.jpg</t>
  </si>
  <si>
    <t>https://dd3ka9h4chfr8.cloudfront.net/image/725136000567/image_pfbjk0am0p18h5rdnsfoc4uq6u/-FJPG/109573-024_INF_1.jpg</t>
  </si>
  <si>
    <t>https://dd3ka9h4chfr8.cloudfront.net/image/725136000567/image_io8kmgv0s54i7645a4siub217j/-FJPG/109573-024_DET_1.jpg</t>
  </si>
  <si>
    <t>https://dd3ka9h4chfr8.cloudfront.net/image/725136000567/image_lkl98kvmbl0rb8bkp89191ub0s/-FJPG/109573-024_DET_3.jpg</t>
  </si>
  <si>
    <t>https://dd3ka9h4chfr8.cloudfront.net/image/725136000567/image_mv9bt7ip4t1ofcnfelulpkh643/-FJPG/109573-024_DET_4.jpg</t>
  </si>
  <si>
    <t>https://dd3ka9h4chfr8.cloudfront.net/image/725136000567/image_2rbass80el5v1fujnb1s8l4h1j/-FJPG/109573-024_DET_5.jpg</t>
  </si>
  <si>
    <t>https://dd3ka9h4chfr8.cloudfront.net/image/725136000567/image_rcou48gh5d0n9aonp0458ibk77/-FJPG/109573-024_DET_6.jpg</t>
  </si>
  <si>
    <t>https://dd3ka9h4chfr8.cloudfront.net/image/725136000567/image_bqq0ajvp5d3hn4lm8366kt3v27/-FJPG/109573-024_DET_7.jpg</t>
  </si>
  <si>
    <t>Emma Bed - Knoll Sand</t>
  </si>
  <si>
    <t>https://dd3ka9h4chfr8.cloudfront.net/image/725136000567/image_v24qkkfm293vl3jouui5qo2a4c/-S150x150-FJPG/227886-003_PRM_1.jpg</t>
  </si>
  <si>
    <t>https://dd3ka9h4chfr8.cloudfront.net/image/725136000567/image_v24qkkfm293vl3jouui5qo2a4c/-FJPG/227886-003_PRM_1.jpg</t>
  </si>
  <si>
    <t>https://dd3ka9h4chfr8.cloudfront.net/image/725136000567/image_t9s1loucjt4p58vptkc2g7s86q/-FJPG/227886-003_SID_1.jpg</t>
  </si>
  <si>
    <t>https://dd3ka9h4chfr8.cloudfront.net/image/725136000567/image_o3rr1sl6bh1gremnq3qsisc50o/-FJPG/227886-003_ESS.tif</t>
  </si>
  <si>
    <t>https://dd3ka9h4chfr8.cloudfront.net/image/725136000567/image_1dqf4vdshp2jt8kjg75erjnt0f/-FJPG/227886-003_DET_2.jpg</t>
  </si>
  <si>
    <t>https://dd3ka9h4chfr8.cloudfront.net/image/725136000567/image_0itdms07ul5rta4s93t9gsld4h/-FJPG/227886-003_BCK_1.jpg</t>
  </si>
  <si>
    <t>https://dd3ka9h4chfr8.cloudfront.net/image/725136000567/image_oiioojggd14st7fni6025sh33s/-FJPG/227886-003_DET_1.jpg</t>
  </si>
  <si>
    <t>https://dd3ka9h4chfr8.cloudfront.net/image/725136000567/image_uu0qojb9rd67h0mhbviopo9m6r/-FJPG/227886-003_DET_3.jpg</t>
  </si>
  <si>
    <t>https://dd3ka9h4chfr8.cloudfront.net/image/725136000567/image_1a1ejplb2l69veoek3lgbo4k7f/-FJPG/227886-003_DET_4.jpg</t>
  </si>
  <si>
    <t>https://dd3ka9h4chfr8.cloudfront.net/image/725136000567/image_hfhpceqa7l0dhc03eklesis04n/-FJPG/227886-003_DET_5.jpg</t>
  </si>
  <si>
    <t>https://dd3ka9h4chfr8.cloudfront.net/image/725136000567/image_l7ed4btn091fj7tk896h39bu1q/-FJPG/227886-003_DET_6.jpg</t>
  </si>
  <si>
    <t>https://dd3ka9h4chfr8.cloudfront.net/image/725136000567/image_fikkblh9053rf510f636pq7r65/-S150x150-FJPG/227886-004_PRM_1.jpg</t>
  </si>
  <si>
    <t>https://dd3ka9h4chfr8.cloudfront.net/image/725136000567/image_fikkblh9053rf510f636pq7r65/-FJPG/227886-004_PRM_1.jpg</t>
  </si>
  <si>
    <t>https://dd3ka9h4chfr8.cloudfront.net/image/725136000567/image_053dt3stfh3ah4921ladeluc23/-FJPG/227886-004_SID_1.jpg</t>
  </si>
  <si>
    <t>https://dd3ka9h4chfr8.cloudfront.net/image/725136000567/image_1j8f8oh3st7q911324vf5ltf2o/-FJPG/227886-004_DET_2.jpg</t>
  </si>
  <si>
    <t>https://dd3ka9h4chfr8.cloudfront.net/image/725136000567/image_krdfbgt4ud66f76r1on07n1i45/-FJPG/227886-004_BCK_1.jpg</t>
  </si>
  <si>
    <t>https://dd3ka9h4chfr8.cloudfront.net/image/725136000567/image_orlpqem5dp0c18lgdi6rtn601n/-FJPG/227886-004_DET_1.jpg</t>
  </si>
  <si>
    <t>https://dd3ka9h4chfr8.cloudfront.net/image/725136000567/image_i5654f2hut1sf7dlm3n1j6jj5t/-FJPG/227886-004_DET_3.jpg</t>
  </si>
  <si>
    <t>https://dd3ka9h4chfr8.cloudfront.net/image/725136000567/image_5fm4jrah7d2vdctqf0errp3i50/-FJPG/227886-004_DET_4.jpg</t>
  </si>
  <si>
    <t>https://dd3ka9h4chfr8.cloudfront.net/image/725136000567/image_nt52imp7u56lpb9decqv8eii32/-FJPG/227886-004_DET_5.jpg</t>
  </si>
  <si>
    <t>https://dd3ka9h4chfr8.cloudfront.net/image/725136000567/image_h4cou9l7el08b7c9rr19i8ko5j/-FJPG/227886-004_DET_6.jpg</t>
  </si>
  <si>
    <t>Emmett Sling Chair - Umber Natural</t>
  </si>
  <si>
    <t>https://dd3ka9h4chfr8.cloudfront.net/image/725136000567/image_f0es5c9u213dj24qsek4vi7e5h/-S150x150-FJPG/105995-014_PRM_1.jpg</t>
  </si>
  <si>
    <t>https://dd3ka9h4chfr8.cloudfront.net/image/725136000567/image_f0es5c9u213dj24qsek4vi7e5h/-FJPG/105995-014_PRM_1.jpg</t>
  </si>
  <si>
    <t>https://dd3ka9h4chfr8.cloudfront.net/image/725136000567/image_0ph91cdjh16q1aamushtrpui60/-FJPG/105995-014_SID_1.jpg</t>
  </si>
  <si>
    <t>https://dd3ka9h4chfr8.cloudfront.net/image/725136000567/image_f9o9nmp46p5m5723jh5qegjq37/-FJPG/105995-014_ESS_1.tif</t>
  </si>
  <si>
    <t>https://dd3ka9h4chfr8.cloudfront.net/image/725136000567/image_8m8hupi2id58nf6j2l4fqljc2q/-FJPG/105995-014_DET_2.jpg</t>
  </si>
  <si>
    <t>https://dd3ka9h4chfr8.cloudfront.net/image/725136000567/image_r1i2oj74v90fnfbrlaqnr1rs7p/-FJPG/105995-014_DET_1.jpg</t>
  </si>
  <si>
    <t>https://dd3ka9h4chfr8.cloudfront.net/image/725136000567/image_26scfbir994kf59q6cj5st8b6h/-FJPG/105995-014_DET_3.jpg</t>
  </si>
  <si>
    <t>https://dd3ka9h4chfr8.cloudfront.net/image/725136000567/image_90a41pdoll18jd3sj6llquuc0k/-FJPG/105995-014_DET_4.jpg</t>
  </si>
  <si>
    <t>https://dd3ka9h4chfr8.cloudfront.net/image/725136000567/image_19v1ktfob94qb32nhiguafuv1l/-FJPG/105995-014_DET_5.jpg</t>
  </si>
  <si>
    <t>https://dd3ka9h4chfr8.cloudfront.net/image/725136000567/image_cm5a2403f90g73ekbn09b8o15a/-FJPG/105995-014_DET_6.jpg</t>
  </si>
  <si>
    <t>https://dd3ka9h4chfr8.cloudfront.net/image/725136000567/image_oksilan7g93bdcapdh1rhc5309/-FJPG/105995-014_ROM_1.jpg</t>
  </si>
  <si>
    <t>Erie Bar + Counter Table - Dark Smoked Oak</t>
  </si>
  <si>
    <t>https://dd3ka9h4chfr8.cloudfront.net/image/725136000567/image_qi38toc1097hha3490sdn3c130/-S150x150-FJPG/106411-003_PRM_1.jpg</t>
  </si>
  <si>
    <t>https://dd3ka9h4chfr8.cloudfront.net/image/725136000567/image_qi38toc1097hha3490sdn3c130/-FJPG/106411-003_PRM_1.jpg</t>
  </si>
  <si>
    <t>https://dd3ka9h4chfr8.cloudfront.net/image/725136000567/image_d1an08hng93336rn1kh2vvlp5u/-FJPG/106411-003_SID_1.jpg</t>
  </si>
  <si>
    <t>https://dd3ka9h4chfr8.cloudfront.net/image/725136000567/image_r7p0b8dj6971fb4uittgbhmb5t/-FJPG/106411-003_DET_2.jpg</t>
  </si>
  <si>
    <t>https://dd3ka9h4chfr8.cloudfront.net/image/725136000567/image_qj8qht8o7l1h99a0ltl6jtb26e/-FJPG/106411-003_DET_1.jpg</t>
  </si>
  <si>
    <t>https://dd3ka9h4chfr8.cloudfront.net/image/725136000567/image_k25u9oie192r7fnav5ogh0aj1i/-FJPG/106411-003_DET_3.jpg</t>
  </si>
  <si>
    <t>https://dd3ka9h4chfr8.cloudfront.net/image/725136000567/image_g30r1eu24l2fr50ieq2u8rb86u/-FJPG/106411-003_DET_4.jpg</t>
  </si>
  <si>
    <t>https://dd3ka9h4chfr8.cloudfront.net/image/725136000567/image_a6bcm2srl956pcmvog43ot4s4d/-FJPG/106411-003_DET_5.jpg</t>
  </si>
  <si>
    <t>https://dd3ka9h4chfr8.cloudfront.net/image/725136000567/image_5lm521k3795ula0bg3ioi7ak2u/-FJPG/106411-003_DET_6.jpg</t>
  </si>
  <si>
    <t>https://dd3ka9h4chfr8.cloudfront.net/image/725136000567/image_fgcm5s562d5f102d1cc1dvbp48/-FJPG/106411-003_DET_7.jpg</t>
  </si>
  <si>
    <t>https://dd3ka9h4chfr8.cloudfront.net/image/725136000567/image_qchvhrj9rt2959ojqbnd042u01/-FJPG/106411-003_DET_8.jpg</t>
  </si>
  <si>
    <t>https://dd3ka9h4chfr8.cloudfront.net/image/725136000567/image_0trb9gcq2h7ib3247pk471ls5q/-FJPG/106411-003_DET_9.jpg</t>
  </si>
  <si>
    <t>https://dd3ka9h4chfr8.cloudfront.net/image/725136000567/image_tq81espsnl5kbf7tqr4g8mrc57/-FJPG/106411-003_VIG_1.jpg</t>
  </si>
  <si>
    <t>https://dd3ka9h4chfr8.cloudfront.net/image/725136000567/image_6kn1tfv3kd18p70mg6mhrhth1d/-S150x150-FJPG/106411-004_PRM_1.jpg</t>
  </si>
  <si>
    <t>https://dd3ka9h4chfr8.cloudfront.net/image/725136000567/image_6kn1tfv3kd18p70mg6mhrhth1d/-FJPG/106411-004_PRM_1.jpg</t>
  </si>
  <si>
    <t>https://dd3ka9h4chfr8.cloudfront.net/image/725136000567/image_q6a77r8cd505rea8iapvchba6p/-FJPG/106411-004_SID_1.jpg</t>
  </si>
  <si>
    <t>https://dd3ka9h4chfr8.cloudfront.net/image/725136000567/image_deeqgs84rt2s98mn3qr9v1010r/-FJPG/106411-004_DET_2.jpg</t>
  </si>
  <si>
    <t>https://dd3ka9h4chfr8.cloudfront.net/image/725136000567/image_atdpnl82t55ip96bson6bmct5t/-FJPG/106411-004_DET_1.jpg</t>
  </si>
  <si>
    <t>https://dd3ka9h4chfr8.cloudfront.net/image/725136000567/image_cujsqbi56949569novakidfm2a/-FJPG/106411-004_DET_3.jpg</t>
  </si>
  <si>
    <t>https://dd3ka9h4chfr8.cloudfront.net/image/725136000567/image_svfvf2l1rl40v4vdfn434g4t5f/-FJPG/106411-004_TOP_1.jpg</t>
  </si>
  <si>
    <t>https://dd3ka9h4chfr8.cloudfront.net/image/725136000567/image_a1nidhnett239afo0vs1ov861n/-FJPG/106411-004_DET_4.jpg</t>
  </si>
  <si>
    <t>https://dd3ka9h4chfr8.cloudfront.net/image/725136000567/image_1pva39m9st74v1c9t2enfusr5u/-FJPG/106411-004_DET_5.jpg</t>
  </si>
  <si>
    <t>https://dd3ka9h4chfr8.cloudfront.net/image/725136000567/image_v34ah28an54v127b9caik0jc38/-FJPG/106411-004_DET_6.jpg</t>
  </si>
  <si>
    <t>https://dd3ka9h4chfr8.cloudfront.net/image/725136000567/image_eapam42iah1db483si1djust64/-FJPG/106411-004_DET_7.jpg</t>
  </si>
  <si>
    <t>https://dd3ka9h4chfr8.cloudfront.net/image/725136000567/image_jfsrjaspfd3s95rbe0u1a6pr7p/-FJPG/106411-004_DET_8.jpg</t>
  </si>
  <si>
    <t>https://dd3ka9h4chfr8.cloudfront.net/image/725136000567/image_lv1q381nt16ob9i6jt6ghjdl5j/-FJPG/106411-004_VIG_1.jpg</t>
  </si>
  <si>
    <t>Erie Coffee Table - Dark Smoked Oak</t>
  </si>
  <si>
    <t>https://dd3ka9h4chfr8.cloudfront.net/image/725136000567/image_psf3id928l6b3b7t6s6v552q4h/-S150x150-FJPG/101405-003_PRM_1.jpg</t>
  </si>
  <si>
    <t>https://dd3ka9h4chfr8.cloudfront.net/image/725136000567/image_psf3id928l6b3b7t6s6v552q4h/-FJPG/101405-003_PRM_1.jpg</t>
  </si>
  <si>
    <t>https://dd3ka9h4chfr8.cloudfront.net/image/725136000567/image_t3uetefehd3s97tj9r8j426c4q/-FJPG/101405-003_SID_1.jpg</t>
  </si>
  <si>
    <t>https://dd3ka9h4chfr8.cloudfront.net/image/725136000567/image_l0svkkctu90954itksb54sik2k/-FJPG/101405-003_DET_2.jpg</t>
  </si>
  <si>
    <t>https://dd3ka9h4chfr8.cloudfront.net/image/725136000567/image_tujif3e2kh3q588vosvp89vc07/-FJPG/101405-003_DET_1.jpg</t>
  </si>
  <si>
    <t>https://dd3ka9h4chfr8.cloudfront.net/image/725136000567/image_qs07nf4ki90ptag7mnn2uvcf74/-FJPG/101405-003_DET_3.jpg</t>
  </si>
  <si>
    <t>https://dd3ka9h4chfr8.cloudfront.net/image/725136000567/image_je3bn12i0t5331trvo65b4ls3e/-FJPG/101405-003_DET_4.jpg</t>
  </si>
  <si>
    <t>https://dd3ka9h4chfr8.cloudfront.net/image/725136000567/image_le6jggvhph4l758ade769gih2d/-FJPG/101405-003_VIG_1.jpg</t>
  </si>
  <si>
    <t>Esben Storage Ottoman-39" - Sattley Fog</t>
  </si>
  <si>
    <t>https://dd3ka9h4chfr8.cloudfront.net/image/725136000567/image_25pngknk0h3c19ced8oo361h4e/-S150x150-FJPG/231476-001_PRM_1.jpg</t>
  </si>
  <si>
    <t>https://dd3ka9h4chfr8.cloudfront.net/image/725136000567/image_25pngknk0h3c19ced8oo361h4e/-FJPG/231476-001_PRM_1.jpg</t>
  </si>
  <si>
    <t>https://dd3ka9h4chfr8.cloudfront.net/image/725136000567/image_b764po06i13ch4226e7epmuj19/-FJPG/231476-001_SID_1.jpg</t>
  </si>
  <si>
    <t>https://dd3ka9h4chfr8.cloudfront.net/image/725136000567/image_40jrbtvo3d1uh0v7m0jhn4qd7o/-FJPG/231476-001_ESS_1.jpg</t>
  </si>
  <si>
    <t>https://dd3ka9h4chfr8.cloudfront.net/image/725136000567/image_vr2tgoulk90jrdkb1qb97iqv6p/-FJPG/231476-001_DET_2.jpg</t>
  </si>
  <si>
    <t>https://dd3ka9h4chfr8.cloudfront.net/image/725136000567/image_hq4b6vsng50l7f18mhvsvepi3s/-FJPG/231476-001_DET_1.jpg</t>
  </si>
  <si>
    <t>https://dd3ka9h4chfr8.cloudfront.net/image/725136000567/image_e6g9und5c13k9d8vh45fub9f2f/-FJPG/231476-001_DET_3.jpg</t>
  </si>
  <si>
    <t>https://dd3ka9h4chfr8.cloudfront.net/image/725136000567/image_e04mr86det2vbc7jj1gg273r4a/-FJPG/231476-001_DET_4.jpg</t>
  </si>
  <si>
    <t>https://dd3ka9h4chfr8.cloudfront.net/image/725136000567/image_vurqje4fr96kf53cingits146c/-FJPG/231476-001_DET_5.jpg</t>
  </si>
  <si>
    <t>https://dd3ka9h4chfr8.cloudfront.net/image/725136000567/image_dpcl581jl96p70hs6qanfeci0b/-FJPG/231476-001_ESS_2.jpg</t>
  </si>
  <si>
    <t>Esmi Console Table - Bleached Spalted Primavera</t>
  </si>
  <si>
    <t>https://dd3ka9h4chfr8.cloudfront.net/image/725136000567/image_fvu2ovrhm92n94n4826g6lh90i/-S150x150-FJPG/243351-001_PRM_1.jpg</t>
  </si>
  <si>
    <t>https://dd3ka9h4chfr8.cloudfront.net/image/725136000567/image_fvu2ovrhm92n94n4826g6lh90i/-FJPG/243351-001_PRM_1.jpg</t>
  </si>
  <si>
    <t>https://dd3ka9h4chfr8.cloudfront.net/image/725136000567/image_86np44gf4p2ltcsv0534pt3v6q/-FJPG/243351-001_SID_1.jpg</t>
  </si>
  <si>
    <t>https://dd3ka9h4chfr8.cloudfront.net/image/725136000567/image_5pp03nsbhh5ff77jsfrso6ah54/-FJPG/243351-001_ESS.tif</t>
  </si>
  <si>
    <t>https://dd3ka9h4chfr8.cloudfront.net/image/725136000567/image_617u50ldlp3ptcuj0tmv0mta6q/-FJPG/243351-001_DET_2.jpg</t>
  </si>
  <si>
    <t>https://dd3ka9h4chfr8.cloudfront.net/image/725136000567/image_2v0p9ms43t2i1b88fi2e8t6c03/-FJPG/243351-001_BCK_1.jpg</t>
  </si>
  <si>
    <t>https://dd3ka9h4chfr8.cloudfront.net/image/725136000567/image_lvjhibassd26p53ejonuisj31b/-FJPG/243351-001_DET_1.jpg</t>
  </si>
  <si>
    <t>https://dd3ka9h4chfr8.cloudfront.net/image/725136000567/image_8rqncv85hd1gp39026nltj7v7p/-FJPG/243351-001_DET_3.jpg</t>
  </si>
  <si>
    <t>https://dd3ka9h4chfr8.cloudfront.net/image/725136000567/image_lhk6j6lan560j5h8tdenib3i3p/-FJPG/243351-001_TOP_1.jpg</t>
  </si>
  <si>
    <t>Etro Media Console - Tawny Pine</t>
  </si>
  <si>
    <t>https://dd3ka9h4chfr8.cloudfront.net/image/725136000567/image_vthj9tjh456b16a8fbf1s29h58/-S150x150-FJPG/234724-002_PRM_1.jpg</t>
  </si>
  <si>
    <t>https://dd3ka9h4chfr8.cloudfront.net/image/725136000567/image_vthj9tjh456b16a8fbf1s29h58/-FJPG/234724-002_PRM_1.jpg</t>
  </si>
  <si>
    <t>https://dd3ka9h4chfr8.cloudfront.net/image/725136000567/image_b1kqp794hp6tt0tb28m6nqck14/-FJPG/234724-002_SID_1.jpg</t>
  </si>
  <si>
    <t>https://dd3ka9h4chfr8.cloudfront.net/image/725136000567/image_hg8r98gslt4sdfmoum3la4lf3n/-FJPG/234724-002_ESS.tif</t>
  </si>
  <si>
    <t>https://dd3ka9h4chfr8.cloudfront.net/image/725136000567/image_ga4f233bj51dbbmgvlaf95c621/-FJPG/234724-002_ESS_1.jpg</t>
  </si>
  <si>
    <t>https://dd3ka9h4chfr8.cloudfront.net/image/725136000567/image_fdnsmmj91p7vh6pvbeahuivl40/-FJPG/234724-002_DET_2.jpg</t>
  </si>
  <si>
    <t>https://dd3ka9h4chfr8.cloudfront.net/image/725136000567/image_fis5nfbd1t021ekje84a14o770/-FJPG/234724-002_BCK_1.jpg</t>
  </si>
  <si>
    <t>https://dd3ka9h4chfr8.cloudfront.net/image/725136000567/image_l6grjinrhh1bp58hm0ltkkrb28/-FJPG/234724-002_DET_1.jpg</t>
  </si>
  <si>
    <t>https://dd3ka9h4chfr8.cloudfront.net/image/725136000567/image_vv0d01jnap7jr2e48pv48c0602/-FJPG/234724-002_DET_3.jpg</t>
  </si>
  <si>
    <t>https://dd3ka9h4chfr8.cloudfront.net/image/725136000567/image_86l7bm11lh7jfb0bhnicvli52b/-FJPG/234724-002_OPN_1.jpg</t>
  </si>
  <si>
    <t>https://dd3ka9h4chfr8.cloudfront.net/image/725136000567/image_ier9j867pt7j1aid61p26c2543/-FJPG/234724-002_DET_4.jpg</t>
  </si>
  <si>
    <t>https://dd3ka9h4chfr8.cloudfront.net/image/725136000567/image_960hn7ddat0nje5uilhklodu5s/-FJPG/234724-002_DET_5.jpg</t>
  </si>
  <si>
    <t>https://dd3ka9h4chfr8.cloudfront.net/image/725136000567/image_ui1v63qpvh1m5cv3v878cauv62/-FJPG/234724-002_DET_6.jpg</t>
  </si>
  <si>
    <t>https://dd3ka9h4chfr8.cloudfront.net/image/725136000567/image_ej3uuhi7lp7tt2rmqpf2hdo964/-FJPG/234724-002_DET_7.jpg</t>
  </si>
  <si>
    <t>Etro Nightstand - Tawny Pine</t>
  </si>
  <si>
    <t>https://dd3ka9h4chfr8.cloudfront.net/image/725136000567/image_8kfu7q4785377edk9qamo3nn03/-S150x150-FJPG/234728-003_PRM_1.jpg</t>
  </si>
  <si>
    <t>https://dd3ka9h4chfr8.cloudfront.net/image/725136000567/image_8kfu7q4785377edk9qamo3nn03/-FJPG/234728-003_PRM_1.jpg</t>
  </si>
  <si>
    <t>https://dd3ka9h4chfr8.cloudfront.net/image/725136000567/image_9au1ddm9cl6lt36cvcebu3qt30/-FJPG/234728-003_SID_1.jpg</t>
  </si>
  <si>
    <t>https://dd3ka9h4chfr8.cloudfront.net/image/725136000567/image_btsmglujjd13f6p4see8lrsi4q/-FJPG/234728-003_ESS.tif</t>
  </si>
  <si>
    <t>https://dd3ka9h4chfr8.cloudfront.net/image/725136000567/image_av7f45nbgt4vdeaii8mkqc8m5s/-FJPG/234728-003_DET_2.jpg</t>
  </si>
  <si>
    <t>https://dd3ka9h4chfr8.cloudfront.net/image/725136000567/image_jco391rf555r37tu27o01mda3t/-FJPG/234728-003_BCK_1.jpg</t>
  </si>
  <si>
    <t>https://dd3ka9h4chfr8.cloudfront.net/image/725136000567/image_sm9kncdg317nr69od2uatcgh0n/-FJPG/234728-003_DET_1.jpg</t>
  </si>
  <si>
    <t>https://dd3ka9h4chfr8.cloudfront.net/image/725136000567/image_81pnv6j3cp6l551tg5gvbur17e/-FJPG/234728-003_DET_3.jpg</t>
  </si>
  <si>
    <t>https://dd3ka9h4chfr8.cloudfront.net/image/725136000567/image_sn0ipp6h3t38h0524j29hirf2a/-FJPG/234728-003_TOP_1.jpg</t>
  </si>
  <si>
    <t>https://dd3ka9h4chfr8.cloudfront.net/image/725136000567/image_59run8bd2p5vv065dm50isvg7a/-FJPG/234728-003_DET_9.tif</t>
  </si>
  <si>
    <t>Etro Sideboard - Tawny Pine</t>
  </si>
  <si>
    <t>https://dd3ka9h4chfr8.cloudfront.net/image/725136000567/image_qrpm42nn0l26l3t3u4a9k4v224/-S150x150-FJPG/233904-002_PRM_1.jpg</t>
  </si>
  <si>
    <t>https://dd3ka9h4chfr8.cloudfront.net/image/725136000567/image_qrpm42nn0l26l3t3u4a9k4v224/-FJPG/233904-002_PRM_1.jpg</t>
  </si>
  <si>
    <t>https://dd3ka9h4chfr8.cloudfront.net/image/725136000567/image_47l6qdkbh96hl04dlntmpd8u13/-FJPG/233904-002_SID_1.jpg</t>
  </si>
  <si>
    <t>https://dd3ka9h4chfr8.cloudfront.net/image/725136000567/image_89vf0fik2d0et3ql7b3efrhq48/-FJPG/233904-002_ESS_1.jpg</t>
  </si>
  <si>
    <t>https://dd3ka9h4chfr8.cloudfront.net/image/725136000567/image_v4tqbgtbvt4unaqk2u94u4er4k/-FJPG/233904-002_DET_2.jpg</t>
  </si>
  <si>
    <t>https://dd3ka9h4chfr8.cloudfront.net/image/725136000567/image_7i3hc0qgr55jrctp8ofc4ip571/-FJPG/233904-002_BCK_1.jpg</t>
  </si>
  <si>
    <t>https://dd3ka9h4chfr8.cloudfront.net/image/725136000567/image_q5donf2jc14c55qpkif4jrkh18/-FJPG/233904-002_DET_1.jpg</t>
  </si>
  <si>
    <t>https://dd3ka9h4chfr8.cloudfront.net/image/725136000567/image_0cib8ea4493evatjvhhf14k54d/-FJPG/233904-002_DET_3.jpg</t>
  </si>
  <si>
    <t>https://dd3ka9h4chfr8.cloudfront.net/image/725136000567/image_qe52uolicd1319df1dm7s5tc67/-FJPG/233904-002_OPN_1.jpg</t>
  </si>
  <si>
    <t>https://dd3ka9h4chfr8.cloudfront.net/image/725136000567/image_oh91fbar1d6gl5c15aq02fov1p/-FJPG/233904-002_DET_4.jpg</t>
  </si>
  <si>
    <t>https://dd3ka9h4chfr8.cloudfront.net/image/725136000567/image_0u12u7661t5j17rhu7bg05pl70/-FJPG/233904-002_DET_5.jpg</t>
  </si>
  <si>
    <t>https://dd3ka9h4chfr8.cloudfront.net/image/725136000567/image_b3q6ub79e13u303sq79q1cum01/-FJPG/233904-002_DET_6.jpg</t>
  </si>
  <si>
    <t>Etta Chair - Heirloom Black</t>
  </si>
  <si>
    <t>https://dd3ka9h4chfr8.cloudfront.net/image/725136000567/image_pu4hkfo6v97755uebopb9kq85l/-S150x150-FJPG/108728-010_PRM_1.jpg</t>
  </si>
  <si>
    <t>https://dd3ka9h4chfr8.cloudfront.net/image/725136000567/image_pu4hkfo6v97755uebopb9kq85l/-FJPG/108728-010_PRM_1.jpg</t>
  </si>
  <si>
    <t>https://dd3ka9h4chfr8.cloudfront.net/image/725136000567/image_janne1s53d3cn8t4kef82pq62l/-FJPG/108728-010_SID_1.jpg</t>
  </si>
  <si>
    <t>https://dd3ka9h4chfr8.cloudfront.net/image/725136000567/image_jpk348du9l0kv454452rm76a03/-FJPG/108728-010_ESS_1.jpg</t>
  </si>
  <si>
    <t>https://dd3ka9h4chfr8.cloudfront.net/image/725136000567/image_61bb6i6jud64j3f1q2j9a90j6s/-FJPG/108728-010_DET_2.jpg</t>
  </si>
  <si>
    <t>https://dd3ka9h4chfr8.cloudfront.net/image/725136000567/image_t50smpdu9l6b93q49ihugvmo5m/-FJPG/108728-010_BCK_1.jpg</t>
  </si>
  <si>
    <t>https://dd3ka9h4chfr8.cloudfront.net/image/725136000567/image_j7tkaj9tlh3ihcfn9gqcchml03/-FJPG/108728-010_DET_1.jpg</t>
  </si>
  <si>
    <t>https://dd3ka9h4chfr8.cloudfront.net/image/725136000567/image_23rakl68sh75ta3uhvaoqho319/-FJPG/108728-010_DET_3.jpg</t>
  </si>
  <si>
    <t>https://dd3ka9h4chfr8.cloudfront.net/image/725136000567/image_ucfjguqicd0g70u0canl19663r/-FJPG/108728-010_TOP_1.jpg</t>
  </si>
  <si>
    <t>https://dd3ka9h4chfr8.cloudfront.net/image/725136000567/image_j4vdi3dsa90vl9ggnc45jfgc30/-FJPG/108728-010_DET_4.jpg</t>
  </si>
  <si>
    <t>https://dd3ka9h4chfr8.cloudfront.net/image/725136000567/image_p2njvr4jdl3jlffar96vmnue25/-FJPG/108728-010_DET_5.jpg</t>
  </si>
  <si>
    <t>https://dd3ka9h4chfr8.cloudfront.net/image/725136000567/image_1j2mbh8f3h0hf0mq5oibljq759/-FJPG/108728-010_DET_6.jpg</t>
  </si>
  <si>
    <t>https://dd3ka9h4chfr8.cloudfront.net/image/725136000567/image_dgo8qufd215j12o50qiptm2760/-FJPG/108728-010_DET_7.jpg</t>
  </si>
  <si>
    <t>https://dd3ka9h4chfr8.cloudfront.net/image/725136000567/image_r47dso6mm90qr9t9bd2dr76g3i/-FJPG/108728-010_DET_8.jpg</t>
  </si>
  <si>
    <t>Etta Chair - Winchester Beige</t>
  </si>
  <si>
    <t>https://dd3ka9h4chfr8.cloudfront.net/image/725136000567/image_afgqhtar3523h2lgpv8cjmcd4p/-S150x150-FJPG/108728-003_PRM_1.jpg</t>
  </si>
  <si>
    <t>https://dd3ka9h4chfr8.cloudfront.net/image/725136000567/image_afgqhtar3523h2lgpv8cjmcd4p/-FJPG/108728-003_PRM_1.jpg</t>
  </si>
  <si>
    <t>https://dd3ka9h4chfr8.cloudfront.net/image/725136000567/image_upoiv3gdj93k942a2qjndj6h17/-FJPG/108728-003_SID_1.jpg</t>
  </si>
  <si>
    <t>https://dd3ka9h4chfr8.cloudfront.net/image/725136000567/image_mtni35jgtp50n55aduqn8oit10/-FJPG/108728-003_ESS_1.jpg</t>
  </si>
  <si>
    <t>https://dd3ka9h4chfr8.cloudfront.net/image/725136000567/image_6c785potdt20p0320o1t6g3q2v/-FJPG/108728-003_DET_2.jpg</t>
  </si>
  <si>
    <t>https://dd3ka9h4chfr8.cloudfront.net/image/725136000567/image_sneeka8gol1gd52masgrvho60p/-FJPG/108728-003_BCK_1.jpg</t>
  </si>
  <si>
    <t>https://dd3ka9h4chfr8.cloudfront.net/image/725136000567/image_hn19fbcad55vj9iuu9or8guu0h/-FJPG/108728-003_DET_1.jpg</t>
  </si>
  <si>
    <t>https://dd3ka9h4chfr8.cloudfront.net/image/725136000567/image_v1n3ma4la92v9bkv6rb51coj46/-FJPG/108728-003_DET_3.jpg</t>
  </si>
  <si>
    <t>https://dd3ka9h4chfr8.cloudfront.net/image/725136000567/image_v5brm540kd6gt6u500fm159l65/-FJPG/108728-003_DET_4.jpg</t>
  </si>
  <si>
    <t>https://dd3ka9h4chfr8.cloudfront.net/image/725136000567/image_8e9mg17r5151pd7bota1qj300v/-FJPG/108728-003_DET_5.jpg</t>
  </si>
  <si>
    <t>https://dd3ka9h4chfr8.cloudfront.net/image/725136000567/image_rvoubknghp3255lutcuhcfvk5t/-FJPG/108728-003_DET_6.jpg</t>
  </si>
  <si>
    <t>https://dd3ka9h4chfr8.cloudfront.net/image/725136000567/image_b94jvnagit1hl3b82tk1e32r7l/-FJPG/108728-003_DET_7.jpg</t>
  </si>
  <si>
    <t>Everly Sofa - Antwerp Cafe</t>
  </si>
  <si>
    <t>https://dd3ka9h4chfr8.cloudfront.net/image/725136000567/image_h46gd33f6p50peeu3vqjk5hs7r/-S150x150-FJPG/100938-005_PRM_1.jpg</t>
  </si>
  <si>
    <t>https://dd3ka9h4chfr8.cloudfront.net/image/725136000567/image_h46gd33f6p50peeu3vqjk5hs7r/-FJPG/100938-005_PRM_1.jpg</t>
  </si>
  <si>
    <t>https://dd3ka9h4chfr8.cloudfront.net/image/725136000567/image_l3bkejqdpt3h57svr7nisqjq02/-FJPG/100938-005_SID_1.jpg</t>
  </si>
  <si>
    <t>https://dd3ka9h4chfr8.cloudfront.net/image/725136000567/image_1a3t1t7rsp0n1b308p7dfod37h/-FJPG/100938-005_DET_2.jpg</t>
  </si>
  <si>
    <t>https://dd3ka9h4chfr8.cloudfront.net/image/725136000567/image_vhmhtnglet0fteugbk97m0re7j/-FJPG/100938-005_BCK_1.jpg</t>
  </si>
  <si>
    <t>https://dd3ka9h4chfr8.cloudfront.net/image/725136000567/image_936v5e7gn9385f6bsf68b96c3d/-FJPG/100938-005_DET_1.jpg</t>
  </si>
  <si>
    <t>https://dd3ka9h4chfr8.cloudfront.net/image/725136000567/image_hoie5c40dd1851565aacqvo06p/-FJPG/100938-005_DET_3.jpg</t>
  </si>
  <si>
    <t>https://dd3ka9h4chfr8.cloudfront.net/image/725136000567/image_j5uaat67t9757067uop1ebo01l/-FJPG/100938-005_DET_4.jpg</t>
  </si>
  <si>
    <t>https://dd3ka9h4chfr8.cloudfront.net/image/725136000567/image_dd2iksa8154mj9e0paovc6m238/-FJPG/100938-005_DET_5.jpg</t>
  </si>
  <si>
    <t>https://dd3ka9h4chfr8.cloudfront.net/image/725136000567/image_cmrvop0j4170pbkshk6loaa30j/-FJPG/100938-005_DET_6.jpg</t>
  </si>
  <si>
    <t>https://dd3ka9h4chfr8.cloudfront.net/image/725136000567/image_mjvcofir912cb6oqcn0i4s1t4j/-FJPG/100938-005_DET_7.jpg</t>
  </si>
  <si>
    <t>Everly Sofa - Irving Taupe</t>
  </si>
  <si>
    <t>https://dd3ka9h4chfr8.cloudfront.net/image/725136000567/image_mvhc217i0d0c51u4k12m01bu6q/-S150x150-FJPG/CKEN-297A6-663P_PRM_1.jpg</t>
  </si>
  <si>
    <t>https://dd3ka9h4chfr8.cloudfront.net/image/725136000567/image_mvhc217i0d0c51u4k12m01bu6q/-FJPG/CKEN-297A6-663P_PRM_1.jpg</t>
  </si>
  <si>
    <t>https://dd3ka9h4chfr8.cloudfront.net/image/725136000567/image_lsmhmtd3n11qbd3mf5cdrnsr1d/-FJPG/CKEN-297A6-663P_SID_1.jpg</t>
  </si>
  <si>
    <t>https://dd3ka9h4chfr8.cloudfront.net/image/725136000567/image_evsaug1e052ghcj261bt98gh5r/-FJPG/CKEN-297A6-663P_ESS_1.jpg</t>
  </si>
  <si>
    <t>https://dd3ka9h4chfr8.cloudfront.net/image/725136000567/image_49b22nefkt30rai355bdlra37i/-FJPG/CKEN-297A6-663P_DET_2.jpg</t>
  </si>
  <si>
    <t>https://dd3ka9h4chfr8.cloudfront.net/image/725136000567/image_l2fvttphe546henim032cevf4b/-FJPG/CKEN-297A6-663P_BCK_1.jpg</t>
  </si>
  <si>
    <t>https://dd3ka9h4chfr8.cloudfront.net/image/725136000567/image_t5bdmqr6m119v45di2hnn9jh2m/-FJPG/CKEN-297A6-663P_INF_1.jpg</t>
  </si>
  <si>
    <t>https://dd3ka9h4chfr8.cloudfront.net/image/725136000567/image_1bp18ntse13qn0cbupq7mum825/-FJPG/CKEN-297A6-663P_DET_1.jpg</t>
  </si>
  <si>
    <t>https://dd3ka9h4chfr8.cloudfront.net/image/725136000567/image_999oabn6rt6djc65kmromb8p44/-FJPG/CKEN-297A6-663P_DET_3.jpg</t>
  </si>
  <si>
    <t>https://dd3ka9h4chfr8.cloudfront.net/image/725136000567/image_ovhcnc2o5p5195i4oonlarfn77/-FJPG/CKEN-297A6-663P_DET_4.jpg</t>
  </si>
  <si>
    <t>https://dd3ka9h4chfr8.cloudfront.net/image/725136000567/image_8t4nif0q212jv89r8o3eip1d7q/-FJPG/CKEN-297A6-663P_DET_5.jpg</t>
  </si>
  <si>
    <t>https://dd3ka9h4chfr8.cloudfront.net/image/725136000567/image_t5b7b4vjn96l9a32g08teu0960/-FJPG/CKEN-297A6-663P_DET_6.jpg</t>
  </si>
  <si>
    <t>Everly Tete A Tete Chaise - Antwerp Cafe</t>
  </si>
  <si>
    <t>https://dd3ka9h4chfr8.cloudfront.net/image/725136000567/image_usaioo46ph2sd091kftf47p65o/-S150x150-FJPG/236209-003_PRM_1.jpg</t>
  </si>
  <si>
    <t>https://dd3ka9h4chfr8.cloudfront.net/image/725136000567/image_usaioo46ph2sd091kftf47p65o/-FJPG/236209-003_PRM_1.jpg</t>
  </si>
  <si>
    <t>https://dd3ka9h4chfr8.cloudfront.net/image/725136000567/image_5h53sdafnh17bb1510ctkej26c/-FJPG/236209-003_SID_1.jpg</t>
  </si>
  <si>
    <t>https://dd3ka9h4chfr8.cloudfront.net/image/725136000567/image_fe8rbm06cd1o11rjlvsungdu6d/-FJPG/236209-003_DET_2.jpg</t>
  </si>
  <si>
    <t>https://dd3ka9h4chfr8.cloudfront.net/image/725136000567/image_60niuh0fqd6d76qo8ta8bde131/-FJPG/236209-003_DET_1.jpg</t>
  </si>
  <si>
    <t>https://dd3ka9h4chfr8.cloudfront.net/image/725136000567/image_ramke37mdt33t63q8dmb07hq33/-FJPG/236209-003_DET_3.jpg</t>
  </si>
  <si>
    <t>https://dd3ka9h4chfr8.cloudfront.net/image/725136000567/image_8oqqun3jpp65l5j11pgdkpuo1s/-FJPG/236209-003_DET_4.jpg</t>
  </si>
  <si>
    <t>https://dd3ka9h4chfr8.cloudfront.net/image/725136000567/image_i6ovqqh1ed0lh4tejaurdimi18/-FJPG/236209-003_DET_5.jpg</t>
  </si>
  <si>
    <t>https://dd3ka9h4chfr8.cloudfront.net/image/725136000567/image_nrim0lgroh5bf61cgj5nnu3v6n/-FJPG/236209-003_DET_6.jpg</t>
  </si>
  <si>
    <t>Everly Tete A Tete Chaise - Irving Taupe</t>
  </si>
  <si>
    <t>https://dd3ka9h4chfr8.cloudfront.net/image/725136000567/image_bu48rhnc0h52d0umoosqjgei7n/-S150x150-FJPG/236209-001_PRM_1.jpg</t>
  </si>
  <si>
    <t>https://dd3ka9h4chfr8.cloudfront.net/image/725136000567/image_bu48rhnc0h52d0umoosqjgei7n/-FJPG/236209-001_PRM_1.jpg</t>
  </si>
  <si>
    <t>https://dd3ka9h4chfr8.cloudfront.net/image/725136000567/image_udloqqqgkt2bl6jiq4auh88m5q/-FJPG/236209-001_SID_1.jpg</t>
  </si>
  <si>
    <t>https://dd3ka9h4chfr8.cloudfront.net/image/725136000567/image_1kof1kkvt562nf4cacph76vh63/-FJPG/236209-001_ESS_1.tif</t>
  </si>
  <si>
    <t>https://dd3ka9h4chfr8.cloudfront.net/image/725136000567/image_5tqvpvmgrp3en5l82fhvipv70n/-FJPG/236209-001_DET_2.jpg</t>
  </si>
  <si>
    <t>https://dd3ka9h4chfr8.cloudfront.net/image/725136000567/image_3st4uhuigh5vf4l82i402u0265/-FJPG/236209-001_DET_1.jpg</t>
  </si>
  <si>
    <t>https://dd3ka9h4chfr8.cloudfront.net/image/725136000567/image_rvbkga9nf949j82qulp8f6370s/-FJPG/236209-001_DET_3.jpg</t>
  </si>
  <si>
    <t>https://dd3ka9h4chfr8.cloudfront.net/image/725136000567/image_1608f37jat30v6j3fi5gae675b/-FJPG/236209-001_DET_4.jpg</t>
  </si>
  <si>
    <t>https://dd3ka9h4chfr8.cloudfront.net/image/725136000567/image_sqksiqjcr16op5upsbhai8696a/-FJPG/236209-001_DET_5.jpg</t>
  </si>
  <si>
    <t>Everson 71" Extension Dining Table - Scrubbed Teak</t>
  </si>
  <si>
    <t>https://dd3ka9h4chfr8.cloudfront.net/image/725136000567/image_6daspdjvvh2apcfpib9f3pl55j/-S150x150-FJPG/228471-001_PRM_1.jpg</t>
  </si>
  <si>
    <t>https://dd3ka9h4chfr8.cloudfront.net/image/725136000567/image_6daspdjvvh2apcfpib9f3pl55j/-FJPG/228471-001_PRM_1.jpg</t>
  </si>
  <si>
    <t>https://dd3ka9h4chfr8.cloudfront.net/image/725136000567/image_gvpd6e6ao97411er6qfvm0p954/-FJPG/228471-001_SID_1.jpg</t>
  </si>
  <si>
    <t>https://dd3ka9h4chfr8.cloudfront.net/image/725136000567/image_2au74gd6jd3b1063nj85o56i13/-FJPG/228471-001_DET_2.jpg</t>
  </si>
  <si>
    <t>https://dd3ka9h4chfr8.cloudfront.net/image/725136000567/image_74l3lqpheh25p5t6ppcnahi917/-FJPG/228471-001_DET_1.jpg</t>
  </si>
  <si>
    <t>https://dd3ka9h4chfr8.cloudfront.net/image/725136000567/image_nvqhps1uih2fdcatfnco6dk91p/-FJPG/228471-001_DET_3.jpg</t>
  </si>
  <si>
    <t>https://dd3ka9h4chfr8.cloudfront.net/image/725136000567/image_t0q2j0jih923j7vvchcho4c808/-FJPG/228471-001_OPN_1.jpg</t>
  </si>
  <si>
    <t>https://dd3ka9h4chfr8.cloudfront.net/image/725136000567/image_n3eveuqrdd38fe5ks5p2kko07q/-FJPG/228471-001_DET_4.jpg</t>
  </si>
  <si>
    <t>https://dd3ka9h4chfr8.cloudfront.net/image/725136000567/image_431v2o0rid5kn2pqhbtvh2d02q/-FJPG/228471-001_FRT_2.jpg</t>
  </si>
  <si>
    <t>Everson Cabinet - Scrubbed Teak</t>
  </si>
  <si>
    <t>https://dd3ka9h4chfr8.cloudfront.net/image/725136000567/image_nd4v3j9le928fc05fecfkbls0r/-S150x150-FJPG/228452-001_PRM_1.jpg</t>
  </si>
  <si>
    <t>https://dd3ka9h4chfr8.cloudfront.net/image/725136000567/image_nd4v3j9le928fc05fecfkbls0r/-FJPG/228452-001_PRM_1.jpg</t>
  </si>
  <si>
    <t>https://dd3ka9h4chfr8.cloudfront.net/image/725136000567/image_m6b7kfidp100d7cuio3bfh805o/-FJPG/228452-001_SID_1.jpg</t>
  </si>
  <si>
    <t>https://dd3ka9h4chfr8.cloudfront.net/image/725136000567/image_mdb8m9loqp6q3ef856a1iuh860/-FJPG/228452-001_ESS_1.jpg</t>
  </si>
  <si>
    <t>https://dd3ka9h4chfr8.cloudfront.net/image/725136000567/image_381h3paja51ah8oe0borkibh3p/-FJPG/228452-001_DET_2.jpg</t>
  </si>
  <si>
    <t>https://dd3ka9h4chfr8.cloudfront.net/image/725136000567/image_6ap2eu38op4f5a9prkgi829m63/-FJPG/228452-001_BCK_1.jpg</t>
  </si>
  <si>
    <t>https://dd3ka9h4chfr8.cloudfront.net/image/725136000567/image_ractjahp3940l6qsup7g3hmo26/-FJPG/228452-001_DET_1.jpg</t>
  </si>
  <si>
    <t>https://dd3ka9h4chfr8.cloudfront.net/image/725136000567/image_l4vvqmca71209868a6u7oker1m/-FJPG/228452-001_DET_3.jpg</t>
  </si>
  <si>
    <t>https://dd3ka9h4chfr8.cloudfront.net/image/725136000567/image_qe44c3ruj93bl4g0vqcihcl25n/-FJPG/228452-001_OPN_1.jpg</t>
  </si>
  <si>
    <t>https://dd3ka9h4chfr8.cloudfront.net/image/725136000567/image_brg7ogtc0p4g7eevbp16ifbs5j/-FJPG/228452-001_DET_4.jpg</t>
  </si>
  <si>
    <t>https://dd3ka9h4chfr8.cloudfront.net/image/725136000567/image_86nhs5tl4913l9vlke1ms12s54/-FJPG/228452-001_DET_5.jpg</t>
  </si>
  <si>
    <t>https://dd3ka9h4chfr8.cloudfront.net/image/725136000567/image_0tj4rsqqp10nv9u4mtkvgp530p/-FJPG/228452-001_DET_6.jpg</t>
  </si>
  <si>
    <t>Everton Kitchen Island - Polished White Marble</t>
  </si>
  <si>
    <t>https://dd3ka9h4chfr8.cloudfront.net/image/725136000567/image_6v26cu26hp6rj3foc41cfr271e/-S150x150-FJPG/IHRM-164_PRM_1.jpg</t>
  </si>
  <si>
    <t>https://dd3ka9h4chfr8.cloudfront.net/image/725136000567/image_6v26cu26hp6rj3foc41cfr271e/-FJPG/IHRM-164_PRM_1.jpg</t>
  </si>
  <si>
    <t>https://dd3ka9h4chfr8.cloudfront.net/image/725136000567/image_h87nu3nsmp2dj74srftm3ij514/-FJPG/IHRM-164_SID_1.jpg</t>
  </si>
  <si>
    <t>https://dd3ka9h4chfr8.cloudfront.net/image/725136000567/image_936lviufmt7j17pegvn7h48p6k/-FJPG/IHRM-164_DET_2.jpg</t>
  </si>
  <si>
    <t>https://dd3ka9h4chfr8.cloudfront.net/image/725136000567/image_jovjb1mnht2pd13amr9pccas7b/-FJPG/IHRM-164_DET_1.jpg</t>
  </si>
  <si>
    <t>https://dd3ka9h4chfr8.cloudfront.net/image/725136000567/image_mkacmnb88l257ekmasl78gio2d/-FJPG/IHRM-164_DET_3.jpg</t>
  </si>
  <si>
    <t>https://dd3ka9h4chfr8.cloudfront.net/image/725136000567/image_5cab0q4ekt6rt6ckujnqpbnd7d/-FJPG/IHRM-164_OPN_1.jpg</t>
  </si>
  <si>
    <t>https://dd3ka9h4chfr8.cloudfront.net/image/725136000567/image_nl44eu5b4l3u1bseedijl25d6t/-FJPG/IHRM-164_DET_4.jpg</t>
  </si>
  <si>
    <t>https://dd3ka9h4chfr8.cloudfront.net/image/725136000567/image_lrash0auu93l91kkoh36k7n923/-FJPG/IHRM-164_DET_5.jpg</t>
  </si>
  <si>
    <t>https://dd3ka9h4chfr8.cloudfront.net/image/725136000567/image_fsrfbhr5ep6s17t94in9v4gj54/-FJPG/IHRM-164_DET_6.jpg</t>
  </si>
  <si>
    <t>https://dd3ka9h4chfr8.cloudfront.net/image/725136000567/image_osnbfbbrfl73r8r1sdna2ho166/-FJPG/IHRM-164_DET_7.jpg</t>
  </si>
  <si>
    <t>Ezri 6 Drawer Dresser - Carved Black Oak</t>
  </si>
  <si>
    <t>https://dd3ka9h4chfr8.cloudfront.net/image/725136000567/image_9vphakvrj569l9fjseucelu804/-S150x150-FJPG/241430-002_PRM_1.jpg</t>
  </si>
  <si>
    <t>https://dd3ka9h4chfr8.cloudfront.net/image/725136000567/image_9vphakvrj569l9fjseucelu804/-FJPG/241430-002_PRM_1.jpg</t>
  </si>
  <si>
    <t>https://dd3ka9h4chfr8.cloudfront.net/image/725136000567/image_crci9r9ni11nt0r7giccd27t02/-FJPG/241430-002_SID_1.jpg</t>
  </si>
  <si>
    <t>https://dd3ka9h4chfr8.cloudfront.net/image/725136000567/image_5nqp353lht3ph3fcsqhufof335/-FJPG/241430-002_DET_2.jpg</t>
  </si>
  <si>
    <t>https://dd3ka9h4chfr8.cloudfront.net/image/725136000567/image_vbmg7op6qt0656rf2j853r9i76/-FJPG/241430-002_BCK_1.jpg</t>
  </si>
  <si>
    <t>https://dd3ka9h4chfr8.cloudfront.net/image/725136000567/image_75qlgtgkmd3997v0ook5m9ii67/-FJPG/241430-002_DET_1.jpg</t>
  </si>
  <si>
    <t>https://dd3ka9h4chfr8.cloudfront.net/image/725136000567/image_33roqa04j10precdct952s0f1u/-FJPG/241430-002_DET_3.jpg</t>
  </si>
  <si>
    <t>https://dd3ka9h4chfr8.cloudfront.net/image/725136000567/image_2kjb8cl98p0qva14k9vsk3ci52/-FJPG/241430-002_OPN_1.jpg</t>
  </si>
  <si>
    <t>https://dd3ka9h4chfr8.cloudfront.net/image/725136000567/image_qnfoa7m0lt3s72h0o10o7q387d/-FJPG/241430-002_TOP_1.jpg</t>
  </si>
  <si>
    <t>https://dd3ka9h4chfr8.cloudfront.net/image/725136000567/image_3ig250sqv93pr0d748e0f67f4q/-FJPG/241430-002_DET_4.jpg</t>
  </si>
  <si>
    <t>https://dd3ka9h4chfr8.cloudfront.net/image/725136000567/image_t257086nqh5nvfimoavv8cep0t/-FJPG/241430-002_DET_5.jpg</t>
  </si>
  <si>
    <t>https://dd3ka9h4chfr8.cloudfront.net/image/725136000567/image_gintasone93rretc2hhq4unp0m/-FJPG/241430-002_DET_6.jpg</t>
  </si>
  <si>
    <t>https://dd3ka9h4chfr8.cloudfront.net/image/725136000567/image_tt56t2dsb50prcfdc8j04a9r7q/-FJPG/241430-002_DET_7.jpg</t>
  </si>
  <si>
    <t>Ezri 6 Drawer Dresser - Carved Cocoa Oak</t>
  </si>
  <si>
    <t>https://dd3ka9h4chfr8.cloudfront.net/image/725136000567/image_g8dk6fuust5op90vmdkd5ovv3h/-S150x150-FJPG/241430-001_PRM_1.jpg</t>
  </si>
  <si>
    <t>https://dd3ka9h4chfr8.cloudfront.net/image/725136000567/image_g8dk6fuust5op90vmdkd5ovv3h/-FJPG/241430-001_PRM_1.jpg</t>
  </si>
  <si>
    <t>https://dd3ka9h4chfr8.cloudfront.net/image/725136000567/image_62gejqf4ot7953s3s6b1hquk7q/-FJPG/241430-001_SID_1.jpg</t>
  </si>
  <si>
    <t>https://dd3ka9h4chfr8.cloudfront.net/image/725136000567/image_3mufdjov993fn9vsfpovaubb2g/-FJPG/241430-001_ESS.tif</t>
  </si>
  <si>
    <t>https://dd3ka9h4chfr8.cloudfront.net/image/725136000567/image_s6vot1s5k950fbficj422ivd4j/-FJPG/241430-001_DET_2.jpg</t>
  </si>
  <si>
    <t>https://dd3ka9h4chfr8.cloudfront.net/image/725136000567/image_mgg545v0f93ll338kavqbjck2n/-FJPG/241430-001_BCK_1.jpg</t>
  </si>
  <si>
    <t>https://dd3ka9h4chfr8.cloudfront.net/image/725136000567/image_5rqet11o414o1dh1ado387o606/-FJPG/241430-001_DET_1.jpg</t>
  </si>
  <si>
    <t>https://dd3ka9h4chfr8.cloudfront.net/image/725136000567/image_u5q17qurk54nfcujhg2e8iu529/-FJPG/241430-001_DET_3.jpg</t>
  </si>
  <si>
    <t>https://dd3ka9h4chfr8.cloudfront.net/image/725136000567/image_crpjjgn87l11j3qe9ooq25hf7q/-FJPG/241430-001_OPN_1.jpg</t>
  </si>
  <si>
    <t>https://dd3ka9h4chfr8.cloudfront.net/image/725136000567/image_9saqj5pm352vp8p7fhof70i87v/-FJPG/241430-001_TOP_1.jpg</t>
  </si>
  <si>
    <t>https://dd3ka9h4chfr8.cloudfront.net/image/725136000567/image_cf6hrucsmd5vd482lj5v8ntg42/-FJPG/241430-001_DET_4.jpg</t>
  </si>
  <si>
    <t>https://dd3ka9h4chfr8.cloudfront.net/image/725136000567/image_jalibqrf7t7bn0lc6ltm3ep74l/-FJPG/241430-001_DET_5.jpg</t>
  </si>
  <si>
    <t>https://dd3ka9h4chfr8.cloudfront.net/image/725136000567/image_m68gq6jqe94kp7ugkr59ksd26j/-FJPG/241430-001_DET_6.jpg</t>
  </si>
  <si>
    <t>https://dd3ka9h4chfr8.cloudfront.net/image/725136000567/image_iiqidudnbh51161nbvqufuok6i/-FJPG/241430-001_DET_7.jpg</t>
  </si>
  <si>
    <t>https://dd3ka9h4chfr8.cloudfront.net/image/725136000567/image_avhajjf5il79r9s82qs86tlv0s/-FJPG/241430-001_DET_9.tif</t>
  </si>
  <si>
    <t>Ezri Cabinet - Black Oak</t>
  </si>
  <si>
    <t>https://dd3ka9h4chfr8.cloudfront.net/image/725136000567/image_ld8q58v8tp5spe14360jingm1r/-S150x150-FJPG/241253-002_PRM_1.jpg</t>
  </si>
  <si>
    <t>https://dd3ka9h4chfr8.cloudfront.net/image/725136000567/image_ld8q58v8tp5spe14360jingm1r/-FJPG/241253-002_PRM_1.jpg</t>
  </si>
  <si>
    <t>https://dd3ka9h4chfr8.cloudfront.net/image/725136000567/image_tpe2gslj9h12323o9tk7ja7o61/-FJPG/241253-002_SID_1.jpg</t>
  </si>
  <si>
    <t>https://dd3ka9h4chfr8.cloudfront.net/image/725136000567/image_ke9b7au1c53kd2uh2u68979j1a/-FJPG/241253-002_DET_2.jpg</t>
  </si>
  <si>
    <t>https://dd3ka9h4chfr8.cloudfront.net/image/725136000567/image_tkj08dejp559n37lg0jpddsa67/-FJPG/241253-002_BCK_1.jpg</t>
  </si>
  <si>
    <t>https://dd3ka9h4chfr8.cloudfront.net/image/725136000567/image_46v5r5hll57s9d52e94p986k66/-FJPG/241253-002_DET_1.jpg</t>
  </si>
  <si>
    <t>https://dd3ka9h4chfr8.cloudfront.net/image/725136000567/image_rnmoqv0uh54snd78sli49ja91j/-FJPG/241253-002_DET_3.jpg</t>
  </si>
  <si>
    <t>https://dd3ka9h4chfr8.cloudfront.net/image/725136000567/image_4208a4m21h4hrejd2hu58emq6u/-FJPG/241253-002_OPN_1.jpg</t>
  </si>
  <si>
    <t>https://dd3ka9h4chfr8.cloudfront.net/image/725136000567/image_rbe37l0sk50s9dk2q65m28fb6i/-FJPG/241253-002_TOP_1.jpg</t>
  </si>
  <si>
    <t>https://dd3ka9h4chfr8.cloudfront.net/image/725136000567/image_ovvunht7nl3kn2mv9lsa74g15p/-FJPG/241253-002_DET_4.jpg</t>
  </si>
  <si>
    <t>https://dd3ka9h4chfr8.cloudfront.net/image/725136000567/image_ga5ia6285p5lp2ss8e70nsao77/-FJPG/241253-002_DET_5.jpg</t>
  </si>
  <si>
    <t>Ezri Nightstand - Black Oak</t>
  </si>
  <si>
    <t>https://dd3ka9h4chfr8.cloudfront.net/image/725136000567/image_29j7svegct6jj1iis789jb4j3t/-S150x150-FJPG/241432-002_PRM_1.jpg</t>
  </si>
  <si>
    <t>https://dd3ka9h4chfr8.cloudfront.net/image/725136000567/image_29j7svegct6jj1iis789jb4j3t/-FJPG/241432-002_PRM_1.jpg</t>
  </si>
  <si>
    <t>https://dd3ka9h4chfr8.cloudfront.net/image/725136000567/image_c6ksg8db7d3vb3ckcbgcjuqb31/-FJPG/241432-002_SID_1.jpg</t>
  </si>
  <si>
    <t>https://dd3ka9h4chfr8.cloudfront.net/image/725136000567/image_kfpss27g7d74v2u8gg6hc2km26/-FJPG/241432-002_DET_2.jpg</t>
  </si>
  <si>
    <t>https://dd3ka9h4chfr8.cloudfront.net/image/725136000567/image_18udl66ng10lh8bejt2fq6ld0f/-FJPG/241432-002_BCK_1.jpg</t>
  </si>
  <si>
    <t>https://dd3ka9h4chfr8.cloudfront.net/image/725136000567/image_fg0ehfufsl1m980cskl6mv9478/-FJPG/241432-002_DET_1.jpg</t>
  </si>
  <si>
    <t>https://dd3ka9h4chfr8.cloudfront.net/image/725136000567/image_mrij42rv0115r8v6jrd1497e0k/-FJPG/241432-002_DET_3.jpg</t>
  </si>
  <si>
    <t>https://dd3ka9h4chfr8.cloudfront.net/image/725136000567/image_0vfc2udr9l7lf7a0g07gemob1l/-FJPG/241432-002_OPN_1.jpg</t>
  </si>
  <si>
    <t>https://dd3ka9h4chfr8.cloudfront.net/image/725136000567/image_pprtrdrc456hja6mjaqa3qtk12/-FJPG/241432-002_TOP_1.jpg</t>
  </si>
  <si>
    <t>https://dd3ka9h4chfr8.cloudfront.net/image/725136000567/image_3l6imbtpdh0a77h8bshkmevj1v/-FJPG/241432-002_DET_4.jpg</t>
  </si>
  <si>
    <t>https://dd3ka9h4chfr8.cloudfront.net/image/725136000567/image_jhgll1m0i15j578q64t5h8t41o/-FJPG/241432-002_DET_5.jpg</t>
  </si>
  <si>
    <t>https://dd3ka9h4chfr8.cloudfront.net/image/725136000567/image_v4819ns9rl563d7rathudjco4c/-FJPG/241432-002_DET_6.jpg</t>
  </si>
  <si>
    <t>Ezri Nightstand - Cocoa Oak</t>
  </si>
  <si>
    <t>https://dd3ka9h4chfr8.cloudfront.net/image/725136000567/image_eah286r83l52b2npaqq2rluh0q/-S150x150-FJPG/241432-001_PRM_1.jpg</t>
  </si>
  <si>
    <t>https://dd3ka9h4chfr8.cloudfront.net/image/725136000567/image_eah286r83l52b2npaqq2rluh0q/-FJPG/241432-001_PRM_1.jpg</t>
  </si>
  <si>
    <t>https://dd3ka9h4chfr8.cloudfront.net/image/725136000567/image_qhs5nu9d3p6913mokchmcafi7i/-FJPG/241432-001_SID_1.jpg</t>
  </si>
  <si>
    <t>https://dd3ka9h4chfr8.cloudfront.net/image/725136000567/image_vk70cmirs91sba6328fju4tu73/-FJPG/241432-001_ESS.tif</t>
  </si>
  <si>
    <t>https://dd3ka9h4chfr8.cloudfront.net/image/725136000567/image_ahqiqtputl4el60r9vd4av8d6k/-FJPG/241432-001_DET_2.jpg</t>
  </si>
  <si>
    <t>https://dd3ka9h4chfr8.cloudfront.net/image/725136000567/image_gahqo5ih55111dha09jajdqf20/-FJPG/241432-001_BCK_1.jpg</t>
  </si>
  <si>
    <t>https://dd3ka9h4chfr8.cloudfront.net/image/725136000567/image_soin4fdo854lpd5224jvojfk50/-FJPG/241432-001_DET_1.jpg</t>
  </si>
  <si>
    <t>https://dd3ka9h4chfr8.cloudfront.net/image/725136000567/image_mk6phnm71110d09okrh53j7328/-FJPG/241432-001_DET_3.jpg</t>
  </si>
  <si>
    <t>https://dd3ka9h4chfr8.cloudfront.net/image/725136000567/image_2i40ftnqnt5i33cplt1if2hh7n/-FJPG/241432-001_OPN_1.jpg</t>
  </si>
  <si>
    <t>https://dd3ka9h4chfr8.cloudfront.net/image/725136000567/image_jdjr6dt8s524b8ocr7jndlie4h/-FJPG/241432-001_TOP_1.jpg</t>
  </si>
  <si>
    <t>https://dd3ka9h4chfr8.cloudfront.net/image/725136000567/image_tq87cv5e313d90q6uk11f7s04s/-FJPG/241432-001_DET_4.jpg</t>
  </si>
  <si>
    <t>https://dd3ka9h4chfr8.cloudfront.net/image/725136000567/image_hktapl16ol74j1mjqmjodefi29/-FJPG/241432-001_DET_5.jpg</t>
  </si>
  <si>
    <t>https://dd3ka9h4chfr8.cloudfront.net/image/725136000567/image_pqgusqono93pv2oltmettcmq78/-FJPG/241432-001_DET_6.jpg</t>
  </si>
  <si>
    <t>https://dd3ka9h4chfr8.cloudfront.net/image/725136000567/image_q16iib8l7h7p340qf98hbkb022/-FJPG/241432-001_DET_7.jpg</t>
  </si>
  <si>
    <t>https://dd3ka9h4chfr8.cloudfront.net/image/725136000567/image_fqldjqbr1d1ob1f6c4v5mqg36m/-FJPG/241432-001_DET_8.jpg</t>
  </si>
  <si>
    <t>https://dd3ka9h4chfr8.cloudfront.net/image/725136000567/image_7ub24hrb6t5ejbu5knfriuhs1q/-FJPG/FHMPRJ-013_SCENE_4A.tif</t>
  </si>
  <si>
    <t>https://dd3ka9h4chfr8.cloudfront.net/image/725136000567/image_vi0n2brgmp2k371s0p42eg5c2g/-FJPG/FHMPRJ-013_SCENE_4B.if.tif</t>
  </si>
  <si>
    <t>Ezri Sideboard - Black Oak</t>
  </si>
  <si>
    <t>https://dd3ka9h4chfr8.cloudfront.net/image/725136000567/image_t6mrdujps57qj94kpkihps6r3h/-S150x150-FJPG/240888-002_PRM_1.jpg</t>
  </si>
  <si>
    <t>https://dd3ka9h4chfr8.cloudfront.net/image/725136000567/image_t6mrdujps57qj94kpkihps6r3h/-FJPG/240888-002_PRM_1.jpg</t>
  </si>
  <si>
    <t>https://dd3ka9h4chfr8.cloudfront.net/image/725136000567/image_0fl65jhged1spdh838qblorh1a/-FJPG/240888-002_SID_1.jpg</t>
  </si>
  <si>
    <t>https://dd3ka9h4chfr8.cloudfront.net/image/725136000567/image_pelp9nfseh6h1519em9fj1sb75/-FJPG/240888-002_DET_2.jpg</t>
  </si>
  <si>
    <t>https://dd3ka9h4chfr8.cloudfront.net/image/725136000567/image_t1722a1fhl7ete9rfgi6c2v67m/-FJPG/240888-002_BCK_1.jpg</t>
  </si>
  <si>
    <t>https://dd3ka9h4chfr8.cloudfront.net/image/725136000567/image_p5uu4fmlml2ep1ke1l3djlm75l/-FJPG/240888-002_DET_1.jpg</t>
  </si>
  <si>
    <t>https://dd3ka9h4chfr8.cloudfront.net/image/725136000567/image_up6d5rhso949n798k9ub7hii5v/-FJPG/240888-002_OPN_1.jpg</t>
  </si>
  <si>
    <t>https://dd3ka9h4chfr8.cloudfront.net/image/725136000567/image_icu2lmfpuh7afcs0c2lk62qg74/-FJPG/240888-002_TOP_1.jpg</t>
  </si>
  <si>
    <t>https://dd3ka9h4chfr8.cloudfront.net/image/725136000567/image_m8qqtm06u15qvbenrbd7120g6i/-FJPG/240888-002_DET_4.jpg</t>
  </si>
  <si>
    <t>https://dd3ka9h4chfr8.cloudfront.net/image/725136000567/image_ecfuru2u2t7u7f5co4i71k3n4n/-FJPG/240888-002_DET_5.jpg</t>
  </si>
  <si>
    <t>https://dd3ka9h4chfr8.cloudfront.net/image/725136000567/image_imtbgq60016s933in48qtfk201/-FJPG/240888-002_DET_6.jpg</t>
  </si>
  <si>
    <t>Ezri Sideboard - Cocoa Oak</t>
  </si>
  <si>
    <t>https://dd3ka9h4chfr8.cloudfront.net/image/725136000567/image_53rn05nmh51uv7t2k6h21erc0g/-S150x150-FJPG/240888-001_PRM_1.jpg</t>
  </si>
  <si>
    <t>https://dd3ka9h4chfr8.cloudfront.net/image/725136000567/image_53rn05nmh51uv7t2k6h21erc0g/-FJPG/240888-001_PRM_1.jpg</t>
  </si>
  <si>
    <t>https://dd3ka9h4chfr8.cloudfront.net/image/725136000567/image_ain3osj80p4j7e37ahpuqpqa6f/-FJPG/240888-001_SID_1.jpg</t>
  </si>
  <si>
    <t>https://dd3ka9h4chfr8.cloudfront.net/image/725136000567/image_258r5okeud3hn2ef48ottch96a/-FJPG/240888-001_ESS.tif</t>
  </si>
  <si>
    <t>https://dd3ka9h4chfr8.cloudfront.net/image/725136000567/image_9m73kd1atd3a11bb85fqdndh08/-FJPG/240888-001_DET_2.jpg</t>
  </si>
  <si>
    <t>https://dd3ka9h4chfr8.cloudfront.net/image/725136000567/image_srgpqviqd556p4ftu7ad5t4q14/-FJPG/240888-001_BCK_1.JPG</t>
  </si>
  <si>
    <t>https://dd3ka9h4chfr8.cloudfront.net/image/725136000567/image_5k9hjmab2h6b98bb2nltskr851/-FJPG/240888-001_DET_1.jpg</t>
  </si>
  <si>
    <t>https://dd3ka9h4chfr8.cloudfront.net/image/725136000567/image_lv5pldcnpd15b43gm5o944cs3r/-FJPG/240888-001_DET_3.jpg</t>
  </si>
  <si>
    <t>https://dd3ka9h4chfr8.cloudfront.net/image/725136000567/image_hilb9t7oap1ir6f9i3rg6lo515/-FJPG/240888-001_TOP_1.JPG</t>
  </si>
  <si>
    <t>https://dd3ka9h4chfr8.cloudfront.net/image/725136000567/image_s8apovcjg542h42kbkcbm30650/-FJPG/240888-001_DET_4.jpg</t>
  </si>
  <si>
    <t>https://dd3ka9h4chfr8.cloudfront.net/image/725136000567/image_m6rhpciu5l1dt97ro2kvktkj50/-FJPG/240888-001_DET_5.jpg</t>
  </si>
  <si>
    <t>https://dd3ka9h4chfr8.cloudfront.net/image/725136000567/image_3cnl4lqrfp0993nlfttj5q5514/-FJPG/240888-001_DET_9.tif</t>
  </si>
  <si>
    <t>https://dd3ka9h4chfr8.cloudfront.net/image/725136000567/image_hkqif388n1273a5a0ls8bo5f5q/-FJPG/240888-001_DET_10.tif</t>
  </si>
  <si>
    <t>https://dd3ka9h4chfr8.cloudfront.net/image/725136000567/image_scpndg7pvd36b3nutlgsvtpb72/-FJPG/240888-001_OPN_2.jpg</t>
  </si>
  <si>
    <t>Farrah Chaise Lounge - Alcala Fawn</t>
  </si>
  <si>
    <t>https://dd3ka9h4chfr8.cloudfront.net/image/725136000567/image_75qludi2kl1q532drpf7uf3k1f/-S150x150-FJPG/233370-009_PRM_1.jpg</t>
  </si>
  <si>
    <t>https://dd3ka9h4chfr8.cloudfront.net/image/725136000567/image_75qludi2kl1q532drpf7uf3k1f/-FJPG/233370-009_PRM_1.jpg</t>
  </si>
  <si>
    <t>https://dd3ka9h4chfr8.cloudfront.net/image/725136000567/image_0dso07h1i14pjcfndpfru4bh6c/-FJPG/233370-009_SID_1.jpg</t>
  </si>
  <si>
    <t>https://dd3ka9h4chfr8.cloudfront.net/image/725136000567/image_2183fsvn993j3eb0dj0v73g019/-FJPG/233370-009_ESS_1.jpg</t>
  </si>
  <si>
    <t>https://dd3ka9h4chfr8.cloudfront.net/image/725136000567/image_83dvrbto8d2a1duivq05bj0m78/-FJPG/233370-009_ESS_1.jpg</t>
  </si>
  <si>
    <t>https://dd3ka9h4chfr8.cloudfront.net/image/725136000567/image_g6hlrnea1d6qrercnlhe0m344v/-FJPG/233370-009_DET_2.jpg</t>
  </si>
  <si>
    <t>https://dd3ka9h4chfr8.cloudfront.net/image/725136000567/image_v0l2npuob50kh6v8ljpk86aj59/-FJPG/233370-009_BCK_1.jpg</t>
  </si>
  <si>
    <t>https://dd3ka9h4chfr8.cloudfront.net/image/725136000567/image_as7dmbatst5up26p9tvps26q72/-FJPG/233370-009_DET_1.jpg</t>
  </si>
  <si>
    <t>https://dd3ka9h4chfr8.cloudfront.net/image/725136000567/image_i2a99047793911dsp96aikgs5j/-FJPG/233370-009_DET_3.jpg</t>
  </si>
  <si>
    <t>https://dd3ka9h4chfr8.cloudfront.net/image/725136000567/image_eh8533edf14t5crbh726qj5s73/-FJPG/233370-009_DET_4.jpg</t>
  </si>
  <si>
    <t>https://dd3ka9h4chfr8.cloudfront.net/image/725136000567/image_j8u6ov5b510dt76rj9lr08qr5u/-FJPG/233370-009_DET_5.jpg</t>
  </si>
  <si>
    <t>https://dd3ka9h4chfr8.cloudfront.net/image/725136000567/image_9g0jvc9ek55qb8ogpvgss93j2v/-FJPG/233370-009_DET_6.jpg</t>
  </si>
  <si>
    <t>Farrah Chaise Lounge - Ingram Ochre</t>
  </si>
  <si>
    <t>https://dd3ka9h4chfr8.cloudfront.net/image/725136000567/image_4htlrac1p110t7evm69prdqs7v/-S150x150-FJPG/233370-010_PRM_1.jpg</t>
  </si>
  <si>
    <t>https://dd3ka9h4chfr8.cloudfront.net/image/725136000567/image_4htlrac1p110t7evm69prdqs7v/-FJPG/233370-010_PRM_1.jpg</t>
  </si>
  <si>
    <t>https://dd3ka9h4chfr8.cloudfront.net/image/725136000567/image_eluirksp4d6o3ci11kbvts4n5t/-FJPG/233370-010_SID_1.jpg</t>
  </si>
  <si>
    <t>https://dd3ka9h4chfr8.cloudfront.net/image/725136000567/image_cr5e36ue0h0l79hg3p9526ov0s/-FJPG/233370-010_ESS.tif</t>
  </si>
  <si>
    <t>https://dd3ka9h4chfr8.cloudfront.net/image/725136000567/image_5g15ui4qv5065de6e9cqkl9m52/-FJPG/233370-010_DET_2.jpg</t>
  </si>
  <si>
    <t>https://dd3ka9h4chfr8.cloudfront.net/image/725136000567/image_hnbr69b5nd75n2gq6of0ggl972/-FJPG/233370-010_BCK_1.jpg</t>
  </si>
  <si>
    <t>https://dd3ka9h4chfr8.cloudfront.net/image/725136000567/image_16pi3olqq90l3ba3t4fa5boq7n/-FJPG/233370-010_DET_1.jpg</t>
  </si>
  <si>
    <t>https://dd3ka9h4chfr8.cloudfront.net/image/725136000567/image_49p76qi7jp5ih572kd84hu0d0f/-FJPG/233370-010_DET_3.jpg</t>
  </si>
  <si>
    <t>https://dd3ka9h4chfr8.cloudfront.net/image/725136000567/image_i1g13cus7p3jh4nmc0kjrjb23u/-FJPG/233370-010_TOP_1.jpg</t>
  </si>
  <si>
    <t>https://dd3ka9h4chfr8.cloudfront.net/image/725136000567/image_pqg3nb51vh5a54h77ag7fs7922/-FJPG/233370-010_DET_4.jpg</t>
  </si>
  <si>
    <t>https://dd3ka9h4chfr8.cloudfront.net/image/725136000567/image_503cg348012bv4qffij87sqa5n/-FJPG/233370-010_DET_5.jpg</t>
  </si>
  <si>
    <t>https://dd3ka9h4chfr8.cloudfront.net/image/725136000567/image_cbmkfdn5ih2gh4ijaafo2gj40c/-FJPG/233370-010_DET_6.jpg</t>
  </si>
  <si>
    <t>https://dd3ka9h4chfr8.cloudfront.net/image/725136000567/image_5j4dpjg9rh42bd49l6dauf3r25/-FJPG/233370-010_DET_7.jpg</t>
  </si>
  <si>
    <t>https://dd3ka9h4chfr8.cloudfront.net/image/725136000567/image_7a51bq2d053bp97itjs97r467m/-FJPG/233370-010_DET_8.jpg</t>
  </si>
  <si>
    <t>https://dd3ka9h4chfr8.cloudfront.net/image/725136000567/image_637ge2mk5t4u531ri72gcfsq37/-FJPG/233370-010_DET_9.tif</t>
  </si>
  <si>
    <t>Farrah Chaise Lounge - Merino Cotton</t>
  </si>
  <si>
    <t>https://dd3ka9h4chfr8.cloudfront.net/image/725136000567/image_353v915jq50r17s3hohvqgde73/-S150x150-FJPG/233370-001_PRM_1.jpg</t>
  </si>
  <si>
    <t>https://dd3ka9h4chfr8.cloudfront.net/image/725136000567/image_353v915jq50r17s3hohvqgde73/-FJPG/233370-001_PRM_1.jpg</t>
  </si>
  <si>
    <t>https://dd3ka9h4chfr8.cloudfront.net/image/725136000567/image_0ve4jrqvnl6b52880he8nta51r/-FJPG/233370-001_SID_1.jpg</t>
  </si>
  <si>
    <t>https://dd3ka9h4chfr8.cloudfront.net/image/725136000567/image_vem117ltfd7ah07afd2ecovu0m/-FJPG/233370-001_ESS_1.jpg</t>
  </si>
  <si>
    <t>https://dd3ka9h4chfr8.cloudfront.net/image/725136000567/image_svmk9jup4p2fpeuij89d3rnf1i/-FJPG/233370-001_DET_2.jpg</t>
  </si>
  <si>
    <t>https://dd3ka9h4chfr8.cloudfront.net/image/725136000567/image_h501k7tt2h2t71tg2duc837h2p/-FJPG/233370-001_BCK_1.jpg</t>
  </si>
  <si>
    <t>https://dd3ka9h4chfr8.cloudfront.net/image/725136000567/image_d7sc0tv7qh7pf3rci55ub4rv39/-FJPG/233370-001_INF_1.jpg</t>
  </si>
  <si>
    <t>https://dd3ka9h4chfr8.cloudfront.net/image/725136000567/image_gnenpt37vh3jfbrad5boauu54u/-FJPG/233370-001_DET_1.jpg</t>
  </si>
  <si>
    <t>https://dd3ka9h4chfr8.cloudfront.net/image/725136000567/image_ab4k46ia2l0npfh3igi1mlia1t/-FJPG/233370-001_DET_3.jpg</t>
  </si>
  <si>
    <t>https://dd3ka9h4chfr8.cloudfront.net/image/725136000567/image_5gllvoilhd4ff6oltd1chg2e2n/-FJPG/233370-001_DET_4.jpg</t>
  </si>
  <si>
    <t>https://dd3ka9h4chfr8.cloudfront.net/image/725136000567/image_75r34ecq3p5p1a8d97vqkals1k/-FJPG/233370-001_DET_5.jpg</t>
  </si>
  <si>
    <t>https://dd3ka9h4chfr8.cloudfront.net/image/725136000567/image_90rbv3u29t34b4u7ghte40n929/-FJPG/233370-001_DET_6.jpg</t>
  </si>
  <si>
    <t>Farrah Chaise Lounge - Surrey Olive</t>
  </si>
  <si>
    <t>https://dd3ka9h4chfr8.cloudfront.net/image/725136000567/image_lv0u0c60u11gp7tdc34bfq9f2s/-S150x150-FJPG/233370-006_PRM_1.jpg</t>
  </si>
  <si>
    <t>https://dd3ka9h4chfr8.cloudfront.net/image/725136000567/image_lv0u0c60u11gp7tdc34bfq9f2s/-FJPG/233370-006_PRM_1.jpg</t>
  </si>
  <si>
    <t>https://dd3ka9h4chfr8.cloudfront.net/image/725136000567/image_eanj1i4bsp02tc2abpq96jft0u/-FJPG/233370-006_SID_1.jpg</t>
  </si>
  <si>
    <t>https://dd3ka9h4chfr8.cloudfront.net/image/725136000567/image_4sosa79cn54o55ufi1p1ov5d7m/-FJPG/233370-006_ESS_1.jpg</t>
  </si>
  <si>
    <t>https://dd3ka9h4chfr8.cloudfront.net/image/725136000567/image_e2eap6ooih6alcu4v912b7t43r/-FJPG/233370-006_DET_2.jpg</t>
  </si>
  <si>
    <t>https://dd3ka9h4chfr8.cloudfront.net/image/725136000567/image_k0r4nkhgnl48h276krifss786k/-FJPG/233370-006_BCK_1.jpg</t>
  </si>
  <si>
    <t>https://dd3ka9h4chfr8.cloudfront.net/image/725136000567/image_brf6a8f8ih3qtb9pgf5k6gb85k/-FJPG/233370-006_DET_1.jpg</t>
  </si>
  <si>
    <t>https://dd3ka9h4chfr8.cloudfront.net/image/725136000567/image_qloeqajisl365di5jqkg3kt31d/-FJPG/233370-006_DET_3.jpg</t>
  </si>
  <si>
    <t>https://dd3ka9h4chfr8.cloudfront.net/image/725136000567/image_58ikstv5o15i9auo23ot45tn60/-FJPG/233370-006_DET_4.jpg</t>
  </si>
  <si>
    <t>https://dd3ka9h4chfr8.cloudfront.net/image/725136000567/image_hrd37rvkht4r7egrkvf0ktu85u/-FJPG/233370-006_DET_5.jpg</t>
  </si>
  <si>
    <t>https://dd3ka9h4chfr8.cloudfront.net/image/725136000567/image_603tnsv5u126r3kdconi2ubt2s/-FJPG/233370-006_DET_6.jpg</t>
  </si>
  <si>
    <t>https://dd3ka9h4chfr8.cloudfront.net/image/725136000567/image_r46sj380g10916f283jhjeav5s/-FJPG/233370-006_DET_7.jpg</t>
  </si>
  <si>
    <t>https://dd3ka9h4chfr8.cloudfront.net/image/725136000567/image_q24s1au8o50qtcatagjbhl3p7e/-FJPG/233370-006_DET_8.jpg</t>
  </si>
  <si>
    <t>Farrow Console Table - Drifted Oak Veneer</t>
  </si>
  <si>
    <t>https://dd3ka9h4chfr8.cloudfront.net/image/725136000567/image_d4tq5uqckh0nt90k6qvsgo0v58/-S150x150-FJPG/248000-001_PRM_1.jpg</t>
  </si>
  <si>
    <t>https://dd3ka9h4chfr8.cloudfront.net/image/725136000567/image_d4tq5uqckh0nt90k6qvsgo0v58/-FJPG/248000-001_PRM_1.jpg</t>
  </si>
  <si>
    <t>https://dd3ka9h4chfr8.cloudfront.net/image/725136000567/image_7p9jpt77ht55pe78l4k72e4m2g/-FJPG/248000-001_SID_1.jpg</t>
  </si>
  <si>
    <t>https://dd3ka9h4chfr8.cloudfront.net/image/725136000567/image_t5ufcuitlt4ila3gps485o774c/-FJPG/248000-001_ESS.tif</t>
  </si>
  <si>
    <t>https://dd3ka9h4chfr8.cloudfront.net/image/725136000567/image_bu8uenmsp91hl34f8pi4n83m1e/-FJPG/248000-001_DET_2.jpg</t>
  </si>
  <si>
    <t>https://dd3ka9h4chfr8.cloudfront.net/image/725136000567/image_v3sph2m1i16kn86gu79skhn60t/-FJPG/248000-001_BCK_1.jpg</t>
  </si>
  <si>
    <t>https://dd3ka9h4chfr8.cloudfront.net/image/725136000567/image_lvl50s0ot11qv86vd8t54ags6u/-FJPG/248000-001_DET_1.jpg</t>
  </si>
  <si>
    <t>https://dd3ka9h4chfr8.cloudfront.net/image/725136000567/image_s6munski9t12l30b9ut3s1fr35/-FJPG/248000-001_DET_3.jpg</t>
  </si>
  <si>
    <t>https://dd3ka9h4chfr8.cloudfront.net/image/725136000567/image_66dlcencet6kve4bnm6vdqk31s/-FJPG/248000-001_OPN_1.jpg</t>
  </si>
  <si>
    <t>https://dd3ka9h4chfr8.cloudfront.net/image/725136000567/image_gt4hko085p671fvqvmkbkte95q/-FJPG/248000-001_TOP_1.jpg</t>
  </si>
  <si>
    <t>https://dd3ka9h4chfr8.cloudfront.net/image/725136000567/image_qbbingbtu13shep00pie1h0s6s/-FJPG/248000-001_DET_4.jpg</t>
  </si>
  <si>
    <t>https://dd3ka9h4chfr8.cloudfront.net/image/725136000567/image_4iku395cet7rpcotnk41ekfd5g/-FJPG/248000-001_DET_5.jpg</t>
  </si>
  <si>
    <t>https://dd3ka9h4chfr8.cloudfront.net/image/725136000567/image_qiah9keg1t61tdfpm3fmvhde45/-FJPG/248000-001_DET_6.jpg</t>
  </si>
  <si>
    <t>https://dd3ka9h4chfr8.cloudfront.net/image/725136000567/image_rd0b3k4sut5vj88603ojqogv60/-FJPG/248000-001_DET_7.jpg</t>
  </si>
  <si>
    <t>https://dd3ka9h4chfr8.cloudfront.net/image/725136000567/image_69bud06at560t2ras4329d1e0a/-FJPG/248000-001_DET_9.tif</t>
  </si>
  <si>
    <t>https://dd3ka9h4chfr8.cloudfront.net/image/725136000567/image_gkhk482b710671rqmtp399nb6e/-FJPG/248000-001_DET_10.tif</t>
  </si>
  <si>
    <t>Fawkes Bench - Sonoma Black</t>
  </si>
  <si>
    <t>https://dd3ka9h4chfr8.cloudfront.net/image/725136000567/image_5fdd591jrd0cr1e7ec84anlg4b/-S150x150-FJPG/223315-003_PRM_1.jpg</t>
  </si>
  <si>
    <t>https://dd3ka9h4chfr8.cloudfront.net/image/725136000567/image_5fdd591jrd0cr1e7ec84anlg4b/-FJPG/223315-003_PRM_1.jpg</t>
  </si>
  <si>
    <t>https://dd3ka9h4chfr8.cloudfront.net/image/725136000567/image_vmj8vajcj55fhdkrggoolu9e3u/-FJPG/223315-003_SID_1.jpg</t>
  </si>
  <si>
    <t>https://dd3ka9h4chfr8.cloudfront.net/image/725136000567/image_nuatga9v9912v8ujk9s67bfs0r/-FJPG/223315-003_DET_2.jpg</t>
  </si>
  <si>
    <t>https://dd3ka9h4chfr8.cloudfront.net/image/725136000567/image_rkg5acc3ol36le2jsi4vl9nb1d/-FJPG/223315-003_DET_1.jpg</t>
  </si>
  <si>
    <t>https://dd3ka9h4chfr8.cloudfront.net/image/725136000567/image_2nv3k0o8tl7ov814mat8l5a031/-FJPG/223315-003_DET_3.jpg</t>
  </si>
  <si>
    <t>https://dd3ka9h4chfr8.cloudfront.net/image/725136000567/image_42skvic7054ov3eg6kih3pio0l/-FJPG/223315-003_DET_4.jpg</t>
  </si>
  <si>
    <t>https://dd3ka9h4chfr8.cloudfront.net/image/725136000567/image_22tf68vmrl1790j3hp2uonqc1i/-FJPG/223315-003_DET_5.jpg</t>
  </si>
  <si>
    <t>https://dd3ka9h4chfr8.cloudfront.net/image/725136000567/image_ndj0nthb556ndfn3mhllfhl97j/-FJPG/223315-003_DET_9.tif</t>
  </si>
  <si>
    <t>https://dd3ka9h4chfr8.cloudfront.net/image/725136000567/image_20fv0givil6trds653cn2i6r0s/-FJPG/223315-003_ESS.tif</t>
  </si>
  <si>
    <t>Fawkes Rectangle Ottoman - Brunswick Pebble</t>
  </si>
  <si>
    <t>89% Polyester</t>
  </si>
  <si>
    <t>11% Acrylic</t>
  </si>
  <si>
    <t>https://dd3ka9h4chfr8.cloudfront.net/image/725136000567/image_mv99hns3qh0n95gh2knm9e2k4m/-S150x150-FJPG/234275-001_PRM_1.jpg</t>
  </si>
  <si>
    <t>https://dd3ka9h4chfr8.cloudfront.net/image/725136000567/image_mv99hns3qh0n95gh2knm9e2k4m/-FJPG/234275-001_PRM_1.jpg</t>
  </si>
  <si>
    <t>https://dd3ka9h4chfr8.cloudfront.net/image/725136000567/image_kc75cetmm548f7ge6rn5i4kr3a/-FJPG/234275-001_SID_1.jpg</t>
  </si>
  <si>
    <t>https://dd3ka9h4chfr8.cloudfront.net/image/725136000567/image_ei7fsr7as97c7fvu3vcjopeq1i/-FJPG/234275-001_ESS_1.jpg</t>
  </si>
  <si>
    <t>https://dd3ka9h4chfr8.cloudfront.net/image/725136000567/image_l2v68h540d4fpb1bpjj96dea7t/-FJPG/234275-001_DET_2.jpg</t>
  </si>
  <si>
    <t>https://dd3ka9h4chfr8.cloudfront.net/image/725136000567/image_qevju24vs15dn3an5h49sren2o/-FJPG/234275-001_DET_1.jpg</t>
  </si>
  <si>
    <t>https://dd3ka9h4chfr8.cloudfront.net/image/725136000567/image_5giokf09ip0n5fpg4hrl91pn7r/-FJPG/234275-001_DET_3.jpg</t>
  </si>
  <si>
    <t>https://dd3ka9h4chfr8.cloudfront.net/image/725136000567/image_5edh01lkt15nr3525umrh4er61/-FJPG/234275-001_DET_4.jpg</t>
  </si>
  <si>
    <t>https://dd3ka9h4chfr8.cloudfront.net/image/725136000567/image_nq93oice4p5o7blb1s3oef7864/-FJPG/234275-001_DET_5.jpg</t>
  </si>
  <si>
    <t>Fay Accent Table - Natural Oak</t>
  </si>
  <si>
    <t>https://dd3ka9h4chfr8.cloudfront.net/image/725136000567/image_imire725d55k75tln4do2pbe3q/-S150x150-FJPG/226157-002_PRM_1.jpg</t>
  </si>
  <si>
    <t>https://dd3ka9h4chfr8.cloudfront.net/image/725136000567/image_imire725d55k75tln4do2pbe3q/-FJPG/226157-002_PRM_1.jpg</t>
  </si>
  <si>
    <t>https://dd3ka9h4chfr8.cloudfront.net/image/725136000567/image_9n58tmhgel6ata5dnonvrgdh5t/-FJPG/226157-002_SID_1.jpg</t>
  </si>
  <si>
    <t>https://dd3ka9h4chfr8.cloudfront.net/image/725136000567/image_dht6d4gj792v16ph3qdq0m8o0u/-FJPG/226157-002_ESS.tif</t>
  </si>
  <si>
    <t>https://dd3ka9h4chfr8.cloudfront.net/image/725136000567/image_pnpq150vbh3539i8l8l4j0ji22/-FJPG/226157-002_ESS.tif</t>
  </si>
  <si>
    <t>https://dd3ka9h4chfr8.cloudfront.net/image/725136000567/image_7k22bubech72770b4upo1p874h/-FJPG/226157-002_DET_2.jpg</t>
  </si>
  <si>
    <t>https://dd3ka9h4chfr8.cloudfront.net/image/725136000567/image_m1j0jmd8dt0378vd5c4s2v2g3c/-FJPG/226157-002_DET_3.jpg</t>
  </si>
  <si>
    <t>https://dd3ka9h4chfr8.cloudfront.net/image/725136000567/image_5usp2odvo95r188kjcbd8pon2c/-FJPG/226157-002_DET_4.jpg</t>
  </si>
  <si>
    <t>https://dd3ka9h4chfr8.cloudfront.net/image/725136000567/image_egr04m5u4h3t1dfbccd9gted0h/-FJPG/226157-002_DET_5.jpg</t>
  </si>
  <si>
    <t>https://dd3ka9h4chfr8.cloudfront.net/image/725136000567/image_59g8ebvv71325f7pc4jf8q3205/-FJPG/226157-002_DET_6.jpg</t>
  </si>
  <si>
    <t>https://dd3ka9h4chfr8.cloudfront.net/image/725136000567/image_91277g2bj978bde5vn100gum24/-FJPG/226157-002_DET_9.tif</t>
  </si>
  <si>
    <t>https://dd3ka9h4chfr8.cloudfront.net/image/725136000567/image_cduqb33iv15qlce038teaj9d32/-FJPG/226157-002_VIG_1.jpg</t>
  </si>
  <si>
    <t>Felix Oval Nightstand - Polished White Marble</t>
  </si>
  <si>
    <t>https://dd3ka9h4chfr8.cloudfront.net/image/725136000567/image_4nhc2200bp34168g571s0dv01e/-S150x150-FJPG/IMAR-259_PRM_1.jpg</t>
  </si>
  <si>
    <t>https://dd3ka9h4chfr8.cloudfront.net/image/725136000567/image_4nhc2200bp34168g571s0dv01e/-FJPG/IMAR-259_PRM_1.jpg</t>
  </si>
  <si>
    <t>https://dd3ka9h4chfr8.cloudfront.net/image/725136000567/image_v6srg57l695sp9r124ktdf2p60/-FJPG/IMAR-259_SID_1.jpg</t>
  </si>
  <si>
    <t>https://dd3ka9h4chfr8.cloudfront.net/image/725136000567/image_18f1tfsm7d6p3ahvgl1k7m413a/-FJPG/IMAR-259_DET_2.jpg</t>
  </si>
  <si>
    <t>https://dd3ka9h4chfr8.cloudfront.net/image/725136000567/image_bn7qkgk5353tbbi1v74ltkb25e/-FJPG/IMAR-259_DET_1.jpg</t>
  </si>
  <si>
    <t>https://dd3ka9h4chfr8.cloudfront.net/image/725136000567/image_nio59b3dmt0o1c2aq5er50ln19/-FJPG/IMAR-259_DET_4.jpg</t>
  </si>
  <si>
    <t>https://dd3ka9h4chfr8.cloudfront.net/image/725136000567/image_tctfd2nqkd2lj5oj1rfv17r65j/-FJPG/IMAR-259_DET_5.jpg</t>
  </si>
  <si>
    <t>https://dd3ka9h4chfr8.cloudfront.net/image/725136000567/image_b2rddhfcul4u54r49j75eifo2s/-FJPG/IMAR-259_ROM_1.jpg</t>
  </si>
  <si>
    <t>Felix Round Coffee Table - Sandblasted White Marble</t>
  </si>
  <si>
    <t>https://dd3ka9h4chfr8.cloudfront.net/image/725136000567/image_j9v1mc93ph7c72kuo1oipb6d0g/-S150x150-FJPG/ISD-0199_PRM_1.jpg</t>
  </si>
  <si>
    <t>https://dd3ka9h4chfr8.cloudfront.net/image/725136000567/image_i5htk4311h40f5usea8c44jv3e/-FJPG/ISD-0199_SID_1.jpg</t>
  </si>
  <si>
    <t>https://dd3ka9h4chfr8.cloudfront.net/image/725136000567/image_e6blm4e9gd2j7dvuh9031e3107/-FJPG/ISD-0199_DET_2.jpg</t>
  </si>
  <si>
    <t>https://dd3ka9h4chfr8.cloudfront.net/image/725136000567/image_nq8j9ouvfl1shebs1n5p96dm6t/-FJPG/ISD-0199_DET_1.jpg</t>
  </si>
  <si>
    <t>https://dd3ka9h4chfr8.cloudfront.net/image/725136000567/image_9i9t43sl717sp28ku4i7fdl413/-FJPG/ISD-0199_DET_3.jpg</t>
  </si>
  <si>
    <t>https://dd3ka9h4chfr8.cloudfront.net/image/725136000567/image_7q04oldhpl1kv5mju8uont2j55/-FJPG/ISD-0199_DET_4.jpg</t>
  </si>
  <si>
    <t>https://dd3ka9h4chfr8.cloudfront.net/image/725136000567/image_474s2rbsst0gn7t9c2cnhjcq4t/-FJPG/ISD-0199_DET_5.jpg</t>
  </si>
  <si>
    <t>https://dd3ka9h4chfr8.cloudfront.net/image/725136000567/image_e1lsm5nift5tv3nchjmq4cif64/-FJPG/ISD-0199_DET_10.tif</t>
  </si>
  <si>
    <t>https://dd3ka9h4chfr8.cloudfront.net/image/725136000567/image_04mnho14d55bbeovldhi1vvh7j/-FJPG/ISD-0199_DET_10.jpg</t>
  </si>
  <si>
    <t>https://dd3ka9h4chfr8.cloudfront.net/image/725136000567/image_rdhsrjdf3p2pf3s0c71bjc3h1a/-FJPG/ISD-0199_ROM_1.jpg</t>
  </si>
  <si>
    <t>https://dd3ka9h4chfr8.cloudfront.net/image/725136000567/image_ou359vnl1p2kndkj25bckuie57/-FJPG/ISD-0199_ROM_2.jpg</t>
  </si>
  <si>
    <t>https://dd3ka9h4chfr8.cloudfront.net/image/725136000567/image_rdfg7sapv124r5jsg32vm57c72/-FJPG/ISD-0199_ESS.tif</t>
  </si>
  <si>
    <t>Fiona 6 Drawer Dresser - Black Raffia</t>
  </si>
  <si>
    <t>Sugar Palm</t>
  </si>
  <si>
    <t>Solid Mahogany</t>
  </si>
  <si>
    <t>https://dd3ka9h4chfr8.cloudfront.net/image/725136000567/image_9lnc55k2vl31h7ol459tfvda4s/-S150x150-FJPG/233278-001_PRM_1.jpg</t>
  </si>
  <si>
    <t>https://dd3ka9h4chfr8.cloudfront.net/image/725136000567/image_9lnc55k2vl31h7ol459tfvda4s/-FJPG/233278-001_PRM_1.jpg</t>
  </si>
  <si>
    <t>https://dd3ka9h4chfr8.cloudfront.net/image/725136000567/image_spe2u9soa14nd72irf6lfelb4c/-FJPG/233278-001_SID_1.jpg</t>
  </si>
  <si>
    <t>https://dd3ka9h4chfr8.cloudfront.net/image/725136000567/image_3brpcobo0l2ub97o3979bsg44m/-FJPG/233278-001_ESS_1.jpg</t>
  </si>
  <si>
    <t>https://dd3ka9h4chfr8.cloudfront.net/image/725136000567/image_skcv18ib6p2gf0sgnqui3uk95f/-FJPG/233278-001_DET_2.jpg</t>
  </si>
  <si>
    <t>https://dd3ka9h4chfr8.cloudfront.net/image/725136000567/image_fimmljh07t0gf2lli6anvolr3l/-FJPG/233278-001_BCK_1.jpg</t>
  </si>
  <si>
    <t>https://dd3ka9h4chfr8.cloudfront.net/image/725136000567/image_ngst7gui2p09pd4v0un0e8g86k/-FJPG/233278-001_DET_1.jpg</t>
  </si>
  <si>
    <t>https://dd3ka9h4chfr8.cloudfront.net/image/725136000567/image_54ln473fo907vaqevuc9maan5q/-FJPG/233278-001_DET_3.jpg</t>
  </si>
  <si>
    <t>https://dd3ka9h4chfr8.cloudfront.net/image/725136000567/image_oa8f21q4d148l9q6qjn3f0u83i/-FJPG/233278-001_OPN_1.jpg</t>
  </si>
  <si>
    <t>https://dd3ka9h4chfr8.cloudfront.net/image/725136000567/image_f1b7phbvsl4bd495hechej5v72/-FJPG/233278-001_DET_4.jpg</t>
  </si>
  <si>
    <t>https://dd3ka9h4chfr8.cloudfront.net/image/725136000567/image_69dkbj3eah1nn247olj0tddg2h/-FJPG/233278-001_DET_5.jpg</t>
  </si>
  <si>
    <t>https://dd3ka9h4chfr8.cloudfront.net/image/725136000567/image_4dhp170oap32l6t1frpie0dt68/-FJPG/233278-001_DET_6.jpg</t>
  </si>
  <si>
    <t>https://dd3ka9h4chfr8.cloudfront.net/image/725136000567/image_pcc5t8fdst181egag6po0re31l/-FJPG/233278-001_DET_7.jpg</t>
  </si>
  <si>
    <t>https://dd3ka9h4chfr8.cloudfront.net/image/725136000567/image_di6rs6dcol4pn2r43obh3oq861/-FJPG/233278-001_DET_8.jpg</t>
  </si>
  <si>
    <t>https://dd3ka9h4chfr8.cloudfront.net/image/725136000567/image_h839h3eint3q12pjpcvv803n1h/-FJPG/233278-001_DET_9.jpg</t>
  </si>
  <si>
    <t>https://dd3ka9h4chfr8.cloudfront.net/image/725136000567/image_77h50lum594s7fhbqd1n1esi2f/-FJPG/233278-001_ESS_2.jpg</t>
  </si>
  <si>
    <t>https://dd3ka9h4chfr8.cloudfront.net/image/725136000567/image_7hpqaaumfp7f98ju83p1o33j61/-FJPG/233278-001_ESS_3.jpg</t>
  </si>
  <si>
    <t>https://dd3ka9h4chfr8.cloudfront.net/image/725136000567/image_j6b6qqgnv56up0f7j8taj65815/-FJPG/233278-001_ESS_4.jpg</t>
  </si>
  <si>
    <t>https://dd3ka9h4chfr8.cloudfront.net/image/725136000567/image_cdlev0ahu130rebthp1lk1ne2a/-FJPG/233278-001_ESS_5.jpg</t>
  </si>
  <si>
    <t>Fiona Desk - Black Raffia</t>
  </si>
  <si>
    <t>https://dd3ka9h4chfr8.cloudfront.net/image/725136000567/image_mp4p10qktd26p8jfl4jbsgej2f/-S150x150-FJPG/233438-001_PRM_1.jpg</t>
  </si>
  <si>
    <t>https://dd3ka9h4chfr8.cloudfront.net/image/725136000567/image_mp4p10qktd26p8jfl4jbsgej2f/-FJPG/233438-001_PRM_1.jpg</t>
  </si>
  <si>
    <t>https://dd3ka9h4chfr8.cloudfront.net/image/725136000567/image_u4imuvvqap2tfbji6hinj2946l/-FJPG/233438-001_SID_1.jpg</t>
  </si>
  <si>
    <t>https://dd3ka9h4chfr8.cloudfront.net/image/725136000567/image_f33f6v56e5047frd66t8nfc92e/-FJPG/233438-001_ESS_1.jpg</t>
  </si>
  <si>
    <t>https://dd3ka9h4chfr8.cloudfront.net/image/725136000567/image_uhkf6t033h48bcvl2hnrgpl30e/-FJPG/233438-001_DET_2.jpg</t>
  </si>
  <si>
    <t>https://dd3ka9h4chfr8.cloudfront.net/image/725136000567/image_nq8egckflh7s71b9scak30u03b/-FJPG/233438-001_BCK_1.jpg</t>
  </si>
  <si>
    <t>https://dd3ka9h4chfr8.cloudfront.net/image/725136000567/image_s6p67r75h575t038t6s2ge6s64/-FJPG/233438-001_DET_1.jpg</t>
  </si>
  <si>
    <t>https://dd3ka9h4chfr8.cloudfront.net/image/725136000567/image_2g5vgsutrl3n3dpsr8o4am710q/-FJPG/233438-001_DET_3.jpg</t>
  </si>
  <si>
    <t>https://dd3ka9h4chfr8.cloudfront.net/image/725136000567/image_v4vs30pu2d60r9qr16oin3rl74/-FJPG/233438-001_OPN_1.jpg</t>
  </si>
  <si>
    <t>https://dd3ka9h4chfr8.cloudfront.net/image/725136000567/image_jc0uh2ih2p44ddmdrl95dudl6g/-FJPG/233438-001_DET_4.jpg</t>
  </si>
  <si>
    <t>https://dd3ka9h4chfr8.cloudfront.net/image/725136000567/image_ocqjrd5g8l6h3c8s8cg915ir6h/-FJPG/233438-001_DET_6.jpg</t>
  </si>
  <si>
    <t>https://dd3ka9h4chfr8.cloudfront.net/image/725136000567/image_er65cq64a552378243bl958j3m/-FJPG/233438-001_DET_7.jpg</t>
  </si>
  <si>
    <t>https://dd3ka9h4chfr8.cloudfront.net/image/725136000567/image_d4mkjd7g7t51ja4t5vo2af8s7o/-FJPG/233438-001_DET_8.jpg</t>
  </si>
  <si>
    <t>https://dd3ka9h4chfr8.cloudfront.net/image/725136000567/image_vicj9ph56p22fbp319gr0bln6j/-FJPG/233438-001_DET_9.jpg</t>
  </si>
  <si>
    <t>Fiona Nightstand - Black Raffia</t>
  </si>
  <si>
    <t>https://dd3ka9h4chfr8.cloudfront.net/image/725136000567/image_s8qlbcq7m50vb5cl92si9ps648/-S150x150-FJPG/233437-001_PRM_1.jpg</t>
  </si>
  <si>
    <t>https://dd3ka9h4chfr8.cloudfront.net/image/725136000567/image_s8qlbcq7m50vb5cl92si9ps648/-FJPG/233437-001_PRM_1.jpg</t>
  </si>
  <si>
    <t>https://dd3ka9h4chfr8.cloudfront.net/image/725136000567/image_sn3n56ecth761frhqauois8f40/-FJPG/233437-001_SID_1.jpg</t>
  </si>
  <si>
    <t>https://dd3ka9h4chfr8.cloudfront.net/image/725136000567/image_39i01q0ort5mr0jk9hi2njls2u/-FJPG/233437-001_ESS_1.jpg</t>
  </si>
  <si>
    <t>https://dd3ka9h4chfr8.cloudfront.net/image/725136000567/image_ogssmqn54d7it8s33geen22g5q/-FJPG/233437-001_DET_2.jpg</t>
  </si>
  <si>
    <t>https://dd3ka9h4chfr8.cloudfront.net/image/725136000567/image_csup3eqgqd56f6g48b3tqr9r2o/-FJPG/233437-001_BCK_1.jpg</t>
  </si>
  <si>
    <t>https://dd3ka9h4chfr8.cloudfront.net/image/725136000567/image_lkd7qfg1k14mf19da87kafiv3b/-FJPG/233437-001_DET_1.jpg</t>
  </si>
  <si>
    <t>https://dd3ka9h4chfr8.cloudfront.net/image/725136000567/image_o5dm1pcnfl6ml5u3kq3h0n5c0t/-FJPG/233437-001_DET_3.jpg</t>
  </si>
  <si>
    <t>https://dd3ka9h4chfr8.cloudfront.net/image/725136000567/image_covijcm5tl2or7q8aikcj1c112/-FJPG/233437-001_OPN_1.jpg</t>
  </si>
  <si>
    <t>https://dd3ka9h4chfr8.cloudfront.net/image/725136000567/image_hcvrohr8ud04j5ar32s7aq001s/-FJPG/233437-001_DET_4.jpg</t>
  </si>
  <si>
    <t>https://dd3ka9h4chfr8.cloudfront.net/image/725136000567/image_j29fpsc2p17e9bg4j5akua207n/-FJPG/233437-001_DET_5.jpg</t>
  </si>
  <si>
    <t>https://dd3ka9h4chfr8.cloudfront.net/image/725136000567/image_joj4s8ltq9551308rvelv4a919/-FJPG/233437-001_DET_6.jpg</t>
  </si>
  <si>
    <t>https://dd3ka9h4chfr8.cloudfront.net/image/725136000567/image_irhdnj24ll01pbavm8i6odip37/-FJPG/233437-001_DET_7.jpg</t>
  </si>
  <si>
    <t>https://dd3ka9h4chfr8.cloudfront.net/image/725136000567/image_rqknqn0v9h7rhdhm5qieuef50l/-FJPG/233437-001_DET_8.jpg</t>
  </si>
  <si>
    <t>Fiona Nightstand - Ivory Painted Raffia</t>
  </si>
  <si>
    <t>https://dd3ka9h4chfr8.cloudfront.net/image/725136000567/image_rmenl2o6eh6hn0r39uah683244/-S150x150-FJPG/233437-002_PRM_1.jpg</t>
  </si>
  <si>
    <t>https://dd3ka9h4chfr8.cloudfront.net/image/725136000567/image_rmenl2o6eh6hn0r39uah683244/-FJPG/233437-002_PRM_1.jpg</t>
  </si>
  <si>
    <t>https://dd3ka9h4chfr8.cloudfront.net/image/725136000567/image_026uvspd9t0u15c9nans0tek2r/-FJPG/233437-002_SID_1.jpg</t>
  </si>
  <si>
    <t>https://dd3ka9h4chfr8.cloudfront.net/image/725136000567/image_2ag13h7pm50uf4g4oobdnl6s21/-FJPG/233437-002_DET_2.jpg</t>
  </si>
  <si>
    <t>https://dd3ka9h4chfr8.cloudfront.net/image/725136000567/image_8hmtkfv3ot2dn9v5jttkc3ii65/-FJPG/233437-002_BCK_1.jpg</t>
  </si>
  <si>
    <t>https://dd3ka9h4chfr8.cloudfront.net/image/725136000567/image_0uubhc0r851hr5kpktllsbi91m/-FJPG/233437-002_DET_1.jpg</t>
  </si>
  <si>
    <t>https://dd3ka9h4chfr8.cloudfront.net/image/725136000567/image_nf2d0flped5urbqmrjr12npr4n/-FJPG/233437-002_DET_3.jpg</t>
  </si>
  <si>
    <t>https://dd3ka9h4chfr8.cloudfront.net/image/725136000567/image_gdoij7a95d5r15f80o4j9npf5n/-FJPG/233437-002_OPN_1.jpg</t>
  </si>
  <si>
    <t>https://dd3ka9h4chfr8.cloudfront.net/image/725136000567/image_gdj4k41nmh43357rtb24619054/-FJPG/233437-002_DET_4.jpg</t>
  </si>
  <si>
    <t>https://dd3ka9h4chfr8.cloudfront.net/image/725136000567/image_ombv3ehnk90gd81pjglte3go14/-FJPG/233437-002_DET_5.jpg</t>
  </si>
  <si>
    <t>https://dd3ka9h4chfr8.cloudfront.net/image/725136000567/image_4lllbcrn29791crvbsrto7mk1p/-FJPG/233437-002_DET_6.jpg</t>
  </si>
  <si>
    <t>https://dd3ka9h4chfr8.cloudfront.net/image/725136000567/image_dqcrnorqbh58hdgcp5kal6qg02/-FJPG/233437-002_DET_7.jpg</t>
  </si>
  <si>
    <t>https://dd3ka9h4chfr8.cloudfront.net/image/725136000567/image_c0kgdp88c14d73agldkled7j1c/-FJPG/233437-002_OPN_2.jpg</t>
  </si>
  <si>
    <t>Fiona Tall Dresser - Black Raffia</t>
  </si>
  <si>
    <t>https://dd3ka9h4chfr8.cloudfront.net/image/725136000567/image_3ro4ignoc56cb9kaur4v1u6o5r/-S150x150-FJPG/246170-001_PRM_1.jpg</t>
  </si>
  <si>
    <t>https://dd3ka9h4chfr8.cloudfront.net/image/725136000567/image_3ro4ignoc56cb9kaur4v1u6o5r/-FJPG/246170-001_PRM_1.jpg</t>
  </si>
  <si>
    <t>https://dd3ka9h4chfr8.cloudfront.net/image/725136000567/image_l47ea21ijd2rj3o59e71ig905t/-FJPG/246170-001_SID_1.jpg</t>
  </si>
  <si>
    <t>https://dd3ka9h4chfr8.cloudfront.net/image/725136000567/image_5hub1j2s794uf8admg9sqg950q/-FJPG/246170-001_ESS.tif</t>
  </si>
  <si>
    <t>https://dd3ka9h4chfr8.cloudfront.net/image/725136000567/image_1nenmq50ml5bb4f3f4hgu6k429/-FJPG/246170-001_DET_2.jpg</t>
  </si>
  <si>
    <t>https://dd3ka9h4chfr8.cloudfront.net/image/725136000567/image_tr9egurs9p4sd46t0kcn70of5e/-FJPG/246170-001_BCK_1.jpg</t>
  </si>
  <si>
    <t>https://dd3ka9h4chfr8.cloudfront.net/image/725136000567/image_o7np4kcnc95b33c7no2i7pgl09/-FJPG/246170-001_DET_1.jpg</t>
  </si>
  <si>
    <t>https://dd3ka9h4chfr8.cloudfront.net/image/725136000567/image_cuds2kdp2d7a9agmffs5mfn420/-FJPG/246170-001_DET_3.jpg</t>
  </si>
  <si>
    <t>https://dd3ka9h4chfr8.cloudfront.net/image/725136000567/image_9vb7pfcsdt4c3etvr9l6dcap6p/-FJPG/246170-001_OPN_1.jpg</t>
  </si>
  <si>
    <t>https://dd3ka9h4chfr8.cloudfront.net/image/725136000567/image_icah9gen6h3g5947cdn2aql21g/-FJPG/246170-001_DET_4.jpg</t>
  </si>
  <si>
    <t>https://dd3ka9h4chfr8.cloudfront.net/image/725136000567/image_2q4usmfgbh4111ak37ri3gdj5a/-FJPG/246170-001_DET_5.jpg</t>
  </si>
  <si>
    <t>https://dd3ka9h4chfr8.cloudfront.net/image/725136000567/image_9mo23v1ka53vn58cfl110gae5f/-FJPG/246170-001_DET_6.jpg</t>
  </si>
  <si>
    <t>https://dd3ka9h4chfr8.cloudfront.net/image/725136000567/image_975e86o5m14o56pe77umqibu7t/-FJPG/246170-001_DET_9.tif</t>
  </si>
  <si>
    <t>Fisher Bookcase - Rustic Amber Oak Veneer</t>
  </si>
  <si>
    <t>https://dd3ka9h4chfr8.cloudfront.net/image/725136000567/image_bmekbb6erp2in9dq88nrs10d7p/-S150x150-FJPG/248134-001_PRM_1.jpg</t>
  </si>
  <si>
    <t>https://dd3ka9h4chfr8.cloudfront.net/image/725136000567/image_bmekbb6erp2in9dq88nrs10d7p/-FJPG/248134-001_PRM_1.jpg</t>
  </si>
  <si>
    <t>https://dd3ka9h4chfr8.cloudfront.net/image/725136000567/image_ji3n266mu10i397l7dent3l323/-FJPG/248134-001_SID_1.jpg</t>
  </si>
  <si>
    <t>https://dd3ka9h4chfr8.cloudfront.net/image/725136000567/image_ajkp91t7dp1rv40m3ormcvka7c/-FJPG/248134-001_ESS.tif</t>
  </si>
  <si>
    <t>https://dd3ka9h4chfr8.cloudfront.net/image/725136000567/image_ia6q6buvf95554dnjm69j13k48/-FJPG/248134-001_DET_2.jpg</t>
  </si>
  <si>
    <t>https://dd3ka9h4chfr8.cloudfront.net/image/725136000567/image_kqohrg10j531543dsg46sg8h6b/-FJPG/248134-001_BCK_1.jpg</t>
  </si>
  <si>
    <t>https://dd3ka9h4chfr8.cloudfront.net/image/725136000567/image_8d07ntqha16l98gg007iooun10/-FJPG/248134-001_DET_1.jpg</t>
  </si>
  <si>
    <t>https://dd3ka9h4chfr8.cloudfront.net/image/725136000567/image_mplked7pi946b19tq16lbkam49/-FJPG/248134-001_DET_3.jpg</t>
  </si>
  <si>
    <t>https://dd3ka9h4chfr8.cloudfront.net/image/725136000567/image_fpo6udcj1l74r7p91hdufk1t2h/-FJPG/248134-001_OPN_1.jpg</t>
  </si>
  <si>
    <t>https://dd3ka9h4chfr8.cloudfront.net/image/725136000567/image_b8nmhnasbp4r73v5kkgle0856p/-FJPG/248134-001_DET_4.jpg</t>
  </si>
  <si>
    <t>https://dd3ka9h4chfr8.cloudfront.net/image/725136000567/image_ag63h61p5t6mpde5u3q6cj8k6b/-FJPG/248134-001_DET_5.jpg</t>
  </si>
  <si>
    <t>https://dd3ka9h4chfr8.cloudfront.net/image/725136000567/image_s1t9gpavd13g9calnb0t0q9v3b/-FJPG/248134-001_DET_6.jpg</t>
  </si>
  <si>
    <t>https://dd3ka9h4chfr8.cloudfront.net/image/725136000567/image_3r4tbnvmel199bgfb38nbnrk4m/-FJPG/248134-001_DET_9.tif</t>
  </si>
  <si>
    <t>Fisher Bookcase - Smoked Black Veneer</t>
  </si>
  <si>
    <t>https://dd3ka9h4chfr8.cloudfront.net/image/725136000567/image_oftc0i9i9t32helu3i4bsrcj1d/-S150x150-FJPG/248134-002_PRM_1.jpg</t>
  </si>
  <si>
    <t>https://dd3ka9h4chfr8.cloudfront.net/image/725136000567/image_oftc0i9i9t32helu3i4bsrcj1d/-FJPG/248134-002_PRM_1.jpg</t>
  </si>
  <si>
    <t>https://dd3ka9h4chfr8.cloudfront.net/image/725136000567/image_64flr8vr1l3vb5vghf8uoava5l/-FJPG/248134-002_SID_1.jpg</t>
  </si>
  <si>
    <t>https://dd3ka9h4chfr8.cloudfront.net/image/725136000567/image_vulh89a6ph6e59kp1pghulv502/-FJPG/248134-002_ESS.tif</t>
  </si>
  <si>
    <t>https://dd3ka9h4chfr8.cloudfront.net/image/725136000567/image_4urd7aedi53u95r2ubeeff674r/-FJPG/248134-002_DET_2.jpg</t>
  </si>
  <si>
    <t>https://dd3ka9h4chfr8.cloudfront.net/image/725136000567/image_asv3rkigad5qrefsur0q0lgu26/-FJPG/248134-002_BCK_1.jpg</t>
  </si>
  <si>
    <t>https://dd3ka9h4chfr8.cloudfront.net/image/725136000567/image_lmm3k2brst6e34e8uqpfeb7j5l/-FJPG/248134-002_DET_1.jpg</t>
  </si>
  <si>
    <t>https://dd3ka9h4chfr8.cloudfront.net/image/725136000567/image_se9rmcrpjt5qnbo0m5vsaqq258/-FJPG/248134-002_DET_3.jpg</t>
  </si>
  <si>
    <t>https://dd3ka9h4chfr8.cloudfront.net/image/725136000567/image_h9fa9sam7519l3eiv2ll7v7o2i/-FJPG/248134-002_OPN_1.jpg</t>
  </si>
  <si>
    <t>https://dd3ka9h4chfr8.cloudfront.net/image/725136000567/image_rbhve201jt2o3802gftjqn115v/-FJPG/248134-002_DET_4.jpg</t>
  </si>
  <si>
    <t>https://dd3ka9h4chfr8.cloudfront.net/image/725136000567/image_ri7o79ddr928d2u553qb6d0d57/-FJPG/248134-002_DET_5.jpg</t>
  </si>
  <si>
    <t>https://dd3ka9h4chfr8.cloudfront.net/image/725136000567/image_2j22db7jht1a309goljvdta13v/-FJPG/248134-002_DET_6.jpg</t>
  </si>
  <si>
    <t>https://dd3ka9h4chfr8.cloudfront.net/image/725136000567/image_fnfj8c8kh12nvdc67dioa2nd59/-FJPG/248134-002_DET_9.tif</t>
  </si>
  <si>
    <t>Fisher Media Console - Rustic Amber Oak Veneer</t>
  </si>
  <si>
    <t>https://dd3ka9h4chfr8.cloudfront.net/image/725136000567/image_fm35bkoqp13uv044nvoikvu96g/-S150x150-FJPG/239728-001_PRM_1.jpg</t>
  </si>
  <si>
    <t>https://dd3ka9h4chfr8.cloudfront.net/image/725136000567/image_fm35bkoqp13uv044nvoikvu96g/-FJPG/239728-001_PRM_1.jpg</t>
  </si>
  <si>
    <t>https://dd3ka9h4chfr8.cloudfront.net/image/725136000567/image_lm42mkrb397b31qvosf790i21g/-FJPG/239728-001_SID_1.jpg</t>
  </si>
  <si>
    <t>https://dd3ka9h4chfr8.cloudfront.net/image/725136000567/image_jj9725m5v108d139gs7mc8g81p/-FJPG/239728-001_ESS_1.tif</t>
  </si>
  <si>
    <t>https://dd3ka9h4chfr8.cloudfront.net/image/725136000567/image_p8ij2gnjah67pdp8fa7qvot440/-FJPG/239728-001_DET_2.jpg</t>
  </si>
  <si>
    <t>https://dd3ka9h4chfr8.cloudfront.net/image/725136000567/image_kajqmqrk0d12f1i23h7kuhbk4k/-FJPG/239728-001_BCK_1.jpg</t>
  </si>
  <si>
    <t>https://dd3ka9h4chfr8.cloudfront.net/image/725136000567/image_vlah985n2p1kh9v5iv1v8f7t72/-FJPG/239728-001_DET_1.jpg</t>
  </si>
  <si>
    <t>https://dd3ka9h4chfr8.cloudfront.net/image/725136000567/image_reuag3rp1t5cd3babhn635ep0f/-FJPG/239728-001_DET_3.jpg</t>
  </si>
  <si>
    <t>https://dd3ka9h4chfr8.cloudfront.net/image/725136000567/image_c79e9aghp11arfvtc5dp6bie2h/-FJPG/239728-001_OPN_1.jpg</t>
  </si>
  <si>
    <t>https://dd3ka9h4chfr8.cloudfront.net/image/725136000567/image_2nf15ld4ep3j3btolm59bdjr51/-FJPG/239728-001_DET_4.jpg</t>
  </si>
  <si>
    <t>https://dd3ka9h4chfr8.cloudfront.net/image/725136000567/image_m2es6ojv4t6rh09rrorpfbin5j/-FJPG/239728-001_DET_5.jpg</t>
  </si>
  <si>
    <t>https://dd3ka9h4chfr8.cloudfront.net/image/725136000567/image_crbni70c3l3m3fo42ttk3r021g/-FJPG/239728-001_DET_6.jpg</t>
  </si>
  <si>
    <t>https://dd3ka9h4chfr8.cloudfront.net/image/725136000567/image_qa6s3puun522f8f84vujpg1d0f/-FJPG/239728-001_DET_7.jpg</t>
  </si>
  <si>
    <t>https://dd3ka9h4chfr8.cloudfront.net/image/725136000567/image_j79ntf8qg93f3a8j3cq711iv5a/-FJPG/239728-001_DET_8.jpg</t>
  </si>
  <si>
    <t>https://dd3ka9h4chfr8.cloudfront.net/image/725136000567/image_ru2e7rrksl7arbpda1gieaaf57/-FJPG/239728-001_DET_9.tif</t>
  </si>
  <si>
    <t>Fleming Sofa - Alcala Wheat</t>
  </si>
  <si>
    <t>https://dd3ka9h4chfr8.cloudfront.net/image/725136000567/image_d020409jud6hpfv62hhmoqsf41/-S150x150-FJPG/229878-001_PRM_1.jpg</t>
  </si>
  <si>
    <t>https://dd3ka9h4chfr8.cloudfront.net/image/725136000567/image_d020409jud6hpfv62hhmoqsf41/-FJPG/229878-001_PRM_1.jpg</t>
  </si>
  <si>
    <t>https://dd3ka9h4chfr8.cloudfront.net/image/725136000567/image_2uf812ccgl6vv6dmumggkcqs1q/-FJPG/229878-001_SID_1.jpg</t>
  </si>
  <si>
    <t>https://dd3ka9h4chfr8.cloudfront.net/image/725136000567/image_os27uo33q56mr0116li5s6up22/-FJPG/229878-001_ESS_1.jpg</t>
  </si>
  <si>
    <t>https://dd3ka9h4chfr8.cloudfront.net/image/725136000567/image_7uavj7e9r94crf61kd1c8srb17/-FJPG/229878-001_DET_2.jpg</t>
  </si>
  <si>
    <t>https://dd3ka9h4chfr8.cloudfront.net/image/725136000567/image_91c2sdmtvd4cdebse9lrsupp2h/-FJPG/229878-001_BCK_1.jpg</t>
  </si>
  <si>
    <t>https://dd3ka9h4chfr8.cloudfront.net/image/725136000567/image_jblbjtsh2p4pr8u06c01nd974p/-FJPG/229878-001_DET_1.jpg</t>
  </si>
  <si>
    <t>https://dd3ka9h4chfr8.cloudfront.net/image/725136000567/image_g28jllo00943del83mcfj71h2e/-FJPG/229878-001_DET_3.jpg</t>
  </si>
  <si>
    <t>https://dd3ka9h4chfr8.cloudfront.net/image/725136000567/image_565rc9lhft2tr701a6u4upgk0n/-FJPG/229878-001_DET_4.jpg</t>
  </si>
  <si>
    <t>https://dd3ka9h4chfr8.cloudfront.net/image/725136000567/image_6096rbaqb52f5af48gr6vmfm59/-FJPG/229878-001_DET_5.jpg</t>
  </si>
  <si>
    <t>https://dd3ka9h4chfr8.cloudfront.net/image/725136000567/image_gsavqbvfrp6qp82nb912jgc019/-FJPG/229878-001_DET_6.jpg</t>
  </si>
  <si>
    <t>https://dd3ka9h4chfr8.cloudfront.net/image/725136000567/image_1nq9bu571d1efbumcv2a976s14/-FJPG/229878-001_DET_7.jpg</t>
  </si>
  <si>
    <t>https://dd3ka9h4chfr8.cloudfront.net/image/725136000567/image_scsiojm0fh7ej7a8411gdjoi66/-FJPG/229878-001_ESS_2.jpg</t>
  </si>
  <si>
    <t>https://dd3ka9h4chfr8.cloudfront.net/image/725136000567/image_b9bvlm8vid2458k2lj73ji0f65/-FJPG/229878-001_PRM_2.jpg</t>
  </si>
  <si>
    <t>Flint Bunching Table - Bright Brass</t>
  </si>
  <si>
    <t>https://dd3ka9h4chfr8.cloudfront.net/image/725136000567/image_aq5cmusjat1gh213i0koglun60/-S150x150-FJPG/105675-003_PRM_1.jpg</t>
  </si>
  <si>
    <t>https://dd3ka9h4chfr8.cloudfront.net/image/725136000567/image_4oip838fb131f03ff118kp0e4r/-FJPG/105675-003_DET_2.jpg</t>
  </si>
  <si>
    <t>https://dd3ka9h4chfr8.cloudfront.net/image/725136000567/image_mfea8kos2l7fh7tpgbhu5ca620/-FJPG/105675-003_DET_1.jpg</t>
  </si>
  <si>
    <t>https://dd3ka9h4chfr8.cloudfront.net/image/725136000567/image_dtv4b4pbkp57j5l5hfnl8rq12h/-FJPG/105675-003_DET_3.jpg</t>
  </si>
  <si>
    <t>https://dd3ka9h4chfr8.cloudfront.net/image/725136000567/image_06tvpoo26t2bn1rpkmp3oop42r/-FJPG/105675-003_DET_4.jpg</t>
  </si>
  <si>
    <t>https://dd3ka9h4chfr8.cloudfront.net/image/725136000567/image_3e1dfolmb16br7gd8u2nec2s15/-FJPG/105675-003_VIG_1.jpg</t>
  </si>
  <si>
    <t>Flip Top Console Table - Toasted Ash</t>
  </si>
  <si>
    <t>https://dd3ka9h4chfr8.cloudfront.net/image/725136000567/image_2d4vfur4753a32j0orh6qggm7n/-S150x150-FJPG/236048-001_PRM_1.jpg</t>
  </si>
  <si>
    <t>https://dd3ka9h4chfr8.cloudfront.net/image/725136000567/image_cqkjq1k2o911v10c6on7flji01/-FJPG/236048-001_SID_1.jpg</t>
  </si>
  <si>
    <t>https://dd3ka9h4chfr8.cloudfront.net/image/725136000567/image_qsc6dnbh9t6lda6i36ar9poh0d/-FJPG/236048-001_ESS_1.jpg</t>
  </si>
  <si>
    <t>https://dd3ka9h4chfr8.cloudfront.net/image/725136000567/image_js32clc7vp44re0ejc07cfnj7o/-FJPG/236048-001_DET_2.jpg</t>
  </si>
  <si>
    <t>https://dd3ka9h4chfr8.cloudfront.net/image/725136000567/image_p5mg9oe39d03t52h6sk3217c31/-FJPG/236048-001_DET_1.jpg</t>
  </si>
  <si>
    <t>https://dd3ka9h4chfr8.cloudfront.net/image/725136000567/image_39i8g5dpc913td7gavv2dhs87s/-FJPG/236048-001_DET_3.jpg</t>
  </si>
  <si>
    <t>https://dd3ka9h4chfr8.cloudfront.net/image/725136000567/image_oolcbi1bs93p73kqrq9glslh1m/-FJPG/236048-001_DET_4.jpg</t>
  </si>
  <si>
    <t>https://dd3ka9h4chfr8.cloudfront.net/image/725136000567/image_btq2klrur148naurb41q5v7v1n/-FJPG/236048-001_DET_5.jpg</t>
  </si>
  <si>
    <t>https://dd3ka9h4chfr8.cloudfront.net/image/725136000567/image_sttvjhev6l7n703ceidpkf3232/-FJPG/236048-001_DET_6.jpg</t>
  </si>
  <si>
    <t>https://dd3ka9h4chfr8.cloudfront.net/image/725136000567/image_v5u3l3oni53p9ej1lipmbknl0r/-FJPG/236048-001_DET_7.jpg</t>
  </si>
  <si>
    <t>https://dd3ka9h4chfr8.cloudfront.net/image/725136000567/image_b88eishdeh0jb2l4vvojl3u73e/-FJPG/236048-001_DET_8.jpg</t>
  </si>
  <si>
    <t>https://dd3ka9h4chfr8.cloudfront.net/image/725136000567/image_dv48o1te114ud9e9jmncbq9u4u/-FJPG/236048-001_SID_2.jpg</t>
  </si>
  <si>
    <t>https://dd3ka9h4chfr8.cloudfront.net/image/725136000567/image_ahejl1v3q917lfk9sma54eof3n/-FJPG/236048-001_ESS_2.jpg</t>
  </si>
  <si>
    <t>https://dd3ka9h4chfr8.cloudfront.net/image/725136000567/image_3rk56k9jn109dfc003te06mq59/-FJPG/236048-001_ESS_3.jpg</t>
  </si>
  <si>
    <t>https://dd3ka9h4chfr8.cloudfront.net/image/725136000567/image_76o9ndslil1bb9qoqtikq8i459/-FJPG/236048-001_ESS_4.jpg</t>
  </si>
  <si>
    <t>https://dd3ka9h4chfr8.cloudfront.net/image/725136000567/image_ftd3qqvra91pjap016g7c8680b/-FJPG/236048-001_ESS_5.jpg</t>
  </si>
  <si>
    <t>Florent Sideboard - Amber Oak</t>
  </si>
  <si>
    <t>https://dd3ka9h4chfr8.cloudfront.net/image/725136000567/image_0l3bbbrost6h7erm0mqetfv84c/-S150x150-FJPG/237714-001_PRM_1.jpg</t>
  </si>
  <si>
    <t>https://dd3ka9h4chfr8.cloudfront.net/image/725136000567/image_0l3bbbrost6h7erm0mqetfv84c/-FJPG/237714-001_PRM_1.jpg</t>
  </si>
  <si>
    <t>https://dd3ka9h4chfr8.cloudfront.net/image/725136000567/image_u384gl6v1l6l7f4n491gnvns2c/-FJPG/237714-001_SID_1.jpg</t>
  </si>
  <si>
    <t>https://dd3ka9h4chfr8.cloudfront.net/image/725136000567/image_vtnhroaiih1gvcnj7brfri4f6c/-FJPG/237714-001_ESS.tif</t>
  </si>
  <si>
    <t>https://dd3ka9h4chfr8.cloudfront.net/image/725136000567/image_vf15dc1vu95td49cki1e89j72g/-FJPG/237714-001_DET_2.jpg</t>
  </si>
  <si>
    <t>https://dd3ka9h4chfr8.cloudfront.net/image/725136000567/image_rv1ng30nil5fd729t689fh6b5f/-FJPG/237714-001_BCK_1.jpg</t>
  </si>
  <si>
    <t>https://dd3ka9h4chfr8.cloudfront.net/image/725136000567/image_31jonb8hhp6q55gh2n6608o21l/-FJPG/237714-001_DET_1.jpg</t>
  </si>
  <si>
    <t>https://dd3ka9h4chfr8.cloudfront.net/image/725136000567/image_tqld3eb8v92u79kujddo3j0808/-FJPG/237714-001_DET_3.jpg</t>
  </si>
  <si>
    <t>https://dd3ka9h4chfr8.cloudfront.net/image/725136000567/image_h0s8t2gpl51dtc0ve0m9pn460l/-FJPG/237714-001_OPN_1.jpg</t>
  </si>
  <si>
    <t>https://dd3ka9h4chfr8.cloudfront.net/image/725136000567/image_ca5afqud814m5crnji37f0cm37/-FJPG/237714-001_DET_4.jpg</t>
  </si>
  <si>
    <t>https://dd3ka9h4chfr8.cloudfront.net/image/725136000567/image_4t8kvfn6ad7dl4r1lfdv6a4f3b/-FJPG/237714-001_DET_5.jpg</t>
  </si>
  <si>
    <t>https://dd3ka9h4chfr8.cloudfront.net/image/725136000567/image_ft0ptltlud3sh0iekcr6gnjf62/-FJPG/237714-001_DET_6.jpg</t>
  </si>
  <si>
    <t>https://dd3ka9h4chfr8.cloudfront.net/image/725136000567/image_kdikos3qn517bccq8ta8ampa10/-FJPG/237714-001_DET_7.jpg</t>
  </si>
  <si>
    <t>https://dd3ka9h4chfr8.cloudfront.net/image/725136000567/image_bbt2opmoo949t66v9rc2af126j/-FJPG/237714-001_DET_8.jpg</t>
  </si>
  <si>
    <t>https://dd3ka9h4chfr8.cloudfront.net/image/725136000567/image_b1qapcerrl26lealejnhj4la5s/-FJPG/237714-001_DET_9.tif</t>
  </si>
  <si>
    <t>https://dd3ka9h4chfr8.cloudfront.net/image/725136000567/image_17dd5n5k154fbcg1pek93h6r6f/-FJPG/237714-001_DET_10.tif</t>
  </si>
  <si>
    <t>https://dd3ka9h4chfr8.cloudfront.net/image/725136000567/image_8fe7k714b53291gqctj792l51k/-FJPG/237714-001_DET_11.tif</t>
  </si>
  <si>
    <t>https://dd3ka9h4chfr8.cloudfront.net/image/725136000567/image_ce15o5nin56tt6qqn9m9vhhs3e/-FJPG/FHMPRJ-013_SCENE_5.tif</t>
  </si>
  <si>
    <t>Freddie Chest - Brown</t>
  </si>
  <si>
    <t>https://dd3ka9h4chfr8.cloudfront.net/image/725136000567/image_gcndh9rsqp5p19n3q5fagr4l2i/-S150x150-FJPG/241551-001_PRM_1.jpg</t>
  </si>
  <si>
    <t>https://dd3ka9h4chfr8.cloudfront.net/image/725136000567/image_gcndh9rsqp5p19n3q5fagr4l2i/-FJPG/241551-001_PRM_1.jpg</t>
  </si>
  <si>
    <t>https://dd3ka9h4chfr8.cloudfront.net/image/725136000567/image_lcurpc38m94ff6vnkqddjdr81b/-FJPG/241551-001_SID_1.jpg</t>
  </si>
  <si>
    <t>https://dd3ka9h4chfr8.cloudfront.net/image/725136000567/image_r7u9udqnqh7ddajjlco12me051/-FJPG/241551-001_ESS.tif</t>
  </si>
  <si>
    <t>https://dd3ka9h4chfr8.cloudfront.net/image/725136000567/image_a665kfjcat0bt52vk4r2hmpi05/-FJPG/241551-001_DET_2.jpg</t>
  </si>
  <si>
    <t>https://dd3ka9h4chfr8.cloudfront.net/image/725136000567/image_vtaivjqcs109v1fuf0849b7701/-FJPG/241551-001_BCK_1.jpg</t>
  </si>
  <si>
    <t>https://dd3ka9h4chfr8.cloudfront.net/image/725136000567/image_nf1ggp22r11s596i479k478v3o/-FJPG/241551-001_DET_1.jpg</t>
  </si>
  <si>
    <t>https://dd3ka9h4chfr8.cloudfront.net/image/725136000567/image_p9tpuvd91p157cv82g6i4l165q/-FJPG/241551-001_DET_3.jpg</t>
  </si>
  <si>
    <t>https://dd3ka9h4chfr8.cloudfront.net/image/725136000567/image_tpjc2fcqu12rvembkvi1r2gn62/-FJPG/241551-001_OPN_1.jpg</t>
  </si>
  <si>
    <t>https://dd3ka9h4chfr8.cloudfront.net/image/725136000567/image_0n7q17p5s11mvdclki6sartg7g/-FJPG/241551-001_TOP_1.jpg</t>
  </si>
  <si>
    <t>https://dd3ka9h4chfr8.cloudfront.net/image/725136000567/image_v9d2nk3l593mpcf78aght5nj0l/-FJPG/241551-001_DET_4.jpg</t>
  </si>
  <si>
    <t>https://dd3ka9h4chfr8.cloudfront.net/image/725136000567/image_8ieppv0pdp3e17fdtcd0b12646/-FJPG/241551-001_DET_5.jpg</t>
  </si>
  <si>
    <t>https://dd3ka9h4chfr8.cloudfront.net/image/725136000567/image_j7h19vatr122n8v6p0ino70r3e/-FJPG/241551-001_DET_6.jpg</t>
  </si>
  <si>
    <t>https://dd3ka9h4chfr8.cloudfront.net/image/725136000567/image_49ttuuv5911rp6pfij35018t3f/-FJPG/241551-001_DET_7.jpg</t>
  </si>
  <si>
    <t>https://dd3ka9h4chfr8.cloudfront.net/image/725136000567/image_bkujrp8v4t7njds038iitgi56l/-FJPG/241551-001_DET_8.jpg</t>
  </si>
  <si>
    <t>Freddie Chest - Caramel Mango</t>
  </si>
  <si>
    <t>https://dd3ka9h4chfr8.cloudfront.net/image/725136000567/image_9q3aq0qqr50sf6a949kmo8t25j/-S150x150-FJPG/241551-003_PRM_1.jpg</t>
  </si>
  <si>
    <t>https://dd3ka9h4chfr8.cloudfront.net/image/725136000567/image_9q3aq0qqr50sf6a949kmo8t25j/-FJPG/241551-003_PRM_1.jpg</t>
  </si>
  <si>
    <t>https://dd3ka9h4chfr8.cloudfront.net/image/725136000567/image_7laj8a5e8p4udfegeqhgufbe3a/-FJPG/241551-003_SID_1.jpg</t>
  </si>
  <si>
    <t>https://dd3ka9h4chfr8.cloudfront.net/image/725136000567/image_p0nsktlqrh6fn3hij7bhnhaa33/-FJPG/241551-003_DET_2.jpg</t>
  </si>
  <si>
    <t>https://dd3ka9h4chfr8.cloudfront.net/image/725136000567/image_ljptpglc0t183cflhv1sejc35j/-FJPG/241551-003_BCK_1.jpg</t>
  </si>
  <si>
    <t>https://dd3ka9h4chfr8.cloudfront.net/image/725136000567/image_rhl40mpe8p2i19bmv3hlj0hk5h/-FJPG/241551-003_DET_1.jpg</t>
  </si>
  <si>
    <t>https://dd3ka9h4chfr8.cloudfront.net/image/725136000567/image_dh5sflitd92hjbfia9jetf1f5q/-FJPG/241551-003_DET_3.jpg</t>
  </si>
  <si>
    <t>https://dd3ka9h4chfr8.cloudfront.net/image/725136000567/image_j18ir1m5fh6r3e8253j8eqkh5b/-FJPG/241551-003_OPN_1.jpg</t>
  </si>
  <si>
    <t>https://dd3ka9h4chfr8.cloudfront.net/image/725136000567/image_47idfhet4l175dptjc7sjh7j6h/-FJPG/241551-003_TOP_1.jpg</t>
  </si>
  <si>
    <t>https://dd3ka9h4chfr8.cloudfront.net/image/725136000567/image_2ppt2fok89509dfslsts7i6a3q/-FJPG/241551-003_DET_4.jpg</t>
  </si>
  <si>
    <t>Freddie Nightstand - Brown</t>
  </si>
  <si>
    <t>https://dd3ka9h4chfr8.cloudfront.net/image/725136000567/image_0go5rdt6a56477fr6hen2u0a2a/-S150x150-FJPG/241434-001_PRM_1.jpg</t>
  </si>
  <si>
    <t>https://dd3ka9h4chfr8.cloudfront.net/image/725136000567/image_0go5rdt6a56477fr6hen2u0a2a/-FJPG/241434-001_PRM_1.jpg</t>
  </si>
  <si>
    <t>https://dd3ka9h4chfr8.cloudfront.net/image/725136000567/image_gnoa0c547h47b6rhlj91g9di0d/-FJPG/241434-001_SID_1.jpg</t>
  </si>
  <si>
    <t>https://dd3ka9h4chfr8.cloudfront.net/image/725136000567/image_q3960hgm717930uag1cv4sla6u/-FJPG/241434-001_ESS.tif</t>
  </si>
  <si>
    <t>https://dd3ka9h4chfr8.cloudfront.net/image/725136000567/image_g4iaqj5vnp1b52tt8u8of9bl7t/-FJPG/241434-001_DET_2.jpg</t>
  </si>
  <si>
    <t>https://dd3ka9h4chfr8.cloudfront.net/image/725136000567/image_ancmqm5juh14v1bolkefcs010d/-FJPG/241434-001_BCK_1.jpg</t>
  </si>
  <si>
    <t>https://dd3ka9h4chfr8.cloudfront.net/image/725136000567/image_8bjg5g5qr970d02aduf6he1n2g/-FJPG/241434-001_DET_1.jpg</t>
  </si>
  <si>
    <t>https://dd3ka9h4chfr8.cloudfront.net/image/725136000567/image_st89plvos56ur1ivs6jo1lod4f/-FJPG/241434-001_DET_3.jpg</t>
  </si>
  <si>
    <t>https://dd3ka9h4chfr8.cloudfront.net/image/725136000567/image_b8k8ocnn5l4sdec2pib7lpes3o/-FJPG/241434-001_OPN_1.jpg</t>
  </si>
  <si>
    <t>https://dd3ka9h4chfr8.cloudfront.net/image/725136000567/image_nakcodni5p225ahkmlrqgc2i4v/-FJPG/241434-001_TOP_1.jpg</t>
  </si>
  <si>
    <t>https://dd3ka9h4chfr8.cloudfront.net/image/725136000567/image_etndjca5st0dndv3bgeslf3l47/-FJPG/241434-001_DET_4.jpg</t>
  </si>
  <si>
    <t>https://dd3ka9h4chfr8.cloudfront.net/image/725136000567/image_5iolpfi4ed4o7a4h1do0mpos78/-FJPG/241434-001_DET_5.jpg</t>
  </si>
  <si>
    <t>https://dd3ka9h4chfr8.cloudfront.net/image/725136000567/image_qm3e2ejuh91f7426e3ajsu8u1f/-FJPG/241434-001_DET_6.jpg</t>
  </si>
  <si>
    <t>https://dd3ka9h4chfr8.cloudfront.net/image/725136000567/image_6f3n21vc3d2i7eoq64q2pjk40i/-FJPG/241434-001_DET_7.jpg</t>
  </si>
  <si>
    <t>Freddie Nightstand - Caramel Mango</t>
  </si>
  <si>
    <t>https://dd3ka9h4chfr8.cloudfront.net/image/725136000567/image_vae73kaf5910jd1nhh4ehog372/-S150x150-FJPG/241434-003_PRM_1.jpg</t>
  </si>
  <si>
    <t>https://dd3ka9h4chfr8.cloudfront.net/image/725136000567/image_vae73kaf5910jd1nhh4ehog372/-FJPG/241434-003_PRM_1.jpg</t>
  </si>
  <si>
    <t>https://dd3ka9h4chfr8.cloudfront.net/image/725136000567/image_ppeumrv38h0kl3tpquhkgohj78/-FJPG/241434-003_SID_1.jpg</t>
  </si>
  <si>
    <t>https://dd3ka9h4chfr8.cloudfront.net/image/725136000567/image_3mvrd8ah7h51t9160ejn9joq13/-FJPG/241434-003_DET_2.jpg</t>
  </si>
  <si>
    <t>https://dd3ka9h4chfr8.cloudfront.net/image/725136000567/image_n0gt5ip8jp3f1781cmivq0hh3c/-FJPG/241434-003_BCK_1.jpg</t>
  </si>
  <si>
    <t>https://dd3ka9h4chfr8.cloudfront.net/image/725136000567/image_s4ujfo6aqp7ih97dfiqfipaq6s/-FJPG/241434-003_DET_1.jpg</t>
  </si>
  <si>
    <t>https://dd3ka9h4chfr8.cloudfront.net/image/725136000567/image_om47uouelh1aj1nbdobjjko23c/-FJPG/241434-003_DET_3.jpg</t>
  </si>
  <si>
    <t>https://dd3ka9h4chfr8.cloudfront.net/image/725136000567/image_u7q5k0mb3529j8gabitmjsem41/-FJPG/241434-003_OPN_1.jpg</t>
  </si>
  <si>
    <t>https://dd3ka9h4chfr8.cloudfront.net/image/725136000567/image_0rtcof7k4944b7u16766h8n55e/-FJPG/241434-003_TOP_1.jpg</t>
  </si>
  <si>
    <t>https://dd3ka9h4chfr8.cloudfront.net/image/725136000567/image_f45bj99thh6vnasrcno65mit4r/-FJPG/241434-003_DET_4.jpg</t>
  </si>
  <si>
    <t>https://dd3ka9h4chfr8.cloudfront.net/image/725136000567/image_ttutm9tcdt1bl682cmnm57va0n/-FJPG/241434-003_DET_5.jpg</t>
  </si>
  <si>
    <t>https://dd3ka9h4chfr8.cloudfront.net/image/725136000567/image_b92nbsu7ct2c35ggm9qoed025u/-FJPG/241434-003_DET_6.jpg</t>
  </si>
  <si>
    <t>Gaines Media Console - Aged Light Pine</t>
  </si>
  <si>
    <t>https://dd3ka9h4chfr8.cloudfront.net/image/725136000567/image_4b0a58uf8l2m35nj7bactakf4t/-S150x150-FJPG/233546-002_PRM_1.jpg</t>
  </si>
  <si>
    <t>https://dd3ka9h4chfr8.cloudfront.net/image/725136000567/image_4b0a58uf8l2m35nj7bactakf4t/-FJPG/233546-002_PRM_1.jpg</t>
  </si>
  <si>
    <t>https://dd3ka9h4chfr8.cloudfront.net/image/725136000567/image_9ruc804kv562rc3osvre7caa3e/-FJPG/233546-002_SID_1.jpg</t>
  </si>
  <si>
    <t>https://dd3ka9h4chfr8.cloudfront.net/image/725136000567/image_oqrl8h1cq17q19hsbg2bu2vh7h/-FJPG/233546-002_ESS_1.jpg</t>
  </si>
  <si>
    <t>https://dd3ka9h4chfr8.cloudfront.net/image/725136000567/image_031vov31457d900t7hft58od6a/-FJPG/233546-002_DET_2.jpg</t>
  </si>
  <si>
    <t>https://dd3ka9h4chfr8.cloudfront.net/image/725136000567/image_ccar6nl19l7q7dcsaukp4eq51g/-FJPG/233546-002_BCK_1.jpg</t>
  </si>
  <si>
    <t>https://dd3ka9h4chfr8.cloudfront.net/image/725136000567/image_r0m4m5ir491v35sjfomuq5d875/-FJPG/233546-002_DET_1.jpg</t>
  </si>
  <si>
    <t>https://dd3ka9h4chfr8.cloudfront.net/image/725136000567/image_pi8b4rim3l5rjfbrvo3o8g4l0d/-FJPG/233546-002_DET_3.jpg</t>
  </si>
  <si>
    <t>https://dd3ka9h4chfr8.cloudfront.net/image/725136000567/image_053alff2ql32t03dk0sg8qao4v/-FJPG/233546-002_OPN_1.jpg</t>
  </si>
  <si>
    <t>https://dd3ka9h4chfr8.cloudfront.net/image/725136000567/image_cf97dpdfo91qdef0vd6fmlvn0l/-FJPG/233546-002_DET_4.jpg</t>
  </si>
  <si>
    <t>https://dd3ka9h4chfr8.cloudfront.net/image/725136000567/image_fhb1vl5u815iv64vuclfaqmc15/-FJPG/233546-002_DET_5.jpg</t>
  </si>
  <si>
    <t>https://dd3ka9h4chfr8.cloudfront.net/image/725136000567/image_516p97g5mt7111gq6b37nti264/-FJPG/233546-002_DET_6.jpg</t>
  </si>
  <si>
    <t>https://dd3ka9h4chfr8.cloudfront.net/image/725136000567/image_i60ulr94kd7bjfsc3vl7ijeo29/-FJPG/233546-002_DET_7.jpg</t>
  </si>
  <si>
    <t>https://dd3ka9h4chfr8.cloudfront.net/image/725136000567/image_o6hop0tag932hakiqk2ecv6v1f/-FJPG/233546-002_DET_8.jpg</t>
  </si>
  <si>
    <t>https://dd3ka9h4chfr8.cloudfront.net/image/725136000567/image_qrri38eduh5cl6e2rfgbpk2t4d/-FJPG/233546-002_DET_9.jpg</t>
  </si>
  <si>
    <t>https://dd3ka9h4chfr8.cloudfront.net/image/725136000567/image_k2rfm2d1id6cn1gue59073g83o/-FJPG/233546-002_ROM_1.jpg</t>
  </si>
  <si>
    <t>https://dd3ka9h4chfr8.cloudfront.net/image/725136000567/image_usj288ngpt1id96mco42pr037k/-FJPG/233546-002_OPN_2.jpg</t>
  </si>
  <si>
    <t>Galen End Table - Dark Petrified Wood</t>
  </si>
  <si>
    <t>https://dd3ka9h4chfr8.cloudfront.net/image/725136000567/image_cfb7nj0hmt4qb9rtdta8jsrg3n/-S150x150-FJPG/227725-002_PRM_1.jpg</t>
  </si>
  <si>
    <t>https://dd3ka9h4chfr8.cloudfront.net/image/725136000567/image_cfb7nj0hmt4qb9rtdta8jsrg3n/-FJPG/227725-002_PRM_1.jpg</t>
  </si>
  <si>
    <t>https://dd3ka9h4chfr8.cloudfront.net/image/725136000567/image_qr1u4gr47116jdaagcbq76vs2i/-FJPG/227725-002_ESS_1.jpg</t>
  </si>
  <si>
    <t>https://dd3ka9h4chfr8.cloudfront.net/image/725136000567/image_jr4pevlcf1277flcig5uif644f/-FJPG/227725-002_DET_1.jpg</t>
  </si>
  <si>
    <t>https://dd3ka9h4chfr8.cloudfront.net/image/725136000567/image_shipq2b6e53njfloao5irnp535/-FJPG/227725-002_DET_3.jpg</t>
  </si>
  <si>
    <t>https://dd3ka9h4chfr8.cloudfront.net/image/725136000567/image_05nbijqm1t1i38lq8ifk8ioc6f/-FJPG/227725-002_TOP_1.jpg</t>
  </si>
  <si>
    <t>https://dd3ka9h4chfr8.cloudfront.net/image/725136000567/image_gk50q3vtu540h1tc2slfagqi0e/-FJPG/227725-002_DET_4.jpg</t>
  </si>
  <si>
    <t>https://dd3ka9h4chfr8.cloudfront.net/image/725136000567/image_qfl6q19cal6kr297q3aebb2c2g/-FJPG/227725-002_DET_5.jpg</t>
  </si>
  <si>
    <t>https://dd3ka9h4chfr8.cloudfront.net/image/725136000567/image_4ted4an4eh7cn4dhi5ohakhe4f/-FJPG/227725-002_DET_6.jpg</t>
  </si>
  <si>
    <t>Galen End Table - Light Petrified Wood</t>
  </si>
  <si>
    <t>https://dd3ka9h4chfr8.cloudfront.net/image/725136000567/image_0v4o9bbt3h40r7ac7tggaaqn1u/-S150x150-FJPG/227725-001_PRM_1.jpg</t>
  </si>
  <si>
    <t>https://dd3ka9h4chfr8.cloudfront.net/image/725136000567/image_0v4o9bbt3h40r7ac7tggaaqn1u/-FJPG/227725-001_PRM_1.jpg</t>
  </si>
  <si>
    <t>https://dd3ka9h4chfr8.cloudfront.net/image/725136000567/image_f6585dhb794n5cgqctqlldt313/-FJPG/227725-001_SID_1.jpg</t>
  </si>
  <si>
    <t>https://dd3ka9h4chfr8.cloudfront.net/image/725136000567/image_b1agf9g6c123h7bc13fjbbcf7q/-FJPG/227725-001_ESS_1.jpg</t>
  </si>
  <si>
    <t>https://dd3ka9h4chfr8.cloudfront.net/image/725136000567/image_2tluu2pktt1gdc8lmuu77v4q38/-FJPG/227725-001_DET_2.jpg</t>
  </si>
  <si>
    <t>https://dd3ka9h4chfr8.cloudfront.net/image/725136000567/image_lu9fdgdm2p61dfkmksmcrf9455/-FJPG/227725-001_DET_1.jpg</t>
  </si>
  <si>
    <t>https://dd3ka9h4chfr8.cloudfront.net/image/725136000567/image_c999ta9cvt3k9eb95vj6mvts5c/-FJPG/227725-001_DET_3.jpg</t>
  </si>
  <si>
    <t>https://dd3ka9h4chfr8.cloudfront.net/image/725136000567/image_vckl3l8r6d533ebji80gbs2s40/-FJPG/227725-001_TOP_1.jpg</t>
  </si>
  <si>
    <t>https://dd3ka9h4chfr8.cloudfront.net/image/725136000567/image_n6arh5dmsh62bdrm328hp21j4e/-FJPG/227725-001_DET_4.jpg</t>
  </si>
  <si>
    <t>https://dd3ka9h4chfr8.cloudfront.net/image/725136000567/image_2o3k4049al16r03har3up9f76k/-FJPG/227725-001_VIG_2.jpg</t>
  </si>
  <si>
    <t>Galini Sideboard - Weathered Dark Oak</t>
  </si>
  <si>
    <t>https://dd3ka9h4chfr8.cloudfront.net/image/725136000567/image_st64enq86l5fl36023880is92c/-S150x150-FJPG/237737-001_PRM_1.jpg</t>
  </si>
  <si>
    <t>https://dd3ka9h4chfr8.cloudfront.net/image/725136000567/image_st64enq86l5fl36023880is92c/-FJPG/237737-001_PRM_1.jpg</t>
  </si>
  <si>
    <t>https://dd3ka9h4chfr8.cloudfront.net/image/725136000567/image_etvougqnt12hv38vbuhavr4i2i/-FJPG/237737-001_SID_1.jpg</t>
  </si>
  <si>
    <t>https://dd3ka9h4chfr8.cloudfront.net/image/725136000567/image_07eh0v7i7l5e35past79gagb38/-FJPG/237737-001_DET_2.jpg</t>
  </si>
  <si>
    <t>https://dd3ka9h4chfr8.cloudfront.net/image/725136000567/image_okshbdkpud3ovd6bv1su5vjk6v/-FJPG/237737-001_BCK_1.jpg</t>
  </si>
  <si>
    <t>https://dd3ka9h4chfr8.cloudfront.net/image/725136000567/image_lov1s64ant1i522l3hbi87vb4m/-FJPG/237737-001_DET_1.jpg</t>
  </si>
  <si>
    <t>https://dd3ka9h4chfr8.cloudfront.net/image/725136000567/image_rv0dh97rn97gj59dias64nqp62/-FJPG/237737-001_DET_3.jpg</t>
  </si>
  <si>
    <t>https://dd3ka9h4chfr8.cloudfront.net/image/725136000567/image_dleq6fmmb54it1v9n0jgoiv632/-FJPG/237737-001_OPN_1.jpg</t>
  </si>
  <si>
    <t>https://dd3ka9h4chfr8.cloudfront.net/image/725136000567/image_a1asvhvbfd7ar33t2shjtu935a/-FJPG/237737-001_DET_4.jpg</t>
  </si>
  <si>
    <t>https://dd3ka9h4chfr8.cloudfront.net/image/725136000567/image_r7hqvpio5p2jj5jha6vor8a82m/-FJPG/237737-001_DET_5.jpg</t>
  </si>
  <si>
    <t>https://dd3ka9h4chfr8.cloudfront.net/image/725136000567/image_1ald0mufgd6913r5o1q6da7729/-FJPG/237737-001_DET_6.jpg</t>
  </si>
  <si>
    <t>https://dd3ka9h4chfr8.cloudfront.net/image/725136000567/image_7pfvv9u1r57btb1qgepfaes56b/-FJPG/237737-001_DET_7.jpg</t>
  </si>
  <si>
    <t>https://dd3ka9h4chfr8.cloudfront.net/image/725136000567/image_jjf51ttq6l19r8d8p81tlb2i57/-FJPG/237737-001_DET_8.jpg</t>
  </si>
  <si>
    <t>https://dd3ka9h4chfr8.cloudfront.net/image/725136000567/image_c7iachk6nd6rf57dcnmnh9io0k/-FJPG/237737-001_DET_9.tif</t>
  </si>
  <si>
    <t>https://dd3ka9h4chfr8.cloudfront.net/image/725136000567/image_3j681j52f545f3s4tl3ngi547b/-FJPG/237737-001_DET_10.tif</t>
  </si>
  <si>
    <t>https://dd3ka9h4chfr8.cloudfront.net/image/725136000567/image_8vk5j7i84p1o59run9q5e3fg3t/-FJPG/237737-001_ESS.tif</t>
  </si>
  <si>
    <t>https://dd3ka9h4chfr8.cloudfront.net/image/725136000567/image_v86g0almfh61d884l6fl6hq72a/-FJPG/237737-001_OPN_2.jpg</t>
  </si>
  <si>
    <t>Gardendale Sideboard - Tan Oak Veneer</t>
  </si>
  <si>
    <t>https://dd3ka9h4chfr8.cloudfront.net/image/725136000567/image_fb40kptokl42t8jkbtufeoqh2i/-S150x150-FJPG/247630-001_PRM_1.JPG</t>
  </si>
  <si>
    <t>https://dd3ka9h4chfr8.cloudfront.net/image/725136000567/image_fb40kptokl42t8jkbtufeoqh2i/-FJPG/247630-001_PRM_1.JPG</t>
  </si>
  <si>
    <t>https://dd3ka9h4chfr8.cloudfront.net/image/725136000567/image_v1d4sqh5212u17lqko7ukeca3h/-FJPG/247630-001_SID_1.JPG</t>
  </si>
  <si>
    <t>https://dd3ka9h4chfr8.cloudfront.net/image/725136000567/image_fcssiln66d2999ram9qoes4m4n/-FJPG/247630-001_ESS.tif</t>
  </si>
  <si>
    <t>https://dd3ka9h4chfr8.cloudfront.net/image/725136000567/image_j9rpdf8h3h1lp197fmhk86c54p/-FJPG/247630-001_DET_2.JPG</t>
  </si>
  <si>
    <t>https://dd3ka9h4chfr8.cloudfront.net/image/725136000567/image_t5mct9u79p2hj653a3bfmq8r14/-FJPG/247630-001_BCK_1.JPG</t>
  </si>
  <si>
    <t>https://dd3ka9h4chfr8.cloudfront.net/image/725136000567/image_oba93hfsm95rn4d38m4h3b432b/-FJPG/247630-001_DET_1.JPG</t>
  </si>
  <si>
    <t>https://dd3ka9h4chfr8.cloudfront.net/image/725136000567/image_sebo9fk5bd7pjam9700phm7r1g/-FJPG/247630-001_DET_3.JPG</t>
  </si>
  <si>
    <t>https://dd3ka9h4chfr8.cloudfront.net/image/725136000567/image_l4t1qaq3u97npekks52s85dd2t/-FJPG/247630-001_OPN_1.JPG</t>
  </si>
  <si>
    <t>https://dd3ka9h4chfr8.cloudfront.net/image/725136000567/image_efqlpjumvt4s95ns9j6f9a2f4g/-FJPG/247630-001_DET_4.JPG</t>
  </si>
  <si>
    <t>https://dd3ka9h4chfr8.cloudfront.net/image/725136000567/image_ocr5h1b55h6r5b252q71m4ga6a/-FJPG/247630-001_DET_5.JPG</t>
  </si>
  <si>
    <t>https://dd3ka9h4chfr8.cloudfront.net/image/725136000567/image_a1p6b57lu51elcvt92vt1hta5p/-FJPG/247630-001_DET_7.JPG</t>
  </si>
  <si>
    <t>https://dd3ka9h4chfr8.cloudfront.net/image/725136000567/image_o4nn72vish1ih36pm997iq9r55/-FJPG/247630-001_DET_8.JPG</t>
  </si>
  <si>
    <t>https://dd3ka9h4chfr8.cloudfront.net/image/725136000567/image_g234ophhn15t57rd9mak5usj4p/-FJPG/247630-001_DET_9.tif</t>
  </si>
  <si>
    <t>https://dd3ka9h4chfr8.cloudfront.net/image/725136000567/image_jje0qket4h2fb7eilusnmlvq3p/-FJPG/247630-001_OPN_2.JPG</t>
  </si>
  <si>
    <t>Garland Swivel Chair - Monte Olive</t>
  </si>
  <si>
    <t>https://dd3ka9h4chfr8.cloudfront.net/image/725136000567/image_8jnhhp6j1t3d3ceskm7pqvnd6f/-S150x150-FJPG/245880-002_PRM_1.jpg</t>
  </si>
  <si>
    <t>https://dd3ka9h4chfr8.cloudfront.net/image/725136000567/image_8jnhhp6j1t3d3ceskm7pqvnd6f/-FJPG/245880-002_PRM_1.jpg</t>
  </si>
  <si>
    <t>https://dd3ka9h4chfr8.cloudfront.net/image/725136000567/image_gchiicflv12958219ghh8tq551/-FJPG/245880-002_SID_1.jpg</t>
  </si>
  <si>
    <t>https://dd3ka9h4chfr8.cloudfront.net/image/725136000567/image_ghvu4aphqp6orejbkva0m6hs7q/-FJPG/245880-002_ESS.tif</t>
  </si>
  <si>
    <t>https://dd3ka9h4chfr8.cloudfront.net/image/725136000567/image_f26oo11s2h6on6d978l2gdvg3g/-FJPG/245880-002_DET_2.jpg</t>
  </si>
  <si>
    <t>https://dd3ka9h4chfr8.cloudfront.net/image/725136000567/image_87fsflcohh0enacl14p1db160g/-FJPG/245880-002_BCK_1.jpg</t>
  </si>
  <si>
    <t>https://dd3ka9h4chfr8.cloudfront.net/image/725136000567/image_faa5basbph3a7d86elak7qse2s/-FJPG/245880-002_DET_1.jpg</t>
  </si>
  <si>
    <t>https://dd3ka9h4chfr8.cloudfront.net/image/725136000567/image_2hn41k663l4ur0tp0cl93t8121/-FJPG/245880-002_DET_3.jpg</t>
  </si>
  <si>
    <t>https://dd3ka9h4chfr8.cloudfront.net/image/725136000567/image_q5m6u3ehld461fmg8mu0n6gm0r/-FJPG/245880-002_DET_4.jpg</t>
  </si>
  <si>
    <t>https://dd3ka9h4chfr8.cloudfront.net/image/725136000567/image_pgdco5oeut5bfed4ssh7d8gb46/-FJPG/245880-002_DET_5.jpg</t>
  </si>
  <si>
    <t>https://dd3ka9h4chfr8.cloudfront.net/image/725136000567/image_phssua4a3h1cvefhll39qqct0m/-FJPG/245880-002_DET_6.jpg</t>
  </si>
  <si>
    <t>https://dd3ka9h4chfr8.cloudfront.net/image/725136000567/image_oeb8bd3jr544fanap508no3p0b/-FJPG/245880-002_DET_9.tif</t>
  </si>
  <si>
    <t>https://dd3ka9h4chfr8.cloudfront.net/image/725136000567/image_o7b6n53fm17jn3kbk147pmut4d/-FJPG/FHMPRJ-018_SCENE-4.tif</t>
  </si>
  <si>
    <t>Garland Swivel Chair - Saxon Sand</t>
  </si>
  <si>
    <t>58% Polyester</t>
  </si>
  <si>
    <t>39% Wool</t>
  </si>
  <si>
    <t>https://dd3ka9h4chfr8.cloudfront.net/image/725136000567/image_uddpaml7st5il1okesna8am63q/-S150x150-FJPG/245880-001_PRM_1.jpg</t>
  </si>
  <si>
    <t>https://dd3ka9h4chfr8.cloudfront.net/image/725136000567/image_uddpaml7st5il1okesna8am63q/-FJPG/245880-001_PRM_1.jpg</t>
  </si>
  <si>
    <t>https://dd3ka9h4chfr8.cloudfront.net/image/725136000567/image_ir6tit0evl6q1drod1obfinu54/-FJPG/245880-001_SID_1.jpg</t>
  </si>
  <si>
    <t>https://dd3ka9h4chfr8.cloudfront.net/image/725136000567/image_i3ke8ei6np4o1e7no4lh13r921/-FJPG/245880-001_ESS.tif</t>
  </si>
  <si>
    <t>https://dd3ka9h4chfr8.cloudfront.net/image/725136000567/image_pcb4iclvlp1fh41cmapp36ho46/-FJPG/245880-001_DET_2.jpg</t>
  </si>
  <si>
    <t>https://dd3ka9h4chfr8.cloudfront.net/image/725136000567/image_o8p0frc0sp2jv9lc407sv5q87u/-FJPG/245880-001_BCK_1.jpg</t>
  </si>
  <si>
    <t>https://dd3ka9h4chfr8.cloudfront.net/image/725136000567/image_v6dgee786d7uhaqf7pscq82l6q/-FJPG/245880-001_DET_1.jpg</t>
  </si>
  <si>
    <t>https://dd3ka9h4chfr8.cloudfront.net/image/725136000567/image_qd8nf1dos10f14abhc4lcj2p18/-FJPG/245880-001_DET_3.jpg</t>
  </si>
  <si>
    <t>https://dd3ka9h4chfr8.cloudfront.net/image/725136000567/image_087ofrfk5p68r64ak78ppntj14/-FJPG/245880-001_DET_4.jpg</t>
  </si>
  <si>
    <t>https://dd3ka9h4chfr8.cloudfront.net/image/725136000567/image_koi2um6js56if8ueldpb2jom08/-FJPG/245880-001_DET_5.jpg</t>
  </si>
  <si>
    <t>https://dd3ka9h4chfr8.cloudfront.net/image/725136000567/image_57k2bdla3d011912n0oh9fta4g/-FJPG/245880-001_DET_6.jpg</t>
  </si>
  <si>
    <t>Ginger Console Table - Natural Walnut</t>
  </si>
  <si>
    <t>https://dd3ka9h4chfr8.cloudfront.net/image/725136000567/image_k3hav9qta96s1f8r1fl565q536/-S150x150-FJPG/VBNA-CO102_PRM_1.jpg</t>
  </si>
  <si>
    <t>https://dd3ka9h4chfr8.cloudfront.net/image/725136000567/image_k3hav9qta96s1f8r1fl565q536/-FJPG/VBNA-CO102_PRM_1.jpg</t>
  </si>
  <si>
    <t>https://dd3ka9h4chfr8.cloudfront.net/image/725136000567/image_5e7va2s6mh4up8la0fnn298305/-FJPG/VBNA-CO102_SID_1.jpg</t>
  </si>
  <si>
    <t>https://dd3ka9h4chfr8.cloudfront.net/image/725136000567/image_7m5ev8mvf50r56pj49eb8les31/-FJPG/VBNA-CO102_DET_2.jpg</t>
  </si>
  <si>
    <t>https://dd3ka9h4chfr8.cloudfront.net/image/725136000567/image_9f0kjlq70p2edcte1evtd3ih64/-FJPG/VBNA-CO102_BCK_1.jpg</t>
  </si>
  <si>
    <t>https://dd3ka9h4chfr8.cloudfront.net/image/725136000567/image_cuo1n8b81p3oj77fuopjfvi821/-FJPG/VBNA-CO102_DET_1.jpg</t>
  </si>
  <si>
    <t>https://dd3ka9h4chfr8.cloudfront.net/image/725136000567/image_vhhort0t1p2hdc9khk4osk0308/-FJPG/VBNA-CO102_ROM_1.jpg</t>
  </si>
  <si>
    <t>https://dd3ka9h4chfr8.cloudfront.net/image/725136000567/image_evnps5gi6t3m5cbo0esfrd2k0j/-FJPG/VBNA-CO102_ROM_2.jpg</t>
  </si>
  <si>
    <t>https://dd3ka9h4chfr8.cloudfront.net/image/725136000567/image_j07gujc94t1kja7htn6ni92f0o/-FJPG/VBNA-CO102_ROM_6.jpg</t>
  </si>
  <si>
    <t>https://dd3ka9h4chfr8.cloudfront.net/image/725136000567/image_7bbr1k5ep17a725fae7uvlke3d/-FJPG/VBNA-CO102_ROM_7.jpg</t>
  </si>
  <si>
    <t>Giorgio Accent Bench - Rialto Ebony</t>
  </si>
  <si>
    <t>https://dd3ka9h4chfr8.cloudfront.net/image/725136000567/image_6amj0b4r1131r56tt2h5n90t5p/-S150x150-FJPG/225740-007_PRM_1.jpg</t>
  </si>
  <si>
    <t>https://dd3ka9h4chfr8.cloudfront.net/image/725136000567/image_6amj0b4r1131r56tt2h5n90t5p/-FJPG/225740-007_PRM_1.jpg</t>
  </si>
  <si>
    <t>https://dd3ka9h4chfr8.cloudfront.net/image/725136000567/image_5jaqmqrnhp4kh89qea8hpcid7g/-FJPG/225740-007_SID_1.jpg</t>
  </si>
  <si>
    <t>https://dd3ka9h4chfr8.cloudfront.net/image/725136000567/image_o2gu013ea56lrdn8rciqf0004f/-FJPG/225740-007_ESS_1.jpg</t>
  </si>
  <si>
    <t>https://dd3ka9h4chfr8.cloudfront.net/image/725136000567/image_3usvl9i2l939v5vf5rtkdd427q/-FJPG/225740-007_DET_2.jpg</t>
  </si>
  <si>
    <t>https://dd3ka9h4chfr8.cloudfront.net/image/725136000567/image_ot4qoo07b51n7074i1mndlie5p/-FJPG/225740-007_BCK_1.jpg</t>
  </si>
  <si>
    <t>https://dd3ka9h4chfr8.cloudfront.net/image/725136000567/image_l25r8gr9nd25p1k5ebbecltr10/-FJPG/225740-007_DET_1.jpg</t>
  </si>
  <si>
    <t>https://dd3ka9h4chfr8.cloudfront.net/image/725136000567/image_f1qljap8151jldkhedo9rs6r7d/-FJPG/225740-007_DET_3.jpg</t>
  </si>
  <si>
    <t>https://dd3ka9h4chfr8.cloudfront.net/image/725136000567/image_sp7n2sunc93kbchd2j4uoocg7q/-FJPG/225740-007_DET_4.jpg</t>
  </si>
  <si>
    <t>https://dd3ka9h4chfr8.cloudfront.net/image/725136000567/image_glhgkn5b1l1slfcdjj3cps0856/-FJPG/225740-007_DET_5.jpg</t>
  </si>
  <si>
    <t>https://dd3ka9h4chfr8.cloudfront.net/image/725136000567/image_sop9pj9mm13ltdpgt4hhd53b0t/-FJPG/225740-007_DET_6.jpg</t>
  </si>
  <si>
    <t>https://dd3ka9h4chfr8.cloudfront.net/image/725136000567/image_saqdfivpo55dtbc6vlm2ffg73a/-FJPG/225740-007_SID_2.jpg</t>
  </si>
  <si>
    <t>Glenview 6 Door Sideboard - Cracked Smoked Black Veneer</t>
  </si>
  <si>
    <t>https://dd3ka9h4chfr8.cloudfront.net/image/725136000567/image_l057993pl96llbham51hlqga6j/-S150x150-FJPG/236124-002_PRM_1.jpg</t>
  </si>
  <si>
    <t>https://dd3ka9h4chfr8.cloudfront.net/image/725136000567/image_l057993pl96llbham51hlqga6j/-FJPG/236124-002_PRM_1.jpg</t>
  </si>
  <si>
    <t>https://dd3ka9h4chfr8.cloudfront.net/image/725136000567/image_p4dr91ot717e58etiv6l9k4c4j/-FJPG/236124-002_SID_1.jpg</t>
  </si>
  <si>
    <t>https://dd3ka9h4chfr8.cloudfront.net/image/725136000567/image_o9nhkle0et4ht2piik7khi655i/-FJPG/236124-002_DET_2.jpg</t>
  </si>
  <si>
    <t>https://dd3ka9h4chfr8.cloudfront.net/image/725136000567/image_pq4q2v96714q14dagmgn972b5n/-FJPG/236124-002_BCK_1.jpg</t>
  </si>
  <si>
    <t>https://dd3ka9h4chfr8.cloudfront.net/image/725136000567/image_tc1cra79kd4mj3f0vg90n7es38/-FJPG/236124-002_DET_1.jpg</t>
  </si>
  <si>
    <t>https://dd3ka9h4chfr8.cloudfront.net/image/725136000567/image_9chm2h2mvd3cdcc4qe8q8ils7f/-FJPG/236124-002_DET_3.jpg</t>
  </si>
  <si>
    <t>https://dd3ka9h4chfr8.cloudfront.net/image/725136000567/image_md3pkhukmt6vt7rr9q7hi4pn43/-FJPG/236124-002_OPN_1.jpg</t>
  </si>
  <si>
    <t>https://dd3ka9h4chfr8.cloudfront.net/image/725136000567/image_0q9m7resh102f708l7f943js14/-FJPG/236124-002_TOP_1.jpg</t>
  </si>
  <si>
    <t>https://dd3ka9h4chfr8.cloudfront.net/image/725136000567/image_tvslhqmq8l5p3082f1envt9u3q/-FJPG/236124-002_DET_4.jpg</t>
  </si>
  <si>
    <t>https://dd3ka9h4chfr8.cloudfront.net/image/725136000567/image_gnot3t34o154rde76qs3ohp653/-FJPG/236124-002_DET_5.jpg</t>
  </si>
  <si>
    <t>https://dd3ka9h4chfr8.cloudfront.net/image/725136000567/image_uogkmb1sud4qd2c3guiqjcno2d/-FJPG/236124-002_DET_6.jpg</t>
  </si>
  <si>
    <t>https://dd3ka9h4chfr8.cloudfront.net/image/725136000567/image_8siksvdbut2j19d8rm4i95mr2i/-FJPG/236124-002_DET_7.jpg</t>
  </si>
  <si>
    <t>Glenview 9 Drawer Dresser - Cracked Smoked Black Veneer</t>
  </si>
  <si>
    <t>https://dd3ka9h4chfr8.cloudfront.net/image/725136000567/image_1vmjra01ad3mjdn1ss817cc03a/-S150x150-FJPG/237095-002_PRM_1.jpg</t>
  </si>
  <si>
    <t>https://dd3ka9h4chfr8.cloudfront.net/image/725136000567/image_1vmjra01ad3mjdn1ss817cc03a/-FJPG/237095-002_PRM_1.jpg</t>
  </si>
  <si>
    <t>https://dd3ka9h4chfr8.cloudfront.net/image/725136000567/image_og0qturgol2rpbi82rielaoi34/-FJPG/237095-002_SID_1.jpg</t>
  </si>
  <si>
    <t>https://dd3ka9h4chfr8.cloudfront.net/image/725136000567/image_gp3jcuute933ja6a1ilpkuhp57/-FJPG/237095-002_DET_2.jpg</t>
  </si>
  <si>
    <t>https://dd3ka9h4chfr8.cloudfront.net/image/725136000567/image_qf08c7qgtd5d923vecevskgu0q/-FJPG/237095-002_BCK_1.jpg</t>
  </si>
  <si>
    <t>https://dd3ka9h4chfr8.cloudfront.net/image/725136000567/image_2304stbsph1833s49sgiaqr96k/-FJPG/237095-002_DET_1.jpg</t>
  </si>
  <si>
    <t>https://dd3ka9h4chfr8.cloudfront.net/image/725136000567/image_kqa8a1677h6r159bq8qeoi2h23/-FJPG/237095-002_DET_3.jpg</t>
  </si>
  <si>
    <t>https://dd3ka9h4chfr8.cloudfront.net/image/725136000567/image_7jb113q4vl6trds3gs0920pu2b/-FJPG/237095-002_OPN_1.jpg</t>
  </si>
  <si>
    <t>https://dd3ka9h4chfr8.cloudfront.net/image/725136000567/image_gjp7gqt1t55mb17cpqkak9pk3s/-FJPG/237095-002_TOP_1.jpg</t>
  </si>
  <si>
    <t>https://dd3ka9h4chfr8.cloudfront.net/image/725136000567/image_7als3vckm961l47sobmc2bgf1l/-FJPG/237095-002_DET_4.jpg</t>
  </si>
  <si>
    <t>https://dd3ka9h4chfr8.cloudfront.net/image/725136000567/image_98gaqkf1ih4bl0llhn8lrqhb65/-FJPG/237095-002_DET_5.jpg</t>
  </si>
  <si>
    <t>https://dd3ka9h4chfr8.cloudfront.net/image/725136000567/image_n13lvoqu611hj07nr1fdd7ti1p/-FJPG/237095-002_DET_6.jpg</t>
  </si>
  <si>
    <t>https://dd3ka9h4chfr8.cloudfront.net/image/725136000567/image_b3on88fp8l10j49ehr80bk493l/-FJPG/237095-002_DET_7.jpg</t>
  </si>
  <si>
    <t>Glenview 9 Drawer Dresser - Weathered Oak Veneer</t>
  </si>
  <si>
    <t>https://dd3ka9h4chfr8.cloudfront.net/image/725136000567/image_k803vbedip6qpcooo1osmsu31v/-S150x150-FJPG/237095-001_PRM_1.jpg</t>
  </si>
  <si>
    <t>https://dd3ka9h4chfr8.cloudfront.net/image/725136000567/image_k803vbedip6qpcooo1osmsu31v/-FJPG/237095-001_PRM_1.jpg</t>
  </si>
  <si>
    <t>https://dd3ka9h4chfr8.cloudfront.net/image/725136000567/image_j6amo546l54g11ftnj77lr6t2h/-FJPG/237095-001_SID_1.jpg</t>
  </si>
  <si>
    <t>https://dd3ka9h4chfr8.cloudfront.net/image/725136000567/image_vqqk3cap4p7ajdn3stgfidv77m/-FJPG/237095-001_ESS.tif</t>
  </si>
  <si>
    <t>https://dd3ka9h4chfr8.cloudfront.net/image/725136000567/image_6v5glr50qd2tl5n191l5j4av6r/-FJPG/237095-001_DET_2.jpg</t>
  </si>
  <si>
    <t>https://dd3ka9h4chfr8.cloudfront.net/image/725136000567/image_kqp5e0mcvt23td5j09ldkfeg1l/-FJPG/237095-001_BCK_1.jpg</t>
  </si>
  <si>
    <t>https://dd3ka9h4chfr8.cloudfront.net/image/725136000567/image_vn6qcv6a5l6ov7r2su9411os4e/-FJPG/237095-001_DET_1.jpg</t>
  </si>
  <si>
    <t>https://dd3ka9h4chfr8.cloudfront.net/image/725136000567/image_58v7qtfq1l01h344ak4hp71h15/-FJPG/237095-001_DET_3.jpg</t>
  </si>
  <si>
    <t>https://dd3ka9h4chfr8.cloudfront.net/image/725136000567/image_4rc8cvhamd2e3evlggkvlltf67/-FJPG/237095-001_OPN_1.jpg</t>
  </si>
  <si>
    <t>https://dd3ka9h4chfr8.cloudfront.net/image/725136000567/image_hsgftm8bul4dd5sfuhbqfktu2a/-FJPG/237095-001_DET_4.jpg</t>
  </si>
  <si>
    <t>https://dd3ka9h4chfr8.cloudfront.net/image/725136000567/image_cbamkjbhhl791cbhggr6hfuc42/-FJPG/237095-001_DET_5.jpg</t>
  </si>
  <si>
    <t>https://dd3ka9h4chfr8.cloudfront.net/image/725136000567/image_iv6k4ss2ut2c78kk0ont92av42/-FJPG/237095-001_DET_6.jpg</t>
  </si>
  <si>
    <t>https://dd3ka9h4chfr8.cloudfront.net/image/725136000567/image_t2abf2o1nh6qn8asfcrmnqb23l/-FJPG/237095-001_DET_7.jpg</t>
  </si>
  <si>
    <t>https://dd3ka9h4chfr8.cloudfront.net/image/725136000567/image_jkfiftgist0vtcqvojeop6d71c/-FJPG/237095-001_DET_8.jpg</t>
  </si>
  <si>
    <t>https://dd3ka9h4chfr8.cloudfront.net/image/725136000567/image_an60mc6h1l1un2cnqjr6vhsk2p/-FJPG/237095-001_DET_9.jpg</t>
  </si>
  <si>
    <t>Glenview Bed - Essence Natural</t>
  </si>
  <si>
    <t>https://dd3ka9h4chfr8.cloudfront.net/image/725136000567/image_h67qs5cl3p6on4jiltdf3m6i3r/-S150x150-FJPG/236471-001_PRM_1.jpg</t>
  </si>
  <si>
    <t>https://dd3ka9h4chfr8.cloudfront.net/image/725136000567/image_h67qs5cl3p6on4jiltdf3m6i3r/-FJPG/236471-001_PRM_1.jpg</t>
  </si>
  <si>
    <t>https://dd3ka9h4chfr8.cloudfront.net/image/725136000567/image_n083pkr0i96ojbfhseer7hu70o/-FJPG/236471-001_SID_1.jpg</t>
  </si>
  <si>
    <t>https://dd3ka9h4chfr8.cloudfront.net/image/725136000567/image_j3u7nugrr15d3e8uu1jdi8u24o/-FJPG/236471-001_DET_2.jpg</t>
  </si>
  <si>
    <t>https://dd3ka9h4chfr8.cloudfront.net/image/725136000567/image_d09e8a34lp3b5eilb1j6krah3u/-FJPG/236471-001_BCK_1.jpg</t>
  </si>
  <si>
    <t>https://dd3ka9h4chfr8.cloudfront.net/image/725136000567/image_sa6tl2ev7t6v94cuefia8eo357/-FJPG/236471-001_DET_1.jpg</t>
  </si>
  <si>
    <t>https://dd3ka9h4chfr8.cloudfront.net/image/725136000567/image_159tiofo014137dlb96e03j072/-FJPG/236471-001_DET_3.jpg</t>
  </si>
  <si>
    <t>https://dd3ka9h4chfr8.cloudfront.net/image/725136000567/image_2tt54f29l51u787ni3jc2prn79/-FJPG/236471-001_DET_4.jpg</t>
  </si>
  <si>
    <t>https://dd3ka9h4chfr8.cloudfront.net/image/725136000567/image_4p533bate954les93rpljcj973/-FJPG/236471-001_DET_5.jpg</t>
  </si>
  <si>
    <t>https://dd3ka9h4chfr8.cloudfront.net/image/725136000567/image_s5jmhtc22l2rd91tvt4953t40r/-FJPG/236471-001_DET_6.jpg</t>
  </si>
  <si>
    <t>https://dd3ka9h4chfr8.cloudfront.net/image/725136000567/image_ld2iusjtu94al5naqm85f1f06d/-S150x150-FJPG/236471-002_PRM_1.jpg</t>
  </si>
  <si>
    <t>https://dd3ka9h4chfr8.cloudfront.net/image/725136000567/image_ld2iusjtu94al5naqm85f1f06d/-FJPG/236471-002_PRM_1.jpg</t>
  </si>
  <si>
    <t>https://dd3ka9h4chfr8.cloudfront.net/image/725136000567/image_rdvug9hi913v33f44otb9aum7b/-FJPG/236471-002_SID_1.jpg</t>
  </si>
  <si>
    <t>https://dd3ka9h4chfr8.cloudfront.net/image/725136000567/image_i6l08kpjj14i9cefol0n920d3v/-FJPG/236471-002_DET_2.jpg</t>
  </si>
  <si>
    <t>https://dd3ka9h4chfr8.cloudfront.net/image/725136000567/image_e4f6fk1ea1717f23mehrt5on3m/-FJPG/236471-002_BCK_1.jpg</t>
  </si>
  <si>
    <t>https://dd3ka9h4chfr8.cloudfront.net/image/725136000567/image_apcigmg2c916lbhtqf8102jc5r/-FJPG/236471-002_DET_1.jpg</t>
  </si>
  <si>
    <t>https://dd3ka9h4chfr8.cloudfront.net/image/725136000567/image_kf7b25i9i11lh46r7g600pq20i/-FJPG/236471-002_DET_3.jpg</t>
  </si>
  <si>
    <t>https://dd3ka9h4chfr8.cloudfront.net/image/725136000567/image_o5hnkpcldp0fna42g7dp4vic2n/-FJPG/236471-002_DET_4.jpg</t>
  </si>
  <si>
    <t>https://dd3ka9h4chfr8.cloudfront.net/image/725136000567/image_fd6atf725t3lhck4uc6ttfvb6g/-FJPG/236471-002_DET_5.jpg</t>
  </si>
  <si>
    <t>https://dd3ka9h4chfr8.cloudfront.net/image/725136000567/image_996htmtl7t2pfc0rr65ctap374/-FJPG/236471-002_DET_6.jpg</t>
  </si>
  <si>
    <t>https://dd3ka9h4chfr8.cloudfront.net/image/725136000567/image_2r5nq6matl6qd1hh78ev3ii104/-S150x150-FJPG/236471-004_PRM_1.jpg</t>
  </si>
  <si>
    <t>https://dd3ka9h4chfr8.cloudfront.net/image/725136000567/image_2r5nq6matl6qd1hh78ev3ii104/-FJPG/236471-004_PRM_1.jpg</t>
  </si>
  <si>
    <t>https://dd3ka9h4chfr8.cloudfront.net/image/725136000567/image_0cieku3fsp7g3arn98j0121a4a/-FJPG/236471-004_SID_1.jpg</t>
  </si>
  <si>
    <t>https://dd3ka9h4chfr8.cloudfront.net/image/725136000567/image_jkfosjkdnt4td0t6capv2c5a7u/-FJPG/236471-004_DET_2.jpg</t>
  </si>
  <si>
    <t>https://dd3ka9h4chfr8.cloudfront.net/image/725136000567/image_bertpra6l979ra6g0as0c5gp3s/-FJPG/236471-004_BCK_1.jpg</t>
  </si>
  <si>
    <t>https://dd3ka9h4chfr8.cloudfront.net/image/725136000567/image_rqic229s7p7gr02ehuagnhcf58/-FJPG/236471-004_DET_1.jpg</t>
  </si>
  <si>
    <t>https://dd3ka9h4chfr8.cloudfront.net/image/725136000567/image_nkg948blft29p8p0170v9fsh33/-FJPG/236471-004_DET_3.jpg</t>
  </si>
  <si>
    <t>https://dd3ka9h4chfr8.cloudfront.net/image/725136000567/image_5jcqb705p14ovdiic76hp7f93q/-FJPG/236471-004_DET_4.jpg</t>
  </si>
  <si>
    <t>https://dd3ka9h4chfr8.cloudfront.net/image/725136000567/image_blk7ltsqd109bfg5gmiqpn2f1p/-FJPG/236471-004_DET_5.jpg</t>
  </si>
  <si>
    <t>https://dd3ka9h4chfr8.cloudfront.net/image/725136000567/image_lfr12vqivt53f7fl9tc1httv7i/-FJPG/236471-004_DET_6.jpg</t>
  </si>
  <si>
    <t>https://dd3ka9h4chfr8.cloudfront.net/image/725136000567/image_thqsc78cnd0vr1q1msoqdlad2g/-FJPG/236471-004_DET_7.jpg</t>
  </si>
  <si>
    <t>https://dd3ka9h4chfr8.cloudfront.net/image/725136000567/image_rdvq2oncep587e9ncc4r5jfl79/-FJPG/236471-004_DET_8.jpg</t>
  </si>
  <si>
    <t>https://dd3ka9h4chfr8.cloudfront.net/image/725136000567/image_ca49vgia7965f339p7002ar74h/-S150x150-FJPG/236471-005_PRM_1.jpg</t>
  </si>
  <si>
    <t>https://dd3ka9h4chfr8.cloudfront.net/image/725136000567/image_ca49vgia7965f339p7002ar74h/-FJPG/236471-005_PRM_1.jpg</t>
  </si>
  <si>
    <t>https://dd3ka9h4chfr8.cloudfront.net/image/725136000567/image_9fhrk4qheh5gjavvqv86gmlo1m/-FJPG/236471-005_SID_1.jpg</t>
  </si>
  <si>
    <t>https://dd3ka9h4chfr8.cloudfront.net/image/725136000567/image_ajh7siq03h21tf4inbn0i2er0q/-FJPG/236471-005_DET_2.jpg</t>
  </si>
  <si>
    <t>https://dd3ka9h4chfr8.cloudfront.net/image/725136000567/image_ldhha5mmi90mneukgi6sleo009/-FJPG/236471-005_BCK_1.jpg</t>
  </si>
  <si>
    <t>https://dd3ka9h4chfr8.cloudfront.net/image/725136000567/image_p423jgqnut3ov207607to6h72l/-FJPG/236471-005_DET_1.jpg</t>
  </si>
  <si>
    <t>https://dd3ka9h4chfr8.cloudfront.net/image/725136000567/image_c755dahdld6m1224pdsl4mti6k/-FJPG/236471-005_DET_3.jpg</t>
  </si>
  <si>
    <t>https://dd3ka9h4chfr8.cloudfront.net/image/725136000567/image_63braijorh0lj1ldejlvnq1700/-FJPG/236471-005_DET_4.jpg</t>
  </si>
  <si>
    <t>https://dd3ka9h4chfr8.cloudfront.net/image/725136000567/image_pfmmae642d0vv91stu2eccms36/-FJPG/236471-005_DET_5.jpg</t>
  </si>
  <si>
    <t>https://dd3ka9h4chfr8.cloudfront.net/image/725136000567/image_25olksvp855t76qpij2p43ei4a/-FJPG/236471-005_DET_6.jpg</t>
  </si>
  <si>
    <t>https://dd3ka9h4chfr8.cloudfront.net/image/725136000567/image_nl9085abct3ndd73j0lav4da19/-FJPG/236471-005_DET_7.jpg</t>
  </si>
  <si>
    <t>https://dd3ka9h4chfr8.cloudfront.net/image/725136000567/image_og43a86pbt4fl1audolnbuqt4i/-FJPG/236471-005_DET_8.jpg</t>
  </si>
  <si>
    <t>Glenview Bookcase - Smoked Black Oak</t>
  </si>
  <si>
    <t>https://dd3ka9h4chfr8.cloudfront.net/image/725136000567/image_un9oibj6fp1q9bm1td3gl80i4l/-S150x150-FJPG/236400-002_PRM_1.jpg</t>
  </si>
  <si>
    <t>https://dd3ka9h4chfr8.cloudfront.net/image/725136000567/image_un9oibj6fp1q9bm1td3gl80i4l/-FJPG/236400-002_PRM_1.jpg</t>
  </si>
  <si>
    <t>https://dd3ka9h4chfr8.cloudfront.net/image/725136000567/image_bpecm6fq0d2alcedn2iicrkl5o/-FJPG/236400-002_SID_1.jpg</t>
  </si>
  <si>
    <t>https://dd3ka9h4chfr8.cloudfront.net/image/725136000567/image_61g76d7d9p36f244ffeluvue78/-FJPG/236400-002_DET_2.jpg</t>
  </si>
  <si>
    <t>https://dd3ka9h4chfr8.cloudfront.net/image/725136000567/image_1mk1r6p5dd2f596is93f7ikp1m/-FJPG/236400-002_BCK_1.jpg</t>
  </si>
  <si>
    <t>https://dd3ka9h4chfr8.cloudfront.net/image/725136000567/image_mdfv7bdovp233blsnqdn0pr94t/-FJPG/236400-002_DET_1.jpg</t>
  </si>
  <si>
    <t>https://dd3ka9h4chfr8.cloudfront.net/image/725136000567/image_k83e8goa6h1ab8hv58vmbogr7r/-FJPG/236400-002_DET_3.jpg</t>
  </si>
  <si>
    <t>https://dd3ka9h4chfr8.cloudfront.net/image/725136000567/image_la7a1emjmp7nr896invvcb391p/-FJPG/236400-002_OPN_1.jpg</t>
  </si>
  <si>
    <t>https://dd3ka9h4chfr8.cloudfront.net/image/725136000567/image_jpp8kfcpvd7rlbeq5adf6ghv4k/-FJPG/236400-002_DET_4.jpg</t>
  </si>
  <si>
    <t>https://dd3ka9h4chfr8.cloudfront.net/image/725136000567/image_8co5o2jj590uddqe4jr2l3mq2h/-FJPG/236400-002_DET_5.jpg</t>
  </si>
  <si>
    <t>https://dd3ka9h4chfr8.cloudfront.net/image/725136000567/image_pmjc3nu0mh2m920qt51vp0ks73/-FJPG/236400-002_DET_6.jpg</t>
  </si>
  <si>
    <t>https://dd3ka9h4chfr8.cloudfront.net/image/725136000567/image_2fccr3m24l0f39nil0pb9hmo0c/-FJPG/236400-002_DET_7.jpg</t>
  </si>
  <si>
    <t>Glenview Bookcase - Weathered Oak</t>
  </si>
  <si>
    <t>https://dd3ka9h4chfr8.cloudfront.net/image/725136000567/image_fve9q9rjq9519d0pqfojd96p4c/-S150x150-FJPG/236400-001_PRM_1.jpg</t>
  </si>
  <si>
    <t>https://dd3ka9h4chfr8.cloudfront.net/image/725136000567/image_fve9q9rjq9519d0pqfojd96p4c/-FJPG/236400-001_PRM_1.jpg</t>
  </si>
  <si>
    <t>https://dd3ka9h4chfr8.cloudfront.net/image/725136000567/image_3k8226q6314i961cp7guegke7n/-FJPG/236400-001_SID_1.jpg</t>
  </si>
  <si>
    <t>https://dd3ka9h4chfr8.cloudfront.net/image/725136000567/image_pc47ckk2od6ejevigao0lfr077/-FJPG/236400-001_ESS.tif</t>
  </si>
  <si>
    <t>https://dd3ka9h4chfr8.cloudfront.net/image/725136000567/image_qg8tltg7ol3l194eit1i9ou528/-FJPG/236400-001_DET_2.jpg</t>
  </si>
  <si>
    <t>https://dd3ka9h4chfr8.cloudfront.net/image/725136000567/image_usgvsai5g13kr9a1dm5b7bph53/-FJPG/236400-001_BCK_1.jpg</t>
  </si>
  <si>
    <t>https://dd3ka9h4chfr8.cloudfront.net/image/725136000567/image_l01nqdi8n939t79r5kecoebe1r/-FJPG/236400-001_DET_1.jpg</t>
  </si>
  <si>
    <t>https://dd3ka9h4chfr8.cloudfront.net/image/725136000567/image_600icea7b16r1065lm7ip4sf77/-FJPG/236400-001_DET_3.jpg</t>
  </si>
  <si>
    <t>https://dd3ka9h4chfr8.cloudfront.net/image/725136000567/image_k903ne3ted78ldft4ttjh4fa32/-FJPG/236400-001_OPN_1.jpg</t>
  </si>
  <si>
    <t>https://dd3ka9h4chfr8.cloudfront.net/image/725136000567/image_vjhb9v0ju54o5aqsunvsiquf7r/-FJPG/236400-001_DET_4.jpg</t>
  </si>
  <si>
    <t>https://dd3ka9h4chfr8.cloudfront.net/image/725136000567/image_5q413i3mql1db60p6mksji9a1t/-FJPG/236400-001_DET_5.jpg</t>
  </si>
  <si>
    <t>https://dd3ka9h4chfr8.cloudfront.net/image/725136000567/image_612ca4por1433d34eureqaj57e/-FJPG/236400-001_DET_6.jpg</t>
  </si>
  <si>
    <t>https://dd3ka9h4chfr8.cloudfront.net/image/725136000567/image_jcq0nrccep30rdanksgloodp4e/-FJPG/236400-001_DET_7.jpg</t>
  </si>
  <si>
    <t>Glenview Coffee Table - Weathered Oak</t>
  </si>
  <si>
    <t>https://dd3ka9h4chfr8.cloudfront.net/image/725136000567/image_euo6cl5hj56qn99f8n2aj4a33p/-S150x150-FJPG/236354-001_PRM_1.jpg</t>
  </si>
  <si>
    <t>https://dd3ka9h4chfr8.cloudfront.net/image/725136000567/image_euo6cl5hj56qn99f8n2aj4a33p/-FJPG/236354-001_PRM_1.jpg</t>
  </si>
  <si>
    <t>https://dd3ka9h4chfr8.cloudfront.net/image/725136000567/image_lllbjbbhjt6mjf1a6h6i160k4d/-FJPG/236354-001_SID_1.jpg</t>
  </si>
  <si>
    <t>https://dd3ka9h4chfr8.cloudfront.net/image/725136000567/image_lntjbmf9c95t1a5c1qifj0u83h/-FJPG/236354-001_ESS.tif</t>
  </si>
  <si>
    <t>https://dd3ka9h4chfr8.cloudfront.net/image/725136000567/image_vbb58b28r96kp9kn6v9s7cr331/-FJPG/236354-001_DET_2.jpg</t>
  </si>
  <si>
    <t>https://dd3ka9h4chfr8.cloudfront.net/image/725136000567/image_491sam7v3976h5n6aq1tqvhb4o/-FJPG/236354-001_DET_1.jpg</t>
  </si>
  <si>
    <t>https://dd3ka9h4chfr8.cloudfront.net/image/725136000567/image_8ukgolcrfp1np9qqkn41hhrh7m/-FJPG/236354-001_DET_3.jpg</t>
  </si>
  <si>
    <t>https://dd3ka9h4chfr8.cloudfront.net/image/725136000567/image_o9ea6offll1gp5513ubuuja52t/-FJPG/236354-001_DET_4.jpg</t>
  </si>
  <si>
    <t>https://dd3ka9h4chfr8.cloudfront.net/image/725136000567/image_uba8o98q5h2af6496mmdgc9r5r/-FJPG/236354-001_DET_5.jpg</t>
  </si>
  <si>
    <t>https://dd3ka9h4chfr8.cloudfront.net/image/725136000567/image_61fft1rv652113f0gavn2opp59/-FJPG/236354-001_DET_6.jpg</t>
  </si>
  <si>
    <t>https://dd3ka9h4chfr8.cloudfront.net/image/725136000567/image_i4gc889dnh3d32to88l1vag60c/-FJPG/236354-001_DET_7.jpg</t>
  </si>
  <si>
    <t>Glenview Console Table - Smoked Black Oak</t>
  </si>
  <si>
    <t>https://dd3ka9h4chfr8.cloudfront.net/image/725136000567/image_6ujb4os8bd1ah40j50h79p9c56/-S150x150-FJPG/236355-002_PRM_1.jpg</t>
  </si>
  <si>
    <t>https://dd3ka9h4chfr8.cloudfront.net/image/725136000567/image_6ujb4os8bd1ah40j50h79p9c56/-FJPG/236355-002_PRM_1.jpg</t>
  </si>
  <si>
    <t>https://dd3ka9h4chfr8.cloudfront.net/image/725136000567/image_nol9pfn9fp7fnamje05n2m5t0a/-FJPG/236355-002_SID_1.jpg</t>
  </si>
  <si>
    <t>https://dd3ka9h4chfr8.cloudfront.net/image/725136000567/image_6lcbu7t9ep78v21m30ni4vit6k/-FJPG/236355-002_DET_2.jpg</t>
  </si>
  <si>
    <t>https://dd3ka9h4chfr8.cloudfront.net/image/725136000567/image_2c9h0bl8qt6mlcahjbi1kj0v3f/-FJPG/236355-002_DET_1.jpg</t>
  </si>
  <si>
    <t>https://dd3ka9h4chfr8.cloudfront.net/image/725136000567/image_ic4vlko0g57891v7euj9uf1n44/-FJPG/236355-002_DET_3.jpg</t>
  </si>
  <si>
    <t>https://dd3ka9h4chfr8.cloudfront.net/image/725136000567/image_cb9nbphppt3t360uh2nd650f5p/-FJPG/236355-002_TOP_1.jpg</t>
  </si>
  <si>
    <t>https://dd3ka9h4chfr8.cloudfront.net/image/725136000567/image_ltir2im7e13cl59m5e518snq50/-FJPG/236355-002_DET_4.jpg</t>
  </si>
  <si>
    <t>https://dd3ka9h4chfr8.cloudfront.net/image/725136000567/image_uq5c8bcnb94l97hp14f5gcbs2o/-FJPG/236355-002_DET_5.jpg</t>
  </si>
  <si>
    <t>Glenview Console Table - Weathered Oak</t>
  </si>
  <si>
    <t>https://dd3ka9h4chfr8.cloudfront.net/image/725136000567/image_1nr04q77p57hj08fu6a7hag05e/-S150x150-FJPG/236355-001_PRM_1.jpg</t>
  </si>
  <si>
    <t>https://dd3ka9h4chfr8.cloudfront.net/image/725136000567/image_1nr04q77p57hj08fu6a7hag05e/-FJPG/236355-001_PRM_1.jpg</t>
  </si>
  <si>
    <t>https://dd3ka9h4chfr8.cloudfront.net/image/725136000567/image_gka78prhid3obfoe66svdc4e0a/-FJPG/236355-001_SID_1.jpg</t>
  </si>
  <si>
    <t>https://dd3ka9h4chfr8.cloudfront.net/image/725136000567/image_vmn672odol40d5hq09r76qrh4i/-FJPG/236355-001_ESS_1.jpg</t>
  </si>
  <si>
    <t>https://dd3ka9h4chfr8.cloudfront.net/image/725136000567/image_rld3hephkd46vf2bfovp23ah20/-FJPG/236355-001_DET_2.jpg</t>
  </si>
  <si>
    <t>https://dd3ka9h4chfr8.cloudfront.net/image/725136000567/image_hcdkn0cqot4d3ebs5gvtlihb46/-FJPG/236355-001_DET_1.jpg</t>
  </si>
  <si>
    <t>https://dd3ka9h4chfr8.cloudfront.net/image/725136000567/image_9ek5bf04u56spdhoq7r8o8465m/-FJPG/236355-001_DET_3.jpg</t>
  </si>
  <si>
    <t>https://dd3ka9h4chfr8.cloudfront.net/image/725136000567/image_8ru42sg9ol4h9b9qn5h3bk2m17/-FJPG/236355-001_DET_4.jpg</t>
  </si>
  <si>
    <t>https://dd3ka9h4chfr8.cloudfront.net/image/725136000567/image_nuc32ju8gt5ub6p6p6evpjs956/-FJPG/236355-001_DET_5.jpg</t>
  </si>
  <si>
    <t>https://dd3ka9h4chfr8.cloudfront.net/image/725136000567/image_bgatbdq0q969l1h56f4sq5285c/-FJPG/236355-001_DET_6.jpg</t>
  </si>
  <si>
    <t>https://dd3ka9h4chfr8.cloudfront.net/image/725136000567/image_3og1bfrhr127d4l3i4vs7amv1a/-FJPG/236355-001_DET_7.jpg</t>
  </si>
  <si>
    <t>Glenview Desk - Weathered Oak Veneer</t>
  </si>
  <si>
    <t>https://dd3ka9h4chfr8.cloudfront.net/image/725136000567/image_9us20c6erd045bl1hvriikvi2b/-S150x150-FJPG/236402-001_PRM_1.jpg</t>
  </si>
  <si>
    <t>https://dd3ka9h4chfr8.cloudfront.net/image/725136000567/image_9us20c6erd045bl1hvriikvi2b/-FJPG/236402-001_PRM_1.jpg</t>
  </si>
  <si>
    <t>https://dd3ka9h4chfr8.cloudfront.net/image/725136000567/image_t5eegv0u9h1tfc8cosea3bqu28/-FJPG/236402-001_SID_1.jpg</t>
  </si>
  <si>
    <t>https://dd3ka9h4chfr8.cloudfront.net/image/725136000567/image_b5dod2nvep291c3omj1odfim71/-FJPG/236402-001_ESS_1.jpg</t>
  </si>
  <si>
    <t>https://dd3ka9h4chfr8.cloudfront.net/image/725136000567/image_f6gmbfrgq91jd0foq19ci68c6c/-FJPG/236402-001_DET_2.jpg</t>
  </si>
  <si>
    <t>https://dd3ka9h4chfr8.cloudfront.net/image/725136000567/image_5m2jc8kpul7r7172umb0g41l7e/-FJPG/236402-001_BCK_1.jpg</t>
  </si>
  <si>
    <t>https://dd3ka9h4chfr8.cloudfront.net/image/725136000567/image_pcg455icd95pl2b76ajpv4lv1h/-FJPG/236402-001_DET_1.jpg</t>
  </si>
  <si>
    <t>https://dd3ka9h4chfr8.cloudfront.net/image/725136000567/image_ebp787b6h54p3d21ntrsauku7o/-FJPG/236402-001_DET_3.jpg</t>
  </si>
  <si>
    <t>https://dd3ka9h4chfr8.cloudfront.net/image/725136000567/image_qtpqhlll4t0l34bmr2ekbivj4f/-FJPG/236402-001_OPN_1.jpg</t>
  </si>
  <si>
    <t>https://dd3ka9h4chfr8.cloudfront.net/image/725136000567/image_aq2r3eb3e12jvdh0omdr3f7s3q/-FJPG/236402-001_DET_4.jpg</t>
  </si>
  <si>
    <t>https://dd3ka9h4chfr8.cloudfront.net/image/725136000567/image_81tq8h50952ep0nqf0jlije05c/-FJPG/236402-001_DET_5.jpg</t>
  </si>
  <si>
    <t>https://dd3ka9h4chfr8.cloudfront.net/image/725136000567/image_0uauta0afp4p3282k48vnqs900/-FJPG/236402-001_DET_6.jpg</t>
  </si>
  <si>
    <t>https://dd3ka9h4chfr8.cloudfront.net/image/725136000567/image_jmg9td8v9t7f7566uj0mnhsh3m/-FJPG/236402-001_DET_7.jpg</t>
  </si>
  <si>
    <t>https://dd3ka9h4chfr8.cloudfront.net/image/725136000567/image_letboijck57kffisie987ovq6r/-FJPG/236402-001_DET_8.jpg</t>
  </si>
  <si>
    <t>https://dd3ka9h4chfr8.cloudfront.net/image/725136000567/image_11m6kggm4l2h93e6fdhh4gfv2f/-FJPG/236402-001_DET_9.jpg</t>
  </si>
  <si>
    <t>https://dd3ka9h4chfr8.cloudfront.net/image/725136000567/image_0ensm024t50udbdi1q98o87b01/-FJPG/236402-001_DET_10.jpg</t>
  </si>
  <si>
    <t>Glenview Nightstand - Cracked Smoked Black Veneer</t>
  </si>
  <si>
    <t>https://dd3ka9h4chfr8.cloudfront.net/image/725136000567/image_n6lug2unk90n1fhugguj7fon65/-S150x150-FJPG/236473-002_PRM_1.jpg</t>
  </si>
  <si>
    <t>https://dd3ka9h4chfr8.cloudfront.net/image/725136000567/image_n6lug2unk90n1fhugguj7fon65/-FJPG/236473-002_PRM_1.jpg</t>
  </si>
  <si>
    <t>https://dd3ka9h4chfr8.cloudfront.net/image/725136000567/image_t966a18d7h49v027qm0olg7p1j/-FJPG/236473-002_SID_1.jpg</t>
  </si>
  <si>
    <t>https://dd3ka9h4chfr8.cloudfront.net/image/725136000567/image_qrccq0oc3p5nncairdlhniis4a/-FJPG/236473-002_DET_2.jpg</t>
  </si>
  <si>
    <t>https://dd3ka9h4chfr8.cloudfront.net/image/725136000567/image_42l4rp9m9h0eb7c02uljutdp20/-FJPG/236473-002_BCK_1.jpg</t>
  </si>
  <si>
    <t>https://dd3ka9h4chfr8.cloudfront.net/image/725136000567/image_c3r0jg4r6p4uvchlnt70j78g6t/-FJPG/236473-002_DET_1.jpg</t>
  </si>
  <si>
    <t>https://dd3ka9h4chfr8.cloudfront.net/image/725136000567/image_ol4c2lsk1102db64v9ajkg7p1o/-FJPG/236473-002_DET_3.jpg</t>
  </si>
  <si>
    <t>https://dd3ka9h4chfr8.cloudfront.net/image/725136000567/image_ogi76mg12p2bh0ok1l21dki07d/-FJPG/236473-002_OPN_1.jpg</t>
  </si>
  <si>
    <t>https://dd3ka9h4chfr8.cloudfront.net/image/725136000567/image_t634st3fal65fb4jrbmvpm2969/-FJPG/236473-002_TOP_1.jpg</t>
  </si>
  <si>
    <t>https://dd3ka9h4chfr8.cloudfront.net/image/725136000567/image_8aosip1ort6b91q7gd3pn0kq69/-FJPG/236473-002_DET_4.jpg</t>
  </si>
  <si>
    <t>https://dd3ka9h4chfr8.cloudfront.net/image/725136000567/image_b9ga6qugt16rrbrae0tmvrev46/-FJPG/236473-002_DET_5.jpg</t>
  </si>
  <si>
    <t>https://dd3ka9h4chfr8.cloudfront.net/image/725136000567/image_op45a305p52h78adhj62chgp1b/-FJPG/236473-002_DET_6.jpg</t>
  </si>
  <si>
    <t>https://dd3ka9h4chfr8.cloudfront.net/image/725136000567/image_1ocpkaknhh1pvagqao18fe842n/-FJPG/236473-002_DET_7.jpg</t>
  </si>
  <si>
    <t>https://dd3ka9h4chfr8.cloudfront.net/image/725136000567/image_fk9hceinp16gh397d0a70hiu13/-FJPG/236473-002_DET_8.jpg</t>
  </si>
  <si>
    <t>https://dd3ka9h4chfr8.cloudfront.net/image/725136000567/image_ts0spr47jt61f8ofelqkmbo55c/-FJPG/236473-002_DET_9.jpg</t>
  </si>
  <si>
    <t>Goetz Bar + Counter Table - Brown Oak Veneer</t>
  </si>
  <si>
    <t>https://dd3ka9h4chfr8.cloudfront.net/image/725136000567/image_cng33t4ek95gh98khhv7uebf1v/-S150x150-FJPG/242923-005_PRM_1.jpg</t>
  </si>
  <si>
    <t>https://dd3ka9h4chfr8.cloudfront.net/image/725136000567/image_m7o7bv2pc1281059mt14p31p5a/-FJPG/242923-005_PRM_1.JPG</t>
  </si>
  <si>
    <t>https://dd3ka9h4chfr8.cloudfront.net/image/725136000567/image_tchmee4q7h2gp5db04t3oc0s1r/-FJPG/242923-006_ESS.tif</t>
  </si>
  <si>
    <t>https://dd3ka9h4chfr8.cloudfront.net/image/725136000567/image_si80r0ocdt0ddbmanl9kc9gq3k/-FJPG/242923-005_DET_2.jpg</t>
  </si>
  <si>
    <t>https://dd3ka9h4chfr8.cloudfront.net/image/725136000567/image_2r9v3h5hgt23191jc9c5349i3f/-FJPG/242923-005_DET_2.JPG</t>
  </si>
  <si>
    <t>https://dd3ka9h4chfr8.cloudfront.net/image/725136000567/image_t93mtgdocl5e364791majbal4r/-FJPG/242923-005_DET_1.JPG</t>
  </si>
  <si>
    <t>https://dd3ka9h4chfr8.cloudfront.net/image/725136000567/image_hukg4hhdhh0snfqgk0dhf8ie21/-FJPG/242923-005_DET_1.jpg</t>
  </si>
  <si>
    <t>https://dd3ka9h4chfr8.cloudfront.net/image/725136000567/image_qf548401713ed72pgui8s7406h/-FJPG/242923-005_DET_3.JPG</t>
  </si>
  <si>
    <t>https://dd3ka9h4chfr8.cloudfront.net/image/725136000567/image_1oi6qtkcqd2mn01rnrkqakvn18/-FJPG/242923-005_DET_3.jpg</t>
  </si>
  <si>
    <t>https://dd3ka9h4chfr8.cloudfront.net/image/725136000567/image_anda82jo4969d4ue347bdoqn41/-FJPG/242923-005_DET_4.jpg</t>
  </si>
  <si>
    <t>https://dd3ka9h4chfr8.cloudfront.net/image/725136000567/image_j6e024llrd1r78q6vhrol5u07d/-FJPG/242923-005_DET_4.JPG</t>
  </si>
  <si>
    <t>https://dd3ka9h4chfr8.cloudfront.net/image/725136000567/image_7au0jqdhed6crdlqu4uc18ca64/-FJPG/242923-005_DET_5.jpg</t>
  </si>
  <si>
    <t>https://dd3ka9h4chfr8.cloudfront.net/image/725136000567/image_4d9tl47mah7ar1ep4jcn4du544/-FJPG/242923-005_DET_5.JPG</t>
  </si>
  <si>
    <t>https://dd3ka9h4chfr8.cloudfront.net/image/725136000567/image_u99kapgett2ub08vge9r31tg6j/-FJPG/242923-005_DET_6.jpg</t>
  </si>
  <si>
    <t>https://dd3ka9h4chfr8.cloudfront.net/image/725136000567/image_eh8o3gn3r17idfhadtf13i9676/-S150x150-FJPG/242923-006_PRM_1.JPG</t>
  </si>
  <si>
    <t>https://dd3ka9h4chfr8.cloudfront.net/image/725136000567/image_jrqsk6dus137f41379tu59jh1f/-FJPG/242923-006_DET_2.JPG</t>
  </si>
  <si>
    <t>https://dd3ka9h4chfr8.cloudfront.net/image/725136000567/image_kea0ju4p5p3en8ujtnv2ei8s6j/-FJPG/242923-006_DET_1.JPG</t>
  </si>
  <si>
    <t>https://dd3ka9h4chfr8.cloudfront.net/image/725136000567/image_bfh0e5vk3p5pte7ruf74r5g11c/-FJPG/242923-006_DET_3.JPG</t>
  </si>
  <si>
    <t>https://dd3ka9h4chfr8.cloudfront.net/image/725136000567/image_mvntnoa4op27d64os4cg16tj1j/-FJPG/242923-006_DET_4.JPG</t>
  </si>
  <si>
    <t>https://dd3ka9h4chfr8.cloudfront.net/image/725136000567/image_o92itojmt55dpfsnlotnmt0657/-FJPG/242923-006_DET_5.JPG</t>
  </si>
  <si>
    <t>Goetz Bar + Counter Table - Honed White Marble</t>
  </si>
  <si>
    <t>https://dd3ka9h4chfr8.cloudfront.net/image/725136000567/image_r3ugfghcth6pl5icdosg8ctd3b/-S150x150-FJPG/242923-001_PRM_1.JPG</t>
  </si>
  <si>
    <t>https://dd3ka9h4chfr8.cloudfront.net/image/725136000567/image_k3nlmeso011gf20mjvavmkep6q/-FJPG/242923-002_ESS.tif</t>
  </si>
  <si>
    <t>https://dd3ka9h4chfr8.cloudfront.net/image/725136000567/image_5ita6lhn1d3k5fqpd7n5oop32v/-FJPG/242923-001_DET_2.JPG</t>
  </si>
  <si>
    <t>https://dd3ka9h4chfr8.cloudfront.net/image/725136000567/image_rt8s1nd8rh5r922f39499i464k/-FJPG/242923-001_DET_1.JPG</t>
  </si>
  <si>
    <t>https://dd3ka9h4chfr8.cloudfront.net/image/725136000567/image_pp8pebn3n15rb6rgngeq0bg60b/-FJPG/242923-001_DET_3.JPG</t>
  </si>
  <si>
    <t>https://dd3ka9h4chfr8.cloudfront.net/image/725136000567/image_5p55e0le9h6af8prs30on9r13c/-FJPG/242923-001_DET_4.JPG</t>
  </si>
  <si>
    <t>https://dd3ka9h4chfr8.cloudfront.net/image/725136000567/image_p3r6t358mt3e360i4g719sj931/-FJPG/242923-001_DET_5.JPG</t>
  </si>
  <si>
    <t>https://dd3ka9h4chfr8.cloudfront.net/image/725136000567/image_el495b8obt7911litr4tnldp6i/-S150x150-FJPG/242923-002_PRM_1.JPG</t>
  </si>
  <si>
    <t>https://dd3ka9h4chfr8.cloudfront.net/image/725136000567/image_7t9ffdspj53ob72si7kbvdbu2m/-FJPG/242923-002_DET_2.JPG</t>
  </si>
  <si>
    <t>https://dd3ka9h4chfr8.cloudfront.net/image/725136000567/image_jls2g7jvgh6obdv682ukqdrc4n/-FJPG/242923-002_DET_1.JPG</t>
  </si>
  <si>
    <t>https://dd3ka9h4chfr8.cloudfront.net/image/725136000567/image_osd4ds6ba952hfj7avf13s9s6e/-FJPG/242923-002_DET_3.JPG</t>
  </si>
  <si>
    <t>https://dd3ka9h4chfr8.cloudfront.net/image/725136000567/image_u3rjp88lu51er5ttcg48aupl2i/-FJPG/242923-002_DET_4.JPG</t>
  </si>
  <si>
    <t>https://dd3ka9h4chfr8.cloudfront.net/image/725136000567/image_hs6l5hkb6t3bn2cfba652kuc5m/-FJPG/242923-002_DET_5.JPG</t>
  </si>
  <si>
    <t>Goldthwaite Coffee Table - Sienna Brown Pine Veneer</t>
  </si>
  <si>
    <t>Thick Pine Veneer</t>
  </si>
  <si>
    <t>https://dd3ka9h4chfr8.cloudfront.net/image/725136000567/image_5mv0qjlh9t4ir7hd1pkegsmd5b/-S150x150-FJPG/235391-002_PRM_1.jpg</t>
  </si>
  <si>
    <t>https://dd3ka9h4chfr8.cloudfront.net/image/725136000567/image_5mv0qjlh9t4ir7hd1pkegsmd5b/-FJPG/235391-002_PRM_1.jpg</t>
  </si>
  <si>
    <t>https://dd3ka9h4chfr8.cloudfront.net/image/725136000567/image_jde43dnes52mnap5c9hbu0211a/-FJPG/235391-002_SID_1.jpg</t>
  </si>
  <si>
    <t>https://dd3ka9h4chfr8.cloudfront.net/image/725136000567/image_iobho0aji17iv3jas8qvjstg4r/-FJPG/235391-002_ESS_1.jpg</t>
  </si>
  <si>
    <t>https://dd3ka9h4chfr8.cloudfront.net/image/725136000567/image_ko66kjkrgl0m75vtfsolvmuv7e/-FJPG/235391-002_DET_2.jpg</t>
  </si>
  <si>
    <t>https://dd3ka9h4chfr8.cloudfront.net/image/725136000567/image_sfson3hv357l9d9jnak5osj705/-FJPG/235391-002_DET_1.jpg</t>
  </si>
  <si>
    <t>https://dd3ka9h4chfr8.cloudfront.net/image/725136000567/image_vb72n097p57s3028j59pmbg61a/-FJPG/235391-002_DET_3.jpg</t>
  </si>
  <si>
    <t>https://dd3ka9h4chfr8.cloudfront.net/image/725136000567/image_1dcf5u5d717mbcfkjioflr0c6s/-FJPG/235391-002_DET_4.jpg</t>
  </si>
  <si>
    <t>Goldthwaite Console Table - Sienna Brown Pine</t>
  </si>
  <si>
    <t>https://dd3ka9h4chfr8.cloudfront.net/image/725136000567/image_i309rgoko51r3486mc3kkbap0u/-S150x150-FJPG/235529-002_PRM_1.jpg</t>
  </si>
  <si>
    <t>https://dd3ka9h4chfr8.cloudfront.net/image/725136000567/image_i309rgoko51r3486mc3kkbap0u/-FJPG/235529-002_PRM_1.jpg</t>
  </si>
  <si>
    <t>https://dd3ka9h4chfr8.cloudfront.net/image/725136000567/image_087rrdolt54vl63k94cd9ljv24/-FJPG/235529-002_SID_1.jpg</t>
  </si>
  <si>
    <t>https://dd3ka9h4chfr8.cloudfront.net/image/725136000567/image_i5rga6brlt07b0j7dtele6tc5d/-FJPG/235529-002_ESS_1.jpg</t>
  </si>
  <si>
    <t>https://dd3ka9h4chfr8.cloudfront.net/image/725136000567/image_fb7heie5tt2j34ft36mbs05c2i/-FJPG/235529-002_DET_2.jpg</t>
  </si>
  <si>
    <t>https://dd3ka9h4chfr8.cloudfront.net/image/725136000567/image_nqgv4c39sp7pbcepi1md7djh1t/-FJPG/235529-002_DET_1.jpg</t>
  </si>
  <si>
    <t>https://dd3ka9h4chfr8.cloudfront.net/image/725136000567/image_sdtfuj87851oj7ue92vah07i3g/-FJPG/235529-002_DET_3.jpg</t>
  </si>
  <si>
    <t>https://dd3ka9h4chfr8.cloudfront.net/image/725136000567/image_qs424kl33h0pf1nc462ddumi1g/-FJPG/235529-002_DET_4.jpg</t>
  </si>
  <si>
    <t>Goldthwaite End Table - Sienna Brown Pine</t>
  </si>
  <si>
    <t>https://dd3ka9h4chfr8.cloudfront.net/image/725136000567/image_jg93r8ndk17rf4bnk0d79ump50/-S150x150-FJPG/235528-002_PRM_1.jpg</t>
  </si>
  <si>
    <t>https://dd3ka9h4chfr8.cloudfront.net/image/725136000567/image_jg93r8ndk17rf4bnk0d79ump50/-FJPG/235528-002_PRM_1.jpg</t>
  </si>
  <si>
    <t>https://dd3ka9h4chfr8.cloudfront.net/image/725136000567/image_s76d2caoe55413mtjjev1m9a5e/-FJPG/235528-002_SID_1.jpg</t>
  </si>
  <si>
    <t>https://dd3ka9h4chfr8.cloudfront.net/image/725136000567/image_cp8qave0m11r70hk57v8s6gk0m/-FJPG/235528-002_ESS_1.jpg</t>
  </si>
  <si>
    <t>https://dd3ka9h4chfr8.cloudfront.net/image/725136000567/image_0itm5q20f55ml8nc01a71fbh6l/-FJPG/235528-002_DET_2.jpg</t>
  </si>
  <si>
    <t>https://dd3ka9h4chfr8.cloudfront.net/image/725136000567/image_eo995i8p5l4p73oi31vb3dan50/-FJPG/235528-002_DET_1.jpg</t>
  </si>
  <si>
    <t>https://dd3ka9h4chfr8.cloudfront.net/image/725136000567/image_rdj4uc0smd2133k0543o5egu00/-FJPG/235528-002_DET_3.jpg</t>
  </si>
  <si>
    <t>https://dd3ka9h4chfr8.cloudfront.net/image/725136000567/image_plvf7rd6id1q7738mlk98lad05/-FJPG/235528-002_DET_4.jpg</t>
  </si>
  <si>
    <t>Graham Chair - Andes Natural</t>
  </si>
  <si>
    <t>https://dd3ka9h4chfr8.cloudfront.net/image/725136000567/image_9b9cuujhql6ip1u1h0ngt7ce4p/-S150x150-FJPG/235240-001_PRM_1.jpg</t>
  </si>
  <si>
    <t>https://dd3ka9h4chfr8.cloudfront.net/image/725136000567/image_9b9cuujhql6ip1u1h0ngt7ce4p/-FJPG/235240-001_PRM_1.jpg</t>
  </si>
  <si>
    <t>https://dd3ka9h4chfr8.cloudfront.net/image/725136000567/image_kto6vnug416e9774cj4skfbd69/-FJPG/235240-001_SID_1.jpg</t>
  </si>
  <si>
    <t>https://dd3ka9h4chfr8.cloudfront.net/image/725136000567/image_cld24e38ml3on4kjohf8n6nq7e/-FJPG/235240-001_ESS_1.jpg</t>
  </si>
  <si>
    <t>https://dd3ka9h4chfr8.cloudfront.net/image/725136000567/image_l0ccochkid2ab47ij70r2gom2t/-FJPG/235240-001_DET_2.jpg</t>
  </si>
  <si>
    <t>https://dd3ka9h4chfr8.cloudfront.net/image/725136000567/image_lktg28ns9d1tv1agj5ro25kf2t/-FJPG/235240-001_BCK_1.jpg</t>
  </si>
  <si>
    <t>https://dd3ka9h4chfr8.cloudfront.net/image/725136000567/image_thd6882s2d01hd338li7h3b60q/-FJPG/235240-001_DET_1.jpg</t>
  </si>
  <si>
    <t>https://dd3ka9h4chfr8.cloudfront.net/image/725136000567/image_sh0087a1kt72b6pmd5on4vhj61/-FJPG/235240-001_DET_3.jpg</t>
  </si>
  <si>
    <t>https://dd3ka9h4chfr8.cloudfront.net/image/725136000567/image_ca4ne2u3gt28162s2ts0ot5812/-FJPG/235240-001_DET_4.jpg</t>
  </si>
  <si>
    <t>https://dd3ka9h4chfr8.cloudfront.net/image/725136000567/image_fpea8ranq16u5b6is7mks19j0b/-FJPG/235240-001_DET_5.jpg</t>
  </si>
  <si>
    <t>https://dd3ka9h4chfr8.cloudfront.net/image/725136000567/image_sakv7ipim560398v017intn76c/-FJPG/235240-001_DET_6.jpg</t>
  </si>
  <si>
    <t>https://dd3ka9h4chfr8.cloudfront.net/image/725136000567/image_4k2c80anv56dhbc0mf58j05s12/-FJPG/235240-001_DET_7.jpg</t>
  </si>
  <si>
    <t>https://dd3ka9h4chfr8.cloudfront.net/image/725136000567/image_8alg495aa90nr8dan4vrqiri68/-FJPG/235240-001_ROM_1.jpg</t>
  </si>
  <si>
    <t>Graham Chair - Manchester Flint</t>
  </si>
  <si>
    <t>https://dd3ka9h4chfr8.cloudfront.net/image/725136000567/image_jj1c4uufc93jbf2mn778k2rs1o/-S150x150-FJPG/235240-005_PRM_1.jpg</t>
  </si>
  <si>
    <t>https://dd3ka9h4chfr8.cloudfront.net/image/725136000567/image_jj1c4uufc93jbf2mn778k2rs1o/-FJPG/235240-005_PRM_1.jpg</t>
  </si>
  <si>
    <t>https://dd3ka9h4chfr8.cloudfront.net/image/725136000567/image_micvvp5p3t03tblhucjn4jdk0l/-FJPG/235240-005_SID_1.jpg</t>
  </si>
  <si>
    <t>https://dd3ka9h4chfr8.cloudfront.net/image/725136000567/image_navqm687nh3250c2ed2aab7k0f/-FJPG/235240-005_DET_2.jpg</t>
  </si>
  <si>
    <t>https://dd3ka9h4chfr8.cloudfront.net/image/725136000567/image_4akq43vl3l5qp2ldfjv4ks0m5h/-FJPG/235240-005_BCK_1.jpg</t>
  </si>
  <si>
    <t>https://dd3ka9h4chfr8.cloudfront.net/image/725136000567/image_7jpr0horgh3sp622esqufduf3s/-FJPG/235240-005_DET_1.jpg</t>
  </si>
  <si>
    <t>https://dd3ka9h4chfr8.cloudfront.net/image/725136000567/image_mhmsm7mcrd0gtakqhqe313ug0j/-FJPG/235240-005_DET_3.jpg</t>
  </si>
  <si>
    <t>https://dd3ka9h4chfr8.cloudfront.net/image/725136000567/image_drn7pbafpl4cf6lafbnhp45b3s/-FJPG/235240-005_DET_4.jpg</t>
  </si>
  <si>
    <t>https://dd3ka9h4chfr8.cloudfront.net/image/725136000567/image_3ret6qqk490mpamd5iu9t45c52/-FJPG/235240-005_DET_5.jpg</t>
  </si>
  <si>
    <t>https://dd3ka9h4chfr8.cloudfront.net/image/725136000567/image_39gmk8o2ct55v7v6720ino3h26/-FJPG/235240-005_DET_6.jpg</t>
  </si>
  <si>
    <t>Grammercy Sofa - 92" - Bennett Charcoal</t>
  </si>
  <si>
    <t>https://dd3ka9h4chfr8.cloudfront.net/image/725136000567/image_u7vpvsn9c17hn1rrr016eap15k/-S150x150-FJPG/UATR-002-BCH_PRM_1.jpg</t>
  </si>
  <si>
    <t>https://dd3ka9h4chfr8.cloudfront.net/image/725136000567/image_u7vpvsn9c17hn1rrr016eap15k/-FJPG/UATR-002-BCH_PRM_1.jpg</t>
  </si>
  <si>
    <t>https://dd3ka9h4chfr8.cloudfront.net/image/725136000567/image_dj2df0r5d553tfqcb11809l408/-FJPG/UATR-002-BCH_SID_1.jpg</t>
  </si>
  <si>
    <t>https://dd3ka9h4chfr8.cloudfront.net/image/725136000567/image_uei0r2da1d2fvf4a68f2pn0o7r/-FJPG/UATR-002-BCH_ESS_1.jpg</t>
  </si>
  <si>
    <t>https://dd3ka9h4chfr8.cloudfront.net/image/725136000567/image_64knl3o8rh06nalm5adskijm3g/-FJPG/UATR-002-BCH_DET_2.jpg</t>
  </si>
  <si>
    <t>https://dd3ka9h4chfr8.cloudfront.net/image/725136000567/image_p1c91dcgpd01f8dnba7n9oir2l/-FJPG/UATR-002-BCH_BCK_1.jpg</t>
  </si>
  <si>
    <t>https://dd3ka9h4chfr8.cloudfront.net/image/725136000567/image_itptvipq2t00t20fc4780hsb1u/-FJPG/UATR-002-BCH_DET_1.jpg</t>
  </si>
  <si>
    <t>https://dd3ka9h4chfr8.cloudfront.net/image/725136000567/image_pr4fd3d8f15l97oqc38o1t8552/-FJPG/UATR-002-BCH_DET_3.jpg</t>
  </si>
  <si>
    <t>https://dd3ka9h4chfr8.cloudfront.net/image/725136000567/image_pejmtc09k50dn38emck2ot291b/-FJPG/UATR-002-BCH_DET_4.jpg</t>
  </si>
  <si>
    <t>https://dd3ka9h4chfr8.cloudfront.net/image/725136000567/image_8uarternht6775k4a5na6shr2v/-FJPG/UATR-002-BCH_DET_5.jpg</t>
  </si>
  <si>
    <t>https://dd3ka9h4chfr8.cloudfront.net/image/725136000567/image_n4k6m8ctq14el031518iogjh50/-FJPG/UATR-002-BCH_ROM_1.jpg</t>
  </si>
  <si>
    <t>Grammercy Sofa - 92" - Bennett Moon</t>
  </si>
  <si>
    <t>https://dd3ka9h4chfr8.cloudfront.net/image/725136000567/image_1p7sba4su56bv28u0bb8sp3k4i/-S150x150-FJPG/UATR-002_PRM_1.jpg</t>
  </si>
  <si>
    <t>https://dd3ka9h4chfr8.cloudfront.net/image/725136000567/image_1p7sba4su56bv28u0bb8sp3k4i/-FJPG/UATR-002_PRM_1.jpg</t>
  </si>
  <si>
    <t>https://dd3ka9h4chfr8.cloudfront.net/image/725136000567/image_nudbnj5dot5r71v39frfmdjj63/-FJPG/UATR-002_SID_1.jpg</t>
  </si>
  <si>
    <t>https://dd3ka9h4chfr8.cloudfront.net/image/725136000567/image_qbbfpvun117d73d4tmtrrj2r5s/-FJPG/UATR-002_DET_2.jpg</t>
  </si>
  <si>
    <t>https://dd3ka9h4chfr8.cloudfront.net/image/725136000567/image_9ujt9kmv8h3idf3u38g2g7lm0l/-FJPG/UATR-002_BCK_1.jpg</t>
  </si>
  <si>
    <t>https://dd3ka9h4chfr8.cloudfront.net/image/725136000567/image_n8srhi5d692el8rdmhq58mh93f/-FJPG/UATR-002_DET_1.jpg</t>
  </si>
  <si>
    <t>https://dd3ka9h4chfr8.cloudfront.net/image/725136000567/image_t2s8qmkqbt6l54aknee67hp922/-FJPG/UATR-002_DET_3.jpg</t>
  </si>
  <si>
    <t>https://dd3ka9h4chfr8.cloudfront.net/image/725136000567/image_4es56pn32p3gn4gmvukdesba1h/-FJPG/UATR-002_DET_4.jpg</t>
  </si>
  <si>
    <t>https://dd3ka9h4chfr8.cloudfront.net/image/725136000567/image_q4ensuiut52sj9sthnriusph50/-FJPG/UATR-002_VIG_1.jpg</t>
  </si>
  <si>
    <t>https://dd3ka9h4chfr8.cloudfront.net/image/725136000567/image_es5kemh1mp3rh74vc0td3m6h5j/-FJPG/UATR-002_VIG_2.jpg</t>
  </si>
  <si>
    <t>https://dd3ka9h4chfr8.cloudfront.net/image/725136000567/image_4ska9ojr0h7gv2apjfq5ng3i14/-FJPG/UATR-002_ROM_3.jpg</t>
  </si>
  <si>
    <t>Grand 6 Drawer Dresser - Honey  Brown Oak Veneer</t>
  </si>
  <si>
    <t>https://dd3ka9h4chfr8.cloudfront.net/image/725136000567/image_auurrodhhp5r984cgkrv7e3b74/-S150x150-FJPG/250177-001_PRM_1.jpg</t>
  </si>
  <si>
    <t>https://dd3ka9h4chfr8.cloudfront.net/image/725136000567/image_auurrodhhp5r984cgkrv7e3b74/-FJPG/250177-001_PRM_1.jpg</t>
  </si>
  <si>
    <t>https://dd3ka9h4chfr8.cloudfront.net/image/725136000567/image_4hptob4c193kpeglqv5ltrkd7r/-FJPG/250177-001_SID_1.jpg</t>
  </si>
  <si>
    <t>https://dd3ka9h4chfr8.cloudfront.net/image/725136000567/image_u9uf78pe6l47hd5h3n1cqbbd34/-FJPG/250177-001_DET_2.jpg</t>
  </si>
  <si>
    <t>https://dd3ka9h4chfr8.cloudfront.net/image/725136000567/image_fr4q9li3st2ar9pc6dqrd7en0u/-FJPG/250177-001_BCK_1.jpg</t>
  </si>
  <si>
    <t>https://dd3ka9h4chfr8.cloudfront.net/image/725136000567/image_ag1algrku93i14beubl232nl5a/-FJPG/250177-001_OPN_1.jpg</t>
  </si>
  <si>
    <t>https://dd3ka9h4chfr8.cloudfront.net/image/725136000567/image_jukruo2ad54et13umg3t3uqf78/-FJPG/250177-001_DET_5.jpg</t>
  </si>
  <si>
    <t>https://dd3ka9h4chfr8.cloudfront.net/image/725136000567/image_qjunue7skd5ltefntg1i2fo41o/-FJPG/250177-001_DET_6.jpg</t>
  </si>
  <si>
    <t>https://dd3ka9h4chfr8.cloudfront.net/image/725136000567/image_lf4426iuh93ct9695j97fsch1o/-FJPG/250177-001_DET_7.jpg</t>
  </si>
  <si>
    <t>Greta 6 Drawer Dresser - Autumn Grey</t>
  </si>
  <si>
    <t>https://dd3ka9h4chfr8.cloudfront.net/image/725136000567/image_divbbptlgt3if8h8ev9giuda7d/-S150x150-FJPG/VHAD-034_PRM_1.jpg</t>
  </si>
  <si>
    <t>https://dd3ka9h4chfr8.cloudfront.net/image/725136000567/image_divbbptlgt3if8h8ev9giuda7d/-FJPG/VHAD-034_PRM_1.jpg</t>
  </si>
  <si>
    <t>https://dd3ka9h4chfr8.cloudfront.net/image/725136000567/image_9ktctkuko569l4jvv5kb71134a/-FJPG/VHAD-034_SID_1.jpg</t>
  </si>
  <si>
    <t>https://dd3ka9h4chfr8.cloudfront.net/image/725136000567/image_0arbma1qcp0g375nmm3mj10f36/-FJPG/VHAD-034_ESS_1.jpg</t>
  </si>
  <si>
    <t>https://dd3ka9h4chfr8.cloudfront.net/image/725136000567/image_4udbf649g51krd5r58up9ecc4o/-FJPG/VHAD-034_DET_2.jpg</t>
  </si>
  <si>
    <t>https://dd3ka9h4chfr8.cloudfront.net/image/725136000567/image_kohkcuqldl7ota7aiim1q17v23/-FJPG/VHAD-034_DET_1.jpg</t>
  </si>
  <si>
    <t>https://dd3ka9h4chfr8.cloudfront.net/image/725136000567/image_pe83nf4upp4a39d52cq1mr9o6e/-FJPG/VHAD-034_DET_3.jpg</t>
  </si>
  <si>
    <t>https://dd3ka9h4chfr8.cloudfront.net/image/725136000567/image_qs6qlnvia93cf36k201ftjk45l/-FJPG/VHAD-034_OPN_1.jpg</t>
  </si>
  <si>
    <t>https://dd3ka9h4chfr8.cloudfront.net/image/725136000567/image_ndikl0fudp0tfe72cqlt1kr70e/-FJPG/VHAD-034_DET_4.jpg</t>
  </si>
  <si>
    <t>https://dd3ka9h4chfr8.cloudfront.net/image/725136000567/image_ln3eqavhq57a738kerq3c5nb7c/-FJPG/VHAD-034_DET_5.jpg</t>
  </si>
  <si>
    <t>https://dd3ka9h4chfr8.cloudfront.net/image/725136000567/image_kel33t7uq100b5605s3f7ah33m/-FJPG/VHAD-034_DET_6.jpg</t>
  </si>
  <si>
    <t>Grove Nightstand - Russet Mahogany Veneer</t>
  </si>
  <si>
    <t>Mahogany Veneer</t>
  </si>
  <si>
    <t>https://dd3ka9h4chfr8.cloudfront.net/image/725136000567/image_tlvo9vsl794gne5an7a8cnm26c/-S150x150-FJPG/235100-001_PRM_1.jpg</t>
  </si>
  <si>
    <t>https://dd3ka9h4chfr8.cloudfront.net/image/725136000567/image_tlvo9vsl794gne5an7a8cnm26c/-FJPG/235100-001_PRM_1.jpg</t>
  </si>
  <si>
    <t>https://dd3ka9h4chfr8.cloudfront.net/image/725136000567/image_nq02qa1oc12c170jrplvoltj7n/-FJPG/235100-001_SID_1.jpg</t>
  </si>
  <si>
    <t>https://dd3ka9h4chfr8.cloudfront.net/image/725136000567/image_edu41mkt7h5frffqkhin1ffr49/-FJPG/235100-001_ESS_1.jpg</t>
  </si>
  <si>
    <t>https://dd3ka9h4chfr8.cloudfront.net/image/725136000567/image_991921kpot6i15mbo3vhi2kl2a/-FJPG/235100-001_DET_2.jpg</t>
  </si>
  <si>
    <t>https://dd3ka9h4chfr8.cloudfront.net/image/725136000567/image_46m9ln5avl03barh2d5rfbi058/-FJPG/235100-001_BCK_1.jpg</t>
  </si>
  <si>
    <t>https://dd3ka9h4chfr8.cloudfront.net/image/725136000567/image_628tln9oj115l6n4sodt43cc67/-FJPG/235100-001_DET_1.jpg</t>
  </si>
  <si>
    <t>https://dd3ka9h4chfr8.cloudfront.net/image/725136000567/image_t531o4iil906n4tnh3qrb7ek3l/-FJPG/235100-001_DET_3.jpg</t>
  </si>
  <si>
    <t>https://dd3ka9h4chfr8.cloudfront.net/image/725136000567/image_hj78om8eel3i901m4b432tcf0m/-FJPG/235100-001_OPN_1.jpg</t>
  </si>
  <si>
    <t>https://dd3ka9h4chfr8.cloudfront.net/image/725136000567/image_pg1m5qjcr51l95s4c3jur12p19/-FJPG/235100-001_DET_4.jpg</t>
  </si>
  <si>
    <t>https://dd3ka9h4chfr8.cloudfront.net/image/725136000567/image_p0s39r9t2t2sv65svcdgisp52l/-FJPG/235100-001_DET_5.jpg</t>
  </si>
  <si>
    <t>https://dd3ka9h4chfr8.cloudfront.net/image/725136000567/image_41b6qiaf3t1ll078v0einjpm2q/-FJPG/235100-001_DET_6.jpg</t>
  </si>
  <si>
    <t>https://dd3ka9h4chfr8.cloudfront.net/image/725136000567/image_71de8dqc5p7iv15sglt8ssbg56/-FJPG/235100-001_DET_7.jpg</t>
  </si>
  <si>
    <t>https://dd3ka9h4chfr8.cloudfront.net/image/725136000567/image_cr09t8esh90a5d4eafmooi9h1j/-FJPG/235100-001_DET_8.jpg</t>
  </si>
  <si>
    <t>Habitat Chaise Lounge - Bennett Moon</t>
  </si>
  <si>
    <t>Solid Banak</t>
  </si>
  <si>
    <t>https://dd3ka9h4chfr8.cloudfront.net/image/725136000567/image_p1c2uj7pct7b1760mokiamkc0v/-S150x150-FJPG/236081-001_PRM_1.jpg</t>
  </si>
  <si>
    <t>https://dd3ka9h4chfr8.cloudfront.net/image/725136000567/image_p1c2uj7pct7b1760mokiamkc0v/-FJPG/236081-001_PRM_1.jpg</t>
  </si>
  <si>
    <t>https://dd3ka9h4chfr8.cloudfront.net/image/725136000567/image_r4rnkideo16brdmmc30t9q873o/-FJPG/236081-001_SID_1.jpg</t>
  </si>
  <si>
    <t>https://dd3ka9h4chfr8.cloudfront.net/image/725136000567/image_8tpk29qc6l1ul4pu13kd7m335p/-FJPG/236081-001_DET_2.jpg</t>
  </si>
  <si>
    <t>https://dd3ka9h4chfr8.cloudfront.net/image/725136000567/image_u6g28lgk9t1975e3g50c6t1s17/-FJPG/236081-001_BCK_1.jpg</t>
  </si>
  <si>
    <t>https://dd3ka9h4chfr8.cloudfront.net/image/725136000567/image_40gbstm0j538bflbsa0oarhk3h/-FJPG/236081-001_DET_1.jpg</t>
  </si>
  <si>
    <t>https://dd3ka9h4chfr8.cloudfront.net/image/725136000567/image_0of18dk6ud6u38c1aopfn5g248/-FJPG/236081-001_DET_3.jpg</t>
  </si>
  <si>
    <t>https://dd3ka9h4chfr8.cloudfront.net/image/725136000567/image_flbl1j9nnt6s9f3oh5ce6gg07g/-FJPG/236081-001_DET_4.jpg</t>
  </si>
  <si>
    <t>https://dd3ka9h4chfr8.cloudfront.net/image/725136000567/image_u0kvvspedd0krca9veaj54rb2c/-FJPG/236081-001_DET_5.jpg</t>
  </si>
  <si>
    <t>https://dd3ka9h4chfr8.cloudfront.net/image/725136000567/image_cesnbni1590avcverlsr6jjc5o/-FJPG/236081-001_DET_6.jpg</t>
  </si>
  <si>
    <t>https://dd3ka9h4chfr8.cloudfront.net/image/725136000567/image_i5lvn69bdh7gt540mfk1k7ha6b/-FJPG/236081-001_DET_7.jpg</t>
  </si>
  <si>
    <t>https://dd3ka9h4chfr8.cloudfront.net/image/725136000567/image_m3bcc26qj53qd3v7s55p0vi25g/-FJPG/236081-001_ESS.jpg</t>
  </si>
  <si>
    <t>Habitat Chaise Lounge - Valley Nimbus</t>
  </si>
  <si>
    <t>53% Polyester</t>
  </si>
  <si>
    <t>35% Viscose (Rayon)</t>
  </si>
  <si>
    <t>https://dd3ka9h4chfr8.cloudfront.net/image/725136000567/image_t9gekj9ojt2enah2cpnbu9tl0d/-S150x150-FJPG/236081-002_PRM_1.jpg</t>
  </si>
  <si>
    <t>https://dd3ka9h4chfr8.cloudfront.net/image/725136000567/image_t9gekj9ojt2enah2cpnbu9tl0d/-FJPG/236081-002_PRM_1.jpg</t>
  </si>
  <si>
    <t>https://dd3ka9h4chfr8.cloudfront.net/image/725136000567/image_bqd100push4u1a4bbnb736q73f/-FJPG/236081-002_SID_1.jpg</t>
  </si>
  <si>
    <t>https://dd3ka9h4chfr8.cloudfront.net/image/725136000567/image_vlstncl4c96cf3hk85uam18h4g/-FJPG/236081-002_ESS_1.jpg</t>
  </si>
  <si>
    <t>https://dd3ka9h4chfr8.cloudfront.net/image/725136000567/image_6a93o2eb6520hcvqsidstfb36q/-FJPG/236081-002_DET_2.jpg</t>
  </si>
  <si>
    <t>https://dd3ka9h4chfr8.cloudfront.net/image/725136000567/image_j02e2dfbtl7grcobdcsemua67m/-FJPG/236081-002_BCK_1.jpg</t>
  </si>
  <si>
    <t>https://dd3ka9h4chfr8.cloudfront.net/image/725136000567/image_s2cv7rds4p4314b2v7niusei7e/-FJPG/236081-002_DET_1.jpg</t>
  </si>
  <si>
    <t>https://dd3ka9h4chfr8.cloudfront.net/image/725136000567/image_r1j68a8kk90jl5rd4lbhprsg0a/-FJPG/236081-002_DET_3.jpg</t>
  </si>
  <si>
    <t>https://dd3ka9h4chfr8.cloudfront.net/image/725136000567/image_7qgnf9seip66n2fehpd22bf34f/-FJPG/236081-002_DET_4.jpg</t>
  </si>
  <si>
    <t>https://dd3ka9h4chfr8.cloudfront.net/image/725136000567/image_3449g2pn1p4q507uv5hm7oav7m/-FJPG/236081-002_DET_5.jpg</t>
  </si>
  <si>
    <t>https://dd3ka9h4chfr8.cloudfront.net/image/725136000567/image_vperi7dqgp367al12o7pkm5550/-FJPG/236081-002_DET_6.jpg</t>
  </si>
  <si>
    <t>Habitat Slipcover Chaise - Bennett Moon</t>
  </si>
  <si>
    <t>https://dd3ka9h4chfr8.cloudfront.net/image/725136000567/image_j3lem205el5a354k1uq4va2j0a/-S150x150-FJPG/107188-004_PRM_1.jpg</t>
  </si>
  <si>
    <t>https://dd3ka9h4chfr8.cloudfront.net/image/725136000567/image_j3lem205el5a354k1uq4va2j0a/-FJPG/107188-004_PRM_1.jpg</t>
  </si>
  <si>
    <t>https://dd3ka9h4chfr8.cloudfront.net/image/725136000567/image_c1s743hfml5ur6118itp948e4r/-FJPG/107188-004_SID_1.jpg</t>
  </si>
  <si>
    <t>https://dd3ka9h4chfr8.cloudfront.net/image/725136000567/image_60ad80mcmp06h51qd8rkg2132p/-FJPG/107188-004_ESS_1.jpg</t>
  </si>
  <si>
    <t>https://dd3ka9h4chfr8.cloudfront.net/image/725136000567/image_pgr1anrdih2hl2anhlqq6v5q2k/-FJPG/107188-004_DET_2.jpg</t>
  </si>
  <si>
    <t>https://dd3ka9h4chfr8.cloudfront.net/image/725136000567/image_3vpdqnj4hd19f67ik463kprs29/-FJPG/107188-004_BCK_1.jpg</t>
  </si>
  <si>
    <t>https://dd3ka9h4chfr8.cloudfront.net/image/725136000567/image_3m6k6s93j90rde2700k59kb534/-FJPG/107188-004_DET_1.jpg</t>
  </si>
  <si>
    <t>https://dd3ka9h4chfr8.cloudfront.net/image/725136000567/image_pqda8al0i14aba7mbqcddppj4n/-FJPG/107188-004_DET_3.jpg</t>
  </si>
  <si>
    <t>https://dd3ka9h4chfr8.cloudfront.net/image/725136000567/image_dt06rshn8h0e3fota122dvb92l/-FJPG/107188-004_DET_4.jpg</t>
  </si>
  <si>
    <t>https://dd3ka9h4chfr8.cloudfront.net/image/725136000567/image_ov84q4i2v9185avb7jfm72n76l/-FJPG/107188-004_DET_5.jpg</t>
  </si>
  <si>
    <t>https://dd3ka9h4chfr8.cloudfront.net/image/725136000567/image_p5vh7ms4a903d6p0b73ucuek3n/-FJPG/107188-004_DET_6.jpg</t>
  </si>
  <si>
    <t>Habitat Slipcover Chaise - Valley Nimbus</t>
  </si>
  <si>
    <t>https://dd3ka9h4chfr8.cloudfront.net/image/725136000567/image_5pj3ppvich15pdoj861tb06b7s/-S150x150-FJPG/UATR-047-150_PRM_1.jpg</t>
  </si>
  <si>
    <t>https://dd3ka9h4chfr8.cloudfront.net/image/725136000567/image_5pj3ppvich15pdoj861tb06b7s/-FJPG/UATR-047-150_PRM_1.jpg</t>
  </si>
  <si>
    <t>https://dd3ka9h4chfr8.cloudfront.net/image/725136000567/image_dup2i86hd14v73edd7la0hqp6d/-FJPG/UATR-047-150_SID_1.jpg</t>
  </si>
  <si>
    <t>https://dd3ka9h4chfr8.cloudfront.net/image/725136000567/image_tvim2dcoht6h995mdjcdv6gt2r/-FJPG/UATR-047-150_DET_2.jpg</t>
  </si>
  <si>
    <t>https://dd3ka9h4chfr8.cloudfront.net/image/725136000567/image_sbesn527s56e5a9tqlq64kbf15/-FJPG/UATR-047-150_BCK_1.jpg</t>
  </si>
  <si>
    <t>https://dd3ka9h4chfr8.cloudfront.net/image/725136000567/image_j8gelo9ou53514r9alp97tcj3u/-FJPG/UATR-047-150_INF_1.jpg</t>
  </si>
  <si>
    <t>https://dd3ka9h4chfr8.cloudfront.net/image/725136000567/image_80o3bqc7pp0ah6a085ci4ql310/-FJPG/UATR-047-150_DET_1.jpg</t>
  </si>
  <si>
    <t>https://dd3ka9h4chfr8.cloudfront.net/image/725136000567/image_af3ebheheh2pn5ti9rertpuk02/-FJPG/UATR-047-150_DET_4.jpg</t>
  </si>
  <si>
    <t>https://dd3ka9h4chfr8.cloudfront.net/image/725136000567/image_c36vvrs08506b0983qh6trnd72/-FJPG/UATR-047-150_DET_5.jpg</t>
  </si>
  <si>
    <t>Halston 6 Drawer Dresser - Terra Brown Ash Veneer</t>
  </si>
  <si>
    <t>https://dd3ka9h4chfr8.cloudfront.net/image/725136000567/image_73ul1cm7hp2pr6nhk0mi1om34v/-S150x150-FJPG/232428-001_PRM_1.jpg</t>
  </si>
  <si>
    <t>https://dd3ka9h4chfr8.cloudfront.net/image/725136000567/image_73ul1cm7hp2pr6nhk0mi1om34v/-FJPG/232428-001_PRM_1.jpg</t>
  </si>
  <si>
    <t>https://dd3ka9h4chfr8.cloudfront.net/image/725136000567/image_pspki6513d0f7a7lea4ni7b17f/-FJPG/232428-001_SID_1.jpg</t>
  </si>
  <si>
    <t>https://dd3ka9h4chfr8.cloudfront.net/image/725136000567/image_39erbf1f4904veldv42c8oqp7r/-FJPG/232428-001_ESS_1.jpg</t>
  </si>
  <si>
    <t>https://dd3ka9h4chfr8.cloudfront.net/image/725136000567/image_mcke3vn8t95p5f4q0at19dp53a/-FJPG/232428-001_DET_2.jpg</t>
  </si>
  <si>
    <t>https://dd3ka9h4chfr8.cloudfront.net/image/725136000567/image_l43a416td54f3en3b5oosot70o/-FJPG/232428-001_BCK_1.jpg</t>
  </si>
  <si>
    <t>https://dd3ka9h4chfr8.cloudfront.net/image/725136000567/image_bu2384p5n51ep0cq42bvmppp63/-FJPG/232428-001_DET_1.jpg</t>
  </si>
  <si>
    <t>https://dd3ka9h4chfr8.cloudfront.net/image/725136000567/image_uhvl7r67u924rftvj2v34gc40e/-FJPG/232428-001_DET_3.jpg</t>
  </si>
  <si>
    <t>https://dd3ka9h4chfr8.cloudfront.net/image/725136000567/image_emamtjdo5t6453vl6gitf6164d/-FJPG/232428-001_OPN_1.jpg</t>
  </si>
  <si>
    <t>https://dd3ka9h4chfr8.cloudfront.net/image/725136000567/image_p5raf4688h6hh88qr2gu4nds24/-FJPG/232428-001_DET_4.jpg</t>
  </si>
  <si>
    <t>https://dd3ka9h4chfr8.cloudfront.net/image/725136000567/image_ee05o83pul5mnc55o94boi6763/-FJPG/232428-001_DET_5.jpg</t>
  </si>
  <si>
    <t>https://dd3ka9h4chfr8.cloudfront.net/image/725136000567/image_li67nnnb4l38patcndme42sd36/-FJPG/232428-001_DET_6.jpg</t>
  </si>
  <si>
    <t>https://dd3ka9h4chfr8.cloudfront.net/image/725136000567/image_rrdbahg9ih75bf0ki5hd068p26/-FJPG/232428-001_DET_7.jpg</t>
  </si>
  <si>
    <t>https://dd3ka9h4chfr8.cloudfront.net/image/725136000567/image_q17gumrh0h7497gsgrbvjspq4j/-FJPG/232428-001_DET_8.jpg</t>
  </si>
  <si>
    <t>https://dd3ka9h4chfr8.cloudfront.net/image/725136000567/image_rqsqibkett78p11dsgmp9i5q0g/-FJPG/232428-001_DET_9.jpg</t>
  </si>
  <si>
    <t>https://dd3ka9h4chfr8.cloudfront.net/image/725136000567/image_bgi0fv0lml4df46ssg7t7jgl1n/-FJPG/232428-001_DET_10.jpg</t>
  </si>
  <si>
    <t>Halston Bed - Heirloom Black</t>
  </si>
  <si>
    <t>https://dd3ka9h4chfr8.cloudfront.net/image/725136000567/image_6m3c1gghkl2ur3vnmg2bmtuv48/-S150x150-FJPG/232427-001_PRM_1.jpg</t>
  </si>
  <si>
    <t>https://dd3ka9h4chfr8.cloudfront.net/image/725136000567/image_6m3c1gghkl2ur3vnmg2bmtuv48/-FJPG/232427-001_PRM_1.jpg</t>
  </si>
  <si>
    <t>https://dd3ka9h4chfr8.cloudfront.net/image/725136000567/image_feed43llg12j3dahbj31tvln27/-FJPG/232427-001_SID_1.jpg</t>
  </si>
  <si>
    <t>https://dd3ka9h4chfr8.cloudfront.net/image/725136000567/image_27qoiknril6ef8tppfqsl35o56/-FJPG/232427-001_ESS_1.jpg</t>
  </si>
  <si>
    <t>https://dd3ka9h4chfr8.cloudfront.net/image/725136000567/image_d4aurcfr2d53lbn4memt0c0f0g/-FJPG/232427-001_DET_2.jpg</t>
  </si>
  <si>
    <t>https://dd3ka9h4chfr8.cloudfront.net/image/725136000567/image_sli0nb4er96o57r3qfs0f1l81l/-FJPG/232427-001_BCK_1.jpg</t>
  </si>
  <si>
    <t>https://dd3ka9h4chfr8.cloudfront.net/image/725136000567/image_hj91q03och5e1fc6ovvspncv5q/-FJPG/232427-001_DET_1.jpg</t>
  </si>
  <si>
    <t>https://dd3ka9h4chfr8.cloudfront.net/image/725136000567/image_i9nvocj2bt24tdikojhtetbq6g/-FJPG/232427-001_DET_3.jpg</t>
  </si>
  <si>
    <t>https://dd3ka9h4chfr8.cloudfront.net/image/725136000567/image_94m9qgb0ap76d5verk2r1g4j2q/-FJPG/232427-001_DET_4.jpg</t>
  </si>
  <si>
    <t>https://dd3ka9h4chfr8.cloudfront.net/image/725136000567/image_egf0b5eqpt5ij8v5rsfjcqu72o/-FJPG/232427-001_DET_5.jpg</t>
  </si>
  <si>
    <t>https://dd3ka9h4chfr8.cloudfront.net/image/725136000567/image_j629rqer8l3gp7tdcream0je4v/-FJPG/232427-001_DET_6.jpg</t>
  </si>
  <si>
    <t>https://dd3ka9h4chfr8.cloudfront.net/image/725136000567/image_91c2vjp8ml11f1rm0ln7fgiv1p/-FJPG/232427-001_DET_7.jpg</t>
  </si>
  <si>
    <t>https://dd3ka9h4chfr8.cloudfront.net/image/725136000567/image_hqr06f58kl3sh5vthg9f73ov0h/-FJPG/232427-001_DET_8.jpg</t>
  </si>
  <si>
    <t>https://dd3ka9h4chfr8.cloudfront.net/image/725136000567/image_7bgvv6l6oh4q3575s6guuelt5c/-FJPG/232427-001_DET_9.jpg</t>
  </si>
  <si>
    <t>https://dd3ka9h4chfr8.cloudfront.net/image/725136000567/image_bttjljdhs505te1dldjf9b605q/-FJPG/232427-001_SID_2.jpg</t>
  </si>
  <si>
    <t>https://dd3ka9h4chfr8.cloudfront.net/image/725136000567/image_706rj6mvpd5od8sr0gbft9u47p/-FJPG/232427-001_BCK_2.jpg</t>
  </si>
  <si>
    <t>https://dd3ka9h4chfr8.cloudfront.net/image/725136000567/image_kklfeeasfh3mb5jrsok94c8g0r/-FJPG/232427-001_FRT_2.jpg</t>
  </si>
  <si>
    <t>https://dd3ka9h4chfr8.cloudfront.net/image/725136000567/image_4lveme34nl7u1fg5egmciqc32l/-FJPG/232427-001_PRM_2.jpg</t>
  </si>
  <si>
    <t>Halston Bed - Heirloom Black Old</t>
  </si>
  <si>
    <t>https://dd3ka9h4chfr8.cloudfront.net/image/725136000567/image_1bjp0r5bil4rdcggm9e0c7965p/-S150x150-FJPG/232427-002_PRM_1.jpg</t>
  </si>
  <si>
    <t>https://dd3ka9h4chfr8.cloudfront.net/image/725136000567/image_1bjp0r5bil4rdcggm9e0c7965p/-FJPG/232427-002_PRM_1.jpg</t>
  </si>
  <si>
    <t>https://dd3ka9h4chfr8.cloudfront.net/image/725136000567/image_4724honbm115l22qvc247e5n5a/-FJPG/232427-002_SID_1.jpg</t>
  </si>
  <si>
    <t>https://dd3ka9h4chfr8.cloudfront.net/image/725136000567/image_fidr8g15197er28pbsaupb5p3d/-FJPG/232427-002_ESS_1.jpg</t>
  </si>
  <si>
    <t>https://dd3ka9h4chfr8.cloudfront.net/image/725136000567/image_mtnl4cnm0d40vb11ajcgv4j14l/-FJPG/232427-002_DET_2.jpg</t>
  </si>
  <si>
    <t>https://dd3ka9h4chfr8.cloudfront.net/image/725136000567/image_armlphe0895udend8pfsg2i71i/-FJPG/232427-002_BCK_1.jpg</t>
  </si>
  <si>
    <t>https://dd3ka9h4chfr8.cloudfront.net/image/725136000567/image_qmo9cmms7h04p0ha5jiiq25d61/-FJPG/232427-002_DET_1.jpg</t>
  </si>
  <si>
    <t>https://dd3ka9h4chfr8.cloudfront.net/image/725136000567/image_t95biok5h95vlbm02vjeo0v820/-FJPG/232427-002_DET_3.jpg</t>
  </si>
  <si>
    <t>https://dd3ka9h4chfr8.cloudfront.net/image/725136000567/image_caeporhv394tdenbl72753c83e/-FJPG/232427-002_DET_4.jpg</t>
  </si>
  <si>
    <t>https://dd3ka9h4chfr8.cloudfront.net/image/725136000567/image_v29fdsrmit5a10s08p40uj6305/-FJPG/232427-002_DET_5.jpg</t>
  </si>
  <si>
    <t>https://dd3ka9h4chfr8.cloudfront.net/image/725136000567/image_uc0jt8e5pd2hdd4ha61gcrpt2r/-FJPG/232427-002_DET_6.jpg</t>
  </si>
  <si>
    <t>https://dd3ka9h4chfr8.cloudfront.net/image/725136000567/image_nt74039j4l0932a13blksq6535/-FJPG/232427-002_DET_7.jpg</t>
  </si>
  <si>
    <t>https://dd3ka9h4chfr8.cloudfront.net/image/725136000567/image_i18pr68elh217eioldig6od079/-FJPG/232427-002_DET_8.jpg</t>
  </si>
  <si>
    <t>https://dd3ka9h4chfr8.cloudfront.net/image/725136000567/image_tc1m54o3a14kva8un5bbfqfo65/-FJPG/232427-002_DET_9.jpg</t>
  </si>
  <si>
    <t>https://dd3ka9h4chfr8.cloudfront.net/image/725136000567/image_1c3305e9ot3qn93ko48b262t7q/-FJPG/232427-002_PRM_2.jpg</t>
  </si>
  <si>
    <t>https://dd3ka9h4chfr8.cloudfront.net/image/725136000567/image_9qdggf4n5903re0vnhohcuj45h/-FJPG/232427-002_FRT_2.jpg</t>
  </si>
  <si>
    <t>https://dd3ka9h4chfr8.cloudfront.net/image/725136000567/image_op6kpknhm96s5bbr9v6q4vf019/-FJPG/232427-002_BCK_2.jpg</t>
  </si>
  <si>
    <t>https://dd3ka9h4chfr8.cloudfront.net/image/725136000567/image_n8v99pb87p7j50tf4elka32p65/-FJPG/232427-002_ESS_2.jpg</t>
  </si>
  <si>
    <t>https://dd3ka9h4chfr8.cloudfront.net/image/725136000567/image_hd0t1m5hhl6grbi8v98mdphm14/-FJPG/232427-002_SID_2.jpg</t>
  </si>
  <si>
    <t>Halston Bed - Heirloom Sienna</t>
  </si>
  <si>
    <t>https://dd3ka9h4chfr8.cloudfront.net/image/725136000567/image_0nrd0bui59537616c9i9904j0p/-S150x150-FJPG/232427-007_PRM_1.jpg</t>
  </si>
  <si>
    <t>https://dd3ka9h4chfr8.cloudfront.net/image/725136000567/image_0nrd0bui59537616c9i9904j0p/-FJPG/232427-007_PRM_1.jpg</t>
  </si>
  <si>
    <t>https://dd3ka9h4chfr8.cloudfront.net/image/725136000567/image_spue5eiheh76d41ehaokqqkj42/-FJPG/232427-007_SID_1.jpg</t>
  </si>
  <si>
    <t>https://dd3ka9h4chfr8.cloudfront.net/image/725136000567/image_0ug91nj7111419g5nkv44mm84c/-FJPG/232427-007_DET_2.jpg</t>
  </si>
  <si>
    <t>https://dd3ka9h4chfr8.cloudfront.net/image/725136000567/image_ovgdld8go16fh6aj5bq1gnpu5m/-FJPG/232427-007_DET_1.jpg</t>
  </si>
  <si>
    <t>https://dd3ka9h4chfr8.cloudfront.net/image/725136000567/image_8oohtugbil1f72f1pgdn82d63p/-FJPG/232427-007_DET_3.jpg</t>
  </si>
  <si>
    <t>https://dd3ka9h4chfr8.cloudfront.net/image/725136000567/image_s8f4bomgot4ed7kriadughnk4n/-FJPG/232427-007_DET_4.jpg</t>
  </si>
  <si>
    <t>https://dd3ka9h4chfr8.cloudfront.net/image/725136000567/image_68gtlukhuh51b198n948o4844u/-FJPG/232427-007_DET_5.jpg</t>
  </si>
  <si>
    <t>https://dd3ka9h4chfr8.cloudfront.net/image/725136000567/image_jkbq0pnknt21l3iuialc5fe24n/-FJPG/232427-007_DET_6.jpg</t>
  </si>
  <si>
    <t>https://dd3ka9h4chfr8.cloudfront.net/image/725136000567/image_nn1f87jr2h5956bop8dg0ka463/-FJPG/232427-007_DET_7.jpg</t>
  </si>
  <si>
    <t>https://dd3ka9h4chfr8.cloudfront.net/image/725136000567/image_l0raj6f00h3ep6qj3o3i30vq00/-FJPG/232427-007_DET_8.jpg</t>
  </si>
  <si>
    <t>https://dd3ka9h4chfr8.cloudfront.net/image/725136000567/image_5fe32rv1dh1p362a0ek91pge2i/-S150x150-FJPG/232427-008_PRM_1.jpg</t>
  </si>
  <si>
    <t>https://dd3ka9h4chfr8.cloudfront.net/image/725136000567/image_5fe32rv1dh1p362a0ek91pge2i/-FJPG/232427-008_PRM_1.jpg</t>
  </si>
  <si>
    <t>https://dd3ka9h4chfr8.cloudfront.net/image/725136000567/image_rsen32s8053ujda4p4u8ute477/-FJPG/232427-008_SID_1.jpg</t>
  </si>
  <si>
    <t>https://dd3ka9h4chfr8.cloudfront.net/image/725136000567/image_l08sb075h94t972jtkflqb5i6n/-FJPG/232427-008_DET_2.jpg</t>
  </si>
  <si>
    <t>https://dd3ka9h4chfr8.cloudfront.net/image/725136000567/image_hc8280om0547rf2apoagalu07n/-FJPG/232427-008_BCK_1.jpg</t>
  </si>
  <si>
    <t>https://dd3ka9h4chfr8.cloudfront.net/image/725136000567/image_2lr5sfps310pleko5t0985cl56/-FJPG/232427-008_DET_1.jpg</t>
  </si>
  <si>
    <t>https://dd3ka9h4chfr8.cloudfront.net/image/725136000567/image_sv5ht5clph5nj9715m8ko4gm5n/-FJPG/232427-008_DET_3.jpg</t>
  </si>
  <si>
    <t>https://dd3ka9h4chfr8.cloudfront.net/image/725136000567/image_r4o8sdjm2d7ed0kj9oh8909j3h/-FJPG/232427-008_DET_4.jpg</t>
  </si>
  <si>
    <t>https://dd3ka9h4chfr8.cloudfront.net/image/725136000567/image_s6afmsemdt4sj2tc2cu9b8jn3l/-FJPG/232427-008_DET_5.jpg</t>
  </si>
  <si>
    <t>https://dd3ka9h4chfr8.cloudfront.net/image/725136000567/image_0erdm6jufp1pf6bpaph9ic5030/-FJPG/232427-008_DET_6.jpg</t>
  </si>
  <si>
    <t>https://dd3ka9h4chfr8.cloudfront.net/image/725136000567/image_npmckk2deh2q1d2sh7867pk61g/-FJPG/232427-008_DET_7.jpg</t>
  </si>
  <si>
    <t>https://dd3ka9h4chfr8.cloudfront.net/image/725136000567/image_412p4f025143b28tlalligmm13/-FJPG/232427-008_DET_8.jpg</t>
  </si>
  <si>
    <t>Halston Chair - Heirloom Black</t>
  </si>
  <si>
    <t>https://dd3ka9h4chfr8.cloudfront.net/image/725136000567/image_qb8kj8tgr95sl9or5tjuftgf39/-S150x150-FJPG/229488-001_PRM_1.jpg</t>
  </si>
  <si>
    <t>https://dd3ka9h4chfr8.cloudfront.net/image/725136000567/image_qb8kj8tgr95sl9or5tjuftgf39/-FJPG/229488-001_PRM_1.jpg</t>
  </si>
  <si>
    <t>https://dd3ka9h4chfr8.cloudfront.net/image/725136000567/image_l2tp4q3nf51rjdifu8movfi916/-FJPG/229488-001_SID_1.jpg</t>
  </si>
  <si>
    <t>https://dd3ka9h4chfr8.cloudfront.net/image/725136000567/image_j111p499rh7gj4ie9venv50d4d/-FJPG/229488-001_ESS_1.jpg</t>
  </si>
  <si>
    <t>https://dd3ka9h4chfr8.cloudfront.net/image/725136000567/image_tjptjj1agh7n3a2auninqeru4r/-FJPG/229488-001_DET_2.jpg</t>
  </si>
  <si>
    <t>https://dd3ka9h4chfr8.cloudfront.net/image/725136000567/image_ihaduovf0p43h4kee08o93kg08/-FJPG/229488-001_BCK_1.jpg</t>
  </si>
  <si>
    <t>https://dd3ka9h4chfr8.cloudfront.net/image/725136000567/image_v7n93hi19509r70sco6asv036b/-FJPG/229488-001_DET_1.jpg</t>
  </si>
  <si>
    <t>https://dd3ka9h4chfr8.cloudfront.net/image/725136000567/image_a8o91bn3ip4pta7t730fdt1m1o/-FJPG/229488-001_DET_3.jpg</t>
  </si>
  <si>
    <t>https://dd3ka9h4chfr8.cloudfront.net/image/725136000567/image_iad9sbm37d0l9bbsrn44gjru3h/-FJPG/229488-001_DET_4.jpg</t>
  </si>
  <si>
    <t>https://dd3ka9h4chfr8.cloudfront.net/image/725136000567/image_13ag1hlv2p4aj2g9ti44kr9b6u/-FJPG/229488-001_DET_5.jpg</t>
  </si>
  <si>
    <t>https://dd3ka9h4chfr8.cloudfront.net/image/725136000567/image_ni52lte5ht14tfp93ok1i8881s/-FJPG/229488-001_DET_6.jpg</t>
  </si>
  <si>
    <t>Halston Chair - Heirloom Sienna</t>
  </si>
  <si>
    <t>https://dd3ka9h4chfr8.cloudfront.net/image/725136000567/image_qvp5i90a9t6nna0u26jn72pj1s/-S150x150-FJPG/229488-002_PRM_1.jpg</t>
  </si>
  <si>
    <t>https://dd3ka9h4chfr8.cloudfront.net/image/725136000567/image_qvp5i90a9t6nna0u26jn72pj1s/-FJPG/229488-002_PRM_1.jpg</t>
  </si>
  <si>
    <t>https://dd3ka9h4chfr8.cloudfront.net/image/725136000567/image_ca3jn1qr9l1n90jkrao39g1005/-FJPG/229488-002_SID_1.JPG</t>
  </si>
  <si>
    <t>https://dd3ka9h4chfr8.cloudfront.net/image/725136000567/image_mh0e6mstdl47fdcnqiroakgk3t/-FJPG/229488-002_ESS_1.jpg</t>
  </si>
  <si>
    <t>https://dd3ka9h4chfr8.cloudfront.net/image/725136000567/image_l0am57f70t6s516ede3rbgnu54/-FJPG/229488-002_DET_2.jpg</t>
  </si>
  <si>
    <t>https://dd3ka9h4chfr8.cloudfront.net/image/725136000567/image_lii45naud97414s7nvpcad4n6v/-FJPG/229488-002_BCK_1.jpg</t>
  </si>
  <si>
    <t>https://dd3ka9h4chfr8.cloudfront.net/image/725136000567/image_046qqmnb013bd9cp6128dthc6k/-FJPG/229488-002_DET_1.jpg</t>
  </si>
  <si>
    <t>https://dd3ka9h4chfr8.cloudfront.net/image/725136000567/image_e0cd0gb4k97pr16e9887ml8i63/-FJPG/229488-002_DET_3.jpg</t>
  </si>
  <si>
    <t>https://dd3ka9h4chfr8.cloudfront.net/image/725136000567/image_fvsvujkfpd2799eotqlkmilq5j/-FJPG/229488-002_DET_4.jpg</t>
  </si>
  <si>
    <t>https://dd3ka9h4chfr8.cloudfront.net/image/725136000567/image_doi042lgd55b3fsj36s3ecr92l/-FJPG/229488-002_DET_5.jpg</t>
  </si>
  <si>
    <t>https://dd3ka9h4chfr8.cloudfront.net/image/725136000567/image_4qsicipgm100r8aphn8vqtsb0s/-FJPG/229488-002_DET_6.jpg</t>
  </si>
  <si>
    <t>Halston Chair - Palermo Drift</t>
  </si>
  <si>
    <t>https://dd3ka9h4chfr8.cloudfront.net/image/725136000567/image_aned64h82d0er04hnlrcro6r4c/-S150x150-FJPG/229488-005_PRM_1.jpg</t>
  </si>
  <si>
    <t>https://dd3ka9h4chfr8.cloudfront.net/image/725136000567/image_aned64h82d0er04hnlrcro6r4c/-FJPG/229488-005_PRM_1.jpg</t>
  </si>
  <si>
    <t>https://dd3ka9h4chfr8.cloudfront.net/image/725136000567/image_rir8mtvje51r9237g9568d664m/-FJPG/229488-005_SID_1.jpg</t>
  </si>
  <si>
    <t>https://dd3ka9h4chfr8.cloudfront.net/image/725136000567/image_8os625df8l06lcth3ihb25gk1r/-FJPG/229488-005_DET_2.jpg</t>
  </si>
  <si>
    <t>https://dd3ka9h4chfr8.cloudfront.net/image/725136000567/image_3p0slqfr5d2vnb0b453siju50j/-FJPG/229488-005_BCK_1.jpg</t>
  </si>
  <si>
    <t>https://dd3ka9h4chfr8.cloudfront.net/image/725136000567/image_q2ggoo4eqd7kj83d0mq31vk06s/-FJPG/229488-005_DET_1.jpg</t>
  </si>
  <si>
    <t>https://dd3ka9h4chfr8.cloudfront.net/image/725136000567/image_utptkdt9u17jpe27929t2t0i1u/-FJPG/229488-005_DET_3.jpg</t>
  </si>
  <si>
    <t>https://dd3ka9h4chfr8.cloudfront.net/image/725136000567/image_s6urr5kkd552l333l5ukl7tg7d/-FJPG/229488-005_DET_4.jpg</t>
  </si>
  <si>
    <t>https://dd3ka9h4chfr8.cloudfront.net/image/725136000567/image_vblr4utb8d3e5dkh2bg763u569/-FJPG/229488-005_DET_5.jpg</t>
  </si>
  <si>
    <t>https://dd3ka9h4chfr8.cloudfront.net/image/725136000567/image_vgik5tk2ld2ej9hmfg4n1mlo37/-FJPG/229488-005_DET_6.jpg</t>
  </si>
  <si>
    <t>https://dd3ka9h4chfr8.cloudfront.net/image/725136000567/image_f55etmf1jt1onffi1cqc1pig2f/-FJPG/229488-005_DET_7.jpg</t>
  </si>
  <si>
    <t>Halston Chair With Ottoman - Heirloom Black</t>
  </si>
  <si>
    <t>https://dd3ka9h4chfr8.cloudfront.net/image/725136000567/image_c5n2efrkkd3jl2786m5arlef7m/-S150x150-FJPG/237803-003_PRM_1.jpg</t>
  </si>
  <si>
    <t>https://dd3ka9h4chfr8.cloudfront.net/image/725136000567/image_c5n2efrkkd3jl2786m5arlef7m/-FJPG/237803-003_PRM_1.jpg</t>
  </si>
  <si>
    <t>https://dd3ka9h4chfr8.cloudfront.net/image/725136000567/image_u47m1p4k2l3uf24518s87h5329/-FJPG/237803-003_SID_1.jpg</t>
  </si>
  <si>
    <t>https://dd3ka9h4chfr8.cloudfront.net/image/725136000567/image_r10vro6nf95cr53nirvq1c706l/-FJPG/237803-003_ESS_1.jpg</t>
  </si>
  <si>
    <t>https://dd3ka9h4chfr8.cloudfront.net/image/725136000567/image_0vc3ti5aj918t8gg6is59mjp51/-FJPG/237803-003_BCK_1.jpg</t>
  </si>
  <si>
    <t>https://dd3ka9h4chfr8.cloudfront.net/image/725136000567/image_gfencvhh2l65leuuk36l9mc10l/-FJPG/237803-003_DET_1.jpg</t>
  </si>
  <si>
    <t>https://dd3ka9h4chfr8.cloudfront.net/image/725136000567/image_joohm4h6il1ifedems5mpdg14o/-FJPG/237803-003_PRM_2.jpg</t>
  </si>
  <si>
    <t>Halston Chair With Ottoman - Heirloom Sienna</t>
  </si>
  <si>
    <t>https://dd3ka9h4chfr8.cloudfront.net/image/725136000567/image_cn16i6p9v57hffc7g8favca868/-S150x150-FJPG/237803-001_PRM_1.jpg</t>
  </si>
  <si>
    <t>https://dd3ka9h4chfr8.cloudfront.net/image/725136000567/image_cn16i6p9v57hffc7g8favca868/-FJPG/237803-001_PRM_1.jpg</t>
  </si>
  <si>
    <t>https://dd3ka9h4chfr8.cloudfront.net/image/725136000567/image_92325i5uj91vvejemevsfqsg31/-FJPG/237803-001_SID_1.jpg</t>
  </si>
  <si>
    <t>https://dd3ka9h4chfr8.cloudfront.net/image/725136000567/image_jfav54h6e57918rsqoqai8hm62/-FJPG/237803-001_ESS_1.jpg</t>
  </si>
  <si>
    <t>https://dd3ka9h4chfr8.cloudfront.net/image/725136000567/image_3q9fira92l7fh4hf8vf2bijm1c/-FJPG/237803-001_BCK_1.jpg</t>
  </si>
  <si>
    <t>https://dd3ka9h4chfr8.cloudfront.net/image/725136000567/image_v00v4bs1gl0cj52i4022dqls0f/-FJPG/237803-001_DET_1.jpg</t>
  </si>
  <si>
    <t>https://dd3ka9h4chfr8.cloudfront.net/image/725136000567/image_doiltsboa525rc01rrjpjjut38/-FJPG/237803-001_PRM_2.jpg</t>
  </si>
  <si>
    <t>Halston Chair With Ottoman - Palermo Drift</t>
  </si>
  <si>
    <t>https://dd3ka9h4chfr8.cloudfront.net/image/725136000567/image_pc4ps8rsdp1g3859ck48rsot6g/-S150x150-FJPG/237803-004_PRM_1.jpg</t>
  </si>
  <si>
    <t>https://dd3ka9h4chfr8.cloudfront.net/image/725136000567/image_pc4ps8rsdp1g3859ck48rsot6g/-FJPG/237803-004_PRM_1.jpg</t>
  </si>
  <si>
    <t>https://dd3ka9h4chfr8.cloudfront.net/image/725136000567/image_rohf3p0bfd75p9r266h98nmi2i/-FJPG/237803-004_SID_1.jpg</t>
  </si>
  <si>
    <t>https://dd3ka9h4chfr8.cloudfront.net/image/725136000567/image_mn2l3b3kg93mb22mtar51e901h/-FJPG/237803-004_DET_2.jpg</t>
  </si>
  <si>
    <t>https://dd3ka9h4chfr8.cloudfront.net/image/725136000567/image_ooch0rc3990rrdv1n2ub1p7d3r/-FJPG/237803-004_BCK_1.jpg</t>
  </si>
  <si>
    <t>https://dd3ka9h4chfr8.cloudfront.net/image/725136000567/image_p16np0i8ll7il2v7jm1guk7m3n/-FJPG/237803-004_DET_1.jpg</t>
  </si>
  <si>
    <t>https://dd3ka9h4chfr8.cloudfront.net/image/725136000567/image_r4n10rf8ql7llfcu75m10lgb12/-FJPG/237803-004_DET_3.jpg</t>
  </si>
  <si>
    <t>Halston Cocktail Ottoman - Heirloom Black</t>
  </si>
  <si>
    <t>https://dd3ka9h4chfr8.cloudfront.net/image/725136000567/image_vg61g5j8gp5qjcv7gv3btd501a/-S150x150-FJPG/230750-001_PRM_1.jpg</t>
  </si>
  <si>
    <t>https://dd3ka9h4chfr8.cloudfront.net/image/725136000567/image_vg61g5j8gp5qjcv7gv3btd501a/-FJPG/230750-001_PRM_1.jpg</t>
  </si>
  <si>
    <t>https://dd3ka9h4chfr8.cloudfront.net/image/725136000567/image_nchn2cnms54ut5prob24u18200/-FJPG/230750-001_SID_1.jpg</t>
  </si>
  <si>
    <t>https://dd3ka9h4chfr8.cloudfront.net/image/725136000567/image_7np5j7i7ql15n6atdkst61l306/-FJPG/230750-001_ESS_1.jpg</t>
  </si>
  <si>
    <t>https://dd3ka9h4chfr8.cloudfront.net/image/725136000567/image_3267t8i79575nckb072r35qb4f/-FJPG/230750-001_DET_2.jpg</t>
  </si>
  <si>
    <t>https://dd3ka9h4chfr8.cloudfront.net/image/725136000567/image_cejglikbcp6b521fmht8vv6t17/-FJPG/230750-001_DET_1.jpg</t>
  </si>
  <si>
    <t>https://dd3ka9h4chfr8.cloudfront.net/image/725136000567/image_bck7h9mqpp7p381i4iurr7k70j/-FJPG/230750-001_DET_3.jpg</t>
  </si>
  <si>
    <t>https://dd3ka9h4chfr8.cloudfront.net/image/725136000567/image_vmad9277817jf3v9rmst984054/-FJPG/230750-001_DET_4.jpg</t>
  </si>
  <si>
    <t>https://dd3ka9h4chfr8.cloudfront.net/image/725136000567/image_097k4rheqt3qt5rjlf026si63n/-FJPG/230750-001_DET_5.jpg</t>
  </si>
  <si>
    <t>Halston Cocktail Ottoman - Heirloom Sienna</t>
  </si>
  <si>
    <t>https://dd3ka9h4chfr8.cloudfront.net/image/725136000567/image_3l9iitkuc13a5f93qq9kihlv0f/-S150x150-FJPG/230750-002_PRM_1.jpg</t>
  </si>
  <si>
    <t>https://dd3ka9h4chfr8.cloudfront.net/image/725136000567/image_3l9iitkuc13a5f93qq9kihlv0f/-FJPG/230750-002_PRM_1.jpg</t>
  </si>
  <si>
    <t>https://dd3ka9h4chfr8.cloudfront.net/image/725136000567/image_cq7e75j42d3cd4igbpuvjt2r08/-FJPG/230750-002_SID_1.jpg</t>
  </si>
  <si>
    <t>https://dd3ka9h4chfr8.cloudfront.net/image/725136000567/image_38dmnpjks94uh56e3o9l6ae05t/-FJPG/230750-002_ESS_1.jpg</t>
  </si>
  <si>
    <t>https://dd3ka9h4chfr8.cloudfront.net/image/725136000567/image_4fpf7ba4p51kl0cvgcifrddd00/-FJPG/230750-002_DET_2.jpg</t>
  </si>
  <si>
    <t>https://dd3ka9h4chfr8.cloudfront.net/image/725136000567/image_28t9ircmkd6obf0uqnlc04803k/-FJPG/230750-002_DET_1.jpg</t>
  </si>
  <si>
    <t>https://dd3ka9h4chfr8.cloudfront.net/image/725136000567/image_fqpfota9ol217cdi64m7tlah23/-FJPG/230750-002_DET_3.jpg</t>
  </si>
  <si>
    <t>https://dd3ka9h4chfr8.cloudfront.net/image/725136000567/image_k0bf74hhr51r59aos1fhnd404m/-FJPG/230750-002_DET_4.jpg</t>
  </si>
  <si>
    <t>https://dd3ka9h4chfr8.cloudfront.net/image/725136000567/image_18fcmu3blh4eh5e3kq77euha2s/-FJPG/230750-002_DET_5.jpg</t>
  </si>
  <si>
    <t>Halston Cocktail Ottoman - Palermo Drift</t>
  </si>
  <si>
    <t>https://dd3ka9h4chfr8.cloudfront.net/image/725136000567/image_rg03ohfc1136f0ckc7o6itpm2s/-S150x150-FJPG/230750-006_PRM_1.jpg</t>
  </si>
  <si>
    <t>https://dd3ka9h4chfr8.cloudfront.net/image/725136000567/image_rg03ohfc1136f0ckc7o6itpm2s/-FJPG/230750-006_PRM_1.jpg</t>
  </si>
  <si>
    <t>https://dd3ka9h4chfr8.cloudfront.net/image/725136000567/image_9deksdvjvd7j3agds82o6kif5h/-FJPG/230750-006_SID_1.jpg</t>
  </si>
  <si>
    <t>https://dd3ka9h4chfr8.cloudfront.net/image/725136000567/image_rul5oc9qkh5kj6j1fj1g2nuh6k/-FJPG/230750-006_DET_2.jpg</t>
  </si>
  <si>
    <t>https://dd3ka9h4chfr8.cloudfront.net/image/725136000567/image_k5ha8a6d451ltar9jdu894q57i/-FJPG/230750-006_DET_1.jpg</t>
  </si>
  <si>
    <t>https://dd3ka9h4chfr8.cloudfront.net/image/725136000567/image_mhhm9q6s6h119aua6b9k34i217/-FJPG/230750-006_DET_3.jpg</t>
  </si>
  <si>
    <t>https://dd3ka9h4chfr8.cloudfront.net/image/725136000567/image_4q2abcpe517b3f404b6uo5893r/-FJPG/230750-006_DET_4.jpg</t>
  </si>
  <si>
    <t>https://dd3ka9h4chfr8.cloudfront.net/image/725136000567/image_25gujpckhl7f7apskq5sno5f7v/-FJPG/230750-006_DET_5.jpg</t>
  </si>
  <si>
    <t>https://dd3ka9h4chfr8.cloudfront.net/image/725136000567/image_1gh5vdjtvh56bfi6q3m29p2h3q/-FJPG/230750-006_DET_6.jpg</t>
  </si>
  <si>
    <t>https://dd3ka9h4chfr8.cloudfront.net/image/725136000567/image_bsf78v13pt7s9e2mpcsfkql17h/-FJPG/230750-006_DET_7.jpg</t>
  </si>
  <si>
    <t>Halston Nightstand - Terra Brown Ash Veneer</t>
  </si>
  <si>
    <t>https://dd3ka9h4chfr8.cloudfront.net/image/725136000567/image_e20ps7a7o100h9rt2ragnqkj3b/-S150x150-FJPG/232430-001_PRM_1.jpg</t>
  </si>
  <si>
    <t>https://dd3ka9h4chfr8.cloudfront.net/image/725136000567/image_e20ps7a7o100h9rt2ragnqkj3b/-FJPG/232430-001_PRM_1.jpg</t>
  </si>
  <si>
    <t>https://dd3ka9h4chfr8.cloudfront.net/image/725136000567/image_0r7t3mb41p6t79t9f21uf1u65n/-FJPG/232430-001_SID_1.jpg</t>
  </si>
  <si>
    <t>https://dd3ka9h4chfr8.cloudfront.net/image/725136000567/image_59tho89nod60d4aegppl5s1o0m/-FJPG/232430-001_ESS_1.jpg</t>
  </si>
  <si>
    <t>https://dd3ka9h4chfr8.cloudfront.net/image/725136000567/image_9qlicjso6d0fv77ksnjsn4fq0d/-FJPG/232430-001_DET_2.jpg</t>
  </si>
  <si>
    <t>https://dd3ka9h4chfr8.cloudfront.net/image/725136000567/image_c9mnj3giup4295vhocaalucp6i/-FJPG/232430-001_BCK_1.jpg</t>
  </si>
  <si>
    <t>https://dd3ka9h4chfr8.cloudfront.net/image/725136000567/image_me0u38lpsh5ihapf8nhil4aq6j/-FJPG/232430-001_DET_1.jpg</t>
  </si>
  <si>
    <t>https://dd3ka9h4chfr8.cloudfront.net/image/725136000567/image_k61l2v1n7h6ttam2fn7ivdqu6s/-FJPG/232430-001_DET_3.jpg</t>
  </si>
  <si>
    <t>https://dd3ka9h4chfr8.cloudfront.net/image/725136000567/image_85snd5hvs91fp9ig8qqqt8d82b/-FJPG/232430-001_OPN_1.jpg</t>
  </si>
  <si>
    <t>https://dd3ka9h4chfr8.cloudfront.net/image/725136000567/image_gvdi7bsea15a7d7c5670vf1q44/-FJPG/232430-001_TOP_1.jpg</t>
  </si>
  <si>
    <t>https://dd3ka9h4chfr8.cloudfront.net/image/725136000567/image_ffe35b67dp4cj05fe656uc625j/-FJPG/232430-001_DET_4.jpg</t>
  </si>
  <si>
    <t>https://dd3ka9h4chfr8.cloudfront.net/image/725136000567/image_bv2s9r8l3l44va00mq87kesp40/-FJPG/232430-001_DET_5.jpg</t>
  </si>
  <si>
    <t>Halston Ottoman - Heirloom Black</t>
  </si>
  <si>
    <t>https://dd3ka9h4chfr8.cloudfront.net/image/725136000567/image_vqisa7ihjt4v1162gnge5pv94b/-S150x150-FJPG/230136-001_PRM_1.jpg</t>
  </si>
  <si>
    <t>https://dd3ka9h4chfr8.cloudfront.net/image/725136000567/image_vqisa7ihjt4v1162gnge5pv94b/-FJPG/230136-001_PRM_1.jpg</t>
  </si>
  <si>
    <t>https://dd3ka9h4chfr8.cloudfront.net/image/725136000567/image_ipd1ei1oih16b4kk2ob76mh724/-FJPG/230136-001_SID_1.jpg</t>
  </si>
  <si>
    <t>https://dd3ka9h4chfr8.cloudfront.net/image/725136000567/image_dfdvrvg4nt1gb8a0j52jrvct6a/-FJPG/230136-001_ESS_1.jpg</t>
  </si>
  <si>
    <t>https://dd3ka9h4chfr8.cloudfront.net/image/725136000567/image_p10borc4ll3qp09qsauqa5cr07/-FJPG/230136-001_DET_2.jpg</t>
  </si>
  <si>
    <t>https://dd3ka9h4chfr8.cloudfront.net/image/725136000567/image_ds02pq2rrp1rb5lu19l81pke5i/-FJPG/230136-001_DET_1.jpg</t>
  </si>
  <si>
    <t>https://dd3ka9h4chfr8.cloudfront.net/image/725136000567/image_t1bha4sobd5r1flfa7krppcn6p/-FJPG/230136-001_DET_3.jpg</t>
  </si>
  <si>
    <t>https://dd3ka9h4chfr8.cloudfront.net/image/725136000567/image_cdj5p5k8115kh9vfha8f4g3v1u/-FJPG/230136-001_DET_4.JPG</t>
  </si>
  <si>
    <t>Halston Ottoman - Heirloom Sienna</t>
  </si>
  <si>
    <t>https://dd3ka9h4chfr8.cloudfront.net/image/725136000567/image_6notbcjsih2u1av4kl0fblj65i/-S150x150-FJPG/230136-002_PRM_1.jpg</t>
  </si>
  <si>
    <t>https://dd3ka9h4chfr8.cloudfront.net/image/725136000567/image_6notbcjsih2u1av4kl0fblj65i/-FJPG/230136-002_PRM_1.jpg</t>
  </si>
  <si>
    <t>https://dd3ka9h4chfr8.cloudfront.net/image/725136000567/image_etm32aja3p6751t8clnt5gqf69/-FJPG/230136-002_SID_1.jpg</t>
  </si>
  <si>
    <t>https://dd3ka9h4chfr8.cloudfront.net/image/725136000567/image_pjdeoa1k9t3mj86p7hnogpu701/-FJPG/230136-002_DET_2.jpg</t>
  </si>
  <si>
    <t>https://dd3ka9h4chfr8.cloudfront.net/image/725136000567/image_lddm28gsfl067a37dre1u5j62b/-FJPG/230136-002_DET_1.jpg</t>
  </si>
  <si>
    <t>https://dd3ka9h4chfr8.cloudfront.net/image/725136000567/image_8qqnatdl7l3658b76dlshe6808/-FJPG/230136-002_DET_3.jpg</t>
  </si>
  <si>
    <t>https://dd3ka9h4chfr8.cloudfront.net/image/725136000567/image_d20auv77fh1ah25v4qqka93f7p/-FJPG/230136-002_DET_4.jpg</t>
  </si>
  <si>
    <t>https://dd3ka9h4chfr8.cloudfront.net/image/725136000567/image_52caiprh097p79t6tr1biq4g0b/-FJPG/230136-002_PRM_2.jpg</t>
  </si>
  <si>
    <t>Halston Ottoman - Palermo Drift</t>
  </si>
  <si>
    <t>https://dd3ka9h4chfr8.cloudfront.net/image/725136000567/image_3ja7an9s150cf637unai1rg90e/-S150x150-FJPG/230136-006_PRM_1.jpg</t>
  </si>
  <si>
    <t>https://dd3ka9h4chfr8.cloudfront.net/image/725136000567/image_3ja7an9s150cf637unai1rg90e/-FJPG/230136-006_PRM_1.jpg</t>
  </si>
  <si>
    <t>https://dd3ka9h4chfr8.cloudfront.net/image/725136000567/image_1a4u6ikcu52jj8u55vaint3j20/-FJPG/230136-006_SID_1.jpg</t>
  </si>
  <si>
    <t>https://dd3ka9h4chfr8.cloudfront.net/image/725136000567/image_72gtiqoq9t2kd3cds977jl471s/-FJPG/230136-006_DET_2.jpg</t>
  </si>
  <si>
    <t>https://dd3ka9h4chfr8.cloudfront.net/image/725136000567/image_raftqsjdq946fab59v0sa6uc7v/-FJPG/230136-006_DET_1.jpg</t>
  </si>
  <si>
    <t>https://dd3ka9h4chfr8.cloudfront.net/image/725136000567/image_0nl27isuop703fm5sgkh34oa02/-FJPG/230136-006_DET_3.jpg</t>
  </si>
  <si>
    <t>https://dd3ka9h4chfr8.cloudfront.net/image/725136000567/image_7miemd1s6h4415pm8cjvkahg1m/-FJPG/230136-006_DET_4.jpg</t>
  </si>
  <si>
    <t>https://dd3ka9h4chfr8.cloudfront.net/image/725136000567/image_1as9jafbdl573fpmkvm8ndr057/-FJPG/230136-006_DET_5.jpg</t>
  </si>
  <si>
    <t>https://dd3ka9h4chfr8.cloudfront.net/image/725136000567/image_38s46ikdop07ldduc7op3ear4i/-FJPG/230136-006_DET_6.jpg</t>
  </si>
  <si>
    <t>Hampton Slipcover Swivel Chair - Antwerp Cafe</t>
  </si>
  <si>
    <t>https://dd3ka9h4chfr8.cloudfront.net/image/725136000567/image_bsnrmnjokh7hp2g9co6qn9i27u/-S150x150-FJPG/237989-003_PRM_1.jpg</t>
  </si>
  <si>
    <t>https://dd3ka9h4chfr8.cloudfront.net/image/725136000567/image_bsnrmnjokh7hp2g9co6qn9i27u/-FJPG/237989-003_PRM_1.jpg</t>
  </si>
  <si>
    <t>https://dd3ka9h4chfr8.cloudfront.net/image/725136000567/image_ace3ds6t6d76n8gkeuiqbten5l/-FJPG/237989-003_SID_1.jpg</t>
  </si>
  <si>
    <t>https://dd3ka9h4chfr8.cloudfront.net/image/725136000567/image_3h6p99vrj92jp6oq0h6pvnep3r/-FJPG/237989-003_ESS.tif</t>
  </si>
  <si>
    <t>https://dd3ka9h4chfr8.cloudfront.net/image/725136000567/image_m34bgueho543lb56r5h9g7dq1n/-FJPG/237989-003_DET_2.jpg</t>
  </si>
  <si>
    <t>https://dd3ka9h4chfr8.cloudfront.net/image/725136000567/image_301pcchijl3lbf4c4dv6jp7856/-FJPG/237989-003_BCK_1.jpg</t>
  </si>
  <si>
    <t>https://dd3ka9h4chfr8.cloudfront.net/image/725136000567/image_8bdclpkpop11n4io44e7a22d11/-FJPG/237989-003_DET_3.jpg</t>
  </si>
  <si>
    <t>https://dd3ka9h4chfr8.cloudfront.net/image/725136000567/image_d8bh4c0bfl3pn8s1oc52ip9l27/-FJPG/237989-003_TOP_1.jpg</t>
  </si>
  <si>
    <t>https://dd3ka9h4chfr8.cloudfront.net/image/725136000567/image_r0ao23v02d4010jm614mt02j2e/-FJPG/237989-003_DET_4.jpg</t>
  </si>
  <si>
    <t>https://dd3ka9h4chfr8.cloudfront.net/image/725136000567/image_ffa57ibh796c5cdj6hosl97s63/-FJPG/237989-003_DET_5.jpg</t>
  </si>
  <si>
    <t>https://dd3ka9h4chfr8.cloudfront.net/image/725136000567/image_omhqgjrhlt1i38ofdnl8gibm6s/-FJPG/237989-003_DET_6.jpg</t>
  </si>
  <si>
    <t>Hampton Slipcover Swivel Chair - Evere Creme</t>
  </si>
  <si>
    <t>https://dd3ka9h4chfr8.cloudfront.net/image/725136000567/image_ith2q2fhnl2f38pt44ssb8g36k/-S150x150-FJPG/237989-001_PRM_1.jpg</t>
  </si>
  <si>
    <t>https://dd3ka9h4chfr8.cloudfront.net/image/725136000567/image_ith2q2fhnl2f38pt44ssb8g36k/-FJPG/237989-001_PRM_1.jpg</t>
  </si>
  <si>
    <t>https://dd3ka9h4chfr8.cloudfront.net/image/725136000567/image_0u8cfhkeap1ad3lc4l49sv9403/-FJPG/237989-001_SID_1.jpg</t>
  </si>
  <si>
    <t>https://dd3ka9h4chfr8.cloudfront.net/image/725136000567/image_5a3j3lm3g53n98roo9jm3m1o08/-FJPG/237989-001_ESS_1.jpg</t>
  </si>
  <si>
    <t>https://dd3ka9h4chfr8.cloudfront.net/image/725136000567/image_i8in58nqnh3m1co8b1hd40lm2h/-FJPG/237989-001_DET_2.jpg</t>
  </si>
  <si>
    <t>https://dd3ka9h4chfr8.cloudfront.net/image/725136000567/image_mhg3mhufo551befvsvt9uvtt0c/-FJPG/237989-001_BCK_1.jpg</t>
  </si>
  <si>
    <t>https://dd3ka9h4chfr8.cloudfront.net/image/725136000567/image_kgvpntllvl4rv81ef2fba3mr5a/-FJPG/237989-001_INF_1.jpg</t>
  </si>
  <si>
    <t>https://dd3ka9h4chfr8.cloudfront.net/image/725136000567/image_ut6kp081at36r5h2iml67m184l/-FJPG/237989-001_DET_1.jpg</t>
  </si>
  <si>
    <t>https://dd3ka9h4chfr8.cloudfront.net/image/725136000567/image_5h4ib3r0hl48v3rcjjk0sa591n/-FJPG/237989-001_DET_3.jpg</t>
  </si>
  <si>
    <t>https://dd3ka9h4chfr8.cloudfront.net/image/725136000567/image_c7mq1sk4gd3419rd8lkn0uj25i/-FJPG/237989-001_DET_4.jpg</t>
  </si>
  <si>
    <t>https://dd3ka9h4chfr8.cloudfront.net/image/725136000567/image_1g250r0aql1155lgj1f0l4eu28/-FJPG/237989-001_DET_5.jpg</t>
  </si>
  <si>
    <t>https://dd3ka9h4chfr8.cloudfront.net/image/725136000567/image_lgf8ceivit6vjbkt7rnadidn5t/-FJPG/237989-001_DET_6.jpg</t>
  </si>
  <si>
    <t>https://dd3ka9h4chfr8.cloudfront.net/image/725136000567/image_bbismurhh11at761rqm806co6m/-FJPG/237989-001_DET_7.jpg</t>
  </si>
  <si>
    <t>https://dd3ka9h4chfr8.cloudfront.net/image/725136000567/image_fpt1i5mbhh2s936e91qafakp61/-FJPG/FHMPRJ-007_SCENE_24B.tif</t>
  </si>
  <si>
    <t>Hampton Sofa-93" - Delta Sand</t>
  </si>
  <si>
    <t>97.42% Olefin 2.58% Polyester</t>
  </si>
  <si>
    <t>https://dd3ka9h4chfr8.cloudfront.net/image/725136000567/image_uocp0kgjhd60b1fdnpj4mha46r/-S150x150-FJPG/237992-001_PRM_1.jpg</t>
  </si>
  <si>
    <t>https://dd3ka9h4chfr8.cloudfront.net/image/725136000567/image_uocp0kgjhd60b1fdnpj4mha46r/-FJPG/237992-001_PRM_1.jpg</t>
  </si>
  <si>
    <t>https://dd3ka9h4chfr8.cloudfront.net/image/725136000567/image_atsg5qoanh7m5am16qr4i5m52f/-FJPG/237992-001_SID_1.jpg</t>
  </si>
  <si>
    <t>https://dd3ka9h4chfr8.cloudfront.net/image/725136000567/image_mu7bseaaf93uh7b7ajrl7k9l46/-FJPG/237992-001_ESS_1.jpg</t>
  </si>
  <si>
    <t>https://dd3ka9h4chfr8.cloudfront.net/image/725136000567/image_c3cd3ro9t13kl1228evdb1i30h/-FJPG/237992-001_DET_2.jpg</t>
  </si>
  <si>
    <t>https://dd3ka9h4chfr8.cloudfront.net/image/725136000567/image_fmecivjutl6lr6cmu34ogbsb1e/-FJPG/237992-001_BCK_1.jpg</t>
  </si>
  <si>
    <t>https://dd3ka9h4chfr8.cloudfront.net/image/725136000567/image_v7d3q3sglt01b5vlvk1r3bp94a/-FJPG/237992-001_INF_1.jpg</t>
  </si>
  <si>
    <t>https://dd3ka9h4chfr8.cloudfront.net/image/725136000567/image_beqgnsnc1t33n7clm7kof6nh6q/-FJPG/237992-001_DET_1.jpg</t>
  </si>
  <si>
    <t>https://dd3ka9h4chfr8.cloudfront.net/image/725136000567/image_23fckue38h6m1c8o3flrtd4662/-FJPG/237992-001_DET_3.jpg</t>
  </si>
  <si>
    <t>https://dd3ka9h4chfr8.cloudfront.net/image/725136000567/image_0r2qh0qts10eraf1m43iftep53/-FJPG/237992-001_DET_4.jpg</t>
  </si>
  <si>
    <t>https://dd3ka9h4chfr8.cloudfront.net/image/725136000567/image_uu4a2b7mfd26reqk0cves06d63/-FJPG/237992-001_DET_5.jpg</t>
  </si>
  <si>
    <t>https://dd3ka9h4chfr8.cloudfront.net/image/725136000567/image_cihvl85qih6cjd2ophrrvik11r/-FJPG/237992-001_DET_6.jpg</t>
  </si>
  <si>
    <t>https://dd3ka9h4chfr8.cloudfront.net/image/725136000567/image_s3ms8r8ldp06lcmsgoul0j3m5t/-FJPG/237992-001_DET_7.jpg</t>
  </si>
  <si>
    <t>https://dd3ka9h4chfr8.cloudfront.net/image/725136000567/image_uq46m29l6h5md32pth5mi4gk41/-FJPG/237992-001_DET_8.jpg</t>
  </si>
  <si>
    <t>https://dd3ka9h4chfr8.cloudfront.net/image/725136000567/image_jac3k9nsv56pvfpg202t9pov57/-FJPG/237992-001_DET_9.jpg</t>
  </si>
  <si>
    <t>https://dd3ka9h4chfr8.cloudfront.net/image/725136000567/image_ool0s45hq963h6liutn96nfc44/-FJPG/237992-001_DET_10.jpg</t>
  </si>
  <si>
    <t>Hampton Swivel Chair - Delta Sand</t>
  </si>
  <si>
    <t>https://dd3ka9h4chfr8.cloudfront.net/image/725136000567/image_plg7n0fpdl6qv0tkjpshdr9263/-S150x150-FJPG/237988-001_PRM_1.jpg</t>
  </si>
  <si>
    <t>https://dd3ka9h4chfr8.cloudfront.net/image/725136000567/image_plg7n0fpdl6qv0tkjpshdr9263/-FJPG/237988-001_PRM_1.jpg</t>
  </si>
  <si>
    <t>https://dd3ka9h4chfr8.cloudfront.net/image/725136000567/image_f9n28vudkh4rpes46mcb9qf71u/-FJPG/237988-001_SID_1.jpg</t>
  </si>
  <si>
    <t>https://dd3ka9h4chfr8.cloudfront.net/image/725136000567/image_iq98nd661p1oj97r2suru7l40n/-FJPG/237988-001_ESS_1.jpg</t>
  </si>
  <si>
    <t>https://dd3ka9h4chfr8.cloudfront.net/image/725136000567/image_7bl4976idh76pclc145cb3cj4g/-FJPG/237988-001_DET_2.jpg</t>
  </si>
  <si>
    <t>https://dd3ka9h4chfr8.cloudfront.net/image/725136000567/image_g81sa0goal6qh61g4n9sufbv73/-FJPG/237988-001_BCK_1.jpg</t>
  </si>
  <si>
    <t>https://dd3ka9h4chfr8.cloudfront.net/image/725136000567/image_vl08gpm5cd3g57g4obckvr1e17/-FJPG/237988-001_INF_1.jpg</t>
  </si>
  <si>
    <t>https://dd3ka9h4chfr8.cloudfront.net/image/725136000567/image_iqj801la3l5vp073k8s47ln725/-FJPG/237988-001_DET_1.jpg</t>
  </si>
  <si>
    <t>https://dd3ka9h4chfr8.cloudfront.net/image/725136000567/image_3g9tefimad12p0htve3ss78c54/-FJPG/237988-001_DET_3.jpg</t>
  </si>
  <si>
    <t>https://dd3ka9h4chfr8.cloudfront.net/image/725136000567/image_e178pda9ap2kvenp6r80nqid3g/-FJPG/237988-001_TOP_1.jpg</t>
  </si>
  <si>
    <t>https://dd3ka9h4chfr8.cloudfront.net/image/725136000567/image_j2irpg3qs57b3csvvhttk5e15f/-FJPG/237988-001_DET_4.jpg</t>
  </si>
  <si>
    <t>https://dd3ka9h4chfr8.cloudfront.net/image/725136000567/image_2qs7rlqm0d6fvdvidks623qk47/-FJPG/237988-001_DET_5.jpg</t>
  </si>
  <si>
    <t>https://dd3ka9h4chfr8.cloudfront.net/image/725136000567/image_n2o9pkqqsh3ph3ch96gt0s1i70/-FJPG/237988-001_DET_6.jpg</t>
  </si>
  <si>
    <t>https://dd3ka9h4chfr8.cloudfront.net/image/725136000567/image_h6unc01v7521lcdnsmrctaua3b/-FJPG/237988-001_DET_7.jpg</t>
  </si>
  <si>
    <t>Harper Extension Dining Table - Fawn Oak Veneer</t>
  </si>
  <si>
    <t>https://dd3ka9h4chfr8.cloudfront.net/image/725136000567/image_nh1ml6hgg91pda65hre9db9n71/-S150x150-FJPG/221246-005_PRM_1.jpg</t>
  </si>
  <si>
    <t>https://dd3ka9h4chfr8.cloudfront.net/image/725136000567/image_nh1ml6hgg91pda65hre9db9n71/-FJPG/221246-005_PRM_1.jpg</t>
  </si>
  <si>
    <t>https://dd3ka9h4chfr8.cloudfront.net/image/725136000567/image_ab13j74kp54jl024k4o9mukj0o/-FJPG/221246-005_SID_1.jpg</t>
  </si>
  <si>
    <t>https://dd3ka9h4chfr8.cloudfront.net/image/725136000567/image_omj8l4ev8h30n46s90qdsdcn5r/-FJPG/221246-005_DET_2.jpg</t>
  </si>
  <si>
    <t>https://dd3ka9h4chfr8.cloudfront.net/image/725136000567/image_co37nai5ll6gr4l5ai896hrl4u/-FJPG/221246-005_DET_1.jpg</t>
  </si>
  <si>
    <t>https://dd3ka9h4chfr8.cloudfront.net/image/725136000567/image_ntt9p8t6t53ple4omdiuqhac5r/-FJPG/221246-005_DET_3.jpg</t>
  </si>
  <si>
    <t>https://dd3ka9h4chfr8.cloudfront.net/image/725136000567/image_10vgh4gu0l7d1310lq761cbp1t/-FJPG/221246-005_OPN_1.jpg</t>
  </si>
  <si>
    <t>https://dd3ka9h4chfr8.cloudfront.net/image/725136000567/image_nlbtvsh6oh2j5bb71imv60qf5m/-FJPG/221246-005_TOP_1.jpg</t>
  </si>
  <si>
    <t>https://dd3ka9h4chfr8.cloudfront.net/image/725136000567/image_84huna2mfd7pp7f746r958rk0n/-FJPG/221246-005_DET_4.jpg</t>
  </si>
  <si>
    <t>https://dd3ka9h4chfr8.cloudfront.net/image/725136000567/image_kanve0eni96c13a1nl9qtrku35/-FJPG/221246-005_DET_5.jpg</t>
  </si>
  <si>
    <t>https://dd3ka9h4chfr8.cloudfront.net/image/725136000567/image_e70v5oee6t4v34dfht5223da1u/-FJPG/221246-005_DET_6.jpg</t>
  </si>
  <si>
    <t>https://dd3ka9h4chfr8.cloudfront.net/image/725136000567/image_ev8g9emoed0k18v1il87l5e96v/-FJPG/221246-005_DET_7.jpg</t>
  </si>
  <si>
    <t>https://dd3ka9h4chfr8.cloudfront.net/image/725136000567/image_ha0me3q48d2b3248n897lj597q/-FJPG/221246-005_PRM_2.jpg</t>
  </si>
  <si>
    <t>Harper Extension Dining Table - Toasted Walnut</t>
  </si>
  <si>
    <t>Acacia Veneer</t>
  </si>
  <si>
    <t>https://dd3ka9h4chfr8.cloudfront.net/image/725136000567/image_tgtb1gdrc50i3ah7atbs22t56s/-S150x150-FJPG/VPTN-117_PRM_1.jpg</t>
  </si>
  <si>
    <t>https://dd3ka9h4chfr8.cloudfront.net/image/725136000567/image_tgtb1gdrc50i3ah7atbs22t56s/-FJPG/VPTN-117_PRM_1.jpg</t>
  </si>
  <si>
    <t>https://dd3ka9h4chfr8.cloudfront.net/image/725136000567/image_7o813erhft1798rsrmjof0id1u/-FJPG/VPTN-117_SID_1.jpg</t>
  </si>
  <si>
    <t>https://dd3ka9h4chfr8.cloudfront.net/image/725136000567/image_c1aqk7vnip2r368df819kbn71c/-FJPG/VPTN-117_ESS_1.jpg</t>
  </si>
  <si>
    <t>https://dd3ka9h4chfr8.cloudfront.net/image/725136000567/image_dodg3g6njd6k950a2j1ab7sb6j/-FJPG/VPTN-117_DET_2.jpg</t>
  </si>
  <si>
    <t>https://dd3ka9h4chfr8.cloudfront.net/image/725136000567/image_uinokci5dd7of1gqg282ogip3s/-FJPG/VPTN-117_DET_1.jpg</t>
  </si>
  <si>
    <t>https://dd3ka9h4chfr8.cloudfront.net/image/725136000567/image_kbltos9t391ad7fqda8gfcvt11/-FJPG/VPTN-117_DET_3.jpg</t>
  </si>
  <si>
    <t>https://dd3ka9h4chfr8.cloudfront.net/image/725136000567/image_6rr35k9prh4438hc3ulmp8u41g/-FJPG/VPTN-117_DET_4.jpg</t>
  </si>
  <si>
    <t>https://dd3ka9h4chfr8.cloudfront.net/image/725136000567/image_57m2vf1k3930ddgpg6q2spsd0u/-FJPG/VPTN-117_DET_5.jpg</t>
  </si>
  <si>
    <t>https://dd3ka9h4chfr8.cloudfront.net/image/725136000567/image_8eqj1bm82t20lbt1mkmud38e0j/-FJPG/VPTN-117_DET_6.jpg</t>
  </si>
  <si>
    <t>https://dd3ka9h4chfr8.cloudfront.net/image/725136000567/image_vpsdu297r15hvemqkq3tdar20a/-FJPG/VPTN-117_PRM_2.jpg</t>
  </si>
  <si>
    <t>https://dd3ka9h4chfr8.cloudfront.net/image/725136000567/image_qeqo2npor51d5a9tdgbu4r8d4j/-FJPG/VPTN-117_ESS_2.jpg</t>
  </si>
  <si>
    <t>Harrison Chair - Alcala Wheat</t>
  </si>
  <si>
    <t>https://dd3ka9h4chfr8.cloudfront.net/image/725136000567/image_rnvhe7iakh6f125pdrdqf5bq7o/-S150x150-FJPG/224514-003_PRM_1.jpg</t>
  </si>
  <si>
    <t>https://dd3ka9h4chfr8.cloudfront.net/image/725136000567/image_rnvhe7iakh6f125pdrdqf5bq7o/-FJPG/224514-003_PRM_1.jpg</t>
  </si>
  <si>
    <t>https://dd3ka9h4chfr8.cloudfront.net/image/725136000567/image_8adkjrk4d15lj0ejddg16p4u17/-FJPG/224514-003_SID_1.jpg</t>
  </si>
  <si>
    <t>https://dd3ka9h4chfr8.cloudfront.net/image/725136000567/image_7iu3nemkut0gr5beq9sgj5hl3e/-FJPG/224514-003_ESS_1.jpg</t>
  </si>
  <si>
    <t>https://dd3ka9h4chfr8.cloudfront.net/image/725136000567/image_fdjm56851l5ej0k3p5m93dif3q/-FJPG/224514-003_DET_2.jpg</t>
  </si>
  <si>
    <t>https://dd3ka9h4chfr8.cloudfront.net/image/725136000567/image_2n2ebdh4th3cneae4jeu8aqs6d/-FJPG/224514-003_BCK_1.jpg</t>
  </si>
  <si>
    <t>https://dd3ka9h4chfr8.cloudfront.net/image/725136000567/image_a41b8boj4d2iledhari2t4k517/-FJPG/224514-003_DET_1.jpg</t>
  </si>
  <si>
    <t>https://dd3ka9h4chfr8.cloudfront.net/image/725136000567/image_b3mol9kpqp4td061094lslar5r/-FJPG/224514-003_DET_3.jpg</t>
  </si>
  <si>
    <t>https://dd3ka9h4chfr8.cloudfront.net/image/725136000567/image_jc4hfvqid10hj15krqlddt0p65/-FJPG/224514-003_DET_4.jpg</t>
  </si>
  <si>
    <t>https://dd3ka9h4chfr8.cloudfront.net/image/725136000567/image_lddvbd6l3t6a53f7s6vadhmr1d/-FJPG/224514-003_DET_5.jpg</t>
  </si>
  <si>
    <t>https://dd3ka9h4chfr8.cloudfront.net/image/725136000567/image_usqjbjpa055u9agfd32aj7su27/-FJPG/224514-003_DET_6.jpg</t>
  </si>
  <si>
    <t>Harrison Chair - Palermo Nude</t>
  </si>
  <si>
    <t>https://dd3ka9h4chfr8.cloudfront.net/image/725136000567/image_stqgvtpd716ibbn7opa47jnq5h/-S150x150-FJPG/224514-005_PRM_1.jpg</t>
  </si>
  <si>
    <t>https://dd3ka9h4chfr8.cloudfront.net/image/725136000567/image_stqgvtpd716ibbn7opa47jnq5h/-FJPG/224514-005_PRM_1.jpg</t>
  </si>
  <si>
    <t>https://dd3ka9h4chfr8.cloudfront.net/image/725136000567/image_sdiv3rpdi54qff5oek5tsvtf76/-FJPG/224514-005_SID_1.jpg</t>
  </si>
  <si>
    <t>https://dd3ka9h4chfr8.cloudfront.net/image/725136000567/image_kgut9quon934f3i349t5mp7511/-FJPG/224514-005_DET_2.jpg</t>
  </si>
  <si>
    <t>https://dd3ka9h4chfr8.cloudfront.net/image/725136000567/image_0pmbg6s4h53s18g5upiijkni74/-FJPG/224514-005_BCK_1.jpg</t>
  </si>
  <si>
    <t>https://dd3ka9h4chfr8.cloudfront.net/image/725136000567/image_ou0vek1e394qbeefpfal3hm44j/-FJPG/224514-005_DET_1.jpg</t>
  </si>
  <si>
    <t>https://dd3ka9h4chfr8.cloudfront.net/image/725136000567/image_1jcqbree9p177cn24ch405rr6c/-FJPG/224514-005_DET_3.jpg</t>
  </si>
  <si>
    <t>https://dd3ka9h4chfr8.cloudfront.net/image/725136000567/image_m6ocip9b991np3uv1i9oqead2n/-FJPG/224514-005_DET_4.jpg</t>
  </si>
  <si>
    <t>https://dd3ka9h4chfr8.cloudfront.net/image/725136000567/image_84a5o14ict0vtf694vdcq0be77/-FJPG/224514-005_DET_5.jpg</t>
  </si>
  <si>
    <t>https://dd3ka9h4chfr8.cloudfront.net/image/725136000567/image_6f0ivh9k810gj28ni7ku3kg260/-FJPG/224514-005_DET_6.jpg</t>
  </si>
  <si>
    <t>https://dd3ka9h4chfr8.cloudfront.net/image/725136000567/image_rdighevk9l7818t99m43m2t77u/-FJPG/224514-005_ROM_1.jpg</t>
  </si>
  <si>
    <t>Harrison Chair - Villa Olive</t>
  </si>
  <si>
    <t>62% Cotton</t>
  </si>
  <si>
    <t>20% Flax/Linen</t>
  </si>
  <si>
    <t>18% Viscose (Rayon)</t>
  </si>
  <si>
    <t>https://dd3ka9h4chfr8.cloudfront.net/image/725136000567/image_88rfgh12gl6nl5kgkk3rg7db4s/-S150x150-FJPG/224514-002_PRM_1.jpg</t>
  </si>
  <si>
    <t>https://dd3ka9h4chfr8.cloudfront.net/image/725136000567/image_88rfgh12gl6nl5kgkk3rg7db4s/-FJPG/224514-002_PRM_1.jpg</t>
  </si>
  <si>
    <t>https://dd3ka9h4chfr8.cloudfront.net/image/725136000567/image_t5oqk2hqrl4151rqicstslmt37/-FJPG/224514-002_SID_1.jpg</t>
  </si>
  <si>
    <t>https://dd3ka9h4chfr8.cloudfront.net/image/725136000567/image_n8tfa8bbgd7f5c8k3rgbo2e01f/-FJPG/224514-002_ESS_1.jpg</t>
  </si>
  <si>
    <t>https://dd3ka9h4chfr8.cloudfront.net/image/725136000567/image_jo2bf8dgvh5nd9595v7n796t67/-FJPG/224514-002_DET_2.jpg</t>
  </si>
  <si>
    <t>https://dd3ka9h4chfr8.cloudfront.net/image/725136000567/image_nsphk96m090alegu2bcq6tlv5k/-FJPG/224514-002_BCK_1.jpg</t>
  </si>
  <si>
    <t>https://dd3ka9h4chfr8.cloudfront.net/image/725136000567/image_22nt0vevft6glevqago8rtgm0j/-FJPG/224514-002_DET_1.jpg</t>
  </si>
  <si>
    <t>https://dd3ka9h4chfr8.cloudfront.net/image/725136000567/image_v8vo1mob6h6g99d4f4fiirmu75/-FJPG/224514-002_DET_3.jpg</t>
  </si>
  <si>
    <t>https://dd3ka9h4chfr8.cloudfront.net/image/725136000567/image_9d6vq03k9l2epc3kn8jl10il0a/-FJPG/224514-002_DET_4.jpg</t>
  </si>
  <si>
    <t>https://dd3ka9h4chfr8.cloudfront.net/image/725136000567/image_8kgsiqt9jh7p91fisv4vha283s/-FJPG/224514-002_DET_5.jpg</t>
  </si>
  <si>
    <t>https://dd3ka9h4chfr8.cloudfront.net/image/725136000567/image_9l55v4tbe526na5di6odvdnf2m/-FJPG/224514-002_DET_6.jpg</t>
  </si>
  <si>
    <t>https://dd3ka9h4chfr8.cloudfront.net/image/725136000567/image_o78bgf6ko173v0ck7avjlmv64q/-FJPG/224514-002_DET_7.jpg</t>
  </si>
  <si>
    <t>https://dd3ka9h4chfr8.cloudfront.net/image/725136000567/image_h3r2qoell16vla9i95p3oc9649/-FJPG/224514-002_PRM_2.JPG</t>
  </si>
  <si>
    <t>Hartley Chair - Surrey Olive</t>
  </si>
  <si>
    <t>https://dd3ka9h4chfr8.cloudfront.net/image/725136000567/image_o02r0ivto95nhd5ka2fmp4go2k/-S150x150-FJPG/237027-003_PRM_1.jpg</t>
  </si>
  <si>
    <t>https://dd3ka9h4chfr8.cloudfront.net/image/725136000567/image_o02r0ivto95nhd5ka2fmp4go2k/-FJPG/237027-003_PRM_1.jpg</t>
  </si>
  <si>
    <t>https://dd3ka9h4chfr8.cloudfront.net/image/725136000567/image_22qlpafa8h59vf01j5at4ql12a/-FJPG/237027-003_SID_1.jpg</t>
  </si>
  <si>
    <t>https://dd3ka9h4chfr8.cloudfront.net/image/725136000567/image_3iv84q5p0d7hf6kb1tvgotqr1o/-FJPG/237027-003_DET_2.jpg</t>
  </si>
  <si>
    <t>https://dd3ka9h4chfr8.cloudfront.net/image/725136000567/image_ogvfb1v6353771kaoprckqqo3p/-FJPG/237027-003_BCK_1.jpg</t>
  </si>
  <si>
    <t>https://dd3ka9h4chfr8.cloudfront.net/image/725136000567/image_tnhs3na9l552d3685glqq4jk0i/-FJPG/237027-003_DET_1.jpg</t>
  </si>
  <si>
    <t>https://dd3ka9h4chfr8.cloudfront.net/image/725136000567/image_3gj99992dl1sh6ubetipfa9679/-FJPG/237027-003_DET_3.jpg</t>
  </si>
  <si>
    <t>https://dd3ka9h4chfr8.cloudfront.net/image/725136000567/image_6vr804112h6i379fmmk64cnh41/-FJPG/237027-003_DET_4.jpg</t>
  </si>
  <si>
    <t>https://dd3ka9h4chfr8.cloudfront.net/image/725136000567/image_dfa1pab39p65hep51rdidnc14f/-FJPG/237027-003_DET_5.jpg</t>
  </si>
  <si>
    <t>Hatch Sideboard - Natural Raffia</t>
  </si>
  <si>
    <t>https://dd3ka9h4chfr8.cloudfront.net/image/725136000567/image_rjusc11ca92k592brdm7ibch21/-S150x150-FJPG/230723-004_PRM_1.jpg</t>
  </si>
  <si>
    <t>https://dd3ka9h4chfr8.cloudfront.net/image/725136000567/image_rjusc11ca92k592brdm7ibch21/-FJPG/230723-004_PRM_1.jpg</t>
  </si>
  <si>
    <t>https://dd3ka9h4chfr8.cloudfront.net/image/725136000567/image_itcugb722d593e0cr4bbvilg6o/-FJPG/230723-004_SID_1.jpg</t>
  </si>
  <si>
    <t>https://dd3ka9h4chfr8.cloudfront.net/image/725136000567/image_1sheefloal27b99n1rta6apj3i/-FJPG/230723-004_ESS.tif</t>
  </si>
  <si>
    <t>https://dd3ka9h4chfr8.cloudfront.net/image/725136000567/image_ib7nq775093qfef2esp8i7f808/-FJPG/230723-004_DET_2.jpg</t>
  </si>
  <si>
    <t>https://dd3ka9h4chfr8.cloudfront.net/image/725136000567/image_va0oslkgtt5f31e3iqupdtqp1c/-FJPG/230723-004_BCK_1.jpg</t>
  </si>
  <si>
    <t>https://dd3ka9h4chfr8.cloudfront.net/image/725136000567/image_9o3d1qb1792tl8k0k61vluj11b/-FJPG/230723-004_INF_1.jpg</t>
  </si>
  <si>
    <t>https://dd3ka9h4chfr8.cloudfront.net/image/725136000567/image_lgg3antkvp78dbj5fr57r4dp4a/-FJPG/230723-004_DET_1.jpg</t>
  </si>
  <si>
    <t>https://dd3ka9h4chfr8.cloudfront.net/image/725136000567/image_fmusbhgjmt6a53ddcqd0vrpd35/-FJPG/230723-004_DET_3.jpg</t>
  </si>
  <si>
    <t>https://dd3ka9h4chfr8.cloudfront.net/image/725136000567/image_p4obm78q7t7rhdrqm94vki0r56/-FJPG/230723-004_OPN_1.jpg</t>
  </si>
  <si>
    <t>https://dd3ka9h4chfr8.cloudfront.net/image/725136000567/image_c8ju4lk7h96t795n7r12skr33m/-FJPG/230723-004_DET_4.jpg</t>
  </si>
  <si>
    <t>https://dd3ka9h4chfr8.cloudfront.net/image/725136000567/image_jgeud8oish5mf5m563ue0v257j/-FJPG/230723-004_DET_5.jpg</t>
  </si>
  <si>
    <t>https://dd3ka9h4chfr8.cloudfront.net/image/725136000567/image_gdr55f4ha5249a6mosn71fl17i/-FJPG/230723-004_DET_6.jpg</t>
  </si>
  <si>
    <t>https://dd3ka9h4chfr8.cloudfront.net/image/725136000567/image_6lgvtbse2t2fddgphcf4fnp925/-FJPG/230723-004_DET_7.jpg</t>
  </si>
  <si>
    <t>https://dd3ka9h4chfr8.cloudfront.net/image/725136000567/image_4uks11d5jd6flepnb55jmqct50/-FJPG/230723-004_DET_8.jpg</t>
  </si>
  <si>
    <t>https://dd3ka9h4chfr8.cloudfront.net/image/725136000567/image_pghvjdjedd0517pmt7n83qev1k/-FJPG/230723-004_DET_9.jpg</t>
  </si>
  <si>
    <t>https://dd3ka9h4chfr8.cloudfront.net/image/725136000567/image_hl5fe7l1412qp6l6hmllnatj1g/-FJPG/230723-004_OPN_2.jpg</t>
  </si>
  <si>
    <t>Hawkes Bookcase - Dark Walnut Solid</t>
  </si>
  <si>
    <t>https://dd3ka9h4chfr8.cloudfront.net/image/725136000567/image_n10q1i3gep4632dlqtubqmj374/-S150x150-FJPG/247903-002_PRM_1.jpg</t>
  </si>
  <si>
    <t>https://dd3ka9h4chfr8.cloudfront.net/image/725136000567/image_n10q1i3gep4632dlqtubqmj374/-FJPG/247903-002_PRM_1.jpg</t>
  </si>
  <si>
    <t>https://dd3ka9h4chfr8.cloudfront.net/image/725136000567/image_5ijerh7v51133008ti7j1off5j/-FJPG/247903-002_SID_1.jpg</t>
  </si>
  <si>
    <t>https://dd3ka9h4chfr8.cloudfront.net/image/725136000567/image_03mi8q6jtp6h1b13kuib0jca4q/-FJPG/247903-002_ESS.tif</t>
  </si>
  <si>
    <t>https://dd3ka9h4chfr8.cloudfront.net/image/725136000567/image_3ean6c2kot2fpbo9bds6idam5g/-FJPG/247903-002_DET_2.jpg</t>
  </si>
  <si>
    <t>https://dd3ka9h4chfr8.cloudfront.net/image/725136000567/image_auia8bb0693ojc08el8b59a425/-FJPG/247903-002_BCK_1.jpg</t>
  </si>
  <si>
    <t>https://dd3ka9h4chfr8.cloudfront.net/image/725136000567/image_oh89tlq4tt2fj4uqa6bpc7no3r/-FJPG/247903-002_DET_1.jpg</t>
  </si>
  <si>
    <t>https://dd3ka9h4chfr8.cloudfront.net/image/725136000567/image_7e4djc5d317sl9e0vuj1c3mh6m/-FJPG/247903-002_DET_3.jpg</t>
  </si>
  <si>
    <t>https://dd3ka9h4chfr8.cloudfront.net/image/725136000567/image_k1epv0rsp91itcp0gmrkrf2e0l/-FJPG/247903-002_OPN_1.jpg</t>
  </si>
  <si>
    <t>https://dd3ka9h4chfr8.cloudfront.net/image/725136000567/image_gm3psun9l17r3blq4q1umusc36/-FJPG/247903-002_DET_4.jpg</t>
  </si>
  <si>
    <t>https://dd3ka9h4chfr8.cloudfront.net/image/725136000567/image_931peufrj17er0qunn6gmbba4s/-FJPG/247903-002_DET_5.jpg</t>
  </si>
  <si>
    <t>https://dd3ka9h4chfr8.cloudfront.net/image/725136000567/image_28skjgephh7inc9knu733jln5b/-FJPG/247903-002_DET_6.jpg</t>
  </si>
  <si>
    <t>https://dd3ka9h4chfr8.cloudfront.net/image/725136000567/image_bfq38iaull5qn5b9iconmggr77/-FJPG/247903-002_DET_9.tif</t>
  </si>
  <si>
    <t>https://dd3ka9h4chfr8.cloudfront.net/image/725136000567/image_3ivmj6ina15ih47vajjv7kpu7d/-FJPG/247903-002_DET_10.tif</t>
  </si>
  <si>
    <t>Hawkes Console Table - Dark Walnut Veneer</t>
  </si>
  <si>
    <t>https://dd3ka9h4chfr8.cloudfront.net/image/725136000567/image_lapko7u4r16gt85ibg5a74al01/-S150x150-FJPG/248128-001_PRM_1.jpg</t>
  </si>
  <si>
    <t>https://dd3ka9h4chfr8.cloudfront.net/image/725136000567/image_lapko7u4r16gt85ibg5a74al01/-FJPG/248128-001_PRM_1.jpg</t>
  </si>
  <si>
    <t>https://dd3ka9h4chfr8.cloudfront.net/image/725136000567/image_scgil1te4p619ahvfosgmusu11/-FJPG/248128-001_SID_1.jpg</t>
  </si>
  <si>
    <t>https://dd3ka9h4chfr8.cloudfront.net/image/725136000567/image_9h1ebtu4753jv5ev7vfhbl4e2c/-FJPG/248128-001_ESS.tif</t>
  </si>
  <si>
    <t>https://dd3ka9h4chfr8.cloudfront.net/image/725136000567/image_s98oaqucm145d63jp6dlvs3208/-FJPG/248128-001_DET_2.jpg</t>
  </si>
  <si>
    <t>https://dd3ka9h4chfr8.cloudfront.net/image/725136000567/image_5ft65ptpcp4uf0ru8rql8fhd61/-FJPG/248128-001_BCK_1.jpg</t>
  </si>
  <si>
    <t>https://dd3ka9h4chfr8.cloudfront.net/image/725136000567/image_hvqs50vubd3ald0pb1onfaf77k/-FJPG/248128-001_DET_1.jpg</t>
  </si>
  <si>
    <t>https://dd3ka9h4chfr8.cloudfront.net/image/725136000567/image_7hqgbfptr50rl2pmthgks2jp35/-FJPG/248128-001_DET_3.jpg</t>
  </si>
  <si>
    <t>https://dd3ka9h4chfr8.cloudfront.net/image/725136000567/image_uboad4nmip38rd84q18ugi530b/-FJPG/248128-001_DET_4.jpg</t>
  </si>
  <si>
    <t>https://dd3ka9h4chfr8.cloudfront.net/image/725136000567/image_tlgpnfk5gp26n9rh721kepv65v/-FJPG/248128-001_DET_5.jpg</t>
  </si>
  <si>
    <t>https://dd3ka9h4chfr8.cloudfront.net/image/725136000567/image_mj8cg2ujph03recblvva269q3c/-FJPG/248128-001_DET_6.jpg</t>
  </si>
  <si>
    <t>https://dd3ka9h4chfr8.cloudfront.net/image/725136000567/image_arh619k1ap0cneq3a2ngldkf54/-FJPG/248128-001_DET_7.jpg</t>
  </si>
  <si>
    <t>https://dd3ka9h4chfr8.cloudfront.net/image/725136000567/image_ogdiopnh915iv3h38mu5ha6l25/-FJPG/248128-001_DET_8.jpg</t>
  </si>
  <si>
    <t>https://dd3ka9h4chfr8.cloudfront.net/image/725136000567/image_cl36b25otp36vfj457ebip0o5v/-FJPG/248128-001_DET_9.tif</t>
  </si>
  <si>
    <t>Hawkes Media Console - Dark Walnut Solid</t>
  </si>
  <si>
    <t>https://dd3ka9h4chfr8.cloudfront.net/image/725136000567/image_s6f2uc80o53bd8eoq655bql41n/-S150x150-FJPG/247904-001_PRM_1.jpg</t>
  </si>
  <si>
    <t>https://dd3ka9h4chfr8.cloudfront.net/image/725136000567/image_s6f2uc80o53bd8eoq655bql41n/-FJPG/247904-001_PRM_1.jpg</t>
  </si>
  <si>
    <t>https://dd3ka9h4chfr8.cloudfront.net/image/725136000567/image_ali6t8bj7d669eegemgm9b7j6m/-FJPG/247904-001_SID_1.jpg</t>
  </si>
  <si>
    <t>https://dd3ka9h4chfr8.cloudfront.net/image/725136000567/image_e7npul52qd6ld3qao4lom9mi10/-FJPG/247904-001_ESS.tif</t>
  </si>
  <si>
    <t>https://dd3ka9h4chfr8.cloudfront.net/image/725136000567/image_if72gukurl3816eamus0tqfg43/-FJPG/247904-001_DET_2.jpg</t>
  </si>
  <si>
    <t>https://dd3ka9h4chfr8.cloudfront.net/image/725136000567/image_mone0hcna10b77q4djpr7fnv72/-FJPG/247904-001_BCK_1.jpg</t>
  </si>
  <si>
    <t>https://dd3ka9h4chfr8.cloudfront.net/image/725136000567/image_q8kb04dmfl3lb63d1ri9c36t2c/-FJPG/247904-001_DET_1.jpg</t>
  </si>
  <si>
    <t>https://dd3ka9h4chfr8.cloudfront.net/image/725136000567/image_v55ejg6r054pn4bo27jpsfr37n/-FJPG/247904-001_DET_3.jpg</t>
  </si>
  <si>
    <t>https://dd3ka9h4chfr8.cloudfront.net/image/725136000567/image_eg8u05ieap67t7i6t8vjp5es40/-FJPG/247904-001_OPN_1.jpg</t>
  </si>
  <si>
    <t>https://dd3ka9h4chfr8.cloudfront.net/image/725136000567/image_oov3u2jp4h3sl6o07laplvgg53/-FJPG/247904-001_DET_4.jpg</t>
  </si>
  <si>
    <t>https://dd3ka9h4chfr8.cloudfront.net/image/725136000567/image_r4mhcgv28166t4rugqgasefg3i/-FJPG/247904-001_DET_5.jpg</t>
  </si>
  <si>
    <t>https://dd3ka9h4chfr8.cloudfront.net/image/725136000567/image_ar26aa6m5p3i5c0tjjtkked57k/-FJPG/247904-001_DET_6.jpg</t>
  </si>
  <si>
    <t>https://dd3ka9h4chfr8.cloudfront.net/image/725136000567/image_rfbjohhdgh28b3j0es3ei9551j/-FJPG/247904-001_DET_7.jpg</t>
  </si>
  <si>
    <t>https://dd3ka9h4chfr8.cloudfront.net/image/725136000567/image_hrobv5k0sd37n0hgmcu4oe6c22/-FJPG/247904-001_DET_8.jpg</t>
  </si>
  <si>
    <t>https://dd3ka9h4chfr8.cloudfront.net/image/725136000567/image_9nku8pnnlh2u316ecoguqane3a/-FJPG/247904-001_DET_9.tif</t>
  </si>
  <si>
    <t>https://dd3ka9h4chfr8.cloudfront.net/image/725136000567/image_t4p7i5agt13ktaujff62vb592r/-FJPG/247904-001_DET_9.tif</t>
  </si>
  <si>
    <t>https://dd3ka9h4chfr8.cloudfront.net/image/725136000567/image_q2fqriljbp7nl5oatd5v0eln42/-FJPG/247904-001_DET_10.tif</t>
  </si>
  <si>
    <t>Hawkins Dining Bench - Sonoma Butterscotch</t>
  </si>
  <si>
    <t>https://dd3ka9h4chfr8.cloudfront.net/image/725136000567/image_j2if2ctf5d5976rkohifvmav06/-S150x150-FJPG/226333-001_PRM_1.jpg</t>
  </si>
  <si>
    <t>https://dd3ka9h4chfr8.cloudfront.net/image/725136000567/image_j2if2ctf5d5976rkohifvmav06/-FJPG/226333-001_PRM_1.jpg</t>
  </si>
  <si>
    <t>https://dd3ka9h4chfr8.cloudfront.net/image/725136000567/image_sr9q8lki690vn3eopf9ftpch4c/-FJPG/226333-001_SID_1.jpg</t>
  </si>
  <si>
    <t>https://dd3ka9h4chfr8.cloudfront.net/image/725136000567/image_t1lnocp3gl7nfai5qoo0s8o63u/-FJPG/226333-001_ESS_1.jpg</t>
  </si>
  <si>
    <t>https://dd3ka9h4chfr8.cloudfront.net/image/725136000567/image_h9lj5tn82t4ul7ceflrv81fh52/-FJPG/226333-001_DET_2.jpg</t>
  </si>
  <si>
    <t>https://dd3ka9h4chfr8.cloudfront.net/image/725136000567/image_ftfcg8gcml07p8ncdpsl2t6g5i/-FJPG/226333-001_BCK_1.jpg</t>
  </si>
  <si>
    <t>https://dd3ka9h4chfr8.cloudfront.net/image/725136000567/image_jlug7qstut17tem3pfrjorpb72/-FJPG/226333-001_DET_1.jpg</t>
  </si>
  <si>
    <t>https://dd3ka9h4chfr8.cloudfront.net/image/725136000567/image_jkbblp0ntt44v5etlr7fqkkc4q/-FJPG/226333-001_DET_3.jpg</t>
  </si>
  <si>
    <t>https://dd3ka9h4chfr8.cloudfront.net/image/725136000567/image_pp1tfsaath77ld0auh2sef783e/-FJPG/226333-001_DET_4.jpg</t>
  </si>
  <si>
    <t>https://dd3ka9h4chfr8.cloudfront.net/image/725136000567/image_s3tjghf0cl7m16s4ltoqjpi65l/-FJPG/226333-001_DET_5.jpg</t>
  </si>
  <si>
    <t>https://dd3ka9h4chfr8.cloudfront.net/image/725136000567/image_66te7tlqil401dfm52himira2h/-FJPG/226333-001_DET_6.jpg</t>
  </si>
  <si>
    <t>https://dd3ka9h4chfr8.cloudfront.net/image/725136000567/image_so8lqs4ptd78j8gtqibpc0d83h/-FJPG/226333-001_DET_7.jpg</t>
  </si>
  <si>
    <t>Heavy Wood Accent Bench - Alcala Cream</t>
  </si>
  <si>
    <t>https://dd3ka9h4chfr8.cloudfront.net/image/725136000567/image_t5ht62i7od1ej108lf30cgeb34/-S150x150-FJPG/236084-001_PRM_1.jpg</t>
  </si>
  <si>
    <t>https://dd3ka9h4chfr8.cloudfront.net/image/725136000567/image_t5ht62i7od1ej108lf30cgeb34/-FJPG/236084-001_PRM_1.jpg</t>
  </si>
  <si>
    <t>https://dd3ka9h4chfr8.cloudfront.net/image/725136000567/image_s5j4rvd3750ttcdbp5ldmfif3q/-FJPG/236084-001_SID_1.jpg</t>
  </si>
  <si>
    <t>https://dd3ka9h4chfr8.cloudfront.net/image/725136000567/image_1tt0cus9vt7o32d169ukuelu4r/-FJPG/236084-001_DET_2.jpg</t>
  </si>
  <si>
    <t>https://dd3ka9h4chfr8.cloudfront.net/image/725136000567/image_21omvtlfq9133ckrfa66c9he19/-FJPG/236084-001_DET_1.jpg</t>
  </si>
  <si>
    <t>https://dd3ka9h4chfr8.cloudfront.net/image/725136000567/image_3i2qciobe15h160hrfksap282f/-FJPG/236084-001_DET_3.jpg</t>
  </si>
  <si>
    <t>https://dd3ka9h4chfr8.cloudfront.net/image/725136000567/image_enri1pk9cl4jjao4fgut0esj0c/-FJPG/236084-001_DET_4.jpg</t>
  </si>
  <si>
    <t>https://dd3ka9h4chfr8.cloudfront.net/image/725136000567/image_d3pqb9b3od7inc65304p2ruk22/-FJPG/236084-001_DET_5.jpg</t>
  </si>
  <si>
    <t>https://dd3ka9h4chfr8.cloudfront.net/image/725136000567/image_5cpptk19vl3tfdltorrqc27828/-FJPG/FHMPRJ23-004_Shot_15A_.jpg</t>
  </si>
  <si>
    <t>Henry Desk - Charcoal Oak Thick Veneer</t>
  </si>
  <si>
    <t>https://dd3ka9h4chfr8.cloudfront.net/image/725136000567/image_j9fbk7tke50gt1lepglk2hsi7t/-S150x150-FJPG/231554-002_PRM_1.jpg</t>
  </si>
  <si>
    <t>https://dd3ka9h4chfr8.cloudfront.net/image/725136000567/image_j9fbk7tke50gt1lepglk2hsi7t/-FJPG/231554-002_PRM_1.jpg</t>
  </si>
  <si>
    <t>https://dd3ka9h4chfr8.cloudfront.net/image/725136000567/image_jsm11tsh3t0ar0n01v6dpa7a72/-FJPG/231554-002_SID_1.jpg</t>
  </si>
  <si>
    <t>https://dd3ka9h4chfr8.cloudfront.net/image/725136000567/image_rj3vgl3in52116gi49ph7o6u1k/-FJPG/231554-002_DET_2.jpg</t>
  </si>
  <si>
    <t>https://dd3ka9h4chfr8.cloudfront.net/image/725136000567/image_mbcqhp9vb97thb68npilc4an0t/-FJPG/231554-002_BCK_1.jpg</t>
  </si>
  <si>
    <t>https://dd3ka9h4chfr8.cloudfront.net/image/725136000567/image_l5g655887h4g78f4pscfikhg2p/-FJPG/231554-002_DET_1.jpg</t>
  </si>
  <si>
    <t>https://dd3ka9h4chfr8.cloudfront.net/image/725136000567/image_pkaspt41n15gt8b8pl9av5pg53/-FJPG/231554-002_DET_3.jpg</t>
  </si>
  <si>
    <t>https://dd3ka9h4chfr8.cloudfront.net/image/725136000567/image_m6roh64bmt3rraee2ap1k7go0q/-FJPG/231554-002_TOP_1.jpg</t>
  </si>
  <si>
    <t>https://dd3ka9h4chfr8.cloudfront.net/image/725136000567/image_nb5353u2b174f6qq61ri923j02/-FJPG/231554-002_DET_4.jpg</t>
  </si>
  <si>
    <t>https://dd3ka9h4chfr8.cloudfront.net/image/725136000567/image_focohs909p2mn23pam2avu9h1s/-FJPG/231554-002_DET_5.jpg</t>
  </si>
  <si>
    <t>https://dd3ka9h4chfr8.cloudfront.net/image/725136000567/image_8ll7rq4dc51651l1uq9c9u1d5d/-FJPG/231554-002_DET_6.jpg</t>
  </si>
  <si>
    <t>https://dd3ka9h4chfr8.cloudfront.net/image/725136000567/image_lgrumj1va949fc3o4ktcfu400u/-FJPG/231554-002_DET_7.jpg</t>
  </si>
  <si>
    <t>Henry Desk - Rustic Grey Veneer</t>
  </si>
  <si>
    <t>https://dd3ka9h4chfr8.cloudfront.net/image/725136000567/image_fq7surortt2i7ceebq3jq7m557/-S150x150-FJPG/231554-001_PRM_1.jpg</t>
  </si>
  <si>
    <t>https://dd3ka9h4chfr8.cloudfront.net/image/725136000567/image_fq7surortt2i7ceebq3jq7m557/-FJPG/231554-001_PRM_1.jpg</t>
  </si>
  <si>
    <t>https://dd3ka9h4chfr8.cloudfront.net/image/725136000567/image_se54tt15at2bn2i5urs5l9io1k/-FJPG/231554-001_SID_1.jpg</t>
  </si>
  <si>
    <t>https://dd3ka9h4chfr8.cloudfront.net/image/725136000567/image_lkrf816tmh5s15760nmgibm06k/-FJPG/231554-001_ESS_1.jpg</t>
  </si>
  <si>
    <t>https://dd3ka9h4chfr8.cloudfront.net/image/725136000567/image_vpaelhrk856gh78jv35f9ik12d/-FJPG/231554-001_DET_2.jpg</t>
  </si>
  <si>
    <t>https://dd3ka9h4chfr8.cloudfront.net/image/725136000567/image_tbb6iu3nvh62d85lnt0disoi3s/-FJPG/231554-001_BCK_1.jpg</t>
  </si>
  <si>
    <t>https://dd3ka9h4chfr8.cloudfront.net/image/725136000567/image_svk2re5rr95ehfmmin8jau5t06/-FJPG/231554-001_DET_1.jpg</t>
  </si>
  <si>
    <t>https://dd3ka9h4chfr8.cloudfront.net/image/725136000567/image_tqcncia1ep2mr30hksk0f7ab5j/-FJPG/231554-001_DET_3.jpg</t>
  </si>
  <si>
    <t>https://dd3ka9h4chfr8.cloudfront.net/image/725136000567/image_fao9i4gh0p3mj9h2mm6ih5nj5v/-FJPG/231554-001_OPN_1.jpg</t>
  </si>
  <si>
    <t>https://dd3ka9h4chfr8.cloudfront.net/image/725136000567/image_74qgole88p2nr3jq4c24hndo7d/-FJPG/231554-001_DET_4.jpg</t>
  </si>
  <si>
    <t>https://dd3ka9h4chfr8.cloudfront.net/image/725136000567/image_bj9rr0ietd5sradpohpm7hmk1v/-FJPG/231554-001_DET_5.jpg</t>
  </si>
  <si>
    <t>https://dd3ka9h4chfr8.cloudfront.net/image/725136000567/image_u89hff84st64r4fct5923hg025/-FJPG/231554-001_DET_6.jpg</t>
  </si>
  <si>
    <t>https://dd3ka9h4chfr8.cloudfront.net/image/725136000567/image_chv94fecc90j70mb4aibpbfp1s/-FJPG/231554-001_DET_7.jpg</t>
  </si>
  <si>
    <t>https://dd3ka9h4chfr8.cloudfront.net/image/725136000567/image_686uabkrht71f3a9hah7vrpt31/-FJPG/231554-001_DET_8.jpg</t>
  </si>
  <si>
    <t>Henry Dining Table - Rustic Grey Veneer</t>
  </si>
  <si>
    <t>https://dd3ka9h4chfr8.cloudfront.net/image/725136000567/image_qcpmdna5ft3d7e2hd48flan05d/-S150x150-FJPG/231565-001_PRM_1.jpg</t>
  </si>
  <si>
    <t>https://dd3ka9h4chfr8.cloudfront.net/image/725136000567/image_bc2gbta1uh69l97i1o9cgn0i0m/-FJPG/231565-001_FRT_1.jpg</t>
  </si>
  <si>
    <t>https://dd3ka9h4chfr8.cloudfront.net/image/725136000567/image_qcpmdna5ft3d7e2hd48flan05d/-FJPG/231565-001_PRM_1.jpg</t>
  </si>
  <si>
    <t>https://dd3ka9h4chfr8.cloudfront.net/image/725136000567/image_9t2dfv39u16c7cesgraol90k19/-FJPG/231565-001_SID_1.jpg</t>
  </si>
  <si>
    <t>https://dd3ka9h4chfr8.cloudfront.net/image/725136000567/image_a6t1s5jcj53nj3ou7smtegep7r/-FJPG/231565-001_ESS_1.jpg</t>
  </si>
  <si>
    <t>https://dd3ka9h4chfr8.cloudfront.net/image/725136000567/image_8ijbclnrc14g9d7ba6ma6unh17/-FJPG/231565-001_DET_2.jpg</t>
  </si>
  <si>
    <t>https://dd3ka9h4chfr8.cloudfront.net/image/725136000567/image_nlbapcb3jl5qvd9fcogiqh1g38/-FJPG/231565-001_DET_1.jpg</t>
  </si>
  <si>
    <t>https://dd3ka9h4chfr8.cloudfront.net/image/725136000567/image_ohvmuspvo56jj3m468b10ih56o/-FJPG/231565-001_DET_3.jpg</t>
  </si>
  <si>
    <t>https://dd3ka9h4chfr8.cloudfront.net/image/725136000567/image_lapkduh0id4tt7t8oh693ak30t/-FJPG/231565-001_DET_4.jpg</t>
  </si>
  <si>
    <t>https://dd3ka9h4chfr8.cloudfront.net/image/725136000567/image_r7matqci7t4tt2deho1nsk3u2r/-FJPG/231565-001_DET_5.jpg</t>
  </si>
  <si>
    <t>https://dd3ka9h4chfr8.cloudfront.net/image/725136000567/image_4a9746toh579reu5lc13isvo15/-FJPG/231565-001_DET_6.jpg</t>
  </si>
  <si>
    <t>https://dd3ka9h4chfr8.cloudfront.net/image/725136000567/image_um8fi4u78h49h0rinav3o5172d/-FJPG/231565-001_ESS_2.jpg</t>
  </si>
  <si>
    <t>Henry Sideboard - Rustic Grey Veneer</t>
  </si>
  <si>
    <t>https://dd3ka9h4chfr8.cloudfront.net/image/725136000567/image_i01glinmqh4kf0bqrcbth8kt1d/-S150x150-FJPG/231544-001_PRM_1.jpg</t>
  </si>
  <si>
    <t>https://dd3ka9h4chfr8.cloudfront.net/image/725136000567/image_i01glinmqh4kf0bqrcbth8kt1d/-FJPG/231544-001_PRM_1.jpg</t>
  </si>
  <si>
    <t>https://dd3ka9h4chfr8.cloudfront.net/image/725136000567/image_ffonve8tjp7916rcqooe2cnn7k/-FJPG/231544-001_SID_1.jpg</t>
  </si>
  <si>
    <t>https://dd3ka9h4chfr8.cloudfront.net/image/725136000567/image_9ur033tjq92l91p46r13c0gd1r/-FJPG/231544-001_ESS_1.jpg</t>
  </si>
  <si>
    <t>https://dd3ka9h4chfr8.cloudfront.net/image/725136000567/image_jp24edu1ad5staqpfo8l3v0j2v/-FJPG/231544-001_ESS_1.tif</t>
  </si>
  <si>
    <t>https://dd3ka9h4chfr8.cloudfront.net/image/725136000567/image_gbba7qd6rh7m77l2a4aotdlr15/-FJPG/231544-001_DET_2.jpg</t>
  </si>
  <si>
    <t>https://dd3ka9h4chfr8.cloudfront.net/image/725136000567/image_f2s8q0fp9p07n7egutp69l2n20/-FJPG/231544-001_BCK_1.jpg</t>
  </si>
  <si>
    <t>https://dd3ka9h4chfr8.cloudfront.net/image/725136000567/image_3q9dk9506t3j7cdpsobvrh2l0s/-FJPG/231544-001_DET_1.jpg</t>
  </si>
  <si>
    <t>https://dd3ka9h4chfr8.cloudfront.net/image/725136000567/image_qhvjlrgdq93ff9lk3b69493t60/-FJPG/231544-001_DET_3.jpg</t>
  </si>
  <si>
    <t>https://dd3ka9h4chfr8.cloudfront.net/image/725136000567/image_lfmadbm5512opet0ijthqksm5t/-FJPG/231544-001_OPN_1.jpg</t>
  </si>
  <si>
    <t>https://dd3ka9h4chfr8.cloudfront.net/image/725136000567/image_fuomci4eoh7tbbinhtv9cvb23s/-FJPG/231544-001_DET_4.jpg</t>
  </si>
  <si>
    <t>https://dd3ka9h4chfr8.cloudfront.net/image/725136000567/image_14qc3h379h3gj3tao444j7ja5e/-FJPG/231544-001_DET_5.jpg</t>
  </si>
  <si>
    <t>https://dd3ka9h4chfr8.cloudfront.net/image/725136000567/image_qm4fcoakdl0692usve4npsk46s/-FJPG/231544-001_DET_6.jpg</t>
  </si>
  <si>
    <t>https://dd3ka9h4chfr8.cloudfront.net/image/725136000567/image_dmvk3qkc1d1ar811vj3gbac70p/-FJPG/231544-001_DET_7.jpg</t>
  </si>
  <si>
    <t>https://dd3ka9h4chfr8.cloudfront.net/image/725136000567/image_qaqkomr9dh5or2oeiu15ro0q41/-FJPG/231544-001_DET_8.jpg</t>
  </si>
  <si>
    <t>https://dd3ka9h4chfr8.cloudfront.net/image/725136000567/image_68uoactbp50m93p11oa5tora0d/-FJPG/231544-001_DET_9.jpg</t>
  </si>
  <si>
    <t>https://dd3ka9h4chfr8.cloudfront.net/image/725136000567/image_p9qgqk5g453hf5glc8oqehrc2n/-FJPG/231544-001_DET_10.jpg</t>
  </si>
  <si>
    <t>https://dd3ka9h4chfr8.cloudfront.net/image/725136000567/image_r8qluf6egt58332fvk8soqgs3s/-FJPG/FHMPRJ-007_SCENE_14.tif</t>
  </si>
  <si>
    <t>Hepburn Media Console - Dark Anthracite Oak Veneer</t>
  </si>
  <si>
    <t>https://dd3ka9h4chfr8.cloudfront.net/image/725136000567/image_c80sacqgrt1m188k6calsfg13c/-S150x150-FJPG/248509-001_PRM_1.jpg</t>
  </si>
  <si>
    <t>https://dd3ka9h4chfr8.cloudfront.net/image/725136000567/image_c80sacqgrt1m188k6calsfg13c/-FJPG/248509-001_PRM_1.jpg</t>
  </si>
  <si>
    <t>https://dd3ka9h4chfr8.cloudfront.net/image/725136000567/image_38kea6h90574v77ufpn45sfq0o/-FJPG/248509-001_SID_1.jpg</t>
  </si>
  <si>
    <t>https://dd3ka9h4chfr8.cloudfront.net/image/725136000567/image_6men6e6te55hr4pln2n2kuu84v/-FJPG/248509-001_ESS.tif</t>
  </si>
  <si>
    <t>https://dd3ka9h4chfr8.cloudfront.net/image/725136000567/image_vi8jukojmt2blbv61r5uphf00d/-FJPG/248509-001_DET_2.jpg</t>
  </si>
  <si>
    <t>https://dd3ka9h4chfr8.cloudfront.net/image/725136000567/image_dmfsssn02123jau5ve06sbbe0c/-FJPG/248509-001_BCK_1.jpg</t>
  </si>
  <si>
    <t>https://dd3ka9h4chfr8.cloudfront.net/image/725136000567/image_j5pembe9tl4d55guviudaid37k/-FJPG/248509-001_DET_1.jpg</t>
  </si>
  <si>
    <t>https://dd3ka9h4chfr8.cloudfront.net/image/725136000567/image_eg1a3rvh6h2gveaue83ng21m2g/-FJPG/248509-001_DET_3.jpg</t>
  </si>
  <si>
    <t>https://dd3ka9h4chfr8.cloudfront.net/image/725136000567/image_89lvt7ppl55ub1ad5l0cektu0v/-FJPG/248509-001_OPN_1.jpg</t>
  </si>
  <si>
    <t>https://dd3ka9h4chfr8.cloudfront.net/image/725136000567/image_btvvc0fo790v915cj5a9i5q82q/-FJPG/248509-001_TOP_1.jpg</t>
  </si>
  <si>
    <t>https://dd3ka9h4chfr8.cloudfront.net/image/725136000567/image_0mkr6vae452hbf5v120m2rel08/-FJPG/248509-001_DET_4.jpg</t>
  </si>
  <si>
    <t>Higgs Bookcase - Brushed Ebony Oak Veneer</t>
  </si>
  <si>
    <t>https://dd3ka9h4chfr8.cloudfront.net/image/725136000567/image_rt9is3f1096tl8gplt8l8fan2u/-S150x150-FJPG/225023-004_PRM_1.jpg</t>
  </si>
  <si>
    <t>https://dd3ka9h4chfr8.cloudfront.net/image/725136000567/image_rt9is3f1096tl8gplt8l8fan2u/-FJPG/225023-004_PRM_1.jpg</t>
  </si>
  <si>
    <t>https://dd3ka9h4chfr8.cloudfront.net/image/725136000567/image_lugcr2sdjl5jdd5imd78agrp6k/-FJPG/225023-004_SID_1.jpg</t>
  </si>
  <si>
    <t>https://dd3ka9h4chfr8.cloudfront.net/image/725136000567/image_p1kbi1mrid6tdaqst8grafp07i/-FJPG/225023-004_ESS_1.jpg</t>
  </si>
  <si>
    <t>https://dd3ka9h4chfr8.cloudfront.net/image/725136000567/image_pambqeclt12svb5lou9gpdu93b/-FJPG/225023-004_DET_2.jpg</t>
  </si>
  <si>
    <t>https://dd3ka9h4chfr8.cloudfront.net/image/725136000567/image_f6f83ac8pt79hfsbq9l610bj2s/-FJPG/225023-004_BCK_1.jpg</t>
  </si>
  <si>
    <t>https://dd3ka9h4chfr8.cloudfront.net/image/725136000567/image_heikgp412h3k5etvg3eeifk80f/-FJPG/225023-004_DET_1.jpg</t>
  </si>
  <si>
    <t>https://dd3ka9h4chfr8.cloudfront.net/image/725136000567/image_uovoigppol68tcqin5gdtvtf31/-FJPG/225023-004_DET_3.jpg</t>
  </si>
  <si>
    <t>https://dd3ka9h4chfr8.cloudfront.net/image/725136000567/image_16dkiqlb5p5thei1o45jltas75/-FJPG/225023-004_DET_4.jpg</t>
  </si>
  <si>
    <t>https://dd3ka9h4chfr8.cloudfront.net/image/725136000567/image_29669tpnat0hncaoc9hc61od37/-FJPG/225023-004_DET_5.jpg</t>
  </si>
  <si>
    <t>https://dd3ka9h4chfr8.cloudfront.net/image/725136000567/image_d2uhv2j6l12m957lkp1dvc1u1k/-FJPG/225023-004_DET_6.jpg</t>
  </si>
  <si>
    <t>Higgs Bookcase - Honey Oak Veneer</t>
  </si>
  <si>
    <t>https://dd3ka9h4chfr8.cloudfront.net/image/725136000567/image_kc5sr8418d543e0h50567dvm74/-S150x150-FJPG/225023-002_PRM_1.jpg</t>
  </si>
  <si>
    <t>https://dd3ka9h4chfr8.cloudfront.net/image/725136000567/image_kc5sr8418d543e0h50567dvm74/-FJPG/225023-002_PRM_1.jpg</t>
  </si>
  <si>
    <t>https://dd3ka9h4chfr8.cloudfront.net/image/725136000567/image_7urhirnqol1uhfee38q4ddap6u/-FJPG/225023-002_SID_1.jpg</t>
  </si>
  <si>
    <t>https://dd3ka9h4chfr8.cloudfront.net/image/725136000567/image_p7011pgdad0bbcpic2fc8ss872/-FJPG/225023-002_DET_2.jpg</t>
  </si>
  <si>
    <t>https://dd3ka9h4chfr8.cloudfront.net/image/725136000567/image_01hbrda2q16bd0qnfqat5ovi7e/-FJPG/225023-002_BCK_1.jpg</t>
  </si>
  <si>
    <t>https://dd3ka9h4chfr8.cloudfront.net/image/725136000567/image_o3a5g5k1nh7491ubtpj3rchk6t/-FJPG/225023-002_DET_1.jpg</t>
  </si>
  <si>
    <t>https://dd3ka9h4chfr8.cloudfront.net/image/725136000567/image_s1udra7irh44lf5u1486bcj212/-FJPG/225023-002_DET_3.jpg</t>
  </si>
  <si>
    <t>https://dd3ka9h4chfr8.cloudfront.net/image/725136000567/image_iufca12ko543l73bsqks0t4k1s/-FJPG/225023-002_DET_4.jpg</t>
  </si>
  <si>
    <t>https://dd3ka9h4chfr8.cloudfront.net/image/725136000567/image_k69i7no5ld6a55qslt8qa3134s/-FJPG/225023-002_DET_5.jpg</t>
  </si>
  <si>
    <t>https://dd3ka9h4chfr8.cloudfront.net/image/725136000567/image_i0b0cmichh0mj79sq30bqgmo7q/-FJPG/225023-002_DET_6.jpg</t>
  </si>
  <si>
    <t>https://dd3ka9h4chfr8.cloudfront.net/image/725136000567/image_samhdkbg996jfc1m2vnt91es2l/-FJPG/225023-002_VIG_1.jpg</t>
  </si>
  <si>
    <t>https://dd3ka9h4chfr8.cloudfront.net/image/725136000567/image_indfh2iumd3pfc027qntukaf2o/-FJPG/225023-002_ESS_2.jpg</t>
  </si>
  <si>
    <t>Hitchens Media Console - Worn Black</t>
  </si>
  <si>
    <t>https://dd3ka9h4chfr8.cloudfront.net/image/725136000567/image_qo24aqtnt95sv9d7rklq1s576l/-S150x150-FJPG/236331-001_PRM_1.jpg</t>
  </si>
  <si>
    <t>https://dd3ka9h4chfr8.cloudfront.net/image/725136000567/image_qo24aqtnt95sv9d7rklq1s576l/-FJPG/236331-001_PRM_1.jpg</t>
  </si>
  <si>
    <t>https://dd3ka9h4chfr8.cloudfront.net/image/725136000567/image_vsvj0emlpd5q9dpf413tcml52f/-FJPG/236331-001_SID_1.jpg</t>
  </si>
  <si>
    <t>https://dd3ka9h4chfr8.cloudfront.net/image/725136000567/image_b9rb96dcd96vv5hkfkph9fl41l/-FJPG/236331-001_ESS_1.jpg</t>
  </si>
  <si>
    <t>https://dd3ka9h4chfr8.cloudfront.net/image/725136000567/image_apma3d2q395s1c237e2lu7ft24/-FJPG/236331-001_DET_2.jpg</t>
  </si>
  <si>
    <t>https://dd3ka9h4chfr8.cloudfront.net/image/725136000567/image_1ch00ft8ep79faj0diluqgcs0b/-FJPG/236331-001_BCK_1.jpg</t>
  </si>
  <si>
    <t>https://dd3ka9h4chfr8.cloudfront.net/image/725136000567/image_c467qqmfr53hj9lvigvf6k5f7p/-FJPG/236331-001_DET_1.jpg</t>
  </si>
  <si>
    <t>https://dd3ka9h4chfr8.cloudfront.net/image/725136000567/image_m2divplt7558p7inlr2n7kn85c/-FJPG/236331-001_DET_3.jpg</t>
  </si>
  <si>
    <t>https://dd3ka9h4chfr8.cloudfront.net/image/725136000567/image_ftl7cspt8917l03p6l2vgvod0m/-FJPG/236331-001_OPN_1.jpg</t>
  </si>
  <si>
    <t>https://dd3ka9h4chfr8.cloudfront.net/image/725136000567/image_hhl5ahlf794nvc0ppjroga3s3q/-FJPG/236331-001_DET_4.jpg</t>
  </si>
  <si>
    <t>https://dd3ka9h4chfr8.cloudfront.net/image/725136000567/image_57ae0lnblt3f18jjnu0sths91e/-FJPG/236331-001_DET_5.jpg</t>
  </si>
  <si>
    <t>https://dd3ka9h4chfr8.cloudfront.net/image/725136000567/image_8kdbnolkkd2cp8hthtm8q4dt01/-FJPG/236331-001_DET_6.jpg</t>
  </si>
  <si>
    <t>Hudson C Table - Ashen Walnut</t>
  </si>
  <si>
    <t>https://dd3ka9h4chfr8.cloudfront.net/image/725136000567/image_2e6h798sb14upcu6re40106i31/-S150x150-FJPG/107552-004_PRM_1.jpg</t>
  </si>
  <si>
    <t>https://dd3ka9h4chfr8.cloudfront.net/image/725136000567/image_2e6h798sb14upcu6re40106i31/-FJPG/107552-004_PRM_1.jpg</t>
  </si>
  <si>
    <t>https://dd3ka9h4chfr8.cloudfront.net/image/725136000567/image_uejcc5jdlp48r0tqjpn0r0av57/-FJPG/107552-004_SID_1.jpg</t>
  </si>
  <si>
    <t>https://dd3ka9h4chfr8.cloudfront.net/image/725136000567/image_r52e7n3hsh7rb44dmj8nc7sc7c/-FJPG/107552-004_DET_2.jpg</t>
  </si>
  <si>
    <t>https://dd3ka9h4chfr8.cloudfront.net/image/725136000567/image_ptakjmb11l4tjamad5683k3o5m/-FJPG/107552-004_BCK_1.jpg</t>
  </si>
  <si>
    <t>https://dd3ka9h4chfr8.cloudfront.net/image/725136000567/image_u5trnna66d513an1ip1ro9cv5d/-FJPG/107552-004_DET_1.jpg</t>
  </si>
  <si>
    <t>https://dd3ka9h4chfr8.cloudfront.net/image/725136000567/image_hm7aj4hl455930j0mgforrp96d/-FJPG/107552-004_DET_3.jpg</t>
  </si>
  <si>
    <t>https://dd3ka9h4chfr8.cloudfront.net/image/725136000567/image_7fh8are76l5ad1aoqseqacie5s/-FJPG/107552-004_DET_5.jpg</t>
  </si>
  <si>
    <t>https://dd3ka9h4chfr8.cloudfront.net/image/725136000567/image_bg69n836m164lb3d4bapuv8a4s/-FJPG/107552-004_DET_6.jpg</t>
  </si>
  <si>
    <t>https://dd3ka9h4chfr8.cloudfront.net/image/725136000567/image_7cbe7t6adh58b8k0epvavf7r45/-FJPG/107552-004_DET_7.jpg</t>
  </si>
  <si>
    <t>Hudson C Table - Natural Yukas</t>
  </si>
  <si>
    <t>https://dd3ka9h4chfr8.cloudfront.net/image/725136000567/image_k8ng2epvd14pvb8qfo00uukv0k/-S150x150-FJPG/UWES-111A_PRM_1.jpg</t>
  </si>
  <si>
    <t>https://dd3ka9h4chfr8.cloudfront.net/image/725136000567/image_k8ng2epvd14pvb8qfo00uukv0k/-FJPG/UWES-111A_PRM_1.jpg</t>
  </si>
  <si>
    <t>https://dd3ka9h4chfr8.cloudfront.net/image/725136000567/image_2ou7ptsaad61p2utlnltp8242f/-FJPG/UWES-111A_SID_1.jpg</t>
  </si>
  <si>
    <t>https://dd3ka9h4chfr8.cloudfront.net/image/725136000567/image_51u7r0ilj93lr8ka6kn6oou66k/-FJPG/UWES-111A_DET_2.jpg</t>
  </si>
  <si>
    <t>https://dd3ka9h4chfr8.cloudfront.net/image/725136000567/image_pu8hnh63d90018utuk5bb5tv0k/-FJPG/UWES-111A_BCK_1.jpg</t>
  </si>
  <si>
    <t>https://dd3ka9h4chfr8.cloudfront.net/image/725136000567/image_uvhqncrtt91ef5f7d01ig1l41o/-FJPG/UWES-111A_DET_1.jpg</t>
  </si>
  <si>
    <t>https://dd3ka9h4chfr8.cloudfront.net/image/725136000567/image_rv9m0r3m054gd1jj8e30pfhc2v/-FJPG/UWES-111A_DET_3.jpg</t>
  </si>
  <si>
    <t>https://dd3ka9h4chfr8.cloudfront.net/image/725136000567/image_0hpfgv74o11gla2q7sjt9i4a16/-FJPG/UWES-111A_DET_4.jpg</t>
  </si>
  <si>
    <t>https://dd3ka9h4chfr8.cloudfront.net/image/725136000567/image_jq2lg54gp512la0n10u8r2nm2l/-FJPG/UWES-111A_DET_5.jpg</t>
  </si>
  <si>
    <t>Hudson C Table - Spalted Primavera</t>
  </si>
  <si>
    <t>https://dd3ka9h4chfr8.cloudfront.net/image/725136000567/image_0v8h8ecc7d2s731epekhu6e514/-S150x150-FJPG/UWES-111_PRM_1.jpg</t>
  </si>
  <si>
    <t>https://dd3ka9h4chfr8.cloudfront.net/image/725136000567/image_0v8h8ecc7d2s731epekhu6e514/-FJPG/UWES-111_PRM_1.jpg</t>
  </si>
  <si>
    <t>https://dd3ka9h4chfr8.cloudfront.net/image/725136000567/image_ukbq0sfajd131eukq7k1rtu718/-FJPG/UWES-111_SID_1.jpg</t>
  </si>
  <si>
    <t>https://dd3ka9h4chfr8.cloudfront.net/image/725136000567/image_khdi74sa1168n1iuvqvf544i5h/-FJPG/UWES-111_DET_2.jpg</t>
  </si>
  <si>
    <t>https://dd3ka9h4chfr8.cloudfront.net/image/725136000567/image_75744qg55p02teeocdq7atl45k/-FJPG/UWES-111_BCK_1.jpg</t>
  </si>
  <si>
    <t>https://dd3ka9h4chfr8.cloudfront.net/image/725136000567/image_ag54a3glil1s5fj0kl0tt3k32q/-FJPG/UWES-111_DET_1.jpg</t>
  </si>
  <si>
    <t>https://dd3ka9h4chfr8.cloudfront.net/image/725136000567/image_0c14dmp49d5ln9pui0je2mp36a/-FJPG/UWES-111_DET_3.jpg</t>
  </si>
  <si>
    <t>https://dd3ka9h4chfr8.cloudfront.net/image/725136000567/image_n6488gvj4d1ij407affis2k01k/-FJPG/UWES-111_DET_4.jpg</t>
  </si>
  <si>
    <t>https://dd3ka9h4chfr8.cloudfront.net/image/725136000567/image_m1gi51acj1353ecrlbnq381220/-FJPG/UWES-111_DET_5.jpg</t>
  </si>
  <si>
    <t>https://dd3ka9h4chfr8.cloudfront.net/image/725136000567/image_uacmk06e0t6e3fvj1rjtbtc525/-FJPG/UWES-111_ROM_1.jpg</t>
  </si>
  <si>
    <t>Hudson Large Coffee Table - Ashen Walnut</t>
  </si>
  <si>
    <t>https://dd3ka9h4chfr8.cloudfront.net/image/725136000567/image_spupq6jaj50fn0srjuunr6e703/-S150x150-FJPG/236589-003_PRM_1.jpg</t>
  </si>
  <si>
    <t>https://dd3ka9h4chfr8.cloudfront.net/image/725136000567/image_lgmumeq60t5sda9100dj2kk953/-FJPG/236589-003_ESS_1.tif</t>
  </si>
  <si>
    <t>https://dd3ka9h4chfr8.cloudfront.net/image/725136000567/image_uttq5tbnd56v9b9k1u2730fq05/-FJPG/236589-003_DET_2.jpg</t>
  </si>
  <si>
    <t>https://dd3ka9h4chfr8.cloudfront.net/image/725136000567/image_gobsgteim5531bfiqoma6feu5b/-FJPG/236589-003_DET_1.jpg</t>
  </si>
  <si>
    <t>https://dd3ka9h4chfr8.cloudfront.net/image/725136000567/image_k3dep12ii13c7bhacgc4psmd0m/-FJPG/236589-003_DET_3.jpg</t>
  </si>
  <si>
    <t>https://dd3ka9h4chfr8.cloudfront.net/image/725136000567/image_8sqk8dqhl54sjd6gsd3tqpdd3a/-FJPG/236589-003_TOP_1.jpg</t>
  </si>
  <si>
    <t>Hudson Large Coffee Table - Natural Yukas</t>
  </si>
  <si>
    <t>https://dd3ka9h4chfr8.cloudfront.net/image/725136000567/image_o9j8ks94l54s7e2063rubl5135/-S150x150-FJPG/236589-002_PRM_1.jpg</t>
  </si>
  <si>
    <t>https://dd3ka9h4chfr8.cloudfront.net/image/725136000567/image_o9j8ks94l54s7e2063rubl5135/-FJPG/236589-002_PRM_1.jpg</t>
  </si>
  <si>
    <t>https://dd3ka9h4chfr8.cloudfront.net/image/725136000567/image_a4i1vuglkl70da22cr9ivqv327/-FJPG/236589-002_ESS_1.tif</t>
  </si>
  <si>
    <t>https://dd3ka9h4chfr8.cloudfront.net/image/725136000567/image_g62173rsn16j54o42l9crk036r/-FJPG/236589-002_DET_2.jpg</t>
  </si>
  <si>
    <t>https://dd3ka9h4chfr8.cloudfront.net/image/725136000567/image_djg1jfanop0r14p9939o403m11/-FJPG/236589-002_BCK_1.jpg</t>
  </si>
  <si>
    <t>https://dd3ka9h4chfr8.cloudfront.net/image/725136000567/image_n4oggeutap6g18udk407thec0b/-FJPG/236589-002_DET_1.jpg</t>
  </si>
  <si>
    <t>https://dd3ka9h4chfr8.cloudfront.net/image/725136000567/image_6righ5gk896nd5j4df9i8t697p/-FJPG/236589-002_DET_3.jpg</t>
  </si>
  <si>
    <t>https://dd3ka9h4chfr8.cloudfront.net/image/725136000567/image_h1tjp9h91h5a7auu0790c1jq4d/-FJPG/236589-002_TOP_1.jpg</t>
  </si>
  <si>
    <t>https://dd3ka9h4chfr8.cloudfront.net/image/725136000567/image_dn73qgn08l7djd2ggan3jhsp3j/-FJPG/236589-002_DET_4.jpg</t>
  </si>
  <si>
    <t>https://dd3ka9h4chfr8.cloudfront.net/image/725136000567/image_eqj9f2ei3p5dd8ragoh1bt1h1u/-FJPG/236589-002_DET_5.jpg</t>
  </si>
  <si>
    <t>https://dd3ka9h4chfr8.cloudfront.net/image/725136000567/image_04ffa0qjsl791biriomrp85i5o/-FJPG/236589-002_DET_6.jpg</t>
  </si>
  <si>
    <t>Hudson Large Coffee Table - Spalted Primavera</t>
  </si>
  <si>
    <t>https://dd3ka9h4chfr8.cloudfront.net/image/725136000567/image_vivb4cekep7n395abj86hcsd30/-S150x150-FJPG/236589-001_PRM_1.jpg</t>
  </si>
  <si>
    <t>https://dd3ka9h4chfr8.cloudfront.net/image/725136000567/image_iek1dd6te13ed8nthiusmrgc1e/-FJPG/236589-001_ESS_1.jpg</t>
  </si>
  <si>
    <t>https://dd3ka9h4chfr8.cloudfront.net/image/725136000567/image_6e960mdh6d5572h1hfm8vf055g/-FJPG/236589-001_DET_2.jpg</t>
  </si>
  <si>
    <t>https://dd3ka9h4chfr8.cloudfront.net/image/725136000567/image_0icdka3r4d7rd6vusielrtfm5n/-FJPG/236589-001_DET_1.jpg</t>
  </si>
  <si>
    <t>https://dd3ka9h4chfr8.cloudfront.net/image/725136000567/image_u1hf2v96d95kb9b7du3bf71c2d/-FJPG/236589-001_DET_3.jpg</t>
  </si>
  <si>
    <t>https://dd3ka9h4chfr8.cloudfront.net/image/725136000567/image_vmvikg9fsh6ah2qp1cvaii5a61/-FJPG/236589-001_TOP_1.jpg</t>
  </si>
  <si>
    <t>Hudson Large Square Coffee Table - Ashen Walnut</t>
  </si>
  <si>
    <t>https://dd3ka9h4chfr8.cloudfront.net/image/725136000567/image_nl1r3jcr5d6ubcu7jav39n2h4g/-S150x150-FJPG/237678-003_PRM_1.jpg</t>
  </si>
  <si>
    <t>https://dd3ka9h4chfr8.cloudfront.net/image/725136000567/image_nl1r3jcr5d6ubcu7jav39n2h4g/-FJPG/237678-003_PRM_1.jpg</t>
  </si>
  <si>
    <t>https://dd3ka9h4chfr8.cloudfront.net/image/725136000567/image_imm4mphj7p56dcqrmjajnh0d4a/-FJPG/237678-003_SID_1.jpg</t>
  </si>
  <si>
    <t>https://dd3ka9h4chfr8.cloudfront.net/image/725136000567/image_3f54mi6uph29j1rs90echdg54c/-FJPG/237678-003_DET_2.jpg</t>
  </si>
  <si>
    <t>https://dd3ka9h4chfr8.cloudfront.net/image/725136000567/image_7469l6ulo55o115kc2maop4i2h/-FJPG/237678-003_BCK_1.jpg</t>
  </si>
  <si>
    <t>https://dd3ka9h4chfr8.cloudfront.net/image/725136000567/image_s47n9lkl3t1a30greno9qqji1u/-FJPG/237678-003_DET_1.jpg</t>
  </si>
  <si>
    <t>https://dd3ka9h4chfr8.cloudfront.net/image/725136000567/image_35cvciovqd4k98dr8got90l74i/-FJPG/237678-003_DET_3.jpg</t>
  </si>
  <si>
    <t>https://dd3ka9h4chfr8.cloudfront.net/image/725136000567/image_id00a2sdpp0o9abqe3b026b81b/-FJPG/237678-003_DET_4.jpg</t>
  </si>
  <si>
    <t>https://dd3ka9h4chfr8.cloudfront.net/image/725136000567/image_62t5bif2p510j0g3d81v5h4b3a/-FJPG/237678-003_DET_5.jpg</t>
  </si>
  <si>
    <t>https://dd3ka9h4chfr8.cloudfront.net/image/725136000567/image_tkfq1sblbt23n99a2ttjlp5o7j/-FJPG/237678-003_ESS.tif</t>
  </si>
  <si>
    <t>Hudson Large Square Coffee Table - Natural Yukas</t>
  </si>
  <si>
    <t>https://dd3ka9h4chfr8.cloudfront.net/image/725136000567/image_u3p32s1ggp19lasaqifr314d6m/-S150x150-FJPG/237678-001_PRM_1.jpg</t>
  </si>
  <si>
    <t>https://dd3ka9h4chfr8.cloudfront.net/image/725136000567/image_u3p32s1ggp19lasaqifr314d6m/-FJPG/237678-001_PRM_1.jpg</t>
  </si>
  <si>
    <t>https://dd3ka9h4chfr8.cloudfront.net/image/725136000567/image_ppjd3ed1lt5ipffev373mobe6m/-FJPG/237678-001_SID_1.jpg</t>
  </si>
  <si>
    <t>https://dd3ka9h4chfr8.cloudfront.net/image/725136000567/image_q3bvt7si8t7un00f69l8qsdh5a/-FJPG/237678-001_ESS.tif</t>
  </si>
  <si>
    <t>https://dd3ka9h4chfr8.cloudfront.net/image/725136000567/image_omam72h3h52ijbjl9p8hm9ng0u/-FJPG/237678-001_DET_2.jpg</t>
  </si>
  <si>
    <t>https://dd3ka9h4chfr8.cloudfront.net/image/725136000567/image_sjslsdo6n123tblvucrdhvkq0b/-FJPG/237678-001_BCK_1.jpg</t>
  </si>
  <si>
    <t>https://dd3ka9h4chfr8.cloudfront.net/image/725136000567/image_isqigvtjnp7657ddq5ovoro02o/-FJPG/237678-001_DET_1.jpg</t>
  </si>
  <si>
    <t>https://dd3ka9h4chfr8.cloudfront.net/image/725136000567/image_c8tl04vah126f3jtuoka0aqh58/-FJPG/237678-001_DET_3.jpg</t>
  </si>
  <si>
    <t>https://dd3ka9h4chfr8.cloudfront.net/image/725136000567/image_tjlmh6824l5fn146n0i8jcrp3n/-FJPG/237678-001_DET_4.jpg</t>
  </si>
  <si>
    <t>https://dd3ka9h4chfr8.cloudfront.net/image/725136000567/image_7oic3d1hmh2glbi40gt9p5p00b/-FJPG/237678-001_DET_5.jpg</t>
  </si>
  <si>
    <t>https://dd3ka9h4chfr8.cloudfront.net/image/725136000567/image_41ilqsgdjh4utf59smucnpoc3a/-FJPG/237678-001_DET_6.jpg</t>
  </si>
  <si>
    <t>Hudson Large Square Coffee Table - Spalted Primavera</t>
  </si>
  <si>
    <t>https://dd3ka9h4chfr8.cloudfront.net/image/725136000567/image_kopratb8cp2sj1uilf44n5572l/-S150x150-FJPG/237678-002_PRM_1.jpg</t>
  </si>
  <si>
    <t>https://dd3ka9h4chfr8.cloudfront.net/image/725136000567/image_kopratb8cp2sj1uilf44n5572l/-FJPG/237678-002_PRM_1.jpg</t>
  </si>
  <si>
    <t>https://dd3ka9h4chfr8.cloudfront.net/image/725136000567/image_r3vekddm3h7drac1jcnanpue26/-FJPG/237678-002_SID_1.jpg</t>
  </si>
  <si>
    <t>https://dd3ka9h4chfr8.cloudfront.net/image/725136000567/image_3rti5qpt454sd091sb89b0qa0p/-FJPG/237678-002_ESS.tif</t>
  </si>
  <si>
    <t>https://dd3ka9h4chfr8.cloudfront.net/image/725136000567/image_1aeolen1u921j6uq4e53eugs3b/-FJPG/237678-002_DET_2.jpg</t>
  </si>
  <si>
    <t>https://dd3ka9h4chfr8.cloudfront.net/image/725136000567/image_bu1v7thq7h1rt3qvju8mrb180u/-FJPG/237678-002_BCK_1.jpg</t>
  </si>
  <si>
    <t>https://dd3ka9h4chfr8.cloudfront.net/image/725136000567/image_t27727fd756kb71rrjd9hdqg4r/-FJPG/Color Variance Card_Hudson Spalted Primavera-01.jpg</t>
  </si>
  <si>
    <t>https://dd3ka9h4chfr8.cloudfront.net/image/725136000567/image_sbol2q07rh4d7527v9ijgjs21c/-FJPG/237678-002_DET_1.jpg</t>
  </si>
  <si>
    <t>https://dd3ka9h4chfr8.cloudfront.net/image/725136000567/image_14iccvrimh58na3glliooute16/-FJPG/237678-002_DET_3.jpg</t>
  </si>
  <si>
    <t>https://dd3ka9h4chfr8.cloudfront.net/image/725136000567/image_h0lf4muvc17bhaoqf1pbakd77b/-FJPG/237678-002_TOP_1.jpg</t>
  </si>
  <si>
    <t>https://dd3ka9h4chfr8.cloudfront.net/image/725136000567/image_k11ofpdo8p5p1dir0c80pha40h/-FJPG/237678-002_DET_4.jpg</t>
  </si>
  <si>
    <t>https://dd3ka9h4chfr8.cloudfront.net/image/725136000567/image_1gqnoelmil1o9bj6ql1pokhg1f/-FJPG/237678-002_DET_5.jpg</t>
  </si>
  <si>
    <t>Hudson Round Coffee Table - Ashen Walnut</t>
  </si>
  <si>
    <t>https://dd3ka9h4chfr8.cloudfront.net/image/725136000567/image_sldkevq0hp4730e12ri6uvt27s/-S150x150-FJPG/107550-007_PRM_1.jpg</t>
  </si>
  <si>
    <t>https://dd3ka9h4chfr8.cloudfront.net/image/725136000567/image_jkk541pc8l4kf5t3a4amgfci3f/-FJPG/107550-007_ESS_1.jpg</t>
  </si>
  <si>
    <t>https://dd3ka9h4chfr8.cloudfront.net/image/725136000567/image_02jthqul2l5bhb8uppmlq75213/-FJPG/107550-007_DET_2.jpg</t>
  </si>
  <si>
    <t>https://dd3ka9h4chfr8.cloudfront.net/image/725136000567/image_srmpeh2lo52sj4mkl3jg2rg270/-FJPG/107550-007_DET_1.jpg</t>
  </si>
  <si>
    <t>https://dd3ka9h4chfr8.cloudfront.net/image/725136000567/image_uq5f30sc117u15okbhicnnft3i/-FJPG/107550-007_DET_3.jpg</t>
  </si>
  <si>
    <t>https://dd3ka9h4chfr8.cloudfront.net/image/725136000567/image_0gnd73u6k16670ot7koljb5f5r/-FJPG/107550-007_TOP_1.jpg</t>
  </si>
  <si>
    <t>https://dd3ka9h4chfr8.cloudfront.net/image/725136000567/image_3uq3draq694rpdit38st9u4l65/-FJPG/107550-007_DET_5.jpg</t>
  </si>
  <si>
    <t>https://dd3ka9h4chfr8.cloudfront.net/image/725136000567/image_bubbj0obv50kh198tj4cnle936/-FJPG/107550-007_DET_6.jpg</t>
  </si>
  <si>
    <t>Hudson Round Coffee Table - Natural Yukas Resin</t>
  </si>
  <si>
    <t>https://dd3ka9h4chfr8.cloudfront.net/image/725136000567/image_ss678ji11d0pr1qp6ntghggs35/-S150x150-FJPG/UWES-103A_PRM_1.jpg</t>
  </si>
  <si>
    <t>https://dd3ka9h4chfr8.cloudfront.net/image/725136000567/image_68tvp9nqt13lv0acih7pe8sd75/-FJPG/UWES-103A_ESS_1.jpg</t>
  </si>
  <si>
    <t>https://dd3ka9h4chfr8.cloudfront.net/image/725136000567/image_k5e5284f6l6gn9pvidhq30tf4m/-FJPG/UWES-103A_ESS_2.jpg</t>
  </si>
  <si>
    <t>https://dd3ka9h4chfr8.cloudfront.net/image/725136000567/image_igtqbd7o192jp9bj9n9thp1754/-FJPG/UWES-103A_DET_2.jpg</t>
  </si>
  <si>
    <t>https://dd3ka9h4chfr8.cloudfront.net/image/725136000567/image_d606mqde9164lck15poe61e62a/-FJPG/UWES-103A_DET_1.jpg</t>
  </si>
  <si>
    <t>https://dd3ka9h4chfr8.cloudfront.net/image/725136000567/image_nul8nv02gh2g18qeb83sh1oq6a/-FJPG/UWES-103A_DET_3.jpg</t>
  </si>
  <si>
    <t>https://dd3ka9h4chfr8.cloudfront.net/image/725136000567/image_th9oc9s0st4377vkn9vg0tfr46/-FJPG/UWES-103A_TOP_1.jpg</t>
  </si>
  <si>
    <t>https://dd3ka9h4chfr8.cloudfront.net/image/725136000567/image_6k29vc31ol0s386atmkffndl16/-FJPG/UWES-103A_DET_4.jpg</t>
  </si>
  <si>
    <t>https://dd3ka9h4chfr8.cloudfront.net/image/725136000567/image_o6nksglkt90335qka03kfrht7v/-FJPG/UWES-103A_ROM_1.jpg</t>
  </si>
  <si>
    <t>Hudson Round Coffee Table - Spalted Primavera</t>
  </si>
  <si>
    <t>https://dd3ka9h4chfr8.cloudfront.net/image/725136000567/image_682a40cclp6dd7io7ol9dd1g6b/-S150x150-FJPG/UWES-103_PRM_1.jpg</t>
  </si>
  <si>
    <t>https://dd3ka9h4chfr8.cloudfront.net/image/725136000567/image_682a40cclp6dd7io7ol9dd1g6b/-FJPG/UWES-103_PRM_1.jpg</t>
  </si>
  <si>
    <t>https://dd3ka9h4chfr8.cloudfront.net/image/725136000567/image_1g67hlamqd00h9r6729uh7sb6l/-FJPG/UWES-103_SID_1.jpg</t>
  </si>
  <si>
    <t>https://dd3ka9h4chfr8.cloudfront.net/image/725136000567/image_tf2tlqn31p3rpdjbvtnc91gj3j/-FJPG/UWES-103_ESS_1.jpg</t>
  </si>
  <si>
    <t>https://dd3ka9h4chfr8.cloudfront.net/image/725136000567/image_thd2vbipp12k3aai5jiva3t27b/-FJPG/UWES-103_DET_2.jpg</t>
  </si>
  <si>
    <t>https://dd3ka9h4chfr8.cloudfront.net/image/725136000567/image_7ivqa0k6k92speu2metv91q62v/-FJPG/UWES-103_DET_1.jpg</t>
  </si>
  <si>
    <t>https://dd3ka9h4chfr8.cloudfront.net/image/725136000567/image_uhavasv6dt7ub8vcl49rah007t/-FJPG/UWES-103_DET_3.jpg</t>
  </si>
  <si>
    <t>https://dd3ka9h4chfr8.cloudfront.net/image/725136000567/image_un1lnr2vfd50hb4tu47lovs45e/-FJPG/UWES-103_TOP_1.jpg</t>
  </si>
  <si>
    <t>https://dd3ka9h4chfr8.cloudfront.net/image/725136000567/image_m7hho7329h4n97fats4tq1uv04/-FJPG/UWES-103_DET_4.jpg</t>
  </si>
  <si>
    <t>https://dd3ka9h4chfr8.cloudfront.net/image/725136000567/image_l1ctfd512p42nbtav4je6e2q61/-FJPG/UWES-103_ROM_1.jpg</t>
  </si>
  <si>
    <t>https://dd3ka9h4chfr8.cloudfront.net/image/725136000567/image_0qsj2oj73d26berrgpqfnues0k/-FJPG/UWES-103_ROM_2.jpg</t>
  </si>
  <si>
    <t>Hudson Round End Table - Ashen Walnut</t>
  </si>
  <si>
    <t>https://dd3ka9h4chfr8.cloudfront.net/image/725136000567/image_n48n39t6h12gb3pbkbts8k1v6h/-S150x150-FJPG/107578-003_PRM_1.jpg</t>
  </si>
  <si>
    <t>https://dd3ka9h4chfr8.cloudfront.net/image/725136000567/image_bh4ga81qs5635e99nlce5ls72g/-FJPG/107578-003_ESS_1.jpg</t>
  </si>
  <si>
    <t>https://dd3ka9h4chfr8.cloudfront.net/image/725136000567/image_grhp74itgt6mndo5g58efe7b38/-FJPG/107578-003_DET_2.jpg</t>
  </si>
  <si>
    <t>https://dd3ka9h4chfr8.cloudfront.net/image/725136000567/image_3mf7nma9hd18760sibu9rck325/-FJPG/107578-003_DET_1.jpg</t>
  </si>
  <si>
    <t>https://dd3ka9h4chfr8.cloudfront.net/image/725136000567/image_38779gkre54mra8rt04cbskl0j/-FJPG/107578-003_TOP_1.jpg</t>
  </si>
  <si>
    <t>https://dd3ka9h4chfr8.cloudfront.net/image/725136000567/image_ghfjlljsjl7a17ecsbaje0lp1p/-FJPG/107578-003_DET_4.jpg</t>
  </si>
  <si>
    <t>https://dd3ka9h4chfr8.cloudfront.net/image/725136000567/image_b8m3ad89ld5a1b2h58ii3tn84p/-FJPG/107578-003_DET_5.jpg</t>
  </si>
  <si>
    <t>https://dd3ka9h4chfr8.cloudfront.net/image/725136000567/image_8l2kcb0r710ohe3k8ml4aec66p/-FJPG/107578-003_DET_6.jpg</t>
  </si>
  <si>
    <t>https://dd3ka9h4chfr8.cloudfront.net/image/725136000567/image_mfjrpq4ncd6g34qsuqdmehcd0f/-FJPG/107578-003_VIG_1.jpg</t>
  </si>
  <si>
    <t>Hudson Round End Table - Natural Yukas Resin</t>
  </si>
  <si>
    <t>https://dd3ka9h4chfr8.cloudfront.net/image/725136000567/image_8bie4kgb353v1fnabmiabrg03u/-S150x150-FJPG/UWES-201A_PRM_1.jpg</t>
  </si>
  <si>
    <t>https://dd3ka9h4chfr8.cloudfront.net/image/725136000567/image_6oqrsossal10h1eom28gvvuv3r/-FJPG/UWES-201A_DET_2.jpg</t>
  </si>
  <si>
    <t>https://dd3ka9h4chfr8.cloudfront.net/image/725136000567/image_2r41qa2dvt28585akg0hrgt75a/-FJPG/UWES-201A_DET_1.jpg</t>
  </si>
  <si>
    <t>https://dd3ka9h4chfr8.cloudfront.net/image/725136000567/image_c4j8ig615t7hd7gmj7qhldb420/-FJPG/UWES-201A_DET_3.jpg</t>
  </si>
  <si>
    <t>https://dd3ka9h4chfr8.cloudfront.net/image/725136000567/image_m326elj1693vb4n6fd7unk110q/-FJPG/UWES-201A_DET_4.jpg</t>
  </si>
  <si>
    <t>Hudson Round End Table - Spalted Primavera</t>
  </si>
  <si>
    <t>https://dd3ka9h4chfr8.cloudfront.net/image/725136000567/image_b89fuhl3kd19lemd8cc80pqj5s/-S150x150-FJPG/UWES-201_PRM_1.jpg</t>
  </si>
  <si>
    <t>https://dd3ka9h4chfr8.cloudfront.net/image/725136000567/image_b89fuhl3kd19lemd8cc80pqj5s/-FJPG/UWES-201_PRM_1.jpg</t>
  </si>
  <si>
    <t>https://dd3ka9h4chfr8.cloudfront.net/image/725136000567/image_geesdla0k56bnejh3mbsrb2q21/-FJPG/UWES-201_DET_2.jpg</t>
  </si>
  <si>
    <t>https://dd3ka9h4chfr8.cloudfront.net/image/725136000567/image_ga68rafhqp4195smdv64htl84c/-FJPG/UWES-201_DET_1.jpg</t>
  </si>
  <si>
    <t>https://dd3ka9h4chfr8.cloudfront.net/image/725136000567/image_r4r8n0lc9t2qrfnuai1122ev3o/-FJPG/UWES-201_DET_3.jpg</t>
  </si>
  <si>
    <t>https://dd3ka9h4chfr8.cloudfront.net/image/725136000567/image_pllrb65sd91j12tigdsm29ja6p/-FJPG/UWES-201_TOP_1.jpg</t>
  </si>
  <si>
    <t>https://dd3ka9h4chfr8.cloudfront.net/image/725136000567/image_v5c4nossld67n73505d6iqlu5h/-FJPG/UWES-201_DET_4.jpg</t>
  </si>
  <si>
    <t>https://dd3ka9h4chfr8.cloudfront.net/image/725136000567/image_tnvk6t8a8h5vpbupt073q1ep3f/-FJPG/UWES-201_DET_8.jpg</t>
  </si>
  <si>
    <t>https://dd3ka9h4chfr8.cloudfront.net/image/725136000567/image_0e957qc62h6695oiktq5r1gh7f/-FJPG/UWES-201_ROM_1.jpg</t>
  </si>
  <si>
    <t>Hudson Square Coffee Table - Ashen Walnut</t>
  </si>
  <si>
    <t>https://dd3ka9h4chfr8.cloudfront.net/image/725136000567/image_aroeuuj92p6l70102d7ff1a60h/-S150x150-FJPG/107581-003_PRM_1.jpg</t>
  </si>
  <si>
    <t>https://dd3ka9h4chfr8.cloudfront.net/image/725136000567/image_aroeuuj92p6l70102d7ff1a60h/-FJPG/107581-003_PRM_1.jpg</t>
  </si>
  <si>
    <t>https://dd3ka9h4chfr8.cloudfront.net/image/725136000567/image_ji0b3ttr011650chdee1vm566s/-FJPG/107581-003_ESS_1.jpg</t>
  </si>
  <si>
    <t>https://dd3ka9h4chfr8.cloudfront.net/image/725136000567/image_5974moqk5p2ub4olpsppf15p5k/-FJPG/107581-003_DET_2.jpg</t>
  </si>
  <si>
    <t>https://dd3ka9h4chfr8.cloudfront.net/image/725136000567/image_iroc71e0lt0i3bfd1l5mtit84g/-FJPG/107581-003_DET_1.jpg</t>
  </si>
  <si>
    <t>https://dd3ka9h4chfr8.cloudfront.net/image/725136000567/image_dvl16s1n615cr039ph0la7871t/-FJPG/107581-003_DET_3.jpg</t>
  </si>
  <si>
    <t>https://dd3ka9h4chfr8.cloudfront.net/image/725136000567/image_81dt7s30ih4qtaeb0btgur7c7p/-FJPG/107581-003_TOP_1.jpg</t>
  </si>
  <si>
    <t>https://dd3ka9h4chfr8.cloudfront.net/image/725136000567/image_gstbq0b59p7lhetap39gj41v5r/-FJPG/107581-003_DET_5.jpg</t>
  </si>
  <si>
    <t>https://dd3ka9h4chfr8.cloudfront.net/image/725136000567/image_fifsrg8ndd7hhc6b91h7cpoi72/-FJPG/107581-003_DET_6.jpg</t>
  </si>
  <si>
    <t>Hudson Square Coffee Table - Natural Yukas Resin</t>
  </si>
  <si>
    <t>https://dd3ka9h4chfr8.cloudfront.net/image/725136000567/image_c16n2gme397tf19dg0cpela42u/-S150x150-FJPG/UWES-214A_PRM_1.jpg</t>
  </si>
  <si>
    <t>https://dd3ka9h4chfr8.cloudfront.net/image/725136000567/image_c16n2gme397tf19dg0cpela42u/-FJPG/UWES-214A_PRM_1.jpg</t>
  </si>
  <si>
    <t>https://dd3ka9h4chfr8.cloudfront.net/image/725136000567/image_qngo07uoc907v7vm8snsotdt4h/-FJPG/UWES-214A_DET_2.jpg</t>
  </si>
  <si>
    <t>https://dd3ka9h4chfr8.cloudfront.net/image/725136000567/image_2v8bbd37lp33h0saabfsv3181b/-FJPG/UWES-214A_DET_1.jpg</t>
  </si>
  <si>
    <t>https://dd3ka9h4chfr8.cloudfront.net/image/725136000567/image_uptlnbpu5d54lf932nb2v2lf0b/-FJPG/UWES-214A_DET_3.jpg</t>
  </si>
  <si>
    <t>https://dd3ka9h4chfr8.cloudfront.net/image/725136000567/image_20msrt8adh073dkkpinepjrf71/-FJPG/UWES-214A_TOP_1.jpg</t>
  </si>
  <si>
    <t>https://dd3ka9h4chfr8.cloudfront.net/image/725136000567/image_mqjj1jocch1qt94lplcb8fpj3u/-FJPG/UWES-214A_DET_4.jpg</t>
  </si>
  <si>
    <t>https://dd3ka9h4chfr8.cloudfront.net/image/725136000567/image_660srf2hcl3337t3v47aq55t3c/-FJPG/UWES-214A_DET_5.jpg</t>
  </si>
  <si>
    <t>Hudson Square Coffee Table - Spalted Primavera</t>
  </si>
  <si>
    <t>https://dd3ka9h4chfr8.cloudfront.net/image/725136000567/image_73qo5e71n94bt8p7k7l44q4m0s/-S150x150-FJPG/UWES-214_PRM_1.jpg</t>
  </si>
  <si>
    <t>https://dd3ka9h4chfr8.cloudfront.net/image/725136000567/image_73qo5e71n94bt8p7k7l44q4m0s/-FJPG/UWES-214_PRM_1.jpg</t>
  </si>
  <si>
    <t>https://dd3ka9h4chfr8.cloudfront.net/image/725136000567/image_dcrihkqkdd6hn45bf76005085r/-FJPG/UWES-214_DET_2.jpg</t>
  </si>
  <si>
    <t>https://dd3ka9h4chfr8.cloudfront.net/image/725136000567/image_a14tlku76l2956cs0jnqbcua56/-FJPG/UWES-214_DET_1.jpg</t>
  </si>
  <si>
    <t>https://dd3ka9h4chfr8.cloudfront.net/image/725136000567/image_1ule14k2qh5ud0khpqp0j6cr4o/-FJPG/UWES-214_DET_3.jpg</t>
  </si>
  <si>
    <t>https://dd3ka9h4chfr8.cloudfront.net/image/725136000567/image_a8iimsk3tl6ar0cl9chrt4at2j/-FJPG/UWES-214_TOP_1.jpg</t>
  </si>
  <si>
    <t>https://dd3ka9h4chfr8.cloudfront.net/image/725136000567/image_nfngho23dh7ur49v671sp6sv5m/-FJPG/UWES-214_DET_4.jpg</t>
  </si>
  <si>
    <t>https://dd3ka9h4chfr8.cloudfront.net/image/725136000567/image_7r2r9376717lb2ofnubqbm886l/-FJPG/UWES-214_DET_5.jpg</t>
  </si>
  <si>
    <t>https://dd3ka9h4chfr8.cloudfront.net/image/725136000567/image_jh46dedabd7br8k4g34jpnjb06/-FJPG/UWES-214_DET_6.jpg</t>
  </si>
  <si>
    <t>https://dd3ka9h4chfr8.cloudfront.net/image/725136000567/image_j2mbfnnsh55c9foqn2q920q957/-FJPG/UWES-214_ROM_1.jpg</t>
  </si>
  <si>
    <t>Huxley Coffee Table - Rubbed Light Oak Veneer</t>
  </si>
  <si>
    <t>https://dd3ka9h4chfr8.cloudfront.net/image/725136000567/image_m0g1m6ln1p4c32818i9vf9jm50/-S150x150-FJPG/241301-002_PRM_1.jpg</t>
  </si>
  <si>
    <t>https://dd3ka9h4chfr8.cloudfront.net/image/725136000567/image_m0g1m6ln1p4c32818i9vf9jm50/-FJPG/241301-002_PRM_1.jpg</t>
  </si>
  <si>
    <t>https://dd3ka9h4chfr8.cloudfront.net/image/725136000567/image_baojs9f42h7dlcouqmubeu1o5f/-FJPG/241301-002_SID_1.jpg</t>
  </si>
  <si>
    <t>https://dd3ka9h4chfr8.cloudfront.net/image/725136000567/image_hcagtc90h14p54277tpnmjsb14/-FJPG/241301-002_DET_2.jpg</t>
  </si>
  <si>
    <t>https://dd3ka9h4chfr8.cloudfront.net/image/725136000567/image_5fve1dddg57kpfvk5dvg9v8h22/-FJPG/241301-002_DET_1.jpg</t>
  </si>
  <si>
    <t>https://dd3ka9h4chfr8.cloudfront.net/image/725136000567/image_lti4u29vqh2qnfuhr43v4fc963/-FJPG/241301-002_DET_3.jpg</t>
  </si>
  <si>
    <t>https://dd3ka9h4chfr8.cloudfront.net/image/725136000567/image_k549dtia090ld6gph1toqh421r/-FJPG/241301-002_TOP_1.jpg</t>
  </si>
  <si>
    <t>https://dd3ka9h4chfr8.cloudfront.net/image/725136000567/image_sfj2u9v2i53tvbtum5j90joc6s/-FJPG/241301-002_DET_4.jpg</t>
  </si>
  <si>
    <t>https://dd3ka9h4chfr8.cloudfront.net/image/725136000567/image_dn9u69gdtt3d3emrne006tv216/-FJPG/241301-002_DET_5.jpg</t>
  </si>
  <si>
    <t>Huxley Dining Table - Rubbed Light Oak Veneer</t>
  </si>
  <si>
    <t>https://dd3ka9h4chfr8.cloudfront.net/image/725136000567/image_q5878ggqr537h749qrsftlc13c/-S150x150-FJPG/241886-002_PRM_1.jpg</t>
  </si>
  <si>
    <t>https://dd3ka9h4chfr8.cloudfront.net/image/725136000567/image_q5878ggqr537h749qrsftlc13c/-FJPG/241886-002_PRM_1.jpg</t>
  </si>
  <si>
    <t>https://dd3ka9h4chfr8.cloudfront.net/image/725136000567/image_h8th1u9n391p1713t0enctd848/-FJPG/241886-002_SID_1.jpg</t>
  </si>
  <si>
    <t>https://dd3ka9h4chfr8.cloudfront.net/image/725136000567/image_b8pimpqkgh61j4a14vdgv8f642/-FJPG/241886-002_DET_2.jpg</t>
  </si>
  <si>
    <t>https://dd3ka9h4chfr8.cloudfront.net/image/725136000567/image_7sft4451n91ft1he8mjc3i556p/-FJPG/241886-002_DET_1.jpg</t>
  </si>
  <si>
    <t>https://dd3ka9h4chfr8.cloudfront.net/image/725136000567/image_pefg75g3jl15p7t5bls652d05i/-FJPG/241886-002_DET_3.jpg</t>
  </si>
  <si>
    <t>https://dd3ka9h4chfr8.cloudfront.net/image/725136000567/image_3ulg0ibngp0397kd0nue1ojb2v/-FJPG/241886-002_TOP_1.jpg</t>
  </si>
  <si>
    <t>https://dd3ka9h4chfr8.cloudfront.net/image/725136000567/image_k5r5pd77j12qla5nlfrted645s/-FJPG/241886-002_DET_4.jpg</t>
  </si>
  <si>
    <t>https://dd3ka9h4chfr8.cloudfront.net/image/725136000567/image_3r2nrg7u7927h1tg55asf3k04n/-FJPG/241886-002_DET_5.jpg</t>
  </si>
  <si>
    <t>Ilana Cabinet - Burnished Mindi</t>
  </si>
  <si>
    <t>Solid Mindi</t>
  </si>
  <si>
    <t>https://dd3ka9h4chfr8.cloudfront.net/image/725136000567/image_i7c0d6ulf11d16rgfa83n77j34/-S150x150-FJPG/226718-001_PRM_1.jpg</t>
  </si>
  <si>
    <t>https://dd3ka9h4chfr8.cloudfront.net/image/725136000567/image_i7c0d6ulf11d16rgfa83n77j34/-FJPG/226718-001_PRM_1.jpg</t>
  </si>
  <si>
    <t>https://dd3ka9h4chfr8.cloudfront.net/image/725136000567/image_s2fus071gd7brd0b14pk8duc5v/-FJPG/226718-001_SID_1.jpg</t>
  </si>
  <si>
    <t>https://dd3ka9h4chfr8.cloudfront.net/image/725136000567/image_mblrntluh96ir18i8mdg4as37l/-FJPG/226718-001_ESS_1.jpg</t>
  </si>
  <si>
    <t>https://dd3ka9h4chfr8.cloudfront.net/image/725136000567/image_glbpted1nt1l959mru1ciuhm0d/-FJPG/226718-001_DET_2.jpg</t>
  </si>
  <si>
    <t>https://dd3ka9h4chfr8.cloudfront.net/image/725136000567/image_hhoi4nqr3l0d380fuqforco101/-FJPG/226718-001_BCK_1.jpg</t>
  </si>
  <si>
    <t>https://dd3ka9h4chfr8.cloudfront.net/image/725136000567/image_elof740d3t1hd0u6clshi41h63/-FJPG/226718-001_DET_1.jpg</t>
  </si>
  <si>
    <t>https://dd3ka9h4chfr8.cloudfront.net/image/725136000567/image_99grh1lmh50h33ijsinf2g1c5u/-FJPG/226718-001_DET_3.jpg</t>
  </si>
  <si>
    <t>https://dd3ka9h4chfr8.cloudfront.net/image/725136000567/image_k9lj4jvc3p27l2gpumhsifpq2m/-FJPG/226718-001_OPN_1.jpg</t>
  </si>
  <si>
    <t>https://dd3ka9h4chfr8.cloudfront.net/image/725136000567/image_59gi90b6555e56f0nuhjog031s/-FJPG/226718-001_DET_4.jpg</t>
  </si>
  <si>
    <t>https://dd3ka9h4chfr8.cloudfront.net/image/725136000567/image_46creed5v1671539sm6c6am538/-FJPG/226718-001_DET_5.jpg</t>
  </si>
  <si>
    <t>https://dd3ka9h4chfr8.cloudfront.net/image/725136000567/image_i9add3a6092cl62kag18iq4i1g/-FJPG/226718-001_DET_6.jpg</t>
  </si>
  <si>
    <t>https://dd3ka9h4chfr8.cloudfront.net/image/725136000567/image_qsudnj6ek55vt05sk4ep407b57/-FJPG/226718-001_DET_7.jpg</t>
  </si>
  <si>
    <t>https://dd3ka9h4chfr8.cloudfront.net/image/725136000567/image_ocm7j468ql79tauncpk3vsp71p/-FJPG/226718-001_ESS_2.jpg</t>
  </si>
  <si>
    <t>Inez End Table - Black Pine</t>
  </si>
  <si>
    <t>https://dd3ka9h4chfr8.cloudfront.net/image/725136000567/image_ac65mt2ckp7vlcptim72sjam2p/-S150x150-FJPG/100091-002_PRM_1.JPG</t>
  </si>
  <si>
    <t>https://dd3ka9h4chfr8.cloudfront.net/image/725136000567/image_fv7ppnm8a940j32eanhscutq2a/-FJPG/100091-002_ESS.tif</t>
  </si>
  <si>
    <t>https://dd3ka9h4chfr8.cloudfront.net/image/725136000567/image_9674utk32t4hd535qi9itige45/-FJPG/100091-002_DET_2.JPG</t>
  </si>
  <si>
    <t>https://dd3ka9h4chfr8.cloudfront.net/image/725136000567/image_g3i6jr1nbt7vd6qm16706rfl47/-FJPG/100091-002_DET_1.JPG</t>
  </si>
  <si>
    <t>https://dd3ka9h4chfr8.cloudfront.net/image/725136000567/image_k8r74atvsp0m1ftu3pa1aq5q09/-FJPG/100091-002_DET_3.JPG</t>
  </si>
  <si>
    <t>https://dd3ka9h4chfr8.cloudfront.net/image/725136000567/image_d6tltlhg8t5310j8aug1pkp42d/-FJPG/100091-002_DET_9.tif</t>
  </si>
  <si>
    <t>https://dd3ka9h4chfr8.cloudfront.net/image/725136000567/image_aptgd4akal44f55j82o2h94j5p/-FJPG/100091-002_VIG_1.jpg</t>
  </si>
  <si>
    <t>Inez End Table - Natural Pine</t>
  </si>
  <si>
    <t>https://dd3ka9h4chfr8.cloudfront.net/image/725136000567/image_d7ioi49q3p6ubau0rvl2f23q5s/-S150x150-FJPG/100091-003_PRM_1.jpg</t>
  </si>
  <si>
    <t>https://dd3ka9h4chfr8.cloudfront.net/image/725136000567/image_nh5at54tkl23jf72oh8d4tco0m/-FJPG/100091-003_DET_2.jpg</t>
  </si>
  <si>
    <t>https://dd3ka9h4chfr8.cloudfront.net/image/725136000567/image_4b9e526stl2jv186m693v08i7k/-FJPG/100091-003_DET_1.jpg</t>
  </si>
  <si>
    <t>https://dd3ka9h4chfr8.cloudfront.net/image/725136000567/image_b19o8kt2jp18d3f9pue7ajj702/-FJPG/100091-003_DET_3.jpg</t>
  </si>
  <si>
    <t>https://dd3ka9h4chfr8.cloudfront.net/image/725136000567/image_irv48nkgbd71980dqflvtel90s/-FJPG/100091-003_TOP_1.jpg</t>
  </si>
  <si>
    <t>https://dd3ka9h4chfr8.cloudfront.net/image/725136000567/image_ept11mbsfh4n74p91rsk8qt525/-FJPG/100091-003_DET_4.jpg</t>
  </si>
  <si>
    <t>https://dd3ka9h4chfr8.cloudfront.net/image/725136000567/image_nlinnu0qdd78n8t5qfj3ocjg2e/-FJPG/100091-003_DET_5.jpg</t>
  </si>
  <si>
    <t>https://dd3ka9h4chfr8.cloudfront.net/image/725136000567/image_eq8edvq1d514959vkto9k9994i/-FJPG/100091-003_DET_6.jpg</t>
  </si>
  <si>
    <t>https://dd3ka9h4chfr8.cloudfront.net/image/725136000567/image_84o75t4i1d4lb958sfrl5tg20u/-FJPG/100091-003_DET_7.jpg</t>
  </si>
  <si>
    <t>https://dd3ka9h4chfr8.cloudfront.net/image/725136000567/image_93kkv54s1t4b77en1e0jmagp0p/-FJPG/100091-003_DET_8.jpg</t>
  </si>
  <si>
    <t>https://dd3ka9h4chfr8.cloudfront.net/image/725136000567/image_4uumir1phh265dudaigqgh9k54/-FJPG/100091-003_DET_9.jpg</t>
  </si>
  <si>
    <t>https://dd3ka9h4chfr8.cloudfront.net/image/725136000567/image_hpc1l35aep7utdr49frl2bla31/-FJPG/100091-003_ROM_1.jpg</t>
  </si>
  <si>
    <t>https://dd3ka9h4chfr8.cloudfront.net/image/725136000567/image_nqpnsbh8td7u10np77vmj8kb7f/-FJPG/100091-003_ROM_2.jpg</t>
  </si>
  <si>
    <t>https://dd3ka9h4chfr8.cloudfront.net/image/725136000567/image_8221s28de157h9nbnvragm5d2a/-FJPG/100091-003_VIG_1.jpg</t>
  </si>
  <si>
    <t>Inwood Bed - Merino Porcelain</t>
  </si>
  <si>
    <t>https://dd3ka9h4chfr8.cloudfront.net/image/725136000567/image_14dk4t6es13pj7n81bpr6i9f2b/-S150x150-FJPG/109378-005_PRM_1.jpg</t>
  </si>
  <si>
    <t>https://dd3ka9h4chfr8.cloudfront.net/image/725136000567/image_14dk4t6es13pj7n81bpr6i9f2b/-FJPG/109378-005_PRM_1.jpg</t>
  </si>
  <si>
    <t>https://dd3ka9h4chfr8.cloudfront.net/image/725136000567/image_kdsrdbg6216u3ag8ice5t8i80t/-FJPG/109378-005_SID_1.jpg</t>
  </si>
  <si>
    <t>https://dd3ka9h4chfr8.cloudfront.net/image/725136000567/image_k32jrlqdmp6cp1kr0qjar0vi1o/-FJPG/109378-005_ESS_1.jpg</t>
  </si>
  <si>
    <t>https://dd3ka9h4chfr8.cloudfront.net/image/725136000567/image_it92d72o0l0b93jrokjnbr1v69/-FJPG/109378-006_ESS_1.jpg</t>
  </si>
  <si>
    <t>https://dd3ka9h4chfr8.cloudfront.net/image/725136000567/image_9kqvmjhs514apedkav110v6u2t/-FJPG/109378-005_DET_2.jpg</t>
  </si>
  <si>
    <t>https://dd3ka9h4chfr8.cloudfront.net/image/725136000567/image_vdf9ubgqm53f16gusima7oam2m/-FJPG/109378-005_BCK_1.jpg</t>
  </si>
  <si>
    <t>https://dd3ka9h4chfr8.cloudfront.net/image/725136000567/image_6b5orpu95534776rsiap7n541a/-FJPG/109378-005_INF_1.jpg</t>
  </si>
  <si>
    <t>https://dd3ka9h4chfr8.cloudfront.net/image/725136000567/image_sf7a2uv43d541aqj2dmon9oh68/-FJPG/109378-005_DET_1.jpg</t>
  </si>
  <si>
    <t>https://dd3ka9h4chfr8.cloudfront.net/image/725136000567/image_tondsdd9cp5gta5vrq4vv2fa23/-FJPG/109378-005_DET_3.jpg</t>
  </si>
  <si>
    <t>https://dd3ka9h4chfr8.cloudfront.net/image/725136000567/image_at241ih0jl56b83ebik4osd82k/-FJPG/109378-005_DET_4.jpg</t>
  </si>
  <si>
    <t>https://dd3ka9h4chfr8.cloudfront.net/image/725136000567/image_s7esfavkl13ir0geh8o5m5ft16/-FJPG/109378-005_DET_5.jpg</t>
  </si>
  <si>
    <t>https://dd3ka9h4chfr8.cloudfront.net/image/725136000567/image_m22fhv579h4efbv63013s5qe0u/-FJPG/109378-005_DET_6.jpg</t>
  </si>
  <si>
    <t>https://dd3ka9h4chfr8.cloudfront.net/image/725136000567/image_5qglkdhrhl6q304fbo39kf1m7a/-FJPG/109378-005_DET_7.jpg</t>
  </si>
  <si>
    <t>https://dd3ka9h4chfr8.cloudfront.net/image/725136000567/image_6fpgmrgth96kd88t6q0tm15m7v/-FJPG/109378-005_DET_8.jpg</t>
  </si>
  <si>
    <t>https://dd3ka9h4chfr8.cloudfront.net/image/725136000567/image_o75c6gefht6r736hp9u5ks3p0i/-FJPG/109378-005_PRM_2.jpg</t>
  </si>
  <si>
    <t>https://dd3ka9h4chfr8.cloudfront.net/image/725136000567/image_imt934aj8p03ddplvjddtvpe6q/-FJPG/109378-005_SID_2.jpg</t>
  </si>
  <si>
    <t>https://dd3ka9h4chfr8.cloudfront.net/image/725136000567/image_dp0hj8dne979t9ae34hvr3i75e/-S150x150-FJPG/109378-006_PRM_1.jpg</t>
  </si>
  <si>
    <t>https://dd3ka9h4chfr8.cloudfront.net/image/725136000567/image_dp0hj8dne979t9ae34hvr3i75e/-FJPG/109378-006_PRM_1.jpg</t>
  </si>
  <si>
    <t>https://dd3ka9h4chfr8.cloudfront.net/image/725136000567/image_idn55hgm1940l0slmq534rt10q/-FJPG/109378-006_SID_1.jpg</t>
  </si>
  <si>
    <t>https://dd3ka9h4chfr8.cloudfront.net/image/725136000567/image_tk1lpqahf93j5e5m7bi8vt8t64/-FJPG/109378-006_DET_2.jpg</t>
  </si>
  <si>
    <t>https://dd3ka9h4chfr8.cloudfront.net/image/725136000567/image_h5h8tkshp16j7ej3v4d4vuc511/-FJPG/109378-006_BCK_1.jpg</t>
  </si>
  <si>
    <t>https://dd3ka9h4chfr8.cloudfront.net/image/725136000567/image_hdc7amd3d919ba79c6g4nsp130/-FJPG/109378-006_INF_1.jpg</t>
  </si>
  <si>
    <t>https://dd3ka9h4chfr8.cloudfront.net/image/725136000567/image_1ah6lpt8ud1plbnbehveug5b3h/-FJPG/109378-006_DET_1.jpg</t>
  </si>
  <si>
    <t>https://dd3ka9h4chfr8.cloudfront.net/image/725136000567/image_f27m9uf4ql2tj0acgodq84fe2b/-FJPG/109378-006_DET_3.jpg</t>
  </si>
  <si>
    <t>https://dd3ka9h4chfr8.cloudfront.net/image/725136000567/image_uauhn7s2ad5qjbnj6opvknn50r/-FJPG/109378-006_DET_4.jpg</t>
  </si>
  <si>
    <t>https://dd3ka9h4chfr8.cloudfront.net/image/725136000567/image_kdv3rgsgqd7s5erdaa090dnm0j/-FJPG/109378-006_DET_5.jpg</t>
  </si>
  <si>
    <t>https://dd3ka9h4chfr8.cloudfront.net/image/725136000567/image_u6saiqtdhd5jv86da9laeck04p/-FJPG/109378-006_DET_6.jpg</t>
  </si>
  <si>
    <t>https://dd3ka9h4chfr8.cloudfront.net/image/725136000567/image_1as0rgvvsd4et4ofoaadp81t0f/-FJPG/109378-006_DET_7.jpg</t>
  </si>
  <si>
    <t>https://dd3ka9h4chfr8.cloudfront.net/image/725136000567/image_eo7vkf02395ip537vda660il18/-FJPG/109378-006_DET_8.jpg</t>
  </si>
  <si>
    <t>Inwood Bed - Surrey Cocoa</t>
  </si>
  <si>
    <t>https://dd3ka9h4chfr8.cloudfront.net/image/725136000567/image_j0kqgojrvd7qffqrq479k4v66m/-S150x150-FJPG/109378-009_PRM_1.jpg</t>
  </si>
  <si>
    <t>https://dd3ka9h4chfr8.cloudfront.net/image/725136000567/image_j0kqgojrvd7qffqrq479k4v66m/-FJPG/109378-009_PRM_1.jpg</t>
  </si>
  <si>
    <t>https://dd3ka9h4chfr8.cloudfront.net/image/725136000567/image_8l8gec60it3ad35acqqc2lt75a/-FJPG/109378-009_SID_1.jpg</t>
  </si>
  <si>
    <t>https://dd3ka9h4chfr8.cloudfront.net/image/725136000567/image_3tv866rh95531fmg15frsabn7i/-FJPG/109378-009_ESS.tif</t>
  </si>
  <si>
    <t>https://dd3ka9h4chfr8.cloudfront.net/image/725136000567/image_o9ls3uv6d148v9ic096v90gh1k/-FJPG/109378-009_DET_2.jpg</t>
  </si>
  <si>
    <t>https://dd3ka9h4chfr8.cloudfront.net/image/725136000567/image_ndvt9hvl8d2879rql13jltse29/-FJPG/109378-009_BCK_1.jpg</t>
  </si>
  <si>
    <t>https://dd3ka9h4chfr8.cloudfront.net/image/725136000567/image_kq0tuq9d8t0erf83bt26sdhj63/-FJPG/109378-009_DET_1.jpg</t>
  </si>
  <si>
    <t>https://dd3ka9h4chfr8.cloudfront.net/image/725136000567/image_rhe17ksq9d6jlami8e4jub1a4j/-FJPG/109378-009_DET_3.jpg</t>
  </si>
  <si>
    <t>https://dd3ka9h4chfr8.cloudfront.net/image/725136000567/image_kiirt1fa2911974802vibqo30g/-FJPG/109378-009_DET_4.jpg</t>
  </si>
  <si>
    <t>https://dd3ka9h4chfr8.cloudfront.net/image/725136000567/image_ns9d9bhqkh3up90ufh2588c259/-FJPG/109378-009_DET_5.jpg</t>
  </si>
  <si>
    <t>https://dd3ka9h4chfr8.cloudfront.net/image/725136000567/image_cklgmgfgnh5j19vifh6q3acp3t/-FJPG/109378-009_DET_6.jpg</t>
  </si>
  <si>
    <t>https://dd3ka9h4chfr8.cloudfront.net/image/725136000567/image_ltm9c6s0nt2o1aipr2ihrviv3l/-FJPG/109378-009_DET_7.jpg</t>
  </si>
  <si>
    <t>https://dd3ka9h4chfr8.cloudfront.net/image/725136000567/image_gn8nn63jmt7od7nrvgttsikg52/-FJPG/109378-009_PRM_2.jpg</t>
  </si>
  <si>
    <t>https://dd3ka9h4chfr8.cloudfront.net/image/725136000567/image_n8nrltjgf15470b1me7od3a349/-FJPG/109378-009_FRT_2.jpg</t>
  </si>
  <si>
    <t>https://dd3ka9h4chfr8.cloudfront.net/image/725136000567/image_l5r56shgmt6734stv1294goq54/-FJPG/109378-009_SID_2.jpg</t>
  </si>
  <si>
    <t>https://dd3ka9h4chfr8.cloudfront.net/image/725136000567/image_terlminhol3nb83f2ggidr8a4i/-S150x150-FJPG/109378-010_PRM_1.jpg</t>
  </si>
  <si>
    <t>https://dd3ka9h4chfr8.cloudfront.net/image/725136000567/image_terlminhol3nb83f2ggidr8a4i/-FJPG/109378-010_PRM_1.jpg</t>
  </si>
  <si>
    <t>https://dd3ka9h4chfr8.cloudfront.net/image/725136000567/image_345movn9l500r3b9hp0f944e6t/-FJPG/109378-010_SID_1.jpg</t>
  </si>
  <si>
    <t>https://dd3ka9h4chfr8.cloudfront.net/image/725136000567/image_jfg4e08sm12hp0hu5tc2l4da2c/-FJPG/109378-010_DET_2.jpg</t>
  </si>
  <si>
    <t>https://dd3ka9h4chfr8.cloudfront.net/image/725136000567/image_ldkk6t09at7pba1r0icsu1431b/-FJPG/109378-010_BCK_1.jpg</t>
  </si>
  <si>
    <t>https://dd3ka9h4chfr8.cloudfront.net/image/725136000567/image_qggmb7vgl11874orpdih43e17v/-FJPG/109378-010_DET_1.jpg</t>
  </si>
  <si>
    <t>https://dd3ka9h4chfr8.cloudfront.net/image/725136000567/image_l5li0c01md76pbvdo5q063lf3j/-FJPG/109378-010_DET_3.jpg</t>
  </si>
  <si>
    <t>https://dd3ka9h4chfr8.cloudfront.net/image/725136000567/image_tf96h1c3l941n528p2sc3i6677/-FJPG/109378-010_DET_4.jpg</t>
  </si>
  <si>
    <t>https://dd3ka9h4chfr8.cloudfront.net/image/725136000567/image_ld8t7bv0ld5iffsot220u76n6g/-FJPG/109378-010_DET_5.jpg</t>
  </si>
  <si>
    <t>https://dd3ka9h4chfr8.cloudfront.net/image/725136000567/image_2brmub84gp31jfe42bqhglv772/-FJPG/109378-010_DET_6.jpg</t>
  </si>
  <si>
    <t>https://dd3ka9h4chfr8.cloudfront.net/image/725136000567/image_7bo3i8c7vl1kh9apdq821rij6p/-FJPG/109378-010_DET_7.jpg</t>
  </si>
  <si>
    <t>https://dd3ka9h4chfr8.cloudfront.net/image/725136000567/image_eoe2b5b1q9583aih11ot6d655q/-FJPG/109378-010_SID_2.jpg</t>
  </si>
  <si>
    <t>https://dd3ka9h4chfr8.cloudfront.net/image/725136000567/image_i8b4lns7tp5lh48oko9of9fg38/-FJPG/109378-010_FRT_2.jpg</t>
  </si>
  <si>
    <t>https://dd3ka9h4chfr8.cloudfront.net/image/725136000567/image_fsjgrs3inp3417uka6bdc9674j/-FJPG/109378-010_PRM_2.jpg</t>
  </si>
  <si>
    <t>Inwood Bed - Surrey Taupe</t>
  </si>
  <si>
    <t>https://dd3ka9h4chfr8.cloudfront.net/image/725136000567/image_n6ivlq7gpd5nt9k1pb7ibhe76o/-S150x150-FJPG/109378-007_PRM_1.jpg</t>
  </si>
  <si>
    <t>https://dd3ka9h4chfr8.cloudfront.net/image/725136000567/image_n6ivlq7gpd5nt9k1pb7ibhe76o/-FJPG/109378-007_PRM_1.jpg</t>
  </si>
  <si>
    <t>https://dd3ka9h4chfr8.cloudfront.net/image/725136000567/image_ls2f0ae05t1bf2rot8e327290e/-FJPG/109378-007_SID_1.jpg</t>
  </si>
  <si>
    <t>https://dd3ka9h4chfr8.cloudfront.net/image/725136000567/image_j8opo5k3ph7mj48q51jsfg6b3n/-FJPG/109378-007_ESS_1.jpg</t>
  </si>
  <si>
    <t>https://dd3ka9h4chfr8.cloudfront.net/image/725136000567/image_qur77pfvo50o961ituhcfb0r03/-FJPG/109378-007_DET_2.jpg</t>
  </si>
  <si>
    <t>https://dd3ka9h4chfr8.cloudfront.net/image/725136000567/image_j0eafsp8ad35tc1rv8pqp9rr68/-FJPG/109378-007_BCK_1.jpg</t>
  </si>
  <si>
    <t>https://dd3ka9h4chfr8.cloudfront.net/image/725136000567/image_6m2tukm4054ctc86jvnt6jk71l/-FJPG/109378-007_DET_1.jpg</t>
  </si>
  <si>
    <t>https://dd3ka9h4chfr8.cloudfront.net/image/725136000567/image_ssv1ija7ih5sddsbfq0gpvq92p/-FJPG/109378-007_DET_3.jpg</t>
  </si>
  <si>
    <t>https://dd3ka9h4chfr8.cloudfront.net/image/725136000567/image_cfqbkn0rl95lh9un4i5n5j9g72/-FJPG/109378-007_DET_4.jpg</t>
  </si>
  <si>
    <t>https://dd3ka9h4chfr8.cloudfront.net/image/725136000567/image_qcslkng2pp26f75tbbd69sg046/-FJPG/109378-007_DET_5.jpg</t>
  </si>
  <si>
    <t>https://dd3ka9h4chfr8.cloudfront.net/image/725136000567/image_b447vbjt2t5dld4v3s82hit84m/-FJPG/109378-007_DET_6.jpg</t>
  </si>
  <si>
    <t>https://dd3ka9h4chfr8.cloudfront.net/image/725136000567/image_o9uqcinkk535tc6qkbijc5km2m/-FJPG/109378-007_PRM_2.jpg</t>
  </si>
  <si>
    <t>https://dd3ka9h4chfr8.cloudfront.net/image/725136000567/image_r0571ncs392c70umdaucfrtb4r/-FJPG/109378-007_FRT_2.jpg</t>
  </si>
  <si>
    <t>https://dd3ka9h4chfr8.cloudfront.net/image/725136000567/image_vav0arm1jt2ove3ogfnhcdcs4c/-FJPG/109378-007_SID_2.jpg</t>
  </si>
  <si>
    <t>https://dd3ka9h4chfr8.cloudfront.net/image/725136000567/image_b3rtrqp71l7mt860og7j0ha75i/-S150x150-FJPG/109378-008_PRM_1.jpg</t>
  </si>
  <si>
    <t>https://dd3ka9h4chfr8.cloudfront.net/image/725136000567/image_b3rtrqp71l7mt860og7j0ha75i/-FJPG/109378-008_PRM_1.jpg</t>
  </si>
  <si>
    <t>https://dd3ka9h4chfr8.cloudfront.net/image/725136000567/image_7b2ml0s3kp7hj9ju45trj8q26b/-FJPG/109378-008_SID_1.jpg</t>
  </si>
  <si>
    <t>https://dd3ka9h4chfr8.cloudfront.net/image/725136000567/image_e6s10epo5t71f2af7rbp4oqk5b/-FJPG/109378-008_DET_2.jpg</t>
  </si>
  <si>
    <t>https://dd3ka9h4chfr8.cloudfront.net/image/725136000567/image_14adpjqg912o91c5rdq3h93j5q/-FJPG/109378-008_BCK_1.jpg</t>
  </si>
  <si>
    <t>https://dd3ka9h4chfr8.cloudfront.net/image/725136000567/image_vmt5cl4or10h56bmi0ejm5l67o/-FJPG/109378-008_DET_1.jpg</t>
  </si>
  <si>
    <t>https://dd3ka9h4chfr8.cloudfront.net/image/725136000567/image_i8ll2bbq651sffr4uptsc37b1n/-FJPG/109378-008_DET_3.jpg</t>
  </si>
  <si>
    <t>https://dd3ka9h4chfr8.cloudfront.net/image/725136000567/image_ecahof553h50104vqjkkqr8u52/-FJPG/109378-008_DET_4.jpg</t>
  </si>
  <si>
    <t>https://dd3ka9h4chfr8.cloudfront.net/image/725136000567/image_t238jem6g12gj3ldd1kjmk672v/-FJPG/109378-008_DET_5.jpg</t>
  </si>
  <si>
    <t>https://dd3ka9h4chfr8.cloudfront.net/image/725136000567/image_fr751hur315vh1i2fcvhh8fo3c/-FJPG/109378-008_DET_6.jpg</t>
  </si>
  <si>
    <t>https://dd3ka9h4chfr8.cloudfront.net/image/725136000567/image_9d304vo4kd41p6bm6o5gbjcn78/-FJPG/109378-008_PRM_2.jpg</t>
  </si>
  <si>
    <t>https://dd3ka9h4chfr8.cloudfront.net/image/725136000567/image_r4bs3ibtm959h7t7acni86sm6b/-FJPG/109378-008_FRT_2.jpg</t>
  </si>
  <si>
    <t>https://dd3ka9h4chfr8.cloudfront.net/image/725136000567/image_n42eroso1p3hrb2tu422j0vp16/-FJPG/109378-008_SID_2.jpg</t>
  </si>
  <si>
    <t>Ira Chair - Somerton Ash</t>
  </si>
  <si>
    <t>https://dd3ka9h4chfr8.cloudfront.net/image/725136000567/image_5201bmlr7t3v1ele8fnsrisk46/-S150x150-FJPG/238415-002_PRM_1.JPG</t>
  </si>
  <si>
    <t>https://dd3ka9h4chfr8.cloudfront.net/image/725136000567/image_5201bmlr7t3v1ele8fnsrisk46/-FJPG/238415-002_PRM_1.JPG</t>
  </si>
  <si>
    <t>https://dd3ka9h4chfr8.cloudfront.net/image/725136000567/image_g0bkjeqkad42f73vmu71lier13/-FJPG/238415-002_SID_1.JPG</t>
  </si>
  <si>
    <t>https://dd3ka9h4chfr8.cloudfront.net/image/725136000567/image_9bu9lqiidd7it7stbrq3tck12a/-FJPG/238415-002_ESS.tif</t>
  </si>
  <si>
    <t>https://dd3ka9h4chfr8.cloudfront.net/image/725136000567/image_9haagetugt1g71vaqc9aod4l0r/-FJPG/238415-002_DET_2.JPG</t>
  </si>
  <si>
    <t>https://dd3ka9h4chfr8.cloudfront.net/image/725136000567/image_6f146pa27571tdocafavikuv68/-FJPG/238415-002_BCK_1.JPG</t>
  </si>
  <si>
    <t>https://dd3ka9h4chfr8.cloudfront.net/image/725136000567/image_gn1bmmgn391it0bugh69quud3i/-FJPG/238415-002_DET_1.JPG</t>
  </si>
  <si>
    <t>https://dd3ka9h4chfr8.cloudfront.net/image/725136000567/image_k3rldgbhc52plfpm7o76as1b0e/-FJPG/238415-002_DET_3.JPG</t>
  </si>
  <si>
    <t>https://dd3ka9h4chfr8.cloudfront.net/image/725136000567/image_i9hpf1ovh113f13resfsvdhb2i/-FJPG/238415-002_DET_4.JPG</t>
  </si>
  <si>
    <t>https://dd3ka9h4chfr8.cloudfront.net/image/725136000567/image_n0l23km3fl5ifa93m12vraon6h/-FJPG/238415-002_DET_5.JPG</t>
  </si>
  <si>
    <t>https://dd3ka9h4chfr8.cloudfront.net/image/725136000567/image_f24de7s79p4rpcoqkl2r8qgr7i/-FJPG/238415-002_DET_6.JPG</t>
  </si>
  <si>
    <t>https://dd3ka9h4chfr8.cloudfront.net/image/725136000567/image_j2kv7vd77d26369d7qb9sk8u2m/-FJPG/238415-002_DET_9.tif</t>
  </si>
  <si>
    <t>https://dd3ka9h4chfr8.cloudfront.net/image/725136000567/image_85jjgenab52k35674g6n15857k/-FJPG/238415-002_DET_10.tif</t>
  </si>
  <si>
    <t>Irish Coast Small Tv Console - Sundried Ash</t>
  </si>
  <si>
    <t>https://dd3ka9h4chfr8.cloudfront.net/image/725136000567/image_luterh9qn50gl3q0493tr52e3u/-S150x150-FJPG/VICA-24-11_PRM_1.jpg</t>
  </si>
  <si>
    <t>https://dd3ka9h4chfr8.cloudfront.net/image/725136000567/image_luterh9qn50gl3q0493tr52e3u/-FJPG/VICA-24-11_PRM_1.jpg</t>
  </si>
  <si>
    <t>https://dd3ka9h4chfr8.cloudfront.net/image/725136000567/image_ss27uvo5dl31beregh4lm9cc4f/-FJPG/VICA-24-11_SID_1.jpg</t>
  </si>
  <si>
    <t>https://dd3ka9h4chfr8.cloudfront.net/image/725136000567/image_69darfj9ft25d47cnjajiek04f/-FJPG/VICA-24-11_DET_2.jpg</t>
  </si>
  <si>
    <t>https://dd3ka9h4chfr8.cloudfront.net/image/725136000567/image_7ln2asd6d13rl0hap7bgemqm1c/-FJPG/VICA-24-11_DET_1.jpg</t>
  </si>
  <si>
    <t>https://dd3ka9h4chfr8.cloudfront.net/image/725136000567/image_48j7oqga6l1a7baasskbe4ca2s/-FJPG/VICA-24-11_DET_3.jpg</t>
  </si>
  <si>
    <t>https://dd3ka9h4chfr8.cloudfront.net/image/725136000567/image_8ufgtm7erp7h9aggaf96vpmu1i/-FJPG/VICA-24-11_OPN_1.jpg</t>
  </si>
  <si>
    <t>https://dd3ka9h4chfr8.cloudfront.net/image/725136000567/image_nu3sfqrlb56oh5tab4bq7dis7m/-FJPG/VICA-24-11_DET_4.jpg</t>
  </si>
  <si>
    <t>https://dd3ka9h4chfr8.cloudfront.net/image/725136000567/image_aj4g74ac1h5kj3j7lbhqdbck4u/-FJPG/VICA-24-11_DET_5.jpg</t>
  </si>
  <si>
    <t>https://dd3ka9h4chfr8.cloudfront.net/image/725136000567/image_pdetib92j54pr7fijeto7av22j/-FJPG/VICA-24-11_DET_6.jpg</t>
  </si>
  <si>
    <t>Isaac Coffee Table - Rubbed Light Oak Veneer</t>
  </si>
  <si>
    <t>https://dd3ka9h4chfr8.cloudfront.net/image/725136000567/image_s5mjopu4cd7fd7dfjkrm5e9v74/-S150x150-FJPG/239832-002_PRM_1.jpg</t>
  </si>
  <si>
    <t>https://dd3ka9h4chfr8.cloudfront.net/image/725136000567/image_s5mjopu4cd7fd7dfjkrm5e9v74/-FJPG/239832-002_PRM_1.jpg</t>
  </si>
  <si>
    <t>https://dd3ka9h4chfr8.cloudfront.net/image/725136000567/image_sbttb58ks136n35vh1ou2cpv2g/-FJPG/239832-002_SID_1.jpg</t>
  </si>
  <si>
    <t>https://dd3ka9h4chfr8.cloudfront.net/image/725136000567/image_ehiqo42u6d7mra2kj1pdnqhj27/-FJPG/239832-002_DET_2.jpg</t>
  </si>
  <si>
    <t>https://dd3ka9h4chfr8.cloudfront.net/image/725136000567/image_6qae5h09h12it1l8a0urpr674u/-FJPG/239832-002_DET_1.jpg</t>
  </si>
  <si>
    <t>https://dd3ka9h4chfr8.cloudfront.net/image/725136000567/image_in24a0glrt3qr4mgfdbjuuhd4k/-FJPG/239832-002_DET_3.jpg</t>
  </si>
  <si>
    <t>https://dd3ka9h4chfr8.cloudfront.net/image/725136000567/image_eoqfcv2u5t2v3a4slfapbop710/-FJPG/239832-002_DET_4.jpg</t>
  </si>
  <si>
    <t>https://dd3ka9h4chfr8.cloudfront.net/image/725136000567/image_8nthvqe66d0o373f7dmk7plk0l/-FJPG/239832-002_DET_5.jpg</t>
  </si>
  <si>
    <t>Isaac Coffee Table - Smoked Black Veneer</t>
  </si>
  <si>
    <t>https://dd3ka9h4chfr8.cloudfront.net/image/725136000567/image_gdargabtid4ll956ca7n44te2v/-S150x150-FJPG/239832-001_PRM_1.jpg</t>
  </si>
  <si>
    <t>https://dd3ka9h4chfr8.cloudfront.net/image/725136000567/image_gdargabtid4ll956ca7n44te2v/-FJPG/239832-001_PRM_1.jpg</t>
  </si>
  <si>
    <t>https://dd3ka9h4chfr8.cloudfront.net/image/725136000567/image_g770j5fit15nn33e9m0nnlqo6s/-FJPG/239832-001_SID_1.jpg</t>
  </si>
  <si>
    <t>https://dd3ka9h4chfr8.cloudfront.net/image/725136000567/image_jfbsg22ish2rfc5n43j3ic4j58/-FJPG/239832-001_HOV_1.jpg</t>
  </si>
  <si>
    <t>https://dd3ka9h4chfr8.cloudfront.net/image/725136000567/image_5pau780uu90oleokvritu5v94c/-FJPG/239832-001_DET_2.jpg</t>
  </si>
  <si>
    <t>https://dd3ka9h4chfr8.cloudfront.net/image/725136000567/image_oar2du23hd33v333mb4eo6gf1n/-FJPG/239832-001_DET_1.jpg</t>
  </si>
  <si>
    <t>https://dd3ka9h4chfr8.cloudfront.net/image/725136000567/image_i4jd7qkha50b3b2k7ikb2gh00n/-FJPG/239832-001_DET_3.jpg</t>
  </si>
  <si>
    <t>https://dd3ka9h4chfr8.cloudfront.net/image/725136000567/image_30t7j61dut18b86ad5c9a95l7e/-FJPG/239832-001_DET_4.jpg</t>
  </si>
  <si>
    <t>https://dd3ka9h4chfr8.cloudfront.net/image/725136000567/image_fb7k02673l1o350aku6te6te6h/-FJPG/239832-001_DET_5.jpg</t>
  </si>
  <si>
    <t>https://dd3ka9h4chfr8.cloudfront.net/image/725136000567/image_hlk3c9p20h4u9033l24hbjdg7s/-FJPG/239832-001_DET_6.jpg</t>
  </si>
  <si>
    <t>https://dd3ka9h4chfr8.cloudfront.net/image/725136000567/image_3jpnuctonl6kb0kmkr7adrg013/-FJPG/239832-001_DET_7.jpg</t>
  </si>
  <si>
    <t>https://dd3ka9h4chfr8.cloudfront.net/image/725136000567/image_fp0hbrqled10tcp8e84sudke04/-FJPG/239832-001_DET_9.tif</t>
  </si>
  <si>
    <t>https://dd3ka9h4chfr8.cloudfront.net/image/725136000567/image_op8milkpd15df5uqplgbs7bb4e/-FJPG/239832-001_ESS.tif</t>
  </si>
  <si>
    <t>Isaac End Table - Rubbed Light Oak Veneer</t>
  </si>
  <si>
    <t>https://dd3ka9h4chfr8.cloudfront.net/image/725136000567/image_ipi25h6dll5eh9e6g6c1l0ab58/-S150x150-FJPG/239194-002_PRM_1.jpg</t>
  </si>
  <si>
    <t>https://dd3ka9h4chfr8.cloudfront.net/image/725136000567/image_ipi25h6dll5eh9e6g6c1l0ab58/-FJPG/239194-002_PRM_1.jpg</t>
  </si>
  <si>
    <t>https://dd3ka9h4chfr8.cloudfront.net/image/725136000567/image_2afabph2eh1evc02bu99jgeo31/-FJPG/239194-002_SID_1.jpg</t>
  </si>
  <si>
    <t>https://dd3ka9h4chfr8.cloudfront.net/image/725136000567/image_ahghuec2fl2i9e8jk39m96mm4c/-FJPG/239194-002_DET_2.jpg</t>
  </si>
  <si>
    <t>https://dd3ka9h4chfr8.cloudfront.net/image/725136000567/image_sb8885cubp7vp5hs2od5vkd770/-FJPG/239194-002_DET_1.jpg</t>
  </si>
  <si>
    <t>https://dd3ka9h4chfr8.cloudfront.net/image/725136000567/image_n7837pnju57k79n91npr86vu1b/-FJPG/239194-002_DET_3.jpg</t>
  </si>
  <si>
    <t>https://dd3ka9h4chfr8.cloudfront.net/image/725136000567/image_rblpoblmj94kj3f3cu52pmvh2j/-FJPG/239194-002_DET_4.jpg</t>
  </si>
  <si>
    <t>https://dd3ka9h4chfr8.cloudfront.net/image/725136000567/image_t0e1lcqmeh0h52s0c8uv2v4706/-FJPG/239194-002_DET_5.jpg</t>
  </si>
  <si>
    <t>Isaac End Table - Smoked Black Veneer</t>
  </si>
  <si>
    <t>https://dd3ka9h4chfr8.cloudfront.net/image/725136000567/image_oo9a4ic7gl5n7863nbjnrvsg6p/-S150x150-FJPG/239194-001_PRM_1.jpg</t>
  </si>
  <si>
    <t>https://dd3ka9h4chfr8.cloudfront.net/image/725136000567/image_oo9a4ic7gl5n7863nbjnrvsg6p/-FJPG/239194-001_PRM_1.jpg</t>
  </si>
  <si>
    <t>https://dd3ka9h4chfr8.cloudfront.net/image/725136000567/image_qli50m97ap4f94i9hebhm7413m/-FJPG/239194-001_SID_1.jpg</t>
  </si>
  <si>
    <t>https://dd3ka9h4chfr8.cloudfront.net/image/725136000567/image_sciru8apg12bjd66idoiap9a3p/-FJPG/239194-001_ESS.tif</t>
  </si>
  <si>
    <t>https://dd3ka9h4chfr8.cloudfront.net/image/725136000567/image_g5t70hf4d12dt657b7le9j203h/-FJPG/239194-001_HOV_1.jpg</t>
  </si>
  <si>
    <t>https://dd3ka9h4chfr8.cloudfront.net/image/725136000567/image_ith9duhqg95jrb531ssa2k7u13/-FJPG/239194-001_DET_2.jpg</t>
  </si>
  <si>
    <t>https://dd3ka9h4chfr8.cloudfront.net/image/725136000567/image_k5atdv27s916f5pqr4m2c3uf6m/-FJPG/239194-001_DET_1.jpg</t>
  </si>
  <si>
    <t>https://dd3ka9h4chfr8.cloudfront.net/image/725136000567/image_jrd4qdi86t42bavmh81g7tcd3m/-FJPG/239194-001_DET_3.jpg</t>
  </si>
  <si>
    <t>https://dd3ka9h4chfr8.cloudfront.net/image/725136000567/image_s959p59f8h28r957iqdbpojr33/-FJPG/239194-001_DET_4.jpg</t>
  </si>
  <si>
    <t>https://dd3ka9h4chfr8.cloudfront.net/image/725136000567/image_l0515qg42h723d06u6p34tok7l/-FJPG/239194-001_DET_5.jpg</t>
  </si>
  <si>
    <t>https://dd3ka9h4chfr8.cloudfront.net/image/725136000567/image_ml8lv93h8h1mb0ofqt0r2g6o5n/-FJPG/239194-001_DET_6.jpg</t>
  </si>
  <si>
    <t>Isador Executive Desk - Dry Wash Poplar</t>
  </si>
  <si>
    <t>Solid Poplar</t>
  </si>
  <si>
    <t>https://dd3ka9h4chfr8.cloudfront.net/image/725136000567/image_2o15mua1857qjemmntro269m5v/-S150x150-FJPG/239731-001_PRM_1.jpg</t>
  </si>
  <si>
    <t>https://dd3ka9h4chfr8.cloudfront.net/image/725136000567/image_2o15mua1857qjemmntro269m5v/-FJPG/239731-001_PRM_1.jpg</t>
  </si>
  <si>
    <t>https://dd3ka9h4chfr8.cloudfront.net/image/725136000567/image_f0t23ql65p0t108tc8p2m1h005/-FJPG/239731-001_SID_1.jpg</t>
  </si>
  <si>
    <t>https://dd3ka9h4chfr8.cloudfront.net/image/725136000567/image_nmf1rmhk8t68re4to3iq8civ12/-FJPG/239731-001_DET_2.jpg</t>
  </si>
  <si>
    <t>https://dd3ka9h4chfr8.cloudfront.net/image/725136000567/image_7qs813o4hd3e3bdtedh3ij0v78/-FJPG/239731-001_BCK_1.jpg</t>
  </si>
  <si>
    <t>https://dd3ka9h4chfr8.cloudfront.net/image/725136000567/image_pm6pil19116ode448d9b005g24/-FJPG/239731-001_DET_1.jpg</t>
  </si>
  <si>
    <t>https://dd3ka9h4chfr8.cloudfront.net/image/725136000567/image_blt67ehpth1f560suho7gnck1u/-FJPG/239731-001_DET_3.jpg</t>
  </si>
  <si>
    <t>https://dd3ka9h4chfr8.cloudfront.net/image/725136000567/image_hp87h14vjh29b54n2gga8c7g0p/-FJPG/239731-001_OPN_1.jpg</t>
  </si>
  <si>
    <t>https://dd3ka9h4chfr8.cloudfront.net/image/725136000567/image_2uiavtmut131vbtqfes01bcd4e/-FJPG/239731-001_DET_4.jpg</t>
  </si>
  <si>
    <t>https://dd3ka9h4chfr8.cloudfront.net/image/725136000567/image_h2p608gta96pr9a5cc95t6441k/-FJPG/239731-001_DET_5.jpg</t>
  </si>
  <si>
    <t>https://dd3ka9h4chfr8.cloudfront.net/image/725136000567/image_8qatov9pp53rdbvtdqvlunn47d/-FJPG/239731-001_DET_6.jpg</t>
  </si>
  <si>
    <t>https://dd3ka9h4chfr8.cloudfront.net/image/725136000567/image_m81va0oa9d7ehdoirje5lisg0t/-FJPG/239731-001_DET_7.jpg</t>
  </si>
  <si>
    <t>https://dd3ka9h4chfr8.cloudfront.net/image/725136000567/image_1vs27f4d2d2djdnmlq3ovrdn7v/-FJPG/239731-001_DET_8.jpg</t>
  </si>
  <si>
    <t>https://dd3ka9h4chfr8.cloudfront.net/image/725136000567/image_s5gmduhtnh6er82n5qvjpj7r4t/-FJPG/239731-001_VIG_1.jpg</t>
  </si>
  <si>
    <t>Isador Sideboard - Dry Wash Poplar</t>
  </si>
  <si>
    <t>https://dd3ka9h4chfr8.cloudfront.net/image/725136000567/image_4mfnr2e3md22b9npokkgct5a29/-S150x150-FJPG/223759-001_PRM_1.jpg</t>
  </si>
  <si>
    <t>https://dd3ka9h4chfr8.cloudfront.net/image/725136000567/image_4mfnr2e3md22b9npokkgct5a29/-FJPG/223759-001_PRM_1.jpg</t>
  </si>
  <si>
    <t>https://dd3ka9h4chfr8.cloudfront.net/image/725136000567/image_6coreo8v710q3df14uq2kq4n0d/-FJPG/223759-001_SID_1.jpg</t>
  </si>
  <si>
    <t>https://dd3ka9h4chfr8.cloudfront.net/image/725136000567/image_o67rlfmkit7br2tcok9l6ln91h/-FJPG/223759-001_ESS_1.jpg</t>
  </si>
  <si>
    <t>https://dd3ka9h4chfr8.cloudfront.net/image/725136000567/image_t5l0c3mrg557d571b5j3tale6r/-FJPG/223759-001_DET_2.jpg</t>
  </si>
  <si>
    <t>https://dd3ka9h4chfr8.cloudfront.net/image/725136000567/image_ci9p6tn7gl10r8kqdsjboam72f/-FJPG/223759-001_BCK_1.jpg</t>
  </si>
  <si>
    <t>https://dd3ka9h4chfr8.cloudfront.net/image/725136000567/image_boqdamj5rp47regavfjevuam7t/-FJPG/223759-001_DET_1.jpg</t>
  </si>
  <si>
    <t>https://dd3ka9h4chfr8.cloudfront.net/image/725136000567/image_abto41ehtd7u53lclmcnd0cj7n/-FJPG/223759-001_DET_3.jpg</t>
  </si>
  <si>
    <t>https://dd3ka9h4chfr8.cloudfront.net/image/725136000567/image_r4sdd3nocp5in7hfjovtehul5d/-FJPG/223759-001_OPN_1.jpg</t>
  </si>
  <si>
    <t>https://dd3ka9h4chfr8.cloudfront.net/image/725136000567/image_qbg3iom13d0ej4bi04v275g445/-FJPG/223759-001_DET_4.jpg</t>
  </si>
  <si>
    <t>https://dd3ka9h4chfr8.cloudfront.net/image/725136000567/image_ie0st1gtph04d9jq5jf81ia74u/-FJPG/223759-001_DET_5.jpg</t>
  </si>
  <si>
    <t>https://dd3ka9h4chfr8.cloudfront.net/image/725136000567/image_r09fj7a7u90lhfs0u9f9i1pr14/-FJPG/223759-001_DET_6.jpg</t>
  </si>
  <si>
    <t>https://dd3ka9h4chfr8.cloudfront.net/image/725136000567/image_u37dsaupsh5lfaa3hutte4614v/-FJPG/223759-001_DET_7.jpg</t>
  </si>
  <si>
    <t>Issa Chair - Carson Black</t>
  </si>
  <si>
    <t>https://dd3ka9h4chfr8.cloudfront.net/image/725136000567/image_svmhi4uhqt3jldt13d132nt93p/-S150x150-FJPG/241145-001_PRM_1.jpg</t>
  </si>
  <si>
    <t>https://dd3ka9h4chfr8.cloudfront.net/image/725136000567/image_svmhi4uhqt3jldt13d132nt93p/-FJPG/241145-001_PRM_1.jpg</t>
  </si>
  <si>
    <t>https://dd3ka9h4chfr8.cloudfront.net/image/725136000567/image_pab1qgh37t0hb0aiuijr9oga0l/-FJPG/241145-001_SID_1.jpg</t>
  </si>
  <si>
    <t>https://dd3ka9h4chfr8.cloudfront.net/image/725136000567/image_j7tlqbarq9497bbv81lv5b7554/-FJPG/241145-001_HOV_1.jpg</t>
  </si>
  <si>
    <t>https://dd3ka9h4chfr8.cloudfront.net/image/725136000567/image_7ski2222ml06306lmh2suev377/-FJPG/241145-001_ESS.tif</t>
  </si>
  <si>
    <t>https://dd3ka9h4chfr8.cloudfront.net/image/725136000567/image_76dvhoi18h1lt1m6805gihcv7c/-FJPG/241145-001_DET_2.jpg</t>
  </si>
  <si>
    <t>https://dd3ka9h4chfr8.cloudfront.net/image/725136000567/image_6mi82h4bsl2hn1qp7sdjvs3o0s/-FJPG/241145-001_BCK_1.jpg</t>
  </si>
  <si>
    <t>https://dd3ka9h4chfr8.cloudfront.net/image/725136000567/image_lrd8lahof961p0f80445depg5m/-FJPG/241145-001_DET_1.jpg</t>
  </si>
  <si>
    <t>https://dd3ka9h4chfr8.cloudfront.net/image/725136000567/image_7lectmko253t1dco34b5ids372/-FJPG/241145-001_DET_3.jpg</t>
  </si>
  <si>
    <t>https://dd3ka9h4chfr8.cloudfront.net/image/725136000567/image_8po828d8311fvf9kdvfsvjf72m/-FJPG/241145-001_DET_4.jpg</t>
  </si>
  <si>
    <t>https://dd3ka9h4chfr8.cloudfront.net/image/725136000567/image_5e8g4gjec51k775u2ehujbm72e/-FJPG/241145-001_DET_5.jpg</t>
  </si>
  <si>
    <t>https://dd3ka9h4chfr8.cloudfront.net/image/725136000567/image_o2481bbgot6cd9mqigdl1tb13b/-FJPG/241145-001_DET_6.jpg</t>
  </si>
  <si>
    <t>https://dd3ka9h4chfr8.cloudfront.net/image/725136000567/image_f598t2cpbl1il4prncn65v4o5c/-FJPG/241145-001_DET_7.jpg</t>
  </si>
  <si>
    <t>https://dd3ka9h4chfr8.cloudfront.net/image/725136000567/image_0b86q23cbl3mtdb2p9ns36f05a/-FJPG/241145-001_DET_10.tif</t>
  </si>
  <si>
    <t>https://dd3ka9h4chfr8.cloudfront.net/image/725136000567/image_9jimrqf0555r380mc4tjem6v50/-FJPG/241145-001_DET_13.tif</t>
  </si>
  <si>
    <t>It Takes An Hour Sideboard - Distressed Black</t>
  </si>
  <si>
    <t>Zinc Alloy</t>
  </si>
  <si>
    <t>Pine Veneer</t>
  </si>
  <si>
    <t>https://dd3ka9h4chfr8.cloudfront.net/image/725136000567/image_v73kb5batp2uh19f88ggvkhu1p/-S150x150-FJPG/242172-001_PRM_1.jpg</t>
  </si>
  <si>
    <t>https://dd3ka9h4chfr8.cloudfront.net/image/725136000567/image_v73kb5batp2uh19f88ggvkhu1p/-FJPG/242172-001_PRM_1.jpg</t>
  </si>
  <si>
    <t>https://dd3ka9h4chfr8.cloudfront.net/image/725136000567/image_n88msefndt15jfbqqtckfoka7v/-FJPG/242172-001_SID_1.jpg</t>
  </si>
  <si>
    <t>https://dd3ka9h4chfr8.cloudfront.net/image/725136000567/image_jj47mfgo6p5oh5gu70flv5se3q/-FJPG/242172-001_ESS_1.tif</t>
  </si>
  <si>
    <t>https://dd3ka9h4chfr8.cloudfront.net/image/725136000567/image_bt6aur9pe95fb3aq714laftt78/-FJPG/242172-001_DET_2.jpg</t>
  </si>
  <si>
    <t>https://dd3ka9h4chfr8.cloudfront.net/image/725136000567/image_5fgl3bru251llcltm41srg9q0t/-FJPG/242172-001_BCK_1.jpg</t>
  </si>
  <si>
    <t>https://dd3ka9h4chfr8.cloudfront.net/image/725136000567/image_d9ar11immp197f5tll06kj0727/-FJPG/242172-001_DET_1.jpg</t>
  </si>
  <si>
    <t>https://dd3ka9h4chfr8.cloudfront.net/image/725136000567/image_3vnu227blt38b93p04enfmhp53/-FJPG/242172-001_DET_3.jpg</t>
  </si>
  <si>
    <t>https://dd3ka9h4chfr8.cloudfront.net/image/725136000567/image_mqj66fav7948p3f103jumo9o48/-FJPG/242172-001_OPN_1.jpg</t>
  </si>
  <si>
    <t>https://dd3ka9h4chfr8.cloudfront.net/image/725136000567/image_2p6f5m3u292t5ae21h34tq2e4b/-FJPG/242172-001_TOP_1.jpg</t>
  </si>
  <si>
    <t>https://dd3ka9h4chfr8.cloudfront.net/image/725136000567/image_7cola5h2a16s5e8vskrs3d9u2o/-FJPG/242172-001_DET_4.jpg</t>
  </si>
  <si>
    <t>https://dd3ka9h4chfr8.cloudfront.net/image/725136000567/image_jrn978i55d7bj3i6ktt57m5o2e/-FJPG/242172-001_DET_5.jpg</t>
  </si>
  <si>
    <t>https://dd3ka9h4chfr8.cloudfront.net/image/725136000567/image_m8bc0sbu8d35580ufr47qu4q57/-FJPG/242172-001_DET_5.tif</t>
  </si>
  <si>
    <t>https://dd3ka9h4chfr8.cloudfront.net/image/725136000567/image_upvjt1kirt63p0dvatcfkscg5m/-FJPG/242172-001_DET_6.jpg</t>
  </si>
  <si>
    <t>https://dd3ka9h4chfr8.cloudfront.net/image/725136000567/image_ejf0hei6ll2cb0hrta7m5um24a/-FJPG/242172-001_DET_7.jpg</t>
  </si>
  <si>
    <t>https://dd3ka9h4chfr8.cloudfront.net/image/725136000567/image_gquvrpqbap6v91krc28loegs7j/-FJPG/242172-001_DET_8.jpg</t>
  </si>
  <si>
    <t>https://dd3ka9h4chfr8.cloudfront.net/image/725136000567/image_tbh8p3h1413ih2itrvf38ie759/-FJPG/242172-001_DET_9.jpg</t>
  </si>
  <si>
    <t>https://dd3ka9h4chfr8.cloudfront.net/image/725136000567/image_vd1650rc1l51je4s6ku4e41k0s/-FJPG/242172-001_DET_11.tif</t>
  </si>
  <si>
    <t>https://dd3ka9h4chfr8.cloudfront.net/image/725136000567/image_vpvdd6lkfl09h083p129dvui0f/-FJPG/242172-001_DET_12.tif</t>
  </si>
  <si>
    <t>Jade Accent Bench - Altair Mushroom</t>
  </si>
  <si>
    <t>https://dd3ka9h4chfr8.cloudfront.net/image/725136000567/image_dc28lts4el5gnbkvpl8cbigc26/-S150x150-FJPG/247300-001_PRM_1.JPG</t>
  </si>
  <si>
    <t>https://dd3ka9h4chfr8.cloudfront.net/image/725136000567/image_dc28lts4el5gnbkvpl8cbigc26/-FJPG/247300-001_PRM_1.JPG</t>
  </si>
  <si>
    <t>https://dd3ka9h4chfr8.cloudfront.net/image/725136000567/image_ed8tiinocl2l36m6pfhnhqm069/-FJPG/247300-001_SID_1.JPG</t>
  </si>
  <si>
    <t>https://dd3ka9h4chfr8.cloudfront.net/image/725136000567/image_lots7usacp371aqldnf333fb5k/-FJPG/247300-001_ESS.tif</t>
  </si>
  <si>
    <t>https://dd3ka9h4chfr8.cloudfront.net/image/725136000567/image_gs6261u7op07p0br9pgjd7432r/-FJPG/247300-001_DET_2.JPG</t>
  </si>
  <si>
    <t>https://dd3ka9h4chfr8.cloudfront.net/image/725136000567/image_716f06e6894359l24f6l8jc708/-FJPG/247300-001_DET_1.JPG</t>
  </si>
  <si>
    <t>https://dd3ka9h4chfr8.cloudfront.net/image/725136000567/image_81je7ksksh0uhcs4capjejih16/-FJPG/247300-001_DET_3.JPG</t>
  </si>
  <si>
    <t>https://dd3ka9h4chfr8.cloudfront.net/image/725136000567/image_nv49a9r7g92lt7760qmq6p322d/-FJPG/247300-001_DET_4.JPG</t>
  </si>
  <si>
    <t>https://dd3ka9h4chfr8.cloudfront.net/image/725136000567/image_f7jepv2nr567f3o18ch2rn3h6v/-FJPG/247300-001_DET_5.JPG</t>
  </si>
  <si>
    <t>https://dd3ka9h4chfr8.cloudfront.net/image/725136000567/image_rq08r2rqbl1e3fr44pfj8pgl7h/-FJPG/247300-001_DET_9.tif</t>
  </si>
  <si>
    <t>Jarvis Recliner - Dakota Tobacco</t>
  </si>
  <si>
    <t>https://dd3ka9h4chfr8.cloudfront.net/image/725136000567/image_0dqr3sch49205bacgaij5e5502/-S150x150-FJPG/235331-006_PRM_1.jpg</t>
  </si>
  <si>
    <t>https://dd3ka9h4chfr8.cloudfront.net/image/725136000567/image_0dqr3sch49205bacgaij5e5502/-FJPG/235331-006_PRM_1.jpg</t>
  </si>
  <si>
    <t>https://dd3ka9h4chfr8.cloudfront.net/image/725136000567/image_h1m7ua3mdd0ov8o7a53bl1r907/-FJPG/235331-006_SID_1.jpg</t>
  </si>
  <si>
    <t>https://dd3ka9h4chfr8.cloudfront.net/image/725136000567/image_dn5lashnmd671aivdhqm43qt5i/-FJPG/235331-006_ESS.tif</t>
  </si>
  <si>
    <t>https://dd3ka9h4chfr8.cloudfront.net/image/725136000567/image_ai0po9f92541v1cq7383po7a4o/-FJPG/235331-006_DET_2.jpg</t>
  </si>
  <si>
    <t>https://dd3ka9h4chfr8.cloudfront.net/image/725136000567/image_aqlen1ivl51un9bopa01hdf86q/-FJPG/235331-006_BCK_1.jpg</t>
  </si>
  <si>
    <t>https://dd3ka9h4chfr8.cloudfront.net/image/725136000567/image_sdf5ls42950th476tvorq9l41q/-FJPG/235331-006_DET_1.jpg</t>
  </si>
  <si>
    <t>https://dd3ka9h4chfr8.cloudfront.net/image/725136000567/image_ucuit13s9l7b32a96k0ut2m34n/-FJPG/235331-006_DET_3.jpg</t>
  </si>
  <si>
    <t>https://dd3ka9h4chfr8.cloudfront.net/image/725136000567/image_msu9r99rbp7ojcsgvlj6onkt2t/-FJPG/235331-006_DET_4.jpg</t>
  </si>
  <si>
    <t>https://dd3ka9h4chfr8.cloudfront.net/image/725136000567/image_r3t0t9nma168b02drh7865j67m/-FJPG/235331-006_DET_5.jpg</t>
  </si>
  <si>
    <t>https://dd3ka9h4chfr8.cloudfront.net/image/725136000567/image_1dtjbpoppt03v6dld2appfhc14/-FJPG/235331-006_DET_6.jpg</t>
  </si>
  <si>
    <t>https://dd3ka9h4chfr8.cloudfront.net/image/725136000567/image_3dk0k82he14mf9apvpl4r6qn1o/-FJPG/235331-006_DET_7.jpg</t>
  </si>
  <si>
    <t>https://dd3ka9h4chfr8.cloudfront.net/image/725136000567/image_ptnnr38l957f5c4vijv0ikiq2p/-FJPG/235331-006_DET_8.jpg</t>
  </si>
  <si>
    <t>https://dd3ka9h4chfr8.cloudfront.net/image/725136000567/image_bdia3j9g610or5jp6feoroo815/-FJPG/235331-006_Extra swatch.jpg</t>
  </si>
  <si>
    <t>https://dd3ka9h4chfr8.cloudfront.net/image/725136000567/image_rcmm1nsgdd705d1urp77ol5e0f/-FJPG/235331-006_ESS_2.tif</t>
  </si>
  <si>
    <t>https://dd3ka9h4chfr8.cloudfront.net/image/725136000567/image_tc8b1hs3690ff25mnn8mrn1l11/-FJPG/235331-006_FRT_2.jpg</t>
  </si>
  <si>
    <t>https://dd3ka9h4chfr8.cloudfront.net/image/725136000567/image_uvi5f4cma57klanivpbn02p95r/-FJPG/235331-006_SID_2.jpg</t>
  </si>
  <si>
    <t>https://dd3ka9h4chfr8.cloudfront.net/image/725136000567/image_isqutab83p3u5et1b4s131h370/-FJPG/235331-006_PRM_2.jpg</t>
  </si>
  <si>
    <t>Jefferson Trunk - Vintage Tobacco</t>
  </si>
  <si>
    <t>https://dd3ka9h4chfr8.cloudfront.net/image/725136000567/image_ajmotef7591orapbg1e1lfo766/-S150x150-FJPG/105621-009_PRM_1.jpg</t>
  </si>
  <si>
    <t>https://dd3ka9h4chfr8.cloudfront.net/image/725136000567/image_ajmotef7591orapbg1e1lfo766/-FJPG/105621-009_PRM_1.jpg</t>
  </si>
  <si>
    <t>https://dd3ka9h4chfr8.cloudfront.net/image/725136000567/image_ur2j6eulhl21jfjkt42ojhho0v/-FJPG/105621-009_SID_1.jpg</t>
  </si>
  <si>
    <t>https://dd3ka9h4chfr8.cloudfront.net/image/725136000567/image_eseim4pl7p2070d5k0a1fgt92k/-FJPG/105621-009_DET_2.jpg</t>
  </si>
  <si>
    <t>https://dd3ka9h4chfr8.cloudfront.net/image/725136000567/image_rngl6d0kft0ujah3ab3kcvav5j/-FJPG/105621-009_BCK_1.jpg</t>
  </si>
  <si>
    <t>https://dd3ka9h4chfr8.cloudfront.net/image/725136000567/image_ck238pq6cp0ch753k9lgm7ti3v/-FJPG/105621-009_DET_1.jpg</t>
  </si>
  <si>
    <t>https://dd3ka9h4chfr8.cloudfront.net/image/725136000567/image_9ah4ckae3d7jle75889qjg2d0d/-FJPG/105621-009_DET_3.jpg</t>
  </si>
  <si>
    <t>https://dd3ka9h4chfr8.cloudfront.net/image/725136000567/image_0fdol8i3u16rn6gqcjfhi9vf0a/-FJPG/105621-009_DET_4.jpg</t>
  </si>
  <si>
    <t>https://dd3ka9h4chfr8.cloudfront.net/image/725136000567/image_hmvv5f196176j6dnrdfr3qbh30/-FJPG/105621-009_DET_6.jpg</t>
  </si>
  <si>
    <t>https://dd3ka9h4chfr8.cloudfront.net/image/725136000567/image_0gfabps2g93a5depup2mnsdt5r/-FJPG/105621-009_PRM_2.jpg</t>
  </si>
  <si>
    <t>https://dd3ka9h4chfr8.cloudfront.net/image/725136000567/image_el4l89j93t07dfnqvpist9837t/-FJPG/105621-009_SID_2.jpg</t>
  </si>
  <si>
    <t>Jenzen Coffee Table - Tempered Glass</t>
  </si>
  <si>
    <t>https://dd3ka9h4chfr8.cloudfront.net/image/725136000567/image_di9k359tg92652vgphb0ohtk0u/-S150x150-FJPG/247975-001_PRM_1.JPG</t>
  </si>
  <si>
    <t>https://dd3ka9h4chfr8.cloudfront.net/image/725136000567/image_di9k359tg92652vgphb0ohtk0u/-FJPG/247975-001_PRM_1.JPG</t>
  </si>
  <si>
    <t>https://dd3ka9h4chfr8.cloudfront.net/image/725136000567/image_pau75oko1d1qp0maftnb1rm710/-FJPG/247975-001_ESS.tif</t>
  </si>
  <si>
    <t>https://dd3ka9h4chfr8.cloudfront.net/image/725136000567/image_6f3s6s3rc95rldhkr3upeied4k/-FJPG/247975-001_DET_2.JPG</t>
  </si>
  <si>
    <t>https://dd3ka9h4chfr8.cloudfront.net/image/725136000567/image_8lid6994pl2jrev2a78iruq85a/-FJPG/247975-001_DET_1.JPG</t>
  </si>
  <si>
    <t>https://dd3ka9h4chfr8.cloudfront.net/image/725136000567/image_8u46u27sud4el95jg7u3refm49/-FJPG/247975-001_DET_3.JPG</t>
  </si>
  <si>
    <t>https://dd3ka9h4chfr8.cloudfront.net/image/725136000567/image_3p8168t33564d3rq76123ikh5j/-FJPG/247975-001_DET_4.JPG</t>
  </si>
  <si>
    <t>https://dd3ka9h4chfr8.cloudfront.net/image/725136000567/image_drrt6ep6nl0jv8lu4q9ie07e21/-FJPG/247975-001_DET_9.tif</t>
  </si>
  <si>
    <t>Jeremiah Chair - Palermo Drift</t>
  </si>
  <si>
    <t>https://dd3ka9h4chfr8.cloudfront.net/image/725136000567/image_eh383028q13m754f0tsgajgp7b/-S150x150-FJPG/239265-002_PRM_1.jpg</t>
  </si>
  <si>
    <t>https://dd3ka9h4chfr8.cloudfront.net/image/725136000567/image_eh383028q13m754f0tsgajgp7b/-FJPG/239265-002_PRM_1.jpg</t>
  </si>
  <si>
    <t>https://dd3ka9h4chfr8.cloudfront.net/image/725136000567/image_p86nvslvkt2m5fstbp2q840m5k/-FJPG/239265-002_SID_1.jpg</t>
  </si>
  <si>
    <t>https://dd3ka9h4chfr8.cloudfront.net/image/725136000567/image_2b6n553vjl42lac59aiebkea4o/-FJPG/239265-002_ESS_1.tif</t>
  </si>
  <si>
    <t>https://dd3ka9h4chfr8.cloudfront.net/image/725136000567/image_l6g2l1f2i56ob4kt59sjt2b92v/-FJPG/239265-002_DET_2.jpg</t>
  </si>
  <si>
    <t>https://dd3ka9h4chfr8.cloudfront.net/image/725136000567/image_cqq5dks7917p56a9m4m5iodt6i/-FJPG/239265-002_BCK_1.jpg</t>
  </si>
  <si>
    <t>https://dd3ka9h4chfr8.cloudfront.net/image/725136000567/image_p6poh8aam12gheq5ab187phb0g/-FJPG/239265-002_DET_1.jpg</t>
  </si>
  <si>
    <t>https://dd3ka9h4chfr8.cloudfront.net/image/725136000567/image_rguno2i1vd30t5fmbbkhs79u0s/-FJPG/239265-002_DET_3.jpg</t>
  </si>
  <si>
    <t>https://dd3ka9h4chfr8.cloudfront.net/image/725136000567/image_6ofocp9j5d4urfh2ivhfrl753h/-FJPG/239265-002_DET_4.jpg</t>
  </si>
  <si>
    <t>https://dd3ka9h4chfr8.cloudfront.net/image/725136000567/image_ojn43psjp917hbujic87af5f6u/-FJPG/239265-002_DET_9.tif</t>
  </si>
  <si>
    <t>https://dd3ka9h4chfr8.cloudfront.net/image/725136000567/image_k57mm8rb416unbo47bon80d71s/-FJPG/239265-002_DET_10.tif</t>
  </si>
  <si>
    <t>Joanna Chaise - Sonoma Black</t>
  </si>
  <si>
    <t>https://dd3ka9h4chfr8.cloudfront.net/image/725136000567/image_hpem5lvmbl17bbdj1fejhj5443/-S150x150-FJPG/223318-002_PRM_1.jpg</t>
  </si>
  <si>
    <t>https://dd3ka9h4chfr8.cloudfront.net/image/725136000567/image_hpem5lvmbl17bbdj1fejhj5443/-FJPG/223318-002_PRM_1.jpg</t>
  </si>
  <si>
    <t>https://dd3ka9h4chfr8.cloudfront.net/image/725136000567/image_ipi3ttllk95cj3cnb6lmk4et2d/-FJPG/223318-002_SID_1.jpg</t>
  </si>
  <si>
    <t>https://dd3ka9h4chfr8.cloudfront.net/image/725136000567/image_b0tnbs34th7a5ct1uotua14640/-FJPG/223318-002_ESS.tif</t>
  </si>
  <si>
    <t>https://dd3ka9h4chfr8.cloudfront.net/image/725136000567/image_rj8n82fj6d0ojer4c5d8582m7k/-FJPG/223318-002_DET_2.jpg</t>
  </si>
  <si>
    <t>https://dd3ka9h4chfr8.cloudfront.net/image/725136000567/image_a24l77km097jj0q9ku6ikel31b/-FJPG/223318-002_BCK_1.jpg</t>
  </si>
  <si>
    <t>https://dd3ka9h4chfr8.cloudfront.net/image/725136000567/image_pojnh8nqqt7s17e57dv28oj57d/-FJPG/223318-002_DET_1.jpg</t>
  </si>
  <si>
    <t>https://dd3ka9h4chfr8.cloudfront.net/image/725136000567/image_5qo4c3t6jh22hbflo62d68330o/-FJPG/223318-002_DET_3.jpg</t>
  </si>
  <si>
    <t>https://dd3ka9h4chfr8.cloudfront.net/image/725136000567/image_hkkt5kq6ot791d88f6a6u61l7c/-FJPG/223318-002_DET_4.jpg</t>
  </si>
  <si>
    <t>https://dd3ka9h4chfr8.cloudfront.net/image/725136000567/image_t45vipluq14et1af63lmminl48/-FJPG/223318-002_PRM_2.jpg</t>
  </si>
  <si>
    <t>Jones Chair - Alcala Wheat</t>
  </si>
  <si>
    <t>https://dd3ka9h4chfr8.cloudfront.net/image/725136000567/image_pb8u3tlp315833pp2d8mdre82a/-S150x150-FJPG/240425-001_PRM_1.jpg</t>
  </si>
  <si>
    <t>https://dd3ka9h4chfr8.cloudfront.net/image/725136000567/image_pb8u3tlp315833pp2d8mdre82a/-FJPG/240425-001_PRM_1.jpg</t>
  </si>
  <si>
    <t>https://dd3ka9h4chfr8.cloudfront.net/image/725136000567/image_rn4bbbm9td7r94vbs813gljt3r/-FJPG/240425-001_SID_1.jpg</t>
  </si>
  <si>
    <t>https://dd3ka9h4chfr8.cloudfront.net/image/725136000567/image_iamgd15hht4clce51sse203u2t/-FJPG/240425-001_ESS.tif</t>
  </si>
  <si>
    <t>https://dd3ka9h4chfr8.cloudfront.net/image/725136000567/image_idj1pk6ld1635cvjhh081l6353/-FJPG/240425-001_DET_2.jpg</t>
  </si>
  <si>
    <t>https://dd3ka9h4chfr8.cloudfront.net/image/725136000567/image_0mqr1k0ost1877v7h72u1ih16h/-FJPG/240425-001_BCK_1.jpg</t>
  </si>
  <si>
    <t>https://dd3ka9h4chfr8.cloudfront.net/image/725136000567/image_943rdamt3d19bcjv2ov45m3a1j/-FJPG/240425-001_DET_1.jpg</t>
  </si>
  <si>
    <t>https://dd3ka9h4chfr8.cloudfront.net/image/725136000567/image_9gr50863id7675gmbkbo1eb14j/-FJPG/240425-001_DET_3.jpg</t>
  </si>
  <si>
    <t>https://dd3ka9h4chfr8.cloudfront.net/image/725136000567/image_i8etiokou502f34733bdgp7d1o/-FJPG/240425-001_DET_4.jpg</t>
  </si>
  <si>
    <t>https://dd3ka9h4chfr8.cloudfront.net/image/725136000567/image_67drjbeic15nf143eqi8m1ub36/-FJPG/240425-001_DET_5.jpg</t>
  </si>
  <si>
    <t>https://dd3ka9h4chfr8.cloudfront.net/image/725136000567/image_ihm2m56uap5pvei935552kgc6a/-FJPG/240425-001_DET_6.jpg</t>
  </si>
  <si>
    <t>https://dd3ka9h4chfr8.cloudfront.net/image/725136000567/image_jqbvkg53ad4hbc7ps71ki0o72p/-FJPG/240425-001_DET_7.jpg</t>
  </si>
  <si>
    <t>https://dd3ka9h4chfr8.cloudfront.net/image/725136000567/image_f1bmdm7uf121nfrjk9p3vthc2n/-FJPG/240425-001_DET_8.jpg</t>
  </si>
  <si>
    <t>Jonty Round End Table - Dark Petrified Wood</t>
  </si>
  <si>
    <t>https://dd3ka9h4chfr8.cloudfront.net/image/725136000567/image_oep1gtdk690k1d0jvhla37fo4d/-S150x150-FJPG/227722-001_PRM_1.jpg</t>
  </si>
  <si>
    <t>https://dd3ka9h4chfr8.cloudfront.net/image/725136000567/image_mk8nbrdphd0411kd8kkaoe4u49/-FJPG/227722-001_ESS.tif</t>
  </si>
  <si>
    <t>https://dd3ka9h4chfr8.cloudfront.net/image/725136000567/image_6h9uvouhh126l2j5m1f9bujs1v/-FJPG/227722-001_DET_1.jpg</t>
  </si>
  <si>
    <t>https://dd3ka9h4chfr8.cloudfront.net/image/725136000567/image_gvnq470ofd5gf4mqdpjrhv9j2c/-FJPG/227722-001_DET_3.jpg</t>
  </si>
  <si>
    <t>https://dd3ka9h4chfr8.cloudfront.net/image/725136000567/image_uu9o2l381l6gt8ktsrmvfd336e/-FJPG/227722-001_TOP_1.jpg</t>
  </si>
  <si>
    <t>https://dd3ka9h4chfr8.cloudfront.net/image/725136000567/image_gf3ldi0h6t1h57gehia82imt6a/-FJPG/227722-001_DET_4.jpg</t>
  </si>
  <si>
    <t>https://dd3ka9h4chfr8.cloudfront.net/image/725136000567/image_4nhq0jhc6d3i32q22bhr8ku310/-FJPG/227722-001_DET_5.jpg</t>
  </si>
  <si>
    <t>https://dd3ka9h4chfr8.cloudfront.net/image/725136000567/image_8ivtubc4r16m59ssu3g48gp907/-FJPG/227722-001_DET_6.jpg</t>
  </si>
  <si>
    <t>Jonty Round End Table - Light Petrified Wood</t>
  </si>
  <si>
    <t>https://dd3ka9h4chfr8.cloudfront.net/image/725136000567/image_ll3pikchld69b4bokrmegvj91f/-S150x150-FJPG/227722-002_PRM_1.jpg</t>
  </si>
  <si>
    <t>https://dd3ka9h4chfr8.cloudfront.net/image/725136000567/image_6qn15fefpt7ev4dcfdbkcrfs72/-FJPG/227722-002_SID_1.jpg</t>
  </si>
  <si>
    <t>https://dd3ka9h4chfr8.cloudfront.net/image/725136000567/image_neaql3p85h4cn9398q2tfb773n/-FJPG/227722-002_ESS.tif</t>
  </si>
  <si>
    <t>https://dd3ka9h4chfr8.cloudfront.net/image/725136000567/image_3pb0p0ju7562f380g37nabvb1r/-FJPG/227722-002_DET_2.jpg</t>
  </si>
  <si>
    <t>https://dd3ka9h4chfr8.cloudfront.net/image/725136000567/image_fc5933ckcd73jc9qp41aqq6t3t/-FJPG/227722-002_DET_1.jpg</t>
  </si>
  <si>
    <t>https://dd3ka9h4chfr8.cloudfront.net/image/725136000567/image_v4jap5fp8l65bcbpsha0jd3s71/-FJPG/227722-002_DET_3.jpg</t>
  </si>
  <si>
    <t>https://dd3ka9h4chfr8.cloudfront.net/image/725136000567/image_dj2vlvdart1klcr6lgapfkfu24/-FJPG/227722-002_DET_4.jpg</t>
  </si>
  <si>
    <t>https://dd3ka9h4chfr8.cloudfront.net/image/725136000567/image_e3nl1q3nm962nb4f5n37qjc26b/-FJPG/227722-002_DET_5.jpg</t>
  </si>
  <si>
    <t>https://dd3ka9h4chfr8.cloudfront.net/image/725136000567/image_lf1v0rmtfh4vnckoa16li7g549/-FJPG/227722-002_DET_6.jpg</t>
  </si>
  <si>
    <t>Jordy Chair - Sapphire Navy</t>
  </si>
  <si>
    <t>https://dd3ka9h4chfr8.cloudfront.net/image/725136000567/image_1p49nlobtl0phdq7ig61h8o23u/-S150x150-FJPG/229379-003 _PRM_1.jpg</t>
  </si>
  <si>
    <t>https://dd3ka9h4chfr8.cloudfront.net/image/725136000567/image_gandnik6613bdcgn2aomi63l02/-FJPG/229379-003 _FRT_1.jpg</t>
  </si>
  <si>
    <t>https://dd3ka9h4chfr8.cloudfront.net/image/725136000567/image_1p49nlobtl0phdq7ig61h8o23u/-FJPG/229379-003 _PRM_1.jpg</t>
  </si>
  <si>
    <t>https://dd3ka9h4chfr8.cloudfront.net/image/725136000567/image_7tjt3h92ml5896ivev4i9o3j20/-FJPG/229379-003_PRM_1.jpg</t>
  </si>
  <si>
    <t>https://dd3ka9h4chfr8.cloudfront.net/image/725136000567/image_nb8p62d5sh7e736vr2dr6kcr63/-FJPG/229379-003 _SID_1.jpg</t>
  </si>
  <si>
    <t>https://dd3ka9h4chfr8.cloudfront.net/image/725136000567/image_ada3vlr6tt2kj08lm2c684qv7o/-FJPG/229379-003 _DET_2.jpg</t>
  </si>
  <si>
    <t>https://dd3ka9h4chfr8.cloudfront.net/image/725136000567/image_3imdlld4010inff5fgoponst7a/-FJPG/229379-003 _BCK_1.jpg</t>
  </si>
  <si>
    <t>https://dd3ka9h4chfr8.cloudfront.net/image/725136000567/image_4mdpu7afdh7o7e756kj2e73q6c/-FJPG/229379-003 _DET_1.jpg</t>
  </si>
  <si>
    <t>https://dd3ka9h4chfr8.cloudfront.net/image/725136000567/image_f1sqit3d8l02r8hadtpds1gt1e/-FJPG/229379-003 _DET_3.jpg</t>
  </si>
  <si>
    <t>https://dd3ka9h4chfr8.cloudfront.net/image/725136000567/image_omjnci6t11621d73c42aceoa19/-FJPG/229379-003 _DET_4.jpg</t>
  </si>
  <si>
    <t>https://dd3ka9h4chfr8.cloudfront.net/image/725136000567/image_7kp1g4m60d3ul8ea2pe2ndkk4o/-FJPG/229379-003 _DET_5.jpg</t>
  </si>
  <si>
    <t>https://dd3ka9h4chfr8.cloudfront.net/image/725136000567/image_85d8286c514dn4dbhddieqm41g/-FJPG/229379-003_ESS.tif</t>
  </si>
  <si>
    <t>Josette Console Table - Honey Oak Veneer</t>
  </si>
  <si>
    <t>https://dd3ka9h4chfr8.cloudfront.net/image/725136000567/image_5vfk3232951d1a7780p228b40p/-S150x150-FJPG/241379-001_PRM_1.jpg</t>
  </si>
  <si>
    <t>https://dd3ka9h4chfr8.cloudfront.net/image/725136000567/image_5vfk3232951d1a7780p228b40p/-FJPG/241379-001_PRM_1.jpg</t>
  </si>
  <si>
    <t>https://dd3ka9h4chfr8.cloudfront.net/image/725136000567/image_n0dvus1ln901hf83rep2h4bv7q/-FJPG/241379-001_SID_1.jpg</t>
  </si>
  <si>
    <t>https://dd3ka9h4chfr8.cloudfront.net/image/725136000567/image_lhjm1ccs4p2ofbqeu78frbvv7m/-FJPG/241379-001_DET_2.jpg</t>
  </si>
  <si>
    <t>https://dd3ka9h4chfr8.cloudfront.net/image/725136000567/image_f00lfi30cp7jtbc2mi1544no4u/-FJPG/241379-001_DET_1.jpg</t>
  </si>
  <si>
    <t>https://dd3ka9h4chfr8.cloudfront.net/image/725136000567/image_v7k3l5518t7ir0r3v526t0o61v/-FJPG/241379-001_DET_3.jpg</t>
  </si>
  <si>
    <t>https://dd3ka9h4chfr8.cloudfront.net/image/725136000567/image_tsebhgigb92pl5ks585lg6ko0n/-FJPG/241379-001_DET_4.jpg</t>
  </si>
  <si>
    <t>https://dd3ka9h4chfr8.cloudfront.net/image/725136000567/image_2o0d70k1u10nj2b9jprg82r86k/-FJPG/241379-001_DET_5.jpg</t>
  </si>
  <si>
    <t>https://dd3ka9h4chfr8.cloudfront.net/image/725136000567/image_v9255ter217af8l3rv87i0hk76/-FJPG/241379-001_DET_6.jpg</t>
  </si>
  <si>
    <t>https://dd3ka9h4chfr8.cloudfront.net/image/725136000567/image_k3ldtho0vt7mj3na85qcmlsf4d/-FJPG/241379-001_DET_7.jpg</t>
  </si>
  <si>
    <t>https://dd3ka9h4chfr8.cloudfront.net/image/725136000567/image_n8u3kp97m10kn3mlvtefpfms56/-FJPG/241379-001_DET_8.jpg</t>
  </si>
  <si>
    <t>https://dd3ka9h4chfr8.cloudfront.net/image/725136000567/image_avfo6e36vd783dc0dj0jh7me41/-FJPG/241379-001_DET_9.tif</t>
  </si>
  <si>
    <t>https://dd3ka9h4chfr8.cloudfront.net/image/725136000567/image_mfirc4v0q10sd59j89kdb0dq44/-FJPG/241379-001_DET_10.tif</t>
  </si>
  <si>
    <t>https://dd3ka9h4chfr8.cloudfront.net/image/725136000567/image_pf1gbckltt0atb3lai1vrk336m/-FJPG/241379-001_ESS.tif</t>
  </si>
  <si>
    <t>Journey Nightstand - White Mahogany</t>
  </si>
  <si>
    <t>https://dd3ka9h4chfr8.cloudfront.net/image/725136000567/image_ji203sbe051at7i61sf9of647l/-S150x150-FJPG/224457-001_PRM_1.jpg</t>
  </si>
  <si>
    <t>https://dd3ka9h4chfr8.cloudfront.net/image/725136000567/image_ji203sbe051at7i61sf9of647l/-FJPG/224457-001_PRM_1.jpg</t>
  </si>
  <si>
    <t>https://dd3ka9h4chfr8.cloudfront.net/image/725136000567/image_055o4p56vd6ir2nfeagnjup625/-FJPG/224457-001_SID_1.jpg</t>
  </si>
  <si>
    <t>https://dd3ka9h4chfr8.cloudfront.net/image/725136000567/image_n14ohj221t20n7ec9v6rlf9n42/-FJPG/224457-001_ESS.tif</t>
  </si>
  <si>
    <t>https://dd3ka9h4chfr8.cloudfront.net/image/725136000567/image_nm23n73uqh2pr8otf8ig8kae14/-FJPG/224457-001_DET_2.jpg</t>
  </si>
  <si>
    <t>https://dd3ka9h4chfr8.cloudfront.net/image/725136000567/image_s1pf6enrf920vd2ple12mi290d/-FJPG/224457-001_BCK_1.jpg</t>
  </si>
  <si>
    <t>https://dd3ka9h4chfr8.cloudfront.net/image/725136000567/image_3coq70n56h7bj4isgk8lcfnl5b/-FJPG/224457-001_DET_1.jpg</t>
  </si>
  <si>
    <t>https://dd3ka9h4chfr8.cloudfront.net/image/725136000567/image_vhvhq72ptt5v5b8r6lfndiqj75/-FJPG/224457-001_DET_3.jpg</t>
  </si>
  <si>
    <t>https://dd3ka9h4chfr8.cloudfront.net/image/725136000567/image_m1cbrvt4r12019ru0cc5fqcf4g/-FJPG/224457-001_OPN_1.jpg</t>
  </si>
  <si>
    <t>https://dd3ka9h4chfr8.cloudfront.net/image/725136000567/image_oh950ds1s53rldp0kk227u357t/-FJPG/224457-001_DET_4.jpg</t>
  </si>
  <si>
    <t>https://dd3ka9h4chfr8.cloudfront.net/image/725136000567/image_256on3tqqp7vj59lp5uuv0o508/-FJPG/224457-001_DET_5.jpg</t>
  </si>
  <si>
    <t>https://dd3ka9h4chfr8.cloudfront.net/image/725136000567/image_e373g94ph12jdda32qg38om716/-FJPG/224457-001_DET_6.jpg</t>
  </si>
  <si>
    <t>https://dd3ka9h4chfr8.cloudfront.net/image/725136000567/image_qnu72b67190236kfqngheuod5r/-FJPG/224457-001_DET_7.jpg</t>
  </si>
  <si>
    <t>https://dd3ka9h4chfr8.cloudfront.net/image/725136000567/image_rii68d6n117c1dg60h0t59v90l/-FJPG/224457-001_VIG_1.jpg</t>
  </si>
  <si>
    <t>https://dd3ka9h4chfr8.cloudfront.net/image/725136000567/image_31fhjvedpd5h3d2837hhnqgd3i/-FJPG/224457-001_VIG_2.jpg</t>
  </si>
  <si>
    <t>Julius Swivel Chair - Nubuck Cognac</t>
  </si>
  <si>
    <t>https://dd3ka9h4chfr8.cloudfront.net/image/725136000567/image_ticime1v3111n2kftjifi2r56n/-S150x150-FJPG/239124-003_PRM_1.jpg</t>
  </si>
  <si>
    <t>https://dd3ka9h4chfr8.cloudfront.net/image/725136000567/image_ticime1v3111n2kftjifi2r56n/-FJPG/239124-003_PRM_1.jpg</t>
  </si>
  <si>
    <t>https://dd3ka9h4chfr8.cloudfront.net/image/725136000567/image_h3dov6np3p4531v966hdbg293a/-FJPG/239124-003_SID_1.jpg</t>
  </si>
  <si>
    <t>https://dd3ka9h4chfr8.cloudfront.net/image/725136000567/image_hop0j0a9bh19b5gsa30gsqiv6s/-FJPG/239124-003_DET_2.jpg</t>
  </si>
  <si>
    <t>https://dd3ka9h4chfr8.cloudfront.net/image/725136000567/image_q2rkk0unr11v77iqgbd42sds4q/-FJPG/239124-003_BCK_1.jpg</t>
  </si>
  <si>
    <t>https://dd3ka9h4chfr8.cloudfront.net/image/725136000567/image_o0vgg6lcq15ih4ht6oitq21o42/-FJPG/239124-003_DET_1.jpg</t>
  </si>
  <si>
    <t>https://dd3ka9h4chfr8.cloudfront.net/image/725136000567/image_j5io6386sh3cd8sur7v79m6924/-FJPG/239124-003_DET_3.jpg</t>
  </si>
  <si>
    <t>https://dd3ka9h4chfr8.cloudfront.net/image/725136000567/image_atirkb0fgh2g78t4n40mv4235d/-FJPG/239124-003_DET_4.jpg</t>
  </si>
  <si>
    <t>https://dd3ka9h4chfr8.cloudfront.net/image/725136000567/image_s4oio0lk8d0r50n5bm3tk4eg7m/-FJPG/239124-003_DET_5.jpg</t>
  </si>
  <si>
    <t>https://dd3ka9h4chfr8.cloudfront.net/image/725136000567/image_poet3b6oop549bl2q10e0qr639/-FJPG/239124-003_DET_6.jpg</t>
  </si>
  <si>
    <t>Julius Swivel Chair - Sheldon Ivory</t>
  </si>
  <si>
    <t>https://dd3ka9h4chfr8.cloudfront.net/image/725136000567/image_00kmmr8ov54192jelab4hmcs1h/-S150x150-FJPG/239124-001_PRM_1.jpg</t>
  </si>
  <si>
    <t>https://dd3ka9h4chfr8.cloudfront.net/image/725136000567/image_00kmmr8ov54192jelab4hmcs1h/-FJPG/239124-001_PRM_1.jpg</t>
  </si>
  <si>
    <t>https://dd3ka9h4chfr8.cloudfront.net/image/725136000567/image_uo3ess1ebl5293oel7hp6uj628/-FJPG/239124-001_SID_1.jpg</t>
  </si>
  <si>
    <t>https://dd3ka9h4chfr8.cloudfront.net/image/725136000567/image_nkqb97ipqt285bl7qhen2d6t37/-FJPG/239124-001_ESS_1.tif</t>
  </si>
  <si>
    <t>https://dd3ka9h4chfr8.cloudfront.net/image/725136000567/image_840g5iujrt0f5ad9nehsgs7j17/-FJPG/239124-001_DET_2.jpg</t>
  </si>
  <si>
    <t>https://dd3ka9h4chfr8.cloudfront.net/image/725136000567/image_8irmt4ij950srdmbqpiu87i67r/-FJPG/239124-001_BCK_1.jpg</t>
  </si>
  <si>
    <t>https://dd3ka9h4chfr8.cloudfront.net/image/725136000567/image_t10db5te4h0nfantqgggfioc1j/-FJPG/239124-001_DET_1.jpg</t>
  </si>
  <si>
    <t>https://dd3ka9h4chfr8.cloudfront.net/image/725136000567/image_iliqoqinil52t3o3lf8r0edn3m/-FJPG/239124-001_DET_3.jpg</t>
  </si>
  <si>
    <t>https://dd3ka9h4chfr8.cloudfront.net/image/725136000567/image_cpqu2m38mt1416lmb4qm1f5i2v/-FJPG/239124-001_DET_4.jpg</t>
  </si>
  <si>
    <t>https://dd3ka9h4chfr8.cloudfront.net/image/725136000567/image_ajqh4q9vap6dv3j1emmj6n9g3u/-FJPG/239124-001_DET_5.jpg</t>
  </si>
  <si>
    <t>Julius Swivel Chair - Surrey Cocoa</t>
  </si>
  <si>
    <t>https://dd3ka9h4chfr8.cloudfront.net/image/725136000567/image_79u4eu8b1d1o52j9s7l3qs505s/-S150x150-FJPG/239124-002_PRM_1.jpg</t>
  </si>
  <si>
    <t>https://dd3ka9h4chfr8.cloudfront.net/image/725136000567/image_79u4eu8b1d1o52j9s7l3qs505s/-FJPG/239124-002_PRM_1.jpg</t>
  </si>
  <si>
    <t>https://dd3ka9h4chfr8.cloudfront.net/image/725136000567/image_8bl5u0a2jp11p94eo8korq7s2l/-FJPG/239124-002_SID_1.jpg</t>
  </si>
  <si>
    <t>https://dd3ka9h4chfr8.cloudfront.net/image/725136000567/image_aab7s0obdh3k37pa78ttsqn578/-FJPG/239124-002_ESS.tif</t>
  </si>
  <si>
    <t>https://dd3ka9h4chfr8.cloudfront.net/image/725136000567/image_au2c5egc5d099f1q978ps3o91r/-FJPG/239124-002_DET_2.jpg</t>
  </si>
  <si>
    <t>https://dd3ka9h4chfr8.cloudfront.net/image/725136000567/image_tsnebvqflh0vfbr8vocfjsna6o/-FJPG/239124-002_BCK_1.jpg</t>
  </si>
  <si>
    <t>https://dd3ka9h4chfr8.cloudfront.net/image/725136000567/image_ltbnmokqe15ovbbeahiabtad64/-FJPG/239124-002_DET_1.jpg</t>
  </si>
  <si>
    <t>https://dd3ka9h4chfr8.cloudfront.net/image/725136000567/image_e81t8rcdo10tr4i41ve70lcp3o/-FJPG/239124-002_DET_3.jpg</t>
  </si>
  <si>
    <t>https://dd3ka9h4chfr8.cloudfront.net/image/725136000567/image_cs3v8ecv8h2tt6v2frde1li515/-FJPG/239124-002_DET_4.jpg</t>
  </si>
  <si>
    <t>https://dd3ka9h4chfr8.cloudfront.net/image/725136000567/image_67nikiru9h0a95e4pla8ku2p0i/-FJPG/239124-002_DET_5.jpg</t>
  </si>
  <si>
    <t>https://dd3ka9h4chfr8.cloudfront.net/image/725136000567/image_guqo4gbe4d1sn0fn9ogh749o2r/-FJPG/239124-002_DET_6.jpg</t>
  </si>
  <si>
    <t>https://dd3ka9h4chfr8.cloudfront.net/image/725136000567/image_2v1u82c7093rnc05hdqg6ev272/-FJPG/FHMPRJ-007_SCENE_17_V3-DOG.tif</t>
  </si>
  <si>
    <t>Julius Swivel Chair - Taupe Shearling</t>
  </si>
  <si>
    <t>https://dd3ka9h4chfr8.cloudfront.net/image/725136000567/image_qofhf883d942t3184hi38ovr45/-S150x150-FJPG/239124-007_PRM_1.jpg</t>
  </si>
  <si>
    <t>https://dd3ka9h4chfr8.cloudfront.net/image/725136000567/image_qofhf883d942t3184hi38ovr45/-FJPG/239124-007_PRM_1.jpg</t>
  </si>
  <si>
    <t>https://dd3ka9h4chfr8.cloudfront.net/image/725136000567/image_6cue71ooel4a7630sv5e84q169/-FJPG/239124-007_SID_1.jpg</t>
  </si>
  <si>
    <t>https://dd3ka9h4chfr8.cloudfront.net/image/725136000567/image_0isaqb331d1dp3tftcnfbmms76/-FJPG/239124-007_DET_2.jpg</t>
  </si>
  <si>
    <t>https://dd3ka9h4chfr8.cloudfront.net/image/725136000567/image_prm6jrqohd3bh8arlsmoonah60/-FJPG/239124-007_BCK_1.jpg</t>
  </si>
  <si>
    <t>https://dd3ka9h4chfr8.cloudfront.net/image/725136000567/image_lpp7p1vao54jf7mr11udfbs84b/-FJPG/239124-007_DET_1.jpg</t>
  </si>
  <si>
    <t>https://dd3ka9h4chfr8.cloudfront.net/image/725136000567/image_saubfkab4h3b39l2m3h96pnr7i/-FJPG/239124-007_DET_3.jpg</t>
  </si>
  <si>
    <t>https://dd3ka9h4chfr8.cloudfront.net/image/725136000567/image_4rf1mfdtid589a23kvnophsd0c/-FJPG/239124-007_DET_4.jpg</t>
  </si>
  <si>
    <t>https://dd3ka9h4chfr8.cloudfront.net/image/725136000567/image_78du64ckv56t32chr7jsmufl0v/-FJPG/239124-007_DET_5.jpg</t>
  </si>
  <si>
    <t>https://dd3ka9h4chfr8.cloudfront.net/image/725136000567/image_0l37ccu8614r9e237jk9p70b5r/-FJPG/239124-007_DET_6.jpg</t>
  </si>
  <si>
    <t>https://dd3ka9h4chfr8.cloudfront.net/image/725136000567/image_iejvljdkr97v59nb1u7j6d3n55/-FJPG/239124-007_DET_7.jpg</t>
  </si>
  <si>
    <t>https://dd3ka9h4chfr8.cloudfront.net/image/725136000567/image_jad3k62hjp31dbok8foaglka63/-FJPG/FHMPRJ-018_SCENE-3.tif</t>
  </si>
  <si>
    <t>Kadon Chair - Sheepskin Camel</t>
  </si>
  <si>
    <t>https://dd3ka9h4chfr8.cloudfront.net/image/725136000567/image_h8pkq8aoah1md8uufklkh0ef12/-S150x150-FJPG/234818-002_PRM_1.jpg</t>
  </si>
  <si>
    <t>https://dd3ka9h4chfr8.cloudfront.net/image/725136000567/image_h8pkq8aoah1md8uufklkh0ef12/-FJPG/234818-002_PRM_1.jpg</t>
  </si>
  <si>
    <t>https://dd3ka9h4chfr8.cloudfront.net/image/725136000567/image_8fth1clufl2c7ansoe171mms3i/-FJPG/234818-002_SID_1.jpg</t>
  </si>
  <si>
    <t>https://dd3ka9h4chfr8.cloudfront.net/image/725136000567/image_hafes5fujd4837g4nb05h5v43k/-FJPG/234818-002_ESS_1.jpg</t>
  </si>
  <si>
    <t>https://dd3ka9h4chfr8.cloudfront.net/image/725136000567/image_tj1h5sbeql69p2hm7bo4k2r03u/-FJPG/234818-002_DET_2.jpg</t>
  </si>
  <si>
    <t>https://dd3ka9h4chfr8.cloudfront.net/image/725136000567/image_lrk1seuknp4kbac3urdap32v2j/-FJPG/234818-002_BCK_1.jpg</t>
  </si>
  <si>
    <t>https://dd3ka9h4chfr8.cloudfront.net/image/725136000567/image_d18eu10kkd5i92f0p86mo5bq5l/-FJPG/234818-002_DET_1.jpg</t>
  </si>
  <si>
    <t>https://dd3ka9h4chfr8.cloudfront.net/image/725136000567/image_s3lvnu3rjh2011vchhsr15tj6k/-FJPG/234818-002_DET_3.jpg</t>
  </si>
  <si>
    <t>https://dd3ka9h4chfr8.cloudfront.net/image/725136000567/image_sgl4946utd2ubbdugn9t8uan3l/-FJPG/234818-002_DET_4.jpg</t>
  </si>
  <si>
    <t>https://dd3ka9h4chfr8.cloudfront.net/image/725136000567/image_nanqjnle1p485b21v9bsu7pl2b/-FJPG/234818-002_DET_5.jpg</t>
  </si>
  <si>
    <t>https://dd3ka9h4chfr8.cloudfront.net/image/725136000567/image_7qid4195qp0719929cc8elvp73/-FJPG/234818-002_DET_6.jpg</t>
  </si>
  <si>
    <t>https://dd3ka9h4chfr8.cloudfront.net/image/725136000567/image_tiksmibt315snfe9g1gd2kd62c/-FJPG/234818-002_ROM_1.jpg</t>
  </si>
  <si>
    <t>Kadon Chair - Sheepskin Natural</t>
  </si>
  <si>
    <t>https://dd3ka9h4chfr8.cloudfront.net/image/725136000567/image_qt9itb6t2573n0hfc85vi78u5t/-S150x150-FJPG/234818-001_PRM_1.jpg</t>
  </si>
  <si>
    <t>https://dd3ka9h4chfr8.cloudfront.net/image/725136000567/image_qt9itb6t2573n0hfc85vi78u5t/-FJPG/234818-001_PRM_1.jpg</t>
  </si>
  <si>
    <t>https://dd3ka9h4chfr8.cloudfront.net/image/725136000567/image_g4i9scrkkp0obbhgtn5thqnq7s/-FJPG/234818-001_SID_1.jpg</t>
  </si>
  <si>
    <t>https://dd3ka9h4chfr8.cloudfront.net/image/725136000567/image_ftkq69fiih0pd2mav49str3d59/-FJPG/234818-001_ESS.jpg</t>
  </si>
  <si>
    <t>https://dd3ka9h4chfr8.cloudfront.net/image/725136000567/image_j4n0kr226t6ib55d6rdmobcj2i/-FJPG/234818-001_ESS_1.jpg</t>
  </si>
  <si>
    <t>https://dd3ka9h4chfr8.cloudfront.net/image/725136000567/image_de502d9ss16qpbhue0qi6qo12s/-FJPG/234818-001_DET_2.jpg</t>
  </si>
  <si>
    <t>https://dd3ka9h4chfr8.cloudfront.net/image/725136000567/image_innp52tbpl6fr5ujjotcpk544j/-FJPG/234818-001_BCK_1.jpg</t>
  </si>
  <si>
    <t>https://dd3ka9h4chfr8.cloudfront.net/image/725136000567/image_6mli57t0lt4epc8ufkk7h85s6v/-FJPG/234818-001_DET_1.jpg</t>
  </si>
  <si>
    <t>https://dd3ka9h4chfr8.cloudfront.net/image/725136000567/image_mq3mgsutel0qdbns9m1vngjr37/-FJPG/234818-001_DET_3.jpg</t>
  </si>
  <si>
    <t>https://dd3ka9h4chfr8.cloudfront.net/image/725136000567/image_5taaqu2of515p6lq4a4frt3q3j/-FJPG/234818-001_DET_4.jpg</t>
  </si>
  <si>
    <t>https://dd3ka9h4chfr8.cloudfront.net/image/725136000567/image_jms5e08oid0ffbhlaelvgnos6a/-FJPG/234818-001_DET_5.jpg</t>
  </si>
  <si>
    <t>https://dd3ka9h4chfr8.cloudfront.net/image/725136000567/image_bp7fro1rb54g5c52ve0fhmda4c/-FJPG/234818-001_DET_6.jpg</t>
  </si>
  <si>
    <t>https://dd3ka9h4chfr8.cloudfront.net/image/725136000567/image_h8cbgiauu939d951vcj6t5990g/-FJPG/234818-001_VIG_1.jpg</t>
  </si>
  <si>
    <t>Kadon Chaise Lounge - Sheepskin Camel</t>
  </si>
  <si>
    <t>https://dd3ka9h4chfr8.cloudfront.net/image/725136000567/image_qfg0uatro54br2t03t4s3qa204/-S150x150-FJPG/234693-001_PRM_1.jpg</t>
  </si>
  <si>
    <t>https://dd3ka9h4chfr8.cloudfront.net/image/725136000567/image_qfg0uatro54br2t03t4s3qa204/-FJPG/234693-001_PRM_1.jpg</t>
  </si>
  <si>
    <t>https://dd3ka9h4chfr8.cloudfront.net/image/725136000567/image_6nlbr5jak5435d8q4atf1nca3k/-FJPG/234693-001_SID_1.jpg</t>
  </si>
  <si>
    <t>https://dd3ka9h4chfr8.cloudfront.net/image/725136000567/image_s35a4lrgrp4an9rr3cr4igps7u/-FJPG/234693-001_ESS_1.jpg</t>
  </si>
  <si>
    <t>https://dd3ka9h4chfr8.cloudfront.net/image/725136000567/image_briula4rj10n7215ekq34ttl73/-FJPG/234693-001_DET_2.jpg</t>
  </si>
  <si>
    <t>https://dd3ka9h4chfr8.cloudfront.net/image/725136000567/image_915nvmvpop0kd2ucfqr5jmhv6h/-FJPG/234693-001_BCK_1.jpg</t>
  </si>
  <si>
    <t>https://dd3ka9h4chfr8.cloudfront.net/image/725136000567/image_2bn8s6tm410j55rh4hkb682n6l/-FJPG/234693-001_DET_1.jpg</t>
  </si>
  <si>
    <t>https://dd3ka9h4chfr8.cloudfront.net/image/725136000567/image_ossfduap216fpcjm412f6jfk5b/-FJPG/234693-001_DET_3.jpg</t>
  </si>
  <si>
    <t>https://dd3ka9h4chfr8.cloudfront.net/image/725136000567/image_a04d3tgndl6alckb0k0bqqop3i/-FJPG/234693-001_DET_4.jpg</t>
  </si>
  <si>
    <t>https://dd3ka9h4chfr8.cloudfront.net/image/725136000567/image_pn0hsd61fp23b6c4hhrer5430b/-FJPG/234693-001_DET_5.jpg</t>
  </si>
  <si>
    <t>https://dd3ka9h4chfr8.cloudfront.net/image/725136000567/image_vlkinjflll1pr66fehg65e3b60/-FJPG/234693-001_DET_6.jpg</t>
  </si>
  <si>
    <t>Kaya Swivel Chair - Haven Tobacco</t>
  </si>
  <si>
    <t>https://dd3ka9h4chfr8.cloudfront.net/image/725136000567/image_9mdlg47aah23ra78svjpplhe5q/-S150x150-FJPG/108738-002_PRM_1.jpg</t>
  </si>
  <si>
    <t>https://dd3ka9h4chfr8.cloudfront.net/image/725136000567/image_9mdlg47aah23ra78svjpplhe5q/-FJPG/108738-002_PRM_1.jpg</t>
  </si>
  <si>
    <t>https://dd3ka9h4chfr8.cloudfront.net/image/725136000567/image_odel2jldkh0e9f85p2itpcur0h/-FJPG/108738-002_SID_1.jpg</t>
  </si>
  <si>
    <t>https://dd3ka9h4chfr8.cloudfront.net/image/725136000567/image_aule0fjojl10bdnigotcp28n4o/-FJPG/108738-002_ESS.tif</t>
  </si>
  <si>
    <t>https://dd3ka9h4chfr8.cloudfront.net/image/725136000567/image_7298406gdl2fjfvconff9r2e79/-FJPG/108738-002_DET_2.jpg</t>
  </si>
  <si>
    <t>https://dd3ka9h4chfr8.cloudfront.net/image/725136000567/image_f8f8dglhet41f9mqtckg76025l/-FJPG/108738-002_BCK_1.jpg</t>
  </si>
  <si>
    <t>https://dd3ka9h4chfr8.cloudfront.net/image/725136000567/image_tjt8kam0uh2uv7i2a4382o0i2j/-FJPG/108738-002_DET_1.jpg</t>
  </si>
  <si>
    <t>https://dd3ka9h4chfr8.cloudfront.net/image/725136000567/image_pt2kaaig752ffbksoi43bv007d/-FJPG/108738-002_DET_3.jpg</t>
  </si>
  <si>
    <t>https://dd3ka9h4chfr8.cloudfront.net/image/725136000567/image_29u5ec7l395s1cvnpqimkh590n/-FJPG/108738-002_DET_4.jpg</t>
  </si>
  <si>
    <t>https://dd3ka9h4chfr8.cloudfront.net/image/725136000567/image_8btdrrc8i557r26mdpjo2cso13/-FJPG/108738-002_DET_9.tif</t>
  </si>
  <si>
    <t>https://dd3ka9h4chfr8.cloudfront.net/image/725136000567/image_jk0slp4v1t28lbnjgdhe0to57t/-FJPG/108738-002_ROM_1.jpg</t>
  </si>
  <si>
    <t>https://dd3ka9h4chfr8.cloudfront.net/image/725136000567/image_7ur322vnol1p936h9k3qa40426/-FJPG/108738-002_PRM_2.jpg</t>
  </si>
  <si>
    <t>Keane Console Table - Reclaimed Black Elm</t>
  </si>
  <si>
    <t>Reclaimed Resawn Elm Veneer</t>
  </si>
  <si>
    <t>https://dd3ka9h4chfr8.cloudfront.net/image/725136000567/image_uju69lv0d13rv4eqac5m085g2j/-S150x150-FJPG/233422-002_PRM_1.jpg</t>
  </si>
  <si>
    <t>https://dd3ka9h4chfr8.cloudfront.net/image/725136000567/image_2717o9uu3p4mtak6uf4t7ghh7f/-FJPG/233422-002_FRT_1.jpg</t>
  </si>
  <si>
    <t>https://dd3ka9h4chfr8.cloudfront.net/image/725136000567/image_uju69lv0d13rv4eqac5m085g2j/-FJPG/233422-002_PRM_1.jpg</t>
  </si>
  <si>
    <t>https://dd3ka9h4chfr8.cloudfront.net/image/725136000567/image_r22np1hdep37l9oum3pgt0jb6g/-FJPG/233422-002_PRM_1.JPG</t>
  </si>
  <si>
    <t>https://dd3ka9h4chfr8.cloudfront.net/image/725136000567/image_kkpq5ktlap6ev6md6fsjcdf24f/-FJPG/233422-002_SID_1.JPG</t>
  </si>
  <si>
    <t>https://dd3ka9h4chfr8.cloudfront.net/image/725136000567/image_1a4im802ll7il7u76nvp4et125/-FJPG/233422-002_SID_1.jpg</t>
  </si>
  <si>
    <t>https://dd3ka9h4chfr8.cloudfront.net/image/725136000567/image_6iof9k924h0n94ad4tmcmgfb58/-FJPG/233422-002_ESS_1.jpg</t>
  </si>
  <si>
    <t>https://dd3ka9h4chfr8.cloudfront.net/image/725136000567/image_g7soicsv7t7il8bb3l8alf0t7e/-FJPG/233422-002_DET_2.jpg</t>
  </si>
  <si>
    <t>https://dd3ka9h4chfr8.cloudfront.net/image/725136000567/image_mipdq4d3cp4u30ndbi86fikt7g/-FJPG/233422-002_DET_2.JPG</t>
  </si>
  <si>
    <t>https://dd3ka9h4chfr8.cloudfront.net/image/725136000567/image_rp5pkkb77967r9l4cdvca5ml5i/-FJPG/233422-002_DET_1.JPG</t>
  </si>
  <si>
    <t>https://dd3ka9h4chfr8.cloudfront.net/image/725136000567/image_d6dd33mach45vesgstbse7f03r/-FJPG/233422-002_DET_1.jpg</t>
  </si>
  <si>
    <t>https://dd3ka9h4chfr8.cloudfront.net/image/725136000567/image_1nv85gq2ed3gbdo81f2h5pkf4s/-FJPG/233422-002_DET_3.JPG</t>
  </si>
  <si>
    <t>https://dd3ka9h4chfr8.cloudfront.net/image/725136000567/image_glh9efsqn95d9cihn839sn9s5d/-FJPG/233422-002_DET_3.jpg</t>
  </si>
  <si>
    <t>https://dd3ka9h4chfr8.cloudfront.net/image/725136000567/image_iia631sn1t3l7fflbtq1uiqq6b/-FJPG/233422-002_DET_4.jpg</t>
  </si>
  <si>
    <t>https://dd3ka9h4chfr8.cloudfront.net/image/725136000567/image_qt4sntqgfh40l47as7ph6ng54c/-FJPG/233422-002_DET_4.JPG</t>
  </si>
  <si>
    <t>https://dd3ka9h4chfr8.cloudfront.net/image/725136000567/image_un0blginfd5rn3ju0ltrkgcv2q/-FJPG/233422-002_DET_5.jpg</t>
  </si>
  <si>
    <t>https://dd3ka9h4chfr8.cloudfront.net/image/725136000567/image_qjlu9bu8fd09l82j0ee931h01v/-FJPG/233422-002_DET_5.JPG</t>
  </si>
  <si>
    <t>https://dd3ka9h4chfr8.cloudfront.net/image/725136000567/image_99b22ckjop0tb2md15e0lurn2p/-FJPG/233422-002_DET_6.JPG</t>
  </si>
  <si>
    <t>Keane Console Table - Reclaimed Natural Elm</t>
  </si>
  <si>
    <t>https://dd3ka9h4chfr8.cloudfront.net/image/725136000567/image_6qmg96tpll1ip2p01n8qbi5a2a/-S150x150-FJPG/233422-001_PRM_1.JPG</t>
  </si>
  <si>
    <t>https://dd3ka9h4chfr8.cloudfront.net/image/725136000567/image_pibtuo7ult12b73e58gubv2j4a/-FJPG/233422-001_FRT_1.JPG</t>
  </si>
  <si>
    <t>https://dd3ka9h4chfr8.cloudfront.net/image/725136000567/image_6qmg96tpll1ip2p01n8qbi5a2a/-FJPG/233422-001_PRM_1.JPG</t>
  </si>
  <si>
    <t>https://dd3ka9h4chfr8.cloudfront.net/image/725136000567/image_d3kml0qshl16lam6fe50c8ii2t/-FJPG/233422-001_PRM_1.jpg</t>
  </si>
  <si>
    <t>https://dd3ka9h4chfr8.cloudfront.net/image/725136000567/image_41g1j4m9d55k3cc7j543agk17n/-FJPG/233422-001_SID_1.jpg</t>
  </si>
  <si>
    <t>https://dd3ka9h4chfr8.cloudfront.net/image/725136000567/image_j2gli6cgit381cont5i9call5p/-FJPG/233422-001_SID_1.JPG</t>
  </si>
  <si>
    <t>https://dd3ka9h4chfr8.cloudfront.net/image/725136000567/image_upoo22ilqp6ancvetnsrj2el1a/-FJPG/233422-001_ESS.tif</t>
  </si>
  <si>
    <t>https://dd3ka9h4chfr8.cloudfront.net/image/725136000567/image_56b3bdp63t03rc7jsvbsr6e142/-FJPG/233422-001_DET_2.JPG</t>
  </si>
  <si>
    <t>https://dd3ka9h4chfr8.cloudfront.net/image/725136000567/image_3b0ht3nmid13jf6dh2ajmc1832/-FJPG/233422-001_DET_2.jpg</t>
  </si>
  <si>
    <t>https://dd3ka9h4chfr8.cloudfront.net/image/725136000567/image_je84nal0sp16paij6m49vola57/-FJPG/233422-001_DET_1.jpg</t>
  </si>
  <si>
    <t>https://dd3ka9h4chfr8.cloudfront.net/image/725136000567/image_r7htch2iqp4jv0u05qvtfheg1v/-FJPG/233422-001_DET_1.JPG</t>
  </si>
  <si>
    <t>https://dd3ka9h4chfr8.cloudfront.net/image/725136000567/image_8g1ntuokj11hn3ttst1jqngr7q/-FJPG/233422-001_DET_3.jpg</t>
  </si>
  <si>
    <t>https://dd3ka9h4chfr8.cloudfront.net/image/725136000567/image_mcbd7dco1p3ad0kpio351j3809/-FJPG/233422-001_DET_3.JPG</t>
  </si>
  <si>
    <t>https://dd3ka9h4chfr8.cloudfront.net/image/725136000567/image_8efdtmkcl5195bb8u34ro61q3n/-FJPG/233422-001_DET_4.JPG</t>
  </si>
  <si>
    <t>https://dd3ka9h4chfr8.cloudfront.net/image/725136000567/image_gvfeqrac251f123m5luecbpi24/-FJPG/233422-001_DET_5.JPG</t>
  </si>
  <si>
    <t>https://dd3ka9h4chfr8.cloudfront.net/image/725136000567/image_tfcllq0dtd429eadrhp0phsj3i/-FJPG/233422-001_DET_6.JPG</t>
  </si>
  <si>
    <t>Kelby Bookcase - Gunmetal</t>
  </si>
  <si>
    <t>https://dd3ka9h4chfr8.cloudfront.net/image/725136000567/image_ih6oqhdk212bb8cpcqalonq730/-S150x150-FJPG/226055-001_PRM_1.jpg</t>
  </si>
  <si>
    <t>https://dd3ka9h4chfr8.cloudfront.net/image/725136000567/image_ih6oqhdk212bb8cpcqalonq730/-FJPG/226055-001_PRM_1.jpg</t>
  </si>
  <si>
    <t>https://dd3ka9h4chfr8.cloudfront.net/image/725136000567/image_32mta22kj56s1d4ilc68g3l27s/-FJPG/226055-001_SID_1.jpg</t>
  </si>
  <si>
    <t>https://dd3ka9h4chfr8.cloudfront.net/image/725136000567/image_2lma24ts193rtb7g9fblakoh2a/-FJPG/226055-001_ESS_1.jpg</t>
  </si>
  <si>
    <t>https://dd3ka9h4chfr8.cloudfront.net/image/725136000567/image_qvdol0ins144navj8ftmf07l4b/-FJPG/226055-001_DET_2.jpg</t>
  </si>
  <si>
    <t>https://dd3ka9h4chfr8.cloudfront.net/image/725136000567/image_tp8o6vhrql2fp3vfd21pk7ol27/-FJPG/226055-001_BCK_1.jpg</t>
  </si>
  <si>
    <t>https://dd3ka9h4chfr8.cloudfront.net/image/725136000567/image_i418j9jpf546b4h2v6sh1v382e/-FJPG/226055-001_DET_1.jpg</t>
  </si>
  <si>
    <t>https://dd3ka9h4chfr8.cloudfront.net/image/725136000567/image_r3845de56t2ib8brslbo72004p/-FJPG/226055-001_DET_3.jpg</t>
  </si>
  <si>
    <t>https://dd3ka9h4chfr8.cloudfront.net/image/725136000567/image_tg2fp7vjvp7159o3tkfn4e2b3u/-FJPG/226055-001_OPN_1.jpg</t>
  </si>
  <si>
    <t>https://dd3ka9h4chfr8.cloudfront.net/image/725136000567/image_kl16n9fakl6939pfv5vl8f8t2n/-FJPG/226055-001_DET_4.jpg</t>
  </si>
  <si>
    <t>https://dd3ka9h4chfr8.cloudfront.net/image/725136000567/image_8tmrjfcgnp3s703nc1enr1o56u/-FJPG/226055-001_DET_5.jpg</t>
  </si>
  <si>
    <t>https://dd3ka9h4chfr8.cloudfront.net/image/725136000567/image_48o5du25s54ntf6iashscnal0n/-FJPG/226055-001_DET_6.jpg</t>
  </si>
  <si>
    <t>https://dd3ka9h4chfr8.cloudfront.net/image/725136000567/image_eh8ps9d8ad33b7poei5i9gkb6m/-FJPG/226055-001_PRM_2.jpg</t>
  </si>
  <si>
    <t>Kelby Cabinet - Carved Vintage Brown</t>
  </si>
  <si>
    <t>https://dd3ka9h4chfr8.cloudfront.net/image/725136000567/image_ss0bls7r891sdbicvej6j5a76a/-S150x150-FJPG/101334-002_PRM_1.jpg</t>
  </si>
  <si>
    <t>https://dd3ka9h4chfr8.cloudfront.net/image/725136000567/image_ss0bls7r891sdbicvej6j5a76a/-FJPG/101334-002_PRM_1.jpg</t>
  </si>
  <si>
    <t>https://dd3ka9h4chfr8.cloudfront.net/image/725136000567/image_tqnsm3ogo56ctcos47n3i1tn57/-FJPG/101334-002_SID_1.jpg</t>
  </si>
  <si>
    <t>https://dd3ka9h4chfr8.cloudfront.net/image/725136000567/image_ld3f6gctbp4dhf96umi6mvq901/-FJPG/101334-002_DET_2.jpg</t>
  </si>
  <si>
    <t>https://dd3ka9h4chfr8.cloudfront.net/image/725136000567/image_fn93vj904154ja0m2a9dfb7f6j/-FJPG/101334-002_DET_1.jpg</t>
  </si>
  <si>
    <t>https://dd3ka9h4chfr8.cloudfront.net/image/725136000567/image_q9h4eladf1525asnlagpttds32/-FJPG/101334-002_DET_4.jpg</t>
  </si>
  <si>
    <t>https://dd3ka9h4chfr8.cloudfront.net/image/725136000567/image_1vgafrc94t1cpcqoedvk95pc2v/-FJPG/101334-002_VIG_1.jpg</t>
  </si>
  <si>
    <t>https://dd3ka9h4chfr8.cloudfront.net/image/725136000567/image_h6l18f9dol7g50vd2apt360m2u/-FJPG/101334-002_PRM_2.jpg</t>
  </si>
  <si>
    <t>Kelby Cabinet Nightstand - Light Wash Mango</t>
  </si>
  <si>
    <t>https://dd3ka9h4chfr8.cloudfront.net/image/725136000567/image_ss7mo8617h4d55jhu705ilp16c/-S150x150-FJPG/101394-004_PRM_1.jpg</t>
  </si>
  <si>
    <t>https://dd3ka9h4chfr8.cloudfront.net/image/725136000567/image_ss7mo8617h4d55jhu705ilp16c/-FJPG/101394-004_PRM_1.jpg</t>
  </si>
  <si>
    <t>https://dd3ka9h4chfr8.cloudfront.net/image/725136000567/image_skkdru0om10nj9p3onrf7ivo4o/-FJPG/101394-004_SID_1.jpg</t>
  </si>
  <si>
    <t>https://dd3ka9h4chfr8.cloudfront.net/image/725136000567/image_b3rupjqdih3fn8es7rqn7d5u3a/-FJPG/101394-004_ESS_1.jpg</t>
  </si>
  <si>
    <t>https://dd3ka9h4chfr8.cloudfront.net/image/725136000567/image_uvkvc1lj111p17n2bl69ah9b0i/-FJPG/101394-004_DET_2.jpg</t>
  </si>
  <si>
    <t>https://dd3ka9h4chfr8.cloudfront.net/image/725136000567/image_q35opitgft7o79nvg2fqb5nd6c/-FJPG/101394-004_BCK_1.jpg</t>
  </si>
  <si>
    <t>https://dd3ka9h4chfr8.cloudfront.net/image/725136000567/image_36j21a3bo138p6p5o3n7u8ij6t/-FJPG/101394-004_DET_1.jpg</t>
  </si>
  <si>
    <t>https://dd3ka9h4chfr8.cloudfront.net/image/725136000567/image_k6gggtgc8t4jvek2huvf6njb7q/-FJPG/101394-004_DET_3.jpg</t>
  </si>
  <si>
    <t>https://dd3ka9h4chfr8.cloudfront.net/image/725136000567/image_kb1j1smj8d1ln5tbl6bf5ubk5d/-FJPG/101394-004_OPN_1.jpg</t>
  </si>
  <si>
    <t>https://dd3ka9h4chfr8.cloudfront.net/image/725136000567/image_5p6s4be4id0qtfpk53f9969o1t/-FJPG/101394-004_DET_4.jpg</t>
  </si>
  <si>
    <t>https://dd3ka9h4chfr8.cloudfront.net/image/725136000567/image_g83locq58d3nl1jnorarko546u/-FJPG/101394-004_DET_5.jpg</t>
  </si>
  <si>
    <t>https://dd3ka9h4chfr8.cloudfront.net/image/725136000567/image_llk00dshdd5an96dod5hc9n11p/-FJPG/101394-004_DET_6.jpg</t>
  </si>
  <si>
    <t>https://dd3ka9h4chfr8.cloudfront.net/image/725136000567/image_37qk7sv22l63rcpc61o18pk539/-FJPG/101394-004_DET_7.jpg</t>
  </si>
  <si>
    <t>Kelby Cabinet Nightstand - Vintage Brown</t>
  </si>
  <si>
    <t>https://dd3ka9h4chfr8.cloudfront.net/image/725136000567/image_nn5phfb8154vpc56c15q2l124c/-S150x150-FJPG/101394-003_PRM_1.jpg</t>
  </si>
  <si>
    <t>https://dd3ka9h4chfr8.cloudfront.net/image/725136000567/image_nn5phfb8154vpc56c15q2l124c/-FJPG/101394-003_PRM_1.jpg</t>
  </si>
  <si>
    <t>https://dd3ka9h4chfr8.cloudfront.net/image/725136000567/image_v44fknb5d11gr9s42vkb29g358/-FJPG/101394-003_SID_1.jpg</t>
  </si>
  <si>
    <t>https://dd3ka9h4chfr8.cloudfront.net/image/725136000567/image_7h5outoukt23r3c2n1effqo76k/-FJPG/101394-003_DET_2.jpg</t>
  </si>
  <si>
    <t>https://dd3ka9h4chfr8.cloudfront.net/image/725136000567/image_1f3t9p5s057et4qm98onbj5g0p/-FJPG/101394-003_DET_1.jpg</t>
  </si>
  <si>
    <t>https://dd3ka9h4chfr8.cloudfront.net/image/725136000567/image_td2bgdjqf50vv3dm2fmvteq31q/-FJPG/101394-003_DET_3.jpg</t>
  </si>
  <si>
    <t>https://dd3ka9h4chfr8.cloudfront.net/image/725136000567/image_149b0d3dg11ln8lbel7e1ha03b/-FJPG/101394-003_OPN_1.jpg</t>
  </si>
  <si>
    <t>https://dd3ka9h4chfr8.cloudfront.net/image/725136000567/image_1meta3luk90jfavd00a5p16j04/-FJPG/101394-003_DET_4.jpg</t>
  </si>
  <si>
    <t>Kelby Closed Media Console - Vintage Brown</t>
  </si>
  <si>
    <t>https://dd3ka9h4chfr8.cloudfront.net/image/725136000567/image_depsc4c95d6hh1teau7f22tp6f/-S150x150-FJPG/234758-003_PRM_1.jpg</t>
  </si>
  <si>
    <t>https://dd3ka9h4chfr8.cloudfront.net/image/725136000567/image_depsc4c95d6hh1teau7f22tp6f/-FJPG/234758-003_PRM_1.jpg</t>
  </si>
  <si>
    <t>https://dd3ka9h4chfr8.cloudfront.net/image/725136000567/image_hqghsj6vid72jdemv19im6ip7j/-FJPG/234758-003_SID_1.jpg</t>
  </si>
  <si>
    <t>https://dd3ka9h4chfr8.cloudfront.net/image/725136000567/image_ul425u7t5t3edec98t01ng653q/-FJPG/234758-003_ESS_1.jpg</t>
  </si>
  <si>
    <t>https://dd3ka9h4chfr8.cloudfront.net/image/725136000567/image_8cm2fovrqh2rn1e65md85g8e65/-FJPG/234758-003_DET_2.jpg</t>
  </si>
  <si>
    <t>https://dd3ka9h4chfr8.cloudfront.net/image/725136000567/image_o9gjpdru0t2l3bcfm6cm9j8a3h/-FJPG/234758-003_BCK_1.jpg</t>
  </si>
  <si>
    <t>https://dd3ka9h4chfr8.cloudfront.net/image/725136000567/image_664ctnj8ap74t1r2ac0tnl0039/-FJPG/234758-003_DET_1.jpg</t>
  </si>
  <si>
    <t>https://dd3ka9h4chfr8.cloudfront.net/image/725136000567/image_rvrpgb60753lj4iol28ieton5i/-FJPG/234758-003_DET_3.jpg</t>
  </si>
  <si>
    <t>https://dd3ka9h4chfr8.cloudfront.net/image/725136000567/image_kdqocv4r6t03lc1k18keplng5a/-FJPG/234758-003_OPN_1.jpg</t>
  </si>
  <si>
    <t>https://dd3ka9h4chfr8.cloudfront.net/image/725136000567/image_ng1hjfnhmp5672nn2t7j6klm7i/-FJPG/234758-003_DET_4.jpg</t>
  </si>
  <si>
    <t>https://dd3ka9h4chfr8.cloudfront.net/image/725136000567/image_ed1ojdcrdh5ln7ebsosh5kae4g/-FJPG/234758-003_DET_5.jpg</t>
  </si>
  <si>
    <t>https://dd3ka9h4chfr8.cloudfront.net/image/725136000567/image_452lo0eekl41nam6fp6bjqq85n/-FJPG/234758-003_DET_6.jpg</t>
  </si>
  <si>
    <t>https://dd3ka9h4chfr8.cloudfront.net/image/725136000567/image_8c84rp24q97qf9f1sn4vt0th34/-FJPG/234758-003-NO ART.jpg</t>
  </si>
  <si>
    <t>Kelby Media Console - Carved Vintage Brown</t>
  </si>
  <si>
    <t>https://dd3ka9h4chfr8.cloudfront.net/image/725136000567/image_4kuqjjnugp5mr7o002es450j32/-S150x150-FJPG/109097-002_PRM_1.jpg</t>
  </si>
  <si>
    <t>https://dd3ka9h4chfr8.cloudfront.net/image/725136000567/image_4kuqjjnugp5mr7o002es450j32/-FJPG/109097-002_PRM_1.jpg</t>
  </si>
  <si>
    <t>https://dd3ka9h4chfr8.cloudfront.net/image/725136000567/image_do2ek77tc138b6c2v5frhenn5j/-FJPG/109097-002_SID_1.jpg</t>
  </si>
  <si>
    <t>https://dd3ka9h4chfr8.cloudfront.net/image/725136000567/image_0827lf6f1l31r3d5a92ba64j6d/-FJPG/109097-002_DET_2.jpg</t>
  </si>
  <si>
    <t>https://dd3ka9h4chfr8.cloudfront.net/image/725136000567/image_cvie9pia311or5h0s9agt98939/-FJPG/109097-002_BCK_1.jpg</t>
  </si>
  <si>
    <t>https://dd3ka9h4chfr8.cloudfront.net/image/725136000567/image_kgj10rme315j36j7food1ee96n/-FJPG/109097-002_DET_1.jpg</t>
  </si>
  <si>
    <t>https://dd3ka9h4chfr8.cloudfront.net/image/725136000567/image_pch32opo750klbeqm43o10pn38/-FJPG/109097-002_DET_3.jpg</t>
  </si>
  <si>
    <t>https://dd3ka9h4chfr8.cloudfront.net/image/725136000567/image_vtp6sadfct4159pu7c6igg157h/-FJPG/109097-002_OPN_1.jpg</t>
  </si>
  <si>
    <t>https://dd3ka9h4chfr8.cloudfront.net/image/725136000567/image_k68p89f9o56j5dtvbmeguis458/-FJPG/109097-002_DET_4.jpg</t>
  </si>
  <si>
    <t>https://dd3ka9h4chfr8.cloudfront.net/image/725136000567/image_01vtff4mgt45pf161pennsua18/-FJPG/109097-002_OPN_2.jpg</t>
  </si>
  <si>
    <t>https://dd3ka9h4chfr8.cloudfront.net/image/725136000567/image_t3isb1u9596md2h35b81icne1g/-FJPG/109097-002_OPN_3.jpg</t>
  </si>
  <si>
    <t>Kelby Sideboard - Light Wash Mango</t>
  </si>
  <si>
    <t>https://dd3ka9h4chfr8.cloudfront.net/image/725136000567/image_1mtfvv44g90hp1gu043c5k7s7h/-S150x150-FJPG/101333-003_PRM_1.jpg</t>
  </si>
  <si>
    <t>https://dd3ka9h4chfr8.cloudfront.net/image/725136000567/image_1mtfvv44g90hp1gu043c5k7s7h/-FJPG/101333-003_PRM_1.jpg</t>
  </si>
  <si>
    <t>https://dd3ka9h4chfr8.cloudfront.net/image/725136000567/image_7ndvlf04hh6h11685r3bdb6m0a/-FJPG/101333-003_SID_1.jpg</t>
  </si>
  <si>
    <t>https://dd3ka9h4chfr8.cloudfront.net/image/725136000567/image_uiggk1tmtl5rr19kstvksmpr5g/-FJPG/101333-003_ESS_1.jpg</t>
  </si>
  <si>
    <t>https://dd3ka9h4chfr8.cloudfront.net/image/725136000567/image_jtolp0mpph7sb8eo11hgqouj7u/-FJPG/101333-003_ESS_1.jpg</t>
  </si>
  <si>
    <t>https://dd3ka9h4chfr8.cloudfront.net/image/725136000567/image_aaog1chlo954v9i5pjbesr0m3k/-FJPG/101333-003_DET_2.jpg</t>
  </si>
  <si>
    <t>https://dd3ka9h4chfr8.cloudfront.net/image/725136000567/image_5egtskfq5h7gd9vufebp1bup34/-FJPG/101333-003_BCK_1.jpg</t>
  </si>
  <si>
    <t>https://dd3ka9h4chfr8.cloudfront.net/image/725136000567/image_k9a96i4p5p3hf4lsqr670bpq4c/-FJPG/101333-003_DET_1.jpg</t>
  </si>
  <si>
    <t>https://dd3ka9h4chfr8.cloudfront.net/image/725136000567/image_71fvs4959h6qjdbgpg3q4ken44/-FJPG/101333-003_DET_3.jpg</t>
  </si>
  <si>
    <t>https://dd3ka9h4chfr8.cloudfront.net/image/725136000567/image_hlivvkfp9t157cnsklfcods149/-FJPG/101333-003_OPN_1.jpg</t>
  </si>
  <si>
    <t>https://dd3ka9h4chfr8.cloudfront.net/image/725136000567/image_a1ivfur6ct2bl2jjkqrjlm4j28/-FJPG/101333-003_DET_4.jpg</t>
  </si>
  <si>
    <t>https://dd3ka9h4chfr8.cloudfront.net/image/725136000567/image_5hsp9tfp713cr7dm9hqai77d63/-FJPG/101333-003_DET_5.jpg</t>
  </si>
  <si>
    <t>https://dd3ka9h4chfr8.cloudfront.net/image/725136000567/image_ua16ntgc9p14h8bovu1r4ea27b/-FJPG/101333-003_DET_6.jpg</t>
  </si>
  <si>
    <t>Kelby Small Media Cabinet - Vintage Brown</t>
  </si>
  <si>
    <t>https://dd3ka9h4chfr8.cloudfront.net/image/725136000567/image_edll1j7v2l31v8l5vqbjvb5m46/-S150x150-FJPG/101360-004_PRM_1.jpg</t>
  </si>
  <si>
    <t>https://dd3ka9h4chfr8.cloudfront.net/image/725136000567/image_edll1j7v2l31v8l5vqbjvb5m46/-FJPG/101360-004_PRM_1.jpg</t>
  </si>
  <si>
    <t>https://dd3ka9h4chfr8.cloudfront.net/image/725136000567/image_d25n6atgm969d4oug4h2idvn4e/-FJPG/101360-004_SID_1.jpg</t>
  </si>
  <si>
    <t>https://dd3ka9h4chfr8.cloudfront.net/image/725136000567/image_t2372bv9nd7ktci4ssvbiudt04/-FJPG/101360-004_DET_2.jpg</t>
  </si>
  <si>
    <t>https://dd3ka9h4chfr8.cloudfront.net/image/725136000567/image_nq38revo4d3e58qnokbhgl7g2i/-FJPG/101360-004_DET_1.jpg</t>
  </si>
  <si>
    <t>https://dd3ka9h4chfr8.cloudfront.net/image/725136000567/image_b8sa2j65314619e5la4f3mr33t/-FJPG/101360-004_DET_3.jpg</t>
  </si>
  <si>
    <t>https://dd3ka9h4chfr8.cloudfront.net/image/725136000567/image_vd8up51nel7k9b5jisbks05u2t/-FJPG/101360-004_OPN_1.jpg</t>
  </si>
  <si>
    <t>https://dd3ka9h4chfr8.cloudfront.net/image/725136000567/image_nrtj7fpsmt5df2cpl6da71mu05/-FJPG/101360-004_DET_4.jpg</t>
  </si>
  <si>
    <t>https://dd3ka9h4chfr8.cloudfront.net/image/725136000567/image_37ut71a9ih3ld0klsjjf8p594r/-FJPG/101360-004_DET_5.jpg</t>
  </si>
  <si>
    <t>https://dd3ka9h4chfr8.cloudfront.net/image/725136000567/image_viseqhu5dp4dp7nlehsncafv6p/-FJPG/101360-004_DET_6.jpg</t>
  </si>
  <si>
    <t>https://dd3ka9h4chfr8.cloudfront.net/image/725136000567/image_2irgpg5tth07j7rd4b4ujk4i4m/-FJPG/101360-004_DET_7.jpg</t>
  </si>
  <si>
    <t>https://dd3ka9h4chfr8.cloudfront.net/image/725136000567/image_mrtq7lab2l4875q1uhcg29fg59/-FJPG/101360-004_VIG_1.jpg</t>
  </si>
  <si>
    <t>Kennedy Chair - Crypton Nomad Taupe</t>
  </si>
  <si>
    <t>https://dd3ka9h4chfr8.cloudfront.net/image/725136000567/image_f05tpdo6it4ot6oq27juv6hu22/-S150x150-FJPG/100970-007_PRM_1.JPG</t>
  </si>
  <si>
    <t>https://dd3ka9h4chfr8.cloudfront.net/image/725136000567/image_f05tpdo6it4ot6oq27juv6hu22/-FJPG/100970-007_PRM_1.JPG</t>
  </si>
  <si>
    <t>https://dd3ka9h4chfr8.cloudfront.net/image/725136000567/image_evo4sk49q921vbi6msd6oio45i/-FJPG/100970-007_SID_1.JPG</t>
  </si>
  <si>
    <t>https://dd3ka9h4chfr8.cloudfront.net/image/725136000567/image_0v4mfi78d948f39dm0sjcg4s65/-FJPG/100970-007_DET_2.JPG</t>
  </si>
  <si>
    <t>https://dd3ka9h4chfr8.cloudfront.net/image/725136000567/image_ur8f7u9uil4f56hbi0v74cmm2t/-FJPG/100970-007_BCK_1.JPG</t>
  </si>
  <si>
    <t>https://dd3ka9h4chfr8.cloudfront.net/image/725136000567/image_fgpqclcrp95oh7k4hil8p5jb4b/-FJPG/100970-007_DET_1.JPG</t>
  </si>
  <si>
    <t>https://dd3ka9h4chfr8.cloudfront.net/image/725136000567/image_s5773ea72p61l7tepoa98tt11g/-FJPG/100970-007_DET_3.JPG</t>
  </si>
  <si>
    <t>https://dd3ka9h4chfr8.cloudfront.net/image/725136000567/image_garihiipdl7sv619cs15r2bi0j/-FJPG/100970-007_DET_4.JPG</t>
  </si>
  <si>
    <t>https://dd3ka9h4chfr8.cloudfront.net/image/725136000567/image_8utgp1fc0928bd9f4v82gv5a2i/-FJPG/100970-007_DET_5.JPG</t>
  </si>
  <si>
    <t>https://dd3ka9h4chfr8.cloudfront.net/image/725136000567/image_f0euk45jvp28j8g87hlhblg033/-FJPG/100970-007_DET_6.JPG</t>
  </si>
  <si>
    <t>https://dd3ka9h4chfr8.cloudfront.net/image/725136000567/image_svvg1lc8fd1195ufk51h20uk55/-FJPG/100970-007_DET_7.JPG</t>
  </si>
  <si>
    <t>Kennedy Chair - Gabardine Grey</t>
  </si>
  <si>
    <t>73% Polyester</t>
  </si>
  <si>
    <t>27% Acrylic</t>
  </si>
  <si>
    <t>https://dd3ka9h4chfr8.cloudfront.net/image/725136000567/image_da5m930pbd7mncd53sa10kat6v/-S150x150-FJPG/100970-004_PRM_1.jpg</t>
  </si>
  <si>
    <t>https://dd3ka9h4chfr8.cloudfront.net/image/725136000567/image_da5m930pbd7mncd53sa10kat6v/-FJPG/100970-004_PRM_1.jpg</t>
  </si>
  <si>
    <t>https://dd3ka9h4chfr8.cloudfront.net/image/725136000567/image_5i0cdl9dn15d1eb9pt3mrqp94f/-FJPG/100970-004_SID_1.jpg</t>
  </si>
  <si>
    <t>https://dd3ka9h4chfr8.cloudfront.net/image/725136000567/image_2fkktsoepl0l1cso1d5nrmqd5p/-FJPG/100970-004_DET_2.jpg</t>
  </si>
  <si>
    <t>https://dd3ka9h4chfr8.cloudfront.net/image/725136000567/image_6qalhkqnkt07t3dc87cgtif26j/-FJPG/100970-004_BCK_1.jpg</t>
  </si>
  <si>
    <t>https://dd3ka9h4chfr8.cloudfront.net/image/725136000567/image_6f41ijftih1e93d1vblmpvg91s/-FJPG/100970-004_DET_1.jpg</t>
  </si>
  <si>
    <t>https://dd3ka9h4chfr8.cloudfront.net/image/725136000567/image_7k965kl4454ed3em301l7qth6n/-FJPG/100970-004_DET_3.jpg</t>
  </si>
  <si>
    <t>https://dd3ka9h4chfr8.cloudfront.net/image/725136000567/image_a89cfjto154g30i553dir9br2b/-FJPG/100970-004_DET_4.jpg</t>
  </si>
  <si>
    <t>https://dd3ka9h4chfr8.cloudfront.net/image/725136000567/image_so5o816fdh54ha5aed57nb9a4u/-FJPG/100970-004_DET_5.jpg</t>
  </si>
  <si>
    <t>https://dd3ka9h4chfr8.cloudfront.net/image/725136000567/image_tq9asepr6h3aread287nmpab5r/-FJPG/100970-004_DET_6.jpg</t>
  </si>
  <si>
    <t>https://dd3ka9h4chfr8.cloudfront.net/image/725136000567/image_kbp5ge4vt93k37q9vl4996bu6p/-FJPG/100970-004_ROM_1.jpg</t>
  </si>
  <si>
    <t>https://dd3ka9h4chfr8.cloudfront.net/image/725136000567/image_4ekut9t9kt49fb5ncr7ovpgc15/-FJPG/100970-004_VIG_1.jpg</t>
  </si>
  <si>
    <t>Kennedy Chair - Kerbey Ivory</t>
  </si>
  <si>
    <t>https://dd3ka9h4chfr8.cloudfront.net/image/725136000567/image_2kg3n0ser51tv6iqahim8jqe5h/-S150x150-FJPG/100970-002_PRM_1.jpg</t>
  </si>
  <si>
    <t>https://dd3ka9h4chfr8.cloudfront.net/image/725136000567/image_2kg3n0ser51tv6iqahim8jqe5h/-FJPG/100970-002_PRM_1.jpg</t>
  </si>
  <si>
    <t>https://dd3ka9h4chfr8.cloudfront.net/image/725136000567/image_nkke9o6opd4ph9lqtuagb9n736/-FJPG/100970-002_SID_1.jpg</t>
  </si>
  <si>
    <t>https://dd3ka9h4chfr8.cloudfront.net/image/725136000567/image_q2iioqiipp247413i3c98oo079/-FJPG/100970-002_ESS_1.jpg</t>
  </si>
  <si>
    <t>https://dd3ka9h4chfr8.cloudfront.net/image/725136000567/image_m0o6bjjhdt3bn7uh1lsiti7r32/-FJPG/100970-002_DET_2.jpg</t>
  </si>
  <si>
    <t>https://dd3ka9h4chfr8.cloudfront.net/image/725136000567/image_r7c9qf79s12fvej9gjlqalvf3d/-FJPG/100970-002_BCK_1.jpg</t>
  </si>
  <si>
    <t>https://dd3ka9h4chfr8.cloudfront.net/image/725136000567/image_eodir1cnl52vr4n2fo6ti0i35r/-FJPG/100970-002_INF_1.jpg</t>
  </si>
  <si>
    <t>https://dd3ka9h4chfr8.cloudfront.net/image/725136000567/image_b59sbd3kvl5ir3o0le8482l05p/-FJPG/100970-002_DET_1.jpg</t>
  </si>
  <si>
    <t>https://dd3ka9h4chfr8.cloudfront.net/image/725136000567/image_q4jbntl9qh18pfl763pncb0r2u/-FJPG/100970-002_DET_3.jpg</t>
  </si>
  <si>
    <t>https://dd3ka9h4chfr8.cloudfront.net/image/725136000567/image_nmjseevop50654d2oo4undnt3d/-FJPG/100970-002_DET_4.jpg</t>
  </si>
  <si>
    <t>https://dd3ka9h4chfr8.cloudfront.net/image/725136000567/image_6clkbvqk191ovck4s91dvr9f08/-FJPG/100970-002_DET_5.jpg</t>
  </si>
  <si>
    <t>https://dd3ka9h4chfr8.cloudfront.net/image/725136000567/image_8m0pj9argp5a755ilhjdn6ff1u/-FJPG/100970-002_DET_6.jpg</t>
  </si>
  <si>
    <t>Kennedy Chair - Palermo Cognac</t>
  </si>
  <si>
    <t>https://dd3ka9h4chfr8.cloudfront.net/image/725136000567/image_fesd9efrt15hbagtl3gd0luk6b/-S150x150-FJPG/100970-006_PRM_1.jpg</t>
  </si>
  <si>
    <t>https://dd3ka9h4chfr8.cloudfront.net/image/725136000567/image_fesd9efrt15hbagtl3gd0luk6b/-FJPG/100970-006_PRM_1.jpg</t>
  </si>
  <si>
    <t>https://dd3ka9h4chfr8.cloudfront.net/image/725136000567/image_9jtv8k49oh6q52shen219pa603/-FJPG/100970-006_SID_1.jpg</t>
  </si>
  <si>
    <t>https://dd3ka9h4chfr8.cloudfront.net/image/725136000567/image_gn70nk08ut4fn71s53nqo72a69/-FJPG/100970-006_ESS_1.jpg</t>
  </si>
  <si>
    <t>https://dd3ka9h4chfr8.cloudfront.net/image/725136000567/image_6dckr6p0m57931dg4p9op85a3j/-FJPG/100970-006_DET_2.jpg</t>
  </si>
  <si>
    <t>https://dd3ka9h4chfr8.cloudfront.net/image/725136000567/image_d3o66ocv9l70vbad96vbht5232/-FJPG/100970-006_BCK_1.jpg</t>
  </si>
  <si>
    <t>https://dd3ka9h4chfr8.cloudfront.net/image/725136000567/image_8jaajj2npp7mdfkcainkkmf05b/-FJPG/100970-006_DET_1.jpg</t>
  </si>
  <si>
    <t>https://dd3ka9h4chfr8.cloudfront.net/image/725136000567/image_gepo1e5hat647f0gqncqbpnh28/-FJPG/100970-006_DET_3.jpg</t>
  </si>
  <si>
    <t>https://dd3ka9h4chfr8.cloudfront.net/image/725136000567/image_pg1h8lk0ep3c9auj29acivb65t/-FJPG/100970-006_DET_4.jpg</t>
  </si>
  <si>
    <t>https://dd3ka9h4chfr8.cloudfront.net/image/725136000567/image_9f1sffcfrl5dl5kggqpdaim01r/-FJPG/100970-006_DET_5.jpg</t>
  </si>
  <si>
    <t>https://dd3ka9h4chfr8.cloudfront.net/image/725136000567/image_8j7q0dh87l4p39j8jj74m48r5j/-FJPG/100970-006_PRM_2.jpg</t>
  </si>
  <si>
    <t>Kennedy Chair - Sonoma Black</t>
  </si>
  <si>
    <t>https://dd3ka9h4chfr8.cloudfront.net/image/725136000567/image_kpnkpvmde11b9804hbjfsu9g3b/-S150x150-FJPG/100970-003_PRM_1.jpg</t>
  </si>
  <si>
    <t>https://dd3ka9h4chfr8.cloudfront.net/image/725136000567/image_kpnkpvmde11b9804hbjfsu9g3b/-FJPG/100970-003_PRM_1.jpg</t>
  </si>
  <si>
    <t>https://dd3ka9h4chfr8.cloudfront.net/image/725136000567/image_7equdoake56rb83gsb8krmvo34/-FJPG/100970-003_SID_1.jpg</t>
  </si>
  <si>
    <t>https://dd3ka9h4chfr8.cloudfront.net/image/725136000567/image_q60r3pq54509t7tg7uh3ijve19/-FJPG/100970-003_DET_2.jpg</t>
  </si>
  <si>
    <t>https://dd3ka9h4chfr8.cloudfront.net/image/725136000567/image_toi9v8alhh5vj46unpo56jov79/-FJPG/100970-003_BCK_1.jpg</t>
  </si>
  <si>
    <t>https://dd3ka9h4chfr8.cloudfront.net/image/725136000567/image_6uip4b342973bbc4l9est8rs2s/-FJPG/100970-003_DET_1.jpg</t>
  </si>
  <si>
    <t>https://dd3ka9h4chfr8.cloudfront.net/image/725136000567/image_ifhmlusvu54c97er14ueu2aq3n/-FJPG/100970-003_DET_3.jpg</t>
  </si>
  <si>
    <t>https://dd3ka9h4chfr8.cloudfront.net/image/725136000567/image_9u2e5qfef16gd77ogt97qege46/-FJPG/100970-003_DET_4.jpg</t>
  </si>
  <si>
    <t>https://dd3ka9h4chfr8.cloudfront.net/image/725136000567/image_o7bqghjs457j93jtk2ff0sqn2i/-FJPG/100970-003_DET_5.jpg</t>
  </si>
  <si>
    <t>Kerry Chaise-85" - Thames Cream</t>
  </si>
  <si>
    <t>https://dd3ka9h4chfr8.cloudfront.net/image/725136000567/image_oau4f8ps1p1716ah5h3853jp74/-S150x150-FJPG/CKEN-32371-859P_PRM_1.jpg</t>
  </si>
  <si>
    <t>https://dd3ka9h4chfr8.cloudfront.net/image/725136000567/image_oau4f8ps1p1716ah5h3853jp74/-FJPG/CKEN-32371-859P_PRM_1.jpg</t>
  </si>
  <si>
    <t>https://dd3ka9h4chfr8.cloudfront.net/image/725136000567/image_g6ho619np54ppegbvjilgf4q2j/-FJPG/CKEN-32371-859P_SID_1.jpg</t>
  </si>
  <si>
    <t>https://dd3ka9h4chfr8.cloudfront.net/image/725136000567/image_5k3hqv02it7hl6d335km563h1s/-FJPG/CKEN-32371-859P_DET_2.jpg</t>
  </si>
  <si>
    <t>https://dd3ka9h4chfr8.cloudfront.net/image/725136000567/image_8f3s3i0h5552h3nj86e95ubn09/-FJPG/CKEN-32371-859P_INF_1.jpg</t>
  </si>
  <si>
    <t>https://dd3ka9h4chfr8.cloudfront.net/image/725136000567/image_pqkk3e5neh0j14tdfdeacppn0p/-FJPG/CKEN-32371-859P_DET_1.jpg</t>
  </si>
  <si>
    <t>https://dd3ka9h4chfr8.cloudfront.net/image/725136000567/image_g6l0cdk6g52vt7nchta8cam67u/-FJPG/CKEN-32371-859P_DET_3.jpg</t>
  </si>
  <si>
    <t>https://dd3ka9h4chfr8.cloudfront.net/image/725136000567/image_t4rq5u6m21599484mpen5jeo6p/-FJPG/CKEN-32371-859P_DET_4.jpg</t>
  </si>
  <si>
    <t>https://dd3ka9h4chfr8.cloudfront.net/image/725136000567/image_5dj6me4tr97h166ok0126a7g7n/-FJPG/CKEN-32371-859P_DET_5.jpg</t>
  </si>
  <si>
    <t>https://dd3ka9h4chfr8.cloudfront.net/image/725136000567/image_dl4c8q91i573lcd3fp7p1iip4n/-FJPG/CKEN-32371-859P_DET_6.jpg</t>
  </si>
  <si>
    <t>Kickapoo River Cricket Table - Distressed Black Veneer</t>
  </si>
  <si>
    <t>https://dd3ka9h4chfr8.cloudfront.net/image/725136000567/image_uguinaog5519t9v3arpfai1l4b/-S150x150-FJPG/238730-002_PRM_1.jpg</t>
  </si>
  <si>
    <t>https://dd3ka9h4chfr8.cloudfront.net/image/725136000567/image_uguinaog5519t9v3arpfai1l4b/-FJPG/238730-002_PRM_1.jpg</t>
  </si>
  <si>
    <t>https://dd3ka9h4chfr8.cloudfront.net/image/725136000567/image_bsa1ql7tt55o95pucmv8r1co42/-FJPG/238730-002_SID_1.jpg</t>
  </si>
  <si>
    <t>https://dd3ka9h4chfr8.cloudfront.net/image/725136000567/image_ojpardttat22tftjan2apnk65g/-FJPG/238730-002_ESS_1.tif</t>
  </si>
  <si>
    <t>https://dd3ka9h4chfr8.cloudfront.net/image/725136000567/image_irh14uikr97nhaucjujghaeb0q/-FJPG/238730-002_DET_2.jpg</t>
  </si>
  <si>
    <t>https://dd3ka9h4chfr8.cloudfront.net/image/725136000567/image_vdbb1ort0h5kj43osha5voek6j/-FJPG/238730-002_BCK_1.jpg</t>
  </si>
  <si>
    <t>https://dd3ka9h4chfr8.cloudfront.net/image/725136000567/image_9scrhauuep3ddc7k8h8fpibs5v/-FJPG/238730-002_DET_1.jpg</t>
  </si>
  <si>
    <t>https://dd3ka9h4chfr8.cloudfront.net/image/725136000567/image_9u9pg2egq12ud6meugqv378c76/-FJPG/238730-002_DET_3.jpg</t>
  </si>
  <si>
    <t>https://dd3ka9h4chfr8.cloudfront.net/image/725136000567/image_nq06a83f513k74shbb0dgs7c64/-FJPG/238730-002_TOP_1.jpg</t>
  </si>
  <si>
    <t>https://dd3ka9h4chfr8.cloudfront.net/image/725136000567/image_sjd66poo0t5f5dtfnj010m2q0i/-FJPG/238730-002_DET_4.jpg</t>
  </si>
  <si>
    <t>https://dd3ka9h4chfr8.cloudfront.net/image/725136000567/image_8m83j5eka14nfe1nvjl6s1gc4j/-FJPG/238730-002_DET_9.tif</t>
  </si>
  <si>
    <t>https://dd3ka9h4chfr8.cloudfront.net/image/725136000567/image_6tvd3v2tb554f8ikbtjo85qq2m/-FJPG/238730-002_DET_10.tif</t>
  </si>
  <si>
    <t>Kiera Swivel Chair - Palermo Cognac</t>
  </si>
  <si>
    <t>https://dd3ka9h4chfr8.cloudfront.net/image/725136000567/image_d6skvs84ed2g99eivlupt0go05/-S150x150-FJPG/106065-014_PRM_1.jpg</t>
  </si>
  <si>
    <t>https://dd3ka9h4chfr8.cloudfront.net/image/725136000567/image_d6skvs84ed2g99eivlupt0go05/-FJPG/106065-014_PRM_1.jpg</t>
  </si>
  <si>
    <t>https://dd3ka9h4chfr8.cloudfront.net/image/725136000567/image_7qk3h7tuhh137cq918gipq816g/-FJPG/106065-014_SID_1.jpg</t>
  </si>
  <si>
    <t>https://dd3ka9h4chfr8.cloudfront.net/image/725136000567/image_1p7e0udov10uj2adp11e1mp84g/-FJPG/106065-014_ESS_1.jpg</t>
  </si>
  <si>
    <t>https://dd3ka9h4chfr8.cloudfront.net/image/725136000567/image_s82ssgfuh50eh0va7njgcka50q/-FJPG/106065-014_DET_2.jpg</t>
  </si>
  <si>
    <t>https://dd3ka9h4chfr8.cloudfront.net/image/725136000567/image_pinlp6079t315ccdkgoknjpi4m/-FJPG/106065-014_BCK_1.jpg</t>
  </si>
  <si>
    <t>https://dd3ka9h4chfr8.cloudfront.net/image/725136000567/image_9u1im3l5b547fcg0goif4fqm3i/-FJPG/106065-014_DET_1.jpg</t>
  </si>
  <si>
    <t>https://dd3ka9h4chfr8.cloudfront.net/image/725136000567/image_er60qe6g6p3c3bahvsbaonie7g/-FJPG/106065-014_DET_3.jpg</t>
  </si>
  <si>
    <t>https://dd3ka9h4chfr8.cloudfront.net/image/725136000567/image_f2nv8pq4ll46p11scqusc1kt0i/-FJPG/106065-014_DET_4.jpg</t>
  </si>
  <si>
    <t>https://dd3ka9h4chfr8.cloudfront.net/image/725136000567/image_j81hsq0oqt52p4tkhrcddd0e4s/-FJPG/106065-014_DET_5.jpg</t>
  </si>
  <si>
    <t>https://dd3ka9h4chfr8.cloudfront.net/image/725136000567/image_578oo15d7p0vlbomuiuck7nn2f/-FJPG/106065-014_DET_6.jpg</t>
  </si>
  <si>
    <t>Kimble Swivel Chair - Crypton Henry Coffee</t>
  </si>
  <si>
    <t>https://dd3ka9h4chfr8.cloudfront.net/image/725136000567/image_1ni0kha73d6lndu3pq2gghot1c/-S150x150-FJPG/106086-033_PRM_1.jpg</t>
  </si>
  <si>
    <t>https://dd3ka9h4chfr8.cloudfront.net/image/725136000567/image_1ni0kha73d6lndu3pq2gghot1c/-FJPG/106086-033_PRM_1.jpg</t>
  </si>
  <si>
    <t>https://dd3ka9h4chfr8.cloudfront.net/image/725136000567/image_orfo07g25d4vd9thnc7ocsrn7e/-FJPG/106086-033_SID_1.jpg</t>
  </si>
  <si>
    <t>https://dd3ka9h4chfr8.cloudfront.net/image/725136000567/image_k3tongk6v11r38pjju7aoepm11/-FJPG/106086-033_ESS.tif</t>
  </si>
  <si>
    <t>https://dd3ka9h4chfr8.cloudfront.net/image/725136000567/image_6b5le3tav95eh1lueglag8ng4u/-FJPG/106086-033_DET_2.jpg</t>
  </si>
  <si>
    <t>https://dd3ka9h4chfr8.cloudfront.net/image/725136000567/image_nrgdso3ad51f150776m69mn13b/-FJPG/106086-033_BCK_1.jpg</t>
  </si>
  <si>
    <t>https://dd3ka9h4chfr8.cloudfront.net/image/725136000567/image_asrmuuid0t0ghbisrbbd3qt709/-FJPG/106086-033_DET_1.jpg</t>
  </si>
  <si>
    <t>https://dd3ka9h4chfr8.cloudfront.net/image/725136000567/image_of0t8i12013ibf775hkf20et5s/-FJPG/106086-033_DET_3.jpg</t>
  </si>
  <si>
    <t>https://dd3ka9h4chfr8.cloudfront.net/image/725136000567/image_4de471nru143n8qturq73m6r0o/-FJPG/106086-033_DET_4.jpg</t>
  </si>
  <si>
    <t>https://dd3ka9h4chfr8.cloudfront.net/image/725136000567/image_k9j2josls95ubdt83utmaina33/-FJPG/106086-033_DET_5.jpg</t>
  </si>
  <si>
    <t>https://dd3ka9h4chfr8.cloudfront.net/image/725136000567/image_vgr8ektcb16sffiqokv333lr0o/-FJPG/106086-033_DET_6.jpg</t>
  </si>
  <si>
    <t>https://dd3ka9h4chfr8.cloudfront.net/image/725136000567/image_rackkgnsf13nd863a8e5ltjb2k/-FJPG/106086-033_DET_7.jpg</t>
  </si>
  <si>
    <t>https://dd3ka9h4chfr8.cloudfront.net/image/725136000567/image_8vc1ahqfld5518l0p8l6bjln1u/-FJPG/106086-033_DET_8.jpg</t>
  </si>
  <si>
    <t>https://dd3ka9h4chfr8.cloudfront.net/image/725136000567/image_qpcrjplalp48b50hfktnq2ju32/-FJPG/106086-033_DET_9.tif</t>
  </si>
  <si>
    <t>https://dd3ka9h4chfr8.cloudfront.net/image/725136000567/image_5s3k6633th78rbiccf5r5suu75/-FJPG/106086-033_DET_10.tif</t>
  </si>
  <si>
    <t>Kimble Swivel Chair - Noble Platinum</t>
  </si>
  <si>
    <t>https://dd3ka9h4chfr8.cloudfront.net/image/725136000567/image_nqb845ee5h7ur280noeadv0p0o/-S150x150-FJPG/106086-015_PRM_1.jpg</t>
  </si>
  <si>
    <t>https://dd3ka9h4chfr8.cloudfront.net/image/725136000567/image_nqb845ee5h7ur280noeadv0p0o/-FJPG/106086-015_PRM_1.jpg</t>
  </si>
  <si>
    <t>https://dd3ka9h4chfr8.cloudfront.net/image/725136000567/image_hbtt23foj17jbf7c2bfqsdn152/-FJPG/106086-015_SID_1.jpg</t>
  </si>
  <si>
    <t>https://dd3ka9h4chfr8.cloudfront.net/image/725136000567/image_hlcv3i85bp13fetdckogsd6q3v/-FJPG/106086-015_DET_2.jpg</t>
  </si>
  <si>
    <t>https://dd3ka9h4chfr8.cloudfront.net/image/725136000567/image_eannn47dep3dnbvq9sl09hj42g/-FJPG/106086-015_BCK_1.jpg</t>
  </si>
  <si>
    <t>https://dd3ka9h4chfr8.cloudfront.net/image/725136000567/image_mpflucbj0168929rtg00i1af08/-FJPG/106086-015_DET_1.jpg</t>
  </si>
  <si>
    <t>https://dd3ka9h4chfr8.cloudfront.net/image/725136000567/image_plhojipu3d5ene6ssofipqs42e/-FJPG/106086-015_DET_3.jpg</t>
  </si>
  <si>
    <t>https://dd3ka9h4chfr8.cloudfront.net/image/725136000567/image_75rlopip6p3n39ae2a9d78ik1h/-FJPG/106086-015_TOP_1.jpg</t>
  </si>
  <si>
    <t>https://dd3ka9h4chfr8.cloudfront.net/image/725136000567/image_k21jru4gpd34tbp57nd8133s10/-FJPG/106086-015_DET_4.jpg</t>
  </si>
  <si>
    <t>https://dd3ka9h4chfr8.cloudfront.net/image/725136000567/image_cggncpc82p37p2pf8388ah2t4i/-FJPG/106086-015_DET_5.jpg</t>
  </si>
  <si>
    <t>https://dd3ka9h4chfr8.cloudfront.net/image/725136000567/image_qq7lt1d62p5cdbh71o6egkcd74/-FJPG/106086-015_DET_6.jpg</t>
  </si>
  <si>
    <t>https://dd3ka9h4chfr8.cloudfront.net/image/725136000567/image_d0g88cvocl1bj9324tlh7kqb0j/-FJPG/106086-015_DET_7.jpg</t>
  </si>
  <si>
    <t>https://dd3ka9h4chfr8.cloudfront.net/image/725136000567/image_otnggss5nh48l0bp0bte1dog71/-FJPG/106086-015_ROM_1.jpg</t>
  </si>
  <si>
    <t>Kipp Coffee Table - Burnt Bleached Oak Resawn</t>
  </si>
  <si>
    <t>https://dd3ka9h4chfr8.cloudfront.net/image/725136000567/image_9cff3sl1794gp1hk1j3gfd7u2k/-S150x150-FJPG/243347-001_PRM_1.jpg</t>
  </si>
  <si>
    <t>https://dd3ka9h4chfr8.cloudfront.net/image/725136000567/image_9cff3sl1794gp1hk1j3gfd7u2k/-FJPG/243347-001_PRM_1.jpg</t>
  </si>
  <si>
    <t>https://dd3ka9h4chfr8.cloudfront.net/image/725136000567/image_f9ltdog1k10qndsq0ohupet46l/-FJPG/243347-001_SID_1.jpg</t>
  </si>
  <si>
    <t>https://dd3ka9h4chfr8.cloudfront.net/image/725136000567/image_kvspmmb5e14tp66m43qp85pl30/-FJPG/243347-001_ESS.tif</t>
  </si>
  <si>
    <t>https://dd3ka9h4chfr8.cloudfront.net/image/725136000567/image_4b3uk54je53o132csa3lb0kb0e/-FJPG/243347-001_DET_2.jpg</t>
  </si>
  <si>
    <t>https://dd3ka9h4chfr8.cloudfront.net/image/725136000567/image_e31fv20qj51ftcrobrq5l5r35b/-FJPG/243347-001_BCK_1.jpg</t>
  </si>
  <si>
    <t>https://dd3ka9h4chfr8.cloudfront.net/image/725136000567/image_q9qq2trvip1sfdovm82c5hu12i/-FJPG/243347-001_DET_1.jpg</t>
  </si>
  <si>
    <t>https://dd3ka9h4chfr8.cloudfront.net/image/725136000567/image_c4n66a9o954vt1epo5em50l01u/-FJPG/243347-001_DET_3.jpg</t>
  </si>
  <si>
    <t>https://dd3ka9h4chfr8.cloudfront.net/image/725136000567/image_orbgvcipl11rt2cf07m8npmp4g/-FJPG/243347-001_TOP_1.jpg</t>
  </si>
  <si>
    <t>https://dd3ka9h4chfr8.cloudfront.net/image/725136000567/image_6m6shue5511i15hmnd809vog5i/-FJPG/243347-001_DET_4.jpg</t>
  </si>
  <si>
    <t>https://dd3ka9h4chfr8.cloudfront.net/image/725136000567/image_cq6n6va18t4j590if543kajh1t/-FJPG/243347-001_DET_5.jpg</t>
  </si>
  <si>
    <t>https://dd3ka9h4chfr8.cloudfront.net/image/725136000567/image_7jltka9p8l4mbdq2mt45gpqv6j/-FJPG/243347-001_DET_6.jpg</t>
  </si>
  <si>
    <t>https://dd3ka9h4chfr8.cloudfront.net/image/725136000567/image_9ro0q60pg51d1ftavvn7o90n7b/-FJPG/FHMPRJ016_SCENE-8.jpg</t>
  </si>
  <si>
    <t>Kipton 2-Piece Sectional - Gibson Mink</t>
  </si>
  <si>
    <t>https://dd3ka9h4chfr8.cloudfront.net/image/725136000567/image_g15eif8hjt5a9cf276814glo1m/-S150x150-FJPG/234057-001_PRM_1.jpg</t>
  </si>
  <si>
    <t>https://dd3ka9h4chfr8.cloudfront.net/image/725136000567/image_g15eif8hjt5a9cf276814glo1m/-FJPG/234057-001_PRM_1.jpg</t>
  </si>
  <si>
    <t>https://dd3ka9h4chfr8.cloudfront.net/image/725136000567/image_r48sol700d0q1b7eb50finv46j/-FJPG/234057-001_SID_1.jpg</t>
  </si>
  <si>
    <t>https://dd3ka9h4chfr8.cloudfront.net/image/725136000567/image_gst6lu572l73p1hhpieprqhh5v/-FJPG/234057-001_ESS_1.jpg</t>
  </si>
  <si>
    <t>https://dd3ka9h4chfr8.cloudfront.net/image/725136000567/image_1cehb8knhd01b91o2ugce7jo7b/-FJPG/234057-001_DET_2.jpg</t>
  </si>
  <si>
    <t>https://dd3ka9h4chfr8.cloudfront.net/image/725136000567/image_4iu5o9v1lt7t785tqi3ti9dm0t/-FJPG/234057-001_BCK_1.jpg</t>
  </si>
  <si>
    <t>https://dd3ka9h4chfr8.cloudfront.net/image/725136000567/image_8m1hj8og2l3r34uu46oqsdum0i/-FJPG/234057-001_DET_1.jpg</t>
  </si>
  <si>
    <t>https://dd3ka9h4chfr8.cloudfront.net/image/725136000567/image_ev46arus2l5rr8ubgadlqef43k/-FJPG/234057-001_DET_3.jpg</t>
  </si>
  <si>
    <t>https://dd3ka9h4chfr8.cloudfront.net/image/725136000567/image_c9atjdlot16uh1akcuklvlel0d/-FJPG/234057-001_DET_4.jpg</t>
  </si>
  <si>
    <t>https://dd3ka9h4chfr8.cloudfront.net/image/725136000567/image_kuag4jl2ih0ijfqdpc1n75nt0i/-FJPG/234057-001_DET_5.jpg</t>
  </si>
  <si>
    <t>https://dd3ka9h4chfr8.cloudfront.net/image/725136000567/image_edhotdcqhh7v525g1jhq1lpj19/-FJPG/234057-001_DET_6.jpg</t>
  </si>
  <si>
    <t>https://dd3ka9h4chfr8.cloudfront.net/image/725136000567/image_m783341q8t2vr186hbg2o2r26n/-FJPG/234057-001_DET_7.jpg</t>
  </si>
  <si>
    <t>https://dd3ka9h4chfr8.cloudfront.net/image/725136000567/image_e317e4oebt7979mik186jnud2n/-FJPG/234057-001_DET_8.jpg</t>
  </si>
  <si>
    <t>https://dd3ka9h4chfr8.cloudfront.net/image/725136000567/image_uf6ei1dlh11vh3gbjij8equq5o/-FJPG/234057-001_DET_9.jpg</t>
  </si>
  <si>
    <t>https://dd3ka9h4chfr8.cloudfront.net/image/725136000567/image_gjc7si82ed5fh8ajne2268c95d/-FJPG/234057-001_ESS_2.jpg</t>
  </si>
  <si>
    <t>Kirby Accent Bench - Alcala Cream</t>
  </si>
  <si>
    <t>https://dd3ka9h4chfr8.cloudfront.net/image/725136000567/image_t7v24q36op2mv3tokml4f5kn1l/-S150x150-FJPG/242452-004_PRM_1.JPG</t>
  </si>
  <si>
    <t>https://dd3ka9h4chfr8.cloudfront.net/image/725136000567/image_t7v24q36op2mv3tokml4f5kn1l/-FJPG/242452-004_PRM_1.JPG</t>
  </si>
  <si>
    <t>https://dd3ka9h4chfr8.cloudfront.net/image/725136000567/image_plr1rlkerh3rv64bfiie8ll15n/-FJPG/242452-004_SID_1.JPG</t>
  </si>
  <si>
    <t>https://dd3ka9h4chfr8.cloudfront.net/image/725136000567/image_ep9aao7dj12ft7d19sek20r708/-FJPG/242452-004_DET_2.JPG</t>
  </si>
  <si>
    <t>https://dd3ka9h4chfr8.cloudfront.net/image/725136000567/image_scevks6srh6jtauhfdgf73di2c/-FJPG/242452-004_DET_1.JPG</t>
  </si>
  <si>
    <t>https://dd3ka9h4chfr8.cloudfront.net/image/725136000567/image_ue966aa7hd38v60bl91gj1511g/-FJPG/242452-004_DET_3.JPG</t>
  </si>
  <si>
    <t>https://dd3ka9h4chfr8.cloudfront.net/image/725136000567/image_ash3ie83m11h9digj7r0rlc569/-FJPG/242452-004_DET_4.JPG</t>
  </si>
  <si>
    <t>https://dd3ka9h4chfr8.cloudfront.net/image/725136000567/image_0flem3mnll0cp528r536rk5n6o/-FJPG/242452-004_DET_5.JPG</t>
  </si>
  <si>
    <t>https://dd3ka9h4chfr8.cloudfront.net/image/725136000567/image_6g35cg0f4p6ghcl1hkbf6eop76/-FJPG/242452-004_DET_6.JPG</t>
  </si>
  <si>
    <t>Kirby Accent Bench - Solema Cream</t>
  </si>
  <si>
    <t>https://dd3ka9h4chfr8.cloudfront.net/image/725136000567/image_qpjjf10ukp3aneihaen24pk05f/-S150x150-FJPG/242452-001_PRM_1.JPG</t>
  </si>
  <si>
    <t>https://dd3ka9h4chfr8.cloudfront.net/image/725136000567/image_qpjjf10ukp3aneihaen24pk05f/-FJPG/242452-001_PRM_1.JPG</t>
  </si>
  <si>
    <t>https://dd3ka9h4chfr8.cloudfront.net/image/725136000567/image_d3c577ob3p1e359i5ijqne1n3g/-FJPG/242452-001_SID_1.JPG</t>
  </si>
  <si>
    <t>https://dd3ka9h4chfr8.cloudfront.net/image/725136000567/image_vg03cq7nfl0vt8411ids1jet22/-FJPG/242452-001_ESS.tif</t>
  </si>
  <si>
    <t>https://dd3ka9h4chfr8.cloudfront.net/image/725136000567/image_a8n2cbdcd105t7meh4jud0t75u/-FJPG/242452-001_DET_2.JPG</t>
  </si>
  <si>
    <t>https://dd3ka9h4chfr8.cloudfront.net/image/725136000567/image_edqrqaecht4r1ar3287ghjt61o/-FJPG/242452-001_DET_1.JPG</t>
  </si>
  <si>
    <t>https://dd3ka9h4chfr8.cloudfront.net/image/725136000567/image_q4li6bcn757kf8r2fbklnbc405/-FJPG/242452-001_DET_3.JPG</t>
  </si>
  <si>
    <t>https://dd3ka9h4chfr8.cloudfront.net/image/725136000567/image_1hojh20lvp03326sal9n18284n/-FJPG/242452-001_DET_4.JPG</t>
  </si>
  <si>
    <t>https://dd3ka9h4chfr8.cloudfront.net/image/725136000567/image_ga64jjvoat5q1aef1j9edr2v1s/-FJPG/242452-001_DET_9.tif</t>
  </si>
  <si>
    <t>https://dd3ka9h4chfr8.cloudfront.net/image/725136000567/image_uqp86998dp1hp95nc1isnbob4j/-FJPG/242452-001_DET_10.tif</t>
  </si>
  <si>
    <t>Kirby Accent Bench - Sutton Olive</t>
  </si>
  <si>
    <t>https://dd3ka9h4chfr8.cloudfront.net/image/725136000567/image_vnlur73gm548f7c5c56p94292o/-S150x150-FJPG/242452-003_PRM_1.jpg</t>
  </si>
  <si>
    <t>https://dd3ka9h4chfr8.cloudfront.net/image/725136000567/image_vnlur73gm548f7c5c56p94292o/-FJPG/242452-003_PRM_1.jpg</t>
  </si>
  <si>
    <t>https://dd3ka9h4chfr8.cloudfront.net/image/725136000567/image_fdl5rofntp7s19svdi84vqns6r/-FJPG/242452-003_SID_1.jpg</t>
  </si>
  <si>
    <t>https://dd3ka9h4chfr8.cloudfront.net/image/725136000567/image_6u4cal3bf91qv3au46mhq3kn62/-FJPG/242452-003_DET_2.jpg</t>
  </si>
  <si>
    <t>https://dd3ka9h4chfr8.cloudfront.net/image/725136000567/image_9tlepl90ft0913p580jo4ai00t/-FJPG/242452-003_DET_1.jpg</t>
  </si>
  <si>
    <t>https://dd3ka9h4chfr8.cloudfront.net/image/725136000567/image_lshihbaurt4sre843ct3gl0r02/-FJPG/242452-003_DET_3.jpg</t>
  </si>
  <si>
    <t>https://dd3ka9h4chfr8.cloudfront.net/image/725136000567/image_kqljf4hbkp3gt73kacdaoe6f62/-FJPG/242452-003_DET_4.jpg</t>
  </si>
  <si>
    <t>https://dd3ka9h4chfr8.cloudfront.net/image/725136000567/image_dsgn6dgve5757ahbk8q9s1rn2h/-FJPG/242452-003_DET_5.jpg</t>
  </si>
  <si>
    <t>Kirby Accent Stool - Andes Natural</t>
  </si>
  <si>
    <t>https://dd3ka9h4chfr8.cloudfront.net/image/725136000567/image_264k04i79t5vp2kctpm0s6ib22/-S150x150-FJPG/248216-002_PRM_1.JPG</t>
  </si>
  <si>
    <t>https://dd3ka9h4chfr8.cloudfront.net/image/725136000567/image_264k04i79t5vp2kctpm0s6ib22/-FJPG/248216-002_PRM_1.JPG</t>
  </si>
  <si>
    <t>https://dd3ka9h4chfr8.cloudfront.net/image/725136000567/image_cev141p2nh2bnaprbfm4u0pr45/-FJPG/248216-002_SID_1.JPG</t>
  </si>
  <si>
    <t>https://dd3ka9h4chfr8.cloudfront.net/image/725136000567/image_rv0fsvj9dd2bn9q0gdm45fie34/-FJPG/248216-002_DET_2.JPG</t>
  </si>
  <si>
    <t>https://dd3ka9h4chfr8.cloudfront.net/image/725136000567/image_3ko6b8oedl1ela83fn2mo4jb1g/-FJPG/248216-002_DET_1.JPG</t>
  </si>
  <si>
    <t>https://dd3ka9h4chfr8.cloudfront.net/image/725136000567/image_9o7me0ofgd4qt430n5qbbelr7r/-FJPG/248216-002_DET_3.JPG</t>
  </si>
  <si>
    <t>https://dd3ka9h4chfr8.cloudfront.net/image/725136000567/image_dnibs34sd56d76m276dko4kn03/-FJPG/248216-002_DET_4.JPG</t>
  </si>
  <si>
    <t>https://dd3ka9h4chfr8.cloudfront.net/image/725136000567/image_4nbp3gmlih4mb8u5df2k3j2b49/-FJPG/248216-002_DET_5.JPG</t>
  </si>
  <si>
    <t>Kramer End Table - Bluestone</t>
  </si>
  <si>
    <t>https://dd3ka9h4chfr8.cloudfront.net/image/725136000567/image_608evg9ncp0u3amvo8hv2lsr18/-S150x150-FJPG/239567-001_PRM_1.jpg</t>
  </si>
  <si>
    <t>https://dd3ka9h4chfr8.cloudfront.net/image/725136000567/image_608evg9ncp0u3amvo8hv2lsr18/-FJPG/239567-001_PRM_1.jpg</t>
  </si>
  <si>
    <t>https://dd3ka9h4chfr8.cloudfront.net/image/725136000567/image_uqf4fm7j1p3tl5bjsanu7sjj3t/-FJPG/239567-001_DET_2.jpg</t>
  </si>
  <si>
    <t>https://dd3ka9h4chfr8.cloudfront.net/image/725136000567/image_4l751ibd990gn3c9dvcuuff42b/-FJPG/239567-001_DET_1.jpg</t>
  </si>
  <si>
    <t>https://dd3ka9h4chfr8.cloudfront.net/image/725136000567/image_uu9788bhmp6v90v01n14hcq26r/-FJPG/239567-001_DET_3.jpg</t>
  </si>
  <si>
    <t>https://dd3ka9h4chfr8.cloudfront.net/image/725136000567/image_sesb3eb8mh6bd7vqib7hg1l62g/-FJPG/239567-001_DET_4.jpg</t>
  </si>
  <si>
    <t>https://dd3ka9h4chfr8.cloudfront.net/image/725136000567/image_fuum54pglh0r9f6mi4upm6n46f/-FJPG/239567-001_DET_9.tif</t>
  </si>
  <si>
    <t>https://dd3ka9h4chfr8.cloudfront.net/image/725136000567/image_ei24gk233h7q7ej2o6in588g5v/-FJPG/239567-001_ESS.tif</t>
  </si>
  <si>
    <t>Krista Dining Bench - Knoll Charcoal</t>
  </si>
  <si>
    <t>https://dd3ka9h4chfr8.cloudfront.net/image/725136000567/image_gc8sc4v2nt2h532nu4grjhg70r/-S150x150-FJPG/226228-001_PRM_1.jpg</t>
  </si>
  <si>
    <t>https://dd3ka9h4chfr8.cloudfront.net/image/725136000567/image_gc8sc4v2nt2h532nu4grjhg70r/-FJPG/226228-001_PRM_1.jpg</t>
  </si>
  <si>
    <t>https://dd3ka9h4chfr8.cloudfront.net/image/725136000567/image_40essom8dp1c9eh6qv7v9soq6v/-FJPG/226228-001_SID_1.jpg</t>
  </si>
  <si>
    <t>https://dd3ka9h4chfr8.cloudfront.net/image/725136000567/image_ri62hhpq7t3o1fchjvqsiajv1b/-FJPG/226228-001_ESS_1.jpg</t>
  </si>
  <si>
    <t>https://dd3ka9h4chfr8.cloudfront.net/image/725136000567/image_u3q3fje2el26f4gsq2gkb1fq7h/-FJPG/226228-001_DET_2.jpg</t>
  </si>
  <si>
    <t>https://dd3ka9h4chfr8.cloudfront.net/image/725136000567/image_pd5e7aa4612mvdn3vh8n59625c/-FJPG/226228-001_BCK_1.jpg</t>
  </si>
  <si>
    <t>https://dd3ka9h4chfr8.cloudfront.net/image/725136000567/image_692e9m91id0n37t00ia8gb8o1c/-FJPG/226228-001_INF_1.jpg</t>
  </si>
  <si>
    <t>https://dd3ka9h4chfr8.cloudfront.net/image/725136000567/image_aupqv5jq2118r8hm681k2tj72k/-FJPG/226228-001_DET_1.jpg</t>
  </si>
  <si>
    <t>https://dd3ka9h4chfr8.cloudfront.net/image/725136000567/image_go78pcck913ovekldqmnua6m56/-FJPG/226228-001_DET_3.jpg</t>
  </si>
  <si>
    <t>https://dd3ka9h4chfr8.cloudfront.net/image/725136000567/image_03cn2esmdl19r4ic2u6t0qdj0r/-FJPG/226228-001_DET_4.jpg</t>
  </si>
  <si>
    <t>https://dd3ka9h4chfr8.cloudfront.net/image/725136000567/image_oqs8cj3ful1fp901a5s0kp9q5i/-FJPG/226228-001_DET_5.jpg</t>
  </si>
  <si>
    <t>Krista Dining Bench - Knoll Natural</t>
  </si>
  <si>
    <t>https://dd3ka9h4chfr8.cloudfront.net/image/725136000567/image_jetrbldcbt0nvahqo3driurd16/-S150x150-FJPG/226228-003_PRM_1.JPG</t>
  </si>
  <si>
    <t>https://dd3ka9h4chfr8.cloudfront.net/image/725136000567/image_jetrbldcbt0nvahqo3driurd16/-FJPG/226228-003_PRM_1.JPG</t>
  </si>
  <si>
    <t>https://dd3ka9h4chfr8.cloudfront.net/image/725136000567/image_qn37crnbfh03l9umcbmpv00v4m/-FJPG/226228-003_SID_1.JPG</t>
  </si>
  <si>
    <t>https://dd3ka9h4chfr8.cloudfront.net/image/725136000567/image_ub51bdgbld6nfe5lvr0f58962k/-FJPG/226228-003_DET_2.JPG</t>
  </si>
  <si>
    <t>https://dd3ka9h4chfr8.cloudfront.net/image/725136000567/image_1eqr5p4ee93qdefdapf9udnb0b/-FJPG/226228-003_BCK_1.JPG</t>
  </si>
  <si>
    <t>https://dd3ka9h4chfr8.cloudfront.net/image/725136000567/image_105fja14vd5ndck7v1pnfdip7f/-FJPG/226228-003_DET_1.JPG</t>
  </si>
  <si>
    <t>https://dd3ka9h4chfr8.cloudfront.net/image/725136000567/image_dof89bhbjl4i19cv05butl6l1t/-FJPG/226228-003_DET_3.JPG</t>
  </si>
  <si>
    <t>https://dd3ka9h4chfr8.cloudfront.net/image/725136000567/image_0dni9gtv8d1e70t87qgt5j2g17/-FJPG/226228-003_DET_4.JPG</t>
  </si>
  <si>
    <t>Kyra Outdoor End Table - Aged Natural Teak</t>
  </si>
  <si>
    <t>Solid Teak</t>
  </si>
  <si>
    <t>https://dd3ka9h4chfr8.cloudfront.net/image/725136000567/image_c6ophmf8s10rha5cdtgsmfg10i/-S150x150-FJPG/230236-002_PRM_1.jpg</t>
  </si>
  <si>
    <t>https://dd3ka9h4chfr8.cloudfront.net/image/725136000567/image_c6ophmf8s10rha5cdtgsmfg10i/-FJPG/230236-002_PRM_1.jpg</t>
  </si>
  <si>
    <t>https://dd3ka9h4chfr8.cloudfront.net/image/725136000567/image_r53tvjhc2l2eveh9p9dr64nu5a/-FJPG/230236-002_SID_1.jpg</t>
  </si>
  <si>
    <t>https://dd3ka9h4chfr8.cloudfront.net/image/725136000567/image_sm8a69od6p2mj7d5hdsc6ndl66/-FJPG/230236-002_DET_1.jpg</t>
  </si>
  <si>
    <t>https://dd3ka9h4chfr8.cloudfront.net/image/725136000567/image_m6k97i0nn11rjb6ocd19nu0u2a/-FJPG/230236-002_DET_3.jpg</t>
  </si>
  <si>
    <t>https://dd3ka9h4chfr8.cloudfront.net/image/725136000567/image_743h5dcnlp62v55grkc8ddmb60/-FJPG/230236-002_TOP_1.jpg</t>
  </si>
  <si>
    <t>https://dd3ka9h4chfr8.cloudfront.net/image/725136000567/image_92jb8b8g7h13taf2rnpvo5g00r/-FJPG/230236-002_DET_4.jpg</t>
  </si>
  <si>
    <t>https://dd3ka9h4chfr8.cloudfront.net/image/725136000567/image_99pgi5up7949j5tb750arh567d/-FJPG/230236-002_TOP_VAR-4.jpg</t>
  </si>
  <si>
    <t>https://dd3ka9h4chfr8.cloudfront.net/image/725136000567/image_9n74fqcrn16frc7klpq08jm706/-FJPG/230236-002_BCK_VAR-3.jpg</t>
  </si>
  <si>
    <t>https://dd3ka9h4chfr8.cloudfront.net/image/725136000567/image_jk8m05f2g10sn5kitehdq1mq30/-FJPG/230236-002_BCK_VAR-1.jpg</t>
  </si>
  <si>
    <t>https://dd3ka9h4chfr8.cloudfront.net/image/725136000567/image_kudfq1in7d41l698k3nuoitr5f/-FJPG/230236-002_FRT_VAR-3.jpg</t>
  </si>
  <si>
    <t>https://dd3ka9h4chfr8.cloudfront.net/image/725136000567/image_p62018f3ad3s1branhosehif3u/-FJPG/230236-002_BCK_VAR-2.jpg</t>
  </si>
  <si>
    <t>https://dd3ka9h4chfr8.cloudfront.net/image/725136000567/image_8s34tqjukt6313unqm45e3ft20/-FJPG/230236-002_FRT_VAR-2.jpg</t>
  </si>
  <si>
    <t>https://dd3ka9h4chfr8.cloudfront.net/image/725136000567/image_3uelpmdr4t53hb8gjud3e35r35/-FJPG/230236-002_FRT_VAR-4.jpg</t>
  </si>
  <si>
    <t>https://dd3ka9h4chfr8.cloudfront.net/image/725136000567/image_cpoam24j3p0stc4kgsjamv5j2q/-FJPG/230236-002_FRT_VAR-1.jpg</t>
  </si>
  <si>
    <t>https://dd3ka9h4chfr8.cloudfront.net/image/725136000567/image_2fvn847uld3et64tcu8t49743n/-FJPG/230236-002_BCK_VAR-4.jpg</t>
  </si>
  <si>
    <t>https://dd3ka9h4chfr8.cloudfront.net/image/725136000567/image_df2soatqa14v5f99krht26k47a/-FJPG/230236-002_TOP_VAR-3.jpg</t>
  </si>
  <si>
    <t>https://dd3ka9h4chfr8.cloudfront.net/image/725136000567/image_5v4a1u5h9p547fpdfsvbi19b36/-FJPG/230236-002_TOP_VAR-2.jpg</t>
  </si>
  <si>
    <t>https://dd3ka9h4chfr8.cloudfront.net/image/725136000567/image_em2njclcgh4dhbhcc0f4a3g84q/-FJPG/230236-002_TOP_VAR-1.jpg</t>
  </si>
  <si>
    <t>Laker Media Console - Black Oak Veneer</t>
  </si>
  <si>
    <t>https://dd3ka9h4chfr8.cloudfront.net/image/725136000567/image_qflq1dusll40j6aa2bonnhc106/-S150x150-FJPG/235937-003_PRM_1.jpg</t>
  </si>
  <si>
    <t>https://dd3ka9h4chfr8.cloudfront.net/image/725136000567/image_qflq1dusll40j6aa2bonnhc106/-FJPG/235937-003_PRM_1.jpg</t>
  </si>
  <si>
    <t>https://dd3ka9h4chfr8.cloudfront.net/image/725136000567/image_bptorfnpmd15t98vcsg9s5rg7q/-FJPG/235937-003_SID_1.jpg</t>
  </si>
  <si>
    <t>https://dd3ka9h4chfr8.cloudfront.net/image/725136000567/image_n3vgem6n9h18jaagdqrp50pt3s/-FJPG/235937-003_ESS.tif</t>
  </si>
  <si>
    <t>https://dd3ka9h4chfr8.cloudfront.net/image/725136000567/image_8me3p5b92921d32q19vumjhc60/-FJPG/235937-003_DET_2.jpg</t>
  </si>
  <si>
    <t>https://dd3ka9h4chfr8.cloudfront.net/image/725136000567/image_3544asslel0ah03ht3iom93s43/-FJPG/235937-003_BCK_1.jpg</t>
  </si>
  <si>
    <t>https://dd3ka9h4chfr8.cloudfront.net/image/725136000567/image_695c4q65f97ehaa1sm07iffa6k/-FJPG/235937-003_DET_1.jpg</t>
  </si>
  <si>
    <t>https://dd3ka9h4chfr8.cloudfront.net/image/725136000567/image_bbgqrnips16dpb1tkhvk9hnc10/-FJPG/235937-003_DET_3.jpg</t>
  </si>
  <si>
    <t>https://dd3ka9h4chfr8.cloudfront.net/image/725136000567/image_7o35kbj5ol7mrfa9pra9mag54j/-FJPG/235937-003_OPN_1.jpg</t>
  </si>
  <si>
    <t>https://dd3ka9h4chfr8.cloudfront.net/image/725136000567/image_ggn3vduhu5607do05ue6dvk95r/-FJPG/235937-003_DET_4.jpg</t>
  </si>
  <si>
    <t>https://dd3ka9h4chfr8.cloudfront.net/image/725136000567/image_nu3l9qlfn57715cf4r7mnb467d/-FJPG/235937-003_DET_5.jpg</t>
  </si>
  <si>
    <t>https://dd3ka9h4chfr8.cloudfront.net/image/725136000567/image_m19fpt7g4t0f5cq6d9vvi1dd4m/-FJPG/235937-003_DET_6.jpg</t>
  </si>
  <si>
    <t>Lancaster Sideboard - Drifted Oak</t>
  </si>
  <si>
    <t>https://dd3ka9h4chfr8.cloudfront.net/image/725136000567/image_ss5r5tj5f10u31fphqg4f8vh2t/-S150x150-FJPG/235944-002_PRM_1.JPG</t>
  </si>
  <si>
    <t>https://dd3ka9h4chfr8.cloudfront.net/image/725136000567/image_ss5r5tj5f10u31fphqg4f8vh2t/-FJPG/235944-002_PRM_1.JPG</t>
  </si>
  <si>
    <t>https://dd3ka9h4chfr8.cloudfront.net/image/725136000567/image_8jobp71bl16cr7h4aandldb300/-FJPG/235944-002_SID_1.JPG</t>
  </si>
  <si>
    <t>https://dd3ka9h4chfr8.cloudfront.net/image/725136000567/image_kf1pfrlpv93hb3oco7332i907u/-FJPG/235944-002_ESS.tif</t>
  </si>
  <si>
    <t>https://dd3ka9h4chfr8.cloudfront.net/image/725136000567/image_f96h8ug12t0ujc510bi96cnq59/-FJPG/235944-002_DET_2.JPG</t>
  </si>
  <si>
    <t>https://dd3ka9h4chfr8.cloudfront.net/image/725136000567/image_in631s0ddh0gp1v69e1a1f001r/-FJPG/235944-002_BCK_1.JPG</t>
  </si>
  <si>
    <t>https://dd3ka9h4chfr8.cloudfront.net/image/725136000567/image_rdd8prufbt1jn1mlg30vqfo14r/-FJPG/235944-002_DET_1.JPG</t>
  </si>
  <si>
    <t>https://dd3ka9h4chfr8.cloudfront.net/image/725136000567/image_u8ruvecnu54v18ah3vuep1rp2d/-FJPG/235944-002_DET_3.JPG</t>
  </si>
  <si>
    <t>https://dd3ka9h4chfr8.cloudfront.net/image/725136000567/image_8rn3r2rdet0elee4v7trm6ee2j/-FJPG/235944-002_OPN_1.JPG</t>
  </si>
  <si>
    <t>https://dd3ka9h4chfr8.cloudfront.net/image/725136000567/image_emof23g92579f8h64g0mii6e06/-FJPG/235944-002_DET_4.JPG</t>
  </si>
  <si>
    <t>https://dd3ka9h4chfr8.cloudfront.net/image/725136000567/image_7hggg3607d49r1vms8rerbd15l/-FJPG/235944-002_DET_5.JPG</t>
  </si>
  <si>
    <t>https://dd3ka9h4chfr8.cloudfront.net/image/725136000567/image_a3l5a19erd7lf1d19391k7i626/-FJPG/235944-002_DET_9.tif</t>
  </si>
  <si>
    <t>https://dd3ka9h4chfr8.cloudfront.net/image/725136000567/image_aohsgv0oop2h5amthpbuusi319/-FJPG/235944-002_DET_10.tif</t>
  </si>
  <si>
    <t>https://dd3ka9h4chfr8.cloudfront.net/image/725136000567/image_pgll4plt297an86cv3mfie9c61/-FJPG/235944-002_OPN_2.JPG</t>
  </si>
  <si>
    <t>Lara Bed - Imani Pebble</t>
  </si>
  <si>
    <t>11% Flax/Linen</t>
  </si>
  <si>
    <t>https://dd3ka9h4chfr8.cloudfront.net/image/725136000567/image_a6lfgor8mp5il268950iq9hq20/-S150x150-FJPG/242165-001_PRM_1.jpg</t>
  </si>
  <si>
    <t>https://dd3ka9h4chfr8.cloudfront.net/image/725136000567/image_a6lfgor8mp5il268950iq9hq20/-FJPG/242165-001_PRM_1.jpg</t>
  </si>
  <si>
    <t>https://dd3ka9h4chfr8.cloudfront.net/image/725136000567/image_0pdclpeg0538lcm0a0si8uca73/-FJPG/242165-001_SID_1.jpg</t>
  </si>
  <si>
    <t>https://dd3ka9h4chfr8.cloudfront.net/image/725136000567/image_m3b0h6ju5l0endoo5dp1qt4c1k/-FJPG/242165-001_ESS_1.tif</t>
  </si>
  <si>
    <t>https://dd3ka9h4chfr8.cloudfront.net/image/725136000567/image_t850tkuhd91fh6otm04rsg2d3r/-FJPG/242165-001_DET_2.jpg</t>
  </si>
  <si>
    <t>https://dd3ka9h4chfr8.cloudfront.net/image/725136000567/image_ulhncqhjct1td5mdirmei2e26t/-FJPG/242165-001_BCK_1.jpg</t>
  </si>
  <si>
    <t>https://dd3ka9h4chfr8.cloudfront.net/image/725136000567/image_dgr2r592h13kb03auug3kci50s/-FJPG/242165-001_DET_1.jpg</t>
  </si>
  <si>
    <t>https://dd3ka9h4chfr8.cloudfront.net/image/725136000567/image_4tvgtuala97k786oht5rt78a1r/-FJPG/242165-001_DET_3.jpg</t>
  </si>
  <si>
    <t>https://dd3ka9h4chfr8.cloudfront.net/image/725136000567/image_soaldu3bjh6tfbfshbag7dtl74/-FJPG/242165-001_DET_4.jpg</t>
  </si>
  <si>
    <t>https://dd3ka9h4chfr8.cloudfront.net/image/725136000567/image_75tdmq2bu951794h5c284ean6b/-FJPG/242165-001_DET_5.jpg</t>
  </si>
  <si>
    <t>https://dd3ka9h4chfr8.cloudfront.net/image/725136000567/image_6m8004orjd19p4vetgt7gb9c6s/-FJPG/242165-001_DET_6.jpg</t>
  </si>
  <si>
    <t>https://dd3ka9h4chfr8.cloudfront.net/image/725136000567/image_sbf79c0vfp5cp79l0l8vo17c1t/-FJPG/242165-001_DET_9.tif</t>
  </si>
  <si>
    <t>https://dd3ka9h4chfr8.cloudfront.net/image/725136000567/image_gos37ucjrt0dj6sa9acg1ec80f/-FJPG/FHMPRJ-008_SCENE_10.tif</t>
  </si>
  <si>
    <t>https://dd3ka9h4chfr8.cloudfront.net/image/725136000567/image_bbd9m9kvg91s3dnnp2pk8ldr49/-S150x150-FJPG/242165-002_PRM_1.jpg</t>
  </si>
  <si>
    <t>https://dd3ka9h4chfr8.cloudfront.net/image/725136000567/image_bbd9m9kvg91s3dnnp2pk8ldr49/-FJPG/242165-002_PRM_1.jpg</t>
  </si>
  <si>
    <t>https://dd3ka9h4chfr8.cloudfront.net/image/725136000567/image_nelgepuh6l73hbqboq9tcb2q3p/-FJPG/242165-002_SID_1.jpg</t>
  </si>
  <si>
    <t>https://dd3ka9h4chfr8.cloudfront.net/image/725136000567/image_lipehpb08l4q3et9v73vb48e0l/-FJPG/242165-002_ESS_1.jpg</t>
  </si>
  <si>
    <t>https://dd3ka9h4chfr8.cloudfront.net/image/725136000567/image_9qslge75ot2cv3n9bbi6f2pc3v/-FJPG/242165-002_DET_2.jpg</t>
  </si>
  <si>
    <t>https://dd3ka9h4chfr8.cloudfront.net/image/725136000567/image_st53fhen796t1dhsvnmfccpj5o/-FJPG/242165-002_BCK_1.jpg</t>
  </si>
  <si>
    <t>https://dd3ka9h4chfr8.cloudfront.net/image/725136000567/image_d1mck8gfhd64be8vktpbaptn40/-FJPG/242165-002_DET_1.jpg</t>
  </si>
  <si>
    <t>https://dd3ka9h4chfr8.cloudfront.net/image/725136000567/image_099hupklod49nb1gemsbpf4o1q/-FJPG/242165-002_DET_3.jpg</t>
  </si>
  <si>
    <t>https://dd3ka9h4chfr8.cloudfront.net/image/725136000567/image_n7i5f4h7a96dregosgeedqej67/-FJPG/242165-002_DET_4.jpg</t>
  </si>
  <si>
    <t>https://dd3ka9h4chfr8.cloudfront.net/image/725136000567/image_l2566dcbet4vdbroa0afq9l616/-FJPG/242165-002_DET_5.jpg</t>
  </si>
  <si>
    <t>https://dd3ka9h4chfr8.cloudfront.net/image/725136000567/image_ns8juf8d2l1a36h93202mcsp2j/-FJPG/242165-002_DET_6.jpg</t>
  </si>
  <si>
    <t>https://dd3ka9h4chfr8.cloudfront.net/image/725136000567/image_bjbhcvtgot791d9tirmcaf6d4h/-FJPG/242165-002_DET_9.jpg</t>
  </si>
  <si>
    <t>Larkin Club Chair - Cigar</t>
  </si>
  <si>
    <t>https://dd3ka9h4chfr8.cloudfront.net/image/725136000567/image_nikhsnd2mp0kj4b6u20c55vs5f/-S150x150-FJPG/CCAR-22_PRM_1.jpg</t>
  </si>
  <si>
    <t>https://dd3ka9h4chfr8.cloudfront.net/image/725136000567/image_nikhsnd2mp0kj4b6u20c55vs5f/-FJPG/CCAR-22_PRM_1.jpg</t>
  </si>
  <si>
    <t>https://dd3ka9h4chfr8.cloudfront.net/image/725136000567/image_ptqmlr0lqp7tpd6p3p4osh0n7o/-FJPG/CCAR-22_SID_1.jpg</t>
  </si>
  <si>
    <t>https://dd3ka9h4chfr8.cloudfront.net/image/725136000567/image_c9a3r2ib8l2kh4ctkua8qc9i7o/-FJPG/CCAR-22_ESS_1.jpg</t>
  </si>
  <si>
    <t>https://dd3ka9h4chfr8.cloudfront.net/image/725136000567/image_chke9b411d3nhbk7j0slcnc43k/-FJPG/CCAR-22_DET_2.jpg</t>
  </si>
  <si>
    <t>https://dd3ka9h4chfr8.cloudfront.net/image/725136000567/image_n0t3m5h4vl573b07288ftabo1b/-FJPG/CCAR-22_BCK_1.jpg</t>
  </si>
  <si>
    <t>https://dd3ka9h4chfr8.cloudfront.net/image/725136000567/image_27f3pfrqlp1fb6231b5id8jf4d/-FJPG/CCAR-22_DET_1.jpg</t>
  </si>
  <si>
    <t>https://dd3ka9h4chfr8.cloudfront.net/image/725136000567/image_oqtinto80t1kpd4knbi06ab11u/-FJPG/CCAR-22_DET_3.jpg</t>
  </si>
  <si>
    <t>Larkin Sofa - Cigar</t>
  </si>
  <si>
    <t>https://dd3ka9h4chfr8.cloudfront.net/image/725136000567/image_hqtgkhmsp97m9463po0ujk9p73/-S150x150-FJPG/CCAR-24_PRM_1.jpg</t>
  </si>
  <si>
    <t>https://dd3ka9h4chfr8.cloudfront.net/image/725136000567/image_hqtgkhmsp97m9463po0ujk9p73/-FJPG/CCAR-24_PRM_1.jpg</t>
  </si>
  <si>
    <t>https://dd3ka9h4chfr8.cloudfront.net/image/725136000567/image_glolb6edhp0kl5e2go2iblri7r/-FJPG/CCAR-24_SID_1.jpg</t>
  </si>
  <si>
    <t>https://dd3ka9h4chfr8.cloudfront.net/image/725136000567/image_h9jmptcp457sf6l5lm3vgank2g/-FJPG/CCAR-24_DET_2.jpg</t>
  </si>
  <si>
    <t>https://dd3ka9h4chfr8.cloudfront.net/image/725136000567/image_2omm8v8t6p7cbdihoalgrr7a6i/-FJPG/CCAR-24_BCK_1.jpg</t>
  </si>
  <si>
    <t>https://dd3ka9h4chfr8.cloudfront.net/image/725136000567/image_6ikabfskqh0ul8tppnh1ljsn5m/-FJPG/CCAR-24_DET_1.jpg</t>
  </si>
  <si>
    <t>https://dd3ka9h4chfr8.cloudfront.net/image/725136000567/image_nnbrbfg7mp0grdefo77or9b911/-FJPG/CCAR-24_DET_3.jpg</t>
  </si>
  <si>
    <t>https://dd3ka9h4chfr8.cloudfront.net/image/725136000567/image_81inev7ndp3rlaguom21rc8v4e/-FJPG/CCAR-24_ROM_1.jpg</t>
  </si>
  <si>
    <t>https://dd3ka9h4chfr8.cloudfront.net/image/725136000567/image_ggi1ddjeol66j4qi326thi8b71/-FJPG/CCAR-24_ROM_2.jpg</t>
  </si>
  <si>
    <t>https://dd3ka9h4chfr8.cloudfront.net/image/725136000567/image_3jp60l31090ov2krj8u96ekt7t/-FJPG/CCAR-24_ROM_3.jpg</t>
  </si>
  <si>
    <t>https://dd3ka9h4chfr8.cloudfront.net/image/725136000567/image_3t2v1qvbf90lf3up4is0auvh3a/-FJPG/CCAR-24_ROM_4.jpg</t>
  </si>
  <si>
    <t>https://dd3ka9h4chfr8.cloudfront.net/image/725136000567/image_mvnmqsh9a16pr9lkoum5m4e86q/-S150x150-FJPG/CCAR-25_PRM_1.jpg</t>
  </si>
  <si>
    <t>https://dd3ka9h4chfr8.cloudfront.net/image/725136000567/image_mvnmqsh9a16pr9lkoum5m4e86q/-FJPG/CCAR-25_PRM_1.jpg</t>
  </si>
  <si>
    <t>https://dd3ka9h4chfr8.cloudfront.net/image/725136000567/image_627747qrf14sj6k0oae0gkfi7j/-FJPG/CCAR-25_SID_1.jpg</t>
  </si>
  <si>
    <t>https://dd3ka9h4chfr8.cloudfront.net/image/725136000567/image_d0e335visp2kl8qd4muu85qd0o/-FJPG/CCAR-25_DET_2.jpg</t>
  </si>
  <si>
    <t>https://dd3ka9h4chfr8.cloudfront.net/image/725136000567/image_m4kf0v6tpt4ml7usdj7ks1rc5b/-FJPG/CCAR-25_BCK_1.jpg</t>
  </si>
  <si>
    <t>https://dd3ka9h4chfr8.cloudfront.net/image/725136000567/image_p7e1dith0p5dr4hsss245duu6r/-FJPG/CCAR-25_DET_1.jpg</t>
  </si>
  <si>
    <t>https://dd3ka9h4chfr8.cloudfront.net/image/725136000567/image_lq2nk3801943n90uo6phlja03e/-FJPG/CCAR-25_ROM_1.jpg</t>
  </si>
  <si>
    <t>Lauren Desk - Charcoal Oak Resawn Veneer</t>
  </si>
  <si>
    <t>https://dd3ka9h4chfr8.cloudfront.net/image/725136000567/image_mc7qaaleo91i5fba5unmn8lp2k/-S150x150-FJPG/104607-003_PRM_1.jpg</t>
  </si>
  <si>
    <t>https://dd3ka9h4chfr8.cloudfront.net/image/725136000567/image_mc7qaaleo91i5fba5unmn8lp2k/-FJPG/104607-003_PRM_1.jpg</t>
  </si>
  <si>
    <t>https://dd3ka9h4chfr8.cloudfront.net/image/725136000567/image_vnhbphrmv90i592drtbh6bus0r/-FJPG/104607-003_SID_1.jpg</t>
  </si>
  <si>
    <t>https://dd3ka9h4chfr8.cloudfront.net/image/725136000567/image_98eakvbci50kr7h8speqvbr174/-FJPG/104607-003_DET_2.jpg</t>
  </si>
  <si>
    <t>https://dd3ka9h4chfr8.cloudfront.net/image/725136000567/image_f4nsqaul8h2ub336vj341e0a04/-FJPG/104607-003_BCK_1.jpg</t>
  </si>
  <si>
    <t>https://dd3ka9h4chfr8.cloudfront.net/image/725136000567/image_769a91nhrp4rhf6ca5rcj9ch50/-FJPG/104607-003_DET_1.jpg</t>
  </si>
  <si>
    <t>https://dd3ka9h4chfr8.cloudfront.net/image/725136000567/image_2tipv7mo3h2bl6dr9sk3hll905/-FJPG/104607-003_DET_3.jpg</t>
  </si>
  <si>
    <t>https://dd3ka9h4chfr8.cloudfront.net/image/725136000567/image_4evtn7tn6t7578ksm8ikbp6i66/-FJPG/104607-003_OPN_1.jpg</t>
  </si>
  <si>
    <t>https://dd3ka9h4chfr8.cloudfront.net/image/725136000567/image_uuf97561tt00r4nctt7odiib5r/-FJPG/104607-003_TOP_1.jpg</t>
  </si>
  <si>
    <t>https://dd3ka9h4chfr8.cloudfront.net/image/725136000567/image_njnmpbj9hp5qdcmmfgqhnbv929/-FJPG/104607-003_DET_4.jpg</t>
  </si>
  <si>
    <t>https://dd3ka9h4chfr8.cloudfront.net/image/725136000567/image_r899fid0h939la7ago2kit2d0l/-FJPG/104607-003_DET_5.jpg</t>
  </si>
  <si>
    <t>https://dd3ka9h4chfr8.cloudfront.net/image/725136000567/image_77s1obthal6tj111t465sqm87j/-FJPG/104607-003_DET_6.jpg</t>
  </si>
  <si>
    <t>https://dd3ka9h4chfr8.cloudfront.net/image/725136000567/image_835qvekfo518322f98bcsckh5j/-FJPG/104607-003_OPN_2.jpg</t>
  </si>
  <si>
    <t>Lauren Desk - Natural Peroba</t>
  </si>
  <si>
    <t>Thick Acacia Veneer</t>
  </si>
  <si>
    <t>https://dd3ka9h4chfr8.cloudfront.net/image/725136000567/image_9gampph9dl2gpaib0nj7lh507f/-S150x150-FJPG/VBNA-DK815_PRM_2.jpg</t>
  </si>
  <si>
    <t>https://dd3ka9h4chfr8.cloudfront.net/image/725136000567/image_9gampph9dl2gpaib0nj7lh507f/-FJPG/VBNA-DK815_PRM_2.jpg</t>
  </si>
  <si>
    <t>https://dd3ka9h4chfr8.cloudfront.net/image/725136000567/image_3bsuse3kc56sv10cl0s1p03s1s/-FJPG/VBNA-DK815_PRM_1.jpg</t>
  </si>
  <si>
    <t>https://dd3ka9h4chfr8.cloudfront.net/image/725136000567/image_dceegda86t5g9cod23i035s64f/-FJPG/VBNA-DK815_SID_1.jpg</t>
  </si>
  <si>
    <t>https://dd3ka9h4chfr8.cloudfront.net/image/725136000567/image_ts5skh55ip5ip1mrk7tjape83i/-FJPG/VBNA-DK815_ESS_1.jpg</t>
  </si>
  <si>
    <t>https://dd3ka9h4chfr8.cloudfront.net/image/725136000567/image_0nsdvhrnd14vvfv5t21l6ddc7r/-FJPG/VBNA-DK815_DET_12.jpg</t>
  </si>
  <si>
    <t>https://dd3ka9h4chfr8.cloudfront.net/image/725136000567/image_tv07kbqdh962hdijq8m0a90m3m/-FJPG/VBNA-DK815_DET_2.jpg</t>
  </si>
  <si>
    <t>https://dd3ka9h4chfr8.cloudfront.net/image/725136000567/image_quviabvbrp0132rh1r4r8l455v/-FJPG/VBNA-DK815_BCK_1.jpg</t>
  </si>
  <si>
    <t>https://dd3ka9h4chfr8.cloudfront.net/image/725136000567/image_nmba8cpu292b78l7rqvhafs12a/-FJPG/VBNA-DK815_DET_1.jpg</t>
  </si>
  <si>
    <t>https://dd3ka9h4chfr8.cloudfront.net/image/725136000567/image_n1r88i3th10jh4vmenqb5pq15t/-FJPG/VBNA-DK815_DET_11.jpg</t>
  </si>
  <si>
    <t>https://dd3ka9h4chfr8.cloudfront.net/image/725136000567/image_u3sgkfavnh0i7cgh572ren5d7b/-FJPG/VBNA-DK815_DET_3.jpg</t>
  </si>
  <si>
    <t>https://dd3ka9h4chfr8.cloudfront.net/image/725136000567/image_8qqot93r9545j1r77nj0t3h607/-FJPG/VBNA-DK815_OPN_1.jpg</t>
  </si>
  <si>
    <t>https://dd3ka9h4chfr8.cloudfront.net/image/725136000567/image_k71ad49n955vlea8jl3h2ppe04/-FJPG/VBNA-DK815_DET_4.jpg</t>
  </si>
  <si>
    <t>https://dd3ka9h4chfr8.cloudfront.net/image/725136000567/image_q8f3uaimkh14t8dj5fcbt3tr0d/-FJPG/VBNA-DK815_DET_5.jpg</t>
  </si>
  <si>
    <t>https://dd3ka9h4chfr8.cloudfront.net/image/725136000567/image_kmm1ak5bs54in7pc5i4namnq3v/-FJPG/VBNA-DK815_DET_6.jpg</t>
  </si>
  <si>
    <t>https://dd3ka9h4chfr8.cloudfront.net/image/725136000567/image_uklr1qkkch2eh8od9qn2drk956/-FJPG/VBNA-DK815_DET_7.jpg</t>
  </si>
  <si>
    <t>https://dd3ka9h4chfr8.cloudfront.net/image/725136000567/image_4m52klveph1jtbkg5fi89mdr4e/-FJPG/VBNA-DK815_DET_10.jpg</t>
  </si>
  <si>
    <t>https://dd3ka9h4chfr8.cloudfront.net/image/725136000567/image_n6t955svol45522pe2cmb4ok5e/-FJPG/VBNA-DK815_ROM_1.jpg</t>
  </si>
  <si>
    <t>https://dd3ka9h4chfr8.cloudfront.net/image/725136000567/image_hsaughkn653jb82ocdbj6q1k6t/-FJPG/VBNA-DK815_ROM_2.jpg</t>
  </si>
  <si>
    <t>https://dd3ka9h4chfr8.cloudfront.net/image/725136000567/image_58228l6m8l4k79ebe8fvpp5h28/-FJPG/VBNA-DK815_ESS_2.jpg</t>
  </si>
  <si>
    <t>https://dd3ka9h4chfr8.cloudfront.net/image/725136000567/image_lkpbmv099h1db6vppc4kl7kh69/-FJPG/VBNA-DK815_OPN_2.jpg</t>
  </si>
  <si>
    <t>https://dd3ka9h4chfr8.cloudfront.net/image/725136000567/image_3s7u1ljvip7s92e5vu3u0f9t4a/-FJPG/VBNA-DK815_BCK_2.jpg</t>
  </si>
  <si>
    <t>Lauren Desk - Natural Resawn Oak</t>
  </si>
  <si>
    <t>Steel</t>
  </si>
  <si>
    <t>https://dd3ka9h4chfr8.cloudfront.net/image/725136000567/image_5tdmssr3157gl3sd5qj9fpp82k/-S150x150-FJPG/104607-002_PRM_1.jpg</t>
  </si>
  <si>
    <t>https://dd3ka9h4chfr8.cloudfront.net/image/725136000567/image_5tdmssr3157gl3sd5qj9fpp82k/-FJPG/104607-002_PRM_1.jpg</t>
  </si>
  <si>
    <t>https://dd3ka9h4chfr8.cloudfront.net/image/725136000567/image_s501cbgs1t5kvc65el7avgdq60/-FJPG/104607-002_SID_1.jpg</t>
  </si>
  <si>
    <t>https://dd3ka9h4chfr8.cloudfront.net/image/725136000567/image_l5g8h4jcbd2fj7l4nl6c7lsa1j/-FJPG/104607-002_ESS_1.jpg</t>
  </si>
  <si>
    <t>https://dd3ka9h4chfr8.cloudfront.net/image/725136000567/image_fs6v54g8d57sv0mmu2ogbmro33/-FJPG/104607-002_DET_2.jpg</t>
  </si>
  <si>
    <t>https://dd3ka9h4chfr8.cloudfront.net/image/725136000567/image_crdmj30ju56q3bapl2c7jr2s6r/-FJPG/104607-002_BCK_1.jpg</t>
  </si>
  <si>
    <t>https://dd3ka9h4chfr8.cloudfront.net/image/725136000567/image_51e464g3256mp72diicvm2b06d/-FJPG/104607-002_DET_1.jpg</t>
  </si>
  <si>
    <t>https://dd3ka9h4chfr8.cloudfront.net/image/725136000567/image_qoqjvuvb9t4jd79csrjb59g50m/-FJPG/104607-002_DET_3.jpg</t>
  </si>
  <si>
    <t>https://dd3ka9h4chfr8.cloudfront.net/image/725136000567/image_7m1vs63nkh147a68g6iedp3d3q/-FJPG/104607-002_OPN_1.jpg</t>
  </si>
  <si>
    <t>https://dd3ka9h4chfr8.cloudfront.net/image/725136000567/image_sdehi987s16rn8bd852gcs5d6s/-FJPG/104607-002_DET_4.jpg</t>
  </si>
  <si>
    <t>https://dd3ka9h4chfr8.cloudfront.net/image/725136000567/image_0el4p0j9vp0hv20159b38qcr6d/-FJPG/104607-002_DET_5.jpg</t>
  </si>
  <si>
    <t>https://dd3ka9h4chfr8.cloudfront.net/image/725136000567/image_c6dcftd3fl1fh5i2iev3qe770j/-FJPG/104607-002_OPN_2.jpg</t>
  </si>
  <si>
    <t>Leandro Coffee Table - Natural Reclaimed French Oak</t>
  </si>
  <si>
    <t>https://dd3ka9h4chfr8.cloudfront.net/image/725136000567/image_290d7rsn6t4kn5rgajjfc62k3c/-S150x150-FJPG/242130-003_PRM_1.jpg</t>
  </si>
  <si>
    <t>https://dd3ka9h4chfr8.cloudfront.net/image/725136000567/image_290d7rsn6t4kn5rgajjfc62k3c/-FJPG/242130-003_PRM_1.jpg</t>
  </si>
  <si>
    <t>https://dd3ka9h4chfr8.cloudfront.net/image/725136000567/image_5lkmvv13i11vd52nr1hdfdoq6c/-FJPG/242130-003_SID_1.jpg</t>
  </si>
  <si>
    <t>https://dd3ka9h4chfr8.cloudfront.net/image/725136000567/image_v3pv9k698l6r91btukoh449401/-FJPG/242130-003_ESS.tif</t>
  </si>
  <si>
    <t>https://dd3ka9h4chfr8.cloudfront.net/image/725136000567/image_7smg5u5eth2kj30p5lu0fba87p/-FJPG/242130-003_DET_2.jpg</t>
  </si>
  <si>
    <t>https://dd3ka9h4chfr8.cloudfront.net/image/725136000567/image_aimlqp1n3h559dlibkht96ok0h/-FJPG/242130-003_DET_1.jpg</t>
  </si>
  <si>
    <t>https://dd3ka9h4chfr8.cloudfront.net/image/725136000567/image_1egtojsgi50v90223p6f2bll0c/-FJPG/242130-003_DET_3.jpg</t>
  </si>
  <si>
    <t>https://dd3ka9h4chfr8.cloudfront.net/image/725136000567/image_esu0bd5d9l631bjmj27abpp120/-FJPG/242130-003_DET_4.jpg</t>
  </si>
  <si>
    <t>https://dd3ka9h4chfr8.cloudfront.net/image/725136000567/image_fhud94jfup3gf0s0qsj8mcqj6r/-FJPG/242130-003_DET_5.jpg</t>
  </si>
  <si>
    <t>https://dd3ka9h4chfr8.cloudfront.net/image/725136000567/image_rm3sbge2kp3jnaa6ss8p57kh60/-FJPG/242130-003_DET_6.jpg</t>
  </si>
  <si>
    <t>https://dd3ka9h4chfr8.cloudfront.net/image/725136000567/image_os84mr541t4uhe28ic7kc77b0b/-FJPG/242130-003_DET_9.tif</t>
  </si>
  <si>
    <t>https://dd3ka9h4chfr8.cloudfront.net/image/725136000567/image_b53i95msnp373av1ek4vr4fb15/-FJPG/FHMPRJ016_SCENE-3.tif</t>
  </si>
  <si>
    <t>Leigh Upholstered Bed - Hockney Ivory</t>
  </si>
  <si>
    <t>Faux Leather</t>
  </si>
  <si>
    <t>https://dd3ka9h4chfr8.cloudfront.net/image/725136000567/image_tbslqknngl6b15s0141ob9153p/-S150x150-FJPG/105885-007_PRM_1.jpg</t>
  </si>
  <si>
    <t>https://dd3ka9h4chfr8.cloudfront.net/image/725136000567/image_tbslqknngl6b15s0141ob9153p/-FJPG/105885-007_PRM_1.jpg</t>
  </si>
  <si>
    <t>https://dd3ka9h4chfr8.cloudfront.net/image/725136000567/image_onv433pe497j712hut16bp2j1q/-FJPG/105885-007_SID_1.jpg</t>
  </si>
  <si>
    <t>https://dd3ka9h4chfr8.cloudfront.net/image/725136000567/image_tim3k9c71l0on46rndrutp8k1j/-FJPG/105885-007_ESS.tif</t>
  </si>
  <si>
    <t>https://dd3ka9h4chfr8.cloudfront.net/image/725136000567/image_tcdnbi6rk13cpet5ndjmfb350h/-FJPG/105885-007_DET_2.jpg</t>
  </si>
  <si>
    <t>https://dd3ka9h4chfr8.cloudfront.net/image/725136000567/image_gqmli5mn6d2135igm6n66qho2g/-FJPG/105885-007_DET_1.jpg</t>
  </si>
  <si>
    <t>https://dd3ka9h4chfr8.cloudfront.net/image/725136000567/image_ijnlsid7i10nb6c5jm81t4627u/-FJPG/105885-007_DET_3.jpg</t>
  </si>
  <si>
    <t>https://dd3ka9h4chfr8.cloudfront.net/image/725136000567/image_qqpkssnvd969h7e930gsjo9o4u/-FJPG/105885-007_DET_4.jpg</t>
  </si>
  <si>
    <t>https://dd3ka9h4chfr8.cloudfront.net/image/725136000567/image_meom67k9oh25r8lgbe1ih13s21/-FJPG/105885-007_DET_9.tif</t>
  </si>
  <si>
    <t>https://dd3ka9h4chfr8.cloudfront.net/image/725136000567/image_uo3ejfj1il7od1j9arntpqjo1q/-S150x150-FJPG/105885-008_PRM_1.jpg</t>
  </si>
  <si>
    <t>https://dd3ka9h4chfr8.cloudfront.net/image/725136000567/image_uo3ejfj1il7od1j9arntpqjo1q/-FJPG/105885-008_PRM_1.jpg</t>
  </si>
  <si>
    <t>https://dd3ka9h4chfr8.cloudfront.net/image/725136000567/image_2g3tu3rd5930r6018nb5vr372v/-FJPG/105885-008_SID_1.jpg</t>
  </si>
  <si>
    <t>https://dd3ka9h4chfr8.cloudfront.net/image/725136000567/image_a21fm9s3451djc88m4hv6dev6k/-FJPG/105885-008_DET_2.jpg</t>
  </si>
  <si>
    <t>https://dd3ka9h4chfr8.cloudfront.net/image/725136000567/image_n35jnag8hl1en2srhkuo933q7s/-FJPG/105885-008_DET_1.jpg</t>
  </si>
  <si>
    <t>https://dd3ka9h4chfr8.cloudfront.net/image/725136000567/image_taoqisbgqd3sjbvhj9a7dj1h6f/-FJPG/105885-008_DET_3.jpg</t>
  </si>
  <si>
    <t>https://dd3ka9h4chfr8.cloudfront.net/image/725136000567/image_gv7tvuj98t28b64ao8gcrq596h/-FJPG/105885-008_DET_4.jpg</t>
  </si>
  <si>
    <t>Leigh Upholstered Bed - Palm Ecru</t>
  </si>
  <si>
    <t>85% Polyester</t>
  </si>
  <si>
    <t>67% Polyurethane</t>
  </si>
  <si>
    <t>30% Polyester</t>
  </si>
  <si>
    <t>3% Rayon</t>
  </si>
  <si>
    <t>https://dd3ka9h4chfr8.cloudfront.net/image/725136000567/image_k8d2s6a0p54m1aejhv6sk2s97a/-S150x150-FJPG/CIRD-35237-B2_PRM_1.jpg</t>
  </si>
  <si>
    <t>https://dd3ka9h4chfr8.cloudfront.net/image/725136000567/image_k8d2s6a0p54m1aejhv6sk2s97a/-FJPG/CIRD-35237-B2_PRM_1.jpg</t>
  </si>
  <si>
    <t>https://dd3ka9h4chfr8.cloudfront.net/image/725136000567/image_2464k8vmch447cli9mfrdao61h/-FJPG/CIRD-35237-B2_SID_1.jpg</t>
  </si>
  <si>
    <t>https://dd3ka9h4chfr8.cloudfront.net/image/725136000567/image_prl7hg2jvd133ah7p8jlhtad2o/-FJPG/CIRD-35237-B2_DET_2.jpg</t>
  </si>
  <si>
    <t>https://dd3ka9h4chfr8.cloudfront.net/image/725136000567/image_i6fe7l95fp3vp6up0l7apr0023/-FJPG/CIRD-35237-B2_DET_1.jpg</t>
  </si>
  <si>
    <t>https://dd3ka9h4chfr8.cloudfront.net/image/725136000567/image_bko6qshq216ap4a3pfdlt7k33t/-FJPG/CIRD-35237-B2_DET_3.jpg</t>
  </si>
  <si>
    <t>https://dd3ka9h4chfr8.cloudfront.net/image/725136000567/image_qcu582shpp2m54nkfk2nhg2n1j/-FJPG/CIRD-35237-B2_DET_4.jpg</t>
  </si>
  <si>
    <t>https://dd3ka9h4chfr8.cloudfront.net/image/725136000567/image_8qbms1msot2v548fo2os9k0e3f/-FJPG/CIRD-35237-B2_DET_5.jpg</t>
  </si>
  <si>
    <t>https://dd3ka9h4chfr8.cloudfront.net/image/725136000567/image_44lcipeqgd04pftd9uv2lfhk4i/-FJPG/CIRD-35237-B2_ROM_1.jpg</t>
  </si>
  <si>
    <t>https://dd3ka9h4chfr8.cloudfront.net/image/725136000567/image_5ar3eafmc57a38t7nvu6rkbl75/-FJPG/CIRD-35237-B2_ROM_2.jpg</t>
  </si>
  <si>
    <t>https://dd3ka9h4chfr8.cloudfront.net/image/725136000567/image_3sbn69ra2l30p3hkgrrcb9c74a/-S150x150-FJPG/CIRD-35237K-B2_PRM_1.jpg</t>
  </si>
  <si>
    <t>https://dd3ka9h4chfr8.cloudfront.net/image/725136000567/image_3sbn69ra2l30p3hkgrrcb9c74a/-FJPG/CIRD-35237K-B2_PRM_1.jpg</t>
  </si>
  <si>
    <t>https://dd3ka9h4chfr8.cloudfront.net/image/725136000567/image_dj17uf3mid02p08f1c4r0eon7v/-FJPG/CIRD-35237K-B2_SID_1.jpg</t>
  </si>
  <si>
    <t>https://dd3ka9h4chfr8.cloudfront.net/image/725136000567/image_5931244o7d685aqpghsnm5ca19/-FJPG/CIRD-35237K-B2_DET_2.jpg</t>
  </si>
  <si>
    <t>https://dd3ka9h4chfr8.cloudfront.net/image/725136000567/image_jmfrf41q554971tl8lup7bvs13/-FJPG/CIRD-35237K-B2_DET_1.jpg</t>
  </si>
  <si>
    <t>https://dd3ka9h4chfr8.cloudfront.net/image/725136000567/image_2qtkpfdk7h0qpbkok4cvvvh45n/-FJPG/CIRD-35237K-B2_DET_3.jpg</t>
  </si>
  <si>
    <t>https://dd3ka9h4chfr8.cloudfront.net/image/725136000567/image_48s4vjbdul3k12fl3ntpf3uu30/-FJPG/CIRD-35237K-B2_DET_4.jpg</t>
  </si>
  <si>
    <t>https://dd3ka9h4chfr8.cloudfront.net/image/725136000567/image_qvrlid3ocd41h33s23mqere86h/-FJPG/CIRD-35237K-B2_DET_5.jpg</t>
  </si>
  <si>
    <t>https://dd3ka9h4chfr8.cloudfront.net/image/725136000567/image_2rmfveud3t2et29qb4kr862v2u/-FJPG/CIRD-35237K-B2_ROM_1.jpg</t>
  </si>
  <si>
    <t>https://dd3ka9h4chfr8.cloudfront.net/image/725136000567/image_rbf7gbo17d4c9eruib0t93i709/-FJPG/CIRD-35237K-B2_ROM_2.jpg</t>
  </si>
  <si>
    <t>Leigh Upholstered Bed - San Remo Ash</t>
  </si>
  <si>
    <t>15% Polyurethane Fibre</t>
  </si>
  <si>
    <t>https://dd3ka9h4chfr8.cloudfront.net/image/725136000567/image_viv1c9rlmp6bv0mhaehshr1o58/-S150x150-FJPG/CIRD-35237K-999_PRM_1.jpg</t>
  </si>
  <si>
    <t>https://dd3ka9h4chfr8.cloudfront.net/image/725136000567/image_viv1c9rlmp6bv0mhaehshr1o58/-FJPG/CIRD-35237K-999_PRM_1.jpg</t>
  </si>
  <si>
    <t>https://dd3ka9h4chfr8.cloudfront.net/image/725136000567/image_kkgc851lmh1hbd3771v9c6ug5e/-FJPG/CIRD-35237K-999_SID_1.jpg</t>
  </si>
  <si>
    <t>https://dd3ka9h4chfr8.cloudfront.net/image/725136000567/image_ol9fq8slct69r04ij7dfq26s66/-FJPG/CIRD-35237K-999_DET_2.jpg</t>
  </si>
  <si>
    <t>https://dd3ka9h4chfr8.cloudfront.net/image/725136000567/image_o3ohq7d0j151rbbks7gq42ut6j/-FJPG/CIRD-35237K-999_DET_1.jpg</t>
  </si>
  <si>
    <t>https://dd3ka9h4chfr8.cloudfront.net/image/725136000567/image_hq3kr3u1pp5kj7lecspsoioq6d/-FJPG/CIRD-35237K-999_DET_3.jpg</t>
  </si>
  <si>
    <t>https://dd3ka9h4chfr8.cloudfront.net/image/725136000567/image_lcvu5i0ev97dpa10l96bf4fp6r/-FJPG/CIRD-35237K-999_DET_4.jpg</t>
  </si>
  <si>
    <t>https://dd3ka9h4chfr8.cloudfront.net/image/725136000567/image_mquc4j9mr95cp5kbajqo0d5e7u/-FJPG/CIRD-35237K-999_DET_5.jpg</t>
  </si>
  <si>
    <t>https://dd3ka9h4chfr8.cloudfront.net/image/725136000567/image_q3m3thtd7p5p1fovfv3qfcj41s/-FJPG/CIRD-35237K-999_DET_6.jpg</t>
  </si>
  <si>
    <t>https://dd3ka9h4chfr8.cloudfront.net/image/725136000567/image_a05c1uaf156m3bkpaa4l0vnf49/-S150x150-FJPG/CIRD-35237Q-999_PRM_1.jpg</t>
  </si>
  <si>
    <t>https://dd3ka9h4chfr8.cloudfront.net/image/725136000567/image_a05c1uaf156m3bkpaa4l0vnf49/-FJPG/CIRD-35237Q-999_PRM_1.jpg</t>
  </si>
  <si>
    <t>https://dd3ka9h4chfr8.cloudfront.net/image/725136000567/image_qidp7egd257lf00lmiqdc5i42q/-FJPG/CIRD-35237Q-999_SID_1.jpg</t>
  </si>
  <si>
    <t>https://dd3ka9h4chfr8.cloudfront.net/image/725136000567/image_m0tctpnsjl3lv3moomt86b1n0u/-FJPG/CIRD-35237Q-999_ESS_1.jpg</t>
  </si>
  <si>
    <t>https://dd3ka9h4chfr8.cloudfront.net/image/725136000567/image_mao2ltto5936j09gjlie43g75u/-FJPG/CIRD-35237Q-999_DET_2.jpg</t>
  </si>
  <si>
    <t>https://dd3ka9h4chfr8.cloudfront.net/image/725136000567/image_c4a85g6snl3kt9aion12dkm45c/-FJPG/CIRD-35237Q-999_DET_1.jpg</t>
  </si>
  <si>
    <t>https://dd3ka9h4chfr8.cloudfront.net/image/725136000567/image_5pclldn1vp1kjcrdhn70gl7r4q/-FJPG/CIRD-35237Q-999_DET_3.jpg</t>
  </si>
  <si>
    <t>https://dd3ka9h4chfr8.cloudfront.net/image/725136000567/image_mvvbfsn0651f560i050g651935/-FJPG/CIRD-35237Q-999_DET_4.jpg</t>
  </si>
  <si>
    <t>https://dd3ka9h4chfr8.cloudfront.net/image/725136000567/image_29o5fhl8cl2jf7gu1qd3ju5q3d/-FJPG/CIRD-35237Q-999_DET_5.jpg</t>
  </si>
  <si>
    <t>https://dd3ka9h4chfr8.cloudfront.net/image/725136000567/image_6in03lgth17c12tn8jg70q8c17/-FJPG/CIRD-35237Q-999_DET_6.jpg</t>
  </si>
  <si>
    <t>Lennon Chair - Cambric Ivory</t>
  </si>
  <si>
    <t>https://dd3ka9h4chfr8.cloudfront.net/image/725136000567/image_5hg7j0h7dd00r8nrlm8tumhd1i/-S150x150-FJPG/105585-003_PRM_1.jpg</t>
  </si>
  <si>
    <t>https://dd3ka9h4chfr8.cloudfront.net/image/725136000567/image_5hg7j0h7dd00r8nrlm8tumhd1i/-FJPG/105585-003_PRM_1.jpg</t>
  </si>
  <si>
    <t>https://dd3ka9h4chfr8.cloudfront.net/image/725136000567/image_u6ud5it0457vd3t85orbcp296c/-FJPG/105585-003_SID_1.jpg</t>
  </si>
  <si>
    <t>https://dd3ka9h4chfr8.cloudfront.net/image/725136000567/image_hqqafa3h4t7hv17c68pqufc11f/-FJPG/105585-003_DET_2.jpg</t>
  </si>
  <si>
    <t>https://dd3ka9h4chfr8.cloudfront.net/image/725136000567/image_9r12qvlsk557p8qaq6kmk28n1e/-FJPG/105585-003_BCK_1.jpg</t>
  </si>
  <si>
    <t>https://dd3ka9h4chfr8.cloudfront.net/image/725136000567/image_5hit1ikjkh38t9dv0t3mjss570/-FJPG/105585-003_INF_1.jpg</t>
  </si>
  <si>
    <t>https://dd3ka9h4chfr8.cloudfront.net/image/725136000567/image_n68b79uhv55u30m6k10385qs7e/-FJPG/105585-003_DET_1.jpg</t>
  </si>
  <si>
    <t>https://dd3ka9h4chfr8.cloudfront.net/image/725136000567/image_mbukmoj96d0sp783d5bl5kgv2g/-FJPG/105585-003_DET_3.jpg</t>
  </si>
  <si>
    <t>https://dd3ka9h4chfr8.cloudfront.net/image/725136000567/image_ktd63mgpad1lp6ds37nh4e7s4q/-FJPG/105585-003_DET_4.jpg</t>
  </si>
  <si>
    <t>https://dd3ka9h4chfr8.cloudfront.net/image/725136000567/image_di8h96b7rp4sp5ar5mul6e2r69/-FJPG/105585-003_DET_5.jpg</t>
  </si>
  <si>
    <t>https://dd3ka9h4chfr8.cloudfront.net/image/725136000567/image_0u8drpggrp3jrf089mqul8b82k/-FJPG/105585-003_DET_6.jpg</t>
  </si>
  <si>
    <t>https://dd3ka9h4chfr8.cloudfront.net/image/725136000567/image_9o17ssogul5jh9e1sirebggh0m/-FJPG/105585-003_VIG_1.jpg</t>
  </si>
  <si>
    <t>Lennon Chair - Heirloom Black</t>
  </si>
  <si>
    <t>https://dd3ka9h4chfr8.cloudfront.net/image/725136000567/image_8f89m699qd5ndcut75nv12tj6j/-S150x150-FJPG/105585-005_PRM_1.jpg</t>
  </si>
  <si>
    <t>https://dd3ka9h4chfr8.cloudfront.net/image/725136000567/image_8f89m699qd5ndcut75nv12tj6j/-FJPG/105585-005_PRM_1.jpg</t>
  </si>
  <si>
    <t>https://dd3ka9h4chfr8.cloudfront.net/image/725136000567/image_d5outaj2ht603cu4lj8l3pq22i/-FJPG/105585-005_SID_1.jpg</t>
  </si>
  <si>
    <t>https://dd3ka9h4chfr8.cloudfront.net/image/725136000567/image_uq4kd2bnel0fdcor48oe6eog40/-FJPG/105585-005_ESS_1.jpg</t>
  </si>
  <si>
    <t>https://dd3ka9h4chfr8.cloudfront.net/image/725136000567/image_3mv17u62s94614fre3ejj1g21n/-FJPG/105585-005_DET_2.jpg</t>
  </si>
  <si>
    <t>https://dd3ka9h4chfr8.cloudfront.net/image/725136000567/image_ab4jb3n5b91vn46on4nt1j9e4i/-FJPG/105585-005_BCK_1.jpg</t>
  </si>
  <si>
    <t>https://dd3ka9h4chfr8.cloudfront.net/image/725136000567/image_q3vi1bqmbt5t97fs3tg1j29n2r/-FJPG/105585-005_DET_1.jpg</t>
  </si>
  <si>
    <t>https://dd3ka9h4chfr8.cloudfront.net/image/725136000567/image_qj6t5dv18t43jaq403a5m18h7h/-FJPG/105585-005_DET_3.jpg</t>
  </si>
  <si>
    <t>https://dd3ka9h4chfr8.cloudfront.net/image/725136000567/image_9ig61hukap6k3a9fjc1dlij21n/-FJPG/105585-005_DET_4.jpg</t>
  </si>
  <si>
    <t>https://dd3ka9h4chfr8.cloudfront.net/image/725136000567/image_3is0jps1ct0ap0d7mfqupen106/-FJPG/105585-005_DET_5.jpg</t>
  </si>
  <si>
    <t>https://dd3ka9h4chfr8.cloudfront.net/image/725136000567/image_4abu4dql9p6gtbg3nq6rms0v0m/-FJPG/105585-005_DET_6.jpg</t>
  </si>
  <si>
    <t>Lennon Chair - Imperial Mist</t>
  </si>
  <si>
    <t>https://dd3ka9h4chfr8.cloudfront.net/image/725136000567/image_8cihr18sdd4bff5f8f9b09kf79/-S150x150-FJPG/105585-004_PRM_1.jpg</t>
  </si>
  <si>
    <t>https://dd3ka9h4chfr8.cloudfront.net/image/725136000567/image_8cihr18sdd4bff5f8f9b09kf79/-FJPG/105585-004_PRM_1.jpg</t>
  </si>
  <si>
    <t>https://dd3ka9h4chfr8.cloudfront.net/image/725136000567/image_npo8bjs3c118ha9sn6bp4qel5e/-FJPG/105585-004_SID_1.jpg</t>
  </si>
  <si>
    <t>https://dd3ka9h4chfr8.cloudfront.net/image/725136000567/image_09tpkae1q973l48b011tt31j7n/-FJPG/105585-004_ESS_1.jpg</t>
  </si>
  <si>
    <t>https://dd3ka9h4chfr8.cloudfront.net/image/725136000567/image_cvhfvdliht17tagpidncucd62t/-FJPG/105585-004_DET_2.jpg</t>
  </si>
  <si>
    <t>https://dd3ka9h4chfr8.cloudfront.net/image/725136000567/image_pt39ga9tnp44pdrmormefqtb0o/-FJPG/105585-004_BCK_1.jpg</t>
  </si>
  <si>
    <t>https://dd3ka9h4chfr8.cloudfront.net/image/725136000567/image_d6l1a7fk254hvbo8cfet2so05s/-FJPG/105585-004_DET_1.jpg</t>
  </si>
  <si>
    <t>https://dd3ka9h4chfr8.cloudfront.net/image/725136000567/image_i4e8kpi5vh007a1vh75eo6u179/-FJPG/105585-004_DET_3.jpg</t>
  </si>
  <si>
    <t>https://dd3ka9h4chfr8.cloudfront.net/image/725136000567/image_memf7mneol36d9cqdgolbda30q/-FJPG/105585-004_DET_4.jpg</t>
  </si>
  <si>
    <t>https://dd3ka9h4chfr8.cloudfront.net/image/725136000567/image_srf6eu5dc92lf7ubik3g2slo1l/-FJPG/105585-004_DET_5.jpg</t>
  </si>
  <si>
    <t>Leo Bed - Rustic Grey</t>
  </si>
  <si>
    <t>https://dd3ka9h4chfr8.cloudfront.net/image/725136000567/image_mp0sqa03td3n9626tboj8pe06l/-S150x150-FJPG/231732-003_PRM_1.jpg</t>
  </si>
  <si>
    <t>https://dd3ka9h4chfr8.cloudfront.net/image/725136000567/image_mp0sqa03td3n9626tboj8pe06l/-FJPG/231732-003_PRM_1.jpg</t>
  </si>
  <si>
    <t>https://dd3ka9h4chfr8.cloudfront.net/image/725136000567/image_4n47826c9d64l40umiit8ep040/-FJPG/231732-003_SID_1.jpg</t>
  </si>
  <si>
    <t>https://dd3ka9h4chfr8.cloudfront.net/image/725136000567/image_73q7429a9p037f343lq95j7e6d/-FJPG/231732-003_ESS.tif</t>
  </si>
  <si>
    <t>https://dd3ka9h4chfr8.cloudfront.net/image/725136000567/image_3fv63jp4rd0ft0utvgqu20gf21/-FJPG/231732-003_DET_2.jpg</t>
  </si>
  <si>
    <t>https://dd3ka9h4chfr8.cloudfront.net/image/725136000567/image_rfvq6ff3h57e924p9s232f863k/-FJPG/231732-003_BCK_1.jpg</t>
  </si>
  <si>
    <t>https://dd3ka9h4chfr8.cloudfront.net/image/725136000567/image_45bk517su93ivfvndul7p8em25/-FJPG/231732-003_DET_1.jpg</t>
  </si>
  <si>
    <t>https://dd3ka9h4chfr8.cloudfront.net/image/725136000567/image_f7mdtfei2h3jj9c2l9i6jc4o3g/-FJPG/231732-003_DET_3.jpg</t>
  </si>
  <si>
    <t>https://dd3ka9h4chfr8.cloudfront.net/image/725136000567/image_3n4qa90a0h61p6sem56fg8205g/-FJPG/231732-003_DET_4.jpg</t>
  </si>
  <si>
    <t>https://dd3ka9h4chfr8.cloudfront.net/image/725136000567/image_31hcokeam5091b54bk0e8akr1a/-FJPG/231732-003_DET_5.jpg</t>
  </si>
  <si>
    <t>https://dd3ka9h4chfr8.cloudfront.net/image/725136000567/image_r9268mjdb91of2bgqqo51ssr4m/-FJPG/231732-003_DET_6.jpg</t>
  </si>
  <si>
    <t>https://dd3ka9h4chfr8.cloudfront.net/image/725136000567/image_i92n335ir10mp61t6tsdms1e69/-FJPG/231732-003_DET_7.jpg</t>
  </si>
  <si>
    <t>https://dd3ka9h4chfr8.cloudfront.net/image/725136000567/image_cuvtdfr5p51nh7btnlfkrl280s/-FJPG/231732-003_DET_8.jpg</t>
  </si>
  <si>
    <t>https://dd3ka9h4chfr8.cloudfront.net/image/725136000567/image_akubtfeqo50uh70d3nn2gf9707/-S150x150-FJPG/231732-004_PRM_1.jpg</t>
  </si>
  <si>
    <t>https://dd3ka9h4chfr8.cloudfront.net/image/725136000567/image_akubtfeqo50uh70d3nn2gf9707/-FJPG/231732-004_PRM_1.jpg</t>
  </si>
  <si>
    <t>https://dd3ka9h4chfr8.cloudfront.net/image/725136000567/image_ca2v4ia97p4jdet2sufg4usf7b/-FJPG/231732-004_SID_1.jpg</t>
  </si>
  <si>
    <t>https://dd3ka9h4chfr8.cloudfront.net/image/725136000567/image_7v56rcs8ap6ptar0agst9lj23m/-FJPG/231732-004_DET_2.jpg</t>
  </si>
  <si>
    <t>https://dd3ka9h4chfr8.cloudfront.net/image/725136000567/image_5688hanrmt7e92nbfglgr9sn3g/-FJPG/231732-004_BCK_1.jpg</t>
  </si>
  <si>
    <t>https://dd3ka9h4chfr8.cloudfront.net/image/725136000567/image_d560hipfil2cndpacfb52s6o43/-FJPG/231732-004_DET_1.jpg</t>
  </si>
  <si>
    <t>https://dd3ka9h4chfr8.cloudfront.net/image/725136000567/image_3595qopd5h75bcqe87h1l34573/-FJPG/231732-004_DET_3.jpg</t>
  </si>
  <si>
    <t>https://dd3ka9h4chfr8.cloudfront.net/image/725136000567/image_umdjtm3ii51vt81o4ierdogu3g/-FJPG/231732-004_DET_4.jpg</t>
  </si>
  <si>
    <t>https://dd3ka9h4chfr8.cloudfront.net/image/725136000567/image_o16r64psbd3m525jmkef625c3v/-FJPG/231732-004_DET_5.jpg</t>
  </si>
  <si>
    <t>https://dd3ka9h4chfr8.cloudfront.net/image/725136000567/image_a5mckrb9nt7cdb9jl08rcm0d16/-FJPG/231732-004_DET_6.jpg</t>
  </si>
  <si>
    <t>https://dd3ka9h4chfr8.cloudfront.net/image/725136000567/image_88nm74nopp0sp1iejkrnitmn6d/-FJPG/231732-004_DET_7.jpg</t>
  </si>
  <si>
    <t>https://dd3ka9h4chfr8.cloudfront.net/image/725136000567/image_1gmo4hd9op755eq40hhitva956/-FJPG/231732-004_DET_8.jpg</t>
  </si>
  <si>
    <t>Leo Bed - Rustic Light Natural Oak</t>
  </si>
  <si>
    <t>https://dd3ka9h4chfr8.cloudfront.net/image/725136000567/image_1nnlmink2t6pt58ukk4hvidt12/-S150x150-FJPG/231732-007_PRM_1.jpg</t>
  </si>
  <si>
    <t>https://dd3ka9h4chfr8.cloudfront.net/image/725136000567/image_1nnlmink2t6pt58ukk4hvidt12/-FJPG/231732-007_PRM_1.jpg</t>
  </si>
  <si>
    <t>https://dd3ka9h4chfr8.cloudfront.net/image/725136000567/image_v434hkiuc15bt447qqac362n4l/-FJPG/231732-007_SID_1.jpg</t>
  </si>
  <si>
    <t>https://dd3ka9h4chfr8.cloudfront.net/image/725136000567/image_9onavkakhd5pn8d93t3mmreb62/-FJPG/231732-007_DET_2.jpg</t>
  </si>
  <si>
    <t>https://dd3ka9h4chfr8.cloudfront.net/image/725136000567/image_m5jopevukl6qrcpulk763dnl62/-FJPG/231732-007_BCK_1.jpg</t>
  </si>
  <si>
    <t>https://dd3ka9h4chfr8.cloudfront.net/image/725136000567/image_k858d29i1t3mp9ijser5v5l655/-FJPG/231732-007_DET_1.jpg</t>
  </si>
  <si>
    <t>https://dd3ka9h4chfr8.cloudfront.net/image/725136000567/image_nle5d5f92h1772l0ag3725k55n/-FJPG/231732-007_DET_3.jpg</t>
  </si>
  <si>
    <t>https://dd3ka9h4chfr8.cloudfront.net/image/725136000567/image_erhh5sbsml3u7c35h4d9n74s0n/-FJPG/231732-007_DET_4.jpg</t>
  </si>
  <si>
    <t>https://dd3ka9h4chfr8.cloudfront.net/image/725136000567/image_8n8k35n9950bt0ob9nnb8htr5c/-FJPG/231732-007_DET_5.jpg</t>
  </si>
  <si>
    <t>https://dd3ka9h4chfr8.cloudfront.net/image/725136000567/image_vnc5c1apkt5hjeljgs51tcff1h/-FJPG/231732-007_DET_6.jpg</t>
  </si>
  <si>
    <t>https://dd3ka9h4chfr8.cloudfront.net/image/725136000567/image_m6824e5ko140rde55dd9v4jf49/-FJPG/231732-007_DET_7.jpg</t>
  </si>
  <si>
    <t>https://dd3ka9h4chfr8.cloudfront.net/image/725136000567/image_9dp4ihv04l7r71596061sb186q/-S150x150-FJPG/231732-008_PRM_1.jpg</t>
  </si>
  <si>
    <t>https://dd3ka9h4chfr8.cloudfront.net/image/725136000567/image_9dp4ihv04l7r71596061sb186q/-FJPG/231732-008_PRM_1.jpg</t>
  </si>
  <si>
    <t>https://dd3ka9h4chfr8.cloudfront.net/image/725136000567/image_j3gg5855lh4c75iifs2mqsug0g/-FJPG/231732-008_SID_1.jpg</t>
  </si>
  <si>
    <t>https://dd3ka9h4chfr8.cloudfront.net/image/725136000567/image_ilfifn5brl23jafb5qe8kgh23d/-FJPG/231732-008_DET_2.jpg</t>
  </si>
  <si>
    <t>https://dd3ka9h4chfr8.cloudfront.net/image/725136000567/image_tctbn1i1rp4e77pq1ns5im0r6p/-FJPG/231732-008_BCK_1.jpg</t>
  </si>
  <si>
    <t>https://dd3ka9h4chfr8.cloudfront.net/image/725136000567/image_89bvi4pt095sbegab2r2v4ve13/-FJPG/231732-008_DET_1.jpg</t>
  </si>
  <si>
    <t>https://dd3ka9h4chfr8.cloudfront.net/image/725136000567/image_5l79jjtged3ftbph6u8o0nbf02/-FJPG/231732-008_DET_3.jpg</t>
  </si>
  <si>
    <t>https://dd3ka9h4chfr8.cloudfront.net/image/725136000567/image_fl00sst7093rle86nttol7re3d/-FJPG/231732-008_DET_4.jpg</t>
  </si>
  <si>
    <t>https://dd3ka9h4chfr8.cloudfront.net/image/725136000567/image_irst87pn9132n51656rmer0l0r/-FJPG/231732-008_DET_5.jpg</t>
  </si>
  <si>
    <t>https://dd3ka9h4chfr8.cloudfront.net/image/725136000567/image_ln20748tk930d37vfrcr8brd51/-FJPG/231732-008_DET_6.jpg</t>
  </si>
  <si>
    <t>https://dd3ka9h4chfr8.cloudfront.net/image/725136000567/image_oarud39jsl449ae361gi8qsa4n/-FJPG/231732-008_DET_7.jpg</t>
  </si>
  <si>
    <t>Leo Bed - Smoked Black</t>
  </si>
  <si>
    <t>https://dd3ka9h4chfr8.cloudfront.net/image/725136000567/image_t4t9u594dh4e1bkplv8rfbdr03/-S150x150-FJPG/231732-005_PRM_1.jpg</t>
  </si>
  <si>
    <t>https://dd3ka9h4chfr8.cloudfront.net/image/725136000567/image_t4t9u594dh4e1bkplv8rfbdr03/-FJPG/231732-005_PRM_1.jpg</t>
  </si>
  <si>
    <t>https://dd3ka9h4chfr8.cloudfront.net/image/725136000567/image_v2mlavv2a51unfm85d2lnkt137/-FJPG/231732-005_SID_1.jpg</t>
  </si>
  <si>
    <t>https://dd3ka9h4chfr8.cloudfront.net/image/725136000567/image_5rthtet4h55it0ct396k3fbo0t/-FJPG/231732-005_DET_2.jpg</t>
  </si>
  <si>
    <t>https://dd3ka9h4chfr8.cloudfront.net/image/725136000567/image_45t29d73u953nej836guvv923i/-FJPG/231732-005_BCK_1.jpg</t>
  </si>
  <si>
    <t>https://dd3ka9h4chfr8.cloudfront.net/image/725136000567/image_doi1drpr4p0qd6ueltmdm11914/-FJPG/231732-005_DET_1.jpg</t>
  </si>
  <si>
    <t>https://dd3ka9h4chfr8.cloudfront.net/image/725136000567/image_65632lpn453ph45jpn5bgmaf3i/-FJPG/231732-005_DET_3.jpg</t>
  </si>
  <si>
    <t>https://dd3ka9h4chfr8.cloudfront.net/image/725136000567/image_toh28f04n129t4s9nlt6ieb97m/-FJPG/231732-005_DET_4.jpg</t>
  </si>
  <si>
    <t>https://dd3ka9h4chfr8.cloudfront.net/image/725136000567/image_fomrpcaibl1sv2mf9bcbuefq3u/-FJPG/231732-005_DET_5.jpg</t>
  </si>
  <si>
    <t>https://dd3ka9h4chfr8.cloudfront.net/image/725136000567/image_sv02mi5ivl66vfblb0c7m9ei74/-FJPG/231732-005_DET_6.jpg</t>
  </si>
  <si>
    <t>https://dd3ka9h4chfr8.cloudfront.net/image/725136000567/image_gm3v1g00ll4ed2tajhe032d71p/-FJPG/231732-005_DET_7.jpg</t>
  </si>
  <si>
    <t>https://dd3ka9h4chfr8.cloudfront.net/image/725136000567/image_99h5mi1po9465dojo7s2i41c6e/-S150x150-FJPG/231732-006_PRM_1.jpg</t>
  </si>
  <si>
    <t>https://dd3ka9h4chfr8.cloudfront.net/image/725136000567/image_99h5mi1po9465dojo7s2i41c6e/-FJPG/231732-006_PRM_1.jpg</t>
  </si>
  <si>
    <t>https://dd3ka9h4chfr8.cloudfront.net/image/725136000567/image_unlv3dn1rd3ot05r88q57ikm2o/-FJPG/231732-006_SID_1.jpg</t>
  </si>
  <si>
    <t>https://dd3ka9h4chfr8.cloudfront.net/image/725136000567/image_alu5qa9nb164b49dhdmm2fkg74/-FJPG/231732-006_DET_2.jpg</t>
  </si>
  <si>
    <t>https://dd3ka9h4chfr8.cloudfront.net/image/725136000567/image_n986fnvs8t5ld1t8kgs0ruln2b/-FJPG/231732-006_BCK_1.jpg</t>
  </si>
  <si>
    <t>https://dd3ka9h4chfr8.cloudfront.net/image/725136000567/image_g0hq95idap4pt50juqqu4pvs2j/-FJPG/231732-006_DET_1.jpg</t>
  </si>
  <si>
    <t>https://dd3ka9h4chfr8.cloudfront.net/image/725136000567/image_49pi8ttclp25h6pnjvm0ui390f/-FJPG/231732-006_DET_3.jpg</t>
  </si>
  <si>
    <t>https://dd3ka9h4chfr8.cloudfront.net/image/725136000567/image_9ha1pac2t16kb8ppjcpphepm4p/-FJPG/231732-006_DET_4.jpg</t>
  </si>
  <si>
    <t>https://dd3ka9h4chfr8.cloudfront.net/image/725136000567/image_c4t6rmr7k54s50ctc78g0b830o/-FJPG/231732-006_DET_5.jpg</t>
  </si>
  <si>
    <t>https://dd3ka9h4chfr8.cloudfront.net/image/725136000567/image_b6rsf785110c1a5pmkje0bvh2j/-FJPG/231732-006_DET_6.jpg</t>
  </si>
  <si>
    <t>https://dd3ka9h4chfr8.cloudfront.net/image/725136000567/image_54286k1gil5lp455sampvnqj1p/-FJPG/231732-006_DET_7.jpg</t>
  </si>
  <si>
    <t>Leo Console Table - Rustic Grey</t>
  </si>
  <si>
    <t>https://dd3ka9h4chfr8.cloudfront.net/image/725136000567/image_gvcl0i6bdl0nnb8ifpvj8bt948/-S150x150-FJPG/231789-002_PRM_1.jpg</t>
  </si>
  <si>
    <t>https://dd3ka9h4chfr8.cloudfront.net/image/725136000567/image_gvcl0i6bdl0nnb8ifpvj8bt948/-FJPG/231789-002_PRM_1.jpg</t>
  </si>
  <si>
    <t>https://dd3ka9h4chfr8.cloudfront.net/image/725136000567/image_5lr00h5j0l75n5ip4oaii6qn5m/-FJPG/231789-002_SID_1.jpg</t>
  </si>
  <si>
    <t>https://dd3ka9h4chfr8.cloudfront.net/image/725136000567/image_r263r04h8l0p34itqfo6albc2v/-FJPG/231789-002_DET_2.jpg</t>
  </si>
  <si>
    <t>https://dd3ka9h4chfr8.cloudfront.net/image/725136000567/image_butfh5jnfl4tff3rhnb0tl5v6j/-FJPG/231789-002_DET_1.jpg</t>
  </si>
  <si>
    <t>https://dd3ka9h4chfr8.cloudfront.net/image/725136000567/image_3l279qcitl7f96vshh5lr70m72/-FJPG/231789-002_DET_3.jpg</t>
  </si>
  <si>
    <t>https://dd3ka9h4chfr8.cloudfront.net/image/725136000567/image_bs8ptg07dt08p2fq240q0tda50/-FJPG/231789-002_DET_4.jpg</t>
  </si>
  <si>
    <t>https://dd3ka9h4chfr8.cloudfront.net/image/725136000567/image_gf5r3nfvld1hb2ec0g18j13d01/-FJPG/231789-002_DET_5.jpg</t>
  </si>
  <si>
    <t>https://dd3ka9h4chfr8.cloudfront.net/image/725136000567/image_rulo6sh3k56dv83e17o52iob2m/-FJPG/231789-002_DET_6.jpg</t>
  </si>
  <si>
    <t>https://dd3ka9h4chfr8.cloudfront.net/image/725136000567/image_7hh37qim8l4bf9pghsvsrepv3s/-FJPG/231789-002_ESS.tif</t>
  </si>
  <si>
    <t>Leo Nightstand - Rustic Grey Veneer</t>
  </si>
  <si>
    <t>https://dd3ka9h4chfr8.cloudfront.net/image/725136000567/image_6n0rlm63s50697jf87gcicm640/-S150x150-FJPG/231734-002_PRM_1.jpg</t>
  </si>
  <si>
    <t>https://dd3ka9h4chfr8.cloudfront.net/image/725136000567/image_6n0rlm63s50697jf87gcicm640/-FJPG/231734-002_PRM_1.jpg</t>
  </si>
  <si>
    <t>https://dd3ka9h4chfr8.cloudfront.net/image/725136000567/image_op5lan14g15ihdhe9k48dbgd46/-FJPG/231734-002_SID_1.jpg</t>
  </si>
  <si>
    <t>https://dd3ka9h4chfr8.cloudfront.net/image/725136000567/image_7199j1da514hj1q9iac4f0kj7q/-FJPG/231734-002_DET_2.jpg</t>
  </si>
  <si>
    <t>https://dd3ka9h4chfr8.cloudfront.net/image/725136000567/image_22l29scjah34n6fbbeh9cd1g77/-FJPG/231734-002_BCK_1.jpg</t>
  </si>
  <si>
    <t>https://dd3ka9h4chfr8.cloudfront.net/image/725136000567/image_bl4ug6nrrd37577bv8mthm6348/-FJPG/231734-002_DET_1.jpg</t>
  </si>
  <si>
    <t>https://dd3ka9h4chfr8.cloudfront.net/image/725136000567/image_jvsa0rhlvt0dp0kss15nnbej1r/-FJPG/231734-002_DET_3.jpg</t>
  </si>
  <si>
    <t>https://dd3ka9h4chfr8.cloudfront.net/image/725136000567/image_50nr2e7k6d2pj2e89pkqnsla4g/-FJPG/231734-002_OPN_1.jpg</t>
  </si>
  <si>
    <t>https://dd3ka9h4chfr8.cloudfront.net/image/725136000567/image_md0j8e7ioh7qv7vodccb8k8135/-FJPG/231734-002_DET_4.jpg</t>
  </si>
  <si>
    <t>https://dd3ka9h4chfr8.cloudfront.net/image/725136000567/image_hc3mj1kn5d4b74n3cqppnpvc1b/-FJPG/231734-002_DET_5.jpg</t>
  </si>
  <si>
    <t>https://dd3ka9h4chfr8.cloudfront.net/image/725136000567/image_usca1qb0tl22ndghvl7a5euq1g/-FJPG/231734-002_DET_6.jpg</t>
  </si>
  <si>
    <t>https://dd3ka9h4chfr8.cloudfront.net/image/725136000567/image_ojgke10o210cnav9jgab0prv7h/-FJPG/231734-002_DET_7.jpg</t>
  </si>
  <si>
    <t>https://dd3ka9h4chfr8.cloudfront.net/image/725136000567/image_uqh5acjocp5dp4mta33aktr64s/-FJPG/231734-002_ESS.tif</t>
  </si>
  <si>
    <t>Leo Nightstand - Smoked Black Veneer</t>
  </si>
  <si>
    <t>https://dd3ka9h4chfr8.cloudfront.net/image/725136000567/image_15j4htdakt24h7nfg59u2bc341/-S150x150-FJPG/231734-003_PRM_1.jpg</t>
  </si>
  <si>
    <t>https://dd3ka9h4chfr8.cloudfront.net/image/725136000567/image_15j4htdakt24h7nfg59u2bc341/-FJPG/231734-003_PRM_1.jpg</t>
  </si>
  <si>
    <t>https://dd3ka9h4chfr8.cloudfront.net/image/725136000567/image_ej3msur7gh0f57qrcko419nf7q/-FJPG/231734-003_SID_1.jpg</t>
  </si>
  <si>
    <t>https://dd3ka9h4chfr8.cloudfront.net/image/725136000567/image_4lusjql55t1of7lu1bg578hh6h/-FJPG/231734-003_ESS.tif</t>
  </si>
  <si>
    <t>https://dd3ka9h4chfr8.cloudfront.net/image/725136000567/image_86vmrqvpdh7o5as9ag3ah1a701/-FJPG/231734-003_DET_2.jpg</t>
  </si>
  <si>
    <t>https://dd3ka9h4chfr8.cloudfront.net/image/725136000567/image_7uemp9ph2d6ip316817f0fbl78/-FJPG/231734-003_BCK_1.jpg</t>
  </si>
  <si>
    <t>https://dd3ka9h4chfr8.cloudfront.net/image/725136000567/image_2rdkj815jd1cl5ri010riebh4g/-FJPG/231734-003_DET_1.jpg</t>
  </si>
  <si>
    <t>https://dd3ka9h4chfr8.cloudfront.net/image/725136000567/image_8tanch0ukp66fd1ek8avm2nb49/-FJPG/231734-003_DET_3.jpg</t>
  </si>
  <si>
    <t>https://dd3ka9h4chfr8.cloudfront.net/image/725136000567/image_c873h6rgk56apatrjup49tv55s/-FJPG/231734-003_OPN_1.jpg</t>
  </si>
  <si>
    <t>https://dd3ka9h4chfr8.cloudfront.net/image/725136000567/image_mfaq8crgup7o7eonnusunmii37/-FJPG/231734-003_TOP_1.jpg</t>
  </si>
  <si>
    <t>https://dd3ka9h4chfr8.cloudfront.net/image/725136000567/image_8a7cah5iul01ha18dkp66p8366/-FJPG/231734-003_DET_4.jpg</t>
  </si>
  <si>
    <t>https://dd3ka9h4chfr8.cloudfront.net/image/725136000567/image_llba6hebad22heetn0nvnl823i/-FJPG/231734-003_DET_5.jpg</t>
  </si>
  <si>
    <t>Leo Sideboard - Rustic Grey</t>
  </si>
  <si>
    <t>https://dd3ka9h4chfr8.cloudfront.net/image/725136000567/image_ur8e28ui5l18df4oo6i9ip886u/-S150x150-FJPG/231850-002_PRM_1.jpg</t>
  </si>
  <si>
    <t>https://dd3ka9h4chfr8.cloudfront.net/image/725136000567/image_ur8e28ui5l18df4oo6i9ip886u/-FJPG/231850-002_PRM_1.jpg</t>
  </si>
  <si>
    <t>https://dd3ka9h4chfr8.cloudfront.net/image/725136000567/image_jp1q67k3ud00tf2mn5r1i0bs3q/-FJPG/231850-002_SID_1.jpg</t>
  </si>
  <si>
    <t>https://dd3ka9h4chfr8.cloudfront.net/image/725136000567/image_1tsg0june90g3e7bntmj2a6m4j/-FJPG/231850-002_DET_2.jpg</t>
  </si>
  <si>
    <t>https://dd3ka9h4chfr8.cloudfront.net/image/725136000567/image_6aq5a68ifd7p9684bhch35fd4i/-FJPG/231850-002_BCK_1.jpg</t>
  </si>
  <si>
    <t>https://dd3ka9h4chfr8.cloudfront.net/image/725136000567/image_13ve5b41o13u37iu4fio2a142a/-FJPG/231850-002_DET_1.jpg</t>
  </si>
  <si>
    <t>https://dd3ka9h4chfr8.cloudfront.net/image/725136000567/image_0g2g9t2o6l08v5242tptt5tj6g/-FJPG/231850-002_DET_3.jpg</t>
  </si>
  <si>
    <t>https://dd3ka9h4chfr8.cloudfront.net/image/725136000567/image_rat2nsq9dt3051flssd7derc12/-FJPG/231850-002_OPN_1.jpg</t>
  </si>
  <si>
    <t>https://dd3ka9h4chfr8.cloudfront.net/image/725136000567/image_n7dham5hot5u1c76l6l4sooc2k/-FJPG/231850-002_DET_4.jpg</t>
  </si>
  <si>
    <t>https://dd3ka9h4chfr8.cloudfront.net/image/725136000567/image_nijhbubj7t3gh6o93hkc9jst68/-FJPG/231850-002_DET_5.jpg</t>
  </si>
  <si>
    <t>https://dd3ka9h4chfr8.cloudfront.net/image/725136000567/image_m17t6k5sf55477ga4eejgrj839/-FJPG/231850-002_DET_6.jpg</t>
  </si>
  <si>
    <t>https://dd3ka9h4chfr8.cloudfront.net/image/725136000567/image_oaual6vmut55h2mmop583spk0d/-FJPG/231850-002_DET_7.jpg</t>
  </si>
  <si>
    <t>https://dd3ka9h4chfr8.cloudfront.net/image/725136000567/image_j46iga6mgl0lrbl2ksns4u0v30/-FJPG/231850-002_DET_8.jpg</t>
  </si>
  <si>
    <t>https://dd3ka9h4chfr8.cloudfront.net/image/725136000567/image_svcr3q9b3d6dv8dnfrgda7063k/-FJPG/231850-002_ESS.tif</t>
  </si>
  <si>
    <t>Leo Sideboard - Smoked Black</t>
  </si>
  <si>
    <t>https://dd3ka9h4chfr8.cloudfront.net/image/725136000567/image_o85gbk27s1523bj7honlipco31/-S150x150-FJPG/231850-003_PRM_1.jpg</t>
  </si>
  <si>
    <t>https://dd3ka9h4chfr8.cloudfront.net/image/725136000567/image_o85gbk27s1523bj7honlipco31/-FJPG/231850-003_PRM_1.jpg</t>
  </si>
  <si>
    <t>https://dd3ka9h4chfr8.cloudfront.net/image/725136000567/image_fpfcekgr3d11dfmedktfibi31j/-FJPG/231850-003_SID_1.jpg</t>
  </si>
  <si>
    <t>https://dd3ka9h4chfr8.cloudfront.net/image/725136000567/image_d1hnce4nul45n54qosnrslqj3f/-FJPG/231850-003_DET_2.jpg</t>
  </si>
  <si>
    <t>https://dd3ka9h4chfr8.cloudfront.net/image/725136000567/image_an3qtf6cv52rpcv4e83pfd2325/-FJPG/231850-003_BCK_1.jpg</t>
  </si>
  <si>
    <t>https://dd3ka9h4chfr8.cloudfront.net/image/725136000567/image_42uhot50u53mp3iaiqgg5ik240/-FJPG/231850-003_DET_1.jpg</t>
  </si>
  <si>
    <t>https://dd3ka9h4chfr8.cloudfront.net/image/725136000567/image_omh6292p8d1a72rpmj6gli441m/-FJPG/231850-003_DET_3.jpg</t>
  </si>
  <si>
    <t>https://dd3ka9h4chfr8.cloudfront.net/image/725136000567/image_vqr8daodc118l943j7j1138h6v/-FJPG/231850-003_OPN_1.jpg</t>
  </si>
  <si>
    <t>https://dd3ka9h4chfr8.cloudfront.net/image/725136000567/image_o934qiljoh6khb05afjlh83079/-FJPG/231850-003_TOP_1.jpg</t>
  </si>
  <si>
    <t>https://dd3ka9h4chfr8.cloudfront.net/image/725136000567/image_clelqag2q17jvdkquvtjsld36p/-FJPG/231850-003_DET_4.jpg</t>
  </si>
  <si>
    <t>https://dd3ka9h4chfr8.cloudfront.net/image/725136000567/image_id138mdjjt28d8ugnphmr4ot5k/-FJPG/231850-003_DET_5.jpg</t>
  </si>
  <si>
    <t>https://dd3ka9h4chfr8.cloudfront.net/image/725136000567/image_01lj3esjgl1jrdtc6bitmrrr61/-FJPG/231850-003_DET_6.jpg</t>
  </si>
  <si>
    <t>Leonie Chair - Knoll Natural</t>
  </si>
  <si>
    <t>https://dd3ka9h4chfr8.cloudfront.net/image/725136000567/image_jc2hnta7qd1q9fcr1665hm590j/-S150x150-FJPG/CKEN-23671-493_PRM_1.jpg</t>
  </si>
  <si>
    <t>https://dd3ka9h4chfr8.cloudfront.net/image/725136000567/image_jc2hnta7qd1q9fcr1665hm590j/-FJPG/CKEN-23671-493_PRM_1.jpg</t>
  </si>
  <si>
    <t>https://dd3ka9h4chfr8.cloudfront.net/image/725136000567/image_d9vrsqoopt5v1cokor5dhrba67/-FJPG/CKEN-23671-493_SID_1.jpg</t>
  </si>
  <si>
    <t>https://dd3ka9h4chfr8.cloudfront.net/image/725136000567/image_5t6purt3jd6832e72k59e5c568/-FJPG/CKEN-23671-493_DET_2.jpg</t>
  </si>
  <si>
    <t>https://dd3ka9h4chfr8.cloudfront.net/image/725136000567/image_kns3go1tb1179aqsbba9d0dr35/-FJPG/CKEN-23671-493_BCK_1.jpg</t>
  </si>
  <si>
    <t>https://dd3ka9h4chfr8.cloudfront.net/image/725136000567/image_uta4jh485h32199im13thhv722/-FJPG/CKEN-23671-493_INF_1.jpg</t>
  </si>
  <si>
    <t>https://dd3ka9h4chfr8.cloudfront.net/image/725136000567/image_56eda6imqd6d5ct8e6g19jqq5m/-FJPG/CKEN-23671-493_DET_1.jpg</t>
  </si>
  <si>
    <t>https://dd3ka9h4chfr8.cloudfront.net/image/725136000567/image_qo4nrhreql3mbbgpgpdralt22b/-FJPG/CKEN-23671-493_DET_3.jpg</t>
  </si>
  <si>
    <t>https://dd3ka9h4chfr8.cloudfront.net/image/725136000567/image_ahnl90u0910vpbd44ustal660i/-FJPG/CKEN-23671-493_DET_4.jpg</t>
  </si>
  <si>
    <t>https://dd3ka9h4chfr8.cloudfront.net/image/725136000567/image_l8tt471h755dlep3895oqqi442/-FJPG/CKEN-23671-493_DET_5.jpg</t>
  </si>
  <si>
    <t>https://dd3ka9h4chfr8.cloudfront.net/image/725136000567/image_6m8728k8j95516k69gvsomgi3l/-FJPG/CKEN-23671-493_DET_6.jpg</t>
  </si>
  <si>
    <t>https://dd3ka9h4chfr8.cloudfront.net/image/725136000567/image_9gaavd64i51sj5ps8lr03svi7p/-FJPG/CKEN-23671-493_ROM_1.jpg</t>
  </si>
  <si>
    <t>Leya Sideboard - Weathered Oak Veneer</t>
  </si>
  <si>
    <t>https://dd3ka9h4chfr8.cloudfront.net/image/725136000567/image_9qo9tho0et3336m93h90eia86e/-S150x150-FJPG/245738-001_PRM_1.jpg</t>
  </si>
  <si>
    <t>https://dd3ka9h4chfr8.cloudfront.net/image/725136000567/image_9qo9tho0et3336m93h90eia86e/-FJPG/245738-001_PRM_1.jpg</t>
  </si>
  <si>
    <t>https://dd3ka9h4chfr8.cloudfront.net/image/725136000567/image_d20019m0g94ute2cit6d38d44h/-FJPG/245738-001_SID_1.jpg</t>
  </si>
  <si>
    <t>https://dd3ka9h4chfr8.cloudfront.net/image/725136000567/image_5btmgk92ft4kn6rsdcmsqt6438/-FJPG/245738-001_ESS_1.tif</t>
  </si>
  <si>
    <t>https://dd3ka9h4chfr8.cloudfront.net/image/725136000567/image_tb93h202t947f7k7g8912g0j2i/-FJPG/245738-001_DET_2.jpg</t>
  </si>
  <si>
    <t>https://dd3ka9h4chfr8.cloudfront.net/image/725136000567/image_itdocfnft177ra7ng2sji81n3s/-FJPG/245738-001_BCK_1.jpg</t>
  </si>
  <si>
    <t>https://dd3ka9h4chfr8.cloudfront.net/image/725136000567/image_dkc52s7cll1nnes6tsr23l6u2s/-FJPG/245738-001_DET_1.jpg</t>
  </si>
  <si>
    <t>https://dd3ka9h4chfr8.cloudfront.net/image/725136000567/image_edm5kj85kh1a79ck2p1pms8c2f/-FJPG/245738-001_DET_3.jpg</t>
  </si>
  <si>
    <t>https://dd3ka9h4chfr8.cloudfront.net/image/725136000567/image_skf87mbfid5pb3ge1kgbfcji4k/-FJPG/245738-001_OPN_1.jpg</t>
  </si>
  <si>
    <t>https://dd3ka9h4chfr8.cloudfront.net/image/725136000567/image_micrl4dc215jf8d5hr95gut61r/-FJPG/245738-001_TOP_1.jpg</t>
  </si>
  <si>
    <t>https://dd3ka9h4chfr8.cloudfront.net/image/725136000567/image_vns6381nph73v28tc6pndtkv0k/-FJPG/245738-001_DET_4.jpg</t>
  </si>
  <si>
    <t>https://dd3ka9h4chfr8.cloudfront.net/image/725136000567/image_2g5nci53tl5d158b5oromoj91i/-FJPG/245738-001_DET_5.jpg</t>
  </si>
  <si>
    <t>https://dd3ka9h4chfr8.cloudfront.net/image/725136000567/image_ck4d6k7gip03v9q3leeoh6e96q/-FJPG/245738-001_DET_6.jpg</t>
  </si>
  <si>
    <t>Lia Bed - Natural Reclaimed French Oak</t>
  </si>
  <si>
    <t>https://dd3ka9h4chfr8.cloudfront.net/image/725136000567/image_5brv89mkm954718pukomsq0j3p/-S150x150-FJPG/242174-001_PRM_1.jpg</t>
  </si>
  <si>
    <t>https://dd3ka9h4chfr8.cloudfront.net/image/725136000567/image_5brv89mkm954718pukomsq0j3p/-FJPG/242174-001_PRM_1.jpg</t>
  </si>
  <si>
    <t>https://dd3ka9h4chfr8.cloudfront.net/image/725136000567/image_ctaqea7e3d58p1sd6jslp12a6j/-FJPG/242174-001_SID_1.jpg</t>
  </si>
  <si>
    <t>https://dd3ka9h4chfr8.cloudfront.net/image/725136000567/image_r8eqls688l4ob1vgtahngtd20h/-FJPG/242174-001_ESS_1.tif</t>
  </si>
  <si>
    <t>https://dd3ka9h4chfr8.cloudfront.net/image/725136000567/image_ql59sbutah6sh7d8amlu283712/-FJPG/242174-001_DET_2.jpg</t>
  </si>
  <si>
    <t>https://dd3ka9h4chfr8.cloudfront.net/image/725136000567/image_uoka4er6kt4j73p7r2rqbrhd4d/-FJPG/242174-001_BCK_1.jpg</t>
  </si>
  <si>
    <t>https://dd3ka9h4chfr8.cloudfront.net/image/725136000567/image_db9o9u3kb179n2o1h0irfu4m2p/-FJPG/242174-001_DET_1.jpg</t>
  </si>
  <si>
    <t>https://dd3ka9h4chfr8.cloudfront.net/image/725136000567/image_8ij259fs615or5fuue97mr292i/-FJPG/242174-001_DET_3.jpg</t>
  </si>
  <si>
    <t>https://dd3ka9h4chfr8.cloudfront.net/image/725136000567/image_085tkqkb317mj6m705ug0e231e/-FJPG/242174-001_DET_4.jpg</t>
  </si>
  <si>
    <t>https://dd3ka9h4chfr8.cloudfront.net/image/725136000567/image_p7bpe2mipl1uh9sdajp2rta97s/-FJPG/242174-001_DET_5.jpg</t>
  </si>
  <si>
    <t>https://dd3ka9h4chfr8.cloudfront.net/image/725136000567/image_3vn33odkbt65t439v7b62f3q1o/-FJPG/242174-001_DET_6.jpg</t>
  </si>
  <si>
    <t>https://dd3ka9h4chfr8.cloudfront.net/image/725136000567/image_hg7io3klkp22fck9efvqldgl71/-S150x150-FJPG/242174-002_PRM_1.jpg</t>
  </si>
  <si>
    <t>https://dd3ka9h4chfr8.cloudfront.net/image/725136000567/image_hg7io3klkp22fck9efvqldgl71/-FJPG/242174-002_PRM_1.jpg</t>
  </si>
  <si>
    <t>https://dd3ka9h4chfr8.cloudfront.net/image/725136000567/image_v1sl7dij015958hikq6jm48j1h/-FJPG/242174-002_SID_1.jpg</t>
  </si>
  <si>
    <t>https://dd3ka9h4chfr8.cloudfront.net/image/725136000567/image_o353qc4mkt1hlch3v4hut0ld4j/-FJPG/242174-002_ESS_1.tif</t>
  </si>
  <si>
    <t>https://dd3ka9h4chfr8.cloudfront.net/image/725136000567/image_g1eiqj0q5556v24ss0o2sddd0p/-FJPG/242174-002_DET_2.jpg</t>
  </si>
  <si>
    <t>https://dd3ka9h4chfr8.cloudfront.net/image/725136000567/image_vc1o5eglpl3ol4aba1p87v9k09/-FJPG/242174-002_BCK_1.jpg</t>
  </si>
  <si>
    <t>https://dd3ka9h4chfr8.cloudfront.net/image/725136000567/image_tr3i99ffo55i930pe3o44di614/-FJPG/242174-002_DET_1.jpg</t>
  </si>
  <si>
    <t>https://dd3ka9h4chfr8.cloudfront.net/image/725136000567/image_g22m81g3id74b6595hjijpvp5l/-FJPG/242174-002_DET_3.jpg</t>
  </si>
  <si>
    <t>https://dd3ka9h4chfr8.cloudfront.net/image/725136000567/image_va2jhsb0p1501ebp37o47d215c/-FJPG/242174-002_DET_4.jpg</t>
  </si>
  <si>
    <t>https://dd3ka9h4chfr8.cloudfront.net/image/725136000567/image_hndaeomn8t0fv7f84vbghe7g09/-FJPG/242174-002_DET_5.jpg</t>
  </si>
  <si>
    <t>https://dd3ka9h4chfr8.cloudfront.net/image/725136000567/image_pl3muqui2l3nv0d0qeroqsd378/-FJPG/242174-002_DET_6.jpg</t>
  </si>
  <si>
    <t>Liad Coffee Table - Natural Nettlewood</t>
  </si>
  <si>
    <t>https://dd3ka9h4chfr8.cloudfront.net/image/725136000567/image_gp4assqhpl50t2nec6c0k68q24/-S150x150-FJPG/229608-001_PRM_1.jpg</t>
  </si>
  <si>
    <t>https://dd3ka9h4chfr8.cloudfront.net/image/725136000567/image_6ime6q3kch73vf1qblh4r7g95g/-FJPG/229608-001_SID_1.jpg</t>
  </si>
  <si>
    <t>https://dd3ka9h4chfr8.cloudfront.net/image/725136000567/image_mrcdugdo755158ertmtst5lm2c/-FJPG/229608-001_ESS_1.jpg</t>
  </si>
  <si>
    <t>https://dd3ka9h4chfr8.cloudfront.net/image/725136000567/image_t3t15nko1l56hd9hqf5slrnd1n/-FJPG/229608-001_DET_2.jpg</t>
  </si>
  <si>
    <t>https://dd3ka9h4chfr8.cloudfront.net/image/725136000567/image_huo56si2f54d15d6i8jefp9r3f/-FJPG/229608-001_DET_1.jpg</t>
  </si>
  <si>
    <t>https://dd3ka9h4chfr8.cloudfront.net/image/725136000567/image_mg54nfd0ah6vld9c1a99b9vd4r/-FJPG/229608-001_DET_3.jpg</t>
  </si>
  <si>
    <t>https://dd3ka9h4chfr8.cloudfront.net/image/725136000567/image_vdr3rh07dt32n091a56josvf0b/-FJPG/229608-001_TOP_1.jpg</t>
  </si>
  <si>
    <t>https://dd3ka9h4chfr8.cloudfront.net/image/725136000567/image_5ls98q1gop1f5ba18uk14l7u7e/-FJPG/229608-001_DET_4.jpg</t>
  </si>
  <si>
    <t>https://dd3ka9h4chfr8.cloudfront.net/image/725136000567/image_c59qsdd3fd5sn9njafe5h8n82k/-FJPG/229608-001_DET_5.jpg</t>
  </si>
  <si>
    <t>https://dd3ka9h4chfr8.cloudfront.net/image/725136000567/image_85550la4e95ile76qd6v2irv69/-FJPG/229608-001_DET_6.jpg</t>
  </si>
  <si>
    <t>Lincoln Sleeper Sofa - Savoy Parchment</t>
  </si>
  <si>
    <t>54% Polyester</t>
  </si>
  <si>
    <t>36% Viscose (Rayon)</t>
  </si>
  <si>
    <t>https://dd3ka9h4chfr8.cloudfront.net/image/725136000567/image_kjl6j8qnod4of0mdqf6rvru92h/-S150x150-FJPG/241279-005_PRM_1.jpg</t>
  </si>
  <si>
    <t>https://dd3ka9h4chfr8.cloudfront.net/image/725136000567/image_kjl6j8qnod4of0mdqf6rvru92h/-FJPG/241279-005_PRM_1.jpg</t>
  </si>
  <si>
    <t>https://dd3ka9h4chfr8.cloudfront.net/image/725136000567/image_gvsd1lrd0l2gfcp4ehfhvn1t70/-FJPG/241279-005_SID_1.jpg</t>
  </si>
  <si>
    <t>https://dd3ka9h4chfr8.cloudfront.net/image/725136000567/image_5vsk8o4fl95r7df5tca15cfb32/-FJPG/241279-005_ESS.tif</t>
  </si>
  <si>
    <t>https://dd3ka9h4chfr8.cloudfront.net/image/725136000567/image_j1eu0vg8np0of0o5v9a1sn9q51/-FJPG/241279-005_DET_2.jpg</t>
  </si>
  <si>
    <t>https://dd3ka9h4chfr8.cloudfront.net/image/725136000567/image_1n7viasfk14kf5q4mqgvo3ka1s/-FJPG/241279-005_BCK_1.jpg</t>
  </si>
  <si>
    <t>https://dd3ka9h4chfr8.cloudfront.net/image/725136000567/image_11g8gh7q9p1ubc1qvo26mmbn0j/-FJPG/241279-005_DET_1.jpg</t>
  </si>
  <si>
    <t>https://dd3ka9h4chfr8.cloudfront.net/image/725136000567/image_7rf71t4ck90hl4uecnqofnbl4e/-FJPG/241279-005_DET_3.jpg</t>
  </si>
  <si>
    <t>https://dd3ka9h4chfr8.cloudfront.net/image/725136000567/image_h0bd2515d51eh5gl1787jbk656/-FJPG/241279-005_OPN_1.jpg</t>
  </si>
  <si>
    <t>https://dd3ka9h4chfr8.cloudfront.net/image/725136000567/image_p86ol150r50u39g6hm2i8llm6t/-FJPG/241279-005_DET_4.jpg</t>
  </si>
  <si>
    <t>https://dd3ka9h4chfr8.cloudfront.net/image/725136000567/image_8bfc3igdcl13be5ooi35dieh5j/-FJPG/241279-005_DET_5.jpg</t>
  </si>
  <si>
    <t>https://dd3ka9h4chfr8.cloudfront.net/image/725136000567/image_h3n9380v9p6cnelln4s60p0a3f/-FJPG/241279-005_DET_6.jpg</t>
  </si>
  <si>
    <t>https://dd3ka9h4chfr8.cloudfront.net/image/725136000567/image_mprjm80lbd2lv2t3fvbjl46u6l/-FJPG/241279-005_DET_7.jpg</t>
  </si>
  <si>
    <t>https://dd3ka9h4chfr8.cloudfront.net/image/725136000567/image_rlmbipl6ld5rf50sjfnmian77j/-FJPG/241279-005_DET_8.jpg</t>
  </si>
  <si>
    <t>https://dd3ka9h4chfr8.cloudfront.net/image/725136000567/image_959ecj5cid6tp0krr78e1tbn5d/-FJPG/241279-005_DET_9.jpg</t>
  </si>
  <si>
    <t>https://dd3ka9h4chfr8.cloudfront.net/image/725136000567/image_ahffgo64494ct0inf4400pjq5g/-FJPG/241279-005_DET_10.jpg</t>
  </si>
  <si>
    <t>https://dd3ka9h4chfr8.cloudfront.net/image/725136000567/image_h08qoh2j2p0v3e0mrvdk33pk5n/-FJPG/241279-005_ESS_2.tif</t>
  </si>
  <si>
    <t>Lincoln Sofa - Savoy Parchment</t>
  </si>
  <si>
    <t>https://dd3ka9h4chfr8.cloudfront.net/image/725136000567/image_pf31mj7h2947f02cj95jdvhk7a/-S150x150-FJPG/249260-003_PRM_1.jpg</t>
  </si>
  <si>
    <t>https://dd3ka9h4chfr8.cloudfront.net/image/725136000567/image_pf31mj7h2947f02cj95jdvhk7a/-FJPG/249260-003_PRM_1.jpg</t>
  </si>
  <si>
    <t>https://dd3ka9h4chfr8.cloudfront.net/image/725136000567/image_slt6o4o7up4eh7senuchhqmq5n/-FJPG/249260-003_SID_1.jpg</t>
  </si>
  <si>
    <t>https://dd3ka9h4chfr8.cloudfront.net/image/725136000567/image_jp9akuca4l0tl1c6l55440mj6t/-FJPG/249260-003_ESS.tif</t>
  </si>
  <si>
    <t>https://dd3ka9h4chfr8.cloudfront.net/image/725136000567/image_sumqonjpo57qfaqs7n1fhcia4j/-FJPG/249260-003_DET_2.jpg</t>
  </si>
  <si>
    <t>https://dd3ka9h4chfr8.cloudfront.net/image/725136000567/image_puru4lbupt0nr5eafep9i88j0r/-FJPG/249260-003_BCK_1.jpg</t>
  </si>
  <si>
    <t>https://dd3ka9h4chfr8.cloudfront.net/image/725136000567/image_hgho8bepqh1qt4nt7pd5mnf54r/-FJPG/249260-003_DET_1.jpg</t>
  </si>
  <si>
    <t>https://dd3ka9h4chfr8.cloudfront.net/image/725136000567/image_7ulj1kec5d5u7dlmiitfn3343f/-FJPG/249260-003_DET_3.jpg</t>
  </si>
  <si>
    <t>https://dd3ka9h4chfr8.cloudfront.net/image/725136000567/image_4j4pdudn2d04jf32uaki390p5f/-FJPG/249260-003_DET_4.jpg</t>
  </si>
  <si>
    <t>https://dd3ka9h4chfr8.cloudfront.net/image/725136000567/image_g0og2pnq451u58vpifeh5lc83j/-FJPG/249260-003_DET_9.tif</t>
  </si>
  <si>
    <t>Live Edge Sideboard - Smoked Saman</t>
  </si>
  <si>
    <t>Thick Saman Veneer</t>
  </si>
  <si>
    <t>https://dd3ka9h4chfr8.cloudfront.net/image/725136000567/image_0eue6dnie91s1eotn4d0cbhl14/-S150x150-FJPG/UWES-150_PRM_1.jpg</t>
  </si>
  <si>
    <t>https://dd3ka9h4chfr8.cloudfront.net/image/725136000567/image_0eue6dnie91s1eotn4d0cbhl14/-FJPG/UWES-150_PRM_1.jpg</t>
  </si>
  <si>
    <t>https://dd3ka9h4chfr8.cloudfront.net/image/725136000567/image_vokphlitn11md2rdbtco6bif7g/-FJPG/UWES-150_SID_1.jpg</t>
  </si>
  <si>
    <t>https://dd3ka9h4chfr8.cloudfront.net/image/725136000567/image_aa7j59vv0h7clb4his0su01m3l/-FJPG/UWES-150_DET_2.jpg</t>
  </si>
  <si>
    <t>https://dd3ka9h4chfr8.cloudfront.net/image/725136000567/image_3eab6lqvcl3i3f8tf1ih4jb870/-FJPG/UWES-150_DET_1.jpg</t>
  </si>
  <si>
    <t>https://dd3ka9h4chfr8.cloudfront.net/image/725136000567/image_5l6usv8spd2of3d7l9hvpsnd1o/-FJPG/UWES-150_DET_3.jpg</t>
  </si>
  <si>
    <t>https://dd3ka9h4chfr8.cloudfront.net/image/725136000567/image_j541v5at0t72h420pkesnln638/-FJPG/UWES-150_OPN_1.jpg</t>
  </si>
  <si>
    <t>https://dd3ka9h4chfr8.cloudfront.net/image/725136000567/image_hq5s6js9dd6h9amous89hffn57/-FJPG/UWES-150_DET_4.jpg</t>
  </si>
  <si>
    <t>https://dd3ka9h4chfr8.cloudfront.net/image/725136000567/image_dsafp8og215bncvfr9fqh0h96v/-FJPG/UWES-150_DET_5.jpg</t>
  </si>
  <si>
    <t>https://dd3ka9h4chfr8.cloudfront.net/image/725136000567/image_ujku13m1at4sjc1ttfg388cl19/-FJPG/UWES-150_ROM_1.jpg</t>
  </si>
  <si>
    <t>https://dd3ka9h4chfr8.cloudfront.net/image/725136000567/image_mtd16piadh1359lceiqvpq937l/-FJPG/UWES-150_ROM_2.jpg</t>
  </si>
  <si>
    <t>Liza Bed - Vintage Natural</t>
  </si>
  <si>
    <t>100% Polyethylene</t>
  </si>
  <si>
    <t>Solid Sungkai</t>
  </si>
  <si>
    <t>https://dd3ka9h4chfr8.cloudfront.net/image/725136000567/image_4frlvpe33t4lt3fjiec09mpb3m/-S150x150-FJPG/228437-001_PRM_1.jpg</t>
  </si>
  <si>
    <t>https://dd3ka9h4chfr8.cloudfront.net/image/725136000567/image_4frlvpe33t4lt3fjiec09mpb3m/-FJPG/228437-001_PRM_1.jpg</t>
  </si>
  <si>
    <t>https://dd3ka9h4chfr8.cloudfront.net/image/725136000567/image_704nk0ncup2gf4h68nc7tmhh47/-FJPG/228437-001_SID_1.jpg</t>
  </si>
  <si>
    <t>https://dd3ka9h4chfr8.cloudfront.net/image/725136000567/image_t505d4pp596jj1enhk9e0u9i38/-FJPG/228437-001_ESS_1.jpg</t>
  </si>
  <si>
    <t>https://dd3ka9h4chfr8.cloudfront.net/image/725136000567/image_tpeecu53qh7rne9fnjt8cvf25g/-FJPG/228437-001_DET_2.jpg</t>
  </si>
  <si>
    <t>https://dd3ka9h4chfr8.cloudfront.net/image/725136000567/image_v8q8htbq9p3fv2jc7j4dnbna4e/-FJPG/228437-001_BCK_1.jpg</t>
  </si>
  <si>
    <t>https://dd3ka9h4chfr8.cloudfront.net/image/725136000567/image_ibm2f3chvd2g54aqmlm3l0f51c/-FJPG/228437-001_DET_1.jpg</t>
  </si>
  <si>
    <t>https://dd3ka9h4chfr8.cloudfront.net/image/725136000567/image_e8lil6v2td71je0smrkvu35h5s/-FJPG/228437-001_DET_3.jpg</t>
  </si>
  <si>
    <t>https://dd3ka9h4chfr8.cloudfront.net/image/725136000567/image_fhr4hf5gld6cf7g92g8t4rte5c/-FJPG/228437-001_DET_4.jpg</t>
  </si>
  <si>
    <t>https://dd3ka9h4chfr8.cloudfront.net/image/725136000567/image_f89aad276t5ul5dna8sqqmg974/-FJPG/228437-001_DET_5.jpg</t>
  </si>
  <si>
    <t>https://dd3ka9h4chfr8.cloudfront.net/image/725136000567/image_alf1blsh656jhbvq9peftmpj0j/-FJPG/228437-001_DET_6.jpg</t>
  </si>
  <si>
    <t>https://dd3ka9h4chfr8.cloudfront.net/image/725136000567/image_2le9ajrp85543crf5rj981db3n/-FJPG/228437-001_DET_7.jpg</t>
  </si>
  <si>
    <t>https://dd3ka9h4chfr8.cloudfront.net/image/725136000567/image_8vv5bs7st9335d4g2tdf16bc20/-FJPG/228437-001_SID_2.jpg</t>
  </si>
  <si>
    <t>https://dd3ka9h4chfr8.cloudfront.net/image/725136000567/image_dl8ln6c8kh23hdh2b5jkqd0k23/-FJPG/228437-001_PRM_2.jpg</t>
  </si>
  <si>
    <t>https://dd3ka9h4chfr8.cloudfront.net/image/725136000567/image_qjgtk9n6s179v89g39ahp5462f/-FJPG/228437-001_FRT_2.jpg</t>
  </si>
  <si>
    <t>https://dd3ka9h4chfr8.cloudfront.net/image/725136000567/image_qba061vj594at15j1se4l9bm0a/-S150x150-FJPG/228437-002_PRM_1.jpg</t>
  </si>
  <si>
    <t>https://dd3ka9h4chfr8.cloudfront.net/image/725136000567/image_qba061vj594at15j1se4l9bm0a/-FJPG/228437-002_PRM_1.jpg</t>
  </si>
  <si>
    <t>https://dd3ka9h4chfr8.cloudfront.net/image/725136000567/image_37hpu6otrl5bh4nqmpm8mpgf4v/-FJPG/228437-002_SID_1.jpg</t>
  </si>
  <si>
    <t>https://dd3ka9h4chfr8.cloudfront.net/image/725136000567/image_9fo1o0q6fp29d46n6c3ta6ls4j/-FJPG/228437-002_DET_2.jpg</t>
  </si>
  <si>
    <t>https://dd3ka9h4chfr8.cloudfront.net/image/725136000567/image_dmo0cdmrsp4franpi7c2i4jo7u/-FJPG/228437-002_BCK_1.jpg</t>
  </si>
  <si>
    <t>https://dd3ka9h4chfr8.cloudfront.net/image/725136000567/image_us9qdnrell6ip6euk98c25iq11/-FJPG/228437-002_DET_1.jpg</t>
  </si>
  <si>
    <t>https://dd3ka9h4chfr8.cloudfront.net/image/725136000567/image_jltddhsrvl3lvdrnvkvbej174t/-FJPG/228437-002_DET_3.jpg</t>
  </si>
  <si>
    <t>https://dd3ka9h4chfr8.cloudfront.net/image/725136000567/image_j1m1f9na3547pf0km6pnlleh0t/-FJPG/228437-002_DET_4.jpg</t>
  </si>
  <si>
    <t>https://dd3ka9h4chfr8.cloudfront.net/image/725136000567/image_7ptobqpbrd3u53b8b5j002rv2c/-FJPG/228437-002_DET_5.jpg</t>
  </si>
  <si>
    <t>https://dd3ka9h4chfr8.cloudfront.net/image/725136000567/image_nral31o7vl76f8mkr0dt5lof1j/-FJPG/228437-002_DET_6.jpg</t>
  </si>
  <si>
    <t>https://dd3ka9h4chfr8.cloudfront.net/image/725136000567/image_tipft7t8ph7if78mj6l8dp917n/-FJPG/228437-002_DET_7.jpg</t>
  </si>
  <si>
    <t>https://dd3ka9h4chfr8.cloudfront.net/image/725136000567/image_0nj8mrcfbt1hdd5k31cao4fb0d/-FJPG/228437-002_PRM_2.jpg</t>
  </si>
  <si>
    <t>https://dd3ka9h4chfr8.cloudfront.net/image/725136000567/image_hjb5bec06t3tr6onh9q0utcu1r/-FJPG/228437-002_SID_2.jpg</t>
  </si>
  <si>
    <t>https://dd3ka9h4chfr8.cloudfront.net/image/725136000567/image_74m6r9k98p6frb3bhkpoifn006/-FJPG/228437-002_FRT_2.jpg</t>
  </si>
  <si>
    <t>Louise Accent Stool - Ostend Natural</t>
  </si>
  <si>
    <t>58% Flax/Linen</t>
  </si>
  <si>
    <t>35% Acrylic</t>
  </si>
  <si>
    <t>https://dd3ka9h4chfr8.cloudfront.net/image/725136000567/image_bdj0ll4ljl5c74ac2u2lvc9h75/-S150x150-FJPG/241017-001_PRM_1.jpg</t>
  </si>
  <si>
    <t>https://dd3ka9h4chfr8.cloudfront.net/image/725136000567/image_bdj0ll4ljl5c74ac2u2lvc9h75/-FJPG/241017-001_PRM_1.jpg</t>
  </si>
  <si>
    <t>https://dd3ka9h4chfr8.cloudfront.net/image/725136000567/image_vt7vnopngt587dtn5ika7ndl77/-FJPG/241017-001_SID_1.jpg</t>
  </si>
  <si>
    <t>https://dd3ka9h4chfr8.cloudfront.net/image/725136000567/image_4vp704fe2p1vvf5qj6i7hn0s4d/-FJPG/241017-001_ESS.tif</t>
  </si>
  <si>
    <t>https://dd3ka9h4chfr8.cloudfront.net/image/725136000567/image_20h01dv04h79l03c4l7sh5hc13/-FJPG/241017-001_DET_2.jpg</t>
  </si>
  <si>
    <t>https://dd3ka9h4chfr8.cloudfront.net/image/725136000567/image_br9uka7bq15cva15tpuo5lb346/-FJPG/241017-001_DET_1.jpg</t>
  </si>
  <si>
    <t>https://dd3ka9h4chfr8.cloudfront.net/image/725136000567/image_1ohsppnrb132740cntq83ne273/-FJPG/241017-001_DET_3.jpg</t>
  </si>
  <si>
    <t>https://dd3ka9h4chfr8.cloudfront.net/image/725136000567/image_12i3qjlp7d7bj09j45o1vh1034/-FJPG/241017-001_DET_9.tif</t>
  </si>
  <si>
    <t>Luna Chaise - Capri Oatmeal</t>
  </si>
  <si>
    <t>https://dd3ka9h4chfr8.cloudfront.net/image/725136000567/image_n2kn7rcop10j3236qhotuike4v/-S150x150-FJPG/CGRY-02407-867P_PRM_1.jpg</t>
  </si>
  <si>
    <t>https://dd3ka9h4chfr8.cloudfront.net/image/725136000567/image_n2kn7rcop10j3236qhotuike4v/-FJPG/CGRY-02407-867P_PRM_1.jpg</t>
  </si>
  <si>
    <t>https://dd3ka9h4chfr8.cloudfront.net/image/725136000567/image_j93mjca3dt2rnc3eij811f1e0s/-FJPG/CGRY-02407-867P_SID_1.jpg</t>
  </si>
  <si>
    <t>https://dd3ka9h4chfr8.cloudfront.net/image/725136000567/image_jsagm0aqf54f5a2t72sj48l129/-FJPG/CGRY-02407-867P_ESS_1.jpg</t>
  </si>
  <si>
    <t>https://dd3ka9h4chfr8.cloudfront.net/image/725136000567/image_lks5j6o9ll1lp86ki92ajilj41/-FJPG/105774-002_ESS_1.jpg</t>
  </si>
  <si>
    <t>https://dd3ka9h4chfr8.cloudfront.net/image/725136000567/image_4u44smubnd5id345pjsgvun50v/-FJPG/CGRY-02407-867P_DET_2.jpg</t>
  </si>
  <si>
    <t>https://dd3ka9h4chfr8.cloudfront.net/image/725136000567/image_5a77uurp6t46dau2qpm7m8982h/-FJPG/CGRY-02407-867P_BCK_1.jpg</t>
  </si>
  <si>
    <t>https://dd3ka9h4chfr8.cloudfront.net/image/725136000567/image_8k610kpgo17kf7pkobhonmna11/-FJPG/CGRY-02407-867P_INF_1.jpg</t>
  </si>
  <si>
    <t>https://dd3ka9h4chfr8.cloudfront.net/image/725136000567/image_l7te9rv6l979l86jpqcf7iiq6p/-FJPG/CGRY-02407-867P_DET_1.jpg</t>
  </si>
  <si>
    <t>https://dd3ka9h4chfr8.cloudfront.net/image/725136000567/image_5pnu3c9q3h01105a73hbivsk7l/-FJPG/CGRY-02407-867P_DET_3.jpg</t>
  </si>
  <si>
    <t>https://dd3ka9h4chfr8.cloudfront.net/image/725136000567/image_r303t04lcp66j6b0ht9t9np265/-FJPG/CGRY-02407-867P_DET_4.jpg</t>
  </si>
  <si>
    <t>https://dd3ka9h4chfr8.cloudfront.net/image/725136000567/image_9fsar8en6t33n9sdr6pvpja206/-FJPG/CGRY-02407-867P_DET_5.jpg</t>
  </si>
  <si>
    <t>https://dd3ka9h4chfr8.cloudfront.net/image/725136000567/image_bes8hluldl1eb3611n2k2sld65/-FJPG/CGRY-02407-867P_DET_6.jpg</t>
  </si>
  <si>
    <t>Lunas Sideboard - Caramel Guanacaste</t>
  </si>
  <si>
    <t>https://dd3ka9h4chfr8.cloudfront.net/image/725136000567/image_v6g06a60o90i18qpblqs10nq4e/-S150x150-FJPG/104250-002_PRM_1.jpg</t>
  </si>
  <si>
    <t>https://dd3ka9h4chfr8.cloudfront.net/image/725136000567/image_v6g06a60o90i18qpblqs10nq4e/-FJPG/104250-002_PRM_1.jpg</t>
  </si>
  <si>
    <t>https://dd3ka9h4chfr8.cloudfront.net/image/725136000567/image_56seotdljp5n1235qk67ontc5n/-FJPG/104250-002_SID_1.jpg</t>
  </si>
  <si>
    <t>https://dd3ka9h4chfr8.cloudfront.net/image/725136000567/image_l0332hvoc556hajod5sd2ple0p/-FJPG/104250-002_ESS_1.jpg</t>
  </si>
  <si>
    <t>https://dd3ka9h4chfr8.cloudfront.net/image/725136000567/image_kokhakkfj14qpfgp3dmm4ior4i/-FJPG/104250-002_DET_2.jpg</t>
  </si>
  <si>
    <t>https://dd3ka9h4chfr8.cloudfront.net/image/725136000567/image_1lkg7ab6fp2ejb7ibrp085oi2c/-FJPG/104250-002_BCK_1.jpg</t>
  </si>
  <si>
    <t>https://dd3ka9h4chfr8.cloudfront.net/image/725136000567/image_g60kkm3p9p2i54jgifbimk056l/-FJPG/104250-002_DET_1.jpg</t>
  </si>
  <si>
    <t>https://dd3ka9h4chfr8.cloudfront.net/image/725136000567/image_npcst0sas56dt867a6nr864t0e/-FJPG/104250-002_DET_3.jpg</t>
  </si>
  <si>
    <t>https://dd3ka9h4chfr8.cloudfront.net/image/725136000567/image_plm7tipdd14uj1uauchfaklr1j/-FJPG/104250-002_OPN_1.jpg</t>
  </si>
  <si>
    <t>https://dd3ka9h4chfr8.cloudfront.net/image/725136000567/image_v3dm6nfju1755b1v0nnop7ro4s/-FJPG/104250-002_DET_4.jpg</t>
  </si>
  <si>
    <t>Lyla Chair - Capri Ebony</t>
  </si>
  <si>
    <t>https://dd3ka9h4chfr8.cloudfront.net/image/725136000567/image_qjl1cfrksp27jec4esvot70l2m/-S150x150-FJPG/108950-012_PRM_1.jpg</t>
  </si>
  <si>
    <t>https://dd3ka9h4chfr8.cloudfront.net/image/725136000567/image_qjl1cfrksp27jec4esvot70l2m/-FJPG/108950-012_PRM_1.jpg</t>
  </si>
  <si>
    <t>https://dd3ka9h4chfr8.cloudfront.net/image/725136000567/image_7q3t2ej6hd711c71gi2ur5fl5i/-FJPG/108950-012_SID_1.jpg</t>
  </si>
  <si>
    <t>https://dd3ka9h4chfr8.cloudfront.net/image/725136000567/image_d0d2v34q2d7mf9mmo3f3erml7e/-FJPG/108950-012_ESS.tif</t>
  </si>
  <si>
    <t>https://dd3ka9h4chfr8.cloudfront.net/image/725136000567/image_1iu4ksd3l53oh6q6kend6tgk0q/-FJPG/108950-012_DET_2.jpg</t>
  </si>
  <si>
    <t>https://dd3ka9h4chfr8.cloudfront.net/image/725136000567/image_js1hd03l353jhcpd1f663hu40i/-FJPG/108950-012_BCK_1.jpg</t>
  </si>
  <si>
    <t>https://dd3ka9h4chfr8.cloudfront.net/image/725136000567/image_335p80flrl2upa2f2p2d6tiv6r/-FJPG/108950-012_INF_1.jpg</t>
  </si>
  <si>
    <t>https://dd3ka9h4chfr8.cloudfront.net/image/725136000567/image_verh20ofqt6839peqi0fleo40h/-FJPG/108950-012_DET_1.jpg</t>
  </si>
  <si>
    <t>https://dd3ka9h4chfr8.cloudfront.net/image/725136000567/image_ul53drtk0132be37ob1d6vro2q/-FJPG/108950-012_DET_3.jpg</t>
  </si>
  <si>
    <t>Lyla Chair - Heirloom Black</t>
  </si>
  <si>
    <t>https://dd3ka9h4chfr8.cloudfront.net/image/725136000567/image_fjfbg074p137ffcicft8om5e0e/-S150x150-FJPG/108950-020_PRM_1.jpg</t>
  </si>
  <si>
    <t>https://dd3ka9h4chfr8.cloudfront.net/image/725136000567/image_fjfbg074p137ffcicft8om5e0e/-FJPG/108950-020_PRM_1.jpg</t>
  </si>
  <si>
    <t>https://dd3ka9h4chfr8.cloudfront.net/image/725136000567/image_bd46glhr893hh85saiiba9356l/-FJPG/108950-020_SID_1.jpg</t>
  </si>
  <si>
    <t>https://dd3ka9h4chfr8.cloudfront.net/image/725136000567/image_142povff4d5918jqh1fqb3a47o/-FJPG/108950-020_ESS.tif</t>
  </si>
  <si>
    <t>https://dd3ka9h4chfr8.cloudfront.net/image/725136000567/image_ldd615njc55nn3ketebgqkg55t/-FJPG/108950-020_DET_2.jpg</t>
  </si>
  <si>
    <t>https://dd3ka9h4chfr8.cloudfront.net/image/725136000567/image_17tqe07oj91931sc5j8eko3r0i/-FJPG/108950-020_BCK_1.jpg</t>
  </si>
  <si>
    <t>https://dd3ka9h4chfr8.cloudfront.net/image/725136000567/image_eec6ubttu17nd4qmqcgtl08l5d/-FJPG/108950-020_DET_1.jpg</t>
  </si>
  <si>
    <t>https://dd3ka9h4chfr8.cloudfront.net/image/725136000567/image_di516hveo10h55q2u3da79k21j/-FJPG/108950-020_DET_3.jpg</t>
  </si>
  <si>
    <t>https://dd3ka9h4chfr8.cloudfront.net/image/725136000567/image_fivomjdo750ejemo3nel0g2k7b/-FJPG/108950-020_DET_4.jpg</t>
  </si>
  <si>
    <t>https://dd3ka9h4chfr8.cloudfront.net/image/725136000567/image_5urf2fk4n91l5anr3f411bgt5b/-FJPG/108950-020_DET_5.jpg</t>
  </si>
  <si>
    <t>https://dd3ka9h4chfr8.cloudfront.net/image/725136000567/image_7qbsgr0mst7j93b1q5rf7npi3l/-FJPG/108950-020_DET_6.jpg</t>
  </si>
  <si>
    <t>Lyla Chair - Kerbey Ivory</t>
  </si>
  <si>
    <t>https://dd3ka9h4chfr8.cloudfront.net/image/725136000567/image_30n7rq2ehh4st93s64pratbr7s/-S150x150-FJPG/108950-010_PRM_1.jpg</t>
  </si>
  <si>
    <t>https://dd3ka9h4chfr8.cloudfront.net/image/725136000567/image_30n7rq2ehh4st93s64pratbr7s/-FJPG/108950-010_PRM_1.jpg</t>
  </si>
  <si>
    <t>https://dd3ka9h4chfr8.cloudfront.net/image/725136000567/image_21nhsj2vi10q1evuma2b7ggq1i/-FJPG/108950-010_SID_1.jpg</t>
  </si>
  <si>
    <t>https://dd3ka9h4chfr8.cloudfront.net/image/725136000567/image_bfm6cm7nd10mf3q0t9fbf9um0h/-FJPG/108950-010_DET_2.jpg</t>
  </si>
  <si>
    <t>https://dd3ka9h4chfr8.cloudfront.net/image/725136000567/image_mts5fn4qeh4id0oapusj1mpr56/-FJPG/108950-010_BCK_1.jpg</t>
  </si>
  <si>
    <t>https://dd3ka9h4chfr8.cloudfront.net/image/725136000567/image_gbrscmk2u9747dt8s6qein9d4o/-FJPG/108950-010_INF_1.jpg</t>
  </si>
  <si>
    <t>https://dd3ka9h4chfr8.cloudfront.net/image/725136000567/image_k2iil5lvvl03jc5a6hicml9j2j/-FJPG/108950-010_DET_1.jpg</t>
  </si>
  <si>
    <t>https://dd3ka9h4chfr8.cloudfront.net/image/725136000567/image_73sp110lgd1olflkkkbcoq0v1a/-FJPG/108950-010_DET_3.jpg</t>
  </si>
  <si>
    <t>https://dd3ka9h4chfr8.cloudfront.net/image/725136000567/image_fr2rm2uh1l7grd2dh1r1be8r57/-FJPG/108950-010_DET_4.jpg</t>
  </si>
  <si>
    <t>https://dd3ka9h4chfr8.cloudfront.net/image/725136000567/image_cjr9hfilct7fn50m79lg68ub76/-FJPG/108950-010_DET_5.jpg</t>
  </si>
  <si>
    <t>https://dd3ka9h4chfr8.cloudfront.net/image/725136000567/image_av93q8je590u74mvq1bugto243/-FJPG/108950-010_DET_6.jpg</t>
  </si>
  <si>
    <t>https://dd3ka9h4chfr8.cloudfront.net/image/725136000567/image_92uetc69dl2al5ke8r3pb22m0l/-FJPG/108950-010_VIG_1.jpg</t>
  </si>
  <si>
    <t>Lyla Chair - Sheepskin Camel</t>
  </si>
  <si>
    <t>https://dd3ka9h4chfr8.cloudfront.net/image/725136000567/image_u6vp0hsdhd3qn2fkicj0tmbl3a/-S150x150-FJPG/108950-018_PRM_1.jpg</t>
  </si>
  <si>
    <t>https://dd3ka9h4chfr8.cloudfront.net/image/725136000567/image_u6vp0hsdhd3qn2fkicj0tmbl3a/-FJPG/108950-018_PRM_1.jpg</t>
  </si>
  <si>
    <t>https://dd3ka9h4chfr8.cloudfront.net/image/725136000567/image_ccjecsniod179foq9dalpis64i/-FJPG/108950-018_SID_1.jpg</t>
  </si>
  <si>
    <t>https://dd3ka9h4chfr8.cloudfront.net/image/725136000567/image_5gcn05h84d5ad9u7htfrrge81q/-FJPG/108950-018_ESS_1.jpg</t>
  </si>
  <si>
    <t>https://dd3ka9h4chfr8.cloudfront.net/image/725136000567/image_71okdp4tsl68v9arc4pucpc23e/-FJPG/108950-018_DET_2.jpg</t>
  </si>
  <si>
    <t>https://dd3ka9h4chfr8.cloudfront.net/image/725136000567/image_pqngjuqnat6fj9rtp611l45v2q/-FJPG/108950-018_BCK_1.jpg</t>
  </si>
  <si>
    <t>https://dd3ka9h4chfr8.cloudfront.net/image/725136000567/image_ujjhjglec97i1bico8camfob0m/-FJPG/108950-018_DET_1.jpg</t>
  </si>
  <si>
    <t>https://dd3ka9h4chfr8.cloudfront.net/image/725136000567/image_822isqe6kh7kd6ncokol0kct31/-FJPG/108950-018_DET_3.jpg</t>
  </si>
  <si>
    <t>https://dd3ka9h4chfr8.cloudfront.net/image/725136000567/image_jdmoegibot43f6nj9s5qg0m538/-FJPG/108950-018_DET_4.jpg</t>
  </si>
  <si>
    <t>Lyla Chair - Valencia Camel</t>
  </si>
  <si>
    <t>https://dd3ka9h4chfr8.cloudfront.net/image/725136000567/image_0dmm2j0mcp3mh4m1n7i446uv2p/-S150x150-FJPG/108950-016_PRM_1.jpg</t>
  </si>
  <si>
    <t>https://dd3ka9h4chfr8.cloudfront.net/image/725136000567/image_0dmm2j0mcp3mh4m1n7i446uv2p/-FJPG/108950-016_PRM_1.jpg</t>
  </si>
  <si>
    <t>https://dd3ka9h4chfr8.cloudfront.net/image/725136000567/image_4mjiuad7mh5e5de9vum02jva3b/-FJPG/108950-016_SID_1.jpg</t>
  </si>
  <si>
    <t>https://dd3ka9h4chfr8.cloudfront.net/image/725136000567/image_r4kov5uje124lb6c51ig6k9v56/-FJPG/108950-016_ESS_1.jpg</t>
  </si>
  <si>
    <t>https://dd3ka9h4chfr8.cloudfront.net/image/725136000567/image_dvsk0odcbh0hld1l4k0rdets0h/-FJPG/108950-016_DET_2.jpg</t>
  </si>
  <si>
    <t>https://dd3ka9h4chfr8.cloudfront.net/image/725136000567/image_f2bn09r65d1ur5lf4kus9jp456/-FJPG/108950-016_BCK_1.jpg</t>
  </si>
  <si>
    <t>https://dd3ka9h4chfr8.cloudfront.net/image/725136000567/image_7ik3n5ru8p7hn9otnaaqn7qh0a/-FJPG/108950-016_DET_1.jpg</t>
  </si>
  <si>
    <t>https://dd3ka9h4chfr8.cloudfront.net/image/725136000567/image_1pcp24o5t17812gj62u77l846d/-FJPG/108950-016_DET_3.jpg</t>
  </si>
  <si>
    <t>https://dd3ka9h4chfr8.cloudfront.net/image/725136000567/image_fke1qae5il7nf2rtopo9e7vj2r/-FJPG/108950-016_DET_4.jpg</t>
  </si>
  <si>
    <t>https://dd3ka9h4chfr8.cloudfront.net/image/725136000567/image_jnrdb92ht11qr49ejgu7dmrg6f/-FJPG/108950-016_PRM_2.jpg</t>
  </si>
  <si>
    <t>Lyla Sofa - Capri Ebony</t>
  </si>
  <si>
    <t>https://dd3ka9h4chfr8.cloudfront.net/image/725136000567/image_ng2n57d0qp2bn76lihcvl19c55/-S150x150-FJPG/226555-005_PRM_1.JPG</t>
  </si>
  <si>
    <t>https://dd3ka9h4chfr8.cloudfront.net/image/725136000567/image_ng2n57d0qp2bn76lihcvl19c55/-FJPG/226555-005_PRM_1.JPG</t>
  </si>
  <si>
    <t>https://dd3ka9h4chfr8.cloudfront.net/image/725136000567/image_345304o8f14p772if820gt3f6u/-FJPG/226555-005_SID_1.JPG</t>
  </si>
  <si>
    <t>https://dd3ka9h4chfr8.cloudfront.net/image/725136000567/image_10rfsb0q5h7vj9p5isa86lm95r/-FJPG/226555-005_DET_2.JPG</t>
  </si>
  <si>
    <t>https://dd3ka9h4chfr8.cloudfront.net/image/725136000567/image_r6d3qtibtp7jj8j00qgmnsd65s/-FJPG/226555-005_BCK_1.JPG</t>
  </si>
  <si>
    <t>https://dd3ka9h4chfr8.cloudfront.net/image/725136000567/image_12g6n0pnct6l7d3c5gij19f04s/-FJPG/226555-005_DET_1.JPG</t>
  </si>
  <si>
    <t>https://dd3ka9h4chfr8.cloudfront.net/image/725136000567/image_0chc970gjl1ev3cgk8hfn62v2c/-FJPG/226555-005_DET_3.JPG</t>
  </si>
  <si>
    <t>https://dd3ka9h4chfr8.cloudfront.net/image/725136000567/image_j5eq5uk9ld3apdcivq3110b562/-FJPG/226555-005_DET_4.JPG</t>
  </si>
  <si>
    <t>https://dd3ka9h4chfr8.cloudfront.net/image/725136000567/image_7382qopp192d772m2l78oesl7c/-FJPG/226555-005_DET_5.JPG</t>
  </si>
  <si>
    <t>Lyla Sofa - Kerbey Ivory</t>
  </si>
  <si>
    <t>https://dd3ka9h4chfr8.cloudfront.net/image/725136000567/image_flt3oas6q57ad2fqmdko1ql84l/-S150x150-FJPG/226555-004_PRM_1.jpg</t>
  </si>
  <si>
    <t>https://dd3ka9h4chfr8.cloudfront.net/image/725136000567/image_flt3oas6q57ad2fqmdko1ql84l/-FJPG/226555-004_PRM_1.jpg</t>
  </si>
  <si>
    <t>https://dd3ka9h4chfr8.cloudfront.net/image/725136000567/image_t5qkamu65p48tdpsqcm85h4q6j/-FJPG/226555-004_SID_1.jpg</t>
  </si>
  <si>
    <t>https://dd3ka9h4chfr8.cloudfront.net/image/725136000567/image_d64i604nid4vj94thu5jem4s6k/-FJPG/226555-004_DET_2.jpg</t>
  </si>
  <si>
    <t>https://dd3ka9h4chfr8.cloudfront.net/image/725136000567/image_6tni6b32152dd3j4vis8o1383m/-FJPG/226555-004_BCK_1.jpg</t>
  </si>
  <si>
    <t>https://dd3ka9h4chfr8.cloudfront.net/image/725136000567/image_8f59lc0oid4ip1v3rp1q89806m/-FJPG/226555-004_INF_1.jpg</t>
  </si>
  <si>
    <t>https://dd3ka9h4chfr8.cloudfront.net/image/725136000567/image_lqtqefg5m50k15u4sok1q1pq6l/-FJPG/226555-004_DET_1.jpg</t>
  </si>
  <si>
    <t>https://dd3ka9h4chfr8.cloudfront.net/image/725136000567/image_tp0bm5k4v95kp8hlviksfub13d/-FJPG/226555-004_DET_3.jpg</t>
  </si>
  <si>
    <t>https://dd3ka9h4chfr8.cloudfront.net/image/725136000567/image_sugn4obbch48j2qpq6f8jf582k/-FJPG/226555-004_DET_4.jpg</t>
  </si>
  <si>
    <t>https://dd3ka9h4chfr8.cloudfront.net/image/725136000567/image_3jpuso1f9h0ap90apf5v6kiq0a/-FJPG/226555-004_DET_5.jpg</t>
  </si>
  <si>
    <t>https://dd3ka9h4chfr8.cloudfront.net/image/725136000567/image_k7qiho8hu57ft6ga0ltfd2h33p/-FJPG/226555-004_VIG_1.jpg</t>
  </si>
  <si>
    <t>Lyla Sofa - Sheepskin Camel</t>
  </si>
  <si>
    <t>https://dd3ka9h4chfr8.cloudfront.net/image/725136000567/image_ref5eeqadd2qha78ispc7r2q78/-S150x150-FJPG/226555-012_PRM_1.jpg</t>
  </si>
  <si>
    <t>https://dd3ka9h4chfr8.cloudfront.net/image/725136000567/image_ref5eeqadd2qha78ispc7r2q78/-FJPG/226555-012_PRM_1.jpg</t>
  </si>
  <si>
    <t>https://dd3ka9h4chfr8.cloudfront.net/image/725136000567/image_b764b8p5ht2in9dg0vv19nec0f/-FJPG/226555-012_SID_1.jpg</t>
  </si>
  <si>
    <t>https://dd3ka9h4chfr8.cloudfront.net/image/725136000567/image_k3kmih2blh3pf96t5cs6i8sn2p/-FJPG/226555-012_ESS_1.tif</t>
  </si>
  <si>
    <t>https://dd3ka9h4chfr8.cloudfront.net/image/725136000567/image_pibockhq5l0uhar2167771h07o/-FJPG/226555-012_DET_2.jpg</t>
  </si>
  <si>
    <t>https://dd3ka9h4chfr8.cloudfront.net/image/725136000567/image_t79v9cgsil7mjaih77pqpo653k/-FJPG/226555-012_BCK_1.jpg</t>
  </si>
  <si>
    <t>https://dd3ka9h4chfr8.cloudfront.net/image/725136000567/image_huv2jml6395jddnosmarot8d52/-FJPG/226555-012_DET_1.jpg</t>
  </si>
  <si>
    <t>https://dd3ka9h4chfr8.cloudfront.net/image/725136000567/image_gl5k9f1afd6mld84mr4d5mda63/-FJPG/226555-012_DET_3.jpg</t>
  </si>
  <si>
    <t>https://dd3ka9h4chfr8.cloudfront.net/image/725136000567/image_2u13d7tgrt697e34dvlqq9bn1b/-FJPG/226555-012_DET_4.jpg</t>
  </si>
  <si>
    <t>https://dd3ka9h4chfr8.cloudfront.net/image/725136000567/image_q5he5uhjh50g7688dhmm0bmk7v/-FJPG/226555-012_DET_5.jpg</t>
  </si>
  <si>
    <t>https://dd3ka9h4chfr8.cloudfront.net/image/725136000567/image_qeeg4ekvtp7v94siiqmemu1d66/-FJPG/226555-012_PRM_2.jpg</t>
  </si>
  <si>
    <t>Lyla Sofa - Valencia Camel</t>
  </si>
  <si>
    <t>https://dd3ka9h4chfr8.cloudfront.net/image/725136000567/image_t1ijjdhr956bv8b4p56k4tau2s/-S150x150-FJPG/226555-010_PRM_1.jpg</t>
  </si>
  <si>
    <t>https://dd3ka9h4chfr8.cloudfront.net/image/725136000567/image_t1ijjdhr956bv8b4p56k4tau2s/-FJPG/226555-010_PRM_1.jpg</t>
  </si>
  <si>
    <t>https://dd3ka9h4chfr8.cloudfront.net/image/725136000567/image_sarafocml510tcsdc6bdtib55i/-FJPG/226555-010_SID_1.jpg</t>
  </si>
  <si>
    <t>https://dd3ka9h4chfr8.cloudfront.net/image/725136000567/image_qev02ejn1t6o5evp7iqqnt5d49/-FJPG/226555-010_ESS_1.jpg</t>
  </si>
  <si>
    <t>https://dd3ka9h4chfr8.cloudfront.net/image/725136000567/image_hq31a42idp4nl0ugvilulem87m/-FJPG/226555-010_DET_2.jpg</t>
  </si>
  <si>
    <t>https://dd3ka9h4chfr8.cloudfront.net/image/725136000567/image_eo7ltpug795ddeeq05tlp1qq6p/-FJPG/226555-010_BCK_1.jpg</t>
  </si>
  <si>
    <t>https://dd3ka9h4chfr8.cloudfront.net/image/725136000567/image_vl72tp55ul3qt6pga333vg4u1g/-FJPG/226555-010_DET_1.jpg</t>
  </si>
  <si>
    <t>https://dd3ka9h4chfr8.cloudfront.net/image/725136000567/image_4ei65kpidp2r7fgnbeg8jp5r22/-FJPG/226555-010_DET_3.jpg</t>
  </si>
  <si>
    <t>https://dd3ka9h4chfr8.cloudfront.net/image/725136000567/image_kflv4jm98p5k9fkct6n52o667p/-FJPG/226555-010_DET_4.jpg</t>
  </si>
  <si>
    <t>https://dd3ka9h4chfr8.cloudfront.net/image/725136000567/image_aaj12u8dpt3a588n42belpl360/-FJPG/226555-010_DET_5.jpg</t>
  </si>
  <si>
    <t>https://dd3ka9h4chfr8.cloudfront.net/image/725136000567/image_dthrfugdud5kb8gfojmh5r9r6n/-FJPG/226555-010_DET_6.jpg</t>
  </si>
  <si>
    <t>Macklin Media Console - Natural Paper Rush</t>
  </si>
  <si>
    <t>https://dd3ka9h4chfr8.cloudfront.net/image/725136000567/image_sd9utfopt93ff2g4ob1ud0cb5p/-S150x150-FJPG/232364-001_PRM_1.jpg</t>
  </si>
  <si>
    <t>https://dd3ka9h4chfr8.cloudfront.net/image/725136000567/image_sd9utfopt93ff2g4ob1ud0cb5p/-FJPG/232364-001_PRM_1.jpg</t>
  </si>
  <si>
    <t>https://dd3ka9h4chfr8.cloudfront.net/image/725136000567/image_g2nn115j1d4mhd8qvatc1v0j16/-FJPG/232364-001_SID_1.jpg</t>
  </si>
  <si>
    <t>https://dd3ka9h4chfr8.cloudfront.net/image/725136000567/image_qs1n0uikkh51rf6ts6vu6q932r/-FJPG/232364-001_ESS_1.jpg</t>
  </si>
  <si>
    <t>https://dd3ka9h4chfr8.cloudfront.net/image/725136000567/image_s0d0hmf90565jcphaounudft3q/-FJPG/232364-001_DET_2.jpg</t>
  </si>
  <si>
    <t>https://dd3ka9h4chfr8.cloudfront.net/image/725136000567/image_hlhobe0d5p37394qb1if0qnd2d/-FJPG/232364-001_BCK_1.jpg</t>
  </si>
  <si>
    <t>https://dd3ka9h4chfr8.cloudfront.net/image/725136000567/image_n6orl2bfsp4n77poe21uf6ae0s/-FJPG/232364-001_DET_1.jpg</t>
  </si>
  <si>
    <t>https://dd3ka9h4chfr8.cloudfront.net/image/725136000567/image_bt8mt4pgv57kd7tjoafeehnh7k/-FJPG/232364-001_DET_3.jpg</t>
  </si>
  <si>
    <t>https://dd3ka9h4chfr8.cloudfront.net/image/725136000567/image_sdbo476o9d6sn06h68eo82ie6j/-FJPG/232364-001_OPN_1.jpg</t>
  </si>
  <si>
    <t>https://dd3ka9h4chfr8.cloudfront.net/image/725136000567/image_9o9vm5tmqd24b11m8ijbtd2j5u/-FJPG/232364-001_DET_4.jpg</t>
  </si>
  <si>
    <t>https://dd3ka9h4chfr8.cloudfront.net/image/725136000567/image_n8joadsb4t47d3nbctbm1sp94c/-FJPG/232364-001_DET_5.jpg</t>
  </si>
  <si>
    <t>Macklin Sideboard - Light Mahogany Veneer</t>
  </si>
  <si>
    <t>https://dd3ka9h4chfr8.cloudfront.net/image/725136000567/image_t9fk6i5r9d2ht5bjj5potnvs4j/-S150x150-FJPG/234089-001_PRM_1.jpg</t>
  </si>
  <si>
    <t>https://dd3ka9h4chfr8.cloudfront.net/image/725136000567/image_t9fk6i5r9d2ht5bjj5potnvs4j/-FJPG/234089-001_PRM_1.jpg</t>
  </si>
  <si>
    <t>https://dd3ka9h4chfr8.cloudfront.net/image/725136000567/image_l2p3u2bqa12en42vkd0a7p6r2f/-FJPG/234089-001_SID_1.jpg</t>
  </si>
  <si>
    <t>https://dd3ka9h4chfr8.cloudfront.net/image/725136000567/image_clorot1qtd7r1dgds62dlluj64/-FJPG/234089-001_ESS_1.jpg</t>
  </si>
  <si>
    <t>https://dd3ka9h4chfr8.cloudfront.net/image/725136000567/image_p28pf0jplh0ir53jv5sbfnhq0l/-FJPG/234089-001_DET_2.jpg</t>
  </si>
  <si>
    <t>https://dd3ka9h4chfr8.cloudfront.net/image/725136000567/image_8u1mvpbo012c133htbl0g90e33/-FJPG/234089-001_BCK_1.jpg</t>
  </si>
  <si>
    <t>https://dd3ka9h4chfr8.cloudfront.net/image/725136000567/image_m0e5u4idhp4l1c0oiouo1mvp19/-FJPG/234089-001_DET_1.jpg</t>
  </si>
  <si>
    <t>https://dd3ka9h4chfr8.cloudfront.net/image/725136000567/image_ebagvmss7p301fl99irb8s7h6t/-FJPG/234089-001_DET_3.jpg</t>
  </si>
  <si>
    <t>https://dd3ka9h4chfr8.cloudfront.net/image/725136000567/image_janu8n3t295g546bj70nk3sh2v/-FJPG/234089-001_OPN_1.jpg</t>
  </si>
  <si>
    <t>https://dd3ka9h4chfr8.cloudfront.net/image/725136000567/image_url4j0nggl0ptdhec7483eug1d/-FJPG/234089-001_DET_4.jpg</t>
  </si>
  <si>
    <t>https://dd3ka9h4chfr8.cloudfront.net/image/725136000567/image_5d6e5oq5qp0nn3iiaricmrka3o/-FJPG/234089-001_DET_5.jpg</t>
  </si>
  <si>
    <t>https://dd3ka9h4chfr8.cloudfront.net/image/725136000567/image_bao116p14532h7ibuvef8s1n4g/-FJPG/234089-001_DET_6.jpg</t>
  </si>
  <si>
    <t>https://dd3ka9h4chfr8.cloudfront.net/image/725136000567/image_nq0sd1ep9t0nl8nd3vm8jvf46l/-FJPG/234089-001_DET_7.jpg</t>
  </si>
  <si>
    <t>https://dd3ka9h4chfr8.cloudfront.net/image/725136000567/image_a8kcpjv41926rbesn7q9v3543r/-FJPG/234089-001_DET_8.jpg</t>
  </si>
  <si>
    <t>https://dd3ka9h4chfr8.cloudfront.net/image/725136000567/image_7pcaq351u525fdasr5cvsopf7e/-FJPG/234089-001_DET_9.jpg</t>
  </si>
  <si>
    <t>Maeve Bed - Laken Taupe</t>
  </si>
  <si>
    <t>10% Viscose (Rayon)</t>
  </si>
  <si>
    <t>https://dd3ka9h4chfr8.cloudfront.net/image/725136000567/image_3a1vio71rd2ch4crnhsrqpg50q/-S150x150-FJPG/248465-002_PRM_1.jpg</t>
  </si>
  <si>
    <t>https://dd3ka9h4chfr8.cloudfront.net/image/725136000567/image_3a1vio71rd2ch4crnhsrqpg50q/-FJPG/248465-002_PRM_1.jpg</t>
  </si>
  <si>
    <t>https://dd3ka9h4chfr8.cloudfront.net/image/725136000567/image_2ofuhjcpb14iv0t1eumisvlj2s/-FJPG/248465-002_SID_1.jpg</t>
  </si>
  <si>
    <t>https://dd3ka9h4chfr8.cloudfront.net/image/725136000567/image_q0f1k94tep4apeh9db32nu8s0p/-FJPG/248465-002_ESS.tif</t>
  </si>
  <si>
    <t>https://dd3ka9h4chfr8.cloudfront.net/image/725136000567/image_d2daqinp1l04r3qqeafg7cb06i/-FJPG/248465-002_DET_2.jpg</t>
  </si>
  <si>
    <t>https://dd3ka9h4chfr8.cloudfront.net/image/725136000567/image_notio2lhqh3mpcm0co2cmh853n/-FJPG/248465-002_BCK_1.jpg</t>
  </si>
  <si>
    <t>https://dd3ka9h4chfr8.cloudfront.net/image/725136000567/image_k8pib9bomh0dl8cnba1g6had1f/-FJPG/248465-002_DET_1.jpg</t>
  </si>
  <si>
    <t>https://dd3ka9h4chfr8.cloudfront.net/image/725136000567/image_hvh5o369mp1ed3rnjf9juf1b7i/-FJPG/248465-002_DET_3.jpg</t>
  </si>
  <si>
    <t>https://dd3ka9h4chfr8.cloudfront.net/image/725136000567/image_6nub65pn215o13jvk43urqib64/-FJPG/248465-002_DET_4.jpg</t>
  </si>
  <si>
    <t>https://dd3ka9h4chfr8.cloudfront.net/image/725136000567/image_94467vgttt4cnbpprm18cvh04l/-FJPG/248465-002_DET_5.jpg</t>
  </si>
  <si>
    <t>https://dd3ka9h4chfr8.cloudfront.net/image/725136000567/image_f99flrmgq10kr1ulorikj1lc3i/-FJPG/248465-002_DET_6.jpg</t>
  </si>
  <si>
    <t>https://dd3ka9h4chfr8.cloudfront.net/image/725136000567/image_j4do45qgo17kr3g2364isupi2j/-FJPG/248465-002_DET_7.jpg</t>
  </si>
  <si>
    <t>https://dd3ka9h4chfr8.cloudfront.net/image/725136000567/image_q4qrmpcg951b19jd3g1ahmlq48/-FJPG/248465-002_DET_8.jpg</t>
  </si>
  <si>
    <t>https://dd3ka9h4chfr8.cloudfront.net/image/725136000567/image_6ds8s0iitl2j15t3tau9jd9i4j/-FJPG/248465-002_DET_9.tif</t>
  </si>
  <si>
    <t>https://dd3ka9h4chfr8.cloudfront.net/image/725136000567/image_972pc8lpe505l3b36tfmd6543c/-FJPG/248465-002_DET_10.tif</t>
  </si>
  <si>
    <t>Maeve Upholstered Bed - Laken Taupe</t>
  </si>
  <si>
    <t>https://dd3ka9h4chfr8.cloudfront.net/image/725136000567/image_ub3l43a0q11kb460clgophsr7i/-S150x150-FJPG/248219-001_PRM_1.jpg</t>
  </si>
  <si>
    <t>https://dd3ka9h4chfr8.cloudfront.net/image/725136000567/image_ub3l43a0q11kb460clgophsr7i/-FJPG/248219-001_PRM_1.jpg</t>
  </si>
  <si>
    <t>https://dd3ka9h4chfr8.cloudfront.net/image/725136000567/image_931gpec0dd3ph9hd73hp5nm94s/-FJPG/248219-001_SID_1.jpg</t>
  </si>
  <si>
    <t>https://dd3ka9h4chfr8.cloudfront.net/image/725136000567/image_e37vtfmjp92dl92i3op2mlmn17/-FJPG/248219-001_ESS.tif</t>
  </si>
  <si>
    <t>https://dd3ka9h4chfr8.cloudfront.net/image/725136000567/image_k8gnrt3vvp7631jg7v62r8224i/-FJPG/248219-001_DET_2.jpg</t>
  </si>
  <si>
    <t>https://dd3ka9h4chfr8.cloudfront.net/image/725136000567/image_pr2q1mm06h1kl9sh41n727o61d/-FJPG/248219-001_BCK_1.jpg</t>
  </si>
  <si>
    <t>https://dd3ka9h4chfr8.cloudfront.net/image/725136000567/image_aqqcolp6lt1jn2mpkp9g0e5v3e/-FJPG/248219-001_DET_1.jpg</t>
  </si>
  <si>
    <t>https://dd3ka9h4chfr8.cloudfront.net/image/725136000567/image_e64gs1415t7k77d0uh96iqbb52/-FJPG/248219-001_DET_3.jpg</t>
  </si>
  <si>
    <t>https://dd3ka9h4chfr8.cloudfront.net/image/725136000567/image_p1u0gv2tkp50f01qcb2so4rj1v/-FJPG/248219-001_DET_4.jpg</t>
  </si>
  <si>
    <t>https://dd3ka9h4chfr8.cloudfront.net/image/725136000567/image_b9nu15ihv93335k8pth9i56p6o/-FJPG/248219-001_DET_5.jpg</t>
  </si>
  <si>
    <t>https://dd3ka9h4chfr8.cloudfront.net/image/725136000567/image_9qeq2cg52h5cv59l2jbq8pkb3f/-FJPG/248219-001_DET_6.jpg</t>
  </si>
  <si>
    <t>Maggie 6 Drawer Dresser - Aged Smoked Oak Resawn</t>
  </si>
  <si>
    <t>https://dd3ka9h4chfr8.cloudfront.net/image/725136000567/image_h3rppb3m1h23dfmkfukv7nlt7k/-S150x150-FJPG/246648-003_PRM_1.jpg</t>
  </si>
  <si>
    <t>https://dd3ka9h4chfr8.cloudfront.net/image/725136000567/image_h3rppb3m1h23dfmkfukv7nlt7k/-FJPG/246648-003_PRM_1.jpg</t>
  </si>
  <si>
    <t>https://dd3ka9h4chfr8.cloudfront.net/image/725136000567/image_ulqrn3p7jd2rf31kggt3gbkd3j/-FJPG/246648-003_SID_1.jpg</t>
  </si>
  <si>
    <t>https://dd3ka9h4chfr8.cloudfront.net/image/725136000567/image_9i9304vvvl4dn231a8lpq8op4i/-FJPG/246648-003_ESS.tif</t>
  </si>
  <si>
    <t>https://dd3ka9h4chfr8.cloudfront.net/image/725136000567/image_mgbkfk5k815efac36au01r4d18/-FJPG/246648-003_DET_2.jpg</t>
  </si>
  <si>
    <t>https://dd3ka9h4chfr8.cloudfront.net/image/725136000567/image_4sjnggl77l5ah4dluj0cog8h0u/-FJPG/246648-003_BCK_1.jpg</t>
  </si>
  <si>
    <t>https://dd3ka9h4chfr8.cloudfront.net/image/725136000567/image_h3co613fdh737aokkutom55o2u/-FJPG/246648-003_DET_1.jpg</t>
  </si>
  <si>
    <t>https://dd3ka9h4chfr8.cloudfront.net/image/725136000567/image_54j5lgu9b93c3fp5qlssbo6e3n/-FJPG/246648-003_DET_3.jpg</t>
  </si>
  <si>
    <t>https://dd3ka9h4chfr8.cloudfront.net/image/725136000567/image_38f00dk4957jh6ah9umhct5t6v/-FJPG/246648-003_OPN_1.jpg</t>
  </si>
  <si>
    <t>https://dd3ka9h4chfr8.cloudfront.net/image/725136000567/image_qcsqj19fat6kf932iimjot013e/-FJPG/246648-003_DET_4.jpg</t>
  </si>
  <si>
    <t>https://dd3ka9h4chfr8.cloudfront.net/image/725136000567/image_1j1gp1j8b13ehalgjh39u3dd6u/-FJPG/246648-003_DET_5.jpg</t>
  </si>
  <si>
    <t>https://dd3ka9h4chfr8.cloudfront.net/image/725136000567/image_3m0s27b36p6clbeoc6oirpuo4v/-FJPG/246648-003_DET_6.jpg</t>
  </si>
  <si>
    <t>https://dd3ka9h4chfr8.cloudfront.net/image/725136000567/image_r902fcfnt51hf7rccpvp6p1s1i/-FJPG/246648-003_DET_7.jpg</t>
  </si>
  <si>
    <t>https://dd3ka9h4chfr8.cloudfront.net/image/725136000567/image_kolq3ac69h1lbep6jdbhi62r61/-FJPG/246648-003_DET_9.tif</t>
  </si>
  <si>
    <t>Maggie 6 Drawer Dresser - Smoked Black Oak Veneer</t>
  </si>
  <si>
    <t>https://dd3ka9h4chfr8.cloudfront.net/image/725136000567/image_g42aql35kl6jreg9gogmlpt72a/-S150x150-FJPG/246648-002_PRM_1.jpg</t>
  </si>
  <si>
    <t>https://dd3ka9h4chfr8.cloudfront.net/image/725136000567/image_g42aql35kl6jreg9gogmlpt72a/-FJPG/246648-002_PRM_1.jpg</t>
  </si>
  <si>
    <t>https://dd3ka9h4chfr8.cloudfront.net/image/725136000567/image_f74cpvavel0jl0peu7fdfnmk79/-FJPG/246648-002_SID_1.jpg</t>
  </si>
  <si>
    <t>https://dd3ka9h4chfr8.cloudfront.net/image/725136000567/image_vnpgc603dt6nn8hsbrammevh3f/-FJPG/246648-002_ESS.tif</t>
  </si>
  <si>
    <t>https://dd3ka9h4chfr8.cloudfront.net/image/725136000567/image_v965mk6btt0910nes21t07nj5n/-FJPG/246648-002_DET_2.jpg</t>
  </si>
  <si>
    <t>https://dd3ka9h4chfr8.cloudfront.net/image/725136000567/image_1o476dhhmd5frfhu6c2tlu8j4t/-FJPG/246648-002_BCK_1.jpg</t>
  </si>
  <si>
    <t>https://dd3ka9h4chfr8.cloudfront.net/image/725136000567/image_5v86lmr6q90657r1mbpkvu8o1a/-FJPG/246648-002_DET_1.jpg</t>
  </si>
  <si>
    <t>https://dd3ka9h4chfr8.cloudfront.net/image/725136000567/image_c5oietv31d5npe141afucke81u/-FJPG/246648-002_DET_3.jpg</t>
  </si>
  <si>
    <t>https://dd3ka9h4chfr8.cloudfront.net/image/725136000567/image_tpi6s9nqct74b2mkb41uuk135m/-FJPG/246648-002_OPN_1.jpg</t>
  </si>
  <si>
    <t>https://dd3ka9h4chfr8.cloudfront.net/image/725136000567/image_ph4hr1dlv159r31qvcsu05rb2a/-FJPG/246648-002_TOP_1.jpg</t>
  </si>
  <si>
    <t>https://dd3ka9h4chfr8.cloudfront.net/image/725136000567/image_i644a4c3293ob3eojvc998a315/-FJPG/246648-002_DET_4.jpg</t>
  </si>
  <si>
    <t>https://dd3ka9h4chfr8.cloudfront.net/image/725136000567/image_f856cvppb93s93gqk39ahjsb08/-FJPG/246648-002_DET_5.jpg</t>
  </si>
  <si>
    <t>https://dd3ka9h4chfr8.cloudfront.net/image/725136000567/image_i27civr82d78r855lpllcgrm4b/-FJPG/246648-002_DET_6.jpg</t>
  </si>
  <si>
    <t>https://dd3ka9h4chfr8.cloudfront.net/image/725136000567/image_j1tlrhik690gf3pmk5ghdbgo2h/-FJPG/246648-002_DET_7.jpg</t>
  </si>
  <si>
    <t>https://dd3ka9h4chfr8.cloudfront.net/image/725136000567/image_nkrcfbfofl141aa7ph12rktg6l/-FJPG/246648-002_DET_9.tif</t>
  </si>
  <si>
    <t>Maggie Nightstand - Aged Smoked Oak Resawn</t>
  </si>
  <si>
    <t>https://dd3ka9h4chfr8.cloudfront.net/image/725136000567/image_p92gce4nth1slchk6d1dagfv1b/-S150x150-FJPG/246654-003_PRM_1.jpg</t>
  </si>
  <si>
    <t>https://dd3ka9h4chfr8.cloudfront.net/image/725136000567/image_p92gce4nth1slchk6d1dagfv1b/-FJPG/246654-003_PRM_1.jpg</t>
  </si>
  <si>
    <t>https://dd3ka9h4chfr8.cloudfront.net/image/725136000567/image_5ke7f7aj1t3l967co8vjcsfm65/-FJPG/246654-003_SID_1.jpg</t>
  </si>
  <si>
    <t>https://dd3ka9h4chfr8.cloudfront.net/image/725136000567/image_d7eqddso894oj110rmjurvtc7k/-FJPG/246654-003_ESS.tif</t>
  </si>
  <si>
    <t>https://dd3ka9h4chfr8.cloudfront.net/image/725136000567/image_ta1lan4ofd3bh5sjbberk5fk2d/-FJPG/246654-003_DET_2.jpg</t>
  </si>
  <si>
    <t>https://dd3ka9h4chfr8.cloudfront.net/image/725136000567/image_r0vkqkmlvp189ea4usj69ie95g/-FJPG/246654-003_BCK_1.jpg</t>
  </si>
  <si>
    <t>https://dd3ka9h4chfr8.cloudfront.net/image/725136000567/image_0st2enlqll3mt3d4fdivr6hi22/-FJPG/246654-003_DET_1.jpg</t>
  </si>
  <si>
    <t>https://dd3ka9h4chfr8.cloudfront.net/image/725136000567/image_pgaff48dfp4ubdkb9nlsg6bv16/-FJPG/246654-003_DET_3.jpg</t>
  </si>
  <si>
    <t>https://dd3ka9h4chfr8.cloudfront.net/image/725136000567/image_b8nlt3ph8p2ppclmh9cgjp6v7o/-FJPG/246654-003_OPN_1.jpg</t>
  </si>
  <si>
    <t>https://dd3ka9h4chfr8.cloudfront.net/image/725136000567/image_r600p2n4gd3odchrbnin96r322/-FJPG/246654-003_DET_4.jpg</t>
  </si>
  <si>
    <t>https://dd3ka9h4chfr8.cloudfront.net/image/725136000567/image_ce8cr6drj90sjahrvq0b9oo076/-FJPG/246654-003_DET_5.jpg</t>
  </si>
  <si>
    <t>https://dd3ka9h4chfr8.cloudfront.net/image/725136000567/image_pe6ugdr8j54e94khfgo7nbdm04/-FJPG/246654-003_DET_6.jpg</t>
  </si>
  <si>
    <t>https://dd3ka9h4chfr8.cloudfront.net/image/725136000567/image_2ohonkolpl5u53h8445kn0mp7h/-FJPG/246654-003_DET_7.jpg</t>
  </si>
  <si>
    <t>https://dd3ka9h4chfr8.cloudfront.net/image/725136000567/image_3ivn9t27ht49jfqmsm8ihrug3s/-FJPG/246654-003_DET_9.tif</t>
  </si>
  <si>
    <t>Maggie Nightstand - Smoked Black Oak Veneer</t>
  </si>
  <si>
    <t>https://dd3ka9h4chfr8.cloudfront.net/image/725136000567/image_vjqd3gar1t5u5453i449vmr31h/-S150x150-FJPG/246654-002_PRM_1.jpg</t>
  </si>
  <si>
    <t>https://dd3ka9h4chfr8.cloudfront.net/image/725136000567/image_vjqd3gar1t5u5453i449vmr31h/-FJPG/246654-002_PRM_1.jpg</t>
  </si>
  <si>
    <t>https://dd3ka9h4chfr8.cloudfront.net/image/725136000567/image_9q9kt7ergd3bl83i29idgf5c0l/-FJPG/246654-002_SID_1.jpg</t>
  </si>
  <si>
    <t>https://dd3ka9h4chfr8.cloudfront.net/image/725136000567/image_522r6gujmh5evfdkdhb54vs32n/-FJPG/246654-002_ESS.tif</t>
  </si>
  <si>
    <t>https://dd3ka9h4chfr8.cloudfront.net/image/725136000567/image_uvl2lk4s156klfrmpt3k8a111e/-FJPG/246654-002_DET_2.jpg</t>
  </si>
  <si>
    <t>https://dd3ka9h4chfr8.cloudfront.net/image/725136000567/image_b6uvkg8k1h3ub7ffu2a7vtfo31/-FJPG/246654-002_BCK_1.jpg</t>
  </si>
  <si>
    <t>https://dd3ka9h4chfr8.cloudfront.net/image/725136000567/image_h21917mpu970dd98g53us7ki7b/-FJPG/246654-002_DET_1.jpg</t>
  </si>
  <si>
    <t>https://dd3ka9h4chfr8.cloudfront.net/image/725136000567/image_1p5urp550p6vh2ebf2chmd5l2p/-FJPG/246654-002_DET_3.jpg</t>
  </si>
  <si>
    <t>https://dd3ka9h4chfr8.cloudfront.net/image/725136000567/image_f5fh2956kp7o7bmfhku3stb40l/-FJPG/246654-002_OPN_1.jpg</t>
  </si>
  <si>
    <t>https://dd3ka9h4chfr8.cloudfront.net/image/725136000567/image_jnifb5o92d04b87kdtbjplvu3l/-FJPG/246654-002_TOP_1.jpg</t>
  </si>
  <si>
    <t>https://dd3ka9h4chfr8.cloudfront.net/image/725136000567/image_688gh0hka55hnf9m28eueorg7m/-FJPG/246654-002_DET_4.jpg</t>
  </si>
  <si>
    <t>https://dd3ka9h4chfr8.cloudfront.net/image/725136000567/image_juu6h1o9at6817tu3lcp4oah0l/-FJPG/246654-002_DET_5.jpg</t>
  </si>
  <si>
    <t>https://dd3ka9h4chfr8.cloudfront.net/image/725136000567/image_0nfe6amov90nh1job0c77ncg5g/-FJPG/246654-002_DET_6.jpg</t>
  </si>
  <si>
    <t>https://dd3ka9h4chfr8.cloudfront.net/image/725136000567/image_nnvrbghrld461clv5n6envc11u/-FJPG/246654-002_DET_9.tif</t>
  </si>
  <si>
    <t>Malia Dining Table - Natural Oak</t>
  </si>
  <si>
    <t>Solid Travertine</t>
  </si>
  <si>
    <t>https://dd3ka9h4chfr8.cloudfront.net/image/725136000567/image_r4351178np6fj94i41fun2lr6r/-S150x150-FJPG/224413-001_PRM_1.jpg</t>
  </si>
  <si>
    <t>https://dd3ka9h4chfr8.cloudfront.net/image/725136000567/image_r4351178np6fj94i41fun2lr6r/-FJPG/224413-001_PRM_1.jpg</t>
  </si>
  <si>
    <t>https://dd3ka9h4chfr8.cloudfront.net/image/725136000567/image_el2aedj7el5n98a36gb5o7ap36/-FJPG/224413-001_SID_1.jpg</t>
  </si>
  <si>
    <t>https://dd3ka9h4chfr8.cloudfront.net/image/725136000567/image_t495a5ptsd3b7chb943gpel84i/-FJPG/224413-001_DET_2.jpg</t>
  </si>
  <si>
    <t>https://dd3ka9h4chfr8.cloudfront.net/image/725136000567/image_cdu1dc80n97j1fo6t0crv0f54f/-FJPG/224413-001_DET_1.jpg</t>
  </si>
  <si>
    <t>https://dd3ka9h4chfr8.cloudfront.net/image/725136000567/image_9qhhnaovfh3iv8vhbs9qki8t3s/-FJPG/224413-001_DET_3.jpg</t>
  </si>
  <si>
    <t>https://dd3ka9h4chfr8.cloudfront.net/image/725136000567/image_5octklhk6t4qb0m18a4badso2u/-FJPG/224413-001_DET_4.jpg</t>
  </si>
  <si>
    <t>https://dd3ka9h4chfr8.cloudfront.net/image/725136000567/image_a7s6sfl1q161ff9oahm095l94a/-FJPG/224413-001_DET_5.jpg</t>
  </si>
  <si>
    <t>https://dd3ka9h4chfr8.cloudfront.net/image/725136000567/image_gc4570us0t1nb8jhuteoecfc2d/-FJPG/224413-001_DET_6.jpg</t>
  </si>
  <si>
    <t>https://dd3ka9h4chfr8.cloudfront.net/image/725136000567/image_l25mtjq1796svada94opap0b4r/-FJPG/224413-001_DET_7.jpg</t>
  </si>
  <si>
    <t>https://dd3ka9h4chfr8.cloudfront.net/image/725136000567/image_0386adfp9t6cj0iu9p69bqd21i/-FJPG/224413-001_VIG_1.jpg</t>
  </si>
  <si>
    <t>Malin Accent Bench - Natural Paper Cord</t>
  </si>
  <si>
    <t>https://dd3ka9h4chfr8.cloudfront.net/image/725136000567/image_8cpduck84574h8372rfa8a2u40/-S150x150-FJPG/246180-001_PRM_1.JPG</t>
  </si>
  <si>
    <t>https://dd3ka9h4chfr8.cloudfront.net/image/725136000567/image_8cpduck84574h8372rfa8a2u40/-FJPG/246180-001_PRM_1.JPG</t>
  </si>
  <si>
    <t>https://dd3ka9h4chfr8.cloudfront.net/image/725136000567/image_dnlmjq6ls97bpbvmn1mb7fra5q/-FJPG/246180-001_SID_1.JPG</t>
  </si>
  <si>
    <t>https://dd3ka9h4chfr8.cloudfront.net/image/725136000567/image_skc4t7vdeh23f0engpolqvha0r/-FJPG/246180-001_ESS.tif</t>
  </si>
  <si>
    <t>https://dd3ka9h4chfr8.cloudfront.net/image/725136000567/image_kcvafp557d2m33ci7a04f94d49/-FJPG/246180-001_DET_2.JPG</t>
  </si>
  <si>
    <t>https://dd3ka9h4chfr8.cloudfront.net/image/725136000567/image_8a7uubok3h3pt9946osomsu32v/-FJPG/246180-001_DET_1.JPG</t>
  </si>
  <si>
    <t>https://dd3ka9h4chfr8.cloudfront.net/image/725136000567/image_2rmjrk8cft0hp8uuo532rfqm6f/-FJPG/246180-001_DET_3.JPG</t>
  </si>
  <si>
    <t>https://dd3ka9h4chfr8.cloudfront.net/image/725136000567/image_v4vof0b3qp6e5ecal949ecad08/-FJPG/246180-001_DET_4.JPG</t>
  </si>
  <si>
    <t>https://dd3ka9h4chfr8.cloudfront.net/image/725136000567/image_omhherhvqt3fj6gkuhi9pbhg0d/-FJPG/246180-001_DET_5.JPG</t>
  </si>
  <si>
    <t>https://dd3ka9h4chfr8.cloudfront.net/image/725136000567/image_7offttogtl5692fadcmr62gb06/-FJPG/246180-001_DET_9.tif</t>
  </si>
  <si>
    <t>Malmo Sideboard - Aged Natural Oak</t>
  </si>
  <si>
    <t>https://dd3ka9h4chfr8.cloudfront.net/image/725136000567/image_odrp38bkvp4n97l5rnnuie8n5c/-S150x150-FJPG/234062-003_PRM_1.jpg</t>
  </si>
  <si>
    <t>https://dd3ka9h4chfr8.cloudfront.net/image/725136000567/image_odrp38bkvp4n97l5rnnuie8n5c/-FJPG/234062-003_PRM_1.jpg</t>
  </si>
  <si>
    <t>https://dd3ka9h4chfr8.cloudfront.net/image/725136000567/image_gg7000ajr15fj4gvq2j3349d6p/-FJPG/234062-003_SID_1.jpg</t>
  </si>
  <si>
    <t>https://dd3ka9h4chfr8.cloudfront.net/image/725136000567/image_lm25lmbsg1133epj6o5435jt7i/-FJPG/234062-003_DET_2.jpg</t>
  </si>
  <si>
    <t>https://dd3ka9h4chfr8.cloudfront.net/image/725136000567/image_ojfunr92kd4ddcip3iuiiulb7m/-FJPG/234062-003_BCK_1.jpg</t>
  </si>
  <si>
    <t>https://dd3ka9h4chfr8.cloudfront.net/image/725136000567/image_loq8ck1u4l4dva259rvdv4la7d/-FJPG/234062-003_DET_1.jpg</t>
  </si>
  <si>
    <t>https://dd3ka9h4chfr8.cloudfront.net/image/725136000567/image_4lb3s4l3mh2st3h39fd7ed325g/-FJPG/234062-003_DET_3.jpg</t>
  </si>
  <si>
    <t>https://dd3ka9h4chfr8.cloudfront.net/image/725136000567/image_s0ca18oe150d1eni7jt43mq107/-FJPG/234062-003_OPN_1.jpg</t>
  </si>
  <si>
    <t>https://dd3ka9h4chfr8.cloudfront.net/image/725136000567/image_8selh0ibrd3rb3aprdacshgu4g/-FJPG/234062-003_TOP_1.jpg</t>
  </si>
  <si>
    <t>https://dd3ka9h4chfr8.cloudfront.net/image/725136000567/image_bpmb1krrjl1c167lp5svnhga2p/-FJPG/234062-003_DET_4.jpg</t>
  </si>
  <si>
    <t>https://dd3ka9h4chfr8.cloudfront.net/image/725136000567/image_535p6hin597f3e1hssmrv11c16/-FJPG/234062-003_DET_5.jpg</t>
  </si>
  <si>
    <t>https://dd3ka9h4chfr8.cloudfront.net/image/725136000567/image_gdd8b5qh8d2rrajfnmr5570f3m/-FJPG/234062-003_DET_6.jpg</t>
  </si>
  <si>
    <t>https://dd3ka9h4chfr8.cloudfront.net/image/725136000567/image_utjv418pmh58ffth31h1mruf73/-FJPG/234062-003_DET_9.tif</t>
  </si>
  <si>
    <t>https://dd3ka9h4chfr8.cloudfront.net/image/725136000567/image_0ib5riiha56un0lm5assipv76e/-FJPG/234062-003_ESS.tif</t>
  </si>
  <si>
    <t>Malta Chair - Piermont Oyster</t>
  </si>
  <si>
    <t>https://dd3ka9h4chfr8.cloudfront.net/image/725136000567/image_695m6ev5p137n37inns1qp4a3k/-S150x150-FJPG/231359-001_PRM_1.jpg</t>
  </si>
  <si>
    <t>https://dd3ka9h4chfr8.cloudfront.net/image/725136000567/image_695m6ev5p137n37inns1qp4a3k/-FJPG/231359-001_PRM_1.jpg</t>
  </si>
  <si>
    <t>https://dd3ka9h4chfr8.cloudfront.net/image/725136000567/image_etpfc42c215rp3ukgf3ic6267j/-FJPG/231359-001_SID_1.jpg</t>
  </si>
  <si>
    <t>https://dd3ka9h4chfr8.cloudfront.net/image/725136000567/image_f0uhqmr0ul10n90esmcf1uf513/-FJPG/231359-001_ESS_1.jpg</t>
  </si>
  <si>
    <t>https://dd3ka9h4chfr8.cloudfront.net/image/725136000567/image_vr5nhnpnnh4r35rsuhmkvb642u/-FJPG/231359-001_DET_2.jpg</t>
  </si>
  <si>
    <t>https://dd3ka9h4chfr8.cloudfront.net/image/725136000567/image_7dvnr6t6jd18vf0n58mg6dq21u/-FJPG/231359-001_BCK_1.jpg</t>
  </si>
  <si>
    <t>https://dd3ka9h4chfr8.cloudfront.net/image/725136000567/image_jbcf9v58eh2i56bfq9d5gred2d/-FJPG/231359-001_INF_1.jpg</t>
  </si>
  <si>
    <t>https://dd3ka9h4chfr8.cloudfront.net/image/725136000567/image_to0l1eri3d5bb0otprnbv70259/-FJPG/231359-001_DET_1.jpg</t>
  </si>
  <si>
    <t>https://dd3ka9h4chfr8.cloudfront.net/image/725136000567/image_rmucnlmlm13p77lqavvqhen528/-FJPG/231359-001_DET_3.jpg</t>
  </si>
  <si>
    <t>https://dd3ka9h4chfr8.cloudfront.net/image/725136000567/image_ag1mrnbg6t61t1lidlet90q611/-FJPG/231359-001_DET_4.jpg</t>
  </si>
  <si>
    <t>https://dd3ka9h4chfr8.cloudfront.net/image/725136000567/image_3j5tdvs6pt4574jj1359i8er3a/-FJPG/231359-001_DET_5.jpg</t>
  </si>
  <si>
    <t>https://dd3ka9h4chfr8.cloudfront.net/image/725136000567/image_jtoa8fs0oh6qr8ivkvsqvtj47s/-FJPG/231359-001_ROM_1.jpg</t>
  </si>
  <si>
    <t>https://dd3ka9h4chfr8.cloudfront.net/image/725136000567/image_9jhr4mrdl15830vq76qva8jg6e/-FJPG/231359-001_PRM_2.jpg</t>
  </si>
  <si>
    <t>Marcel Sofa-102" - Laken Taupe</t>
  </si>
  <si>
    <t>https://dd3ka9h4chfr8.cloudfront.net/image/725136000567/image_vriadm9ge973rbt0c9u3b5g77p/-S150x150-FJPG/241203-004_PRM_1.jpg</t>
  </si>
  <si>
    <t>https://dd3ka9h4chfr8.cloudfront.net/image/725136000567/image_vriadm9ge973rbt0c9u3b5g77p/-FJPG/241203-004_PRM_1.jpg</t>
  </si>
  <si>
    <t>https://dd3ka9h4chfr8.cloudfront.net/image/725136000567/image_q8ku6uv3bl4vvag89cev68p61e/-FJPG/241203-004_SID_1.jpg</t>
  </si>
  <si>
    <t>https://dd3ka9h4chfr8.cloudfront.net/image/725136000567/image_dtnt7ctdo14fnev745iqanud5a/-FJPG/241203-004_ESS.tif</t>
  </si>
  <si>
    <t>https://dd3ka9h4chfr8.cloudfront.net/image/725136000567/image_ef2av755mp7cn1ioh8s15gg65g/-FJPG/241203-004_DET_2.jpg</t>
  </si>
  <si>
    <t>https://dd3ka9h4chfr8.cloudfront.net/image/725136000567/image_54of2libf53g94k7cmv2837r29/-FJPG/241203-004_BCK_1.jpg</t>
  </si>
  <si>
    <t>https://dd3ka9h4chfr8.cloudfront.net/image/725136000567/image_sbggoaqgsh3ob0cvf6qbg1n077/-FJPG/241203-004_DET_1.jpg</t>
  </si>
  <si>
    <t>https://dd3ka9h4chfr8.cloudfront.net/image/725136000567/image_9iu40p8bt10d576vuh2ocd7824/-FJPG/241203-004_DET_3.jpg</t>
  </si>
  <si>
    <t>https://dd3ka9h4chfr8.cloudfront.net/image/725136000567/image_6s5a5gqjut0nrdjhrc00uqso1c/-FJPG/241203-004_TOP.jpg</t>
  </si>
  <si>
    <t>https://dd3ka9h4chfr8.cloudfront.net/image/725136000567/image_gantq30fk17inauvrbdd1d146f/-FJPG/241203-004_DET_4.jpg</t>
  </si>
  <si>
    <t>https://dd3ka9h4chfr8.cloudfront.net/image/725136000567/image_f9c10d7mcp03b6ciqfi8m32k7i/-FJPG/241203-004_DET_5.jpg</t>
  </si>
  <si>
    <t>https://dd3ka9h4chfr8.cloudfront.net/image/725136000567/image_vr2otqm7bp1hjdi6d7bjs8gu3j/-FJPG/241203-004_DET_6.jpg</t>
  </si>
  <si>
    <t>https://dd3ka9h4chfr8.cloudfront.net/image/725136000567/image_3ti3qjgif92rd1u1vb9obhpb4k/-FJPG/241203-004_DET_9.tif</t>
  </si>
  <si>
    <t>https://dd3ka9h4chfr8.cloudfront.net/image/725136000567/image_puqppjkbup0tn8co9avljuc80d/-FJPG/241203-004_DET_10.tif</t>
  </si>
  <si>
    <t>https://dd3ka9h4chfr8.cloudfront.net/image/725136000567/image_i2pssprs0p0j350oio3bjk9668/-FJPG/241203-004_DET_11.tif</t>
  </si>
  <si>
    <t>https://dd3ka9h4chfr8.cloudfront.net/image/725136000567/image_jcvhsaalm962f504n1sh1i721m/-FJPG/FHMPRJ016_SCENE-4.jpg</t>
  </si>
  <si>
    <t>Marcela Desk - Natural Morado Veneer</t>
  </si>
  <si>
    <t>Morada Veneer</t>
  </si>
  <si>
    <t>https://dd3ka9h4chfr8.cloudfront.net/image/725136000567/image_7kg9dpoq256odft7543a9md90c/-S150x150-FJPG/242280-001_PRM_1.jpg</t>
  </si>
  <si>
    <t>https://dd3ka9h4chfr8.cloudfront.net/image/725136000567/image_7kg9dpoq256odft7543a9md90c/-FJPG/242280-001_PRM_1.jpg</t>
  </si>
  <si>
    <t>https://dd3ka9h4chfr8.cloudfront.net/image/725136000567/image_bkvnsoviot5il3nf8dkn2gjd0v/-FJPG/242280-001_SID_1.jpg</t>
  </si>
  <si>
    <t>https://dd3ka9h4chfr8.cloudfront.net/image/725136000567/image_ugs72suh8d5obf2oq49r4lmu03/-FJPG/242280-001_ESS_1.tif</t>
  </si>
  <si>
    <t>https://dd3ka9h4chfr8.cloudfront.net/image/725136000567/image_i23vtedbkl1tp89275v11hvf32/-FJPG/242280-001_DET_2.jpg</t>
  </si>
  <si>
    <t>https://dd3ka9h4chfr8.cloudfront.net/image/725136000567/image_dml9kr253162h7omoc5sbnhh0j/-FJPG/242280-001_BCK_1.jpg</t>
  </si>
  <si>
    <t>https://dd3ka9h4chfr8.cloudfront.net/image/725136000567/image_pthsrve7id50t49641b77f1t17/-FJPG/242280-001_DET_1.jpg</t>
  </si>
  <si>
    <t>https://dd3ka9h4chfr8.cloudfront.net/image/725136000567/image_lbjp4pubd93edc7lkfm06abr4t/-FJPG/242280-001_DET_3.jpg</t>
  </si>
  <si>
    <t>https://dd3ka9h4chfr8.cloudfront.net/image/725136000567/image_0amggemk5h6bb2o4j14hp7705q/-FJPG/242280-001_OPN_1.jpg</t>
  </si>
  <si>
    <t>https://dd3ka9h4chfr8.cloudfront.net/image/725136000567/image_3ljs3gj46t1ef3nkfmc8151g71/-FJPG/242280-001_DET_4.jpg</t>
  </si>
  <si>
    <t>https://dd3ka9h4chfr8.cloudfront.net/image/725136000567/image_5ne24521bd111br6ur86h8461q/-FJPG/242280-001_DET_5.jpg</t>
  </si>
  <si>
    <t>https://dd3ka9h4chfr8.cloudfront.net/image/725136000567/image_82ttdkutjp6thbnr95fk5kk959/-FJPG/242280-001_DET_6.jpg</t>
  </si>
  <si>
    <t>https://dd3ka9h4chfr8.cloudfront.net/image/725136000567/image_0u6iiti3313r312os6iekame4l/-FJPG/242280-001_DET_7.jpg</t>
  </si>
  <si>
    <t>https://dd3ka9h4chfr8.cloudfront.net/image/725136000567/image_c9eot15fsd4uf0ao30khqbvv4v/-FJPG/242280-001_DET_8.jpg</t>
  </si>
  <si>
    <t>https://dd3ka9h4chfr8.cloudfront.net/image/725136000567/image_qto5mvhhgh4sr7h74d62v6gv7a/-FJPG/242280-001_DET_9.tif</t>
  </si>
  <si>
    <t>Marcia Accent Bench - Nubuck Cigar</t>
  </si>
  <si>
    <t>https://dd3ka9h4chfr8.cloudfront.net/image/725136000567/image_sop9lo2enp1dfcm7m8271cq908/-S150x150-FJPG/242155-001_PRM_1.jpg</t>
  </si>
  <si>
    <t>https://dd3ka9h4chfr8.cloudfront.net/image/725136000567/image_sop9lo2enp1dfcm7m8271cq908/-FJPG/242155-001_PRM_1.jpg</t>
  </si>
  <si>
    <t>https://dd3ka9h4chfr8.cloudfront.net/image/725136000567/image_26221oq8rh1f9adtbfu7qost7j/-FJPG/242155-001_SID_1.jpg</t>
  </si>
  <si>
    <t>https://dd3ka9h4chfr8.cloudfront.net/image/725136000567/image_cttap4c4gl4ptak7b4c18pcn18/-FJPG/242155-001_ESS_1.tif</t>
  </si>
  <si>
    <t>https://dd3ka9h4chfr8.cloudfront.net/image/725136000567/image_vtcqkd8qgh4lb7v60pnsld5f25/-FJPG/242155-001_DET_2.jpg</t>
  </si>
  <si>
    <t>https://dd3ka9h4chfr8.cloudfront.net/image/725136000567/image_9o47phg2s16vb38riqjpmu6p7n/-FJPG/242155-001_DET_1.jpg</t>
  </si>
  <si>
    <t>https://dd3ka9h4chfr8.cloudfront.net/image/725136000567/image_6p33k31rm12gv5sk97joi9n50c/-FJPG/242155-001_DET_3.jpg</t>
  </si>
  <si>
    <t>https://dd3ka9h4chfr8.cloudfront.net/image/725136000567/image_3jn4h1u6dd47h7suv97kbece67/-FJPG/242155-001_TOP_1.jpg</t>
  </si>
  <si>
    <t>https://dd3ka9h4chfr8.cloudfront.net/image/725136000567/image_vjit4896vd3al1qc035sitvk3f/-FJPG/242155-001_DET_4.jpg</t>
  </si>
  <si>
    <t>https://dd3ka9h4chfr8.cloudfront.net/image/725136000567/image_uf59hh4vo922930fcc4fofeo6r/-FJPG/242155-001_DET_5.jpg</t>
  </si>
  <si>
    <t>https://dd3ka9h4chfr8.cloudfront.net/image/725136000567/image_au257slt152a7d4ovc51lt6016/-FJPG/242155-001_DET_6.jpg</t>
  </si>
  <si>
    <t>https://dd3ka9h4chfr8.cloudfront.net/image/725136000567/image_00af06s7217c79s486tmne1f77/-FJPG/242155-001_DET_9.tif</t>
  </si>
  <si>
    <t>Marcia Dining Table 120" - Natural Reclaimed French Oak</t>
  </si>
  <si>
    <t>https://dd3ka9h4chfr8.cloudfront.net/image/725136000567/image_r3inter90l22t3nmbfsd8njl2q/-S150x150-FJPG/242112-001_PRM_1.tif</t>
  </si>
  <si>
    <t>https://dd3ka9h4chfr8.cloudfront.net/image/725136000567/image_e57kuogtk575v6t4irj1pmtl01/-FJPG/242112-001_FRT_1.tif</t>
  </si>
  <si>
    <t>https://dd3ka9h4chfr8.cloudfront.net/image/725136000567/image_r3inter90l22t3nmbfsd8njl2q/-FJPG/242112-001_PRM_1.tif</t>
  </si>
  <si>
    <t>https://dd3ka9h4chfr8.cloudfront.net/image/725136000567/image_nqdrmm05bl7mn5qmaepqpp7q4j/-FJPG/242112-001_PRM_1.jpg</t>
  </si>
  <si>
    <t>https://dd3ka9h4chfr8.cloudfront.net/image/725136000567/image_86sp094tu1785cro5162tjl63f/-FJPG/242112-001_SID_1.tif</t>
  </si>
  <si>
    <t>https://dd3ka9h4chfr8.cloudfront.net/image/725136000567/image_8fbtknv1757ub02skiv7l87t2r/-FJPG/242112-001_SID_1.jpg</t>
  </si>
  <si>
    <t>https://dd3ka9h4chfr8.cloudfront.net/image/725136000567/image_7nj0unobkd3g5eh87eu2c71638/-FJPG/242112-001_ESS_1.tif</t>
  </si>
  <si>
    <t>https://dd3ka9h4chfr8.cloudfront.net/image/725136000567/image_8acgecdl9d0gffjtfsd19fmr5b/-FJPG/242112-001_DET_2.jpg</t>
  </si>
  <si>
    <t>https://dd3ka9h4chfr8.cloudfront.net/image/725136000567/image_oqnh51u1kh37ff42m7h7th0v32/-FJPG/242112-001_BCK_1.tif</t>
  </si>
  <si>
    <t>https://dd3ka9h4chfr8.cloudfront.net/image/725136000567/image_igia6ci5c54mb19r57nmgr2r6n/-FJPG/242112-001_BCK_1.jpg</t>
  </si>
  <si>
    <t>https://dd3ka9h4chfr8.cloudfront.net/image/725136000567/image_ndosc4opj939d40uph0g9jfm5v/-FJPG/242112-001_DET_1.jpg</t>
  </si>
  <si>
    <t>https://dd3ka9h4chfr8.cloudfront.net/image/725136000567/image_aalebl9ks52cp4fhh0fke0eh4r/-FJPG/242112-001_DET_3.jpg</t>
  </si>
  <si>
    <t>https://dd3ka9h4chfr8.cloudfront.net/image/725136000567/image_s9m39ig9pd3p7d73sulc5cjh3p/-FJPG/242112-001_DET_4.jpg</t>
  </si>
  <si>
    <t>https://dd3ka9h4chfr8.cloudfront.net/image/725136000567/image_s9kblkobi10fr0mbuv4q3k5p7q/-FJPG/242112-001_DET_5.jpg</t>
  </si>
  <si>
    <t>https://dd3ka9h4chfr8.cloudfront.net/image/725136000567/image_3ck76julml1nd0nc0eqjphee5v/-FJPG/242112-001_DET_6.jpg</t>
  </si>
  <si>
    <t>https://dd3ka9h4chfr8.cloudfront.net/image/725136000567/image_5qcj7117sd7an4spnej6tq9g7r/-FJPG/242112-001_DET_9.tif</t>
  </si>
  <si>
    <t>https://dd3ka9h4chfr8.cloudfront.net/image/725136000567/image_3h71vf1jvt2dda1vl6vsbrm479/-FJPG/FHMPRJ-008_SCENE_11.tif</t>
  </si>
  <si>
    <t>Marcia Large Coffee Table - Natural Reclaimed French Oak</t>
  </si>
  <si>
    <t>https://dd3ka9h4chfr8.cloudfront.net/image/725136000567/image_uiho2ftgod35l3k3ra8hi19b6g/-S150x150-FJPG/242145-001_PRM_1.jpg</t>
  </si>
  <si>
    <t>https://dd3ka9h4chfr8.cloudfront.net/image/725136000567/image_uiho2ftgod35l3k3ra8hi19b6g/-FJPG/242145-001_PRM_1.jpg</t>
  </si>
  <si>
    <t>https://dd3ka9h4chfr8.cloudfront.net/image/725136000567/image_118m5k5msd57f6glf80g3jng1t/-FJPG/242145-001_SID_1.jpg</t>
  </si>
  <si>
    <t>https://dd3ka9h4chfr8.cloudfront.net/image/725136000567/image_d435f1rorh00l6ota5ja4nk67d/-FJPG/242145-001_ESS_1.tif</t>
  </si>
  <si>
    <t>https://dd3ka9h4chfr8.cloudfront.net/image/725136000567/image_h2q4u2f8eh7tj3bl3f45251h47/-FJPG/242145-001_DET_2.jpg</t>
  </si>
  <si>
    <t>https://dd3ka9h4chfr8.cloudfront.net/image/725136000567/image_ct2dlmli7h6054hmpsp1b1si5l/-FJPG/242145-001_DET_1.jpg</t>
  </si>
  <si>
    <t>https://dd3ka9h4chfr8.cloudfront.net/image/725136000567/image_1hq3tfe8ll4455nro0ppifr555/-FJPG/242145-001_DET_3.jpg</t>
  </si>
  <si>
    <t>https://dd3ka9h4chfr8.cloudfront.net/image/725136000567/image_k485ugqj4p0a3cm2ooq97als5o/-FJPG/242145-001_DET_4.jpg</t>
  </si>
  <si>
    <t>https://dd3ka9h4chfr8.cloudfront.net/image/725136000567/image_s5ro63hfrl3nfc1926vhkdvo5v/-FJPG/242145-001_DET_5.jpg</t>
  </si>
  <si>
    <t>https://dd3ka9h4chfr8.cloudfront.net/image/725136000567/image_cpr4ocrfih4ch92bc1onjsnj01/-FJPG/242145-001_DET_6.jpg</t>
  </si>
  <si>
    <t>https://dd3ka9h4chfr8.cloudfront.net/image/725136000567/image_f5ntk0uva914n6ecq2jhamtp2o/-FJPG/242145-001_DET_9.tif</t>
  </si>
  <si>
    <t>Marcia Square Coffee Table - Natural Reclaimed French Oak</t>
  </si>
  <si>
    <t>https://dd3ka9h4chfr8.cloudfront.net/image/725136000567/image_dde3ua0ie124v015hbr4nj217d/-S150x150-FJPG/242147-001_PRM_1.jpg</t>
  </si>
  <si>
    <t>https://dd3ka9h4chfr8.cloudfront.net/image/725136000567/image_dde3ua0ie124v015hbr4nj217d/-FJPG/242147-001_PRM_1.jpg</t>
  </si>
  <si>
    <t>https://dd3ka9h4chfr8.cloudfront.net/image/725136000567/image_sb4gpc9qjt0nv9gsuesbnp285e/-FJPG/242147-001_SID_1.jpg</t>
  </si>
  <si>
    <t>https://dd3ka9h4chfr8.cloudfront.net/image/725136000567/image_s3ciraro1h6vf1shnfntp0tu2v/-FJPG/242147-001_ESS_1.tif</t>
  </si>
  <si>
    <t>https://dd3ka9h4chfr8.cloudfront.net/image/725136000567/image_v8a92n0hat72n1rdcecgsu804q/-FJPG/242147-001_DET_2.jpg</t>
  </si>
  <si>
    <t>https://dd3ka9h4chfr8.cloudfront.net/image/725136000567/image_83ujuabd0p2m95jrb8n6dmi46p/-FJPG/242147-001_DET_1.jpg</t>
  </si>
  <si>
    <t>https://dd3ka9h4chfr8.cloudfront.net/image/725136000567/image_bnu3rg65ot4blch8qj8aqn5t5v/-FJPG/242147-001_DET_3.jpg</t>
  </si>
  <si>
    <t>https://dd3ka9h4chfr8.cloudfront.net/image/725136000567/image_5cm8cn72sh6dvbcujt8apqk052/-FJPG/242147-001_DET_4.jpg</t>
  </si>
  <si>
    <t>https://dd3ka9h4chfr8.cloudfront.net/image/725136000567/image_20jtjospmt4jt9f7q99if3fp7v/-FJPG/242147-001_DET_5.jpg</t>
  </si>
  <si>
    <t>https://dd3ka9h4chfr8.cloudfront.net/image/725136000567/image_q7c7un9hjd5nt41u4f1onuho7c/-FJPG/242147-001_DET_6.jpg</t>
  </si>
  <si>
    <t>https://dd3ka9h4chfr8.cloudfront.net/image/725136000567/image_tdhgkcl6k155de3ifim5f3ch7o/-FJPG/242147-001_DET_9.tif</t>
  </si>
  <si>
    <t>Marcon Dining Table - Natural Reclaimed French Oak</t>
  </si>
  <si>
    <t>https://dd3ka9h4chfr8.cloudfront.net/image/725136000567/image_cts1vc52up5p734cucguse5a7c/-S150x150-FJPG/242190-001_PRM_1.jpg</t>
  </si>
  <si>
    <t>https://dd3ka9h4chfr8.cloudfront.net/image/725136000567/image_cts1vc52up5p734cucguse5a7c/-FJPG/242190-001_PRM_1.jpg</t>
  </si>
  <si>
    <t>https://dd3ka9h4chfr8.cloudfront.net/image/725136000567/image_tcai27pl4d0515v3plralqjr67/-FJPG/242190-001_SID_1.jpg</t>
  </si>
  <si>
    <t>https://dd3ka9h4chfr8.cloudfront.net/image/725136000567/image_v21u9sa1gt0cn9djpk6qpuj453/-FJPG/242190-001_ESS_1.tif</t>
  </si>
  <si>
    <t>https://dd3ka9h4chfr8.cloudfront.net/image/725136000567/image_rk5snh31p95rhdi6cg9pmmgh75/-FJPG/242190-001_DET_2.jpg</t>
  </si>
  <si>
    <t>https://dd3ka9h4chfr8.cloudfront.net/image/725136000567/image_i396rv7ejd66p8b28r5h4nd37e/-FJPG/242190-001_DET_1.jpg</t>
  </si>
  <si>
    <t>https://dd3ka9h4chfr8.cloudfront.net/image/725136000567/image_80i38g2v857sn0jrs1dokpit1n/-FJPG/242190-001_DET_3.jpg</t>
  </si>
  <si>
    <t>https://dd3ka9h4chfr8.cloudfront.net/image/725136000567/image_lkp1apn4jl1rn5hnqeu3ft8379/-FJPG/242190-001_DET_4.jpg</t>
  </si>
  <si>
    <t>https://dd3ka9h4chfr8.cloudfront.net/image/725136000567/image_phd4ansbah0u9fes7baj5mik30/-FJPG/242190-001_DET_5.jpg</t>
  </si>
  <si>
    <t>https://dd3ka9h4chfr8.cloudfront.net/image/725136000567/image_02686lu8695b1frcok1hurqk1e/-FJPG/242190-001_DET_6.jpg</t>
  </si>
  <si>
    <t>https://dd3ka9h4chfr8.cloudfront.net/image/725136000567/image_m9q76c5t8t1hl3v0svp333d75o/-FJPG/242190-001_DET_9.tif</t>
  </si>
  <si>
    <t>https://dd3ka9h4chfr8.cloudfront.net/image/725136000567/image_i8qadfd8b15q35n8dg8ers3359/-FJPG/242190-001_DET_10.tif</t>
  </si>
  <si>
    <t>https://dd3ka9h4chfr8.cloudfront.net/image/725136000567/image_bkb0kd3ad12t9au368kvvi2b75/-FJPG/242190-001_DET_11.tif</t>
  </si>
  <si>
    <t>https://dd3ka9h4chfr8.cloudfront.net/image/725136000567/image_aq73pau2et3p73lesdamlfg64t/-FJPG/242190-001_DET_12.tif</t>
  </si>
  <si>
    <t>Margot Swivel Chair - Altair Sienna</t>
  </si>
  <si>
    <t>https://dd3ka9h4chfr8.cloudfront.net/image/725136000567/image_j70q17o1hl1t5fj438u9d0bl7n/-S150x150-FJPG/240670-003_PRM_1.jpg</t>
  </si>
  <si>
    <t>https://dd3ka9h4chfr8.cloudfront.net/image/725136000567/image_j70q17o1hl1t5fj438u9d0bl7n/-FJPG/240670-003_PRM_1.jpg</t>
  </si>
  <si>
    <t>https://dd3ka9h4chfr8.cloudfront.net/image/725136000567/image_qs14rar0o94b75jcbjlcn88p4d/-FJPG/240670-003_SID_1.jpg</t>
  </si>
  <si>
    <t>https://dd3ka9h4chfr8.cloudfront.net/image/725136000567/image_0jeml2sjil68v2pal5blocn72h/-FJPG/240670-003_ESS.tif</t>
  </si>
  <si>
    <t>https://dd3ka9h4chfr8.cloudfront.net/image/725136000567/image_4c9bs96cpd0pv7nflosnmck050/-FJPG/240670-003_DET_2.jpg</t>
  </si>
  <si>
    <t>https://dd3ka9h4chfr8.cloudfront.net/image/725136000567/image_0nb6imsc054399aeh2cdaofg1q/-FJPG/240670-003_BCK_1.jpg</t>
  </si>
  <si>
    <t>https://dd3ka9h4chfr8.cloudfront.net/image/725136000567/image_oiumgskof50od9djfg4p06rg5l/-FJPG/240670-003_DET_1.jpg</t>
  </si>
  <si>
    <t>https://dd3ka9h4chfr8.cloudfront.net/image/725136000567/image_vaphu5n2ph5cd0qv9st2fkcj03/-FJPG/240670-003_DET_3.jpg</t>
  </si>
  <si>
    <t>https://dd3ka9h4chfr8.cloudfront.net/image/725136000567/image_fp036j7f817j503pjp00samc0m/-FJPG/240670-003_DET_4.jpg</t>
  </si>
  <si>
    <t>https://dd3ka9h4chfr8.cloudfront.net/image/725136000567/image_uv6e5ih4u15frbrrqqbmbjoj2h/-FJPG/240670-003_DET_5.jpg</t>
  </si>
  <si>
    <t>https://dd3ka9h4chfr8.cloudfront.net/image/725136000567/image_kkbegukkjd29fes5b90g83pu44/-FJPG/240670-003_DET_6.jpg</t>
  </si>
  <si>
    <t>https://dd3ka9h4chfr8.cloudfront.net/image/725136000567/image_cvopl6eb9p6bl7jat8lvge3p4v/-FJPG/240670-003_DET_7.jpg</t>
  </si>
  <si>
    <t>Margot Swivel Chair - Ivan Granite</t>
  </si>
  <si>
    <t>https://dd3ka9h4chfr8.cloudfront.net/image/725136000567/image_6mif5rnpb126188lui40k8m13k/-S150x150-FJPG/240670-004_PRM_1.jpg</t>
  </si>
  <si>
    <t>https://dd3ka9h4chfr8.cloudfront.net/image/725136000567/image_6mif5rnpb126188lui40k8m13k/-FJPG/240670-004_PRM_1.jpg</t>
  </si>
  <si>
    <t>https://dd3ka9h4chfr8.cloudfront.net/image/725136000567/image_condn9ron13q58ahgfrp6i8910/-FJPG/240670-004_SID_1.jpg</t>
  </si>
  <si>
    <t>https://dd3ka9h4chfr8.cloudfront.net/image/725136000567/image_q2mnei35ep77r3g5e5btt91n33/-FJPG/240670-004_DET_2.jpg</t>
  </si>
  <si>
    <t>https://dd3ka9h4chfr8.cloudfront.net/image/725136000567/image_kvhh1u0s7h1h363ne7vniodm38/-FJPG/240670-004_BCK_1.jpg</t>
  </si>
  <si>
    <t>https://dd3ka9h4chfr8.cloudfront.net/image/725136000567/image_lkhetcgfgl079b30v6tceqrg16/-FJPG/240670-004_DET_1.jpg</t>
  </si>
  <si>
    <t>https://dd3ka9h4chfr8.cloudfront.net/image/725136000567/image_2cdjaugrdd21n8s2jdk186q76q/-FJPG/240670-004_DET_3.jpg</t>
  </si>
  <si>
    <t>https://dd3ka9h4chfr8.cloudfront.net/image/725136000567/image_534h5c6tb917j8nluem2cr3d59/-FJPG/240670-004_TOP_1.jpg</t>
  </si>
  <si>
    <t>https://dd3ka9h4chfr8.cloudfront.net/image/725136000567/image_b8p6tdgob96th0u99rt0ghgf3f/-FJPG/240670-004_DET_4.jpg</t>
  </si>
  <si>
    <t>https://dd3ka9h4chfr8.cloudfront.net/image/725136000567/image_58lo32fg7p7kdc2d5ob7ebvn65/-FJPG/240670-004_DET_5.jpg</t>
  </si>
  <si>
    <t>https://dd3ka9h4chfr8.cloudfront.net/image/725136000567/image_ldam16os7p3br0j7f4m1r77p2u/-FJPG/240670-004_DET_6.jpg</t>
  </si>
  <si>
    <t>https://dd3ka9h4chfr8.cloudfront.net/image/725136000567/image_49ildejcdp1d98dnp85vkb1b5u/-FJPG/240670-004_DET_7.jpg</t>
  </si>
  <si>
    <t>https://dd3ka9h4chfr8.cloudfront.net/image/725136000567/image_sb43gun9l116d3vc6bmod7oa22/-FJPG/240670-004_DET_8.jpg</t>
  </si>
  <si>
    <t>Margot Swivel Chair - Solema Cream</t>
  </si>
  <si>
    <t>https://dd3ka9h4chfr8.cloudfront.net/image/725136000567/image_65tep05bh968fb0lac9pbel07s/-S150x150-FJPG/240670-001_PRM_1.jpg</t>
  </si>
  <si>
    <t>https://dd3ka9h4chfr8.cloudfront.net/image/725136000567/image_65tep05bh968fb0lac9pbel07s/-FJPG/240670-001_PRM_1.jpg</t>
  </si>
  <si>
    <t>https://dd3ka9h4chfr8.cloudfront.net/image/725136000567/image_9931e6qrc906nd7ne5hc25m85v/-FJPG/240670-001_SID_1.jpg</t>
  </si>
  <si>
    <t>https://dd3ka9h4chfr8.cloudfront.net/image/725136000567/image_i7v6dkcrgd0tp7uhkop5dsru5u/-FJPG/240670-001_ESS.tif</t>
  </si>
  <si>
    <t>https://dd3ka9h4chfr8.cloudfront.net/image/725136000567/image_74a68pk1p97gt418nuih7bph6t/-FJPG/240670-001_DET_2.jpg</t>
  </si>
  <si>
    <t>https://dd3ka9h4chfr8.cloudfront.net/image/725136000567/image_pk1mgk13hl6klc0k9nss82gn1e/-FJPG/240670-001_BCK_1.jpg</t>
  </si>
  <si>
    <t>https://dd3ka9h4chfr8.cloudfront.net/image/725136000567/image_b4i72qgktd7ht56rnfaolto94q/-FJPG/240670-001_DET_1.jpg</t>
  </si>
  <si>
    <t>https://dd3ka9h4chfr8.cloudfront.net/image/725136000567/image_egojob4mmh6eb6eu6jju0smu38/-FJPG/240670-001_DET_3.jpg</t>
  </si>
  <si>
    <t>https://dd3ka9h4chfr8.cloudfront.net/image/725136000567/image_ms9vh6kjvp3hna46ao4dsf9812/-FJPG/240670-001_DET_4.jpg</t>
  </si>
  <si>
    <t>https://dd3ka9h4chfr8.cloudfront.net/image/725136000567/image_2fek1ga3pl3kr2oe2c97qqhi5g/-FJPG/240670-001_DET_5.jpg</t>
  </si>
  <si>
    <t>https://dd3ka9h4chfr8.cloudfront.net/image/725136000567/image_505id4am617m59aa3s5v84j11c/-FJPG/240670-001_DET_6.jpg</t>
  </si>
  <si>
    <t>https://dd3ka9h4chfr8.cloudfront.net/image/725136000567/image_h43nflhplp4rncrfen5hftqg5b/-FJPG/240670-001_DET_7.jpg</t>
  </si>
  <si>
    <t>https://dd3ka9h4chfr8.cloudfront.net/image/725136000567/image_pkvks418cp0e362fdtf80n2e18/-FJPG/240670-001_DET_8.jpg</t>
  </si>
  <si>
    <t>https://dd3ka9h4chfr8.cloudfront.net/image/725136000567/image_j4on0b0pmh2hp3c53ur76v1475/-FJPG/240670-001_DET_9.tif</t>
  </si>
  <si>
    <t>https://dd3ka9h4chfr8.cloudfront.net/image/725136000567/image_67mcpup73p4al0fg1ms3ngts3f/-FJPG/240670-001_ROM_1.jpg</t>
  </si>
  <si>
    <t>Mariana Sideboard - Natural Reclaimed French Oak</t>
  </si>
  <si>
    <t>https://dd3ka9h4chfr8.cloudfront.net/image/725136000567/image_ffjoq8mic93tfe1jqob3k56j7n/-S150x150-FJPG/242205-001_PRM_1.jpg</t>
  </si>
  <si>
    <t>https://dd3ka9h4chfr8.cloudfront.net/image/725136000567/image_ffjoq8mic93tfe1jqob3k56j7n/-FJPG/242205-001_PRM_1.jpg</t>
  </si>
  <si>
    <t>https://dd3ka9h4chfr8.cloudfront.net/image/725136000567/image_5ljitevqh16ancc578mjt7oo53/-FJPG/242205-001_SID_1.jpg</t>
  </si>
  <si>
    <t>https://dd3ka9h4chfr8.cloudfront.net/image/725136000567/image_n2grlbiokl3sl1tf067k2h7873/-FJPG/242205-001_ESS_1.tif</t>
  </si>
  <si>
    <t>https://dd3ka9h4chfr8.cloudfront.net/image/725136000567/image_cjmt94ejhl6if4qmu0hclud91n/-FJPG/242205-001_DET_2.jpg</t>
  </si>
  <si>
    <t>https://dd3ka9h4chfr8.cloudfront.net/image/725136000567/image_edm05u7cqp5bv2r5e080b54e02/-FJPG/242205-001_BCK_1.jpg</t>
  </si>
  <si>
    <t>https://dd3ka9h4chfr8.cloudfront.net/image/725136000567/image_2cf0bjjmpl13p0udg68geno874/-FJPG/242205-001_DET_1.jpg</t>
  </si>
  <si>
    <t>https://dd3ka9h4chfr8.cloudfront.net/image/725136000567/image_crn8c2l8lh3535v91es4gh254t/-FJPG/242205-001_DET_3.jpg</t>
  </si>
  <si>
    <t>https://dd3ka9h4chfr8.cloudfront.net/image/725136000567/image_9dkng9k8nh6op9upb842s74604/-FJPG/242205-001_OPN_1.jpg</t>
  </si>
  <si>
    <t>https://dd3ka9h4chfr8.cloudfront.net/image/725136000567/image_5g50fkk2pt0gr06c5cvugv2o3d/-FJPG/242205-001_DET_4.jpg</t>
  </si>
  <si>
    <t>https://dd3ka9h4chfr8.cloudfront.net/image/725136000567/image_smmkjq2e1l1q352gnoo9l9q561/-FJPG/242205-001_DET_5.jpg</t>
  </si>
  <si>
    <t>https://dd3ka9h4chfr8.cloudfront.net/image/725136000567/image_blbl3pb8jp3otbk2l2beg4ku6d/-FJPG/242205-001_DET_6.jpg</t>
  </si>
  <si>
    <t>https://dd3ka9h4chfr8.cloudfront.net/image/725136000567/image_s4f274q0m57hl9ltqua0gv8b2r/-FJPG/242205-001_DET_7.jpg</t>
  </si>
  <si>
    <t>https://dd3ka9h4chfr8.cloudfront.net/image/725136000567/image_ighikp5tv969vf2t8f7tv6gd7h/-FJPG/242205-001_DET_9.tif</t>
  </si>
  <si>
    <t>https://dd3ka9h4chfr8.cloudfront.net/image/725136000567/image_p5urmgkru97kvanpe8e7dmf26d/-FJPG/242205-001_DET_10.tif</t>
  </si>
  <si>
    <t>Markia Chair - Brickhouse Dark Brown</t>
  </si>
  <si>
    <t>https://dd3ka9h4chfr8.cloudfront.net/image/725136000567/image_5vmv4koe99787dal35ud34qj6l/-S150x150-FJPG/230991-001_PRM_1.jpg</t>
  </si>
  <si>
    <t>https://dd3ka9h4chfr8.cloudfront.net/image/725136000567/image_5vmv4koe99787dal35ud34qj6l/-FJPG/230991-001_PRM_1.jpg</t>
  </si>
  <si>
    <t>https://dd3ka9h4chfr8.cloudfront.net/image/725136000567/image_th9qk4e5vl0rt5g3ivlp99452m/-FJPG/230991-001_SID_1.jpg</t>
  </si>
  <si>
    <t>https://dd3ka9h4chfr8.cloudfront.net/image/725136000567/image_2neiuk8tuh3fj1768jmnh2to0d/-FJPG/230991-001_ESS_1.jpg</t>
  </si>
  <si>
    <t>https://dd3ka9h4chfr8.cloudfront.net/image/725136000567/image_ttjb0qpl5d3377n88u43ge017f/-FJPG/230991-001_DET_2.jpg</t>
  </si>
  <si>
    <t>https://dd3ka9h4chfr8.cloudfront.net/image/725136000567/image_7p3l29gdn521fcdenahknfpq44/-FJPG/230991-001_BCK_1.jpg</t>
  </si>
  <si>
    <t>https://dd3ka9h4chfr8.cloudfront.net/image/725136000567/image_1s1ogorm1t7a77c7l0kctpcd54/-FJPG/230991-001_DET_1.jpg</t>
  </si>
  <si>
    <t>https://dd3ka9h4chfr8.cloudfront.net/image/725136000567/image_ibo5qrcihd209d6ab3bdic834k/-FJPG/230991-001_DET_3.jpg</t>
  </si>
  <si>
    <t>https://dd3ka9h4chfr8.cloudfront.net/image/725136000567/image_c2urhglp2t4n94792ovqve6k1l/-FJPG/230991-001_DET_4.jpg</t>
  </si>
  <si>
    <t>https://dd3ka9h4chfr8.cloudfront.net/image/725136000567/image_5svtcsrsel15t1jp36gu3c2c3h/-FJPG/230991-001_DET_5.jpg</t>
  </si>
  <si>
    <t>https://dd3ka9h4chfr8.cloudfront.net/image/725136000567/image_s6cjoc8oot7b9cpqpmj0uune0b/-FJPG/230991-001_DET_6.jpg</t>
  </si>
  <si>
    <t>Markia Desk - Aged Oak Veneer</t>
  </si>
  <si>
    <t>https://dd3ka9h4chfr8.cloudfront.net/image/725136000567/image_0qqraf01hp5pnbjt9j915cc70t/-S150x150-FJPG/233749-001_PRM_1.jpg</t>
  </si>
  <si>
    <t>https://dd3ka9h4chfr8.cloudfront.net/image/725136000567/image_0qqraf01hp5pnbjt9j915cc70t/-FJPG/233749-001_PRM_1.jpg</t>
  </si>
  <si>
    <t>https://dd3ka9h4chfr8.cloudfront.net/image/725136000567/image_elf6hlpbl52g74b24m3c8drp1h/-FJPG/233749-001_SID_1.jpg</t>
  </si>
  <si>
    <t>https://dd3ka9h4chfr8.cloudfront.net/image/725136000567/image_k2p2o91aq13cv19vrbc8krph3v/-FJPG/233749-001_ESS_1.tif</t>
  </si>
  <si>
    <t>https://dd3ka9h4chfr8.cloudfront.net/image/725136000567/image_gdkj09jr6t3un78hqhn39thh31/-FJPG/233749-001_DET_2.jpg</t>
  </si>
  <si>
    <t>https://dd3ka9h4chfr8.cloudfront.net/image/725136000567/image_sk1qd8bd1h4gj7emr2ubklpp13/-FJPG/233749-001_DET_2.tif</t>
  </si>
  <si>
    <t>https://dd3ka9h4chfr8.cloudfront.net/image/725136000567/image_drblcimdg553n90dkf6lkiec4n/-FJPG/233749-001_BCK_1.jpg</t>
  </si>
  <si>
    <t>https://dd3ka9h4chfr8.cloudfront.net/image/725136000567/image_267qmj5ovd1rb2426bg3p4pb1e/-FJPG/233749-001_DET_1.jpg</t>
  </si>
  <si>
    <t>https://dd3ka9h4chfr8.cloudfront.net/image/725136000567/image_c1qnm3otll7a116gipdk37vi47/-FJPG/233749-001_DET_3.jpg</t>
  </si>
  <si>
    <t>https://dd3ka9h4chfr8.cloudfront.net/image/725136000567/image_vshjmffqnp3gv3561l4gsg700u/-FJPG/233749-001_OPN_1.jpg</t>
  </si>
  <si>
    <t>https://dd3ka9h4chfr8.cloudfront.net/image/725136000567/image_jsvbpvde3h3in7jt7ccegpil2l/-FJPG/233749-001_DET_4.jpg</t>
  </si>
  <si>
    <t>https://dd3ka9h4chfr8.cloudfront.net/image/725136000567/image_87erihrcqd4p144tt7o7aigv06/-FJPG/233749-001_DET_5.jpg</t>
  </si>
  <si>
    <t>https://dd3ka9h4chfr8.cloudfront.net/image/725136000567/image_777u6a5jq90ipfpi5c4p47vi6d/-FJPG/233749-001_DET_6.jpg</t>
  </si>
  <si>
    <t>https://dd3ka9h4chfr8.cloudfront.net/image/725136000567/image_elkv4n1p8l155drokgbv8v1b5m/-FJPG/233749-001_DET_7.jpg</t>
  </si>
  <si>
    <t>https://dd3ka9h4chfr8.cloudfront.net/image/725136000567/image_kqalb8kak13qhb9usi8oklbq4a/-FJPG/233749-001_DET_8.jpg</t>
  </si>
  <si>
    <t>https://dd3ka9h4chfr8.cloudfront.net/image/725136000567/image_fjno9ai8v1529890r6gjdkbv51/-FJPG/233749-001_DET_9.jpg</t>
  </si>
  <si>
    <t>Markia Executive Desk - Aged Oak Veneer</t>
  </si>
  <si>
    <t>https://dd3ka9h4chfr8.cloudfront.net/image/725136000567/image_hduueq6q5p6cl13ef2ngugdp6q/-S150x150-FJPG/236894-001_PRM_1.jpg</t>
  </si>
  <si>
    <t>https://dd3ka9h4chfr8.cloudfront.net/image/725136000567/image_hduueq6q5p6cl13ef2ngugdp6q/-FJPG/236894-001_PRM_1.jpg</t>
  </si>
  <si>
    <t>https://dd3ka9h4chfr8.cloudfront.net/image/725136000567/image_3l983vtgd57r1bpqlr8597rc53/-FJPG/236894-001_SID_1.jpg</t>
  </si>
  <si>
    <t>https://dd3ka9h4chfr8.cloudfront.net/image/725136000567/image_j7841ti4753s334b4acqn0dg5k/-FJPG/236894-001_ESS.tif</t>
  </si>
  <si>
    <t>https://dd3ka9h4chfr8.cloudfront.net/image/725136000567/image_iargul60ut4jhdvebp26ueau3q/-FJPG/236894-001_DET_2.jpg</t>
  </si>
  <si>
    <t>https://dd3ka9h4chfr8.cloudfront.net/image/725136000567/image_7segtd03fl69f6gjpuk9oc2n7d/-FJPG/236894-001_BCK_1.jpg</t>
  </si>
  <si>
    <t>https://dd3ka9h4chfr8.cloudfront.net/image/725136000567/image_umugahslmp4chage52ir545s5r/-FJPG/236894-001_DET_1.jpg</t>
  </si>
  <si>
    <t>https://dd3ka9h4chfr8.cloudfront.net/image/725136000567/image_gm617a15rh17rd7d7pe2tp2i3e/-FJPG/236894-001_DET_3.jpg</t>
  </si>
  <si>
    <t>https://dd3ka9h4chfr8.cloudfront.net/image/725136000567/image_7fp5a804j909pcnoq4mbme046k/-FJPG/236894-001_OPN_1.jpg</t>
  </si>
  <si>
    <t>https://dd3ka9h4chfr8.cloudfront.net/image/725136000567/image_68vdeho1l50k55vgui9md5d577/-FJPG/236894-001_DET_4.jpg</t>
  </si>
  <si>
    <t>https://dd3ka9h4chfr8.cloudfront.net/image/725136000567/image_um4pqo6adt1n71i214l4l25l50/-FJPG/236894-001_DET_5.jpg</t>
  </si>
  <si>
    <t>https://dd3ka9h4chfr8.cloudfront.net/image/725136000567/image_vvjdh2gtn559ddrdp7vbp5750d/-FJPG/236894-001_DET_6.jpg</t>
  </si>
  <si>
    <t>https://dd3ka9h4chfr8.cloudfront.net/image/725136000567/image_9r18kes4rd3pbeftats9jjuj6n/-FJPG/236894-001_DET_7.jpg</t>
  </si>
  <si>
    <t>https://dd3ka9h4chfr8.cloudfront.net/image/725136000567/image_7makr3fd016jt91o0qgbpebu2q/-FJPG/236894-001_DET_8.jpg</t>
  </si>
  <si>
    <t>https://dd3ka9h4chfr8.cloudfront.net/image/725136000567/image_ku1s3eb2f541b6ai0qn0kpvp4j/-FJPG/236894-001_DET_9.tif</t>
  </si>
  <si>
    <t>https://dd3ka9h4chfr8.cloudfront.net/image/725136000567/image_0k61dd5b1d6c1d95ho65mj0e5q/-FJPG/236894-001_DET_9.jpg</t>
  </si>
  <si>
    <t>https://dd3ka9h4chfr8.cloudfront.net/image/725136000567/image_4bpf3857n12814ihkgmuklhd3g/-FJPG/236894-001_DET_10.tif</t>
  </si>
  <si>
    <t>https://dd3ka9h4chfr8.cloudfront.net/image/725136000567/image_tt4glccnll1g31o8hbfm2fbr52/-FJPG/236894-001_ESS.tif</t>
  </si>
  <si>
    <t>Marlow Mod Pedestal Table - Ash Glass</t>
  </si>
  <si>
    <t>https://dd3ka9h4chfr8.cloudfront.net/image/725136000567/image_pjg6518s456rnamsoum123bp2s/-S150x150-FJPG/IMAR-48_PRM_1.jpg</t>
  </si>
  <si>
    <t>https://dd3ka9h4chfr8.cloudfront.net/image/725136000567/image_8h5oufv2u92630vk6d0gb4ji5c/-FJPG/IMAR-48_ESS_1.jpg</t>
  </si>
  <si>
    <t>https://dd3ka9h4chfr8.cloudfront.net/image/725136000567/image_5qva9fk1s52idc6s86mm37mu4a/-FJPG/IMAR-48_DET_2.jpg</t>
  </si>
  <si>
    <t>https://dd3ka9h4chfr8.cloudfront.net/image/725136000567/image_d47hg6h8u925j9ev47blhgoc0m/-FJPG/IMAR-48_DET_1.jpg</t>
  </si>
  <si>
    <t>https://dd3ka9h4chfr8.cloudfront.net/image/725136000567/image_6j3c4k3lc970173bfqnq5fdv6l/-FJPG/IMAR-48_DET_3.jpg</t>
  </si>
  <si>
    <t>https://dd3ka9h4chfr8.cloudfront.net/image/725136000567/image_q33efskh4p7rd8udailcufch19/-FJPG/IMAR-48_DET_4.jpg</t>
  </si>
  <si>
    <t>https://dd3ka9h4chfr8.cloudfront.net/image/725136000567/image_jf91psjmg90m5824hurblfr73a/-FJPG/IMAR-48_ROM_1.jpg</t>
  </si>
  <si>
    <t>https://dd3ka9h4chfr8.cloudfront.net/image/725136000567/image_snamo4u6at7nf17kgksrs9ht56/-S150x150-FJPG/IMAR-48A_PRM_1.jpg</t>
  </si>
  <si>
    <t>https://dd3ka9h4chfr8.cloudfront.net/image/725136000567/image_8g4gd61h1d3hh4d9rtdee1940s/-FJPG/IMAR-48A_DET_2.jpg</t>
  </si>
  <si>
    <t>https://dd3ka9h4chfr8.cloudfront.net/image/725136000567/image_2e55lt63cp0mr8vrqnujpucj32/-FJPG/IMAR-48A_DET_1.jpg</t>
  </si>
  <si>
    <t>https://dd3ka9h4chfr8.cloudfront.net/image/725136000567/image_jj1g0ct5j976b5eqf1jts8nc1r/-FJPG/IMAR-48A_DET_3.jpg</t>
  </si>
  <si>
    <t>https://dd3ka9h4chfr8.cloudfront.net/image/725136000567/image_lq9d8cbrj53hr0ah22631tu50r/-FJPG/IMAR-48A_DET_4.jpg</t>
  </si>
  <si>
    <t>https://dd3ka9h4chfr8.cloudfront.net/image/725136000567/image_3495qls19p0h7256n7uuf2fn11/-FJPG/IMAR-48A_DET_5.jpg</t>
  </si>
  <si>
    <t>https://dd3ka9h4chfr8.cloudfront.net/image/725136000567/image_djn0fpgmtp5anbbcsiiskilq4o/-FJPG/IMAR-48A_ROM_1.jpg</t>
  </si>
  <si>
    <t>https://dd3ka9h4chfr8.cloudfront.net/image/725136000567/image_gcsk08gr2h1mv5cjfqq880cb3p/-S150x150-FJPG/IMAR-48-BBS_PRM_1.jpg</t>
  </si>
  <si>
    <t>https://dd3ka9h4chfr8.cloudfront.net/image/725136000567/image_c8n1uia8s13kredevjk10o457r/-FJPG/IMAR-48-BBS_DET_2.jpg</t>
  </si>
  <si>
    <t>https://dd3ka9h4chfr8.cloudfront.net/image/725136000567/image_g81j42u1ut59b1p2g5nsmsou48/-FJPG/IMAR-48-BBS_DET_1.jpg</t>
  </si>
  <si>
    <t>https://dd3ka9h4chfr8.cloudfront.net/image/725136000567/image_urkvm12m5d78nfioip3ja9kq0f/-FJPG/IMAR-48-BBS_ROM_1.jpg</t>
  </si>
  <si>
    <t>https://dd3ka9h4chfr8.cloudfront.net/image/725136000567/image_vt8jt7peo912h4of050923lr37/-FJPG/IMAR-48-BBS_ROM_2.jpg</t>
  </si>
  <si>
    <t>https://dd3ka9h4chfr8.cloudfront.net/image/725136000567/image_c0t9ep0ij57mf1n0i4lls59h4g/-FJPG/IMAR-48-BBS_ROM_3.jpg</t>
  </si>
  <si>
    <t>https://dd3ka9h4chfr8.cloudfront.net/image/725136000567/image_klj4sjc7eh3319j0r4t119tq4t/-FJPG/IMAR-48-BBS_ROM_4.jpg</t>
  </si>
  <si>
    <t>Marquez Sleeper Chair - Alameda Snow</t>
  </si>
  <si>
    <t>88% Olefin</t>
  </si>
  <si>
    <t>11% Polyester (UV)</t>
  </si>
  <si>
    <t>1% Polyester</t>
  </si>
  <si>
    <t>https://dd3ka9h4chfr8.cloudfront.net/image/725136000567/image_aa7r5j7hnh591fr1idha7jsa2m/-S150x150-FJPG/246028-001_PRM_1.jpg</t>
  </si>
  <si>
    <t>https://dd3ka9h4chfr8.cloudfront.net/image/725136000567/image_aa7r5j7hnh591fr1idha7jsa2m/-FJPG/246028-001_PRM_1.jpg</t>
  </si>
  <si>
    <t>https://dd3ka9h4chfr8.cloudfront.net/image/725136000567/image_29g6tn6vhl0nd3b68acodt5t1k/-FJPG/246028-001_SID_1.jpg</t>
  </si>
  <si>
    <t>https://dd3ka9h4chfr8.cloudfront.net/image/725136000567/image_3ruv7ho5ll6sn629p22n3jrj4m/-FJPG/246028-001_ESS.tif</t>
  </si>
  <si>
    <t>https://dd3ka9h4chfr8.cloudfront.net/image/725136000567/image_01fcs5uc3h6bf7ncthj5lk0q39/-FJPG/246028-001_DET_2.jpg</t>
  </si>
  <si>
    <t>https://dd3ka9h4chfr8.cloudfront.net/image/725136000567/image_tsllr4qaq14u35inqvp933vb7c/-FJPG/246028-001_BCK_1.jpg</t>
  </si>
  <si>
    <t>https://dd3ka9h4chfr8.cloudfront.net/image/725136000567/image_mp5u7fp5od30f0p5jt9ke9fa4d/-FJPG/246028-001_DET_3.jpg</t>
  </si>
  <si>
    <t>https://dd3ka9h4chfr8.cloudfront.net/image/725136000567/image_qnini03kbp7arb2upb47gfod5d/-FJPG/246028-001_OPN_1.jpg</t>
  </si>
  <si>
    <t>https://dd3ka9h4chfr8.cloudfront.net/image/725136000567/image_0db8aar2nh33pfm2a9md7d855j/-FJPG/246028-001_DET_4.jpg</t>
  </si>
  <si>
    <t>https://dd3ka9h4chfr8.cloudfront.net/image/725136000567/image_kfjgknr3j13op9u8o9vb813e21/-FJPG/246028-001_DET_5.jpg</t>
  </si>
  <si>
    <t>https://dd3ka9h4chfr8.cloudfront.net/image/725136000567/image_e3kho06k7p35n0k49ol56jbg5n/-FJPG/246028-001_DET_6.jpg</t>
  </si>
  <si>
    <t>Marquez Sleeper Sofa-76" - Alameda Snow</t>
  </si>
  <si>
    <t>https://dd3ka9h4chfr8.cloudfront.net/image/725136000567/image_ait66q44852mpapos8p9ff6f2q/-S150x150-FJPG/246035-001_PRM_1.jpg</t>
  </si>
  <si>
    <t>https://dd3ka9h4chfr8.cloudfront.net/image/725136000567/image_ait66q44852mpapos8p9ff6f2q/-FJPG/246035-001_PRM_1.jpg</t>
  </si>
  <si>
    <t>https://dd3ka9h4chfr8.cloudfront.net/image/725136000567/image_rejjv0rfod4h57s6u0uckfdj4b/-FJPG/246035-001_SID_1.jpg</t>
  </si>
  <si>
    <t>https://dd3ka9h4chfr8.cloudfront.net/image/725136000567/image_bhlktcg08h37r670bkre0e3p3o/-FJPG/246035-001_ESS.tif</t>
  </si>
  <si>
    <t>https://dd3ka9h4chfr8.cloudfront.net/image/725136000567/image_n0s99h4a8l0fh6oghnrrvs7670/-FJPG/246035-001_DET_2.jpg</t>
  </si>
  <si>
    <t>https://dd3ka9h4chfr8.cloudfront.net/image/725136000567/image_em5q5c3lj56pjfeqb1b8m3kk79/-FJPG/246035-001_BCK_1.jpg</t>
  </si>
  <si>
    <t>https://dd3ka9h4chfr8.cloudfront.net/image/725136000567/image_vabbo5p60l6634i68nkbdhd06e/-FJPG/246035-001_DET_1.jpg</t>
  </si>
  <si>
    <t>https://dd3ka9h4chfr8.cloudfront.net/image/725136000567/image_7vo0o5irq50ptclhojdsmiha2v/-FJPG/246035-001_DET_3.jpg</t>
  </si>
  <si>
    <t>https://dd3ka9h4chfr8.cloudfront.net/image/725136000567/image_um2d9me6jl4qna65jhr3hqbj5t/-FJPG/246035-001_DET_4.jpg</t>
  </si>
  <si>
    <t>https://dd3ka9h4chfr8.cloudfront.net/image/725136000567/image_vklvhcamjt5qb5eq7s2bpg7367/-FJPG/246035-001_DET_5.jpg</t>
  </si>
  <si>
    <t>https://dd3ka9h4chfr8.cloudfront.net/image/725136000567/image_340qfvg1511t93nv2smjdibh7c/-FJPG/246035-001_DET_6.jpg</t>
  </si>
  <si>
    <t>https://dd3ka9h4chfr8.cloudfront.net/image/725136000567/image_gvqg0qd2d17jl7paa4irbpni58/-FJPG/246035-001_DET_7.jpg</t>
  </si>
  <si>
    <t>https://dd3ka9h4chfr8.cloudfront.net/image/725136000567/image_r19pr511l15p1crhh9hui7l85r/-FJPG/246035-001_DET_8.jpg</t>
  </si>
  <si>
    <t>https://dd3ka9h4chfr8.cloudfront.net/image/725136000567/image_upq4ilqidl0nd71f2hfhleti74/-FJPG/246035-001_DET_9.tif</t>
  </si>
  <si>
    <t>https://dd3ka9h4chfr8.cloudfront.net/image/725136000567/image_liv7ukf1f50ob3soi1t3cdrk4s/-FJPG/246035-001_DET_10.tif</t>
  </si>
  <si>
    <t>https://dd3ka9h4chfr8.cloudfront.net/image/725136000567/image_s4np2ve2kh6j7afi54okjr4s6l/-FJPG/246035-001_DET_12.jpg</t>
  </si>
  <si>
    <t>https://dd3ka9h4chfr8.cloudfront.net/image/725136000567/image_ltcbugv2pp559175f4pcklge1d/-FJPG/246035-001_DET_13.jpg</t>
  </si>
  <si>
    <t>https://dd3ka9h4chfr8.cloudfront.net/image/725136000567/image_4jainj6tnt3dpfbupjldu6nr02/-FJPG/246035-001_DET_14.jpg</t>
  </si>
  <si>
    <t>https://dd3ka9h4chfr8.cloudfront.net/image/725136000567/image_k3tcpremg52onfjgk7kighq80u/-FJPG/246035-001_DET_15.jpg</t>
  </si>
  <si>
    <t>https://dd3ka9h4chfr8.cloudfront.net/image/725136000567/image_3aaoa96ab15el28bst9fug9q7m/-FJPG/246035-001_DET_16.jpg</t>
  </si>
  <si>
    <t>Martine Swivel Chair - Omari Natural</t>
  </si>
  <si>
    <t>79% Polyester</t>
  </si>
  <si>
    <t>16% Viscose (Rayon)</t>
  </si>
  <si>
    <t>https://dd3ka9h4chfr8.cloudfront.net/image/725136000567/image_s8cpftj8n57c729l071lqhp70m/-S150x150-FJPG/231641-001_PRM_1.jpg</t>
  </si>
  <si>
    <t>https://dd3ka9h4chfr8.cloudfront.net/image/725136000567/image_s8cpftj8n57c729l071lqhp70m/-FJPG/231641-001_PRM_1.jpg</t>
  </si>
  <si>
    <t>https://dd3ka9h4chfr8.cloudfront.net/image/725136000567/image_m17t949lld5252u3mfk0qh7g0s/-FJPG/231641-001_SID_1.jpg</t>
  </si>
  <si>
    <t>https://dd3ka9h4chfr8.cloudfront.net/image/725136000567/image_icnht21ncp025beeke48kl7r1g/-FJPG/231641-001_ESS_1.jpg</t>
  </si>
  <si>
    <t>https://dd3ka9h4chfr8.cloudfront.net/image/725136000567/image_jpl95ahtot2ff8ndo4u98bf177/-FJPG/231641-001_DET_2.jpg</t>
  </si>
  <si>
    <t>https://dd3ka9h4chfr8.cloudfront.net/image/725136000567/image_4cj3lobvjd3credfqsmgq8ua2c/-FJPG/231641-001_BCK_1.jpg</t>
  </si>
  <si>
    <t>https://dd3ka9h4chfr8.cloudfront.net/image/725136000567/image_c6l9palh1l4pveudualkuluh33/-FJPG/231641-001_DET_1.jpg</t>
  </si>
  <si>
    <t>https://dd3ka9h4chfr8.cloudfront.net/image/725136000567/image_8nf1aft16h12l42qsjls2b4n27/-FJPG/231641-001_DET_3.jpg</t>
  </si>
  <si>
    <t>https://dd3ka9h4chfr8.cloudfront.net/image/725136000567/image_a1oie7rqjp14ra8joiep2oee20/-FJPG/231641-001_DET_4.jpg</t>
  </si>
  <si>
    <t>https://dd3ka9h4chfr8.cloudfront.net/image/725136000567/image_lnr501vnbt2q3a6a32lnt1th4v/-FJPG/231641-001_DET_5.jpg</t>
  </si>
  <si>
    <t>Matheus Coffee Table - Natural Reclaimed French Oak</t>
  </si>
  <si>
    <t>https://dd3ka9h4chfr8.cloudfront.net/image/725136000567/image_op94q9hpkd03vduija6ktoii6o/-S150x150-FJPG/242135-001_PRM_1.jpg</t>
  </si>
  <si>
    <t>https://dd3ka9h4chfr8.cloudfront.net/image/725136000567/image_op94q9hpkd03vduija6ktoii6o/-FJPG/242135-001_PRM_1.jpg</t>
  </si>
  <si>
    <t>https://dd3ka9h4chfr8.cloudfront.net/image/725136000567/image_nl08qkv96h22d05fn60ae51p1c/-FJPG/242135-001_SID_1.jpg</t>
  </si>
  <si>
    <t>https://dd3ka9h4chfr8.cloudfront.net/image/725136000567/image_pcd55033dd5sf3aeeib6a2o05i/-FJPG/242135-001_ESS_1.tif</t>
  </si>
  <si>
    <t>https://dd3ka9h4chfr8.cloudfront.net/image/725136000567/image_bi1gkijg153ud42plc8ut9of23/-FJPG/242135-001_DET_2.jpg</t>
  </si>
  <si>
    <t>https://dd3ka9h4chfr8.cloudfront.net/image/725136000567/image_akjoqe3i2t6cr6hpfeqmkdko2s/-FJPG/242135-001_DET_1.jpg</t>
  </si>
  <si>
    <t>https://dd3ka9h4chfr8.cloudfront.net/image/725136000567/image_s5k4lj030p6hvf41qhnat2u84n/-FJPG/242135-001_DET_3.jpg</t>
  </si>
  <si>
    <t>https://dd3ka9h4chfr8.cloudfront.net/image/725136000567/image_hjss54sqld7dn3jjhck57bo25j/-FJPG/242135-001_DET_4.jpg</t>
  </si>
  <si>
    <t>https://dd3ka9h4chfr8.cloudfront.net/image/725136000567/image_qu9g93anbh1uvf3rjamoh3912q/-FJPG/242135-001_DET_6.jpg</t>
  </si>
  <si>
    <t>https://dd3ka9h4chfr8.cloudfront.net/image/725136000567/image_584fp4equd7pb94c0geuhjkd0p/-FJPG/242135-001_DET_7.jpg</t>
  </si>
  <si>
    <t>https://dd3ka9h4chfr8.cloudfront.net/image/725136000567/image_q26iuo1us53ej8koumuvkiiv7s/-FJPG/FHMPRJ-008_SCENE_1.tif</t>
  </si>
  <si>
    <t>Matheus End Table - Natural Reclaimed French Oak</t>
  </si>
  <si>
    <t>https://dd3ka9h4chfr8.cloudfront.net/image/725136000567/image_h0iqombubd6238vnnjq5pshc34/-S150x150-FJPG/242137-003_PRM_1.jpg</t>
  </si>
  <si>
    <t>https://dd3ka9h4chfr8.cloudfront.net/image/725136000567/image_h0iqombubd6238vnnjq5pshc34/-FJPG/242137-003_PRM_1.jpg</t>
  </si>
  <si>
    <t>https://dd3ka9h4chfr8.cloudfront.net/image/725136000567/image_7intqpterd48b8uehuileiap4v/-FJPG/242137-003_SID_1.jpg</t>
  </si>
  <si>
    <t>https://dd3ka9h4chfr8.cloudfront.net/image/725136000567/image_lao4cac7j90r17svq3cbp8ph6q/-FJPG/242137-003_DET_2.jpg</t>
  </si>
  <si>
    <t>https://dd3ka9h4chfr8.cloudfront.net/image/725136000567/image_0b6rhm93np5i56bjfg3ptp3m4s/-FJPG/242137-003_DET_1.jpg</t>
  </si>
  <si>
    <t>https://dd3ka9h4chfr8.cloudfront.net/image/725136000567/image_v3g9dt98s10pn6892helonsq7o/-FJPG/242137-003_DET_3.jpg</t>
  </si>
  <si>
    <t>https://dd3ka9h4chfr8.cloudfront.net/image/725136000567/image_vbsivtfb4l6b36ci1p30v4ap71/-FJPG/242137-003_TOP_1.jpg</t>
  </si>
  <si>
    <t>https://dd3ka9h4chfr8.cloudfront.net/image/725136000567/image_j6vmfkppq543p3lbcudj9u714u/-FJPG/242137-003_DET_4.jpg</t>
  </si>
  <si>
    <t>https://dd3ka9h4chfr8.cloudfront.net/image/725136000567/image_h8taqm8an936n3cs49i5q52i2m/-FJPG/242137-003_DET_5.jpg</t>
  </si>
  <si>
    <t>https://dd3ka9h4chfr8.cloudfront.net/image/725136000567/image_6903g9s9gd23l7v97t64lup302/-FJPG/242137-003_DET_6.jpg</t>
  </si>
  <si>
    <t>https://dd3ka9h4chfr8.cloudfront.net/image/725136000567/image_5nh4o89u6d4sbehj6lpqonr960/-FJPG/242137-003_DET_7.jpg</t>
  </si>
  <si>
    <t>Matthes Console Table - 79" - Rustic Grey Veneer</t>
  </si>
  <si>
    <t>https://dd3ka9h4chfr8.cloudfront.net/image/725136000567/image_3qbkccrqbh4v526hqpv3lruq4r/-S150x150-FJPG/107936-010_PRM_1.jpg</t>
  </si>
  <si>
    <t>https://dd3ka9h4chfr8.cloudfront.net/image/725136000567/image_3qbkccrqbh4v526hqpv3lruq4r/-FJPG/107936-010_PRM_1.jpg</t>
  </si>
  <si>
    <t>https://dd3ka9h4chfr8.cloudfront.net/image/725136000567/image_lhtcapg18l58jfr98egh8d0h2q/-FJPG/107936-010_SID_1.jpg</t>
  </si>
  <si>
    <t>https://dd3ka9h4chfr8.cloudfront.net/image/725136000567/image_jlcqm8p72h4i98ij2cimmj0f1e/-FJPG/107936-010_ESS.tif</t>
  </si>
  <si>
    <t>https://dd3ka9h4chfr8.cloudfront.net/image/725136000567/image_khntiava696h7c424n5hl9cs2c/-FJPG/107936-010_DET_2.jpg</t>
  </si>
  <si>
    <t>https://dd3ka9h4chfr8.cloudfront.net/image/725136000567/image_5g66odrk510hl5j68ad2f15d6e/-FJPG/107936-010_DET_1.jpg</t>
  </si>
  <si>
    <t>https://dd3ka9h4chfr8.cloudfront.net/image/725136000567/image_j0f0vamdfp1pvfubn9q0rftm1d/-FJPG/107936-010_DET_3.jpg</t>
  </si>
  <si>
    <t>https://dd3ka9h4chfr8.cloudfront.net/image/725136000567/image_j4jm2e7o6h5npe2b7ofjfflk5v/-FJPG/107936-010_DET_4.jpg</t>
  </si>
  <si>
    <t>https://dd3ka9h4chfr8.cloudfront.net/image/725136000567/image_jolct83b8l3iv076lcvjneth5e/-FJPG/107936-010_DET_5.jpg</t>
  </si>
  <si>
    <t>https://dd3ka9h4chfr8.cloudfront.net/image/725136000567/image_9hh5612iu54sddinc1dfncdd5f/-FJPG/107936-010_DET_6.jpg</t>
  </si>
  <si>
    <t>https://dd3ka9h4chfr8.cloudfront.net/image/725136000567/image_qq6r5an4u1553dr4parhos2505/-FJPG/107936-010_DET_7.jpg</t>
  </si>
  <si>
    <t>https://dd3ka9h4chfr8.cloudfront.net/image/725136000567/image_4f1kfh8lih7u3a0tpq12012c4n/-FJPG/107936-010_DET_8.jpg</t>
  </si>
  <si>
    <t>https://dd3ka9h4chfr8.cloudfront.net/image/725136000567/image_uopir5m4595a7diprh69ap565q/-FJPG/107936-010_DET_9.tif</t>
  </si>
  <si>
    <t>https://dd3ka9h4chfr8.cloudfront.net/image/725136000567/image_7hkgrjvum17dn6fqtmtsu7376r/-FJPG/107936-010_DET_9.jpg</t>
  </si>
  <si>
    <t>https://dd3ka9h4chfr8.cloudfront.net/image/725136000567/image_b7nbj48nqt0q73gsgn3o7d4t7p/-FJPG/107936-010_DET_10.tif</t>
  </si>
  <si>
    <t>Matthes Console Table - 79" - Smoked Black Veneer</t>
  </si>
  <si>
    <t>https://dd3ka9h4chfr8.cloudfront.net/image/725136000567/image_4ugjqt32c15mh39kruosikd20b/-S150x150-FJPG/107936-011_PRM_1.jpg</t>
  </si>
  <si>
    <t>https://dd3ka9h4chfr8.cloudfront.net/image/725136000567/image_4ugjqt32c15mh39kruosikd20b/-FJPG/107936-011_PRM_1.jpg</t>
  </si>
  <si>
    <t>https://dd3ka9h4chfr8.cloudfront.net/image/725136000567/image_5rfsvdp18d2pn4cuect8vn0l1e/-FJPG/107936-011_SID_1.jpg</t>
  </si>
  <si>
    <t>https://dd3ka9h4chfr8.cloudfront.net/image/725136000567/image_3u9ek32ird3l1foiq6hlkkq651/-FJPG/107936-011_ESS.tif</t>
  </si>
  <si>
    <t>https://dd3ka9h4chfr8.cloudfront.net/image/725136000567/image_3miko79k2p6hhfj1v0khagur5d/-FJPG/247427-005_DET_2.jpg</t>
  </si>
  <si>
    <t>https://dd3ka9h4chfr8.cloudfront.net/image/725136000567/image_iqb784mj0t6n12tulu92hoqm0f/-FJPG/107936-011_DET_2.jpg</t>
  </si>
  <si>
    <t>https://dd3ka9h4chfr8.cloudfront.net/image/725136000567/image_5hlh37ke4t5sv9mkil7rrp0u4f/-FJPG/107936-011_DET_1.jpg</t>
  </si>
  <si>
    <t>https://dd3ka9h4chfr8.cloudfront.net/image/725136000567/image_htmrgat33h7090m5nfjssn840o/-FJPG/107936-011_DET_3.jpg</t>
  </si>
  <si>
    <t>https://dd3ka9h4chfr8.cloudfront.net/image/725136000567/image_o9e5k113jd4tjfruqv0b5i6r65/-FJPG/107936-011_DET_4.jpg</t>
  </si>
  <si>
    <t>https://dd3ka9h4chfr8.cloudfront.net/image/725136000567/image_qno4k5scs12bf4avgokm69kq5k/-FJPG/107936-011_DET_5.jpg</t>
  </si>
  <si>
    <t>https://dd3ka9h4chfr8.cloudfront.net/image/725136000567/image_221fbkor097u5enqhesa1isf46/-FJPG/107936-011_DET_6.jpg</t>
  </si>
  <si>
    <t>https://dd3ka9h4chfr8.cloudfront.net/image/725136000567/image_0c3sbv7akh2edf6u1c76rqod4o/-FJPG/107936-011_DET_7.jpg</t>
  </si>
  <si>
    <t>https://dd3ka9h4chfr8.cloudfront.net/image/725136000567/image_dpt8lc8d1p0p58ffkmtqijok01/-FJPG/107936-011_DET_8.jpg</t>
  </si>
  <si>
    <t>https://dd3ka9h4chfr8.cloudfront.net/image/725136000567/image_8miqeod10p31f66vgt178u9p67/-FJPG/107936-011_DET_9.tif</t>
  </si>
  <si>
    <t>https://dd3ka9h4chfr8.cloudfront.net/image/725136000567/image_oa3tfjfqq15q97lg4frtiqqn5v/-FJPG/107936-011_DET_10.tif</t>
  </si>
  <si>
    <t>Matthes Console Table - 79" - Worn Oak Veneer</t>
  </si>
  <si>
    <t>https://dd3ka9h4chfr8.cloudfront.net/image/725136000567/image_01iuldvr9110r1bn5mk8iofp3l/-S150x150-FJPG/107936-012_PRM_1.jpg</t>
  </si>
  <si>
    <t>https://dd3ka9h4chfr8.cloudfront.net/image/725136000567/image_01iuldvr9110r1bn5mk8iofp3l/-FJPG/107936-012_PRM_1.jpg</t>
  </si>
  <si>
    <t>https://dd3ka9h4chfr8.cloudfront.net/image/725136000567/image_8lvq1cj4g52837gbpa9t3om370/-FJPG/107936-012_DET_2.jpg</t>
  </si>
  <si>
    <t>https://dd3ka9h4chfr8.cloudfront.net/image/725136000567/image_tkoc8g3l5p33l587i56ek88b3p/-FJPG/107936-012_DET_1.jpg</t>
  </si>
  <si>
    <t>https://dd3ka9h4chfr8.cloudfront.net/image/725136000567/image_9848pu3mm914v9u4ttlqvjdi5r/-FJPG/107936-012_DET_3.jpg</t>
  </si>
  <si>
    <t>https://dd3ka9h4chfr8.cloudfront.net/image/725136000567/image_vo3829m4ol485a5pimefqvcj1m/-FJPG/107936-012_DET_4.jpg</t>
  </si>
  <si>
    <t>https://dd3ka9h4chfr8.cloudfront.net/image/725136000567/image_l7jq1lg2el04r1tgcsuakihs26/-FJPG/107936-012_DET_5.jpg</t>
  </si>
  <si>
    <t>Maxx Sofa - Destroyed Black</t>
  </si>
  <si>
    <t>https://dd3ka9h4chfr8.cloudfront.net/image/725136000567/image_a270vbc5m13r1d3qrdihmbfq05/-S150x150-FJPG/CKEN-K3Z-928_PRM_1.jpg</t>
  </si>
  <si>
    <t>https://dd3ka9h4chfr8.cloudfront.net/image/725136000567/image_a270vbc5m13r1d3qrdihmbfq05/-FJPG/CKEN-K3Z-928_PRM_1.jpg</t>
  </si>
  <si>
    <t>https://dd3ka9h4chfr8.cloudfront.net/image/725136000567/image_f372dhu33119fcb1vq4tkui54b/-FJPG/CKEN-K3Z-928_SID_1.jpg</t>
  </si>
  <si>
    <t>https://dd3ka9h4chfr8.cloudfront.net/image/725136000567/image_77suf03b1p00t8va6rd0o09152/-FJPG/CKEN-K3Z-928_ESS_1.jpg</t>
  </si>
  <si>
    <t>https://dd3ka9h4chfr8.cloudfront.net/image/725136000567/image_f7igbng3712cjdg93kg0l5522n/-FJPG/CKEN-K3Z-928_DET_2.jpg</t>
  </si>
  <si>
    <t>https://dd3ka9h4chfr8.cloudfront.net/image/725136000567/image_e17va5bpmd76r4kpg5a7e1ka3a/-FJPG/CKEN-K3Z-928_BCK_1.jpg</t>
  </si>
  <si>
    <t>https://dd3ka9h4chfr8.cloudfront.net/image/725136000567/image_0dlk48njp91m77gkp4mu5abf06/-FJPG/Color Variance Card_Destroyed Black Leather.jpg</t>
  </si>
  <si>
    <t>https://dd3ka9h4chfr8.cloudfront.net/image/725136000567/image_oj12l0snl92836qnloqv1mte3n/-FJPG/CKEN-K3Z-928_DET_3.jpg</t>
  </si>
  <si>
    <t>https://dd3ka9h4chfr8.cloudfront.net/image/725136000567/image_58f8m3u37h321acnsj5k6rt60k/-FJPG/CKEN-K3Z-928_DET_4.jpg</t>
  </si>
  <si>
    <t>https://dd3ka9h4chfr8.cloudfront.net/image/725136000567/image_nf8r1chmcl5sh4kjoi5uqq5m4t/-FJPG/CKEN-K3Z-928_DET_5.jpg</t>
  </si>
  <si>
    <t>https://dd3ka9h4chfr8.cloudfront.net/image/725136000567/image_9e69n06j3d4qh3qfkg0c4pa42t/-FJPG/CKEN-K3Z-928_DET_6.jpg</t>
  </si>
  <si>
    <t>https://dd3ka9h4chfr8.cloudfront.net/image/725136000567/image_4qt704qlal74n5lmj6eh3dp869/-FJPG/CKEN-K3Z-928_DET_7.jpg</t>
  </si>
  <si>
    <t>https://dd3ka9h4chfr8.cloudfront.net/image/725136000567/image_tlkav9v5ip2n59n18b35s54c5q/-FJPG/CKEN-K3Z-928_DET_8.jpg</t>
  </si>
  <si>
    <t>https://dd3ka9h4chfr8.cloudfront.net/image/725136000567/image_4qq1puvpap37t59h1ejbnq5p3j/-FJPG/CKEN-K3Z-928_DET_9.jpg</t>
  </si>
  <si>
    <t>https://dd3ka9h4chfr8.cloudfront.net/image/725136000567/image_9gnbsaqpbl0hd1prkhgut84o7b/-FJPG/CKEN-K3Z-928_DET_10.jpg</t>
  </si>
  <si>
    <t>https://dd3ka9h4chfr8.cloudfront.net/image/725136000567/image_1usk04i94l5n1bnecpr0jnun0u/-FJPG/CKEN-K3Z-928_DET_11.jpg</t>
  </si>
  <si>
    <t>https://dd3ka9h4chfr8.cloudfront.net/image/725136000567/image_uuide5tp7l2v3bb9tf3gu2am70/-FJPG/CKEN-K3Z-928_DET_12.jpg</t>
  </si>
  <si>
    <t>https://dd3ka9h4chfr8.cloudfront.net/image/725136000567/image_2si3qt09fp5p78rak948rd5o16/-FJPG/CKEN-K3Z-928_ESS_2.jpg</t>
  </si>
  <si>
    <t>https://dd3ka9h4chfr8.cloudfront.net/image/725136000567/image_ao18p2nbeh7j540gedrp2d0h4h/-FJPG/CKEN-K3Z-928_PRM_1.jpg</t>
  </si>
  <si>
    <t>https://dd3ka9h4chfr8.cloudfront.net/image/725136000567/image_aicoh0nib50cp8ai0nmau6js13/-FJPG/CKEN-K3Z-928_PRM_3.jpg</t>
  </si>
  <si>
    <t>https://dd3ka9h4chfr8.cloudfront.net/image/725136000567/image_ca1d0q0s9p3hld77ujppcvr10b/-FJPG/CKEN-K3Z-928_PRM_4.jpg</t>
  </si>
  <si>
    <t>Maxx Sofa - Heirloom Black</t>
  </si>
  <si>
    <t>https://dd3ka9h4chfr8.cloudfront.net/image/725136000567/image_96ihgbj6hp3qt16g0vkh963l5c/-S150x150-FJPG/106190-013_PRM_1.JPG</t>
  </si>
  <si>
    <t>https://dd3ka9h4chfr8.cloudfront.net/image/725136000567/image_96ihgbj6hp3qt16g0vkh963l5c/-FJPG/106190-013_PRM_1.JPG</t>
  </si>
  <si>
    <t>https://dd3ka9h4chfr8.cloudfront.net/image/725136000567/image_3mobclo3op00td50rjmnk1th52/-FJPG/106190-013_SID_1.JPG</t>
  </si>
  <si>
    <t>https://dd3ka9h4chfr8.cloudfront.net/image/725136000567/image_u4k1h73rh56fnd8hrigpitt26r/-FJPG/106190-013_ESS_1.jpg</t>
  </si>
  <si>
    <t>https://dd3ka9h4chfr8.cloudfront.net/image/725136000567/image_mt66ja79vp6r38ou87fohttl5o/-FJPG/106190-013_DET_2.JPG</t>
  </si>
  <si>
    <t>https://dd3ka9h4chfr8.cloudfront.net/image/725136000567/image_285kmnpkth5c12tc7rclscri7h/-FJPG/106190-013_BCK_1.JPG</t>
  </si>
  <si>
    <t>https://dd3ka9h4chfr8.cloudfront.net/image/725136000567/image_j6ivkrkopp4pvbrh81vh4v7038/-FJPG/106190-013_DET_1.JPG</t>
  </si>
  <si>
    <t>https://dd3ka9h4chfr8.cloudfront.net/image/725136000567/image_3l97lijdfd79p2rq16agropo5k/-FJPG/106190-013_DET_3.JPG</t>
  </si>
  <si>
    <t>https://dd3ka9h4chfr8.cloudfront.net/image/725136000567/image_jv7bnjsj256av587l48eljlf3r/-FJPG/106190-013_DET_4.JPG</t>
  </si>
  <si>
    <t>https://dd3ka9h4chfr8.cloudfront.net/image/725136000567/image_gkuqsaljh55id0bukvbbntv64e/-FJPG/106190-013_DET_5.JPG</t>
  </si>
  <si>
    <t>https://dd3ka9h4chfr8.cloudfront.net/image/725136000567/image_vfibsdolsd4ir6d6c9k5vilf64/-FJPG/106190-013_DET_6.JPG</t>
  </si>
  <si>
    <t>https://dd3ka9h4chfr8.cloudfront.net/image/725136000567/image_o11ucrus997f3ag409na0g6m13/-FJPG/106190-013_PRM_2.JPG</t>
  </si>
  <si>
    <t>https://dd3ka9h4chfr8.cloudfront.net/image/725136000567/image_01ov5has654rr61bprn709rk7h/-S150x150-FJPG/109492-002_PRM_1.JPG</t>
  </si>
  <si>
    <t>https://dd3ka9h4chfr8.cloudfront.net/image/725136000567/image_01ov5has654rr61bprn709rk7h/-FJPG/109492-002_PRM_1.JPG</t>
  </si>
  <si>
    <t>https://dd3ka9h4chfr8.cloudfront.net/image/725136000567/image_0bvurf6pfl1rt4f5b047hpl36m/-FJPG/109492-002_SID_1.JPG</t>
  </si>
  <si>
    <t>https://dd3ka9h4chfr8.cloudfront.net/image/725136000567/image_4mkutr046p15v4fi72vs5u8j73/-FJPG/109492-002_ESS_1.jpg</t>
  </si>
  <si>
    <t>https://dd3ka9h4chfr8.cloudfront.net/image/725136000567/image_kd9468ghf94rbdkpqpfkqc3h73/-FJPG/109492-002_DET_2.JPG</t>
  </si>
  <si>
    <t>https://dd3ka9h4chfr8.cloudfront.net/image/725136000567/image_e1ks14vanp31tcpnjijupl3i2b/-FJPG/109492-002_BCK_1.JPG</t>
  </si>
  <si>
    <t>https://dd3ka9h4chfr8.cloudfront.net/image/725136000567/image_apts8lp86t53f7f5nnqifkea78/-FJPG/109492-002_DET_1.JPG</t>
  </si>
  <si>
    <t>https://dd3ka9h4chfr8.cloudfront.net/image/725136000567/image_48tqt8h19l4cbb9i9a4q4tqh1r/-FJPG/109492-002_DET_3.JPG</t>
  </si>
  <si>
    <t>https://dd3ka9h4chfr8.cloudfront.net/image/725136000567/image_nee8lblg0108n58ntknkvlg87h/-FJPG/109492-002_DET_4.JPG</t>
  </si>
  <si>
    <t>https://dd3ka9h4chfr8.cloudfront.net/image/725136000567/image_isno3enol55k3fqslejfnd3311/-FJPG/109492-002_DET_5.JPG</t>
  </si>
  <si>
    <t>https://dd3ka9h4chfr8.cloudfront.net/image/725136000567/image_pm4k39s2d1753507o3kl5ju90g/-FJPG/109492-002_PRM_2.JPG</t>
  </si>
  <si>
    <t>Maxx Sofa - Heirloom Sienna</t>
  </si>
  <si>
    <t>https://dd3ka9h4chfr8.cloudfront.net/image/725136000567/image_6vftauf2rl4p9b2phtl11hgk0u/-S150x150-FJPG/106190-012_PRM_1.JPG</t>
  </si>
  <si>
    <t>https://dd3ka9h4chfr8.cloudfront.net/image/725136000567/image_6vftauf2rl4p9b2phtl11hgk0u/-FJPG/106190-012_PRM_1.JPG</t>
  </si>
  <si>
    <t>https://dd3ka9h4chfr8.cloudfront.net/image/725136000567/image_olvplel4jt6b15gbuj9elsl97e/-FJPG/106190-012_SID_1.JPG</t>
  </si>
  <si>
    <t>https://dd3ka9h4chfr8.cloudfront.net/image/725136000567/image_fkivnmrphd0fn7uje4lbitsf64/-FJPG/106190-012_ESS_1.jpg</t>
  </si>
  <si>
    <t>https://dd3ka9h4chfr8.cloudfront.net/image/725136000567/image_nb0t2effet71r7jtb4dm4qg14h/-FJPG/106190-012_DET_2.JPG</t>
  </si>
  <si>
    <t>https://dd3ka9h4chfr8.cloudfront.net/image/725136000567/image_4noa0nq67552t7daci20c8nd6p/-FJPG/106190-012_BCK_1.JPG</t>
  </si>
  <si>
    <t>https://dd3ka9h4chfr8.cloudfront.net/image/725136000567/image_n5bacm4qf54cde56kvnlig115j/-FJPG/106190-012_DET_1.JPG</t>
  </si>
  <si>
    <t>https://dd3ka9h4chfr8.cloudfront.net/image/725136000567/image_b99qn330jh1h1edhl6nh1ofv7t/-FJPG/106190-012_DET_3.JPG</t>
  </si>
  <si>
    <t>https://dd3ka9h4chfr8.cloudfront.net/image/725136000567/image_smv9v7eubl70ldev4sjaf9uk4b/-FJPG/106190-012_DET_4.JPG</t>
  </si>
  <si>
    <t>https://dd3ka9h4chfr8.cloudfront.net/image/725136000567/image_bggggtq16d029fe4bd42rf867q/-FJPG/106190-012_DET_5.JPG</t>
  </si>
  <si>
    <t>https://dd3ka9h4chfr8.cloudfront.net/image/725136000567/image_58i4pf8uo52bd2upoc51hi0i6i/-FJPG/106190-012_PRM_2.JPG</t>
  </si>
  <si>
    <t>https://dd3ka9h4chfr8.cloudfront.net/image/725136000567/image_uu0huhgf5t03t6mo786i8e3n5c/-S150x150-FJPG/109492-003_PRM_1.jpg</t>
  </si>
  <si>
    <t>https://dd3ka9h4chfr8.cloudfront.net/image/725136000567/image_uu0huhgf5t03t6mo786i8e3n5c/-FJPG/109492-003_PRM_1.jpg</t>
  </si>
  <si>
    <t>https://dd3ka9h4chfr8.cloudfront.net/image/725136000567/image_00n297clbd3u96kmvslfmv2k1c/-FJPG/109492-003_SID_1.jpg</t>
  </si>
  <si>
    <t>https://dd3ka9h4chfr8.cloudfront.net/image/725136000567/image_i9dfe517sp5ovag3226gp3r46s/-FJPG/109492-003_ESS_1.jpg</t>
  </si>
  <si>
    <t>https://dd3ka9h4chfr8.cloudfront.net/image/725136000567/image_qq0anoecmh17l20ma65psl6s7j/-FJPG/109492-003_DET_2.jpg</t>
  </si>
  <si>
    <t>https://dd3ka9h4chfr8.cloudfront.net/image/725136000567/image_l3c6invcuh2p7595n5s5btj40p/-FJPG/109492-003_BCK_1.jpg</t>
  </si>
  <si>
    <t>https://dd3ka9h4chfr8.cloudfront.net/image/725136000567/image_25bpq629n505t2g5r7bld8s83j/-FJPG/109492-003_DET_1.jpg</t>
  </si>
  <si>
    <t>https://dd3ka9h4chfr8.cloudfront.net/image/725136000567/image_kqcrs73kl97njdtjbrn65e6i01/-FJPG/109492-003_DET_3.jpg</t>
  </si>
  <si>
    <t>https://dd3ka9h4chfr8.cloudfront.net/image/725136000567/image_s33jkgdqk53t73u54h8ientk24/-FJPG/109492-003_DET_4.jpg</t>
  </si>
  <si>
    <t>https://dd3ka9h4chfr8.cloudfront.net/image/725136000567/image_n85ka4hegl4il4p6sme2safn6c/-FJPG/109492-003_DET_5.jpg</t>
  </si>
  <si>
    <t>Maxx Sofa - Sapphire Birch</t>
  </si>
  <si>
    <t>https://dd3ka9h4chfr8.cloudfront.net/image/725136000567/image_s398mtnur17b70ha66lt2bna6i/-S150x150-FJPG/CKEN-K3Z53-202_PRM_1.jpg</t>
  </si>
  <si>
    <t>https://dd3ka9h4chfr8.cloudfront.net/image/725136000567/image_s398mtnur17b70ha66lt2bna6i/-FJPG/CKEN-K3Z53-202_PRM_1.jpg</t>
  </si>
  <si>
    <t>https://dd3ka9h4chfr8.cloudfront.net/image/725136000567/image_u2jd5671jd1ntdvrrrogmdvl1p/-FJPG/CKEN-K3Z53-202_SID_1.jpg</t>
  </si>
  <si>
    <t>https://dd3ka9h4chfr8.cloudfront.net/image/725136000567/image_76l645jod17hj9r2s86l1mip5k/-FJPG/CKEN-K3Z53-202_ESS.tif</t>
  </si>
  <si>
    <t>https://dd3ka9h4chfr8.cloudfront.net/image/725136000567/image_qd5m280ru922p4gfp82b3k4b7f/-FJPG/CKEN-K3Z53-202_DET_2.jpg</t>
  </si>
  <si>
    <t>https://dd3ka9h4chfr8.cloudfront.net/image/725136000567/image_po9r434kk12o926kghs1si9501/-FJPG/CKEN-K3Z53-202_BCK_1.jpg</t>
  </si>
  <si>
    <t>https://dd3ka9h4chfr8.cloudfront.net/image/725136000567/image_lpacat4pip10j4m3errp514t7g/-FJPG/CKEN-K3Z53-202_DET_1.jpg</t>
  </si>
  <si>
    <t>https://dd3ka9h4chfr8.cloudfront.net/image/725136000567/image_tn5e3v56ol3un571nkmno58m72/-FJPG/CKEN-K3Z53-202_DET_3.jpg</t>
  </si>
  <si>
    <t>https://dd3ka9h4chfr8.cloudfront.net/image/725136000567/image_ltm57bou914ul0f1q2fjdp1961/-FJPG/CKEN-K3Z53-202_DET_4.jpg</t>
  </si>
  <si>
    <t>https://dd3ka9h4chfr8.cloudfront.net/image/725136000567/image_4vuds7jr2h4j72m8ov8eku2h7h/-FJPG/CKEN-K3Z53-202_DET_5.jpg</t>
  </si>
  <si>
    <t>https://dd3ka9h4chfr8.cloudfront.net/image/725136000567/image_emf16fpk8l6752f5vebc42l93o/-FJPG/CKEN-K3Z53-202_DET_6.jpg</t>
  </si>
  <si>
    <t>https://dd3ka9h4chfr8.cloudfront.net/image/725136000567/image_rvo0mooma50hvct8aluoc8fk00/-FJPG/CKEN-K3Z53-202_DET_7.jpg</t>
  </si>
  <si>
    <t>https://dd3ka9h4chfr8.cloudfront.net/image/725136000567/image_iq9sqes20h19hahc95keagpu1i/-FJPG/CKEN-K3Z53-202_DET_9.tif</t>
  </si>
  <si>
    <t>https://dd3ka9h4chfr8.cloudfront.net/image/725136000567/image_em2i7ddg616g786p4462pntf3m/-FJPG/CKEN-K3Z53-202_DET_10.jpg</t>
  </si>
  <si>
    <t>https://dd3ka9h4chfr8.cloudfront.net/image/725136000567/image_kn86oq2hbt67t4bre0p7mh6c2d/-FJPG/CKEN-K3Z53-202_ROM_1.jpg</t>
  </si>
  <si>
    <t>Maxx Sofa - Umber Grey</t>
  </si>
  <si>
    <t>https://dd3ka9h4chfr8.cloudfront.net/image/725136000567/image_7s9hdu23eh3298nm6q60h37c4r/-S150x150-FJPG/CKEN-K3Z53-061_PRM_1.jpg</t>
  </si>
  <si>
    <t>https://dd3ka9h4chfr8.cloudfront.net/image/725136000567/image_7s9hdu23eh3298nm6q60h37c4r/-FJPG/CKEN-K3Z53-061_PRM_1.jpg</t>
  </si>
  <si>
    <t>https://dd3ka9h4chfr8.cloudfront.net/image/725136000567/image_9mucg3attl0undiqmvg3o7tn3r/-FJPG/CKEN-K3Z53-061_SID_1.jpg</t>
  </si>
  <si>
    <t>https://dd3ka9h4chfr8.cloudfront.net/image/725136000567/image_p0ta8p4b9t1h58fce3d85v0g7i/-FJPG/CKEN-K3Z53-061_ESS_1.jpg</t>
  </si>
  <si>
    <t>https://dd3ka9h4chfr8.cloudfront.net/image/725136000567/image_672osmc8v10i3abno9tb3kr325/-FJPG/CKEN-K3Z53-061_DET_2.jpg</t>
  </si>
  <si>
    <t>https://dd3ka9h4chfr8.cloudfront.net/image/725136000567/image_4pjvlo2a9d1833lo3s9gqh4e06/-FJPG/CKEN-K3Z53-061_BCK_1.jpg</t>
  </si>
  <si>
    <t>https://dd3ka9h4chfr8.cloudfront.net/image/725136000567/image_9clu796j0t7frdn2pf2ik3g170/-FJPG/CKEN-K3Z53-061_DET_1.jpg</t>
  </si>
  <si>
    <t>https://dd3ka9h4chfr8.cloudfront.net/image/725136000567/image_6jsi2r110t53pc0da9avuamv08/-FJPG/CKEN-K3Z53-061_DET_3.jpg</t>
  </si>
  <si>
    <t>https://dd3ka9h4chfr8.cloudfront.net/image/725136000567/image_aprabr25653vr9o0pli3pqag5a/-FJPG/CKEN-K3Z53-061_DET_4.jpg</t>
  </si>
  <si>
    <t>https://dd3ka9h4chfr8.cloudfront.net/image/725136000567/image_9mq98pk8416lf225de5h37bo45/-FJPG/CKEN-K3Z53-061_DET_5.jpg</t>
  </si>
  <si>
    <t>https://dd3ka9h4chfr8.cloudfront.net/image/725136000567/image_2jfjee4nk14sbb0us1na7g791m/-FJPG/CKEN-K3Z53-061_DET_6.jpg</t>
  </si>
  <si>
    <t>Maxx Swivel Chair - Heirloom Black</t>
  </si>
  <si>
    <t>https://dd3ka9h4chfr8.cloudfront.net/image/725136000567/image_02koul8lld18he52858i9j163f/-S150x150-FJPG/106176-100_PRM_1.jpg</t>
  </si>
  <si>
    <t>https://dd3ka9h4chfr8.cloudfront.net/image/725136000567/image_02koul8lld18he52858i9j163f/-FJPG/106176-100_PRM_1.jpg</t>
  </si>
  <si>
    <t>https://dd3ka9h4chfr8.cloudfront.net/image/725136000567/image_flpobistvt54te1dlj9oser56k/-FJPG/106176-100_SID_1.jpg</t>
  </si>
  <si>
    <t>https://dd3ka9h4chfr8.cloudfront.net/image/725136000567/image_s8ls8sledp153dqcndml32au68/-FJPG/106176-100_ESS_1.jpg</t>
  </si>
  <si>
    <t>https://dd3ka9h4chfr8.cloudfront.net/image/725136000567/image_tqflhkcidp1uj49e4kdnmui24m/-FJPG/106176-100_DET_2.jpg</t>
  </si>
  <si>
    <t>https://dd3ka9h4chfr8.cloudfront.net/image/725136000567/image_hmsds6a41d4nt1o50obalcf56d/-FJPG/106176-100_BCK_1.jpg</t>
  </si>
  <si>
    <t>https://dd3ka9h4chfr8.cloudfront.net/image/725136000567/image_n8nj6dnep11qv523imbtk04g28/-FJPG/106176-100_DET_1.jpg</t>
  </si>
  <si>
    <t>https://dd3ka9h4chfr8.cloudfront.net/image/725136000567/image_olg6vo05ot10h23765h2m5hm1g/-FJPG/106176-100_DET_3.jpg</t>
  </si>
  <si>
    <t>https://dd3ka9h4chfr8.cloudfront.net/image/725136000567/image_qfv5frqhcd05vad729rg8m6i50/-FJPG/106176-100_DET_4.jpg</t>
  </si>
  <si>
    <t>https://dd3ka9h4chfr8.cloudfront.net/image/725136000567/image_q2leghcsrt21301ep90enc4l7i/-FJPG/106176-100_DET_5.jpg</t>
  </si>
  <si>
    <t>Maxx Swivel Chair - Heirloom Sienna</t>
  </si>
  <si>
    <t>https://dd3ka9h4chfr8.cloudfront.net/image/725136000567/image_nap54sr4b165bdvr329u6pbg40/-S150x150-FJPG/106176-098_PRM_1.JPG</t>
  </si>
  <si>
    <t>https://dd3ka9h4chfr8.cloudfront.net/image/725136000567/image_nap54sr4b165bdvr329u6pbg40/-FJPG/106176-098_PRM_1.JPG</t>
  </si>
  <si>
    <t>https://dd3ka9h4chfr8.cloudfront.net/image/725136000567/image_lh5mprmj8t5evf2orv3euls536/-FJPG/106176-098_SID_1.JPG</t>
  </si>
  <si>
    <t>https://dd3ka9h4chfr8.cloudfront.net/image/725136000567/image_9t0i2cn8qd2apdmih94ua1n81t/-FJPG/106176-098_ESS_1.jpg</t>
  </si>
  <si>
    <t>https://dd3ka9h4chfr8.cloudfront.net/image/725136000567/image_8q1tct7b0d22p227tp7qlgru0r/-FJPG/106176-098_DET_2.JPG</t>
  </si>
  <si>
    <t>https://dd3ka9h4chfr8.cloudfront.net/image/725136000567/image_4c5vc3fd6p5o1cf642g9v9ib7m/-FJPG/106176-098_BCK_1.JPG</t>
  </si>
  <si>
    <t>https://dd3ka9h4chfr8.cloudfront.net/image/725136000567/image_benfrb9a1h5l921k9n9be2ii40/-FJPG/106176-098_DET_1.JPG</t>
  </si>
  <si>
    <t>https://dd3ka9h4chfr8.cloudfront.net/image/725136000567/image_nc4lb8928h49t0gkashv8n6t04/-FJPG/106176-098_DET_3.JPG</t>
  </si>
  <si>
    <t>https://dd3ka9h4chfr8.cloudfront.net/image/725136000567/image_3itf53tjo534hfl6pt4lp4hp0d/-FJPG/106176-098_DET_4.JPG</t>
  </si>
  <si>
    <t>https://dd3ka9h4chfr8.cloudfront.net/image/725136000567/image_pohn1udhnd7ar8tiuejg4iqc39/-FJPG/106176-098_DET_5.JPG</t>
  </si>
  <si>
    <t>https://dd3ka9h4chfr8.cloudfront.net/image/725136000567/image_r2050lso453737k4f1l78pu97q/-FJPG/106176-098_ROM_1.jpg</t>
  </si>
  <si>
    <t>https://dd3ka9h4chfr8.cloudfront.net/image/725136000567/image_ql071lgqe91mna7ne86dparg6k/-FJPG/106176-098_PRM_2.JPG</t>
  </si>
  <si>
    <t>Maxx Swivel Chair - Sapphire Birch</t>
  </si>
  <si>
    <t>https://dd3ka9h4chfr8.cloudfront.net/image/725136000567/image_n7311a7nn52lta4marcslijl44/-S150x150-FJPG/CKEN-F4Z-202_PRM_1.jpg</t>
  </si>
  <si>
    <t>https://dd3ka9h4chfr8.cloudfront.net/image/725136000567/image_n7311a7nn52lta4marcslijl44/-FJPG/CKEN-F4Z-202_PRM_1.jpg</t>
  </si>
  <si>
    <t>https://dd3ka9h4chfr8.cloudfront.net/image/725136000567/image_5bvttfcitt7jr6857brpdq5a4g/-FJPG/CKEN-F4Z-202_SID_1.jpg</t>
  </si>
  <si>
    <t>https://dd3ka9h4chfr8.cloudfront.net/image/725136000567/image_r3a879ifkh1jp4g9qloon9jh2m/-FJPG/CKEN-F4Z-202_ESS.tif</t>
  </si>
  <si>
    <t>https://dd3ka9h4chfr8.cloudfront.net/image/725136000567/image_i9u2j634id21f26h54m2s9lt4a/-FJPG/CKEN-F4Z-202_DET_2.jpg</t>
  </si>
  <si>
    <t>https://dd3ka9h4chfr8.cloudfront.net/image/725136000567/image_crqs2v490d1bb0ne7bdn8ced2u/-FJPG/CKEN-F4Z-202_BCK_1.jpg</t>
  </si>
  <si>
    <t>https://dd3ka9h4chfr8.cloudfront.net/image/725136000567/image_opkfnvgrsp1u39o42d8dljd80q/-FJPG/CKEN-F4Z-202_DET_1.jpg</t>
  </si>
  <si>
    <t>https://dd3ka9h4chfr8.cloudfront.net/image/725136000567/image_qf0dlj61095vf68t0mmbg4cl40/-FJPG/CKEN-F4Z-202_DET_3.jpg</t>
  </si>
  <si>
    <t>https://dd3ka9h4chfr8.cloudfront.net/image/725136000567/image_hco57b7aj92lt1gs6ailitre2a/-FJPG/CKEN-F4Z-202_DET_4.jpg</t>
  </si>
  <si>
    <t>https://dd3ka9h4chfr8.cloudfront.net/image/725136000567/image_tpen0j92nt3l3fic055bbiog16/-FJPG/CKEN-F4Z-202_DET_5.jpg</t>
  </si>
  <si>
    <t>https://dd3ka9h4chfr8.cloudfront.net/image/725136000567/image_ndltcdpi250s52sohpdpdf0c13/-FJPG/CKEN-F4Z-202_DET_6.jpg</t>
  </si>
  <si>
    <t>https://dd3ka9h4chfr8.cloudfront.net/image/725136000567/image_52te6bgrl51qva99jv95kn0q1b/-FJPG/CKEN-F4Z-202_DET_7.jpg</t>
  </si>
  <si>
    <t>https://dd3ka9h4chfr8.cloudfront.net/image/725136000567/image_n58m2926ed3j58ufr56qlbqs2h/-FJPG/CKEN-F4Z-202_DET_8.jpg</t>
  </si>
  <si>
    <t>Maxx Swivel Chair - Umber Grey</t>
  </si>
  <si>
    <t>https://dd3ka9h4chfr8.cloudfront.net/image/725136000567/image_id4g3ldgld1kt1krsb3sk5d104/-S150x150-FJPG/CKEN-F4Z-061_PRM_1.jpg</t>
  </si>
  <si>
    <t>https://dd3ka9h4chfr8.cloudfront.net/image/725136000567/image_id4g3ldgld1kt1krsb3sk5d104/-FJPG/CKEN-F4Z-061_PRM_1.jpg</t>
  </si>
  <si>
    <t>https://dd3ka9h4chfr8.cloudfront.net/image/725136000567/image_8658pns15p6ef7fs94viofaq21/-FJPG/CKEN-F4Z-061_ESS_1.jpg</t>
  </si>
  <si>
    <t>https://dd3ka9h4chfr8.cloudfront.net/image/725136000567/image_lnorlk733t7rtfeoid02dupq1g/-FJPG/CKEN-F4Z-061_DET_2.jpg</t>
  </si>
  <si>
    <t>https://dd3ka9h4chfr8.cloudfront.net/image/725136000567/image_5d82tsim1p6undic30nfq2ob64/-FJPG/CKEN-F4Z-061_BCK_1.jpg</t>
  </si>
  <si>
    <t>https://dd3ka9h4chfr8.cloudfront.net/image/725136000567/image_1vla6sn9tl7on5j0bg9modii7u/-FJPG/CKEN-F4Z-061_DET_1.jpg</t>
  </si>
  <si>
    <t>https://dd3ka9h4chfr8.cloudfront.net/image/725136000567/image_4ok0svvom95kt3s68ros675v61/-FJPG/CKEN-F4Z-061_DET_3.jpg</t>
  </si>
  <si>
    <t>https://dd3ka9h4chfr8.cloudfront.net/image/725136000567/image_j6slo4jno97d53qqepm9sf3n4q/-FJPG/CKEN-F4Z-061_DET_4.jpg</t>
  </si>
  <si>
    <t>https://dd3ka9h4chfr8.cloudfront.net/image/725136000567/image_mbpq1ofk250abd2e4ufm320f45/-FJPG/CKEN-F4Z-061_DET_5.jpg</t>
  </si>
  <si>
    <t>https://dd3ka9h4chfr8.cloudfront.net/image/725136000567/image_sj2nrvlj09719e3qmclfngic59/-FJPG/CKEN-F4Z-061_DET_6.jpg</t>
  </si>
  <si>
    <t>https://dd3ka9h4chfr8.cloudfront.net/image/725136000567/image_4m4srvsgu163dbalqbascs2g3u/-FJPG/CKEN-F4Z-061_DET_7.jpg</t>
  </si>
  <si>
    <t>https://dd3ka9h4chfr8.cloudfront.net/image/725136000567/image_6k87ic7cv52iba13fjad06q83s/-FJPG/CKEN-F4Z-061_DET_8.jpg</t>
  </si>
  <si>
    <t>Meadow 5 Drawer Dresser - Tawny Oak Veneer</t>
  </si>
  <si>
    <t>https://dd3ka9h4chfr8.cloudfront.net/image/725136000567/image_os9r9qch352uv24rt3euh9j01k/-S150x150-FJPG/229566-003_PRM_1.jpg</t>
  </si>
  <si>
    <t>https://dd3ka9h4chfr8.cloudfront.net/image/725136000567/image_os9r9qch352uv24rt3euh9j01k/-FJPG/229566-003_PRM_1.jpg</t>
  </si>
  <si>
    <t>https://dd3ka9h4chfr8.cloudfront.net/image/725136000567/image_0d13k1c55d6dp6126md06l814p/-FJPG/229566-003_SID_1.jpg</t>
  </si>
  <si>
    <t>https://dd3ka9h4chfr8.cloudfront.net/image/725136000567/image_d82pu8ft4h5crea9acmnqq217e/-FJPG/229566-003_ESS_1.jpg</t>
  </si>
  <si>
    <t>https://dd3ka9h4chfr8.cloudfront.net/image/725136000567/image_oj99nr9u1h17lfa9598hv95m5c/-FJPG/229566-003_DET_2.jpg</t>
  </si>
  <si>
    <t>https://dd3ka9h4chfr8.cloudfront.net/image/725136000567/image_tdr2dosaeh57r70mj8uq3quo2e/-FJPG/229566-003_BCK_1.jpg</t>
  </si>
  <si>
    <t>https://dd3ka9h4chfr8.cloudfront.net/image/725136000567/image_5b2qfiats10711gosh93mska5r/-FJPG/229566-003_DET_1.jpg</t>
  </si>
  <si>
    <t>https://dd3ka9h4chfr8.cloudfront.net/image/725136000567/image_kvprc1kfkd44r3dm44jheqmm4j/-FJPG/229566-003_DET_3.jpg</t>
  </si>
  <si>
    <t>https://dd3ka9h4chfr8.cloudfront.net/image/725136000567/image_q9dbbrige57lr35mi3ts2ni66s/-FJPG/229566-003_OPN_1.jpg</t>
  </si>
  <si>
    <t>https://dd3ka9h4chfr8.cloudfront.net/image/725136000567/image_3rf2hsevgp4sf0u3o9tpsg2p3s/-FJPG/229566-003_DET_4.jpg</t>
  </si>
  <si>
    <t>https://dd3ka9h4chfr8.cloudfront.net/image/725136000567/image_jtmt37kohd1npeor395hpne619/-FJPG/229566-003_DET_5.jpg</t>
  </si>
  <si>
    <t>https://dd3ka9h4chfr8.cloudfront.net/image/725136000567/image_ji790ciboh0qp3cl5cb6frqs0q/-FJPG/229566-003_DET_6.jpg</t>
  </si>
  <si>
    <t>Meadow 6 Drawer Dresser - Tawny Oak Veneer</t>
  </si>
  <si>
    <t>https://dd3ka9h4chfr8.cloudfront.net/image/725136000567/image_7qm65a5ljl5g1732bf9282ao01/-S150x150-FJPG/229565-004_PRM_1.jpg</t>
  </si>
  <si>
    <t>https://dd3ka9h4chfr8.cloudfront.net/image/725136000567/image_7qm65a5ljl5g1732bf9282ao01/-FJPG/229565-004_PRM_1.jpg</t>
  </si>
  <si>
    <t>https://dd3ka9h4chfr8.cloudfront.net/image/725136000567/image_f3i66bqvo155p4hv3280lu9u45/-FJPG/229565-004_SID_1.jpg</t>
  </si>
  <si>
    <t>https://dd3ka9h4chfr8.cloudfront.net/image/725136000567/image_li9a3g2o5p1er5q9c9sbtlfa23/-FJPG/229565-004_ESS_1.jpg</t>
  </si>
  <si>
    <t>https://dd3ka9h4chfr8.cloudfront.net/image/725136000567/image_pg6ofbmve55m7f4fsf9s3uh02s/-FJPG/229565-004_DET_2.jpg</t>
  </si>
  <si>
    <t>https://dd3ka9h4chfr8.cloudfront.net/image/725136000567/image_v41mc85jqh4e543jiucp608i1f/-FJPG/229565-004_BCK_1.jpg</t>
  </si>
  <si>
    <t>https://dd3ka9h4chfr8.cloudfront.net/image/725136000567/image_l0sedb3kfp0p5c7uiefce13c6g/-FJPG/229565-004_DET_1.jpg</t>
  </si>
  <si>
    <t>https://dd3ka9h4chfr8.cloudfront.net/image/725136000567/image_p46ge4s8ut0oral4pv06hdiu6o/-FJPG/229565-004_DET_3.jpg</t>
  </si>
  <si>
    <t>https://dd3ka9h4chfr8.cloudfront.net/image/725136000567/image_1fs3pu38i51v17cma44k90u764/-FJPG/229565-004_OPN_1.jpg</t>
  </si>
  <si>
    <t>https://dd3ka9h4chfr8.cloudfront.net/image/725136000567/image_ab39f74mj92ihe7alhnnre744p/-FJPG/229565-004_DET_4.jpg</t>
  </si>
  <si>
    <t>https://dd3ka9h4chfr8.cloudfront.net/image/725136000567/image_5mj1t8i2fp10r2lcl5b2qj1t0c/-FJPG/229565-004_DET_5.jpg</t>
  </si>
  <si>
    <t>https://dd3ka9h4chfr8.cloudfront.net/image/725136000567/image_ohls8f26gh6nh2s5622uv2us56/-FJPG/229565-004_DET_6.jpg</t>
  </si>
  <si>
    <t>https://dd3ka9h4chfr8.cloudfront.net/image/725136000567/image_2vcsq4spph3pra5djpcnqign33/-FJPG/229565-004_DET_7.jpg</t>
  </si>
  <si>
    <t>https://dd3ka9h4chfr8.cloudfront.net/image/725136000567/image_9erslf8rrp3jd245k6bgi5r675/-FJPG/229565-004_DET_8.jpg</t>
  </si>
  <si>
    <t>https://dd3ka9h4chfr8.cloudfront.net/image/725136000567/image_o7d9gfg5gh01f5gf1mgprlp547/-FJPG/229565-004_DET_9.jpg</t>
  </si>
  <si>
    <t>https://dd3ka9h4chfr8.cloudfront.net/image/725136000567/image_m8urh4ujft29h801po802tse7o/-FJPG/229565-004_ESS_2.jpg</t>
  </si>
  <si>
    <t>https://dd3ka9h4chfr8.cloudfront.net/image/725136000567/image_du9pej8j8d1sba4qv0hsne2i2e/-FJPG/229565-004_ESS_3.jpg</t>
  </si>
  <si>
    <t>https://dd3ka9h4chfr8.cloudfront.net/image/725136000567/image_k6v204b9rh5el4ntqfcuc8t70c/-FJPG/229565-004_ESS_6.jpg</t>
  </si>
  <si>
    <t>https://dd3ka9h4chfr8.cloudfront.net/image/725136000567/image_192mibgkop5dl79ukkjmmpuo1g/-FJPG/229565-004_ESS_7.jpg</t>
  </si>
  <si>
    <t>https://dd3ka9h4chfr8.cloudfront.net/image/725136000567/image_ce6ia00sj56ina92rad5hci37g/-FJPG/229565-004_ESS_8.jpg</t>
  </si>
  <si>
    <t>https://dd3ka9h4chfr8.cloudfront.net/image/725136000567/image_mut28e0l5d3pnftq3rq7dvuu7l/-FJPG/229565-004_ESS_9.jpg</t>
  </si>
  <si>
    <t>https://dd3ka9h4chfr8.cloudfront.net/image/725136000567/image_qs2sdqm7311ah3mj8qa637vb1t/-FJPG/229565-004_ESS_10.jpg</t>
  </si>
  <si>
    <t>https://dd3ka9h4chfr8.cloudfront.net/image/725136000567/image_360hpb14ul7ot48kbsb5ol2p74/-FJPG/229565-004_ESS_11.jpg</t>
  </si>
  <si>
    <t>https://dd3ka9h4chfr8.cloudfront.net/image/725136000567/image_adtl62g7f55k3083ip3rdtst72/-FJPG/229565-004_ESS_12.jpg</t>
  </si>
  <si>
    <t>https://dd3ka9h4chfr8.cloudfront.net/image/725136000567/image_oj7u8kg8mt78h743mnpmn3ks4t/-FJPG/229565-004_ESS_13.jpg</t>
  </si>
  <si>
    <t>https://dd3ka9h4chfr8.cloudfront.net/image/725136000567/image_36o3msnljd2rvble475r2n7j51/-FJPG/229565-004_ESS_14.jpg</t>
  </si>
  <si>
    <t>Meadow Bed - Tawny Oak</t>
  </si>
  <si>
    <t>https://dd3ka9h4chfr8.cloudfront.net/image/725136000567/image_qgi5t884vd6il97vrrvu9ge015/-S150x150-FJPG/231710-008_PRM_1.jpg</t>
  </si>
  <si>
    <t>https://dd3ka9h4chfr8.cloudfront.net/image/725136000567/image_qgi5t884vd6il97vrrvu9ge015/-FJPG/231710-008_PRM_1.jpg</t>
  </si>
  <si>
    <t>https://dd3ka9h4chfr8.cloudfront.net/image/725136000567/image_egkk8s6fm90m5ctt6ufrc6go3m/-FJPG/231710-008_SID_1.jpg</t>
  </si>
  <si>
    <t>https://dd3ka9h4chfr8.cloudfront.net/image/725136000567/image_1j7t77j05t7a1aeb5p71hemc47/-FJPG/231710-008_DET_2.jpg</t>
  </si>
  <si>
    <t>https://dd3ka9h4chfr8.cloudfront.net/image/725136000567/image_8shjc3ouq95dve3fmfa8ed593a/-FJPG/231710-008_BCK_1.jpg</t>
  </si>
  <si>
    <t>https://dd3ka9h4chfr8.cloudfront.net/image/725136000567/image_5lo7dllff10kh2ssonljdtkk2j/-FJPG/231710-008_DET_1.jpg</t>
  </si>
  <si>
    <t>https://dd3ka9h4chfr8.cloudfront.net/image/725136000567/image_0jf7h7e4ch4m9bmd4vf7qjnc7b/-FJPG/231710-008_DET_3.jpg</t>
  </si>
  <si>
    <t>https://dd3ka9h4chfr8.cloudfront.net/image/725136000567/image_p606istgq51ffd5dcj3p7h766n/-FJPG/231710-008_DET_4.jpg</t>
  </si>
  <si>
    <t>https://dd3ka9h4chfr8.cloudfront.net/image/725136000567/image_73b5bpu9gh1m322k6629tssk13/-FJPG/231710-008_DET_5.jpg</t>
  </si>
  <si>
    <t>https://dd3ka9h4chfr8.cloudfront.net/image/725136000567/image_ioo71um7np2qf1h9q1prg3uh01/-FJPG/231710-008_DET_6.jpg</t>
  </si>
  <si>
    <t>https://dd3ka9h4chfr8.cloudfront.net/image/725136000567/image_tpshnfngid4up2hv5g3lmn8m3f/-FJPG/231710-008_DET_7.jpg</t>
  </si>
  <si>
    <t>https://dd3ka9h4chfr8.cloudfront.net/image/725136000567/image_0q7phm3g7h6ld5onurl1l4lc7t/-S150x150-FJPG/231710-009_PRM_1.jpg</t>
  </si>
  <si>
    <t>https://dd3ka9h4chfr8.cloudfront.net/image/725136000567/image_0q7phm3g7h6ld5onurl1l4lc7t/-FJPG/231710-009_PRM_1.jpg</t>
  </si>
  <si>
    <t>https://dd3ka9h4chfr8.cloudfront.net/image/725136000567/image_sdfphujlt5525clq6otprefk19/-FJPG/231710-009_SID_1.jpg</t>
  </si>
  <si>
    <t>https://dd3ka9h4chfr8.cloudfront.net/image/725136000567/image_h54srdadnl4rf6vu83v716nl2q/-FJPG/231710-009_DET_2.jpg</t>
  </si>
  <si>
    <t>https://dd3ka9h4chfr8.cloudfront.net/image/725136000567/image_7c4frhj3lp1bpcut7pioob7i2d/-FJPG/231710-009_BCK_1.jpg</t>
  </si>
  <si>
    <t>https://dd3ka9h4chfr8.cloudfront.net/image/725136000567/image_0g9s3vbmgd7ot48u24vd23nq42/-FJPG/231710-009_DET_1.jpg</t>
  </si>
  <si>
    <t>https://dd3ka9h4chfr8.cloudfront.net/image/725136000567/image_bg3n8evlut1u3642sn02ihhk36/-FJPG/231710-009_DET_3.jpg</t>
  </si>
  <si>
    <t>https://dd3ka9h4chfr8.cloudfront.net/image/725136000567/image_c2alj87pl948ddp83ospen3i3t/-FJPG/231710-009_DET_4.jpg</t>
  </si>
  <si>
    <t>https://dd3ka9h4chfr8.cloudfront.net/image/725136000567/image_964vs59oil7ppceo7foq00a37o/-FJPG/231710-009_DET_5.jpg</t>
  </si>
  <si>
    <t>https://dd3ka9h4chfr8.cloudfront.net/image/725136000567/image_v3sgnfrlct6o13s08hu9qj7o3f/-FJPG/231710-009_DET_6.jpg</t>
  </si>
  <si>
    <t>https://dd3ka9h4chfr8.cloudfront.net/image/725136000567/image_2ds2m54sc96bv9jcj6s2iqud3s/-FJPG/231710-009_DET_7.jpg</t>
  </si>
  <si>
    <t>Meadow Console Table - Tawny Oak Veneer</t>
  </si>
  <si>
    <t>https://dd3ka9h4chfr8.cloudfront.net/image/725136000567/image_q0bcdti61p3an18c6843tml332/-S150x150-FJPG/229646-003_PRM_1.jpg</t>
  </si>
  <si>
    <t>https://dd3ka9h4chfr8.cloudfront.net/image/725136000567/image_q0bcdti61p3an18c6843tml332/-FJPG/229646-003_PRM_1.jpg</t>
  </si>
  <si>
    <t>https://dd3ka9h4chfr8.cloudfront.net/image/725136000567/image_vbhln9r4kd1i9ckmj6a8t2mb2j/-FJPG/229646-003_SID_1.jpg</t>
  </si>
  <si>
    <t>https://dd3ka9h4chfr8.cloudfront.net/image/725136000567/image_gg151palpd7in8rq520kf5u77b/-FJPG/229646-003_ESS_1.jpg</t>
  </si>
  <si>
    <t>https://dd3ka9h4chfr8.cloudfront.net/image/725136000567/image_so4h54c5ad7mp3fh13t8bida1s/-FJPG/229646-003_DET_2.jpg</t>
  </si>
  <si>
    <t>https://dd3ka9h4chfr8.cloudfront.net/image/725136000567/image_83cddlcqsp4b9dlbe1eersqk3o/-FJPG/229646-003_BCK_1.jpg</t>
  </si>
  <si>
    <t>https://dd3ka9h4chfr8.cloudfront.net/image/725136000567/image_8uu81ft5k54pn7c0rerblhcl31/-FJPG/229646-003_DET_1.jpg</t>
  </si>
  <si>
    <t>https://dd3ka9h4chfr8.cloudfront.net/image/725136000567/image_3ms8vs76il3s1fn8m8qmtkqu1s/-FJPG/229646-003_DET_3.jpg</t>
  </si>
  <si>
    <t>https://dd3ka9h4chfr8.cloudfront.net/image/725136000567/image_sjt0pkng610bj86sgc4k3pio5b/-FJPG/229646-003_OPN_1.jpg</t>
  </si>
  <si>
    <t>https://dd3ka9h4chfr8.cloudfront.net/image/725136000567/image_k641bct8kd6ftc4d8b0uq2cb14/-FJPG/229646-003_DET_4.jpg</t>
  </si>
  <si>
    <t>https://dd3ka9h4chfr8.cloudfront.net/image/725136000567/image_h36j19fq857mp79njdk6r8gu3f/-FJPG/229646-003_DET_5.jpg</t>
  </si>
  <si>
    <t>Meadow Nightstand - Tawny Oak Veneer</t>
  </si>
  <si>
    <t>https://dd3ka9h4chfr8.cloudfront.net/image/725136000567/image_hb23kc62n51jhedfrijjd4pa5c/-S150x150-FJPG/229567-003_PRM_1.jpg</t>
  </si>
  <si>
    <t>https://dd3ka9h4chfr8.cloudfront.net/image/725136000567/image_hb23kc62n51jhedfrijjd4pa5c/-FJPG/229567-003_PRM_1.jpg</t>
  </si>
  <si>
    <t>https://dd3ka9h4chfr8.cloudfront.net/image/725136000567/image_r8ki93u2015rb516b6f6n45a2n/-FJPG/229567-003_SID_1.jpg</t>
  </si>
  <si>
    <t>https://dd3ka9h4chfr8.cloudfront.net/image/725136000567/image_a1ha1m3cgl4el3hrmreommf07v/-FJPG/229567-003_ESS_1.jpg</t>
  </si>
  <si>
    <t>https://dd3ka9h4chfr8.cloudfront.net/image/725136000567/image_3gl7cdf4dt1m3bns26t36er14g/-FJPG/229567-003_DET_2.jpg</t>
  </si>
  <si>
    <t>https://dd3ka9h4chfr8.cloudfront.net/image/725136000567/image_c9vhokdmap4dbad07rus9svc2q/-FJPG/229567-003_BCK_1.jpg</t>
  </si>
  <si>
    <t>https://dd3ka9h4chfr8.cloudfront.net/image/725136000567/image_nsavo5m1j55lr1qcpe8pgqiq3f/-FJPG/229567-003_DET_1.jpg</t>
  </si>
  <si>
    <t>https://dd3ka9h4chfr8.cloudfront.net/image/725136000567/image_mvnrjv84mh0mp948rn2mlt6s1a/-FJPG/229567-003_DET_3.jpg</t>
  </si>
  <si>
    <t>https://dd3ka9h4chfr8.cloudfront.net/image/725136000567/image_okbud87i4l0nj6q0fh1304ft5l/-FJPG/229567-003_OPN_1.jpg</t>
  </si>
  <si>
    <t>https://dd3ka9h4chfr8.cloudfront.net/image/725136000567/image_vs8l3npekl1jjakmei1di5jm3a/-FJPG/229567-003_DET_4.jpg</t>
  </si>
  <si>
    <t>https://dd3ka9h4chfr8.cloudfront.net/image/725136000567/image_ihqfuog6id05v4d7t9osst751t/-FJPG/229567-003_DET_5.jpg</t>
  </si>
  <si>
    <t>https://dd3ka9h4chfr8.cloudfront.net/image/725136000567/image_ga5dlafjdh0m31vsstjppqv57r/-FJPG/229567-003_DET_6.jpg</t>
  </si>
  <si>
    <t>Meadow Sideboard - Tawny Oak Veneer</t>
  </si>
  <si>
    <t>https://dd3ka9h4chfr8.cloudfront.net/image/725136000567/image_7d51j4t8v57d11nddbpuenui4i/-S150x150-FJPG/228733-004_PRM_1.jpg</t>
  </si>
  <si>
    <t>https://dd3ka9h4chfr8.cloudfront.net/image/725136000567/image_7d51j4t8v57d11nddbpuenui4i/-FJPG/228733-004_PRM_1.jpg</t>
  </si>
  <si>
    <t>https://dd3ka9h4chfr8.cloudfront.net/image/725136000567/image_smdtamkdap7nbccthbq05j3152/-FJPG/228733-004_SID_1.jpg</t>
  </si>
  <si>
    <t>https://dd3ka9h4chfr8.cloudfront.net/image/725136000567/image_i31odp7qed3d90cqi3r6irc164/-FJPG/228733-004_ESS_1.jpg</t>
  </si>
  <si>
    <t>https://dd3ka9h4chfr8.cloudfront.net/image/725136000567/image_l2smejj64h7392fdvqp8vhv02p/-FJPG/228733-004_DET_2.jpg</t>
  </si>
  <si>
    <t>https://dd3ka9h4chfr8.cloudfront.net/image/725136000567/image_ue2hrvvmch50l4onhnqgco4e5p/-FJPG/228733-004_BCK_1.jpg</t>
  </si>
  <si>
    <t>https://dd3ka9h4chfr8.cloudfront.net/image/725136000567/image_62vf4dbbgd7bt4ki95jkciua5u/-FJPG/228733-004_DET_1.jpg</t>
  </si>
  <si>
    <t>https://dd3ka9h4chfr8.cloudfront.net/image/725136000567/image_ndf71qohj53g728anrt74mml0n/-FJPG/228733-004_DET_3.jpg</t>
  </si>
  <si>
    <t>https://dd3ka9h4chfr8.cloudfront.net/image/725136000567/image_2vpbm7j01d5p7f5f4aq1r4iu4m/-FJPG/228733-004_OPN_1.jpg</t>
  </si>
  <si>
    <t>https://dd3ka9h4chfr8.cloudfront.net/image/725136000567/image_f7fcgo6mv13sd0b62k6qjnp414/-FJPG/228733-004_DET_4.jpg</t>
  </si>
  <si>
    <t>https://dd3ka9h4chfr8.cloudfront.net/image/725136000567/image_q7g2vuejgp67hdj9c054hkqh18/-FJPG/228733-004_DET_5.jpg</t>
  </si>
  <si>
    <t>https://dd3ka9h4chfr8.cloudfront.net/image/725136000567/image_mqv9oir2490ef2i8rar6q6sj40/-FJPG/228733-004_OPN_2.jpg</t>
  </si>
  <si>
    <t>Melle Sofa - Lipari Camel</t>
  </si>
  <si>
    <t>https://dd3ka9h4chfr8.cloudfront.net/image/725136000567/image_uk3qbt9hr12fhcr5lpha4cqi4a/-S150x150-FJPG/246744-003_PRM_1.jpg</t>
  </si>
  <si>
    <t>https://dd3ka9h4chfr8.cloudfront.net/image/725136000567/image_uk3qbt9hr12fhcr5lpha4cqi4a/-FJPG/246744-003_PRM_1.jpg</t>
  </si>
  <si>
    <t>https://dd3ka9h4chfr8.cloudfront.net/image/725136000567/image_m7h0qnempt5ft8uug6t2vrfv6l/-FJPG/246744-003_SID_1.jpg</t>
  </si>
  <si>
    <t>https://dd3ka9h4chfr8.cloudfront.net/image/725136000567/image_lv2s9se03t0tl8i5bjpbbvhr0c/-FJPG/246744-003_ESS.tif</t>
  </si>
  <si>
    <t>https://dd3ka9h4chfr8.cloudfront.net/image/725136000567/image_edt3apjp4h3g938o7l6a2dht4j/-FJPG/246744-003_DET_2.jpg</t>
  </si>
  <si>
    <t>https://dd3ka9h4chfr8.cloudfront.net/image/725136000567/image_ihr391rput1i9b0fnh0nigbh7o/-FJPG/246744-003_BCK_1.jpg</t>
  </si>
  <si>
    <t>https://dd3ka9h4chfr8.cloudfront.net/image/725136000567/image_03n9m43ahp0hna9ae0thlm162c/-FJPG/246744-003_DET_1.jpg</t>
  </si>
  <si>
    <t>https://dd3ka9h4chfr8.cloudfront.net/image/725136000567/image_bnbpki8qkd3bjekce6re3pqv6v/-FJPG/246744-003_DET_3.jpg</t>
  </si>
  <si>
    <t>https://dd3ka9h4chfr8.cloudfront.net/image/725136000567/image_ba87p9sqdh2rnf6iqifgd1485d/-FJPG/246744-003_DET_4.jpg</t>
  </si>
  <si>
    <t>https://dd3ka9h4chfr8.cloudfront.net/image/725136000567/image_gsm2givhlp6drd6p29rdrunj4r/-FJPG/246744-003_DET_5.jpg</t>
  </si>
  <si>
    <t>https://dd3ka9h4chfr8.cloudfront.net/image/725136000567/image_4u9se4lp497dn505kaq3t7ms54/-FJPG/246744-003_DET_6.jpg</t>
  </si>
  <si>
    <t>https://dd3ka9h4chfr8.cloudfront.net/image/725136000567/image_8gur66fggl7kp6mib9skm8u547/-FJPG/246744-003_DET_9.tif</t>
  </si>
  <si>
    <t>Melle Sofa - Omari Natural</t>
  </si>
  <si>
    <t>https://dd3ka9h4chfr8.cloudfront.net/image/725136000567/image_o8ubhgfrnl3svaonrjfel92g1t/-S150x150-FJPG/246744-002_PRM_1.jpg</t>
  </si>
  <si>
    <t>https://dd3ka9h4chfr8.cloudfront.net/image/725136000567/image_o8ubhgfrnl3svaonrjfel92g1t/-FJPG/246744-002_PRM_1.jpg</t>
  </si>
  <si>
    <t>https://dd3ka9h4chfr8.cloudfront.net/image/725136000567/image_45h9bglrkt0nv1bin7gknd4q2d/-FJPG/246744-002_SID_1.jpg</t>
  </si>
  <si>
    <t>https://dd3ka9h4chfr8.cloudfront.net/image/725136000567/image_pg6gkg40l913385c9jhi4tc568/-FJPG/246744-002_DET_2.jpg</t>
  </si>
  <si>
    <t>https://dd3ka9h4chfr8.cloudfront.net/image/725136000567/image_q73pjfivkt0cr1auil79224k7p/-FJPG/246744-002_BCK_1.jpg</t>
  </si>
  <si>
    <t>https://dd3ka9h4chfr8.cloudfront.net/image/725136000567/image_ddl0vp10cd5974u3tijmqqn816/-FJPG/246744-002_DET_1.jpg</t>
  </si>
  <si>
    <t>https://dd3ka9h4chfr8.cloudfront.net/image/725136000567/image_c5291pft6h42bcn436dfhp1m0h/-FJPG/246744-002_DET_3.jpg</t>
  </si>
  <si>
    <t>https://dd3ka9h4chfr8.cloudfront.net/image/725136000567/image_pdjco815cd73d0ac1dmdeo180c/-FJPG/246744-002_DET_4.jpg</t>
  </si>
  <si>
    <t>https://dd3ka9h4chfr8.cloudfront.net/image/725136000567/image_cbm32bplfh75h8ap7f7shrnv46/-FJPG/246744-002_DET_5.jpg</t>
  </si>
  <si>
    <t>https://dd3ka9h4chfr8.cloudfront.net/image/725136000567/image_j4c1fcq2ql31tel16ok0rbim4k/-FJPG/246744-002_DET_6.jpg</t>
  </si>
  <si>
    <t>Mercantile Shop Store Cabinet - Aged Brown</t>
  </si>
  <si>
    <t>https://dd3ka9h4chfr8.cloudfront.net/image/725136000567/image_iqguagd4pd0kl763v0spbe4r1t/-S150x150-FJPG/242088-001_PRM_1.jpg</t>
  </si>
  <si>
    <t>https://dd3ka9h4chfr8.cloudfront.net/image/725136000567/image_iqguagd4pd0kl763v0spbe4r1t/-FJPG/242088-001_PRM_1.jpg</t>
  </si>
  <si>
    <t>https://dd3ka9h4chfr8.cloudfront.net/image/725136000567/image_2nu702hr8p265btc4961a1nn5t/-FJPG/242088-001_SID_1.jpg</t>
  </si>
  <si>
    <t>https://dd3ka9h4chfr8.cloudfront.net/image/725136000567/image_l3foklio0d0fr84sp1fcfegg6o/-FJPG/242088-001_ESS_1.tif</t>
  </si>
  <si>
    <t>https://dd3ka9h4chfr8.cloudfront.net/image/725136000567/image_qj5m7j287p02n4og4muu487e2p/-FJPG/242088-001_DET_2.jpg</t>
  </si>
  <si>
    <t>https://dd3ka9h4chfr8.cloudfront.net/image/725136000567/image_1ui40db1bh7ubfjhmqm9fkn40g/-FJPG/242088-001_BCK_1.jpg</t>
  </si>
  <si>
    <t>https://dd3ka9h4chfr8.cloudfront.net/image/725136000567/image_qj5tudtpt56o7a514sjsrl266q/-FJPG/242088-001_DET_1.jpg</t>
  </si>
  <si>
    <t>https://dd3ka9h4chfr8.cloudfront.net/image/725136000567/image_fgv0ejp4d9009epgjain8ivu1g/-FJPG/242088-001_DET_3.jpg</t>
  </si>
  <si>
    <t>https://dd3ka9h4chfr8.cloudfront.net/image/725136000567/image_vl74leggnh7jfcbj1onq5ncp4u/-FJPG/242088-001_TOP_1.jpg</t>
  </si>
  <si>
    <t>https://dd3ka9h4chfr8.cloudfront.net/image/725136000567/image_o5kg422nul0hl37tfua5899j24/-FJPG/242088-001_DET_4.jpg</t>
  </si>
  <si>
    <t>https://dd3ka9h4chfr8.cloudfront.net/image/725136000567/image_hg0rnqs4954rj674pjgqifcj4q/-FJPG/242088-001_DET_5.jpg</t>
  </si>
  <si>
    <t>https://dd3ka9h4chfr8.cloudfront.net/image/725136000567/image_qh0ok1ifq103v5qc2vkrj97c60/-FJPG/242088-001_DET_9.tif</t>
  </si>
  <si>
    <t>https://dd3ka9h4chfr8.cloudfront.net/image/725136000567/image_qch9d21e7t3cj63id4spjach2a/-FJPG/242088-001_DET_10.tif</t>
  </si>
  <si>
    <t>Micah Chaise - Oland Linen</t>
  </si>
  <si>
    <t>100% Polypropylene</t>
  </si>
  <si>
    <t>https://dd3ka9h4chfr8.cloudfront.net/image/725136000567/image_no4floslmt6mj624prv62glo5k/-S150x150-FJPG/241706-001_PRM_1.jpg</t>
  </si>
  <si>
    <t>https://dd3ka9h4chfr8.cloudfront.net/image/725136000567/image_no4floslmt6mj624prv62glo5k/-FJPG/241706-001_PRM_1.jpg</t>
  </si>
  <si>
    <t>https://dd3ka9h4chfr8.cloudfront.net/image/725136000567/image_u6egg893t90uveb4fn2kggl85l/-FJPG/241706-001_SID_1.jpg</t>
  </si>
  <si>
    <t>https://dd3ka9h4chfr8.cloudfront.net/image/725136000567/image_qsont87g8l3dv1is1r6ecmnu47/-FJPG/241706-001_DET_2.jpg</t>
  </si>
  <si>
    <t>https://dd3ka9h4chfr8.cloudfront.net/image/725136000567/image_oimnps1vkh2v3b2igq91gunt5o/-FJPG/241706-001_BCK_1.jpg</t>
  </si>
  <si>
    <t>https://dd3ka9h4chfr8.cloudfront.net/image/725136000567/image_t12pemiard2058suutfckis451/-FJPG/241706-001_DET_1.jpg</t>
  </si>
  <si>
    <t>https://dd3ka9h4chfr8.cloudfront.net/image/725136000567/image_di7q6nuaip29923g0qmma2co08/-FJPG/241706-001_DET_3.jpg</t>
  </si>
  <si>
    <t>https://dd3ka9h4chfr8.cloudfront.net/image/725136000567/image_ql50k2r3ll5eb12rab5jii2439/-FJPG/241706-001_TOP_1.jpg</t>
  </si>
  <si>
    <t>https://dd3ka9h4chfr8.cloudfront.net/image/725136000567/image_q2ub3g8mj12f53c01ro254c873/-FJPG/241706-001_DET_4.jpg</t>
  </si>
  <si>
    <t>https://dd3ka9h4chfr8.cloudfront.net/image/725136000567/image_m6n316tkhd7ib1ddlgv6puq153/-FJPG/241706-001_DET_5.jpg</t>
  </si>
  <si>
    <t>https://dd3ka9h4chfr8.cloudfront.net/image/725136000567/image_ea2q7v5crh15b3a7ah1g2pd166/-FJPG/241706-001_DET_6.jpg</t>
  </si>
  <si>
    <t>https://dd3ka9h4chfr8.cloudfront.net/image/725136000567/image_55e5ok8a3l5tt49lupqtkscp6g/-FJPG/241706-001_ESS.tif</t>
  </si>
  <si>
    <t>Mika Dining Sideboard - Whitewash Oak</t>
  </si>
  <si>
    <t>https://dd3ka9h4chfr8.cloudfront.net/image/725136000567/image_15ese5mcqh3ud3hiqrgn3v6770/-S150x150-FJPG/VPTN-191_PRM_1.jpg</t>
  </si>
  <si>
    <t>https://dd3ka9h4chfr8.cloudfront.net/image/725136000567/image_15ese5mcqh3ud3hiqrgn3v6770/-FJPG/VPTN-191_PRM_1.jpg</t>
  </si>
  <si>
    <t>https://dd3ka9h4chfr8.cloudfront.net/image/725136000567/image_loduq1066l0l14ftl7nbg7645k/-FJPG/VPTN-191_SID_1.jpg</t>
  </si>
  <si>
    <t>https://dd3ka9h4chfr8.cloudfront.net/image/725136000567/image_mqume8dfrp603dvirlq78a8o6o/-FJPG/VPTN-191_DET_2.jpg</t>
  </si>
  <si>
    <t>https://dd3ka9h4chfr8.cloudfront.net/image/725136000567/image_jfgu6mdubt4ehcnajg1c57et7j/-FJPG/VPTN-191_BCK_1.jpg</t>
  </si>
  <si>
    <t>https://dd3ka9h4chfr8.cloudfront.net/image/725136000567/image_c20ghv9k6h321bnbbc28nr0132/-FJPG/VPTN-191_DET_1.jpg</t>
  </si>
  <si>
    <t>https://dd3ka9h4chfr8.cloudfront.net/image/725136000567/image_mtc583kgol385b49enlejv425u/-FJPG/VPTN-191_DET_3.jpg</t>
  </si>
  <si>
    <t>https://dd3ka9h4chfr8.cloudfront.net/image/725136000567/image_5j4jearp5l2irf1iucf19op27l/-FJPG/VPTN-191_OPN_1.jpg</t>
  </si>
  <si>
    <t>https://dd3ka9h4chfr8.cloudfront.net/image/725136000567/image_oto38lb20t58h6vmlsqamanl3o/-FJPG/VPTN-191_DET_4.jpg</t>
  </si>
  <si>
    <t>https://dd3ka9h4chfr8.cloudfront.net/image/725136000567/image_0s29ipcpl95gb134cbqr3alr3d/-FJPG/VPTN-191_DET_5.jpg</t>
  </si>
  <si>
    <t>https://dd3ka9h4chfr8.cloudfront.net/image/725136000567/image_cm1o132h5p3ld6a729k6i8q004/-FJPG/VPTN-191_DET_6.jpg</t>
  </si>
  <si>
    <t>https://dd3ka9h4chfr8.cloudfront.net/image/725136000567/image_v1867ub2j16p78rhbvl9n3td46/-FJPG/VPTN-191_DET_7.jpg</t>
  </si>
  <si>
    <t>Mika Dining Table - Whitewashed Oak Veneer</t>
  </si>
  <si>
    <t>https://dd3ka9h4chfr8.cloudfront.net/image/725136000567/image_93s7vcrcet373d6povjg1qqe4i/-S150x150-FJPG/VPTN-129_PRM_1.jpg</t>
  </si>
  <si>
    <t>https://dd3ka9h4chfr8.cloudfront.net/image/725136000567/image_93s7vcrcet373d6povjg1qqe4i/-FJPG/VPTN-129_PRM_1.jpg</t>
  </si>
  <si>
    <t>https://dd3ka9h4chfr8.cloudfront.net/image/725136000567/image_vijn2qnd5d2jlashd7ggfsif0o/-FJPG/VPTN-129_SID_1.jpg</t>
  </si>
  <si>
    <t>https://dd3ka9h4chfr8.cloudfront.net/image/725136000567/image_kbgjc858gh7sjfujrdhq08653i/-FJPG/VPTN-129_DET_2.jpg</t>
  </si>
  <si>
    <t>https://dd3ka9h4chfr8.cloudfront.net/image/725136000567/image_3ejn6qkf9l3c97op5egj46353j/-FJPG/VPTN-129_DET_1.jpg</t>
  </si>
  <si>
    <t>https://dd3ka9h4chfr8.cloudfront.net/image/725136000567/image_cujpinunj55lr1usesveprd55g/-FJPG/VPTN-129_DET_3.jpg</t>
  </si>
  <si>
    <t>https://dd3ka9h4chfr8.cloudfront.net/image/725136000567/image_d1oqse2pph4rl3nh9in78jga36/-FJPG/VPTN-129_DET_4.jpg</t>
  </si>
  <si>
    <t>https://dd3ka9h4chfr8.cloudfront.net/image/725136000567/image_vou45tna353nr5t07snjmv9331/-FJPG/VPTN-129_ROM_1.jpg</t>
  </si>
  <si>
    <t>Miko Media Console - Fawn Oak Veneer</t>
  </si>
  <si>
    <t>https://dd3ka9h4chfr8.cloudfront.net/image/725136000567/image_8p2v1ijopl7bd3v3v6vc47tn6j/-S150x150-FJPG/245969-001_PRM_1.jpg</t>
  </si>
  <si>
    <t>https://dd3ka9h4chfr8.cloudfront.net/image/725136000567/image_8p2v1ijopl7bd3v3v6vc47tn6j/-FJPG/245969-001_PRM_1.jpg</t>
  </si>
  <si>
    <t>https://dd3ka9h4chfr8.cloudfront.net/image/725136000567/image_nq107e09dt7q365tgsn8qnv53c/-FJPG/245969-001_SID_1.jpg</t>
  </si>
  <si>
    <t>https://dd3ka9h4chfr8.cloudfront.net/image/725136000567/image_g6vpaabt297rr75als9r11k85h/-FJPG/245969-001_ESS.tif</t>
  </si>
  <si>
    <t>https://dd3ka9h4chfr8.cloudfront.net/image/725136000567/image_4qnb18hcjt3ud9oannrim6ug19/-FJPG/245969-001_DET_2.jpg</t>
  </si>
  <si>
    <t>https://dd3ka9h4chfr8.cloudfront.net/image/725136000567/image_fnsdfibqu97rd5cu5bmu7pbr2m/-FJPG/245969-001_BCK_1.jpg</t>
  </si>
  <si>
    <t>https://dd3ka9h4chfr8.cloudfront.net/image/725136000567/image_374u4c0bvd6u5cjm6v2fb5j777/-FJPG/245969-001_DET_1.jpg</t>
  </si>
  <si>
    <t>https://dd3ka9h4chfr8.cloudfront.net/image/725136000567/image_v2jsau3qgt7rlfntpcpu6qiu79/-FJPG/245969-001_DET_3.jpg</t>
  </si>
  <si>
    <t>https://dd3ka9h4chfr8.cloudfront.net/image/725136000567/image_bjs341u9g547f8i0rmsibp663n/-FJPG/245969-001_OPN_1.jpg</t>
  </si>
  <si>
    <t>https://dd3ka9h4chfr8.cloudfront.net/image/725136000567/image_tgqfkq2n7p7375is6lmm604g3r/-FJPG/245969-001_TOP_1.jpg</t>
  </si>
  <si>
    <t>https://dd3ka9h4chfr8.cloudfront.net/image/725136000567/image_bf86i2hogt74be19l02enedr0l/-FJPG/245969-001_DET_4.jpg</t>
  </si>
  <si>
    <t>https://dd3ka9h4chfr8.cloudfront.net/image/725136000567/image_5jvt6q62k53ipd4jtt8kaare70/-FJPG/245969-001_DET_5.jpg</t>
  </si>
  <si>
    <t>https://dd3ka9h4chfr8.cloudfront.net/image/725136000567/image_vm071114i10cb809p66s3jb30v/-FJPG/245969-001_DET_6.jpg</t>
  </si>
  <si>
    <t>https://dd3ka9h4chfr8.cloudfront.net/image/725136000567/image_ikr9bmqbfd4spfqk7opfdvut0m/-FJPG/245969-001_DET_9.tif</t>
  </si>
  <si>
    <t>https://dd3ka9h4chfr8.cloudfront.net/image/725136000567/image_096s2uc61t5qn5kcl1cc3vah5c/-FJPG/245969-001_OPN_2.jpg</t>
  </si>
  <si>
    <t>Miles 5Pc Sectional - Boden Pewter</t>
  </si>
  <si>
    <t>https://dd3ka9h4chfr8.cloudfront.net/image/725136000567/image_coi4v5ckbl7s3bglmdedmog162/-S150x150-FJPG/250140-002_PRM_1.jpg</t>
  </si>
  <si>
    <t>https://dd3ka9h4chfr8.cloudfront.net/image/725136000567/image_coi4v5ckbl7s3bglmdedmog162/-FJPG/250140-002_PRM_1.jpg</t>
  </si>
  <si>
    <t>https://dd3ka9h4chfr8.cloudfront.net/image/725136000567/image_app3eq3ns17qbe5in213bhcc1b/-FJPG/250140-002_SID_1.jpg</t>
  </si>
  <si>
    <t>https://dd3ka9h4chfr8.cloudfront.net/image/725136000567/image_80j21ea3053r99cu1k76shdt71/-FJPG/250140-002_ESS.tif</t>
  </si>
  <si>
    <t>https://dd3ka9h4chfr8.cloudfront.net/image/725136000567/image_6nb741vnhh5rl1cjrcckrpan0k/-FJPG/250140-002_DET_2.jpg</t>
  </si>
  <si>
    <t>https://dd3ka9h4chfr8.cloudfront.net/image/725136000567/image_l5p7g1dou11cv64h5qmtvs4h46/-FJPG/250140-002_BCK_1.jpg</t>
  </si>
  <si>
    <t>https://dd3ka9h4chfr8.cloudfront.net/image/725136000567/image_217aqrfei53u56bmne1qcceh49/-FJPG/250140-002_DET_1.jpg</t>
  </si>
  <si>
    <t>https://dd3ka9h4chfr8.cloudfront.net/image/725136000567/image_bihqhkggd12av3ou4oqotrii6v/-FJPG/250140-002_DET_3.jpg</t>
  </si>
  <si>
    <t>https://dd3ka9h4chfr8.cloudfront.net/image/725136000567/image_k33g3deg6l0578bg8vrjbl1n3i/-FJPG/250140-002_DET_4.jpg</t>
  </si>
  <si>
    <t>https://dd3ka9h4chfr8.cloudfront.net/image/725136000567/image_vrptgqdgsl5l36ld1ssjun2t59/-FJPG/250140-002_DET_5.jpg</t>
  </si>
  <si>
    <t>https://dd3ka9h4chfr8.cloudfront.net/image/725136000567/image_mluh02horp1sb5i7bscmncrm1p/-FJPG/250140-002_DET_6.jpg</t>
  </si>
  <si>
    <t>https://dd3ka9h4chfr8.cloudfront.net/image/725136000567/image_udu922674l21f0stbkh06gse0v/-FJPG/250140-002_DET_7.jpg</t>
  </si>
  <si>
    <t>https://dd3ka9h4chfr8.cloudfront.net/image/725136000567/image_mv5vflrv0d2lt7mm80hapb4831/-FJPG/250140-002_DET_8.jpg</t>
  </si>
  <si>
    <t>Millbrook Console Table - Natural Light Oak Veneer</t>
  </si>
  <si>
    <t>https://dd3ka9h4chfr8.cloudfront.net/image/725136000567/image_rc9god8uph3bteqc1008h3kl5j/-S150x150-FJPG/236455-002_PRM_1.jpg</t>
  </si>
  <si>
    <t>https://dd3ka9h4chfr8.cloudfront.net/image/725136000567/image_rc9god8uph3bteqc1008h3kl5j/-FJPG/236455-002_PRM_1.jpg</t>
  </si>
  <si>
    <t>https://dd3ka9h4chfr8.cloudfront.net/image/725136000567/image_c2g6d11hjp3o53o5n1t1emng0j/-FJPG/236455-002_SID_1.jpg</t>
  </si>
  <si>
    <t>https://dd3ka9h4chfr8.cloudfront.net/image/725136000567/image_dn0gion2g96rn369uienaidr0h/-FJPG/236455-002_ESS.tif</t>
  </si>
  <si>
    <t>https://dd3ka9h4chfr8.cloudfront.net/image/725136000567/image_o1b29t2lhl4hh0s6tpq39iem0t/-FJPG/236455-002_DET_2.jpg</t>
  </si>
  <si>
    <t>https://dd3ka9h4chfr8.cloudfront.net/image/725136000567/image_vnap1vpmfh7rbcm485b7h9g62k/-FJPG/236455-002_BCK_1.jpg</t>
  </si>
  <si>
    <t>https://dd3ka9h4chfr8.cloudfront.net/image/725136000567/image_lsbiu0e2f51nj0n4le6fo7tq59/-FJPG/236455-002_DET_1.jpg</t>
  </si>
  <si>
    <t>https://dd3ka9h4chfr8.cloudfront.net/image/725136000567/image_8t0sp4cn2h3ql8hvtfmo51nc1r/-FJPG/236455-002_OPN_1.jpg</t>
  </si>
  <si>
    <t>https://dd3ka9h4chfr8.cloudfront.net/image/725136000567/image_390hqf91al4a16nq2hdlvlb979/-FJPG/236455-002_TOP_1.jpg</t>
  </si>
  <si>
    <t>https://dd3ka9h4chfr8.cloudfront.net/image/725136000567/image_lief2i3r514e12c3mfi12rdf53/-FJPG/236455-002_DET_4.jpg</t>
  </si>
  <si>
    <t>https://dd3ka9h4chfr8.cloudfront.net/image/725136000567/image_bum8nk9jt92m11e7me6dslm04v/-FJPG/236455-002_DET_5.jpg</t>
  </si>
  <si>
    <t>https://dd3ka9h4chfr8.cloudfront.net/image/725136000567/image_i3u77d55d17a545iir1goi297u/-FJPG/236455-002_DET_6.jpg</t>
  </si>
  <si>
    <t>https://dd3ka9h4chfr8.cloudfront.net/image/725136000567/image_lr1tbtmr051ep9429biteghh4i/-FJPG/236455-002_DET_7.jpg</t>
  </si>
  <si>
    <t>https://dd3ka9h4chfr8.cloudfront.net/image/725136000567/image_i4tbqobsp95c98ri1c644do02k/-FJPG/236455-002_DET_10.tif</t>
  </si>
  <si>
    <t>https://dd3ka9h4chfr8.cloudfront.net/image/725136000567/image_7p188pvibp4o344bctk44ro667/-FJPG/236455-002_DET_11.tif</t>
  </si>
  <si>
    <t>https://dd3ka9h4chfr8.cloudfront.net/image/725136000567/image_v8go3hi95d3lfek9idbjfmeh2m/-FJPG/FHMPRJ016_SCENE-2.tif</t>
  </si>
  <si>
    <t>Millbrook Dresser - Natural Light Oak Veneer</t>
  </si>
  <si>
    <t>https://dd3ka9h4chfr8.cloudfront.net/image/725136000567/image_6c258d3p1148b5eroi5k8a3b4n/-S150x150-FJPG/241051-002_PRM_1.jpg</t>
  </si>
  <si>
    <t>https://dd3ka9h4chfr8.cloudfront.net/image/725136000567/image_6c258d3p1148b5eroi5k8a3b4n/-FJPG/241051-002_PRM_1.jpg</t>
  </si>
  <si>
    <t>https://dd3ka9h4chfr8.cloudfront.net/image/725136000567/image_kjkeuh30p53t116o6t9cfauq6m/-FJPG/241051-002_SID_1.jpg</t>
  </si>
  <si>
    <t>https://dd3ka9h4chfr8.cloudfront.net/image/725136000567/image_5ngprojsdt67386pv9nc8e5s2n/-FJPG/241051-002_ESS.tif</t>
  </si>
  <si>
    <t>https://dd3ka9h4chfr8.cloudfront.net/image/725136000567/image_ogae95fqp96ptdm4a1mvqvpm6e/-FJPG/241051-002_DET_2.jpg</t>
  </si>
  <si>
    <t>https://dd3ka9h4chfr8.cloudfront.net/image/725136000567/image_pn869evrot775235eh9jnd9i1r/-FJPG/241051-002_BCK_1.jpg</t>
  </si>
  <si>
    <t>https://dd3ka9h4chfr8.cloudfront.net/image/725136000567/image_alg5cp97v10qp7jlghd6485n04/-FJPG/241051-002_DET_1.jpg</t>
  </si>
  <si>
    <t>https://dd3ka9h4chfr8.cloudfront.net/image/725136000567/image_h3k9f6m5dd75d8jb9kkhtcqe18/-FJPG/241051-002_DET_3.jpg</t>
  </si>
  <si>
    <t>https://dd3ka9h4chfr8.cloudfront.net/image/725136000567/image_d2atn1usq52frdnqsdmes2e70i/-FJPG/241051-002_TOP_1.jpg</t>
  </si>
  <si>
    <t>https://dd3ka9h4chfr8.cloudfront.net/image/725136000567/image_rk9k9vjflp2p13onbsugjpdl3n/-FJPG/241051-002_DET_4.jpg</t>
  </si>
  <si>
    <t>https://dd3ka9h4chfr8.cloudfront.net/image/725136000567/image_3d8tnb3js12d5dq3ptcsgmlq12/-FJPG/241051-002_DET_5.jpg</t>
  </si>
  <si>
    <t>https://dd3ka9h4chfr8.cloudfront.net/image/725136000567/image_2pgtu7t36h6bleartvut4t8t10/-FJPG/241051-002_DET_6.jpg</t>
  </si>
  <si>
    <t>https://dd3ka9h4chfr8.cloudfront.net/image/725136000567/image_tfu6han2bl7ml2ql8vv6snat6k/-FJPG/241051-002_DET_9.tif</t>
  </si>
  <si>
    <t>https://dd3ka9h4chfr8.cloudfront.net/image/725136000567/image_ncm82lm39l77t28uqhd45vlg1t/-FJPG/241051-002_DET_10.tif</t>
  </si>
  <si>
    <t>Millbrook Media Console - Natural Light Oak</t>
  </si>
  <si>
    <t>https://dd3ka9h4chfr8.cloudfront.net/image/725136000567/image_ho85vg83c50al4bqpc18hpgs7e/-S150x150-FJPG/236332-003_PRM_1.jpg</t>
  </si>
  <si>
    <t>https://dd3ka9h4chfr8.cloudfront.net/image/725136000567/image_ho85vg83c50al4bqpc18hpgs7e/-FJPG/236332-003_PRM_1.jpg</t>
  </si>
  <si>
    <t>https://dd3ka9h4chfr8.cloudfront.net/image/725136000567/image_d6gqe662u162p4a4ukur10qp17/-FJPG/236332-003_SID_1.jpg</t>
  </si>
  <si>
    <t>https://dd3ka9h4chfr8.cloudfront.net/image/725136000567/image_j9a11cd6mp6ejenlmosefkik7l/-FJPG/236332-003_ESS.tif</t>
  </si>
  <si>
    <t>https://dd3ka9h4chfr8.cloudfront.net/image/725136000567/image_te0au2phbl0ttfijlo64ov3o3r/-FJPG/236332-003_DET_2.jpg</t>
  </si>
  <si>
    <t>https://dd3ka9h4chfr8.cloudfront.net/image/725136000567/image_snvm9mgk4p1tlb6egsgurnql37/-FJPG/236332-003_BCK_1.jpg</t>
  </si>
  <si>
    <t>https://dd3ka9h4chfr8.cloudfront.net/image/725136000567/image_qscc1dcjlp2idcvacrud71ni2s/-FJPG/236332-003_DET_1.jpg</t>
  </si>
  <si>
    <t>https://dd3ka9h4chfr8.cloudfront.net/image/725136000567/image_49tjk6skdd625co8vc6amq4a0o/-FJPG/236332-003_DET_3.jpg</t>
  </si>
  <si>
    <t>https://dd3ka9h4chfr8.cloudfront.net/image/725136000567/image_lvqrjitlrh7712lmj6dvsdne33/-FJPG/236332-003_OPN_1.jpg</t>
  </si>
  <si>
    <t>https://dd3ka9h4chfr8.cloudfront.net/image/725136000567/image_3fvj0uvgdh7sfduve6c6blb11r/-FJPG/236332-003_TOP_1.jpg</t>
  </si>
  <si>
    <t>https://dd3ka9h4chfr8.cloudfront.net/image/725136000567/image_cn3nm6v2od0t9bl66c9cu3h64d/-FJPG/236332-003_DET_4.jpg</t>
  </si>
  <si>
    <t>https://dd3ka9h4chfr8.cloudfront.net/image/725136000567/image_e977ceclth7fvdr4lvsqti0d1v/-FJPG/236332-003_DET_5.jpg</t>
  </si>
  <si>
    <t>https://dd3ka9h4chfr8.cloudfront.net/image/725136000567/image_bmcj03aj3t2cla569l2npdiv63/-FJPG/236332-003_DET_6.jpg</t>
  </si>
  <si>
    <t>https://dd3ka9h4chfr8.cloudfront.net/image/725136000567/image_au18esj0k526b47nisqnvtoh75/-FJPG/236332-003_DET_9.tif</t>
  </si>
  <si>
    <t>https://dd3ka9h4chfr8.cloudfront.net/image/725136000567/image_9r960q0tp13urdjpptd5ji0r0b/-FJPG/FHMPRJ016_SCENE-12-CROP-1.tif</t>
  </si>
  <si>
    <t>Millie 6 Drawer Dresser - Drifted Matte Black Veneer</t>
  </si>
  <si>
    <t>https://dd3ka9h4chfr8.cloudfront.net/image/725136000567/image_hktu9p1oc55416cles5s3mme13/-S150x150-FJPG/233092-001_PRM_1.jpg</t>
  </si>
  <si>
    <t>https://dd3ka9h4chfr8.cloudfront.net/image/725136000567/image_hktu9p1oc55416cles5s3mme13/-FJPG/233092-001_PRM_1.jpg</t>
  </si>
  <si>
    <t>https://dd3ka9h4chfr8.cloudfront.net/image/725136000567/image_d18272sk7t11h1ntfrcl5ph05p/-FJPG/233092-001_SID_1.jpg</t>
  </si>
  <si>
    <t>https://dd3ka9h4chfr8.cloudfront.net/image/725136000567/image_aqtvtrh569039bhggd6s0v7g0t/-FJPG/233092-001_ESS_1.jpg</t>
  </si>
  <si>
    <t>https://dd3ka9h4chfr8.cloudfront.net/image/725136000567/image_9rhoutt3hl2tr7cjm815mpl35e/-FJPG/233092-001_DET_2.jpg</t>
  </si>
  <si>
    <t>https://dd3ka9h4chfr8.cloudfront.net/image/725136000567/image_99uj0h3mh149n3iaq1mvitrb5q/-FJPG/233092-001_BCK_1.jpg</t>
  </si>
  <si>
    <t>https://dd3ka9h4chfr8.cloudfront.net/image/725136000567/image_k92b5ojq0d459ech7a2vc7fk5d/-FJPG/233092-001_DET_1.jpg</t>
  </si>
  <si>
    <t>https://dd3ka9h4chfr8.cloudfront.net/image/725136000567/image_94mdaflddl7c3cvsk8145afb14/-FJPG/233092-001_DET_3.jpg</t>
  </si>
  <si>
    <t>https://dd3ka9h4chfr8.cloudfront.net/image/725136000567/image_k3l8as086l29l4795b949he10d/-FJPG/233092-001_OPN_1.jpg</t>
  </si>
  <si>
    <t>https://dd3ka9h4chfr8.cloudfront.net/image/725136000567/image_29qfe4nqa179r1flqvimtj0g5v/-FJPG/233092-001_TOP_1.jpg</t>
  </si>
  <si>
    <t>https://dd3ka9h4chfr8.cloudfront.net/image/725136000567/image_pjpod63nph56pd90gqso20os2b/-FJPG/233092-001_DET_4.jpg</t>
  </si>
  <si>
    <t>https://dd3ka9h4chfr8.cloudfront.net/image/725136000567/image_0n3omgt3616i10q68gl295p25g/-FJPG/233092-001_DET_5.jpg</t>
  </si>
  <si>
    <t>https://dd3ka9h4chfr8.cloudfront.net/image/725136000567/image_nm1oill13l0a3d2cp78n5i2l2b/-FJPG/233092-001_DET_6.jpg</t>
  </si>
  <si>
    <t>https://dd3ka9h4chfr8.cloudfront.net/image/725136000567/image_thkn16j1lt2qjed68esavck169/-FJPG/233092-001_DET_7.jpg</t>
  </si>
  <si>
    <t>https://dd3ka9h4chfr8.cloudfront.net/image/725136000567/image_qompac5j313910avpb1n1ogu7i/-FJPG/233092-001_DET_8.jpg</t>
  </si>
  <si>
    <t>Millie 6 Drawer Dresser - Light Bleach Oak Veneer</t>
  </si>
  <si>
    <t>https://dd3ka9h4chfr8.cloudfront.net/image/725136000567/image_o30lfaq0p16cv8p64cjj6krs67/-S150x150-FJPG/233092-002_PRM_1.jpg</t>
  </si>
  <si>
    <t>https://dd3ka9h4chfr8.cloudfront.net/image/725136000567/image_o30lfaq0p16cv8p64cjj6krs67/-FJPG/233092-002_PRM_1.jpg</t>
  </si>
  <si>
    <t>https://dd3ka9h4chfr8.cloudfront.net/image/725136000567/image_apk788hoct4110v2a8sr7opa0l/-FJPG/233092-002_SID_1.jpg</t>
  </si>
  <si>
    <t>https://dd3ka9h4chfr8.cloudfront.net/image/725136000567/image_mk7v19hlrd7qdc7p66b2irmb1c/-FJPG/233092-002_DET_2.jpg</t>
  </si>
  <si>
    <t>https://dd3ka9h4chfr8.cloudfront.net/image/725136000567/image_7av16sasil6bf45lig4qeqlg7q/-FJPG/233092-002_BCK_1.jpg</t>
  </si>
  <si>
    <t>https://dd3ka9h4chfr8.cloudfront.net/image/725136000567/image_3h72nqtlep7215ukcu8q96tv2r/-FJPG/233092-002_DET_1.jpg</t>
  </si>
  <si>
    <t>https://dd3ka9h4chfr8.cloudfront.net/image/725136000567/image_6nu8h1ibml6qr7jk99p6t0k217/-FJPG/233092-002_DET_3.jpg</t>
  </si>
  <si>
    <t>https://dd3ka9h4chfr8.cloudfront.net/image/725136000567/image_o0tte6jc1p0m72vnmgdt088968/-FJPG/233092-002_OPN_1.jpg</t>
  </si>
  <si>
    <t>https://dd3ka9h4chfr8.cloudfront.net/image/725136000567/image_e3stv3k2vd26h23umcv77psr0t/-FJPG/233092-002_TOP_1.jpg</t>
  </si>
  <si>
    <t>https://dd3ka9h4chfr8.cloudfront.net/image/725136000567/image_d5m8okncd953ta806hq8m85j3k/-FJPG/233092-002_DET_4.jpg</t>
  </si>
  <si>
    <t>https://dd3ka9h4chfr8.cloudfront.net/image/725136000567/image_mb01o7303d2r52mmbd0546n43p/-FJPG/233092-002_DET_5.jpg</t>
  </si>
  <si>
    <t>https://dd3ka9h4chfr8.cloudfront.net/image/725136000567/image_dtobsdl3910up64ue2t29ues45/-FJPG/233092-002_DET_6.jpg</t>
  </si>
  <si>
    <t>https://dd3ka9h4chfr8.cloudfront.net/image/725136000567/image_bfo0svj0214of6obid1ht1141n/-FJPG/233092-002_DET_7.jpg</t>
  </si>
  <si>
    <t>https://dd3ka9h4chfr8.cloudfront.net/image/725136000567/image_pqkklet71p7b11tlekbjbrdq3n/-FJPG/233092-002_DET_8.jpg</t>
  </si>
  <si>
    <t>Millie 9 Drawer Dresser - Drifted Matte Black Veneer</t>
  </si>
  <si>
    <t>https://dd3ka9h4chfr8.cloudfront.net/image/725136000567/image_qklpdpn6dd7gn17it4o67vlb27/-S150x150-FJPG/233091-001_PRM_1.jpg</t>
  </si>
  <si>
    <t>https://dd3ka9h4chfr8.cloudfront.net/image/725136000567/image_qklpdpn6dd7gn17it4o67vlb27/-FJPG/233091-001_PRM_1.jpg</t>
  </si>
  <si>
    <t>https://dd3ka9h4chfr8.cloudfront.net/image/725136000567/image_1b697qb1m51pd5aoanbtnuki77/-FJPG/233091-001_SID_1.jpg</t>
  </si>
  <si>
    <t>https://dd3ka9h4chfr8.cloudfront.net/image/725136000567/image_84lbrm6q2564h5o6mlgqulpl3o/-FJPG/233091-001_ESS_1.jpg</t>
  </si>
  <si>
    <t>https://dd3ka9h4chfr8.cloudfront.net/image/725136000567/image_kdo0uh3u3l2v9c3dhg7ri5pq2d/-FJPG/233091-001_DET_2.jpg</t>
  </si>
  <si>
    <t>https://dd3ka9h4chfr8.cloudfront.net/image/725136000567/image_ci1dsu5evl179bmu5onal4ig58/-FJPG/233091-001_BCK_1.jpg</t>
  </si>
  <si>
    <t>https://dd3ka9h4chfr8.cloudfront.net/image/725136000567/image_iok4on1kj97j37b6dlvecud53f/-FJPG/233091-001_DET_1.jpg</t>
  </si>
  <si>
    <t>https://dd3ka9h4chfr8.cloudfront.net/image/725136000567/image_srrdfd9mod253082u12n7c5v4f/-FJPG/233091-001_DET_3.jpg</t>
  </si>
  <si>
    <t>https://dd3ka9h4chfr8.cloudfront.net/image/725136000567/image_41tv9cbd0t6d3dk593sdu1cd39/-FJPG/233091-001_OPN_1.jpg</t>
  </si>
  <si>
    <t>https://dd3ka9h4chfr8.cloudfront.net/image/725136000567/image_q6innuark51cj757q2paqfo94a/-FJPG/233091-001_TOP_1.jpg</t>
  </si>
  <si>
    <t>https://dd3ka9h4chfr8.cloudfront.net/image/725136000567/image_qcodkom18p2k17n9t7sbqump0q/-FJPG/233091-001_DET_4.jpg</t>
  </si>
  <si>
    <t>https://dd3ka9h4chfr8.cloudfront.net/image/725136000567/image_kob0tdjomd4v37hisir6tc9l41/-FJPG/233091-001_DET_5.jpg</t>
  </si>
  <si>
    <t>https://dd3ka9h4chfr8.cloudfront.net/image/725136000567/image_1bp8gglfmh6h906dvfv0ma3i68/-FJPG/233091-001_DET_6.jpg</t>
  </si>
  <si>
    <t>https://dd3ka9h4chfr8.cloudfront.net/image/725136000567/image_94l0a7ppud7b73og8gksojkk5t/-FJPG/233091-001_DET_7.jpg</t>
  </si>
  <si>
    <t>https://dd3ka9h4chfr8.cloudfront.net/image/725136000567/image_h2rcmqphd53j31qcs2fa4j2i2c/-FJPG/233091-001_DET_8.jpg</t>
  </si>
  <si>
    <t>https://dd3ka9h4chfr8.cloudfront.net/image/725136000567/image_ispkh6krph5mt99ule01ol054m/-FJPG/233091-001_DET_9.jpg</t>
  </si>
  <si>
    <t>https://dd3ka9h4chfr8.cloudfront.net/image/725136000567/image_0l4dg9pvp5773bc987c54qtk6n/-FJPG/233091-001_DET_10.jpg</t>
  </si>
  <si>
    <t>Millie 9 Drawer Dresser - Light Bleach Oak Veneer</t>
  </si>
  <si>
    <t>https://dd3ka9h4chfr8.cloudfront.net/image/725136000567/image_7s4klf6hod0g14fvib2usm9u7h/-S150x150-FJPG/233091-002_PRM_1.jpg</t>
  </si>
  <si>
    <t>https://dd3ka9h4chfr8.cloudfront.net/image/725136000567/image_7s4klf6hod0g14fvib2usm9u7h/-FJPG/233091-002_PRM_1.jpg</t>
  </si>
  <si>
    <t>https://dd3ka9h4chfr8.cloudfront.net/image/725136000567/image_evpdsfn3bp4kfbh8ltu8l0ll23/-FJPG/233091-002_SID_1.jpg</t>
  </si>
  <si>
    <t>https://dd3ka9h4chfr8.cloudfront.net/image/725136000567/image_in4c9bqssp5utb54e83jkct60p/-FJPG/233091-002_DET_2.jpg</t>
  </si>
  <si>
    <t>https://dd3ka9h4chfr8.cloudfront.net/image/725136000567/image_tn6m88knqp66b8c6asfabdp940/-FJPG/233091-002_BCK_1.jpg</t>
  </si>
  <si>
    <t>https://dd3ka9h4chfr8.cloudfront.net/image/725136000567/image_k63metocoh3fdafn0dogmqbt3n/-FJPG/233091-002_DET_1.jpg</t>
  </si>
  <si>
    <t>https://dd3ka9h4chfr8.cloudfront.net/image/725136000567/image_860dggn34d4pvfjjmnliqdlg16/-FJPG/233091-002_DET_3.jpg</t>
  </si>
  <si>
    <t>https://dd3ka9h4chfr8.cloudfront.net/image/725136000567/image_477s6o94i16g31rhv76f1dcq3p/-FJPG/233091-002_OPN_1.jpg</t>
  </si>
  <si>
    <t>https://dd3ka9h4chfr8.cloudfront.net/image/725136000567/image_tq6hqcdiep2il30itcpkva432v/-FJPG/233091-002_TOP_1.jpg</t>
  </si>
  <si>
    <t>https://dd3ka9h4chfr8.cloudfront.net/image/725136000567/image_d20l1pugv554h45k5au8bibv34/-FJPG/233091-002_DET_4.jpg</t>
  </si>
  <si>
    <t>https://dd3ka9h4chfr8.cloudfront.net/image/725136000567/image_b0ko7su9rh239bolq35cs37k2o/-FJPG/233091-002_DET_5.jpg</t>
  </si>
  <si>
    <t>https://dd3ka9h4chfr8.cloudfront.net/image/725136000567/image_dm6ipq5pu10l7fc2c9rbplr01k/-FJPG/233091-002_DET_6.jpg</t>
  </si>
  <si>
    <t>https://dd3ka9h4chfr8.cloudfront.net/image/725136000567/image_gq320mj0rl181e6jsvpa53750f/-FJPG/233091-002_DET_7.jpg</t>
  </si>
  <si>
    <t>https://dd3ka9h4chfr8.cloudfront.net/image/725136000567/image_k2k3ois9i158h8bsndf9fatu5m/-FJPG/233091-002_DET_8.jpg</t>
  </si>
  <si>
    <t>Millie Bookcase - Drifted Matte Black</t>
  </si>
  <si>
    <t>https://dd3ka9h4chfr8.cloudfront.net/image/725136000567/image_3i2ss9b0id675d1ppcuqto3v19/-S150x150-FJPG/247002-003_PRM_1.jpg</t>
  </si>
  <si>
    <t>https://dd3ka9h4chfr8.cloudfront.net/image/725136000567/image_3i2ss9b0id675d1ppcuqto3v19/-FJPG/247002-003_PRM_1.jpg</t>
  </si>
  <si>
    <t>https://dd3ka9h4chfr8.cloudfront.net/image/725136000567/image_gee7chhrjp7pp5drbhol1cib1p/-FJPG/247002-003_SID_1.jpg</t>
  </si>
  <si>
    <t>https://dd3ka9h4chfr8.cloudfront.net/image/725136000567/image_v3v6nn7rbl1td033luaemucr78/-FJPG/247002-003_ESS.tif</t>
  </si>
  <si>
    <t>https://dd3ka9h4chfr8.cloudfront.net/image/725136000567/image_7c2stcbfj9445cqea88nmu8j17/-FJPG/247002-003_DET_2.jpg</t>
  </si>
  <si>
    <t>https://dd3ka9h4chfr8.cloudfront.net/image/725136000567/image_1oqtbat8ql3et4vk276sgme142/-FJPG/247002-003_BCK_1.jpg</t>
  </si>
  <si>
    <t>https://dd3ka9h4chfr8.cloudfront.net/image/725136000567/image_jiuusth7c96ip90f7dvul21j6k/-FJPG/247002-003_DET_1.jpg</t>
  </si>
  <si>
    <t>https://dd3ka9h4chfr8.cloudfront.net/image/725136000567/image_2cu66hrun175vbepqdnkpgjc5v/-FJPG/247002-003_DET_3.jpg</t>
  </si>
  <si>
    <t>https://dd3ka9h4chfr8.cloudfront.net/image/725136000567/image_rfa6giehdh16f0u4be20mrdm3f/-FJPG/247002-003_OPN_1.jpg</t>
  </si>
  <si>
    <t>https://dd3ka9h4chfr8.cloudfront.net/image/725136000567/image_4uqbn9tcld653bpittlh0slo1n/-FJPG/247002-003_DET_4.jpg</t>
  </si>
  <si>
    <t>https://dd3ka9h4chfr8.cloudfront.net/image/725136000567/image_veg4v4p8e13kbcda3cincvcc0c/-FJPG/247002-003_DET_5.jpg</t>
  </si>
  <si>
    <t>https://dd3ka9h4chfr8.cloudfront.net/image/725136000567/image_m4gclplisl46d3q6af19e0ll46/-FJPG/247002-003_DET_6.jpg</t>
  </si>
  <si>
    <t>https://dd3ka9h4chfr8.cloudfront.net/image/725136000567/image_56i7858n8l6i52itf0p1f4l73e/-FJPG/247002-003_DET_7.jpg</t>
  </si>
  <si>
    <t>https://dd3ka9h4chfr8.cloudfront.net/image/725136000567/image_mv9mgq9mvl5rrdk5qjl5tnn46l/-FJPG/247002-003_ESS_2.tif</t>
  </si>
  <si>
    <t>Millie Bookcase - Drifted Oak Solid</t>
  </si>
  <si>
    <t>https://dd3ka9h4chfr8.cloudfront.net/image/725136000567/image_jd2fb1d0rh71r3n62r30r2804m/-S150x150-FJPG/247002-004_PRM_1.jpg</t>
  </si>
  <si>
    <t>https://dd3ka9h4chfr8.cloudfront.net/image/725136000567/image_jd2fb1d0rh71r3n62r30r2804m/-FJPG/247002-004_PRM_1.jpg</t>
  </si>
  <si>
    <t>https://dd3ka9h4chfr8.cloudfront.net/image/725136000567/image_ot7kaj05ml2910nrvkbpf2ku71/-FJPG/247002-004_SID_1.jpg</t>
  </si>
  <si>
    <t>https://dd3ka9h4chfr8.cloudfront.net/image/725136000567/image_kdg8tstbbt689bdcma8sa4hb3h/-FJPG/247002-004_ESS.tif</t>
  </si>
  <si>
    <t>https://dd3ka9h4chfr8.cloudfront.net/image/725136000567/image_2i77gkpsqd7thdabsm7j68j256/-FJPG/247002-004_DET_2.jpg</t>
  </si>
  <si>
    <t>https://dd3ka9h4chfr8.cloudfront.net/image/725136000567/image_qbbkkmhrb94qn8qm8a4reqec7e/-FJPG/247002-004_BCK_1.jpg</t>
  </si>
  <si>
    <t>https://dd3ka9h4chfr8.cloudfront.net/image/725136000567/image_7fp9biia0d1rd7jdcavg9ft463/-FJPG/247002-004_DET_1.jpg</t>
  </si>
  <si>
    <t>https://dd3ka9h4chfr8.cloudfront.net/image/725136000567/image_69spubdom55pl3f6i54kir2h2g/-FJPG/247002-004_DET_3.jpg</t>
  </si>
  <si>
    <t>https://dd3ka9h4chfr8.cloudfront.net/image/725136000567/image_cv2lome1fp7ch66gfbu7mhi02k/-FJPG/247002-004_OPN_1.jpg</t>
  </si>
  <si>
    <t>https://dd3ka9h4chfr8.cloudfront.net/image/725136000567/image_ipn9rssaoh3m93hf4fiod1de78/-FJPG/247002-004_DET_4.jpg</t>
  </si>
  <si>
    <t>https://dd3ka9h4chfr8.cloudfront.net/image/725136000567/image_nk503073c93fl7enpbqb3f3r6o/-FJPG/247002-004_DET_5.jpg</t>
  </si>
  <si>
    <t>https://dd3ka9h4chfr8.cloudfront.net/image/725136000567/image_gidcigu2ap2t1fp5uho16qg91a/-FJPG/247002-004_DET_6.jpg</t>
  </si>
  <si>
    <t>https://dd3ka9h4chfr8.cloudfront.net/image/725136000567/image_oma1sego5d6htbp2d7mrptlr0c/-FJPG/247002-004_DET_9.tif</t>
  </si>
  <si>
    <t>https://dd3ka9h4chfr8.cloudfront.net/image/725136000567/image_sb9qcvntb55r39rnturqfpu22f/-FJPG/247002-004_OPN_2.jpg</t>
  </si>
  <si>
    <t>Millie Large Sideboard - Drifted Oak Solid</t>
  </si>
  <si>
    <t>https://dd3ka9h4chfr8.cloudfront.net/image/725136000567/image_sjh5vkj2dp5or2bfjekg8k7n13/-S150x150-FJPG/230632-001_PRM_1.jpg</t>
  </si>
  <si>
    <t>https://dd3ka9h4chfr8.cloudfront.net/image/725136000567/image_ea6vus6e7t06t3sukqevms382t/-FJPG/230632-001_SID_1.jpg</t>
  </si>
  <si>
    <t>https://dd3ka9h4chfr8.cloudfront.net/image/725136000567/image_5rrpri6se963f3us1j2pusjm03/-FJPG/230632-001_ESS_1.jpg</t>
  </si>
  <si>
    <t>https://dd3ka9h4chfr8.cloudfront.net/image/725136000567/image_a42uj355jl6u35a7u55im2ou70/-FJPG/230632-001_BCK_1.jpg</t>
  </si>
  <si>
    <t>https://dd3ka9h4chfr8.cloudfront.net/image/725136000567/image_101np4man935f4q9in6qhog544/-FJPG/230632-001_DET_6.jpg</t>
  </si>
  <si>
    <t>https://dd3ka9h4chfr8.cloudfront.net/image/725136000567/image_pk74e31ob93ij7o7q3qskl955t/-FJPG/230632-001_DET_7.jpg</t>
  </si>
  <si>
    <t>https://dd3ka9h4chfr8.cloudfront.net/image/725136000567/image_dd75vvd7ed1jn8oqhbuepfom5l/-FJPG/230632-001_DET_8.jpg</t>
  </si>
  <si>
    <t>Millie Nightstand - Drifted Matte Black Veneer</t>
  </si>
  <si>
    <t>https://dd3ka9h4chfr8.cloudfront.net/image/725136000567/image_gomgd09ss952b4c2iai9e7kd3a/-S150x150-FJPG/233093-001_PRM_1.jpg</t>
  </si>
  <si>
    <t>https://dd3ka9h4chfr8.cloudfront.net/image/725136000567/image_1i1huibvp935j0c2m378atgv6s/-FJPG/233093-002_FRT_1.jpg</t>
  </si>
  <si>
    <t>https://dd3ka9h4chfr8.cloudfront.net/image/725136000567/image_gomgd09ss952b4c2iai9e7kd3a/-FJPG/233093-001_PRM_1.jpg</t>
  </si>
  <si>
    <t>https://dd3ka9h4chfr8.cloudfront.net/image/725136000567/image_7fu726ahjl1st3ml1n4qs4687m/-FJPG/233093-002_PRM_1.jpg</t>
  </si>
  <si>
    <t>https://dd3ka9h4chfr8.cloudfront.net/image/725136000567/image_902eli4jhh437fj8im1ukk3o2p/-FJPG/233093-002_SID_1.jpg</t>
  </si>
  <si>
    <t>https://dd3ka9h4chfr8.cloudfront.net/image/725136000567/image_7abs5799qd11b0fktserqbna0r/-FJPG/233093-001_SID_1.jpg</t>
  </si>
  <si>
    <t>https://dd3ka9h4chfr8.cloudfront.net/image/725136000567/image_d8j3r6m4f57ml8ame7h8h4u60i/-FJPG/233093-001_ESS_1.jpg</t>
  </si>
  <si>
    <t>https://dd3ka9h4chfr8.cloudfront.net/image/725136000567/image_ceipgu8q1d6d56smrjj6573k6b/-FJPG/233093-001_DET_2.jpg</t>
  </si>
  <si>
    <t>https://dd3ka9h4chfr8.cloudfront.net/image/725136000567/image_sp611rji2d0tt4k0uhf7ctg76s/-FJPG/233093-002_DET_2.jpg</t>
  </si>
  <si>
    <t>https://dd3ka9h4chfr8.cloudfront.net/image/725136000567/image_o1u3p8f6i155h1h01tg51jio7j/-FJPG/233093-001_BCK_1.jpg</t>
  </si>
  <si>
    <t>https://dd3ka9h4chfr8.cloudfront.net/image/725136000567/image_ndca25lkt50kpbk01klb8p394q/-FJPG/233093-002_BCK_1.jpg</t>
  </si>
  <si>
    <t>https://dd3ka9h4chfr8.cloudfront.net/image/725136000567/image_tbtd6har2h79vbrb6pcsrkb51m/-FJPG/233093-002_DET_1.jpg</t>
  </si>
  <si>
    <t>https://dd3ka9h4chfr8.cloudfront.net/image/725136000567/image_202bp4vv7p0at35fnmoof5190c/-FJPG/233093-001_DET_1.jpg</t>
  </si>
  <si>
    <t>https://dd3ka9h4chfr8.cloudfront.net/image/725136000567/image_ok7kpdbk6h6o99dmpk9n0qea1a/-FJPG/233093-001_DET_3.jpg</t>
  </si>
  <si>
    <t>https://dd3ka9h4chfr8.cloudfront.net/image/725136000567/image_amtlssepf573nelb2rak6lbu5h/-FJPG/233093-002_DET_3.jpg</t>
  </si>
  <si>
    <t>https://dd3ka9h4chfr8.cloudfront.net/image/725136000567/image_8vqh93vnj97f76mdci2d9kua56/-FJPG/233093-001_OPN_1.jpg</t>
  </si>
  <si>
    <t>https://dd3ka9h4chfr8.cloudfront.net/image/725136000567/image_3ond2kecr92q5el37qpa209010/-FJPG/233093-002_OPN_1.jpg</t>
  </si>
  <si>
    <t>https://dd3ka9h4chfr8.cloudfront.net/image/725136000567/image_fm7dueceol4td0umjpadvk515q/-FJPG/233093-002_TOP_1.jpg</t>
  </si>
  <si>
    <t>https://dd3ka9h4chfr8.cloudfront.net/image/725136000567/image_ej5e5semjh5bv0ovcul6camo0g/-FJPG/233093-002_DET_4.jpg</t>
  </si>
  <si>
    <t>https://dd3ka9h4chfr8.cloudfront.net/image/725136000567/image_hjtvosqnpd1t1agpn3p5qvv41p/-FJPG/233093-001_DET_4.jpg</t>
  </si>
  <si>
    <t>https://dd3ka9h4chfr8.cloudfront.net/image/725136000567/image_44lssbj9bl0ebavjrob75rsf3e/-FJPG/233093-002_DET_5.jpg</t>
  </si>
  <si>
    <t>https://dd3ka9h4chfr8.cloudfront.net/image/725136000567/image_f834v0hbnt2fvao5pf85q3c57i/-FJPG/233093-001_DET_5.jpg</t>
  </si>
  <si>
    <t>https://dd3ka9h4chfr8.cloudfront.net/image/725136000567/image_f14ho24shd2i158rlgcp4ee34b/-FJPG/233093-001_DET_6.jpg</t>
  </si>
  <si>
    <t>https://dd3ka9h4chfr8.cloudfront.net/image/725136000567/image_h7i5cec2rh3tb80nui2g0thp62/-FJPG/233093-002_DET_6.jpg</t>
  </si>
  <si>
    <t>https://dd3ka9h4chfr8.cloudfront.net/image/725136000567/image_f2tgae3uud4pp6dc469bp6t43h/-FJPG/233093-002_DET_7.jpg</t>
  </si>
  <si>
    <t>https://dd3ka9h4chfr8.cloudfront.net/image/725136000567/image_mnh26ljcmd1cp7mve0977d9949/-FJPG/233093-001_DET_7.jpg</t>
  </si>
  <si>
    <t>https://dd3ka9h4chfr8.cloudfront.net/image/725136000567/image_tb6pjp13fp49par01vt8kdur54/-FJPG/233093-001_DET_8.jpg</t>
  </si>
  <si>
    <t>https://dd3ka9h4chfr8.cloudfront.net/image/725136000567/image_09jqvcifs14o9a033f470ue651/-FJPG/233093-002_DET_8.jpg</t>
  </si>
  <si>
    <t>https://dd3ka9h4chfr8.cloudfront.net/image/725136000567/image_r1k4orqa5h33f7kgt5aqjvoq49/-FJPG/233093-002_DET_9.jpg</t>
  </si>
  <si>
    <t>Millie Nightstand - Light Bleach Oak Veneer</t>
  </si>
  <si>
    <t>https://dd3ka9h4chfr8.cloudfront.net/image/725136000567/image_nk0sd12pod4b1fb7ck8f95c44l/-S150x150-FJPG/233093-003_PRM_1.jpg</t>
  </si>
  <si>
    <t>https://dd3ka9h4chfr8.cloudfront.net/image/725136000567/image_nk0sd12pod4b1fb7ck8f95c44l/-FJPG/233093-003_PRM_1.jpg</t>
  </si>
  <si>
    <t>https://dd3ka9h4chfr8.cloudfront.net/image/725136000567/image_ngmh0i20gp34d5iovl7vtrts00/-FJPG/233093-003_SID_1.jpg</t>
  </si>
  <si>
    <t>https://dd3ka9h4chfr8.cloudfront.net/image/725136000567/image_gnuf4kb0ih4ud5ertvqj3psu7e/-FJPG/233093-003_DET_2.jpg</t>
  </si>
  <si>
    <t>https://dd3ka9h4chfr8.cloudfront.net/image/725136000567/image_bdaimsegg962nekdjun9lmi065/-FJPG/233093-003_BCK_1.jpg</t>
  </si>
  <si>
    <t>https://dd3ka9h4chfr8.cloudfront.net/image/725136000567/image_gmqd5bdlv1223a8p8114rj6l7t/-FJPG/233093-003_DET_1.jpg</t>
  </si>
  <si>
    <t>https://dd3ka9h4chfr8.cloudfront.net/image/725136000567/image_0tjug8m3616bj8jtpvd0l2nn6u/-FJPG/233093-003_DET_3.jpg</t>
  </si>
  <si>
    <t>https://dd3ka9h4chfr8.cloudfront.net/image/725136000567/image_ce05edif6t12l07e65n929bp64/-FJPG/233093-003_OPN_1.jpg</t>
  </si>
  <si>
    <t>https://dd3ka9h4chfr8.cloudfront.net/image/725136000567/image_eqs1p7fg9l5e7e9ouvu1fqq706/-FJPG/233093-003_TOP_1.jpg</t>
  </si>
  <si>
    <t>https://dd3ka9h4chfr8.cloudfront.net/image/725136000567/image_al5hgulde93mtdf51vv9hsft0u/-FJPG/233093-003_DET_4.jpg</t>
  </si>
  <si>
    <t>https://dd3ka9h4chfr8.cloudfront.net/image/725136000567/image_u1n01icav177ra85277qak2s6j/-FJPG/233093-003_DET_5.jpg</t>
  </si>
  <si>
    <t>https://dd3ka9h4chfr8.cloudfront.net/image/725136000567/image_qe57o3gqmd0i1ecjggh38j1u5q/-FJPG/233093-003_DET_6.jpg</t>
  </si>
  <si>
    <t>https://dd3ka9h4chfr8.cloudfront.net/image/725136000567/image_2ca0obub750gv0ade4j75dgp61/-FJPG/233093-003_DET_7.jpg</t>
  </si>
  <si>
    <t>Millie Small Cabinet - Drifted Matte Black</t>
  </si>
  <si>
    <t>https://dd3ka9h4chfr8.cloudfront.net/image/725136000567/image_qn23llv14d1gfavmno0bbqm46q/-S150x150-FJPG/227825-001_PRM_1.jpg</t>
  </si>
  <si>
    <t>https://dd3ka9h4chfr8.cloudfront.net/image/725136000567/image_qn23llv14d1gfavmno0bbqm46q/-FJPG/227825-001_PRM_1.jpg</t>
  </si>
  <si>
    <t>https://dd3ka9h4chfr8.cloudfront.net/image/725136000567/image_utjg7m149p08b9u0uie10pkp4o/-FJPG/227825-001_SID_1.jpg</t>
  </si>
  <si>
    <t>https://dd3ka9h4chfr8.cloudfront.net/image/725136000567/image_1gehiigib57aj9404n8v4o2451/-FJPG/227825-001_DET_2.jpg</t>
  </si>
  <si>
    <t>https://dd3ka9h4chfr8.cloudfront.net/image/725136000567/image_cdusmcj1qp6rv0agphkkv7tj1j/-FJPG/227825-001_BCK_1.jpg</t>
  </si>
  <si>
    <t>https://dd3ka9h4chfr8.cloudfront.net/image/725136000567/image_oc5ls7hsg556fegoual4beo91g/-FJPG/227825-001_DET_1.jpg</t>
  </si>
  <si>
    <t>https://dd3ka9h4chfr8.cloudfront.net/image/725136000567/image_rn8q49h49p0h365pdic4ub5104/-FJPG/227825-001_DET_3.jpg</t>
  </si>
  <si>
    <t>https://dd3ka9h4chfr8.cloudfront.net/image/725136000567/image_plj010phq96qddch0fd5h4354l/-FJPG/227825-001_OPN_1.jpg</t>
  </si>
  <si>
    <t>https://dd3ka9h4chfr8.cloudfront.net/image/725136000567/image_3ga3fpdp4l3ebf2tv6hu7he67h/-FJPG/227825-001_DET_4.jpg</t>
  </si>
  <si>
    <t>https://dd3ka9h4chfr8.cloudfront.net/image/725136000567/image_k1riaqbb4t4jp55djd6iar686u/-FJPG/227825-001_DET_5.jpg</t>
  </si>
  <si>
    <t>https://dd3ka9h4chfr8.cloudfront.net/image/725136000567/image_46e3cnjvsd155a06uvv6r4b21c/-FJPG/227825-001_DET_6.jpg</t>
  </si>
  <si>
    <t>https://dd3ka9h4chfr8.cloudfront.net/image/725136000567/image_s1r5tla0116cv2pqgb9q45tl5d/-FJPG/227825-001_DET_7.jpg</t>
  </si>
  <si>
    <t>https://dd3ka9h4chfr8.cloudfront.net/image/725136000567/image_9igpup5f9p7avffj3nn7b6kg5e/-FJPG/227825-001_VIG_1.jpg</t>
  </si>
  <si>
    <t>https://dd3ka9h4chfr8.cloudfront.net/image/725136000567/image_sgif882t2t1rf5k45bhh42j04p/-FJPG/227825-001_OPN_2.jpg</t>
  </si>
  <si>
    <t>https://dd3ka9h4chfr8.cloudfront.net/image/725136000567/image_ciu1hiak3h7c9a2gmfjupuan0p/-FJPG/227825-001_ESS_2.jpg</t>
  </si>
  <si>
    <t>Monette Slipcover Sofa - Brussels Natural</t>
  </si>
  <si>
    <t>https://dd3ka9h4chfr8.cloudfront.net/image/725136000567/image_q6susl0kql6itenr41k4rlrf6q/-S150x150-FJPG/238680-003_PRM_1.jpg</t>
  </si>
  <si>
    <t>https://dd3ka9h4chfr8.cloudfront.net/image/725136000567/image_q6susl0kql6itenr41k4rlrf6q/-FJPG/238680-003_PRM_1.jpg</t>
  </si>
  <si>
    <t>https://dd3ka9h4chfr8.cloudfront.net/image/725136000567/image_t4tpn3447l0ipcf8la4d4rfs6t/-FJPG/238680-003_SID_1.jpg</t>
  </si>
  <si>
    <t>https://dd3ka9h4chfr8.cloudfront.net/image/725136000567/image_jmi18a4p6l08t24pdbo6r31h7b/-FJPG/238680-003_ESS_1.jpg</t>
  </si>
  <si>
    <t>https://dd3ka9h4chfr8.cloudfront.net/image/725136000567/image_iqchokte8t4s5288d593oqei1n/-FJPG/238680-003_DET_2.jpg</t>
  </si>
  <si>
    <t>https://dd3ka9h4chfr8.cloudfront.net/image/725136000567/image_p558f51ihl0rdaeu3jgri8bt1u/-FJPG/238680-003_BCK_1.jpg</t>
  </si>
  <si>
    <t>https://dd3ka9h4chfr8.cloudfront.net/image/725136000567/image_qmq17bjspd2t33qg9dful26760/-FJPG/238680-003_INF_1.jpg</t>
  </si>
  <si>
    <t>https://dd3ka9h4chfr8.cloudfront.net/image/725136000567/image_8kijg4563p2rlfg9d5k3eoqn5u/-FJPG/238680-003_DET_1.jpg</t>
  </si>
  <si>
    <t>https://dd3ka9h4chfr8.cloudfront.net/image/725136000567/image_gr6qr3ff891vp47938adtoea6k/-FJPG/238680-003_DET_3.jpg</t>
  </si>
  <si>
    <t>https://dd3ka9h4chfr8.cloudfront.net/image/725136000567/image_9vc2jb66e16i758sgus9lung25/-FJPG/238680-003_DET_4.jpg</t>
  </si>
  <si>
    <t>https://dd3ka9h4chfr8.cloudfront.net/image/725136000567/image_5ljor12fg93ob1c1rfpehr4d4e/-FJPG/238680-003_DET_5.jpg</t>
  </si>
  <si>
    <t>https://dd3ka9h4chfr8.cloudfront.net/image/725136000567/image_m73qgtps1t2m3c8h5j1th5kq00/-FJPG/238680-003_DET_6.jpg</t>
  </si>
  <si>
    <t>Montana Bed - Altro Snow</t>
  </si>
  <si>
    <t>https://dd3ka9h4chfr8.cloudfront.net/image/725136000567/image_uldtosue812pv95i5ji9o22h5q/-S150x150-FJPG/226395-001_PRM_1.jpg</t>
  </si>
  <si>
    <t>https://dd3ka9h4chfr8.cloudfront.net/image/725136000567/image_uldtosue812pv95i5ji9o22h5q/-FJPG/226395-001_PRM_1.jpg</t>
  </si>
  <si>
    <t>https://dd3ka9h4chfr8.cloudfront.net/image/725136000567/image_im6lluj0qd3vl4vlumtj9qm74s/-FJPG/226395-001_SID_1.jpg</t>
  </si>
  <si>
    <t>https://dd3ka9h4chfr8.cloudfront.net/image/725136000567/image_9hakls91hl31d0mlfugtic9e6a/-FJPG/226395-001_ESS_1.jpg</t>
  </si>
  <si>
    <t>https://dd3ka9h4chfr8.cloudfront.net/image/725136000567/image_pjac232rgl3jl5bmjlck2pt540/-FJPG/226395-001_DET_2.jpg</t>
  </si>
  <si>
    <t>https://dd3ka9h4chfr8.cloudfront.net/image/725136000567/image_fo0aoquqmh14nab5c12e1g9b73/-FJPG/226395-001_BCK_1.jpg</t>
  </si>
  <si>
    <t>https://dd3ka9h4chfr8.cloudfront.net/image/725136000567/image_m6cige5k1l4ffd3r98c76jen74/-FJPG/226395-001_DET_1.jpg</t>
  </si>
  <si>
    <t>https://dd3ka9h4chfr8.cloudfront.net/image/725136000567/image_94b74rmb0h7jbclp5edqsrjv57/-FJPG/226395-001_DET_3.jpg</t>
  </si>
  <si>
    <t>https://dd3ka9h4chfr8.cloudfront.net/image/725136000567/image_7g1899q0ol7qvbtfdej7kgvg6k/-FJPG/226395-001_DET_4.jpg</t>
  </si>
  <si>
    <t>https://dd3ka9h4chfr8.cloudfront.net/image/725136000567/image_drp3av5ie566d5e1886sud8u1k/-FJPG/226395-001_DET_5.jpg</t>
  </si>
  <si>
    <t>https://dd3ka9h4chfr8.cloudfront.net/image/725136000567/image_eoqrgha3kh0r124pnber31nn33/-FJPG/226395-001_DET_6.jpg</t>
  </si>
  <si>
    <t>https://dd3ka9h4chfr8.cloudfront.net/image/725136000567/image_s2v5s6hm8d367c94ednvstbr59/-FJPG/226395-001_DET_7.jpg</t>
  </si>
  <si>
    <t>https://dd3ka9h4chfr8.cloudfront.net/image/725136000567/image_0hj8v430ot58v1ggbvksmk4b31/-S150x150-FJPG/226395-002_PRM_1.jpg</t>
  </si>
  <si>
    <t>https://dd3ka9h4chfr8.cloudfront.net/image/725136000567/image_0hj8v430ot58v1ggbvksmk4b31/-FJPG/226395-002_PRM_1.jpg</t>
  </si>
  <si>
    <t>https://dd3ka9h4chfr8.cloudfront.net/image/725136000567/image_itsul4nf717t55n04noc745p3n/-FJPG/226395-002_SID_1.jpg</t>
  </si>
  <si>
    <t>https://dd3ka9h4chfr8.cloudfront.net/image/725136000567/image_e9c3eqgk6h349ek6kes4thpl1j/-FJPG/226395-002_ESS_1.jpg</t>
  </si>
  <si>
    <t>https://dd3ka9h4chfr8.cloudfront.net/image/725136000567/image_bbbqip1fb16i51l1klmt9vo877/-FJPG/226395-002_DET_2.jpg</t>
  </si>
  <si>
    <t>https://dd3ka9h4chfr8.cloudfront.net/image/725136000567/image_d3unp3fg0p0995g873evot2k7g/-FJPG/226395-002_BCK_1.jpg</t>
  </si>
  <si>
    <t>https://dd3ka9h4chfr8.cloudfront.net/image/725136000567/image_ci0khoesv964dad7d7mogb0q2s/-FJPG/226395-002_DET_1.jpg</t>
  </si>
  <si>
    <t>https://dd3ka9h4chfr8.cloudfront.net/image/725136000567/image_2vdrenn32d6fh14csjprpck17d/-FJPG/226395-002_DET_3.jpg</t>
  </si>
  <si>
    <t>https://dd3ka9h4chfr8.cloudfront.net/image/725136000567/image_jkm2t08fg5741c72ats0ov3e3p/-FJPG/226395-002_DET_4.jpg</t>
  </si>
  <si>
    <t>https://dd3ka9h4chfr8.cloudfront.net/image/725136000567/image_4pesqnhtkp79b4i5jqmbgef60s/-FJPG/226395-002_DET_5.jpg</t>
  </si>
  <si>
    <t>https://dd3ka9h4chfr8.cloudfront.net/image/725136000567/image_dnob0m3f3d7r779ppgpgsi8q0j/-FJPG/226395-002_DET_6.jpg</t>
  </si>
  <si>
    <t>https://dd3ka9h4chfr8.cloudfront.net/image/725136000567/image_okjne901s160vfl5m4s6alrf2g/-FJPG/226395-002_DET_7.jpg</t>
  </si>
  <si>
    <t>Montgomery Bed - Savile Flannel</t>
  </si>
  <si>
    <t>https://dd3ka9h4chfr8.cloudfront.net/image/725136000567/image_7rs1i6982h0r1c2vv956gnpq1h/-S150x150-FJPG/227776-001_PRM_1.jpg</t>
  </si>
  <si>
    <t>https://dd3ka9h4chfr8.cloudfront.net/image/725136000567/image_7rs1i6982h0r1c2vv956gnpq1h/-FJPG/227776-001_PRM_1.jpg</t>
  </si>
  <si>
    <t>https://dd3ka9h4chfr8.cloudfront.net/image/725136000567/image_4q6h0g12ml3qfdr2j1kbnda15p/-FJPG/227776-001_SID_1.jpg</t>
  </si>
  <si>
    <t>https://dd3ka9h4chfr8.cloudfront.net/image/725136000567/image_mancu3i9k547j1cu1mi2tmmq2s/-FJPG/227776-001_ESS_1.jpg</t>
  </si>
  <si>
    <t>https://dd3ka9h4chfr8.cloudfront.net/image/725136000567/image_bt9u9chc8d1991r6gb991r5m5l/-FJPG/227776-001_DET_2.jpg</t>
  </si>
  <si>
    <t>https://dd3ka9h4chfr8.cloudfront.net/image/725136000567/image_7skpua52m14etfutufadh1ec6f/-FJPG/227776-001_BCK_1.jpg</t>
  </si>
  <si>
    <t>https://dd3ka9h4chfr8.cloudfront.net/image/725136000567/image_53m0kikkud4jhc6rfnd2ht931b/-FJPG/227776-001_INF_1.jpg</t>
  </si>
  <si>
    <t>https://dd3ka9h4chfr8.cloudfront.net/image/725136000567/image_12ki5b2cet3flb4vd7sbkhjv5o/-FJPG/227776-001_DET_1.jpg</t>
  </si>
  <si>
    <t>https://dd3ka9h4chfr8.cloudfront.net/image/725136000567/image_v6hko7935t1q7ebv2o8jg2ao0t/-FJPG/227776-001_DET_3.jpg</t>
  </si>
  <si>
    <t>https://dd3ka9h4chfr8.cloudfront.net/image/725136000567/image_fb06dsi0ql5lt2b3re04nk833l/-FJPG/227776-001_DET_4.jpg</t>
  </si>
  <si>
    <t>https://dd3ka9h4chfr8.cloudfront.net/image/725136000567/image_0p84mg1ev14otcpfo584hgv40m/-FJPG/227776-001_DET_5.jpg</t>
  </si>
  <si>
    <t>https://dd3ka9h4chfr8.cloudfront.net/image/725136000567/image_ip5g0iugjh4hv84hen9kboa513/-FJPG/227776-001_DET_6.jpg</t>
  </si>
  <si>
    <t>https://dd3ka9h4chfr8.cloudfront.net/image/725136000567/image_632jk5pnv54ln05uj2leq9up7c/-FJPG/227776-001_ROM_1.jpg</t>
  </si>
  <si>
    <t>https://dd3ka9h4chfr8.cloudfront.net/image/725136000567/image_vm6rk2lqsd7opef6ilahv2822g/-S150x150-FJPG/227776-002_PRM_1.jpg</t>
  </si>
  <si>
    <t>https://dd3ka9h4chfr8.cloudfront.net/image/725136000567/image_vm6rk2lqsd7opef6ilahv2822g/-FJPG/227776-002_PRM_1.jpg</t>
  </si>
  <si>
    <t>https://dd3ka9h4chfr8.cloudfront.net/image/725136000567/image_v4cin1dj615v7b05cvmh7d0j5p/-FJPG/227776-002_SID_1.jpg</t>
  </si>
  <si>
    <t>https://dd3ka9h4chfr8.cloudfront.net/image/725136000567/image_ij8eplmplt3jbep3e6skmnlk0l/-FJPG/227776-002_DET_2.jpg</t>
  </si>
  <si>
    <t>https://dd3ka9h4chfr8.cloudfront.net/image/725136000567/image_0r3emk6brd74dcodon3mb3qt0r/-FJPG/227776-002_BCK_1.jpg</t>
  </si>
  <si>
    <t>https://dd3ka9h4chfr8.cloudfront.net/image/725136000567/image_95cbnfuao147dfkvs2fo0sm32t/-FJPG/227776-002_INF_1.jpg</t>
  </si>
  <si>
    <t>https://dd3ka9h4chfr8.cloudfront.net/image/725136000567/image_s9mj27tg9h57f39s03r78d8r4e/-FJPG/227776-002_DET_1.jpg</t>
  </si>
  <si>
    <t>https://dd3ka9h4chfr8.cloudfront.net/image/725136000567/image_328qinu45p4gv4m9svlh3hmf3t/-FJPG/227776-002_DET_3.jpg</t>
  </si>
  <si>
    <t>https://dd3ka9h4chfr8.cloudfront.net/image/725136000567/image_44e8sut7b53c325mc073l3d73g/-FJPG/227776-002_DET_4.jpg</t>
  </si>
  <si>
    <t>https://dd3ka9h4chfr8.cloudfront.net/image/725136000567/image_jsbci28eph5dtf4g92qn4ebb1j/-FJPG/227776-002_DET_5.jpg</t>
  </si>
  <si>
    <t>https://dd3ka9h4chfr8.cloudfront.net/image/725136000567/image_ouc99722mp3gl5vc00maearj7q/-FJPG/227776-002_DET_6.jpg</t>
  </si>
  <si>
    <t>https://dd3ka9h4chfr8.cloudfront.net/image/725136000567/image_gu8tpgksih3415b4tdtmakpi4o/-FJPG/227776-002_ROM_1.jpg</t>
  </si>
  <si>
    <t>Montgomery Bed - Thames Cream</t>
  </si>
  <si>
    <t>https://dd3ka9h4chfr8.cloudfront.net/image/725136000567/image_6tl7uvu9gd4r556etafttlua71/-S150x150-FJPG/227776-007_PRM_1.jpg</t>
  </si>
  <si>
    <t>https://dd3ka9h4chfr8.cloudfront.net/image/725136000567/image_6tl7uvu9gd4r556etafttlua71/-FJPG/227776-007_PRM_1.jpg</t>
  </si>
  <si>
    <t>https://dd3ka9h4chfr8.cloudfront.net/image/725136000567/image_lr2qirpl911glbt1ocjkgt4i6d/-FJPG/227776-007_SID_1.jpg</t>
  </si>
  <si>
    <t>https://dd3ka9h4chfr8.cloudfront.net/image/725136000567/image_7uq0vt8cb51sn0gsk5cav22u6s/-FJPG/227776-007_ESS_1.jpg</t>
  </si>
  <si>
    <t>https://dd3ka9h4chfr8.cloudfront.net/image/725136000567/image_i88ltg67d52qp7i4re4uadeb3k/-FJPG/227776-007_DET_2.jpg</t>
  </si>
  <si>
    <t>https://dd3ka9h4chfr8.cloudfront.net/image/725136000567/image_apljk555kh3218if9kaiqj5o7l/-FJPG/227776-007_BCK_1.jpg</t>
  </si>
  <si>
    <t>https://dd3ka9h4chfr8.cloudfront.net/image/725136000567/image_kkq9hccpnt7it4o6nl7kb05k44/-FJPG/227776-007_DET_1.jpg</t>
  </si>
  <si>
    <t>https://dd3ka9h4chfr8.cloudfront.net/image/725136000567/image_f5pn0i5s753bpbgn29s3u4cv0s/-FJPG/227776-007_DET_3.jpg</t>
  </si>
  <si>
    <t>https://dd3ka9h4chfr8.cloudfront.net/image/725136000567/image_5v747u8ach3f9850ipto1d544m/-FJPG/227776-007_TOP_1.jpg</t>
  </si>
  <si>
    <t>https://dd3ka9h4chfr8.cloudfront.net/image/725136000567/image_7epau6ef0p56f524mdj3a3fs10/-FJPG/227776-007_DET_4.jpg</t>
  </si>
  <si>
    <t>https://dd3ka9h4chfr8.cloudfront.net/image/725136000567/image_h7flmrafjh5u998i8b5g8oc30t/-FJPG/227776-007_DET_5.jpg</t>
  </si>
  <si>
    <t>https://dd3ka9h4chfr8.cloudfront.net/image/725136000567/image_argsnhefn564fb18prk3hsqn02/-S150x150-FJPG/227776-008_PRM_1.jpg</t>
  </si>
  <si>
    <t>https://dd3ka9h4chfr8.cloudfront.net/image/725136000567/image_argsnhefn564fb18prk3hsqn02/-FJPG/227776-008_PRM_1.jpg</t>
  </si>
  <si>
    <t>https://dd3ka9h4chfr8.cloudfront.net/image/725136000567/image_2bqvnlismt6599inhor5h34t07/-FJPG/227776-008_SID_1.jpg</t>
  </si>
  <si>
    <t>https://dd3ka9h4chfr8.cloudfront.net/image/725136000567/image_rspuj26a2h41p3c73m6eiu1m37/-FJPG/227776-008_ESS_1.jpg</t>
  </si>
  <si>
    <t>https://dd3ka9h4chfr8.cloudfront.net/image/725136000567/image_lc361jc43p2jncq65pjep1bn4n/-FJPG/227776-008_DET_2.jpg</t>
  </si>
  <si>
    <t>https://dd3ka9h4chfr8.cloudfront.net/image/725136000567/image_6j9d6pl5690kf1gq7o8j39002t/-FJPG/227776-008_BCK_1.jpg</t>
  </si>
  <si>
    <t>https://dd3ka9h4chfr8.cloudfront.net/image/725136000567/image_ohi52e75q17aj98km3icvej636/-FJPG/227776-008_DET_1.jpg</t>
  </si>
  <si>
    <t>https://dd3ka9h4chfr8.cloudfront.net/image/725136000567/image_lqua7s75dl08pche5skvovgs4d/-FJPG/227776-008_DET_3.jpg</t>
  </si>
  <si>
    <t>https://dd3ka9h4chfr8.cloudfront.net/image/725136000567/image_836mvp6g095jhffih6o9pcvb1a/-FJPG/227776-008_TOP_1.jpg</t>
  </si>
  <si>
    <t>https://dd3ka9h4chfr8.cloudfront.net/image/725136000567/image_0msba8bf8t3q79jdihsodgbn2b/-FJPG/227776-008_DET_4.jpg</t>
  </si>
  <si>
    <t>https://dd3ka9h4chfr8.cloudfront.net/image/725136000567/image_m3hsq2run91shcsm4cmea9o83o/-FJPG/227776-008_DET_5.jpg</t>
  </si>
  <si>
    <t>https://dd3ka9h4chfr8.cloudfront.net/image/725136000567/image_6doi34r54h66b6io6p6vhfj136/-FJPG/227776-008_DET_6.jpg</t>
  </si>
  <si>
    <t>Myakka Bar + Counter Table - Worn Oak</t>
  </si>
  <si>
    <t>https://dd3ka9h4chfr8.cloudfront.net/image/725136000567/image_6t8j7f88np24rb7aflvomrfn74/-S150x150-FJPG/236943-003_PRM_1.jpg</t>
  </si>
  <si>
    <t>https://dd3ka9h4chfr8.cloudfront.net/image/725136000567/image_6t8j7f88np24rb7aflvomrfn74/-FJPG/236943-003_PRM_1.jpg</t>
  </si>
  <si>
    <t>https://dd3ka9h4chfr8.cloudfront.net/image/725136000567/image_aqudcl5o913s72e704cfgc9u4h/-FJPG/236943-003_SID_1.jpg</t>
  </si>
  <si>
    <t>https://dd3ka9h4chfr8.cloudfront.net/image/725136000567/image_j3umvpejd52jv3t3moii4q7b43/-FJPG/236943-003_ESS.tif</t>
  </si>
  <si>
    <t>https://dd3ka9h4chfr8.cloudfront.net/image/725136000567/image_af46alqtot7ft45mikjhgehl3t/-FJPG/236943-003_DET_2.jpg</t>
  </si>
  <si>
    <t>https://dd3ka9h4chfr8.cloudfront.net/image/725136000567/image_6rg7leekvt0ujd2ss2k318nq38/-FJPG/236943-003_DET_1.jpg</t>
  </si>
  <si>
    <t>https://dd3ka9h4chfr8.cloudfront.net/image/725136000567/image_flir7obqv57mncjjso86fl575e/-FJPG/236943-003_DET_3.jpg</t>
  </si>
  <si>
    <t>https://dd3ka9h4chfr8.cloudfront.net/image/725136000567/image_u6fbd3dqa93eh7edttce30e37s/-FJPG/236943-003_DET_4.jpg</t>
  </si>
  <si>
    <t>https://dd3ka9h4chfr8.cloudfront.net/image/725136000567/image_grk0b890et1at5p04i87k0po09/-FJPG/236943-003_DET_5.jpg</t>
  </si>
  <si>
    <t>https://dd3ka9h4chfr8.cloudfront.net/image/725136000567/image_pqi30htrk960na3e5o1ugsq86m/-FJPG/236943-003_DET_6.jpg</t>
  </si>
  <si>
    <t>https://dd3ka9h4chfr8.cloudfront.net/image/725136000567/image_o0o9upnqc958t1mtqa0fearm1c/-FJPG/236943-003_DET_7.jpg</t>
  </si>
  <si>
    <t>https://dd3ka9h4chfr8.cloudfront.net/image/725136000567/image_ju1voch5pt04v1coasb3t67v7n/-FJPG/236943-003_DET_8.jpg</t>
  </si>
  <si>
    <t>https://dd3ka9h4chfr8.cloudfront.net/image/725136000567/image_odebtb6jp92sn64p29c0rcl23q/-S150x150-FJPG/236943-004_PRM_1.jpg</t>
  </si>
  <si>
    <t>https://dd3ka9h4chfr8.cloudfront.net/image/725136000567/image_odebtb6jp92sn64p29c0rcl23q/-FJPG/236943-004_PRM_1.jpg</t>
  </si>
  <si>
    <t>https://dd3ka9h4chfr8.cloudfront.net/image/725136000567/image_8shqq3cgvp1fn2vgu1mmjh9k41/-FJPG/236943-004_SID_1.jpg</t>
  </si>
  <si>
    <t>https://dd3ka9h4chfr8.cloudfront.net/image/725136000567/image_c3ck60bksl3hn884h1588nr16l/-FJPG/236943-004_ESS.tif</t>
  </si>
  <si>
    <t>https://dd3ka9h4chfr8.cloudfront.net/image/725136000567/image_85r3euvihh49v5fbsu5sjmfb1t/-FJPG/236943-004_DET_2.jpg</t>
  </si>
  <si>
    <t>https://dd3ka9h4chfr8.cloudfront.net/image/725136000567/image_l0ein7von14rtesot1va9egl1l/-FJPG/236943-004_DET_1.jpg</t>
  </si>
  <si>
    <t>https://dd3ka9h4chfr8.cloudfront.net/image/725136000567/image_pnggnhap5l65pdtqkkcetqvv62/-FJPG/236943-004_DET_4.jpg</t>
  </si>
  <si>
    <t>https://dd3ka9h4chfr8.cloudfront.net/image/725136000567/image_8i430dg6ol3th5fa8if55uck1t/-FJPG/236943-004_DET_5.jpg</t>
  </si>
  <si>
    <t>https://dd3ka9h4chfr8.cloudfront.net/image/725136000567/image_u7eh8h6bt92n719jog2h239g0q/-FJPG/236943-004_DET_7.jpg</t>
  </si>
  <si>
    <t>https://dd3ka9h4chfr8.cloudfront.net/image/725136000567/image_ogo55313kd00ld218bbpm8t46e/-FJPG/236943-004_DET_9.tif</t>
  </si>
  <si>
    <t>https://dd3ka9h4chfr8.cloudfront.net/image/725136000567/image_igvkqccis57dv6q2c35h3d1t2m/-FJPG/236943-004_DET_10.tif</t>
  </si>
  <si>
    <t>https://dd3ka9h4chfr8.cloudfront.net/image/725136000567/image_nke3k4daul67h00pch3233c52f/-FJPG/236943-004_DET_11.tif</t>
  </si>
  <si>
    <t>https://dd3ka9h4chfr8.cloudfront.net/image/725136000567/image_i9vhikp1rd4r3bog379l2jte34/-FJPG/236943-004_DET_12.tif</t>
  </si>
  <si>
    <t>Myla Coffee Table - Aged Brown</t>
  </si>
  <si>
    <t>https://dd3ka9h4chfr8.cloudfront.net/image/725136000567/image_i96t8rdm5l7tb0uhv9bfi4ml28/-S150x150-FJPG/229300-002_PRM_1.jpg</t>
  </si>
  <si>
    <t>https://dd3ka9h4chfr8.cloudfront.net/image/725136000567/image_i96t8rdm5l7tb0uhv9bfi4ml28/-FJPG/229300-002_PRM_1.jpg</t>
  </si>
  <si>
    <t>https://dd3ka9h4chfr8.cloudfront.net/image/725136000567/image_3usnbkh4hp1fv1u2cv7vm80r7n/-FJPG/229300-002_SID_1.jpg</t>
  </si>
  <si>
    <t>https://dd3ka9h4chfr8.cloudfront.net/image/725136000567/image_qqhbi4226l1q9cugj8h4qbhh0d/-FJPG/229300-002_ESS_1.jpg</t>
  </si>
  <si>
    <t>https://dd3ka9h4chfr8.cloudfront.net/image/725136000567/image_i99evlqnmp75neg1rc48mecc2n/-FJPG/229300-002_DET_2.jpg</t>
  </si>
  <si>
    <t>https://dd3ka9h4chfr8.cloudfront.net/image/725136000567/image_4f7lilmtkd70963cup8ild5k5v/-FJPG/229300-002_DET_1.jpg</t>
  </si>
  <si>
    <t>https://dd3ka9h4chfr8.cloudfront.net/image/725136000567/image_kqq53ibts949v7t3jmqhkotm18/-FJPG/229300-002_TOP_1.jpg</t>
  </si>
  <si>
    <t>https://dd3ka9h4chfr8.cloudfront.net/image/725136000567/image_9seesdlb2d2jb0q7e1s394981i/-FJPG/229300-002_DET_4.jpg</t>
  </si>
  <si>
    <t>Neda End Table - Ebony Marble</t>
  </si>
  <si>
    <t>https://dd3ka9h4chfr8.cloudfront.net/image/725136000567/image_5svclr9ta92qpe3hq6qpdp9m5e/-S150x150-FJPG/228902-004_PRM_1.jpg</t>
  </si>
  <si>
    <t>https://dd3ka9h4chfr8.cloudfront.net/image/725136000567/image_5svclr9ta92qpe3hq6qpdp9m5e/-FJPG/228902-004_PRM_1.jpg</t>
  </si>
  <si>
    <t>https://dd3ka9h4chfr8.cloudfront.net/image/725136000567/image_aropro0r1d36705gafpl4lup6p/-FJPG/228902-004_ESS_1.jpg</t>
  </si>
  <si>
    <t>https://dd3ka9h4chfr8.cloudfront.net/image/725136000567/image_ee81sslfn53av68k460os19821/-FJPG/228902-004_DET_2.jpg</t>
  </si>
  <si>
    <t>https://dd3ka9h4chfr8.cloudfront.net/image/725136000567/image_3ptpommvrh5i15jt0ed7gavr6n/-FJPG/228902-004_DET_1.jpg</t>
  </si>
  <si>
    <t>https://dd3ka9h4chfr8.cloudfront.net/image/725136000567/image_pre6auic7l5vj2usk2nccm1n0q/-FJPG/228902-004_DET_3.jpg</t>
  </si>
  <si>
    <t>https://dd3ka9h4chfr8.cloudfront.net/image/725136000567/image_9q0lrt8p3d3n7ckc8ep3du3t77/-FJPG/228902-004_TOP_1.jpg</t>
  </si>
  <si>
    <t>https://dd3ka9h4chfr8.cloudfront.net/image/725136000567/image_pn6c6a3ea523n3fu15rg49s167/-FJPG/228902-004_DET_4.jpg</t>
  </si>
  <si>
    <t>https://dd3ka9h4chfr8.cloudfront.net/image/725136000567/image_fj0td2rqgh48n6ku2tt8t5rm24/-FJPG/228902-004_DET_5.jpg</t>
  </si>
  <si>
    <t>https://dd3ka9h4chfr8.cloudfront.net/image/725136000567/image_dokav82d6d6u15n8m5sakonj6j/-FJPG/228902-004_DET_6.jpg</t>
  </si>
  <si>
    <t>Neda End Table - Polished White Marble</t>
  </si>
  <si>
    <t>https://dd3ka9h4chfr8.cloudfront.net/image/725136000567/image_fh538clsm96q5c8qcgknks7g6j/-S150x150-FJPG/228902-003_PRM_1.jpg</t>
  </si>
  <si>
    <t>https://dd3ka9h4chfr8.cloudfront.net/image/725136000567/image_fh538clsm96q5c8qcgknks7g6j/-FJPG/228902-003_PRM_1.jpg</t>
  </si>
  <si>
    <t>https://dd3ka9h4chfr8.cloudfront.net/image/725136000567/image_figed0eipl6nj2susdtt6bae0f/-FJPG/228902-003_ESS_1.jpg</t>
  </si>
  <si>
    <t>https://dd3ka9h4chfr8.cloudfront.net/image/725136000567/image_mv14h1sdv535n278k6dmtruk0j/-FJPG/228902-003_DET_2.jpg</t>
  </si>
  <si>
    <t>https://dd3ka9h4chfr8.cloudfront.net/image/725136000567/image_vp2h8v6uc5551de9e8gg6dcr4r/-FJPG/228902-003_DET_1.jpg</t>
  </si>
  <si>
    <t>https://dd3ka9h4chfr8.cloudfront.net/image/725136000567/image_fp4rt7qn7567pd11riivp0fk2r/-FJPG/228902-003_DET_3.jpg</t>
  </si>
  <si>
    <t>https://dd3ka9h4chfr8.cloudfront.net/image/725136000567/image_b47kdkej396m302l8bg3nql730/-FJPG/228902-003_TOP_1.jpg</t>
  </si>
  <si>
    <t>https://dd3ka9h4chfr8.cloudfront.net/image/725136000567/image_c955rdfv5p3ufadlust69r1v3k/-FJPG/228902-003_DET_4.jpg</t>
  </si>
  <si>
    <t>https://dd3ka9h4chfr8.cloudfront.net/image/725136000567/image_osb7a4irup17v0lbaibj5g122r/-FJPG/228902-003_DET_5.jpg</t>
  </si>
  <si>
    <t>https://dd3ka9h4chfr8.cloudfront.net/image/725136000567/image_t7d3kmqvil56v4dpe1sfi9e472/-FJPG/228902-003_DET_6.jpg</t>
  </si>
  <si>
    <t>Newhall Bed - 55" - Vintage Tobacco</t>
  </si>
  <si>
    <t>https://dd3ka9h4chfr8.cloudfront.net/image/725136000567/image_vdbjcj58gl7b13cr1qfc5up30p/-S150x150-FJPG/106113-011_PRM_1.jpg</t>
  </si>
  <si>
    <t>https://dd3ka9h4chfr8.cloudfront.net/image/725136000567/image_vdbjcj58gl7b13cr1qfc5up30p/-FJPG/106113-011_PRM_1.jpg</t>
  </si>
  <si>
    <t>https://dd3ka9h4chfr8.cloudfront.net/image/725136000567/image_dclueeophh1jb7ivs428hu2q0u/-FJPG/106113-011_SID_1.jpg</t>
  </si>
  <si>
    <t>https://dd3ka9h4chfr8.cloudfront.net/image/725136000567/image_bsjv7j4bch26t3f33f1o22e11q/-FJPG/106113-011_DET_2.jpg</t>
  </si>
  <si>
    <t>https://dd3ka9h4chfr8.cloudfront.net/image/725136000567/image_dtmgrp07hd7bfd6ojpfv6kvk2t/-FJPG/106113-011_BCK_1.jpg</t>
  </si>
  <si>
    <t>https://dd3ka9h4chfr8.cloudfront.net/image/725136000567/image_kqmp46fk090o78ml5u2vr27h3o/-FJPG/106113-011_DET_1.jpg</t>
  </si>
  <si>
    <t>https://dd3ka9h4chfr8.cloudfront.net/image/725136000567/image_t23boab3350q3be6rogfhbag69/-FJPG/106113-011_DET_3.jpg</t>
  </si>
  <si>
    <t>https://dd3ka9h4chfr8.cloudfront.net/image/725136000567/image_o32kta9psp56hc2gtje43k083o/-FJPG/106113-011_DET_4.jpg</t>
  </si>
  <si>
    <t>https://dd3ka9h4chfr8.cloudfront.net/image/725136000567/image_vp7mlcfj71587c55duafhd6p6g/-FJPG/106113-011_DET_5.jpg</t>
  </si>
  <si>
    <t>https://dd3ka9h4chfr8.cloudfront.net/image/725136000567/image_g0etemlosp7uj81jtid4s6cg09/-S150x150-FJPG/106113-012_PRM_1.jpg</t>
  </si>
  <si>
    <t>https://dd3ka9h4chfr8.cloudfront.net/image/725136000567/image_g0etemlosp7uj81jtid4s6cg09/-FJPG/106113-012_PRM_1.jpg</t>
  </si>
  <si>
    <t>https://dd3ka9h4chfr8.cloudfront.net/image/725136000567/image_04l20gnech6nv9n47i84g6c97s/-FJPG/106113-012_SID_1.jpg</t>
  </si>
  <si>
    <t>https://dd3ka9h4chfr8.cloudfront.net/image/725136000567/image_67kc2ddn9l28j5tg6bflu1dn31/-FJPG/106113-012_DET_2.jpg</t>
  </si>
  <si>
    <t>https://dd3ka9h4chfr8.cloudfront.net/image/725136000567/image_n7bm57nu9t0dddnalsj21v543s/-FJPG/106113-012_BCK_1.jpg</t>
  </si>
  <si>
    <t>https://dd3ka9h4chfr8.cloudfront.net/image/725136000567/image_0a7cmjds25429c4klh8jl7jt2o/-FJPG/106113-012_DET_1.jpg</t>
  </si>
  <si>
    <t>https://dd3ka9h4chfr8.cloudfront.net/image/725136000567/image_sgme0sp8b90l15uujcja3ad21n/-FJPG/106113-012_DET_3.jpg</t>
  </si>
  <si>
    <t>https://dd3ka9h4chfr8.cloudfront.net/image/725136000567/image_c6qp4jfcc10sf7vt11o6kllo0o/-FJPG/106113-012_DET_4.jpg</t>
  </si>
  <si>
    <t>https://dd3ka9h4chfr8.cloudfront.net/image/725136000567/image_f615ernqlp42t6fpvqctqa6o70/-FJPG/106113-012_DET_5.jpg</t>
  </si>
  <si>
    <t>Newhall Bed - Plushtone Linen</t>
  </si>
  <si>
    <t>https://dd3ka9h4chfr8.cloudfront.net/image/725136000567/image_4d0tivfm31583ejduag3b40q6m/-S150x150-FJPG/105969-029_PRM_1.jpg</t>
  </si>
  <si>
    <t>https://dd3ka9h4chfr8.cloudfront.net/image/725136000567/image_4d0tivfm31583ejduag3b40q6m/-FJPG/105969-029_PRM_1.jpg</t>
  </si>
  <si>
    <t>https://dd3ka9h4chfr8.cloudfront.net/image/725136000567/image_8ulaac2m0d36r7lt2mm3qj5q0u/-FJPG/105969-029_SID_1.jpg</t>
  </si>
  <si>
    <t>https://dd3ka9h4chfr8.cloudfront.net/image/725136000567/image_q1cvjcs20d4ij8j0e4mva0es6p/-FJPG/105969-029_DET_2.jpg</t>
  </si>
  <si>
    <t>https://dd3ka9h4chfr8.cloudfront.net/image/725136000567/image_3togar9og57hp86p5ksm4q7m4i/-FJPG/105969-029_BCK_1.jpg</t>
  </si>
  <si>
    <t>https://dd3ka9h4chfr8.cloudfront.net/image/725136000567/image_2v9976eth122517okebbn1lt3r/-FJPG/105969-029_DET_1.jpg</t>
  </si>
  <si>
    <t>https://dd3ka9h4chfr8.cloudfront.net/image/725136000567/image_bn69hkda6d58b4egc8d4ngqd5p/-FJPG/105969-029_DET_3.jpg</t>
  </si>
  <si>
    <t>https://dd3ka9h4chfr8.cloudfront.net/image/725136000567/image_guoeqhhhlp41f6d0m49jhivs12/-FJPG/105969-029_DET_4.jpg</t>
  </si>
  <si>
    <t>https://dd3ka9h4chfr8.cloudfront.net/image/725136000567/image_udklt1ojj12tnbll3m4jlfpl4v/-FJPG/105969-029_DET_5.jpg</t>
  </si>
  <si>
    <t>https://dd3ka9h4chfr8.cloudfront.net/image/725136000567/image_76uos7qc5t3pb9gb7jb6ejid1f/-S150x150-FJPG/105969-030_PRM_1.jpg</t>
  </si>
  <si>
    <t>https://dd3ka9h4chfr8.cloudfront.net/image/725136000567/image_76uos7qc5t3pb9gb7jb6ejid1f/-FJPG/105969-030_PRM_1.jpg</t>
  </si>
  <si>
    <t>https://dd3ka9h4chfr8.cloudfront.net/image/725136000567/image_8omec049hl5ah3gur74mpgpj5o/-FJPG/105969-030_SID_1.jpg</t>
  </si>
  <si>
    <t>https://dd3ka9h4chfr8.cloudfront.net/image/725136000567/image_7c22p5qkkd3n51ptij5a3thu1h/-FJPG/105969-030_DET_2.jpg</t>
  </si>
  <si>
    <t>https://dd3ka9h4chfr8.cloudfront.net/image/725136000567/image_72uk4jiau53i7epiot4p4j747m/-FJPG/105969-030_BCK_1.jpg</t>
  </si>
  <si>
    <t>https://dd3ka9h4chfr8.cloudfront.net/image/725136000567/image_lubv1mp6j534b038rpidi5ci0f/-FJPG/105969-030_DET_1.jpg</t>
  </si>
  <si>
    <t>https://dd3ka9h4chfr8.cloudfront.net/image/725136000567/image_i7pjk7bhtd6sp72gqdsrs2vt65/-FJPG/105969-030_DET_3.jpg</t>
  </si>
  <si>
    <t>https://dd3ka9h4chfr8.cloudfront.net/image/725136000567/image_4ahoc3uid91r578u649ujuae06/-FJPG/105969-030_DET_4.jpg</t>
  </si>
  <si>
    <t>https://dd3ka9h4chfr8.cloudfront.net/image/725136000567/image_khclmpp5s53shcr9eelm7m760b/-FJPG/105969-030_DET_5.jpg</t>
  </si>
  <si>
    <t>https://dd3ka9h4chfr8.cloudfront.net/image/725136000567/image_p8v7aumgb52ob62ji0066fau0p/-FJPG/105969-030_DET_6.jpg</t>
  </si>
  <si>
    <t>Newhall Bed - Vintage Tobacco</t>
  </si>
  <si>
    <t>https://dd3ka9h4chfr8.cloudfront.net/image/725136000567/image_fnkseoambh4bja1ahl84gd0q1v/-S150x150-FJPG/105969-031_PRM_1.jpg</t>
  </si>
  <si>
    <t>https://dd3ka9h4chfr8.cloudfront.net/image/725136000567/image_fnkseoambh4bja1ahl84gd0q1v/-FJPG/105969-031_PRM_1.jpg</t>
  </si>
  <si>
    <t>https://dd3ka9h4chfr8.cloudfront.net/image/725136000567/image_j3mdtadm6l0hhc3uk5vn97m25q/-FJPG/105969-031_SID_1.jpg</t>
  </si>
  <si>
    <t>https://dd3ka9h4chfr8.cloudfront.net/image/725136000567/image_sit6dj0rmp7998v3imjnp5tq0k/-FJPG/105969-031_DET_2.jpg</t>
  </si>
  <si>
    <t>https://dd3ka9h4chfr8.cloudfront.net/image/725136000567/image_vt13m137h17ufft5apnjsvlf7b/-FJPG/105969-031_BCK_1.jpg</t>
  </si>
  <si>
    <t>https://dd3ka9h4chfr8.cloudfront.net/image/725136000567/image_mrngdr0i716f7913d1p0nu5k2r/-FJPG/105969-031_DET_1.jpg</t>
  </si>
  <si>
    <t>https://dd3ka9h4chfr8.cloudfront.net/image/725136000567/image_9bf1ra8b0575b14rallq8tqs14/-FJPG/105969-031_DET_3.jpg</t>
  </si>
  <si>
    <t>https://dd3ka9h4chfr8.cloudfront.net/image/725136000567/image_h9sfa0l9hl6v50tup9mthp9t6n/-FJPG/105969-031_DET_4.jpg</t>
  </si>
  <si>
    <t>https://dd3ka9h4chfr8.cloudfront.net/image/725136000567/image_hu9gjr8k3d0dn0q3ano2nbv43t/-FJPG/105969-031_DET_5.jpg</t>
  </si>
  <si>
    <t>https://dd3ka9h4chfr8.cloudfront.net/image/725136000567/image_jkumu53aip7o920tsju43b0q40/-FJPG/105969-031_DET_6.jpg</t>
  </si>
  <si>
    <t>https://dd3ka9h4chfr8.cloudfront.net/image/725136000567/image_gvp5c3svp92c9cgqimrt8e3b61/-FJPG/105969-031_ROM_1.jpg</t>
  </si>
  <si>
    <t>https://dd3ka9h4chfr8.cloudfront.net/image/725136000567/image_409v1mnuph347f7abl5lqlbp0u/-S150x150-FJPG/105969-032_PRM_1.jpg</t>
  </si>
  <si>
    <t>https://dd3ka9h4chfr8.cloudfront.net/image/725136000567/image_409v1mnuph347f7abl5lqlbp0u/-FJPG/105969-032_PRM_1.jpg</t>
  </si>
  <si>
    <t>https://dd3ka9h4chfr8.cloudfront.net/image/725136000567/image_ot85cipp2d3arfrb29pvjss92k/-FJPG/105969-032_SID_1.jpg</t>
  </si>
  <si>
    <t>https://dd3ka9h4chfr8.cloudfront.net/image/725136000567/image_cf6j9q5bjh16l0p6aeqn3l8k2b/-FJPG/105969-032_DET_2.jpg</t>
  </si>
  <si>
    <t>https://dd3ka9h4chfr8.cloudfront.net/image/725136000567/image_3ge82vs7ht215aun33nn7r6r3q/-FJPG/105969-032_BCK_1.jpg</t>
  </si>
  <si>
    <t>https://dd3ka9h4chfr8.cloudfront.net/image/725136000567/image_3thuc7bqs120p4c4lgj99mqt3m/-FJPG/105969-032_DET_1.jpg</t>
  </si>
  <si>
    <t>https://dd3ka9h4chfr8.cloudfront.net/image/725136000567/image_bkt1q6883d00d1cqm19hhuq771/-FJPG/105969-032_DET_3.jpg</t>
  </si>
  <si>
    <t>https://dd3ka9h4chfr8.cloudfront.net/image/725136000567/image_o9flf6i6ql627cnvsttkn4931f/-FJPG/105969-032_DET_4.jpg</t>
  </si>
  <si>
    <t>https://dd3ka9h4chfr8.cloudfront.net/image/725136000567/image_env0hi4tp17nh3msjn7r4f4s1c/-FJPG/105969-032_DET_5.jpg</t>
  </si>
  <si>
    <t>https://dd3ka9h4chfr8.cloudfront.net/image/725136000567/image_tvppt83mj91dt7aml4o1opvi1c/-FJPG/105969-032_DET_6.jpg</t>
  </si>
  <si>
    <t>https://dd3ka9h4chfr8.cloudfront.net/image/725136000567/image_n96rkcgnm50frd9gu0vi7is91m/-FJPG/105969-032_ROM_1.jpg</t>
  </si>
  <si>
    <t>Newton Media Console - Brown</t>
  </si>
  <si>
    <t>https://dd3ka9h4chfr8.cloudfront.net/image/725136000567/image_1j5d793n7p2fl6k3hdnkr4jd4v/-S150x150-FJPG/239747-001_PRM_1.jpg</t>
  </si>
  <si>
    <t>https://dd3ka9h4chfr8.cloudfront.net/image/725136000567/image_1j5d793n7p2fl6k3hdnkr4jd4v/-FJPG/239747-001_PRM_1.jpg</t>
  </si>
  <si>
    <t>https://dd3ka9h4chfr8.cloudfront.net/image/725136000567/image_q63rblausl1o9efp80ul3lpc3g/-FJPG/239747-001_SID_1.jpg</t>
  </si>
  <si>
    <t>https://dd3ka9h4chfr8.cloudfront.net/image/725136000567/image_hff23u0ir915726hjnagdvlh23/-FJPG/239747-001_ESS_1.tif</t>
  </si>
  <si>
    <t>https://dd3ka9h4chfr8.cloudfront.net/image/725136000567/image_168ti97sol0c11aksmaq3i2t0p/-FJPG/239747-001_DET_2.jpg</t>
  </si>
  <si>
    <t>https://dd3ka9h4chfr8.cloudfront.net/image/725136000567/image_3cnu04kagt1ar7p4e6tebevd50/-FJPG/239747-001_BCK_1.jpg</t>
  </si>
  <si>
    <t>https://dd3ka9h4chfr8.cloudfront.net/image/725136000567/image_dhaver26e53037v8kpetssu43i/-FJPG/239747-001_DET_1.jpg</t>
  </si>
  <si>
    <t>https://dd3ka9h4chfr8.cloudfront.net/image/725136000567/image_abqa3ssfq12lj0p7hph77tld76/-FJPG/239747-001_DET_3.jpg</t>
  </si>
  <si>
    <t>https://dd3ka9h4chfr8.cloudfront.net/image/725136000567/image_d542rk8koh33d7i804akdo1o18/-FJPG/239747-001_OPN_1.jpg</t>
  </si>
  <si>
    <t>https://dd3ka9h4chfr8.cloudfront.net/image/725136000567/image_p9b1qgn8tp2lj1m0emotb1k63d/-FJPG/239747-001_DET_4.jpg</t>
  </si>
  <si>
    <t>https://dd3ka9h4chfr8.cloudfront.net/image/725136000567/image_pvi12v8o4d3st8d08nvqoph67o/-FJPG/239747-001_DET_5.jpg</t>
  </si>
  <si>
    <t>https://dd3ka9h4chfr8.cloudfront.net/image/725136000567/image_ah8g4qqq7l7dd31tt346nl8b3q/-FJPG/239747-001_DET_6.jpg</t>
  </si>
  <si>
    <t>https://dd3ka9h4chfr8.cloudfront.net/image/725136000567/image_p4ua1rahod4ntd5r6ldtrvtu3l/-FJPG/239747-001_DET_7.jpg</t>
  </si>
  <si>
    <t>https://dd3ka9h4chfr8.cloudfront.net/image/725136000567/image_dtvv910ri917n7sfcce7e6i66b/-FJPG/239747-001_DET_8.jpg</t>
  </si>
  <si>
    <t>Nigel 6 Drawer Dresser - Rustic Brown Acacia</t>
  </si>
  <si>
    <t>https://dd3ka9h4chfr8.cloudfront.net/image/725136000567/image_j2bsgp3a8p7jr26id3oh704g1q/-S150x150-FJPG/243272-001_PRM_1.jpg</t>
  </si>
  <si>
    <t>https://dd3ka9h4chfr8.cloudfront.net/image/725136000567/image_j2bsgp3a8p7jr26id3oh704g1q/-FJPG/243272-001_PRM_1.jpg</t>
  </si>
  <si>
    <t>https://dd3ka9h4chfr8.cloudfront.net/image/725136000567/image_mb5fnruqod0711nnnn3q28ul5k/-FJPG/243272-001_SID_1.jpg</t>
  </si>
  <si>
    <t>https://dd3ka9h4chfr8.cloudfront.net/image/725136000567/image_17sr1tfejl56fcl9827ap9153c/-FJPG/243272-001_ESS.tif</t>
  </si>
  <si>
    <t>https://dd3ka9h4chfr8.cloudfront.net/image/725136000567/image_n3qtccqibd6h543csgghfakt3c/-FJPG/243272-001_DET_2.jpg</t>
  </si>
  <si>
    <t>https://dd3ka9h4chfr8.cloudfront.net/image/725136000567/image_15khmhnhjd27t8c7v6888nom2c/-FJPG/243272-001_BCK_1.jpg</t>
  </si>
  <si>
    <t>https://dd3ka9h4chfr8.cloudfront.net/image/725136000567/image_o5euu86vpp2rfbm9bf04ev3m0j/-FJPG/243272-001_DET_1.jpg</t>
  </si>
  <si>
    <t>https://dd3ka9h4chfr8.cloudfront.net/image/725136000567/image_9f5314ugcd4gf5h03onvl0rf67/-FJPG/243272-001_DET_3.jpg</t>
  </si>
  <si>
    <t>https://dd3ka9h4chfr8.cloudfront.net/image/725136000567/image_l4stsnudb178vaslmfv298pd4m/-FJPG/243272-001_OPN_1.jpg</t>
  </si>
  <si>
    <t>https://dd3ka9h4chfr8.cloudfront.net/image/725136000567/image_humvcbnag97s18f8vcdsl4qg6n/-FJPG/243272-001_DET_4.jpg</t>
  </si>
  <si>
    <t>https://dd3ka9h4chfr8.cloudfront.net/image/725136000567/image_e3ha4vihph7g99i1shir2as15b/-FJPG/243272-001_DET_5.jpg</t>
  </si>
  <si>
    <t>https://dd3ka9h4chfr8.cloudfront.net/image/725136000567/image_flfnp9m76541b924an31ca673k/-FJPG/243272-001_DET_6.jpg</t>
  </si>
  <si>
    <t>https://dd3ka9h4chfr8.cloudfront.net/image/725136000567/image_v5li8uo0u10pp5jhmbmpfru66j/-FJPG/243272-001_DET_9.tif</t>
  </si>
  <si>
    <t>Noeline 6-Drawer Dresser - Resawn Worn Oak</t>
  </si>
  <si>
    <t>https://dd3ka9h4chfr8.cloudfront.net/image/725136000567/image_129uis32953enea9i0lppuvv3n/-S150x150-FJPG/240593-002_PRM_1.jpg</t>
  </si>
  <si>
    <t>https://dd3ka9h4chfr8.cloudfront.net/image/725136000567/image_129uis32953enea9i0lppuvv3n/-FJPG/240593-002_PRM_1.jpg</t>
  </si>
  <si>
    <t>https://dd3ka9h4chfr8.cloudfront.net/image/725136000567/image_8gfb0vb7qt3dh89jc9b1l70712/-FJPG/240593-002_SID_1.jpg</t>
  </si>
  <si>
    <t>https://dd3ka9h4chfr8.cloudfront.net/image/725136000567/image_oilbnn20h54ln771ev4k7jjl3e/-FJPG/240593-002_DET_2.jpg</t>
  </si>
  <si>
    <t>https://dd3ka9h4chfr8.cloudfront.net/image/725136000567/image_8u2vc1306t1l77m91g614klk5t/-FJPG/240593-002_BCK_1.jpg</t>
  </si>
  <si>
    <t>https://dd3ka9h4chfr8.cloudfront.net/image/725136000567/image_fld9sub2q51nn61ghj2neo1o5n/-FJPG/240593-002_DET_1.jpg</t>
  </si>
  <si>
    <t>https://dd3ka9h4chfr8.cloudfront.net/image/725136000567/image_0dtscmnv9t1npcpugmvisot86u/-FJPG/240593-002_DET_3.jpg</t>
  </si>
  <si>
    <t>https://dd3ka9h4chfr8.cloudfront.net/image/725136000567/image_4naboo102l6r342b38ep8i3e65/-FJPG/240593-002_OPN_1.jpg</t>
  </si>
  <si>
    <t>https://dd3ka9h4chfr8.cloudfront.net/image/725136000567/image_kjci0giv1t4ht57m5liicq6979/-FJPG/240593-002_DET_4.jpg</t>
  </si>
  <si>
    <t>https://dd3ka9h4chfr8.cloudfront.net/image/725136000567/image_06covugl55141cij9t042scl1m/-FJPG/240593-002_DET_5.jpg</t>
  </si>
  <si>
    <t>https://dd3ka9h4chfr8.cloudfront.net/image/725136000567/image_ag1q1gcd712nfef5ep4e428k3g/-FJPG/240593-002_DET_6.jpg</t>
  </si>
  <si>
    <t>Noeline 6-Drawer Dresser - Smoked Black Oak Veneer</t>
  </si>
  <si>
    <t>https://dd3ka9h4chfr8.cloudfront.net/image/725136000567/image_l9mkrm4cgh54fchdh849pkai7h/-S150x150-FJPG/240593-001_PRM_1.jpg</t>
  </si>
  <si>
    <t>https://dd3ka9h4chfr8.cloudfront.net/image/725136000567/image_l9mkrm4cgh54fchdh849pkai7h/-FJPG/240593-001_PRM_1.jpg</t>
  </si>
  <si>
    <t>https://dd3ka9h4chfr8.cloudfront.net/image/725136000567/image_urbqhe5i1l7f51559rghsuro24/-FJPG/240593-001_SID_1.jpg</t>
  </si>
  <si>
    <t>https://dd3ka9h4chfr8.cloudfront.net/image/725136000567/image_u5mm1bhh2h0918js408abrd44f/-FJPG/240593-001_DET_2.jpg</t>
  </si>
  <si>
    <t>https://dd3ka9h4chfr8.cloudfront.net/image/725136000567/image_g9pil3aqvt6892a8comd5ksd74/-FJPG/240593-001_BCK_1.jpg</t>
  </si>
  <si>
    <t>https://dd3ka9h4chfr8.cloudfront.net/image/725136000567/image_vmql9koskh7fpc693lfq4n833b/-FJPG/240593-001_DET_1.jpg</t>
  </si>
  <si>
    <t>https://dd3ka9h4chfr8.cloudfront.net/image/725136000567/image_rlhhihfu5l279eomg61ajphg1f/-FJPG/240593-001_DET_3.jpg</t>
  </si>
  <si>
    <t>https://dd3ka9h4chfr8.cloudfront.net/image/725136000567/image_pds3qqk7ip2pp235o2fbhkvp2e/-FJPG/240593-001_OPN_1.jpg</t>
  </si>
  <si>
    <t>https://dd3ka9h4chfr8.cloudfront.net/image/725136000567/image_3knli2gd8915j9vnof56avcf2l/-FJPG/240593-001_DET_4.jpg</t>
  </si>
  <si>
    <t>https://dd3ka9h4chfr8.cloudfront.net/image/725136000567/image_9g000ljg7t5qp6g27u92l51o6g/-FJPG/240593-001_DET_5.jpg</t>
  </si>
  <si>
    <t>https://dd3ka9h4chfr8.cloudfront.net/image/725136000567/image_r5mmgq4fkd0qf8sd531kh6ih2o/-FJPG/240593-001_DET_6.jpg</t>
  </si>
  <si>
    <t>https://dd3ka9h4chfr8.cloudfront.net/image/725136000567/image_idcn64dgjh44vdr4bnuqqhl62d/-FJPG/240593-001_ESS.tif</t>
  </si>
  <si>
    <t>Noeline Nightstand - Resawn Worn Oak</t>
  </si>
  <si>
    <t>https://dd3ka9h4chfr8.cloudfront.net/image/725136000567/image_hiissu369l03vbfqvjak9rgn16/-S150x150-FJPG/241072-002_PRM_1.jpg</t>
  </si>
  <si>
    <t>https://dd3ka9h4chfr8.cloudfront.net/image/725136000567/image_hiissu369l03vbfqvjak9rgn16/-FJPG/241072-002_PRM_1.jpg</t>
  </si>
  <si>
    <t>https://dd3ka9h4chfr8.cloudfront.net/image/725136000567/image_r6u8imnhrd3mvepe44use1ee2c/-FJPG/241072-002_SID_1.jpg</t>
  </si>
  <si>
    <t>https://dd3ka9h4chfr8.cloudfront.net/image/725136000567/image_celmg9k3e91535bsmsmaikio3j/-FJPG/241072-002_DET_2.jpg</t>
  </si>
  <si>
    <t>https://dd3ka9h4chfr8.cloudfront.net/image/725136000567/image_4429v9im9d3hbfak886n2pu33b/-FJPG/241072-002_BCK_1.jpg</t>
  </si>
  <si>
    <t>https://dd3ka9h4chfr8.cloudfront.net/image/725136000567/image_l2difgn1510ej96kkiitmvg734/-FJPG/241072-002_DET_1.jpg</t>
  </si>
  <si>
    <t>https://dd3ka9h4chfr8.cloudfront.net/image/725136000567/image_28eb6m3d4l2kb45j0j213r6b7u/-FJPG/241072-002_DET_3.jpg</t>
  </si>
  <si>
    <t>https://dd3ka9h4chfr8.cloudfront.net/image/725136000567/image_8lvrnb4ajl47703pun5p1inl0n/-FJPG/241072-002_OPN_1.jpg</t>
  </si>
  <si>
    <t>https://dd3ka9h4chfr8.cloudfront.net/image/725136000567/image_2n0pc2n04h5lf5ackgnfe9r609/-FJPG/241072-002_DET_4.jpg</t>
  </si>
  <si>
    <t>https://dd3ka9h4chfr8.cloudfront.net/image/725136000567/image_81jg1d9d855uldpm4rvoffra62/-FJPG/241072-002_DET_5.jpg</t>
  </si>
  <si>
    <t>https://dd3ka9h4chfr8.cloudfront.net/image/725136000567/image_c4ev3tde6t3bj2r4jlp30gs37s/-FJPG/241072-002_DET_6.jpg</t>
  </si>
  <si>
    <t>Noeline Nightstand - Smoked Black Oak Veneer</t>
  </si>
  <si>
    <t>https://dd3ka9h4chfr8.cloudfront.net/image/725136000567/image_9porhegqr90ode0md8f4dt5f2r/-S150x150-FJPG/241072-001_PRM_1.jpg</t>
  </si>
  <si>
    <t>https://dd3ka9h4chfr8.cloudfront.net/image/725136000567/image_9porhegqr90ode0md8f4dt5f2r/-FJPG/241072-001_PRM_1.jpg</t>
  </si>
  <si>
    <t>https://dd3ka9h4chfr8.cloudfront.net/image/725136000567/image_9g3on8sj195ch9p0lq874t134v/-FJPG/241072-001_SID_1.jpg</t>
  </si>
  <si>
    <t>https://dd3ka9h4chfr8.cloudfront.net/image/725136000567/image_f64o1m9mld2ih9b716l0vbso55/-FJPG/241072-001_DET_2.jpg</t>
  </si>
  <si>
    <t>https://dd3ka9h4chfr8.cloudfront.net/image/725136000567/image_trthrq5f2t79renohsdvdcjq5j/-FJPG/241072-001_BCK_1.jpg</t>
  </si>
  <si>
    <t>https://dd3ka9h4chfr8.cloudfront.net/image/725136000567/image_m5rkd3chhd7b7bgq277paqsk44/-FJPG/241072-001_DET_1.jpg</t>
  </si>
  <si>
    <t>https://dd3ka9h4chfr8.cloudfront.net/image/725136000567/image_ro93vi77r92ob98lr854oa8d59/-FJPG/241072-001_DET_3.jpg</t>
  </si>
  <si>
    <t>https://dd3ka9h4chfr8.cloudfront.net/image/725136000567/image_s5n0s1urtl59t57qdpaedrli20/-FJPG/241072-001_OPN_1.jpg</t>
  </si>
  <si>
    <t>https://dd3ka9h4chfr8.cloudfront.net/image/725136000567/image_ptnfa3lnb93md0l6a037rp8a07/-FJPG/241072-001_DET_4.jpg</t>
  </si>
  <si>
    <t>https://dd3ka9h4chfr8.cloudfront.net/image/725136000567/image_ppmosdirlh40tfvbd64jcdup6s/-FJPG/241072-001_DET_5.jpg</t>
  </si>
  <si>
    <t>https://dd3ka9h4chfr8.cloudfront.net/image/725136000567/image_o8rreucfs13src1sjebg6lnp49/-FJPG/241072-001_DET_6.jpg</t>
  </si>
  <si>
    <t>https://dd3ka9h4chfr8.cloudfront.net/image/725136000567/image_76bnj6ko1h0hf86o12rphusj31/-FJPG/241072-001_DET_7.jpg</t>
  </si>
  <si>
    <t>https://dd3ka9h4chfr8.cloudfront.net/image/725136000567/image_pdr9h701tp3ob6iob335u8rt4c/-FJPG/241072-001_DET_9.tif</t>
  </si>
  <si>
    <t>https://dd3ka9h4chfr8.cloudfront.net/image/725136000567/image_rkv695fb8h1lddjof6od545n37/-FJPG/241072-001_DET_10.tif</t>
  </si>
  <si>
    <t>https://dd3ka9h4chfr8.cloudfront.net/image/725136000567/image_8d7ncotf6918bcjussabi78g2j/-FJPG/241072-001_ESS.tif</t>
  </si>
  <si>
    <t>Noeline Sideboard - Cracked Smoked Black Veneer</t>
  </si>
  <si>
    <t>https://dd3ka9h4chfr8.cloudfront.net/image/725136000567/image_lhs77l1gjd7ir3p6ni67e16e4j/-S150x150-FJPG/242725-005_PRM_1.jpg</t>
  </si>
  <si>
    <t>https://dd3ka9h4chfr8.cloudfront.net/image/725136000567/image_lhs77l1gjd7ir3p6ni67e16e4j/-FJPG/242725-005_PRM_1.jpg</t>
  </si>
  <si>
    <t>https://dd3ka9h4chfr8.cloudfront.net/image/725136000567/image_t3h486e6el3ev8c2akcup66i5k/-FJPG/242725-005_SID_1.jpg</t>
  </si>
  <si>
    <t>https://dd3ka9h4chfr8.cloudfront.net/image/725136000567/image_2q3qka053p5lhafc1chvksor20/-FJPG/242725-005_DET_2.jpg</t>
  </si>
  <si>
    <t>https://dd3ka9h4chfr8.cloudfront.net/image/725136000567/image_nggdhbmm1174h5vfcaevtf6j7l/-FJPG/242725-005_BCK_1.jpg</t>
  </si>
  <si>
    <t>https://dd3ka9h4chfr8.cloudfront.net/image/725136000567/image_pp09cqq2p57k5dfs3891sgac3l/-FJPG/242725-005_DET_1.jpg</t>
  </si>
  <si>
    <t>https://dd3ka9h4chfr8.cloudfront.net/image/725136000567/image_1ubot4f7ad2grbnta2sol1dv6l/-FJPG/242725-005_DET_3.jpg</t>
  </si>
  <si>
    <t>https://dd3ka9h4chfr8.cloudfront.net/image/725136000567/image_pq9ek2la3h39fa5visg7slda2a/-FJPG/242725-005_OPN_1.jpg</t>
  </si>
  <si>
    <t>https://dd3ka9h4chfr8.cloudfront.net/image/725136000567/image_smiea2pkdd721fk0o9gmfpkg1i/-FJPG/242725-005_TOP_1.jpg</t>
  </si>
  <si>
    <t>https://dd3ka9h4chfr8.cloudfront.net/image/725136000567/image_usa3v122sp7134ml0bpqbk7928/-FJPG/242725-005_DET_4.jpg</t>
  </si>
  <si>
    <t>https://dd3ka9h4chfr8.cloudfront.net/image/725136000567/image_3rpcuibr4h7in0cq7159me993g/-FJPG/242725-005_DET_5.jpg</t>
  </si>
  <si>
    <t>https://dd3ka9h4chfr8.cloudfront.net/image/725136000567/image_i4bp81m4451rbaif0v9ih5e45a/-FJPG/242725-005_DET_6.jpg</t>
  </si>
  <si>
    <t>Nolita Reverse Stitch Sofa - Natural Washed Sand</t>
  </si>
  <si>
    <t>https://dd3ka9h4chfr8.cloudfront.net/image/725136000567/image_dnvssk4f4t7cv9jssinpp27o5u/-S150x150-FJPG/CCAR-010W-307_PRM_1.jpg</t>
  </si>
  <si>
    <t>https://dd3ka9h4chfr8.cloudfront.net/image/725136000567/image_dnvssk4f4t7cv9jssinpp27o5u/-FJPG/CCAR-010W-307_PRM_1.jpg</t>
  </si>
  <si>
    <t>https://dd3ka9h4chfr8.cloudfront.net/image/725136000567/image_vmbe9ms2rt5kp3qq8m0ndgj92k/-FJPG/CCAR-010W-307_SID_1.jpg</t>
  </si>
  <si>
    <t>https://dd3ka9h4chfr8.cloudfront.net/image/725136000567/image_o3u79sd3rp41b59a7abu5qbc24/-FJPG/CCAR-010W-307_ESS.tif</t>
  </si>
  <si>
    <t>https://dd3ka9h4chfr8.cloudfront.net/image/725136000567/image_netsdc4d0p0jn40fea24v4b737/-FJPG/CCAR-010W-307_DET_2.jpg</t>
  </si>
  <si>
    <t>https://dd3ka9h4chfr8.cloudfront.net/image/725136000567/image_0djh4hohi16ht8p4s1v2hbs36t/-FJPG/CCAR-010W-307_BCK_1.jpg</t>
  </si>
  <si>
    <t>https://dd3ka9h4chfr8.cloudfront.net/image/725136000567/image_i9gna0hrnt1k76qg8pijkc9e1j/-FJPG/CCAR-010W-307_DET_1.jpg</t>
  </si>
  <si>
    <t>https://dd3ka9h4chfr8.cloudfront.net/image/725136000567/image_1sb8cciglp7tndrcjddvva7c4r/-FJPG/CCAR-010W-307_DET_3.jpg</t>
  </si>
  <si>
    <t>https://dd3ka9h4chfr8.cloudfront.net/image/725136000567/image_bkos83n9b921tal56dhqeakn4l/-FJPG/CCAR-010W-307_DET_4.jpg</t>
  </si>
  <si>
    <t>https://dd3ka9h4chfr8.cloudfront.net/image/725136000567/image_rlubqh2mkt19pc8gnseefjjt0f/-FJPG/CCAR-010W-307_DET_5.jpg</t>
  </si>
  <si>
    <t>https://dd3ka9h4chfr8.cloudfront.net/image/725136000567/image_illfalp5pt061cqdd6lncd0a6v/-FJPG/CCAR-010W-307_DET_6.jpg</t>
  </si>
  <si>
    <t>https://dd3ka9h4chfr8.cloudfront.net/image/725136000567/image_e7ct8lk7n95dj68l1fu0q0f46h/-FJPG/CCAR-010W-307_ROM_1.jpg</t>
  </si>
  <si>
    <t>Odessa End Table - Distressed Bronze</t>
  </si>
  <si>
    <t>https://dd3ka9h4chfr8.cloudfront.net/image/725136000567/image_s21k6ou2fh3g52chbirkv5rd7l/-S150x150-FJPG/241387-001_PRM_1.jpg</t>
  </si>
  <si>
    <t>https://dd3ka9h4chfr8.cloudfront.net/image/725136000567/image_s21k6ou2fh3g52chbirkv5rd7l/-FJPG/241387-001_PRM_1.jpg</t>
  </si>
  <si>
    <t>https://dd3ka9h4chfr8.cloudfront.net/image/725136000567/image_0kvpv0f9q565n43g3310iokm3n/-FJPG/241387-001_SID_1.jpg</t>
  </si>
  <si>
    <t>https://dd3ka9h4chfr8.cloudfront.net/image/725136000567/image_s9pv7dm0pp45tc4f04r4ed1j0j/-FJPG/241387-001_ESS.tif</t>
  </si>
  <si>
    <t>https://dd3ka9h4chfr8.cloudfront.net/image/725136000567/image_5kjrdffra17bl4vjrsa4s3oq7e/-FJPG/241387-001_DET_2.jpg</t>
  </si>
  <si>
    <t>https://dd3ka9h4chfr8.cloudfront.net/image/725136000567/image_1pe6p5r8gh3e5apflds69b2a3i/-FJPG/241387-001_BCK_1.jpg</t>
  </si>
  <si>
    <t>https://dd3ka9h4chfr8.cloudfront.net/image/725136000567/image_mln02lc4fd6jba4a01bv09o77p/-FJPG/241387-001_DET_1.jpg</t>
  </si>
  <si>
    <t>https://dd3ka9h4chfr8.cloudfront.net/image/725136000567/image_mfuq1g32tt0ql2tjn81nve6d4v/-FJPG/241387-001_DET_3.jpg</t>
  </si>
  <si>
    <t>https://dd3ka9h4chfr8.cloudfront.net/image/725136000567/image_a1vqar550t1k91pul40d1ptr3l/-FJPG/241387-001_TOP_1.jpg</t>
  </si>
  <si>
    <t>https://dd3ka9h4chfr8.cloudfront.net/image/725136000567/image_7qp09p884t5fl37k8lq81dcu62/-FJPG/241387-001_DET_4.jpg</t>
  </si>
  <si>
    <t>https://dd3ka9h4chfr8.cloudfront.net/image/725136000567/image_36tgppt2lh4vf3clf1vb979s76/-FJPG/241387-001_DET_5.jpg</t>
  </si>
  <si>
    <t>https://dd3ka9h4chfr8.cloudfront.net/image/725136000567/image_r04rntstkp4oh1h7j44fi57442/-FJPG/241387-001_DET_9.tif</t>
  </si>
  <si>
    <t>https://dd3ka9h4chfr8.cloudfront.net/image/725136000567/image_fsnt54kjn94l5dimo5i9q0017k/-FJPG/FHMPRJ-013_SCENE_2.tif</t>
  </si>
  <si>
    <t>Olia Chair - Palermo Cigar</t>
  </si>
  <si>
    <t>https://dd3ka9h4chfr8.cloudfront.net/image/725136000567/image_u2ao5mga097rt10i7f8tvt9d6e/-S150x150-FJPG/241851-002_PRM_1.JPG</t>
  </si>
  <si>
    <t>https://dd3ka9h4chfr8.cloudfront.net/image/725136000567/image_u2ao5mga097rt10i7f8tvt9d6e/-FJPG/241851-002_PRM_1.JPG</t>
  </si>
  <si>
    <t>https://dd3ka9h4chfr8.cloudfront.net/image/725136000567/image_b9csm8ofr90spb69mkd63vtk0q/-FJPG/241851-002_SID_1.JPG</t>
  </si>
  <si>
    <t>https://dd3ka9h4chfr8.cloudfront.net/image/725136000567/image_lgtrb9o0h57btfspvilr5ame76/-FJPG/241851-002_ESS.tif</t>
  </si>
  <si>
    <t>https://dd3ka9h4chfr8.cloudfront.net/image/725136000567/image_tocij0qct147b5ee8kj0ggu63f/-FJPG/241851-002_DET_2.JPG</t>
  </si>
  <si>
    <t>https://dd3ka9h4chfr8.cloudfront.net/image/725136000567/image_vg556ijqm54in6rih71k41ek2u/-FJPG/241851-002_BCK_1.JPG</t>
  </si>
  <si>
    <t>https://dd3ka9h4chfr8.cloudfront.net/image/725136000567/image_u303gh9ta965hf8olc9caujv7k/-FJPG/241851-002_DET_1.JPG</t>
  </si>
  <si>
    <t>https://dd3ka9h4chfr8.cloudfront.net/image/725136000567/image_knig6mm5c56eh37bi2m2e8dp3t/-FJPG/241851-002_DET_3.JPG</t>
  </si>
  <si>
    <t>https://dd3ka9h4chfr8.cloudfront.net/image/725136000567/image_irden04cjl6f3av0kisop0u67k/-FJPG/241851-002_DET_4.JPG</t>
  </si>
  <si>
    <t>https://dd3ka9h4chfr8.cloudfront.net/image/725136000567/image_rmpesvbd8524b4ag3s3v7mo11d/-FJPG/241851-002_DET_5.JPG</t>
  </si>
  <si>
    <t>Olson Chair - Emerald Worn Velvet</t>
  </si>
  <si>
    <t>https://dd3ka9h4chfr8.cloudfront.net/image/725136000567/image_nlo42pevg15lfbshl0430nqc15/-S150x150-FJPG/105771-007_PRM_1.jpg</t>
  </si>
  <si>
    <t>https://dd3ka9h4chfr8.cloudfront.net/image/725136000567/image_nlo42pevg15lfbshl0430nqc15/-FJPG/105771-007_PRM_1.jpg</t>
  </si>
  <si>
    <t>https://dd3ka9h4chfr8.cloudfront.net/image/725136000567/image_u4loahp63h4qfa1juvnambi40e/-FJPG/105771-007_SID_1.jpg</t>
  </si>
  <si>
    <t>https://dd3ka9h4chfr8.cloudfront.net/image/725136000567/image_dcosa7f8gd6pjdor0c1sb9a06j/-FJPG/105771-007_DET_2.jpg</t>
  </si>
  <si>
    <t>https://dd3ka9h4chfr8.cloudfront.net/image/725136000567/image_in2p278g896mnamgt866irjf6t/-FJPG/105771-007_BCK_1.jpg</t>
  </si>
  <si>
    <t>https://dd3ka9h4chfr8.cloudfront.net/image/725136000567/image_diji8t3qr156330mova0suou66/-FJPG/105771-007_INF_1.jpg</t>
  </si>
  <si>
    <t>https://dd3ka9h4chfr8.cloudfront.net/image/725136000567/image_r39lhu22kp3d53pu30rb2loc2k/-FJPG/105771-007_DET_1.jpg</t>
  </si>
  <si>
    <t>https://dd3ka9h4chfr8.cloudfront.net/image/725136000567/image_t0sc4qoq4p0p314aqi8qm5h65k/-FJPG/105771-007_DET_3.jpg</t>
  </si>
  <si>
    <t>https://dd3ka9h4chfr8.cloudfront.net/image/725136000567/image_m5ret7714p0al45i4dbepdcp00/-FJPG/105771-007_DET_4.jpg</t>
  </si>
  <si>
    <t>https://dd3ka9h4chfr8.cloudfront.net/image/725136000567/image_r451bfahb57lv7ldq9gemavh77/-FJPG/105771-007_DET_5.jpg</t>
  </si>
  <si>
    <t>https://dd3ka9h4chfr8.cloudfront.net/image/725136000567/image_fn5sq34p0h2rf4g8n057f42s0d/-FJPG/105771-007_DET_6.jpg</t>
  </si>
  <si>
    <t>https://dd3ka9h4chfr8.cloudfront.net/image/725136000567/image_1g8841p3jt7r5evvgafb7cgd3m/-FJPG/105771-007_ROM_1.jpg</t>
  </si>
  <si>
    <t>Olson Chair - Sonoma Black</t>
  </si>
  <si>
    <t>Solid Birch</t>
  </si>
  <si>
    <t>https://dd3ka9h4chfr8.cloudfront.net/image/725136000567/image_kukd53t3jd3dv58sv4joblub2q/-S150x150-FJPG/105771-004_PRM_1.jpg</t>
  </si>
  <si>
    <t>https://dd3ka9h4chfr8.cloudfront.net/image/725136000567/image_kukd53t3jd3dv58sv4joblub2q/-FJPG/105771-004_PRM_1.jpg</t>
  </si>
  <si>
    <t>https://dd3ka9h4chfr8.cloudfront.net/image/725136000567/image_8a58la7al16vtfjvbdttso154b/-FJPG/105771-004_SID_1.jpg</t>
  </si>
  <si>
    <t>https://dd3ka9h4chfr8.cloudfront.net/image/725136000567/image_rhujf9oprd1p90jagq0tpjjf6o/-FJPG/105771-004_DET_2.jpg</t>
  </si>
  <si>
    <t>https://dd3ka9h4chfr8.cloudfront.net/image/725136000567/image_bsjr2l5ijt7nl6tqt7tff2ue1n/-FJPG/105771-004_BCK_1.jpg</t>
  </si>
  <si>
    <t>https://dd3ka9h4chfr8.cloudfront.net/image/725136000567/image_079p89clet52l0s3rrq0nh1n1h/-FJPG/105771-004_DET_1.jpg</t>
  </si>
  <si>
    <t>https://dd3ka9h4chfr8.cloudfront.net/image/725136000567/image_7ldmseg4tl2s95gdl9uaoad50j/-FJPG/105771-004_DET_3.jpg</t>
  </si>
  <si>
    <t>https://dd3ka9h4chfr8.cloudfront.net/image/725136000567/image_p52ld74nn140l8q2hmmdivik1g/-FJPG/105771-004_DET_4.jpg</t>
  </si>
  <si>
    <t>Olson Swivel Chair - Emerald Worn Velvet</t>
  </si>
  <si>
    <t>https://dd3ka9h4chfr8.cloudfront.net/image/725136000567/image_8rb80922h912f8m40kp5v85v5t/-S150x150-FJPG/236092-001_PRM_1.jpg</t>
  </si>
  <si>
    <t>https://dd3ka9h4chfr8.cloudfront.net/image/725136000567/image_8rb80922h912f8m40kp5v85v5t/-FJPG/236092-001_PRM_1.jpg</t>
  </si>
  <si>
    <t>https://dd3ka9h4chfr8.cloudfront.net/image/725136000567/image_8hs1pr2fql2utbpbj6u1459d66/-FJPG/236092-001_SID_1.jpg</t>
  </si>
  <si>
    <t>https://dd3ka9h4chfr8.cloudfront.net/image/725136000567/image_dfsru0hqmd51r3itoah7gjfo16/-FJPG/236092-001_ESS_1.jpg</t>
  </si>
  <si>
    <t>https://dd3ka9h4chfr8.cloudfront.net/image/725136000567/image_9sbtt6es911q16te75j0h2g67h/-FJPG/236092-001_DET_2.jpg</t>
  </si>
  <si>
    <t>https://dd3ka9h4chfr8.cloudfront.net/image/725136000567/image_ov3n4nb27174vdhv00hnam6g7u/-FJPG/236092-001_BCK_1.jpg</t>
  </si>
  <si>
    <t>https://dd3ka9h4chfr8.cloudfront.net/image/725136000567/image_85dt342c0p4353k8jvvgq01h4l/-FJPG/236092-001_DET_1.jpg</t>
  </si>
  <si>
    <t>https://dd3ka9h4chfr8.cloudfront.net/image/725136000567/image_66n1ndtkih3v55fmt13f75dm6i/-FJPG/236092-001_DET_3.jpg</t>
  </si>
  <si>
    <t>https://dd3ka9h4chfr8.cloudfront.net/image/725136000567/image_i9am6nmc9t7c543cv08rodub37/-FJPG/236092-001_DET_4.jpg</t>
  </si>
  <si>
    <t>https://dd3ka9h4chfr8.cloudfront.net/image/725136000567/image_eq30j5dpn905v7vrbd9oe2cb70/-FJPG/236092-001_DET_5.jpg</t>
  </si>
  <si>
    <t>https://dd3ka9h4chfr8.cloudfront.net/image/725136000567/image_u3eqn22ps521310vo7i3o9uq3f/-FJPG/236092-001_DET_6.jpg</t>
  </si>
  <si>
    <t>Olson Swivel Chair - Sonoma Black</t>
  </si>
  <si>
    <t>https://dd3ka9h4chfr8.cloudfront.net/image/725136000567/image_mb12ag1b2h71vcr477b8igvf6i/-S150x150-FJPG/236092-003_PRM_1.jpg</t>
  </si>
  <si>
    <t>https://dd3ka9h4chfr8.cloudfront.net/image/725136000567/image_mb12ag1b2h71vcr477b8igvf6i/-FJPG/236092-003_PRM_1.jpg</t>
  </si>
  <si>
    <t>https://dd3ka9h4chfr8.cloudfront.net/image/725136000567/image_nvvf02qq4h5tb3s2hlgvei2o5o/-FJPG/236092-003_SID_1.jpg</t>
  </si>
  <si>
    <t>https://dd3ka9h4chfr8.cloudfront.net/image/725136000567/image_rrpnebtr757o97702gkpd5er3r/-FJPG/236092-003_DET_2.jpg</t>
  </si>
  <si>
    <t>https://dd3ka9h4chfr8.cloudfront.net/image/725136000567/image_7h55icsq055gf4j4fderftp86v/-FJPG/236092-003_BCK_1.jpg</t>
  </si>
  <si>
    <t>https://dd3ka9h4chfr8.cloudfront.net/image/725136000567/image_jfi519b9vh5cv4tdv6ivhsf345/-FJPG/236092-003_DET_1.jpg</t>
  </si>
  <si>
    <t>https://dd3ka9h4chfr8.cloudfront.net/image/725136000567/image_s12a3dll8978f6843ejmeb3208/-FJPG/236092-003_DET_3.jpg</t>
  </si>
  <si>
    <t>https://dd3ka9h4chfr8.cloudfront.net/image/725136000567/image_rvhh77h8nl795act2c1u92an6k/-FJPG/236092-003_DET_4.jpg</t>
  </si>
  <si>
    <t>https://dd3ka9h4chfr8.cloudfront.net/image/725136000567/image_goe7agtj3h7mh5i6mirbv4u24s/-FJPG/236092-003_DET_5.jpg</t>
  </si>
  <si>
    <t>Olson Swivel Chair - Sonoma Butterscotch</t>
  </si>
  <si>
    <t>https://dd3ka9h4chfr8.cloudfront.net/image/725136000567/image_5d2qqmmg657kt3c0457fuktj0j/-S150x150-FJPG/236092-004_PRM_1.jpg</t>
  </si>
  <si>
    <t>https://dd3ka9h4chfr8.cloudfront.net/image/725136000567/image_5d2qqmmg657kt3c0457fuktj0j/-FJPG/236092-004_PRM_1.jpg</t>
  </si>
  <si>
    <t>https://dd3ka9h4chfr8.cloudfront.net/image/725136000567/image_pogco6u3st6a5b182hd7m9ra2c/-FJPG/236092-004_SID_1.jpg</t>
  </si>
  <si>
    <t>https://dd3ka9h4chfr8.cloudfront.net/image/725136000567/image_mu0eivei9p2bf2eaaqjvb65e7k/-FJPG/236092-004_ESS_1.jpg</t>
  </si>
  <si>
    <t>https://dd3ka9h4chfr8.cloudfront.net/image/725136000567/image_d1ufnvb6ht7392bajjlvhpu81k/-FJPG/236092-004_DET_2.jpg</t>
  </si>
  <si>
    <t>https://dd3ka9h4chfr8.cloudfront.net/image/725136000567/image_qfaf6k0pg51kddnog2isfgh051/-FJPG/236092-004_BCK_1.jpg</t>
  </si>
  <si>
    <t>https://dd3ka9h4chfr8.cloudfront.net/image/725136000567/image_df6484sall581btn6jdrsc8s79/-FJPG/236092-004_DET_1.jpg</t>
  </si>
  <si>
    <t>https://dd3ka9h4chfr8.cloudfront.net/image/725136000567/image_dpjq4ps2kp3v31mj3nfqv95e38/-FJPG/236092-004_DET_3.jpg</t>
  </si>
  <si>
    <t>https://dd3ka9h4chfr8.cloudfront.net/image/725136000567/image_tku86j5dq529b6j1a1kptj163o/-FJPG/236092-004_DET_4.jpg</t>
  </si>
  <si>
    <t>https://dd3ka9h4chfr8.cloudfront.net/image/725136000567/image_dfhqqb82v5575fpv1mupub1m1i/-FJPG/236092-004_DET_5.jpg</t>
  </si>
  <si>
    <t>https://dd3ka9h4chfr8.cloudfront.net/image/725136000567/image_i077rcvoc11198dt0kg1t8uv26/-FJPG/236092-004_DET_6.jpg</t>
  </si>
  <si>
    <t>Olympia Console Table - White Carrara Marble</t>
  </si>
  <si>
    <t>Solid Carrara</t>
  </si>
  <si>
    <t>https://dd3ka9h4chfr8.cloudfront.net/image/725136000567/image_egk25athqp4t3cdnipq0c52h20/-S150x150-FJPG/239441-001_PRM_1.jpg</t>
  </si>
  <si>
    <t>https://dd3ka9h4chfr8.cloudfront.net/image/725136000567/image_egk25athqp4t3cdnipq0c52h20/-FJPG/239441-001_PRM_1.jpg</t>
  </si>
  <si>
    <t>https://dd3ka9h4chfr8.cloudfront.net/image/725136000567/image_i2dv2bd2415o3difjejnq3503u/-FJPG/239441-001_SID_1.jpg</t>
  </si>
  <si>
    <t>https://dd3ka9h4chfr8.cloudfront.net/image/725136000567/image_d5uftg2jd56p725brin1reg76c/-FJPG/239441-001_DET_2.jpg</t>
  </si>
  <si>
    <t>https://dd3ka9h4chfr8.cloudfront.net/image/725136000567/image_dl4j11to0t0k506e93eskuoq4d/-FJPG/239441-001_DET_1.jpg</t>
  </si>
  <si>
    <t>https://dd3ka9h4chfr8.cloudfront.net/image/725136000567/image_dfif5j2s5p23t3t73iofun9571/-FJPG/239441-001_DET_3.jpg</t>
  </si>
  <si>
    <t>https://dd3ka9h4chfr8.cloudfront.net/image/725136000567/image_42f03bk8ep78n056mhhpj5p40e/-FJPG/239441-001_DET_4.jpg</t>
  </si>
  <si>
    <t>https://dd3ka9h4chfr8.cloudfront.net/image/725136000567/image_2hhnv8rdgd06l7bo2svhmi1e1u/-FJPG/239441-001_DET_5.jpg</t>
  </si>
  <si>
    <t>https://dd3ka9h4chfr8.cloudfront.net/image/725136000567/image_7ppjpivv356elavudoq2ju7u33/-FJPG/239441-001_DET_6.jpg</t>
  </si>
  <si>
    <t>https://dd3ka9h4chfr8.cloudfront.net/image/725136000567/image_9fc2rnqi191nr9deni63vkql6o/-FJPG/239441-001_DET_9.tif</t>
  </si>
  <si>
    <t>https://dd3ka9h4chfr8.cloudfront.net/image/725136000567/image_fbfsp640dh5ntb941i5pkqv54l/-FJPG/239441-001_DET_10.tif</t>
  </si>
  <si>
    <t>https://dd3ka9h4chfr8.cloudfront.net/image/725136000567/image_famkqmi6n16071u7mbh7qoj10k/-FJPG/239441-001_ESS.tif</t>
  </si>
  <si>
    <t>Oman Console Table - Rustic Black Veneer</t>
  </si>
  <si>
    <t>https://dd3ka9h4chfr8.cloudfront.net/image/725136000567/image_lnau7p131t08p7gcpanq0v4i14/-S150x150-FJPG/244501-001_PRM_1.jpg</t>
  </si>
  <si>
    <t>https://dd3ka9h4chfr8.cloudfront.net/image/725136000567/image_lnau7p131t08p7gcpanq0v4i14/-FJPG/244501-001_PRM_1.jpg</t>
  </si>
  <si>
    <t>https://dd3ka9h4chfr8.cloudfront.net/image/725136000567/image_l5r3lhsmb50jpc64omb4qhh801/-FJPG/244501-001_SID_1.jpg</t>
  </si>
  <si>
    <t>https://dd3ka9h4chfr8.cloudfront.net/image/725136000567/image_rgoj6c2ej11hl43hgfeppdm07h/-FJPG/244501-001_ESS.tif</t>
  </si>
  <si>
    <t>https://dd3ka9h4chfr8.cloudfront.net/image/725136000567/image_lsijtqouqp40f6d378brdub67g/-FJPG/244501-001_DET_2.jpg</t>
  </si>
  <si>
    <t>https://dd3ka9h4chfr8.cloudfront.net/image/725136000567/image_mlh9hh7g8d4n3a6c6flq155k4g/-FJPG/244501-001_DET_1.jpg</t>
  </si>
  <si>
    <t>https://dd3ka9h4chfr8.cloudfront.net/image/725136000567/image_j6avah4ob975j0icoauhbk072i/-FJPG/244501-001_DET_3.jpg</t>
  </si>
  <si>
    <t>https://dd3ka9h4chfr8.cloudfront.net/image/725136000567/image_apd1fm11g95k58gjluc100ki68/-FJPG/244501-001_TOP_1.jpg</t>
  </si>
  <si>
    <t>https://dd3ka9h4chfr8.cloudfront.net/image/725136000567/image_f3u3t7k5ft2in6lgfvjlphro62/-FJPG/244501-001_DET_4.jpg</t>
  </si>
  <si>
    <t>Oman Dining Table - Rustic Black Veneer</t>
  </si>
  <si>
    <t>https://dd3ka9h4chfr8.cloudfront.net/image/725136000567/image_8thp5tlaa94dl7pmfnjd1opl3r/-S150x150-FJPG/248794-001_PRM_1.jpg</t>
  </si>
  <si>
    <t>https://dd3ka9h4chfr8.cloudfront.net/image/725136000567/image_8thp5tlaa94dl7pmfnjd1opl3r/-FJPG/248794-001_PRM_1.jpg</t>
  </si>
  <si>
    <t>https://dd3ka9h4chfr8.cloudfront.net/image/725136000567/image_ijtb0v9qhp3sp93hgbsii0ia6f/-FJPG/248794-001_SID_1.jpg</t>
  </si>
  <si>
    <t>https://dd3ka9h4chfr8.cloudfront.net/image/725136000567/image_oi6pa2l1u10kt8oc8uml3duk7n/-FJPG/248794-001_ESS_1.tif</t>
  </si>
  <si>
    <t>https://dd3ka9h4chfr8.cloudfront.net/image/725136000567/image_kldpliv68d6crdr098i578d76c/-FJPG/248794-001_DET_2.jpg</t>
  </si>
  <si>
    <t>https://dd3ka9h4chfr8.cloudfront.net/image/725136000567/image_op9vactm2d5ercd82qchpq9a29/-FJPG/248794-001_DET_1.jpg</t>
  </si>
  <si>
    <t>https://dd3ka9h4chfr8.cloudfront.net/image/725136000567/image_bcgs95jpep45tdnpu3s8nsnm5v/-FJPG/248794-001_DET_3.jpg</t>
  </si>
  <si>
    <t>https://dd3ka9h4chfr8.cloudfront.net/image/725136000567/image_1hljn456cd38t22ffim81puj70/-FJPG/248794-001_TOP_1.jpg</t>
  </si>
  <si>
    <t>https://dd3ka9h4chfr8.cloudfront.net/image/725136000567/image_00bc834fsl50h8ks6n1uoemd1a/-FJPG/248794-001_DET_4.jpg</t>
  </si>
  <si>
    <t>https://dd3ka9h4chfr8.cloudfront.net/image/725136000567/image_cl295mluv57n75v5sbdop46k7d/-FJPG/248794-001_DET_5.jpg</t>
  </si>
  <si>
    <t>https://dd3ka9h4chfr8.cloudfront.net/image/725136000567/image_k4tvetbpad54d1uen7rqtf8m4c/-FJPG/FHMPRJ-018_SCENE_1.tif</t>
  </si>
  <si>
    <t>Ophelia Armoire - Aged Brown</t>
  </si>
  <si>
    <t>https://dd3ka9h4chfr8.cloudfront.net/image/725136000567/image_alvddr5qht4ltd9k4kmluab93r/-S150x150-FJPG/230842-001_PRM_1.jpg</t>
  </si>
  <si>
    <t>https://dd3ka9h4chfr8.cloudfront.net/image/725136000567/image_alvddr5qht4ltd9k4kmluab93r/-FJPG/230842-001_PRM_1.jpg</t>
  </si>
  <si>
    <t>https://dd3ka9h4chfr8.cloudfront.net/image/725136000567/image_80bq3v5jkh0unb9qartrk9jb3i/-FJPG/230842-001_SID_1.jpg</t>
  </si>
  <si>
    <t>https://dd3ka9h4chfr8.cloudfront.net/image/725136000567/image_5b33bvq5r514v4g9l9k4nepe7f/-FJPG/230842-001_ESS_1.jpg</t>
  </si>
  <si>
    <t>https://dd3ka9h4chfr8.cloudfront.net/image/725136000567/image_hf57f2a7t52rn7o423gj32dv28/-FJPG/230842-001_DET_2.jpg</t>
  </si>
  <si>
    <t>https://dd3ka9h4chfr8.cloudfront.net/image/725136000567/image_q3eo3jqqg12gt9vpga1jcua749/-FJPG/230842-001_BCK_1.jpg</t>
  </si>
  <si>
    <t>https://dd3ka9h4chfr8.cloudfront.net/image/725136000567/image_h78k6ver490nl19ekuv0q8no5f/-FJPG/230842-001_DET_1.jpg</t>
  </si>
  <si>
    <t>https://dd3ka9h4chfr8.cloudfront.net/image/725136000567/image_9lau1r12dt76f5u8sfp8vv442v/-FJPG/230842-001_DET_3.jpg</t>
  </si>
  <si>
    <t>https://dd3ka9h4chfr8.cloudfront.net/image/725136000567/image_n4159fklvl00v5jtaf8qs0lu19/-FJPG/230842-001_OPN_1.jpg</t>
  </si>
  <si>
    <t>https://dd3ka9h4chfr8.cloudfront.net/image/725136000567/image_0ss1uuaimh2tjbk1731pqusv4q/-FJPG/230842-001_DET_4.jpg</t>
  </si>
  <si>
    <t>https://dd3ka9h4chfr8.cloudfront.net/image/725136000567/image_nsrvncmqkt1tnaf4en48kbn10k/-FJPG/230842-001_DET_5.jpg</t>
  </si>
  <si>
    <t>https://dd3ka9h4chfr8.cloudfront.net/image/725136000567/image_8455h25o692it3iuifrvpet502/-FJPG/230842-001_DET_6.jpg</t>
  </si>
  <si>
    <t>Ortega Wine Rack - Smoked Mango</t>
  </si>
  <si>
    <t>https://dd3ka9h4chfr8.cloudfront.net/image/725136000567/image_2kthhffb610krfqh60ft9a5g4f/-S150x150-FJPG/225199-001_PRM_1.jpg</t>
  </si>
  <si>
    <t>https://dd3ka9h4chfr8.cloudfront.net/image/725136000567/image_2kthhffb610krfqh60ft9a5g4f/-FJPG/225199-001_PRM_1.jpg</t>
  </si>
  <si>
    <t>https://dd3ka9h4chfr8.cloudfront.net/image/725136000567/image_qqj463nkrl251ennaehro13v62/-FJPG/225199-001_DET_2.jpg</t>
  </si>
  <si>
    <t>https://dd3ka9h4chfr8.cloudfront.net/image/725136000567/image_ki1tsgmdgd5ffdj8se60ajir3m/-FJPG/225199-001_DET_1.jpg</t>
  </si>
  <si>
    <t>https://dd3ka9h4chfr8.cloudfront.net/image/725136000567/image_jto60c392l7ap7041h1qj7t41v/-FJPG/225199-001_DET_3.jpg</t>
  </si>
  <si>
    <t>https://dd3ka9h4chfr8.cloudfront.net/image/725136000567/image_fidrig65r10cl6gbhlf4njqc24/-FJPG/225199-001_DET_4.jpg</t>
  </si>
  <si>
    <t>https://dd3ka9h4chfr8.cloudfront.net/image/725136000567/image_6d28t3qu8965194qi2k3a69p48/-FJPG/225199-001_DET_5.jpg</t>
  </si>
  <si>
    <t>https://dd3ka9h4chfr8.cloudfront.net/image/725136000567/image_biurj5j2v55ff3gf29er78br0k/-FJPG/225199-001_DET_6.jpg</t>
  </si>
  <si>
    <t>https://dd3ka9h4chfr8.cloudfront.net/image/725136000567/image_cjjec7rp0p6khfrpleei1fsh2s/-FJPG/225199-001_DET_7.jpg</t>
  </si>
  <si>
    <t>https://dd3ka9h4chfr8.cloudfront.net/image/725136000567/image_7ki54uji9p1kfcdtl3ag9jfh13/-FJPG/225199-001_FRT_2.jpg</t>
  </si>
  <si>
    <t>https://dd3ka9h4chfr8.cloudfront.net/image/725136000567/image_vdq3fab12t57158pg7tmlbqo3t/-FJPG/225199-001_PRM_2.jpg</t>
  </si>
  <si>
    <t>https://dd3ka9h4chfr8.cloudfront.net/image/725136000567/image_fs3jikau6h2c14a6cl8v81t653/-FJPG/225199-001_FRT_3.jpg</t>
  </si>
  <si>
    <t>Orwin Wide Bookshelf - Smoked Black Oak</t>
  </si>
  <si>
    <t>https://dd3ka9h4chfr8.cloudfront.net/image/725136000567/image_an8qkupen946d2jogdrvje8e0k/-S150x150-FJPG/245453-001_PRM_1.jpg</t>
  </si>
  <si>
    <t>https://dd3ka9h4chfr8.cloudfront.net/image/725136000567/image_an8qkupen946d2jogdrvje8e0k/-FJPG/245453-001_PRM_1.jpg</t>
  </si>
  <si>
    <t>https://dd3ka9h4chfr8.cloudfront.net/image/725136000567/image_t8tsoja1g50a3cr3v3v46dss59/-FJPG/245453-001_SID_1.jpg</t>
  </si>
  <si>
    <t>https://dd3ka9h4chfr8.cloudfront.net/image/725136000567/image_lru1egqmm131naen19l8819e58/-FJPG/245543-001_ESS.tif</t>
  </si>
  <si>
    <t>https://dd3ka9h4chfr8.cloudfront.net/image/725136000567/image_2hvbkhoubd1gj5kpresutc1v0p/-FJPG/245453-001_DET_2.jpg</t>
  </si>
  <si>
    <t>https://dd3ka9h4chfr8.cloudfront.net/image/725136000567/image_oc0fntlvg96p97t3v5hasp272j/-FJPG/245453-001_DET_1.jpg</t>
  </si>
  <si>
    <t>https://dd3ka9h4chfr8.cloudfront.net/image/725136000567/image_88dug5kmj11ad320hi6bb36i5n/-FJPG/245453-001_DET_3.jpg</t>
  </si>
  <si>
    <t>https://dd3ka9h4chfr8.cloudfront.net/image/725136000567/image_6hfudhvpdp35refuqvth7oj25s/-FJPG/245453-001_OPN_1.jpg</t>
  </si>
  <si>
    <t>https://dd3ka9h4chfr8.cloudfront.net/image/725136000567/image_5td56t2t5l2a700n9kl9d4k95v/-FJPG/245453-001_DET_4.jpg</t>
  </si>
  <si>
    <t>https://dd3ka9h4chfr8.cloudfront.net/image/725136000567/image_mlv3tgb41d56t0at0tdpcl7u26/-FJPG/245453-001_DET_5.jpg</t>
  </si>
  <si>
    <t>https://dd3ka9h4chfr8.cloudfront.net/image/725136000567/image_ft3amhjrod53j161vp5n6b8k07/-FJPG/245453-001_DET_6.jpg</t>
  </si>
  <si>
    <t>Orwin Wide Bookshelf - Worn Oak</t>
  </si>
  <si>
    <t>https://dd3ka9h4chfr8.cloudfront.net/image/725136000567/image_7r5p5ocu457o39cpg0edqtrv10/-S150x150-FJPG/245453-002_PRM_1.jpg</t>
  </si>
  <si>
    <t>https://dd3ka9h4chfr8.cloudfront.net/image/725136000567/image_7r5p5ocu457o39cpg0edqtrv10/-FJPG/245453-002_PRM_1.jpg</t>
  </si>
  <si>
    <t>https://dd3ka9h4chfr8.cloudfront.net/image/725136000567/image_q500eunlpt1vddmb33hmfv4q35/-FJPG/245453-002_SID_1.jpg</t>
  </si>
  <si>
    <t>https://dd3ka9h4chfr8.cloudfront.net/image/725136000567/image_b3kcc90o1h40ncckm2tl69bc14/-FJPG/245453-002_ESS.tif</t>
  </si>
  <si>
    <t>https://dd3ka9h4chfr8.cloudfront.net/image/725136000567/image_fa5hfanq61711878ni9dqoal4d/-FJPG/245453-002_DET_2.jpg</t>
  </si>
  <si>
    <t>https://dd3ka9h4chfr8.cloudfront.net/image/725136000567/image_ddf0angrbd6sp9jtel0kthj476/-FJPG/245453-002_BCK_1.jpg</t>
  </si>
  <si>
    <t>https://dd3ka9h4chfr8.cloudfront.net/image/725136000567/image_ee10q4uhe56mr2gu188tl1384r/-FJPG/245453-002_DET_1.jpg</t>
  </si>
  <si>
    <t>https://dd3ka9h4chfr8.cloudfront.net/image/725136000567/image_pv28a1djht351apc06ef6jm75g/-FJPG/245453-002_DET_3.jpg</t>
  </si>
  <si>
    <t>https://dd3ka9h4chfr8.cloudfront.net/image/725136000567/image_mkmer4o43l43r9era4i36b8n5p/-FJPG/245453-002_OPN_1.jpg</t>
  </si>
  <si>
    <t>https://dd3ka9h4chfr8.cloudfront.net/image/725136000567/image_kuegpcbuhl5jh9frsstp187l4k/-FJPG/245453-002_DET_4.jpg</t>
  </si>
  <si>
    <t>https://dd3ka9h4chfr8.cloudfront.net/image/725136000567/image_nvgqdgjqv56hjcasd4mppu4m6h/-FJPG/245453-002_DET_9.tif</t>
  </si>
  <si>
    <t>https://dd3ka9h4chfr8.cloudfront.net/image/725136000567/image_82mqj3g8216qrdr2lih9vepe63/-FJPG/245453-002_OPN_2.jpg</t>
  </si>
  <si>
    <t>Otto Dining Table - Black Pine</t>
  </si>
  <si>
    <t>https://dd3ka9h4chfr8.cloudfront.net/image/725136000567/image_sso23qhg1t0rh7sr5a73ke812q/-S150x150-FJPG/100391-005_PRM_1.jpg</t>
  </si>
  <si>
    <t>https://dd3ka9h4chfr8.cloudfront.net/image/725136000567/image_sso23qhg1t0rh7sr5a73ke812q/-FJPG/100391-005_PRM_1.jpg</t>
  </si>
  <si>
    <t>https://dd3ka9h4chfr8.cloudfront.net/image/725136000567/image_8to3cfr04h77r4il7epeeput1h/-FJPG/100391-005_SID_1.jpg</t>
  </si>
  <si>
    <t>https://dd3ka9h4chfr8.cloudfront.net/image/725136000567/image_n9tk9u25k54plahsi4jbgfb70c/-FJPG/100391-005_DET_2.jpg</t>
  </si>
  <si>
    <t>https://dd3ka9h4chfr8.cloudfront.net/image/725136000567/image_641p4jo31t20dech0tg73ot251/-FJPG/100391-005_DET_1.jpg</t>
  </si>
  <si>
    <t>https://dd3ka9h4chfr8.cloudfront.net/image/725136000567/image_3em03pen393efa77hu52i8l450/-FJPG/100391-005_DET_3.jpg</t>
  </si>
  <si>
    <t>https://dd3ka9h4chfr8.cloudfront.net/image/725136000567/image_8qnvlo0fmp1dvc70bk4r8bhq07/-FJPG/100391-005_DET_4.jpg</t>
  </si>
  <si>
    <t>https://dd3ka9h4chfr8.cloudfront.net/image/725136000567/image_drg6ju7ijt2v16c9r4uk7u2r4p/-FJPG/100391-005_DET_5.jpg</t>
  </si>
  <si>
    <t>https://dd3ka9h4chfr8.cloudfront.net/image/725136000567/image_k3ts3vbt811f51dstosabdoc1e/-FJPG/100391-005_DET_6.jpg</t>
  </si>
  <si>
    <t>https://dd3ka9h4chfr8.cloudfront.net/image/725136000567/image_rnnn4ki8fp3rbds1g5q5d4m50b/-FJPG/100391-005_DET_7.jpg</t>
  </si>
  <si>
    <t>https://dd3ka9h4chfr8.cloudfront.net/image/725136000567/image_jdurglcc014kv9mc5vtr37qn23/-S150x150-FJPG/100393-005_PRM_1.jpg</t>
  </si>
  <si>
    <t>https://dd3ka9h4chfr8.cloudfront.net/image/725136000567/image_jdurglcc014kv9mc5vtr37qn23/-FJPG/100393-005_PRM_1.jpg</t>
  </si>
  <si>
    <t>https://dd3ka9h4chfr8.cloudfront.net/image/725136000567/image_kfke1soqup2or837opi2vsck55/-FJPG/100393-005_SID_1.jpg</t>
  </si>
  <si>
    <t>https://dd3ka9h4chfr8.cloudfront.net/image/725136000567/image_7ltovkau1h7fj7jt0fjnmpd73i/-FJPG/100393-005_DET_2.jpg</t>
  </si>
  <si>
    <t>https://dd3ka9h4chfr8.cloudfront.net/image/725136000567/image_ilj722ihkp02j4b350umsgga22/-FJPG/100393-005_DET_1.jpg</t>
  </si>
  <si>
    <t>https://dd3ka9h4chfr8.cloudfront.net/image/725136000567/image_8g1uo03l991gta3ebdh904vk2d/-FJPG/100393-005_DET_3.jpg</t>
  </si>
  <si>
    <t>https://dd3ka9h4chfr8.cloudfront.net/image/725136000567/image_os0krp65a13bv4o8tvhcv0g531/-FJPG/100393-005_DET_4.jpg</t>
  </si>
  <si>
    <t>https://dd3ka9h4chfr8.cloudfront.net/image/725136000567/image_lr36nhmdut2g13mn5circjt650/-FJPG/100393-005_DET_5.jpg</t>
  </si>
  <si>
    <t>https://dd3ka9h4chfr8.cloudfront.net/image/725136000567/image_eo0gm3i4i13of63i5513r3k80f/-FJPG/100393-005_DET_6.jpg</t>
  </si>
  <si>
    <t>https://dd3ka9h4chfr8.cloudfront.net/image/725136000567/image_lpr5guig3l4b31vn0g5cdqgo54/-FJPG/100393-005_DET_7.jpg</t>
  </si>
  <si>
    <t>Otto Dining Table - Waxed Pine</t>
  </si>
  <si>
    <t>https://dd3ka9h4chfr8.cloudfront.net/image/725136000567/image_75tuth8tqt4jh1j6cg423der76/-S150x150-FJPG/100391-003_PRM_1.jpg</t>
  </si>
  <si>
    <t>https://dd3ka9h4chfr8.cloudfront.net/image/725136000567/image_75tuth8tqt4jh1j6cg423der76/-FJPG/100391-003_PRM_1.jpg</t>
  </si>
  <si>
    <t>https://dd3ka9h4chfr8.cloudfront.net/image/725136000567/image_8u51eth76t7it256irivcaeb63/-FJPG/100391-003_SID_1.jpg</t>
  </si>
  <si>
    <t>https://dd3ka9h4chfr8.cloudfront.net/image/725136000567/image_km8pjnsmvp23l9vsela6o1hp3l/-FJPG/100391-003_ESS_1.jpg</t>
  </si>
  <si>
    <t>https://dd3ka9h4chfr8.cloudfront.net/image/725136000567/image_u03qq8d4j112jacmd8945ki95j/-FJPG/100391-003_DET_2.jpg</t>
  </si>
  <si>
    <t>https://dd3ka9h4chfr8.cloudfront.net/image/725136000567/image_okcqshpaop6dp97dqv7i9pq461/-FJPG/100391-003_DET_1.jpg</t>
  </si>
  <si>
    <t>https://dd3ka9h4chfr8.cloudfront.net/image/725136000567/image_d1bq85ono53n715q96l5d7c52v/-FJPG/100391-003_DET_3.jpg</t>
  </si>
  <si>
    <t>https://dd3ka9h4chfr8.cloudfront.net/image/725136000567/image_92ghlunt3p2179tjudcc11tb1j/-FJPG/100391-003_GRP_1.jpg</t>
  </si>
  <si>
    <t>https://dd3ka9h4chfr8.cloudfront.net/image/725136000567/image_digct5ag391mfc56f0r5te6u2v/-FJPG/100391-003_DET_4.jpg</t>
  </si>
  <si>
    <t>https://dd3ka9h4chfr8.cloudfront.net/image/725136000567/image_srj5f9prvh60j47tt2fo7d4325/-FJPG/100391-003_DET_5.jpg</t>
  </si>
  <si>
    <t>https://dd3ka9h4chfr8.cloudfront.net/image/725136000567/image_627ehn9a7h3i7eaamugdpip207/-FJPG/100391-003_DET_6.jpg</t>
  </si>
  <si>
    <t>https://dd3ka9h4chfr8.cloudfront.net/image/725136000567/image_as8jj1fs8t5bh8et6fcf5aa83u/-FJPG/100391-003_DET_7.jpg</t>
  </si>
  <si>
    <t>https://dd3ka9h4chfr8.cloudfront.net/image/725136000567/image_9bn4i0s7l13opbhfcc06s2e73u/-S150x150-FJPG/100393-003_PRM_1.jpg</t>
  </si>
  <si>
    <t>https://dd3ka9h4chfr8.cloudfront.net/image/725136000567/image_9bn4i0s7l13opbhfcc06s2e73u/-FJPG/100393-003_PRM_1.jpg</t>
  </si>
  <si>
    <t>https://dd3ka9h4chfr8.cloudfront.net/image/725136000567/image_k40q9vtbvh42d9aiukua1u407i/-FJPG/100393-003_SID_1.jpg</t>
  </si>
  <si>
    <t>https://dd3ka9h4chfr8.cloudfront.net/image/725136000567/image_6c56n119792sb7n8brnm9t7v3q/-FJPG/100393-003_ESS_1.jpg</t>
  </si>
  <si>
    <t>https://dd3ka9h4chfr8.cloudfront.net/image/725136000567/image_16513ua60h76r3lrt175l4t61k/-FJPG/100393-003_DET_2.jpg</t>
  </si>
  <si>
    <t>https://dd3ka9h4chfr8.cloudfront.net/image/725136000567/image_qfod361st90th2nvk4mkge6j0t/-FJPG/100393-003_DET_1.jpg</t>
  </si>
  <si>
    <t>https://dd3ka9h4chfr8.cloudfront.net/image/725136000567/image_tcjt7s9tid5odb8c0uogv3at74/-FJPG/100393-003_DET_3.jpg</t>
  </si>
  <si>
    <t>https://dd3ka9h4chfr8.cloudfront.net/image/725136000567/image_kqoc2q2o3d5en3t7sj6elqer66/-FJPG/100393-003_DET_4.jpg</t>
  </si>
  <si>
    <t>https://dd3ka9h4chfr8.cloudfront.net/image/725136000567/image_vg0379ht7d4j912uhtcug5k91l/-FJPG/100393-003_DET_5.jpg</t>
  </si>
  <si>
    <t>https://dd3ka9h4chfr8.cloudfront.net/image/725136000567/image_kuisnv969p399cfv2o9u0sr977/-FJPG/100393-003_DET_6.jpg</t>
  </si>
  <si>
    <t>https://dd3ka9h4chfr8.cloudfront.net/image/725136000567/image_6p9ed50usp1ipa1scvh0simn7s/-FJPG/100393-003_DET_7.jpg</t>
  </si>
  <si>
    <t>Oxford Accent Stool - Rialto Ebony</t>
  </si>
  <si>
    <t>https://dd3ka9h4chfr8.cloudfront.net/image/725136000567/image_2ubneoprnp4h3fqid6gdmoar5d/-S150x150-FJPG/CIRD-144_PRM_1.jpg</t>
  </si>
  <si>
    <t>https://dd3ka9h4chfr8.cloudfront.net/image/725136000567/image_2ubneoprnp4h3fqid6gdmoar5d/-FJPG/CIRD-144_PRM_1.jpg</t>
  </si>
  <si>
    <t>https://dd3ka9h4chfr8.cloudfront.net/image/725136000567/image_s3lnj2ecql5lr0kb3dilvfog3p/-FJPG/CIRD-144_SID_1.jpg</t>
  </si>
  <si>
    <t>https://dd3ka9h4chfr8.cloudfront.net/image/725136000567/image_44529nu1d53udcg34fr409mg39/-FJPG/CIRD-144_DET_2.jpg</t>
  </si>
  <si>
    <t>https://dd3ka9h4chfr8.cloudfront.net/image/725136000567/image_ef5m5us1915cpau0lu49ua982k/-FJPG/CIRD-144_DET_1.jpg</t>
  </si>
  <si>
    <t>https://dd3ka9h4chfr8.cloudfront.net/image/725136000567/image_62vplkj42t74f8ladn8lj8lm7j/-FJPG/CIRD-144_DET_3.jpg</t>
  </si>
  <si>
    <t>https://dd3ka9h4chfr8.cloudfront.net/image/725136000567/image_gcoctiaa8p4lv2vdj5ojrea524/-FJPG/CIRD-144_GRP_1.jpg</t>
  </si>
  <si>
    <t>https://dd3ka9h4chfr8.cloudfront.net/image/725136000567/image_er1pcvfuct4036ia7jb28p8s25/-FJPG/CIRD-144_DET_4.jpg</t>
  </si>
  <si>
    <t>Oxford Bench - Rialto Ebony</t>
  </si>
  <si>
    <t>https://dd3ka9h4chfr8.cloudfront.net/image/725136000567/image_hop8fa42hh6ajepaalsmmnhv64/-S150x150-FJPG/105857-007_PRM_1.jpg</t>
  </si>
  <si>
    <t>https://dd3ka9h4chfr8.cloudfront.net/image/725136000567/image_hop8fa42hh6ajepaalsmmnhv64/-FJPG/105857-007_PRM_1.jpg</t>
  </si>
  <si>
    <t>https://dd3ka9h4chfr8.cloudfront.net/image/725136000567/image_3gf801ie6d0atf2jijnp1drq08/-FJPG/105857-007_SID_1.jpg</t>
  </si>
  <si>
    <t>https://dd3ka9h4chfr8.cloudfront.net/image/725136000567/image_3m1sfn1r010n72o8bh4u19gs5q/-FJPG/105857-007_DET_2.jpg</t>
  </si>
  <si>
    <t>https://dd3ka9h4chfr8.cloudfront.net/image/725136000567/image_k3vgf6dobt2kf93lntmsao395s/-FJPG/105857-007_DET_1.jpg</t>
  </si>
  <si>
    <t>https://dd3ka9h4chfr8.cloudfront.net/image/725136000567/image_3llu5dv5nt2jr8os9vlvm4c45q/-FJPG/105857-007_DET_3.jpg</t>
  </si>
  <si>
    <t>https://dd3ka9h4chfr8.cloudfront.net/image/725136000567/image_tfcu9nfopp0rr06jpd8b2cc83v/-FJPG/105857-007_DET_4.jpg</t>
  </si>
  <si>
    <t>https://dd3ka9h4chfr8.cloudfront.net/image/725136000567/image_t659k0jfn95n51iinvcb29cd31/-FJPG/105857-007_ROM_1.jpg</t>
  </si>
  <si>
    <t>https://dd3ka9h4chfr8.cloudfront.net/image/725136000567/image_rr7ng93ru509pekchvtvhd4m0l/-FJPG/105857-007_VIG_1.jpg</t>
  </si>
  <si>
    <t>Oxford Small Coffee Table - Rialto Ebony</t>
  </si>
  <si>
    <t>https://dd3ka9h4chfr8.cloudfront.net/image/725136000567/image_otgccqredl6i9eallij13uj557/-S150x150-FJPG/CIRD-158_PRM_1.jpg</t>
  </si>
  <si>
    <t>https://dd3ka9h4chfr8.cloudfront.net/image/725136000567/image_otgccqredl6i9eallij13uj557/-FJPG/CIRD-158_PRM_1.jpg</t>
  </si>
  <si>
    <t>https://dd3ka9h4chfr8.cloudfront.net/image/725136000567/image_c1os1j8me54vpe17i1v164576r/-FJPG/CIRD-158_SID_1.jpg</t>
  </si>
  <si>
    <t>https://dd3ka9h4chfr8.cloudfront.net/image/725136000567/image_9ul9sl8hcd5ij0nrhemgbr0908/-FJPG/CIRD-158_DET_2.jpg</t>
  </si>
  <si>
    <t>https://dd3ka9h4chfr8.cloudfront.net/image/725136000567/image_s1dkh05jcd44323m0evgf7gq2n/-FJPG/CIRD-158_DET_1.jpg</t>
  </si>
  <si>
    <t>https://dd3ka9h4chfr8.cloudfront.net/image/725136000567/image_f0rj8gc25t1df3d0gplhdtr05n/-FJPG/CIRD-158_DET_3.jpg</t>
  </si>
  <si>
    <t>Paden Coffee Table - Aged Black Acacia</t>
  </si>
  <si>
    <t>https://dd3ka9h4chfr8.cloudfront.net/image/725136000567/image_esnnrbmg6d3o76m9o191hb9j1l/-S150x150-FJPG/227801-005_PRM_1.jpg</t>
  </si>
  <si>
    <t>https://dd3ka9h4chfr8.cloudfront.net/image/725136000567/image_esnnrbmg6d3o76m9o191hb9j1l/-FJPG/227801-005_PRM_1.jpg</t>
  </si>
  <si>
    <t>https://dd3ka9h4chfr8.cloudfront.net/image/725136000567/image_g2k95hisr925jfti6f8e1mnj1f/-FJPG/227801-005_SID_1.jpg</t>
  </si>
  <si>
    <t>https://dd3ka9h4chfr8.cloudfront.net/image/725136000567/image_qilal1v1bt25p3qo7tc2vhab26/-FJPG/227801-005_ESS_1.jpg</t>
  </si>
  <si>
    <t>https://dd3ka9h4chfr8.cloudfront.net/image/725136000567/image_hude86lsrh4df865j4pifiuu5o/-FJPG/227801-005_DET_2.jpg</t>
  </si>
  <si>
    <t>https://dd3ka9h4chfr8.cloudfront.net/image/725136000567/image_d3bput8q4l5ln2ocbnfabr5o7q/-FJPG/227801-005_DET_1.jpg</t>
  </si>
  <si>
    <t>https://dd3ka9h4chfr8.cloudfront.net/image/725136000567/image_0h9bqinhid68r97mhb6oqvmb71/-FJPG/227801-005_DET_3.jpg</t>
  </si>
  <si>
    <t>https://dd3ka9h4chfr8.cloudfront.net/image/725136000567/image_0cl0fr5es96fp9qjkpg79lsi76/-FJPG/227801-005_DET_4.jpg</t>
  </si>
  <si>
    <t>https://dd3ka9h4chfr8.cloudfront.net/image/725136000567/image_l4eh0h673549921dan49mkda6d/-FJPG/227801-005_DET_5.jpg</t>
  </si>
  <si>
    <t>https://dd3ka9h4chfr8.cloudfront.net/image/725136000567/image_22bmv9onvd6o34mok6on7d9969/-S150x150-FJPG/236151-002_PRM_1.jpg</t>
  </si>
  <si>
    <t>https://dd3ka9h4chfr8.cloudfront.net/image/725136000567/image_22bmv9onvd6o34mok6on7d9969/-FJPG/236151-002_PRM_1.jpg</t>
  </si>
  <si>
    <t>https://dd3ka9h4chfr8.cloudfront.net/image/725136000567/image_r9hkv6soi92d153gk0rv2oj527/-FJPG/236151-002_SID_1.jpg</t>
  </si>
  <si>
    <t>https://dd3ka9h4chfr8.cloudfront.net/image/725136000567/image_ogujj9934d6tv0ik2qebqv9s7l/-FJPG/236151-002_DET_2.jpg</t>
  </si>
  <si>
    <t>https://dd3ka9h4chfr8.cloudfront.net/image/725136000567/image_808inckg5h67j237qvnjlln80q/-FJPG/236151-002_DET_1.jpg</t>
  </si>
  <si>
    <t>https://dd3ka9h4chfr8.cloudfront.net/image/725136000567/image_23jr5lp7mh0ajbdte0q9lrg659/-FJPG/236151-002_DET_3.jpg</t>
  </si>
  <si>
    <t>https://dd3ka9h4chfr8.cloudfront.net/image/725136000567/image_242919e1u13c916sv34md03i7p/-FJPG/236151-002_DET_4.jpg</t>
  </si>
  <si>
    <t>https://dd3ka9h4chfr8.cloudfront.net/image/725136000567/image_c7fvbqsjfl2m3anh9oftf13c2r/-FJPG/236151-002_DET_5.jpg</t>
  </si>
  <si>
    <t>https://dd3ka9h4chfr8.cloudfront.net/image/725136000567/image_4t4bvp07hl07hfna2kc5qgjm3t/-FJPG/236151-002_ESS.tif</t>
  </si>
  <si>
    <t>https://dd3ka9h4chfr8.cloudfront.net/image/725136000567/image_hh66b8tq9p4tb5f58ng7ufqp3h/-FJPG/236151-002_ESS_9.tif</t>
  </si>
  <si>
    <t>Paden Coffee Table - Sandy Acacia</t>
  </si>
  <si>
    <t>https://dd3ka9h4chfr8.cloudfront.net/image/725136000567/image_mroa0vimpp6s91rdngntrklm52/-S150x150-FJPG/227801-002_PRM_1.jpg</t>
  </si>
  <si>
    <t>https://dd3ka9h4chfr8.cloudfront.net/image/725136000567/image_mroa0vimpp6s91rdngntrklm52/-FJPG/227801-002_PRM_1.jpg</t>
  </si>
  <si>
    <t>https://dd3ka9h4chfr8.cloudfront.net/image/725136000567/image_28jv2m5rk92ctegb7e99plsd7q/-FJPG/227801-002_SID_1.jpg</t>
  </si>
  <si>
    <t>https://dd3ka9h4chfr8.cloudfront.net/image/725136000567/image_a6rqmdjhl12pfbikr2bp1tql4n/-FJPG/227801-002_ESS_1.jpg</t>
  </si>
  <si>
    <t>https://dd3ka9h4chfr8.cloudfront.net/image/725136000567/image_c5ieq8u72l6a774d3mnealse2u/-FJPG/227801-002_DET_2.jpg</t>
  </si>
  <si>
    <t>https://dd3ka9h4chfr8.cloudfront.net/image/725136000567/image_8cfjkpgd4l5kl7npgftg5fh262/-FJPG/227801-002_DET_1.jpg</t>
  </si>
  <si>
    <t>https://dd3ka9h4chfr8.cloudfront.net/image/725136000567/image_2jbi85ovpt7qt4rbspne2k8v0i/-FJPG/227801-002_DET_3.jpg</t>
  </si>
  <si>
    <t>https://dd3ka9h4chfr8.cloudfront.net/image/725136000567/image_qqbjjghegd4qt18gi224i1dp31/-FJPG/227801-002_DET_4.jpg</t>
  </si>
  <si>
    <t>https://dd3ka9h4chfr8.cloudfront.net/image/725136000567/image_un3pjors3l7vj0vglhu5iu756b/-FJPG/227801-002_DET_5.jpg</t>
  </si>
  <si>
    <t>Paden Coffee Table - Seasoned Brown Acacia</t>
  </si>
  <si>
    <t>https://dd3ka9h4chfr8.cloudfront.net/image/725136000567/image_l2ribkamlh0dnfcqie4tgrgf5o/-S150x150-FJPG/227801-001_PRM_1.jpg</t>
  </si>
  <si>
    <t>https://dd3ka9h4chfr8.cloudfront.net/image/725136000567/image_l2ribkamlh0dnfcqie4tgrgf5o/-FJPG/227801-001_PRM_1.jpg</t>
  </si>
  <si>
    <t>https://dd3ka9h4chfr8.cloudfront.net/image/725136000567/image_j03ns0cnc53t52dk1hsuc80038/-FJPG/227801-001_SID_1.jpg</t>
  </si>
  <si>
    <t>https://dd3ka9h4chfr8.cloudfront.net/image/725136000567/image_ag1u77cnjt79h9pim99o7det1g/-FJPG/227801-001_ESS_1.jpg</t>
  </si>
  <si>
    <t>https://dd3ka9h4chfr8.cloudfront.net/image/725136000567/image_vvbui23tv57758h7gif8vds72k/-FJPG/227801-001_DET_2.jpg</t>
  </si>
  <si>
    <t>https://dd3ka9h4chfr8.cloudfront.net/image/725136000567/image_h243ngvf6d0on61gcfehkjcc6n/-FJPG/227801-001_DET_1.jpg</t>
  </si>
  <si>
    <t>https://dd3ka9h4chfr8.cloudfront.net/image/725136000567/image_i9rhd2p3ip17l0l9kgjc78gt4n/-FJPG/227801-001_DET_3.jpg</t>
  </si>
  <si>
    <t>https://dd3ka9h4chfr8.cloudfront.net/image/725136000567/image_f2u9hq7tjh1qra5bjrvj5dt318/-FJPG/227801-001_DET_4.jpg</t>
  </si>
  <si>
    <t>https://dd3ka9h4chfr8.cloudfront.net/image/725136000567/image_v9ckl2q9i165ta26qrge56fm04/-FJPG/227801-001_DET_5.jpg</t>
  </si>
  <si>
    <t>https://dd3ka9h4chfr8.cloudfront.net/image/725136000567/image_p761o3kf6t7qp71n6mk8uhil4i/-S150x150-FJPG/236151-001_PRM_1.jpg</t>
  </si>
  <si>
    <t>https://dd3ka9h4chfr8.cloudfront.net/image/725136000567/image_p761o3kf6t7qp71n6mk8uhil4i/-FJPG/236151-001_PRM_1.jpg</t>
  </si>
  <si>
    <t>https://dd3ka9h4chfr8.cloudfront.net/image/725136000567/image_8h64j2amd17rt8jhlc43mcgg50/-FJPG/236151-001_SID_1.jpg</t>
  </si>
  <si>
    <t>https://dd3ka9h4chfr8.cloudfront.net/image/725136000567/image_msj4rpglft5j1etl1g2kd2lr1o/-FJPG/236151-001_DET_2.jpg</t>
  </si>
  <si>
    <t>https://dd3ka9h4chfr8.cloudfront.net/image/725136000567/image_19hp4j7t617hl6bg60otguf63r/-FJPG/236151-001_DET_1.jpg</t>
  </si>
  <si>
    <t>https://dd3ka9h4chfr8.cloudfront.net/image/725136000567/image_nca3l6i42p0dvdsrjvm6i7tu5b/-FJPG/236151-001_DET_3.jpg</t>
  </si>
  <si>
    <t>https://dd3ka9h4chfr8.cloudfront.net/image/725136000567/image_ri868vnt397h1clk9hi3mia25d/-FJPG/236151-001_DET_4.jpg</t>
  </si>
  <si>
    <t>https://dd3ka9h4chfr8.cloudfront.net/image/725136000567/image_9qro0qhqqh5q76cs3ng30p5e6j/-FJPG/236151-001_DET_5.jpg</t>
  </si>
  <si>
    <t>https://dd3ka9h4chfr8.cloudfront.net/image/725136000567/image_18cefugvh914pfm2vcfggmcl14/-FJPG/236151-001_DET_6.jpg</t>
  </si>
  <si>
    <t>Paden Coffee Table - Worn Oak Veneer</t>
  </si>
  <si>
    <t>https://dd3ka9h4chfr8.cloudfront.net/image/725136000567/image_uq0djjbgol7tt5212kqs020u3r/-S150x150-FJPG/227801-009_PRM_1.jpg</t>
  </si>
  <si>
    <t>https://dd3ka9h4chfr8.cloudfront.net/image/725136000567/image_uq0djjbgol7tt5212kqs020u3r/-FJPG/227801-009_PRM_1.jpg</t>
  </si>
  <si>
    <t>https://dd3ka9h4chfr8.cloudfront.net/image/725136000567/image_4h0m86r5gd6h7dch9ijll6dl33/-FJPG/227801-009_SID_1.jpg</t>
  </si>
  <si>
    <t>https://dd3ka9h4chfr8.cloudfront.net/image/725136000567/image_6man8tslbl4mlc721es6rqnl4d/-FJPG/227801-009_DET_2.jpg</t>
  </si>
  <si>
    <t>https://dd3ka9h4chfr8.cloudfront.net/image/725136000567/image_rujfbocg1l5512q90a4pvs7344/-FJPG/227801-009_DET_1.jpg</t>
  </si>
  <si>
    <t>https://dd3ka9h4chfr8.cloudfront.net/image/725136000567/image_bo22c7df5l6vrfno6tdojfil3n/-FJPG/227801-009_DET_3.jpg</t>
  </si>
  <si>
    <t>https://dd3ka9h4chfr8.cloudfront.net/image/725136000567/image_ulm7ph0gn93in5lruuhglvs36p/-FJPG/227801-009_TOP_1.jpg</t>
  </si>
  <si>
    <t>https://dd3ka9h4chfr8.cloudfront.net/image/725136000567/image_vtiai6j8c95ahb2k3fdv629p6n/-FJPG/227801-009_DET_4.jpg</t>
  </si>
  <si>
    <t>https://dd3ka9h4chfr8.cloudfront.net/image/725136000567/image_sn9km2cmll42f9po1sq6fju75l/-FJPG/227801-009_DET_5.jpg</t>
  </si>
  <si>
    <t>https://dd3ka9h4chfr8.cloudfront.net/image/725136000567/image_92i0hpd2t10v1dg85aolbe6o2a/-S150x150-FJPG/236151-004_PRM_1.jpg</t>
  </si>
  <si>
    <t>https://dd3ka9h4chfr8.cloudfront.net/image/725136000567/image_92i0hpd2t10v1dg85aolbe6o2a/-FJPG/236151-004_PRM_1.jpg</t>
  </si>
  <si>
    <t>https://dd3ka9h4chfr8.cloudfront.net/image/725136000567/image_op268590857hr9le6khjrnoq4n/-FJPG/236151-004_SID_1.jpg</t>
  </si>
  <si>
    <t>https://dd3ka9h4chfr8.cloudfront.net/image/725136000567/image_s6ogl13aqp13veqq2ic9qsh50t/-FJPG/236151-004_DET_2.jpg</t>
  </si>
  <si>
    <t>https://dd3ka9h4chfr8.cloudfront.net/image/725136000567/image_asnphrpes52l3c6npvghuu3903/-FJPG/236151-004_DET_1.jpg</t>
  </si>
  <si>
    <t>https://dd3ka9h4chfr8.cloudfront.net/image/725136000567/image_djf0cfr60t405ealt28qgq3o16/-FJPG/236151-004_DET_3.jpg</t>
  </si>
  <si>
    <t>https://dd3ka9h4chfr8.cloudfront.net/image/725136000567/image_c6l957fs1h2hfdrm7vdbivfm0e/-FJPG/236151-004_TOP_1.jpg</t>
  </si>
  <si>
    <t>https://dd3ka9h4chfr8.cloudfront.net/image/725136000567/image_es7r4uaiit1ht5d1965jcvru2c/-FJPG/236151-004_DET_4.jpg</t>
  </si>
  <si>
    <t>https://dd3ka9h4chfr8.cloudfront.net/image/725136000567/image_fpggm162b9729flgt0lqu6k84g/-FJPG/236151-004_DET_5.jpg</t>
  </si>
  <si>
    <t>Paden Desk - Aged Black Acacia</t>
  </si>
  <si>
    <t>https://dd3ka9h4chfr8.cloudfront.net/image/725136000567/image_8gnqe787kl38b3akkck7dl850s/-S150x150-FJPG/248413-002_PRM_1.jpg</t>
  </si>
  <si>
    <t>https://dd3ka9h4chfr8.cloudfront.net/image/725136000567/image_8gnqe787kl38b3akkck7dl850s/-FJPG/248413-002_PRM_1.jpg</t>
  </si>
  <si>
    <t>https://dd3ka9h4chfr8.cloudfront.net/image/725136000567/image_ap7rocc6ml70dffj8li5unaa4v/-FJPG/248413-002_SID_1.jpg</t>
  </si>
  <si>
    <t>https://dd3ka9h4chfr8.cloudfront.net/image/725136000567/image_o1u1sqngj557n8djm36bflou5c/-FJPG/248413-002_ESS.tif</t>
  </si>
  <si>
    <t>https://dd3ka9h4chfr8.cloudfront.net/image/725136000567/image_t3figjrud90lhbp4bvfb3o5p43/-FJPG/248413-002_DET_2.jpg</t>
  </si>
  <si>
    <t>https://dd3ka9h4chfr8.cloudfront.net/image/725136000567/image_hjrenpcmn96rjb890i5isiu540/-FJPG/248413-002_DET_1.jpg</t>
  </si>
  <si>
    <t>https://dd3ka9h4chfr8.cloudfront.net/image/725136000567/image_c2dpdu53mh6pn92t26c7tekp12/-FJPG/248413-002_DET_3.jpg</t>
  </si>
  <si>
    <t>https://dd3ka9h4chfr8.cloudfront.net/image/725136000567/image_eka2forjhd7dvaspi8pols357s/-FJPG/248413-002_TOP_1.jpg</t>
  </si>
  <si>
    <t>https://dd3ka9h4chfr8.cloudfront.net/image/725136000567/image_b6tuhbk4a14dfa9b3v8vpd254u/-FJPG/248413-002_DET_4.jpg</t>
  </si>
  <si>
    <t>https://dd3ka9h4chfr8.cloudfront.net/image/725136000567/image_ff32rcfvvt4v1655psgh7scv1q/-FJPG/248413-002_DET_5.jpg</t>
  </si>
  <si>
    <t>https://dd3ka9h4chfr8.cloudfront.net/image/725136000567/image_u4qtamt2nh0ih6k8h8rsdg6q0f/-FJPG/248413-002_DET_9.tif</t>
  </si>
  <si>
    <t>Paden Desk - Worn Oak</t>
  </si>
  <si>
    <t>https://dd3ka9h4chfr8.cloudfront.net/image/725136000567/image_7nv1v20ihl55b6gkl47duss17v/-S150x150-FJPG/248413-004_PRM_1.jpg</t>
  </si>
  <si>
    <t>https://dd3ka9h4chfr8.cloudfront.net/image/725136000567/image_7nv1v20ihl55b6gkl47duss17v/-FJPG/248413-004_PRM_1.jpg</t>
  </si>
  <si>
    <t>https://dd3ka9h4chfr8.cloudfront.net/image/725136000567/image_bvl831n7pp09v7kb8motdhfe41/-FJPG/248413-004_SID_1.jpg</t>
  </si>
  <si>
    <t>https://dd3ka9h4chfr8.cloudfront.net/image/725136000567/image_4ms25sptg93q73evvo9u6cbq7v/-FJPG/248413-004_ESS.tif</t>
  </si>
  <si>
    <t>https://dd3ka9h4chfr8.cloudfront.net/image/725136000567/image_uothic13995npf6j0ne5di947j/-FJPG/248413-004_DET_2.jpg</t>
  </si>
  <si>
    <t>https://dd3ka9h4chfr8.cloudfront.net/image/725136000567/image_vl5jdjki755fj3nn1vqdhfgj1m/-FJPG/248413-004_BCK_1.jpg</t>
  </si>
  <si>
    <t>https://dd3ka9h4chfr8.cloudfront.net/image/725136000567/image_6im42sovqd1h9e7l7nlpnskd3e/-FJPG/248413-004_DET_1.jpg</t>
  </si>
  <si>
    <t>https://dd3ka9h4chfr8.cloudfront.net/image/725136000567/image_6usen4lihh7j78hsa8qpri5h3b/-FJPG/248413-004_DET_3.jpg</t>
  </si>
  <si>
    <t>https://dd3ka9h4chfr8.cloudfront.net/image/725136000567/image_b34b3tfest2939b0rbp95lah2n/-FJPG/248413-004_TOP_1.jpg</t>
  </si>
  <si>
    <t>https://dd3ka9h4chfr8.cloudfront.net/image/725136000567/image_isnqfma7810r598oktgp5uvr26/-FJPG/248413-004_DET_4.jpg</t>
  </si>
  <si>
    <t>https://dd3ka9h4chfr8.cloudfront.net/image/725136000567/image_n2lmgr945h5e11k4f3e0kshf2c/-FJPG/248413-004_DET_5.jpg</t>
  </si>
  <si>
    <t>https://dd3ka9h4chfr8.cloudfront.net/image/725136000567/image_fb4aosmn997ub1m3ecuqk11b5b/-FJPG/248413-004_DET_6.jpg</t>
  </si>
  <si>
    <t>https://dd3ka9h4chfr8.cloudfront.net/image/725136000567/image_4d73ghfcrd7015f0rbdrfmm65l/-FJPG/248413-004_DET_7.jpg</t>
  </si>
  <si>
    <t>https://dd3ka9h4chfr8.cloudfront.net/image/725136000567/image_ep85vg3mgl6phc02f3f93c5n16/-FJPG/248413-004_DET_8.jpg</t>
  </si>
  <si>
    <t>https://dd3ka9h4chfr8.cloudfront.net/image/725136000567/image_ii6hfen34d17de4gmv66drgv1e/-FJPG/248413-004_DET_9.tif</t>
  </si>
  <si>
    <t>https://dd3ka9h4chfr8.cloudfront.net/image/725136000567/image_8i0k9qf3pl1pj2seqtur5qja7d/-FJPG/248413-004_DET_10.tif</t>
  </si>
  <si>
    <t>Paden Dining Table - Aged Black Acacia</t>
  </si>
  <si>
    <t>https://dd3ka9h4chfr8.cloudfront.net/image/725136000567/image_ubrd16sl6l6jf9qu2893j1mv79/-S150x150-FJPG/105188-004_PRM_1.jpg</t>
  </si>
  <si>
    <t>https://dd3ka9h4chfr8.cloudfront.net/image/725136000567/image_ubrd16sl6l6jf9qu2893j1mv79/-FJPG/105188-004_PRM_1.jpg</t>
  </si>
  <si>
    <t>https://dd3ka9h4chfr8.cloudfront.net/image/725136000567/image_eca8ajlr5l0ld26jc9kvp08s29/-FJPG/105188-004_SID_1.jpg</t>
  </si>
  <si>
    <t>https://dd3ka9h4chfr8.cloudfront.net/image/725136000567/image_5d04eq80f54hfd852qk3k1hr5e/-FJPG/105188-004_ESS.tif</t>
  </si>
  <si>
    <t>https://dd3ka9h4chfr8.cloudfront.net/image/725136000567/image_2uvngslocl4p70iktgfkkad43n/-FJPG/105188-004_DET_2.jpg</t>
  </si>
  <si>
    <t>https://dd3ka9h4chfr8.cloudfront.net/image/725136000567/image_eq8pnmsr114f347kj4rjvbhh6k/-FJPG/105188-004_DET_1.jpg</t>
  </si>
  <si>
    <t>https://dd3ka9h4chfr8.cloudfront.net/image/725136000567/image_qq9v430oml6cr3oduhl57gvd0f/-FJPG/105188-004_DET_3.jpg</t>
  </si>
  <si>
    <t>https://dd3ka9h4chfr8.cloudfront.net/image/725136000567/image_ifblb6q6i12q37p1npjugnin02/-FJPG/105188-004_DET_4.jpg</t>
  </si>
  <si>
    <t>https://dd3ka9h4chfr8.cloudfront.net/image/725136000567/image_h4k63bna8527h848go3itr1p3p/-FJPG/105188-004_DET_5.jpg</t>
  </si>
  <si>
    <t>https://dd3ka9h4chfr8.cloudfront.net/image/725136000567/image_5piglol58h08r8kajpa4r9rv78/-FJPG/105188-004_ESS.tif</t>
  </si>
  <si>
    <t>https://dd3ka9h4chfr8.cloudfront.net/image/725136000567/image_ar1d8ipe292tf9hqg2jatgnv76/-S150x150-FJPG/242354-007_PRM_1.jpg</t>
  </si>
  <si>
    <t>https://dd3ka9h4chfr8.cloudfront.net/image/725136000567/image_ar1d8ipe292tf9hqg2jatgnv76/-FJPG/242354-007_PRM_1.jpg</t>
  </si>
  <si>
    <t>https://dd3ka9h4chfr8.cloudfront.net/image/725136000567/image_d5u23abold23t6a4u543s3047j/-FJPG/242354-007_SID_1.jpg</t>
  </si>
  <si>
    <t>https://dd3ka9h4chfr8.cloudfront.net/image/725136000567/image_5usp2d08hp6l511m4hn45tc036/-FJPG/242354-007_DET_2.jpg</t>
  </si>
  <si>
    <t>https://dd3ka9h4chfr8.cloudfront.net/image/725136000567/image_p8pll78t953h53lu94ukngi73e/-FJPG/242354-007_DET_1.jpg</t>
  </si>
  <si>
    <t>https://dd3ka9h4chfr8.cloudfront.net/image/725136000567/image_t75k0kj1v15mtd8ig021cabu60/-FJPG/242354-007_DET_3.jpg</t>
  </si>
  <si>
    <t>https://dd3ka9h4chfr8.cloudfront.net/image/725136000567/image_2g9fuu4ga15tjbnlskiiuic711/-FJPG/242354-007_TOP_1.jpg</t>
  </si>
  <si>
    <t>https://dd3ka9h4chfr8.cloudfront.net/image/725136000567/image_g6bthfscv548lerd289659bu6i/-FJPG/242354-007_DET_4.jpg</t>
  </si>
  <si>
    <t>https://dd3ka9h4chfr8.cloudfront.net/image/725136000567/image_tm6jmhqcgd2e12fv7bod08ic7k/-FJPG/242354-007_DET_5.jpg</t>
  </si>
  <si>
    <t>https://dd3ka9h4chfr8.cloudfront.net/image/725136000567/image_l22fdk68752e17f5moeomm5h42/-FJPG/242354-007_DET_6.jpg</t>
  </si>
  <si>
    <t>Paden Dining Table - Sandy Acacia</t>
  </si>
  <si>
    <t>https://dd3ka9h4chfr8.cloudfront.net/image/725136000567/image_p0tvuoeu6t5s72c5ikn5c1mc4u/-S150x150-FJPG/105188-002_PRM_1.jpg</t>
  </si>
  <si>
    <t>https://dd3ka9h4chfr8.cloudfront.net/image/725136000567/image_p0tvuoeu6t5s72c5ikn5c1mc4u/-FJPG/105188-002_PRM_1.jpg</t>
  </si>
  <si>
    <t>https://dd3ka9h4chfr8.cloudfront.net/image/725136000567/image_ufql1iumnh1qrb35bi6fat2j27/-FJPG/105188-002_SID_1.jpg</t>
  </si>
  <si>
    <t>https://dd3ka9h4chfr8.cloudfront.net/image/725136000567/image_1asjlutki91od1dco26mc7oe39/-FJPG/105188-002_ESS_1.jpg</t>
  </si>
  <si>
    <t>https://dd3ka9h4chfr8.cloudfront.net/image/725136000567/image_rphbd05ict2ib1nbobj8796g02/-FJPG/105188-002_DET_2.jpg</t>
  </si>
  <si>
    <t>https://dd3ka9h4chfr8.cloudfront.net/image/725136000567/image_3l5h2k3dc51djf3tvfeofa434d/-FJPG/105188-002_DET_1.jpg</t>
  </si>
  <si>
    <t>https://dd3ka9h4chfr8.cloudfront.net/image/725136000567/image_045qldrcgl1h94ltrhkrpnrl4j/-FJPG/105188-002_DET_3.jpg</t>
  </si>
  <si>
    <t>https://dd3ka9h4chfr8.cloudfront.net/image/725136000567/image_uti6le7o5l60151i77km1j9k1q/-FJPG/105188-002_DET_4.jpg</t>
  </si>
  <si>
    <t>https://dd3ka9h4chfr8.cloudfront.net/image/725136000567/image_isb56elc2157976didqoufp81j/-FJPG/105188-002_DET_5.jpg</t>
  </si>
  <si>
    <t>https://dd3ka9h4chfr8.cloudfront.net/image/725136000567/image_2dfb346cnl5077vqkus43k975p/-FJPG/105188-002_DET_7.jpg</t>
  </si>
  <si>
    <t>https://dd3ka9h4chfr8.cloudfront.net/image/725136000567/image_i1vr63ql250ad4n9qnnckr7d4g/-S150x150-FJPG/242354-006_PRM_1.jpg</t>
  </si>
  <si>
    <t>https://dd3ka9h4chfr8.cloudfront.net/image/725136000567/image_i1vr63ql250ad4n9qnnckr7d4g/-FJPG/242354-006_PRM_1.jpg</t>
  </si>
  <si>
    <t>https://dd3ka9h4chfr8.cloudfront.net/image/725136000567/image_vtvcnfdet12sf88281ot463p2i/-FJPG/242354-006_SID_1.jpg</t>
  </si>
  <si>
    <t>https://dd3ka9h4chfr8.cloudfront.net/image/725136000567/image_5b7jp3g6vl65jbbi7mtajf7j6l/-FJPG/242354-006_DET_2.jpg</t>
  </si>
  <si>
    <t>https://dd3ka9h4chfr8.cloudfront.net/image/725136000567/image_n6g6v8d4qp37v3i8c1hnbe283u/-FJPG/242354-006_DET_1.jpg</t>
  </si>
  <si>
    <t>https://dd3ka9h4chfr8.cloudfront.net/image/725136000567/image_3509li89tt5vf2m362dno6ph0m/-FJPG/242354-006_DET_3.jpg</t>
  </si>
  <si>
    <t>https://dd3ka9h4chfr8.cloudfront.net/image/725136000567/image_drjv8d2rgd6bv4l0kaglao1e7r/-FJPG/242354-006_TOP_1.jpg</t>
  </si>
  <si>
    <t>https://dd3ka9h4chfr8.cloudfront.net/image/725136000567/image_bktlk9fhb54vleo0slrqckkm57/-FJPG/242354-006_DET_4.jpg</t>
  </si>
  <si>
    <t>https://dd3ka9h4chfr8.cloudfront.net/image/725136000567/image_qu7g24jaop35v2ju81ukhhae52/-FJPG/242354-006_DET_5.jpg</t>
  </si>
  <si>
    <t>https://dd3ka9h4chfr8.cloudfront.net/image/725136000567/image_env5qh1lel2652tdjbo0otfd5u/-FJPG/242354-006_DET_6.jpg</t>
  </si>
  <si>
    <t>Paden Dining Table - Seasoned Brown Acacia</t>
  </si>
  <si>
    <t>https://dd3ka9h4chfr8.cloudfront.net/image/725136000567/image_4rc0es2925301fdkl1msp6mc0h/-S150x150-FJPG/VHDN-044_PRM_1.jpg</t>
  </si>
  <si>
    <t>https://dd3ka9h4chfr8.cloudfront.net/image/725136000567/image_4rc0es2925301fdkl1msp6mc0h/-FJPG/VHDN-044_PRM_1.jpg</t>
  </si>
  <si>
    <t>https://dd3ka9h4chfr8.cloudfront.net/image/725136000567/image_bahshffdbd56dd6f1scr2du30v/-FJPG/VHDN-044_SID_1.jpg</t>
  </si>
  <si>
    <t>https://dd3ka9h4chfr8.cloudfront.net/image/725136000567/image_2jpt78dsqh5qhe359mhe3ung6u/-FJPG/VHDN-044_ESS_1.jpg</t>
  </si>
  <si>
    <t>https://dd3ka9h4chfr8.cloudfront.net/image/725136000567/image_rlv8kqbjfl68p3dbj54nej7f45/-FJPG/VHDN-044_DET_2.jpg</t>
  </si>
  <si>
    <t>https://dd3ka9h4chfr8.cloudfront.net/image/725136000567/image_j6afnnipll781bpriulh3uf543/-FJPG/VHDN-044_DET_1.jpg</t>
  </si>
  <si>
    <t>https://dd3ka9h4chfr8.cloudfront.net/image/725136000567/image_c5r29hm6v53k3523qg76j0ou3f/-FJPG/VHDN-044_DET_3.jpg</t>
  </si>
  <si>
    <t>https://dd3ka9h4chfr8.cloudfront.net/image/725136000567/image_r4nkqc8be15c57b46tjguvie31/-FJPG/VHDN-044_DET_4.jpg</t>
  </si>
  <si>
    <t>https://dd3ka9h4chfr8.cloudfront.net/image/725136000567/image_fdauk36pg96sn1cbhm6vcmgq33/-FJPG/VHDN-044_DET_5.jpg</t>
  </si>
  <si>
    <t>https://dd3ka9h4chfr8.cloudfront.net/image/725136000567/image_hs6vtm4t4t0pr6u4anu5o27q03/-FJPG/VHDN-044_DET_6.jpg</t>
  </si>
  <si>
    <t>https://dd3ka9h4chfr8.cloudfront.net/image/725136000567/image_npsnf2gm597t7eotkb78l3k42c/-FJPG/VHDN-044_DET_7.jpg</t>
  </si>
  <si>
    <t>https://dd3ka9h4chfr8.cloudfront.net/image/725136000567/image_nsvf9jocnd107d7kab6rro3e52/-FJPG/VHDN-044_VIG_1.jpg</t>
  </si>
  <si>
    <t>Paden Dining Table - Worn Oak Veneer</t>
  </si>
  <si>
    <t>https://dd3ka9h4chfr8.cloudfront.net/image/725136000567/image_q9hjnaerhh1g30lghtqc712n08/-S150x150-FJPG/105188-010_PRM_1.jpg</t>
  </si>
  <si>
    <t>https://dd3ka9h4chfr8.cloudfront.net/image/725136000567/image_q9hjnaerhh1g30lghtqc712n08/-FJPG/105188-010_PRM_1.jpg</t>
  </si>
  <si>
    <t>https://dd3ka9h4chfr8.cloudfront.net/image/725136000567/image_d5egn9v9up70p6sdq7ppoqgs4d/-FJPG/105188-010_SID_1.jpg</t>
  </si>
  <si>
    <t>https://dd3ka9h4chfr8.cloudfront.net/image/725136000567/image_4jgpeoquep4ut8gcap2l1e7d5g/-FJPG/105188-010_DET_2.jpg</t>
  </si>
  <si>
    <t>https://dd3ka9h4chfr8.cloudfront.net/image/725136000567/image_13s05vum015c55l7a88vc3ft5l/-FJPG/105188-010_DET_1.jpg</t>
  </si>
  <si>
    <t>https://dd3ka9h4chfr8.cloudfront.net/image/725136000567/image_56hb1g2n110l90odv9chdobt1i/-FJPG/105188-010_DET_3.jpg</t>
  </si>
  <si>
    <t>https://dd3ka9h4chfr8.cloudfront.net/image/725136000567/image_cvlks5ps5t5l18m5igc3he8c2k/-FJPG/105188-010_TOP_1.jpg</t>
  </si>
  <si>
    <t>https://dd3ka9h4chfr8.cloudfront.net/image/725136000567/image_lis2uop8eh0p3dntamjah1sb05/-FJPG/105188-010_DET_4.jpg</t>
  </si>
  <si>
    <t>https://dd3ka9h4chfr8.cloudfront.net/image/725136000567/image_0dv3pj1v0p7up90bpigvra6a4i/-S150x150-FJPG/242354-005_PRM_1.jpg</t>
  </si>
  <si>
    <t>https://dd3ka9h4chfr8.cloudfront.net/image/725136000567/image_0dv3pj1v0p7up90bpigvra6a4i/-FJPG/242354-005_PRM_1.jpg</t>
  </si>
  <si>
    <t>https://dd3ka9h4chfr8.cloudfront.net/image/725136000567/image_qmrrit3tgd3srev81cs8d0os3h/-FJPG/242354-005_SID_1.jpg</t>
  </si>
  <si>
    <t>https://dd3ka9h4chfr8.cloudfront.net/image/725136000567/image_65o591hpnl4kddi0lrbi2rho33/-FJPG/242354-005_DET_2.jpg</t>
  </si>
  <si>
    <t>https://dd3ka9h4chfr8.cloudfront.net/image/725136000567/image_5mtq539ir16fl4quf0lon21231/-FJPG/242354-005_DET_1.jpg</t>
  </si>
  <si>
    <t>https://dd3ka9h4chfr8.cloudfront.net/image/725136000567/image_v9lunhvg2l4p71qbuscedpdq2l/-FJPG/242354-005_DET_3.jpg</t>
  </si>
  <si>
    <t>https://dd3ka9h4chfr8.cloudfront.net/image/725136000567/image_fctgcmehr92676f2qka9sspt71/-FJPG/242354-005_TOP_1.jpg</t>
  </si>
  <si>
    <t>https://dd3ka9h4chfr8.cloudfront.net/image/725136000567/image_u78p8gp7b94a910j6tbg7mcf31/-FJPG/242354-005_DET_4.jpg</t>
  </si>
  <si>
    <t>https://dd3ka9h4chfr8.cloudfront.net/image/725136000567/image_biocl4g1od4nl0e8u531bpjt0r/-FJPG/242354-005_DET_5.jpg</t>
  </si>
  <si>
    <t>Paden End Table - Aged Black Acacia</t>
  </si>
  <si>
    <t>https://dd3ka9h4chfr8.cloudfront.net/image/725136000567/image_i0snlt0g496un1lk422rflvh2v/-S150x150-FJPG/227802-004_PRM_1.jpg</t>
  </si>
  <si>
    <t>https://dd3ka9h4chfr8.cloudfront.net/image/725136000567/image_i0snlt0g496un1lk422rflvh2v/-FJPG/227802-004_PRM_1.jpg</t>
  </si>
  <si>
    <t>https://dd3ka9h4chfr8.cloudfront.net/image/725136000567/image_29umlmsn8l16fdhv6aqco1vu3i/-FJPG/227802-004_SID_1.jpg</t>
  </si>
  <si>
    <t>https://dd3ka9h4chfr8.cloudfront.net/image/725136000567/image_f3k1mq6q5d28f18i155ug7be69/-FJPG/227802-004_ESS_1.jpg</t>
  </si>
  <si>
    <t>https://dd3ka9h4chfr8.cloudfront.net/image/725136000567/image_f6q48p7u5d1jf7ql779ceqqv4c/-FJPG/227802-004_DET_2.jpg</t>
  </si>
  <si>
    <t>https://dd3ka9h4chfr8.cloudfront.net/image/725136000567/image_o1lo3un9351a19v7eqivoite3u/-FJPG/227802-004_DET_1.jpg</t>
  </si>
  <si>
    <t>https://dd3ka9h4chfr8.cloudfront.net/image/725136000567/image_6ssf5i6k494i9bbgrl4q65v64a/-FJPG/227802-004_DET_3.jpg</t>
  </si>
  <si>
    <t>https://dd3ka9h4chfr8.cloudfront.net/image/725136000567/image_uv30d482ll23b6l5ngrv6n4e6u/-FJPG/227802-004_DET_4.jpg</t>
  </si>
  <si>
    <t>Paden End Table - Worn Oak Veneer</t>
  </si>
  <si>
    <t>https://dd3ka9h4chfr8.cloudfront.net/image/725136000567/image_jj1v347nqt6af2hb2a7atvaa2h/-S150x150-FJPG/227802-008_PRM_1.jpg</t>
  </si>
  <si>
    <t>https://dd3ka9h4chfr8.cloudfront.net/image/725136000567/image_jj1v347nqt6af2hb2a7atvaa2h/-FJPG/227802-008_PRM_1.jpg</t>
  </si>
  <si>
    <t>https://dd3ka9h4chfr8.cloudfront.net/image/725136000567/image_dqpogp9f4p37pc6c45j1k8ao5q/-FJPG/227802-008_SID_1.jpg</t>
  </si>
  <si>
    <t>https://dd3ka9h4chfr8.cloudfront.net/image/725136000567/image_3e0bnrldi96bb8m76ji6m89q5t/-FJPG/227802-008_DET_2.jpg</t>
  </si>
  <si>
    <t>https://dd3ka9h4chfr8.cloudfront.net/image/725136000567/image_r4q2f1jts13r593f4hd3mft208/-FJPG/227802-008_DET_1.jpg</t>
  </si>
  <si>
    <t>https://dd3ka9h4chfr8.cloudfront.net/image/725136000567/image_ndfcdrorp90f55c8sot50nmf4n/-FJPG/227802-008_DET_3.jpg</t>
  </si>
  <si>
    <t>https://dd3ka9h4chfr8.cloudfront.net/image/725136000567/image_7748dt8hqp6kn2j7dekk6rql25/-FJPG/227802-008_TOP_1.jpg</t>
  </si>
  <si>
    <t>https://dd3ka9h4chfr8.cloudfront.net/image/725136000567/image_42ad2473a57mr1hga44r95st4c/-FJPG/227802-008_DET_4.jpg</t>
  </si>
  <si>
    <t>Paden Large Console Table - Italian White Marble</t>
  </si>
  <si>
    <t>https://dd3ka9h4chfr8.cloudfront.net/image/725136000567/image_0kchk5cait74valjqva045im0s/-S150x150-FJPG/235767-004_PRM_1.jpg</t>
  </si>
  <si>
    <t>https://dd3ka9h4chfr8.cloudfront.net/image/725136000567/image_0kchk5cait74valjqva045im0s/-FJPG/235767-004_PRM_1.jpg</t>
  </si>
  <si>
    <t>https://dd3ka9h4chfr8.cloudfront.net/image/725136000567/image_3k27589mid00dfssepf3l6a91m/-FJPG/235767-004_SID_1.jpg</t>
  </si>
  <si>
    <t>https://dd3ka9h4chfr8.cloudfront.net/image/725136000567/image_km31ujv4vd34n3lkubqv8cnv03/-FJPG/235767-004_ESS_1.jpg</t>
  </si>
  <si>
    <t>https://dd3ka9h4chfr8.cloudfront.net/image/725136000567/image_ktbpn995lh5ntckpnna8lqik5o/-FJPG/235767-004_DET_2.jpg</t>
  </si>
  <si>
    <t>https://dd3ka9h4chfr8.cloudfront.net/image/725136000567/image_cpg6rh2fpt1mf64u2gvuv1ih3c/-FJPG/235767-004_DET_1.jpg</t>
  </si>
  <si>
    <t>https://dd3ka9h4chfr8.cloudfront.net/image/725136000567/image_21i64ekn1d615cptuur88fkp57/-FJPG/235767-004_DET_3.jpg</t>
  </si>
  <si>
    <t>https://dd3ka9h4chfr8.cloudfront.net/image/725136000567/image_f1erpub75h4vfe1qmodcv1bg7c/-FJPG/235767-004_DET_4.jpg</t>
  </si>
  <si>
    <t>https://dd3ka9h4chfr8.cloudfront.net/image/725136000567/image_7hejve8u9t1797ddbd8jnhbk7f/-FJPG/235767-004_DET_5.jpg</t>
  </si>
  <si>
    <t>https://dd3ka9h4chfr8.cloudfront.net/image/725136000567/image_t5m29h4aol79n9r4kudh8mca5d/-FJPG/235767-004_DET_6.jpg</t>
  </si>
  <si>
    <t>https://dd3ka9h4chfr8.cloudfront.net/image/725136000567/image_b3ocmjovu16m1dul504tv58b5e/-FJPG/235767-004_DET_7.jpg</t>
  </si>
  <si>
    <t>https://dd3ka9h4chfr8.cloudfront.net/image/725136000567/image_k4fd4u358t02pel38shc4mk56g/-FJPG/235767-004_DET_8.jpg</t>
  </si>
  <si>
    <t>Paden Large Console Table - Sandy Acacia</t>
  </si>
  <si>
    <t>https://dd3ka9h4chfr8.cloudfront.net/image/725136000567/image_6238fo0lfd7vhd94t5hvppol61/-S150x150-FJPG/235767-002_PRM_1.jpg</t>
  </si>
  <si>
    <t>https://dd3ka9h4chfr8.cloudfront.net/image/725136000567/image_6238fo0lfd7vhd94t5hvppol61/-FJPG/235767-002_PRM_1.jpg</t>
  </si>
  <si>
    <t>https://dd3ka9h4chfr8.cloudfront.net/image/725136000567/image_dkq9vdilt10qb3jsekg98etb3r/-FJPG/235767-002_SID_1.jpg</t>
  </si>
  <si>
    <t>https://dd3ka9h4chfr8.cloudfront.net/image/725136000567/image_outjt12dst6cb97jmdf7nnsc3t/-FJPG/235767-002_ESS.tif</t>
  </si>
  <si>
    <t>https://dd3ka9h4chfr8.cloudfront.net/image/725136000567/image_sj5ti2roat2vjcc3dhr8sj8l4j/-FJPG/235767-002_DET_2.jpg</t>
  </si>
  <si>
    <t>https://dd3ka9h4chfr8.cloudfront.net/image/725136000567/image_10mp0bdj8t5e323jh4cp98k225/-FJPG/235767-002_DET_1.jpg</t>
  </si>
  <si>
    <t>https://dd3ka9h4chfr8.cloudfront.net/image/725136000567/image_e2holsd8ld76r28avcod146b3l/-FJPG/235767-002_DET_3.jpg</t>
  </si>
  <si>
    <t>https://dd3ka9h4chfr8.cloudfront.net/image/725136000567/image_7ljhf0hb2p1n77n63eji646p3i/-FJPG/235767-002_DET_4.jpg</t>
  </si>
  <si>
    <t>https://dd3ka9h4chfr8.cloudfront.net/image/725136000567/image_3nkopsi8091qj2v57j3mom0o1t/-FJPG/235767-002_DET_5.jpg</t>
  </si>
  <si>
    <t>https://dd3ka9h4chfr8.cloudfront.net/image/725136000567/image_um2qrh3oah1278e11htlkr1p1l/-FJPG/235767-002_DET_6.jpg</t>
  </si>
  <si>
    <t>Paden Large Console Table - Seasoned Brown Acacia</t>
  </si>
  <si>
    <t>https://dd3ka9h4chfr8.cloudfront.net/image/725136000567/image_agirmuiek90qv6tuhtou5t1q2u/-S150x150-FJPG/235767-001_PRM_1.jpg</t>
  </si>
  <si>
    <t>https://dd3ka9h4chfr8.cloudfront.net/image/725136000567/image_agirmuiek90qv6tuhtou5t1q2u/-FJPG/235767-001_PRM_1.jpg</t>
  </si>
  <si>
    <t>https://dd3ka9h4chfr8.cloudfront.net/image/725136000567/image_qj7u3l3val6qn3t9bja0nbcb28/-FJPG/235767-001_SID_1.jpg</t>
  </si>
  <si>
    <t>https://dd3ka9h4chfr8.cloudfront.net/image/725136000567/image_a284sf7h0d255fp535sf6m486v/-FJPG/235767-001_ESS_1.jpg</t>
  </si>
  <si>
    <t>https://dd3ka9h4chfr8.cloudfront.net/image/725136000567/image_rlm2tf4l4971nc8a48bi4qt438/-FJPG/235767-001_DET_2.jpg</t>
  </si>
  <si>
    <t>https://dd3ka9h4chfr8.cloudfront.net/image/725136000567/image_cpl4r58fat3jt7d0dpipk8ta36/-FJPG/235767-001_DET_1.jpg</t>
  </si>
  <si>
    <t>https://dd3ka9h4chfr8.cloudfront.net/image/725136000567/image_b83po44d4d0hna59g8plcojg7l/-FJPG/235767-001_DET_3.jpg</t>
  </si>
  <si>
    <t>https://dd3ka9h4chfr8.cloudfront.net/image/725136000567/image_4tqq53bcq94fp1b5llkhom1m0d/-FJPG/235767-001_DET_4.jpg</t>
  </si>
  <si>
    <t>https://dd3ka9h4chfr8.cloudfront.net/image/725136000567/image_qfpp3221cp5v1f7i3g67k8l55t/-FJPG/235767-001_DET_5.jpg</t>
  </si>
  <si>
    <t>https://dd3ka9h4chfr8.cloudfront.net/image/725136000567/image_dhao4dg2r15535edhqsrn3pm7p/-FJPG/235767-001_DET_6.jpg</t>
  </si>
  <si>
    <t>Paden Large Console Table - Worn Oak</t>
  </si>
  <si>
    <t>https://dd3ka9h4chfr8.cloudfront.net/image/725136000567/image_acvr98q1ul3t3co57u9nahd15i/-S150x150-FJPG/235767-006_PRM_1.jpg</t>
  </si>
  <si>
    <t>https://dd3ka9h4chfr8.cloudfront.net/image/725136000567/image_acvr98q1ul3t3co57u9nahd15i/-FJPG/235767-006_PRM_1.jpg</t>
  </si>
  <si>
    <t>https://dd3ka9h4chfr8.cloudfront.net/image/725136000567/image_c47ddsa1at20n75g8ehvn2e10e/-FJPG/235767-006_SID_1.jpg</t>
  </si>
  <si>
    <t>https://dd3ka9h4chfr8.cloudfront.net/image/725136000567/image_lce05ceo792ar6d8vh7ieckt4t/-FJPG/235767-006_DET_2.jpg</t>
  </si>
  <si>
    <t>https://dd3ka9h4chfr8.cloudfront.net/image/725136000567/image_u2egugqp6932je6heajsq4mt2b/-FJPG/235767-006_DET_1.jpg</t>
  </si>
  <si>
    <t>https://dd3ka9h4chfr8.cloudfront.net/image/725136000567/image_8gklearum51qv7fvjqqbj4j13g/-FJPG/235767-006_DET_3.jpg</t>
  </si>
  <si>
    <t>https://dd3ka9h4chfr8.cloudfront.net/image/725136000567/image_7m5n0ruqvd5n304kmj9754ef66/-FJPG/235767-006_TOP_1.jpg</t>
  </si>
  <si>
    <t>https://dd3ka9h4chfr8.cloudfront.net/image/725136000567/image_2rroj36oqd4hfera9njkd89r3u/-FJPG/235767-006_DET_4.jpg</t>
  </si>
  <si>
    <t>https://dd3ka9h4chfr8.cloudfront.net/image/725136000567/image_kgpqn7go5h0sh8dk4hd18k5744/-FJPG/235767-006_DET_5.jpg</t>
  </si>
  <si>
    <t>Paden Sideboard - Worn Oak</t>
  </si>
  <si>
    <t>https://dd3ka9h4chfr8.cloudfront.net/image/725136000567/image_3ao6a2n3i966v7bavqsf7nnv7b/-S150x150-FJPG/235536-007_PRM_1.jpg</t>
  </si>
  <si>
    <t>https://dd3ka9h4chfr8.cloudfront.net/image/725136000567/image_3ao6a2n3i966v7bavqsf7nnv7b/-FJPG/235536-007_PRM_1.jpg</t>
  </si>
  <si>
    <t>https://dd3ka9h4chfr8.cloudfront.net/image/725136000567/image_akq9epgd6l4ht5fe90lup3cv31/-FJPG/235536-007_SID_1.jpg</t>
  </si>
  <si>
    <t>https://dd3ka9h4chfr8.cloudfront.net/image/725136000567/image_4r51trongh2a18hna3vjqhol76/-FJPG/235536-007_DET_2.jpg</t>
  </si>
  <si>
    <t>https://dd3ka9h4chfr8.cloudfront.net/image/725136000567/image_1nnuvsos7572l6ig4d5esri218/-FJPG/235536-007_BCK_1.jpg</t>
  </si>
  <si>
    <t>https://dd3ka9h4chfr8.cloudfront.net/image/725136000567/image_faoikb00al6q92b7c5aaajqo7l/-FJPG/235536-007_DET_1.jpg</t>
  </si>
  <si>
    <t>https://dd3ka9h4chfr8.cloudfront.net/image/725136000567/image_t625uaqgad6g53divoq0684r56/-FJPG/235536-007_DET_3.jpg</t>
  </si>
  <si>
    <t>https://dd3ka9h4chfr8.cloudfront.net/image/725136000567/image_tb3dn71q5l0gb6f3abk3l2p06s/-FJPG/235536-007_OPN_1.jpg</t>
  </si>
  <si>
    <t>https://dd3ka9h4chfr8.cloudfront.net/image/725136000567/image_3spm3ivobt7bl9i4des4hmiv0p/-FJPG/235536-007_TOP_1.jpg</t>
  </si>
  <si>
    <t>https://dd3ka9h4chfr8.cloudfront.net/image/725136000567/image_78ehtdmn7l3f7d04dq7572c84r/-FJPG/235536-007_DET_4.jpg</t>
  </si>
  <si>
    <t>https://dd3ka9h4chfr8.cloudfront.net/image/725136000567/image_vrjq91qps158ndq3ep4aonos5f/-FJPG/235536-007_DET_5.jpg</t>
  </si>
  <si>
    <t>https://dd3ka9h4chfr8.cloudfront.net/image/725136000567/image_ef2vjpcp3h34bd2qllmn5klj08/-FJPG/235536-007_DET_6.jpg</t>
  </si>
  <si>
    <t>Paloma Bed - Sattley Fog</t>
  </si>
  <si>
    <t>https://dd3ka9h4chfr8.cloudfront.net/image/725136000567/image_1t8ouekki92933gq2jg6j5b45d/-S150x150-FJPG/242169-002_PRM_1.jpg</t>
  </si>
  <si>
    <t>https://dd3ka9h4chfr8.cloudfront.net/image/725136000567/image_gntp9635h511p0hhrd4o38m75p/-FJPG/242169-002_FRT_1.jpg</t>
  </si>
  <si>
    <t>https://dd3ka9h4chfr8.cloudfront.net/image/725136000567/image_1t8ouekki92933gq2jg6j5b45d/-FJPG/242169-002_PRM_1.jpg</t>
  </si>
  <si>
    <t>https://dd3ka9h4chfr8.cloudfront.net/image/725136000567/image_84paipjqs92k7968s3l4tdpt0g/-FJPG/242169-004_PRM_1.jpg</t>
  </si>
  <si>
    <t>https://dd3ka9h4chfr8.cloudfront.net/image/725136000567/image_fbbsuajbjd6tf4rfto9g3v347v/-FJPG/242169-004_SID_1.jpg</t>
  </si>
  <si>
    <t>https://dd3ka9h4chfr8.cloudfront.net/image/725136000567/image_60r1hd6a4p7up5eml0tgrnsn6o/-FJPG/242169-002_SID_1.jpg</t>
  </si>
  <si>
    <t>https://dd3ka9h4chfr8.cloudfront.net/image/725136000567/image_n590pskpf17ih7fqe2oqrp8e79/-FJPG/242169-002_ESS_1.tif</t>
  </si>
  <si>
    <t>https://dd3ka9h4chfr8.cloudfront.net/image/725136000567/image_1q224sh1hp7pf6glf92g9d3e37/-FJPG/242169-002_DET_2.jpg</t>
  </si>
  <si>
    <t>https://dd3ka9h4chfr8.cloudfront.net/image/725136000567/image_q2iev7dqfd7ebf5tst0fm9ne1r/-FJPG/242169-004_DET_2.jpg</t>
  </si>
  <si>
    <t>https://dd3ka9h4chfr8.cloudfront.net/image/725136000567/image_6ekn86sr9108v78d6v701pc12c/-FJPG/242169-002_BCK_1.jpg</t>
  </si>
  <si>
    <t>https://dd3ka9h4chfr8.cloudfront.net/image/725136000567/image_kimbr5s6h51f773t4rbh7v554v/-FJPG/242169-004_BCK_1.jpg</t>
  </si>
  <si>
    <t>https://dd3ka9h4chfr8.cloudfront.net/image/725136000567/image_m6ufdcuoh538r4o8uu5hal7k45/-FJPG/242169-004_DET_1.jpg</t>
  </si>
  <si>
    <t>https://dd3ka9h4chfr8.cloudfront.net/image/725136000567/image_tdu57689sp49de3ot741imon24/-FJPG/242169-002_DET_1.jpg</t>
  </si>
  <si>
    <t>https://dd3ka9h4chfr8.cloudfront.net/image/725136000567/image_d1e3uno0sd58t936qbqomrul4i/-FJPG/242169-002_DET_3.jpg</t>
  </si>
  <si>
    <t>https://dd3ka9h4chfr8.cloudfront.net/image/725136000567/image_gu5p5rlm791vr4rivqrd84mj78/-FJPG/242169-004_DET_3.jpg</t>
  </si>
  <si>
    <t>https://dd3ka9h4chfr8.cloudfront.net/image/725136000567/image_99mhjq94jd0s70i1as4713j95q/-FJPG/242169-004_DET_4.jpg</t>
  </si>
  <si>
    <t>https://dd3ka9h4chfr8.cloudfront.net/image/725136000567/image_huan9eiqu945l9fptn16ufls16/-FJPG/242169-002_DET_4.jpg</t>
  </si>
  <si>
    <t>https://dd3ka9h4chfr8.cloudfront.net/image/725136000567/image_fr9ge6lee52057gf8le5re6h25/-FJPG/242169-002_DET_5.jpg</t>
  </si>
  <si>
    <t>https://dd3ka9h4chfr8.cloudfront.net/image/725136000567/image_aa857s1lrt45pf7aoueir6gj2k/-FJPG/242169-004_DET_5.jpg</t>
  </si>
  <si>
    <t>https://dd3ka9h4chfr8.cloudfront.net/image/725136000567/image_rrg82k3a7t3750pnf39ss0hs7d/-FJPG/242169-002_DET_6.jpg</t>
  </si>
  <si>
    <t>https://dd3ka9h4chfr8.cloudfront.net/image/725136000567/image_qjm51blutp1gr4e3l3qg8rrk3j/-FJPG/242169-004_DET_6.jpg</t>
  </si>
  <si>
    <t>https://dd3ka9h4chfr8.cloudfront.net/image/725136000567/image_72skluqqgt3n1ffg4vi74gne2a/-FJPG/242169-002_DET_9.tif</t>
  </si>
  <si>
    <t>https://dd3ka9h4chfr8.cloudfront.net/image/725136000567/image_pgnjl1us09611elg46p009ai6i/-S150x150-FJPG/242169-001_PRM_1.jpg</t>
  </si>
  <si>
    <t>https://dd3ka9h4chfr8.cloudfront.net/image/725136000567/image_d4utitf91t3s92pb9uvgp9gl3n/-FJPG/242169-001_FRT_1.jpg</t>
  </si>
  <si>
    <t>https://dd3ka9h4chfr8.cloudfront.net/image/725136000567/image_pgnjl1us09611elg46p009ai6i/-FJPG/242169-001_PRM_1.jpg</t>
  </si>
  <si>
    <t>https://dd3ka9h4chfr8.cloudfront.net/image/725136000567/image_p0133rhv8l2836cjc2d0vuci0m/-FJPG/242169-001_SID_1.jpg</t>
  </si>
  <si>
    <t>https://dd3ka9h4chfr8.cloudfront.net/image/725136000567/image_vu4vr1udit4i105t6msmi3r35r/-FJPG/242169-001_ESS_1.jpg</t>
  </si>
  <si>
    <t>https://dd3ka9h4chfr8.cloudfront.net/image/725136000567/image_r2kdiqa1rl3dl5jc3omhbsu51e/-FJPG/242169-001_DET_2.jpg</t>
  </si>
  <si>
    <t>https://dd3ka9h4chfr8.cloudfront.net/image/725136000567/image_efniuabt9p03lfin52cod7uf4o/-FJPG/242169-001_BCK_1.jpg</t>
  </si>
  <si>
    <t>https://dd3ka9h4chfr8.cloudfront.net/image/725136000567/image_7a48t18hnd2mdf8fh24md00k2o/-FJPG/242169-001_DET_1.jpg</t>
  </si>
  <si>
    <t>https://dd3ka9h4chfr8.cloudfront.net/image/725136000567/image_5tpjlnr9kh7bn853k7j1r3a41j/-FJPG/242169-001_DET_3.jpg</t>
  </si>
  <si>
    <t>https://dd3ka9h4chfr8.cloudfront.net/image/725136000567/image_slurkthbsl5135qe4dnse3tm07/-FJPG/242169-001_DET_4.jpg</t>
  </si>
  <si>
    <t>https://dd3ka9h4chfr8.cloudfront.net/image/725136000567/image_7tpvmlf2t50oj0dng5fcbib42f/-FJPG/242169-001_DET_5.jpg</t>
  </si>
  <si>
    <t>https://dd3ka9h4chfr8.cloudfront.net/image/725136000567/image_rbv6f53tbh26h2f3g7pv0n2g50/-FJPG/242169-001_DET_6.jpg</t>
  </si>
  <si>
    <t>https://dd3ka9h4chfr8.cloudfront.net/image/725136000567/image_pg1toul6ht4oj0gqatnn7hm803/-FJPG/242169-001_DET_7.jpg</t>
  </si>
  <si>
    <t>https://dd3ka9h4chfr8.cloudfront.net/image/725136000567/image_hta91m8igh2nr1kvt3js3a8n1k/-FJPG/242169-001_DET_9.jpg</t>
  </si>
  <si>
    <t>Papile Chair - Cream Shearling</t>
  </si>
  <si>
    <t>100% Sheared Sheepskin</t>
  </si>
  <si>
    <t>https://dd3ka9h4chfr8.cloudfront.net/image/725136000567/image_qu0lbjmtud6635q3m9qpassv0d/-S150x150-FJPG/235211-002_PRM_1.jpg</t>
  </si>
  <si>
    <t>https://dd3ka9h4chfr8.cloudfront.net/image/725136000567/image_qu0lbjmtud6635q3m9qpassv0d/-FJPG/235211-002_PRM_1.jpg</t>
  </si>
  <si>
    <t>https://dd3ka9h4chfr8.cloudfront.net/image/725136000567/image_uckv2hggm506h68anpddgnec1m/-FJPG/235211-002_SID_1.jpg</t>
  </si>
  <si>
    <t>https://dd3ka9h4chfr8.cloudfront.net/image/725136000567/image_p6p8r0i0fh1s7folcknsl2gf0v/-FJPG/235211-002_ESS_1.jpg</t>
  </si>
  <si>
    <t>https://dd3ka9h4chfr8.cloudfront.net/image/725136000567/image_m367va0n5d58rcvhierhmcaq5b/-FJPG/235211-002_DET_2.jpg</t>
  </si>
  <si>
    <t>https://dd3ka9h4chfr8.cloudfront.net/image/725136000567/image_b6ar3n0ggp3493oj5p0im9rf4h/-FJPG/235211-002_BCK_1.jpg</t>
  </si>
  <si>
    <t>https://dd3ka9h4chfr8.cloudfront.net/image/725136000567/image_otn5l9q6d12hvdsgvdies8641h/-FJPG/235211-002_DET_1.jpg</t>
  </si>
  <si>
    <t>https://dd3ka9h4chfr8.cloudfront.net/image/725136000567/image_ov9onuc1k548tddg0p81mhve78/-FJPG/235211-002_DET_3.jpg</t>
  </si>
  <si>
    <t>https://dd3ka9h4chfr8.cloudfront.net/image/725136000567/image_c2hq7gru3d4j38r3l8b5c3r31a/-FJPG/235211-002_DET_4.jpg</t>
  </si>
  <si>
    <t>https://dd3ka9h4chfr8.cloudfront.net/image/725136000567/image_duf14dtmm10nt85bepdubauc5s/-FJPG/235211-002_DET_5.jpg</t>
  </si>
  <si>
    <t>https://dd3ka9h4chfr8.cloudfront.net/image/725136000567/image_imnvjtug3l3r1agi4k7o21hk05/-FJPG/235211-002_DET_6.jpg</t>
  </si>
  <si>
    <t>https://dd3ka9h4chfr8.cloudfront.net/image/725136000567/image_ov5h1bsp4h4pj2hdapuprku474/-FJPG/235211-002_DET_7.jpg</t>
  </si>
  <si>
    <t>https://dd3ka9h4chfr8.cloudfront.net/image/725136000567/image_q6qk7adtjl3b14ml865abdri0u/-FJPG/235211-002_ROM_1.jpg</t>
  </si>
  <si>
    <t>Parker Trunk - Orly Natural</t>
  </si>
  <si>
    <t>https://dd3ka9h4chfr8.cloudfront.net/image/725136000567/image_99eoj7enid183dq4c11mrln31h/-S150x150-FJPG/109010-004_PRM_1.jpg</t>
  </si>
  <si>
    <t>https://dd3ka9h4chfr8.cloudfront.net/image/725136000567/image_kekn5gq12t11t1p9iu190f8304/-FJPG/109010-004_SID_1.jpg</t>
  </si>
  <si>
    <t>https://dd3ka9h4chfr8.cloudfront.net/image/725136000567/image_92iulb2vep4r595kjqt6iumr0g/-FJPG/109010-004_ESS_1.jpg</t>
  </si>
  <si>
    <t>https://dd3ka9h4chfr8.cloudfront.net/image/725136000567/image_ojiegfldsp5vl56nmclh4i4m6n/-FJPG/109010-004_BCK_1.jpg</t>
  </si>
  <si>
    <t>https://dd3ka9h4chfr8.cloudfront.net/image/725136000567/image_vsdth8f8op1k7chrua7bl5f03q/-FJPG/109010-004_DET_1.jpg</t>
  </si>
  <si>
    <t>https://dd3ka9h4chfr8.cloudfront.net/image/725136000567/image_umjg21gbnh0thbeq09rooit910/-FJPG/109010-004_DET_3.jpg</t>
  </si>
  <si>
    <t>https://dd3ka9h4chfr8.cloudfront.net/image/725136000567/image_d49o2s4p590mvbdkp4odo3350p/-FJPG/109010-004_OPN_1.jpg</t>
  </si>
  <si>
    <t>https://dd3ka9h4chfr8.cloudfront.net/image/725136000567/image_k7l504offp67t6o43dl8j7b06d/-FJPG/109010-004_DET_4.jpg</t>
  </si>
  <si>
    <t>https://dd3ka9h4chfr8.cloudfront.net/image/725136000567/image_9pg8a46egl05rd87fltehncc1d/-FJPG/109010-004_DET_5.jpg</t>
  </si>
  <si>
    <t>https://dd3ka9h4chfr8.cloudfront.net/image/725136000567/image_vqdr4hdp257af9erfs8tivkb3l/-FJPG/109010-004_DET_6.jpg</t>
  </si>
  <si>
    <t>https://dd3ka9h4chfr8.cloudfront.net/image/725136000567/image_dp9igncpbd5iv6s3456740uk4r/-FJPG/109010-004_OPN_2.jpg</t>
  </si>
  <si>
    <t>Pascal Coffee Table - Light Natural</t>
  </si>
  <si>
    <t>Pandan Rope</t>
  </si>
  <si>
    <t>https://dd3ka9h4chfr8.cloudfront.net/image/725136000567/image_i3ae9n66790kf842mvc97emi11/-S150x150-FJPG/JLAN-154_PRM_1.jpg</t>
  </si>
  <si>
    <t>https://dd3ka9h4chfr8.cloudfront.net/image/725136000567/image_ukl7bs4ejh2sb6a3vc05oe8u2q/-FJPG/JLAN-154_DET_2.jpg</t>
  </si>
  <si>
    <t>https://dd3ka9h4chfr8.cloudfront.net/image/725136000567/image_8bjo7n1qdp29r5ebnfm0qtie2c/-FJPG/JLAN-154_DET_1.jpg</t>
  </si>
  <si>
    <t>https://dd3ka9h4chfr8.cloudfront.net/image/725136000567/image_5uuo9rasbd0il7kfem217b2o0c/-FJPG/JLAN-154_INF_1.jpg</t>
  </si>
  <si>
    <t>https://dd3ka9h4chfr8.cloudfront.net/image/725136000567/image_dp8gb7qvp11mpbfuralg0na71q/-FJPG/JLAN-154_TOP_1.jpg</t>
  </si>
  <si>
    <t>https://dd3ka9h4chfr8.cloudfront.net/image/725136000567/image_g7nqts6bvp2a737c89rati6k1d/-FJPG/JLAN-154_DET_4.jpg</t>
  </si>
  <si>
    <t>https://dd3ka9h4chfr8.cloudfront.net/image/725136000567/image_vcacuta5bl70r0qobf45t65e27/-FJPG/JLAN-154_DET_5.jpg</t>
  </si>
  <si>
    <t>https://dd3ka9h4chfr8.cloudfront.net/image/725136000567/image_rdraknk9sh4g1b0h5iflbrpr0r/-FJPG/JLAN-154_ROM_1.jpg</t>
  </si>
  <si>
    <t>Paul Swivel Chair - Raleigh Cigar</t>
  </si>
  <si>
    <t>https://dd3ka9h4chfr8.cloudfront.net/image/725136000567/image_s8os0ugqjl7gb1pu0tnlnu574m/-S150x150-FJPG/236761-002_PRM_1.jpg</t>
  </si>
  <si>
    <t>https://dd3ka9h4chfr8.cloudfront.net/image/725136000567/image_s8os0ugqjl7gb1pu0tnlnu574m/-FJPG/236761-002_PRM_1.jpg</t>
  </si>
  <si>
    <t>https://dd3ka9h4chfr8.cloudfront.net/image/725136000567/image_r70im7i0h57k5d6v6fpev3pf0i/-FJPG/236761-002_SID_1.jpg</t>
  </si>
  <si>
    <t>https://dd3ka9h4chfr8.cloudfront.net/image/725136000567/image_bb8ar0enqd4tl1drqakoo13e7h/-FJPG/236761-002_ESS.tif</t>
  </si>
  <si>
    <t>https://dd3ka9h4chfr8.cloudfront.net/image/725136000567/image_ubslacdfa57lv5a44i6ran7e62/-FJPG/236761-002_DET_2.jpg</t>
  </si>
  <si>
    <t>https://dd3ka9h4chfr8.cloudfront.net/image/725136000567/image_7308m9ehsl2394upuvhvdesg7j/-FJPG/236761-002_BCK_1.jpg</t>
  </si>
  <si>
    <t>https://dd3ka9h4chfr8.cloudfront.net/image/725136000567/image_cdh2eol5it2tt9ihpjphdk9f2v/-FJPG/236761-002_DET_1.jpg</t>
  </si>
  <si>
    <t>https://dd3ka9h4chfr8.cloudfront.net/image/725136000567/image_msmivf2erd3if4dbuj5b1ibj0l/-FJPG/236761-002_DET_3.jpg</t>
  </si>
  <si>
    <t>https://dd3ka9h4chfr8.cloudfront.net/image/725136000567/image_qf65dmavvh657fn44rl4o6oe0a/-FJPG/236761-002_DET_4.jpg</t>
  </si>
  <si>
    <t>https://dd3ka9h4chfr8.cloudfront.net/image/725136000567/image_15eleu7nqd7hdbjadnvsepp667/-FJPG/236761-002_DET_5.jpg</t>
  </si>
  <si>
    <t>https://dd3ka9h4chfr8.cloudfront.net/image/725136000567/image_tabp8gbn090rp9q8k60mls6u5i/-FJPG/236761-002_DET_6.jpg</t>
  </si>
  <si>
    <t>https://dd3ka9h4chfr8.cloudfront.net/image/725136000567/image_iumen46umd2vvfuke22vgdpv5n/-FJPG/236761-002_DET_10.jpg</t>
  </si>
  <si>
    <t>https://dd3ka9h4chfr8.cloudfront.net/image/725136000567/image_at8qkub1o96e133tko7lj33o0c/-FJPG/236761-002_DET_11.jpg</t>
  </si>
  <si>
    <t>Perot 6 Drawer Dresser - Light Blonde Pine</t>
  </si>
  <si>
    <t>https://dd3ka9h4chfr8.cloudfront.net/image/725136000567/image_4jl5mbr3hp7bpact7u7f86pm4l/-S150x150-FJPG/245422-002_PRM_1.jpg</t>
  </si>
  <si>
    <t>https://dd3ka9h4chfr8.cloudfront.net/image/725136000567/image_4jl5mbr3hp7bpact7u7f86pm4l/-FJPG/245422-002_PRM_1.jpg</t>
  </si>
  <si>
    <t>https://dd3ka9h4chfr8.cloudfront.net/image/725136000567/image_ngg1lhg3vt30nbhhubf4mr990o/-FJPG/245422-002_SID_1.jpg</t>
  </si>
  <si>
    <t>https://dd3ka9h4chfr8.cloudfront.net/image/725136000567/image_vcjpo38mn521fd8512jto49h5e/-FJPG/245422-002_ESS.tif</t>
  </si>
  <si>
    <t>https://dd3ka9h4chfr8.cloudfront.net/image/725136000567/image_sbhkgpn4q93kn2u27p2l9him6h/-FJPG/245422-002_DET_2.jpg</t>
  </si>
  <si>
    <t>https://dd3ka9h4chfr8.cloudfront.net/image/725136000567/image_fgo5v7l2l97pbdq2o8tfrc6a6a/-FJPG/245422-002_BCK_1.jpg</t>
  </si>
  <si>
    <t>https://dd3ka9h4chfr8.cloudfront.net/image/725136000567/image_g9vgho6ped715a6aq0b79g6d4s/-FJPG/245422-002_DET_1.jpg</t>
  </si>
  <si>
    <t>https://dd3ka9h4chfr8.cloudfront.net/image/725136000567/image_50n0auu39h5rr7450hkb29er7a/-FJPG/245422-002_DET_3.jpg</t>
  </si>
  <si>
    <t>https://dd3ka9h4chfr8.cloudfront.net/image/725136000567/image_40gfsa7h651unb3amsga313i4t/-FJPG/245422-002_OPN_1.jpg</t>
  </si>
  <si>
    <t>https://dd3ka9h4chfr8.cloudfront.net/image/725136000567/image_u3d0bp71pp347407ub7shd4h4p/-FJPG/245422-002_TOP_1.jpg</t>
  </si>
  <si>
    <t>https://dd3ka9h4chfr8.cloudfront.net/image/725136000567/image_kjgdvsmp713k522h19kosboe53/-FJPG/245422-002_DET_4.jpg</t>
  </si>
  <si>
    <t>https://dd3ka9h4chfr8.cloudfront.net/image/725136000567/image_c9lnbhltm17n382r5h6dgkq50u/-FJPG/245422-002_DET_5.jpg</t>
  </si>
  <si>
    <t>https://dd3ka9h4chfr8.cloudfront.net/image/725136000567/image_ccud6t19bh4orde46ob3bbkn1j/-FJPG/245422-002_DET_9.tif</t>
  </si>
  <si>
    <t>https://dd3ka9h4chfr8.cloudfront.net/image/725136000567/image_3j24h8dddt2c10nn4v9rhc182r/-FJPG/245422-002_DET_10.tif</t>
  </si>
  <si>
    <t>Perot Console Table - Light Blonde Pine</t>
  </si>
  <si>
    <t>https://dd3ka9h4chfr8.cloudfront.net/image/725136000567/image_j6ck7eukj5457899g73emtia60/-S150x150-FJPG/245636-002_PRM_1.jpg</t>
  </si>
  <si>
    <t>https://dd3ka9h4chfr8.cloudfront.net/image/725136000567/image_j6ck7eukj5457899g73emtia60/-FJPG/245636-002_PRM_1.jpg</t>
  </si>
  <si>
    <t>https://dd3ka9h4chfr8.cloudfront.net/image/725136000567/image_9oj7o9pt795fh4h025bv6c2g23/-FJPG/245636-002_SID_1.jpg</t>
  </si>
  <si>
    <t>https://dd3ka9h4chfr8.cloudfront.net/image/725136000567/image_62up7nuvud35h1pa0trvetgi3o/-FJPG/245636-002_ESS.tif</t>
  </si>
  <si>
    <t>https://dd3ka9h4chfr8.cloudfront.net/image/725136000567/image_s0mvo5dmat42l4m4ghvl3cvb4o/-FJPG/245636-002_DET_2.jpg</t>
  </si>
  <si>
    <t>https://dd3ka9h4chfr8.cloudfront.net/image/725136000567/image_g3ror7m4et5ujbhrm5r0nsgh3l/-FJPG/245636-002_DET_1.jpg</t>
  </si>
  <si>
    <t>https://dd3ka9h4chfr8.cloudfront.net/image/725136000567/image_6rcfjlq1g16up0jckf1pp2607k/-FJPG/245636-002_DET_3.jpg</t>
  </si>
  <si>
    <t>https://dd3ka9h4chfr8.cloudfront.net/image/725136000567/image_83v1l66mf15vf85ckhelpj5230/-FJPG/245636-002_TOP_1.jpg</t>
  </si>
  <si>
    <t>https://dd3ka9h4chfr8.cloudfront.net/image/725136000567/image_pe95jucpvd57p03nioltaelc2d/-FJPG/245636-002_DET_4.jpg</t>
  </si>
  <si>
    <t>https://dd3ka9h4chfr8.cloudfront.net/image/725136000567/image_tquuvi632d1g321tbh7mo14510/-FJPG/245636-002_DET_9.tif</t>
  </si>
  <si>
    <t>Perot Nightstand - Light Blonde Pine</t>
  </si>
  <si>
    <t>https://dd3ka9h4chfr8.cloudfront.net/image/725136000567/image_pbg72r05gp0kb9jhqvt7bru61l/-S150x150-FJPG/245424-002_PRM_1.jpg</t>
  </si>
  <si>
    <t>https://dd3ka9h4chfr8.cloudfront.net/image/725136000567/image_pbg72r05gp0kb9jhqvt7bru61l/-FJPG/245424-002_PRM_1.jpg</t>
  </si>
  <si>
    <t>https://dd3ka9h4chfr8.cloudfront.net/image/725136000567/image_2v17ibjbch5b53ivtqld29o618/-FJPG/245424-002_SID_1.jpg</t>
  </si>
  <si>
    <t>https://dd3ka9h4chfr8.cloudfront.net/image/725136000567/image_2acrf3jepl7al10ahfem0r2i3c/-FJPG/245424-002_ESS.tif</t>
  </si>
  <si>
    <t>https://dd3ka9h4chfr8.cloudfront.net/image/725136000567/image_uhf33p67et7nndrqsge9r17559/-FJPG/245424-002_DET_2.jpg</t>
  </si>
  <si>
    <t>https://dd3ka9h4chfr8.cloudfront.net/image/725136000567/image_eea2strs9p4rr75bc3thrvv509/-FJPG/245424-002_BCK_1.jpg</t>
  </si>
  <si>
    <t>https://dd3ka9h4chfr8.cloudfront.net/image/725136000567/image_ni2f18tshh7i3bqt7ometgvj49/-FJPG/245424-002_DET_1.jpg</t>
  </si>
  <si>
    <t>https://dd3ka9h4chfr8.cloudfront.net/image/725136000567/image_4del3b2lop1sn8ki5ro4q30q3n/-FJPG/245424-002_DET_3.jpg</t>
  </si>
  <si>
    <t>https://dd3ka9h4chfr8.cloudfront.net/image/725136000567/image_fpb1u76qrl35h14ld42oh42f0f/-FJPG/245424-002_OPN_1.jpg</t>
  </si>
  <si>
    <t>https://dd3ka9h4chfr8.cloudfront.net/image/725136000567/image_ure20dhuj10d58oas09hapqi69/-FJPG/245424-002_TOP_1.jpg</t>
  </si>
  <si>
    <t>https://dd3ka9h4chfr8.cloudfront.net/image/725136000567/image_80vccuesel5ql1oer2ictmt14m/-FJPG/245424-002_DET_4.jpg</t>
  </si>
  <si>
    <t>https://dd3ka9h4chfr8.cloudfront.net/image/725136000567/image_o8kfnl7is93hr1a50m1bf5tl7l/-FJPG/245424-002_DET_5.jpg</t>
  </si>
  <si>
    <t>https://dd3ka9h4chfr8.cloudfront.net/image/725136000567/image_tiek4aafdh1nlb0eks4l1g5n23/-FJPG/245424-002_DET_9.tif</t>
  </si>
  <si>
    <t>Perot Sideboard - Light Blonde Pine</t>
  </si>
  <si>
    <t>https://dd3ka9h4chfr8.cloudfront.net/image/725136000567/image_q0llt10jo52s179n2ro34geh6q/-S150x150-FJPG/245832-002_PRM_1.jpg</t>
  </si>
  <si>
    <t>https://dd3ka9h4chfr8.cloudfront.net/image/725136000567/image_q0llt10jo52s179n2ro34geh6q/-FJPG/245832-002_PRM_1.jpg</t>
  </si>
  <si>
    <t>https://dd3ka9h4chfr8.cloudfront.net/image/725136000567/image_a4uf2l62jp2h533coqsuvm8d38/-FJPG/245832-002_SID_1.jpg</t>
  </si>
  <si>
    <t>https://dd3ka9h4chfr8.cloudfront.net/image/725136000567/image_b3cefcdmil67na1nb7cm0drd76/-FJPG/245832-002_ESS.tif</t>
  </si>
  <si>
    <t>https://dd3ka9h4chfr8.cloudfront.net/image/725136000567/image_tifcm2eelt1dhctqefbo4p1b4f/-FJPG/245832-002_DET_2.jpg</t>
  </si>
  <si>
    <t>https://dd3ka9h4chfr8.cloudfront.net/image/725136000567/image_k27gjhr6250rjdgasvmci7l62b/-FJPG/245832-002_BCK_1.jpg</t>
  </si>
  <si>
    <t>https://dd3ka9h4chfr8.cloudfront.net/image/725136000567/image_0rvv4khl113bf00t0q5672jq2b/-FJPG/245832-002_DET_1.jpg</t>
  </si>
  <si>
    <t>https://dd3ka9h4chfr8.cloudfront.net/image/725136000567/image_raui2ib6tp0ff22sjqprdr3462/-FJPG/245832-002_DET_3.jpg</t>
  </si>
  <si>
    <t>https://dd3ka9h4chfr8.cloudfront.net/image/725136000567/image_r0eu1g1rtt7nt8u6i8clc5kd3f/-FJPG/245832-002_OPN_1.jpg</t>
  </si>
  <si>
    <t>https://dd3ka9h4chfr8.cloudfront.net/image/725136000567/image_8158opmd6h7u13pfp93uil0s49/-FJPG/245832-002_TOP_1.jpg</t>
  </si>
  <si>
    <t>https://dd3ka9h4chfr8.cloudfront.net/image/725136000567/image_45crqitcpp5nl7tj3sorva5p3p/-FJPG/245832-002_DET_4.jpg</t>
  </si>
  <si>
    <t>https://dd3ka9h4chfr8.cloudfront.net/image/725136000567/image_vjqu16ci3d04rbikdk4g0u3r7b/-FJPG/245832-002_DET_5.jpg</t>
  </si>
  <si>
    <t>https://dd3ka9h4chfr8.cloudfront.net/image/725136000567/image_a95tt679gh34n0g2t2qt2gvs7n/-FJPG/245832-002_DET_9.tif</t>
  </si>
  <si>
    <t>Perrin 6 Drawer Dresser - Rustic Fawn</t>
  </si>
  <si>
    <t>https://dd3ka9h4chfr8.cloudfront.net/image/725136000567/image_hs49mkbscd76d8vlqcrmdocn76/-S150x150-FJPG/226022-001_PRM_1.jpg</t>
  </si>
  <si>
    <t>https://dd3ka9h4chfr8.cloudfront.net/image/725136000567/image_hs49mkbscd76d8vlqcrmdocn76/-FJPG/226022-001_PRM_1.jpg</t>
  </si>
  <si>
    <t>https://dd3ka9h4chfr8.cloudfront.net/image/725136000567/image_i1m820re8t4qhfcjgagm8c0734/-FJPG/226022-001_SID_1.jpg</t>
  </si>
  <si>
    <t>https://dd3ka9h4chfr8.cloudfront.net/image/725136000567/image_ahbnbo6v197k74i2jksrsvbb2o/-FJPG/226022-001_ESS_1.jpg</t>
  </si>
  <si>
    <t>https://dd3ka9h4chfr8.cloudfront.net/image/725136000567/image_gbbl4o2nl50s343tu6t71f8151/-FJPG/226022-001_DET_2.jpg</t>
  </si>
  <si>
    <t>https://dd3ka9h4chfr8.cloudfront.net/image/725136000567/image_ps0b6t21g91cf1fl6bgekjne1h/-FJPG/226022-001_BCK_1.jpg</t>
  </si>
  <si>
    <t>https://dd3ka9h4chfr8.cloudfront.net/image/725136000567/image_ksflasno1h3rjdpn9agpfc9h46/-FJPG/226022-001_DET_1.jpg</t>
  </si>
  <si>
    <t>https://dd3ka9h4chfr8.cloudfront.net/image/725136000567/image_roelof6ckh1rbf1ij4p2iei22g/-FJPG/226022-001_DET_3.jpg</t>
  </si>
  <si>
    <t>https://dd3ka9h4chfr8.cloudfront.net/image/725136000567/image_naloa8teth0lp5kv75oqkq6o0i/-FJPG/226022-001_OPN_1.jpg</t>
  </si>
  <si>
    <t>https://dd3ka9h4chfr8.cloudfront.net/image/725136000567/image_isfne3bn851t9534jnha4esv7i/-FJPG/226022-001_DET_4.jpg</t>
  </si>
  <si>
    <t>https://dd3ka9h4chfr8.cloudfront.net/image/725136000567/image_d2bsf7le5d3cpdur138h3ek86h/-FJPG/226022-001_DET_5.jpg</t>
  </si>
  <si>
    <t>https://dd3ka9h4chfr8.cloudfront.net/image/725136000567/image_qolrt93t052v9bkan47r8fld6r/-FJPG/226022-001_DET_6.jpg</t>
  </si>
  <si>
    <t>https://dd3ka9h4chfr8.cloudfront.net/image/725136000567/image_bg65i6hj1l27b9eonu84dtl07n/-FJPG/226022-001_DET_7.jpg</t>
  </si>
  <si>
    <t>Perrin Nightstand - Rustic Fawn Veneer</t>
  </si>
  <si>
    <t>https://dd3ka9h4chfr8.cloudfront.net/image/725136000567/image_hm232k0bkd5vvbfm5g2flg2r1g/-S150x150-FJPG/226023-001_PRM_1.jpg</t>
  </si>
  <si>
    <t>https://dd3ka9h4chfr8.cloudfront.net/image/725136000567/image_hm232k0bkd5vvbfm5g2flg2r1g/-FJPG/226023-001_PRM_1.jpg</t>
  </si>
  <si>
    <t>https://dd3ka9h4chfr8.cloudfront.net/image/725136000567/image_ong43h51kd06584323ht5a6u6e/-FJPG/226023-001_SID_1.jpg</t>
  </si>
  <si>
    <t>https://dd3ka9h4chfr8.cloudfront.net/image/725136000567/image_78f7blmt7h3c103nh626tf2l4i/-FJPG/226023-001_ESS_1.jpg</t>
  </si>
  <si>
    <t>https://dd3ka9h4chfr8.cloudfront.net/image/725136000567/image_t5n58r8bil77d686lhbh074h7t/-FJPG/226023-001_DET_2.jpg</t>
  </si>
  <si>
    <t>https://dd3ka9h4chfr8.cloudfront.net/image/725136000567/image_b3ekq81pml753fj777r0unhg0g/-FJPG/226023-001_BCK_1.jpg</t>
  </si>
  <si>
    <t>https://dd3ka9h4chfr8.cloudfront.net/image/725136000567/image_6pjbegldd565j4a2ajm1h3kf3v/-FJPG/226023-001_DET_1.jpg</t>
  </si>
  <si>
    <t>https://dd3ka9h4chfr8.cloudfront.net/image/725136000567/image_pugndlkd5l05b5vhgvg6alft14/-FJPG/226023-001_DET_3.jpg</t>
  </si>
  <si>
    <t>https://dd3ka9h4chfr8.cloudfront.net/image/725136000567/image_1qgkrrc0op5sj29aeccasblv3f/-FJPG/226023-001_OPN_1.jpg</t>
  </si>
  <si>
    <t>https://dd3ka9h4chfr8.cloudfront.net/image/725136000567/image_0f11pe7h3h7259cbl88o117476/-FJPG/226023-001_DET_4.jpg</t>
  </si>
  <si>
    <t>https://dd3ka9h4chfr8.cloudfront.net/image/725136000567/image_8nf44aofj95o98a4e93o979o11/-FJPG/226023-001_DET_5.jpg</t>
  </si>
  <si>
    <t>https://dd3ka9h4chfr8.cloudfront.net/image/725136000567/image_v6440crrfp02tbiv7oabaclp0e/-FJPG/226023-001_DET_6.jpg</t>
  </si>
  <si>
    <t>https://dd3ka9h4chfr8.cloudfront.net/image/725136000567/image_ho1m174ld11u32nk5hai8jj22o/-FJPG/226023-001_VIG_2.jpg</t>
  </si>
  <si>
    <t>Perrin Sideboard - Rustic Fawn Veneer</t>
  </si>
  <si>
    <t>https://dd3ka9h4chfr8.cloudfront.net/image/725136000567/image_uml7agngjh04l1mmkhoq56p17n/-S150x150-FJPG/228235-001_PRM_1.jpg</t>
  </si>
  <si>
    <t>https://dd3ka9h4chfr8.cloudfront.net/image/725136000567/image_uml7agngjh04l1mmkhoq56p17n/-FJPG/228235-001_PRM_1.jpg</t>
  </si>
  <si>
    <t>https://dd3ka9h4chfr8.cloudfront.net/image/725136000567/image_l4tobgrifd1ffd38gkv0ensk5f/-FJPG/228235-001_SID_1.jpg</t>
  </si>
  <si>
    <t>https://dd3ka9h4chfr8.cloudfront.net/image/725136000567/image_8lrmicc3ap2q93116s8ilr745u/-FJPG/228235-001_ESS_1.jpg</t>
  </si>
  <si>
    <t>https://dd3ka9h4chfr8.cloudfront.net/image/725136000567/image_l57ibsfgkl6d56tbhpb5gbn75k/-FJPG/228235-001_DET_2.jpg</t>
  </si>
  <si>
    <t>https://dd3ka9h4chfr8.cloudfront.net/image/725136000567/image_ukh3mgbi517or0nt9dpdtrtl19/-FJPG/228235-001_BCK_1.jpg</t>
  </si>
  <si>
    <t>https://dd3ka9h4chfr8.cloudfront.net/image/725136000567/image_4damh0fgvp6cbfpercg13kn732/-FJPG/228235-001_DET_1.jpg</t>
  </si>
  <si>
    <t>https://dd3ka9h4chfr8.cloudfront.net/image/725136000567/image_61seq1sl355ht7epl7vq773g74/-FJPG/228235-001_DET_3.jpg</t>
  </si>
  <si>
    <t>https://dd3ka9h4chfr8.cloudfront.net/image/725136000567/image_1ne7ts8sq50133kv4ljuvu0s0j/-FJPG/228235-001_OPN_1.jpg</t>
  </si>
  <si>
    <t>https://dd3ka9h4chfr8.cloudfront.net/image/725136000567/image_ushe1mrio52t35avrvl0puh35h/-FJPG/228235-001_DET_4.jpg</t>
  </si>
  <si>
    <t>https://dd3ka9h4chfr8.cloudfront.net/image/725136000567/image_forna9k40d2l94h1l9slpidc27/-FJPG/228235-001_DET_5.jpg</t>
  </si>
  <si>
    <t>Phoenix Outdoor Coffee Table - Vintage White</t>
  </si>
  <si>
    <t>https://dd3ka9h4chfr8.cloudfront.net/image/725136000567/image_cb33smq6ip13t7osd32qk1g40n/-S150x150-FJPG/JLAN-212_PRM_1.jpg</t>
  </si>
  <si>
    <t>https://dd3ka9h4chfr8.cloudfront.net/image/725136000567/image_cb33smq6ip13t7osd32qk1g40n/-FJPG/JLAN-212_PRM_1.jpg</t>
  </si>
  <si>
    <t>https://dd3ka9h4chfr8.cloudfront.net/image/725136000567/image_gtl9343esh5f562jvkl9sf9l0j/-FJPG/JLAN-212_ESS_1.jpg</t>
  </si>
  <si>
    <t>https://dd3ka9h4chfr8.cloudfront.net/image/725136000567/image_eropr3p63d3speunupje000j3j/-FJPG/JLAN-212_DET_2.jpg</t>
  </si>
  <si>
    <t>https://dd3ka9h4chfr8.cloudfront.net/image/725136000567/image_hmh9gou6l94m11s5c9ndkecc7h/-FJPG/JLAN-212_DET_1.jpg</t>
  </si>
  <si>
    <t>https://dd3ka9h4chfr8.cloudfront.net/image/725136000567/image_tm9t1kj93l5clet5t6nmp2b12q/-FJPG/JLAN-212_DET_3.jpg</t>
  </si>
  <si>
    <t>https://dd3ka9h4chfr8.cloudfront.net/image/725136000567/image_h15u9vab8142n6qtukl4j6ka6d/-FJPG/JLAN-212_DET_4.jpg</t>
  </si>
  <si>
    <t>https://dd3ka9h4chfr8.cloudfront.net/image/725136000567/image_ordmtphmbd3972o2c5iq0cvk60/-FJPG/JLAN-212_DET_5.jpg</t>
  </si>
  <si>
    <t>Ping Pong Table - Aged Metal</t>
  </si>
  <si>
    <t>https://dd3ka9h4chfr8.cloudfront.net/image/725136000567/image_ef3e02ddtl4692blom7n4p6r55/-S150x150-FJPG/234228-001_PRM_1.jpg</t>
  </si>
  <si>
    <t>https://dd3ka9h4chfr8.cloudfront.net/image/725136000567/image_m5qju4uvn53hbb0vptjc31fh04/-FJPG/234228-001_DET_1.jpg</t>
  </si>
  <si>
    <t>https://dd3ka9h4chfr8.cloudfront.net/image/725136000567/image_lv7j39n0fd1vj8t2jgs4ntp848/-FJPG/234228-001_ESS_1.jpg</t>
  </si>
  <si>
    <t>https://dd3ka9h4chfr8.cloudfront.net/image/725136000567/image_nvbi02sk4t24fct9eag94mip56/-FJPG/234228-001_DET_2.jpg</t>
  </si>
  <si>
    <t>https://dd3ka9h4chfr8.cloudfront.net/image/725136000567/image_hgsnlf5ra97175e4gpmuhvc716/-FJPG/234228-001_DET_3.jpg</t>
  </si>
  <si>
    <t>https://dd3ka9h4chfr8.cloudfront.net/image/725136000567/image_td2mrbtdq16qvcasnj8b84u34r/-FJPG/234228-001_DET_4.jpg</t>
  </si>
  <si>
    <t>https://dd3ka9h4chfr8.cloudfront.net/image/725136000567/image_f0c9ld0gj55mjfm2cso01uic61/-FJPG/234228-001_DET_5.jpg</t>
  </si>
  <si>
    <t>https://dd3ka9h4chfr8.cloudfront.net/image/725136000567/image_qnaeosi19h6rj8n04pasqtkj0b/-FJPG/234228-001_DET_6.jpg</t>
  </si>
  <si>
    <t>https://dd3ka9h4chfr8.cloudfront.net/image/725136000567/image_qm629chs9927jfaa4pmerqab2l/-FJPG/234228-001_DET_7.jpg</t>
  </si>
  <si>
    <t>https://dd3ka9h4chfr8.cloudfront.net/image/725136000567/image_5jpccri9mp42d3rh4et6kaih3q/-FJPG/234228-001_DET_8.jpg</t>
  </si>
  <si>
    <t>https://dd3ka9h4chfr8.cloudfront.net/image/725136000567/image_63bjpvbu610g1cg7gfag4ci801/-FJPG/234228-001_DET_9.jpg</t>
  </si>
  <si>
    <t>https://dd3ka9h4chfr8.cloudfront.net/image/725136000567/image_fuv6i820sp3rvehtqmm44asl5l/-FJPG/234228-001_DET_10.jpg</t>
  </si>
  <si>
    <t>https://dd3ka9h4chfr8.cloudfront.net/image/725136000567/image_kb73r1tl0p0291p2e3mh79l67v/-FJPG/234228-001_FRT_1.jpg</t>
  </si>
  <si>
    <t>https://dd3ka9h4chfr8.cloudfront.net/image/725136000567/image_94hjhlc3390nfcj5oqlspuem2c/-FJPG/234228-001_SID_1.jpg</t>
  </si>
  <si>
    <t>https://dd3ka9h4chfr8.cloudfront.net/image/725136000567/image_kurt40r9v56bh7fv83qr9b383g/-FJPG/234228-001_ESS_2.jpg</t>
  </si>
  <si>
    <t>Ping Pong Table - Natural Brown Oyster Guanacaste</t>
  </si>
  <si>
    <t>https://dd3ka9h4chfr8.cloudfront.net/image/725136000567/image_3flqtm1of569p95o2u1k2f144f/-S150x150-FJPG/234228-002_PRM_1.jpg</t>
  </si>
  <si>
    <t>https://dd3ka9h4chfr8.cloudfront.net/image/725136000567/image_4d2a2mc9kh3837vbneqvtvmv5r/-FJPG/234228-002_DET_1.jpg</t>
  </si>
  <si>
    <t>https://dd3ka9h4chfr8.cloudfront.net/image/725136000567/image_reo0moiead16p95jaat4fr5f2b/-FJPG/234228-002_ESS_1.jpg</t>
  </si>
  <si>
    <t>https://dd3ka9h4chfr8.cloudfront.net/image/725136000567/image_7vvqc2a2cl5g7dmsq39ieeej79/-FJPG/234228-002_DET_3.jpg</t>
  </si>
  <si>
    <t>https://dd3ka9h4chfr8.cloudfront.net/image/725136000567/image_vncdvlvmrt1dv7pajhaqc26i3b/-FJPG/234228-002_DET_4.jpg</t>
  </si>
  <si>
    <t>https://dd3ka9h4chfr8.cloudfront.net/image/725136000567/image_ufkv7s92m90tf7uiesolddmt4a/-FJPG/234228-002_DET_5.jpg</t>
  </si>
  <si>
    <t>https://dd3ka9h4chfr8.cloudfront.net/image/725136000567/image_h2pciech9500d80s3d0kngn325/-FJPG/234228-002_DET_6.jpg</t>
  </si>
  <si>
    <t>https://dd3ka9h4chfr8.cloudfront.net/image/725136000567/image_j15nb7m13d783b78pbo8rbkd34/-FJPG/234228-002_DET_7.jpg</t>
  </si>
  <si>
    <t>https://dd3ka9h4chfr8.cloudfront.net/image/725136000567/image_acgijlrnp15fpf7vkrfge6pe5o/-FJPG/234228-002_DET_8.jpg</t>
  </si>
  <si>
    <t>https://dd3ka9h4chfr8.cloudfront.net/image/725136000567/image_qcti8imirt0ntegcnuv5ju1836/-FJPG/234228-002_DET_9.jpg</t>
  </si>
  <si>
    <t>https://dd3ka9h4chfr8.cloudfront.net/image/725136000567/image_p5t56s07vt78p4mri1snhkhh4v/-FJPG/234228-002_FRT_1.jpg</t>
  </si>
  <si>
    <t>https://dd3ka9h4chfr8.cloudfront.net/image/725136000567/image_6bpvgrri6t5nnfq2drrcn1pf1c/-FJPG/234228-002_SID_1.jpg</t>
  </si>
  <si>
    <t>https://dd3ka9h4chfr8.cloudfront.net/image/725136000567/image_73gne4unth5pt3f0c8l2p88t2e/-FJPG/234228-002_TOP_1.jpg</t>
  </si>
  <si>
    <t>https://dd3ka9h4chfr8.cloudfront.net/image/725136000567/image_2ae35bdj011vldhcoh0rsmtv4q/-FJPG/234228-002_ESS_2.jpg</t>
  </si>
  <si>
    <t>https://dd3ka9h4chfr8.cloudfront.net/image/725136000567/image_4oq2o862r153102vai3d1kj30f/-FJPG/234228-002_TOP_2.jpg</t>
  </si>
  <si>
    <t>Pollard Media Console - Brushed Ebony Oak Veneer</t>
  </si>
  <si>
    <t>https://dd3ka9h4chfr8.cloudfront.net/image/725136000567/image_kr29j55m8h3gb8q5rkl0suc73p/-S150x150-FJPG/234976-001_PRM_1.jpg</t>
  </si>
  <si>
    <t>https://dd3ka9h4chfr8.cloudfront.net/image/725136000567/image_kr29j55m8h3gb8q5rkl0suc73p/-FJPG/234976-001_PRM_1.jpg</t>
  </si>
  <si>
    <t>https://dd3ka9h4chfr8.cloudfront.net/image/725136000567/image_e0of9n2v753svcss7dhetp126l/-FJPG/234976-001_SID_1.jpg</t>
  </si>
  <si>
    <t>https://dd3ka9h4chfr8.cloudfront.net/image/725136000567/image_le8no3hakd2sj4d1hu5dfpha6l/-FJPG/234976-001_ESS_1.jpg</t>
  </si>
  <si>
    <t>https://dd3ka9h4chfr8.cloudfront.net/image/725136000567/image_fqcp3tkqvp1mp4p87ou8na170j/-FJPG/234976-001_DET_2.jpg</t>
  </si>
  <si>
    <t>https://dd3ka9h4chfr8.cloudfront.net/image/725136000567/image_66im7e56vp43n4jcrfsbu8o66v/-FJPG/234976-001_BCK_1.jpg</t>
  </si>
  <si>
    <t>https://dd3ka9h4chfr8.cloudfront.net/image/725136000567/image_kk1mcloqet5hbam89qtf07de4i/-FJPG/234976-001_DET_1.jpg</t>
  </si>
  <si>
    <t>https://dd3ka9h4chfr8.cloudfront.net/image/725136000567/image_arg0sn866l297a450i37da3461/-FJPG/234976-001_DET_3.jpg</t>
  </si>
  <si>
    <t>https://dd3ka9h4chfr8.cloudfront.net/image/725136000567/image_upvgkjc83l7571dvqchltt9v0h/-FJPG/234976-001_OPN_1.jpg</t>
  </si>
  <si>
    <t>https://dd3ka9h4chfr8.cloudfront.net/image/725136000567/image_u8dpvh2n353st0nvfrsd88sn3p/-FJPG/234976-001_DET_4.jpg</t>
  </si>
  <si>
    <t>https://dd3ka9h4chfr8.cloudfront.net/image/725136000567/image_0e302jcun9357a4jppks4jhn42/-FJPG/234976-001_DET_5.jpg</t>
  </si>
  <si>
    <t>https://dd3ka9h4chfr8.cloudfront.net/image/725136000567/image_nsaunr06994t196dm4sfnh451q/-FJPG/234976-001_OPN_2.jpg</t>
  </si>
  <si>
    <t>Posada Media Console - Amber Oak Veneer</t>
  </si>
  <si>
    <t>https://dd3ka9h4chfr8.cloudfront.net/image/725136000567/image_kipn2uuk6543vcb591876b6376/-S150x150-FJPG/232363-002_PRM_1.jpg</t>
  </si>
  <si>
    <t>https://dd3ka9h4chfr8.cloudfront.net/image/725136000567/image_kipn2uuk6543vcb591876b6376/-FJPG/232363-002_PRM_1.jpg</t>
  </si>
  <si>
    <t>https://dd3ka9h4chfr8.cloudfront.net/image/725136000567/image_en96tt83pl5al66g9s6ai1fs5h/-FJPG/232363-002_SID_1.jpg</t>
  </si>
  <si>
    <t>https://dd3ka9h4chfr8.cloudfront.net/image/725136000567/image_256rhdigl13nl1kab6rfgm5v41/-FJPG/232363-002_ESS_1.jpg</t>
  </si>
  <si>
    <t>https://dd3ka9h4chfr8.cloudfront.net/image/725136000567/image_6270796r6553187mh1tvs0074f/-FJPG/232363-002_DET_2.jpg</t>
  </si>
  <si>
    <t>https://dd3ka9h4chfr8.cloudfront.net/image/725136000567/image_5ef3hoqv3p1lh3u3lqlohtpk3q/-FJPG/232363-002_BCK_1.jpg</t>
  </si>
  <si>
    <t>https://dd3ka9h4chfr8.cloudfront.net/image/725136000567/image_3f7jb1dn797jj0o9hh2deeck1o/-FJPG/232363-002_DET_1.jpg</t>
  </si>
  <si>
    <t>https://dd3ka9h4chfr8.cloudfront.net/image/725136000567/image_hd8gmt46s94tpb5muj69qnnk34/-FJPG/232363-002_DET_3.jpg</t>
  </si>
  <si>
    <t>https://dd3ka9h4chfr8.cloudfront.net/image/725136000567/image_rq6c9ojrv94rb45oqjp5onnc37/-FJPG/232363-002_OPN_1.jpg</t>
  </si>
  <si>
    <t>https://dd3ka9h4chfr8.cloudfront.net/image/725136000567/image_4vtj4oplrh4ktd0igv31u4oc6u/-FJPG/232363-002_DET_4.jpg</t>
  </si>
  <si>
    <t>https://dd3ka9h4chfr8.cloudfront.net/image/725136000567/image_5nofov22cp7657h8apk6alof7l/-FJPG/232363-002_DET_5.jpg</t>
  </si>
  <si>
    <t>https://dd3ka9h4chfr8.cloudfront.net/image/725136000567/image_uteenri83p52j3vgrft8l2ic24/-FJPG/232363-002_DET_6.jpg</t>
  </si>
  <si>
    <t>https://dd3ka9h4chfr8.cloudfront.net/image/725136000567/image_s2pgrmun6t6upe56uae8pajh1p/-FJPG/232363-002_DET_7.jpg</t>
  </si>
  <si>
    <t>https://dd3ka9h4chfr8.cloudfront.net/image/725136000567/image_mfc2depbqt6lfam146hfvpuv02/-FJPG/232363-002_DET_8.jpg</t>
  </si>
  <si>
    <t>https://dd3ka9h4chfr8.cloudfront.net/image/725136000567/image_6o3d5d81cl0d559lhhbm6btv2b/-FJPG/232363-002_DET_9.jpg</t>
  </si>
  <si>
    <t>Posada Small Cabinet - Amber Oak Veneer</t>
  </si>
  <si>
    <t>https://dd3ka9h4chfr8.cloudfront.net/image/725136000567/image_gfg0ofi5e961penk4e11qmlr07/-S150x150-FJPG/235998-001_PRM_1.jpg</t>
  </si>
  <si>
    <t>https://dd3ka9h4chfr8.cloudfront.net/image/725136000567/image_gfg0ofi5e961penk4e11qmlr07/-FJPG/235998-001_PRM_1.jpg</t>
  </si>
  <si>
    <t>https://dd3ka9h4chfr8.cloudfront.net/image/725136000567/image_jvkdg0e4s141d1jpcq6nb18929/-FJPG/235998-001_SID_1.jpg</t>
  </si>
  <si>
    <t>https://dd3ka9h4chfr8.cloudfront.net/image/725136000567/image_61r80ov6up3gn4235n3jsjsa49/-FJPG/235998-001_DET_2.jpg</t>
  </si>
  <si>
    <t>https://dd3ka9h4chfr8.cloudfront.net/image/725136000567/image_uv31vh8e4h1gl7rrocmc5tm57m/-FJPG/235998-001_BCK_1.jpg</t>
  </si>
  <si>
    <t>https://dd3ka9h4chfr8.cloudfront.net/image/725136000567/image_g0hoqhsa5d3qje07074hs17g0i/-FJPG/235998-001_DET_1.jpg</t>
  </si>
  <si>
    <t>https://dd3ka9h4chfr8.cloudfront.net/image/725136000567/image_kh4vqioumt6078avrgekbdpi0c/-FJPG/235998-001_DET_3.jpg</t>
  </si>
  <si>
    <t>https://dd3ka9h4chfr8.cloudfront.net/image/725136000567/image_n5p0hqkr313jv5a3u6po63g437/-FJPG/235998-001_OPN_1.jpg</t>
  </si>
  <si>
    <t>https://dd3ka9h4chfr8.cloudfront.net/image/725136000567/image_ji3b9nddip5s71qd5hiu37fg2e/-FJPG/235998-001_DET_4.jpg</t>
  </si>
  <si>
    <t>https://dd3ka9h4chfr8.cloudfront.net/image/725136000567/image_87jcrdhjlh1d52pktctfd5vv1o/-FJPG/235998-001_DET_5.jpg</t>
  </si>
  <si>
    <t>https://dd3ka9h4chfr8.cloudfront.net/image/725136000567/image_h57c83m7o92ap4lae8ruemd935/-FJPG/235998-001_DET_7.jpg</t>
  </si>
  <si>
    <t>https://dd3ka9h4chfr8.cloudfront.net/image/725136000567/image_agfho701kh1q50ompd4dj71m32/-FJPG/235998-001_ESS.tif</t>
  </si>
  <si>
    <t>Potter Bed - Dover Crescent</t>
  </si>
  <si>
    <t>https://dd3ka9h4chfr8.cloudfront.net/image/725136000567/image_7sl4d08o7d5t9d24qvan4c2t2a/-S150x150-FJPG/106124-009_PRM_1.jpg</t>
  </si>
  <si>
    <t>https://dd3ka9h4chfr8.cloudfront.net/image/725136000567/image_7sl4d08o7d5t9d24qvan4c2t2a/-FJPG/106124-009_PRM_1.jpg</t>
  </si>
  <si>
    <t>https://dd3ka9h4chfr8.cloudfront.net/image/725136000567/image_lv0n76h2td2vl1p8hdb9jfvs5i/-FJPG/106124-009_SID_1.jpg</t>
  </si>
  <si>
    <t>https://dd3ka9h4chfr8.cloudfront.net/image/725136000567/image_6s6fjbvqi94l71133d8ahi3g4i/-FJPG/236963-010_ESS.tif</t>
  </si>
  <si>
    <t>https://dd3ka9h4chfr8.cloudfront.net/image/725136000567/image_p4q7kgq2pl4pj4326bjk51g27d/-FJPG/106124-009_DET_2.jpg</t>
  </si>
  <si>
    <t>https://dd3ka9h4chfr8.cloudfront.net/image/725136000567/image_08uno22juh72n5nn394c7pe648/-FJPG/106124-009_BCK_1.jpg</t>
  </si>
  <si>
    <t>https://dd3ka9h4chfr8.cloudfront.net/image/725136000567/image_6bk4hma0od32t33q0gv40f114l/-FJPG/106124-009_INF_1.jpg</t>
  </si>
  <si>
    <t>https://dd3ka9h4chfr8.cloudfront.net/image/725136000567/image_hp3o5sd92t61n6tv7cvgf58d68/-FJPG/106124-009_DET_1.jpg</t>
  </si>
  <si>
    <t>https://dd3ka9h4chfr8.cloudfront.net/image/725136000567/image_56q15ddc9h6nn55n8ksbl0a855/-FJPG/106124-009_DET_3.jpg</t>
  </si>
  <si>
    <t>https://dd3ka9h4chfr8.cloudfront.net/image/725136000567/image_ui9tga87ap3u39tcb63g972b7f/-FJPG/106124-009_DET_4.jpg</t>
  </si>
  <si>
    <t>https://dd3ka9h4chfr8.cloudfront.net/image/725136000567/image_uev1fs5uut66net6ipshpthm54/-FJPG/106124-009_DET_5.jpg</t>
  </si>
  <si>
    <t>https://dd3ka9h4chfr8.cloudfront.net/image/725136000567/image_2prr1uul3131hamm6rbmk0bg2b/-FJPG/106124-009_DET_6.jpg</t>
  </si>
  <si>
    <t>https://dd3ka9h4chfr8.cloudfront.net/image/725136000567/image_finio7q7o92sl51ioh73d4el4i/-FJPG/106124-009_DET_7.jpg</t>
  </si>
  <si>
    <t>https://dd3ka9h4chfr8.cloudfront.net/image/725136000567/image_9ut8kk6apl2tt8pfk2dgvqnv7u/-FJPG/106124-009_DET_8.jpg</t>
  </si>
  <si>
    <t>https://dd3ka9h4chfr8.cloudfront.net/image/725136000567/image_e4edt3lun158d20t695j5ggk7j/-S150x150-FJPG/106124-010_PRM_1.jpg</t>
  </si>
  <si>
    <t>https://dd3ka9h4chfr8.cloudfront.net/image/725136000567/image_e4edt3lun158d20t695j5ggk7j/-FJPG/106124-010_PRM_1.jpg</t>
  </si>
  <si>
    <t>https://dd3ka9h4chfr8.cloudfront.net/image/725136000567/image_1nfjklq86l16hblp8ccidk2s00/-FJPG/106124-010_SID_1.jpg</t>
  </si>
  <si>
    <t>https://dd3ka9h4chfr8.cloudfront.net/image/725136000567/image_khn6rjvug52i95nvh0qat9ac2a/-FJPG/106124-010_DET_2.jpg</t>
  </si>
  <si>
    <t>https://dd3ka9h4chfr8.cloudfront.net/image/725136000567/image_tcef38a7kh22d1vvsh928hfv64/-FJPG/106124-010_BCK_1.jpg</t>
  </si>
  <si>
    <t>https://dd3ka9h4chfr8.cloudfront.net/image/725136000567/image_1ppkjo9eep2ufd8ogtrrilnd47/-FJPG/106124-010_INF_1.jpg</t>
  </si>
  <si>
    <t>https://dd3ka9h4chfr8.cloudfront.net/image/725136000567/image_9c840vddl93vr6035bp0opp97p/-FJPG/106124-010_DET_1.jpg</t>
  </si>
  <si>
    <t>https://dd3ka9h4chfr8.cloudfront.net/image/725136000567/image_e3nt0hrckl6pf0on4n9179cj43/-FJPG/106124-010_DET_3.jpg</t>
  </si>
  <si>
    <t>https://dd3ka9h4chfr8.cloudfront.net/image/725136000567/image_dnaar982vp14ncdinhi55u5860/-FJPG/106124-010_DET_4.jpg</t>
  </si>
  <si>
    <t>https://dd3ka9h4chfr8.cloudfront.net/image/725136000567/image_n0opk7ocr9035291u12rt2pm5k/-FJPG/106124-010_DET_5.jpg</t>
  </si>
  <si>
    <t>https://dd3ka9h4chfr8.cloudfront.net/image/725136000567/image_5a1d03n9id3hb65m7j5rnq5u4l/-FJPG/106124-010_DET_6.jpg</t>
  </si>
  <si>
    <t>https://dd3ka9h4chfr8.cloudfront.net/image/725136000567/image_9m981dtckd2f95j7dnssv2qq4b/-FJPG/106124-010_DET_7.jpg</t>
  </si>
  <si>
    <t>https://dd3ka9h4chfr8.cloudfront.net/image/725136000567/image_48gmrg6tdt2vj4fvq8ngp5ah6n/-FJPG/106124-010_DET_8.jpg</t>
  </si>
  <si>
    <t>https://dd3ka9h4chfr8.cloudfront.net/image/725136000567/image_atj4ufqbo93lnenef9iv6vbi2c/-S150x150-FJPG/106124-024_PRM_1.JPG</t>
  </si>
  <si>
    <t>https://dd3ka9h4chfr8.cloudfront.net/image/725136000567/image_atj4ufqbo93lnenef9iv6vbi2c/-FJPG/106124-024_PRM_1.JPG</t>
  </si>
  <si>
    <t>https://dd3ka9h4chfr8.cloudfront.net/image/725136000567/image_jf5rscphj97hb689b1jqs81k4k/-FJPG/106124-024_SID_1.JPG</t>
  </si>
  <si>
    <t>https://dd3ka9h4chfr8.cloudfront.net/image/725136000567/image_jkbjmpv6kl38na0mabbsfgbc0u/-FJPG/106124-024_ESS.tif</t>
  </si>
  <si>
    <t>https://dd3ka9h4chfr8.cloudfront.net/image/725136000567/image_5ghqnn94ph4bdc849jagojv138/-FJPG/106124-024_DET_2.JPG</t>
  </si>
  <si>
    <t>https://dd3ka9h4chfr8.cloudfront.net/image/725136000567/image_djgge70g3t7rhddv5ldlunag4l/-FJPG/106124-024_BCK_1.JPG</t>
  </si>
  <si>
    <t>https://dd3ka9h4chfr8.cloudfront.net/image/725136000567/image_ge286ju00d5a3dcrv3frfv2241/-FJPG/106124-024_DET_1.JPG</t>
  </si>
  <si>
    <t>https://dd3ka9h4chfr8.cloudfront.net/image/725136000567/image_53piq7mr6d4atatbu7e6vt997j/-FJPG/106124-024_DET_3.JPG</t>
  </si>
  <si>
    <t>https://dd3ka9h4chfr8.cloudfront.net/image/725136000567/image_jg8aril8hl42d8lmaldgkgnh4t/-FJPG/106124-024_DET_4.JPG</t>
  </si>
  <si>
    <t>https://dd3ka9h4chfr8.cloudfront.net/image/725136000567/image_ajj1n6d91h7b96vmr65ia2vs49/-FJPG/106124-024_DET_5.JPG</t>
  </si>
  <si>
    <t>https://dd3ka9h4chfr8.cloudfront.net/image/725136000567/image_nakqbq2lh96bh1m2vtornanp7h/-FJPG/106124-024_DET_9.tif</t>
  </si>
  <si>
    <t>https://dd3ka9h4chfr8.cloudfront.net/image/725136000567/image_9ombmf9vo11k711eo18e6rc050/-FJPG/106124-024_PRM_2.JPG</t>
  </si>
  <si>
    <t>Potter Bed - Manor Grey</t>
  </si>
  <si>
    <t>https://dd3ka9h4chfr8.cloudfront.net/image/725136000567/image_n44n7duv1l7n11rhtb4mtsbn1v/-S150x150-FJPG/106124-011_PRM_1.jpg</t>
  </si>
  <si>
    <t>https://dd3ka9h4chfr8.cloudfront.net/image/725136000567/image_n44n7duv1l7n11rhtb4mtsbn1v/-FJPG/106124-011_PRM_1.jpg</t>
  </si>
  <si>
    <t>https://dd3ka9h4chfr8.cloudfront.net/image/725136000567/image_tfvh5p1idh60d3jiptlv16b367/-FJPG/106124-011_SID_1.jpg</t>
  </si>
  <si>
    <t>https://dd3ka9h4chfr8.cloudfront.net/image/725136000567/image_9qg2di0r0p71n1g68dcmu9mr74/-FJPG/106124-011_ESS_1.jpg</t>
  </si>
  <si>
    <t>https://dd3ka9h4chfr8.cloudfront.net/image/725136000567/image_fs01n5r2lp6853n0rve1q3hl3n/-FJPG/106124-011_DET_2.jpg</t>
  </si>
  <si>
    <t>https://dd3ka9h4chfr8.cloudfront.net/image/725136000567/image_meirinoan12ud6m9u8he4o0465/-FJPG/106124-011_BCK_1.jpg</t>
  </si>
  <si>
    <t>https://dd3ka9h4chfr8.cloudfront.net/image/725136000567/image_far55iqu2p1j5d7stitu784i5q/-FJPG/106124-011_DET_1.jpg</t>
  </si>
  <si>
    <t>https://dd3ka9h4chfr8.cloudfront.net/image/725136000567/image_vcbde5dail41n9d0fc51fj626k/-FJPG/106124-011_DET_3.jpg</t>
  </si>
  <si>
    <t>https://dd3ka9h4chfr8.cloudfront.net/image/725136000567/image_2un8v4ekip1ideher2fpf1io51/-FJPG/106124-011_DET_4.jpg</t>
  </si>
  <si>
    <t>https://dd3ka9h4chfr8.cloudfront.net/image/725136000567/image_pn3tof4ue53ndfs6u93p14nq38/-FJPG/106124-011_DET_5.jpg</t>
  </si>
  <si>
    <t>https://dd3ka9h4chfr8.cloudfront.net/image/725136000567/image_im75dnk1193hr8p7ajtj9pu522/-FJPG/106124-011_ROM_1.jpg</t>
  </si>
  <si>
    <t>https://dd3ka9h4chfr8.cloudfront.net/image/725136000567/image_sj7p6dm12p0rd2fa4p1m5ieq3d/-S150x150-FJPG/106124-012_PRM_1.jpg</t>
  </si>
  <si>
    <t>https://dd3ka9h4chfr8.cloudfront.net/image/725136000567/image_sj7p6dm12p0rd2fa4p1m5ieq3d/-FJPG/106124-012_PRM_1.jpg</t>
  </si>
  <si>
    <t>https://dd3ka9h4chfr8.cloudfront.net/image/725136000567/image_v4nv1uohi9347a2c7p2136ia09/-FJPG/106124-012_SID_1.jpg</t>
  </si>
  <si>
    <t>https://dd3ka9h4chfr8.cloudfront.net/image/725136000567/image_e1kccpdqqh42767kng7gled31a/-FJPG/106124-012_DET_2.jpg</t>
  </si>
  <si>
    <t>https://dd3ka9h4chfr8.cloudfront.net/image/725136000567/image_2lm3kgntfd4gpad40nqo6fgb2r/-FJPG/106124-012_BCK_1.jpg</t>
  </si>
  <si>
    <t>https://dd3ka9h4chfr8.cloudfront.net/image/725136000567/image_e4k1hqk4sp6a96ganijsfe7q7b/-FJPG/106124-012_DET_1.jpg</t>
  </si>
  <si>
    <t>https://dd3ka9h4chfr8.cloudfront.net/image/725136000567/image_7dd2o5rnl15pl8j9jn93kf3r2f/-FJPG/106124-012_DET_3.jpg</t>
  </si>
  <si>
    <t>https://dd3ka9h4chfr8.cloudfront.net/image/725136000567/image_sobbp46gh17mdfa4g53h348a4j/-FJPG/106124-012_DET_4.jpg</t>
  </si>
  <si>
    <t>https://dd3ka9h4chfr8.cloudfront.net/image/725136000567/image_4bnfivuldt4b5a2h91pnaat75k/-FJPG/106124-012_DET_5.jpg</t>
  </si>
  <si>
    <t>https://dd3ka9h4chfr8.cloudfront.net/image/725136000567/image_6grhoq77ql5lp8oaonornm0c58/-FJPG/106124-012_ROM_1.jpg</t>
  </si>
  <si>
    <t>https://dd3ka9h4chfr8.cloudfront.net/image/725136000567/image_d1nca5t4cl4u7f8chotr8e857q/-FJPG/106124-012_VIG_1.jpg</t>
  </si>
  <si>
    <t>Potter Bed - Surrey Olive</t>
  </si>
  <si>
    <t>https://dd3ka9h4chfr8.cloudfront.net/image/725136000567/image_t7nnvvpun97hjd3aq63c0fit76/-S150x150-FJPG/106124-019_PRM_1.jpg</t>
  </si>
  <si>
    <t>https://dd3ka9h4chfr8.cloudfront.net/image/725136000567/image_t7nnvvpun97hjd3aq63c0fit76/-FJPG/106124-019_PRM_1.jpg</t>
  </si>
  <si>
    <t>https://dd3ka9h4chfr8.cloudfront.net/image/725136000567/image_h7h7h0tpht611buf7mb2f2nj64/-FJPG/106124-019_SID_1.jpg</t>
  </si>
  <si>
    <t>https://dd3ka9h4chfr8.cloudfront.net/image/725136000567/image_93q6mnda652ij4d1klpnllh903/-FJPG/106124-019_DET_2.jpg</t>
  </si>
  <si>
    <t>https://dd3ka9h4chfr8.cloudfront.net/image/725136000567/image_44n8omdm1h5khbjmson66tjm4s/-FJPG/106124-019_BCK_1.jpg</t>
  </si>
  <si>
    <t>https://dd3ka9h4chfr8.cloudfront.net/image/725136000567/image_6b24vdh4213ujf06q79fdpdh0n/-FJPG/106124-019_DET_1.jpg</t>
  </si>
  <si>
    <t>https://dd3ka9h4chfr8.cloudfront.net/image/725136000567/image_e995oqc6016hfbeq05s8qaeg2o/-FJPG/106124-019_DET_3.jpg</t>
  </si>
  <si>
    <t>https://dd3ka9h4chfr8.cloudfront.net/image/725136000567/image_3bv0qlh5qd6f79a835aquva910/-S150x150-FJPG/106124-020_PRM_1.jpg</t>
  </si>
  <si>
    <t>https://dd3ka9h4chfr8.cloudfront.net/image/725136000567/image_3bv0qlh5qd6f79a835aquva910/-FJPG/106124-020_PRM_1.jpg</t>
  </si>
  <si>
    <t>https://dd3ka9h4chfr8.cloudfront.net/image/725136000567/image_4oqe63p04l1576f6pkk4nhao42/-FJPG/106124-020_SID_1.jpg</t>
  </si>
  <si>
    <t>https://dd3ka9h4chfr8.cloudfront.net/image/725136000567/image_te7nitjt0p1g52qu497uog6n5o/-FJPG/106124-020_ESS_1.jpg</t>
  </si>
  <si>
    <t>https://dd3ka9h4chfr8.cloudfront.net/image/725136000567/image_6ut4hgd8od3dpa6djvu26bt259/-FJPG/106124-020_DET_2.jpg</t>
  </si>
  <si>
    <t>https://dd3ka9h4chfr8.cloudfront.net/image/725136000567/image_fepi085p6p7llao8154ftf6o5l/-FJPG/106124-020_BCK_1.jpg</t>
  </si>
  <si>
    <t>https://dd3ka9h4chfr8.cloudfront.net/image/725136000567/image_odb2bcdjgh79d24irhjvne1d3j/-FJPG/106124-020_DET_1.jpg</t>
  </si>
  <si>
    <t>https://dd3ka9h4chfr8.cloudfront.net/image/725136000567/image_21291ae9sd205c0mmfr7otfl20/-FJPG/106124-020_DET_3.jpg</t>
  </si>
  <si>
    <t>Powell Dining Table - Bluestone</t>
  </si>
  <si>
    <t>https://dd3ka9h4chfr8.cloudfront.net/image/725136000567/image_0bc5svrldd7vpddcpqjq28rm79/-S150x150-FJPG/CIMP-134B_PRM_1.jpg</t>
  </si>
  <si>
    <t>https://dd3ka9h4chfr8.cloudfront.net/image/725136000567/image_4gdmamtrkd1kd61msegi87l068/-FJPG/CIMP-134B_DET_2.jpg</t>
  </si>
  <si>
    <t>https://dd3ka9h4chfr8.cloudfront.net/image/725136000567/image_upjhco7a4912vfuvaj151ue93m/-FJPG/CIMP-134B_INF_1.jpg</t>
  </si>
  <si>
    <t>https://dd3ka9h4chfr8.cloudfront.net/image/725136000567/image_0nm8kge62l6khetqobl2fsga09/-FJPG/CIMP-134B_DET_1.jpg</t>
  </si>
  <si>
    <t>https://dd3ka9h4chfr8.cloudfront.net/image/725136000567/image_ta7a7jki6h65pce2eu0uuivg5q/-FJPG/CIMP-134B_DET_3.jpg</t>
  </si>
  <si>
    <t>https://dd3ka9h4chfr8.cloudfront.net/image/725136000567/image_o53i7lc84h7052ubt7bgvv2i1m/-FJPG/CIMP-134B_TOP_1.jpg</t>
  </si>
  <si>
    <t>https://dd3ka9h4chfr8.cloudfront.net/image/725136000567/image_pop3lot57t3f33696m6gdpj57e/-FJPG/CIMP-134B_DET_4.jpg</t>
  </si>
  <si>
    <t>https://dd3ka9h4chfr8.cloudfront.net/image/725136000567/image_4154o1sm557et6fq6c3795262s/-FJPG/CIMP-134B_DET_5.jpg</t>
  </si>
  <si>
    <t>https://dd3ka9h4chfr8.cloudfront.net/image/725136000567/image_9mjpvj5hfh3n9c9ctok5v3is10/-S150x150-FJPG/CIMP-193C_PRM_1.jpg</t>
  </si>
  <si>
    <t>https://dd3ka9h4chfr8.cloudfront.net/image/725136000567/image_dc67pn1rn16jt35p92mic0uf00/-FJPG/CIMP-193C_ESS_1.jpg</t>
  </si>
  <si>
    <t>https://dd3ka9h4chfr8.cloudfront.net/image/725136000567/image_h2f5el5khd33jd205824fijc1t/-FJPG/CIMP-193C_DET_2.jpg</t>
  </si>
  <si>
    <t>https://dd3ka9h4chfr8.cloudfront.net/image/725136000567/image_n5bor0rih501l4t657krom8h0k/-FJPG/CIMP-193C_INF_1.jpg</t>
  </si>
  <si>
    <t>https://dd3ka9h4chfr8.cloudfront.net/image/725136000567/image_knf5mkpoid3nt8t800crrqra5d/-FJPG/CIMP-193C_DET_1.jpg</t>
  </si>
  <si>
    <t>https://dd3ka9h4chfr8.cloudfront.net/image/725136000567/image_qc1g5m67hd2a97b0ptvq9fgn5p/-FJPG/CIMP-193C_DET_3.jpg</t>
  </si>
  <si>
    <t>https://dd3ka9h4chfr8.cloudfront.net/image/725136000567/image_uqu6cbo8j51vn8n89e7bhln74m/-FJPG/CIMP-193C_DET_4.jpg</t>
  </si>
  <si>
    <t>https://dd3ka9h4chfr8.cloudfront.net/image/725136000567/image_1gfh6mdb6h1m10ig0d82rc3b77/-FJPG/CIMP-193C_VIG_2.jpg</t>
  </si>
  <si>
    <t>Powell Dining Table - English Brown Oak Veneer</t>
  </si>
  <si>
    <t>https://dd3ka9h4chfr8.cloudfront.net/image/725136000567/image_8nu33bqbt95b96171t851l0f32/-S150x150-FJPG/105807-006_PRM_1.jpg</t>
  </si>
  <si>
    <t>https://dd3ka9h4chfr8.cloudfront.net/image/725136000567/image_ojrisgcrgh0j1enst61mdhu87s/-FJPG/105807-006_ESS_1.jpg</t>
  </si>
  <si>
    <t>https://dd3ka9h4chfr8.cloudfront.net/image/725136000567/image_jn6jv1b60h10ffh2pvov3d4c5i/-FJPG/105807-006_DET_2.jpg</t>
  </si>
  <si>
    <t>https://dd3ka9h4chfr8.cloudfront.net/image/725136000567/image_9ohhqjqd057734gougac22og49/-FJPG/105807-006_DET_1.jpg</t>
  </si>
  <si>
    <t>https://dd3ka9h4chfr8.cloudfront.net/image/725136000567/image_cas84iaa1l2dt9um5mlsh6he18/-FJPG/105807-006_DET_3.jpg</t>
  </si>
  <si>
    <t>https://dd3ka9h4chfr8.cloudfront.net/image/725136000567/image_qoa7s3lp450nn2li7f40l8rv4s/-FJPG/105807-006_TOP_1.jpg</t>
  </si>
  <si>
    <t>https://dd3ka9h4chfr8.cloudfront.net/image/725136000567/image_77vfg9bl7p7rfdbkqi6n3c5t10/-FJPG/105807-006_DET_5.jpg</t>
  </si>
  <si>
    <t>https://dd3ka9h4chfr8.cloudfront.net/image/725136000567/image_r64srai5216qh9ba37kf6r5d0o/-S150x150-FJPG/CIMP-193_PRM_1.jpg</t>
  </si>
  <si>
    <t>https://dd3ka9h4chfr8.cloudfront.net/image/725136000567/image_r64srai5216qh9ba37kf6r5d0o/-FJPG/CIMP-193_PRM_1.jpg</t>
  </si>
  <si>
    <t>https://dd3ka9h4chfr8.cloudfront.net/image/725136000567/image_2r32vvrdl91cj937q8pk707p3d/-FJPG/CIMP-193_SID_1.jpg</t>
  </si>
  <si>
    <t>https://dd3ka9h4chfr8.cloudfront.net/image/725136000567/image_klug3n1c2l6cb4bc8t05fcnq0a/-FJPG/CIMP-193_DET_2.jpg</t>
  </si>
  <si>
    <t>https://dd3ka9h4chfr8.cloudfront.net/image/725136000567/image_gsu3edce4p1o1004orupcnsc3n/-FJPG/CIMP-193_DET_1.jpg</t>
  </si>
  <si>
    <t>https://dd3ka9h4chfr8.cloudfront.net/image/725136000567/image_61ebm2b62p5lf6ab75tpn8s27a/-FJPG/CIMP-193_DET_3.jpg</t>
  </si>
  <si>
    <t>https://dd3ka9h4chfr8.cloudfront.net/image/725136000567/image_icn4mqru8l5mbav2rtd7qamf6b/-FJPG/CIMP-193_TOP_1.jpg</t>
  </si>
  <si>
    <t>https://dd3ka9h4chfr8.cloudfront.net/image/725136000567/image_isqs7bccjd0s738am5jpk5he6j/-FJPG/CIMP-193_DET_4.jpg</t>
  </si>
  <si>
    <t>Powell Dining Table - White Marble</t>
  </si>
  <si>
    <t>https://dd3ka9h4chfr8.cloudfront.net/image/725136000567/image_ljimggg4gd4pbccb74jhsira35/-S150x150-FJPG/CIMP-134C_PRM_1.jpg</t>
  </si>
  <si>
    <t>https://dd3ka9h4chfr8.cloudfront.net/image/725136000567/image_jk62197j3t5fb6sisj3a9os96l/-FJPG/CIMP-134C_ESS_1.jpg</t>
  </si>
  <si>
    <t>https://dd3ka9h4chfr8.cloudfront.net/image/725136000567/image_fl37l7elm57d97047g160mv60l/-FJPG/CIMP-134C_DET_2.jpg</t>
  </si>
  <si>
    <t>https://dd3ka9h4chfr8.cloudfront.net/image/725136000567/image_td08sn5q6d5lv731u2504nn57p/-FJPG/CIMP-134C_DET_1.jpg</t>
  </si>
  <si>
    <t>https://dd3ka9h4chfr8.cloudfront.net/image/725136000567/image_phaj23vl5946n2pcim6puq5c27/-FJPG/CIMP-134C_DET_3.jpg</t>
  </si>
  <si>
    <t>https://dd3ka9h4chfr8.cloudfront.net/image/725136000567/image_ud5iau8n5l09tdd4t35mbbdo6d/-FJPG/CIMP-134C_DET_4.jpg</t>
  </si>
  <si>
    <t>https://dd3ka9h4chfr8.cloudfront.net/image/725136000567/image_6tnpk01k7l08d9sr92shk5041k/-FJPG/CIMP-134C_VIG_1.jpg</t>
  </si>
  <si>
    <t>https://dd3ka9h4chfr8.cloudfront.net/image/725136000567/image_5e4sdjh7dl6ut2mr9s5evftv4d/-S150x150-FJPG/CIMP-193B_PRM_1.jpg</t>
  </si>
  <si>
    <t>https://dd3ka9h4chfr8.cloudfront.net/image/725136000567/image_8bhvseghil0dr84jbhlq7hsu3s/-FJPG/CIMP-193B_ESS_1.jpg</t>
  </si>
  <si>
    <t>https://dd3ka9h4chfr8.cloudfront.net/image/725136000567/image_vd8ehl7ue56bl8v9mvbcm3l55g/-FJPG/CIMP-193B_DET_2.jpg</t>
  </si>
  <si>
    <t>https://dd3ka9h4chfr8.cloudfront.net/image/725136000567/image_pfk0tarljp329dvsfpo9nc3l0g/-FJPG/CIMP-193B_DET_1.jpg</t>
  </si>
  <si>
    <t>https://dd3ka9h4chfr8.cloudfront.net/image/725136000567/image_kkudl3rf0l1cv5tulhi7oonn61/-FJPG/CIMP-193B_DET_3.jpg</t>
  </si>
  <si>
    <t>https://dd3ka9h4chfr8.cloudfront.net/image/725136000567/image_0k82qcj7at707ahsd58gk3f11e/-FJPG/CIMP-193B_DET_4.jpg</t>
  </si>
  <si>
    <t>https://dd3ka9h4chfr8.cloudfront.net/image/725136000567/image_bp5ui7461d3a1b9avj0lrnjt25/-FJPG/CIMP-193B_ROM_1.jpg</t>
  </si>
  <si>
    <t>Quincy Bed - Lisbon Charcoal</t>
  </si>
  <si>
    <t>81% Polyester</t>
  </si>
  <si>
    <t>https://dd3ka9h4chfr8.cloudfront.net/image/725136000567/image_6m019irv1t11t6jvago5f9ik5f/-S150x150-FJPG/235838-001_PRM_1.jpg</t>
  </si>
  <si>
    <t>https://dd3ka9h4chfr8.cloudfront.net/image/725136000567/image_6m019irv1t11t6jvago5f9ik5f/-FJPG/235838-001_PRM_1.jpg</t>
  </si>
  <si>
    <t>https://dd3ka9h4chfr8.cloudfront.net/image/725136000567/image_pbnke83ijl27tfelfk38ed354k/-FJPG/235838-001_SID_1.jpg</t>
  </si>
  <si>
    <t>https://dd3ka9h4chfr8.cloudfront.net/image/725136000567/image_abkr0rv7rp0ch0c3skcaspoj09/-FJPG/235838-001_ESS_1.jpg</t>
  </si>
  <si>
    <t>https://dd3ka9h4chfr8.cloudfront.net/image/725136000567/image_s0hdsvhrn54cd6abuneaam4l1b/-FJPG/235838-001_DET_2.jpg</t>
  </si>
  <si>
    <t>https://dd3ka9h4chfr8.cloudfront.net/image/725136000567/image_23i1617lnp2v3amildjb2ghf28/-FJPG/235838-001_BCK_1.jpg</t>
  </si>
  <si>
    <t>https://dd3ka9h4chfr8.cloudfront.net/image/725136000567/image_bnrbugs0c13ir17al4ohqint4q/-FJPG/235838-001_DET_1.jpg</t>
  </si>
  <si>
    <t>https://dd3ka9h4chfr8.cloudfront.net/image/725136000567/image_f13f3o7nk16vnback9vo0jcs7s/-FJPG/235838-001_DET_3.jpg</t>
  </si>
  <si>
    <t>https://dd3ka9h4chfr8.cloudfront.net/image/725136000567/image_uqtvf2n1t94c9b04vq64m2kd11/-FJPG/235838-001_DET_4.jpg</t>
  </si>
  <si>
    <t>https://dd3ka9h4chfr8.cloudfront.net/image/725136000567/image_j8k2euj5653credb4bacdni656/-FJPG/235838-001_DET_5.jpg</t>
  </si>
  <si>
    <t>https://dd3ka9h4chfr8.cloudfront.net/image/725136000567/image_btj9cfi2f52n7fikuj977kga7m/-FJPG/235838-001_DET_6.jpg</t>
  </si>
  <si>
    <t>https://dd3ka9h4chfr8.cloudfront.net/image/725136000567/image_uiv2u079nd7l7318psu7ef8n55/-FJPG/235838-001_DET_7.jpg</t>
  </si>
  <si>
    <t>https://dd3ka9h4chfr8.cloudfront.net/image/725136000567/image_tm1g6lidd115lb4pkv92bila04/-FJPG/235838-001_DET_8.jpg</t>
  </si>
  <si>
    <t>https://dd3ka9h4chfr8.cloudfront.net/image/725136000567/image_1rerdq6p552ah8ho49h2eftn0r/-FJPG/235838-001_ESS_NO EDIT 2.jpg</t>
  </si>
  <si>
    <t>https://dd3ka9h4chfr8.cloudfront.net/image/725136000567/image_qqq3qricth7jl0h6fna8rlm54e/-FJPG/235838-001_ESS_NO EDIT.jpg</t>
  </si>
  <si>
    <t>https://dd3ka9h4chfr8.cloudfront.net/image/725136000567/image_ea9b0b6ed54en2avmd03ec0k47/-S150x150-FJPG/235838-002_PRM_1.jpg</t>
  </si>
  <si>
    <t>https://dd3ka9h4chfr8.cloudfront.net/image/725136000567/image_ea9b0b6ed54en2avmd03ec0k47/-FJPG/235838-002_PRM_1.jpg</t>
  </si>
  <si>
    <t>https://dd3ka9h4chfr8.cloudfront.net/image/725136000567/image_menn1m9b1178l47kbd3qfaob3q/-FJPG/235838-002_SID_1.jpg</t>
  </si>
  <si>
    <t>https://dd3ka9h4chfr8.cloudfront.net/image/725136000567/image_hoh606285p3rn7jpvk5pmqh21u/-FJPG/235838-002_ESS_1.jpg</t>
  </si>
  <si>
    <t>https://dd3ka9h4chfr8.cloudfront.net/image/725136000567/image_lsaar2tpdh34f5mas27asllt01/-FJPG/235838-002_DET_2.jpg</t>
  </si>
  <si>
    <t>https://dd3ka9h4chfr8.cloudfront.net/image/725136000567/image_jb1poftjbl5aj5fgt0bboli25j/-FJPG/235838-002_BCK_1.jpg</t>
  </si>
  <si>
    <t>https://dd3ka9h4chfr8.cloudfront.net/image/725136000567/image_v2s5j043554hvfi9b1ppbem17h/-FJPG/235838-002_DET_1.jpg</t>
  </si>
  <si>
    <t>https://dd3ka9h4chfr8.cloudfront.net/image/725136000567/image_6c7hmccpr51etfijntmk5cjl4h/-FJPG/235838-002_DET_3.jpg</t>
  </si>
  <si>
    <t>https://dd3ka9h4chfr8.cloudfront.net/image/725136000567/image_cb095h8igp56t7dnq3u3ihdk4h/-FJPG/235838-002_DET_4.jpg</t>
  </si>
  <si>
    <t>https://dd3ka9h4chfr8.cloudfront.net/image/725136000567/image_6l941lmkdl0e3f6ddrqsdv3b0j/-FJPG/235838-002_DET_5.jpg</t>
  </si>
  <si>
    <t>https://dd3ka9h4chfr8.cloudfront.net/image/725136000567/image_92qaj2ig252c5ain06r2bgkl5h/-FJPG/235838-002_DET_6.jpg</t>
  </si>
  <si>
    <t>https://dd3ka9h4chfr8.cloudfront.net/image/725136000567/image_v82nv579t11dh8c8gli9f8ju49/-FJPG/235838-002_DET_7.jpg</t>
  </si>
  <si>
    <t>https://dd3ka9h4chfr8.cloudfront.net/image/725136000567/image_s5ahhole0l6l3aa6r84cdmh470/-FJPG/235838-002_DET_8.jpg</t>
  </si>
  <si>
    <t>Quincy Bed - Lisbon Cream</t>
  </si>
  <si>
    <t>https://dd3ka9h4chfr8.cloudfront.net/image/725136000567/image_ptvgvik56t6mv282rtmj0ucb68/-S150x150-FJPG/235838-003_PRM_1.jpg</t>
  </si>
  <si>
    <t>https://dd3ka9h4chfr8.cloudfront.net/image/725136000567/image_ptvgvik56t6mv282rtmj0ucb68/-FJPG/235838-003_PRM_1.jpg</t>
  </si>
  <si>
    <t>https://dd3ka9h4chfr8.cloudfront.net/image/725136000567/image_uk4gkqo0tl2ehaj85vuv7m6t57/-FJPG/235838-003_SID_1.jpg</t>
  </si>
  <si>
    <t>https://dd3ka9h4chfr8.cloudfront.net/image/725136000567/image_ojd6vi3jqd1of2k9f1l69uds0r/-FJPG/235838-003_ESS_1.jpg</t>
  </si>
  <si>
    <t>https://dd3ka9h4chfr8.cloudfront.net/image/725136000567/image_gh1b0fd00l0bvd2toasjna9b1j/-FJPG/235838-003_DET_2.jpg</t>
  </si>
  <si>
    <t>https://dd3ka9h4chfr8.cloudfront.net/image/725136000567/image_gn5tc4lh9t0a5dhim9hs78uo6p/-FJPG/235838-003_BCK_1.jpg</t>
  </si>
  <si>
    <t>https://dd3ka9h4chfr8.cloudfront.net/image/725136000567/image_f16qb2580p29fa9eocgmtiil38/-FJPG/235838-003_DET_1.jpg</t>
  </si>
  <si>
    <t>https://dd3ka9h4chfr8.cloudfront.net/image/725136000567/image_jrf9qceq8p7m71ckc5r1c2la1m/-FJPG/235838-003_DET_3.jpg</t>
  </si>
  <si>
    <t>https://dd3ka9h4chfr8.cloudfront.net/image/725136000567/image_bjbiidlbgl4f52s3uvso7m5g6h/-FJPG/235838-003_DET_4.jpg</t>
  </si>
  <si>
    <t>https://dd3ka9h4chfr8.cloudfront.net/image/725136000567/image_c44i0r1kkd7snfvfpanth0p657/-FJPG/235838-003_DET_5.jpg</t>
  </si>
  <si>
    <t>https://dd3ka9h4chfr8.cloudfront.net/image/725136000567/image_tfbjd3qvgt6rh9454cgvlpkg3q/-FJPG/235838-003_DET_6.jpg</t>
  </si>
  <si>
    <t>https://dd3ka9h4chfr8.cloudfront.net/image/725136000567/image_qjb0oa74kt1pvd65gk1g45lm26/-FJPG/235838-003_DET_7.jpg</t>
  </si>
  <si>
    <t>https://dd3ka9h4chfr8.cloudfront.net/image/725136000567/image_e9sod3h3gh5kfapmvg6gipkk6l/-FJPG/235838-003_DET_8.jpg</t>
  </si>
  <si>
    <t>https://dd3ka9h4chfr8.cloudfront.net/image/725136000567/image_5e20s9gkmp00v059mfv9of974p/-FJPG/235838-003_ESS_No Edit 2.jpg</t>
  </si>
  <si>
    <t>https://dd3ka9h4chfr8.cloudfront.net/image/725136000567/image_8mpq4qb4td5sp92j34nhl5f52o/-FJPG/235838-003_ESS_No Edit.jpg</t>
  </si>
  <si>
    <t>https://dd3ka9h4chfr8.cloudfront.net/image/725136000567/image_n98q9n3nfd05l0odgof2qcrn0e/-S150x150-FJPG/235838-004_PRM_1.jpg</t>
  </si>
  <si>
    <t>https://dd3ka9h4chfr8.cloudfront.net/image/725136000567/image_n98q9n3nfd05l0odgof2qcrn0e/-FJPG/235838-004_PRM_1.jpg</t>
  </si>
  <si>
    <t>https://dd3ka9h4chfr8.cloudfront.net/image/725136000567/image_2utas8sr7d52hd1i1dl4or651s/-FJPG/235838-004_SID_1.jpg</t>
  </si>
  <si>
    <t>https://dd3ka9h4chfr8.cloudfront.net/image/725136000567/image_nu06lshrfp3n13u3f89tqqvc44/-FJPG/235838-004_ESS_1.jpg</t>
  </si>
  <si>
    <t>https://dd3ka9h4chfr8.cloudfront.net/image/725136000567/image_ob64hdo9312ll1thb9e67o8m45/-FJPG/235838-004_DET_2.jpg</t>
  </si>
  <si>
    <t>https://dd3ka9h4chfr8.cloudfront.net/image/725136000567/image_jpf378f8kl2sdcit0rbeej2r7o/-FJPG/235838-004_BCK_1.jpg</t>
  </si>
  <si>
    <t>https://dd3ka9h4chfr8.cloudfront.net/image/725136000567/image_l7v3gga84153b0eacpn3qg6p5u/-FJPG/235838-004_DET_1.jpg</t>
  </si>
  <si>
    <t>https://dd3ka9h4chfr8.cloudfront.net/image/725136000567/image_3g8scnfbn17l57o75h3l42ue7u/-FJPG/235838-004_DET_3.jpg</t>
  </si>
  <si>
    <t>https://dd3ka9h4chfr8.cloudfront.net/image/725136000567/image_tp43sdr91l0jb3rkjhdfct0i25/-FJPG/235838-004_DET_4.jpg</t>
  </si>
  <si>
    <t>https://dd3ka9h4chfr8.cloudfront.net/image/725136000567/image_63qla0fped2idedff3j1n6334n/-FJPG/235838-004_DET_5.jpg</t>
  </si>
  <si>
    <t>https://dd3ka9h4chfr8.cloudfront.net/image/725136000567/image_ksnevrr1e949p3i7muiohnb773/-FJPG/235838-004_DET_6.jpg</t>
  </si>
  <si>
    <t>https://dd3ka9h4chfr8.cloudfront.net/image/725136000567/image_3b4f3jeas178jel86fani5uj2t/-FJPG/235838-004_DET_7.jpg</t>
  </si>
  <si>
    <t>https://dd3ka9h4chfr8.cloudfront.net/image/725136000567/image_u5qrp8hnht0eddh023dhsj3a31/-FJPG/235838-004_DET_8.jpg</t>
  </si>
  <si>
    <t>Quincy Bed - Plushtone Linen</t>
  </si>
  <si>
    <t>https://dd3ka9h4chfr8.cloudfront.net/image/725136000567/image_9v51apffpt337bvncjbv1m3142/-S150x150-FJPG/235838-007_PRM_1.jpg</t>
  </si>
  <si>
    <t>https://dd3ka9h4chfr8.cloudfront.net/image/725136000567/image_9v51apffpt337bvncjbv1m3142/-FJPG/235838-007_PRM_1.jpg</t>
  </si>
  <si>
    <t>https://dd3ka9h4chfr8.cloudfront.net/image/725136000567/image_8t3ehbkp792t1ek3t4on3sv47s/-FJPG/235838-007_SID_1.jpg</t>
  </si>
  <si>
    <t>https://dd3ka9h4chfr8.cloudfront.net/image/725136000567/image_2ufoj7mgu90el1anr3r4k4oi1s/-FJPG/235838-007_DET_2.jpg</t>
  </si>
  <si>
    <t>https://dd3ka9h4chfr8.cloudfront.net/image/725136000567/image_sbn7bn115149f1lf1f5iq0n10l/-FJPG/235838-007_BCK_1.jpg</t>
  </si>
  <si>
    <t>https://dd3ka9h4chfr8.cloudfront.net/image/725136000567/image_jdhbd9vdh10gr4jag31sv4o302/-FJPG/235838-007_DET_1.jpg</t>
  </si>
  <si>
    <t>https://dd3ka9h4chfr8.cloudfront.net/image/725136000567/image_hkupjk7i5h7pb50upkj9ba8k60/-FJPG/235838-007_DET_3.jpg</t>
  </si>
  <si>
    <t>https://dd3ka9h4chfr8.cloudfront.net/image/725136000567/image_t45r4fdvbt0596o3b029tu9r5c/-FJPG/235838-007_DET_4.jpg</t>
  </si>
  <si>
    <t>https://dd3ka9h4chfr8.cloudfront.net/image/725136000567/image_s1t78vh7811hdcggodmn7odo16/-FJPG/235838-007_DET_5.jpg</t>
  </si>
  <si>
    <t>https://dd3ka9h4chfr8.cloudfront.net/image/725136000567/image_lgtqftbc1l5efe4uhls4ad030a/-FJPG/235838-007_DET_6.jpg</t>
  </si>
  <si>
    <t>https://dd3ka9h4chfr8.cloudfront.net/image/725136000567/image_it6he76rg57bj4ff8ev45aqi1m/-S150x150-FJPG/235838-008_PRM_1.jpg</t>
  </si>
  <si>
    <t>https://dd3ka9h4chfr8.cloudfront.net/image/725136000567/image_it6he76rg57bj4ff8ev45aqi1m/-FJPG/235838-008_PRM_1.jpg</t>
  </si>
  <si>
    <t>https://dd3ka9h4chfr8.cloudfront.net/image/725136000567/image_u2lfi60an54f5c1u1sfo7ue472/-FJPG/235838-008_SID_1.jpg</t>
  </si>
  <si>
    <t>https://dd3ka9h4chfr8.cloudfront.net/image/725136000567/image_b9cjih9g9513j85o1hdf89ti7k/-FJPG/235838-008_DET_2.jpg</t>
  </si>
  <si>
    <t>https://dd3ka9h4chfr8.cloudfront.net/image/725136000567/image_k0qe8d3re96mj422ce8u784l01/-FJPG/235838-008_BCK_1.jpg</t>
  </si>
  <si>
    <t>https://dd3ka9h4chfr8.cloudfront.net/image/725136000567/image_g47n8okk4p3ch0ndbuk1qvi65h/-FJPG/235838-008_DET_1.jpg</t>
  </si>
  <si>
    <t>https://dd3ka9h4chfr8.cloudfront.net/image/725136000567/image_pdht4j7g116mh52m26idjpud4c/-FJPG/235838-008_DET_3.jpg</t>
  </si>
  <si>
    <t>https://dd3ka9h4chfr8.cloudfront.net/image/725136000567/image_fu6jftuvo1339a4rdt599qg46k/-FJPG/235838-008_DET_4.jpg</t>
  </si>
  <si>
    <t>https://dd3ka9h4chfr8.cloudfront.net/image/725136000567/image_p3nkm0d9f94p5ed44qjq7gqt5h/-FJPG/235838-008_DET_5.jpg</t>
  </si>
  <si>
    <t>https://dd3ka9h4chfr8.cloudfront.net/image/725136000567/image_td547lh6g12kn68m4e59ta3m2l/-FJPG/235838-008_DET_6.jpg</t>
  </si>
  <si>
    <t>Radley Power Recliner 2-Piece Sectional - Antigo Natural</t>
  </si>
  <si>
    <t>30% Acrylic</t>
  </si>
  <si>
    <t>17% Flax/Linen</t>
  </si>
  <si>
    <t>https://dd3ka9h4chfr8.cloudfront.net/image/725136000567/image_87pl9ld5cl59jd8k6s3kl4uu13/-S150x150-FJPG/235916-002_PRM_1.jpg</t>
  </si>
  <si>
    <t>https://dd3ka9h4chfr8.cloudfront.net/image/725136000567/image_87pl9ld5cl59jd8k6s3kl4uu13/-FJPG/235916-002_PRM_1.jpg</t>
  </si>
  <si>
    <t>https://dd3ka9h4chfr8.cloudfront.net/image/725136000567/image_fckkbqnvh12bl1vj1nnu275v4o/-FJPG/235916-002_SID_1.jpg</t>
  </si>
  <si>
    <t>https://dd3ka9h4chfr8.cloudfront.net/image/725136000567/image_rfvmk0mc9d4srbk78mhs3l4f7j/-FJPG/235916-002_ESS_1.jpg</t>
  </si>
  <si>
    <t>https://dd3ka9h4chfr8.cloudfront.net/image/725136000567/image_h077est86h50h900k98hs1kp47/-FJPG/235916-002_DET_2.jpg</t>
  </si>
  <si>
    <t>https://dd3ka9h4chfr8.cloudfront.net/image/725136000567/image_3t46mslk4h3p17kqo3o8m0n81k/-FJPG/235916-002_BCK_1.jpg</t>
  </si>
  <si>
    <t>https://dd3ka9h4chfr8.cloudfront.net/image/725136000567/image_029kf8efv16v9aispr3pt7ef1c/-FJPG/235916-002_DET_1.jpg</t>
  </si>
  <si>
    <t>https://dd3ka9h4chfr8.cloudfront.net/image/725136000567/image_0v21q6ctkl1h76mn5n452kie29/-FJPG/235916-002_DET_3.jpg</t>
  </si>
  <si>
    <t>https://dd3ka9h4chfr8.cloudfront.net/image/725136000567/image_0r8cgq9k9t0odchbsfuhs3f14e/-FJPG/235916-002_PRM_2.jpg</t>
  </si>
  <si>
    <t>https://dd3ka9h4chfr8.cloudfront.net/image/725136000567/image_u56pt8inot4k7bq4906oj0db6o/-FJPG/235916-002_FRT_2.jpg</t>
  </si>
  <si>
    <t>https://dd3ka9h4chfr8.cloudfront.net/image/725136000567/image_9nvs8qrp9t34bakd0d490u001e/-FJPG/235916-002_ESS_2.jpg</t>
  </si>
  <si>
    <t>Radley Power Recliner 2-Piece Sectional - Crypton Nomad Taupe</t>
  </si>
  <si>
    <t>https://dd3ka9h4chfr8.cloudfront.net/image/725136000567/image_n3us52e81t4c581j5p7v5cms2r/-S150x150-FJPG/235916-004_PRM_1.jpg</t>
  </si>
  <si>
    <t>https://dd3ka9h4chfr8.cloudfront.net/image/725136000567/image_n3us52e81t4c581j5p7v5cms2r/-FJPG/235916-004_PRM_1.jpg</t>
  </si>
  <si>
    <t>https://dd3ka9h4chfr8.cloudfront.net/image/725136000567/image_av16r63sfh2175vq5tvv8m3523/-FJPG/235916-004_SID_1.jpg</t>
  </si>
  <si>
    <t>https://dd3ka9h4chfr8.cloudfront.net/image/725136000567/image_ica5ln8qc53i51mvkqguo3n11p/-FJPG/235916-004_ESS.tif</t>
  </si>
  <si>
    <t>https://dd3ka9h4chfr8.cloudfront.net/image/725136000567/image_p58u70b7qp1dp1b72ff63c3f0a/-FJPG/235916-004_DET_2.jpg</t>
  </si>
  <si>
    <t>https://dd3ka9h4chfr8.cloudfront.net/image/725136000567/image_nf0mlmqsed51l7qlnripnalo74/-FJPG/235916-004_BCK_1.jpg</t>
  </si>
  <si>
    <t>https://dd3ka9h4chfr8.cloudfront.net/image/725136000567/image_u9ndtv7u253gp52hiu5rdqs95d/-FJPG/235916-004_DET_1.jpg</t>
  </si>
  <si>
    <t>https://dd3ka9h4chfr8.cloudfront.net/image/725136000567/image_ro6ssae0v54uh8230u3t4s8r3u/-FJPG/235916-004_DET_3.jpg</t>
  </si>
  <si>
    <t>https://dd3ka9h4chfr8.cloudfront.net/image/725136000567/image_aqhdpqjsq925931gr1refr6p4h/-FJPG/235916-004_DET_4.jpg</t>
  </si>
  <si>
    <t>https://dd3ka9h4chfr8.cloudfront.net/image/725136000567/image_nk35ft429173f6fbpd7sk4s31q/-FJPG/235916-004_PRM_2.jpg</t>
  </si>
  <si>
    <t>https://dd3ka9h4chfr8.cloudfront.net/image/725136000567/image_bfh994ejed7mn1s1kjf74cg41s/-FJPG/235916-004_SID_2.jpg</t>
  </si>
  <si>
    <t>https://dd3ka9h4chfr8.cloudfront.net/image/725136000567/image_1ve4msva0h3even5knpsgapc58/-FJPG/235916-004_FRT_2.jpg</t>
  </si>
  <si>
    <t>https://dd3ka9h4chfr8.cloudfront.net/image/725136000567/image_hqev6clmdt4qn3lac790b9562g/-FJPG/235916-004_ESS_2.tif</t>
  </si>
  <si>
    <t>https://dd3ka9h4chfr8.cloudfront.net/image/725136000567/image_nkk7ug76rd3h79vqoo8fat0c4a/-FJPG/235916-004_BCK_2.jpg</t>
  </si>
  <si>
    <t>Radley Power Recliner 2-Piece Sectional - Laken Stone</t>
  </si>
  <si>
    <t>https://dd3ka9h4chfr8.cloudfront.net/image/725136000567/image_fk7o7fcuah2tj2rt381chrga0d/-S150x150-FJPG/235916-003_PRM_1.JPG</t>
  </si>
  <si>
    <t>https://dd3ka9h4chfr8.cloudfront.net/image/725136000567/image_fk7o7fcuah2tj2rt381chrga0d/-FJPG/235916-003_PRM_1.JPG</t>
  </si>
  <si>
    <t>https://dd3ka9h4chfr8.cloudfront.net/image/725136000567/image_a5u0m3ci911cr645v6aq3kvd43/-FJPG/235916-003_BCK_1.JPG</t>
  </si>
  <si>
    <t>https://dd3ka9h4chfr8.cloudfront.net/image/725136000567/image_grcce2q58h5ef75j84t7pmbp0e/-FJPG/235916-003_OPN_1.JPG</t>
  </si>
  <si>
    <t>https://dd3ka9h4chfr8.cloudfront.net/image/725136000567/image_ing5rdm3ml0e1e07agvjv2oc21/-FJPG/235916-003_OPN_2.JPG</t>
  </si>
  <si>
    <t>Radley Power Recliner 2-Piece Sectional - Sonoma Butterscotch</t>
  </si>
  <si>
    <t>https://dd3ka9h4chfr8.cloudfront.net/image/725136000567/image_hk8oq2kab50v97qqf762lkn11g/-S150x150-FJPG/235916-001_PRM_1.jpg</t>
  </si>
  <si>
    <t>https://dd3ka9h4chfr8.cloudfront.net/image/725136000567/image_hk8oq2kab50v97qqf762lkn11g/-FJPG/235916-001_PRM_1.jpg</t>
  </si>
  <si>
    <t>https://dd3ka9h4chfr8.cloudfront.net/image/725136000567/image_psp2siup5t4svbh3g0hifjni1t/-FJPG/235916-001_SID_1.jpg</t>
  </si>
  <si>
    <t>https://dd3ka9h4chfr8.cloudfront.net/image/725136000567/image_21kosacr2914h2ine5fuga1l51/-FJPG/235916-001_ESS.tif</t>
  </si>
  <si>
    <t>https://dd3ka9h4chfr8.cloudfront.net/image/725136000567/image_f8qtaegbk511va5q4mniomgs2d/-FJPG/235916-001_DET_2.jpg</t>
  </si>
  <si>
    <t>https://dd3ka9h4chfr8.cloudfront.net/image/725136000567/image_j9rlaegftp4htanmbbpum5ke17/-FJPG/235916-001_BCK_1.jpg</t>
  </si>
  <si>
    <t>https://dd3ka9h4chfr8.cloudfront.net/image/725136000567/image_8rk0eiu4q97j124epo06m0oi6j/-FJPG/235916-001_DET_1.jpg</t>
  </si>
  <si>
    <t>https://dd3ka9h4chfr8.cloudfront.net/image/725136000567/image_qs19lb4vst4h9e1ovsi98rbr25/-FJPG/235916-001_DET_3.jpg</t>
  </si>
  <si>
    <t>https://dd3ka9h4chfr8.cloudfront.net/image/725136000567/image_k033tk5kbl603cnroah0mmqa3o/-FJPG/235916-001_DET_4.jpg</t>
  </si>
  <si>
    <t>https://dd3ka9h4chfr8.cloudfront.net/image/725136000567/image_2b3mvtprld0bjattjn6vpiur4n/-FJPG/235916-001_DET_5.jpg</t>
  </si>
  <si>
    <t>https://dd3ka9h4chfr8.cloudfront.net/image/725136000567/image_ap620ao37d4rd5cr53mjp2ha3v/-FJPG/235916-001_DET_9.tif</t>
  </si>
  <si>
    <t>https://dd3ka9h4chfr8.cloudfront.net/image/725136000567/image_06l3dcni9p5jt99ikhpq53k67p/-FJPG/238970-001_DET_9.tif</t>
  </si>
  <si>
    <t>https://dd3ka9h4chfr8.cloudfront.net/image/725136000567/image_o93ahc0s655i72umhrj96jrj1b/-FJPG/235916-001_PRM_2.jpg</t>
  </si>
  <si>
    <t>https://dd3ka9h4chfr8.cloudfront.net/image/725136000567/image_njqt96u2o566rf2ndc8s0lr317/-FJPG/235916-001_FRT_2.jpg</t>
  </si>
  <si>
    <t>https://dd3ka9h4chfr8.cloudfront.net/image/725136000567/image_3us7flbart7op9d8kuoq3gvk70/-FJPG/235916-001_ESS_2.tif</t>
  </si>
  <si>
    <t>Radley Power Recliner 2-Piece Sectional - Sonoma Coco</t>
  </si>
  <si>
    <t>https://dd3ka9h4chfr8.cloudfront.net/image/725136000567/image_ohofjdobht06l1rjod39s3e13p/-S150x150-FJPG/235916-005_PRM_1.jpg</t>
  </si>
  <si>
    <t>https://dd3ka9h4chfr8.cloudfront.net/image/725136000567/image_ohofjdobht06l1rjod39s3e13p/-FJPG/235916-005_PRM_1.jpg</t>
  </si>
  <si>
    <t>https://dd3ka9h4chfr8.cloudfront.net/image/725136000567/image_aman3le26l7s9ajci76plv0v4u/-FJPG/235916-005_SID_1.jpg</t>
  </si>
  <si>
    <t>https://dd3ka9h4chfr8.cloudfront.net/image/725136000567/image_qsgb06d3813uj1b8lsidnf5t08/-FJPG/235916-005_ESS.tif</t>
  </si>
  <si>
    <t>https://dd3ka9h4chfr8.cloudfront.net/image/725136000567/image_v6kmnmhkqp10lab39jmbtkb01i/-FJPG/235916-005_DET_2.jpg</t>
  </si>
  <si>
    <t>https://dd3ka9h4chfr8.cloudfront.net/image/725136000567/image_tlfdffp15d4e9ed58b9q964941/-FJPG/235916-005_BCK_1.jpg</t>
  </si>
  <si>
    <t>https://dd3ka9h4chfr8.cloudfront.net/image/725136000567/image_h16evfqg7p5of2v7dna30nrj69/-FJPG/235916-005_DET_1.jpg</t>
  </si>
  <si>
    <t>https://dd3ka9h4chfr8.cloudfront.net/image/725136000567/image_mn76dg05np1uteo82nnaam473l/-FJPG/235916-005_DET_3.jpg</t>
  </si>
  <si>
    <t>https://dd3ka9h4chfr8.cloudfront.net/image/725136000567/image_epu5p3sl7p15n5ppdjnbg0ar7n/-FJPG/235916-005_DET_9.tif</t>
  </si>
  <si>
    <t>https://dd3ka9h4chfr8.cloudfront.net/image/725136000567/image_2julqchj4p3q90ep62h4jobl5p/-FJPG/235916-005_PRM_2.jpg</t>
  </si>
  <si>
    <t>https://dd3ka9h4chfr8.cloudfront.net/image/725136000567/image_kthe5uu78h7vfdd6md53pomh7j/-FJPG/235916-005_BCK_2.jpg</t>
  </si>
  <si>
    <t>https://dd3ka9h4chfr8.cloudfront.net/image/725136000567/image_41aq6vqgih2bt5elord1ou0c7n/-FJPG/235916-005_FRT_2.jpg</t>
  </si>
  <si>
    <t>https://dd3ka9h4chfr8.cloudfront.net/image/725136000567/image_3jbusvqc1p7uh26htusqm4f552/-FJPG/235916-005_ESS_2.tif</t>
  </si>
  <si>
    <t>Radley Power Recliner 3-Piece Sectional - Sonoma Coco</t>
  </si>
  <si>
    <t>https://dd3ka9h4chfr8.cloudfront.net/image/725136000567/image_aiu416f3o92k11s01a8se9c05l/-S150x150-FJPG/238970-005_PRM_1.jpg</t>
  </si>
  <si>
    <t>https://dd3ka9h4chfr8.cloudfront.net/image/725136000567/image_aiu416f3o92k11s01a8se9c05l/-FJPG/238970-005_PRM_1.jpg</t>
  </si>
  <si>
    <t>https://dd3ka9h4chfr8.cloudfront.net/image/725136000567/image_eh0cqcl0al71jdl83b7ml8rp70/-FJPG/238970-005_SID_1.jpg</t>
  </si>
  <si>
    <t>https://dd3ka9h4chfr8.cloudfront.net/image/725136000567/image_1q7bg6n1sp3jtatmj1mddghf4h/-FJPG/238970-005_ESS.tif</t>
  </si>
  <si>
    <t>https://dd3ka9h4chfr8.cloudfront.net/image/725136000567/image_2fbld9qrid2tpb7p3nnf4kpi3s/-FJPG/238970-005_DET_2.jpg</t>
  </si>
  <si>
    <t>https://dd3ka9h4chfr8.cloudfront.net/image/725136000567/image_othmavd4st6fj84n5iv7hbmi26/-FJPG/238970-005_BCK_1.jpg</t>
  </si>
  <si>
    <t>https://dd3ka9h4chfr8.cloudfront.net/image/725136000567/image_mjuh8i2fht1br0p4ao1remqa6h/-FJPG/238970-005_DET_1.jpg</t>
  </si>
  <si>
    <t>https://dd3ka9h4chfr8.cloudfront.net/image/725136000567/image_adofrlkbi55k12o7dtlt075s2f/-FJPG/238970-005_DET_9.tif</t>
  </si>
  <si>
    <t>https://dd3ka9h4chfr8.cloudfront.net/image/725136000567/image_mn9qnbbdhl4opat7kqd3m1i47n/-FJPG/238970-005_PRM_2.jpg</t>
  </si>
  <si>
    <t>https://dd3ka9h4chfr8.cloudfront.net/image/725136000567/image_sj8b03ktld1154372k0ksgpq4r/-FJPG/238970-005_FRT_2.jpg</t>
  </si>
  <si>
    <t>https://dd3ka9h4chfr8.cloudfront.net/image/725136000567/image_6cjbj1hfo940d7fk28eq5p963k/-FJPG/238970-005_ESS_2.tif</t>
  </si>
  <si>
    <t>https://dd3ka9h4chfr8.cloudfront.net/image/725136000567/image_l0qi0e7p152u90g3fertvktj73/-FJPG/238970-005_BCK_2.jpg</t>
  </si>
  <si>
    <t>Raffael Bar Cabinet - Carved Stonewash Grey Mango</t>
  </si>
  <si>
    <t>https://dd3ka9h4chfr8.cloudfront.net/image/725136000567/image_hnt1s591v97sh6g1luaiq1na42/-S150x150-FJPG/106414-006_PRM_1.jpg</t>
  </si>
  <si>
    <t>https://dd3ka9h4chfr8.cloudfront.net/image/725136000567/image_hnt1s591v97sh6g1luaiq1na42/-FJPG/106414-006_PRM_1.jpg</t>
  </si>
  <si>
    <t>https://dd3ka9h4chfr8.cloudfront.net/image/725136000567/image_6n7umbavah6832l96b61paev4d/-FJPG/106414-006_SID_1.jpg</t>
  </si>
  <si>
    <t>https://dd3ka9h4chfr8.cloudfront.net/image/725136000567/image_3q23s9sk3l0h721vuoj8v6fs23/-FJPG/106414-006_ESS_1.jpg</t>
  </si>
  <si>
    <t>https://dd3ka9h4chfr8.cloudfront.net/image/725136000567/image_r9crkuf3u17018ap9ro26hqv6u/-FJPG/106414-006_DET_2.jpg</t>
  </si>
  <si>
    <t>https://dd3ka9h4chfr8.cloudfront.net/image/725136000567/image_2u9p68r90p7ahci8o06ms53b1v/-FJPG/106414-006_BCK_1.jpg</t>
  </si>
  <si>
    <t>https://dd3ka9h4chfr8.cloudfront.net/image/725136000567/image_7hgj4367d51r30kvnfeuh71265/-FJPG/106414-006_DET_1.jpg</t>
  </si>
  <si>
    <t>https://dd3ka9h4chfr8.cloudfront.net/image/725136000567/image_u2lbl4a9b16sp9l23lbj5ahr0m/-FJPG/106414-006_DET_3.jpg</t>
  </si>
  <si>
    <t>https://dd3ka9h4chfr8.cloudfront.net/image/725136000567/image_a4r6llilo52sld16a5kfdkt07e/-FJPG/106414-006_OPN_1.jpg</t>
  </si>
  <si>
    <t>https://dd3ka9h4chfr8.cloudfront.net/image/725136000567/image_9asvgubql137l2chdv1l79cu5j/-FJPG/106414-006_DET_4.jpg</t>
  </si>
  <si>
    <t>https://dd3ka9h4chfr8.cloudfront.net/image/725136000567/image_5mrs6iepet7m9f02e9h0abnq65/-FJPG/106414-006_ESS_2.jpg</t>
  </si>
  <si>
    <t>Raffael Desk - Gunmetal</t>
  </si>
  <si>
    <t>https://dd3ka9h4chfr8.cloudfront.net/image/725136000567/image_241h7au64d1qn7tek2gce6js0f/-S150x150-FJPG/IFAL-040_PRM_1.jpg</t>
  </si>
  <si>
    <t>https://dd3ka9h4chfr8.cloudfront.net/image/725136000567/image_241h7au64d1qn7tek2gce6js0f/-FJPG/IFAL-040_PRM_1.jpg</t>
  </si>
  <si>
    <t>https://dd3ka9h4chfr8.cloudfront.net/image/725136000567/image_9167fgc96t0v73octsr5tmb927/-FJPG/IFAL-040_SID_1.jpg</t>
  </si>
  <si>
    <t>https://dd3ka9h4chfr8.cloudfront.net/image/725136000567/image_a4o9dvbk2d5b157q6f0gokpf3l/-FJPG/IFAL-040_DET_2.jpg</t>
  </si>
  <si>
    <t>https://dd3ka9h4chfr8.cloudfront.net/image/725136000567/image_7fkjgeepqt547cjv5foddda301/-FJPG/IFAL-040_BCK_1.jpg</t>
  </si>
  <si>
    <t>https://dd3ka9h4chfr8.cloudfront.net/image/725136000567/image_fev3q17ae9265ed32a7ufmbb1n/-FJPG/IFAL-040_DET_1.jpg</t>
  </si>
  <si>
    <t>https://dd3ka9h4chfr8.cloudfront.net/image/725136000567/image_4476dbh0jp70n2ab95ne0sun05/-FJPG/IFAL-040_DET_3.jpg</t>
  </si>
  <si>
    <t>https://dd3ka9h4chfr8.cloudfront.net/image/725136000567/image_69v62ccd551kl8e036bttdv87a/-FJPG/IFAL-040_OPN_1.jpg</t>
  </si>
  <si>
    <t>https://dd3ka9h4chfr8.cloudfront.net/image/725136000567/image_1cebpo62pp08hf6q521srjn026/-FJPG/IFAL-040_DET_4.jpg</t>
  </si>
  <si>
    <t>https://dd3ka9h4chfr8.cloudfront.net/image/725136000567/image_h4jkn22aol03h1vd83s1iakq0d/-FJPG/IFAL-040_DET_5.jpg</t>
  </si>
  <si>
    <t>https://dd3ka9h4chfr8.cloudfront.net/image/725136000567/image_dpslojl3gd2ah8jc217bcknb4k/-FJPG/IFAL-040_DET_6.jpg</t>
  </si>
  <si>
    <t>https://dd3ka9h4chfr8.cloudfront.net/image/725136000567/image_35p271dtpd09r7fhl492e3gi4k/-FJPG/IFAL-040_ROM_1.jpg</t>
  </si>
  <si>
    <t>Railay Dining Table - Dusted Oak Veneer</t>
  </si>
  <si>
    <t>https://dd3ka9h4chfr8.cloudfront.net/image/725136000567/image_ic97ulok0p257148p57hc74v0q/-S150x150-FJPG/241163-001_PRM_1.jpg</t>
  </si>
  <si>
    <t>https://dd3ka9h4chfr8.cloudfront.net/image/725136000567/image_ic97ulok0p257148p57hc74v0q/-FJPG/241163-001_PRM_1.jpg</t>
  </si>
  <si>
    <t>https://dd3ka9h4chfr8.cloudfront.net/image/725136000567/image_83k82mdiu51orfajccrjprge4g/-FJPG/241163-001_SID_1.jpg</t>
  </si>
  <si>
    <t>https://dd3ka9h4chfr8.cloudfront.net/image/725136000567/image_95mqnlk4it67hb0fpc3c735c0n/-FJPG/241163-001_ESS.tif</t>
  </si>
  <si>
    <t>https://dd3ka9h4chfr8.cloudfront.net/image/725136000567/image_7e71spnq693uj60dqfv946pv4b/-FJPG/241163-001_DET_2.jpg</t>
  </si>
  <si>
    <t>https://dd3ka9h4chfr8.cloudfront.net/image/725136000567/image_0v3npug3r953771ik50d1e9701/-FJPG/241163-001_DET_1.jpg</t>
  </si>
  <si>
    <t>https://dd3ka9h4chfr8.cloudfront.net/image/725136000567/image_t3f820id3d37ja0o83onc0c92i/-FJPG/241163-001_DET_3.jpg</t>
  </si>
  <si>
    <t>https://dd3ka9h4chfr8.cloudfront.net/image/725136000567/image_98v8qem3l507hc9dvamhfss626/-FJPG/241163-001_DET_4.jpg</t>
  </si>
  <si>
    <t>https://dd3ka9h4chfr8.cloudfront.net/image/725136000567/image_qog14n4h1l7gt3ndfbjm0nv640/-FJPG/241163-001_DET_5.jpg</t>
  </si>
  <si>
    <t>https://dd3ka9h4chfr8.cloudfront.net/image/725136000567/image_27efil6r193k7827tpeak8bi5f/-FJPG/241163-001_DET_6.jpg</t>
  </si>
  <si>
    <t>https://dd3ka9h4chfr8.cloudfront.net/image/725136000567/image_hbv84lh2pt5s91h5e9dt55km4h/-FJPG/241163-001_DET_9.tif</t>
  </si>
  <si>
    <t>Ramos Sideboard - Dark Espresso Reclaimed French Oak</t>
  </si>
  <si>
    <t>https://dd3ka9h4chfr8.cloudfront.net/image/725136000567/image_9hdnq986i906r9l63fc4uuk73d/-S150x150-FJPG/242203-001_PRM_1.jpg</t>
  </si>
  <si>
    <t>https://dd3ka9h4chfr8.cloudfront.net/image/725136000567/image_9hdnq986i906r9l63fc4uuk73d/-FJPG/242203-001_PRM_1.jpg</t>
  </si>
  <si>
    <t>https://dd3ka9h4chfr8.cloudfront.net/image/725136000567/image_7kl14ildad3jrbclgggmr2su6q/-FJPG/242203-001_SID_1.jpg</t>
  </si>
  <si>
    <t>https://dd3ka9h4chfr8.cloudfront.net/image/725136000567/image_odk04l655p34t46fn35jkgri4u/-FJPG/242203-001_ESS_1.tif</t>
  </si>
  <si>
    <t>https://dd3ka9h4chfr8.cloudfront.net/image/725136000567/image_mtme5v7dcp7pf94tg0cif0ff3n/-FJPG/242203-001_DET_2.jpg</t>
  </si>
  <si>
    <t>https://dd3ka9h4chfr8.cloudfront.net/image/725136000567/image_vp3lcf222l4lj0acncqbq6ak22/-FJPG/242203-001_BCK_1.jpg</t>
  </si>
  <si>
    <t>https://dd3ka9h4chfr8.cloudfront.net/image/725136000567/image_dukmf9o1s91r5b30cl2kg85l35/-FJPG/242203-001_DET_1.jpg</t>
  </si>
  <si>
    <t>https://dd3ka9h4chfr8.cloudfront.net/image/725136000567/image_2koctm5poh2777j5r35fsor133/-FJPG/242203-001_DET_3.jpg</t>
  </si>
  <si>
    <t>https://dd3ka9h4chfr8.cloudfront.net/image/725136000567/image_qsdl4vdvq915bd6k14dgnq4j1f/-FJPG/242203-001_OPN_1.jpg</t>
  </si>
  <si>
    <t>https://dd3ka9h4chfr8.cloudfront.net/image/725136000567/image_oec1mqidsh28damstihkepjn6g/-FJPG/242203-001_DET_4.jpg</t>
  </si>
  <si>
    <t>https://dd3ka9h4chfr8.cloudfront.net/image/725136000567/image_21gkd95p4p0ctclj72ao55rs29/-FJPG/242203-001_DET_5.jpg</t>
  </si>
  <si>
    <t>https://dd3ka9h4chfr8.cloudfront.net/image/725136000567/image_mu84fbsubt7gf7hvdr7l8ied23/-FJPG/242203-001_DET_6.jpg</t>
  </si>
  <si>
    <t>https://dd3ka9h4chfr8.cloudfront.net/image/725136000567/image_a6ovp625cd03n6hj5d1ud99055/-FJPG/242203-001_DET_7.jpg</t>
  </si>
  <si>
    <t>https://dd3ka9h4chfr8.cloudfront.net/image/725136000567/image_h0lhdjnh4l46b5s07rufdrt84i/-FJPG/242203-001_DET_9.tif</t>
  </si>
  <si>
    <t>Rashi Swivel Chair - Surrey Olive</t>
  </si>
  <si>
    <t>https://dd3ka9h4chfr8.cloudfront.net/image/725136000567/image_m9pjtei6nh1r3dbspgi0p5d148/-S150x150-FJPG/226428-004_PRM_1.jpg</t>
  </si>
  <si>
    <t>https://dd3ka9h4chfr8.cloudfront.net/image/725136000567/image_m9pjtei6nh1r3dbspgi0p5d148/-FJPG/226428-004_PRM_1.jpg</t>
  </si>
  <si>
    <t>https://dd3ka9h4chfr8.cloudfront.net/image/725136000567/image_fkro01i2bh7vn79ud6r8023r61/-FJPG/226428-004_SID_1.jpg</t>
  </si>
  <si>
    <t>https://dd3ka9h4chfr8.cloudfront.net/image/725136000567/image_un27lvsrg91bj2fascou82tv08/-FJPG/226428-004_ESS_1.jpg</t>
  </si>
  <si>
    <t>https://dd3ka9h4chfr8.cloudfront.net/image/725136000567/image_jcuk598c2l603f7f2ioj7giq5m/-FJPG/226428-004_DET_2.jpg</t>
  </si>
  <si>
    <t>https://dd3ka9h4chfr8.cloudfront.net/image/725136000567/image_vao4boqijh3tl5m8i87nnh663t/-FJPG/226428-004_BCK_1.jpg</t>
  </si>
  <si>
    <t>https://dd3ka9h4chfr8.cloudfront.net/image/725136000567/image_llmob7ti3p44h1nc6r9ca66u56/-FJPG/226428-004_DET_1.jpg</t>
  </si>
  <si>
    <t>https://dd3ka9h4chfr8.cloudfront.net/image/725136000567/image_vpp6pv6tod6rj0l7udg3q0rc62/-FJPG/226428-004_DET_3.jpg</t>
  </si>
  <si>
    <t>https://dd3ka9h4chfr8.cloudfront.net/image/725136000567/image_o7va0qqj0h0a99efrc8uvisj0r/-FJPG/226428-004_DET_4.jpg</t>
  </si>
  <si>
    <t>Redondo Media Console - Bleached Alder</t>
  </si>
  <si>
    <t>https://dd3ka9h4chfr8.cloudfront.net/image/725136000567/image_a8875et7s509rdmpgpqtroi13d/-S150x150-FJPG/239752-001_PRM_1.jpg</t>
  </si>
  <si>
    <t>https://dd3ka9h4chfr8.cloudfront.net/image/725136000567/image_a8875et7s509rdmpgpqtroi13d/-FJPG/239752-001_PRM_1.jpg</t>
  </si>
  <si>
    <t>https://dd3ka9h4chfr8.cloudfront.net/image/725136000567/image_v7s8849ui50599i867qti2fq3c/-FJPG/239752-001_SID_1.jpg</t>
  </si>
  <si>
    <t>https://dd3ka9h4chfr8.cloudfront.net/image/725136000567/image_5gq72f0fq96rn5uqnvnsmire7u/-FJPG/239752-001_ESS_1.tif</t>
  </si>
  <si>
    <t>https://dd3ka9h4chfr8.cloudfront.net/image/725136000567/image_bl7rke0n8t4u5ats9sf7d0dn74/-FJPG/239752-001_DET_2.jpg</t>
  </si>
  <si>
    <t>https://dd3ka9h4chfr8.cloudfront.net/image/725136000567/image_lloav7680977r5qb73938qbd4e/-FJPG/239752-001_BCK_1.jpg</t>
  </si>
  <si>
    <t>https://dd3ka9h4chfr8.cloudfront.net/image/725136000567/image_oogh39473t3t9c7hsgd6nems7f/-FJPG/239752-001_DET_1.jpg</t>
  </si>
  <si>
    <t>https://dd3ka9h4chfr8.cloudfront.net/image/725136000567/image_v1f8041bbl36r7l4t5tgetp93a/-FJPG/239752-001_DET_3.jpg</t>
  </si>
  <si>
    <t>https://dd3ka9h4chfr8.cloudfront.net/image/725136000567/image_ju95i5n9q56pv75p6o7b3fou2p/-FJPG/239752-001_OPN_1.jpg</t>
  </si>
  <si>
    <t>https://dd3ka9h4chfr8.cloudfront.net/image/725136000567/image_im5ghg5du13kbbhihtmo3oth3j/-FJPG/239752-001_TOP_1.jpg</t>
  </si>
  <si>
    <t>https://dd3ka9h4chfr8.cloudfront.net/image/725136000567/image_512t84mcil6u5e2dk729422n3n/-FJPG/239752-001_DET_4.jpg</t>
  </si>
  <si>
    <t>https://dd3ka9h4chfr8.cloudfront.net/image/725136000567/image_kbt3sthuod2t5de9b4ufs5q207/-FJPG/239752-001_DET_5.jpg</t>
  </si>
  <si>
    <t>https://dd3ka9h4chfr8.cloudfront.net/image/725136000567/image_d617v6p83l2db8lpabcvo4s27a/-FJPG/239752-001_DET_6.jpg</t>
  </si>
  <si>
    <t>https://dd3ka9h4chfr8.cloudfront.net/image/725136000567/image_4sp4cf4thd6vdduo546nanek37/-FJPG/239752-001_DET_7.jpg</t>
  </si>
  <si>
    <t>https://dd3ka9h4chfr8.cloudfront.net/image/725136000567/image_9dgtbiu6ht7474kk0fgt8o1q28/-FJPG/239752-001_DET_8.jpg</t>
  </si>
  <si>
    <t>https://dd3ka9h4chfr8.cloudfront.net/image/725136000567/image_sb83pqlsil0d72q1uh2k0hb468/-FJPG/239752-001_DET_9.tif</t>
  </si>
  <si>
    <t>https://dd3ka9h4chfr8.cloudfront.net/image/725136000567/image_fdmrkj1pg53g98b3dmdnc4qt28/-FJPG/239752-001_DET_10.tif</t>
  </si>
  <si>
    <t>https://dd3ka9h4chfr8.cloudfront.net/image/725136000567/image_lui0frjivl3m14qnnk7ibgfl4u/-FJPG/FHMPRJ-008_SCENE_7D.tif</t>
  </si>
  <si>
    <t>Reese Sofa - Eden Sage</t>
  </si>
  <si>
    <t>https://dd3ka9h4chfr8.cloudfront.net/image/725136000567/image_qoi08r3ll15ol1uas0c6pcfn78/-S150x150-FJPG/CASH-19955-889_PRM_1.jpg</t>
  </si>
  <si>
    <t>https://dd3ka9h4chfr8.cloudfront.net/image/725136000567/image_qoi08r3ll15ol1uas0c6pcfn78/-FJPG/CASH-19955-889_PRM_1.jpg</t>
  </si>
  <si>
    <t>https://dd3ka9h4chfr8.cloudfront.net/image/725136000567/image_mm2tuijvud0r9cb6rq8piseo0k/-FJPG/CASH-19955-889_SID_1.jpg</t>
  </si>
  <si>
    <t>https://dd3ka9h4chfr8.cloudfront.net/image/725136000567/image_7lnknia7ot7993rceli63b3g56/-FJPG/CASH-19955-889_DET_2.jpg</t>
  </si>
  <si>
    <t>https://dd3ka9h4chfr8.cloudfront.net/image/725136000567/image_a4ptj8aaf90136ahr5k481df0t/-FJPG/CASH-19955-889_BCK_1.jpg</t>
  </si>
  <si>
    <t>https://dd3ka9h4chfr8.cloudfront.net/image/725136000567/image_g1ckhiqp5h22tahtshvjk7ao4s/-FJPG/CASH-19955-889_DET_1.jpg</t>
  </si>
  <si>
    <t>https://dd3ka9h4chfr8.cloudfront.net/image/725136000567/image_mgmp47hq2p7lj9ueamdmicjd36/-FJPG/CASH-19955-889_DET_3.jpg</t>
  </si>
  <si>
    <t>https://dd3ka9h4chfr8.cloudfront.net/image/725136000567/image_e8k7o0u4kh137b4c8g6h3bv937/-FJPG/CASH-19955-889_DET_4.jpg</t>
  </si>
  <si>
    <t>https://dd3ka9h4chfr8.cloudfront.net/image/725136000567/image_0vnmkmg6dd0pj3m5fag2md4j4u/-FJPG/CASH-19955-889_DET_5.jpg</t>
  </si>
  <si>
    <t>https://dd3ka9h4chfr8.cloudfront.net/image/725136000567/image_vmfvaua9td0a9ecr0fba6q0d7u/-FJPG/CASH-19955-889_DET_6.jpg</t>
  </si>
  <si>
    <t>https://dd3ka9h4chfr8.cloudfront.net/image/725136000567/image_8hfp2rfeb96sr0h9md2hj34l21/-FJPG/CASH-19955-889_DET_7.jpg</t>
  </si>
  <si>
    <t>https://dd3ka9h4chfr8.cloudfront.net/image/725136000567/image_jsnnam2q555q71s4t9nn79637g/-FJPG/CASH-19955-889_DET_8.jpg</t>
  </si>
  <si>
    <t>https://dd3ka9h4chfr8.cloudfront.net/image/725136000567/image_1vdpbr6m3d57hf9qsi9aukcg0h/-FJPG/CASH-19955-889_ROM_1.jpg</t>
  </si>
  <si>
    <t>https://dd3ka9h4chfr8.cloudfront.net/image/725136000567/image_oah7v6kkql5vd8ae0q85utgh46/-FJPG/CASH-19955-889_VIG_1.jpg</t>
  </si>
  <si>
    <t>Reese Sofa - Palermo Cognac</t>
  </si>
  <si>
    <t>https://dd3ka9h4chfr8.cloudfront.net/image/725136000567/image_tphfgd3acd2a7foqknlmab2b6g/-S150x150-FJPG/100061-007_PRM_1.jpg</t>
  </si>
  <si>
    <t>https://dd3ka9h4chfr8.cloudfront.net/image/725136000567/image_tphfgd3acd2a7foqknlmab2b6g/-FJPG/100061-007_PRM_1.jpg</t>
  </si>
  <si>
    <t>https://dd3ka9h4chfr8.cloudfront.net/image/725136000567/image_tacimlvpqd6v76sutdkt3mkv77/-FJPG/100061-007_SID_1.jpg</t>
  </si>
  <si>
    <t>https://dd3ka9h4chfr8.cloudfront.net/image/725136000567/image_7rgmharnk13n31mhjohs8bpm7o/-FJPG/100061-007_ESS_1.jpg</t>
  </si>
  <si>
    <t>https://dd3ka9h4chfr8.cloudfront.net/image/725136000567/image_eosu4r4gs5317725hg7qaksq14/-FJPG/100061-007_DET_2.jpg</t>
  </si>
  <si>
    <t>https://dd3ka9h4chfr8.cloudfront.net/image/725136000567/image_8anm5h4m095h1258ci5rn3oc57/-FJPG/100061-007_BCK_1.jpg</t>
  </si>
  <si>
    <t>https://dd3ka9h4chfr8.cloudfront.net/image/725136000567/image_ls1ovundit5jd5h796rv1epe2r/-FJPG/100061-007_DET_1.jpg</t>
  </si>
  <si>
    <t>https://dd3ka9h4chfr8.cloudfront.net/image/725136000567/image_749mcj59op4a97660joco2bk08/-FJPG/100061-007_DET_3.jpg</t>
  </si>
  <si>
    <t>https://dd3ka9h4chfr8.cloudfront.net/image/725136000567/image_aeakh293q16bh98bgqq05urb7c/-FJPG/100061-007_DET_4.jpg</t>
  </si>
  <si>
    <t>https://dd3ka9h4chfr8.cloudfront.net/image/725136000567/image_kgecjua4rd02138sjl3eqp5k0m/-FJPG/100061-007_PRM_2.jpg</t>
  </si>
  <si>
    <t>Reggie Chair - Heirloom Black</t>
  </si>
  <si>
    <t>https://dd3ka9h4chfr8.cloudfront.net/image/725136000567/image_ig8jl34ev14hp5l1lq6imhna5v/-S150x150-FJPG/230798-004_PRM_1.jpg</t>
  </si>
  <si>
    <t>https://dd3ka9h4chfr8.cloudfront.net/image/725136000567/image_ig8jl34ev14hp5l1lq6imhna5v/-FJPG/230798-004_PRM_1.jpg</t>
  </si>
  <si>
    <t>https://dd3ka9h4chfr8.cloudfront.net/image/725136000567/image_pg35vpn4bt5b3d11s8usflp37s/-FJPG/230798-004_SID_1.jpg</t>
  </si>
  <si>
    <t>https://dd3ka9h4chfr8.cloudfront.net/image/725136000567/image_om1rn7g9ql5bl6mkudormfv344/-FJPG/230798-004_ESS_1.jpg</t>
  </si>
  <si>
    <t>https://dd3ka9h4chfr8.cloudfront.net/image/725136000567/image_d5f56l56dp6cr1mrg98d8o7u65/-FJPG/230798-004_DET_2.jpg</t>
  </si>
  <si>
    <t>https://dd3ka9h4chfr8.cloudfront.net/image/725136000567/image_p6g4i6g9sp05342gn7iaq3mm70/-FJPG/230798-004_BCK_1.jpg</t>
  </si>
  <si>
    <t>https://dd3ka9h4chfr8.cloudfront.net/image/725136000567/image_0p7g3fbssl04fan2rji2elcn31/-FJPG/230798-004_DET_1.jpg</t>
  </si>
  <si>
    <t>https://dd3ka9h4chfr8.cloudfront.net/image/725136000567/image_uh1fdgfhpp64j3g4nm0u4agg6r/-FJPG/230798-004_DET_3.jpg</t>
  </si>
  <si>
    <t>https://dd3ka9h4chfr8.cloudfront.net/image/725136000567/image_4nqq9bqa0l7h551ov1rs68j01e/-FJPG/230798-004_DET_4.jpg</t>
  </si>
  <si>
    <t>https://dd3ka9h4chfr8.cloudfront.net/image/725136000567/image_fc3sepdekh34599fh8rda5iv2i/-FJPG/230798-004_DET_5.jpg</t>
  </si>
  <si>
    <t>https://dd3ka9h4chfr8.cloudfront.net/image/725136000567/image_shkjlefapt1praq1u83ici795n/-FJPG/230798-004_PRM_2.jpg</t>
  </si>
  <si>
    <t>Reggie Chair - Heirloom Sienna</t>
  </si>
  <si>
    <t>https://dd3ka9h4chfr8.cloudfront.net/image/725136000567/image_jj6gna50453mf2m505q3vk3o1k/-S150x150-FJPG/230798-005_PRM_1.jpg</t>
  </si>
  <si>
    <t>https://dd3ka9h4chfr8.cloudfront.net/image/725136000567/image_jj6gna50453mf2m505q3vk3o1k/-FJPG/230798-005_PRM_1.jpg</t>
  </si>
  <si>
    <t>https://dd3ka9h4chfr8.cloudfront.net/image/725136000567/image_ujpaiuciol2hleto5cj1tn210u/-FJPG/230798-005_SID_1.jpg</t>
  </si>
  <si>
    <t>https://dd3ka9h4chfr8.cloudfront.net/image/725136000567/image_qrik2pom9d52tbhpi0j9bs384q/-FJPG/230798-005_ESS_1.tif</t>
  </si>
  <si>
    <t>https://dd3ka9h4chfr8.cloudfront.net/image/725136000567/image_vqpjq3i5r91id9tocieh7rc456/-FJPG/230798-005_DET_2.jpg</t>
  </si>
  <si>
    <t>https://dd3ka9h4chfr8.cloudfront.net/image/725136000567/image_gs166jnld52vn76o7ojcjf6214/-FJPG/230798-005_BCK_1.jpg</t>
  </si>
  <si>
    <t>https://dd3ka9h4chfr8.cloudfront.net/image/725136000567/image_i7l0fn0hqd56t7je4ouhgerh4l/-FJPG/230798-005_DET_1.jpg</t>
  </si>
  <si>
    <t>https://dd3ka9h4chfr8.cloudfront.net/image/725136000567/image_qu9ag4cdbl79jbcluomfjqmc6c/-FJPG/230798-005_DET_3.jpg</t>
  </si>
  <si>
    <t>https://dd3ka9h4chfr8.cloudfront.net/image/725136000567/image_ljh49jv4md17rfrvvmvipdb43g/-FJPG/230798-005_DET_4.jpg</t>
  </si>
  <si>
    <t>https://dd3ka9h4chfr8.cloudfront.net/image/725136000567/image_8riqga7t3d1gh952qk3v8npo2n/-FJPG/230798-005_DET_5.jpg</t>
  </si>
  <si>
    <t>https://dd3ka9h4chfr8.cloudfront.net/image/725136000567/image_25oa9m4ebp5aj40ti6ts48ut29/-FJPG/230798-005_DET_6.jpg</t>
  </si>
  <si>
    <t>Reign Desk - Distressed Walnut</t>
  </si>
  <si>
    <t>https://dd3ka9h4chfr8.cloudfront.net/image/725136000567/image_eh6a0e38353e34sqe1f1ttqb0u/-S150x150-FJPG/232718-003_PRM_1.jpg</t>
  </si>
  <si>
    <t>https://dd3ka9h4chfr8.cloudfront.net/image/725136000567/image_eh6a0e38353e34sqe1f1ttqb0u/-FJPG/232718-003_PRM_1.jpg</t>
  </si>
  <si>
    <t>https://dd3ka9h4chfr8.cloudfront.net/image/725136000567/image_rmcv7qnaa5119f7pu2cui9db4n/-FJPG/232718-003_SID_1.jpg</t>
  </si>
  <si>
    <t>https://dd3ka9h4chfr8.cloudfront.net/image/725136000567/image_tsiq3moqop50nb3m3mu05mcn0p/-FJPG/232718-003_ESS.tif</t>
  </si>
  <si>
    <t>https://dd3ka9h4chfr8.cloudfront.net/image/725136000567/image_grseohmcqt0if2rc4nesbrvc2u/-FJPG/232718-003_DET_2.jpg</t>
  </si>
  <si>
    <t>https://dd3ka9h4chfr8.cloudfront.net/image/725136000567/image_t33qgrvi495371skvgov1f0v7l/-FJPG/232718-003_BCK_1.jpg</t>
  </si>
  <si>
    <t>https://dd3ka9h4chfr8.cloudfront.net/image/725136000567/image_luejn0e11p2vj2lc8avuqol639/-FJPG/232718-003_DET_1.jpg</t>
  </si>
  <si>
    <t>https://dd3ka9h4chfr8.cloudfront.net/image/725136000567/image_r3dm00b2j576d0p3q961pdnu31/-FJPG/232718-003_DET_3.jpg</t>
  </si>
  <si>
    <t>https://dd3ka9h4chfr8.cloudfront.net/image/725136000567/image_e3q3dhfujp1sp7kavon22lsk0i/-FJPG/232718-003_OPN_1.jpg</t>
  </si>
  <si>
    <t>https://dd3ka9h4chfr8.cloudfront.net/image/725136000567/image_gikosa7hk57vl5kgrv6pmgue1d/-FJPG/232718-003_DET_4.jpg</t>
  </si>
  <si>
    <t>https://dd3ka9h4chfr8.cloudfront.net/image/725136000567/image_khjfk6ek893mhfme3bvvamg95c/-FJPG/232718-003_DET_5.jpg</t>
  </si>
  <si>
    <t>https://dd3ka9h4chfr8.cloudfront.net/image/725136000567/image_93ukmvikbh1hbdtvesp5405j1k/-FJPG/232718-003_DET_6.jpg</t>
  </si>
  <si>
    <t>https://dd3ka9h4chfr8.cloudfront.net/image/725136000567/image_iuf7mjhmet5gjej3qi2n50qe3h/-FJPG/232718-003_DET_7.jpg</t>
  </si>
  <si>
    <t>https://dd3ka9h4chfr8.cloudfront.net/image/725136000567/image_6lqlgb7c1l39n76l09oi83jt7a/-FJPG/232718-003_DET_8.jpg</t>
  </si>
  <si>
    <t>https://dd3ka9h4chfr8.cloudfront.net/image/725136000567/image_vrbpntk8kl3pd03mdsvbs3t63n/-FJPG/232718-003_DET_9.jpg</t>
  </si>
  <si>
    <t>Reign Desk - Waxed Pine</t>
  </si>
  <si>
    <t>https://dd3ka9h4chfr8.cloudfront.net/image/725136000567/image_itrvn2cev17uv0ujoq8a4v6f4s/-S150x150-FJPG/232718-001_PRM_1.jpg</t>
  </si>
  <si>
    <t>https://dd3ka9h4chfr8.cloudfront.net/image/725136000567/image_itrvn2cev17uv0ujoq8a4v6f4s/-FJPG/232718-001_PRM_1.jpg</t>
  </si>
  <si>
    <t>https://dd3ka9h4chfr8.cloudfront.net/image/725136000567/image_qfgc0dgbth6qb37epab74ipu61/-FJPG/232718-001_SID_1.jpg</t>
  </si>
  <si>
    <t>https://dd3ka9h4chfr8.cloudfront.net/image/725136000567/image_o7nq6rcq2h4of68uhh2h8clp47/-FJPG/232718-001_ESS_1.jpg</t>
  </si>
  <si>
    <t>https://dd3ka9h4chfr8.cloudfront.net/image/725136000567/image_mj9e1anegh4kbbu43g6uaqqf4b/-FJPG/232718-001_DET_2.jpg</t>
  </si>
  <si>
    <t>https://dd3ka9h4chfr8.cloudfront.net/image/725136000567/image_b5j5cd06dp7h14809sbvo6926k/-FJPG/232718-001_BCK_1.jpg</t>
  </si>
  <si>
    <t>https://dd3ka9h4chfr8.cloudfront.net/image/725136000567/image_bvvnh8vel949t7efjtuvgr6q4f/-FJPG/232718-001_DET_1.jpg</t>
  </si>
  <si>
    <t>https://dd3ka9h4chfr8.cloudfront.net/image/725136000567/image_jrphpmh1015431gu23p7brru5g/-FJPG/232718-001_DET_3.jpg</t>
  </si>
  <si>
    <t>https://dd3ka9h4chfr8.cloudfront.net/image/725136000567/image_f7b5tbtv5d1u998dkhc85eed7o/-FJPG/232718-001_OPN_1.jpg</t>
  </si>
  <si>
    <t>https://dd3ka9h4chfr8.cloudfront.net/image/725136000567/image_ah8m1hhvq17015c0ctv4l7ts6s/-FJPG/232718-001_DET_4.jpg</t>
  </si>
  <si>
    <t>https://dd3ka9h4chfr8.cloudfront.net/image/725136000567/image_3427460crh61j1lrf8trid8b2q/-FJPG/232718-001_DET_5.jpg</t>
  </si>
  <si>
    <t>https://dd3ka9h4chfr8.cloudfront.net/image/725136000567/image_pitallpuut3hbaksr5flv26i0i/-FJPG/232718-001_DET_6.jpg</t>
  </si>
  <si>
    <t>https://dd3ka9h4chfr8.cloudfront.net/image/725136000567/image_4kgaqfr0vl6hb9kavh5mt3hr6n/-FJPG/232718-001_DET_7.jpg</t>
  </si>
  <si>
    <t>https://dd3ka9h4chfr8.cloudfront.net/image/725136000567/image_hpfhib4kjl03rav0f8qccnmi0q/-FJPG/232718-001_DET_8.jpg</t>
  </si>
  <si>
    <t>https://dd3ka9h4chfr8.cloudfront.net/image/725136000567/image_f7rdogvmuh2rnernc7p7u6lo0k/-FJPG/232718-001_PRM_2.jpg</t>
  </si>
  <si>
    <t>Renan Coffee Table - Dark Espresso Reclaimed French Oak</t>
  </si>
  <si>
    <t>https://dd3ka9h4chfr8.cloudfront.net/image/725136000567/image_ko6jo4uor133tfnsfb5cvags36/-S150x150-FJPG/242139-001_PRM_1.jpg</t>
  </si>
  <si>
    <t>https://dd3ka9h4chfr8.cloudfront.net/image/725136000567/image_ko6jo4uor133tfnsfb5cvags36/-FJPG/242139-001_PRM_1.jpg</t>
  </si>
  <si>
    <t>https://dd3ka9h4chfr8.cloudfront.net/image/725136000567/image_oq31mt07cd0upb1jjpgbr5ra2p/-FJPG/242139-001_SID_1.jpg</t>
  </si>
  <si>
    <t>https://dd3ka9h4chfr8.cloudfront.net/image/725136000567/image_rtri18jloh2kb49tajfrhfo40s/-FJPG/242139-001_ESS_1.tif</t>
  </si>
  <si>
    <t>https://dd3ka9h4chfr8.cloudfront.net/image/725136000567/image_03femq4olp0al50oqj88sq501j/-FJPG/242139-001_DET_2.jpg</t>
  </si>
  <si>
    <t>https://dd3ka9h4chfr8.cloudfront.net/image/725136000567/image_3mvpvg67mh1k32di9ajb6cdb7i/-FJPG/242139-001_DET_1.jpg</t>
  </si>
  <si>
    <t>https://dd3ka9h4chfr8.cloudfront.net/image/725136000567/image_jum1ko1s055sj0b47cg5ron42h/-FJPG/242139-001_DET_3.jpg</t>
  </si>
  <si>
    <t>https://dd3ka9h4chfr8.cloudfront.net/image/725136000567/image_q2jc9us5k97fddhs99das6ah0j/-FJPG/242139-001_DET_4.jpg</t>
  </si>
  <si>
    <t>https://dd3ka9h4chfr8.cloudfront.net/image/725136000567/image_dt50704bq124hc19cqgivsrf5k/-FJPG/242139-001_DET_9.tif</t>
  </si>
  <si>
    <t>https://dd3ka9h4chfr8.cloudfront.net/image/725136000567/image_bvav7hmq4l6ad9hplumi1q1854/-FJPG/242139-001_DET_10.tif</t>
  </si>
  <si>
    <t>https://dd3ka9h4chfr8.cloudfront.net/image/725136000567/image_edrs312dut51pa3a89sk6dra16/-FJPG/242139-001_DET_11.tif</t>
  </si>
  <si>
    <t>Renan End Table - Natural Morado Veneer</t>
  </si>
  <si>
    <t>https://dd3ka9h4chfr8.cloudfront.net/image/725136000567/image_gnuelo799d52b96mh7d7mgtf6g/-S150x150-FJPG/242141-002_PRM_1.jpg</t>
  </si>
  <si>
    <t>https://dd3ka9h4chfr8.cloudfront.net/image/725136000567/image_gnuelo799d52b96mh7d7mgtf6g/-FJPG/242141-002_PRM_1.jpg</t>
  </si>
  <si>
    <t>https://dd3ka9h4chfr8.cloudfront.net/image/725136000567/image_de4vqsjc2t4j7412cd86mjkl7u/-FJPG/242141-002_SID_1.jpg</t>
  </si>
  <si>
    <t>https://dd3ka9h4chfr8.cloudfront.net/image/725136000567/image_6pn6sj552t0bp33lri49d0975i/-FJPG/242141-002_ESS_1.tif</t>
  </si>
  <si>
    <t>https://dd3ka9h4chfr8.cloudfront.net/image/725136000567/image_i0plhigcmd5c72ccqo3b145e4s/-FJPG/242141-002_DET_2.jpg</t>
  </si>
  <si>
    <t>https://dd3ka9h4chfr8.cloudfront.net/image/725136000567/image_piq86k97gl5st0j7kinnboln7r/-FJPG/242141-002_DET_1.jpg</t>
  </si>
  <si>
    <t>https://dd3ka9h4chfr8.cloudfront.net/image/725136000567/image_dkk6btb3k57jndsjgv579grv5d/-FJPG/242141-002_DET_3.jpg</t>
  </si>
  <si>
    <t>https://dd3ka9h4chfr8.cloudfront.net/image/725136000567/image_g66v6fh3q56cp7ejqkthb6886v/-FJPG/242141-002_DET_4.jpg</t>
  </si>
  <si>
    <t>https://dd3ka9h4chfr8.cloudfront.net/image/725136000567/image_vo6etj0eah4jr6pmgjfe2q4m12/-FJPG/242141-002_DET_5.jpg</t>
  </si>
  <si>
    <t>https://dd3ka9h4chfr8.cloudfront.net/image/725136000567/image_268q4e3iu15f97pieiccdo1d5o/-FJPG/242141-002_DET_9.tif</t>
  </si>
  <si>
    <t>Renan End Table - Natural Reclaimed French Oak</t>
  </si>
  <si>
    <t>https://dd3ka9h4chfr8.cloudfront.net/image/725136000567/image_idubl1aptp6gp557pee7me2l02/-S150x150-FJPG/242141-001_PRM_1.jpg</t>
  </si>
  <si>
    <t>https://dd3ka9h4chfr8.cloudfront.net/image/725136000567/image_idubl1aptp6gp557pee7me2l02/-FJPG/242141-001_PRM_1.jpg</t>
  </si>
  <si>
    <t>https://dd3ka9h4chfr8.cloudfront.net/image/725136000567/image_mk80g721m16a15beo7a5d0a32f/-FJPG/242141-001_SID_1.jpg</t>
  </si>
  <si>
    <t>https://dd3ka9h4chfr8.cloudfront.net/image/725136000567/image_5r0dj0ip0d5m9cf63vv2m03i0l/-FJPG/242141-001_ESS_1.tif</t>
  </si>
  <si>
    <t>https://dd3ka9h4chfr8.cloudfront.net/image/725136000567/image_qknifv6mn92kf7q1djcatnpj2u/-FJPG/242141-001_DET_2.jpg</t>
  </si>
  <si>
    <t>https://dd3ka9h4chfr8.cloudfront.net/image/725136000567/image_ftm7e2mt451bp9jlgtmmd9630a/-FJPG/242141-001_DET_1.jpg</t>
  </si>
  <si>
    <t>https://dd3ka9h4chfr8.cloudfront.net/image/725136000567/image_eucmcto2dh4h1993muereau34c/-FJPG/242141-001_DET_3.jpg</t>
  </si>
  <si>
    <t>https://dd3ka9h4chfr8.cloudfront.net/image/725136000567/image_9h1as7lqp51tn3r67ocf9hfl08/-FJPG/242141-001_DET_4.jpg</t>
  </si>
  <si>
    <t>https://dd3ka9h4chfr8.cloudfront.net/image/725136000567/image_o7tvna9unp6td5ucp7iltgtb5v/-FJPG/242141-001_DET_5.jpg</t>
  </si>
  <si>
    <t>https://dd3ka9h4chfr8.cloudfront.net/image/725136000567/image_gbhgctjnnh50v78vqvtbthb64o/-FJPG/242141-001_DET_6.jpg</t>
  </si>
  <si>
    <t>https://dd3ka9h4chfr8.cloudfront.net/image/725136000567/image_4pe37vmjet0r5fm64id3219e3q/-FJPG/242141-001_DET_7.jpg</t>
  </si>
  <si>
    <t>https://dd3ka9h4chfr8.cloudfront.net/image/725136000567/image_up9juh5rbl3h1ai91a79jpml3k/-FJPG/242141-001_DET_8.jpg</t>
  </si>
  <si>
    <t>Renaud Sideboard - Dark Toasted Oak</t>
  </si>
  <si>
    <t>https://dd3ka9h4chfr8.cloudfront.net/image/725136000567/image_ptndbq4o716ffeehmh73ea777m/-S150x150-FJPG/234020-001_PRM_1.jpg</t>
  </si>
  <si>
    <t>https://dd3ka9h4chfr8.cloudfront.net/image/725136000567/image_ptndbq4o716ffeehmh73ea777m/-FJPG/234020-001_PRM_1.jpg</t>
  </si>
  <si>
    <t>https://dd3ka9h4chfr8.cloudfront.net/image/725136000567/image_3i7uobc8694b5333h7hd370n6l/-FJPG/234020-001_SID_1.jpg</t>
  </si>
  <si>
    <t>https://dd3ka9h4chfr8.cloudfront.net/image/725136000567/image_a9fdek4rk17kn0uda1e0hm8a5d/-FJPG/234020-001_HOV_1.jpg</t>
  </si>
  <si>
    <t>https://dd3ka9h4chfr8.cloudfront.net/image/725136000567/image_74k6l56r410ch1aoi3reo2rp5b/-FJPG/234020-001_HALLOWEEN_ESS.jpg</t>
  </si>
  <si>
    <t>https://dd3ka9h4chfr8.cloudfront.net/image/725136000567/image_tjbl5kloo96evcr2mv0ojrf401/-FJPG/234020-001_DET_2.jpg</t>
  </si>
  <si>
    <t>https://dd3ka9h4chfr8.cloudfront.net/image/725136000567/image_k15dnpfpal38t7mk5umf0m8l1q/-FJPG/234020-001_BCK_1.jpg</t>
  </si>
  <si>
    <t>https://dd3ka9h4chfr8.cloudfront.net/image/725136000567/image_u9qnsrvs4t529b6fd54idai523/-FJPG/234020-001_DET_1.jpg</t>
  </si>
  <si>
    <t>https://dd3ka9h4chfr8.cloudfront.net/image/725136000567/image_4342l4pn5p5nj0q70l2m6ikd4p/-FJPG/234020-001_DET_3.jpg</t>
  </si>
  <si>
    <t>https://dd3ka9h4chfr8.cloudfront.net/image/725136000567/image_hourc9l6n95vt6batui6h77b0t/-FJPG/234020-001_DET_4.jpg</t>
  </si>
  <si>
    <t>https://dd3ka9h4chfr8.cloudfront.net/image/725136000567/image_6e38inr6oh17p3nj9d7j6nug2n/-FJPG/234020-001_DET_5.jpg</t>
  </si>
  <si>
    <t>https://dd3ka9h4chfr8.cloudfront.net/image/725136000567/image_vgt7ece33d4k37ltdt1ik0m21s/-FJPG/234020-001_DET_9.tif</t>
  </si>
  <si>
    <t>https://dd3ka9h4chfr8.cloudfront.net/image/725136000567/image_9p3d8if67p4o7e2go8uv736s63/-FJPG/234020-001_ESS.tif</t>
  </si>
  <si>
    <t>https://dd3ka9h4chfr8.cloudfront.net/image/725136000567/image_br14hncpdd5lb4pjjk0p6dog3o/-FJPG/234020-001_OPN_2.jpg</t>
  </si>
  <si>
    <t>Reuben Chair - Harbor Natural</t>
  </si>
  <si>
    <t>60% Cotton</t>
  </si>
  <si>
    <t>40% Flax/Linen</t>
  </si>
  <si>
    <t>https://dd3ka9h4chfr8.cloudfront.net/image/725136000567/image_sqiq4n6ij918lfr2fu1qru477p/-S150x150-FJPG/224473-001_PRM_1.jpg</t>
  </si>
  <si>
    <t>https://dd3ka9h4chfr8.cloudfront.net/image/725136000567/image_sqiq4n6ij918lfr2fu1qru477p/-FJPG/224473-001_PRM_1.jpg</t>
  </si>
  <si>
    <t>https://dd3ka9h4chfr8.cloudfront.net/image/725136000567/image_io73e2caqp1tpcrk8p2gsa8r3r/-FJPG/224473-001_SID_1.jpg</t>
  </si>
  <si>
    <t>https://dd3ka9h4chfr8.cloudfront.net/image/725136000567/image_otjddjc9bp6t30o5k6bv204r7l/-FJPG/224473-001_ESS.tif</t>
  </si>
  <si>
    <t>https://dd3ka9h4chfr8.cloudfront.net/image/725136000567/image_sjhoobcgg51u19bsmc6bee3a4i/-FJPG/224473-001_DET_2.jpg</t>
  </si>
  <si>
    <t>https://dd3ka9h4chfr8.cloudfront.net/image/725136000567/image_4vt0cvrti16153e16jiua7oo1p/-FJPG/224473-001_BCK_1.jpg</t>
  </si>
  <si>
    <t>https://dd3ka9h4chfr8.cloudfront.net/image/725136000567/image_hh7vpf2v9l4114hgva5n76vj5q/-FJPG/224473-001_DET_1.jpg</t>
  </si>
  <si>
    <t>https://dd3ka9h4chfr8.cloudfront.net/image/725136000567/image_gfura9tpn920lauabraoak9n43/-FJPG/224473-001_DET_3.jpg</t>
  </si>
  <si>
    <t>https://dd3ka9h4chfr8.cloudfront.net/image/725136000567/image_maueo5u8sp4jf2s2h155t9tk45/-FJPG/224473-001_DET_4.jpg</t>
  </si>
  <si>
    <t>https://dd3ka9h4chfr8.cloudfront.net/image/725136000567/image_4piajehkgh757b3v85ge662q05/-FJPG/224473-001_DET_5.jpg</t>
  </si>
  <si>
    <t>https://dd3ka9h4chfr8.cloudfront.net/image/725136000567/image_ako1sljvm97rh3e66d6c8o0s1f/-FJPG/224473-001_DET_6.jpg</t>
  </si>
  <si>
    <t>Reza Bookcase - Toasted Acacia</t>
  </si>
  <si>
    <t>https://dd3ka9h4chfr8.cloudfront.net/image/725136000567/image_mee9s2lpv57010b8pdvusads2s/-S150x150-FJPG/239791-001_PRM_1.jpg</t>
  </si>
  <si>
    <t>https://dd3ka9h4chfr8.cloudfront.net/image/725136000567/image_mee9s2lpv57010b8pdvusads2s/-FJPG/239791-001_PRM_1.jpg</t>
  </si>
  <si>
    <t>https://dd3ka9h4chfr8.cloudfront.net/image/725136000567/image_bprklj98nl31nf1aoisd99ne61/-FJPG/239791-001_SID_1.jpg</t>
  </si>
  <si>
    <t>https://dd3ka9h4chfr8.cloudfront.net/image/725136000567/image_fvsiopcg612ph08s3mn67u6009/-FJPG/239791-001_ESS_1.tif</t>
  </si>
  <si>
    <t>https://dd3ka9h4chfr8.cloudfront.net/image/725136000567/image_q4vp1gc4ht06j841dt5fgt4l54/-FJPG/239791-001_DET_2.jpg</t>
  </si>
  <si>
    <t>https://dd3ka9h4chfr8.cloudfront.net/image/725136000567/image_vvdqn41v8l3gf4tq2p5b1d2e0s/-FJPG/239791-001_BCK_1.jpg</t>
  </si>
  <si>
    <t>https://dd3ka9h4chfr8.cloudfront.net/image/725136000567/image_qcraqguomt2dd3cmfgj4pprv13/-FJPG/239791-001_DET_1.jpg</t>
  </si>
  <si>
    <t>https://dd3ka9h4chfr8.cloudfront.net/image/725136000567/image_4k8m0lj11d0435e1usr2s87o1l/-FJPG/239791-001_DET_3.jpg</t>
  </si>
  <si>
    <t>https://dd3ka9h4chfr8.cloudfront.net/image/725136000567/image_jj9mfofsk501ncs5v35si7gm6u/-FJPG/239791-001_OPN_1.jpg</t>
  </si>
  <si>
    <t>https://dd3ka9h4chfr8.cloudfront.net/image/725136000567/image_vn04r1ivnd4i1bao5r7rnv2e09/-FJPG/239791-001_DET_5.jpg</t>
  </si>
  <si>
    <t>https://dd3ka9h4chfr8.cloudfront.net/image/725136000567/image_arife8q3rd3t940b1g3r3b4g14/-FJPG/239791-001_DET_6.jpg</t>
  </si>
  <si>
    <t>https://dd3ka9h4chfr8.cloudfront.net/image/725136000567/image_i8aa3s5aup7uh2qcauag2vba6k/-FJPG/239791-001_DET_7.jpg</t>
  </si>
  <si>
    <t>https://dd3ka9h4chfr8.cloudfront.net/image/725136000567/image_fvciaoit8h0nj8bhl8kpr64q4l/-FJPG/239791-001_DET_8.jpg</t>
  </si>
  <si>
    <t>https://dd3ka9h4chfr8.cloudfront.net/image/725136000567/image_h2berhh08h67b9prau1bd0g76b/-FJPG/239791-001_DET_9.jpg</t>
  </si>
  <si>
    <t>https://dd3ka9h4chfr8.cloudfront.net/image/725136000567/image_79g21t4kup4hjf9ghqfaf8bl3j/-FJPG/239791-001_DET_10.jpg</t>
  </si>
  <si>
    <t>https://dd3ka9h4chfr8.cloudfront.net/image/725136000567/image_t98a7onsfh16ffele61vl0pj5q/-FJPG/239791-001_DET_11.tif</t>
  </si>
  <si>
    <t>https://dd3ka9h4chfr8.cloudfront.net/image/725136000567/image_l5q3dh2dn16756o52gqafbe91i/-FJPG/239791-001_DET_11.jpg</t>
  </si>
  <si>
    <t>https://dd3ka9h4chfr8.cloudfront.net/image/725136000567/image_lgvv4a9m192g992qogpn01hb1e/-FJPG/239791-001_DET_12.tif</t>
  </si>
  <si>
    <t>https://dd3ka9h4chfr8.cloudfront.net/image/725136000567/image_358p4hdrol72nea82qliejus4i/-FJPG/239791-001_DET_12.jpg</t>
  </si>
  <si>
    <t>https://dd3ka9h4chfr8.cloudfront.net/image/725136000567/image_k93k8ppl1l693cfrofnrqlah6s/-FJPG/239791-001_DET_13.tif</t>
  </si>
  <si>
    <t>Reza Bookcase - Worn Black Acacia</t>
  </si>
  <si>
    <t>https://dd3ka9h4chfr8.cloudfront.net/image/725136000567/image_al6pbthckp0mh5hfckdqpv5e75/-S150x150-FJPG/239791-002_PRM_1.jpg</t>
  </si>
  <si>
    <t>https://dd3ka9h4chfr8.cloudfront.net/image/725136000567/image_al6pbthckp0mh5hfckdqpv5e75/-FJPG/239791-002_PRM_1.jpg</t>
  </si>
  <si>
    <t>https://dd3ka9h4chfr8.cloudfront.net/image/725136000567/image_j1uupumknd2n71bsdq0s34ms44/-FJPG/239791-002_SID_1.jpg</t>
  </si>
  <si>
    <t>https://dd3ka9h4chfr8.cloudfront.net/image/725136000567/image_nt6qb8u8r57lfcfdt07ruplb32/-FJPG/239791-002_ESS.tif</t>
  </si>
  <si>
    <t>https://dd3ka9h4chfr8.cloudfront.net/image/725136000567/image_b9jgu8sh6t2lr48vmjoar73l4u/-FJPG/239791-002_BCK_1.jpg</t>
  </si>
  <si>
    <t>https://dd3ka9h4chfr8.cloudfront.net/image/725136000567/image_1qs2ej8kpp5nt38fb0lb74fe1r/-FJPG/239791-002_DET_1.jpg</t>
  </si>
  <si>
    <t>https://dd3ka9h4chfr8.cloudfront.net/image/725136000567/image_8sau5g96td6hv52vhapvls625e/-FJPG/239791-002_DET_3.jpg</t>
  </si>
  <si>
    <t>https://dd3ka9h4chfr8.cloudfront.net/image/725136000567/image_04f5vnhm6974r3n21hj1o37s48/-FJPG/239791-002_OPN_1.jpg</t>
  </si>
  <si>
    <t>https://dd3ka9h4chfr8.cloudfront.net/image/725136000567/image_ob8sbe6d3l52b6kfm7uc1t8t1o/-FJPG/239791-002_TOP_1.jpg</t>
  </si>
  <si>
    <t>https://dd3ka9h4chfr8.cloudfront.net/image/725136000567/image_dbojg2fbvt0vh1u4bp9dpskg1v/-FJPG/239791-002_DET_4.jpg</t>
  </si>
  <si>
    <t>https://dd3ka9h4chfr8.cloudfront.net/image/725136000567/image_grofe117h10srdcjg3vgsp4r6c/-FJPG/239791-002_DET_5.jpg</t>
  </si>
  <si>
    <t>https://dd3ka9h4chfr8.cloudfront.net/image/725136000567/image_e61rr20kit3vtb6h9s1ken9h77/-FJPG/239791-002_DET_6.jpg</t>
  </si>
  <si>
    <t>https://dd3ka9h4chfr8.cloudfront.net/image/725136000567/image_3plohrmcfh35fa1t3lhjft4f0o/-FJPG/239791-002_DET_7.jpg</t>
  </si>
  <si>
    <t>Reza Desk - Smoked Honey</t>
  </si>
  <si>
    <t>https://dd3ka9h4chfr8.cloudfront.net/image/725136000567/image_4urb9b82nt7vj2o5jo388pmg3k/-S150x150-FJPG/242780-001_PRM_1.jpg</t>
  </si>
  <si>
    <t>https://dd3ka9h4chfr8.cloudfront.net/image/725136000567/image_4urb9b82nt7vj2o5jo388pmg3k/-FJPG/242780-001_PRM_1.jpg</t>
  </si>
  <si>
    <t>https://dd3ka9h4chfr8.cloudfront.net/image/725136000567/image_jiguoig0hd3sr70mjuap9p4271/-FJPG/242780-001_SID_1.jpg</t>
  </si>
  <si>
    <t>https://dd3ka9h4chfr8.cloudfront.net/image/725136000567/image_n5hogogdml0cjca9bel6ri2k0n/-FJPG/242780-001_DET_2.jpg</t>
  </si>
  <si>
    <t>https://dd3ka9h4chfr8.cloudfront.net/image/725136000567/image_6psiese1sp30l1poh5nd82pp6d/-FJPG/242780-001_BCK_1.jpg</t>
  </si>
  <si>
    <t>https://dd3ka9h4chfr8.cloudfront.net/image/725136000567/image_23rk1v0dp14ch3496b2kj66b1s/-FJPG/242780-001_DET_1.jpg</t>
  </si>
  <si>
    <t>https://dd3ka9h4chfr8.cloudfront.net/image/725136000567/image_62676nrmn11kt697hvvsi4ef3i/-FJPG/242780-001_DET_3.jpg</t>
  </si>
  <si>
    <t>https://dd3ka9h4chfr8.cloudfront.net/image/725136000567/image_mnbnjhthc57kt6srndhg1ti157/-FJPG/242780-001_OPN_1.jpg</t>
  </si>
  <si>
    <t>https://dd3ka9h4chfr8.cloudfront.net/image/725136000567/image_5a09rs0nfd7317pou5n4btju0a/-FJPG/242780-001_TOP_1.jpg</t>
  </si>
  <si>
    <t>https://dd3ka9h4chfr8.cloudfront.net/image/725136000567/image_igl95dif393jp6md63i46v1a5k/-FJPG/242780-001_DET_4.jpg</t>
  </si>
  <si>
    <t>https://dd3ka9h4chfr8.cloudfront.net/image/725136000567/image_j5g85up2j11jdd0m9tb4pa211g/-FJPG/242780-001_DET_4.jpg</t>
  </si>
  <si>
    <t>https://dd3ka9h4chfr8.cloudfront.net/image/725136000567/image_eqake7676d6theddm9m7bpuu11/-FJPG/242780-001_DET_5.jpg</t>
  </si>
  <si>
    <t>https://dd3ka9h4chfr8.cloudfront.net/image/725136000567/image_5h4nilgauh52ta06dgr7pj8q6v/-FJPG/242780-001_DET_6.jpg</t>
  </si>
  <si>
    <t>https://dd3ka9h4chfr8.cloudfront.net/image/725136000567/image_1l5b1ilc6t2mb83qflchgr0i6k/-FJPG/242780-001_DET_7.jpg</t>
  </si>
  <si>
    <t>Reza Desk - Worn Black Parawood</t>
  </si>
  <si>
    <t>https://dd3ka9h4chfr8.cloudfront.net/image/725136000567/image_d8r2jp4pu51qn97b8u6vt6ee6k/-S150x150-FJPG/242780-002_PRM_1.jpg</t>
  </si>
  <si>
    <t>https://dd3ka9h4chfr8.cloudfront.net/image/725136000567/image_d8r2jp4pu51qn97b8u6vt6ee6k/-FJPG/242780-002_PRM_1.jpg</t>
  </si>
  <si>
    <t>https://dd3ka9h4chfr8.cloudfront.net/image/725136000567/image_kpn2soqiet7jt2vvabp2abif7a/-FJPG/242780-002_SID_1.jpg</t>
  </si>
  <si>
    <t>https://dd3ka9h4chfr8.cloudfront.net/image/725136000567/image_ik15ikrs8p6a52slvb19ug737o/-FJPG/242780-002_ESS.tif</t>
  </si>
  <si>
    <t>https://dd3ka9h4chfr8.cloudfront.net/image/725136000567/image_j0pd8k3o8l09pbqbaggl8d1a4u/-FJPG/242780-002_DET_2.jpg</t>
  </si>
  <si>
    <t>https://dd3ka9h4chfr8.cloudfront.net/image/725136000567/image_v4odhddj7553959mgq68dcun3o/-FJPG/242780-002_BCK_1.jpg</t>
  </si>
  <si>
    <t>https://dd3ka9h4chfr8.cloudfront.net/image/725136000567/image_m4c7p0il4p4pd40v3931298n18/-FJPG/242780-002_DET_1.jpg</t>
  </si>
  <si>
    <t>https://dd3ka9h4chfr8.cloudfront.net/image/725136000567/image_8qe98l8pvt1691k2knaphvo24j/-FJPG/242780-002_DET_3.jpg</t>
  </si>
  <si>
    <t>https://dd3ka9h4chfr8.cloudfront.net/image/725136000567/image_hsb6qmq0i549v3gbr2n9v7jc0r/-FJPG/242780-002_OPN_1.jpg</t>
  </si>
  <si>
    <t>https://dd3ka9h4chfr8.cloudfront.net/image/725136000567/image_4vqbi1sd394ojfcpkc0nl0tt5e/-FJPG/242780-002_TOP_1.jpg</t>
  </si>
  <si>
    <t>https://dd3ka9h4chfr8.cloudfront.net/image/725136000567/image_ie0krpei5p2ojbdt4urgmief0a/-FJPG/242780-002_DET_4.jpg</t>
  </si>
  <si>
    <t>https://dd3ka9h4chfr8.cloudfront.net/image/725136000567/image_ieuo94oku91o34jm8khopda827/-FJPG/242780-002_DET_5.jpg</t>
  </si>
  <si>
    <t>https://dd3ka9h4chfr8.cloudfront.net/image/725136000567/image_4mqj55mh6l1dvbks1m0jj1647k/-FJPG/242780-002_DET_6.jpg</t>
  </si>
  <si>
    <t>https://dd3ka9h4chfr8.cloudfront.net/image/725136000567/image_v9puh2g7l17tb13t9e23l6iv5o/-FJPG/242780-002_DET_9.tif</t>
  </si>
  <si>
    <t>Reza Media Console - Smoked Honey</t>
  </si>
  <si>
    <t>https://dd3ka9h4chfr8.cloudfront.net/image/725136000567/image_27abcjt8a56c18dc4tqqh3ci04/-S150x150-FJPG/108962-001_PRM_1.jpg</t>
  </si>
  <si>
    <t>https://dd3ka9h4chfr8.cloudfront.net/image/725136000567/image_27abcjt8a56c18dc4tqqh3ci04/-FJPG/108962-001_PRM_1.jpg</t>
  </si>
  <si>
    <t>https://dd3ka9h4chfr8.cloudfront.net/image/725136000567/image_84cmgf88vh5cfaqs2f7qo4kh65/-FJPG/108962-001_SID_1.jpg</t>
  </si>
  <si>
    <t>https://dd3ka9h4chfr8.cloudfront.net/image/725136000567/image_0vto0m0pid4ctb6bonkampj850/-FJPG/108962-001_ESS_1.jpg</t>
  </si>
  <si>
    <t>https://dd3ka9h4chfr8.cloudfront.net/image/725136000567/image_vq1rn60nqt3jnac1ualte9nb7n/-FJPG/108962-001_DET_2.jpg</t>
  </si>
  <si>
    <t>https://dd3ka9h4chfr8.cloudfront.net/image/725136000567/image_an7ku7od1t6g51kiemu60a0d5u/-FJPG/108962-001_BCK_1.jpg</t>
  </si>
  <si>
    <t>https://dd3ka9h4chfr8.cloudfront.net/image/725136000567/image_urit1jvu1902rf8vj7ms03ui37/-FJPG/108962-001_DET_3.jpg</t>
  </si>
  <si>
    <t>https://dd3ka9h4chfr8.cloudfront.net/image/725136000567/image_h3aq82gtk10q11sbf9gut9964l/-FJPG/108962-001_OPN_1.jpg</t>
  </si>
  <si>
    <t>https://dd3ka9h4chfr8.cloudfront.net/image/725136000567/image_7v9u3k0h851bpftirctikkhj5e/-FJPG/108962-001_DET_4.jpg</t>
  </si>
  <si>
    <t>https://dd3ka9h4chfr8.cloudfront.net/image/725136000567/image_6g5n3dg43p50jbmatq3bokj82p/-FJPG/108962-001_DET_5.jpg</t>
  </si>
  <si>
    <t>https://dd3ka9h4chfr8.cloudfront.net/image/725136000567/image_f9ltvts8717dteobk0rtg1a93d/-FJPG/108962-001_DET_6.jpg</t>
  </si>
  <si>
    <t>https://dd3ka9h4chfr8.cloudfront.net/image/725136000567/image_cl81fkhldt44l2lojdrnt6q84v/-FJPG/108962-001_DET_7.jpg</t>
  </si>
  <si>
    <t>https://dd3ka9h4chfr8.cloudfront.net/image/725136000567/image_5tkiekq46p1f52kofpuphago6m/-FJPG/108962-001_DET_8.jpg</t>
  </si>
  <si>
    <t>https://dd3ka9h4chfr8.cloudfront.net/image/725136000567/image_6svm9mmc311p5cd4ipulpc912d/-FJPG/108962-001_DET_9.jpg</t>
  </si>
  <si>
    <t>https://dd3ka9h4chfr8.cloudfront.net/image/725136000567/image_pgqbesqkk12e5ft97mb3aicm7n/-FJPG/108962-001_DET_10.jpg</t>
  </si>
  <si>
    <t>https://dd3ka9h4chfr8.cloudfront.net/image/725136000567/image_6u2tk9lm2d6bv3mk4mh5bg7u52/-FJPG/108962-001_ROM_1.jpg</t>
  </si>
  <si>
    <t>Reza Media Console - Worn Black Parawood</t>
  </si>
  <si>
    <t>https://dd3ka9h4chfr8.cloudfront.net/image/725136000567/image_hjdb7bmm0l3d7biq2n71s6ub4s/-S150x150-FJPG/108962-003_PRM_1.jpg</t>
  </si>
  <si>
    <t>https://dd3ka9h4chfr8.cloudfront.net/image/725136000567/image_hjdb7bmm0l3d7biq2n71s6ub4s/-FJPG/108962-003_PRM_1.jpg</t>
  </si>
  <si>
    <t>https://dd3ka9h4chfr8.cloudfront.net/image/725136000567/image_sscg578f590elf84hrr59rhb0d/-FJPG/108962-003_SID_1.jpg</t>
  </si>
  <si>
    <t>https://dd3ka9h4chfr8.cloudfront.net/image/725136000567/image_mefviqhm3p2cnf18pc8jke4n4b/-FJPG/108962-003_ESS.tif</t>
  </si>
  <si>
    <t>https://dd3ka9h4chfr8.cloudfront.net/image/725136000567/image_tudoemeab57vb0a3pbcp4ero0b/-FJPG/108962-003_DET_2.jpg</t>
  </si>
  <si>
    <t>https://dd3ka9h4chfr8.cloudfront.net/image/725136000567/image_pukc91h1v540r6210uonrbpb12/-FJPG/108962-003_BCK_1.jpg</t>
  </si>
  <si>
    <t>https://dd3ka9h4chfr8.cloudfront.net/image/725136000567/image_jba64lfdlh19h06qp5s03er64b/-FJPG/108962-003_DET_1.jpg</t>
  </si>
  <si>
    <t>https://dd3ka9h4chfr8.cloudfront.net/image/725136000567/image_cjibomuci14kf8tisqpoajkm0m/-FJPG/108962-003_DET_3.jpg</t>
  </si>
  <si>
    <t>https://dd3ka9h4chfr8.cloudfront.net/image/725136000567/image_lrmcrj9tid0v9cu7e6s1v6nk7m/-FJPG/108962-003_OPN_1.jpg</t>
  </si>
  <si>
    <t>https://dd3ka9h4chfr8.cloudfront.net/image/725136000567/image_337037gce964p6jn6iln5ijo3s/-FJPG/108962-003_TOP_1.jpg</t>
  </si>
  <si>
    <t>https://dd3ka9h4chfr8.cloudfront.net/image/725136000567/image_e5h7omt5114uf63dm34h287m3v/-FJPG/108962-003_DET_4.jpg</t>
  </si>
  <si>
    <t>https://dd3ka9h4chfr8.cloudfront.net/image/725136000567/image_lf563t7u5d6jt052h8d8i1671n/-FJPG/108962-003_DET_5.jpg</t>
  </si>
  <si>
    <t>Reza Sideboard - Smoked Honey</t>
  </si>
  <si>
    <t>https://dd3ka9h4chfr8.cloudfront.net/image/725136000567/image_4hcbl2tpt17ln7obnjqvokq42t/-S150x150-FJPG/109029-001_PRM_1.jpg</t>
  </si>
  <si>
    <t>https://dd3ka9h4chfr8.cloudfront.net/image/725136000567/image_4hcbl2tpt17ln7obnjqvokq42t/-FJPG/109029-001_PRM_1.jpg</t>
  </si>
  <si>
    <t>https://dd3ka9h4chfr8.cloudfront.net/image/725136000567/image_hitdgp42ih45tabi6ul1ggc41k/-FJPG/109029-001_SID_1.jpg</t>
  </si>
  <si>
    <t>https://dd3ka9h4chfr8.cloudfront.net/image/725136000567/image_j11ia1fki11ij8ln9v7poqcr7g/-FJPG/109029-001_ESS_1.jpg</t>
  </si>
  <si>
    <t>https://dd3ka9h4chfr8.cloudfront.net/image/725136000567/image_b92dh1tllh1rn0nkeid21dsn50/-FJPG/109029-001_DET_2.jpg</t>
  </si>
  <si>
    <t>https://dd3ka9h4chfr8.cloudfront.net/image/725136000567/image_njqc197jtp5738csthlj37vm4t/-FJPG/109029-001_BCK_1.jpg</t>
  </si>
  <si>
    <t>https://dd3ka9h4chfr8.cloudfront.net/image/725136000567/image_mk70fdj9m10kjan01djsosps1m/-FJPG/109029-001_DET_1.jpg</t>
  </si>
  <si>
    <t>https://dd3ka9h4chfr8.cloudfront.net/image/725136000567/image_nqkn3gqvq11vp680ikdhdsej58/-FJPG/109029-001_DET_3.jpg</t>
  </si>
  <si>
    <t>https://dd3ka9h4chfr8.cloudfront.net/image/725136000567/image_0fer52340d6irbikg4akusqs55/-FJPG/109029-001_OPN_1.jpg</t>
  </si>
  <si>
    <t>https://dd3ka9h4chfr8.cloudfront.net/image/725136000567/image_c46avnlned5m986e1of16pdj58/-FJPG/109029-001_DET_4.jpg</t>
  </si>
  <si>
    <t>https://dd3ka9h4chfr8.cloudfront.net/image/725136000567/image_4rk0831ps17ghajcjgaiampn4i/-FJPG/109029-001_DET_5.jpg</t>
  </si>
  <si>
    <t>https://dd3ka9h4chfr8.cloudfront.net/image/725136000567/image_6j725a5u9143t2v6ctnnj7b26r/-FJPG/109029-001_DET_6.jpg</t>
  </si>
  <si>
    <t>https://dd3ka9h4chfr8.cloudfront.net/image/725136000567/image_1cp4ccjr413uv9h9e8i2gpb06t/-FJPG/109029-001_DET_7.jpg</t>
  </si>
  <si>
    <t>https://dd3ka9h4chfr8.cloudfront.net/image/725136000567/image_ljn5a07efl1db259slop79pa4j/-FJPG/109029-001_DET_8.jpg</t>
  </si>
  <si>
    <t>https://dd3ka9h4chfr8.cloudfront.net/image/725136000567/image_ngmjat1vgt3jf5ihp2t3bpru5d/-FJPG/109029-001_VIG_1.jpg</t>
  </si>
  <si>
    <t>Reza Wide Bookcase - Toasted Acacia</t>
  </si>
  <si>
    <t>https://dd3ka9h4chfr8.cloudfront.net/image/725136000567/image_ipoo3h98917onfvs04hmol8109/-S150x150-FJPG/232355-001_PRM_1.jpg</t>
  </si>
  <si>
    <t>https://dd3ka9h4chfr8.cloudfront.net/image/725136000567/image_ipoo3h98917onfvs04hmol8109/-FJPG/232355-001_PRM_1.jpg</t>
  </si>
  <si>
    <t>https://dd3ka9h4chfr8.cloudfront.net/image/725136000567/image_1oql4j06p92jbc1jt22g9fu37l/-FJPG/232355-001_SID_1.jpg</t>
  </si>
  <si>
    <t>https://dd3ka9h4chfr8.cloudfront.net/image/725136000567/image_2thlm5qlil4t7aac31hfptda7s/-FJPG/232355-001_DET_2.jpg</t>
  </si>
  <si>
    <t>https://dd3ka9h4chfr8.cloudfront.net/image/725136000567/image_31tcumopsh2k1cqfaipoetgd6r/-FJPG/232355-001_BCK_1.jpg</t>
  </si>
  <si>
    <t>https://dd3ka9h4chfr8.cloudfront.net/image/725136000567/image_ss7h8hhl914kbe59upa7sfn853/-FJPG/232355-001_DET_1.jpg</t>
  </si>
  <si>
    <t>https://dd3ka9h4chfr8.cloudfront.net/image/725136000567/image_69j7d3833l1673u6upp36p0n36/-FJPG/232355-001_DET_3.jpg</t>
  </si>
  <si>
    <t>https://dd3ka9h4chfr8.cloudfront.net/image/725136000567/image_rr49udakap5jlapvt8l1l4ki0h/-FJPG/232355-001_OPN_1.jpg</t>
  </si>
  <si>
    <t>https://dd3ka9h4chfr8.cloudfront.net/image/725136000567/image_rq8k719ech0lr3ja02b2flq36u/-FJPG/232355-001_DET_4.jpg</t>
  </si>
  <si>
    <t>https://dd3ka9h4chfr8.cloudfront.net/image/725136000567/image_2avcg10eup3ch1unv32j85it75/-FJPG/232355-001_DET_5.jpg</t>
  </si>
  <si>
    <t>https://dd3ka9h4chfr8.cloudfront.net/image/725136000567/image_taa4m3pfdl59la7tten0vda57f/-FJPG/232355-001_DET_6.jpg</t>
  </si>
  <si>
    <t>https://dd3ka9h4chfr8.cloudfront.net/image/725136000567/image_cut4p7vnc12e37tqse313ovh29/-FJPG/232355-001_DET_7.jpg</t>
  </si>
  <si>
    <t>https://dd3ka9h4chfr8.cloudfront.net/image/725136000567/image_bpa265gnc971d0kthhie7h7v1h/-FJPG/232355-001_DET_8.jpg</t>
  </si>
  <si>
    <t>Reza Wide Bookcase - Worn Black Acacia</t>
  </si>
  <si>
    <t>https://dd3ka9h4chfr8.cloudfront.net/image/725136000567/image_tbmbvmnhjh4tle9h2f51jp2u20/-S150x150-FJPG/232355-002_PRM_1.jpg</t>
  </si>
  <si>
    <t>https://dd3ka9h4chfr8.cloudfront.net/image/725136000567/image_tbmbvmnhjh4tle9h2f51jp2u20/-FJPG/232355-002_PRM_1.jpg</t>
  </si>
  <si>
    <t>https://dd3ka9h4chfr8.cloudfront.net/image/725136000567/image_7ig4ffqknl28j11akhnm14tp00/-FJPG/232355-002_SID_1.jpg</t>
  </si>
  <si>
    <t>https://dd3ka9h4chfr8.cloudfront.net/image/725136000567/image_3o6aehjbah1mj0vj9vl7ft8b0g/-FJPG/232355-002_DET_2.jpg</t>
  </si>
  <si>
    <t>https://dd3ka9h4chfr8.cloudfront.net/image/725136000567/image_7221o7dqi149h7fi6al6p56j6h/-FJPG/232355-002_BCK_1.jpg</t>
  </si>
  <si>
    <t>https://dd3ka9h4chfr8.cloudfront.net/image/725136000567/image_5jv14tqel93814t7se3fjeng6j/-FJPG/232355-002_DET_1.jpg</t>
  </si>
  <si>
    <t>https://dd3ka9h4chfr8.cloudfront.net/image/725136000567/image_gc5dplte951cf3javt2ec8ot3f/-FJPG/232355-002_DET_3.jpg</t>
  </si>
  <si>
    <t>https://dd3ka9h4chfr8.cloudfront.net/image/725136000567/image_22hskt20bp52pfc1ganboisl70/-FJPG/232355-002_OPN_1.jpg</t>
  </si>
  <si>
    <t>https://dd3ka9h4chfr8.cloudfront.net/image/725136000567/image_pc989vfe351n70tpk9j438e40j/-FJPG/232355-002_DET_4.jpg</t>
  </si>
  <si>
    <t>https://dd3ka9h4chfr8.cloudfront.net/image/725136000567/image_36d6ds2dmp40ta0tcebv373m5p/-FJPG/232355-002_DET_5.jpg</t>
  </si>
  <si>
    <t>https://dd3ka9h4chfr8.cloudfront.net/image/725136000567/image_m1p7lk745h7av7lhln8o3klm0r/-FJPG/232355-002_DET_6.jpg</t>
  </si>
  <si>
    <t>https://dd3ka9h4chfr8.cloudfront.net/image/725136000567/image_52efgfpogd0kd4t41mno1enn08/-FJPG/232355-002_DET_7.JPG</t>
  </si>
  <si>
    <t>https://dd3ka9h4chfr8.cloudfront.net/image/725136000567/image_5k0547rfot4ib6tmcli5ll006p/-FJPG/232355-002_DET_8.jpg</t>
  </si>
  <si>
    <t>Riggs Media Console - Amber Oak</t>
  </si>
  <si>
    <t>https://dd3ka9h4chfr8.cloudfront.net/image/725136000567/image_o6sgsg8pel0sv5hegblu0l2b51/-S150x150-FJPG/232365-001_PRM_1.jpg</t>
  </si>
  <si>
    <t>https://dd3ka9h4chfr8.cloudfront.net/image/725136000567/image_o6sgsg8pel0sv5hegblu0l2b51/-FJPG/232365-001_PRM_1.jpg</t>
  </si>
  <si>
    <t>https://dd3ka9h4chfr8.cloudfront.net/image/725136000567/image_h6jmh0cpqd5sdefbbu0bnn2o26/-FJPG/232365-001_SID_1.jpg</t>
  </si>
  <si>
    <t>https://dd3ka9h4chfr8.cloudfront.net/image/725136000567/image_7s2jsrpu0h27h0id35urtnea5i/-FJPG/232365-001_ESS_1.jpg</t>
  </si>
  <si>
    <t>https://dd3ka9h4chfr8.cloudfront.net/image/725136000567/image_a5u2sisvjl3j12frkoe1nnha7b/-FJPG/232365-001_DET_2.jpg</t>
  </si>
  <si>
    <t>https://dd3ka9h4chfr8.cloudfront.net/image/725136000567/image_vdh8s1mu2d56b4bvo74dmndn0h/-FJPG/232365-001_BCK_1.jpg</t>
  </si>
  <si>
    <t>https://dd3ka9h4chfr8.cloudfront.net/image/725136000567/image_ncv1kldk056ed7nbr0m028ah59/-FJPG/232365-001_DET_1.jpg</t>
  </si>
  <si>
    <t>https://dd3ka9h4chfr8.cloudfront.net/image/725136000567/image_51a3rsnbg50s5fk4n1mbu1mq6c/-FJPG/232365-001_DET_3.jpg</t>
  </si>
  <si>
    <t>https://dd3ka9h4chfr8.cloudfront.net/image/725136000567/image_6ic95sv4ud2cv2m1ovp8k7op40/-FJPG/232365-001_OPN_1.jpg</t>
  </si>
  <si>
    <t>https://dd3ka9h4chfr8.cloudfront.net/image/725136000567/image_5kardjhv7t2b5b5s6b22jkel2i/-FJPG/232365-001_DET_4.jpg</t>
  </si>
  <si>
    <t>https://dd3ka9h4chfr8.cloudfront.net/image/725136000567/image_ovne9v0g0l1vb6mi9lm6m8gb6h/-FJPG/232365-001_DET_5.jpg</t>
  </si>
  <si>
    <t>https://dd3ka9h4chfr8.cloudfront.net/image/725136000567/image_3r8kn5ltil4650gbu1f5enai4t/-FJPG/232365-001_DET_6.jpg</t>
  </si>
  <si>
    <t>https://dd3ka9h4chfr8.cloudfront.net/image/725136000567/image_7667rbkvr9441cbodr6pdrj555/-FJPG/232365-001_DET_7.jpg</t>
  </si>
  <si>
    <t>Risa Bookcase - Lamont Natural Oak Veneer</t>
  </si>
  <si>
    <t>https://dd3ka9h4chfr8.cloudfront.net/image/725136000567/image_fgv1ag88qp2352jm17por0nb2l/-S150x150-FJPG/232578-002_PRM_1.jpg</t>
  </si>
  <si>
    <t>https://dd3ka9h4chfr8.cloudfront.net/image/725136000567/image_fgv1ag88qp2352jm17por0nb2l/-FJPG/232578-002_PRM_1.jpg</t>
  </si>
  <si>
    <t>https://dd3ka9h4chfr8.cloudfront.net/image/725136000567/image_6pq29b76tl3adbg9mppnopcq4c/-FJPG/232578-002_SID_1.jpg</t>
  </si>
  <si>
    <t>https://dd3ka9h4chfr8.cloudfront.net/image/725136000567/image_b4a5rcdicl0fh1icktuq93gu7e/-FJPG/232578-002_ESS.tif</t>
  </si>
  <si>
    <t>https://dd3ka9h4chfr8.cloudfront.net/image/725136000567/image_qus06vo8r95hr2ttklt1ep1u0k/-FJPG/232578-002_DET_2.jpg</t>
  </si>
  <si>
    <t>https://dd3ka9h4chfr8.cloudfront.net/image/725136000567/image_uj0d1of56904f4kcnccvcpfi56/-FJPG/232578-002_BCK_1.jpg</t>
  </si>
  <si>
    <t>https://dd3ka9h4chfr8.cloudfront.net/image/725136000567/image_ime131j19p6gl7s3siphvl9a6m/-FJPG/232578-002_DET_1.jpg</t>
  </si>
  <si>
    <t>https://dd3ka9h4chfr8.cloudfront.net/image/725136000567/image_1l5rooc52t3opaf33qnrgei47n/-FJPG/232578-002_DET_3.jpg</t>
  </si>
  <si>
    <t>https://dd3ka9h4chfr8.cloudfront.net/image/725136000567/image_mnm7cvrjbp63l8hevomlb5co7j/-FJPG/232578-002_DET_4.jpg</t>
  </si>
  <si>
    <t>Rivi End Table - Aged Belgium Bleach</t>
  </si>
  <si>
    <t>https://dd3ka9h4chfr8.cloudfront.net/image/725136000567/image_c861gp0odd6jl18rrm0arhog3t/-S150x150-FJPG/241391-001_PRM_1.jpg</t>
  </si>
  <si>
    <t>https://dd3ka9h4chfr8.cloudfront.net/image/725136000567/image_c861gp0odd6jl18rrm0arhog3t/-FJPG/241391-001_PRM_1.jpg</t>
  </si>
  <si>
    <t>https://dd3ka9h4chfr8.cloudfront.net/image/725136000567/image_9d1clfepq97qp9dced5n4nn25d/-FJPG/241391-001_SID_1.jpg</t>
  </si>
  <si>
    <t>https://dd3ka9h4chfr8.cloudfront.net/image/725136000567/image_h0c9rh83fp52ffa4hs7dl5876h/-FJPG/241391-001_ESS.tif</t>
  </si>
  <si>
    <t>https://dd3ka9h4chfr8.cloudfront.net/image/725136000567/image_m6nsosodrd341dsr5adbb1pd7m/-FJPG/241391-001_DET_2.jpg</t>
  </si>
  <si>
    <t>https://dd3ka9h4chfr8.cloudfront.net/image/725136000567/image_890tblfmgd2tv6bqqjooq8uq4r/-FJPG/241391-001_BCK_1.jpg</t>
  </si>
  <si>
    <t>https://dd3ka9h4chfr8.cloudfront.net/image/725136000567/image_knm0ci2gr50119h29kofpf1n6d/-FJPG/241391-001_DET_1.jpg</t>
  </si>
  <si>
    <t>https://dd3ka9h4chfr8.cloudfront.net/image/725136000567/image_bpbcjr7k490f3ennhip25t140k/-FJPG/241391-001_DET_3.jpg</t>
  </si>
  <si>
    <t>https://dd3ka9h4chfr8.cloudfront.net/image/725136000567/image_fsabbs99ad2pldmandir4qma4o/-FJPG/241391-001_TOP_1.jpg</t>
  </si>
  <si>
    <t>https://dd3ka9h4chfr8.cloudfront.net/image/725136000567/image_pbbeqojsgh4p7f1l68jr7ttq1v/-FJPG/241391-001_DET_4.jpg</t>
  </si>
  <si>
    <t>https://dd3ka9h4chfr8.cloudfront.net/image/725136000567/image_eedac660fh691ci3cp8tq6kj4k/-FJPG/241391-001_DET_9.tif</t>
  </si>
  <si>
    <t>Rivi End Table - Dark Reclaimed</t>
  </si>
  <si>
    <t>https://dd3ka9h4chfr8.cloudfront.net/image/725136000567/image_nbhk1ppsah51l2023lessf8n16/-S150x150-FJPG/241391-002_PRM_1.jpg</t>
  </si>
  <si>
    <t>https://dd3ka9h4chfr8.cloudfront.net/image/725136000567/image_nbhk1ppsah51l2023lessf8n16/-FJPG/241391-002_PRM_1.jpg</t>
  </si>
  <si>
    <t>https://dd3ka9h4chfr8.cloudfront.net/image/725136000567/image_vpl2ok2o517s7er3s94si6v12b/-FJPG/241391-002_SID_1.jpg</t>
  </si>
  <si>
    <t>https://dd3ka9h4chfr8.cloudfront.net/image/725136000567/image_qck9nme9sd4bbdnk37p33dao3i/-FJPG/241391-002_ESS.tif</t>
  </si>
  <si>
    <t>https://dd3ka9h4chfr8.cloudfront.net/image/725136000567/image_6voob3r25h52v1fg51qgor2f0g/-FJPG/241391-002_DET_2.jpg</t>
  </si>
  <si>
    <t>https://dd3ka9h4chfr8.cloudfront.net/image/725136000567/image_7kfmga8d4p7752pt0n26tn4c0h/-FJPG/241391-002_DET_1.jpg</t>
  </si>
  <si>
    <t>https://dd3ka9h4chfr8.cloudfront.net/image/725136000567/image_bv1llthbe5309f8cv3i6qpl763/-FJPG/241391-002_DET_3.jpg</t>
  </si>
  <si>
    <t>https://dd3ka9h4chfr8.cloudfront.net/image/725136000567/image_lu2ntedgh53nj1dhvhc8us9c3c/-FJPG/241391-002_TOP_1.jpg</t>
  </si>
  <si>
    <t>https://dd3ka9h4chfr8.cloudfront.net/image/725136000567/image_t0ug8slkd9517a2b5p07tv1u6s/-FJPG/241391-002_DET_4.jpg</t>
  </si>
  <si>
    <t>https://dd3ka9h4chfr8.cloudfront.net/image/725136000567/image_ifmi23hab92ml4qrdjn2jkce70/-FJPG/241391-002_DET_5.jpg</t>
  </si>
  <si>
    <t>https://dd3ka9h4chfr8.cloudfront.net/image/725136000567/image_f33mnc7bf17a1coojvj3plel0v/-FJPG/241391-002_DET_6.jpg</t>
  </si>
  <si>
    <t>Roark 6 Drawer Dresser - Amber Oak Veneer</t>
  </si>
  <si>
    <t>https://dd3ka9h4chfr8.cloudfront.net/image/725136000567/image_6ivb6vap452ll099chk84auv0o/-S150x150-FJPG/236440-001_PRM_1.jpg</t>
  </si>
  <si>
    <t>https://dd3ka9h4chfr8.cloudfront.net/image/725136000567/image_6ivb6vap452ll099chk84auv0o/-FJPG/236440-001_PRM_1.jpg</t>
  </si>
  <si>
    <t>https://dd3ka9h4chfr8.cloudfront.net/image/725136000567/image_2tqa35l6i57kn4qqmq41aamg66/-FJPG/236440-001_SID_1.jpg</t>
  </si>
  <si>
    <t>https://dd3ka9h4chfr8.cloudfront.net/image/725136000567/image_4c7b5vhhkp20dadja6e8k2ci23/-FJPG/236440-001_ESS_1.jpg</t>
  </si>
  <si>
    <t>https://dd3ka9h4chfr8.cloudfront.net/image/725136000567/image_941q3q6unp01v203uo87hvph2l/-FJPG/236440-001_DET_2.jpg</t>
  </si>
  <si>
    <t>https://dd3ka9h4chfr8.cloudfront.net/image/725136000567/image_mv75sfe4kp57h3hmgpg9d3pt5a/-FJPG/236440-001_BCK_1.jpg</t>
  </si>
  <si>
    <t>https://dd3ka9h4chfr8.cloudfront.net/image/725136000567/image_fc8kpmrk2t2ab1bgfcerdmvc3t/-FJPG/236440-001_DET_1.jpg</t>
  </si>
  <si>
    <t>https://dd3ka9h4chfr8.cloudfront.net/image/725136000567/image_269guqbjd17855atbcpv20c73t/-FJPG/236440-001_DET_3.jpg</t>
  </si>
  <si>
    <t>https://dd3ka9h4chfr8.cloudfront.net/image/725136000567/image_2iqme00vh16sp6t2i36mfhmq3n/-FJPG/236440-001_OPN_1.jpg</t>
  </si>
  <si>
    <t>https://dd3ka9h4chfr8.cloudfront.net/image/725136000567/image_s2531m7s491j199353vpi24k7s/-FJPG/236440-001_DET_4.jpg</t>
  </si>
  <si>
    <t>https://dd3ka9h4chfr8.cloudfront.net/image/725136000567/image_tueoo59fsh4519emuu2mubrf39/-FJPG/236440-001_DET_5.jpg</t>
  </si>
  <si>
    <t>https://dd3ka9h4chfr8.cloudfront.net/image/725136000567/image_c9jprinnr13mh07t25vin6n314/-FJPG/236440-001_DET_6.jpg</t>
  </si>
  <si>
    <t>https://dd3ka9h4chfr8.cloudfront.net/image/725136000567/image_8h5fenpgb97f9ce5kt2h906b16/-FJPG/236440-001_DET_7.jpg</t>
  </si>
  <si>
    <t>https://dd3ka9h4chfr8.cloudfront.net/image/725136000567/image_vssen6n8kp5cj7rra1h4urno47/-FJPG/236440-001_DET_8.jpg</t>
  </si>
  <si>
    <t>https://dd3ka9h4chfr8.cloudfront.net/image/725136000567/image_681fgq43f55n54bt0ttev7l81b/-FJPG/236440-001_DET_9.jpg</t>
  </si>
  <si>
    <t>https://dd3ka9h4chfr8.cloudfront.net/image/725136000567/image_87l5br1m992kjd332rtonrha24/-FJPG/236440-001_DET_10.jpg</t>
  </si>
  <si>
    <t>Roark 6 Drawer Dresser - Ebony Oak Veneer</t>
  </si>
  <si>
    <t>https://dd3ka9h4chfr8.cloudfront.net/image/725136000567/image_cgtishsn1p72t7v25j6iqfat1k/-S150x150-FJPG/236440-002_PRM_1.jpg</t>
  </si>
  <si>
    <t>https://dd3ka9h4chfr8.cloudfront.net/image/725136000567/image_cgtishsn1p72t7v25j6iqfat1k/-FJPG/236440-002_PRM_1.jpg</t>
  </si>
  <si>
    <t>https://dd3ka9h4chfr8.cloudfront.net/image/725136000567/image_m7kgrj81ch1tndh5v2ptpt9c3m/-FJPG/236440-002_SID_1.jpg</t>
  </si>
  <si>
    <t>https://dd3ka9h4chfr8.cloudfront.net/image/725136000567/image_pcqk4t0ghh17ha5g03u89iu92c/-FJPG/236440-002_DET_2.jpg</t>
  </si>
  <si>
    <t>https://dd3ka9h4chfr8.cloudfront.net/image/725136000567/image_71qftvvcft1bv1na1n73ql8l3j/-FJPG/236440-002_BCK_1.jpg</t>
  </si>
  <si>
    <t>https://dd3ka9h4chfr8.cloudfront.net/image/725136000567/image_hllqrje5997fl29us9jjkvff3i/-FJPG/236440-002_DET_1.jpg</t>
  </si>
  <si>
    <t>https://dd3ka9h4chfr8.cloudfront.net/image/725136000567/image_crcucn3gn57bp97hmlhhavn10t/-FJPG/236440-002_DET_3.jpg</t>
  </si>
  <si>
    <t>https://dd3ka9h4chfr8.cloudfront.net/image/725136000567/image_nihj0n3mjp3cn2itvjbqcium3t/-FJPG/236440-002_OPN_1.jpg</t>
  </si>
  <si>
    <t>https://dd3ka9h4chfr8.cloudfront.net/image/725136000567/image_om0hahpknl12t0ckvs0hafl448/-FJPG/236440-002_TOP_1.jpg</t>
  </si>
  <si>
    <t>https://dd3ka9h4chfr8.cloudfront.net/image/725136000567/image_litpq14fil6jpfmlg042ml2s7j/-FJPG/236440-002_DET_4.jpg</t>
  </si>
  <si>
    <t>https://dd3ka9h4chfr8.cloudfront.net/image/725136000567/image_tgetpbscr14rtflba8th12pr64/-FJPG/236440-002_DET_5.jpg</t>
  </si>
  <si>
    <t>Roark Bed - Essence Natural</t>
  </si>
  <si>
    <t>https://dd3ka9h4chfr8.cloudfront.net/image/725136000567/image_7cr1ptl4nl2dnaop59sp22uc4l/-S150x150-FJPG/236438-001_PRM_1.jpg</t>
  </si>
  <si>
    <t>https://dd3ka9h4chfr8.cloudfront.net/image/725136000567/image_7cr1ptl4nl2dnaop59sp22uc4l/-FJPG/236438-001_PRM_1.jpg</t>
  </si>
  <si>
    <t>https://dd3ka9h4chfr8.cloudfront.net/image/725136000567/image_av2nvts00t1frafhqeapbr3k06/-FJPG/236438-001_SID_1.jpg</t>
  </si>
  <si>
    <t>https://dd3ka9h4chfr8.cloudfront.net/image/725136000567/image_r1jj9vf5e96nb6sr356l0vte3c/-FJPG/236438-001_ESS_1.jpg</t>
  </si>
  <si>
    <t>https://dd3ka9h4chfr8.cloudfront.net/image/725136000567/image_k9suvmafst0m1c2r36ucegc17o/-FJPG/236438-001_DET_2.jpg</t>
  </si>
  <si>
    <t>https://dd3ka9h4chfr8.cloudfront.net/image/725136000567/image_55b0dk9o9p1g5fhmea62q25j1s/-FJPG/236438-001_BCK_1.jpg</t>
  </si>
  <si>
    <t>https://dd3ka9h4chfr8.cloudfront.net/image/725136000567/image_rck6qmosl15ed8l81jojqqq609/-FJPG/236438-001_DET_1.jpg</t>
  </si>
  <si>
    <t>https://dd3ka9h4chfr8.cloudfront.net/image/725136000567/image_794dgf8j2p3l74g3dnjdkjs84k/-FJPG/236438-001_DET_3.jpg</t>
  </si>
  <si>
    <t>https://dd3ka9h4chfr8.cloudfront.net/image/725136000567/image_06nof7ams97grair6pecgecn2o/-FJPG/236438-001_DET_4.jpg</t>
  </si>
  <si>
    <t>https://dd3ka9h4chfr8.cloudfront.net/image/725136000567/image_jmd9mgqmd943t4arhs2sr23e5n/-FJPG/236438-001_DET_5.jpg</t>
  </si>
  <si>
    <t>https://dd3ka9h4chfr8.cloudfront.net/image/725136000567/image_0aejg79tfh6q12t3cn42d9ci70/-FJPG/236438-001_DET_6.jpg</t>
  </si>
  <si>
    <t>https://dd3ka9h4chfr8.cloudfront.net/image/725136000567/image_03cr9p75h52e9esoh8m59dcc6m/-FJPG/236438-001_DET_7.jpg</t>
  </si>
  <si>
    <t>https://dd3ka9h4chfr8.cloudfront.net/image/725136000567/image_5l32uvofup3ln1nscs4tihhg3c/-FJPG/236438-001_ESS.tif</t>
  </si>
  <si>
    <t>https://dd3ka9h4chfr8.cloudfront.net/image/725136000567/image_a4fdgftq8l6b78il3n71h25r6k/-S150x150-FJPG/236438-002_PRM_1.jpg</t>
  </si>
  <si>
    <t>https://dd3ka9h4chfr8.cloudfront.net/image/725136000567/image_a4fdgftq8l6b78il3n71h25r6k/-FJPG/236438-002_PRM_1.jpg</t>
  </si>
  <si>
    <t>https://dd3ka9h4chfr8.cloudfront.net/image/725136000567/image_gtmk71q9uh66d0922eeh1m0755/-FJPG/236438-002_SID_1.jpg</t>
  </si>
  <si>
    <t>https://dd3ka9h4chfr8.cloudfront.net/image/725136000567/image_e3rdbhefct6fv7qsb1f9lkb84e/-FJPG/236438-002_DET_2.jpg</t>
  </si>
  <si>
    <t>https://dd3ka9h4chfr8.cloudfront.net/image/725136000567/image_d5brk9aki95nl59a1oqa9udk6g/-FJPG/236438-002_BCK_1.jpg</t>
  </si>
  <si>
    <t>https://dd3ka9h4chfr8.cloudfront.net/image/725136000567/image_4644bl9s812mb8sc1a2p3lgg13/-FJPG/236438-002_DET_1.jpg</t>
  </si>
  <si>
    <t>https://dd3ka9h4chfr8.cloudfront.net/image/725136000567/image_jatle58qhd5qvaro6itum7ph1f/-FJPG/236438-002_DET_3.jpg</t>
  </si>
  <si>
    <t>https://dd3ka9h4chfr8.cloudfront.net/image/725136000567/image_bhk6epkjt17obal2kfonir0a10/-FJPG/236438-002_DET_4.jpg</t>
  </si>
  <si>
    <t>https://dd3ka9h4chfr8.cloudfront.net/image/725136000567/image_e34064l3553ap6gbnt7n7grk6k/-FJPG/236438-002_DET_5.jpg</t>
  </si>
  <si>
    <t>https://dd3ka9h4chfr8.cloudfront.net/image/725136000567/image_06k0ee1po1047e7mvoj3nfvf7d/-FJPG/236438-002_DET_6.jpg</t>
  </si>
  <si>
    <t>https://dd3ka9h4chfr8.cloudfront.net/image/725136000567/image_71cu3rrq0d3inb7gf6d9pphm0u/-FJPG/236438-002_DET_7.jpg</t>
  </si>
  <si>
    <t>Roark Bed - Palermo Drift</t>
  </si>
  <si>
    <t>https://dd3ka9h4chfr8.cloudfront.net/image/725136000567/image_uuj9fmbgnt56nf5l1oosnlga0r/-S150x150-FJPG/236438-003_PRM_1.jpg</t>
  </si>
  <si>
    <t>https://dd3ka9h4chfr8.cloudfront.net/image/725136000567/image_uuj9fmbgnt56nf5l1oosnlga0r/-FJPG/236438-003_PRM_1.jpg</t>
  </si>
  <si>
    <t>https://dd3ka9h4chfr8.cloudfront.net/image/725136000567/image_7ahcm5rvr57d519bmeuj9tqu59/-FJPG/236438-003_SID_1.jpg</t>
  </si>
  <si>
    <t>https://dd3ka9h4chfr8.cloudfront.net/image/725136000567/image_6vn5kpk9ld5gleb7tb7gict732/-FJPG/236438-003_DET_2.jpg</t>
  </si>
  <si>
    <t>https://dd3ka9h4chfr8.cloudfront.net/image/725136000567/image_439fvdt5897ld56gpou78l7d65/-FJPG/236438-003_BCK_1.jpg</t>
  </si>
  <si>
    <t>https://dd3ka9h4chfr8.cloudfront.net/image/725136000567/image_jseq2gk5g57ed0j4np2ml2lu2o/-FJPG/236438-003_DET_1.jpg</t>
  </si>
  <si>
    <t>https://dd3ka9h4chfr8.cloudfront.net/image/725136000567/image_0m47gecr717dlfhv4ov3tsu36e/-FJPG/236438-003_DET_3.jpg</t>
  </si>
  <si>
    <t>https://dd3ka9h4chfr8.cloudfront.net/image/725136000567/image_hqoonopvtd6o7ff1ns56irmc1s/-FJPG/236438-003_DET_4.jpg</t>
  </si>
  <si>
    <t>https://dd3ka9h4chfr8.cloudfront.net/image/725136000567/image_bjus4s4s8564b39phrgjpg0436/-FJPG/236438-003_DET_5.jpg</t>
  </si>
  <si>
    <t>https://dd3ka9h4chfr8.cloudfront.net/image/725136000567/image_jtp7ftg1d57kj4fn2gcut97h07/-FJPG/236438-003_DET_6.jpg</t>
  </si>
  <si>
    <t>https://dd3ka9h4chfr8.cloudfront.net/image/725136000567/image_ei4ovqteu16i9fgkrg6j8b2o6r/-FJPG/236438-003_DET_7.jpg</t>
  </si>
  <si>
    <t>https://dd3ka9h4chfr8.cloudfront.net/image/725136000567/image_dkju8cpm4h3v3bnm8kjrpmfr29/-FJPG/236438-003_DET_8.jpg</t>
  </si>
  <si>
    <t>https://dd3ka9h4chfr8.cloudfront.net/image/725136000567/image_jpdlte7pst6dn1l8fqj76pn120/-S150x150-FJPG/236438-004_PRM_1.jpg</t>
  </si>
  <si>
    <t>https://dd3ka9h4chfr8.cloudfront.net/image/725136000567/image_jpdlte7pst6dn1l8fqj76pn120/-FJPG/236438-004_PRM_1.jpg</t>
  </si>
  <si>
    <t>https://dd3ka9h4chfr8.cloudfront.net/image/725136000567/image_039nnm2q6l01j4sq5nfeai934q/-FJPG/236438-004_SID_1.jpg</t>
  </si>
  <si>
    <t>https://dd3ka9h4chfr8.cloudfront.net/image/725136000567/image_di9v06l4dh6tr9mqdtachuqg71/-FJPG/236438-004_DET_2.jpg</t>
  </si>
  <si>
    <t>https://dd3ka9h4chfr8.cloudfront.net/image/725136000567/image_l8ptc0q7cl0bl34h2kdrac7b4h/-FJPG/236438-004_BCK_1.jpg</t>
  </si>
  <si>
    <t>https://dd3ka9h4chfr8.cloudfront.net/image/725136000567/image_ts4fdtnc351id5rs0ceaiudf1o/-FJPG/236438-004_DET_1.jpg</t>
  </si>
  <si>
    <t>https://dd3ka9h4chfr8.cloudfront.net/image/725136000567/image_ssf1e485494dj6kndlg1ra8006/-FJPG/236438-004_DET_3.jpg</t>
  </si>
  <si>
    <t>https://dd3ka9h4chfr8.cloudfront.net/image/725136000567/image_m5h503a7il3vrev7quheji9t59/-FJPG/236438-004_DET_4.jpg</t>
  </si>
  <si>
    <t>https://dd3ka9h4chfr8.cloudfront.net/image/725136000567/image_akf730m90l1dn25jbo75kcii19/-FJPG/236438-004_DET_5.jpg</t>
  </si>
  <si>
    <t>https://dd3ka9h4chfr8.cloudfront.net/image/725136000567/image_45taua9j253l792f2o69ol210j/-FJPG/236438-004_DET_6.jpg</t>
  </si>
  <si>
    <t>https://dd3ka9h4chfr8.cloudfront.net/image/725136000567/image_naq2eq256h0gn28ugi4n2k2u6i/-FJPG/236438-004_DET_7.jpg</t>
  </si>
  <si>
    <t>Roark Media Console - Amber Oak Veneer</t>
  </si>
  <si>
    <t>https://dd3ka9h4chfr8.cloudfront.net/image/725136000567/image_bnirhr8q3p09fadehj3t31134j/-S150x150-FJPG/247896-001_PRM_1.jpg</t>
  </si>
  <si>
    <t>https://dd3ka9h4chfr8.cloudfront.net/image/725136000567/image_bnirhr8q3p09fadehj3t31134j/-FJPG/247896-001_PRM_1.jpg</t>
  </si>
  <si>
    <t>https://dd3ka9h4chfr8.cloudfront.net/image/725136000567/image_bdnug61cj97bdb27skdd6s5f3g/-FJPG/247896-001_SID_1.jpg</t>
  </si>
  <si>
    <t>https://dd3ka9h4chfr8.cloudfront.net/image/725136000567/image_jn8o0cusnl27b9prd7psdt8u0u/-FJPG/247896-001_ESS.tif</t>
  </si>
  <si>
    <t>https://dd3ka9h4chfr8.cloudfront.net/image/725136000567/image_nqhp1jbimp2qv95dgf8vm2bg52/-FJPG/247896-001_DET_2.jpg</t>
  </si>
  <si>
    <t>https://dd3ka9h4chfr8.cloudfront.net/image/725136000567/image_06muh6ohl178j9h6htqljila3j/-FJPG/247896-001_BCK_1.jpg</t>
  </si>
  <si>
    <t>https://dd3ka9h4chfr8.cloudfront.net/image/725136000567/image_ssslimtrol3ghfg2v1b0ornq4o/-FJPG/247896-001_DET_1.jpg</t>
  </si>
  <si>
    <t>https://dd3ka9h4chfr8.cloudfront.net/image/725136000567/image_6hsdiqkvml6p3ekob3fo2ap20u/-FJPG/247896-001_DET_3.jpg</t>
  </si>
  <si>
    <t>https://dd3ka9h4chfr8.cloudfront.net/image/725136000567/image_jnbpjonqh96dt2mkrjom7hg21h/-FJPG/247896-001_OPN_1.jpg</t>
  </si>
  <si>
    <t>https://dd3ka9h4chfr8.cloudfront.net/image/725136000567/image_esd4levth13qp6k524h0dn0v7v/-FJPG/247896-001_TOP_1.jpg</t>
  </si>
  <si>
    <t>https://dd3ka9h4chfr8.cloudfront.net/image/725136000567/image_77qkhttcb53jpcgpol4iuikp4p/-FJPG/247896-001_DET_4.jpg</t>
  </si>
  <si>
    <t>https://dd3ka9h4chfr8.cloudfront.net/image/725136000567/image_o7vg001bal4vv49gknv2lovj28/-FJPG/247896-001_DET_5.jpg</t>
  </si>
  <si>
    <t>https://dd3ka9h4chfr8.cloudfront.net/image/725136000567/image_t0eeggs76l2i97raj1s75cbr4o/-FJPG/247896-001_DET_6.jpg</t>
  </si>
  <si>
    <t>https://dd3ka9h4chfr8.cloudfront.net/image/725136000567/image_ha53l9ha111g5dtb05o9eiim4u/-FJPG/247896-001_DET_7.jpg</t>
  </si>
  <si>
    <t>https://dd3ka9h4chfr8.cloudfront.net/image/725136000567/image_uo6gjjsc5h245fjv2h01c8pi79/-FJPG/247896-001_DET_8.jpg</t>
  </si>
  <si>
    <t>https://dd3ka9h4chfr8.cloudfront.net/image/725136000567/image_u9oj8q710h44dckaqpc93ndp5o/-FJPG/247896-001_DET_9.tif</t>
  </si>
  <si>
    <t>Roark Media Console - Ebony Oak Veneer</t>
  </si>
  <si>
    <t>https://dd3ka9h4chfr8.cloudfront.net/image/725136000567/image_1895uoi3191dv0ckhol3bl6b7t/-S150x150-FJPG/247896-002_PRM_1.jpg</t>
  </si>
  <si>
    <t>https://dd3ka9h4chfr8.cloudfront.net/image/725136000567/image_1895uoi3191dv0ckhol3bl6b7t/-FJPG/247896-002_PRM_1.jpg</t>
  </si>
  <si>
    <t>https://dd3ka9h4chfr8.cloudfront.net/image/725136000567/image_nk4v026o1l68t0he40gmm6b73p/-FJPG/247896-002_SID_1.jpg</t>
  </si>
  <si>
    <t>https://dd3ka9h4chfr8.cloudfront.net/image/725136000567/image_3vhv37n41h7t58tb4jj3e8o23f/-FJPG/247896-002_DET_2.jpg</t>
  </si>
  <si>
    <t>https://dd3ka9h4chfr8.cloudfront.net/image/725136000567/image_n1sj3d1khp41t6ulhjn7b1ts0j/-FJPG/247896-002_BCK_1.jpg</t>
  </si>
  <si>
    <t>https://dd3ka9h4chfr8.cloudfront.net/image/725136000567/image_6s6an4hont6195pb265g3he82o/-FJPG/247896-002_DET_1.jpg</t>
  </si>
  <si>
    <t>https://dd3ka9h4chfr8.cloudfront.net/image/725136000567/image_htdht2l76d3nl1gjdnqfcrs17d/-FJPG/247896-002_DET_3.jpg</t>
  </si>
  <si>
    <t>https://dd3ka9h4chfr8.cloudfront.net/image/725136000567/image_7jebctp5at0dd3furtmi1bfo7p/-FJPG/247896-002_OPN_1.jpg</t>
  </si>
  <si>
    <t>https://dd3ka9h4chfr8.cloudfront.net/image/725136000567/image_hsl8u26bdh2mravcgs5dthci32/-FJPG/247896-002_TOP_1.jpg</t>
  </si>
  <si>
    <t>https://dd3ka9h4chfr8.cloudfront.net/image/725136000567/image_4aom0ncocl3n5d8r0cd0khu40p/-FJPG/247896-002_DET_4.jpg</t>
  </si>
  <si>
    <t>https://dd3ka9h4chfr8.cloudfront.net/image/725136000567/image_5chlhkstu9233ce07ab1fi5c0e/-FJPG/247896-002_DET_5.jpg</t>
  </si>
  <si>
    <t>https://dd3ka9h4chfr8.cloudfront.net/image/725136000567/image_986sn0858l1rv5cirs7hud9k2o/-FJPG/247896-002_DET_6.jpg</t>
  </si>
  <si>
    <t>https://dd3ka9h4chfr8.cloudfront.net/image/725136000567/image_eejb1t38td2115o8vie1o6825s/-FJPG/247896-002_DET_7.jpg</t>
  </si>
  <si>
    <t>https://dd3ka9h4chfr8.cloudfront.net/image/725136000567/image_c2mdeb3l7t7qv2bm1dnmf2f739/-FJPG/247896-002_DET_8.jpg</t>
  </si>
  <si>
    <t>Roark Nightstand - Amber Oak Veneer</t>
  </si>
  <si>
    <t>https://dd3ka9h4chfr8.cloudfront.net/image/725136000567/image_15c0t44eh93bv01ccj2jvnb91n/-S150x150-FJPG/236439-001_PRM_1.jpg</t>
  </si>
  <si>
    <t>https://dd3ka9h4chfr8.cloudfront.net/image/725136000567/image_15c0t44eh93bv01ccj2jvnb91n/-FJPG/236439-001_PRM_1.jpg</t>
  </si>
  <si>
    <t>https://dd3ka9h4chfr8.cloudfront.net/image/725136000567/image_cim3144fvp661251r7at831d76/-FJPG/236439-001_SID_1.jpg</t>
  </si>
  <si>
    <t>https://dd3ka9h4chfr8.cloudfront.net/image/725136000567/image_1tee97st192n75l6ophu0bvd5k/-FJPG/236439-001_ESS_1.jpg</t>
  </si>
  <si>
    <t>https://dd3ka9h4chfr8.cloudfront.net/image/725136000567/image_j6uov8s0hp33h2ajv0auoeql5k/-FJPG/236439-001_DET_2.jpg</t>
  </si>
  <si>
    <t>https://dd3ka9h4chfr8.cloudfront.net/image/725136000567/image_2q74ac50n11fn3ui2isa6ekc72/-FJPG/236439-001_BCK_1.jpg</t>
  </si>
  <si>
    <t>https://dd3ka9h4chfr8.cloudfront.net/image/725136000567/image_lu00e9mrmd30t01i6sf503q06c/-FJPG/236439-001_DET_1.jpg</t>
  </si>
  <si>
    <t>https://dd3ka9h4chfr8.cloudfront.net/image/725136000567/image_qcrh9fmda53f1fejkvg4d98b3e/-FJPG/236439-001_DET_3.jpg</t>
  </si>
  <si>
    <t>https://dd3ka9h4chfr8.cloudfront.net/image/725136000567/image_hv2uqh9pbl0lp70cb83qt2nb28/-FJPG/236439-001_OPN_1.jpg</t>
  </si>
  <si>
    <t>https://dd3ka9h4chfr8.cloudfront.net/image/725136000567/image_884mnm7app2gb9ae5adj808n4g/-FJPG/236439-001_DET_4.jpg</t>
  </si>
  <si>
    <t>https://dd3ka9h4chfr8.cloudfront.net/image/725136000567/image_blc5m7lmi90cr0r0c5tv9n8n61/-FJPG/236439-001_DET_5.jpg</t>
  </si>
  <si>
    <t>https://dd3ka9h4chfr8.cloudfront.net/image/725136000567/image_h9kbapfmlh1apalm8sonbim66u/-FJPG/236439-001_DET_6.jpg</t>
  </si>
  <si>
    <t>https://dd3ka9h4chfr8.cloudfront.net/image/725136000567/image_rht1sna21p5618davpgghltf3m/-FJPG/236439-001_DET_7.jpg</t>
  </si>
  <si>
    <t>https://dd3ka9h4chfr8.cloudfront.net/image/725136000567/image_v6c307f6k163daujs9r4tojk5n/-FJPG/236439-001_DET_8.jpg</t>
  </si>
  <si>
    <t>https://dd3ka9h4chfr8.cloudfront.net/image/725136000567/image_i7pq6fr8tp5s71dk5ua70h1h0b/-FJPG/236439-001_DET_9.jpg</t>
  </si>
  <si>
    <t>https://dd3ka9h4chfr8.cloudfront.net/image/725136000567/image_b1jmv60jrp4ebd8i6grcv1q43d/-FJPG/236439-001_DET_10.jpg</t>
  </si>
  <si>
    <t>https://dd3ka9h4chfr8.cloudfront.net/image/725136000567/image_o0is7q6hdt5c943rsaulis6e1f/-FJPG/236439-001_DET_11.jpg</t>
  </si>
  <si>
    <t>Roark Nightstand - Ebony Oak Veneer</t>
  </si>
  <si>
    <t>https://dd3ka9h4chfr8.cloudfront.net/image/725136000567/image_j682e2seh94urcd39uh12v1e1a/-S150x150-FJPG/236439-002_PRM_1.jpg</t>
  </si>
  <si>
    <t>https://dd3ka9h4chfr8.cloudfront.net/image/725136000567/image_j682e2seh94urcd39uh12v1e1a/-FJPG/236439-002_PRM_1.jpg</t>
  </si>
  <si>
    <t>https://dd3ka9h4chfr8.cloudfront.net/image/725136000567/image_elcd1rr3eh2qd465farnmfsj1d/-FJPG/236439-002_SID_1.jpg</t>
  </si>
  <si>
    <t>https://dd3ka9h4chfr8.cloudfront.net/image/725136000567/image_hc5qk2og097vb0nnke2m5ipd5d/-FJPG/236439-002_DET_2.jpg</t>
  </si>
  <si>
    <t>https://dd3ka9h4chfr8.cloudfront.net/image/725136000567/image_pml5tunt0t1td0hto109ud7j79/-FJPG/236439-002_BCK_1.jpg</t>
  </si>
  <si>
    <t>https://dd3ka9h4chfr8.cloudfront.net/image/725136000567/image_kqanlgge6p1qb5sj125ri4n70c/-FJPG/236439-002_DET_1.jpg</t>
  </si>
  <si>
    <t>https://dd3ka9h4chfr8.cloudfront.net/image/725136000567/image_ri2tro2j415319gs36mhnl884c/-FJPG/236439-002_DET_3.jpg</t>
  </si>
  <si>
    <t>https://dd3ka9h4chfr8.cloudfront.net/image/725136000567/image_39s5kr5e4h3017s9f4piiogp1n/-FJPG/236439-002_OPN_1.jpg</t>
  </si>
  <si>
    <t>https://dd3ka9h4chfr8.cloudfront.net/image/725136000567/image_44dodri4al6rlc5aupub5i9g51/-FJPG/236439-002_TOP_1.jpg</t>
  </si>
  <si>
    <t>https://dd3ka9h4chfr8.cloudfront.net/image/725136000567/image_f0ob71riet1q531vfjeclbuh61/-FJPG/236439-002_DET_4.jpg</t>
  </si>
  <si>
    <t>https://dd3ka9h4chfr8.cloudfront.net/image/725136000567/image_8rnq9loii95j59tjcdmlfrj779/-FJPG/236439-002_DET_5.jpg</t>
  </si>
  <si>
    <t>https://dd3ka9h4chfr8.cloudfront.net/image/725136000567/image_bq483lv27l33hdt00kcveiai7t/-FJPG/236439-002_DET_6.jpg</t>
  </si>
  <si>
    <t>https://dd3ka9h4chfr8.cloudfront.net/image/725136000567/image_sn02rl1of549f6r3r2uej4hd6a/-FJPG/236439-002_DET_7.jpg</t>
  </si>
  <si>
    <t>Rosedale 3 Drawer Dresser - Ebony Oak Veneer</t>
  </si>
  <si>
    <t>https://dd3ka9h4chfr8.cloudfront.net/image/725136000567/image_4eg21le8ch71j70qlcnej47m7n/-S150x150-FJPG/108448-003_PRM_1.jpg</t>
  </si>
  <si>
    <t>https://dd3ka9h4chfr8.cloudfront.net/image/725136000567/image_4eg21le8ch71j70qlcnej47m7n/-FJPG/108448-003_PRM_1.jpg</t>
  </si>
  <si>
    <t>https://dd3ka9h4chfr8.cloudfront.net/image/725136000567/image_hag8c78lq922f6cgm1jnsfpj1k/-FJPG/108448-003_SID_1.jpg</t>
  </si>
  <si>
    <t>https://dd3ka9h4chfr8.cloudfront.net/image/725136000567/image_02kvpr16il04b01g1gubr97k7e/-FJPG/108448-003_ESS_1.jpg</t>
  </si>
  <si>
    <t>https://dd3ka9h4chfr8.cloudfront.net/image/725136000567/image_tqoomurkjd6dhbd4kf0al81v2e/-FJPG/108448-003_DET_2.jpg</t>
  </si>
  <si>
    <t>https://dd3ka9h4chfr8.cloudfront.net/image/725136000567/image_411c7hqjsl4f721gls3f0khd06/-FJPG/108448-003_BCK_1.jpg</t>
  </si>
  <si>
    <t>https://dd3ka9h4chfr8.cloudfront.net/image/725136000567/image_gnflc9ugud3c56t4ojr45iv52g/-FJPG/108448-003_DET_1.jpg</t>
  </si>
  <si>
    <t>https://dd3ka9h4chfr8.cloudfront.net/image/725136000567/image_vrggsc8hph13l9pj95dsmido1q/-FJPG/108448-003_DET_3.jpg</t>
  </si>
  <si>
    <t>https://dd3ka9h4chfr8.cloudfront.net/image/725136000567/image_7bsiki335p6ehbcssdv1hu5c2s/-FJPG/108448-003_OPN_1.jpg</t>
  </si>
  <si>
    <t>https://dd3ka9h4chfr8.cloudfront.net/image/725136000567/image_qut454aulh2pd30qd7mi32pn4a/-FJPG/108448-003_DET_4.jpg</t>
  </si>
  <si>
    <t>https://dd3ka9h4chfr8.cloudfront.net/image/725136000567/image_j2h827lqa97ef96r42vnseb441/-FJPG/108448-003_DET_5.jpg</t>
  </si>
  <si>
    <t>Rosedale 3 Drawer Dresser - Yucca Oak Veneer</t>
  </si>
  <si>
    <t>https://dd3ka9h4chfr8.cloudfront.net/image/725136000567/image_dghskd142l3g3akh3cjhtrlc2e/-S150x150-FJPG/108448-002_PRM_1.jpg</t>
  </si>
  <si>
    <t>https://dd3ka9h4chfr8.cloudfront.net/image/725136000567/image_dghskd142l3g3akh3cjhtrlc2e/-FJPG/108448-002_PRM_1.jpg</t>
  </si>
  <si>
    <t>https://dd3ka9h4chfr8.cloudfront.net/image/725136000567/image_fjcqfctdjp3lp8qt5b2mg9u358/-FJPG/108448-002_SID_1.jpg</t>
  </si>
  <si>
    <t>https://dd3ka9h4chfr8.cloudfront.net/image/725136000567/image_1reed37klh0lpc5mik3rgofe7v/-FJPG/108448-002_ESS_1.jpg</t>
  </si>
  <si>
    <t>https://dd3ka9h4chfr8.cloudfront.net/image/725136000567/image_gk2amu0egl1bjaq1nuns25ik2n/-FJPG/108448-002_DET_2.jpg</t>
  </si>
  <si>
    <t>https://dd3ka9h4chfr8.cloudfront.net/image/725136000567/image_lk8osrhfkh6sr8n4c4tk7p005f/-FJPG/108448-002_BCK_1.jpg</t>
  </si>
  <si>
    <t>https://dd3ka9h4chfr8.cloudfront.net/image/725136000567/image_cbgdgk67bt4dn09h7r5h9h7o4i/-FJPG/108448-002_DET_1.jpg</t>
  </si>
  <si>
    <t>https://dd3ka9h4chfr8.cloudfront.net/image/725136000567/image_6u5plq8pmt4131uabsolotri2m/-FJPG/108448-002_DET_3.jpg</t>
  </si>
  <si>
    <t>https://dd3ka9h4chfr8.cloudfront.net/image/725136000567/image_2utiul937t70pa1u4h36sv3g7t/-FJPG/108448-002_OPN_1.JPG</t>
  </si>
  <si>
    <t>https://dd3ka9h4chfr8.cloudfront.net/image/725136000567/image_4up2de5g1p3pt6sjqqmsvu6i6a/-FJPG/108448-002_DET_4.jpg</t>
  </si>
  <si>
    <t>https://dd3ka9h4chfr8.cloudfront.net/image/725136000567/image_3fgr2r52nh379ec9rb84aqtd0v/-FJPG/108448-002_DET_5.jpg</t>
  </si>
  <si>
    <t>https://dd3ka9h4chfr8.cloudfront.net/image/725136000567/image_06iqqr7kfd23701vd1aarbks57/-FJPG/108448-002_DET_6.jpg</t>
  </si>
  <si>
    <t>https://dd3ka9h4chfr8.cloudfront.net/image/725136000567/image_gnje4hsk65603e8bhk19bcj92g/-FJPG/108448-002_DET_7.jpg</t>
  </si>
  <si>
    <t>https://dd3ka9h4chfr8.cloudfront.net/image/725136000567/image_jfr4kug38p42b1h1nfps3h0373/-FJPG/108448-002_DET_8.jpg</t>
  </si>
  <si>
    <t>https://dd3ka9h4chfr8.cloudfront.net/image/725136000567/image_3hllmcr1f54rn9rcm79fa18c5c/-FJPG/FHMPRJ-007_SCENE_19.tif</t>
  </si>
  <si>
    <t>Rosedale 6 Drawer Dresser - Ebony Oak Veneer</t>
  </si>
  <si>
    <t>https://dd3ka9h4chfr8.cloudfront.net/image/725136000567/image_dj7gjhlj3h2bf136ad77puqd65/-S150x150-FJPG/109065-003_PRM_1.jpg</t>
  </si>
  <si>
    <t>https://dd3ka9h4chfr8.cloudfront.net/image/725136000567/image_dj7gjhlj3h2bf136ad77puqd65/-FJPG/109065-003_PRM_1.jpg</t>
  </si>
  <si>
    <t>https://dd3ka9h4chfr8.cloudfront.net/image/725136000567/image_p26f8kojtd1517jnifks1lhn59/-FJPG/109065-003_SID_1.jpg</t>
  </si>
  <si>
    <t>https://dd3ka9h4chfr8.cloudfront.net/image/725136000567/image_pmtkjhuljp0ad76qev8vsfr137/-FJPG/109065-003_ESS_1.jpg</t>
  </si>
  <si>
    <t>https://dd3ka9h4chfr8.cloudfront.net/image/725136000567/image_s86pb4d6f96gj18sm1qrj2es5h/-FJPG/109065-003_DET_2.jpg</t>
  </si>
  <si>
    <t>https://dd3ka9h4chfr8.cloudfront.net/image/725136000567/image_aab0uu7jkp46t8vfe6l46on761/-FJPG/109065-003_BCK_1.jpg</t>
  </si>
  <si>
    <t>https://dd3ka9h4chfr8.cloudfront.net/image/725136000567/image_mbr289ba655n73tiq883k4h54f/-FJPG/109065-003_DET_1.jpg</t>
  </si>
  <si>
    <t>https://dd3ka9h4chfr8.cloudfront.net/image/725136000567/image_mn2nuo281l5k5aq0k7ct2v6423/-FJPG/109065-003_DET_3.jpg</t>
  </si>
  <si>
    <t>https://dd3ka9h4chfr8.cloudfront.net/image/725136000567/image_rfst3ffqhp4jv668ekmvrfqd6o/-FJPG/109065-003_OPN_1.jpg</t>
  </si>
  <si>
    <t>https://dd3ka9h4chfr8.cloudfront.net/image/725136000567/image_0ad4e8ijkl21tfp989vhkntf2g/-FJPG/109065-003_DET_4.jpg</t>
  </si>
  <si>
    <t>https://dd3ka9h4chfr8.cloudfront.net/image/725136000567/image_vpemrpe20d21davm2pvntqfc36/-FJPG/109065-003_DET_5.jpg</t>
  </si>
  <si>
    <t>Rosedale 6 Drawer Dresser - Yucca Oak Veneer</t>
  </si>
  <si>
    <t>https://dd3ka9h4chfr8.cloudfront.net/image/725136000567/image_3tdp034rfp2oj1ev7si6itjj3q/-S150x150-FJPG/109065-002_PRM_1.jpg</t>
  </si>
  <si>
    <t>https://dd3ka9h4chfr8.cloudfront.net/image/725136000567/image_3tdp034rfp2oj1ev7si6itjj3q/-FJPG/109065-002_PRM_1.jpg</t>
  </si>
  <si>
    <t>https://dd3ka9h4chfr8.cloudfront.net/image/725136000567/image_o69dtq8uoh0ab1riqhc3bp7s7m/-FJPG/109065-002_SID_1.jpg</t>
  </si>
  <si>
    <t>https://dd3ka9h4chfr8.cloudfront.net/image/725136000567/image_j5lt0vgvjt3st2mt0eenbmpp7g/-FJPG/109065-002_ESS_1.jpg</t>
  </si>
  <si>
    <t>https://dd3ka9h4chfr8.cloudfront.net/image/725136000567/image_7r10cmmr150ob1dio4iu9dso70/-FJPG/109065-002_DET_2.jpg</t>
  </si>
  <si>
    <t>https://dd3ka9h4chfr8.cloudfront.net/image/725136000567/image_ue8db2o9it5832r7lsgu47jn7b/-FJPG/109065-002_BCK_1.jpg</t>
  </si>
  <si>
    <t>https://dd3ka9h4chfr8.cloudfront.net/image/725136000567/image_8n88vj1ue50d739drj2t3h841i/-FJPG/109065-002_DET_1.jpg</t>
  </si>
  <si>
    <t>https://dd3ka9h4chfr8.cloudfront.net/image/725136000567/image_j39ebh5r9d2uh81rb6l6j76h5j/-FJPG/109065-002_DET_3.jpg</t>
  </si>
  <si>
    <t>https://dd3ka9h4chfr8.cloudfront.net/image/725136000567/image_25g3o9l7b95cb9rm69eab57e7q/-FJPG/109065-002_OPN_1.jpg</t>
  </si>
  <si>
    <t>https://dd3ka9h4chfr8.cloudfront.net/image/725136000567/image_3qajf39u0p4rpbbld4a8uht36o/-FJPG/109065-002_GRP_1.jpg</t>
  </si>
  <si>
    <t>https://dd3ka9h4chfr8.cloudfront.net/image/725136000567/image_ft4cakbk0p4at6disnsoo26a3q/-FJPG/109065-002_DET_4.jpg</t>
  </si>
  <si>
    <t>https://dd3ka9h4chfr8.cloudfront.net/image/725136000567/image_hp18bjm7md1apap9tmf31jnh56/-FJPG/109065-002_DET_5.jpg</t>
  </si>
  <si>
    <t>https://dd3ka9h4chfr8.cloudfront.net/image/725136000567/image_c2jh8e45311cv0f7ga0et52g49/-FJPG/109065-002_DET_6.jpg</t>
  </si>
  <si>
    <t>https://dd3ka9h4chfr8.cloudfront.net/image/725136000567/image_c643e5kl7l73r3dvqu4m8tjs0b/-FJPG/109065-002_DET_7.jpg</t>
  </si>
  <si>
    <t>https://dd3ka9h4chfr8.cloudfront.net/image/725136000567/image_7vqg6nqh4l03h722rk6n01e52c/-FJPG/109065-002_DET_8.jpg</t>
  </si>
  <si>
    <t>https://dd3ka9h4chfr8.cloudfront.net/image/725136000567/image_h79c329gi51hf0s20j6s636r72/-FJPG/109065-002_GRP_2.jpg</t>
  </si>
  <si>
    <t>https://dd3ka9h4chfr8.cloudfront.net/image/725136000567/image_nitjnhc0hl5333a5srcugb681d/-FJPG/109065-002_GRP_3.jpg</t>
  </si>
  <si>
    <t>Rosedale 6 Drawer Tall Dresser - Ebony Oak Veneer</t>
  </si>
  <si>
    <t>https://dd3ka9h4chfr8.cloudfront.net/image/725136000567/image_jmpofu03892idervu22fhdn426/-S150x150-FJPG/108708-003_PRM_1.jpg</t>
  </si>
  <si>
    <t>https://dd3ka9h4chfr8.cloudfront.net/image/725136000567/image_jmpofu03892idervu22fhdn426/-FJPG/108708-003_PRM_1.jpg</t>
  </si>
  <si>
    <t>https://dd3ka9h4chfr8.cloudfront.net/image/725136000567/image_0bn2du0dgp3h9d3cs8a5eni57c/-FJPG/108708-003_SID_1.jpg</t>
  </si>
  <si>
    <t>https://dd3ka9h4chfr8.cloudfront.net/image/725136000567/image_u4g6vf0p015835c1luqgpoap6c/-FJPG/108708-003_ESS_1.jpg</t>
  </si>
  <si>
    <t>https://dd3ka9h4chfr8.cloudfront.net/image/725136000567/image_upjfha1l394s13dvmebsa6b740/-FJPG/108708-003_DET_2.jpg</t>
  </si>
  <si>
    <t>https://dd3ka9h4chfr8.cloudfront.net/image/725136000567/image_6oavi3q26h4lhac3ku2vvu6579/-FJPG/108708-003_BCK_1.jpg</t>
  </si>
  <si>
    <t>https://dd3ka9h4chfr8.cloudfront.net/image/725136000567/image_k2snpi047p7ql8lt09lot1rg7f/-FJPG/108708-003_DET_1.jpg</t>
  </si>
  <si>
    <t>https://dd3ka9h4chfr8.cloudfront.net/image/725136000567/image_pf7d76brmh35n78e4ija2hpq2m/-FJPG/108708-003_OPN_1.jpg</t>
  </si>
  <si>
    <t>https://dd3ka9h4chfr8.cloudfront.net/image/725136000567/image_t81iroskqd2phcaqfuqgecgv2j/-FJPG/108708-003_DET_4.jpg</t>
  </si>
  <si>
    <t>https://dd3ka9h4chfr8.cloudfront.net/image/725136000567/image_gmmli48j113c141pt57lo47o3u/-FJPG/108708-003_DET_5.jpg</t>
  </si>
  <si>
    <t>https://dd3ka9h4chfr8.cloudfront.net/image/725136000567/image_1vi88i9j8924h76es20lqdkp08/-FJPG/108708-003_DET_8.jpg</t>
  </si>
  <si>
    <t>Rosedale 6 Drawer Tall Dresser - Yucca Oak Veneer</t>
  </si>
  <si>
    <t>https://dd3ka9h4chfr8.cloudfront.net/image/725136000567/image_5vvrm76g6p3tdcttuoc1d4ge7l/-S150x150-FJPG/108708-002_PRM_1.jpg</t>
  </si>
  <si>
    <t>https://dd3ka9h4chfr8.cloudfront.net/image/725136000567/image_5vvrm76g6p3tdcttuoc1d4ge7l/-FJPG/108708-002_PRM_1.jpg</t>
  </si>
  <si>
    <t>https://dd3ka9h4chfr8.cloudfront.net/image/725136000567/image_67v8r56ks94mh32oa126v49d7k/-FJPG/108708-002_SID_1.jpg</t>
  </si>
  <si>
    <t>https://dd3ka9h4chfr8.cloudfront.net/image/725136000567/image_br7245ipjh1hp4qvbp60tdl56d/-FJPG/108708-002_ESS_1.jpg</t>
  </si>
  <si>
    <t>https://dd3ka9h4chfr8.cloudfront.net/image/725136000567/image_c1brn2mkj579v4klqvfrich83c/-FJPG/108708-002_DET_2.jpg</t>
  </si>
  <si>
    <t>https://dd3ka9h4chfr8.cloudfront.net/image/725136000567/image_q1k5bdsqmp3f1fkqingetllb4k/-FJPG/108708-002_BCK_1.jpg</t>
  </si>
  <si>
    <t>https://dd3ka9h4chfr8.cloudfront.net/image/725136000567/image_1pi28k9sc56pl4o7in0ocjet24/-FJPG/108708-002_DET_1.jpg</t>
  </si>
  <si>
    <t>https://dd3ka9h4chfr8.cloudfront.net/image/725136000567/image_ef73hnfedt2mhe18nhm7n5d846/-FJPG/108708-002_DET_3.jpg</t>
  </si>
  <si>
    <t>https://dd3ka9h4chfr8.cloudfront.net/image/725136000567/image_ni5c41bv6h0v3a942a7hir3i2o/-FJPG/108708-002_OPN_1.jpg</t>
  </si>
  <si>
    <t>https://dd3ka9h4chfr8.cloudfront.net/image/725136000567/image_1cke1f2oep0575ubbfeidfdn31/-FJPG/108708-002_DET_4.jpg</t>
  </si>
  <si>
    <t>https://dd3ka9h4chfr8.cloudfront.net/image/725136000567/image_9f2a3mvnt93qhcder5eqin8k04/-FJPG/108708-002_DET_5.jpg</t>
  </si>
  <si>
    <t>https://dd3ka9h4chfr8.cloudfront.net/image/725136000567/image_7hmtuuf1s930j37753g7d56r1a/-FJPG/108708-002_DET_6.jpg</t>
  </si>
  <si>
    <t>https://dd3ka9h4chfr8.cloudfront.net/image/725136000567/image_go3rmav7th5e1atiqv59t77m3m/-FJPG/108708-002_DET_7.jpg</t>
  </si>
  <si>
    <t>Rosedale 8 Drawer Dresser - Ebony Oak Veneer</t>
  </si>
  <si>
    <t>https://dd3ka9h4chfr8.cloudfront.net/image/725136000567/image_kkkku1792h27d54gb86dl2m64v/-S150x150-FJPG/246172-002_PRM_1.jpg</t>
  </si>
  <si>
    <t>https://dd3ka9h4chfr8.cloudfront.net/image/725136000567/image_kkkku1792h27d54gb86dl2m64v/-FJPG/246172-002_PRM_1.jpg</t>
  </si>
  <si>
    <t>https://dd3ka9h4chfr8.cloudfront.net/image/725136000567/image_hc65q00ul979jbtlch5uvllv66/-FJPG/246172-002_SID_1.jpg</t>
  </si>
  <si>
    <t>https://dd3ka9h4chfr8.cloudfront.net/image/725136000567/image_6la5nngj7t4bn8ilrp602icj03/-FJPG/246172-002_DET_2.jpg</t>
  </si>
  <si>
    <t>https://dd3ka9h4chfr8.cloudfront.net/image/725136000567/image_4tmjo411255pnf7hjc6hh45f7b/-FJPG/246172-002_BCK_1.jpg</t>
  </si>
  <si>
    <t>https://dd3ka9h4chfr8.cloudfront.net/image/725136000567/image_74dn71has16affgf275hbi113k/-FJPG/246172-002_DET_1.jpg</t>
  </si>
  <si>
    <t>https://dd3ka9h4chfr8.cloudfront.net/image/725136000567/image_9a4gkbhcod247ca3ee9go1ao3u/-FJPG/246172-002_DET_3.jpg</t>
  </si>
  <si>
    <t>https://dd3ka9h4chfr8.cloudfront.net/image/725136000567/image_u57shupet574f97hvuij15ks4v/-FJPG/246172-002_OPN_1.jpg</t>
  </si>
  <si>
    <t>https://dd3ka9h4chfr8.cloudfront.net/image/725136000567/image_rn7vpvg1k536df6naslgteb63a/-FJPG/246172-002_TOP_1.jpg</t>
  </si>
  <si>
    <t>https://dd3ka9h4chfr8.cloudfront.net/image/725136000567/image_g1e4oa6ms92pn4ihjfki2lan01/-FJPG/246172-002_DET_4.jpg</t>
  </si>
  <si>
    <t>https://dd3ka9h4chfr8.cloudfront.net/image/725136000567/image_8silqe6tgt327ahs1r65oq025a/-FJPG/246172-002_DET_5.jpg</t>
  </si>
  <si>
    <t>https://dd3ka9h4chfr8.cloudfront.net/image/725136000567/image_oepi73264t5i9fbsjjsh2rdo6i/-FJPG/246172-002_DET_6.jpg</t>
  </si>
  <si>
    <t>https://dd3ka9h4chfr8.cloudfront.net/image/725136000567/image_21u7l2mr7t2s13dnesmavv3l4p/-FJPG/246172-002_DET_7.jpg</t>
  </si>
  <si>
    <t>https://dd3ka9h4chfr8.cloudfront.net/image/725136000567/image_lcn6n6cgrh2nv1ebbcob694i1t/-FJPG/246172-002_DET_8.jpg</t>
  </si>
  <si>
    <t>Rosedale 8 Drawer Dresser - Yucca Oak Veneer</t>
  </si>
  <si>
    <t>https://dd3ka9h4chfr8.cloudfront.net/image/725136000567/image_g4i22o84s12ct36l6fvhv3fl5k/-S150x150-FJPG/246172-001_PRM_1.jpg</t>
  </si>
  <si>
    <t>https://dd3ka9h4chfr8.cloudfront.net/image/725136000567/image_g4i22o84s12ct36l6fvhv3fl5k/-FJPG/246172-001_PRM_1.jpg</t>
  </si>
  <si>
    <t>https://dd3ka9h4chfr8.cloudfront.net/image/725136000567/image_eea3n1gjqh3n9fih5op85n4j4l/-FJPG/246172-001_SID_1.jpg</t>
  </si>
  <si>
    <t>https://dd3ka9h4chfr8.cloudfront.net/image/725136000567/image_cfso166rtp16b1j20vhbdo5l2p/-FJPG/246172-001_ESS.tif</t>
  </si>
  <si>
    <t>https://dd3ka9h4chfr8.cloudfront.net/image/725136000567/image_2vm9bue9656sv1cksab7alig4o/-FJPG/246172-001_DET_2.jpg</t>
  </si>
  <si>
    <t>https://dd3ka9h4chfr8.cloudfront.net/image/725136000567/image_p9f3oph85568v6hr7lso5e5a2h/-FJPG/246172-001_BCK_1.jpg</t>
  </si>
  <si>
    <t>https://dd3ka9h4chfr8.cloudfront.net/image/725136000567/image_0ciacakemp5mv4sm67s0cice20/-FJPG/246172-001_DET_1.jpg</t>
  </si>
  <si>
    <t>https://dd3ka9h4chfr8.cloudfront.net/image/725136000567/image_6mnug7mhsp2a31ufpriichqg6n/-FJPG/246172-001_DET_3.jpg</t>
  </si>
  <si>
    <t>https://dd3ka9h4chfr8.cloudfront.net/image/725136000567/image_hior0tckv17tl2n59c9gidc90g/-FJPG/246172-001_OPN_1.jpg</t>
  </si>
  <si>
    <t>https://dd3ka9h4chfr8.cloudfront.net/image/725136000567/image_arrmcthv4p4gf5fq4mbca0e01i/-FJPG/246172-001_TOP_1.jpg</t>
  </si>
  <si>
    <t>https://dd3ka9h4chfr8.cloudfront.net/image/725136000567/image_8g8u2q1v953br2p5onptg86i19/-FJPG/246172-001_DET_4.jpg</t>
  </si>
  <si>
    <t>https://dd3ka9h4chfr8.cloudfront.net/image/725136000567/image_dioltcpvmd46v5mb6eg33n9o4u/-FJPG/246172-001_DET_5.jpg</t>
  </si>
  <si>
    <t>https://dd3ka9h4chfr8.cloudfront.net/image/725136000567/image_qhi0kn3v5h2hpaog5s2cohg44p/-FJPG/246172-001_DET_6.jpg</t>
  </si>
  <si>
    <t>https://dd3ka9h4chfr8.cloudfront.net/image/725136000567/image_b8i1j47qlp4gv0ol0nr40nnm09/-FJPG/246172-001_DET_7.jpg</t>
  </si>
  <si>
    <t>Rosedale Bed - Chaps Sand</t>
  </si>
  <si>
    <t>https://dd3ka9h4chfr8.cloudfront.net/image/725136000567/image_oj229uq7o53fn6kc0onkq7d815/-S150x150-FJPG/108480-003_PRM_1.jpg</t>
  </si>
  <si>
    <t>https://dd3ka9h4chfr8.cloudfront.net/image/725136000567/image_oj229uq7o53fn6kc0onkq7d815/-FJPG/108480-003_PRM_1.jpg</t>
  </si>
  <si>
    <t>https://dd3ka9h4chfr8.cloudfront.net/image/725136000567/image_i6oo9tres157dcp30udk1po443/-FJPG/108480-003_SID_1.jpg</t>
  </si>
  <si>
    <t>https://dd3ka9h4chfr8.cloudfront.net/image/725136000567/image_39970f92qt2ot7fkbdn5s37i7s/-FJPG/108480-003_ESS_1.jpg</t>
  </si>
  <si>
    <t>https://dd3ka9h4chfr8.cloudfront.net/image/725136000567/image_d24plth7b96irb6vvsvgrcuv4l/-FJPG/108480-003_DET_2.jpg</t>
  </si>
  <si>
    <t>https://dd3ka9h4chfr8.cloudfront.net/image/725136000567/image_11rvndm17t5ttceev2drsmnl4m/-FJPG/108480-003_BCK_1.jpg</t>
  </si>
  <si>
    <t>https://dd3ka9h4chfr8.cloudfront.net/image/725136000567/image_r2696oekpt4hl1fg7m6st6jo0s/-FJPG/108480-003_DET_1.jpg</t>
  </si>
  <si>
    <t>https://dd3ka9h4chfr8.cloudfront.net/image/725136000567/image_lb4uhdp3n55jh2539bgah9js4o/-FJPG/108480-003_DET_3.jpg</t>
  </si>
  <si>
    <t>https://dd3ka9h4chfr8.cloudfront.net/image/725136000567/image_m3mk7ss18p43j20a5oi4nh4826/-FJPG/108480-003_DET_4.jpg</t>
  </si>
  <si>
    <t>https://dd3ka9h4chfr8.cloudfront.net/image/725136000567/image_qhac0rrli12b77mu1i7lv3960j/-FJPG/108480-003_DET_5.jpg</t>
  </si>
  <si>
    <t>https://dd3ka9h4chfr8.cloudfront.net/image/725136000567/image_t1v20ufr6t0q7andvmjrf0do2a/-FJPG/108480-003_DET_6.jpg</t>
  </si>
  <si>
    <t>https://dd3ka9h4chfr8.cloudfront.net/image/725136000567/image_05tgn2o39l5296v56g3lmtq74a/-FJPG/108480-003_DET_7.jpg</t>
  </si>
  <si>
    <t>https://dd3ka9h4chfr8.cloudfront.net/image/725136000567/image_fs8s6qb7dl0617al2cv4i5p16l/-FJPG/108480-003_DET_8.jpg</t>
  </si>
  <si>
    <t>https://dd3ka9h4chfr8.cloudfront.net/image/725136000567/image_kho2d3po114in564dmsgu3lm4n/-FJPG/108480-003_DET_9.jpg</t>
  </si>
  <si>
    <t>https://dd3ka9h4chfr8.cloudfront.net/image/725136000567/image_faaopmo21h7qt4939ac2bd6f2g/-FJPG/108480-003_VIG_1.jpg</t>
  </si>
  <si>
    <t>https://dd3ka9h4chfr8.cloudfront.net/image/725136000567/image_ggedq58b9l0jv30m9evpbvjr2t/-S150x150-FJPG/108480-004_PRM_1.jpg</t>
  </si>
  <si>
    <t>https://dd3ka9h4chfr8.cloudfront.net/image/725136000567/image_ggedq58b9l0jv30m9evpbvjr2t/-FJPG/108480-004_PRM_1.jpg</t>
  </si>
  <si>
    <t>https://dd3ka9h4chfr8.cloudfront.net/image/725136000567/image_38c22q7s5d1mb1gifkiob6nl59/-FJPG/108480-004_SID_1.jpg</t>
  </si>
  <si>
    <t>https://dd3ka9h4chfr8.cloudfront.net/image/725136000567/image_gdloiv4u5d5olaohr0lr0p8c3a/-FJPG/108480-004_ESS_1.jpg</t>
  </si>
  <si>
    <t>https://dd3ka9h4chfr8.cloudfront.net/image/725136000567/image_gbsq260ech1jl7g17t93icrg2b/-FJPG/108480-004_DET_2.jpg</t>
  </si>
  <si>
    <t>https://dd3ka9h4chfr8.cloudfront.net/image/725136000567/image_k3cqavov417j9714tnbl0eqp7l/-FJPG/108480-004_BCK_1.jpg</t>
  </si>
  <si>
    <t>https://dd3ka9h4chfr8.cloudfront.net/image/725136000567/image_ef6l1mh69d7lh9q38mtfkosm7q/-FJPG/108480-004_DET_1.jpg</t>
  </si>
  <si>
    <t>https://dd3ka9h4chfr8.cloudfront.net/image/725136000567/image_1s1lrlht4d46h0q7f3sjl4t766/-FJPG/108480-004_DET_3.jpg</t>
  </si>
  <si>
    <t>https://dd3ka9h4chfr8.cloudfront.net/image/725136000567/image_nouifeugmp4trbcqgcucl9115l/-FJPG/108480-004_DET_4.jpg</t>
  </si>
  <si>
    <t>https://dd3ka9h4chfr8.cloudfront.net/image/725136000567/image_ftkbt138a167lef99dsds20a1f/-FJPG/108480-004_DET_5.jpg</t>
  </si>
  <si>
    <t>https://dd3ka9h4chfr8.cloudfront.net/image/725136000567/image_gjb1l1f9gh57hbsmc79346c52q/-FJPG/108480-004_DET_6.jpg</t>
  </si>
  <si>
    <t>https://dd3ka9h4chfr8.cloudfront.net/image/725136000567/image_j08ukkr7rp4pfbhl5mdan8db34/-FJPG/108480-004_DET_7.jpg</t>
  </si>
  <si>
    <t>https://dd3ka9h4chfr8.cloudfront.net/image/725136000567/image_5vpt2abdgp5ln3g1jl25sees4v/-FJPG/108480-004_DET_8.jpg</t>
  </si>
  <si>
    <t>https://dd3ka9h4chfr8.cloudfront.net/image/725136000567/image_cimhvdr5b93an4sf0neapmoa1n/-FJPG/108480-004_DET_9.jpg</t>
  </si>
  <si>
    <t>Rosedale Bed - Knoll Natural</t>
  </si>
  <si>
    <t>https://dd3ka9h4chfr8.cloudfront.net/image/725136000567/image_dqgd8efelt7kb62c4f8857ui7a/-S150x150-FJPG/108480-009_PRM_1.jpg</t>
  </si>
  <si>
    <t>https://dd3ka9h4chfr8.cloudfront.net/image/725136000567/image_dqgd8efelt7kb62c4f8857ui7a/-FJPG/108480-009_PRM_1.jpg</t>
  </si>
  <si>
    <t>https://dd3ka9h4chfr8.cloudfront.net/image/725136000567/image_kdurmgn1a94rja20cnhk3ssv6a/-FJPG/108480-009_SID_1.jpg</t>
  </si>
  <si>
    <t>https://dd3ka9h4chfr8.cloudfront.net/image/725136000567/image_1f75i210ql7c31lgqfrrcjj06s/-FJPG/108480-009_DET_2.jpg</t>
  </si>
  <si>
    <t>https://dd3ka9h4chfr8.cloudfront.net/image/725136000567/image_a7h8soj4pl7jn2cafmu8iqcq7i/-FJPG/108480-009_BCK_1.jpg</t>
  </si>
  <si>
    <t>https://dd3ka9h4chfr8.cloudfront.net/image/725136000567/image_mg77n17hh93774sqgrc5rdju5p/-FJPG/108480-009_DET_1.jpg</t>
  </si>
  <si>
    <t>https://dd3ka9h4chfr8.cloudfront.net/image/725136000567/image_bqdk9j42gt60p4197o8ohv4r7d/-FJPG/108480-009_DET_3.jpg</t>
  </si>
  <si>
    <t>https://dd3ka9h4chfr8.cloudfront.net/image/725136000567/image_3m054vjf7p40lal3p0dsqhr213/-FJPG/108480-009_DET_4.jpg</t>
  </si>
  <si>
    <t>https://dd3ka9h4chfr8.cloudfront.net/image/725136000567/image_2v0q94jka9601d2pjfjspvaj41/-FJPG/108480-009_DET_5.jpg</t>
  </si>
  <si>
    <t>https://dd3ka9h4chfr8.cloudfront.net/image/725136000567/image_16uiu6gac1367aopv8b2id033f/-FJPG/108480-009_DET_6.jpg</t>
  </si>
  <si>
    <t>https://dd3ka9h4chfr8.cloudfront.net/image/725136000567/image_k5b4bf959h5udemp15h61p7o51/-FJPG/108480-009_DET_7.jpg</t>
  </si>
  <si>
    <t>https://dd3ka9h4chfr8.cloudfront.net/image/725136000567/image_5ufhendm4t6dfehgp6rqd2lq6q/-S150x150-FJPG/108480-010_PRM_1.jpg</t>
  </si>
  <si>
    <t>https://dd3ka9h4chfr8.cloudfront.net/image/725136000567/image_5ufhendm4t6dfehgp6rqd2lq6q/-FJPG/108480-010_PRM_1.jpg</t>
  </si>
  <si>
    <t>https://dd3ka9h4chfr8.cloudfront.net/image/725136000567/image_qnjckbubap155a7u275c5f2l3h/-FJPG/108480-010_SID_1.jpg</t>
  </si>
  <si>
    <t>https://dd3ka9h4chfr8.cloudfront.net/image/725136000567/image_evvi9r10j1051f7ffqijvsfo7b/-FJPG/108480-010_ESS_1.jpg</t>
  </si>
  <si>
    <t>https://dd3ka9h4chfr8.cloudfront.net/image/725136000567/image_1ohi99kivt2sh163gfhi4h8g2f/-FJPG/108480-010_DET_2.jpg</t>
  </si>
  <si>
    <t>https://dd3ka9h4chfr8.cloudfront.net/image/725136000567/image_iv3qnub2o94i5669g00n4ilb54/-FJPG/108480-010_BCK_1.jpg</t>
  </si>
  <si>
    <t>https://dd3ka9h4chfr8.cloudfront.net/image/725136000567/image_ej4ojd9brd46p4r529lgok3030/-FJPG/108480-010_DET_1.jpg</t>
  </si>
  <si>
    <t>https://dd3ka9h4chfr8.cloudfront.net/image/725136000567/image_d3fltim0c54op7b8kalba0ap7g/-FJPG/108480-010_DET_3.jpg</t>
  </si>
  <si>
    <t>https://dd3ka9h4chfr8.cloudfront.net/image/725136000567/image_tfs6dm5b4l4eh4t780jjovdh4q/-FJPG/108480-010_DET_4.jpg</t>
  </si>
  <si>
    <t>https://dd3ka9h4chfr8.cloudfront.net/image/725136000567/image_cq8j74us2l3lt7t31m2nr1ag2t/-FJPG/108480-010_DET_5.jpg</t>
  </si>
  <si>
    <t>https://dd3ka9h4chfr8.cloudfront.net/image/725136000567/image_t7j9dri9rd3bffqmpk7iretr5b/-FJPG/108480-010_DET_6.jpg</t>
  </si>
  <si>
    <t>https://dd3ka9h4chfr8.cloudfront.net/image/725136000567/image_el6t13bqnp50ba777hh8rko60m/-FJPG/108480-010_DET_7.jpg</t>
  </si>
  <si>
    <t>Rosedale Bed - Knoll Sand</t>
  </si>
  <si>
    <t>https://dd3ka9h4chfr8.cloudfront.net/image/725136000567/image_pfnfemcqth2tp33j5o711hdf4h/-S150x150-FJPG/108480-013_PRM_1.jpg</t>
  </si>
  <si>
    <t>https://dd3ka9h4chfr8.cloudfront.net/image/725136000567/image_pfnfemcqth2tp33j5o711hdf4h/-FJPG/108480-013_PRM_1.jpg</t>
  </si>
  <si>
    <t>https://dd3ka9h4chfr8.cloudfront.net/image/725136000567/image_n1rrb9m47p3fdb43v6c5ul056l/-FJPG/108480-013_SID_1.jpg</t>
  </si>
  <si>
    <t>https://dd3ka9h4chfr8.cloudfront.net/image/725136000567/image_rejb0vsd7p3id3u9ipkjj4dt1c/-FJPG/108480-014_ESS.tif</t>
  </si>
  <si>
    <t>https://dd3ka9h4chfr8.cloudfront.net/image/725136000567/image_smjbqkkba50hp9i7jb0tm1uf5t/-FJPG/108480-013_DET_2.jpg</t>
  </si>
  <si>
    <t>https://dd3ka9h4chfr8.cloudfront.net/image/725136000567/image_mkv943ug5550pa7iff9hupfd24/-FJPG/108480-013_BCK_1.jpg</t>
  </si>
  <si>
    <t>https://dd3ka9h4chfr8.cloudfront.net/image/725136000567/image_0f1s6maqq57u779saoh9i0pq15/-FJPG/108480-013_DET_1.jpg</t>
  </si>
  <si>
    <t>https://dd3ka9h4chfr8.cloudfront.net/image/725136000567/image_9ji0nqhdh505t0gote0vuab74s/-FJPG/108480-013_DET_3.jpg</t>
  </si>
  <si>
    <t>https://dd3ka9h4chfr8.cloudfront.net/image/725136000567/image_bv8tbs7svt20r0il1ocnggir6r/-FJPG/108480-013_DET_4.jpg</t>
  </si>
  <si>
    <t>https://dd3ka9h4chfr8.cloudfront.net/image/725136000567/image_hhv5pacg7t6b9ek6on0d12tf4o/-FJPG/108480-013_DET_5.jpg</t>
  </si>
  <si>
    <t>https://dd3ka9h4chfr8.cloudfront.net/image/725136000567/image_0hk9tqnk6523jdj8gj6ofpvb1b/-FJPG/108480-013_DET_6.jpg</t>
  </si>
  <si>
    <t>https://dd3ka9h4chfr8.cloudfront.net/image/725136000567/image_gtun6imdv97nl80ssv7dqlbv1n/-FJPG/108480-013_DET_7.jpg</t>
  </si>
  <si>
    <t>https://dd3ka9h4chfr8.cloudfront.net/image/725136000567/image_kem01u1obd6hn2nb6kg4jead3l/-FJPG/108480-013_DET_8.jpg</t>
  </si>
  <si>
    <t>https://dd3ka9h4chfr8.cloudfront.net/image/725136000567/image_3l3to3nsn906j20tqb1ph36u31/-S150x150-FJPG/108480-014_PRM_1.jpg</t>
  </si>
  <si>
    <t>https://dd3ka9h4chfr8.cloudfront.net/image/725136000567/image_3l3to3nsn906j20tqb1ph36u31/-FJPG/108480-014_PRM_1.jpg</t>
  </si>
  <si>
    <t>https://dd3ka9h4chfr8.cloudfront.net/image/725136000567/image_8afa0ldni54e97jk6pb7meh22e/-FJPG/108480-014_SID_1.jpg</t>
  </si>
  <si>
    <t>https://dd3ka9h4chfr8.cloudfront.net/image/725136000567/image_tpd9uuuogl4cr4anb8k8saf304/-FJPG/108480-014_DET_2.jpg</t>
  </si>
  <si>
    <t>https://dd3ka9h4chfr8.cloudfront.net/image/725136000567/image_67onhs995t5830o9edlpn61h2k/-FJPG/108480-014_BCK_1.jpg</t>
  </si>
  <si>
    <t>https://dd3ka9h4chfr8.cloudfront.net/image/725136000567/image_l3knitnor92ajcsmgbvsm2357t/-FJPG/108480-014_DET_1.jpg</t>
  </si>
  <si>
    <t>https://dd3ka9h4chfr8.cloudfront.net/image/725136000567/image_eqkieeipsh69h1007voln6uf24/-FJPG/108480-014_DET_3.jpg</t>
  </si>
  <si>
    <t>https://dd3ka9h4chfr8.cloudfront.net/image/725136000567/image_i185nh9lrp4lp7qp5hs2iov376/-FJPG/108480-014_DET_4.jpg</t>
  </si>
  <si>
    <t>https://dd3ka9h4chfr8.cloudfront.net/image/725136000567/image_dc02krnkll6uvden7rtk4s0t6s/-FJPG/108480-014_DET_5.jpg</t>
  </si>
  <si>
    <t>https://dd3ka9h4chfr8.cloudfront.net/image/725136000567/image_3ndmda4o712t70h3i9kjcf647t/-FJPG/108480-014_DET_6.jpg</t>
  </si>
  <si>
    <t>https://dd3ka9h4chfr8.cloudfront.net/image/725136000567/image_9srmp6gji57fn78fpt4eauf730/-FJPG/108480-014_DET_7.jpg</t>
  </si>
  <si>
    <t>https://dd3ka9h4chfr8.cloudfront.net/image/725136000567/image_oh2t8kno4d3mbb8j2s90pk6f6l/-FJPG/108480-014_DET_8.jpg</t>
  </si>
  <si>
    <t>Rosedale Executive Desk - Ebony Oak Veneer</t>
  </si>
  <si>
    <t>https://dd3ka9h4chfr8.cloudfront.net/image/725136000567/image_o2ecuksvod1spbmk6m1e7qoj7i/-S150x150-FJPG/246801-002_PRM_1.jpg</t>
  </si>
  <si>
    <t>https://dd3ka9h4chfr8.cloudfront.net/image/725136000567/image_o2ecuksvod1spbmk6m1e7qoj7i/-FJPG/246801-002_PRM_1.jpg</t>
  </si>
  <si>
    <t>https://dd3ka9h4chfr8.cloudfront.net/image/725136000567/image_2mv1t0ccg152f5hu8bgu4mna0p/-FJPG/246801-002_SID_1.jpg</t>
  </si>
  <si>
    <t>https://dd3ka9h4chfr8.cloudfront.net/image/725136000567/image_31dnhtrv210qvcaatj3m0ftk50/-FJPG/246801-002_ESS.tif</t>
  </si>
  <si>
    <t>https://dd3ka9h4chfr8.cloudfront.net/image/725136000567/image_rs5gqsu3dd2kr4v77jl4803q53/-FJPG/246801-002_DET_2.jpg</t>
  </si>
  <si>
    <t>https://dd3ka9h4chfr8.cloudfront.net/image/725136000567/image_j1nbdsstdt50h585l8sjm1uq31/-FJPG/246801-002_BCK_1.jpg</t>
  </si>
  <si>
    <t>https://dd3ka9h4chfr8.cloudfront.net/image/725136000567/image_sqmq155pdt4f52nj9rmvuidp2b/-FJPG/246801-002_DET_1.jpg</t>
  </si>
  <si>
    <t>https://dd3ka9h4chfr8.cloudfront.net/image/725136000567/image_chts6k52sp54hcpvaj8f419b7h/-FJPG/246801-002_DET_3.jpg</t>
  </si>
  <si>
    <t>https://dd3ka9h4chfr8.cloudfront.net/image/725136000567/image_7rd86mvb7l0u39i2d15ss7lo21/-FJPG/246801-002_OPN_1.jpg</t>
  </si>
  <si>
    <t>https://dd3ka9h4chfr8.cloudfront.net/image/725136000567/image_cm518e255527h3qqn5mngq9l64/-FJPG/246801-002_TOP_1.jpg</t>
  </si>
  <si>
    <t>https://dd3ka9h4chfr8.cloudfront.net/image/725136000567/image_hbhojffv0174vcgdb4fppki32k/-FJPG/246801-002_DET_4.jpg</t>
  </si>
  <si>
    <t>https://dd3ka9h4chfr8.cloudfront.net/image/725136000567/image_1f69ik5lft0672rvl07efecr5m/-FJPG/246801-002_DET_5.jpg</t>
  </si>
  <si>
    <t>https://dd3ka9h4chfr8.cloudfront.net/image/725136000567/image_c3mlm4tm6h0up3u3p6lf7bhr5f/-FJPG/246801-002_DET_6.jpg</t>
  </si>
  <si>
    <t>https://dd3ka9h4chfr8.cloudfront.net/image/725136000567/image_edecqjcak13eh68ae7vsgr7l3k/-FJPG/246801-002_DET_7.jpg</t>
  </si>
  <si>
    <t>https://dd3ka9h4chfr8.cloudfront.net/image/725136000567/image_t4f0qsssn57drdqkhm8v9plg15/-FJPG/246801-002_DET_9.tif</t>
  </si>
  <si>
    <t>https://dd3ka9h4chfr8.cloudfront.net/image/725136000567/image_c6dn1j92d95rp32rtja6jqo84o/-FJPG/246801-002_OPN_2.jpg</t>
  </si>
  <si>
    <t>Rosedale Executive Desk - Yucca Oak Veneer</t>
  </si>
  <si>
    <t>https://dd3ka9h4chfr8.cloudfront.net/image/725136000567/image_cmsd818n69723ee5um712t7r06/-S150x150-FJPG/246801-001_PRM_1.jpg</t>
  </si>
  <si>
    <t>https://dd3ka9h4chfr8.cloudfront.net/image/725136000567/image_cmsd818n69723ee5um712t7r06/-FJPG/246801-001_PRM_1.jpg</t>
  </si>
  <si>
    <t>https://dd3ka9h4chfr8.cloudfront.net/image/725136000567/image_daj24go2q947902jiqaggb0f3m/-FJPG/246801-001_SID_1.jpg</t>
  </si>
  <si>
    <t>https://dd3ka9h4chfr8.cloudfront.net/image/725136000567/image_4kg8ttl3v90r530d6pblrbvn0t/-FJPG/246801-001_ESS.tif</t>
  </si>
  <si>
    <t>https://dd3ka9h4chfr8.cloudfront.net/image/725136000567/image_a4dhhndv4l6n34v3ivu1n9uv5n/-FJPG/246801-001_DET_2.jpg</t>
  </si>
  <si>
    <t>https://dd3ka9h4chfr8.cloudfront.net/image/725136000567/image_0coe8471ph065deii2ku9sp65t/-FJPG/246801-001_BCK_1.jpg</t>
  </si>
  <si>
    <t>https://dd3ka9h4chfr8.cloudfront.net/image/725136000567/image_t2efopmqrl1d5fm5j1g2fri74a/-FJPG/246801-001_DET_1.jpg</t>
  </si>
  <si>
    <t>https://dd3ka9h4chfr8.cloudfront.net/image/725136000567/image_pmteorbtvl30n2rto0b0o8i27f/-FJPG/246801-001_DET_3.jpg</t>
  </si>
  <si>
    <t>https://dd3ka9h4chfr8.cloudfront.net/image/725136000567/image_a6h9tm27h51aj0h6mvit2v195c/-FJPG/246801-001_OPN_1.jpg</t>
  </si>
  <si>
    <t>https://dd3ka9h4chfr8.cloudfront.net/image/725136000567/image_ure8kbf0s906jek8smfij4i365/-FJPG/246801-001_TOP_1.jpg</t>
  </si>
  <si>
    <t>https://dd3ka9h4chfr8.cloudfront.net/image/725136000567/image_daj4mpp57538n4nd4tp5d4g166/-FJPG/246801-001_DET_4.jpg</t>
  </si>
  <si>
    <t>https://dd3ka9h4chfr8.cloudfront.net/image/725136000567/image_n2ufe50rt91t3dv4lherisro6a/-FJPG/246801-001_DET_5.jpg</t>
  </si>
  <si>
    <t>https://dd3ka9h4chfr8.cloudfront.net/image/725136000567/image_9uk83h9m7973d5s6qn43sagq0g/-FJPG/246801-001_DET_6.jpg</t>
  </si>
  <si>
    <t>https://dd3ka9h4chfr8.cloudfront.net/image/725136000567/image_98uaf2dj59089am1t9kfoto13e/-FJPG/246801-001_DET_9.tif</t>
  </si>
  <si>
    <t>https://dd3ka9h4chfr8.cloudfront.net/image/725136000567/image_lglophkfjl6it2c44q6r9vpk78/-FJPG/246801-001_OPN_2.jpg</t>
  </si>
  <si>
    <t>Rosedale Media Console - Chaps Sand</t>
  </si>
  <si>
    <t>https://dd3ka9h4chfr8.cloudfront.net/image/725136000567/image_rs1df5c1750tj9kom38g2dqd65/-S150x150-FJPG/108672-004_PRM_1.jpg</t>
  </si>
  <si>
    <t>https://dd3ka9h4chfr8.cloudfront.net/image/725136000567/image_rs1df5c1750tj9kom38g2dqd65/-FJPG/108672-004_PRM_1.jpg</t>
  </si>
  <si>
    <t>https://dd3ka9h4chfr8.cloudfront.net/image/725136000567/image_v5b935v2q11ud17ceem3vrgf12/-FJPG/108672-004_SID_1.jpg</t>
  </si>
  <si>
    <t>https://dd3ka9h4chfr8.cloudfront.net/image/725136000567/image_pvhv1gi1e96l1d8umnkodumn4l/-FJPG/108672-004_ESS.tif</t>
  </si>
  <si>
    <t>https://dd3ka9h4chfr8.cloudfront.net/image/725136000567/image_pa3phgga012drf4sokfljfss1s/-FJPG/108672-004_DET_2.jpg</t>
  </si>
  <si>
    <t>https://dd3ka9h4chfr8.cloudfront.net/image/725136000567/image_4nvotf27p55ql694qabfrtec0b/-FJPG/108672-004_BCK_1.jpg</t>
  </si>
  <si>
    <t>https://dd3ka9h4chfr8.cloudfront.net/image/725136000567/image_mu5th261050gn58352qp7if062/-FJPG/108672-004_DET_1.jpg</t>
  </si>
  <si>
    <t>https://dd3ka9h4chfr8.cloudfront.net/image/725136000567/image_prsi51udr97m59sbf1ah04hd47/-FJPG/108672-004_DET_3.jpg</t>
  </si>
  <si>
    <t>https://dd3ka9h4chfr8.cloudfront.net/image/725136000567/image_fg97uvle6d6ivf7gtt4123123g/-FJPG/108672-004_OPN_1.jpg</t>
  </si>
  <si>
    <t>https://dd3ka9h4chfr8.cloudfront.net/image/725136000567/image_1kmqlhu36h4cpbc4fud6aukm77/-FJPG/108672-004_DET_4.jpg</t>
  </si>
  <si>
    <t>https://dd3ka9h4chfr8.cloudfront.net/image/725136000567/image_jcme616p0d5endu4a7jtu1im00/-FJPG/108672-004_DET_5.jpg</t>
  </si>
  <si>
    <t>https://dd3ka9h4chfr8.cloudfront.net/image/725136000567/image_nbirmh2tsd2tn0mb5bh713u91e/-FJPG/108672-004_DET_6.jpg</t>
  </si>
  <si>
    <t>Rosedale Nightstand - Ebony Oak Veneer</t>
  </si>
  <si>
    <t>https://dd3ka9h4chfr8.cloudfront.net/image/725136000567/image_rtudfo07q96cj2benpfplea906/-S150x150-FJPG/109064-003_PRM_1.jpg</t>
  </si>
  <si>
    <t>https://dd3ka9h4chfr8.cloudfront.net/image/725136000567/image_rtudfo07q96cj2benpfplea906/-FJPG/109064-003_PRM_1.jpg</t>
  </si>
  <si>
    <t>https://dd3ka9h4chfr8.cloudfront.net/image/725136000567/image_1mrdnlhvm53j1e2m74fbm6c05h/-FJPG/109064-003_SID_1.jpg</t>
  </si>
  <si>
    <t>https://dd3ka9h4chfr8.cloudfront.net/image/725136000567/image_dd8n2i8rdt0ble172k694b972c/-FJPG/109064-003_ESS_1.jpg</t>
  </si>
  <si>
    <t>https://dd3ka9h4chfr8.cloudfront.net/image/725136000567/image_uat3aeon4l5v70mbgbvl1qcp5m/-FJPG/109064-003_DET_2.jpg</t>
  </si>
  <si>
    <t>https://dd3ka9h4chfr8.cloudfront.net/image/725136000567/image_46m7ov98j9579fnkhlkp0hkg4g/-FJPG/109064-003_BCK_1.jpg</t>
  </si>
  <si>
    <t>https://dd3ka9h4chfr8.cloudfront.net/image/725136000567/image_ah61n65jld6et7c8db64u8ng7s/-FJPG/109064-003_DET_1.jpg</t>
  </si>
  <si>
    <t>https://dd3ka9h4chfr8.cloudfront.net/image/725136000567/image_dcm4hbm9hp6ip9splnljf5rg00/-FJPG/109064-003_DET_3.jpg</t>
  </si>
  <si>
    <t>https://dd3ka9h4chfr8.cloudfront.net/image/725136000567/image_7rh34u8dl560jbsvqkv9ci345k/-FJPG/109064-003_OPN_1.jpg</t>
  </si>
  <si>
    <t>https://dd3ka9h4chfr8.cloudfront.net/image/725136000567/image_59m9p8v9pl0q37kr9fr3lgrt66/-FJPG/109064-003_DET_4.jpg</t>
  </si>
  <si>
    <t>https://dd3ka9h4chfr8.cloudfront.net/image/725136000567/image_85daso5jdh2e57iacvohi9p03e/-FJPG/109064-003_DET_5.jpg</t>
  </si>
  <si>
    <t>Rosedale Nightstand - Yucca Oak Veneer</t>
  </si>
  <si>
    <t>https://dd3ka9h4chfr8.cloudfront.net/image/725136000567/image_qop0r8entd0nv0sdsj9b5fc40j/-S150x150-FJPG/109064-004_PRM_1.jpg</t>
  </si>
  <si>
    <t>https://dd3ka9h4chfr8.cloudfront.net/image/725136000567/image_qop0r8entd0nv0sdsj9b5fc40j/-FJPG/109064-004_PRM_1.jpg</t>
  </si>
  <si>
    <t>https://dd3ka9h4chfr8.cloudfront.net/image/725136000567/image_ng48h53n6h5n91psihja6b7422/-FJPG/109064-004_SID_1.jpg</t>
  </si>
  <si>
    <t>https://dd3ka9h4chfr8.cloudfront.net/image/725136000567/image_th7kk8ih2l191etdptd0m86i1e/-FJPG/109064-004_ESS_1.jpg</t>
  </si>
  <si>
    <t>https://dd3ka9h4chfr8.cloudfront.net/image/725136000567/image_e06if1im850urd7a9i5l7h8u0n/-FJPG/109064-004_DET_2.jpg</t>
  </si>
  <si>
    <t>https://dd3ka9h4chfr8.cloudfront.net/image/725136000567/image_jk5g9bu24p2vh3rukp2017fi5s/-FJPG/109064-004_BCK_1.jpg</t>
  </si>
  <si>
    <t>https://dd3ka9h4chfr8.cloudfront.net/image/725136000567/image_11v9tko6al6q1550t7p8bsul7q/-FJPG/109064-004_DET_1.jpg</t>
  </si>
  <si>
    <t>https://dd3ka9h4chfr8.cloudfront.net/image/725136000567/image_tt0p3l9bvt1d5bbgvfk83omu3a/-FJPG/109064-004_DET_3.jpg</t>
  </si>
  <si>
    <t>https://dd3ka9h4chfr8.cloudfront.net/image/725136000567/image_hp3rd93rdl1hfc5qgs7hsn1h6k/-FJPG/109064-004_OPN_1.jpg</t>
  </si>
  <si>
    <t>https://dd3ka9h4chfr8.cloudfront.net/image/725136000567/image_e1h6hnnp5l4c7a5em941q00558/-FJPG/109064-004_DET_4.jpg</t>
  </si>
  <si>
    <t>https://dd3ka9h4chfr8.cloudfront.net/image/725136000567/image_it1l5njr695ff4jjn8v8po3416/-FJPG/109064-004_DET_5.jpg</t>
  </si>
  <si>
    <t>https://dd3ka9h4chfr8.cloudfront.net/image/725136000567/image_uehj1td0k50130im3fnqdl444t/-FJPG/109064-004_DET_6.jpg</t>
  </si>
  <si>
    <t>https://dd3ka9h4chfr8.cloudfront.net/image/725136000567/image_df2dtvhffh5gv1jb93btqffm60/-FJPG/109064-004_DET_7.jpg</t>
  </si>
  <si>
    <t>Rosedale Sideboard - Ebony Oak Veneer</t>
  </si>
  <si>
    <t>https://dd3ka9h4chfr8.cloudfront.net/image/725136000567/image_qg10hsgt2d1ot98ib1s75fmf4j/-S150x150-FJPG/108998-003_PRM_1.jpg</t>
  </si>
  <si>
    <t>https://dd3ka9h4chfr8.cloudfront.net/image/725136000567/image_qg10hsgt2d1ot98ib1s75fmf4j/-FJPG/108998-003_PRM_1.jpg</t>
  </si>
  <si>
    <t>https://dd3ka9h4chfr8.cloudfront.net/image/725136000567/image_3a9q635eb5741b0f3oe4m0rs2e/-FJPG/108998-003_SID_1.jpg</t>
  </si>
  <si>
    <t>https://dd3ka9h4chfr8.cloudfront.net/image/725136000567/image_05nmitis4d19p2s7llf8uv4051/-FJPG/108998-003_DET_2.jpg</t>
  </si>
  <si>
    <t>https://dd3ka9h4chfr8.cloudfront.net/image/725136000567/image_lvgne1ld890lbao5tmvilkf83n/-FJPG/108998-003_BCK_1.jpg</t>
  </si>
  <si>
    <t>https://dd3ka9h4chfr8.cloudfront.net/image/725136000567/image_edkrl0h96t5vj7qm3o60i56e7a/-FJPG/108998-003_DET_1.jpg</t>
  </si>
  <si>
    <t>https://dd3ka9h4chfr8.cloudfront.net/image/725136000567/image_r927jg0lth7erdtei6g02jnb03/-FJPG/108998-003_DET_3.jpg</t>
  </si>
  <si>
    <t>https://dd3ka9h4chfr8.cloudfront.net/image/725136000567/image_4dna31vi3l3ul6quk08rcfr20e/-FJPG/108998-003_OPN_1.jpg</t>
  </si>
  <si>
    <t>https://dd3ka9h4chfr8.cloudfront.net/image/725136000567/image_it969ovvud2el24ns4gbvptm05/-FJPG/108998-003_TOP_1.jpg</t>
  </si>
  <si>
    <t>https://dd3ka9h4chfr8.cloudfront.net/image/725136000567/image_jnhe6vv6q53rv0mi8m7geeo170/-FJPG/108998-003_DET_4.jpg</t>
  </si>
  <si>
    <t>https://dd3ka9h4chfr8.cloudfront.net/image/725136000567/image_j1b8u0hmel3hd58rlm9fcngv6k/-FJPG/108998-003_DET_5.jpg</t>
  </si>
  <si>
    <t>https://dd3ka9h4chfr8.cloudfront.net/image/725136000567/image_r6m7eio1kh45n3q6bjq91rub71/-FJPG/108998-003_DET_6.jpg</t>
  </si>
  <si>
    <t>https://dd3ka9h4chfr8.cloudfront.net/image/725136000567/image_oe63hbluf919d4699g4gruoh1e/-FJPG/108998-003_DET_7.jpg</t>
  </si>
  <si>
    <t>Rosedale Sideboard - Yucca Oak Veneer</t>
  </si>
  <si>
    <t>https://dd3ka9h4chfr8.cloudfront.net/image/725136000567/image_v75lgftf7d3ebbos1khjannv66/-S150x150-FJPG/108998-002_PRM_1.jpg</t>
  </si>
  <si>
    <t>https://dd3ka9h4chfr8.cloudfront.net/image/725136000567/image_v75lgftf7d3ebbos1khjannv66/-FJPG/108998-002_PRM_1.jpg</t>
  </si>
  <si>
    <t>https://dd3ka9h4chfr8.cloudfront.net/image/725136000567/image_6a9cjsut5d1rv2gggds55i8830/-FJPG/108998-002_SID_1.jpg</t>
  </si>
  <si>
    <t>https://dd3ka9h4chfr8.cloudfront.net/image/725136000567/image_ngln02q00h6bj1i25deiaocg7s/-FJPG/108998-002_ESS.tif</t>
  </si>
  <si>
    <t>https://dd3ka9h4chfr8.cloudfront.net/image/725136000567/image_2s6rae2vht3kfc2tqa3p9d6n7t/-FJPG/108998-002_DET_2.jpg</t>
  </si>
  <si>
    <t>https://dd3ka9h4chfr8.cloudfront.net/image/725136000567/image_dem9t18s5p3br3nr8d57muj93i/-FJPG/108998-002_BCK_1.jpg</t>
  </si>
  <si>
    <t>https://dd3ka9h4chfr8.cloudfront.net/image/725136000567/image_igo2pfr03l13h4kjkfsdfik01m/-FJPG/108998-002_DET_1.jpg</t>
  </si>
  <si>
    <t>https://dd3ka9h4chfr8.cloudfront.net/image/725136000567/image_vlvt4mvuq95jlbm7uf74oi5q5s/-FJPG/108998-002_DET_3.jpg</t>
  </si>
  <si>
    <t>https://dd3ka9h4chfr8.cloudfront.net/image/725136000567/image_94edqf53ed7cr761q7isdfq85t/-FJPG/108998-002_OPN_1.jpg</t>
  </si>
  <si>
    <t>https://dd3ka9h4chfr8.cloudfront.net/image/725136000567/image_9l0bcmm43p3gj5bbluc58lq41p/-FJPG/108998-002_DET_4.jpg</t>
  </si>
  <si>
    <t>https://dd3ka9h4chfr8.cloudfront.net/image/725136000567/image_di2uniad1t4qj92n0etb2qet38/-FJPG/108998-002_DET_5.jpg</t>
  </si>
  <si>
    <t>https://dd3ka9h4chfr8.cloudfront.net/image/725136000567/image_302thkg7m56ut8hitk1t436k0e/-FJPG/108998-002_DET_6.jpg</t>
  </si>
  <si>
    <t>https://dd3ka9h4chfr8.cloudfront.net/image/725136000567/image_53oknfkahd589722f4spg8e95s/-FJPG/108998-002_DET_7.jpg</t>
  </si>
  <si>
    <t>Rosenell 6 Drawer Dresser - Natural Paper Cord</t>
  </si>
  <si>
    <t>https://dd3ka9h4chfr8.cloudfront.net/image/725136000567/image_abcj8tk7fl2n7e02qh27cjnc13/-S150x150-FJPG/249311-002_PRM_1.jpg</t>
  </si>
  <si>
    <t>https://dd3ka9h4chfr8.cloudfront.net/image/725136000567/image_abcj8tk7fl2n7e02qh27cjnc13/-FJPG/249311-002_PRM_1.jpg</t>
  </si>
  <si>
    <t>https://dd3ka9h4chfr8.cloudfront.net/image/725136000567/image_khg1m21b3t2ilech28b22g6m4r/-FJPG/249311-002_SID_1.jpg</t>
  </si>
  <si>
    <t>https://dd3ka9h4chfr8.cloudfront.net/image/725136000567/image_3hu5n1fg8t23pb086kvf8qmj4r/-FJPG/249311-002_ESS.tif</t>
  </si>
  <si>
    <t>https://dd3ka9h4chfr8.cloudfront.net/image/725136000567/image_bs5vs3uf6t1ln2mjbgcvun8t7o/-FJPG/249311-002_DET_2.jpg</t>
  </si>
  <si>
    <t>https://dd3ka9h4chfr8.cloudfront.net/image/725136000567/image_i1u4u7sejl4a9d3v9qgvinff0o/-FJPG/249311-002_BCK_1.jpg</t>
  </si>
  <si>
    <t>https://dd3ka9h4chfr8.cloudfront.net/image/725136000567/image_icgm89hjt10n3amdmg5f643g16/-FJPG/249311-002_DET_1.jpg</t>
  </si>
  <si>
    <t>https://dd3ka9h4chfr8.cloudfront.net/image/725136000567/image_dnt68hikft14bbm6qs3dmkff0m/-FJPG/249311-002_DET_3.jpg</t>
  </si>
  <si>
    <t>https://dd3ka9h4chfr8.cloudfront.net/image/725136000567/image_9ge29jttp11qrbsb1etechac34/-FJPG/249311-002_OPN_1.jpg</t>
  </si>
  <si>
    <t>https://dd3ka9h4chfr8.cloudfront.net/image/725136000567/image_5kv0tit0317ilbq1129b6nmf15/-FJPG/249311-002_TOP_1.jpg</t>
  </si>
  <si>
    <t>https://dd3ka9h4chfr8.cloudfront.net/image/725136000567/image_bp9frt9fol687ftge7jf89ef11/-FJPG/249311-002_DET_4.jpg</t>
  </si>
  <si>
    <t>https://dd3ka9h4chfr8.cloudfront.net/image/725136000567/image_c283tse6u935n31ihhume8u51c/-FJPG/249311-002_DET_5.jpg</t>
  </si>
  <si>
    <t>https://dd3ka9h4chfr8.cloudfront.net/image/725136000567/image_5mbu41qbmp35177sulfr531448/-FJPG/249311-002_DET_6.jpg</t>
  </si>
  <si>
    <t>https://dd3ka9h4chfr8.cloudfront.net/image/725136000567/image_080inp95ah54d8hu21q8hab802/-FJPG/249311-002_DET_7.jpg</t>
  </si>
  <si>
    <t>https://dd3ka9h4chfr8.cloudfront.net/image/725136000567/image_d5gnli2n013sn4s1tk1768qf3f/-FJPG/249311-002_DET_9.tif</t>
  </si>
  <si>
    <t>Rowen Chair - Alcala Fawn</t>
  </si>
  <si>
    <t>https://dd3ka9h4chfr8.cloudfront.net/image/725136000567/image_mjnqtaksb95thdvavgk0pcuk69/-S150x150-FJPG/105778-012_PRM_1.jpg</t>
  </si>
  <si>
    <t>https://dd3ka9h4chfr8.cloudfront.net/image/725136000567/image_mjnqtaksb95thdvavgk0pcuk69/-FJPG/105778-012_PRM_1.jpg</t>
  </si>
  <si>
    <t>https://dd3ka9h4chfr8.cloudfront.net/image/725136000567/image_2r14uu6lfl3lj1iqhp0r6ko60t/-FJPG/105778-012_SID_1.jpg</t>
  </si>
  <si>
    <t>https://dd3ka9h4chfr8.cloudfront.net/image/725136000567/image_s5aolvnk3t7th6i4bia8erti6g/-FJPG/105778-012_ESS.tif</t>
  </si>
  <si>
    <t>https://dd3ka9h4chfr8.cloudfront.net/image/725136000567/image_0giug955rl61resjteep0b4234/-FJPG/105778-012_DET_2.jpg</t>
  </si>
  <si>
    <t>https://dd3ka9h4chfr8.cloudfront.net/image/725136000567/image_6a85bfnigp42te2kt73nd9eg2f/-FJPG/105778-012_BCK_1.jpg</t>
  </si>
  <si>
    <t>https://dd3ka9h4chfr8.cloudfront.net/image/725136000567/image_5ter1jkjs13afeqn0fovvbmm18/-FJPG/105778-012_DET_1.jpg</t>
  </si>
  <si>
    <t>https://dd3ka9h4chfr8.cloudfront.net/image/725136000567/image_j1s7b0ddft0kr42i00rsab6i42/-FJPG/105778-012_DET_3.jpg</t>
  </si>
  <si>
    <t>https://dd3ka9h4chfr8.cloudfront.net/image/725136000567/image_pbhm4mdtj12i3fibva6t5mmp0g/-FJPG/105778-012_DET_4.jpg</t>
  </si>
  <si>
    <t>https://dd3ka9h4chfr8.cloudfront.net/image/725136000567/image_lj6ko4ln3h24pfvuq1uue74h7l/-FJPG/105778-012_DET_5.jpg</t>
  </si>
  <si>
    <t>https://dd3ka9h4chfr8.cloudfront.net/image/725136000567/image_bl1ajhqsq901fanj161ih5441o/-FJPG/105778-012_DET_6.jpg</t>
  </si>
  <si>
    <t>https://dd3ka9h4chfr8.cloudfront.net/image/725136000567/image_rbcaukbdrh0034rlgslmjq3b7k/-FJPG/105778-012_HOV_1.jpg</t>
  </si>
  <si>
    <t>Rowen Chair - Fayette Cloud</t>
  </si>
  <si>
    <t>https://dd3ka9h4chfr8.cloudfront.net/image/725136000567/image_r5dh5k265h4tdfsrvkbjs90q7c/-S150x150-FJPG/105778-008_PRM_1.jpg</t>
  </si>
  <si>
    <t>https://dd3ka9h4chfr8.cloudfront.net/image/725136000567/image_r5dh5k265h4tdfsrvkbjs90q7c/-FJPG/105778-008_PRM_1.jpg</t>
  </si>
  <si>
    <t>https://dd3ka9h4chfr8.cloudfront.net/image/725136000567/image_um56f1us3d4hf93qv7bub7vk62/-FJPG/105778-008_SID_1.jpg</t>
  </si>
  <si>
    <t>https://dd3ka9h4chfr8.cloudfront.net/image/725136000567/image_pvbtqj83gd6f5b2os3ldbqc766/-FJPG/105778-008_DET_2.jpg</t>
  </si>
  <si>
    <t>https://dd3ka9h4chfr8.cloudfront.net/image/725136000567/image_gpenefru455hned5qsaglqko51/-FJPG/105778-008_BCK_1.jpg</t>
  </si>
  <si>
    <t>https://dd3ka9h4chfr8.cloudfront.net/image/725136000567/image_4jnm6vahrt3gd6uuvp7lrk2c1u/-FJPG/105778-008_INF_1.jpg</t>
  </si>
  <si>
    <t>https://dd3ka9h4chfr8.cloudfront.net/image/725136000567/image_npvniv585h07991d21pkdspb60/-FJPG/105778-008_DET_1.jpg</t>
  </si>
  <si>
    <t>https://dd3ka9h4chfr8.cloudfront.net/image/725136000567/image_c2hsvkrvi92vdae1ag4uudpc20/-FJPG/105778-008_DET_3.jpg</t>
  </si>
  <si>
    <t>https://dd3ka9h4chfr8.cloudfront.net/image/725136000567/image_gthlr3l9d95jr55i5l86utc373/-FJPG/105778-008_DET_4.jpg</t>
  </si>
  <si>
    <t>https://dd3ka9h4chfr8.cloudfront.net/image/725136000567/image_rujfjrjk511cjb8h9h4lsccp79/-FJPG/105778-008_VIG_1.jpg</t>
  </si>
  <si>
    <t>Rowen Chair - Palermo Drift</t>
  </si>
  <si>
    <t>https://dd3ka9h4chfr8.cloudfront.net/image/725136000567/image_pkrq92q4n131bci9ftcg2h8v3u/-S150x150-FJPG/105778-009_PRM_1.jpg</t>
  </si>
  <si>
    <t>https://dd3ka9h4chfr8.cloudfront.net/image/725136000567/image_pkrq92q4n131bci9ftcg2h8v3u/-FJPG/105778-009_PRM_1.jpg</t>
  </si>
  <si>
    <t>https://dd3ka9h4chfr8.cloudfront.net/image/725136000567/image_4a95elr8ht4mje2n617mgnh240/-FJPG/105778-009_SID_1.jpg</t>
  </si>
  <si>
    <t>https://dd3ka9h4chfr8.cloudfront.net/image/725136000567/image_17i15310u92ofcoqb85ntu0n0e/-FJPG/105778-009_ESS_1.jpg</t>
  </si>
  <si>
    <t>https://dd3ka9h4chfr8.cloudfront.net/image/725136000567/image_ar62bu64q14p3clptjv7fhu03s/-FJPG/105778-009_DET_2.jpg</t>
  </si>
  <si>
    <t>https://dd3ka9h4chfr8.cloudfront.net/image/725136000567/image_1r1hl09hdp7vfea6qj9dh0mu3m/-FJPG/105778-009_BCK_1.jpg</t>
  </si>
  <si>
    <t>https://dd3ka9h4chfr8.cloudfront.net/image/725136000567/image_g939eqqvbt5o9bsaudlc8phf6d/-FJPG/105778-009_DET_1.jpg</t>
  </si>
  <si>
    <t>https://dd3ka9h4chfr8.cloudfront.net/image/725136000567/image_oprdgcilmh4lh416dvab9sb65f/-FJPG/105778-009_DET_3.jpg</t>
  </si>
  <si>
    <t>https://dd3ka9h4chfr8.cloudfront.net/image/725136000567/image_8b3c8gjhth62l1de7raq3ems7g/-FJPG/105778-009_DET_4.jpg</t>
  </si>
  <si>
    <t>https://dd3ka9h4chfr8.cloudfront.net/image/725136000567/image_bq2sqk2rt9723fhtruhotn8d4m/-FJPG/105778-009_ROM_1.jpg</t>
  </si>
  <si>
    <t>Rowen Chair - Sonoma Black</t>
  </si>
  <si>
    <t>https://dd3ka9h4chfr8.cloudfront.net/image/725136000567/image_8ppgpssl0p51be5d1ed6s10860/-S150x150-FJPG/105778-006_PRM_1.jpg</t>
  </si>
  <si>
    <t>https://dd3ka9h4chfr8.cloudfront.net/image/725136000567/image_8ppgpssl0p51be5d1ed6s10860/-FJPG/105778-006_PRM_1.jpg</t>
  </si>
  <si>
    <t>https://dd3ka9h4chfr8.cloudfront.net/image/725136000567/image_vodb3rt7g17j5eiei2qe8voc2m/-FJPG/105778-006_SID_1.jpg</t>
  </si>
  <si>
    <t>https://dd3ka9h4chfr8.cloudfront.net/image/725136000567/image_kaf1bbsh3h7ff9m0aigqm13164/-FJPG/105778-006_DET_2.jpg</t>
  </si>
  <si>
    <t>https://dd3ka9h4chfr8.cloudfront.net/image/725136000567/image_kipchd63hp3prbfi6g29vppb35/-FJPG/105778-006_BCK_1.jpg</t>
  </si>
  <si>
    <t>https://dd3ka9h4chfr8.cloudfront.net/image/725136000567/image_te80vd5kpt389c8rmmnhgmdo6s/-FJPG/105778-006_DET_1.jpg</t>
  </si>
  <si>
    <t>https://dd3ka9h4chfr8.cloudfront.net/image/725136000567/image_0r6dpqidfl0hn2de1fnfu0mi0r/-FJPG/105778-006_DET_3.jpg</t>
  </si>
  <si>
    <t>https://dd3ka9h4chfr8.cloudfront.net/image/725136000567/image_nth17u8ap50p17nac3kant2911/-FJPG/105778-006_DET_4.jpg</t>
  </si>
  <si>
    <t>https://dd3ka9h4chfr8.cloudfront.net/image/725136000567/image_eipvr3u6ud1cp5via2i8nlfi27/-FJPG/105778-006_DET_5.jpg</t>
  </si>
  <si>
    <t>https://dd3ka9h4chfr8.cloudfront.net/image/725136000567/image_7udbm0d6rl4ep5o7c7cl654m42/-FJPG/105778-006_DET_6.jpg</t>
  </si>
  <si>
    <t>https://dd3ka9h4chfr8.cloudfront.net/image/725136000567/image_5et6l1kfk13flb7dn7ui975i6e/-FJPG/105778-006_DET_7.jpg</t>
  </si>
  <si>
    <t>https://dd3ka9h4chfr8.cloudfront.net/image/725136000567/image_ltftejs9cd5f7a99nd8mcc6t78/-FJPG/105778-006_DET_8.jpg</t>
  </si>
  <si>
    <t>https://dd3ka9h4chfr8.cloudfront.net/image/725136000567/image_e0bonmau0t3eb42j35t2vn4e19/-FJPG/105778-006_ROM_1.jpg</t>
  </si>
  <si>
    <t>Rowen Chair - Thames Raven</t>
  </si>
  <si>
    <t>https://dd3ka9h4chfr8.cloudfront.net/image/725136000567/image_soj9tc42914ln3liq2fotq9e5l/-S150x150-FJPG/105778-007_PRM_1.jpg</t>
  </si>
  <si>
    <t>https://dd3ka9h4chfr8.cloudfront.net/image/725136000567/image_soj9tc42914ln3liq2fotq9e5l/-FJPG/105778-007_PRM_1.jpg</t>
  </si>
  <si>
    <t>https://dd3ka9h4chfr8.cloudfront.net/image/725136000567/image_c29aenu7hh51r4umomal21l965/-FJPG/105778-007_SID_1.jpg</t>
  </si>
  <si>
    <t>https://dd3ka9h4chfr8.cloudfront.net/image/725136000567/image_9ofoc7ec912crcai6hdl4dnu4e/-FJPG/105778-007_ESS.tif</t>
  </si>
  <si>
    <t>https://dd3ka9h4chfr8.cloudfront.net/image/725136000567/image_c180fg8cj934b52rqebl7srr4p/-FJPG/105778-007_DET_2.jpg</t>
  </si>
  <si>
    <t>https://dd3ka9h4chfr8.cloudfront.net/image/725136000567/image_bm8j7omeml2f35m45auiksjg62/-FJPG/105778-007_BCK_1.jpg</t>
  </si>
  <si>
    <t>https://dd3ka9h4chfr8.cloudfront.net/image/725136000567/image_96pa9lea4p4c33r433e7ajf17m/-FJPG/105778-007_INF_1.jpg</t>
  </si>
  <si>
    <t>https://dd3ka9h4chfr8.cloudfront.net/image/725136000567/image_h2e074l3l979lcuqqhfms1su6v/-FJPG/105778-007_DET_1.jpg</t>
  </si>
  <si>
    <t>https://dd3ka9h4chfr8.cloudfront.net/image/725136000567/image_kiftvrpl2d2t39pc2smnurvk2n/-FJPG/105778-007_DET_3.jpg</t>
  </si>
  <si>
    <t>https://dd3ka9h4chfr8.cloudfront.net/image/725136000567/image_1rsrc6u6452c3dhsit38s66m7a/-FJPG/105778-007_DET_4.jpg</t>
  </si>
  <si>
    <t>https://dd3ka9h4chfr8.cloudfront.net/image/725136000567/image_vbsvd0tacl5q5fd34qe7q9va5i/-FJPG/105778-007_DET_5.jpg</t>
  </si>
  <si>
    <t>https://dd3ka9h4chfr8.cloudfront.net/image/725136000567/image_qm220t7mod0hn668h2hrq8cm67/-FJPG/105778-007_DET_6.jpg</t>
  </si>
  <si>
    <t>https://dd3ka9h4chfr8.cloudfront.net/image/725136000567/image_83snqqgfhh5cl40ubumrufh479/-FJPG/105778-007_DET_7.jpg</t>
  </si>
  <si>
    <t>https://dd3ka9h4chfr8.cloudfront.net/image/725136000567/image_6pmqs4l1jp1clcm2ia1hhopf11/-FJPG/105778-007_ROM_1.jpg</t>
  </si>
  <si>
    <t>Russ Dresser - Aged Oak Veneer</t>
  </si>
  <si>
    <t>https://dd3ka9h4chfr8.cloudfront.net/image/725136000567/image_k1q1q0irat20p3t2cfmqohv120/-S150x150-FJPG/241055-001_PRM_1.jpg</t>
  </si>
  <si>
    <t>https://dd3ka9h4chfr8.cloudfront.net/image/725136000567/image_k1q1q0irat20p3t2cfmqohv120/-FJPG/241055-001_PRM_1.jpg</t>
  </si>
  <si>
    <t>https://dd3ka9h4chfr8.cloudfront.net/image/725136000567/image_9tsb0ugrcp4pj85ljd4g430e59/-FJPG/241055-001_SID_1.jpg</t>
  </si>
  <si>
    <t>https://dd3ka9h4chfr8.cloudfront.net/image/725136000567/image_h521gh03rl5rpajegut3ggm937/-FJPG/241055-001_ESS.tif</t>
  </si>
  <si>
    <t>https://dd3ka9h4chfr8.cloudfront.net/image/725136000567/image_5cvbbp30pd3tn39bai2o7trs46/-FJPG/241055-001_DET_2.jpg</t>
  </si>
  <si>
    <t>https://dd3ka9h4chfr8.cloudfront.net/image/725136000567/image_5bmmlijg813r3aahv0id41827e/-FJPG/241055-001_BCK_1.jpg</t>
  </si>
  <si>
    <t>https://dd3ka9h4chfr8.cloudfront.net/image/725136000567/image_lmls39pbup1ld1dppru1ocp15u/-FJPG/241055-001_DET_1.jpg</t>
  </si>
  <si>
    <t>https://dd3ka9h4chfr8.cloudfront.net/image/725136000567/image_3vq2aqdddp1lh2khg73vkr6a20/-FJPG/241055-001_DET_3.jpg</t>
  </si>
  <si>
    <t>https://dd3ka9h4chfr8.cloudfront.net/image/725136000567/image_as5lb27ms12sr4336hq0s67h5q/-FJPG/241055-001_OPN_1.jpg</t>
  </si>
  <si>
    <t>https://dd3ka9h4chfr8.cloudfront.net/image/725136000567/image_94pu40c3r92q119orr1b46mc17/-FJPG/241055-001_DET_4.jpg</t>
  </si>
  <si>
    <t>https://dd3ka9h4chfr8.cloudfront.net/image/725136000567/image_lm2pac3bnt2mj43u0l63o4ik29/-FJPG/241055-001_DET_5.jpg</t>
  </si>
  <si>
    <t>https://dd3ka9h4chfr8.cloudfront.net/image/725136000567/image_g5s389ujlh1rr69p98hbb77k61/-FJPG/241055-001_DET_6.jpg</t>
  </si>
  <si>
    <t>https://dd3ka9h4chfr8.cloudfront.net/image/725136000567/image_4tumpiufg15qrc8n3nc1sknb7d/-FJPG/241055-001_DET_7.jpg</t>
  </si>
  <si>
    <t>https://dd3ka9h4chfr8.cloudfront.net/image/725136000567/image_ft5r7pl1qp6nvbiroma9v6p728/-FJPG/241055-001_DET_9.tif</t>
  </si>
  <si>
    <t>https://dd3ka9h4chfr8.cloudfront.net/image/725136000567/image_p99qs0cpfh4s9d0boj2h4cgo1u/-FJPG/241055-001_DET_10.tif</t>
  </si>
  <si>
    <t>Russ Nightstand - Aged Oak</t>
  </si>
  <si>
    <t>https://dd3ka9h4chfr8.cloudfront.net/image/725136000567/image_jmah854td11bb9a267ful0os3u/-S150x150-FJPG/241057-001_PRM_1.jpg</t>
  </si>
  <si>
    <t>https://dd3ka9h4chfr8.cloudfront.net/image/725136000567/image_jmah854td11bb9a267ful0os3u/-FJPG/241057-001_PRM_1.jpg</t>
  </si>
  <si>
    <t>https://dd3ka9h4chfr8.cloudfront.net/image/725136000567/image_s21iscc2q93a52j077dnb69s7b/-FJPG/241057-001_SID_1.jpg</t>
  </si>
  <si>
    <t>https://dd3ka9h4chfr8.cloudfront.net/image/725136000567/image_ujqo53ieg96h33hcka5pdnqs1v/-FJPG/241057-001_ESS.tif</t>
  </si>
  <si>
    <t>https://dd3ka9h4chfr8.cloudfront.net/image/725136000567/image_f7glbub55d3u7dp43pefjf7140/-FJPG/241057-001_ESS_1.tif</t>
  </si>
  <si>
    <t>https://dd3ka9h4chfr8.cloudfront.net/image/725136000567/image_9dr7sd8phd2v9em8qmq3edtj2e/-FJPG/241057-001_DET_2.jpg</t>
  </si>
  <si>
    <t>https://dd3ka9h4chfr8.cloudfront.net/image/725136000567/image_ggq7e21j2d0jlclfil2fm5pc5p/-FJPG/241057-001_BCK_1.jpg</t>
  </si>
  <si>
    <t>https://dd3ka9h4chfr8.cloudfront.net/image/725136000567/image_tgmava800l1t739bi75h787340/-FJPG/241057-001_DET_1.jpg</t>
  </si>
  <si>
    <t>https://dd3ka9h4chfr8.cloudfront.net/image/725136000567/image_r5597775hd55361siujg5aff28/-FJPG/241057-001_DET_3.jpg</t>
  </si>
  <si>
    <t>https://dd3ka9h4chfr8.cloudfront.net/image/725136000567/image_iv0f3bko3h0sb1qj2re3rqtj37/-FJPG/241057-001_OPN_1.jpg</t>
  </si>
  <si>
    <t>https://dd3ka9h4chfr8.cloudfront.net/image/725136000567/image_0v3qir4scd7f50151f8m0idq6b/-FJPG/241057-001_DET_4.jpg</t>
  </si>
  <si>
    <t>https://dd3ka9h4chfr8.cloudfront.net/image/725136000567/image_agnfkgpq0l1id68tef13urro5b/-FJPG/241057-001_DET_5.jpg</t>
  </si>
  <si>
    <t>https://dd3ka9h4chfr8.cloudfront.net/image/725136000567/image_0j525lc3491jv89nthd7tla158/-FJPG/241057-001_DET_6.jpg</t>
  </si>
  <si>
    <t>https://dd3ka9h4chfr8.cloudfront.net/image/725136000567/image_n865hd9bal0fv3l0rpepstn37c/-FJPG/241057-001_DET_7.jpg</t>
  </si>
  <si>
    <t>https://dd3ka9h4chfr8.cloudfront.net/image/725136000567/image_6g5kvju1h97d32mlvp3kscfc2v/-FJPG/241057-001_DET_8.jpg</t>
  </si>
  <si>
    <t>https://dd3ka9h4chfr8.cloudfront.net/image/725136000567/image_jdugfjkl0t0bb0t5u334iabv0n/-FJPG/241057-001_DET_9.tif</t>
  </si>
  <si>
    <t>https://dd3ka9h4chfr8.cloudfront.net/image/725136000567/image_isl6gui0pl59j8qtnr8q45464g/-FJPG/FHMPRJ-010_SCENE-06.tif</t>
  </si>
  <si>
    <t>Rutherford End Table - Reclaimed Ashen Brown</t>
  </si>
  <si>
    <t>https://dd3ka9h4chfr8.cloudfront.net/image/725136000567/image_ukm9sq893h3ldcfieg8brbqn2f/-S150x150-FJPG/236078-001_PRM_1.jpg</t>
  </si>
  <si>
    <t>https://dd3ka9h4chfr8.cloudfront.net/image/725136000567/image_fbd7hdbrdt17128hmnulqt1n4p/-FJPG/236078-001_DET_2.jpg</t>
  </si>
  <si>
    <t>https://dd3ka9h4chfr8.cloudfront.net/image/725136000567/image_i1daes8en94ghads026sdrle66/-FJPG/236078-001_DET_1.jpg</t>
  </si>
  <si>
    <t>https://dd3ka9h4chfr8.cloudfront.net/image/725136000567/image_v4d1ku7bjh1r3c92uhm8smak65/-FJPG/236078-001_DET_3.jpg</t>
  </si>
  <si>
    <t>https://dd3ka9h4chfr8.cloudfront.net/image/725136000567/image_its2gsjacl583fg96q1cbsfm2i/-FJPG/236078-001_TOP_1.jpg</t>
  </si>
  <si>
    <t>https://dd3ka9h4chfr8.cloudfront.net/image/725136000567/image_da6nivctu56mff2r91bslpv65n/-FJPG/236078-001_DET_4.jpg</t>
  </si>
  <si>
    <t>https://dd3ka9h4chfr8.cloudfront.net/image/725136000567/image_0g8nkqm8s55o7dml25bnicf82f/-FJPG/236078-001_DET_5.jpg</t>
  </si>
  <si>
    <t>Ryan Oak Coffee Table - Natural Resawn Oak</t>
  </si>
  <si>
    <t>https://dd3ka9h4chfr8.cloudfront.net/image/725136000567/image_iblp6ouuf50ur2g228v89kt47v/-S150x150-FJPG/237177-001_PRM_1.jpg</t>
  </si>
  <si>
    <t>https://dd3ka9h4chfr8.cloudfront.net/image/725136000567/image_e15fl60pid1391sk4fbqpq796e/-FJPG/237177-001_ESS_1.jpg</t>
  </si>
  <si>
    <t>https://dd3ka9h4chfr8.cloudfront.net/image/725136000567/image_guqrisuuj1699cntr88knma815/-FJPG/237177-001_DET_2.jpg</t>
  </si>
  <si>
    <t>https://dd3ka9h4chfr8.cloudfront.net/image/725136000567/image_61trp5rusd5kd65ktu8o4e170j/-FJPG/237177-001_DET_1.jpg</t>
  </si>
  <si>
    <t>https://dd3ka9h4chfr8.cloudfront.net/image/725136000567/image_arksru8kn54i771obu3j1cau4i/-FJPG/237177-001_DET_3.jpg</t>
  </si>
  <si>
    <t>https://dd3ka9h4chfr8.cloudfront.net/image/725136000567/image_g42kabcunl7vhbhin6nifeug4m/-FJPG/237177-001_DET_4.jpg</t>
  </si>
  <si>
    <t>https://dd3ka9h4chfr8.cloudfront.net/image/725136000567/image_c5leedtknt47pc3a80kk244v0b/-FJPG/237177-001_DET_5.jpg</t>
  </si>
  <si>
    <t>https://dd3ka9h4chfr8.cloudfront.net/image/725136000567/image_haq896teih4f93mpdefu9odk5h/-FJPG/237177-001_DET_6.jpg</t>
  </si>
  <si>
    <t>Salado Bed - Antigo Natural</t>
  </si>
  <si>
    <t>https://dd3ka9h4chfr8.cloudfront.net/image/725136000567/image_2771oaohul131ec9kiblb1ee1o/-S150x150-FJPG/232834-010_PRM_1.jpg</t>
  </si>
  <si>
    <t>https://dd3ka9h4chfr8.cloudfront.net/image/725136000567/image_2771oaohul131ec9kiblb1ee1o/-FJPG/232834-010_PRM_1.jpg</t>
  </si>
  <si>
    <t>https://dd3ka9h4chfr8.cloudfront.net/image/725136000567/image_ae2df85bb13t902navcljrlq5f/-FJPG/232834-010_SID_1.jpg</t>
  </si>
  <si>
    <t>https://dd3ka9h4chfr8.cloudfront.net/image/725136000567/image_c35nifrgp57tt2g9jtghv7kp6i/-FJPG/232834-010_DET_2.jpg</t>
  </si>
  <si>
    <t>https://dd3ka9h4chfr8.cloudfront.net/image/725136000567/image_rp18d1rce95tr83u7dbglvp542/-FJPG/232834-010_BCK_1.jpg</t>
  </si>
  <si>
    <t>https://dd3ka9h4chfr8.cloudfront.net/image/725136000567/image_np1968anmt4n9ct9i4a9kim64f/-FJPG/232834-010_DET_1.jpg</t>
  </si>
  <si>
    <t>https://dd3ka9h4chfr8.cloudfront.net/image/725136000567/image_cquscj6n696rv2b5qh0mka7k69/-FJPG/232834-010_DET_3.jpg</t>
  </si>
  <si>
    <t>https://dd3ka9h4chfr8.cloudfront.net/image/725136000567/image_9gab9kh4pp7ud6ct6plr0mj45s/-FJPG/232834-010_DET_4.jpg</t>
  </si>
  <si>
    <t>https://dd3ka9h4chfr8.cloudfront.net/image/725136000567/image_jdoeb7oc850ef7cvs4jcdl4b79/-FJPG/232834-010_DET_5.jpg</t>
  </si>
  <si>
    <t>https://dd3ka9h4chfr8.cloudfront.net/image/725136000567/image_bbtbr2um4d7cb1ktm6jhhuch53/-FJPG/232834-010_DET_6.jpg</t>
  </si>
  <si>
    <t>https://dd3ka9h4chfr8.cloudfront.net/image/725136000567/image_4r2fh3fr2h3oteqigha8fss544/-FJPG/232834-010_DET_7.jpg</t>
  </si>
  <si>
    <t>https://dd3ka9h4chfr8.cloudfront.net/image/725136000567/image_9j8dbi18193p1d2h7do8fuj876/-FJPG/232834-010_DET_8.jpg</t>
  </si>
  <si>
    <t>https://dd3ka9h4chfr8.cloudfront.net/image/725136000567/image_137ge8cj3h2olddr56mt5vk679/-S150x150-FJPG/232834-011_PRM_1.jpg</t>
  </si>
  <si>
    <t>https://dd3ka9h4chfr8.cloudfront.net/image/725136000567/image_137ge8cj3h2olddr56mt5vk679/-FJPG/232834-011_PRM_1.jpg</t>
  </si>
  <si>
    <t>https://dd3ka9h4chfr8.cloudfront.net/image/725136000567/image_dbb299nb955sb8hk027n0uva2r/-FJPG/232834-011_SID_1.jpg</t>
  </si>
  <si>
    <t>https://dd3ka9h4chfr8.cloudfront.net/image/725136000567/image_l7g6un4pm121388lvc5lidlh0p/-FJPG/232834-011_ESS.tif</t>
  </si>
  <si>
    <t>https://dd3ka9h4chfr8.cloudfront.net/image/725136000567/image_vcecpbul290sp3sgeq3alth418/-FJPG/232834-011_DET_2.jpg</t>
  </si>
  <si>
    <t>https://dd3ka9h4chfr8.cloudfront.net/image/725136000567/image_t5ahqtutuh185cp6jrv9n2u24n/-FJPG/232834-011_BCK_1.jpg</t>
  </si>
  <si>
    <t>https://dd3ka9h4chfr8.cloudfront.net/image/725136000567/image_p6m0f7n12h2g548spfdrmhbh0r/-FJPG/232834-011_DET_1.jpg</t>
  </si>
  <si>
    <t>https://dd3ka9h4chfr8.cloudfront.net/image/725136000567/image_agsn8c44cl7fv8m752iqrj1059/-FJPG/232834-011_DET_3.jpg</t>
  </si>
  <si>
    <t>https://dd3ka9h4chfr8.cloudfront.net/image/725136000567/image_t9m7345i0h5ij2vsv70jh4ma79/-FJPG/232834-011_DET_4.jpg</t>
  </si>
  <si>
    <t>https://dd3ka9h4chfr8.cloudfront.net/image/725136000567/image_6jd81ohphh0qv4kqvkn37msa03/-FJPG/232834-011_DET_5.jpg</t>
  </si>
  <si>
    <t>https://dd3ka9h4chfr8.cloudfront.net/image/725136000567/image_8dkivopknd2kb5cdt8t7713522/-FJPG/232834-011_DET_6.jpg</t>
  </si>
  <si>
    <t>https://dd3ka9h4chfr8.cloudfront.net/image/725136000567/image_mbeu7s1la50ot814cjqoh50871/-FJPG/232834-011_DET_7.jpg</t>
  </si>
  <si>
    <t>https://dd3ka9h4chfr8.cloudfront.net/image/725136000567/image_fhc4p9hchp0dbbdolsat0hdc4u/-FJPG/232834-011_DET_8.jpg</t>
  </si>
  <si>
    <t>https://dd3ka9h4chfr8.cloudfront.net/image/725136000567/image_l9fi6sqgkt16n42p3ffk1eln5g/-FJPG/232834-011_DET_9.tif</t>
  </si>
  <si>
    <t>Salado Bed - Heirloom Cigar</t>
  </si>
  <si>
    <t>https://dd3ka9h4chfr8.cloudfront.net/image/725136000567/image_75ln5t0sgl08laml92fi48542i/-S150x150-FJPG/232834-003_PRM_1.jpg</t>
  </si>
  <si>
    <t>https://dd3ka9h4chfr8.cloudfront.net/image/725136000567/image_75ln5t0sgl08laml92fi48542i/-FJPG/232834-003_PRM_1.jpg</t>
  </si>
  <si>
    <t>https://dd3ka9h4chfr8.cloudfront.net/image/725136000567/image_mav6u0vsll07hdr677h9hk6g3g/-FJPG/232834-003_SID_1.jpg</t>
  </si>
  <si>
    <t>https://dd3ka9h4chfr8.cloudfront.net/image/725136000567/image_do4hcs3rsh44t511cg96opgs54/-FJPG/232834-003_DET_2.jpg</t>
  </si>
  <si>
    <t>https://dd3ka9h4chfr8.cloudfront.net/image/725136000567/image_t2nbqnlj194el2aak7fgn1la6i/-FJPG/232834-003_BCK_1.jpg</t>
  </si>
  <si>
    <t>https://dd3ka9h4chfr8.cloudfront.net/image/725136000567/image_lg7p5lcdjt0sb5e44ccdk0ja5p/-FJPG/232834-003_DET_1.jpg</t>
  </si>
  <si>
    <t>https://dd3ka9h4chfr8.cloudfront.net/image/725136000567/image_l1l19jja6d1u37g7p176iprl74/-FJPG/232834-003_DET_3.jpg</t>
  </si>
  <si>
    <t>https://dd3ka9h4chfr8.cloudfront.net/image/725136000567/image_q18cld1vnt46389vvdqsdg4o15/-FJPG/232834-003_DET_4.jpg</t>
  </si>
  <si>
    <t>https://dd3ka9h4chfr8.cloudfront.net/image/725136000567/image_afmojke2e12f906t903g6qb112/-FJPG/232834-003_DET_5.jpg</t>
  </si>
  <si>
    <t>https://dd3ka9h4chfr8.cloudfront.net/image/725136000567/image_f3lsm12fdt1u1ff332kcnlls7j/-FJPG/232834-003_DET_6.jpg</t>
  </si>
  <si>
    <t>https://dd3ka9h4chfr8.cloudfront.net/image/725136000567/image_9vau0212m14qj05acsi5ftap3c/-S150x150-FJPG/232834-004_PRM_1.jpg</t>
  </si>
  <si>
    <t>https://dd3ka9h4chfr8.cloudfront.net/image/725136000567/image_9vau0212m14qj05acsi5ftap3c/-FJPG/232834-004_PRM_1.jpg</t>
  </si>
  <si>
    <t>https://dd3ka9h4chfr8.cloudfront.net/image/725136000567/image_sjhad5pjdl47p9bjuairvm290c/-FJPG/232834-004_SID_1.jpg</t>
  </si>
  <si>
    <t>https://dd3ka9h4chfr8.cloudfront.net/image/725136000567/image_o46rupg1ph3mte3riuk34ak64d/-FJPG/232834-004_ESS_1.tif</t>
  </si>
  <si>
    <t>https://dd3ka9h4chfr8.cloudfront.net/image/725136000567/image_fc74hn1i6p5id6vv6g8bak9i3t/-FJPG/232834-004_DET_2.jpg</t>
  </si>
  <si>
    <t>https://dd3ka9h4chfr8.cloudfront.net/image/725136000567/image_c0d10kb8f54j905f137ad5ju1a/-FJPG/232834-004_BCK_1.jpg</t>
  </si>
  <si>
    <t>https://dd3ka9h4chfr8.cloudfront.net/image/725136000567/image_hopmsel17h39df3nnodr6vt37i/-FJPG/232834-004_DET_1.jpg</t>
  </si>
  <si>
    <t>https://dd3ka9h4chfr8.cloudfront.net/image/725136000567/image_0edo45ehe107reuegv3b1afa2f/-FJPG/232834-004_DET_3.jpg</t>
  </si>
  <si>
    <t>https://dd3ka9h4chfr8.cloudfront.net/image/725136000567/image_fic3sa37bt6b51dmp1rrpce664/-FJPG/232834-004_DET_4.jpg</t>
  </si>
  <si>
    <t>https://dd3ka9h4chfr8.cloudfront.net/image/725136000567/image_lqfpavt0nh2gpe7sos65o5387h/-FJPG/232834-004_DET_5.jpg</t>
  </si>
  <si>
    <t>Salado Bed - Heirloom Sienna</t>
  </si>
  <si>
    <t>https://dd3ka9h4chfr8.cloudfront.net/image/725136000567/image_8brhj2n68d5q59n5djde7kr66h/-S150x150-FJPG/232834-001_PRM_1.jpg</t>
  </si>
  <si>
    <t>https://dd3ka9h4chfr8.cloudfront.net/image/725136000567/image_8brhj2n68d5q59n5djde7kr66h/-FJPG/232834-001_PRM_1.jpg</t>
  </si>
  <si>
    <t>https://dd3ka9h4chfr8.cloudfront.net/image/725136000567/image_9s9bj12dnh1one3khs4b1ncu6t/-FJPG/232834-001_SID_1.jpg</t>
  </si>
  <si>
    <t>https://dd3ka9h4chfr8.cloudfront.net/image/725136000567/image_vbcs8v7c3127faukfpoled3041/-FJPG/232834-001_ESS_1.jpg</t>
  </si>
  <si>
    <t>https://dd3ka9h4chfr8.cloudfront.net/image/725136000567/image_5g6f43p5k14sj98jp9s1rupk50/-FJPG/232834-001_DET_2.jpg</t>
  </si>
  <si>
    <t>https://dd3ka9h4chfr8.cloudfront.net/image/725136000567/image_tbl445s3gd6q1fpee5tbsui56t/-FJPG/232834-001_BCK_1.jpg</t>
  </si>
  <si>
    <t>https://dd3ka9h4chfr8.cloudfront.net/image/725136000567/image_hek59qfii55ap9p8qpcn7n1047/-FJPG/232834-001_DET_1.jpg</t>
  </si>
  <si>
    <t>https://dd3ka9h4chfr8.cloudfront.net/image/725136000567/image_l46qbehrf954p7ni1df9e2re5g/-FJPG/232834-001_DET_3.jpg</t>
  </si>
  <si>
    <t>https://dd3ka9h4chfr8.cloudfront.net/image/725136000567/image_a5np7bmflp5316usu104eqgq1o/-FJPG/232834-001_DET_4.jpg</t>
  </si>
  <si>
    <t>https://dd3ka9h4chfr8.cloudfront.net/image/725136000567/image_3ic1ag3u25081dr5dub073464r/-FJPG/232834-001_DET_5.jpg</t>
  </si>
  <si>
    <t>https://dd3ka9h4chfr8.cloudfront.net/image/725136000567/image_90piqttjrp363aqi2n950av122/-FJPG/232834-001_DET_6.jpg</t>
  </si>
  <si>
    <t>https://dd3ka9h4chfr8.cloudfront.net/image/725136000567/image_61as0i1iil2lh3bcjto7shb71h/-FJPG/232834-001_DET_9.jpg</t>
  </si>
  <si>
    <t>https://dd3ka9h4chfr8.cloudfront.net/image/725136000567/image_dhs95sd11h09ncalmtah1hg55v/-FJPG/232834-001_SID_2.jpg</t>
  </si>
  <si>
    <t>Salado Bed - Heirloom Sienna Old</t>
  </si>
  <si>
    <t>https://dd3ka9h4chfr8.cloudfront.net/image/725136000567/image_jmti0icdo11njailc8up8hfi35/-S150x150-FJPG/232834-002_PRM_1.jpg</t>
  </si>
  <si>
    <t>https://dd3ka9h4chfr8.cloudfront.net/image/725136000567/image_jmti0icdo11njailc8up8hfi35/-FJPG/232834-002_PRM_1.jpg</t>
  </si>
  <si>
    <t>https://dd3ka9h4chfr8.cloudfront.net/image/725136000567/image_quvo521q0t537fl26s232h032r/-FJPG/232834-002_SID_1.jpg</t>
  </si>
  <si>
    <t>https://dd3ka9h4chfr8.cloudfront.net/image/725136000567/image_l4gr2il6nt0279oc41jgr7dm26/-FJPG/232834-002_ESS_1.jpg</t>
  </si>
  <si>
    <t>https://dd3ka9h4chfr8.cloudfront.net/image/725136000567/image_1odp0987111ev6mp5sd0ljbm11/-FJPG/232834-002_DET_2.jpg</t>
  </si>
  <si>
    <t>https://dd3ka9h4chfr8.cloudfront.net/image/725136000567/image_ejs53o2s4p58v5afsaja2h5k45/-FJPG/232834-002_BCK_1.jpg</t>
  </si>
  <si>
    <t>https://dd3ka9h4chfr8.cloudfront.net/image/725136000567/image_fn8kp2dq6108t651nmihsj0c50/-FJPG/232834-002_DET_1.jpg</t>
  </si>
  <si>
    <t>https://dd3ka9h4chfr8.cloudfront.net/image/725136000567/image_4t6mdm7kkl2tvfa51cb8bkvm78/-FJPG/232834-002_DET_3.jpg</t>
  </si>
  <si>
    <t>https://dd3ka9h4chfr8.cloudfront.net/image/725136000567/image_scb9oj4orp0rn9rqobpi8ade4q/-FJPG/232834-002_DET_4.jpg</t>
  </si>
  <si>
    <t>https://dd3ka9h4chfr8.cloudfront.net/image/725136000567/image_lugq1qefj976t49qf3mst98j0o/-FJPG/232834-002_DET_5.jpg</t>
  </si>
  <si>
    <t>https://dd3ka9h4chfr8.cloudfront.net/image/725136000567/image_n6iglr74pt0jlba8l0fi4e9q0t/-FJPG/232834-002_DET_6.jpg</t>
  </si>
  <si>
    <t>https://dd3ka9h4chfr8.cloudfront.net/image/725136000567/image_5jjujeu4bl49lc2hccpoakhi1g/-FJPG/232834-002_DET_7.jpg</t>
  </si>
  <si>
    <t>https://dd3ka9h4chfr8.cloudfront.net/image/725136000567/image_udpjj0283t6k910d2ecvphe209/-FJPG/232834-002_DET_8.jpg</t>
  </si>
  <si>
    <t>https://dd3ka9h4chfr8.cloudfront.net/image/725136000567/image_5nrgpj0pn519naj1k5afdad828/-FJPG/232834-002_DET_9.jpg</t>
  </si>
  <si>
    <t>https://dd3ka9h4chfr8.cloudfront.net/image/725136000567/image_dln3mfmk7t1k72boi6o62ahf4a/-FJPG/232834-002_FRT_2.jpg</t>
  </si>
  <si>
    <t>https://dd3ka9h4chfr8.cloudfront.net/image/725136000567/image_hr3htlle412g907o6hdaorar3m/-FJPG/232834-002_SID_2.jpg</t>
  </si>
  <si>
    <t>https://dd3ka9h4chfr8.cloudfront.net/image/725136000567/image_bofp010ual3df99ckmkosefq6d/-FJPG/232834-002_PRM_2.jpg</t>
  </si>
  <si>
    <t>Saldana Swivel Chair - Lorento Cognac</t>
  </si>
  <si>
    <t>https://dd3ka9h4chfr8.cloudfront.net/image/725136000567/image_qtm63u1o4d0ajfk8gcqndv8b39/-S150x150-FJPG/242319-001_PRM_1.JPG</t>
  </si>
  <si>
    <t>https://dd3ka9h4chfr8.cloudfront.net/image/725136000567/image_qtm63u1o4d0ajfk8gcqndv8b39/-FJPG/242319-001_PRM_1.JPG</t>
  </si>
  <si>
    <t>https://dd3ka9h4chfr8.cloudfront.net/image/725136000567/image_395m3cr5i10upattovhm8gnn6l/-FJPG/242319-001_SID_1.JPG</t>
  </si>
  <si>
    <t>https://dd3ka9h4chfr8.cloudfront.net/image/725136000567/image_j8ppdi2id11nh6qqvf757p1p12/-FJPG/242319-001_ESS.tif</t>
  </si>
  <si>
    <t>https://dd3ka9h4chfr8.cloudfront.net/image/725136000567/image_tvibphro716rpfcdq1mnbl4u2g/-FJPG/242319-001_DET_2.JPG</t>
  </si>
  <si>
    <t>https://dd3ka9h4chfr8.cloudfront.net/image/725136000567/image_r16aaerdo156n52n040u66fk77/-FJPG/242319-001_BCK_1.JPG</t>
  </si>
  <si>
    <t>https://dd3ka9h4chfr8.cloudfront.net/image/725136000567/image_af9aiacdat6bpa0vfojr3vs85i/-FJPG/242319-001_DET_1.JPG</t>
  </si>
  <si>
    <t>https://dd3ka9h4chfr8.cloudfront.net/image/725136000567/image_ab8fon7ru51r53r59oru8v7e01/-FJPG/242319-001_DET_3.JPG</t>
  </si>
  <si>
    <t>https://dd3ka9h4chfr8.cloudfront.net/image/725136000567/image_1k4mj9ap2p5v94ni0rkuk6od7j/-FJPG/242319-001_DET_4.JPG</t>
  </si>
  <si>
    <t>https://dd3ka9h4chfr8.cloudfront.net/image/725136000567/image_q0tbkam9lt6997p593l1jlcd0t/-FJPG/242319-001_DET_5.JPG</t>
  </si>
  <si>
    <t>https://dd3ka9h4chfr8.cloudfront.net/image/725136000567/image_5hgl3ruf9d1odfch81inc2dv5l/-FJPG/242319-001_DET_6.JPG</t>
  </si>
  <si>
    <t>https://dd3ka9h4chfr8.cloudfront.net/image/725136000567/image_fkc2hlg0rt1m1405i1r09vv404/-FJPG/242319-001_DET_9.tif</t>
  </si>
  <si>
    <t>Samena Chair - Nubuck Nude</t>
  </si>
  <si>
    <t>https://dd3ka9h4chfr8.cloudfront.net/image/725136000567/image_5t2t9rqivp49h4c9vbfjb73r3b/-S150x150-FJPG/242115-001_PRM_1.jpg</t>
  </si>
  <si>
    <t>https://dd3ka9h4chfr8.cloudfront.net/image/725136000567/image_5t2t9rqivp49h4c9vbfjb73r3b/-FJPG/242115-001_PRM_1.jpg</t>
  </si>
  <si>
    <t>https://dd3ka9h4chfr8.cloudfront.net/image/725136000567/image_drkec1324t25fbf55hjk2a565b/-FJPG/242115-001_SID_1.jpg</t>
  </si>
  <si>
    <t>https://dd3ka9h4chfr8.cloudfront.net/image/725136000567/image_s09ocrclap5tnbn2mvhvmr3b0t/-FJPG/242115-001_ESS_1.tif</t>
  </si>
  <si>
    <t>https://dd3ka9h4chfr8.cloudfront.net/image/725136000567/image_snltvfl9s511ldgdghrog3b463/-FJPG/242115-001_DET_2.jpg</t>
  </si>
  <si>
    <t>https://dd3ka9h4chfr8.cloudfront.net/image/725136000567/image_rvh64d572l11tbvpr65b9o6a2h/-FJPG/242115-001_BCK_1.jpg</t>
  </si>
  <si>
    <t>https://dd3ka9h4chfr8.cloudfront.net/image/725136000567/image_c35ajo342l1530s09snupekr6j/-FJPG/242115-001_DET_1.jpg</t>
  </si>
  <si>
    <t>https://dd3ka9h4chfr8.cloudfront.net/image/725136000567/image_3k6p6sdjr91j12hp3u5betki3o/-FJPG/242115-001_DET_3.jpg</t>
  </si>
  <si>
    <t>https://dd3ka9h4chfr8.cloudfront.net/image/725136000567/image_lg3qdge4rp4tjdkikbvjfl7u56/-FJPG/242115-001_DET_4.jpg</t>
  </si>
  <si>
    <t>https://dd3ka9h4chfr8.cloudfront.net/image/725136000567/image_ouaq4jl5od1kt989do0em37f3l/-FJPG/242115-001_DET_5.jpg</t>
  </si>
  <si>
    <t>https://dd3ka9h4chfr8.cloudfront.net/image/725136000567/image_hsuig7dasd543cbuft623h8e5b/-FJPG/242115-001_DET_6.jpg</t>
  </si>
  <si>
    <t>https://dd3ka9h4chfr8.cloudfront.net/image/725136000567/image_1dc41v4cfp5c1d2ucesrkpsq2a/-FJPG/242115-001_DET_9.tif</t>
  </si>
  <si>
    <t>Sandro Chair - Champagne Mongolian Fur</t>
  </si>
  <si>
    <t>100% Wool Fur</t>
  </si>
  <si>
    <t>https://dd3ka9h4chfr8.cloudfront.net/image/725136000567/image_r14sf3dddh69p1l8vr511jt648/-S150x150-FJPG/243064-006_PRM_1.jpg</t>
  </si>
  <si>
    <t>https://dd3ka9h4chfr8.cloudfront.net/image/725136000567/image_r14sf3dddh69p1l8vr511jt648/-FJPG/243064-006_PRM_1.jpg</t>
  </si>
  <si>
    <t>https://dd3ka9h4chfr8.cloudfront.net/image/725136000567/image_43ncrih3113lbad0vkeg61lo5n/-FJPG/243064-006_SID_1.jpg</t>
  </si>
  <si>
    <t>https://dd3ka9h4chfr8.cloudfront.net/image/725136000567/image_319jmcalsl4r54no5uejpibg5g/-FJPG/243064-006_ESS.tif</t>
  </si>
  <si>
    <t>https://dd3ka9h4chfr8.cloudfront.net/image/725136000567/image_nhud94gnj11ibdetjdt4gb0e46/-FJPG/243064-006_DET_2.jpg</t>
  </si>
  <si>
    <t>https://dd3ka9h4chfr8.cloudfront.net/image/725136000567/image_vrd55hk8mh6fn6c2m7saa8t34q/-FJPG/243064-006_BCK_1.jpg</t>
  </si>
  <si>
    <t>https://dd3ka9h4chfr8.cloudfront.net/image/725136000567/image_ba7rh91r015kb5si7q6hlsoa4b/-FJPG/243064-006_DET_1.jpg</t>
  </si>
  <si>
    <t>https://dd3ka9h4chfr8.cloudfront.net/image/725136000567/image_kugmui6aut3mbdmgdc9t6g6n1e/-FJPG/243064-006_DET_3.jpg</t>
  </si>
  <si>
    <t>https://dd3ka9h4chfr8.cloudfront.net/image/725136000567/image_3op9fp063d1kpbd31bf7l2d832/-FJPG/243064-006_DET_4.jpg</t>
  </si>
  <si>
    <t>https://dd3ka9h4chfr8.cloudfront.net/image/725136000567/image_ngg4e78qvt2at2vghqktb7sk08/-FJPG/243064-006_DET_5.jpg</t>
  </si>
  <si>
    <t>https://dd3ka9h4chfr8.cloudfront.net/image/725136000567/image_2s1pa19i013p978ugpslh6904k/-FJPG/243064-006_DET_6.jpg</t>
  </si>
  <si>
    <t>https://dd3ka9h4chfr8.cloudfront.net/image/725136000567/image_267o8m1q5t64hfs0qq0qki5k17/-FJPG/243064-006_DET_9.tif</t>
  </si>
  <si>
    <t>https://dd3ka9h4chfr8.cloudfront.net/image/725136000567/image_s02d3pr5ph3kd0c0i810cqh212/-FJPG/243064-006_DET_10.tif</t>
  </si>
  <si>
    <t>Scout Bar &amp; Counter Table - Honed White Marble</t>
  </si>
  <si>
    <t>https://dd3ka9h4chfr8.cloudfront.net/image/725136000567/image_p2h6mel4l57tvaendan8vl6r3d/-S150x150-FJPG/224598-001_PRM_1.jpg</t>
  </si>
  <si>
    <t>https://dd3ka9h4chfr8.cloudfront.net/image/725136000567/image_p2h6mel4l57tvaendan8vl6r3d/-FJPG/224598-001_PRM_1.jpg</t>
  </si>
  <si>
    <t>https://dd3ka9h4chfr8.cloudfront.net/image/725136000567/image_f09jnbejkp3f50068c53rf465e/-FJPG/224598-001_SID_1.jpg</t>
  </si>
  <si>
    <t>https://dd3ka9h4chfr8.cloudfront.net/image/725136000567/image_rnt8j44ve97khd3ev7sllj7848/-FJPG/224598-001_DET_2.jpg</t>
  </si>
  <si>
    <t>https://dd3ka9h4chfr8.cloudfront.net/image/725136000567/image_1ei02pamm567t9o648vu1b6j5v/-FJPG/224598-001_DET_1.jpg</t>
  </si>
  <si>
    <t>https://dd3ka9h4chfr8.cloudfront.net/image/725136000567/image_qr6r5jm1gd7c3a9sik5ufgae3o/-FJPG/224598-001_DET_3.jpg</t>
  </si>
  <si>
    <t>https://dd3ka9h4chfr8.cloudfront.net/image/725136000567/image_s2hdms3i1t6s5fqfcd46ehat5a/-FJPG/224598-001_DET_4.jpg</t>
  </si>
  <si>
    <t>https://dd3ka9h4chfr8.cloudfront.net/image/725136000567/image_bk74r04c9923v92lbvqmn9dk7a/-FJPG/224598-001_DET_5.jpg</t>
  </si>
  <si>
    <t>https://dd3ka9h4chfr8.cloudfront.net/image/725136000567/image_0rb9cnmqq562r0pqaordngs62j/-FJPG/224598-001_DET_6.jpg</t>
  </si>
  <si>
    <t>https://dd3ka9h4chfr8.cloudfront.net/image/725136000567/image_eusi1bbd69547ca5cmb6u6fm4j/-FJPG/224598-001_ESS_1.jpg</t>
  </si>
  <si>
    <t>https://dd3ka9h4chfr8.cloudfront.net/image/725136000567/image_n7pdg6u25t57rfh3ctsr812e5i/-S150x150-FJPG/224598-002_PRM_1.jpg</t>
  </si>
  <si>
    <t>https://dd3ka9h4chfr8.cloudfront.net/image/725136000567/image_n7pdg6u25t57rfh3ctsr812e5i/-FJPG/224598-002_PRM_1.jpg</t>
  </si>
  <si>
    <t>https://dd3ka9h4chfr8.cloudfront.net/image/725136000567/image_da5pg26pml0t78nfom5sscf12u/-FJPG/224598-002_SID_1.jpg</t>
  </si>
  <si>
    <t>https://dd3ka9h4chfr8.cloudfront.net/image/725136000567/image_toa29qnu151aldsi9vcbvumt2m/-FJPG/224598-002_DET_2.jpg</t>
  </si>
  <si>
    <t>https://dd3ka9h4chfr8.cloudfront.net/image/725136000567/image_9lf4r74vth3t1bgthoptd9sc3c/-FJPG/224598-002_DET_1.jpg</t>
  </si>
  <si>
    <t>https://dd3ka9h4chfr8.cloudfront.net/image/725136000567/image_5vu5csjokh7n38q0igmo3mp96m/-FJPG/224598-002_DET_3.jpg</t>
  </si>
  <si>
    <t>https://dd3ka9h4chfr8.cloudfront.net/image/725136000567/image_dg6s8slj7510755qckuqhp3h32/-FJPG/224598-002_DET_4.jpg</t>
  </si>
  <si>
    <t>https://dd3ka9h4chfr8.cloudfront.net/image/725136000567/image_bui00umbcd531cm59c3a69o454/-FJPG/224598-002_DET_5.jpg</t>
  </si>
  <si>
    <t>https://dd3ka9h4chfr8.cloudfront.net/image/725136000567/image_l8iu8g0klp6iv2n41s6kia4a10/-FJPG/224598-002_DET_6.jpg</t>
  </si>
  <si>
    <t>https://dd3ka9h4chfr8.cloudfront.net/image/725136000567/image_06uq10co893itanbkicvfj8408/-FJPG/224598-002_VIG_1.jpg</t>
  </si>
  <si>
    <t>Scout Bar &amp; Counter Table - Polished Black Marble</t>
  </si>
  <si>
    <t>https://dd3ka9h4chfr8.cloudfront.net/image/725136000567/image_hinnd044ph34t2kreqoku99n69/-S150x150-FJPG/224598-004_PRM_1.jpg</t>
  </si>
  <si>
    <t>https://dd3ka9h4chfr8.cloudfront.net/image/725136000567/image_hinnd044ph34t2kreqoku99n69/-FJPG/224598-004_PRM_1.jpg</t>
  </si>
  <si>
    <t>https://dd3ka9h4chfr8.cloudfront.net/image/725136000567/image_3q61hcd1ap547etaui46k1a11u/-FJPG/224598-004_SID_1.jpg</t>
  </si>
  <si>
    <t>https://dd3ka9h4chfr8.cloudfront.net/image/725136000567/image_1kfo8t2drd2d5ah0gvdvm9jl6k/-FJPG/224598-004_ESS_1.jpg</t>
  </si>
  <si>
    <t>https://dd3ka9h4chfr8.cloudfront.net/image/725136000567/image_68n7pvlnap44vahmnhjmt3m15b/-FJPG/224598-004_DET_2.jpg</t>
  </si>
  <si>
    <t>https://dd3ka9h4chfr8.cloudfront.net/image/725136000567/image_hhqajlc6p51hf4g7sg7o37n67l/-FJPG/224598-004_DET_1.jpg</t>
  </si>
  <si>
    <t>https://dd3ka9h4chfr8.cloudfront.net/image/725136000567/image_hvj3ne6q7t2dla7hmrqhcb2r03/-FJPG/224598-004_DET_3.jpg</t>
  </si>
  <si>
    <t>https://dd3ka9h4chfr8.cloudfront.net/image/725136000567/image_9djnilnkr101dbp9vaqi0me85k/-FJPG/224598-004_TOP_1.jpg</t>
  </si>
  <si>
    <t>https://dd3ka9h4chfr8.cloudfront.net/image/725136000567/image_91rmjp8hkh7cl15jlmkuvchd26/-FJPG/224598-004_DET_5.jpg</t>
  </si>
  <si>
    <t>Serena Accent Bench - Antwerp Cafe</t>
  </si>
  <si>
    <t>https://dd3ka9h4chfr8.cloudfront.net/image/725136000567/image_1h59tt7ksd04l2a7866bmhut1f/-S150x150-FJPG/239676-004_PRM_1.jpg</t>
  </si>
  <si>
    <t>https://dd3ka9h4chfr8.cloudfront.net/image/725136000567/image_1h59tt7ksd04l2a7866bmhut1f/-FJPG/239676-004_PRM_1.jpg</t>
  </si>
  <si>
    <t>https://dd3ka9h4chfr8.cloudfront.net/image/725136000567/image_jrffgag3fh63793sjg8oh35e4a/-FJPG/239676-004_SID_1.jpg</t>
  </si>
  <si>
    <t>https://dd3ka9h4chfr8.cloudfront.net/image/725136000567/image_c2eas9gj5l2f5e7v0tcssisa5k/-FJPG/239676-004_DET_2.jpg</t>
  </si>
  <si>
    <t>https://dd3ka9h4chfr8.cloudfront.net/image/725136000567/image_be3oesm5el3n5fcs0tgsc0le2k/-FJPG/239676-004_DET_1.jpg</t>
  </si>
  <si>
    <t>https://dd3ka9h4chfr8.cloudfront.net/image/725136000567/image_k9kpanrr8l2pv55dfoi48a5n5e/-FJPG/239676-004_DET_3.jpg</t>
  </si>
  <si>
    <t>https://dd3ka9h4chfr8.cloudfront.net/image/725136000567/image_si7p6bogud0hv1kakvgeqvro7q/-FJPG/239676-004_DET_4.jpg</t>
  </si>
  <si>
    <t>https://dd3ka9h4chfr8.cloudfront.net/image/725136000567/image_s6269k3cv536n1id7hhd2nqo42/-FJPG/239676-004_DET_5.jpg</t>
  </si>
  <si>
    <t>https://dd3ka9h4chfr8.cloudfront.net/image/725136000567/image_en3n0rq9s5239138o2fs2fr40k/-FJPG/239676-004_DET_6.jpg</t>
  </si>
  <si>
    <t>Serena Accent Bench - Durham Cream</t>
  </si>
  <si>
    <t>61% Polyester</t>
  </si>
  <si>
    <t>https://dd3ka9h4chfr8.cloudfront.net/image/725136000567/image_kv0do8frpt60nfaf6i5hhgrc0h/-S150x150-FJPG/239676-001_PRM_1.jpg</t>
  </si>
  <si>
    <t>https://dd3ka9h4chfr8.cloudfront.net/image/725136000567/image_kv0do8frpt60nfaf6i5hhgrc0h/-FJPG/239676-001_PRM_1.jpg</t>
  </si>
  <si>
    <t>https://dd3ka9h4chfr8.cloudfront.net/image/725136000567/image_pgb2r6i1bt3mvbkvbam3ln743m/-FJPG/239676-001_SID_1.jpg</t>
  </si>
  <si>
    <t>https://dd3ka9h4chfr8.cloudfront.net/image/725136000567/image_6isp880q6t44r6csr571mgja73/-FJPG/239676-001_ESS_1.tif</t>
  </si>
  <si>
    <t>https://dd3ka9h4chfr8.cloudfront.net/image/725136000567/image_1kp2a0cb8d3ot9oc9apdma026k/-FJPG/239676-001_DET_2.jpg</t>
  </si>
  <si>
    <t>https://dd3ka9h4chfr8.cloudfront.net/image/725136000567/image_j6t0k61v9t10v6ggld8hmq3248/-FJPG/239676-001_DET_1.jpg</t>
  </si>
  <si>
    <t>https://dd3ka9h4chfr8.cloudfront.net/image/725136000567/image_q4gqq85ot14136ou725422pp6q/-FJPG/239676-001_DET_3.jpg</t>
  </si>
  <si>
    <t>https://dd3ka9h4chfr8.cloudfront.net/image/725136000567/image_7ro6iip70554jakcvuovn0566c/-FJPG/239676-001_DET_4.jpg</t>
  </si>
  <si>
    <t>https://dd3ka9h4chfr8.cloudfront.net/image/725136000567/image_8jt8brb62951dc6jhi3kpim21d/-FJPG/239676-001_DET_5.jpg</t>
  </si>
  <si>
    <t>https://dd3ka9h4chfr8.cloudfront.net/image/725136000567/image_gbgfqe06id4f3cirj51rsum622/-FJPG/239676-001_DET_9.tif</t>
  </si>
  <si>
    <t>https://dd3ka9h4chfr8.cloudfront.net/image/725136000567/image_0jlnquc2gp5m75bk0qao3lc70m/-FJPG/239676-001_DET_10.tif</t>
  </si>
  <si>
    <t>Serena Accent Bench - Sheffield Ivory</t>
  </si>
  <si>
    <t>https://dd3ka9h4chfr8.cloudfront.net/image/725136000567/image_j7er24fmgl6gf3cnm71n62jc15/-S150x150-FJPG/239676-003_PRM_1.jpg</t>
  </si>
  <si>
    <t>https://dd3ka9h4chfr8.cloudfront.net/image/725136000567/image_j7er24fmgl6gf3cnm71n62jc15/-FJPG/239676-003_PRM_1.jpg</t>
  </si>
  <si>
    <t>https://dd3ka9h4chfr8.cloudfront.net/image/725136000567/image_2kgdc1svl544ta6fquscouij3d/-FJPG/239676-003_SID_1.jpg</t>
  </si>
  <si>
    <t>https://dd3ka9h4chfr8.cloudfront.net/image/725136000567/image_3i2vn7agbt6211ctmc7gqis63i/-FJPG/239676-003_DET_2.jpg</t>
  </si>
  <si>
    <t>https://dd3ka9h4chfr8.cloudfront.net/image/725136000567/image_3gal1ju4f90ap7ifbkij9c1859/-FJPG/239676-003_DET_1.jpg</t>
  </si>
  <si>
    <t>https://dd3ka9h4chfr8.cloudfront.net/image/725136000567/image_ehgcqt0b2t3dt6b9njfpiebr3k/-FJPG/239676-003_DET_3.jpg</t>
  </si>
  <si>
    <t>https://dd3ka9h4chfr8.cloudfront.net/image/725136000567/image_dbgdocgma53b1fbolsoqaf0e0p/-FJPG/239676-003_DET_4.jpg</t>
  </si>
  <si>
    <t>Shadow Box End Table - Tempered Glass</t>
  </si>
  <si>
    <t>https://dd3ka9h4chfr8.cloudfront.net/image/725136000567/image_29gjf4v3ah1gpfhk01ngmico43/-S150x150-FJPG/VBEL-F039_PRM_1.jpg</t>
  </si>
  <si>
    <t>https://dd3ka9h4chfr8.cloudfront.net/image/725136000567/image_29gjf4v3ah1gpfhk01ngmico43/-FJPG/VBEL-F039_PRM_1.jpg</t>
  </si>
  <si>
    <t>https://dd3ka9h4chfr8.cloudfront.net/image/725136000567/image_37b5eduvnt5k5ah7t49rvvco6l/-FJPG/VBEL-F039_SID_1.jpg</t>
  </si>
  <si>
    <t>https://dd3ka9h4chfr8.cloudfront.net/image/725136000567/image_bv4diivegh7lrcu0lcn44mq94g/-FJPG/VBEL-F039_ESS_1.jpg</t>
  </si>
  <si>
    <t>https://dd3ka9h4chfr8.cloudfront.net/image/725136000567/image_s3m0mbne054cd824c4nce1uk30/-FJPG/VBEL-F039_DET_2.jpg</t>
  </si>
  <si>
    <t>https://dd3ka9h4chfr8.cloudfront.net/image/725136000567/image_vjraclt3tt2fl8knqnmc9evm5j/-FJPG/VBEL-F039_DET_1.jpg</t>
  </si>
  <si>
    <t>https://dd3ka9h4chfr8.cloudfront.net/image/725136000567/image_15gc9g4ef50apbtnlrq6arok7f/-FJPG/VBEL-F039_DET_3.jpg</t>
  </si>
  <si>
    <t>https://dd3ka9h4chfr8.cloudfront.net/image/725136000567/image_9kh0v3khp17615rhr6lj8uvi5i/-FJPG/VBEL-F039_OPN_1.jpg</t>
  </si>
  <si>
    <t>https://dd3ka9h4chfr8.cloudfront.net/image/725136000567/image_vrfdk1og452574bhdo6h4hve2n/-FJPG/VBEL-F039_DET_4.jpg</t>
  </si>
  <si>
    <t>https://dd3ka9h4chfr8.cloudfront.net/image/725136000567/image_h7oe44k91p79b3cuf3h7s6fn26/-FJPG/VBEL-F039_DET_5.jpg</t>
  </si>
  <si>
    <t>https://dd3ka9h4chfr8.cloudfront.net/image/725136000567/image_km8mquv27d7pp7o64nn79q5d0b/-FJPG/VBEL-F039_DET_6.jpg</t>
  </si>
  <si>
    <t>Shadow Box Media Console - Black</t>
  </si>
  <si>
    <t>https://dd3ka9h4chfr8.cloudfront.net/image/725136000567/image_j2p6b3vb7l5kj49tp4k8d9p677/-S150x150-FJPG/VBEL-F037_PRM_1.jpg</t>
  </si>
  <si>
    <t>https://dd3ka9h4chfr8.cloudfront.net/image/725136000567/image_j2p6b3vb7l5kj49tp4k8d9p677/-FJPG/VBEL-F037_PRM_1.jpg</t>
  </si>
  <si>
    <t>https://dd3ka9h4chfr8.cloudfront.net/image/725136000567/image_h1dhro3k592rbaf245qtgqtm16/-FJPG/VBEL-F037_SID_1.jpg</t>
  </si>
  <si>
    <t>https://dd3ka9h4chfr8.cloudfront.net/image/725136000567/image_a71dicruit7qn5vtq5us2opm5j/-FJPG/VBEL-F037_ESS_1.jpg</t>
  </si>
  <si>
    <t>https://dd3ka9h4chfr8.cloudfront.net/image/725136000567/image_cenhq0j4kp0q5fahaivceuoa7p/-FJPG/VBEL-F037_DET_2.jpg</t>
  </si>
  <si>
    <t>https://dd3ka9h4chfr8.cloudfront.net/image/725136000567/image_jsdemoes0d6s90lbv1q434fu38/-FJPG/VBEL-F037_DET_1.jpg</t>
  </si>
  <si>
    <t>https://dd3ka9h4chfr8.cloudfront.net/image/725136000567/image_kvrj9uus111sj5u97uk5ccuc1t/-FJPG/VBEL-F037_DET_3.jpg</t>
  </si>
  <si>
    <t>https://dd3ka9h4chfr8.cloudfront.net/image/725136000567/image_d3nirii0it37531vso2r26gc6b/-FJPG/VBEL-F037_OPN_1.jpg</t>
  </si>
  <si>
    <t>https://dd3ka9h4chfr8.cloudfront.net/image/725136000567/image_463k5do9al5a3cv5avee07ge6k/-FJPG/VBEL-F037_DET_4.jpg</t>
  </si>
  <si>
    <t>https://dd3ka9h4chfr8.cloudfront.net/image/725136000567/image_ifr6nvtiol6gv705ho0j9k9i3d/-FJPG/VBEL-F037_DET_5.jpg</t>
  </si>
  <si>
    <t>https://dd3ka9h4chfr8.cloudfront.net/image/725136000567/image_cpqjr2eejd6lld6n0rgf0ml04l/-FJPG/VBEL-F037_ROM_2.jpg</t>
  </si>
  <si>
    <t>https://dd3ka9h4chfr8.cloudfront.net/image/725136000567/image_153ctu32197s97rch6ppv4l81p/-FJPG/VBEL-F037_ROM_3.jpg</t>
  </si>
  <si>
    <t>https://dd3ka9h4chfr8.cloudfront.net/image/725136000567/image_qckc0r0j2l2dlb8hiiirqkql0j/-FJPG/VBEL-F037_ROM_4.jpg</t>
  </si>
  <si>
    <t>Shadow Box Nightstand - Black</t>
  </si>
  <si>
    <t>https://dd3ka9h4chfr8.cloudfront.net/image/725136000567/image_djfa0gk9p1071c1k4qdcppda65/-S150x150-FJPG/225135-002_PRM_1.jpg</t>
  </si>
  <si>
    <t>https://dd3ka9h4chfr8.cloudfront.net/image/725136000567/image_djfa0gk9p1071c1k4qdcppda65/-FJPG/225135-002_PRM_1.jpg</t>
  </si>
  <si>
    <t>https://dd3ka9h4chfr8.cloudfront.net/image/725136000567/image_92sjtdil4h1mj11anl5n0amp50/-FJPG/225135-002_SID_1.jpg</t>
  </si>
  <si>
    <t>https://dd3ka9h4chfr8.cloudfront.net/image/725136000567/image_qo2ep0gsap7qfelb597u28rn2c/-FJPG/225135-002_ESS_1.jpg</t>
  </si>
  <si>
    <t>https://dd3ka9h4chfr8.cloudfront.net/image/725136000567/image_c09kit8kid3gt790i4i2p2rc21/-FJPG/225135-002_DET_2.jpg</t>
  </si>
  <si>
    <t>https://dd3ka9h4chfr8.cloudfront.net/image/725136000567/image_j1ndenu3k56ml1a9kehkumg12q/-FJPG/225135-002_BCK_1.jpg</t>
  </si>
  <si>
    <t>https://dd3ka9h4chfr8.cloudfront.net/image/725136000567/image_4g0toqgob5767423k3opj3gr23/-FJPG/225135-002_DET_1.jpg</t>
  </si>
  <si>
    <t>https://dd3ka9h4chfr8.cloudfront.net/image/725136000567/image_30l1mpas5h05777dchkidq6018/-FJPG/225135-002_DET_3.jpg</t>
  </si>
  <si>
    <t>https://dd3ka9h4chfr8.cloudfront.net/image/725136000567/image_gurv3gia955nn9mrtaj6qqpl3d/-FJPG/225135-002_OPN_1.jpg</t>
  </si>
  <si>
    <t>https://dd3ka9h4chfr8.cloudfront.net/image/725136000567/image_5p50lgafc91p3d0fig5lcr0q5d/-FJPG/225135-002_DET_4.jpg</t>
  </si>
  <si>
    <t>https://dd3ka9h4chfr8.cloudfront.net/image/725136000567/image_3hvpc0fao96ghdf2gfnj42gi28/-FJPG/225135-002_DET_5.jpg</t>
  </si>
  <si>
    <t>https://dd3ka9h4chfr8.cloudfront.net/image/725136000567/image_532ibs2jup6s1bpgghv0il734c/-FJPG/225135-002_DET_6.jpg</t>
  </si>
  <si>
    <t>https://dd3ka9h4chfr8.cloudfront.net/image/725136000567/image_i3rvertb715lp30ff2sf7ji62u/-FJPG/225135-002_DET_7.jpg</t>
  </si>
  <si>
    <t>https://dd3ka9h4chfr8.cloudfront.net/image/725136000567/image_nrd4m5a0tt2hh16khjau7jig6k/-FJPG/225135-002_VIG_3.jpg</t>
  </si>
  <si>
    <t>Shagreen Round Coffee Table - Grey Shagreen</t>
  </si>
  <si>
    <t>https://dd3ka9h4chfr8.cloudfront.net/image/725136000567/image_omm793fl5163p02svgf6317d34/-S150x150-FJPG/107636-004_PRM_1.jpg</t>
  </si>
  <si>
    <t>https://dd3ka9h4chfr8.cloudfront.net/image/725136000567/image_omm793fl5163p02svgf6317d34/-FJPG/107636-004_PRM_1.jpg</t>
  </si>
  <si>
    <t>https://dd3ka9h4chfr8.cloudfront.net/image/725136000567/image_khv514vc5d0e1d9ee477lnb531/-FJPG/107636-004_SID_1.jpg</t>
  </si>
  <si>
    <t>https://dd3ka9h4chfr8.cloudfront.net/image/725136000567/image_k8c41nh12l36p6qvdelqn49c05/-FJPG/107636-004_DET_2.jpg</t>
  </si>
  <si>
    <t>https://dd3ka9h4chfr8.cloudfront.net/image/725136000567/image_j7sqknn2cp28d9hurtl17rup4l/-FJPG/107636-004_DET_1.jpg</t>
  </si>
  <si>
    <t>https://dd3ka9h4chfr8.cloudfront.net/image/725136000567/image_rloqmo5lgh7694nt8vrkfvjq6c/-FJPG/107636-004_DET_3.jpg</t>
  </si>
  <si>
    <t>Sheffield Coffee Table - Charcoal Oak Veneer</t>
  </si>
  <si>
    <t>https://dd3ka9h4chfr8.cloudfront.net/image/725136000567/image_tj0sd5l3td3fb2gu2jusunoh2b/-S150x150-FJPG/234303-004_PRM_1.jpg</t>
  </si>
  <si>
    <t>https://dd3ka9h4chfr8.cloudfront.net/image/725136000567/image_tj0sd5l3td3fb2gu2jusunoh2b/-FJPG/234303-004_PRM_1.jpg</t>
  </si>
  <si>
    <t>https://dd3ka9h4chfr8.cloudfront.net/image/725136000567/image_p6l42co6vt7457vc3d7lcq7a50/-FJPG/234303-004_ESS_1.tif</t>
  </si>
  <si>
    <t>https://dd3ka9h4chfr8.cloudfront.net/image/725136000567/image_5r8u1rep1900j7jpp4ie24gf4q/-FJPG/234303-004_DET_2.jpg</t>
  </si>
  <si>
    <t>https://dd3ka9h4chfr8.cloudfront.net/image/725136000567/image_ac7knsvgnl2atc5eg9ebtt6u3p/-FJPG/234303-004_DET_1.jpg</t>
  </si>
  <si>
    <t>https://dd3ka9h4chfr8.cloudfront.net/image/725136000567/image_nobs07dhsd4sj7mig499h6am6b/-FJPG/234303-004_DET_3.jpg</t>
  </si>
  <si>
    <t>https://dd3ka9h4chfr8.cloudfront.net/image/725136000567/image_itp8973aq97ljdtajp5si7ps1l/-FJPG/234303-004_DET_4.jpg</t>
  </si>
  <si>
    <t>https://dd3ka9h4chfr8.cloudfront.net/image/725136000567/image_pm9grv9c0p16fcrtao3m512g4m/-FJPG/234303-004_DET_5.jpg</t>
  </si>
  <si>
    <t>https://dd3ka9h4chfr8.cloudfront.net/image/725136000567/image_71vhtaajb16rn97prufqfinh7p/-FJPG/234303-004_DET_6.jpg</t>
  </si>
  <si>
    <t>https://dd3ka9h4chfr8.cloudfront.net/image/725136000567/image_2pesv269gl28rb7ccfhb2iee7m/-FJPG/234303-004_DET_9.tif</t>
  </si>
  <si>
    <t>https://dd3ka9h4chfr8.cloudfront.net/image/725136000567/image_3k9d6fbp715lh9aqrsc21tts2h/-S150x150-FJPG/235383-004_PRM_1.jpg</t>
  </si>
  <si>
    <t>https://dd3ka9h4chfr8.cloudfront.net/image/725136000567/image_3k9d6fbp715lh9aqrsc21tts2h/-FJPG/235383-004_PRM_1.jpg</t>
  </si>
  <si>
    <t>https://dd3ka9h4chfr8.cloudfront.net/image/725136000567/image_dtshc82al571p54sdi0sid4l73/-FJPG/235383-004_ESS_1.tif</t>
  </si>
  <si>
    <t>https://dd3ka9h4chfr8.cloudfront.net/image/725136000567/image_ebcgbc3fq573hdmsk91hfs984p/-FJPG/235383-004_DET_2.jpg</t>
  </si>
  <si>
    <t>https://dd3ka9h4chfr8.cloudfront.net/image/725136000567/image_l3d1gqfn1h2q593a6lpt5h3n1s/-FJPG/235383-004_DET_1.jpg</t>
  </si>
  <si>
    <t>https://dd3ka9h4chfr8.cloudfront.net/image/725136000567/image_lng7kqop0l4ld9965uqji18v1i/-FJPG/235383-004_DET_3.jpg</t>
  </si>
  <si>
    <t>https://dd3ka9h4chfr8.cloudfront.net/image/725136000567/image_2clh61a5it36he6mnj5cdqtr45/-FJPG/235383-004_DET_4.jpg</t>
  </si>
  <si>
    <t>https://dd3ka9h4chfr8.cloudfront.net/image/725136000567/image_4rh9je8hq57cn6t6hv9e4e9i49/-FJPG/235383-004_DET_5.jpg</t>
  </si>
  <si>
    <t>https://dd3ka9h4chfr8.cloudfront.net/image/725136000567/image_4blt1cht6t3171ejn6qju4341a/-FJPG/235383-004_DET_6.jpg</t>
  </si>
  <si>
    <t>https://dd3ka9h4chfr8.cloudfront.net/image/725136000567/image_s08hvc5q2d6sr816rplq5id268/-FJPG/235383-004_DET_9.tif</t>
  </si>
  <si>
    <t>Sheffield Coffee Table - Warm Natural Flat Oak Veneer</t>
  </si>
  <si>
    <t>https://dd3ka9h4chfr8.cloudfront.net/image/725136000567/image_7n915cab814fl16e0pjrieuq5r/-S150x150-FJPG/234303-005_PRM_1.jpg</t>
  </si>
  <si>
    <t>https://dd3ka9h4chfr8.cloudfront.net/image/725136000567/image_7n915cab814fl16e0pjrieuq5r/-FJPG/234303-005_PRM_1.jpg</t>
  </si>
  <si>
    <t>https://dd3ka9h4chfr8.cloudfront.net/image/725136000567/image_6f1aofekgp15h13trer4abt747/-FJPG/234303-005_ESS_1.tif</t>
  </si>
  <si>
    <t>https://dd3ka9h4chfr8.cloudfront.net/image/725136000567/image_tj7gmirbh97pb9ugebunp5gp53/-FJPG/234303-005_DET_2.jpg</t>
  </si>
  <si>
    <t>https://dd3ka9h4chfr8.cloudfront.net/image/725136000567/image_82pq7616hp7e9fekfascpjf66s/-FJPG/234303-005_DET_1.jpg</t>
  </si>
  <si>
    <t>https://dd3ka9h4chfr8.cloudfront.net/image/725136000567/image_fpnjdijdg117j5ko7ttt63vj4u/-FJPG/234303-005_DET_3.jpg</t>
  </si>
  <si>
    <t>https://dd3ka9h4chfr8.cloudfront.net/image/725136000567/image_p4toqiq3153i7arktslaohfk0m/-FJPG/234303-005_DET_4.jpg</t>
  </si>
  <si>
    <t>https://dd3ka9h4chfr8.cloudfront.net/image/725136000567/image_gqabmjdpdp0gne42vqd7r2ap4p/-FJPG/234303-005_DET_5.jpg</t>
  </si>
  <si>
    <t>https://dd3ka9h4chfr8.cloudfront.net/image/725136000567/image_bqc4admcf54ol6u64sqhaqa41n/-FJPG/234303-005_DET_9.tif</t>
  </si>
  <si>
    <t>https://dd3ka9h4chfr8.cloudfront.net/image/725136000567/image_ogm5ui9vv10u3avra94qamsd1e/-FJPG/234303-005_DET_10.tif</t>
  </si>
  <si>
    <t>https://dd3ka9h4chfr8.cloudfront.net/image/725136000567/image_5fkiui7q290kb0ee0285qtk25d/-S150x150-FJPG/235383-005_PRM_1.jpg</t>
  </si>
  <si>
    <t>https://dd3ka9h4chfr8.cloudfront.net/image/725136000567/image_5fkiui7q290kb0ee0285qtk25d/-FJPG/235383-005_PRM_1.jpg</t>
  </si>
  <si>
    <t>https://dd3ka9h4chfr8.cloudfront.net/image/725136000567/image_r7l07gpncl5uv6g03d7mkrls33/-FJPG/235383-005_ESS_1.tif</t>
  </si>
  <si>
    <t>https://dd3ka9h4chfr8.cloudfront.net/image/725136000567/image_u6ihabspj94kh8ak55moc6lj6d/-FJPG/235383-005_DET_2.jpg</t>
  </si>
  <si>
    <t>https://dd3ka9h4chfr8.cloudfront.net/image/725136000567/image_d8dinp29uh7jr81aksfdsmu04h/-FJPG/235383-005_DET_1.jpg</t>
  </si>
  <si>
    <t>https://dd3ka9h4chfr8.cloudfront.net/image/725136000567/image_qsda9b42c56sj3h94624uh4k63/-FJPG/235383-005_DET_3.jpg</t>
  </si>
  <si>
    <t>https://dd3ka9h4chfr8.cloudfront.net/image/725136000567/image_b5fvh4c0bh4gh5o5dqvo781523/-FJPG/235383-005_DET_4.jpg</t>
  </si>
  <si>
    <t>https://dd3ka9h4chfr8.cloudfront.net/image/725136000567/image_ihd4hkvpqp40dbquni37ljmr2u/-FJPG/235383-005_DET_5.jpg</t>
  </si>
  <si>
    <t>https://dd3ka9h4chfr8.cloudfront.net/image/725136000567/image_aoa6mes3s93at813m0lvunfs33/-FJPG/235383-005_DET_9.tif</t>
  </si>
  <si>
    <t>https://dd3ka9h4chfr8.cloudfront.net/image/725136000567/image_mhrsg2k7a95qjavnh0bg3sin48/-FJPG/235383-005_DET_10.tif</t>
  </si>
  <si>
    <t>Shelton Chair - Palermo Cognac</t>
  </si>
  <si>
    <t>https://dd3ka9h4chfr8.cloudfront.net/image/725136000567/image_4snptbro5p44j1nf9qlv76vk3g/-S150x150-FJPG/229354-006_PRM_1.jpg</t>
  </si>
  <si>
    <t>https://dd3ka9h4chfr8.cloudfront.net/image/725136000567/image_4snptbro5p44j1nf9qlv76vk3g/-FJPG/229354-006_PRM_1.jpg</t>
  </si>
  <si>
    <t>https://dd3ka9h4chfr8.cloudfront.net/image/725136000567/image_mrste5jjdl149ds1jl4kb45649/-FJPG/229354-006_SID_1.jpg</t>
  </si>
  <si>
    <t>https://dd3ka9h4chfr8.cloudfront.net/image/725136000567/image_mihqbc3dtl4452hqdqph6unv79/-FJPG/229354-006_ESS_1.jpg</t>
  </si>
  <si>
    <t>https://dd3ka9h4chfr8.cloudfront.net/image/725136000567/image_02o7nbjpq53urb89k4hvppc223/-FJPG/229354-006_DET_2.jpg</t>
  </si>
  <si>
    <t>https://dd3ka9h4chfr8.cloudfront.net/image/725136000567/image_jptomif2qt285foa5qrqfe2h0t/-FJPG/229354-006_BCK_1.jpg</t>
  </si>
  <si>
    <t>https://dd3ka9h4chfr8.cloudfront.net/image/725136000567/image_r8idepu9616ntbpljnhsve7m23/-FJPG/229354-006_DET_1.jpg</t>
  </si>
  <si>
    <t>https://dd3ka9h4chfr8.cloudfront.net/image/725136000567/image_o5k9rgj8b563bcideqm00vda08/-FJPG/229354-006_DET_3.jpg</t>
  </si>
  <si>
    <t>https://dd3ka9h4chfr8.cloudfront.net/image/725136000567/image_jsc9hmjo0t31vcvsskcsc93r52/-FJPG/229354-006_DET_4.jpg</t>
  </si>
  <si>
    <t>https://dd3ka9h4chfr8.cloudfront.net/image/725136000567/image_bg48ibv4e55qr7tpop7leh0b3d/-FJPG/229354-006_DET_5.jpg</t>
  </si>
  <si>
    <t>https://dd3ka9h4chfr8.cloudfront.net/image/725136000567/image_76q1d0sc656cd7s4sau1hbcn6s/-FJPG/229354-006_DET_6.jpg</t>
  </si>
  <si>
    <t>https://dd3ka9h4chfr8.cloudfront.net/image/725136000567/image_59989arh1p52d0osceqm4uol26/-FJPG/229354-006_ESS_DETAIL.jpg</t>
  </si>
  <si>
    <t>Shizuko Sideboard - Distressed Walnut</t>
  </si>
  <si>
    <t>https://dd3ka9h4chfr8.cloudfront.net/image/725136000567/image_dc8aunt2511c54k9tsphsl0n0v/-S150x150-FJPG/238772-001_PRM_1.jpg</t>
  </si>
  <si>
    <t>https://dd3ka9h4chfr8.cloudfront.net/image/725136000567/image_dc8aunt2511c54k9tsphsl0n0v/-FJPG/238772-001_PRM_1.jpg</t>
  </si>
  <si>
    <t>https://dd3ka9h4chfr8.cloudfront.net/image/725136000567/image_a1du812buh2tpfja5k5qbsco0f/-FJPG/238772-001_SID_1.jpg</t>
  </si>
  <si>
    <t>https://dd3ka9h4chfr8.cloudfront.net/image/725136000567/image_99vooef36t3jp3jnd0sk7mk34u/-FJPG/238772-001_ESS.tif</t>
  </si>
  <si>
    <t>https://dd3ka9h4chfr8.cloudfront.net/image/725136000567/image_jibv74a01h5158lrads1jsdt2m/-FJPG/238772-001_DET_2.jpg</t>
  </si>
  <si>
    <t>https://dd3ka9h4chfr8.cloudfront.net/image/725136000567/image_vbvqfnrlhh0qpd68h7meb31r6p/-FJPG/238772-001_BCK_1.jpg</t>
  </si>
  <si>
    <t>https://dd3ka9h4chfr8.cloudfront.net/image/725136000567/image_tapk3sd9it0o59642juftrh80h/-FJPG/238772-001_DET_1.jpg</t>
  </si>
  <si>
    <t>https://dd3ka9h4chfr8.cloudfront.net/image/725136000567/image_okdkccmca57jt2fanou22f585c/-FJPG/238772-001_DET_3.jpg</t>
  </si>
  <si>
    <t>https://dd3ka9h4chfr8.cloudfront.net/image/725136000567/image_ko5rov1s9h3m75oht791rvr94h/-FJPG/238772-001_OPN_1.jpg</t>
  </si>
  <si>
    <t>https://dd3ka9h4chfr8.cloudfront.net/image/725136000567/image_deh61fb9jh55pd586jk7pfmj2f/-FJPG/238772-001_DET_4.jpg</t>
  </si>
  <si>
    <t>https://dd3ka9h4chfr8.cloudfront.net/image/725136000567/image_v8tr2td8nh0df6cri92m5ca93u/-FJPG/238772-001_DET_5.jpg</t>
  </si>
  <si>
    <t>https://dd3ka9h4chfr8.cloudfront.net/image/725136000567/image_q9n4rs30lp1mn3kjrahfb7qn0j/-FJPG/238772-001_DET_6.jpg</t>
  </si>
  <si>
    <t>https://dd3ka9h4chfr8.cloudfront.net/image/725136000567/image_14rsr2cost6jbe6l24ka63u23e/-FJPG/238772-001_DET_7.jpg</t>
  </si>
  <si>
    <t>https://dd3ka9h4chfr8.cloudfront.net/image/725136000567/image_ep1i9001j906d8bhvigef1257c/-FJPG/238772-001_DET_8.jpg</t>
  </si>
  <si>
    <t>https://dd3ka9h4chfr8.cloudfront.net/image/725136000567/image_uph3tkq65l5jp0vi8ef5kicv7r/-FJPG/238772-001_OPN_2.jpg</t>
  </si>
  <si>
    <t>Siedell Swivel Chair - Sheldon Ivory</t>
  </si>
  <si>
    <t>https://dd3ka9h4chfr8.cloudfront.net/image/725136000567/image_481e71pqmh4d31gjpo548rn22f/-S150x150-FJPG/230751-004_PRM_1.jpg</t>
  </si>
  <si>
    <t>https://dd3ka9h4chfr8.cloudfront.net/image/725136000567/image_481e71pqmh4d31gjpo548rn22f/-FJPG/230751-004_PRM_1.jpg</t>
  </si>
  <si>
    <t>https://dd3ka9h4chfr8.cloudfront.net/image/725136000567/image_5vv1f2e1cl7hndb00ilpm3127b/-FJPG/230751-004_SID_1.jpg</t>
  </si>
  <si>
    <t>https://dd3ka9h4chfr8.cloudfront.net/image/725136000567/image_qtepfcgbht63te3a0489na1m7s/-FJPG/230751-004_ESS_1.jpg</t>
  </si>
  <si>
    <t>https://dd3ka9h4chfr8.cloudfront.net/image/725136000567/image_t2j5bttjcl1df7k6oqeqpo1h4n/-FJPG/230751-004_DET_2.jpg</t>
  </si>
  <si>
    <t>https://dd3ka9h4chfr8.cloudfront.net/image/725136000567/image_0u3efqrr112aff6o5t14ligd6a/-FJPG/230751-004_BCK_1.jpg</t>
  </si>
  <si>
    <t>https://dd3ka9h4chfr8.cloudfront.net/image/725136000567/image_e3r9vm79s551l0pjq4i9m2977q/-FJPG/230751-004_DET_1.jpg</t>
  </si>
  <si>
    <t>https://dd3ka9h4chfr8.cloudfront.net/image/725136000567/image_em3vg5icnp3ff65c077hh5vl7c/-FJPG/230751-004_DET_3.jpg</t>
  </si>
  <si>
    <t>https://dd3ka9h4chfr8.cloudfront.net/image/725136000567/image_vp6d7uftp526f6o5vj984jga26/-FJPG/230751-004_DET_4.jpg</t>
  </si>
  <si>
    <t>https://dd3ka9h4chfr8.cloudfront.net/image/725136000567/image_u3v3eaa9ih4fb49m6r0r8bed09/-FJPG/230751-004_DET_5.jpg</t>
  </si>
  <si>
    <t>https://dd3ka9h4chfr8.cloudfront.net/image/725136000567/image_ap69ggusqh2mda7hu5spd6kt2b/-FJPG/230751-004_DET_6.jpg</t>
  </si>
  <si>
    <t>Silas Chair - Patina Copper</t>
  </si>
  <si>
    <t>https://dd3ka9h4chfr8.cloudfront.net/image/725136000567/image_ah2mgls9553l3b9v31joo9ib6j/-S150x150-FJPG/CBSH-004-102_PRM_1.jpg</t>
  </si>
  <si>
    <t>https://dd3ka9h4chfr8.cloudfront.net/image/725136000567/image_ah2mgls9553l3b9v31joo9ib6j/-FJPG/CBSH-004-102_PRM_1.jpg</t>
  </si>
  <si>
    <t>https://dd3ka9h4chfr8.cloudfront.net/image/725136000567/image_n4f3p76v3h1c7dhm1i2oo26r3c/-FJPG/CBSH-004-102_SID_1.jpg</t>
  </si>
  <si>
    <t>https://dd3ka9h4chfr8.cloudfront.net/image/725136000567/image_vq2t0v18e10tt14s5ha82c446n/-FJPG/CBSH-004-102_ESS_1.jpg</t>
  </si>
  <si>
    <t>https://dd3ka9h4chfr8.cloudfront.net/image/725136000567/image_b5d6d63qa54bt6crigbek51v4h/-FJPG/CBSH-004-102_DET_2.jpg</t>
  </si>
  <si>
    <t>https://dd3ka9h4chfr8.cloudfront.net/image/725136000567/image_u5an5tm4210ap2pl0of6ili738/-FJPG/CBSH-004-102_BCK_1.jpg</t>
  </si>
  <si>
    <t>https://dd3ka9h4chfr8.cloudfront.net/image/725136000567/image_khctbubvld5pp0g10nkq8i4v12/-FJPG/CBSH-004-102_DET_1.jpg</t>
  </si>
  <si>
    <t>https://dd3ka9h4chfr8.cloudfront.net/image/725136000567/image_8ptg9pd8ql16n0hin3s257oc2l/-FJPG/CBSH-004-102_DET_3.jpg</t>
  </si>
  <si>
    <t>https://dd3ka9h4chfr8.cloudfront.net/image/725136000567/image_fjf9hcd5hp0c35mnahbodr3l50/-FJPG/CBSH-004-102_DET_4.jpg</t>
  </si>
  <si>
    <t>https://dd3ka9h4chfr8.cloudfront.net/image/725136000567/image_glv8gf7ach6b9av0qerlfv0c2m/-FJPG/CBSH-004-102_DET_5.jpg</t>
  </si>
  <si>
    <t>https://dd3ka9h4chfr8.cloudfront.net/image/725136000567/image_a9178sehhh34fd4frksf75ft64/-FJPG/CBSH-004-102_DET_6.jpg</t>
  </si>
  <si>
    <t>https://dd3ka9h4chfr8.cloudfront.net/image/725136000567/image_0cq9mqr8od0r1fegqdn6g50d5r/-FJPG/CBSH-004-102_DET_7.jpg</t>
  </si>
  <si>
    <t>https://dd3ka9h4chfr8.cloudfront.net/image/725136000567/image_6sbjc4sb1h6n522nd9jagml90j/-FJPG/CBSH-004-102_ROM_1.jpg</t>
  </si>
  <si>
    <t>https://dd3ka9h4chfr8.cloudfront.net/image/725136000567/image_eb52hj3uad4np5lglprbq92d2p/-FJPG/CBSH-004-102_ROM_2.jpg</t>
  </si>
  <si>
    <t>https://dd3ka9h4chfr8.cloudfront.net/image/725136000567/image_88svjcr7dd7kdfho8g3is4hi1a/-FJPG/CBSH-004-102_SID_2.jpg</t>
  </si>
  <si>
    <t>https://dd3ka9h4chfr8.cloudfront.net/image/725136000567/image_pn5u4nv4gd3pv4d2p88ki23d3a/-FJPG/CBSH-004-102_ROM_3.jpg</t>
  </si>
  <si>
    <t>Silverton Dining Table - Sienna Brown Oak Veneer</t>
  </si>
  <si>
    <t>https://dd3ka9h4chfr8.cloudfront.net/image/725136000567/image_t8gq92s8j93s94f7sn04inl467/-S150x150-FJPG/236199-001_PRM_1.jpg</t>
  </si>
  <si>
    <t>https://dd3ka9h4chfr8.cloudfront.net/image/725136000567/image_t8gq92s8j93s94f7sn04inl467/-FJPG/236199-001_PRM_1.jpg</t>
  </si>
  <si>
    <t>https://dd3ka9h4chfr8.cloudfront.net/image/725136000567/image_stvn8h3qkt2bp56nfl21g1ma7i/-FJPG/236199-001_SID_1.jpg</t>
  </si>
  <si>
    <t>https://dd3ka9h4chfr8.cloudfront.net/image/725136000567/image_nmf9t0d73t083blglsrbgjq04q/-FJPG/236199-001_ESS.tif</t>
  </si>
  <si>
    <t>https://dd3ka9h4chfr8.cloudfront.net/image/725136000567/image_8lvpbvtn6t6d97h63llnbm2q66/-FJPG/236199-001_DET_2.jpg</t>
  </si>
  <si>
    <t>https://dd3ka9h4chfr8.cloudfront.net/image/725136000567/image_afuv69u2k907b1aunnv5a3d120/-FJPG/236199-001_DET_1.jpg</t>
  </si>
  <si>
    <t>https://dd3ka9h4chfr8.cloudfront.net/image/725136000567/image_st94ko45cp46r39uq8g1c6057d/-FJPG/236199-001_DET_3.jpg</t>
  </si>
  <si>
    <t>https://dd3ka9h4chfr8.cloudfront.net/image/725136000567/image_b2sblhmhb53v14f975hhbcu671/-FJPG/236199-001_DET_4.jpg</t>
  </si>
  <si>
    <t>https://dd3ka9h4chfr8.cloudfront.net/image/725136000567/image_mprc8fg4452l10191oskn3hu1h/-FJPG/236199-001_DET_5.jpg</t>
  </si>
  <si>
    <t>https://dd3ka9h4chfr8.cloudfront.net/image/725136000567/image_c9r3calb4t5tl6l50jmt4sqe3r/-FJPG/236199-001_DET_6.jpg</t>
  </si>
  <si>
    <t>https://dd3ka9h4chfr8.cloudfront.net/image/725136000567/image_cvipckpik12u97rpq60h7tas4c/-FJPG/236199-001_DET_7.jpg</t>
  </si>
  <si>
    <t>https://dd3ka9h4chfr8.cloudfront.net/image/725136000567/image_qlib19tapl6mj90dsllop7dk6b/-FJPG/236199-001_DET_9.tif</t>
  </si>
  <si>
    <t>Simone Bistro Table - Antique Rust</t>
  </si>
  <si>
    <t>https://dd3ka9h4chfr8.cloudfront.net/image/725136000567/image_bb4fgblaed62v6dhceekjgtg3q/-S150x150-FJPG/106601-005_PRM_1.jpg</t>
  </si>
  <si>
    <t>https://dd3ka9h4chfr8.cloudfront.net/image/725136000567/image_a9adr0hqrl2p70d5ohesphvb0f/-FJPG/106601-005_DET_2.jpg</t>
  </si>
  <si>
    <t>https://dd3ka9h4chfr8.cloudfront.net/image/725136000567/image_bdgpjccn290h9b7bjl9mhk8k51/-FJPG/106601-005_DET_1.jpg</t>
  </si>
  <si>
    <t>https://dd3ka9h4chfr8.cloudfront.net/image/725136000567/image_24jsl640e9287adep6srpcm40n/-FJPG/106601-005_DET_3.jpg</t>
  </si>
  <si>
    <t>https://dd3ka9h4chfr8.cloudfront.net/image/725136000567/image_sveccso6ft6e50blpujofhj564/-FJPG/106601-005_TOP_1.jpg</t>
  </si>
  <si>
    <t>https://dd3ka9h4chfr8.cloudfront.net/image/725136000567/image_psqaknm09p6fhc6ej4o933gm2c/-FJPG/106601-005_DET_4.jpg</t>
  </si>
  <si>
    <t>https://dd3ka9h4chfr8.cloudfront.net/image/725136000567/image_1krmn4s2i54797eu6g7iktc40l/-FJPG/106601-005_ROM_1.jpg</t>
  </si>
  <si>
    <t>https://dd3ka9h4chfr8.cloudfront.net/image/725136000567/image_duqb5ubsvd7tldqfk53vk0tt66/-FJPG/106601-005_ROM_2.jpg</t>
  </si>
  <si>
    <t>https://dd3ka9h4chfr8.cloudfront.net/image/725136000567/image_7fg4oslrg106l84udn8c69jq7c/-FJPG/106601-005_ROM_3.jpg</t>
  </si>
  <si>
    <t>https://dd3ka9h4chfr8.cloudfront.net/image/725136000567/image_b5bhrbbud16qtav95hj255un3u/-FJPG/106601-005_ROM_4.jpg</t>
  </si>
  <si>
    <t>Simone Bistro Table - Raw Antique Nickel</t>
  </si>
  <si>
    <t>https://dd3ka9h4chfr8.cloudfront.net/image/725136000567/image_groeqd35f171p6mn5ui603s809/-S150x150-FJPG/IMAR-93A_PRM_1.jpg</t>
  </si>
  <si>
    <t>https://dd3ka9h4chfr8.cloudfront.net/image/725136000567/image_men7td21lh5b190ls9hrrslb5m/-FJPG/IMAR-93A_DET_2.jpg</t>
  </si>
  <si>
    <t>https://dd3ka9h4chfr8.cloudfront.net/image/725136000567/image_aq04r591ih76p9dtb0h78fe16o/-FJPG/IMAR-93A_DET_1.jpg</t>
  </si>
  <si>
    <t>https://dd3ka9h4chfr8.cloudfront.net/image/725136000567/image_13l924ock954t6svfcvin0fd0r/-FJPG/IMAR-93A_DET_3.jpg</t>
  </si>
  <si>
    <t>https://dd3ka9h4chfr8.cloudfront.net/image/725136000567/image_lof8vsj23l4gj215fe8mr4kb0e/-FJPG/IMAR-93A_TOP_1.jpg</t>
  </si>
  <si>
    <t>https://dd3ka9h4chfr8.cloudfront.net/image/725136000567/image_v8k21vrllt43v4k1qpjgn6km05/-FJPG/IMAR-93A_DET_4.jpg</t>
  </si>
  <si>
    <t>https://dd3ka9h4chfr8.cloudfront.net/image/725136000567/image_gd0nsgeh1l791akhqjpce1o83e/-FJPG/IMAR-93A_ROM_1.jpg</t>
  </si>
  <si>
    <t>Sinclair Large Round Ottoman - Balkan Ochre</t>
  </si>
  <si>
    <t>https://dd3ka9h4chfr8.cloudfront.net/image/725136000567/image_a0l6eisi5l65n8474q13omcs7n/-S150x150-FJPG/106119-021_PRM_1.jpg</t>
  </si>
  <si>
    <t>https://dd3ka9h4chfr8.cloudfront.net/image/725136000567/image_a0l6eisi5l65n8474q13omcs7n/-FJPG/106119-021_PRM_1.jpg</t>
  </si>
  <si>
    <t>https://dd3ka9h4chfr8.cloudfront.net/image/725136000567/image_epn0edihll1a71tjg92t1qki7e/-FJPG/106119-021_SID_1.jpg</t>
  </si>
  <si>
    <t>https://dd3ka9h4chfr8.cloudfront.net/image/725136000567/image_jh62p0hf494kl609l4d8g0604u/-FJPG/106119-021_ESS.tif</t>
  </si>
  <si>
    <t>https://dd3ka9h4chfr8.cloudfront.net/image/725136000567/image_4et67eu41974n5qs02v54k3e51/-FJPG/106119-021_BCK_1.jpg</t>
  </si>
  <si>
    <t>https://dd3ka9h4chfr8.cloudfront.net/image/725136000567/image_ce1fp9tt4d2p5baedm1vh49g27/-FJPG/106119-021_DET_1.jpg</t>
  </si>
  <si>
    <t>https://dd3ka9h4chfr8.cloudfront.net/image/725136000567/image_1uuvk3lrdp4b99olg8jlqhm600/-FJPG/106119-021_DET_9.tif</t>
  </si>
  <si>
    <t>https://dd3ka9h4chfr8.cloudfront.net/image/725136000567/image_dfdlgfn40p3n54mhkci8bqhb05/-FJPG/106119-021_DET_10.tif</t>
  </si>
  <si>
    <t>https://dd3ka9h4chfr8.cloudfront.net/image/725136000567/image_1bdn9lqdo10lp3t7evst45h00c/-FJPG/106119-021_FRT_2.jpg</t>
  </si>
  <si>
    <t>https://dd3ka9h4chfr8.cloudfront.net/image/725136000567/image_ca41ps5mpd3mv1qb2pah10a53h/-FJPG/106119-021_FRT_3.jpg</t>
  </si>
  <si>
    <t>https://dd3ka9h4chfr8.cloudfront.net/image/725136000567/image_qihkn7p2e92fv7ohqo1n3rn43l/-FJPG/106119-021_FRT_4.jpg</t>
  </si>
  <si>
    <t>https://dd3ka9h4chfr8.cloudfront.net/image/725136000567/image_s0ktm37n6l7epegu3pbtu5bp1f/-FJPG/106119-021_FRT_5.jpg</t>
  </si>
  <si>
    <t>Sinclair Large Round Ottoman - Harness Burlap</t>
  </si>
  <si>
    <t>https://dd3ka9h4chfr8.cloudfront.net/image/725136000567/image_0l5h76u7qh0mh3mrjakhk2bj33/-S150x150-FJPG/106119-005_PRM_1.jpg</t>
  </si>
  <si>
    <t>https://dd3ka9h4chfr8.cloudfront.net/image/725136000567/image_0l5h76u7qh0mh3mrjakhk2bj33/-FJPG/106119-005_PRM_1.jpg</t>
  </si>
  <si>
    <t>https://dd3ka9h4chfr8.cloudfront.net/image/725136000567/image_gfj0oi057t4cdd5h1ghmqm930q/-FJPG/106119-005_SID_1.jpg</t>
  </si>
  <si>
    <t>https://dd3ka9h4chfr8.cloudfront.net/image/725136000567/image_g9cpk9rc5t2f32kfcnmqrhmi0h/-FJPG/106119-005_ESS_1.jpg</t>
  </si>
  <si>
    <t>https://dd3ka9h4chfr8.cloudfront.net/image/725136000567/image_ag7fjg27k51h562k2fe8r2if4f/-FJPG/106119-005_DET_2.jpg</t>
  </si>
  <si>
    <t>https://dd3ka9h4chfr8.cloudfront.net/image/725136000567/image_rli5pgmnc54l17oc5n4t8hs955/-FJPG/106119-005_DET_1.jpg</t>
  </si>
  <si>
    <t>https://dd3ka9h4chfr8.cloudfront.net/image/725136000567/image_jqpg6vduad40ldqh15vov03d46/-FJPG/106119-005_DET_3.jpg</t>
  </si>
  <si>
    <t>https://dd3ka9h4chfr8.cloudfront.net/image/725136000567/image_thkpu2r4rt3d179q0i1a9p0s6h/-FJPG/106119-005_DET_4.jpg</t>
  </si>
  <si>
    <t>Sinclair Large Round Ottoman - Manchester Flint</t>
  </si>
  <si>
    <t>https://dd3ka9h4chfr8.cloudfront.net/image/725136000567/image_jupoptdt0h0gl0crpecrmmnu25/-S150x150-FJPG/106119-020_PRM_1.jpg</t>
  </si>
  <si>
    <t>https://dd3ka9h4chfr8.cloudfront.net/image/725136000567/image_jupoptdt0h0gl0crpecrmmnu25/-FJPG/106119-020_PRM_1.jpg</t>
  </si>
  <si>
    <t>https://dd3ka9h4chfr8.cloudfront.net/image/725136000567/image_j1d9h8jnkp3ff87j7pfbj4h22b/-FJPG/106119-020_SID_1.jpg</t>
  </si>
  <si>
    <t>https://dd3ka9h4chfr8.cloudfront.net/image/725136000567/image_058ts8fa916vp9ukuabgu1pb17/-FJPG/106119-020_DET_2.jpg</t>
  </si>
  <si>
    <t>https://dd3ka9h4chfr8.cloudfront.net/image/725136000567/image_pab4890ebh3nj7k99h7bgrb75n/-FJPG/106119-020_DET_1.jpg</t>
  </si>
  <si>
    <t>https://dd3ka9h4chfr8.cloudfront.net/image/725136000567/image_ppold7p8cd7333qdst8n8o5r7q/-FJPG/106119-020_DET_3.jpg</t>
  </si>
  <si>
    <t>https://dd3ka9h4chfr8.cloudfront.net/image/725136000567/image_lp76cmroo90r9bh97up8fpi033/-FJPG/106119-020_DET_4.jpg</t>
  </si>
  <si>
    <t>https://dd3ka9h4chfr8.cloudfront.net/image/725136000567/image_dlno01gp7t2k51kqcjmovpph6q/-FJPG/106119-020_DET_5.jpg</t>
  </si>
  <si>
    <t>Sinclair Large Round Ottoman - Sheffield Ivory</t>
  </si>
  <si>
    <t>https://dd3ka9h4chfr8.cloudfront.net/image/725136000567/image_jpli5fclc17jve61cc7sla5417/-S150x150-FJPG/106119-022_PRM_1.jpg</t>
  </si>
  <si>
    <t>https://dd3ka9h4chfr8.cloudfront.net/image/725136000567/image_jpli5fclc17jve61cc7sla5417/-FJPG/106119-022_PRM_1.jpg</t>
  </si>
  <si>
    <t>https://dd3ka9h4chfr8.cloudfront.net/image/725136000567/image_1nrk3mg15t52v8nkqv9bqp3e7v/-FJPG/106119-022_SID_1.jpg</t>
  </si>
  <si>
    <t>https://dd3ka9h4chfr8.cloudfront.net/image/725136000567/image_jajihr7ch16op3ng0ogl1vbo1u/-FJPG/106119-022_DET_2.jpg</t>
  </si>
  <si>
    <t>https://dd3ka9h4chfr8.cloudfront.net/image/725136000567/image_13pl9kd8hh67r9i25m0d7tv909/-FJPG/106119-022_BCK_1.jpg</t>
  </si>
  <si>
    <t>https://dd3ka9h4chfr8.cloudfront.net/image/725136000567/image_gqqumtb7b159l0vj6evk7pvn78/-FJPG/106119-022_DET_1.jpg</t>
  </si>
  <si>
    <t>https://dd3ka9h4chfr8.cloudfront.net/image/725136000567/image_5hokjhuo110qfd73svf0qd4t2j/-FJPG/106119-022_DET_3.jpg</t>
  </si>
  <si>
    <t>https://dd3ka9h4chfr8.cloudfront.net/image/725136000567/image_ouf0pdj9gh7vv7nh3kqem8ua0n/-FJPG/106119-022_DET_4.jpg</t>
  </si>
  <si>
    <t>https://dd3ka9h4chfr8.cloudfront.net/image/725136000567/image_j89q07khvd66p6lm8vqbt90v2k/-FJPG/106119-022_DET_5.jpg</t>
  </si>
  <si>
    <t>Sinclair Large Round Ottoman - Surrey Olive</t>
  </si>
  <si>
    <t>https://dd3ka9h4chfr8.cloudfront.net/image/725136000567/image_rjn1d2ci7120vbompkv3ktm11t/-S150x150-FJPG/106119-019_PRM_1.jpg</t>
  </si>
  <si>
    <t>https://dd3ka9h4chfr8.cloudfront.net/image/725136000567/image_rjn1d2ci7120vbompkv3ktm11t/-FJPG/106119-019_PRM_1.jpg</t>
  </si>
  <si>
    <t>https://dd3ka9h4chfr8.cloudfront.net/image/725136000567/image_8uselct89d3hl6aa7bl7dtkl58/-FJPG/106119-019_SID_1.jpg</t>
  </si>
  <si>
    <t>https://dd3ka9h4chfr8.cloudfront.net/image/725136000567/image_cl6vk525891318a6c9lfnqde1h/-FJPG/106119-019_DET_2.jpg</t>
  </si>
  <si>
    <t>https://dd3ka9h4chfr8.cloudfront.net/image/725136000567/image_go2oausfbt7gj187mtdqcffo26/-FJPG/106119-019_DET_1.jpg</t>
  </si>
  <si>
    <t>https://dd3ka9h4chfr8.cloudfront.net/image/725136000567/image_h58hkekfh94f99odmsge22m248/-FJPG/106119-019_DET_3.jpg</t>
  </si>
  <si>
    <t>Sinclair Outdoor Ottoman - Alessi Fawn</t>
  </si>
  <si>
    <t>Solid FSC®-Certified Teak</t>
  </si>
  <si>
    <t>https://dd3ka9h4chfr8.cloudfront.net/image/725136000567/image_pv7erfbc0d6t5bpkh2ai9gcd0g/-S150x150-FJPG/245262-008_PRM_1.jpg</t>
  </si>
  <si>
    <t>https://dd3ka9h4chfr8.cloudfront.net/image/725136000567/image_5a1vncqjdd21pb33g7ec2dcv7i/-FJPG/245262-008_ESS.tif</t>
  </si>
  <si>
    <t>https://dd3ka9h4chfr8.cloudfront.net/image/725136000567/image_1dbs8piej12ft2s94ab2rpnp4l/-FJPG/245262-008_BCK_1.jpg</t>
  </si>
  <si>
    <t>https://dd3ka9h4chfr8.cloudfront.net/image/725136000567/image_9c0o2iko0p7un6circttl9073o/-FJPG/245262-008_DET_5.jpg</t>
  </si>
  <si>
    <t>https://dd3ka9h4chfr8.cloudfront.net/image/725136000567/image_oh7692eijl6dp2quj1q5tteq41/-FJPG/245262-008_DET_6.jpg</t>
  </si>
  <si>
    <t>https://dd3ka9h4chfr8.cloudfront.net/image/725136000567/image_d5fnpm0jkd5j7784f0qgltv70s/-FJPG/245262-008_DET_7.jpg</t>
  </si>
  <si>
    <t>Sinclair Outdoor Ottoman - Alessi Linen</t>
  </si>
  <si>
    <t>https://dd3ka9h4chfr8.cloudfront.net/image/725136000567/image_8ugu265vtl5qh4v9qvt4k1f97g/-S150x150-FJPG/245262-010_PRM_1.jpg</t>
  </si>
  <si>
    <t>https://dd3ka9h4chfr8.cloudfront.net/image/725136000567/image_8ugu265vtl5qh4v9qvt4k1f97g/-FJPG/245262-010_PRM_1.jpg</t>
  </si>
  <si>
    <t>https://dd3ka9h4chfr8.cloudfront.net/image/725136000567/image_kn7ooqigch19h9kras22vcak5n/-FJPG/245262-010_SID_1.jpg</t>
  </si>
  <si>
    <t>https://dd3ka9h4chfr8.cloudfront.net/image/725136000567/image_cljfvrsgml6gd3anjg2tnsji4b/-FJPG/245262-010_ESS.tif</t>
  </si>
  <si>
    <t>https://dd3ka9h4chfr8.cloudfront.net/image/725136000567/image_bicvtobnfl7vtc6ipkvi3bgm5l/-FJPG/245262-010_DET_2.jpg</t>
  </si>
  <si>
    <t>https://dd3ka9h4chfr8.cloudfront.net/image/725136000567/image_ne0q6nd1u92693u1onigvmnt0u/-FJPG/245262-010_BCK_1.jpg</t>
  </si>
  <si>
    <t>https://dd3ka9h4chfr8.cloudfront.net/image/725136000567/image_hoodnhfckd5kj69lgoktqk716l/-FJPG/245262-010_DET_1.jpg</t>
  </si>
  <si>
    <t>https://dd3ka9h4chfr8.cloudfront.net/image/725136000567/image_0cqh884ibh75r8s8scn72au44b/-FJPG/245262-010_DET_3.jpg</t>
  </si>
  <si>
    <t>https://dd3ka9h4chfr8.cloudfront.net/image/725136000567/image_6ovp8uli254ttfhgkpnl881m02/-FJPG/245262-010_TOP_1.jpg</t>
  </si>
  <si>
    <t>https://dd3ka9h4chfr8.cloudfront.net/image/725136000567/image_h71i4eo0u93lfc57npnqik3h4e/-FJPG/245262-010_DET_5.jpg</t>
  </si>
  <si>
    <t>Sinclair Outdoor Ottoman - Hayes Cream</t>
  </si>
  <si>
    <t>100% Olefin</t>
  </si>
  <si>
    <t>https://dd3ka9h4chfr8.cloudfront.net/image/725136000567/image_3bi59rfj0961b54bf33quio71g/-S150x150-FJPG/245262-012_PRM_1.jpg</t>
  </si>
  <si>
    <t>https://dd3ka9h4chfr8.cloudfront.net/image/725136000567/image_3bi59rfj0961b54bf33quio71g/-FJPG/245262-012_PRM_1.jpg</t>
  </si>
  <si>
    <t>https://dd3ka9h4chfr8.cloudfront.net/image/725136000567/image_dr782prnt91ld7vkofhq7a1c0t/-FJPG/245262-012_SID_1.jpg</t>
  </si>
  <si>
    <t>https://dd3ka9h4chfr8.cloudfront.net/image/725136000567/image_jgucp1pish0id4cup6tg6cob7r/-FJPG/245262-012_ESS.tif</t>
  </si>
  <si>
    <t>https://dd3ka9h4chfr8.cloudfront.net/image/725136000567/image_0aok0573op3ktc5earktcgtm4h/-FJPG/245262-012_DET_2.jpg</t>
  </si>
  <si>
    <t>https://dd3ka9h4chfr8.cloudfront.net/image/725136000567/image_2imkuji4pd78b2cairljkojb2n/-FJPG/245262-012_BCK_1.jpg</t>
  </si>
  <si>
    <t>https://dd3ka9h4chfr8.cloudfront.net/image/725136000567/image_q8qmot5o195flceaersbigqa6h/-FJPG/245262-012_DET_1.jpg</t>
  </si>
  <si>
    <t>https://dd3ka9h4chfr8.cloudfront.net/image/725136000567/image_t9it1gdvl91a7daedtqlgh1g3h/-FJPG/245262-012_DET_3.jpg</t>
  </si>
  <si>
    <t>https://dd3ka9h4chfr8.cloudfront.net/image/725136000567/image_0qd34hviot6hb28pko41kppp07/-FJPG/245262-012_TOP_1.jpg</t>
  </si>
  <si>
    <t>https://dd3ka9h4chfr8.cloudfront.net/image/725136000567/image_lrp945eduh2fdduvipjr250m1j/-FJPG/245262-012_DET_4.jpg</t>
  </si>
  <si>
    <t>https://dd3ka9h4chfr8.cloudfront.net/image/725136000567/image_ebnfmsghc16f96i2s6anrvhh7n/-FJPG/245262-012_DET_5.jpg</t>
  </si>
  <si>
    <t>Sinclair Outdoor Ottoman - Hayes Smoke</t>
  </si>
  <si>
    <t>https://dd3ka9h4chfr8.cloudfront.net/image/725136000567/image_6hkpocavo13r97bsg05o8u8n2s/-S150x150-FJPG/245262-011_PRM_1.jpg</t>
  </si>
  <si>
    <t>https://dd3ka9h4chfr8.cloudfront.net/image/725136000567/image_6hkpocavo13r97bsg05o8u8n2s/-FJPG/245262-011_PRM_1.jpg</t>
  </si>
  <si>
    <t>https://dd3ka9h4chfr8.cloudfront.net/image/725136000567/image_7qmj0bdop940j59amj9p3glr0b/-FJPG/245262-011_SID_1.jpg</t>
  </si>
  <si>
    <t>https://dd3ka9h4chfr8.cloudfront.net/image/725136000567/image_prioqoknrh2n941sn0347s7e6b/-FJPG/245262-011_ESS.tif</t>
  </si>
  <si>
    <t>https://dd3ka9h4chfr8.cloudfront.net/image/725136000567/image_b4f2on0io14015n0it3m8grm0q/-FJPG/245262-011_DET_2.jpg</t>
  </si>
  <si>
    <t>https://dd3ka9h4chfr8.cloudfront.net/image/725136000567/image_o2im3b5bqp5p1a15j15ml9dm4q/-FJPG/245262-011_BCK_1.jpg</t>
  </si>
  <si>
    <t>https://dd3ka9h4chfr8.cloudfront.net/image/725136000567/image_un39cuei110cp7f5ausj4j1c4g/-FJPG/245262-011_DET_1.jpg</t>
  </si>
  <si>
    <t>https://dd3ka9h4chfr8.cloudfront.net/image/725136000567/image_201n39uqod67t8uip17cgqbe26/-FJPG/245262-011_TOP_1.jpg</t>
  </si>
  <si>
    <t>https://dd3ka9h4chfr8.cloudfront.net/image/725136000567/image_seujfdb0ad0bteb5g9k6jtci3f/-FJPG/245262-011_DET_4.jpg</t>
  </si>
  <si>
    <t>https://dd3ka9h4chfr8.cloudfront.net/image/725136000567/image_mkflc2f4c14ile4epsjpp04k20/-FJPG/245262-011_DET_5.jpg</t>
  </si>
  <si>
    <t>Sinclair Round Ottoman - Balkan Ochre</t>
  </si>
  <si>
    <t>https://dd3ka9h4chfr8.cloudfront.net/image/725136000567/image_45s3hublnh41h1hmd380krb070/-S150x150-FJPG/106074-021_PRM_1.jpg</t>
  </si>
  <si>
    <t>https://dd3ka9h4chfr8.cloudfront.net/image/725136000567/image_45s3hublnh41h1hmd380krb070/-FJPG/106074-021_PRM_1.jpg</t>
  </si>
  <si>
    <t>https://dd3ka9h4chfr8.cloudfront.net/image/725136000567/image_m9v0inodap3ctcssqpmo11gq38/-FJPG/106074-021_SID_1.jpg</t>
  </si>
  <si>
    <t>https://dd3ka9h4chfr8.cloudfront.net/image/725136000567/image_egmkat65ap3ahbhragddi92t6c/-FJPG/106074-021_ESS.tif</t>
  </si>
  <si>
    <t>https://dd3ka9h4chfr8.cloudfront.net/image/725136000567/image_6ft66v8djl6oj11tu9d19ur559/-FJPG/106074-021_DET_2.jpg</t>
  </si>
  <si>
    <t>https://dd3ka9h4chfr8.cloudfront.net/image/725136000567/image_jpuao5426p3ppb2bjlssuf3q1e/-FJPG/106074-021_BCK_1.jpg</t>
  </si>
  <si>
    <t>https://dd3ka9h4chfr8.cloudfront.net/image/725136000567/image_mg56qauu1d1214o3msm8shgr1e/-FJPG/106074-021_DET_1.jpg</t>
  </si>
  <si>
    <t>https://dd3ka9h4chfr8.cloudfront.net/image/725136000567/image_phr1k4a30p333fimcii1eqd81c/-FJPG/106074-021_DET_3.jpg</t>
  </si>
  <si>
    <t>https://dd3ka9h4chfr8.cloudfront.net/image/725136000567/image_6ap3of46ft2etadobs4a572q5q/-FJPG/106074-021_DET_4.jpg</t>
  </si>
  <si>
    <t>https://dd3ka9h4chfr8.cloudfront.net/image/725136000567/image_jc3s7pujfl24d4affm8shhs52d/-FJPG/106074-021_DET_5.jpg</t>
  </si>
  <si>
    <t>https://dd3ka9h4chfr8.cloudfront.net/image/725136000567/image_9naitj2d6l0bvcdnpvl8mp912i/-FJPG/106074-021_DET_6.jpg</t>
  </si>
  <si>
    <t>https://dd3ka9h4chfr8.cloudfront.net/image/725136000567/image_s3lqeu5d4t1hbbnrmcifdgrc7d/-FJPG/106074-021_DET_9.tif</t>
  </si>
  <si>
    <t>https://dd3ka9h4chfr8.cloudfront.net/image/725136000567/image_fufd0t69jd4nv3jgc76vg00738/-FJPG/106074-021_DET_10.tif</t>
  </si>
  <si>
    <t>Sinclair Round Ottoman - Harness Burlap</t>
  </si>
  <si>
    <t>https://dd3ka9h4chfr8.cloudfront.net/image/725136000567/image_qp1nqmuv452b9auhh9qa83ja59/-S150x150-FJPG/106074-008_PRM_1.jpg</t>
  </si>
  <si>
    <t>https://dd3ka9h4chfr8.cloudfront.net/image/725136000567/image_qp1nqmuv452b9auhh9qa83ja59/-FJPG/106074-008_PRM_1.jpg</t>
  </si>
  <si>
    <t>https://dd3ka9h4chfr8.cloudfront.net/image/725136000567/image_r9cdgktpl91l16jc3oultt762a/-FJPG/106074-008_ESS.tif</t>
  </si>
  <si>
    <t>https://dd3ka9h4chfr8.cloudfront.net/image/725136000567/image_ms33s4essh0bhc52br9r26kq5d/-FJPG/106074-008_DET_2.jpg</t>
  </si>
  <si>
    <t>https://dd3ka9h4chfr8.cloudfront.net/image/725136000567/image_11p2m3o64p0v9d3jgutfigu558/-FJPG/106074-008_DET_1.jpg</t>
  </si>
  <si>
    <t>https://dd3ka9h4chfr8.cloudfront.net/image/725136000567/image_6ja10uai7l6230tdck8pjf651o/-FJPG/106074-008_DET_3.jpg</t>
  </si>
  <si>
    <t>Sinclair Round Ottoman - Knoll Domino</t>
  </si>
  <si>
    <t>https://dd3ka9h4chfr8.cloudfront.net/image/725136000567/image_luhj10s0212i56orjvhpb25t1r/-S150x150-FJPG/106074-010_PRM_1.jpg</t>
  </si>
  <si>
    <t>https://dd3ka9h4chfr8.cloudfront.net/image/725136000567/image_luhj10s0212i56orjvhpb25t1r/-FJPG/106074-010_PRM_1.jpg</t>
  </si>
  <si>
    <t>https://dd3ka9h4chfr8.cloudfront.net/image/725136000567/image_33fvdi1lhh0vp3f2o9kv7oak53/-FJPG/106074-010_ESS_1.jpg</t>
  </si>
  <si>
    <t>https://dd3ka9h4chfr8.cloudfront.net/image/725136000567/image_nq26iuk4el6rbf6nfahgpn2k3g/-FJPG/106074-010_DET_2.jpg</t>
  </si>
  <si>
    <t>https://dd3ka9h4chfr8.cloudfront.net/image/725136000567/image_4vvvdur4dd14j61cp8dhc36n74/-FJPG/106074-010_INF_1.jpg</t>
  </si>
  <si>
    <t>https://dd3ka9h4chfr8.cloudfront.net/image/725136000567/image_4u2as6fl497jp64s654flpfe47/-FJPG/106074-010_DET_1.jpg</t>
  </si>
  <si>
    <t>https://dd3ka9h4chfr8.cloudfront.net/image/725136000567/image_fm6p356ev57tb9656v32apaq7j/-FJPG/106074-010_DET_3.jpg</t>
  </si>
  <si>
    <t>https://dd3ka9h4chfr8.cloudfront.net/image/725136000567/image_amgmadoun91l7bglipkp2e8529/-FJPG/106074-010_TOP_1.jpg</t>
  </si>
  <si>
    <t>https://dd3ka9h4chfr8.cloudfront.net/image/725136000567/image_8s30195kd117v7nhdbqb5det2p/-FJPG/106074-010_DET_4.jpg</t>
  </si>
  <si>
    <t>https://dd3ka9h4chfr8.cloudfront.net/image/725136000567/image_4rpda8j1ep57p237gsic21rk03/-FJPG/106074-010_DET_5.jpg</t>
  </si>
  <si>
    <t>Sinclair Round Ottoman - Knoll Natural</t>
  </si>
  <si>
    <t>https://dd3ka9h4chfr8.cloudfront.net/image/725136000567/image_kdsuoid3n90gv55ukvab26ng4v/-S150x150-FJPG/106074-011_PRM_1.jpg</t>
  </si>
  <si>
    <t>https://dd3ka9h4chfr8.cloudfront.net/image/725136000567/image_3rnmrprbk57vh8jl9n4aer6c3h/-FJPG/106074-011_SID_1.jpg</t>
  </si>
  <si>
    <t>https://dd3ka9h4chfr8.cloudfront.net/image/725136000567/image_rq84ah0l2p7rtdt3hklcer5g7v/-FJPG/106074-011_ESS_1.tif</t>
  </si>
  <si>
    <t>https://dd3ka9h4chfr8.cloudfront.net/image/725136000567/image_s9sebkbevp3e10913614889t4i/-FJPG/106074-011_DET_2.jpg</t>
  </si>
  <si>
    <t>https://dd3ka9h4chfr8.cloudfront.net/image/725136000567/image_1jbjl783fp4qldbekin7n23t6j/-FJPG/106074-011_INF_1.jpg</t>
  </si>
  <si>
    <t>https://dd3ka9h4chfr8.cloudfront.net/image/725136000567/image_fld7bidbgh6nvanr45rfh3ds4l/-FJPG/106074-011_DET_1.jpg</t>
  </si>
  <si>
    <t>https://dd3ka9h4chfr8.cloudfront.net/image/725136000567/image_b6crj8ndn97b94nfdt4koahu0j/-FJPG/106074-011_DET_3.jpg</t>
  </si>
  <si>
    <t>https://dd3ka9h4chfr8.cloudfront.net/image/725136000567/image_gdrsi5qs9t2l5ct2gfbupft421/-FJPG/106074-011_DET_4.jpg</t>
  </si>
  <si>
    <t>https://dd3ka9h4chfr8.cloudfront.net/image/725136000567/image_1j0idbqcn9789f3ougv8snn37f/-FJPG/106074-011_DET_5.jpg</t>
  </si>
  <si>
    <t>https://dd3ka9h4chfr8.cloudfront.net/image/725136000567/image_kh9ecpolet2ava4pv9t42gg07j/-FJPG/106074-011_VIG_1.jpg</t>
  </si>
  <si>
    <t>https://dd3ka9h4chfr8.cloudfront.net/image/725136000567/image_78nuap10j95dn8as9o9sp4cu7i/-FJPG/106074-011_VIG_2.jpg</t>
  </si>
  <si>
    <t>https://dd3ka9h4chfr8.cloudfront.net/image/725136000567/image_4igstrr9lt3g70idc5o3rajt1n/-FJPG/106074-011_VIG_3.jpg</t>
  </si>
  <si>
    <t>Sinclair Round Ottoman - Manchester Flint</t>
  </si>
  <si>
    <t>https://dd3ka9h4chfr8.cloudfront.net/image/725136000567/image_0a1m5b00q51qfeo7bauph9hr4o/-S150x150-FJPG/106074-020_PRM_1.jpg</t>
  </si>
  <si>
    <t>https://dd3ka9h4chfr8.cloudfront.net/image/725136000567/image_0a1m5b00q51qfeo7bauph9hr4o/-FJPG/106074-020_PRM_1.jpg</t>
  </si>
  <si>
    <t>https://dd3ka9h4chfr8.cloudfront.net/image/725136000567/image_hkcjhiam4l5bt4jtpb4lkf4d2a/-FJPG/106074-020_SID_1.jpg</t>
  </si>
  <si>
    <t>https://dd3ka9h4chfr8.cloudfront.net/image/725136000567/image_lhn07tc8it0qd1gnrou52q0v56/-FJPG/106074-020_DET_2.jpg</t>
  </si>
  <si>
    <t>https://dd3ka9h4chfr8.cloudfront.net/image/725136000567/image_0rl1b6qash7956hg4ej4aqof0n/-FJPG/106074-020_DET_1.jpg</t>
  </si>
  <si>
    <t>https://dd3ka9h4chfr8.cloudfront.net/image/725136000567/image_2sfcb41sip69714hv1ds8cra2j/-FJPG/106074-020_DET_3.jpg</t>
  </si>
  <si>
    <t>https://dd3ka9h4chfr8.cloudfront.net/image/725136000567/image_3ujvn7c429385amnaqoto6il0r/-FJPG/106074-020_DET_4.jpg</t>
  </si>
  <si>
    <t>https://dd3ka9h4chfr8.cloudfront.net/image/725136000567/image_3mh0v65i2h1e5493aerk1o3n63/-FJPG/106074-020_DET_5.jpg</t>
  </si>
  <si>
    <t>https://dd3ka9h4chfr8.cloudfront.net/image/725136000567/image_3jpk4cbr4d6br3uggmgo6cg05p/-FJPG/106074-020_DET_6.jpg</t>
  </si>
  <si>
    <t>Sinclair Round Ottoman - Palermo Butterscotch</t>
  </si>
  <si>
    <t>https://dd3ka9h4chfr8.cloudfront.net/image/725136000567/image_63hdi1e0ip6pj3dp5o382c0k0s/-S150x150-FJPG/106074-014_PRM_1.jpg</t>
  </si>
  <si>
    <t>https://dd3ka9h4chfr8.cloudfront.net/image/725136000567/image_63hdi1e0ip6pj3dp5o382c0k0s/-FJPG/106074-014_PRM_1.jpg</t>
  </si>
  <si>
    <t>https://dd3ka9h4chfr8.cloudfront.net/image/725136000567/image_0aq89gtn851cd6pi2s7t8jfs56/-FJPG/106074-014_SID_1.jpg</t>
  </si>
  <si>
    <t>https://dd3ka9h4chfr8.cloudfront.net/image/725136000567/image_ob3o1u26g54k9dg3pt0qr6pm2h/-FJPG/106074-014_ESS.tif</t>
  </si>
  <si>
    <t>https://dd3ka9h4chfr8.cloudfront.net/image/725136000567/image_7mmqhgea1p565aslpge99nff3a/-FJPG/106074-014_DET_2.jpg</t>
  </si>
  <si>
    <t>https://dd3ka9h4chfr8.cloudfront.net/image/725136000567/image_6tlbe5umf93ot4ncpj9dl7t556/-FJPG/106074-014_DET_1.jpg</t>
  </si>
  <si>
    <t>https://dd3ka9h4chfr8.cloudfront.net/image/725136000567/image_bcqt45slhd581220cctr6f0a0p/-FJPG/106074-014_DET_3.jpg</t>
  </si>
  <si>
    <t>https://dd3ka9h4chfr8.cloudfront.net/image/725136000567/image_jqqp3ogoot3g5etd4ubjga4e7b/-FJPG/106074-014_DET_4.jpg</t>
  </si>
  <si>
    <t>Sinclair Round Ottoman - Sheffield Ivory</t>
  </si>
  <si>
    <t>https://dd3ka9h4chfr8.cloudfront.net/image/725136000567/image_esbh1tauk102beakul6vhfs81h/-S150x150-FJPG/106074-022_PRM_1.jpg</t>
  </si>
  <si>
    <t>https://dd3ka9h4chfr8.cloudfront.net/image/725136000567/image_esbh1tauk102beakul6vhfs81h/-FJPG/106074-022_PRM_1.jpg</t>
  </si>
  <si>
    <t>https://dd3ka9h4chfr8.cloudfront.net/image/725136000567/image_i93v595nvl7850sh5638q3bb2q/-FJPG/106074-022_SID_1.jpg</t>
  </si>
  <si>
    <t>https://dd3ka9h4chfr8.cloudfront.net/image/725136000567/image_6sn6n0577p0ob7e4a279lm0s38/-FJPG/106074-022_DET_2.jpg</t>
  </si>
  <si>
    <t>https://dd3ka9h4chfr8.cloudfront.net/image/725136000567/image_rigjtoo11d65t1s2bmkh6ulr03/-FJPG/106074-022_BCK_1.jpg</t>
  </si>
  <si>
    <t>https://dd3ka9h4chfr8.cloudfront.net/image/725136000567/image_qvau7a3sfl3497qh6d65ibf13j/-FJPG/106074-022_DET_1.jpg</t>
  </si>
  <si>
    <t>https://dd3ka9h4chfr8.cloudfront.net/image/725136000567/image_5upa3l804h1vd1q0d9l29stt4e/-FJPG/106074-022_DET_3.jpg</t>
  </si>
  <si>
    <t>https://dd3ka9h4chfr8.cloudfront.net/image/725136000567/image_e4iqdk4g114657bf8amk21hk27/-FJPG/106074-022_DET_4.jpg</t>
  </si>
  <si>
    <t>https://dd3ka9h4chfr8.cloudfront.net/image/725136000567/image_0u4c449sl50bp7jom3uhafff0c/-FJPG/106074-022_DET_5.jpg</t>
  </si>
  <si>
    <t>https://dd3ka9h4chfr8.cloudfront.net/image/725136000567/image_9osh2ds0st7ub3ghmcgk2feh28/-FJPG/106074-022_DET_6.jpg</t>
  </si>
  <si>
    <t>Sinclair Square Ottoman-36" - Balkan Ochre</t>
  </si>
  <si>
    <t>https://dd3ka9h4chfr8.cloudfront.net/image/725136000567/image_ba1uahd1cd20pe8fhib60hs17c/-S150x150-FJPG/238548-013_PRM_1.jpg</t>
  </si>
  <si>
    <t>https://dd3ka9h4chfr8.cloudfront.net/image/725136000567/image_ba1uahd1cd20pe8fhib60hs17c/-FJPG/238548-013_PRM_1.jpg</t>
  </si>
  <si>
    <t>https://dd3ka9h4chfr8.cloudfront.net/image/725136000567/image_l13uo2s0ht76d6niiltnr4pe6n/-FJPG/238548-013_SID_1.jpg</t>
  </si>
  <si>
    <t>https://dd3ka9h4chfr8.cloudfront.net/image/725136000567/image_8i129lrdsd2pb7hqb1npu6su7c/-FJPG/238548-013_ESS.tif</t>
  </si>
  <si>
    <t>https://dd3ka9h4chfr8.cloudfront.net/image/725136000567/image_full531ptp2v1e7ot0o8mcqe72/-FJPG/238548-013_DET_2.jpg</t>
  </si>
  <si>
    <t>https://dd3ka9h4chfr8.cloudfront.net/image/725136000567/image_q8h1iv8q390mtbvvo38cnkpi4p/-FJPG/238548-013_DET_1.jpg</t>
  </si>
  <si>
    <t>https://dd3ka9h4chfr8.cloudfront.net/image/725136000567/image_urlm986qr10ah69ugdr2ac6c5l/-FJPG/238548-013_DET_3.jpg</t>
  </si>
  <si>
    <t>https://dd3ka9h4chfr8.cloudfront.net/image/725136000567/image_n09j6pdi8l6157pn9vlla94p42/-FJPG/238548-013_DET_4.jpg</t>
  </si>
  <si>
    <t>https://dd3ka9h4chfr8.cloudfront.net/image/725136000567/image_nhof0jbk3549d14ips4njc4b7o/-FJPG/238548-013_DET_5.jpg</t>
  </si>
  <si>
    <t>https://dd3ka9h4chfr8.cloudfront.net/image/725136000567/image_at53nojfu13d56mjmes6prad27/-FJPG/238548-013_DET_6.jpg</t>
  </si>
  <si>
    <t>https://dd3ka9h4chfr8.cloudfront.net/image/725136000567/image_53789jd1690vj6a50ir27jme3v/-FJPG/238548-013_DET_9.tif</t>
  </si>
  <si>
    <t>Sinclair Square Ottoman-36" - Barrow Taupe</t>
  </si>
  <si>
    <t>30% Wool</t>
  </si>
  <si>
    <t>https://dd3ka9h4chfr8.cloudfront.net/image/725136000567/image_icuuhfmbgd5q90khp1l7ch5n6j/-S150x150-FJPG/238548-009_PRM_1.jpg</t>
  </si>
  <si>
    <t>https://dd3ka9h4chfr8.cloudfront.net/image/725136000567/image_icuuhfmbgd5q90khp1l7ch5n6j/-FJPG/238548-009_PRM_1.jpg</t>
  </si>
  <si>
    <t>https://dd3ka9h4chfr8.cloudfront.net/image/725136000567/image_lo4hnteit140p9ntih02ln1g0s/-FJPG/238548-009_SID_1.jpg</t>
  </si>
  <si>
    <t>https://dd3ka9h4chfr8.cloudfront.net/image/725136000567/image_qjdplocsvt28dc1f5pnt4r113o/-FJPG/238548-009_ESS.tif</t>
  </si>
  <si>
    <t>https://dd3ka9h4chfr8.cloudfront.net/image/725136000567/image_7kr0o3oni15lt9iud3av272v61/-FJPG/238548-009_DET_2.jpg</t>
  </si>
  <si>
    <t>https://dd3ka9h4chfr8.cloudfront.net/image/725136000567/image_mvhedvheel0d73n2eogrnj6a0c/-FJPG/238548-009_DET_1.jpg</t>
  </si>
  <si>
    <t>https://dd3ka9h4chfr8.cloudfront.net/image/725136000567/image_osq88luath3dp7uhrc8pluf04m/-FJPG/238548-009_DET_3.jpg</t>
  </si>
  <si>
    <t>https://dd3ka9h4chfr8.cloudfront.net/image/725136000567/image_m8ra7kvnv57ojdkrj1agk32v0o/-FJPG/238548-009_DET_4.jpg</t>
  </si>
  <si>
    <t>https://dd3ka9h4chfr8.cloudfront.net/image/725136000567/image_ubteu4dq0931j6d50mkjavqm27/-FJPG/238548-009_DET_5.jpg</t>
  </si>
  <si>
    <t>https://dd3ka9h4chfr8.cloudfront.net/image/725136000567/image_cdigkokmvt74d1rev0gqv75s53/-FJPG/238548-009_DET_6.jpg</t>
  </si>
  <si>
    <t>https://dd3ka9h4chfr8.cloudfront.net/image/725136000567/image_22qsg6ovpp3bbfnvaf97vkqf7r/-FJPG/238548-009_DET_9.tif</t>
  </si>
  <si>
    <t>https://dd3ka9h4chfr8.cloudfront.net/image/725136000567/image_qnlqhabu2h59ff0jhm19dfur77/-FJPG/FHMPRJ-010_SCENE-02-V1-B.tif</t>
  </si>
  <si>
    <t>Sinclair Square Ottoman-36" - Ivan Granite</t>
  </si>
  <si>
    <t>https://dd3ka9h4chfr8.cloudfront.net/image/725136000567/image_arcv9a5k4l7enajqhmnbuu404b/-S150x150-FJPG/238548-010_PRM_1.jpg</t>
  </si>
  <si>
    <t>https://dd3ka9h4chfr8.cloudfront.net/image/725136000567/image_arcv9a5k4l7enajqhmnbuu404b/-FJPG/238548-010_PRM_1.jpg</t>
  </si>
  <si>
    <t>https://dd3ka9h4chfr8.cloudfront.net/image/725136000567/image_tt455fiob174b5cv6fgolknv1g/-FJPG/238548-010_SID_1.jpg</t>
  </si>
  <si>
    <t>https://dd3ka9h4chfr8.cloudfront.net/image/725136000567/image_fhk7e2trq917ba95710e5tq04p/-FJPG/238548-010_DET_2.jpg</t>
  </si>
  <si>
    <t>https://dd3ka9h4chfr8.cloudfront.net/image/725136000567/image_nqauv080i53jf1v5q8gvmsls4p/-FJPG/238548-010_BCK_1.jpg</t>
  </si>
  <si>
    <t>https://dd3ka9h4chfr8.cloudfront.net/image/725136000567/image_0hi382b9p534pc30o86pma1338/-FJPG/238548-010_DET_1.jpg</t>
  </si>
  <si>
    <t>https://dd3ka9h4chfr8.cloudfront.net/image/725136000567/image_2bc5k0rjjd4ihb8ur9apralo5s/-FJPG/238548-010_DET_3.jpg</t>
  </si>
  <si>
    <t>https://dd3ka9h4chfr8.cloudfront.net/image/725136000567/image_h3uicmknip48l3228lf4a3bc2i/-FJPG/238548-010_TOP_1.jpg</t>
  </si>
  <si>
    <t>https://dd3ka9h4chfr8.cloudfront.net/image/725136000567/image_knr5721i857cr62giptckbfl6g/-FJPG/238548-010_DET_4.jpg</t>
  </si>
  <si>
    <t>Sinclair Square Ottoman-36" - Knoll Natural</t>
  </si>
  <si>
    <t>https://dd3ka9h4chfr8.cloudfront.net/image/725136000567/image_emuag3u8r570t1gtpb4p7sl975/-S150x150-FJPG/238548-003_PRM_1.jpg</t>
  </si>
  <si>
    <t>https://dd3ka9h4chfr8.cloudfront.net/image/725136000567/image_emuag3u8r570t1gtpb4p7sl975/-FJPG/238548-003_PRM_1.jpg</t>
  </si>
  <si>
    <t>https://dd3ka9h4chfr8.cloudfront.net/image/725136000567/image_qv0sjj1ogt5fr8fomjie0qiv58/-FJPG/238548-003_ESS.tif</t>
  </si>
  <si>
    <t>https://dd3ka9h4chfr8.cloudfront.net/image/725136000567/image_v9lb9hd6tl2g9dm8c48l8m784l/-FJPG/238548-003_DET_2.jpg</t>
  </si>
  <si>
    <t>https://dd3ka9h4chfr8.cloudfront.net/image/725136000567/image_p1qqjb35hd4bfej4im2c09qa5q/-FJPG/238548-003_DET_1.jpg</t>
  </si>
  <si>
    <t>https://dd3ka9h4chfr8.cloudfront.net/image/725136000567/image_5et9vu18nl5154o01gao3dg02l/-FJPG/238548-003_DET_3.jpg</t>
  </si>
  <si>
    <t>https://dd3ka9h4chfr8.cloudfront.net/image/725136000567/image_ehtifr8hhh6p1447ooghheao4i/-FJPG/238548-003_DET_4.jpg</t>
  </si>
  <si>
    <t>https://dd3ka9h4chfr8.cloudfront.net/image/725136000567/image_k888j7ufid19v6hn4frfk58218/-FJPG/238548-003_DET_5.jpg</t>
  </si>
  <si>
    <t>https://dd3ka9h4chfr8.cloudfront.net/image/725136000567/image_8sr8tfo16t28b1hish1rbuvf7e/-FJPG/238548-003_DET_6.jpg</t>
  </si>
  <si>
    <t>Sinclair Square Ottoman-36" - Manchester Flint</t>
  </si>
  <si>
    <t>https://dd3ka9h4chfr8.cloudfront.net/image/725136000567/image_j6chbqsmc54nb73hd8vgmfds2a/-S150x150-FJPG/238548-011_PRM_1.jpg</t>
  </si>
  <si>
    <t>https://dd3ka9h4chfr8.cloudfront.net/image/725136000567/image_j6chbqsmc54nb73hd8vgmfds2a/-FJPG/238548-011_PRM_1.jpg</t>
  </si>
  <si>
    <t>https://dd3ka9h4chfr8.cloudfront.net/image/725136000567/image_kqkppr0dt576187jhigk9g9l52/-FJPG/238548-011_SID_1.jpg</t>
  </si>
  <si>
    <t>https://dd3ka9h4chfr8.cloudfront.net/image/725136000567/image_s9sgqcoce11up1d45coh18ca0e/-FJPG/238548-011_DET_2.jpg</t>
  </si>
  <si>
    <t>https://dd3ka9h4chfr8.cloudfront.net/image/725136000567/image_ibck5a9dgh3i50klrnc1ela10a/-FJPG/238548-011_DET_1.jpg</t>
  </si>
  <si>
    <t>https://dd3ka9h4chfr8.cloudfront.net/image/725136000567/image_ecgofgsb355nb9gh9fvoesbh0g/-FJPG/238548-011_DET_3.jpg</t>
  </si>
  <si>
    <t>https://dd3ka9h4chfr8.cloudfront.net/image/725136000567/image_fgmfigg9fd06dei6m5julqgp3n/-FJPG/238548-011_DET_4.jpg</t>
  </si>
  <si>
    <t>https://dd3ka9h4chfr8.cloudfront.net/image/725136000567/image_8cjosct00p3an3h8t899pbu12v/-FJPG/238548-011_DET_5.jpg</t>
  </si>
  <si>
    <t>https://dd3ka9h4chfr8.cloudfront.net/image/725136000567/image_tinl6lfa0t33r45319usdcgk16/-FJPG/238548-011_DET_6.jpg</t>
  </si>
  <si>
    <t>Sinclair Square Ottoman-36" - Palermo Butterscotch</t>
  </si>
  <si>
    <t>https://dd3ka9h4chfr8.cloudfront.net/image/725136000567/image_vn64567o155jn2m15qb8lva36m/-S150x150-FJPG/238548-004_PRM_1.jpg</t>
  </si>
  <si>
    <t>https://dd3ka9h4chfr8.cloudfront.net/image/725136000567/image_vn64567o155jn2m15qb8lva36m/-FJPG/238548-004_PRM_1.jpg</t>
  </si>
  <si>
    <t>https://dd3ka9h4chfr8.cloudfront.net/image/725136000567/image_g3rnm2mcit0p56luc4dcijmq18/-FJPG/238548-004_DET_2.jpg</t>
  </si>
  <si>
    <t>https://dd3ka9h4chfr8.cloudfront.net/image/725136000567/image_3bsi6mnjfh5jh2ton0mooff242/-FJPG/238548-004_DET_1.jpg</t>
  </si>
  <si>
    <t>https://dd3ka9h4chfr8.cloudfront.net/image/725136000567/image_3aaep04pip7g3an252saeekm5t/-FJPG/238548-004_DET_3.jpg</t>
  </si>
  <si>
    <t>https://dd3ka9h4chfr8.cloudfront.net/image/725136000567/image_rg4244v701741f4egdeqdakl1r/-FJPG/238548-004_DET_4.jpg</t>
  </si>
  <si>
    <t>https://dd3ka9h4chfr8.cloudfront.net/image/725136000567/image_j9v938u94l0e596tggbmbono41/-FJPG/238548-004_DET_5.jpg</t>
  </si>
  <si>
    <t>Sinclair Square Ottoman-36" - Surrey Olive</t>
  </si>
  <si>
    <t>https://dd3ka9h4chfr8.cloudfront.net/image/725136000567/image_tevtdhq29t24712g3q2r1gi50j/-S150x150-FJPG/238548-012_PRM_1.jpg</t>
  </si>
  <si>
    <t>https://dd3ka9h4chfr8.cloudfront.net/image/725136000567/image_tevtdhq29t24712g3q2r1gi50j/-FJPG/238548-012_PRM_1.jpg</t>
  </si>
  <si>
    <t>https://dd3ka9h4chfr8.cloudfront.net/image/725136000567/image_pq9da7p55p5klasmlknvr1l81a/-FJPG/238548-012_SID_1.jpg</t>
  </si>
  <si>
    <t>https://dd3ka9h4chfr8.cloudfront.net/image/725136000567/image_n3min41jv11dnau9b132lck60o/-FJPG/238548-012_DET_2.jpg</t>
  </si>
  <si>
    <t>https://dd3ka9h4chfr8.cloudfront.net/image/725136000567/image_4jak77otul5fd0i3vta1p5sd7u/-FJPG/238548-012_DET_1.jpg</t>
  </si>
  <si>
    <t>https://dd3ka9h4chfr8.cloudfront.net/image/725136000567/image_kq0taehrkd7j13rks9oemmf560/-FJPG/238548-012_DET_3.jpg</t>
  </si>
  <si>
    <t>https://dd3ka9h4chfr8.cloudfront.net/image/725136000567/image_5j4a06hb3t2c54kq9g3a5tqj5m/-FJPG/238548-012_DET_4.jpg</t>
  </si>
  <si>
    <t>https://dd3ka9h4chfr8.cloudfront.net/image/725136000567/image_3fhuf7ukct4id6dc80mt7f5m0g/-FJPG/238548-012_DET_5.jpg</t>
  </si>
  <si>
    <t>https://dd3ka9h4chfr8.cloudfront.net/image/725136000567/image_20nqo5uo2p0dhf12qobkqoak3m/-FJPG/238548-012_DET_6.jpg</t>
  </si>
  <si>
    <t>Sirius Adjustable Accent Table - White Marble</t>
  </si>
  <si>
    <t>https://dd3ka9h4chfr8.cloudfront.net/image/725136000567/image_tchd3rekll2bld1noibu3s2h49/-S150x150-FJPG/IASR-029A_PRM_1.jpg</t>
  </si>
  <si>
    <t>https://dd3ka9h4chfr8.cloudfront.net/image/725136000567/image_tchd3rekll2bld1noibu3s2h49/-FJPG/IASR-029A_PRM_1.jpg</t>
  </si>
  <si>
    <t>https://dd3ka9h4chfr8.cloudfront.net/image/725136000567/image_9r6oid05rd2hb117eb17v5gg55/-FJPG/IASR-029A_DET_2.jpg</t>
  </si>
  <si>
    <t>https://dd3ka9h4chfr8.cloudfront.net/image/725136000567/image_02cnmvtk1d4lbdn27qerjfa46g/-FJPG/IASR-029A_DET_1.jpg</t>
  </si>
  <si>
    <t>https://dd3ka9h4chfr8.cloudfront.net/image/725136000567/image_7ekmub6had1ef7i9g6685hcs5n/-FJPG/IASR-029A_DET_3.jpg</t>
  </si>
  <si>
    <t>https://dd3ka9h4chfr8.cloudfront.net/image/725136000567/image_g5n7bpsmj902rbd0jvu96atp40/-FJPG/IASR-029A_DET_4.jpg</t>
  </si>
  <si>
    <t>Skye End Table - White Marble</t>
  </si>
  <si>
    <t>Solid Reclaimed Elm</t>
  </si>
  <si>
    <t>https://dd3ka9h4chfr8.cloudfront.net/image/725136000567/image_lu9btb6avl3gl8n4c4m7opmo1l/-S150x150-FJPG/235395-001_PRM_1.jpg</t>
  </si>
  <si>
    <t>https://dd3ka9h4chfr8.cloudfront.net/image/725136000567/image_23pe0vjivl4mt4sv5ggc1eeh6s/-FJPG/235395-001_ESS_1.jpg</t>
  </si>
  <si>
    <t>https://dd3ka9h4chfr8.cloudfront.net/image/725136000567/image_manlu5sssh77j4snehgllqk863/-FJPG/235395-001_DET_2.jpg</t>
  </si>
  <si>
    <t>https://dd3ka9h4chfr8.cloudfront.net/image/725136000567/image_kd5p7imlil0th5122cp6o29b3m/-FJPG/235395-001_DET_1.jpg</t>
  </si>
  <si>
    <t>https://dd3ka9h4chfr8.cloudfront.net/image/725136000567/image_f1f8m64lot5f133dksc2gfvs19/-FJPG/235395-001_DET_3.jpg</t>
  </si>
  <si>
    <t>https://dd3ka9h4chfr8.cloudfront.net/image/725136000567/image_4jfsvcvkrh1m1b79ndqciq8516/-FJPG/235395-001_TOP_1.jpg</t>
  </si>
  <si>
    <t>https://dd3ka9h4chfr8.cloudfront.net/image/725136000567/image_3quhl76711203bhctroakhqr56/-FJPG/235395-001_DET_4.jpg</t>
  </si>
  <si>
    <t>https://dd3ka9h4chfr8.cloudfront.net/image/725136000567/image_ebg9r6gpvt7l1de0pirg5h2p5e/-FJPG/235395-001_DET_5.jpg</t>
  </si>
  <si>
    <t>Skye Large Coffee Table - White Marble</t>
  </si>
  <si>
    <t>https://dd3ka9h4chfr8.cloudfront.net/image/725136000567/image_hdcelsej911cff17t8s2rng34t/-S150x150-FJPG/232104-001_PRM_1.jpg</t>
  </si>
  <si>
    <t>https://dd3ka9h4chfr8.cloudfront.net/image/725136000567/image_hdcelsej911cff17t8s2rng34t/-FJPG/232104-001_PRM_1.jpg</t>
  </si>
  <si>
    <t>https://dd3ka9h4chfr8.cloudfront.net/image/725136000567/image_cbjafc3d4h3b32hs5q4m3sap0a/-FJPG/232104-001_SID_1.jpg</t>
  </si>
  <si>
    <t>https://dd3ka9h4chfr8.cloudfront.net/image/725136000567/image_q742b1mjf511df4t6cm6qko930/-FJPG/232104-001_ESS_1.jpg</t>
  </si>
  <si>
    <t>https://dd3ka9h4chfr8.cloudfront.net/image/725136000567/image_plae825csp1t1b0k6j0nasmb7t/-FJPG/232104-001_DET_2.jpg</t>
  </si>
  <si>
    <t>https://dd3ka9h4chfr8.cloudfront.net/image/725136000567/image_dj6usgi0ut5lves8hmgo6g1s4k/-FJPG/232104-001_BCK_1.jpg</t>
  </si>
  <si>
    <t>https://dd3ka9h4chfr8.cloudfront.net/image/725136000567/image_pucd2hr71t2e543n0fiinlhf33/-FJPG/232104-001_DET_1.jpg</t>
  </si>
  <si>
    <t>https://dd3ka9h4chfr8.cloudfront.net/image/725136000567/image_gigtul3gnt16b1ucvopb59bl7v/-FJPG/232104-001_DET_3.jpg</t>
  </si>
  <si>
    <t>https://dd3ka9h4chfr8.cloudfront.net/image/725136000567/image_3hdatlb46d2vv9lg1ov9muct3h/-FJPG/232104-001_DET_4.jpg</t>
  </si>
  <si>
    <t>https://dd3ka9h4chfr8.cloudfront.net/image/725136000567/image_fnrelhv5cl1orc0bli5dl30264/-FJPG/232104-001_DET_5.jpg</t>
  </si>
  <si>
    <t>https://dd3ka9h4chfr8.cloudfront.net/image/725136000567/image_tfk2oo7qop0ddeurj404vcqe6f/-FJPG/232104-001_DET_6.jpg</t>
  </si>
  <si>
    <t>Skye Round Dining Table - White Marble</t>
  </si>
  <si>
    <t>https://dd3ka9h4chfr8.cloudfront.net/image/725136000567/image_0529sur73d1jr7su8apvfljq77/-S150x150-FJPG/228008-001_PRM_1.jpg</t>
  </si>
  <si>
    <t>https://dd3ka9h4chfr8.cloudfront.net/image/725136000567/image_s2jcdjpi7p4h5a5di4u42dnm36/-FJPG/228008-001_ESS_1.jpg</t>
  </si>
  <si>
    <t>https://dd3ka9h4chfr8.cloudfront.net/image/725136000567/image_fv2bibuq1d4vv34rvij67a4f21/-FJPG/228008-001_DET_2.jpg</t>
  </si>
  <si>
    <t>https://dd3ka9h4chfr8.cloudfront.net/image/725136000567/image_bsdip3nagd6l3duqatmfr9gj2p/-FJPG/228008-001_DET_1.jpg</t>
  </si>
  <si>
    <t>https://dd3ka9h4chfr8.cloudfront.net/image/725136000567/image_am7dkt75615k1cjagj9cr57t5r/-FJPG/228008-001_DET_3.jpg</t>
  </si>
  <si>
    <t>https://dd3ka9h4chfr8.cloudfront.net/image/725136000567/image_p9g20qp6kd4r14eutta3dtal63/-FJPG/228008-001_DET_4.jpg</t>
  </si>
  <si>
    <t>https://dd3ka9h4chfr8.cloudfront.net/image/725136000567/image_ttplb61rct49l6a3i9so74bi4h/-FJPG/228008-001_PRM_2.jpg</t>
  </si>
  <si>
    <t>https://dd3ka9h4chfr8.cloudfront.net/image/725136000567/image_bjbbicjh810p95mels4hr3d37g/-S150x150-FJPG/246440-001_PRM_1.jpg</t>
  </si>
  <si>
    <t>https://dd3ka9h4chfr8.cloudfront.net/image/725136000567/image_bjbbicjh810p95mels4hr3d37g/-FJPG/246440-001_PRM_1.jpg</t>
  </si>
  <si>
    <t>https://dd3ka9h4chfr8.cloudfront.net/image/725136000567/image_a55949r95d4ebak5aqtoqhkt5v/-FJPG/246440-001_SID_1.jpg</t>
  </si>
  <si>
    <t>https://dd3ka9h4chfr8.cloudfront.net/image/725136000567/image_skv1gs3v4d2gb1bngd42do6u22/-FJPG/246440-001_ESS.tif</t>
  </si>
  <si>
    <t>https://dd3ka9h4chfr8.cloudfront.net/image/725136000567/image_s0hpjormeh6514hk5jvi9utv2l/-FJPG/246440-001_DET_2.jpg</t>
  </si>
  <si>
    <t>https://dd3ka9h4chfr8.cloudfront.net/image/725136000567/image_mdlc21b0bd7lt1ulq3gi9ijm13/-FJPG/246440-001_DET_1.jpg</t>
  </si>
  <si>
    <t>https://dd3ka9h4chfr8.cloudfront.net/image/725136000567/image_594bvgd1jt3jl03lobt8v22j4g/-FJPG/246440-001_DET_3.jpg</t>
  </si>
  <si>
    <t>https://dd3ka9h4chfr8.cloudfront.net/image/725136000567/image_eq0i56nk9p04v6jmaum0d0133n/-FJPG/246440-001_DET_4.jpg</t>
  </si>
  <si>
    <t>https://dd3ka9h4chfr8.cloudfront.net/image/725136000567/image_0gb9iurv9912teltf5nar8jd4b/-FJPG/246440-001_DET_5.jpg</t>
  </si>
  <si>
    <t>https://dd3ka9h4chfr8.cloudfront.net/image/725136000567/image_htob8roimp5ltad83one68ku6b/-FJPG/246440-001_DET_6.jpg</t>
  </si>
  <si>
    <t>Sloane Bed - Crypton Wayfarer Snow</t>
  </si>
  <si>
    <t>https://dd3ka9h4chfr8.cloudfront.net/image/725136000567/image_b4frrvuuah4pl2anvl807l346i/-S150x150-FJPG/246168-005_PRM_1.jpg</t>
  </si>
  <si>
    <t>https://dd3ka9h4chfr8.cloudfront.net/image/725136000567/image_b4frrvuuah4pl2anvl807l346i/-FJPG/246168-005_PRM_1.jpg</t>
  </si>
  <si>
    <t>https://dd3ka9h4chfr8.cloudfront.net/image/725136000567/image_o9fv6dutrh69fce00qcqdspt7v/-FJPG/246168-005_SID_1.jpg</t>
  </si>
  <si>
    <t>https://dd3ka9h4chfr8.cloudfront.net/image/725136000567/image_hdr671hqg96qvdldqhjfcgof0f/-FJPG/246168-005_DET_2.jpg</t>
  </si>
  <si>
    <t>https://dd3ka9h4chfr8.cloudfront.net/image/725136000567/image_j2pgmjulp16pb01ghvcjp9q962/-FJPG/246168-005_BCK_1.jpg</t>
  </si>
  <si>
    <t>https://dd3ka9h4chfr8.cloudfront.net/image/725136000567/image_r9v2ot2ivt2dl9vvov2rfvfp6m/-FJPG/246168-005_DET_1.jpg</t>
  </si>
  <si>
    <t>https://dd3ka9h4chfr8.cloudfront.net/image/725136000567/image_g0fecuh9al12149bn20llop91b/-FJPG/246168-005_DET_3.jpg</t>
  </si>
  <si>
    <t>https://dd3ka9h4chfr8.cloudfront.net/image/725136000567/image_r5rcumn5g1611b1fr2sqhv0t08/-FJPG/246168-005_DET_4.jpg</t>
  </si>
  <si>
    <t>https://dd3ka9h4chfr8.cloudfront.net/image/725136000567/image_ncadc716vh7k1bavi872t5fh1i/-FJPG/246168-005_DET_5.jpg</t>
  </si>
  <si>
    <t>https://dd3ka9h4chfr8.cloudfront.net/image/725136000567/image_q5ftr74iml1hpdo9ahvvei6h4s/-FJPG/246168-005_DET_6.jpg</t>
  </si>
  <si>
    <t>https://dd3ka9h4chfr8.cloudfront.net/image/725136000567/image_0cr5tngis13359eeae4fqvct43/-S150x150-FJPG/246168-006_PRM_1.jpg</t>
  </si>
  <si>
    <t>https://dd3ka9h4chfr8.cloudfront.net/image/725136000567/image_0cr5tngis13359eeae4fqvct43/-FJPG/246168-006_PRM_1.jpg</t>
  </si>
  <si>
    <t>https://dd3ka9h4chfr8.cloudfront.net/image/725136000567/image_nj1f5i8qp11tt5cn0u3k0cee6u/-FJPG/246168-006_SID_1.jpg</t>
  </si>
  <si>
    <t>https://dd3ka9h4chfr8.cloudfront.net/image/725136000567/image_aq5o1h1qq56nl5f04sjg138v0f/-FJPG/246168-006_DET_2.jpg</t>
  </si>
  <si>
    <t>https://dd3ka9h4chfr8.cloudfront.net/image/725136000567/image_6oauts4sl9255btqp66mpf007h/-FJPG/246168-006_BCK_1.jpg</t>
  </si>
  <si>
    <t>https://dd3ka9h4chfr8.cloudfront.net/image/725136000567/image_sr2sm8jj6h18fak9dg3mc1ob6q/-FJPG/246168-006_DET_1.jpg</t>
  </si>
  <si>
    <t>https://dd3ka9h4chfr8.cloudfront.net/image/725136000567/image_tbdbskst6102daln3jia8g1f37/-FJPG/246168-006_DET_3.jpg</t>
  </si>
  <si>
    <t>https://dd3ka9h4chfr8.cloudfront.net/image/725136000567/image_qslbbl42qh0g1b8s6gg0g7m57g/-FJPG/246168-006_DET_4.jpg</t>
  </si>
  <si>
    <t>https://dd3ka9h4chfr8.cloudfront.net/image/725136000567/image_o00g46i76h21daqcskarel1k2t/-FJPG/246168-006_DET_5.jpg</t>
  </si>
  <si>
    <t>https://dd3ka9h4chfr8.cloudfront.net/image/725136000567/image_funpdrbie573bchr59j8pvh34u/-FJPG/246168-006_DET_6.jpg</t>
  </si>
  <si>
    <t>Sloane Bed - Surrey Cocoa</t>
  </si>
  <si>
    <t>https://dd3ka9h4chfr8.cloudfront.net/image/725136000567/image_lhc6hp98lh7fj2topl7em4re09/-S150x150-FJPG/246168-003_PRM_1.jpg</t>
  </si>
  <si>
    <t>https://dd3ka9h4chfr8.cloudfront.net/image/725136000567/image_lhc6hp98lh7fj2topl7em4re09/-FJPG/246168-003_PRM_1.jpg</t>
  </si>
  <si>
    <t>https://dd3ka9h4chfr8.cloudfront.net/image/725136000567/image_743qgmmn6552h2ihc9o8uj755f/-FJPG/246168-003_SID_1.jpg</t>
  </si>
  <si>
    <t>https://dd3ka9h4chfr8.cloudfront.net/image/725136000567/image_k9foe60d0l3p73e5l4b0or1j1q/-FJPG/246168-003_ESS.tif</t>
  </si>
  <si>
    <t>https://dd3ka9h4chfr8.cloudfront.net/image/725136000567/image_28e48jcfvd72r5t9icmaus0478/-FJPG/246168-003_DET_2.jpg</t>
  </si>
  <si>
    <t>https://dd3ka9h4chfr8.cloudfront.net/image/725136000567/image_rbcjqrg7992o1bqesndhgfrk5q/-FJPG/246168-003_BCK_1.jpg</t>
  </si>
  <si>
    <t>https://dd3ka9h4chfr8.cloudfront.net/image/725136000567/image_eep6bovf8t2kh5pd6ok6enlo27/-FJPG/246168-003_DET_1.jpg</t>
  </si>
  <si>
    <t>https://dd3ka9h4chfr8.cloudfront.net/image/725136000567/image_voahld4eb170va0sfe1e8t203a/-FJPG/246168-003_DET_3.jpg</t>
  </si>
  <si>
    <t>https://dd3ka9h4chfr8.cloudfront.net/image/725136000567/image_umt5ck89eh4dn2qm9hoodbq20d/-FJPG/246168-003_DET_4.jpg</t>
  </si>
  <si>
    <t>https://dd3ka9h4chfr8.cloudfront.net/image/725136000567/image_qb3dv1btbh12b4suogu4ogvk3b/-FJPG/246168-003_DET_5.jpg</t>
  </si>
  <si>
    <t>https://dd3ka9h4chfr8.cloudfront.net/image/725136000567/image_kgo18tq9bt1bjc0tokusr2ip59/-FJPG/246168-003_DET_6.jpg</t>
  </si>
  <si>
    <t>https://dd3ka9h4chfr8.cloudfront.net/image/725136000567/image_7jqlpq4ic91gteg3v0umlasa4h/-FJPG/246168-003_DET_9.tif</t>
  </si>
  <si>
    <t>Soho Dining Table - Aged Natural Oak Veneer</t>
  </si>
  <si>
    <t>https://dd3ka9h4chfr8.cloudfront.net/image/725136000567/image_55ieoe4h6t5lf7t2k4rnt6c04f/-S150x150-FJPG/237944-001_PRM_1.jpg</t>
  </si>
  <si>
    <t>https://dd3ka9h4chfr8.cloudfront.net/image/725136000567/image_55ieoe4h6t5lf7t2k4rnt6c04f/-FJPG/237944-001_PRM_1.jpg</t>
  </si>
  <si>
    <t>https://dd3ka9h4chfr8.cloudfront.net/image/725136000567/image_04vp2q6f3d2lf4lkggs41rsa6v/-FJPG/237944-001_SID_1.jpg</t>
  </si>
  <si>
    <t>https://dd3ka9h4chfr8.cloudfront.net/image/725136000567/image_gva92qntct0ctbk57a7e5b250k/-FJPG/237944-001_ESS.tif</t>
  </si>
  <si>
    <t>https://dd3ka9h4chfr8.cloudfront.net/image/725136000567/image_hcqlnqoait159bp5fq8c7sh336/-FJPG/237944-001_DET_2.jpg</t>
  </si>
  <si>
    <t>https://dd3ka9h4chfr8.cloudfront.net/image/725136000567/image_kvhr17ccft2r9212omq6ubne6r/-FJPG/237944-001_DET_1.jpg</t>
  </si>
  <si>
    <t>https://dd3ka9h4chfr8.cloudfront.net/image/725136000567/image_go39b5nvad563fs0ba78r0jc7v/-FJPG/237944-001_TOP_1.jpg</t>
  </si>
  <si>
    <t>https://dd3ka9h4chfr8.cloudfront.net/image/725136000567/image_7t1a3kjf0l5i9avq97v58rqg05/-FJPG/237944-001_DET_4.jpg</t>
  </si>
  <si>
    <t>https://dd3ka9h4chfr8.cloudfront.net/image/725136000567/image_8ingive60h6hf6pc3j79u9h77u/-FJPG/237944-001_DET_5.jpg</t>
  </si>
  <si>
    <t>https://dd3ka9h4chfr8.cloudfront.net/image/725136000567/image_nva4mt6cbh0t1fvnc12s2u9518/-FJPG/FHMPRJ016_SCENE-1-CROP-1.tif</t>
  </si>
  <si>
    <t>Sorrento End Table - Aged Drift Mindi</t>
  </si>
  <si>
    <t>https://dd3ka9h4chfr8.cloudfront.net/image/725136000567/image_l9huthqgi51mpcau3sa1mnds6u/-S150x150-FJPG/228897-003_PRM_1.jpg</t>
  </si>
  <si>
    <t>https://dd3ka9h4chfr8.cloudfront.net/image/725136000567/image_l9huthqgi51mpcau3sa1mnds6u/-FJPG/228897-003_PRM_1.jpg</t>
  </si>
  <si>
    <t>https://dd3ka9h4chfr8.cloudfront.net/image/725136000567/image_64ndeokoud33599vg3re3vc47v/-FJPG/228897-003_SID_1.jpg</t>
  </si>
  <si>
    <t>https://dd3ka9h4chfr8.cloudfront.net/image/725136000567/image_fi28r6hrj11up1p6ab5rpv8334/-FJPG/228897-003_ESS.tif</t>
  </si>
  <si>
    <t>https://dd3ka9h4chfr8.cloudfront.net/image/725136000567/image_lhm2lj0okt7ancflveh6gje32b/-FJPG/228897-003_DET_2.jpg</t>
  </si>
  <si>
    <t>https://dd3ka9h4chfr8.cloudfront.net/image/725136000567/image_7t2agq79ll75j9h98fkk5hrv3d/-FJPG/228897-003_DET_1.jpg</t>
  </si>
  <si>
    <t>https://dd3ka9h4chfr8.cloudfront.net/image/725136000567/image_pl5osrul0l3adbpkp8milu1h22/-FJPG/228897-003_DET_3.jpg</t>
  </si>
  <si>
    <t>https://dd3ka9h4chfr8.cloudfront.net/image/725136000567/image_n9im8iofr97i77v06jlim1mn1l/-FJPG/228897-003_DET_4.jpg</t>
  </si>
  <si>
    <t>https://dd3ka9h4chfr8.cloudfront.net/image/725136000567/image_heoe1mi1i928j0gnqrndbmtu5v/-FJPG/228897-003_DET_5.jpg</t>
  </si>
  <si>
    <t>Sorrento Sideboard - Aged Drift Mindi</t>
  </si>
  <si>
    <t>https://dd3ka9h4chfr8.cloudfront.net/image/725136000567/image_qnuiiu1pj11cv963gtcr6eva1e/-S150x150-FJPG/226281-002_PRM_1.jpg</t>
  </si>
  <si>
    <t>https://dd3ka9h4chfr8.cloudfront.net/image/725136000567/image_qnuiiu1pj11cv963gtcr6eva1e/-FJPG/226281-002_PRM_1.jpg</t>
  </si>
  <si>
    <t>https://dd3ka9h4chfr8.cloudfront.net/image/725136000567/image_oskie6g31564p9fi37a6moju6l/-FJPG/226281-002_SID_1.jpg</t>
  </si>
  <si>
    <t>https://dd3ka9h4chfr8.cloudfront.net/image/725136000567/image_ev7ibtfc1134r6rlt7378js678/-FJPG/226281-002_DET_2.jpg</t>
  </si>
  <si>
    <t>https://dd3ka9h4chfr8.cloudfront.net/image/725136000567/image_0us3ou30pp75lb35so3mqkj05k/-FJPG/226281-002_BCK_1.jpg</t>
  </si>
  <si>
    <t>https://dd3ka9h4chfr8.cloudfront.net/image/725136000567/image_7hssnl57bd0u34b41qaangud40/-FJPG/226281-002_DET_1.jpg</t>
  </si>
  <si>
    <t>https://dd3ka9h4chfr8.cloudfront.net/image/725136000567/image_4dpmu6v3416275bl207kfju37i/-FJPG/226281-002_DET_3.jpg</t>
  </si>
  <si>
    <t>https://dd3ka9h4chfr8.cloudfront.net/image/725136000567/image_ru0jrc5jb506dc50ag0l1rne79/-FJPG/226281-002_OPN_1.jpg</t>
  </si>
  <si>
    <t>https://dd3ka9h4chfr8.cloudfront.net/image/725136000567/image_53uf60vi4t4j599hc49he2c91q/-FJPG/226281-002_DET_4.jpg</t>
  </si>
  <si>
    <t>https://dd3ka9h4chfr8.cloudfront.net/image/725136000567/image_52hi9jnevl48952b3l2qq9h224/-FJPG/226281-002_DET_5.jpg</t>
  </si>
  <si>
    <t>https://dd3ka9h4chfr8.cloudfront.net/image/725136000567/image_ae77vobu4d01n1inanhosgnb4d/-FJPG/226281-002_DET_6.jpg</t>
  </si>
  <si>
    <t>https://dd3ka9h4chfr8.cloudfront.net/image/725136000567/image_08ckf376ad3j368m28p4e55k2f/-FJPG/226281-002_DET_7.jpg</t>
  </si>
  <si>
    <t>https://dd3ka9h4chfr8.cloudfront.net/image/725136000567/image_k5g6juucmd5fp461054nibh74s/-FJPG/226281-002_DET_8.jpg</t>
  </si>
  <si>
    <t>https://dd3ka9h4chfr8.cloudfront.net/image/725136000567/image_eok1dtr0kh6tpc8uofsrjktv5v/-FJPG/226281-002_ESS_2.jpg</t>
  </si>
  <si>
    <t>Soto 8 Drawer Dresser - Black</t>
  </si>
  <si>
    <t>https://dd3ka9h4chfr8.cloudfront.net/image/725136000567/image_i360kdnbql3979egoaf055i225/-S150x150-FJPG/228012-001_PRM_1.jpg</t>
  </si>
  <si>
    <t>https://dd3ka9h4chfr8.cloudfront.net/image/725136000567/image_i360kdnbql3979egoaf055i225/-FJPG/228012-001_PRM_1.jpg</t>
  </si>
  <si>
    <t>https://dd3ka9h4chfr8.cloudfront.net/image/725136000567/image_sdtai7fimd5qfa4po6bmm3vh4l/-FJPG/228012-001_SID_1.jpg</t>
  </si>
  <si>
    <t>https://dd3ka9h4chfr8.cloudfront.net/image/725136000567/image_k2ifs5rbol32nd5rvlidlioi1u/-FJPG/228012-001_ESS_1.jpg</t>
  </si>
  <si>
    <t>https://dd3ka9h4chfr8.cloudfront.net/image/725136000567/image_dpmim99aap3efbpc57uqqkta12/-FJPG/228012-001_DET_2.jpg</t>
  </si>
  <si>
    <t>https://dd3ka9h4chfr8.cloudfront.net/image/725136000567/image_rvrano3tbl08h7u6pl8tbm054v/-FJPG/228012-001_BCK_1.jpg</t>
  </si>
  <si>
    <t>https://dd3ka9h4chfr8.cloudfront.net/image/725136000567/image_rif8krsko57vb7uu8etpmurs0u/-FJPG/228012-001_DET_1.jpg</t>
  </si>
  <si>
    <t>https://dd3ka9h4chfr8.cloudfront.net/image/725136000567/image_k5l7114dk94sh4ci2apn0cm61q/-FJPG/228012-001_DET_3.jpg</t>
  </si>
  <si>
    <t>https://dd3ka9h4chfr8.cloudfront.net/image/725136000567/image_h3rftcphqd6uf589s2jpp3fb5u/-FJPG/228012-001_OPN_1.jpg</t>
  </si>
  <si>
    <t>https://dd3ka9h4chfr8.cloudfront.net/image/725136000567/image_qdrt0e3bth2khffgi86rhq5a0f/-FJPG/228012-001_DET_4.jpg</t>
  </si>
  <si>
    <t>https://dd3ka9h4chfr8.cloudfront.net/image/725136000567/image_olgdcv90th19539ouvsksogs07/-FJPG/228012-001_DET_5.jpg</t>
  </si>
  <si>
    <t>https://dd3ka9h4chfr8.cloudfront.net/image/725136000567/image_2u1nf011bp2972bb06jkb8hd35/-FJPG/228012-001_DET_7.jpg</t>
  </si>
  <si>
    <t>https://dd3ka9h4chfr8.cloudfront.net/image/725136000567/image_lkh6b8t0qh11t82mq7i66lrr1b/-FJPG/228012-001_DET_8.jpg</t>
  </si>
  <si>
    <t>https://dd3ka9h4chfr8.cloudfront.net/image/725136000567/image_72jnfuo1ot48p9fc35c96omb4o/-FJPG/228012-001_VIG_2.jpg</t>
  </si>
  <si>
    <t>Soto Console Table - Black</t>
  </si>
  <si>
    <t>https://dd3ka9h4chfr8.cloudfront.net/image/725136000567/image_7tvqbakee54717ab4f1dupac3q/-S150x150-FJPG/228775-001_PRM_1.jpg</t>
  </si>
  <si>
    <t>https://dd3ka9h4chfr8.cloudfront.net/image/725136000567/image_7tvqbakee54717ab4f1dupac3q/-FJPG/228775-001_PRM_1.jpg</t>
  </si>
  <si>
    <t>https://dd3ka9h4chfr8.cloudfront.net/image/725136000567/image_tspv3o09bt09neeh4ull1vk11e/-FJPG/228775-001_SID_1.jpg</t>
  </si>
  <si>
    <t>https://dd3ka9h4chfr8.cloudfront.net/image/725136000567/image_ut1jllu9h56n57g65n9la81i0o/-FJPG/228775-001_ESS_1.jpg</t>
  </si>
  <si>
    <t>https://dd3ka9h4chfr8.cloudfront.net/image/725136000567/image_l8blisu72p67tdomt7d7uutm10/-FJPG/228775-001_DET_2.jpg</t>
  </si>
  <si>
    <t>https://dd3ka9h4chfr8.cloudfront.net/image/725136000567/image_9kachguhup62raf89f1veei91f/-FJPG/228775-001_BCK_1.jpg</t>
  </si>
  <si>
    <t>https://dd3ka9h4chfr8.cloudfront.net/image/725136000567/image_acqaajoaup7kd8hrtu8g1f5g14/-FJPG/228775-001_DET_1.jpg</t>
  </si>
  <si>
    <t>https://dd3ka9h4chfr8.cloudfront.net/image/725136000567/image_lmauriqes50s7espujidum5b2b/-FJPG/228775-001_DET_3.jpg</t>
  </si>
  <si>
    <t>https://dd3ka9h4chfr8.cloudfront.net/image/725136000567/image_e7bnh5nl2p66r1g57gee4j0e2v/-FJPG/228775-001_OPN_1.jpg</t>
  </si>
  <si>
    <t>https://dd3ka9h4chfr8.cloudfront.net/image/725136000567/image_0cn6dgn6pt145368i9f8lms46n/-FJPG/228775-001_DET_4.jpg</t>
  </si>
  <si>
    <t>https://dd3ka9h4chfr8.cloudfront.net/image/725136000567/image_r7qnlu60j10spd68q5krftcq0t/-FJPG/228775-001_DET_5.jpg</t>
  </si>
  <si>
    <t>https://dd3ka9h4chfr8.cloudfront.net/image/725136000567/image_ngkv9d54j920b4vacgh751pt0r/-FJPG/228775-001_DET_6.jpg</t>
  </si>
  <si>
    <t>https://dd3ka9h4chfr8.cloudfront.net/image/725136000567/image_95btv02n0d5tnfjirfuddn7a1j/-FJPG/228775-001_DET_7.jpg</t>
  </si>
  <si>
    <t>Soto Media Console - Black</t>
  </si>
  <si>
    <t>https://dd3ka9h4chfr8.cloudfront.net/image/725136000567/image_2khj7icm6t10j5l5lv3n7emt54/-S150x150-FJPG/228776-001_PRM_1.jpg</t>
  </si>
  <si>
    <t>https://dd3ka9h4chfr8.cloudfront.net/image/725136000567/image_2khj7icm6t10j5l5lv3n7emt54/-FJPG/228776-001_PRM_1.jpg</t>
  </si>
  <si>
    <t>https://dd3ka9h4chfr8.cloudfront.net/image/725136000567/image_uaepvssb3d0sj92t9rkm73lf0t/-FJPG/228776-001_SID_1.jpg</t>
  </si>
  <si>
    <t>https://dd3ka9h4chfr8.cloudfront.net/image/725136000567/image_l5qaduhq6l0arf4up715dddv2p/-FJPG/228776-001_ESS_1.jpg</t>
  </si>
  <si>
    <t>https://dd3ka9h4chfr8.cloudfront.net/image/725136000567/image_sfmrltgedt6r14qisu1j5gh65l/-FJPG/228776-001_DET_2.jpg</t>
  </si>
  <si>
    <t>https://dd3ka9h4chfr8.cloudfront.net/image/725136000567/image_a35tkj61jh3btb4b0lskfp435b/-FJPG/228776-001_BCK_1.jpg</t>
  </si>
  <si>
    <t>https://dd3ka9h4chfr8.cloudfront.net/image/725136000567/image_iemai52gjd0e7bs9rht8nh5932/-FJPG/228776-001_DET_1.jpg</t>
  </si>
  <si>
    <t>https://dd3ka9h4chfr8.cloudfront.net/image/725136000567/image_trnnai2csl5prd042stpa6m553/-FJPG/228776-001_DET_3.jpg</t>
  </si>
  <si>
    <t>https://dd3ka9h4chfr8.cloudfront.net/image/725136000567/image_5352ounb1t45v07j5egl68ce25/-FJPG/228776-001_OPN_1.jpg</t>
  </si>
  <si>
    <t>https://dd3ka9h4chfr8.cloudfront.net/image/725136000567/image_uom6l0eqgl5pl5emmnrsossd19/-FJPG/228776-001_DET_4.jpg</t>
  </si>
  <si>
    <t>https://dd3ka9h4chfr8.cloudfront.net/image/725136000567/image_kro7srapc17lj5nue338cfgi5v/-FJPG/228776-001_DET_5.jpg</t>
  </si>
  <si>
    <t>https://dd3ka9h4chfr8.cloudfront.net/image/725136000567/image_dsat18mrsh0if7b1cn65b08n39/-FJPG/228776-001_DET_7.jpg</t>
  </si>
  <si>
    <t>Soto Sideboard - Black</t>
  </si>
  <si>
    <t>https://dd3ka9h4chfr8.cloudfront.net/image/725136000567/image_ipnnu6o2rl7jhbg14mkjqihg3g/-S150x150-FJPG/228731-001_PRM_1.jpg</t>
  </si>
  <si>
    <t>https://dd3ka9h4chfr8.cloudfront.net/image/725136000567/image_ipnnu6o2rl7jhbg14mkjqihg3g/-FJPG/228731-001_PRM_1.jpg</t>
  </si>
  <si>
    <t>https://dd3ka9h4chfr8.cloudfront.net/image/725136000567/image_kb3gcal5k907t5pepmkgbj6k54/-FJPG/228731-001_SID_1.jpg</t>
  </si>
  <si>
    <t>https://dd3ka9h4chfr8.cloudfront.net/image/725136000567/image_0gmoman4356s3dme6hq0b1pt57/-FJPG/228731-001_ESS_1.jpg</t>
  </si>
  <si>
    <t>https://dd3ka9h4chfr8.cloudfront.net/image/725136000567/image_o7gmlt5kfd559ep7va6tfmoe4a/-FJPG/228731-001_DET_2.jpg</t>
  </si>
  <si>
    <t>https://dd3ka9h4chfr8.cloudfront.net/image/725136000567/image_tuiujk85bl5inc36hn61gv9a1j/-FJPG/228731-001_BCK_1.jpg</t>
  </si>
  <si>
    <t>https://dd3ka9h4chfr8.cloudfront.net/image/725136000567/image_3v7acata7d72d8rflic8uscm0s/-FJPG/228731-001_DET_1.jpg</t>
  </si>
  <si>
    <t>https://dd3ka9h4chfr8.cloudfront.net/image/725136000567/image_ptisp5i5bt051596lepqksr901/-FJPG/228731-001_DET_3.jpg</t>
  </si>
  <si>
    <t>https://dd3ka9h4chfr8.cloudfront.net/image/725136000567/image_m1hko3ddft7e33n5ek6ai5nm4a/-FJPG/228731-001_OPN_1.jpg</t>
  </si>
  <si>
    <t>https://dd3ka9h4chfr8.cloudfront.net/image/725136000567/image_uiq7mein056p70qogm7vpq3d55/-FJPG/228731-001_DET_4.jpg</t>
  </si>
  <si>
    <t>https://dd3ka9h4chfr8.cloudfront.net/image/725136000567/image_kbcte9tqul3j14oona34nlt31m/-FJPG/228731-001_DET_5.jpg</t>
  </si>
  <si>
    <t>https://dd3ka9h4chfr8.cloudfront.net/image/725136000567/image_q2h6dl75g111j02mksk0404j4p/-FJPG/228731-001_DET_6.jpg</t>
  </si>
  <si>
    <t>Sparrow Coffee Table - Ashen Oak Resawn</t>
  </si>
  <si>
    <t>https://dd3ka9h4chfr8.cloudfront.net/image/725136000567/image_a73reebfhh3bbd051j8m4ehi22/-S150x150-FJPG/240088-001_PRM_1.jpg</t>
  </si>
  <si>
    <t>https://dd3ka9h4chfr8.cloudfront.net/image/725136000567/image_a73reebfhh3bbd051j8m4ehi22/-FJPG/240088-001_PRM_1.jpg</t>
  </si>
  <si>
    <t>https://dd3ka9h4chfr8.cloudfront.net/image/725136000567/image_hkjl4f671t7td45navtmkcna35/-FJPG/240088-001_SID_1.jpg</t>
  </si>
  <si>
    <t>https://dd3ka9h4chfr8.cloudfront.net/image/725136000567/image_o3cshorh7p6nff8036fdfd2i49/-FJPG/240088-001_ESS.tif</t>
  </si>
  <si>
    <t>https://dd3ka9h4chfr8.cloudfront.net/image/725136000567/image_0eurlc6umd58hcu7bfmpvvcs2t/-FJPG/240088-001_DET_2.jpg</t>
  </si>
  <si>
    <t>https://dd3ka9h4chfr8.cloudfront.net/image/725136000567/image_b83ablar8h0m7frs986k0h4r0i/-FJPG/240088-001_BCK_1.jpg</t>
  </si>
  <si>
    <t>https://dd3ka9h4chfr8.cloudfront.net/image/725136000567/image_eo86cvrfth4j5f28o7d1j2io3m/-FJPG/240088-001_DET_1.jpg</t>
  </si>
  <si>
    <t>https://dd3ka9h4chfr8.cloudfront.net/image/725136000567/image_7kcskege4l2f50oubr94mvke3l/-FJPG/240088-001_DET_3.jpg</t>
  </si>
  <si>
    <t>https://dd3ka9h4chfr8.cloudfront.net/image/725136000567/image_quromtaeqh7mtf64vctvk2qg5t/-FJPG/240088-001_TOP_1.jpg</t>
  </si>
  <si>
    <t>https://dd3ka9h4chfr8.cloudfront.net/image/725136000567/image_ab3e74u9op0sl2lun7mhgtlb3h/-FJPG/240088-001_DET_4.jpg</t>
  </si>
  <si>
    <t>https://dd3ka9h4chfr8.cloudfront.net/image/725136000567/image_6h5gaook8h6uda6k1b2720247u/-FJPG/240088-001_DET_5.jpg</t>
  </si>
  <si>
    <t>https://dd3ka9h4chfr8.cloudfront.net/image/725136000567/image_39o0si4c9l05v811oa2tjrun2r/-FJPG/240088-001_DET_6.jpg</t>
  </si>
  <si>
    <t>https://dd3ka9h4chfr8.cloudfront.net/image/725136000567/image_ce53u5j3q14cb6jl6617ni0r0m/-FJPG/240088-001_DET_7.jpg</t>
  </si>
  <si>
    <t>https://dd3ka9h4chfr8.cloudfront.net/image/725136000567/image_bvhkub9q6135v1f87mmdnar223/-FJPG/240088-001_DET_9.tif</t>
  </si>
  <si>
    <t>https://dd3ka9h4chfr8.cloudfront.net/image/725136000567/image_7lusg6tj557et3rcnqr437445d/-FJPG/FHMPRJ-010_SCENE-07.tif</t>
  </si>
  <si>
    <t>Spider Console Table - Bright Brass Clad</t>
  </si>
  <si>
    <t>https://dd3ka9h4chfr8.cloudfront.net/image/725136000567/image_61td7h1nat3c92dml00hj7au15/-S150x150-FJPG/CIMP-205_PRM_1.jpg</t>
  </si>
  <si>
    <t>https://dd3ka9h4chfr8.cloudfront.net/image/725136000567/image_61td7h1nat3c92dml00hj7au15/-FJPG/CIMP-205_PRM_1.jpg</t>
  </si>
  <si>
    <t>https://dd3ka9h4chfr8.cloudfront.net/image/725136000567/image_vasppafhid27f6hpetf8r5lp6a/-FJPG/CIMP-205_SID_1.jpg</t>
  </si>
  <si>
    <t>https://dd3ka9h4chfr8.cloudfront.net/image/725136000567/image_933sqo8iap62hc93cgbtmh9k0d/-FJPG/CIMP-205_DET_2.jpg</t>
  </si>
  <si>
    <t>https://dd3ka9h4chfr8.cloudfront.net/image/725136000567/image_807o2hq80549l1niaelc8od521/-FJPG/CIMP-205_DET_1.jpg</t>
  </si>
  <si>
    <t>https://dd3ka9h4chfr8.cloudfront.net/image/725136000567/image_g5q0f9rqkh03v59m66p203lf67/-FJPG/CIMP-205_DET_3.jpg</t>
  </si>
  <si>
    <t>https://dd3ka9h4chfr8.cloudfront.net/image/725136000567/image_fosfk11hql1dv897qc3uhgsu5v/-FJPG/CIMP-205_TOP_1.jpg</t>
  </si>
  <si>
    <t>https://dd3ka9h4chfr8.cloudfront.net/image/725136000567/image_3ko3k6092d7hhe63ul49a2dq5g/-FJPG/CIMP-205_DET_4.jpg</t>
  </si>
  <si>
    <t>https://dd3ka9h4chfr8.cloudfront.net/image/725136000567/image_3v0jrsiev14q1962j4hjthcc2a/-FJPG/CIMP-205_DET_5.jpg</t>
  </si>
  <si>
    <t>https://dd3ka9h4chfr8.cloudfront.net/image/725136000567/image_4ifqrt434d159enffql883tn4g/-FJPG/CIMP-205_ROM_1.jpg</t>
  </si>
  <si>
    <t>Stark Sideboard - Warm Espresso Veneer</t>
  </si>
  <si>
    <t>https://dd3ka9h4chfr8.cloudfront.net/image/725136000567/image_ga4pg6ffel2gpa97r6sggui604/-S150x150-FJPG/224318-001_PRM_1.jpg</t>
  </si>
  <si>
    <t>https://dd3ka9h4chfr8.cloudfront.net/image/725136000567/image_ga4pg6ffel2gpa97r6sggui604/-FJPG/224318-001_PRM_1.jpg</t>
  </si>
  <si>
    <t>https://dd3ka9h4chfr8.cloudfront.net/image/725136000567/image_d2oktqmk4l3brf66nn0kamrm5d/-FJPG/224318-001_SID_1.jpg</t>
  </si>
  <si>
    <t>https://dd3ka9h4chfr8.cloudfront.net/image/725136000567/image_ec2mucvnsl681c1ebn6e7d2q0v/-FJPG/224318-001_DET_2.jpg</t>
  </si>
  <si>
    <t>https://dd3ka9h4chfr8.cloudfront.net/image/725136000567/image_h0nc1s0edt50f72c8n4gbhl71j/-FJPG/224318-001_BCK_1.jpg</t>
  </si>
  <si>
    <t>https://dd3ka9h4chfr8.cloudfront.net/image/725136000567/image_ed3qbefm6h491c1gqroia2s31f/-FJPG/224318-001_DET_1.jpg</t>
  </si>
  <si>
    <t>https://dd3ka9h4chfr8.cloudfront.net/image/725136000567/image_o13bjk9q5h4lh5nrbrqk4ohf2m/-FJPG/224318-001_DET_3.jpg</t>
  </si>
  <si>
    <t>https://dd3ka9h4chfr8.cloudfront.net/image/725136000567/image_9difdnqrt178r22p2pjokmu179/-FJPG/224318-001_OPN_1.jpg</t>
  </si>
  <si>
    <t>https://dd3ka9h4chfr8.cloudfront.net/image/725136000567/image_udt22lapvt3g5013rqqdu0h61p/-FJPG/224318-001_DET_4.jpg</t>
  </si>
  <si>
    <t>https://dd3ka9h4chfr8.cloudfront.net/image/725136000567/image_r32g78i4md3gr1e3nq7stphn7v/-FJPG/224318-001_DET_5.jpg</t>
  </si>
  <si>
    <t>https://dd3ka9h4chfr8.cloudfront.net/image/725136000567/image_ahocchvhu977ver4857haack74/-FJPG/224318-001_DET_6.jpg</t>
  </si>
  <si>
    <t>Stella 6 Drawer Dresser - Palermo Drift</t>
  </si>
  <si>
    <t>https://dd3ka9h4chfr8.cloudfront.net/image/725136000567/image_5echq4g27d5en26qpvvbkrqm65/-S150x150-FJPG/248226-001_PRM_1.jpg</t>
  </si>
  <si>
    <t>https://dd3ka9h4chfr8.cloudfront.net/image/725136000567/image_5echq4g27d5en26qpvvbkrqm65/-FJPG/248226-001_PRM_1.jpg</t>
  </si>
  <si>
    <t>https://dd3ka9h4chfr8.cloudfront.net/image/725136000567/image_vfhia9hnrt73n4tq9i1sgcaq0l/-FJPG/248226-001_SID_1.jpg</t>
  </si>
  <si>
    <t>https://dd3ka9h4chfr8.cloudfront.net/image/725136000567/image_rad9vn11jp6q1ags85obho657u/-FJPG/248226-001_ESS.tif</t>
  </si>
  <si>
    <t>https://dd3ka9h4chfr8.cloudfront.net/image/725136000567/image_ag60lpbcgp2gp32q2o778asl28/-FJPG/248226-001_DET_2.jpg</t>
  </si>
  <si>
    <t>https://dd3ka9h4chfr8.cloudfront.net/image/725136000567/image_3ie11tubj966v025hmpvgr6l6t/-FJPG/248226-001_BCK_1.jpg</t>
  </si>
  <si>
    <t>https://dd3ka9h4chfr8.cloudfront.net/image/725136000567/image_s84hbojjmp0lb1f70qf26onh67/-FJPG/248226-001_DET_1.jpg</t>
  </si>
  <si>
    <t>https://dd3ka9h4chfr8.cloudfront.net/image/725136000567/image_oo590cnkgh5hr9q73qik8i1e4j/-FJPG/248226-001_DET_3.jpg</t>
  </si>
  <si>
    <t>https://dd3ka9h4chfr8.cloudfront.net/image/725136000567/image_ec7rboa3dd1qb8de4vfm53dl2o/-FJPG/248226-001_OPN_1.jpg</t>
  </si>
  <si>
    <t>https://dd3ka9h4chfr8.cloudfront.net/image/725136000567/image_tfkj4ds6sh0pv4n3o1i6uj7927/-FJPG/248226-001_TOP_1.jpg</t>
  </si>
  <si>
    <t>https://dd3ka9h4chfr8.cloudfront.net/image/725136000567/image_iob2cnu27l5tp58n458i06tp1q/-FJPG/248226-001_DET_4.jpg</t>
  </si>
  <si>
    <t>https://dd3ka9h4chfr8.cloudfront.net/image/725136000567/image_tte9iag3pt39nf5fk5k8qumr47/-FJPG/248226-001_DET_5.jpg</t>
  </si>
  <si>
    <t>https://dd3ka9h4chfr8.cloudfront.net/image/725136000567/image_2sdjov4p1d41jc836ar684bh6e/-FJPG/248226-001_DET_6.jpg</t>
  </si>
  <si>
    <t>https://dd3ka9h4chfr8.cloudfront.net/image/725136000567/image_s7496o7g6t6vf1top9lskti824/-FJPG/248226-001_DET_9.tif</t>
  </si>
  <si>
    <t>Stella Nightstand - Hazel Oak Veneer</t>
  </si>
  <si>
    <t>https://dd3ka9h4chfr8.cloudfront.net/image/725136000567/image_9c1d3rtc3119b1gaia40si7a61/-S150x150-FJPG/248227-001_PRM_1.jpg</t>
  </si>
  <si>
    <t>https://dd3ka9h4chfr8.cloudfront.net/image/725136000567/image_9c1d3rtc3119b1gaia40si7a61/-FJPG/248227-001_PRM_1.jpg</t>
  </si>
  <si>
    <t>https://dd3ka9h4chfr8.cloudfront.net/image/725136000567/image_1bs9s6i23929p48mcelp92ev2a/-FJPG/248227-001_SID_1.jpg</t>
  </si>
  <si>
    <t>https://dd3ka9h4chfr8.cloudfront.net/image/725136000567/image_a2dgbdtgft2m1ab66nt79f9m79/-FJPG/248227-001_ESS.tif</t>
  </si>
  <si>
    <t>https://dd3ka9h4chfr8.cloudfront.net/image/725136000567/image_r5jmb6hlld3anfgj05ibch8j7j/-FJPG/248227-001_DET_2.jpg</t>
  </si>
  <si>
    <t>https://dd3ka9h4chfr8.cloudfront.net/image/725136000567/image_lulf52i7i13h16gog611t0143n/-FJPG/248227-001_BCK_1.jpg</t>
  </si>
  <si>
    <t>https://dd3ka9h4chfr8.cloudfront.net/image/725136000567/image_132gr6f3kh6sh5blnakam7og0s/-FJPG/248227-001_DET_1.jpg</t>
  </si>
  <si>
    <t>https://dd3ka9h4chfr8.cloudfront.net/image/725136000567/image_5qls1f4kh51en7h48vq0rkh41d/-FJPG/248227-001_DET_3.jpg</t>
  </si>
  <si>
    <t>https://dd3ka9h4chfr8.cloudfront.net/image/725136000567/image_32mi70b92t0u98cg7sj0fj265k/-FJPG/248227-001_OPN_1.jpg</t>
  </si>
  <si>
    <t>https://dd3ka9h4chfr8.cloudfront.net/image/725136000567/image_eht65de15d4lp8jrb9d27bfj6l/-FJPG/248227-001_TOP_1.jpg</t>
  </si>
  <si>
    <t>https://dd3ka9h4chfr8.cloudfront.net/image/725136000567/image_klm7hsf7fd6aj048f4fpd4bl6l/-FJPG/248227-001_DET_4.jpg</t>
  </si>
  <si>
    <t>https://dd3ka9h4chfr8.cloudfront.net/image/725136000567/image_2b44tv05vp3o15r57chgb69206/-FJPG/248227-001_DET_5.jpg</t>
  </si>
  <si>
    <t>https://dd3ka9h4chfr8.cloudfront.net/image/725136000567/image_8hvb0005od77jb6o9c2t9uem0q/-FJPG/248227-001_DET_6.jpg</t>
  </si>
  <si>
    <t>Stevie Chaise Lounge - Anders Ivory</t>
  </si>
  <si>
    <t>https://dd3ka9h4chfr8.cloudfront.net/image/725136000567/image_pdsdlfu0794mr46sk4d1fnp446/-S150x150-FJPG/235958-002_PRM_1.jpg</t>
  </si>
  <si>
    <t>https://dd3ka9h4chfr8.cloudfront.net/image/725136000567/image_pdsdlfu0794mr46sk4d1fnp446/-FJPG/235958-002_PRM_1.jpg</t>
  </si>
  <si>
    <t>https://dd3ka9h4chfr8.cloudfront.net/image/725136000567/image_2e5r8va5ft0r79t8d9bkuq465q/-FJPG/235958-002_SID_1.jpg</t>
  </si>
  <si>
    <t>https://dd3ka9h4chfr8.cloudfront.net/image/725136000567/image_5653khmmrp1l3275rbgm3uqq1g/-FJPG/235958-002_ESS_1.jpg</t>
  </si>
  <si>
    <t>https://dd3ka9h4chfr8.cloudfront.net/image/725136000567/image_s5f25mro356j9ep4sa942dnb3q/-FJPG/235958-002_DET_2.jpg</t>
  </si>
  <si>
    <t>https://dd3ka9h4chfr8.cloudfront.net/image/725136000567/image_9r62hukird0g7d0na50q3td57n/-FJPG/235958-002_BCK_1.jpg</t>
  </si>
  <si>
    <t>https://dd3ka9h4chfr8.cloudfront.net/image/725136000567/image_4l4cjv30551bf26ddrotf2g80b/-FJPG/235958-002_DET_1.jpg</t>
  </si>
  <si>
    <t>https://dd3ka9h4chfr8.cloudfront.net/image/725136000567/image_n01f5kb5kp5ef3vk1vl163hn1u/-FJPG/235958-002_DET_3.jpg</t>
  </si>
  <si>
    <t>https://dd3ka9h4chfr8.cloudfront.net/image/725136000567/image_as38saore90hpd7uaet4o5qk59/-FJPG/235958-002_DET_4.jpg</t>
  </si>
  <si>
    <t>https://dd3ka9h4chfr8.cloudfront.net/image/725136000567/image_5pog5rq2f16jj1qb0s8pct2i0d/-FJPG/235958-002_DET_5.jpg</t>
  </si>
  <si>
    <t>https://dd3ka9h4chfr8.cloudfront.net/image/725136000567/image_mqgg2l1mip4prc8tpf3geirq4j/-FJPG/235958-002_DET_6.jpg</t>
  </si>
  <si>
    <t>https://dd3ka9h4chfr8.cloudfront.net/image/725136000567/image_q08rb695jl4cl2a17upc6j1k1p/-FJPG/235958-002_ESS_2.jpg</t>
  </si>
  <si>
    <t>Stevie Chaise Lounge - Destin Flannel</t>
  </si>
  <si>
    <t>3% Nylon</t>
  </si>
  <si>
    <t>2% Cotton</t>
  </si>
  <si>
    <t>https://dd3ka9h4chfr8.cloudfront.net/image/725136000567/image_n5rqbnqd111n1b67h6rk1dee13/-S150x150-FJPG/235958-003_PRM_1.jpg</t>
  </si>
  <si>
    <t>https://dd3ka9h4chfr8.cloudfront.net/image/725136000567/image_n5rqbnqd111n1b67h6rk1dee13/-FJPG/235958-003_PRM_1.jpg</t>
  </si>
  <si>
    <t>https://dd3ka9h4chfr8.cloudfront.net/image/725136000567/image_ehlqtarqp90tfcs4fc8vspj43k/-FJPG/235958-003_SID_1.jpg</t>
  </si>
  <si>
    <t>https://dd3ka9h4chfr8.cloudfront.net/image/725136000567/image_cd6u7it1oh2plakbguuodft105/-FJPG/235958-003_ESS_1.jpg</t>
  </si>
  <si>
    <t>https://dd3ka9h4chfr8.cloudfront.net/image/725136000567/image_bub431vtal2ht5pre0roooga1o/-FJPG/235958-003_DET_2.jpg</t>
  </si>
  <si>
    <t>https://dd3ka9h4chfr8.cloudfront.net/image/725136000567/image_61gfi9ots97gj1i9kl2u76065p/-FJPG/235958-003_BCK_1.jpg</t>
  </si>
  <si>
    <t>https://dd3ka9h4chfr8.cloudfront.net/image/725136000567/image_vk5r08e2417vf924mt6fd3ak0t/-FJPG/235958-003_DET_1.jpg</t>
  </si>
  <si>
    <t>https://dd3ka9h4chfr8.cloudfront.net/image/725136000567/image_d3r3ck9d4p7gj1kqm5blr0ns7l/-FJPG/235958-003_DET_3.jpg</t>
  </si>
  <si>
    <t>https://dd3ka9h4chfr8.cloudfront.net/image/725136000567/image_c8ktv2hbjl7cndm109sbds1962/-FJPG/235958-003_DET_4.jpg</t>
  </si>
  <si>
    <t>https://dd3ka9h4chfr8.cloudfront.net/image/725136000567/image_gc2cgv0r8t5epeoqch4bmltt33/-FJPG/235958-003_DET_5.jpg</t>
  </si>
  <si>
    <t>https://dd3ka9h4chfr8.cloudfront.net/image/725136000567/image_catp67bbqt4on0586bkrbi3q3d/-FJPG/235958-003_DET_6.jpg</t>
  </si>
  <si>
    <t>https://dd3ka9h4chfr8.cloudfront.net/image/725136000567/image_qsg56tnsdl4ub4ggts8u9j7f4p/-FJPG/235958-003_ESS_2.jpg</t>
  </si>
  <si>
    <t>Stevie Chaise Lounge - Gibson Wheat</t>
  </si>
  <si>
    <t>https://dd3ka9h4chfr8.cloudfront.net/image/725136000567/image_lvtaosj9k575dbonra3on8gs0i/-S150x150-FJPG/235958-001_PRM_1.jpg</t>
  </si>
  <si>
    <t>https://dd3ka9h4chfr8.cloudfront.net/image/725136000567/image_lvtaosj9k575dbonra3on8gs0i/-FJPG/235958-001_PRM_1.jpg</t>
  </si>
  <si>
    <t>https://dd3ka9h4chfr8.cloudfront.net/image/725136000567/image_uvicv77agh4atem40v2vos737j/-FJPG/235958-001_SID_1.jpg</t>
  </si>
  <si>
    <t>https://dd3ka9h4chfr8.cloudfront.net/image/725136000567/image_scj3heg68d1nldtj01n94e0d01/-FJPG/235958-001_ESS_1.jpg</t>
  </si>
  <si>
    <t>https://dd3ka9h4chfr8.cloudfront.net/image/725136000567/image_0rf8o3okk93ffc231998hctk1o/-FJPG/235958-001_DET_2.jpg</t>
  </si>
  <si>
    <t>https://dd3ka9h4chfr8.cloudfront.net/image/725136000567/image_ccpacifg4p5s72la1p0g2sn26h/-FJPG/235958-001_BCK_1.jpg</t>
  </si>
  <si>
    <t>https://dd3ka9h4chfr8.cloudfront.net/image/725136000567/image_j0fnfo9ukp6pl2918nnlagtt2v/-FJPG/235958-001_DET_1.jpg</t>
  </si>
  <si>
    <t>https://dd3ka9h4chfr8.cloudfront.net/image/725136000567/image_8erflou63d4c77usfjaldpju5f/-FJPG/235958-001_DET_3.jpg</t>
  </si>
  <si>
    <t>https://dd3ka9h4chfr8.cloudfront.net/image/725136000567/image_r06m5hdfcl5pl43gkgeu3k8c58/-FJPG/235958-001_DET_4.jpg</t>
  </si>
  <si>
    <t>https://dd3ka9h4chfr8.cloudfront.net/image/725136000567/image_9d42bi1iq93rn6vj590lnnnc3p/-FJPG/235958-001_DET_5.jpg</t>
  </si>
  <si>
    <t>https://dd3ka9h4chfr8.cloudfront.net/image/725136000567/image_0imkojh6od4a3egpqiusb9lr26/-FJPG/235958-001_DET_6.jpg</t>
  </si>
  <si>
    <t>https://dd3ka9h4chfr8.cloudfront.net/image/725136000567/image_vivnjosqot40j49m69fbdccb7r/-FJPG/235958-001_ESS_2.jpg</t>
  </si>
  <si>
    <t>Stormy Media Console - Aged Brown</t>
  </si>
  <si>
    <t>https://dd3ka9h4chfr8.cloudfront.net/image/725136000567/image_opc4oo2ma51kj226fu2qvcl143/-S150x150-FJPG/IELE-122_PRM_1.jpg</t>
  </si>
  <si>
    <t>https://dd3ka9h4chfr8.cloudfront.net/image/725136000567/image_opc4oo2ma51kj226fu2qvcl143/-FJPG/IELE-122_PRM_1.jpg</t>
  </si>
  <si>
    <t>https://dd3ka9h4chfr8.cloudfront.net/image/725136000567/image_51eo216n393k7e9fkpkentfb54/-FJPG/IELE-122_SID_1.jpg</t>
  </si>
  <si>
    <t>https://dd3ka9h4chfr8.cloudfront.net/image/725136000567/image_onlrcm9rs94b57l4p661k92m4p/-FJPG/IELE-122_DET_1.jpg</t>
  </si>
  <si>
    <t>https://dd3ka9h4chfr8.cloudfront.net/image/725136000567/image_rqpjsjqqcd0mnf71jgi9ousa5h/-FJPG/IELE-122_DET_3.jpg</t>
  </si>
  <si>
    <t>https://dd3ka9h4chfr8.cloudfront.net/image/725136000567/image_ribus0qbmp2r7f0sdfhokb8b0m/-FJPG/IELE-122_OPN_1.jpg</t>
  </si>
  <si>
    <t>https://dd3ka9h4chfr8.cloudfront.net/image/725136000567/image_kb5ovip5h93ktdn4t703gab33e/-FJPG/IELE-122_DET_4.jpg</t>
  </si>
  <si>
    <t>https://dd3ka9h4chfr8.cloudfront.net/image/725136000567/image_kr2k21gg7d4ob9f7qik6dcfa2v/-FJPG/IELE-122_DET_5.jpg</t>
  </si>
  <si>
    <t>https://dd3ka9h4chfr8.cloudfront.net/image/725136000567/image_v11q59n6ht2pp86lstpjn30o7j/-FJPG/IELE-122_DET_6.jpg</t>
  </si>
  <si>
    <t>https://dd3ka9h4chfr8.cloudfront.net/image/725136000567/image_292fod0sp936ldkb24hp1mo270/-FJPG/IELE-122_DET_7.jpg</t>
  </si>
  <si>
    <t>https://dd3ka9h4chfr8.cloudfront.net/image/725136000567/image_19ib8m5c4l2o3c702pptod463q/-FJPG/IELE-122_DET_8.jpg</t>
  </si>
  <si>
    <t>Sullivan 10 Drawer Dresser - Saddle Tan Veneer</t>
  </si>
  <si>
    <t>https://dd3ka9h4chfr8.cloudfront.net/image/725136000567/image_81ce07o41135j3hgducrkvkk57/-S150x150-FJPG/235837-001_PRM_1.jpg</t>
  </si>
  <si>
    <t>https://dd3ka9h4chfr8.cloudfront.net/image/725136000567/image_81ce07o41135j3hgducrkvkk57/-FJPG/235837-001_PRM_1.jpg</t>
  </si>
  <si>
    <t>https://dd3ka9h4chfr8.cloudfront.net/image/725136000567/image_u4ur89p1n52l77107rp93a4t71/-FJPG/235837-001_SID_1.jpg</t>
  </si>
  <si>
    <t>https://dd3ka9h4chfr8.cloudfront.net/image/725136000567/image_v2o8m95e156pndeurqk56hje6v/-FJPG/235837-001_ESS.tif</t>
  </si>
  <si>
    <t>https://dd3ka9h4chfr8.cloudfront.net/image/725136000567/image_5e25s3rvgl0a915s1ibhjc650a/-FJPG/235837-001_DET_2.jpg</t>
  </si>
  <si>
    <t>https://dd3ka9h4chfr8.cloudfront.net/image/725136000567/image_nihnk5lqbp5nt0n3vi6oeaed0g/-FJPG/235837-001_BCK_1.jpg</t>
  </si>
  <si>
    <t>https://dd3ka9h4chfr8.cloudfront.net/image/725136000567/image_pjcpqnta097bj296u6fl9qul7o/-FJPG/235837-001_DET_1.jpg</t>
  </si>
  <si>
    <t>https://dd3ka9h4chfr8.cloudfront.net/image/725136000567/image_d66hkstod179l8jm49mg8pto39/-FJPG/235837-001_DET_3.jpg</t>
  </si>
  <si>
    <t>https://dd3ka9h4chfr8.cloudfront.net/image/725136000567/image_241o4810n17019kemuedh5rp45/-FJPG/235837-001_OPN_1.jpg</t>
  </si>
  <si>
    <t>https://dd3ka9h4chfr8.cloudfront.net/image/725136000567/image_7b0okau8ep4e5e0jv22gbkmq1t/-FJPG/235837-001_DET_5.jpg</t>
  </si>
  <si>
    <t>https://dd3ka9h4chfr8.cloudfront.net/image/725136000567/image_oo6u1ong4t22t27lufmeula074/-FJPG/235837-001_DET_6.jpg</t>
  </si>
  <si>
    <t>https://dd3ka9h4chfr8.cloudfront.net/image/725136000567/image_ddkhb4qkvp0rb7hk06g5ujq73i/-FJPG/235837-001_DET_7.jpg</t>
  </si>
  <si>
    <t>Sullivan Bed - Harbor Sand</t>
  </si>
  <si>
    <t>60% Polyester</t>
  </si>
  <si>
    <t>40% Viscose (Rayon)</t>
  </si>
  <si>
    <t>https://dd3ka9h4chfr8.cloudfront.net/image/725136000567/image_6ao4d351t14ij4fceup9ogl25d/-S150x150-FJPG/236132-001_PRM_1.jpg</t>
  </si>
  <si>
    <t>https://dd3ka9h4chfr8.cloudfront.net/image/725136000567/image_6ao4d351t14ij4fceup9ogl25d/-FJPG/236132-001_PRM_1.jpg</t>
  </si>
  <si>
    <t>https://dd3ka9h4chfr8.cloudfront.net/image/725136000567/image_q9lg7v3h050l389jmckni0153i/-FJPG/236132-001_SID_1.jpg</t>
  </si>
  <si>
    <t>https://dd3ka9h4chfr8.cloudfront.net/image/725136000567/image_8fe3rs21gh6ihchk1hsanfgh0q/-FJPG/236132-001_ESS_1.jpg</t>
  </si>
  <si>
    <t>https://dd3ka9h4chfr8.cloudfront.net/image/725136000567/image_mllrnuuohd2k17tpqecrpbe06e/-FJPG/236132-001_DET_2.jpg</t>
  </si>
  <si>
    <t>https://dd3ka9h4chfr8.cloudfront.net/image/725136000567/image_tbgufv4odp27552l7pngist61f/-FJPG/236132-001_BCK_1.jpg</t>
  </si>
  <si>
    <t>https://dd3ka9h4chfr8.cloudfront.net/image/725136000567/image_otc5lmo6fp18baod442efd2t5j/-FJPG/236132-001_DET_1.jpg</t>
  </si>
  <si>
    <t>https://dd3ka9h4chfr8.cloudfront.net/image/725136000567/image_h8k1pc2qg115d5t0dcchra0a5h/-FJPG/236132-001_DET_3.jpg</t>
  </si>
  <si>
    <t>https://dd3ka9h4chfr8.cloudfront.net/image/725136000567/image_c9m26ffd1154l7am8c81dl8m2p/-FJPG/236132-001_DET_4.jpg</t>
  </si>
  <si>
    <t>https://dd3ka9h4chfr8.cloudfront.net/image/725136000567/image_e3bj3a6mch72d2c28l9u1k2h37/-FJPG/236132-001_DET_5.jpg</t>
  </si>
  <si>
    <t>https://dd3ka9h4chfr8.cloudfront.net/image/725136000567/image_2mjv7uh2kd5170uadcng937a1n/-FJPG/236132-001_DET_6.jpg</t>
  </si>
  <si>
    <t>https://dd3ka9h4chfr8.cloudfront.net/image/725136000567/image_r4n4j0t22h40v3a8rif57f8c49/-FJPG/236132-001_DET_7.jpg</t>
  </si>
  <si>
    <t>https://dd3ka9h4chfr8.cloudfront.net/image/725136000567/image_9s8kll1lnl4en2q9clto1as245/-S150x150-FJPG/236132-002_PRM_1.jpg</t>
  </si>
  <si>
    <t>https://dd3ka9h4chfr8.cloudfront.net/image/725136000567/image_9s8kll1lnl4en2q9clto1as245/-FJPG/236132-002_PRM_1.jpg</t>
  </si>
  <si>
    <t>https://dd3ka9h4chfr8.cloudfront.net/image/725136000567/image_tp0khr2nnt5bnbo40njmpgti4a/-FJPG/236132-002_SID_1.jpg</t>
  </si>
  <si>
    <t>https://dd3ka9h4chfr8.cloudfront.net/image/725136000567/image_eehri3lcnp553dqt5c36b8l23v/-FJPG/236132-002_ESS_1.jpg</t>
  </si>
  <si>
    <t>https://dd3ka9h4chfr8.cloudfront.net/image/725136000567/image_rhfqhsb5ul7mt1rhiu6p2puq2l/-FJPG/236132-002_DET_2.jpg</t>
  </si>
  <si>
    <t>https://dd3ka9h4chfr8.cloudfront.net/image/725136000567/image_8e5dcp8u8p5dvfke15d58gn95c/-FJPG/236132-002_BCK_1.jpg</t>
  </si>
  <si>
    <t>https://dd3ka9h4chfr8.cloudfront.net/image/725136000567/image_kug9osiebh3qnc83e7b9fe0811/-FJPG/236132-002_DET_1.jpg</t>
  </si>
  <si>
    <t>https://dd3ka9h4chfr8.cloudfront.net/image/725136000567/image_3g82dj8c7p4rtdbviq0r6etm12/-FJPG/236132-002_DET_3.jpg</t>
  </si>
  <si>
    <t>https://dd3ka9h4chfr8.cloudfront.net/image/725136000567/image_ie7u7c69ip5t7f9duucndbq215/-FJPG/236132-002_DET_4.jpg</t>
  </si>
  <si>
    <t>https://dd3ka9h4chfr8.cloudfront.net/image/725136000567/image_cah1cc0flp4nd0384deigjtj7f/-FJPG/236132-002_DET_5.jpg</t>
  </si>
  <si>
    <t>https://dd3ka9h4chfr8.cloudfront.net/image/725136000567/image_avk76o3qj50i36ou7i9sg80g78/-FJPG/236132-002_DET_6.jpg</t>
  </si>
  <si>
    <t>Sullivan Nightstand - Saddle Tan Veneer</t>
  </si>
  <si>
    <t>https://dd3ka9h4chfr8.cloudfront.net/image/725136000567/image_fnpsb4mbv50lv3a67gvtvh0s1t/-S150x150-FJPG/235835-001_PRM_1.jpg</t>
  </si>
  <si>
    <t>https://dd3ka9h4chfr8.cloudfront.net/image/725136000567/image_fnpsb4mbv50lv3a67gvtvh0s1t/-FJPG/235835-001_PRM_1.jpg</t>
  </si>
  <si>
    <t>https://dd3ka9h4chfr8.cloudfront.net/image/725136000567/image_i9j3umjljt47vapf2me9bi8l07/-FJPG/235835-001_SID_1.jpg</t>
  </si>
  <si>
    <t>https://dd3ka9h4chfr8.cloudfront.net/image/725136000567/image_lgs8onkrt10kn6be02qm2an34f/-FJPG/235835-001_DET_2.jpg</t>
  </si>
  <si>
    <t>https://dd3ka9h4chfr8.cloudfront.net/image/725136000567/image_q9vge3ef0l4tj1is9ce13q4i65/-FJPG/235835-001_BCK_1.jpg</t>
  </si>
  <si>
    <t>https://dd3ka9h4chfr8.cloudfront.net/image/725136000567/image_4iq3dg374p595dinenhvcodf2u/-FJPG/235835-001_DET_1.jpg</t>
  </si>
  <si>
    <t>https://dd3ka9h4chfr8.cloudfront.net/image/725136000567/image_m205ddj3g11dd25cm2heuq2t41/-FJPG/235835-001_DET_3.jpg</t>
  </si>
  <si>
    <t>https://dd3ka9h4chfr8.cloudfront.net/image/725136000567/image_r2tqojfd1t5vp5k1502hnc3v1l/-FJPG/235835-001_OPN_1.jpg</t>
  </si>
  <si>
    <t>https://dd3ka9h4chfr8.cloudfront.net/image/725136000567/image_66trpd4kap4o3fl7ih305nvp30/-FJPG/235835-001_DET_4.jpg</t>
  </si>
  <si>
    <t>https://dd3ka9h4chfr8.cloudfront.net/image/725136000567/image_0se3fgf3b57udfghvd8po37e1d/-FJPG/235835-001_DET_5.jpg</t>
  </si>
  <si>
    <t>https://dd3ka9h4chfr8.cloudfront.net/image/725136000567/image_adakhsnqbl2b3d65p6r464ca0u/-FJPG/235835-001_DET_6.jpg</t>
  </si>
  <si>
    <t>https://dd3ka9h4chfr8.cloudfront.net/image/725136000567/image_s584l9128t4ndafa64hi2mg50o/-FJPG/235835-001_DET_7.jpg</t>
  </si>
  <si>
    <t>https://dd3ka9h4chfr8.cloudfront.net/image/725136000567/image_5idug7uo9l6075dokkqt5d7p2m/-FJPG/235835-001_DET_8.jpg</t>
  </si>
  <si>
    <t>https://dd3ka9h4chfr8.cloudfront.net/image/725136000567/image_9n2bti4pqp6i715b4hk0gnnm0t/-FJPG/235835-001_ESS.tif</t>
  </si>
  <si>
    <t>Sully Chair - Monte Navy</t>
  </si>
  <si>
    <t>https://dd3ka9h4chfr8.cloudfront.net/image/725136000567/image_6updoj9cvh4hv9od7m06cgsb41/-S150x150-FJPG/238393-006_PRM_1.JPG</t>
  </si>
  <si>
    <t>https://dd3ka9h4chfr8.cloudfront.net/image/725136000567/image_6updoj9cvh4hv9od7m06cgsb41/-FJPG/238393-006_PRM_1.JPG</t>
  </si>
  <si>
    <t>https://dd3ka9h4chfr8.cloudfront.net/image/725136000567/image_60f0fdvlnp6rr89vfmfm7asc3j/-FJPG/238393-006_SID_1.JPG</t>
  </si>
  <si>
    <t>https://dd3ka9h4chfr8.cloudfront.net/image/725136000567/image_gtto7flfah4np57ft7t571ki1n/-FJPG/238393-006_DET_2.JPG</t>
  </si>
  <si>
    <t>https://dd3ka9h4chfr8.cloudfront.net/image/725136000567/image_p6didfne017jf3d5jdj0h7045h/-FJPG/238393-006_BCK_1.JPG</t>
  </si>
  <si>
    <t>https://dd3ka9h4chfr8.cloudfront.net/image/725136000567/image_5e5vs30quh20j3ucrlotfhka0p/-FJPG/238393-006_DET_1.JPG</t>
  </si>
  <si>
    <t>https://dd3ka9h4chfr8.cloudfront.net/image/725136000567/image_0kkpphulr52hdc5na7cfgndl1u/-FJPG/238393-006_DET_3.JPG</t>
  </si>
  <si>
    <t>https://dd3ka9h4chfr8.cloudfront.net/image/725136000567/image_jsij3h4ejt7sp1mca52uh0v82f/-FJPG/238393-006_DET_4.JPG</t>
  </si>
  <si>
    <t>https://dd3ka9h4chfr8.cloudfront.net/image/725136000567/image_gmk0iuv6n554h9uljog0i0t60p/-FJPG/238393-006_DET_5.JPG</t>
  </si>
  <si>
    <t>Sully Chair - Surrey Moss</t>
  </si>
  <si>
    <t>https://dd3ka9h4chfr8.cloudfront.net/image/725136000567/image_g480rrqh5t5dhcv2eam5pj772h/-S150x150-FJPG/238393-001_PRM_1.jpg</t>
  </si>
  <si>
    <t>https://dd3ka9h4chfr8.cloudfront.net/image/725136000567/image_g480rrqh5t5dhcv2eam5pj772h/-FJPG/238393-001_PRM_1.jpg</t>
  </si>
  <si>
    <t>https://dd3ka9h4chfr8.cloudfront.net/image/725136000567/image_nko5sh9b3p04v28q5omq6jus58/-FJPG/238393-001_SID_1.jpg</t>
  </si>
  <si>
    <t>https://dd3ka9h4chfr8.cloudfront.net/image/725136000567/image_o4ouc4308p3fj8gkg33rti6821/-FJPG/238393-001_ESS.tif</t>
  </si>
  <si>
    <t>https://dd3ka9h4chfr8.cloudfront.net/image/725136000567/image_ae5pmj6atp4oj5vj88tsragf3b/-FJPG/238393-001_DET_2.jpg</t>
  </si>
  <si>
    <t>https://dd3ka9h4chfr8.cloudfront.net/image/725136000567/image_ncdpskch010ef57fkka2rkc72b/-FJPG/238393-001_BCK_1.jpg</t>
  </si>
  <si>
    <t>https://dd3ka9h4chfr8.cloudfront.net/image/725136000567/image_mlq3bpub2902356r2f0dficq6s/-FJPG/238393-001_DET_1.jpg</t>
  </si>
  <si>
    <t>https://dd3ka9h4chfr8.cloudfront.net/image/725136000567/image_4qucfqsq5p2t71hg5jocttsd1h/-FJPG/238393-001_DET_3.jpg</t>
  </si>
  <si>
    <t>https://dd3ka9h4chfr8.cloudfront.net/image/725136000567/image_rk9c3kbjop22f80bv1u6h1rn2h/-FJPG/238393-001_DET_4.jpg</t>
  </si>
  <si>
    <t>https://dd3ka9h4chfr8.cloudfront.net/image/725136000567/image_5nfn6c67c15ot4tucjs8j1sb04/-FJPG/238393-001_DET_5.jpg</t>
  </si>
  <si>
    <t>https://dd3ka9h4chfr8.cloudfront.net/image/725136000567/image_o2mancaeg54rl56rbgg912cm16/-FJPG/238393-001_DET_6.jpg</t>
  </si>
  <si>
    <t>https://dd3ka9h4chfr8.cloudfront.net/image/725136000567/image_iekjkeeij144lahbbfi608m81t/-FJPG/238393-001_ESS.tif</t>
  </si>
  <si>
    <t>Suspension Desk - Rustic Grey Veneer</t>
  </si>
  <si>
    <t>https://dd3ka9h4chfr8.cloudfront.net/image/725136000567/image_cbf3uemmdd5jf5e2u0ed2nea10/-S150x150-FJPG/235487-001_PRM_1.jpg</t>
  </si>
  <si>
    <t>https://dd3ka9h4chfr8.cloudfront.net/image/725136000567/image_cbf3uemmdd5jf5e2u0ed2nea10/-FJPG/235487-001_PRM_1.jpg</t>
  </si>
  <si>
    <t>https://dd3ka9h4chfr8.cloudfront.net/image/725136000567/image_0kopjci19l48heijue1ai7u114/-FJPG/235487-001_SID_1.jpg</t>
  </si>
  <si>
    <t>https://dd3ka9h4chfr8.cloudfront.net/image/725136000567/image_esj9no1tdl1a5dlld3pbmi3q27/-FJPG/235487-001_DET_2.jpg</t>
  </si>
  <si>
    <t>https://dd3ka9h4chfr8.cloudfront.net/image/725136000567/image_mjm8be3vht0hb2gjusuu18mm4s/-FJPG/235487-001_BCK_1.jpg</t>
  </si>
  <si>
    <t>https://dd3ka9h4chfr8.cloudfront.net/image/725136000567/image_aoiuh008c55ab9vaot5tkpn22c/-FJPG/235487-001_DET_1.jpg</t>
  </si>
  <si>
    <t>https://dd3ka9h4chfr8.cloudfront.net/image/725136000567/image_30hqp7s5j15j35t71j85c9r66h/-FJPG/235487-001_DET_3.jpg</t>
  </si>
  <si>
    <t>https://dd3ka9h4chfr8.cloudfront.net/image/725136000567/image_p4taqbk4612a50b7cer8arnf74/-FJPG/235487-001_OPN_1.jpg</t>
  </si>
  <si>
    <t>https://dd3ka9h4chfr8.cloudfront.net/image/725136000567/image_pom373ak7101leq1mrsq11n93t/-FJPG/235487-001_DET_4.jpg</t>
  </si>
  <si>
    <t>https://dd3ka9h4chfr8.cloudfront.net/image/725136000567/image_m9c6uh95014gh5esq4mr7v9407/-FJPG/235487-001_DET_5.jpg</t>
  </si>
  <si>
    <t>https://dd3ka9h4chfr8.cloudfront.net/image/725136000567/image_2lj4kl6ba14m35bsbiml8ukm2k/-FJPG/235487-001_DET_6.jpg</t>
  </si>
  <si>
    <t>https://dd3ka9h4chfr8.cloudfront.net/image/725136000567/image_4df3vo03qd3qtae0iskpulif7r/-FJPG/235487-001_DET_7.jpg</t>
  </si>
  <si>
    <t>https://dd3ka9h4chfr8.cloudfront.net/image/725136000567/image_7cr91ccvld2hbfgf6vj0jmv05j/-FJPG/235487-001_DET_8.jpg</t>
  </si>
  <si>
    <t>https://dd3ka9h4chfr8.cloudfront.net/image/725136000567/image_lvp8m1apc16t32rnrmk0t0ak1d/-FJPG/FHMPRJ-007_SCENE_23.tif</t>
  </si>
  <si>
    <t>https://dd3ka9h4chfr8.cloudfront.net/image/725136000567/image_4c5u2kfp052cpdfjj18vbnh31a/-FJPG/235487-001_ESS.jpg</t>
  </si>
  <si>
    <t>Suspension Desk - Smoked Black Veneer</t>
  </si>
  <si>
    <t>https://dd3ka9h4chfr8.cloudfront.net/image/725136000567/image_hdqijo629d38bfc516m137797s/-S150x150-FJPG/235487-002_PRM_1.jpg</t>
  </si>
  <si>
    <t>https://dd3ka9h4chfr8.cloudfront.net/image/725136000567/image_hdqijo629d38bfc516m137797s/-FJPG/235487-002_PRM_1.jpg</t>
  </si>
  <si>
    <t>https://dd3ka9h4chfr8.cloudfront.net/image/725136000567/image_iovptpv74h2pj757d7m26ojt7i/-FJPG/235487-002_SID_1.jpg</t>
  </si>
  <si>
    <t>https://dd3ka9h4chfr8.cloudfront.net/image/725136000567/image_h6gq39l4up3jp02179hlatqm4r/-FJPG/235487-002_DET_2.jpg</t>
  </si>
  <si>
    <t>https://dd3ka9h4chfr8.cloudfront.net/image/725136000567/image_41j8r14a9p75dd0tpch4ohp01g/-FJPG/235487-002_BCK_1.jpg</t>
  </si>
  <si>
    <t>https://dd3ka9h4chfr8.cloudfront.net/image/725136000567/image_brl6tl2lgp7t1309h7rvn76j1f/-FJPG/235487-002_DET_1.jpg</t>
  </si>
  <si>
    <t>https://dd3ka9h4chfr8.cloudfront.net/image/725136000567/image_a5grdt7hpp7or4ngg1glivc356/-FJPG/235487-002_DET_3.jpg</t>
  </si>
  <si>
    <t>https://dd3ka9h4chfr8.cloudfront.net/image/725136000567/image_kso1em7sbt2ab211ngu9gvoh6h/-FJPG/235487-002_OPN_1.jpg</t>
  </si>
  <si>
    <t>https://dd3ka9h4chfr8.cloudfront.net/image/725136000567/image_mjlubc1bqd5dr3rt4qpr1rqp26/-FJPG/235487-002_TOP_1.jpg</t>
  </si>
  <si>
    <t>https://dd3ka9h4chfr8.cloudfront.net/image/725136000567/image_u2oeeipi7t7j11vlg1uftm2l11/-FJPG/235487-002_DET_4.jpg</t>
  </si>
  <si>
    <t>https://dd3ka9h4chfr8.cloudfront.net/image/725136000567/image_8m18iejhc926t2gdkbq572on6g/-FJPG/235487-002_DET_5.jpg</t>
  </si>
  <si>
    <t>https://dd3ka9h4chfr8.cloudfront.net/image/725136000567/image_ppt9t1q1094i3ecisbo7h3gh2u/-FJPG/235487-002_DET_6.jpg</t>
  </si>
  <si>
    <t>https://dd3ka9h4chfr8.cloudfront.net/image/725136000567/image_ub8ri1r2jt1bj6p8eu8lqsl142/-FJPG/235487-002_DET_7.jpg</t>
  </si>
  <si>
    <t>Swivel Wing Chair - Jette Linen</t>
  </si>
  <si>
    <t>46% Viscose (Rayon)</t>
  </si>
  <si>
    <t>34% Polyester</t>
  </si>
  <si>
    <t>https://dd3ka9h4chfr8.cloudfront.net/image/725136000567/image_k5nk5f94mp4hh0046pmsm27d15/-S150x150-FJPG/106152-007_PRM_1.jpg</t>
  </si>
  <si>
    <t>https://dd3ka9h4chfr8.cloudfront.net/image/725136000567/image_k5nk5f94mp4hh0046pmsm27d15/-FJPG/106152-007_PRM_1.jpg</t>
  </si>
  <si>
    <t>https://dd3ka9h4chfr8.cloudfront.net/image/725136000567/image_2gh3im46ip0ijct643hr0slj2p/-FJPG/106152-007_SID_1.jpg</t>
  </si>
  <si>
    <t>https://dd3ka9h4chfr8.cloudfront.net/image/725136000567/image_dp0c4p5k710il3tandrb1pq40f/-FJPG/106152-007_DET_2.jpg</t>
  </si>
  <si>
    <t>https://dd3ka9h4chfr8.cloudfront.net/image/725136000567/image_2chagpikvh15tcr69909dv7f7v/-FJPG/106152-007_BCK_1.jpg</t>
  </si>
  <si>
    <t>https://dd3ka9h4chfr8.cloudfront.net/image/725136000567/image_6r8ecaq2eh5dn44t8h2qi8vp0s/-FJPG/106152-007_DET_1.jpg</t>
  </si>
  <si>
    <t>https://dd3ka9h4chfr8.cloudfront.net/image/725136000567/image_vp58k97ti914vcb6civ77knk2h/-FJPG/106152-007_ROM_1.jpg</t>
  </si>
  <si>
    <t>https://dd3ka9h4chfr8.cloudfront.net/image/725136000567/image_r5ch5ioedh69dfg0cu57lie92b/-FJPG/106152-007_FRT_3.jpg</t>
  </si>
  <si>
    <t>Sydney 6 Drawer Dresser - Black Cane</t>
  </si>
  <si>
    <t>https://dd3ka9h4chfr8.cloudfront.net/image/725136000567/image_hvnjm97q9166b0eev81ft15a6l/-S150x150-FJPG/224923-004_PRM_1.jpg</t>
  </si>
  <si>
    <t>https://dd3ka9h4chfr8.cloudfront.net/image/725136000567/image_hvnjm97q9166b0eev81ft15a6l/-FJPG/224923-004_PRM_1.jpg</t>
  </si>
  <si>
    <t>https://dd3ka9h4chfr8.cloudfront.net/image/725136000567/image_ufcsnnvv7l0kvcft3hi3uul546/-FJPG/224923-004_SID_1.jpg</t>
  </si>
  <si>
    <t>https://dd3ka9h4chfr8.cloudfront.net/image/725136000567/image_kmnp6fk0vt6kr7149pn0rt8560/-FJPG/224923-004_DET_2.jpg</t>
  </si>
  <si>
    <t>https://dd3ka9h4chfr8.cloudfront.net/image/725136000567/image_e1pabokdp56ml9ghghmb55p830/-FJPG/224923-004_BCK_1.jpg</t>
  </si>
  <si>
    <t>https://dd3ka9h4chfr8.cloudfront.net/image/725136000567/image_jsaho9k4tp27haa52670k2h66h/-FJPG/224923-004_DET_1.jpg</t>
  </si>
  <si>
    <t>https://dd3ka9h4chfr8.cloudfront.net/image/725136000567/image_228eed8ep1683839sr6erq0q2g/-FJPG/224923-004_DET_3.jpg</t>
  </si>
  <si>
    <t>https://dd3ka9h4chfr8.cloudfront.net/image/725136000567/image_t276o00ugh4hb8lfhh054u0476/-FJPG/224923-004_OPN_1.jpg</t>
  </si>
  <si>
    <t>https://dd3ka9h4chfr8.cloudfront.net/image/725136000567/image_0j08du9vml1g1cu91p5t5vlp1d/-FJPG/224923-004_TOP_1.jpg</t>
  </si>
  <si>
    <t>https://dd3ka9h4chfr8.cloudfront.net/image/725136000567/image_utr77au7e948h2q02q1v5fuq0h/-FJPG/224923-004_DET_4.jpg</t>
  </si>
  <si>
    <t>https://dd3ka9h4chfr8.cloudfront.net/image/725136000567/image_9p1c0c5qhd5ltdtek5fh72oq59/-FJPG/224923-004_DET_5.jpg</t>
  </si>
  <si>
    <t>https://dd3ka9h4chfr8.cloudfront.net/image/725136000567/image_1uo4j3npkd59f7gmf98ka3n85k/-FJPG/224923-004_DET_6.jpg</t>
  </si>
  <si>
    <t>Sydney 6 Drawer Dresser - Brown Cane</t>
  </si>
  <si>
    <t>https://dd3ka9h4chfr8.cloudfront.net/image/725136000567/image_jt72kcqqr514f2824c1hhk9t0k/-S150x150-FJPG/224923-003_PRM_1.jpg</t>
  </si>
  <si>
    <t>https://dd3ka9h4chfr8.cloudfront.net/image/725136000567/image_jt72kcqqr514f2824c1hhk9t0k/-FJPG/224923-003_PRM_1.jpg</t>
  </si>
  <si>
    <t>https://dd3ka9h4chfr8.cloudfront.net/image/725136000567/image_eb60mpshpd2512ftkh8rql1t3m/-FJPG/224923-003_SID_1.jpg</t>
  </si>
  <si>
    <t>https://dd3ka9h4chfr8.cloudfront.net/image/725136000567/image_4bpliigci92klfqonbscv96d4n/-FJPG/224923-003_ESS_1.jpg</t>
  </si>
  <si>
    <t>https://dd3ka9h4chfr8.cloudfront.net/image/725136000567/image_ci5ed5rdm15td70olufs49vm1p/-FJPG/224923-003_DET_2.jpg</t>
  </si>
  <si>
    <t>https://dd3ka9h4chfr8.cloudfront.net/image/725136000567/image_hpp8no23bt403ef9skkce0ls3i/-FJPG/224923-003_BCK_1.jpg</t>
  </si>
  <si>
    <t>https://dd3ka9h4chfr8.cloudfront.net/image/725136000567/image_a5is9rg8ol1af6eb5sdv0f5p15/-FJPG/224923-003_DET_1.jpg</t>
  </si>
  <si>
    <t>https://dd3ka9h4chfr8.cloudfront.net/image/725136000567/image_bicnv784bd4et5i0am4bh79g7m/-FJPG/224923-003_DET_3.jpg</t>
  </si>
  <si>
    <t>https://dd3ka9h4chfr8.cloudfront.net/image/725136000567/image_te22753g055l1ff71l9n2rt35t/-FJPG/224923-003_OPN_1.jpg</t>
  </si>
  <si>
    <t>https://dd3ka9h4chfr8.cloudfront.net/image/725136000567/image_jnr0slh2fd1cpa7m3463j69f2g/-FJPG/224923-003_DET_4.jpg</t>
  </si>
  <si>
    <t>https://dd3ka9h4chfr8.cloudfront.net/image/725136000567/image_4d2hjooq2946f5j887amfiht2a/-FJPG/224923-003_DET_5.jpg</t>
  </si>
  <si>
    <t>https://dd3ka9h4chfr8.cloudfront.net/image/725136000567/image_p7pe6jrp2l26henflsqdrrdd0d/-FJPG/224923-003_DET_6.jpg</t>
  </si>
  <si>
    <t>https://dd3ka9h4chfr8.cloudfront.net/image/725136000567/image_vvkpv3f7ol38l1tqam53k82b0e/-FJPG/224923-003_DET_7.jpg</t>
  </si>
  <si>
    <t>Sydney 6 Drawer Dresser - Natural Cane</t>
  </si>
  <si>
    <t>https://dd3ka9h4chfr8.cloudfront.net/image/725136000567/image_7bfvqmso5t33lahlq6iogulg64/-S150x150-FJPG/224923-001_PRM_1.jpg</t>
  </si>
  <si>
    <t>https://dd3ka9h4chfr8.cloudfront.net/image/725136000567/image_7bfvqmso5t33lahlq6iogulg64/-FJPG/224923-001_PRM_1.jpg</t>
  </si>
  <si>
    <t>https://dd3ka9h4chfr8.cloudfront.net/image/725136000567/image_9idrlbo4il3rrdbu164sbq7944/-FJPG/224923-001_SID_1.jpg</t>
  </si>
  <si>
    <t>https://dd3ka9h4chfr8.cloudfront.net/image/725136000567/image_1glhgt3mhl6mt9vir8dj5d9k74/-FJPG/224923-001_ESS_1.jpg</t>
  </si>
  <si>
    <t>https://dd3ka9h4chfr8.cloudfront.net/image/725136000567/image_mm643rt0dd37jekilbsetlot4v/-FJPG/224923-001_DET_2.jpg</t>
  </si>
  <si>
    <t>https://dd3ka9h4chfr8.cloudfront.net/image/725136000567/image_k5cis8k5k16a35s2h4gn8jmi7f/-FJPG/224923-001_BCK_1.jpg</t>
  </si>
  <si>
    <t>https://dd3ka9h4chfr8.cloudfront.net/image/725136000567/image_arng8go4gh3chad8pq3p3q5l4k/-FJPG/224923-001_DET_1.jpg</t>
  </si>
  <si>
    <t>https://dd3ka9h4chfr8.cloudfront.net/image/725136000567/image_bqqhniqa2l4ntd9lmgnsgi3314/-FJPG/224923-001_DET_3.jpg</t>
  </si>
  <si>
    <t>https://dd3ka9h4chfr8.cloudfront.net/image/725136000567/image_pikato0at132ffm6sbvgun9m2q/-FJPG/224923-001_OPN_1.jpg</t>
  </si>
  <si>
    <t>https://dd3ka9h4chfr8.cloudfront.net/image/725136000567/image_535p3insvl6c56fi4g4k4jhc4d/-FJPG/224923-001_DET_4.jpg</t>
  </si>
  <si>
    <t>https://dd3ka9h4chfr8.cloudfront.net/image/725136000567/image_6ru0emr6213tr36q6e1bn2aq40/-FJPG/224923-001_DET_5.jpg</t>
  </si>
  <si>
    <t>https://dd3ka9h4chfr8.cloudfront.net/image/725136000567/image_m1o4rfa80p4ul20lmes60oil5j/-FJPG/224923-001_DET_6.jpg</t>
  </si>
  <si>
    <t>https://dd3ka9h4chfr8.cloudfront.net/image/725136000567/image_1tbg0ql28l16v95jbcu0lv0u0j/-S150x150-FJPG/224923-002_PRM_1.jpg</t>
  </si>
  <si>
    <t>https://dd3ka9h4chfr8.cloudfront.net/image/725136000567/image_1tbg0ql28l16v95jbcu0lv0u0j/-FJPG/224923-002_PRM_1.jpg</t>
  </si>
  <si>
    <t>https://dd3ka9h4chfr8.cloudfront.net/image/725136000567/image_t4hs6seeot363e4gi4l3gurv02/-FJPG/224923-002_SID_1.jpg</t>
  </si>
  <si>
    <t>https://dd3ka9h4chfr8.cloudfront.net/image/725136000567/image_crtodunul90u15lppma4hemb7o/-FJPG/224923-002_ESS_1.jpg</t>
  </si>
  <si>
    <t>https://dd3ka9h4chfr8.cloudfront.net/image/725136000567/image_7fq17crlhh2q553dqea8cgup4i/-FJPG/224923-002_DET_2.jpg</t>
  </si>
  <si>
    <t>https://dd3ka9h4chfr8.cloudfront.net/image/725136000567/image_v583pg6g7h6hjfjb51tqpraf3g/-FJPG/224923-002_BCK_1.jpg</t>
  </si>
  <si>
    <t>https://dd3ka9h4chfr8.cloudfront.net/image/725136000567/image_go15t0r3n559ndp4c40c7mbj0c/-FJPG/224923-002_DET_1.jpg</t>
  </si>
  <si>
    <t>https://dd3ka9h4chfr8.cloudfront.net/image/725136000567/image_theqv6hglp7q3drakske71di0q/-FJPG/224923-002_DET_3.jpg</t>
  </si>
  <si>
    <t>https://dd3ka9h4chfr8.cloudfront.net/image/725136000567/image_gsf8poksc90518caj8vpknme6a/-FJPG/224923-002_OPN_1.jpg</t>
  </si>
  <si>
    <t>https://dd3ka9h4chfr8.cloudfront.net/image/725136000567/image_3i8ds5f00p2mtfbl0pslt9gu0a/-FJPG/224923-002_DET_4.jpg</t>
  </si>
  <si>
    <t>https://dd3ka9h4chfr8.cloudfront.net/image/725136000567/image_33nu6htaqd0552g5e3kq6t7306/-FJPG/224923-002_DET_5.jpg</t>
  </si>
  <si>
    <t>https://dd3ka9h4chfr8.cloudfront.net/image/725136000567/image_q17ushvc8p2u50a4k4u5osjc12/-FJPG/224923-002_DET_6.jpg</t>
  </si>
  <si>
    <t>https://dd3ka9h4chfr8.cloudfront.net/image/725136000567/image_hde5roit7l3k7chv1j8vn9a74k/-FJPG/224923-002_DET_7.jpg</t>
  </si>
  <si>
    <t>https://dd3ka9h4chfr8.cloudfront.net/image/725136000567/image_hdssd1go5d2c39n9eikjdbtr0v/-FJPG/224923-002_DET_8.jpg</t>
  </si>
  <si>
    <t>Sydney Bed - Black Wash</t>
  </si>
  <si>
    <t>https://dd3ka9h4chfr8.cloudfront.net/image/725136000567/image_cl0lm3b9vd72p3t6fl7qavbf76/-S150x150-FJPG/106686-015_PRM_1.jpg</t>
  </si>
  <si>
    <t>https://dd3ka9h4chfr8.cloudfront.net/image/725136000567/image_uu9jh0s3kh435ei1a47ls62h2a/-FJPG/106686-015_ESS.tif</t>
  </si>
  <si>
    <t>https://dd3ka9h4chfr8.cloudfront.net/image/725136000567/image_73em6pdhdd22p9khqc3gobh90r/-FJPG/106686-015_DET_2.jpg</t>
  </si>
  <si>
    <t>https://dd3ka9h4chfr8.cloudfront.net/image/725136000567/image_5cd9hlsotp65n0ev2bonqdd04t/-FJPG/106686-015_DET_1.jpg</t>
  </si>
  <si>
    <t>https://dd3ka9h4chfr8.cloudfront.net/image/725136000567/image_dk3f2brunt75hfrmm2i5tmu13s/-FJPG/106686-015_DET_3.jpg</t>
  </si>
  <si>
    <t>https://dd3ka9h4chfr8.cloudfront.net/image/725136000567/image_lc8ds71vj53hte47d9h3l9ti3j/-FJPG/106686-015_DET_4.jpg</t>
  </si>
  <si>
    <t>https://dd3ka9h4chfr8.cloudfront.net/image/725136000567/image_pjptpjovr90at5bdcrm4ak6v0u/-FJPG/106686-015_DET_5.jpg</t>
  </si>
  <si>
    <t>https://dd3ka9h4chfr8.cloudfront.net/image/725136000567/image_dds0ojdsg10mrf5qiilb1iko6h/-FJPG/106686-015_DET_6.jpg</t>
  </si>
  <si>
    <t>https://dd3ka9h4chfr8.cloudfront.net/image/725136000567/image_2ebsafh1l173f6tn5o2oib7p27/-FJPG/106686-015_DET_7.jpg</t>
  </si>
  <si>
    <t>https://dd3ka9h4chfr8.cloudfront.net/image/725136000567/image_101kp302396ft5idq6547s3717/-FJPG/106686-015_BCK_2.jpg</t>
  </si>
  <si>
    <t>https://dd3ka9h4chfr8.cloudfront.net/image/725136000567/image_bidj0ralqh38je4oh6qjm6pk1e/-FJPG/106686-015_PRM_2.jpg</t>
  </si>
  <si>
    <t>https://dd3ka9h4chfr8.cloudfront.net/image/725136000567/image_id61dicid97kh5sn83adgjqd5e/-FJPG/106686-015_FRT_2.jpg</t>
  </si>
  <si>
    <t>https://dd3ka9h4chfr8.cloudfront.net/image/725136000567/image_v4bf8bhc7139ldfu9lpgkcfn6u/-FJPG/106686-015_SID_2.jpg</t>
  </si>
  <si>
    <t>https://dd3ka9h4chfr8.cloudfront.net/image/725136000567/image_homretvfet1fn774tib6te2p39/-S150x150-FJPG/106686-016_PRM_1.jpg</t>
  </si>
  <si>
    <t>https://dd3ka9h4chfr8.cloudfront.net/image/725136000567/image_homretvfet1fn774tib6te2p39/-FJPG/106686-016_PRM_1.jpg</t>
  </si>
  <si>
    <t>https://dd3ka9h4chfr8.cloudfront.net/image/725136000567/image_c6k433d46p42heenjbnhi86b4o/-FJPG/106686-016_SID_1.jpg</t>
  </si>
  <si>
    <t>https://dd3ka9h4chfr8.cloudfront.net/image/725136000567/image_0vi7619ek94qf6gm5d6rihkg5t/-FJPG/106686-016_BCK_1.jpg</t>
  </si>
  <si>
    <t>https://dd3ka9h4chfr8.cloudfront.net/image/725136000567/image_t12pt3a30h3dpeo9ujf7vsc82b/-FJPG/106686-016_DET_1.jpg</t>
  </si>
  <si>
    <t>https://dd3ka9h4chfr8.cloudfront.net/image/725136000567/image_e10jnqmvhh2u58n5ncstt2rl21/-FJPG/106686-016_DET_3.jpg</t>
  </si>
  <si>
    <t>https://dd3ka9h4chfr8.cloudfront.net/image/725136000567/image_vj89jv0r1d3274pjvdp0hcop3i/-FJPG/106686-016_DET_4.jpg</t>
  </si>
  <si>
    <t>https://dd3ka9h4chfr8.cloudfront.net/image/725136000567/image_0abcasbb014lfbp5gphpk42a7c/-FJPG/106686-016_DET_5.jpg</t>
  </si>
  <si>
    <t>https://dd3ka9h4chfr8.cloudfront.net/image/725136000567/image_lujv3aoall0rj5vhs1dmqjkj35/-FJPG/106686-016_DET_6.jpg</t>
  </si>
  <si>
    <t>https://dd3ka9h4chfr8.cloudfront.net/image/725136000567/image_celk58khlp1h53thmd9isq7d6d/-FJPG/106686-016_DET_7.jpg</t>
  </si>
  <si>
    <t>https://dd3ka9h4chfr8.cloudfront.net/image/725136000567/image_1487lc94095b92l8gdmsm9tm75/-FJPG/106686-016_BCK_2.jpg</t>
  </si>
  <si>
    <t>https://dd3ka9h4chfr8.cloudfront.net/image/725136000567/image_hll7fstc0d083d1416hequgi63/-FJPG/106686-016_PRM_2.jpg</t>
  </si>
  <si>
    <t>https://dd3ka9h4chfr8.cloudfront.net/image/725136000567/image_03n2m4aodt75729didbbnirm3c/-FJPG/106686-016_SID_2.jpg</t>
  </si>
  <si>
    <t>https://dd3ka9h4chfr8.cloudfront.net/image/725136000567/image_57thro0rdd2679l80mbg66mu7h/-FJPG/106686-016_FRT_2.jpg</t>
  </si>
  <si>
    <t>https://dd3ka9h4chfr8.cloudfront.net/image/725136000567/image_n4nuo5gk7d2vl4kfqrktduoq3i/-S150x150-FJPG/106686-017_DET_2.jpg</t>
  </si>
  <si>
    <t>https://dd3ka9h4chfr8.cloudfront.net/image/725136000567/image_0sfck5h79t24ldunkm7tnbon7n/-FJPG/106686-017_DET_1.jpg</t>
  </si>
  <si>
    <t>https://dd3ka9h4chfr8.cloudfront.net/image/725136000567/image_6jlc6cgv512pj1rptocltf1f58/-FJPG/106686-017_DET_3.jpg</t>
  </si>
  <si>
    <t>https://dd3ka9h4chfr8.cloudfront.net/image/725136000567/image_qmo07p5n3t1jjdlilkivc6o12h/-FJPG/106686-017_DET_4.jpg</t>
  </si>
  <si>
    <t>https://dd3ka9h4chfr8.cloudfront.net/image/725136000567/image_idsi61gu6t5mb47o93cieu5s1f/-FJPG/106686-017_DET_5.jpg</t>
  </si>
  <si>
    <t>https://dd3ka9h4chfr8.cloudfront.net/image/725136000567/image_lec8r4kood28ffpgo9vocj6h1t/-FJPG/106686-017_DET_6.jpg</t>
  </si>
  <si>
    <t>https://dd3ka9h4chfr8.cloudfront.net/image/725136000567/image_bdn1rshf0h13d4b8dvglrilq59/-FJPG/106686-017_DET_7.jpg</t>
  </si>
  <si>
    <t>https://dd3ka9h4chfr8.cloudfront.net/image/725136000567/image_se46rbao8l4e1e232qmhosfn2c/-FJPG/106686-017_FRT_2.jpg</t>
  </si>
  <si>
    <t>https://dd3ka9h4chfr8.cloudfront.net/image/725136000567/image_sfurpakfuh3sv9aoh032noqd3a/-FJPG/106686-017_BCK_2.jpg</t>
  </si>
  <si>
    <t>https://dd3ka9h4chfr8.cloudfront.net/image/725136000567/image_hvaqv3mb6h18v0tjvopaoef223/-FJPG/106686-017_SID_2.jpg</t>
  </si>
  <si>
    <t>https://dd3ka9h4chfr8.cloudfront.net/image/725136000567/image_p0oe4qiuqp2ub1mcualg75ag7r/-FJPG/106686-017_PRM_2.jpg</t>
  </si>
  <si>
    <t>https://dd3ka9h4chfr8.cloudfront.net/image/725136000567/image_ic2j89seat37j2m260oh2nk67j/-S150x150-FJPG/IPRS-030QB_PRM_1.jpg</t>
  </si>
  <si>
    <t>https://dd3ka9h4chfr8.cloudfront.net/image/725136000567/image_ic2j89seat37j2m260oh2nk67j/-FJPG/IPRS-030QB_PRM_1.jpg</t>
  </si>
  <si>
    <t>https://dd3ka9h4chfr8.cloudfront.net/image/725136000567/image_1ksl15fsch7ltddn4d0lu8uk27/-FJPG/IPRS-030QB_SID_1.jpg</t>
  </si>
  <si>
    <t>https://dd3ka9h4chfr8.cloudfront.net/image/725136000567/image_ka1s0f9dqh4h3dankf1eo1524i/-FJPG/IPRS-030QB_DET_1.jpg</t>
  </si>
  <si>
    <t>https://dd3ka9h4chfr8.cloudfront.net/image/725136000567/image_15476uaic15dl78f48komgr624/-FJPG/IPRS-030QB_DET_3.jpg</t>
  </si>
  <si>
    <t>https://dd3ka9h4chfr8.cloudfront.net/image/725136000567/image_bqc0vmh4q94cf8m3hctcg8p85s/-FJPG/IPRS-030QB_DET_4.jpg</t>
  </si>
  <si>
    <t>https://dd3ka9h4chfr8.cloudfront.net/image/725136000567/image_7dlkmsqvgl2a9bf1iig4g41p53/-FJPG/IPRS-030QB_DET_5.jpg</t>
  </si>
  <si>
    <t>https://dd3ka9h4chfr8.cloudfront.net/image/725136000567/image_34d2jjt65h74t0u203lbsmek3m/-FJPG/IPRS-030QB_DET_6.jpg</t>
  </si>
  <si>
    <t>https://dd3ka9h4chfr8.cloudfront.net/image/725136000567/image_ij5rguh8a51n10usufpeqqq91i/-FJPG/IPRS-030QB_DET_7.jpg</t>
  </si>
  <si>
    <t>https://dd3ka9h4chfr8.cloudfront.net/image/725136000567/image_fucp1fddrd7bjcc2ivcj4ihn6q/-FJPG/IPRS-030QB_DET_8.jpg</t>
  </si>
  <si>
    <t>https://dd3ka9h4chfr8.cloudfront.net/image/725136000567/image_hp189ajret241903t33grl7j0d/-FJPG/IPRS-030QB_ROM_1.jpg</t>
  </si>
  <si>
    <t>https://dd3ka9h4chfr8.cloudfront.net/image/725136000567/image_7ohtcro0k171pc2i1d5fob8i64/-S150x150-FJPG/IPRS-030TB_PRM_1.jpg</t>
  </si>
  <si>
    <t>https://dd3ka9h4chfr8.cloudfront.net/image/725136000567/image_mrgi0rd4tp34vfv7ac7g0r5n3m/-FJPG/IPRS-030TB_SID_1.jpg</t>
  </si>
  <si>
    <t>https://dd3ka9h4chfr8.cloudfront.net/image/725136000567/image_kajmgk7t1168laqsoscbu2vg7l/-FJPG/IPRS-030TB_DET_2.jpg</t>
  </si>
  <si>
    <t>https://dd3ka9h4chfr8.cloudfront.net/image/725136000567/image_akfe4gprdt1n7d3hoedd1cnf0q/-FJPG/IPRS-030TB_DET_1.jpg</t>
  </si>
  <si>
    <t>https://dd3ka9h4chfr8.cloudfront.net/image/725136000567/image_p5up75uiop6tt7585i97m9e158/-FJPG/IPRS-030TB_DET_3.jpg</t>
  </si>
  <si>
    <t>https://dd3ka9h4chfr8.cloudfront.net/image/725136000567/image_t9b7hoov1t7ad6l1435chhr33o/-FJPG/IPRS-030TB_DET_4.jpg</t>
  </si>
  <si>
    <t>https://dd3ka9h4chfr8.cloudfront.net/image/725136000567/image_c7vt1hljhh1h3bnffosegtj43g/-FJPG/IPRS-030TB_DET_5.jpg</t>
  </si>
  <si>
    <t>Sydney Bed - Brown Wash</t>
  </si>
  <si>
    <t>https://dd3ka9h4chfr8.cloudfront.net/image/725136000567/image_1jtg8ant4h33fc1pvm6382r87g/-S150x150-FJPG/106686-009_PRM_1.jpg</t>
  </si>
  <si>
    <t>https://dd3ka9h4chfr8.cloudfront.net/image/725136000567/image_1jtg8ant4h33fc1pvm6382r87g/-FJPG/106686-009_PRM_1.jpg</t>
  </si>
  <si>
    <t>https://dd3ka9h4chfr8.cloudfront.net/image/725136000567/image_hfgg0ut4dh5evbb8nf0ivsuc3v/-FJPG/106686-009_SID_1.jpg</t>
  </si>
  <si>
    <t>https://dd3ka9h4chfr8.cloudfront.net/image/725136000567/image_thjl368bd10qt8sqeo36q6q87l/-FJPG/106686-009_ESS_1.jpg</t>
  </si>
  <si>
    <t>https://dd3ka9h4chfr8.cloudfront.net/image/725136000567/image_5te3oct7el00tfu07ruv3avu6k/-FJPG/106686-009_DET_2.jpg</t>
  </si>
  <si>
    <t>https://dd3ka9h4chfr8.cloudfront.net/image/725136000567/image_8bmvrt1hvt4u7abqu4h08kl70j/-FJPG/106686-009_BCK_1.jpg</t>
  </si>
  <si>
    <t>https://dd3ka9h4chfr8.cloudfront.net/image/725136000567/image_kjgiv8ismh4ptfo4lhbef1cq7g/-FJPG/106686-009_DET_1.jpg</t>
  </si>
  <si>
    <t>https://dd3ka9h4chfr8.cloudfront.net/image/725136000567/image_qgq1qe5p092dv8bqk6ot254k67/-FJPG/106686-009_DET_3.jpg</t>
  </si>
  <si>
    <t>https://dd3ka9h4chfr8.cloudfront.net/image/725136000567/image_0s96vacu9l7md55bjo3tp16b7r/-FJPG/106686-009_DET_4.jpg</t>
  </si>
  <si>
    <t>https://dd3ka9h4chfr8.cloudfront.net/image/725136000567/image_tf3ksad1ot76bd0jp4pcgu602e/-FJPG/106686-009_DET_5.jpg</t>
  </si>
  <si>
    <t>https://dd3ka9h4chfr8.cloudfront.net/image/725136000567/image_l9qpu68ipd6a509gm8bovovd0o/-FJPG/106686-009_DET_6.jpg</t>
  </si>
  <si>
    <t>https://dd3ka9h4chfr8.cloudfront.net/image/725136000567/image_pehil1o0794853r30hv2hvar78/-FJPG/106686-009_SID_2.jpg</t>
  </si>
  <si>
    <t>https://dd3ka9h4chfr8.cloudfront.net/image/725136000567/image_3f2tfpcsc56ef7bp04e0u8l17r/-FJPG/106686-009_BCK_2.jpg</t>
  </si>
  <si>
    <t>https://dd3ka9h4chfr8.cloudfront.net/image/725136000567/image_gcifcs98c117fa8cfr6ll0bf7i/-FJPG/106686-009_FRT_2.jpg</t>
  </si>
  <si>
    <t>https://dd3ka9h4chfr8.cloudfront.net/image/725136000567/image_ug391c8lud4sp64efcqtpa8g4r/-FJPG/106686-009_PRM_2.jpg</t>
  </si>
  <si>
    <t>Sylvie Sideboard - Brushed Dark Brown</t>
  </si>
  <si>
    <t>https://dd3ka9h4chfr8.cloudfront.net/image/725136000567/image_o6r9or8rf10837lt8pjs8d5r53/-S150x150-FJPG/238008-001_PRM_1.jpg</t>
  </si>
  <si>
    <t>https://dd3ka9h4chfr8.cloudfront.net/image/725136000567/image_o6r9or8rf10837lt8pjs8d5r53/-FJPG/238008-001_PRM_1.jpg</t>
  </si>
  <si>
    <t>https://dd3ka9h4chfr8.cloudfront.net/image/725136000567/image_pui6h4c1sd1df89id7djdssr6a/-FJPG/238008-001_SID_1.jpg</t>
  </si>
  <si>
    <t>https://dd3ka9h4chfr8.cloudfront.net/image/725136000567/image_5roaqhc1at2i35pna2aip0701b/-FJPG/238008-001_ESS_1.tif</t>
  </si>
  <si>
    <t>https://dd3ka9h4chfr8.cloudfront.net/image/725136000567/image_tq9r5fd15p3i1dtfa2nvg0q32c/-FJPG/238008-001_DET_2.jpg</t>
  </si>
  <si>
    <t>https://dd3ka9h4chfr8.cloudfront.net/image/725136000567/image_5fkkndh6410c39tkqesql4v917/-FJPG/238008-001_BCK_1.jpg</t>
  </si>
  <si>
    <t>https://dd3ka9h4chfr8.cloudfront.net/image/725136000567/image_tp96q1d21h0df84n99pi8bhg6k/-FJPG/238008-001_DET_1.jpg</t>
  </si>
  <si>
    <t>https://dd3ka9h4chfr8.cloudfront.net/image/725136000567/image_6isb44qa296o54bkhq5g10gv4g/-FJPG/238008-001_DET_3.jpg</t>
  </si>
  <si>
    <t>https://dd3ka9h4chfr8.cloudfront.net/image/725136000567/image_bid475m2jh7djaqvp9nf8hhh57/-FJPG/238008-001_OPN_1.jpg</t>
  </si>
  <si>
    <t>https://dd3ka9h4chfr8.cloudfront.net/image/725136000567/image_k6pditlu4l52f74jp6bgjdpt7i/-FJPG/238008-001_TOP_1.jpg</t>
  </si>
  <si>
    <t>https://dd3ka9h4chfr8.cloudfront.net/image/725136000567/image_5fgs22ansp7bj665a8fmqu5h55/-FJPG/238008-001_DET_4.jpg</t>
  </si>
  <si>
    <t>https://dd3ka9h4chfr8.cloudfront.net/image/725136000567/image_slolumll8140beklpsno7o466e/-FJPG/238008-001_DET_5.jpg</t>
  </si>
  <si>
    <t>https://dd3ka9h4chfr8.cloudfront.net/image/725136000567/image_jdsm803d8p3n9du7gl0qj72l5c/-FJPG/238008-001_DET_6.jpg</t>
  </si>
  <si>
    <t>https://dd3ka9h4chfr8.cloudfront.net/image/725136000567/image_rv45egr95t6chdki30km8tb568/-FJPG/238008-001_DET_7.jpg</t>
  </si>
  <si>
    <t>https://dd3ka9h4chfr8.cloudfront.net/image/725136000567/image_ra4emq0k1l37j8remtkj033m7t/-FJPG/238008-001_DET_8.jpg</t>
  </si>
  <si>
    <t>https://dd3ka9h4chfr8.cloudfront.net/image/725136000567/image_mfm492dbhp4rr0dagj6dmk070k/-FJPG/238008-001_DET_9.jpg</t>
  </si>
  <si>
    <t>https://dd3ka9h4chfr8.cloudfront.net/image/725136000567/image_rntsrujfm912d1skq4l74umu3g/-FJPG/238008-001_DET_9.tif</t>
  </si>
  <si>
    <t>https://dd3ka9h4chfr8.cloudfront.net/image/725136000567/image_fl03g77ild2413dh765eliil26/-FJPG/238008-001_DET_10.tif</t>
  </si>
  <si>
    <t>Tamara Media Console - Worn Oak Veneer</t>
  </si>
  <si>
    <t>https://dd3ka9h4chfr8.cloudfront.net/image/725136000567/image_v6oucghhpt2075j4vcpgndan1j/-S150x150-FJPG/243664-001_PRM_1.jpg</t>
  </si>
  <si>
    <t>https://dd3ka9h4chfr8.cloudfront.net/image/725136000567/image_v6oucghhpt2075j4vcpgndan1j/-FJPG/243664-001_PRM_1.jpg</t>
  </si>
  <si>
    <t>https://dd3ka9h4chfr8.cloudfront.net/image/725136000567/image_43a5pelkbl6nl94dgtd8djnr2m/-FJPG/243664-001_SID_1.jpg</t>
  </si>
  <si>
    <t>https://dd3ka9h4chfr8.cloudfront.net/image/725136000567/image_v0ea84is652mb1ah28nmt06443/-FJPG/243664-001_ESS.tif</t>
  </si>
  <si>
    <t>https://dd3ka9h4chfr8.cloudfront.net/image/725136000567/image_2o689v3sj94q52mtea3emrb94t/-FJPG/243664-001_DET_2.jpg</t>
  </si>
  <si>
    <t>https://dd3ka9h4chfr8.cloudfront.net/image/725136000567/image_mje4lr4hu93o7658u4tilsvv1i/-FJPG/243664-001_BCK_1.jpg</t>
  </si>
  <si>
    <t>https://dd3ka9h4chfr8.cloudfront.net/image/725136000567/image_d33acdvr1h6v79j0n7to0upi75/-FJPG/243664-001_DET_1.jpg</t>
  </si>
  <si>
    <t>https://dd3ka9h4chfr8.cloudfront.net/image/725136000567/image_1niorflsm547d01bb5ku1a4u33/-FJPG/243664-001_DET_3.jpg</t>
  </si>
  <si>
    <t>https://dd3ka9h4chfr8.cloudfront.net/image/725136000567/image_9evhahb5g56l51ba8eno64gq2b/-FJPG/243664-001_OPN_1.jpg</t>
  </si>
  <si>
    <t>https://dd3ka9h4chfr8.cloudfront.net/image/725136000567/image_bt2kfbcsi5725287fium3o7d6u/-FJPG/243664-001_DET_4.jpg</t>
  </si>
  <si>
    <t>https://dd3ka9h4chfr8.cloudfront.net/image/725136000567/image_fkm21jfuel1fv78j4qf153bv64/-FJPG/243664-001_DET_5.jpg</t>
  </si>
  <si>
    <t>https://dd3ka9h4chfr8.cloudfront.net/image/725136000567/image_jfihkuggf10r1c81ogop34ca5e/-FJPG/243664-001_DET_6.jpg</t>
  </si>
  <si>
    <t>https://dd3ka9h4chfr8.cloudfront.net/image/725136000567/image_9shp43v5ll0cr7t3biv1m2sv7n/-FJPG/243664-001_DET_7.jpg</t>
  </si>
  <si>
    <t>https://dd3ka9h4chfr8.cloudfront.net/image/725136000567/image_mjlo3il8rh33d2lv6ap4naiq31/-FJPG/243664-001_DET_8.jpg</t>
  </si>
  <si>
    <t>https://dd3ka9h4chfr8.cloudfront.net/image/725136000567/image_9rofvu862h6fr9k913sjhr4m23/-FJPG/243664-001_DET_9.jpg</t>
  </si>
  <si>
    <t>https://dd3ka9h4chfr8.cloudfront.net/image/725136000567/image_gfleo4f11l3u95hfpi6vta471u/-FJPG/243664-001_DET_9.tif</t>
  </si>
  <si>
    <t>https://dd3ka9h4chfr8.cloudfront.net/image/725136000567/image_4anqd2js2h209bgm50nh5ii63u/-FJPG/243664-001_OPN_2.jpg</t>
  </si>
  <si>
    <t>Tamara Small Cabinet - Worn Oak Veneer</t>
  </si>
  <si>
    <t>https://dd3ka9h4chfr8.cloudfront.net/image/725136000567/image_58au6ogvh50en1pt07ioammk4s/-S150x150-FJPG/246512-001_PRM_1.jpg</t>
  </si>
  <si>
    <t>https://dd3ka9h4chfr8.cloudfront.net/image/725136000567/image_58au6ogvh50en1pt07ioammk4s/-FJPG/246512-001_PRM_1.jpg</t>
  </si>
  <si>
    <t>https://dd3ka9h4chfr8.cloudfront.net/image/725136000567/image_fj3utfirs941187ac55fuitt2n/-FJPG/246512-001_SID_1.jpg</t>
  </si>
  <si>
    <t>https://dd3ka9h4chfr8.cloudfront.net/image/725136000567/image_3qhavr32np7jb2sujpmgj0l237/-FJPG/246512-001_ESS.tif</t>
  </si>
  <si>
    <t>https://dd3ka9h4chfr8.cloudfront.net/image/725136000567/image_mj3i2j16dh3av9dr50493qre29/-FJPG/246512-001_DET_2.jpg</t>
  </si>
  <si>
    <t>https://dd3ka9h4chfr8.cloudfront.net/image/725136000567/image_497t762g99225d5pll8ahcvo2f/-FJPG/246512-001_BCK_1.jpg</t>
  </si>
  <si>
    <t>https://dd3ka9h4chfr8.cloudfront.net/image/725136000567/image_jpa1fn6jv13uvf3pp1cfhnh71r/-FJPG/246512-001_DET_1.jpg</t>
  </si>
  <si>
    <t>https://dd3ka9h4chfr8.cloudfront.net/image/725136000567/image_u9264fm8693gv0ch0ds7rj9o23/-FJPG/246512-001_DET_3.jpg</t>
  </si>
  <si>
    <t>https://dd3ka9h4chfr8.cloudfront.net/image/725136000567/image_4ie5mj2s3t0rr7rpk3hum8090q/-FJPG/246512-001_OPN_1.jpg</t>
  </si>
  <si>
    <t>https://dd3ka9h4chfr8.cloudfront.net/image/725136000567/image_ga40pa9dg57i7cfn53gnsgqv4h/-FJPG/246512-001_DET_4.jpg</t>
  </si>
  <si>
    <t>https://dd3ka9h4chfr8.cloudfront.net/image/725136000567/image_a1plq3103124hc6gmnh9po9v6a/-FJPG/246512-001_DET_5.jpg</t>
  </si>
  <si>
    <t>https://dd3ka9h4chfr8.cloudfront.net/image/725136000567/image_t5ivfejudh1s12c569r4ru370j/-FJPG/246512-001_DET_6.jpg</t>
  </si>
  <si>
    <t>https://dd3ka9h4chfr8.cloudfront.net/image/725136000567/image_m9t6uf7k056n96ucdm63a2li6a/-FJPG/246512-001_DET_7.jpg</t>
  </si>
  <si>
    <t>https://dd3ka9h4chfr8.cloudfront.net/image/725136000567/image_oidgreq86t50h7sq78vnjr8m0i/-FJPG/246512-001_DET_8.jpg</t>
  </si>
  <si>
    <t>https://dd3ka9h4chfr8.cloudfront.net/image/725136000567/image_v2s5qjp5bd1j7cepdjnu7u4632/-FJPG/246512-001_DET_9.tif</t>
  </si>
  <si>
    <t>https://dd3ka9h4chfr8.cloudfront.net/image/725136000567/image_kq34irtsv52d7aeksns951v91n/-FJPG/246512-001_OPN_2.jpg</t>
  </si>
  <si>
    <t>Taryn Chair - Chaps Saddle</t>
  </si>
  <si>
    <t>https://dd3ka9h4chfr8.cloudfront.net/image/725136000567/image_h66soh742t3g14ctc0btr93m4b/-S150x150-FJPG/106096-008_PRM_1.jpg</t>
  </si>
  <si>
    <t>https://dd3ka9h4chfr8.cloudfront.net/image/725136000567/image_h66soh742t3g14ctc0btr93m4b/-FJPG/106096-008_PRM_1.jpg</t>
  </si>
  <si>
    <t>https://dd3ka9h4chfr8.cloudfront.net/image/725136000567/image_ondeh35hip4cpfq4vi769om31j/-FJPG/106096-008_SID_1.jpg</t>
  </si>
  <si>
    <t>https://dd3ka9h4chfr8.cloudfront.net/image/725136000567/image_b1gfd65qtt4ejasvugioep4o7q/-FJPG/106096-008_DET_2.jpg</t>
  </si>
  <si>
    <t>https://dd3ka9h4chfr8.cloudfront.net/image/725136000567/image_c6ucrl1p753497ditd4vbgnr6r/-FJPG/106096-008_BCK_1.jpg</t>
  </si>
  <si>
    <t>https://dd3ka9h4chfr8.cloudfront.net/image/725136000567/image_22mfj44se16kj58dlvd04tio38/-FJPG/106096-008_DET_1.jpg</t>
  </si>
  <si>
    <t>https://dd3ka9h4chfr8.cloudfront.net/image/725136000567/image_na9prvtrol2tletnhbubi23862/-FJPG/106096-008_DET_3.jpg</t>
  </si>
  <si>
    <t>https://dd3ka9h4chfr8.cloudfront.net/image/725136000567/image_qs7l5eeah15lj98tnl17f6tn58/-FJPG/106096-008_DET_4.jpg</t>
  </si>
  <si>
    <t>https://dd3ka9h4chfr8.cloudfront.net/image/725136000567/image_ldqr4m6pg97nv40ovab6vavp20/-FJPG/106096-008_DET_5.jpg</t>
  </si>
  <si>
    <t>https://dd3ka9h4chfr8.cloudfront.net/image/725136000567/image_gairgmea991ln8cmng7ldb8o0i/-FJPG/106096-008_DET_6.jpg</t>
  </si>
  <si>
    <t>https://dd3ka9h4chfr8.cloudfront.net/image/725136000567/image_4rnf9r9ush3gv0v69j3vhtg97m/-FJPG/106096-008_ROM_1.jpg</t>
  </si>
  <si>
    <t>Taryn Chair - Palermo Drift</t>
  </si>
  <si>
    <t>https://dd3ka9h4chfr8.cloudfront.net/image/725136000567/image_0ompvc12et7e502smbvrv8qj3v/-S150x150-FJPG/106096-007_PRM_1.jpg</t>
  </si>
  <si>
    <t>https://dd3ka9h4chfr8.cloudfront.net/image/725136000567/image_0ompvc12et7e502smbvrv8qj3v/-FJPG/106096-007_PRM_1.jpg</t>
  </si>
  <si>
    <t>https://dd3ka9h4chfr8.cloudfront.net/image/725136000567/image_cd50q22f5l2jldgjsdb33de91t/-FJPG/106096-007_SID_1.jpg</t>
  </si>
  <si>
    <t>https://dd3ka9h4chfr8.cloudfront.net/image/725136000567/image_89neeed53p0dtfb2p7jh1crf3l/-FJPG/106096-007_ESS_1.jpg</t>
  </si>
  <si>
    <t>https://dd3ka9h4chfr8.cloudfront.net/image/725136000567/image_agug2fklkd1p74s0l7eb8tbf0e/-FJPG/106096-007_DET_2.jpg</t>
  </si>
  <si>
    <t>https://dd3ka9h4chfr8.cloudfront.net/image/725136000567/image_ok4a65sfvt3r927bdoej7tbi5l/-FJPG/106096-007_BCK_1.jpg</t>
  </si>
  <si>
    <t>https://dd3ka9h4chfr8.cloudfront.net/image/725136000567/image_qe8ermh62p3i9fq5csb5spge5v/-FJPG/106096-007_DET_1.jpg</t>
  </si>
  <si>
    <t>https://dd3ka9h4chfr8.cloudfront.net/image/725136000567/image_ensvf7gbu15kh57gu39cb4cs2n/-FJPG/106096-007_DET_3.jpg</t>
  </si>
  <si>
    <t>https://dd3ka9h4chfr8.cloudfront.net/image/725136000567/image_n3ufo5pppp1ad1tmoaar7e7h4k/-FJPG/106096-007_DET_4.jpg</t>
  </si>
  <si>
    <t>https://dd3ka9h4chfr8.cloudfront.net/image/725136000567/image_ou7p3eihf91711kpd0vud8dh6c/-FJPG/106096-007_DET_5.jpg</t>
  </si>
  <si>
    <t>https://dd3ka9h4chfr8.cloudfront.net/image/725136000567/image_66vb6k12pt5hd0ghc8mrkr0n79/-FJPG/106096-007_DET_6.jpg</t>
  </si>
  <si>
    <t>https://dd3ka9h4chfr8.cloudfront.net/image/725136000567/image_jvclsjfcnl6nbekdds9qhr8128/-FJPG/106096-007_DET_7.jpg</t>
  </si>
  <si>
    <t>https://dd3ka9h4chfr8.cloudfront.net/image/725136000567/image_pba5rhtoid6815qgi935lp2r7k/-FJPG/106096-007_VIG_1.jpg</t>
  </si>
  <si>
    <t>https://dd3ka9h4chfr8.cloudfront.net/image/725136000567/image_qdhgslenp91132baklt34pcn6r/-FJPG/106096-007_VIG_2.jpg</t>
  </si>
  <si>
    <t>Taryn Chair - Sonoma Black</t>
  </si>
  <si>
    <t>https://dd3ka9h4chfr8.cloudfront.net/image/725136000567/image_g61pchptn52tlcqd27tr0sbs6m/-S150x150-FJPG/106096-009_PRM_1.jpg</t>
  </si>
  <si>
    <t>https://dd3ka9h4chfr8.cloudfront.net/image/725136000567/image_g61pchptn52tlcqd27tr0sbs6m/-FJPG/106096-009_PRM_1.jpg</t>
  </si>
  <si>
    <t>https://dd3ka9h4chfr8.cloudfront.net/image/725136000567/image_4s308raiql4od4to3pt8sj7j08/-FJPG/106096-009_SID_1.jpg</t>
  </si>
  <si>
    <t>https://dd3ka9h4chfr8.cloudfront.net/image/725136000567/image_oh4jqf019t31teqgd74u5rpf52/-FJPG/106096-009_DET_2.jpg</t>
  </si>
  <si>
    <t>https://dd3ka9h4chfr8.cloudfront.net/image/725136000567/image_p4moq5jfd11qr2uj84qc4v9o6f/-FJPG/106096-009_BCK_1.jpg</t>
  </si>
  <si>
    <t>https://dd3ka9h4chfr8.cloudfront.net/image/725136000567/image_skav1o6lq97fp464e2bfd54j02/-FJPG/106096-009_DET_1.jpg</t>
  </si>
  <si>
    <t>https://dd3ka9h4chfr8.cloudfront.net/image/725136000567/image_tfdbupf6m95ktb66klm7me780p/-FJPG/106096-009_DET_3.jpg</t>
  </si>
  <si>
    <t>https://dd3ka9h4chfr8.cloudfront.net/image/725136000567/image_e1vavv1as954de8g52oc1gpb3s/-FJPG/106096-009_GRP_1.jpg</t>
  </si>
  <si>
    <t>https://dd3ka9h4chfr8.cloudfront.net/image/725136000567/image_bu2aosgu2p7799hb3k1fm6a06p/-FJPG/106096-009_DET_4.jpg</t>
  </si>
  <si>
    <t>https://dd3ka9h4chfr8.cloudfront.net/image/725136000567/image_5guavr0qch7mf2rplh9odrm70l/-FJPG/106096-009_DET_5.jpg</t>
  </si>
  <si>
    <t>https://dd3ka9h4chfr8.cloudfront.net/image/725136000567/image_ii98r3b5n10jh9606a9vrvqi1q/-FJPG/106096-009_DET_6.jpg</t>
  </si>
  <si>
    <t>https://dd3ka9h4chfr8.cloudfront.net/image/725136000567/image_hutdtqkmvd6m32jts04c6ea54o/-FJPG/106096-009_ROM_1.jpg</t>
  </si>
  <si>
    <t>Teak Square Stool - Aged Natural Teak</t>
  </si>
  <si>
    <t>https://dd3ka9h4chfr8.cloudfront.net/image/725136000567/image_lm7tingpjt5j907pn8fq3fn705/-S150x150-FJPG/227026-003_PRM_1.jpg</t>
  </si>
  <si>
    <t>https://dd3ka9h4chfr8.cloudfront.net/image/725136000567/image_lm7tingpjt5j907pn8fq3fn705/-FJPG/227026-003_PRM_1.jpg</t>
  </si>
  <si>
    <t>https://dd3ka9h4chfr8.cloudfront.net/image/725136000567/image_6fgkd04ih97uja9vhtcp8v471d/-FJPG/227026-003_SID_1.jpg</t>
  </si>
  <si>
    <t>https://dd3ka9h4chfr8.cloudfront.net/image/725136000567/image_hqolrg372p6nj4p2gr30dfq15a/-FJPG/227026-003_DET_2.jpg</t>
  </si>
  <si>
    <t>https://dd3ka9h4chfr8.cloudfront.net/image/725136000567/image_t58thj48251v34dvqhc6b5c86i/-FJPG/227026-003_BCK_1.jpg</t>
  </si>
  <si>
    <t>https://dd3ka9h4chfr8.cloudfront.net/image/725136000567/image_vnk6hf0i9d3tld9ghaqfnvtr5l/-FJPG/227026-003_DET_1.jpg</t>
  </si>
  <si>
    <t>https://dd3ka9h4chfr8.cloudfront.net/image/725136000567/image_0on5jkb67p59j1qkjvmbc2f23b/-FJPG/227026-003_DET_3.jpg</t>
  </si>
  <si>
    <t>https://dd3ka9h4chfr8.cloudfront.net/image/725136000567/image_l3ds5lntm54918t1i6d9aehr49/-FJPG/227026-003_DET_4.jpg</t>
  </si>
  <si>
    <t>https://dd3ka9h4chfr8.cloudfront.net/image/725136000567/image_1mta5kupfh0pt6kn3ifjvj367i/-FJPG/227026-003_DET_5.jpg</t>
  </si>
  <si>
    <t>https://dd3ka9h4chfr8.cloudfront.net/image/725136000567/image_e35l9fulnl4otffolp2jphcp5p/-FJPG/227026-003_DET_6.jpg</t>
  </si>
  <si>
    <t>https://dd3ka9h4chfr8.cloudfront.net/image/725136000567/image_jjh7778nht5ida5a2vc7u95l34/-FJPG/227026-003_PRM_VAR-6.jpg</t>
  </si>
  <si>
    <t>https://dd3ka9h4chfr8.cloudfront.net/image/725136000567/image_apb9l4b5sh7v5d9v2vgg9ppu0l/-FJPG/227026-003_PRM_VAR-5.jpg</t>
  </si>
  <si>
    <t>https://dd3ka9h4chfr8.cloudfront.net/image/725136000567/image_ppqm1b9f6d51903tq0s78g7s6f/-FJPG/227026-003_PRM_VAR-2.jpg</t>
  </si>
  <si>
    <t>https://dd3ka9h4chfr8.cloudfront.net/image/725136000567/image_edrd60jp852u71pfq7gd8vg75u/-FJPG/227026-003_PRM_VAR-3.jpg</t>
  </si>
  <si>
    <t>https://dd3ka9h4chfr8.cloudfront.net/image/725136000567/image_7tv3i66aj566t567qjgkd02b1f/-FJPG/227026-003_PRM_VAR-1.jpg</t>
  </si>
  <si>
    <t>https://dd3ka9h4chfr8.cloudfront.net/image/725136000567/image_h9d27vi3c12ntb5hkjt7qf1l40/-FJPG/227026-003_PRM_VAR-7.jpg</t>
  </si>
  <si>
    <t>https://dd3ka9h4chfr8.cloudfront.net/image/725136000567/image_pii7cabj0l3437odf80mjdeu5u/-FJPG/227026-003_TOP_VAR-2.jpg</t>
  </si>
  <si>
    <t>https://dd3ka9h4chfr8.cloudfront.net/image/725136000567/image_7tlcgnta4t33hftlk25b5l9p3n/-FJPG/227026-003_TOP_VAR-4.jpg</t>
  </si>
  <si>
    <t>https://dd3ka9h4chfr8.cloudfront.net/image/725136000567/image_htnofr1brh3tn39fjkfhh9la56/-FJPG/227026-003_TOP_VAR-3.jpg</t>
  </si>
  <si>
    <t>https://dd3ka9h4chfr8.cloudfront.net/image/725136000567/image_7j72ajulrl4n144verpvb7006o/-FJPG/227026-003_PRM_VAR-8.jpg</t>
  </si>
  <si>
    <t>https://dd3ka9h4chfr8.cloudfront.net/image/725136000567/image_2ksaerjdvh1c3b0ep2hfo40861/-FJPG/227026-003_PRM_VAR-4.jpg</t>
  </si>
  <si>
    <t>https://dd3ka9h4chfr8.cloudfront.net/image/725136000567/image_9glegus1gd79rdbiqhnmggov63/-FJPG/227026-003_TOP_VAR-1.jpg</t>
  </si>
  <si>
    <t>The 1500 Kilometer Dining Table - Aged Brown Veneer</t>
  </si>
  <si>
    <t>https://dd3ka9h4chfr8.cloudfront.net/image/725136000567/image_cao2m4rfg144jbtk1s82p62d0g/-S150x150-FJPG/237659-002_PRM_1.jpg</t>
  </si>
  <si>
    <t>https://dd3ka9h4chfr8.cloudfront.net/image/725136000567/image_cao2m4rfg144jbtk1s82p62d0g/-FJPG/237659-002_PRM_1.jpg</t>
  </si>
  <si>
    <t>https://dd3ka9h4chfr8.cloudfront.net/image/725136000567/image_6e85tvkbgt2b11b7cjv9kvj93m/-FJPG/237659-002_SID_1.jpg</t>
  </si>
  <si>
    <t>https://dd3ka9h4chfr8.cloudfront.net/image/725136000567/image_5tbav0im2t4ph9n6ha9aknh46f/-FJPG/237659-002_ESS_1.tif</t>
  </si>
  <si>
    <t>https://dd3ka9h4chfr8.cloudfront.net/image/725136000567/image_r3gj3i02p96031prbecg7crk1k/-FJPG/237659-002_DET_2.jpg</t>
  </si>
  <si>
    <t>https://dd3ka9h4chfr8.cloudfront.net/image/725136000567/image_ncf61mbo4d0o599up87v3p8r0o/-FJPG/237659-002_DET_1.jpg</t>
  </si>
  <si>
    <t>https://dd3ka9h4chfr8.cloudfront.net/image/725136000567/image_iker2hjp9d3716ibije7hv2s0t/-FJPG/237659-002_DET_3.jpg</t>
  </si>
  <si>
    <t>https://dd3ka9h4chfr8.cloudfront.net/image/725136000567/image_t49ppp9mvd5838rvvonk4uma48/-FJPG/237659-002_TOP_1.jpg</t>
  </si>
  <si>
    <t>https://dd3ka9h4chfr8.cloudfront.net/image/725136000567/image_llsq06fotd7nt6g929hof7rp4u/-FJPG/237659-002_DET_4.jpg</t>
  </si>
  <si>
    <t>https://dd3ka9h4chfr8.cloudfront.net/image/725136000567/image_gv5j1kj00p3tt6481tjtnfeo4n/-FJPG/237659-002_DET_5.jpg</t>
  </si>
  <si>
    <t>https://dd3ka9h4chfr8.cloudfront.net/image/725136000567/image_q5dkch4rhd4ede14dlico5o30u/-FJPG/237659-002_ESS_2.tif</t>
  </si>
  <si>
    <t>The Pimms Table - Aged Brown Veneer</t>
  </si>
  <si>
    <t>https://dd3ka9h4chfr8.cloudfront.net/image/725136000567/image_rcrhvfs4e91bd2qiukf2m1sg29/-S150x150-FJPG/238732-001_PRM_1.jpg</t>
  </si>
  <si>
    <t>https://dd3ka9h4chfr8.cloudfront.net/image/725136000567/image_rcrhvfs4e91bd2qiukf2m1sg29/-FJPG/238732-001_PRM_1.jpg</t>
  </si>
  <si>
    <t>https://dd3ka9h4chfr8.cloudfront.net/image/725136000567/image_akbr27h9ft1e3511qfmpogdv27/-FJPG/238732-001_SID_1.jpg</t>
  </si>
  <si>
    <t>https://dd3ka9h4chfr8.cloudfront.net/image/725136000567/image_km96gt161p1ib5iuavvqqnf65p/-FJPG/238732-001_ESS_1.jpg</t>
  </si>
  <si>
    <t>https://dd3ka9h4chfr8.cloudfront.net/image/725136000567/image_sp3ntd517l4eh6q4qmrfkav356/-FJPG/238732-001_ESS_1.tif</t>
  </si>
  <si>
    <t>https://dd3ka9h4chfr8.cloudfront.net/image/725136000567/image_amtdhp24f94qv1q0u7a34d7n19/-FJPG/238732-001_DET_2.jpg</t>
  </si>
  <si>
    <t>https://dd3ka9h4chfr8.cloudfront.net/image/725136000567/image_s783qsl75p1cl3b15nmj2v4a71/-FJPG/238732-001_BCK_1..jpg</t>
  </si>
  <si>
    <t>https://dd3ka9h4chfr8.cloudfront.net/image/725136000567/image_96mcagsphd1ldaucs6m31tc209/-FJPG/238732-001_BCK_1.jpg</t>
  </si>
  <si>
    <t>https://dd3ka9h4chfr8.cloudfront.net/image/725136000567/image_54gvrs0aoh3q55agnf037lmr11/-FJPG/238732-001_DET_1.jpg</t>
  </si>
  <si>
    <t>https://dd3ka9h4chfr8.cloudfront.net/image/725136000567/image_3aclbc4f5d3sl7hjdn7ccbsh1b/-FJPG/238732-001_DET_3.jpg</t>
  </si>
  <si>
    <t>https://dd3ka9h4chfr8.cloudfront.net/image/725136000567/image_81gt2tf72575n6fv8b3j5p276a/-FJPG/238732-001_TOP_1.jpg</t>
  </si>
  <si>
    <t>https://dd3ka9h4chfr8.cloudfront.net/image/725136000567/image_d48mq287ih6mj6r5tnri0ne93a/-FJPG/238732-001_DET_4.jpg</t>
  </si>
  <si>
    <t>https://dd3ka9h4chfr8.cloudfront.net/image/725136000567/image_krhpiq125h6p13sv9u15i56u5g/-FJPG/238732-001_DET_5.jpg</t>
  </si>
  <si>
    <t>Theodore Bookcase - Rustic Amber Oak Veneer</t>
  </si>
  <si>
    <t>https://dd3ka9h4chfr8.cloudfront.net/image/725136000567/image_5u6j0unoa94rjal74lqp045e5a/-S150x150-FJPG/245273-001_PRM_1.jpg</t>
  </si>
  <si>
    <t>https://dd3ka9h4chfr8.cloudfront.net/image/725136000567/image_5u6j0unoa94rjal74lqp045e5a/-FJPG/245273-001_PRM_1.jpg</t>
  </si>
  <si>
    <t>https://dd3ka9h4chfr8.cloudfront.net/image/725136000567/image_q6tm6i5kcd503d89kpi2kgrj0s/-FJPG/245273-001_SID_1.jpg</t>
  </si>
  <si>
    <t>https://dd3ka9h4chfr8.cloudfront.net/image/725136000567/image_u5h0d21ts57vba2ktf7sisu17a/-FJPG/245273-001_ESS.tif</t>
  </si>
  <si>
    <t>https://dd3ka9h4chfr8.cloudfront.net/image/725136000567/image_otgpafv9vh74f97t2vqgt97e2d/-FJPG/245273-001_DET_2.jpg</t>
  </si>
  <si>
    <t>https://dd3ka9h4chfr8.cloudfront.net/image/725136000567/image_8u4kfatsit7ot3tbcokq9och0i/-FJPG/245273-001_DET_1.jpg</t>
  </si>
  <si>
    <t>https://dd3ka9h4chfr8.cloudfront.net/image/725136000567/image_n2e2a5rrvt31n7f0qbfa651u57/-FJPG/245273-001_DET_3.jpg</t>
  </si>
  <si>
    <t>https://dd3ka9h4chfr8.cloudfront.net/image/725136000567/image_d5k9atpdhl3tf25tcn9h4erk5l/-FJPG/245273-001_DET_4.jpg</t>
  </si>
  <si>
    <t>https://dd3ka9h4chfr8.cloudfront.net/image/725136000567/image_4e2mt8evel7t5725pc54bfrp0q/-FJPG/245273-001_DET_5.jpg</t>
  </si>
  <si>
    <t>https://dd3ka9h4chfr8.cloudfront.net/image/725136000567/image_9p4gn2adol2gv3p5olanacf233/-FJPG/245273-001_DET_9.tif</t>
  </si>
  <si>
    <t>https://dd3ka9h4chfr8.cloudfront.net/image/725136000567/image_88013kjlnt6rrc987ts9t1bk5m/-FJPG/245273-001_DET_10.tif</t>
  </si>
  <si>
    <t>Theodore Media Console - Rustic Amber Oak Veneer</t>
  </si>
  <si>
    <t>https://dd3ka9h4chfr8.cloudfront.net/image/725136000567/image_os6gojdp3165d1ohav3scs990n/-S150x150-FJPG/246795-001_PRM_1.jpg</t>
  </si>
  <si>
    <t>https://dd3ka9h4chfr8.cloudfront.net/image/725136000567/image_os6gojdp3165d1ohav3scs990n/-FJPG/246795-001_PRM_1.jpg</t>
  </si>
  <si>
    <t>https://dd3ka9h4chfr8.cloudfront.net/image/725136000567/image_e0uk9pe3g556v04cp218eac60p/-FJPG/246795-001_SID_1.jpg</t>
  </si>
  <si>
    <t>https://dd3ka9h4chfr8.cloudfront.net/image/725136000567/image_btdg06b1th76942t8hb0nqdm73/-FJPG/246795-001_ESS.tif</t>
  </si>
  <si>
    <t>https://dd3ka9h4chfr8.cloudfront.net/image/725136000567/image_ki6sciou8t3jb647eptq3a6v7n/-FJPG/246795-001_DET_2.jpg</t>
  </si>
  <si>
    <t>https://dd3ka9h4chfr8.cloudfront.net/image/725136000567/image_07sbt0l6dh1i9emq1r8aa7i06t/-FJPG/246795-001_DET_1.jpg</t>
  </si>
  <si>
    <t>https://dd3ka9h4chfr8.cloudfront.net/image/725136000567/image_f7bci15ald4pt5qgff7dba741d/-FJPG/246795-001_DET_3.jpg</t>
  </si>
  <si>
    <t>https://dd3ka9h4chfr8.cloudfront.net/image/725136000567/image_5u2el2c97t3mtd6eccpg4fi673/-FJPG/246795-001_TOP_1.jpg</t>
  </si>
  <si>
    <t>https://dd3ka9h4chfr8.cloudfront.net/image/725136000567/image_pdrg5gi93d75pch0a1gv2vjg7n/-FJPG/246795-001_DET_4.jpg</t>
  </si>
  <si>
    <t>https://dd3ka9h4chfr8.cloudfront.net/image/725136000567/image_o87bpe49uh1sjbpfs2ngqog03v/-FJPG/246795-001_DET_5.jpg</t>
  </si>
  <si>
    <t>https://dd3ka9h4chfr8.cloudfront.net/image/725136000567/image_ea8cs25vbh5dl4h2gu4g9oh54r/-FJPG/246795-001_DET_9.tif</t>
  </si>
  <si>
    <t>Thurston Sofa - Dakota Warm Taupe</t>
  </si>
  <si>
    <t>https://dd3ka9h4chfr8.cloudfront.net/image/725136000567/image_ci6ljq62qd693fkpbv3df7e97d/-S150x150-FJPG/236997-002_PRM_1.jpg</t>
  </si>
  <si>
    <t>https://dd3ka9h4chfr8.cloudfront.net/image/725136000567/image_ci6ljq62qd693fkpbv3df7e97d/-FJPG/236997-002_PRM_1.jpg</t>
  </si>
  <si>
    <t>https://dd3ka9h4chfr8.cloudfront.net/image/725136000567/image_aj3f3rrnfh3bdahbaj3s5n6f0b/-FJPG/236997-002_SID_1.jpg</t>
  </si>
  <si>
    <t>https://dd3ka9h4chfr8.cloudfront.net/image/725136000567/image_g1t1mka4ih3th7ei7c1k4hmc2n/-FJPG/236997-002_ESS_1.tif</t>
  </si>
  <si>
    <t>https://dd3ka9h4chfr8.cloudfront.net/image/725136000567/image_qlocd0e05t2h3a5q0klufhvf2k/-FJPG/236997-002_DET_2.jpg</t>
  </si>
  <si>
    <t>https://dd3ka9h4chfr8.cloudfront.net/image/725136000567/image_52bnmnbdi51l17ra2brb395t24/-FJPG/236997-002_BCK_1.jpg</t>
  </si>
  <si>
    <t>https://dd3ka9h4chfr8.cloudfront.net/image/725136000567/image_2o68c98qtl5ll1mf600tq02o2t/-FJPG/236997-002_DET_1.jpg</t>
  </si>
  <si>
    <t>https://dd3ka9h4chfr8.cloudfront.net/image/725136000567/image_qc0s3ti1il3cfehodn0uer4l4q/-FJPG/236997-002_DET_3.jpg</t>
  </si>
  <si>
    <t>https://dd3ka9h4chfr8.cloudfront.net/image/725136000567/image_0h0ccuk8953gbabrssecp9sg4c/-FJPG/236997-002_DET_4.jpg</t>
  </si>
  <si>
    <t>https://dd3ka9h4chfr8.cloudfront.net/image/725136000567/image_ih0dvp6ar171l085uvjdjgiq4k/-FJPG/236997-002_DET_5.jpg</t>
  </si>
  <si>
    <t>https://dd3ka9h4chfr8.cloudfront.net/image/725136000567/image_6bj2dth4d916l0b6ujuj927q7g/-FJPG/236997-002_DET_6.jpg</t>
  </si>
  <si>
    <t>https://dd3ka9h4chfr8.cloudfront.net/image/725136000567/image_qlv72s9im11h57cnd3em64ea7f/-FJPG/236997-002_ESS_9.tif</t>
  </si>
  <si>
    <t>Tig End Table - Dark Petrified Wood</t>
  </si>
  <si>
    <t>https://dd3ka9h4chfr8.cloudfront.net/image/725136000567/image_b2p92bs9ep1kv1fdl3dd57hs4k/-S150x150-FJPG/227723-001_PRM_1.jpg</t>
  </si>
  <si>
    <t>https://dd3ka9h4chfr8.cloudfront.net/image/725136000567/image_b2p92bs9ep1kv1fdl3dd57hs4k/-FJPG/227723-001_PRM_1.jpg</t>
  </si>
  <si>
    <t>https://dd3ka9h4chfr8.cloudfront.net/image/725136000567/image_ku4ffcen351ivbf1uagng1in3s/-FJPG/227723-001_SID_1.jpg</t>
  </si>
  <si>
    <t>https://dd3ka9h4chfr8.cloudfront.net/image/725136000567/image_kvl8v3k7qp7rra5vhu2jijuk4f/-FJPG/227723-001_DET_2.jpg</t>
  </si>
  <si>
    <t>https://dd3ka9h4chfr8.cloudfront.net/image/725136000567/image_o4ei6jndut35f95ufbfqqqnk51/-FJPG/227723-001_BCK_1.jpg</t>
  </si>
  <si>
    <t>https://dd3ka9h4chfr8.cloudfront.net/image/725136000567/image_nrkr1s9ac95i10uvvp9fjvdt5n/-FJPG/227723-001_DET_1.jpg</t>
  </si>
  <si>
    <t>https://dd3ka9h4chfr8.cloudfront.net/image/725136000567/image_4kogn5pdnd1dl1td7pc3av0j7q/-FJPG/227723-001_DET_3.jpg</t>
  </si>
  <si>
    <t>https://dd3ka9h4chfr8.cloudfront.net/image/725136000567/image_v0ut3kvfi96ftf27bhf3umiu1n/-FJPG/227723-001_DET_4.jpg</t>
  </si>
  <si>
    <t>https://dd3ka9h4chfr8.cloudfront.net/image/725136000567/image_aagmh3okhd4tpd4l9id7u1ta05/-FJPG/227723-001_DET_5.jpg</t>
  </si>
  <si>
    <t>https://dd3ka9h4chfr8.cloudfront.net/image/725136000567/image_ptpkh3pe113ftdtfh1e5jp6p0u/-FJPG/227723-001_DET_6.jpg</t>
  </si>
  <si>
    <t>https://dd3ka9h4chfr8.cloudfront.net/image/725136000567/image_1thtk29hel7uh1krsf5pt7hu5k/-FJPG/227723-001_VIG_1.jpg</t>
  </si>
  <si>
    <t>Tillery Power Recliner 3-Piece Sectional - Antigo Natural</t>
  </si>
  <si>
    <t>https://dd3ka9h4chfr8.cloudfront.net/image/725136000567/image_dep69bjgu16h52c1dr5c67om0o/-S150x150-FJPG/238975-001_PRM_1.jpg</t>
  </si>
  <si>
    <t>https://dd3ka9h4chfr8.cloudfront.net/image/725136000567/image_dep69bjgu16h52c1dr5c67om0o/-FJPG/238975-001_PRM_1.jpg</t>
  </si>
  <si>
    <t>https://dd3ka9h4chfr8.cloudfront.net/image/725136000567/image_3vq7cq48cp18t82v8tre2lck45/-FJPG/238975-001_SID_1.jpg</t>
  </si>
  <si>
    <t>https://dd3ka9h4chfr8.cloudfront.net/image/725136000567/image_t7ctgjdvr971d0oakuhshb9p0s/-FJPG/238975-001_ESS.tif</t>
  </si>
  <si>
    <t>https://dd3ka9h4chfr8.cloudfront.net/image/725136000567/image_k49e014d2h0sj43i42hqlblr5h/-FJPG/238975-001_DET_2.jpg</t>
  </si>
  <si>
    <t>https://dd3ka9h4chfr8.cloudfront.net/image/725136000567/image_bq7ll2i7g144r6p4abb8baip49/-FJPG/238975-001_BCK_1.jpg</t>
  </si>
  <si>
    <t>https://dd3ka9h4chfr8.cloudfront.net/image/725136000567/image_oaahl9bbil359es2rgkqeftp22/-FJPG/238975-001_DET_1.jpg</t>
  </si>
  <si>
    <t>https://dd3ka9h4chfr8.cloudfront.net/image/725136000567/image_k2i35kf8c543fdqh1favohhp4l/-FJPG/238975-001_DET_9.tif</t>
  </si>
  <si>
    <t>https://dd3ka9h4chfr8.cloudfront.net/image/725136000567/image_dd1jdh8v2d6lp0ds74kshc283b/-FJPG/238975-001_DET_10.tif</t>
  </si>
  <si>
    <t>https://dd3ka9h4chfr8.cloudfront.net/image/725136000567/image_6bo3s90o8t0u55of974b0b0v55/-FJPG/238975-001_ROM_1.jpg</t>
  </si>
  <si>
    <t>https://dd3ka9h4chfr8.cloudfront.net/image/725136000567/image_eau7lfg51h2et4mmuhqo3q441u/-FJPG/238975-001_HOV_1.jpg</t>
  </si>
  <si>
    <t>https://dd3ka9h4chfr8.cloudfront.net/image/725136000567/image_id17fj8tf96896vhj8tg37e16f/-FJPG/238975-001_PRM_2.jpg</t>
  </si>
  <si>
    <t>https://dd3ka9h4chfr8.cloudfront.net/image/725136000567/image_nj8he9rkql2q3e0svvqeeve06u/-FJPG/238975-001_FRT_2.jpg</t>
  </si>
  <si>
    <t>https://dd3ka9h4chfr8.cloudfront.net/image/725136000567/image_2o49jlonfl6m92k5ksfj93io2t/-FJPG/238975-001_ESS_2.tif</t>
  </si>
  <si>
    <t>Tillery Power Recliner 3-Piece Sectional - Crypton Nomad Taupe</t>
  </si>
  <si>
    <t>https://dd3ka9h4chfr8.cloudfront.net/image/725136000567/image_sdg76t74113av73rqhih5vfs13/-S150x150-FJPG/238975-004_PRM_1.jpg</t>
  </si>
  <si>
    <t>https://dd3ka9h4chfr8.cloudfront.net/image/725136000567/image_sdg76t74113av73rqhih5vfs13/-FJPG/238975-004_PRM_1.jpg</t>
  </si>
  <si>
    <t>https://dd3ka9h4chfr8.cloudfront.net/image/725136000567/image_6u5seuf0rd5jl6f7p2ssojha5c/-FJPG/238975-004_SID_1.jpg</t>
  </si>
  <si>
    <t>https://dd3ka9h4chfr8.cloudfront.net/image/725136000567/image_gvngpkn5j17cl601k86ohb781h/-FJPG/238975-004_ESS.tif</t>
  </si>
  <si>
    <t>https://dd3ka9h4chfr8.cloudfront.net/image/725136000567/image_j1l3m68ush5ipeovppinbp052s/-FJPG/238975-004_DET_2.jpg</t>
  </si>
  <si>
    <t>https://dd3ka9h4chfr8.cloudfront.net/image/725136000567/image_vq0i4jssmh3lf9d63i18k4553d/-FJPG/238975-004_BCK_1.jpg</t>
  </si>
  <si>
    <t>https://dd3ka9h4chfr8.cloudfront.net/image/725136000567/image_0esg8lq1rp3rb0j1ep45jbuh2g/-FJPG/238975-004_DET_1.jpg</t>
  </si>
  <si>
    <t>https://dd3ka9h4chfr8.cloudfront.net/image/725136000567/image_oh3h30nep52f5f8l0o0uob514u/-FJPG/238975-004_DET_3.jpg</t>
  </si>
  <si>
    <t>https://dd3ka9h4chfr8.cloudfront.net/image/725136000567/image_ig8vpk7utl5qv7jj05v1q6tv33/-FJPG/238975-004_DET_4.jpg</t>
  </si>
  <si>
    <t>https://dd3ka9h4chfr8.cloudfront.net/image/725136000567/image_5n8r75u0c532j76rvkjg7ct725/-FJPG/238975-004_DET_5.jpg</t>
  </si>
  <si>
    <t>https://dd3ka9h4chfr8.cloudfront.net/image/725136000567/image_b4a2ijn38d3mpbmvvvtuk07i4m/-FJPG/238975-004_PRM_2.jpg</t>
  </si>
  <si>
    <t>https://dd3ka9h4chfr8.cloudfront.net/image/725136000567/image_tgn182galh5uf6dpe791h98u51/-FJPG/238975-004_ESS_2.tif</t>
  </si>
  <si>
    <t>https://dd3ka9h4chfr8.cloudfront.net/image/725136000567/image_b51qpt10813r99tp17h995445e/-FJPG/238975-004_FRT_2.jpg</t>
  </si>
  <si>
    <t>Tillery Power Recliner 3-Piece Sectional - Laken Stone</t>
  </si>
  <si>
    <t>https://dd3ka9h4chfr8.cloudfront.net/image/725136000567/image_7rp16cb1s55ar6fesja1grsv37/-S150x150-FJPG/238975-003_PRM_1.JPG</t>
  </si>
  <si>
    <t>https://dd3ka9h4chfr8.cloudfront.net/image/725136000567/image_7rp16cb1s55ar6fesja1grsv37/-FJPG/238975-003_PRM_1.JPG</t>
  </si>
  <si>
    <t>https://dd3ka9h4chfr8.cloudfront.net/image/725136000567/image_kcusou3pet67pcepjsurq4ak4s/-FJPG/238975-003_SID_1.JPG</t>
  </si>
  <si>
    <t>https://dd3ka9h4chfr8.cloudfront.net/image/725136000567/image_0uejss5bv574led1vf81ch0l4v/-FJPG/238975-003_DET_2.JPG</t>
  </si>
  <si>
    <t>https://dd3ka9h4chfr8.cloudfront.net/image/725136000567/image_e56747ipsh4h36cla9jr45gp0h/-FJPG/238975-003_BCK_1.JPG</t>
  </si>
  <si>
    <t>https://dd3ka9h4chfr8.cloudfront.net/image/725136000567/image_nu884lsp594j32e2rhodneva06/-FJPG/238975-003_DET_1.JPG</t>
  </si>
  <si>
    <t>https://dd3ka9h4chfr8.cloudfront.net/image/725136000567/image_krj5crrmhp25b3th5oe4nl8976/-FJPG/238975-003_DET_3.JPG</t>
  </si>
  <si>
    <t>https://dd3ka9h4chfr8.cloudfront.net/image/725136000567/image_5lrvlocptd19vcdff8dakbp06l/-FJPG/238975-003_OPN_1.JPG</t>
  </si>
  <si>
    <t>https://dd3ka9h4chfr8.cloudfront.net/image/725136000567/image_rij1opvti557d5vuu4mbj18i2c/-FJPG/238975-003_OPN_2.JPG</t>
  </si>
  <si>
    <t>Tillery Power Recliner 3-Piece Sectional - Sonoma Butterscotch</t>
  </si>
  <si>
    <t>https://dd3ka9h4chfr8.cloudfront.net/image/725136000567/image_2fktnbevo53lvahqakni2k1s7n/-S150x150-FJPG/238975-002_PRM_1.jpg</t>
  </si>
  <si>
    <t>https://dd3ka9h4chfr8.cloudfront.net/image/725136000567/image_2fktnbevo53lvahqakni2k1s7n/-FJPG/238975-002_PRM_1.jpg</t>
  </si>
  <si>
    <t>https://dd3ka9h4chfr8.cloudfront.net/image/725136000567/image_2k01ioh3u13avft22cjjjtl924/-FJPG/238975-002_SID_1.jpg</t>
  </si>
  <si>
    <t>https://dd3ka9h4chfr8.cloudfront.net/image/725136000567/image_lmvi079di96ere67fjr2usmg4l/-FJPG/238975-002_ESS_1.jpg</t>
  </si>
  <si>
    <t>https://dd3ka9h4chfr8.cloudfront.net/image/725136000567/image_b9riquog5h2r1cficf7psiji54/-FJPG/238975-002_DET_2.jpg</t>
  </si>
  <si>
    <t>https://dd3ka9h4chfr8.cloudfront.net/image/725136000567/image_cgif7iekr160t49eq711et1j1k/-FJPG/238975-002_BCK_1.jpg</t>
  </si>
  <si>
    <t>https://dd3ka9h4chfr8.cloudfront.net/image/725136000567/image_4oc72195c91fj21so42t6eub0m/-FJPG/238975-002_DET_1.jpg</t>
  </si>
  <si>
    <t>https://dd3ka9h4chfr8.cloudfront.net/image/725136000567/image_69h4173sj11fp7h2g04u8tnb1v/-FJPG/238975-002_DET_3.jpg</t>
  </si>
  <si>
    <t>https://dd3ka9h4chfr8.cloudfront.net/image/725136000567/image_smd4abcg215kle2td4j0ah664m/-FJPG/238975-002_PRM_2.jpg</t>
  </si>
  <si>
    <t>https://dd3ka9h4chfr8.cloudfront.net/image/725136000567/image_k7bvlnkus54v3d40c3cokvgn1v/-FJPG/238975-002_FRT_2.jpg</t>
  </si>
  <si>
    <t>https://dd3ka9h4chfr8.cloudfront.net/image/725136000567/image_lddmala6tp2j19r7bke5163l2m/-FJPG/238975-002_FRT_3.jpg</t>
  </si>
  <si>
    <t>https://dd3ka9h4chfr8.cloudfront.net/image/725136000567/image_a505c2n3qt6r15ot3trh2u0v7v/-FJPG/238975-002_PRM_3.jpg</t>
  </si>
  <si>
    <t>Tillery Power Recliner 3-Piece Sectional - Sonoma Coco</t>
  </si>
  <si>
    <t>https://dd3ka9h4chfr8.cloudfront.net/image/725136000567/image_5phgfact496j5b7894c1rtec56/-S150x150-FJPG/238975-005_PRM_1.jpg</t>
  </si>
  <si>
    <t>https://dd3ka9h4chfr8.cloudfront.net/image/725136000567/image_5phgfact496j5b7894c1rtec56/-FJPG/238975-005_PRM_1.jpg</t>
  </si>
  <si>
    <t>https://dd3ka9h4chfr8.cloudfront.net/image/725136000567/image_s5bf2l3u694434980qmus3446t/-FJPG/238975-005_SID_1.jpg</t>
  </si>
  <si>
    <t>https://dd3ka9h4chfr8.cloudfront.net/image/725136000567/image_52ge1jepq927b8mdhrl85m7l7u/-FJPG/238975-005_DET_2.jpg</t>
  </si>
  <si>
    <t>https://dd3ka9h4chfr8.cloudfront.net/image/725136000567/image_asgm508j4p4217nvc4l68eq158/-FJPG/238975-005_BCK_1.jpg</t>
  </si>
  <si>
    <t>https://dd3ka9h4chfr8.cloudfront.net/image/725136000567/image_rekotrrert6jr9i3paqq9ned05/-FJPG/238975-005_DET_1.jpg</t>
  </si>
  <si>
    <t>https://dd3ka9h4chfr8.cloudfront.net/image/725136000567/image_pm9s20i5od08t0poifquhm336b/-FJPG/238975-005_DET_3.jpg</t>
  </si>
  <si>
    <t>https://dd3ka9h4chfr8.cloudfront.net/image/725136000567/image_dq2qqet3n90htfsmmfduep7m06/-FJPG/238975-005_PRM_2.jpg</t>
  </si>
  <si>
    <t>https://dd3ka9h4chfr8.cloudfront.net/image/725136000567/image_r76j61j6kt1krcmuphg680ci49/-FJPG/238975-005_SID_2.jpg</t>
  </si>
  <si>
    <t>https://dd3ka9h4chfr8.cloudfront.net/image/725136000567/image_9v8a3vpopp5732391l6700l06u/-FJPG/238975-005_FRT_2.jpg</t>
  </si>
  <si>
    <t>Toli End Table - Italian White Marble</t>
  </si>
  <si>
    <t>https://dd3ka9h4chfr8.cloudfront.net/image/725136000567/image_4cfatjprlh0pj20j6gt5043b22/-S150x150-FJPG/228128-002_PRM_1.jpg</t>
  </si>
  <si>
    <t>https://dd3ka9h4chfr8.cloudfront.net/image/725136000567/image_4cfatjprlh0pj20j6gt5043b22/-FJPG/228128-002_PRM_1.jpg</t>
  </si>
  <si>
    <t>https://dd3ka9h4chfr8.cloudfront.net/image/725136000567/image_burb1eivn159leaotp532e3g7u/-FJPG/228128-002_SID_1.jpg</t>
  </si>
  <si>
    <t>https://dd3ka9h4chfr8.cloudfront.net/image/725136000567/image_lvd2mnlqlh329ess1tvu0no343/-FJPG/228128-002_ESS.tif</t>
  </si>
  <si>
    <t>https://dd3ka9h4chfr8.cloudfront.net/image/725136000567/image_0svvsjcael4h56q8dkhh30742u/-FJPG/228128-002_DET_2.jpg</t>
  </si>
  <si>
    <t>https://dd3ka9h4chfr8.cloudfront.net/image/725136000567/image_vudvnc3sjd6h38ndu1h4gv113a/-FJPG/228128-002_DET_1.jpg</t>
  </si>
  <si>
    <t>https://dd3ka9h4chfr8.cloudfront.net/image/725136000567/image_i9p1idb84t66p94bh36fedg404/-FJPG/228128-002_DET_3.jpg</t>
  </si>
  <si>
    <t>https://dd3ka9h4chfr8.cloudfront.net/image/725136000567/image_7bv3es3hk54bf6kl3munb7gb3p/-FJPG/228128-002_DET_4.jpg</t>
  </si>
  <si>
    <t>https://dd3ka9h4chfr8.cloudfront.net/image/725136000567/image_5b11b7vcp536jem946o07tkk3g/-FJPG/228128-002_DET_9.tif</t>
  </si>
  <si>
    <t>https://dd3ka9h4chfr8.cloudfront.net/image/725136000567/image_6jgh4chbg513fb3jakb4hgjq7k/-FJPG/228128-002_VIG_1.jpg</t>
  </si>
  <si>
    <t>https://dd3ka9h4chfr8.cloudfront.net/image/725136000567/image_4nfim0l8rp4ip1km67s905vq4h/-FJPG/228128-002_ESS_2.jpg</t>
  </si>
  <si>
    <t>Tolle Bookcase - Drifted Matte Black</t>
  </si>
  <si>
    <t>https://dd3ka9h4chfr8.cloudfront.net/image/725136000567/image_ba6drii2np1v77er61bui29s51/-S150x150-FJPG/246044-003_PRM_1.jpg</t>
  </si>
  <si>
    <t>https://dd3ka9h4chfr8.cloudfront.net/image/725136000567/image_ba6drii2np1v77er61bui29s51/-FJPG/246044-003_PRM_1.jpg</t>
  </si>
  <si>
    <t>https://dd3ka9h4chfr8.cloudfront.net/image/725136000567/image_5g84akq3j92lt9cm157embv12l/-FJPG/246044-003_SID_1.jpg</t>
  </si>
  <si>
    <t>https://dd3ka9h4chfr8.cloudfront.net/image/725136000567/image_d2i4qbbsf96k5b15253vhflr6b/-FJPG/246044-003_ESS.tif</t>
  </si>
  <si>
    <t>https://dd3ka9h4chfr8.cloudfront.net/image/725136000567/image_m6l9p78pg96ube6n7uog7qp36e/-FJPG/246044-003_DET_2.jpg</t>
  </si>
  <si>
    <t>https://dd3ka9h4chfr8.cloudfront.net/image/725136000567/image_4icri0cvdd7qn953oin2bpkt34/-FJPG/246044-003_BCK_1.jpg</t>
  </si>
  <si>
    <t>https://dd3ka9h4chfr8.cloudfront.net/image/725136000567/image_l7l64gq621607funal9b5v2k1l/-FJPG/246044-003_DET_1.jpg</t>
  </si>
  <si>
    <t>https://dd3ka9h4chfr8.cloudfront.net/image/725136000567/image_6q1tbmp04l2s99se1u07ubbq4s/-FJPG/246044-003_DET_3.jpg</t>
  </si>
  <si>
    <t>https://dd3ka9h4chfr8.cloudfront.net/image/725136000567/image_3c8o7ljufh42j0e5netv4e1e48/-FJPG/246044-003_DET_4.jpg</t>
  </si>
  <si>
    <t>https://dd3ka9h4chfr8.cloudfront.net/image/725136000567/image_36koo83l710dd9pabt0i82f051/-FJPG/246044-003_DET_5.jpg</t>
  </si>
  <si>
    <t>https://dd3ka9h4chfr8.cloudfront.net/image/725136000567/image_gm0105gg61205351ffi3a7711l/-FJPG/246044-003_DET_6.jpg</t>
  </si>
  <si>
    <t>https://dd3ka9h4chfr8.cloudfront.net/image/725136000567/image_mcq39ilhs179rca75hgf7d4f31/-S150x150-FJPG/246044-004_PRM_1.jpg</t>
  </si>
  <si>
    <t>https://dd3ka9h4chfr8.cloudfront.net/image/725136000567/image_mcq39ilhs179rca75hgf7d4f31/-FJPG/246044-004_PRM_1.jpg</t>
  </si>
  <si>
    <t>https://dd3ka9h4chfr8.cloudfront.net/image/725136000567/image_mbfb0dlkg54lreijqrlkqlb56l/-FJPG/246044-004_SID_1.jpg</t>
  </si>
  <si>
    <t>https://dd3ka9h4chfr8.cloudfront.net/image/725136000567/image_5qnvlbou392ejcfat2tdamtn4k/-FJPG/246044-004_ESS.tif</t>
  </si>
  <si>
    <t>https://dd3ka9h4chfr8.cloudfront.net/image/725136000567/image_kbfi84a8fh395fit77et2to85b/-FJPG/246044-004_DET_2.jpg</t>
  </si>
  <si>
    <t>https://dd3ka9h4chfr8.cloudfront.net/image/725136000567/image_s30l04i64h4631b3imtd9cep5i/-FJPG/246044-004_BCK_1.jpg</t>
  </si>
  <si>
    <t>https://dd3ka9h4chfr8.cloudfront.net/image/725136000567/image_98dqfu6nuh3bp7u22ulpr9hl1a/-FJPG/246044-004_DET_1.jpg</t>
  </si>
  <si>
    <t>https://dd3ka9h4chfr8.cloudfront.net/image/725136000567/image_6m53cr3mqd1td0jis3rtg1cl14/-FJPG/246044-004_DET_3.jpg</t>
  </si>
  <si>
    <t>https://dd3ka9h4chfr8.cloudfront.net/image/725136000567/image_3j3ee8b5at0ej3963vq0dt2r65/-FJPG/246044-004_DET_4.jpg</t>
  </si>
  <si>
    <t>https://dd3ka9h4chfr8.cloudfront.net/image/725136000567/image_kiakjle6g96fpb2i0eg7eah972/-FJPG/246044-004_DET_5.jpg</t>
  </si>
  <si>
    <t>Tolle Bookcase - Drifted Oak Solid</t>
  </si>
  <si>
    <t>https://dd3ka9h4chfr8.cloudfront.net/image/725136000567/image_4tijdsj9ft7tbeb9r1iqfpf47p/-S150x150-FJPG/246044-001_PRM_1.jpg</t>
  </si>
  <si>
    <t>https://dd3ka9h4chfr8.cloudfront.net/image/725136000567/image_4tijdsj9ft7tbeb9r1iqfpf47p/-FJPG/246044-001_PRM_1.jpg</t>
  </si>
  <si>
    <t>https://dd3ka9h4chfr8.cloudfront.net/image/725136000567/image_8cptqrmqul4413g3dod7unpr4n/-FJPG/246044-001_SID_1.jpg</t>
  </si>
  <si>
    <t>https://dd3ka9h4chfr8.cloudfront.net/image/725136000567/image_iijougajkt5sfd38o3u5tm024g/-FJPG/246044-001_ESS.tif</t>
  </si>
  <si>
    <t>https://dd3ka9h4chfr8.cloudfront.net/image/725136000567/image_8slu9aa03h20t1u7srr89c9p1i/-FJPG/246044-001_DET_2.jpg</t>
  </si>
  <si>
    <t>https://dd3ka9h4chfr8.cloudfront.net/image/725136000567/image_lmc4vnrqpt2fnf9dbf65rr4857/-FJPG/246044-001_BCK_1.jpg</t>
  </si>
  <si>
    <t>https://dd3ka9h4chfr8.cloudfront.net/image/725136000567/image_h1dg8505bp0g9adbj3i0g7ai63/-FJPG/246044-001_DET_1.jpg</t>
  </si>
  <si>
    <t>https://dd3ka9h4chfr8.cloudfront.net/image/725136000567/image_3o3lee33gl5fl1me8b7d1n2u2c/-FJPG/246044-001_DET_3.jpg</t>
  </si>
  <si>
    <t>https://dd3ka9h4chfr8.cloudfront.net/image/725136000567/image_h6f90u2vop0t3d7m8aemt4dc0i/-FJPG/246044-001_DET_4.jpg</t>
  </si>
  <si>
    <t>https://dd3ka9h4chfr8.cloudfront.net/image/725136000567/image_j36lup7uch0bh5esvdjvuane2h/-FJPG/246044-001_DET_5.jpg</t>
  </si>
  <si>
    <t>Tolle Bookcase - Rustic White Solid</t>
  </si>
  <si>
    <t>https://dd3ka9h4chfr8.cloudfront.net/image/725136000567/image_vcilk6alg96p5ba38jt5dssg29/-S150x150-FJPG/246044-002_PRM_1.jpg</t>
  </si>
  <si>
    <t>https://dd3ka9h4chfr8.cloudfront.net/image/725136000567/image_vcilk6alg96p5ba38jt5dssg29/-FJPG/246044-002_PRM_1.jpg</t>
  </si>
  <si>
    <t>https://dd3ka9h4chfr8.cloudfront.net/image/725136000567/image_d3akpniilh56p706k3madrn804/-FJPG/246044-002_SID_1.jpg</t>
  </si>
  <si>
    <t>https://dd3ka9h4chfr8.cloudfront.net/image/725136000567/image_iflsjm2npp28r1a5k6m9tmpb51/-FJPG/246044-002_DET_2.jpg</t>
  </si>
  <si>
    <t>https://dd3ka9h4chfr8.cloudfront.net/image/725136000567/image_aj8dlamga57br14uo3f2sftf57/-FJPG/246044-002_BCK_1.jpg</t>
  </si>
  <si>
    <t>https://dd3ka9h4chfr8.cloudfront.net/image/725136000567/image_e7tuq8fv890s1e3122dcs9hb53/-FJPG/246044-002_DET_1.jpg</t>
  </si>
  <si>
    <t>https://dd3ka9h4chfr8.cloudfront.net/image/725136000567/image_p5vei7ff115bvc1btslsoko84t/-FJPG/246044-002_DET_3.jpg</t>
  </si>
  <si>
    <t>https://dd3ka9h4chfr8.cloudfront.net/image/725136000567/image_bc7u1abe7d7679svigmss0g258/-FJPG/246044-002_DET_4.jpg</t>
  </si>
  <si>
    <t>https://dd3ka9h4chfr8.cloudfront.net/image/725136000567/image_8coljp9lct7bh8rbqu49uv1124/-FJPG/246044-002_DET_5.jpg</t>
  </si>
  <si>
    <t>https://dd3ka9h4chfr8.cloudfront.net/image/725136000567/image_fac32l3p493ahfus30aoeerm27/-FJPG/246044-002_DET_6.jpg</t>
  </si>
  <si>
    <t>Tolle Cabinet - Drifted Matte Black</t>
  </si>
  <si>
    <t>https://dd3ka9h4chfr8.cloudfront.net/image/725136000567/image_m71tso2ik51dp5vkiiap15jh2k/-S150x150-FJPG/225878-001_PRM_1.jpg</t>
  </si>
  <si>
    <t>https://dd3ka9h4chfr8.cloudfront.net/image/725136000567/image_m71tso2ik51dp5vkiiap15jh2k/-FJPG/225878-001_PRM_1.jpg</t>
  </si>
  <si>
    <t>https://dd3ka9h4chfr8.cloudfront.net/image/725136000567/image_00jud8hkdp3l91bvsu88a22v78/-FJPG/225878-001_SID_1.jpg</t>
  </si>
  <si>
    <t>https://dd3ka9h4chfr8.cloudfront.net/image/725136000567/image_es0gne03d97a920p16ksfilm6u/-FJPG/225878-001_ESS_1.jpg</t>
  </si>
  <si>
    <t>https://dd3ka9h4chfr8.cloudfront.net/image/725136000567/image_jige2hareh6cn0o4kelkjdu42e/-FJPG/225878-001_DET_2.jpg</t>
  </si>
  <si>
    <t>https://dd3ka9h4chfr8.cloudfront.net/image/725136000567/image_lnjvkc07i92cv13e2t6vij0d6f/-FJPG/225878-001_BCK_1.jpg</t>
  </si>
  <si>
    <t>https://dd3ka9h4chfr8.cloudfront.net/image/725136000567/image_vu4rjta3nt38vectd1gjsdrc40/-FJPG/225878-001_DET_3.jpg</t>
  </si>
  <si>
    <t>https://dd3ka9h4chfr8.cloudfront.net/image/725136000567/image_p6d2sfbkbh76t4751m634fpc0j/-FJPG/225878-001_OPN_1.jpg</t>
  </si>
  <si>
    <t>https://dd3ka9h4chfr8.cloudfront.net/image/725136000567/image_ntm749gfnl6sjbhct79svuvd4t/-FJPG/225878-001_DET_4.jpg</t>
  </si>
  <si>
    <t>https://dd3ka9h4chfr8.cloudfront.net/image/725136000567/image_2rquna5fq12t9dl6e95i75in7v/-FJPG/225878-001_DET_5.jpg</t>
  </si>
  <si>
    <t>https://dd3ka9h4chfr8.cloudfront.net/image/725136000567/image_47750m2vl57dn5sb1ut0b4hg3s/-FJPG/225878-001_DET_6.jpg</t>
  </si>
  <si>
    <t>https://dd3ka9h4chfr8.cloudfront.net/image/725136000567/image_e0ipvijso135tcr7gcr0aj0o41/-FJPG/225878-001_DET_7.jpg</t>
  </si>
  <si>
    <t>https://dd3ka9h4chfr8.cloudfront.net/image/725136000567/image_ojs1187ut9367fm3hnjqncij3v/-FJPG/225878-001_DET_8.jpg</t>
  </si>
  <si>
    <t>https://dd3ka9h4chfr8.cloudfront.net/image/725136000567/image_oka9k5fg055n54f1jcokf5f22v/-FJPG/225878-001_DET_9.jpg</t>
  </si>
  <si>
    <t>https://dd3ka9h4chfr8.cloudfront.net/image/725136000567/image_ila161so7p0on93gahm1fkig60/-FJPG/225878-001_DET_10.jpg</t>
  </si>
  <si>
    <t>https://dd3ka9h4chfr8.cloudfront.net/image/725136000567/image_7t982l1att5prakek7siviqv48/-FJPG/225878-001_ROM_1.jpg</t>
  </si>
  <si>
    <t>https://dd3ka9h4chfr8.cloudfront.net/image/725136000567/image_abkv1o9j350179hue9cflhk04q/-FJPG/225878-001_OPN_2.jpg</t>
  </si>
  <si>
    <t>https://dd3ka9h4chfr8.cloudfront.net/image/725136000567/image_76ena1pjrl0j7br2c0k315jq5h/-FJPG/225878-001_ESS_2.jpg</t>
  </si>
  <si>
    <t>https://dd3ka9h4chfr8.cloudfront.net/image/725136000567/image_4vet68at956l95d5fs11taof7i/-S150x150-FJPG/225878-004_PRM_1.jpg</t>
  </si>
  <si>
    <t>https://dd3ka9h4chfr8.cloudfront.net/image/725136000567/image_4vet68at956l95d5fs11taof7i/-FJPG/225878-004_PRM_1.jpg</t>
  </si>
  <si>
    <t>https://dd3ka9h4chfr8.cloudfront.net/image/725136000567/image_if0mdpnv294ijecharl7lf4m2m/-FJPG/225878-004_SID_1.jpg</t>
  </si>
  <si>
    <t>https://dd3ka9h4chfr8.cloudfront.net/image/725136000567/image_5aebr5l7hd1bv724vf8br6m477/-FJPG/225878-004_ESS_1.jpg</t>
  </si>
  <si>
    <t>https://dd3ka9h4chfr8.cloudfront.net/image/725136000567/image_ru4t3ck0fl7kn5ntp5thcq4g62/-FJPG/225878-004_DET_2.jpg</t>
  </si>
  <si>
    <t>https://dd3ka9h4chfr8.cloudfront.net/image/725136000567/image_bbjata45n16cn8vuu1l9ulha4d/-FJPG/225878-004_BCK_1.jpg</t>
  </si>
  <si>
    <t>https://dd3ka9h4chfr8.cloudfront.net/image/725136000567/image_eg9dl9i4h52s92r3f055jobb6a/-FJPG/225878-004_DET_1.jpg</t>
  </si>
  <si>
    <t>https://dd3ka9h4chfr8.cloudfront.net/image/725136000567/image_c5help9e3t0jncdva6c0om9q3e/-FJPG/225878-004_DET_3.jpg</t>
  </si>
  <si>
    <t>https://dd3ka9h4chfr8.cloudfront.net/image/725136000567/image_o95l3sdjtl361bn4vh49ntld0p/-FJPG/225878-004_OPN_1.jpg</t>
  </si>
  <si>
    <t>https://dd3ka9h4chfr8.cloudfront.net/image/725136000567/image_qd13m10idl6670vs91fif82n6g/-FJPG/225878-004_DET_4.jpg</t>
  </si>
  <si>
    <t>https://dd3ka9h4chfr8.cloudfront.net/image/725136000567/image_5uff7lubh57a92cjku9vb6hj7g/-FJPG/225878-004_DET_5.jpg</t>
  </si>
  <si>
    <t>https://dd3ka9h4chfr8.cloudfront.net/image/725136000567/image_qkidsb293136l276gn36csng3i/-FJPG/225878-004_DET_6.jpg</t>
  </si>
  <si>
    <t>Tolle Cabinet - Drifted Oak Solid</t>
  </si>
  <si>
    <t>https://dd3ka9h4chfr8.cloudfront.net/image/725136000567/image_mc37g2c26l7av7jvk37sk8me2c/-S150x150-FJPG/225878-002_PRM_1.jpg</t>
  </si>
  <si>
    <t>https://dd3ka9h4chfr8.cloudfront.net/image/725136000567/image_mc37g2c26l7av7jvk37sk8me2c/-FJPG/225878-002_PRM_1.jpg</t>
  </si>
  <si>
    <t>https://dd3ka9h4chfr8.cloudfront.net/image/725136000567/image_7iu7untkcd33n0rpakeu205124/-FJPG/225878-002_SID_1.jpg</t>
  </si>
  <si>
    <t>https://dd3ka9h4chfr8.cloudfront.net/image/725136000567/image_jsa7tv6p2t4718om6v6dsmut6k/-FJPG/225878-002_DET_2.jpg</t>
  </si>
  <si>
    <t>https://dd3ka9h4chfr8.cloudfront.net/image/725136000567/image_bm3ntjp1bp6frdf84s2fqbbh78/-FJPG/225878-002_BCK_1.jpg</t>
  </si>
  <si>
    <t>https://dd3ka9h4chfr8.cloudfront.net/image/725136000567/image_j3pm92gtft4ppagh731v1e3r52/-FJPG/225878-002_DET_1.jpg</t>
  </si>
  <si>
    <t>https://dd3ka9h4chfr8.cloudfront.net/image/725136000567/image_rudot3va016g71fsppmarvcu7e/-FJPG/225878-002_DET_3.jpg</t>
  </si>
  <si>
    <t>https://dd3ka9h4chfr8.cloudfront.net/image/725136000567/image_7c6c08g6op3j50485tjno55p2o/-FJPG/225878-002_OPN_1.jpg</t>
  </si>
  <si>
    <t>https://dd3ka9h4chfr8.cloudfront.net/image/725136000567/image_g7rdi0r8553kpbsafaqatk9v7v/-FJPG/225878-002_DET_4.jpg</t>
  </si>
  <si>
    <t>https://dd3ka9h4chfr8.cloudfront.net/image/725136000567/image_s43gtk8ukd0dhavbgd7urt5r5r/-FJPG/225878-002_DET_5.jpg</t>
  </si>
  <si>
    <t>https://dd3ka9h4chfr8.cloudfront.net/image/725136000567/image_bj16bi19u12kl135dv6kr7611t/-FJPG/225878-002_DET_6.jpg</t>
  </si>
  <si>
    <t>https://dd3ka9h4chfr8.cloudfront.net/image/725136000567/image_m3vic9ot9t5ah26bnh6isu9d7i/-FJPG/225878-002_DET_7.jpg</t>
  </si>
  <si>
    <t>https://dd3ka9h4chfr8.cloudfront.net/image/725136000567/image_6sr75mu4o17g91ku5a08re7u40/-FJPG/225878-002_DET_8.jpg</t>
  </si>
  <si>
    <t>https://dd3ka9h4chfr8.cloudfront.net/image/725136000567/image_4s6l2rauap4c3flc9u3o6ge91n/-FJPG/225878-002_DET_9.jpg</t>
  </si>
  <si>
    <t>https://dd3ka9h4chfr8.cloudfront.net/image/725136000567/image_a2dimlfmah2v52o1e2cv6t7j2b/-FJPG/225878-002_DET_10.jpg</t>
  </si>
  <si>
    <t>https://dd3ka9h4chfr8.cloudfront.net/image/725136000567/image_rjpdtb20et50b5vk876iheef3f/-FJPG/225878-002_VIG_1.jpg</t>
  </si>
  <si>
    <t>https://dd3ka9h4chfr8.cloudfront.net/image/725136000567/image_v3efcru7it2npfimk17q7dtm62/-FJPG/225878-002_ESS_2.jpg</t>
  </si>
  <si>
    <t>https://dd3ka9h4chfr8.cloudfront.net/image/725136000567/image_e5s8pfuuo15hv0sb5f07n8477b/-FJPG/225878-002_OPN_2.jpg</t>
  </si>
  <si>
    <t>Tolle Cabinet - Warm Natural Oak Veneer</t>
  </si>
  <si>
    <t>https://dd3ka9h4chfr8.cloudfront.net/image/725136000567/image_f9ec8spsl17897lnvf5ek0js3f/-S150x150-FJPG/225878-005_PRM_1.jpg</t>
  </si>
  <si>
    <t>https://dd3ka9h4chfr8.cloudfront.net/image/725136000567/image_f9ec8spsl17897lnvf5ek0js3f/-FJPG/225878-005_PRM_1.jpg</t>
  </si>
  <si>
    <t>https://dd3ka9h4chfr8.cloudfront.net/image/725136000567/image_i64mpdoeh1063edpa8eiftoc1e/-FJPG/225878-005_SID_1.jpg</t>
  </si>
  <si>
    <t>https://dd3ka9h4chfr8.cloudfront.net/image/725136000567/image_28umljgkb93f96ep34735lbu29/-FJPG/225878-005_ESS.tif</t>
  </si>
  <si>
    <t>https://dd3ka9h4chfr8.cloudfront.net/image/725136000567/image_o8aiqobhet5vh9doofsktd8o59/-FJPG/225878-005_DET_2.jpg</t>
  </si>
  <si>
    <t>https://dd3ka9h4chfr8.cloudfront.net/image/725136000567/image_vaiqqkqcah5712nsh319juqi4t/-FJPG/225878-005_BCK_1.jpg</t>
  </si>
  <si>
    <t>https://dd3ka9h4chfr8.cloudfront.net/image/725136000567/image_h8k1oet3s15qbc1h128df7jb7f/-FJPG/225878-005_DET_1.jpg</t>
  </si>
  <si>
    <t>https://dd3ka9h4chfr8.cloudfront.net/image/725136000567/image_q4abevd3ct3q18k0e0pu2rhg0o/-FJPG/225878-005_DET_3.jpg</t>
  </si>
  <si>
    <t>https://dd3ka9h4chfr8.cloudfront.net/image/725136000567/image_uupunk31fh1snekh7vu23ap735/-FJPG/225878-005_OPN_1.jpg</t>
  </si>
  <si>
    <t>https://dd3ka9h4chfr8.cloudfront.net/image/725136000567/image_52j250ofj54c3avc7ia5fa0118/-FJPG/225878-005_DET_4.jpg</t>
  </si>
  <si>
    <t>https://dd3ka9h4chfr8.cloudfront.net/image/725136000567/image_310jmlq3894dp0p775aj4ko41v/-FJPG/225878-005_DET_5.jpg</t>
  </si>
  <si>
    <t>https://dd3ka9h4chfr8.cloudfront.net/image/725136000567/image_vo9ets09o542vffrm800p4kj71/-FJPG/225878-005_DET_6.jpg</t>
  </si>
  <si>
    <t>https://dd3ka9h4chfr8.cloudfront.net/image/725136000567/image_u4gaen3n4t591bocp4qao5ea6g/-FJPG/225878-005_DET_7.jpg</t>
  </si>
  <si>
    <t>https://dd3ka9h4chfr8.cloudfront.net/image/725136000567/image_d9s8tc48696a1eam10bqnpr01i/-FJPG/225878-005_DET_8.jpg</t>
  </si>
  <si>
    <t>https://dd3ka9h4chfr8.cloudfront.net/image/725136000567/image_n5r9lop3ep4vl6a3i9sct1p65r/-FJPG/225878-005_DET_9.jpg</t>
  </si>
  <si>
    <t>https://dd3ka9h4chfr8.cloudfront.net/image/725136000567/image_n2k945vrm90ll6uib5u1ist45d/-FJPG/225878-005_OPN_2.jpg</t>
  </si>
  <si>
    <t>Tolle Panel Door Cabinet - Drifted Oak Veneer</t>
  </si>
  <si>
    <t>https://dd3ka9h4chfr8.cloudfront.net/image/725136000567/image_neahmt4r992tr8sdav22khsn28/-S150x150-FJPG/234782-001_PRM_1.jpg</t>
  </si>
  <si>
    <t>https://dd3ka9h4chfr8.cloudfront.net/image/725136000567/image_neahmt4r992tr8sdav22khsn28/-FJPG/234782-001_PRM_1.jpg</t>
  </si>
  <si>
    <t>https://dd3ka9h4chfr8.cloudfront.net/image/725136000567/image_hkp37u4p8t3qb3nqiqv00rb16q/-FJPG/234782-001_SID_1.jpg</t>
  </si>
  <si>
    <t>https://dd3ka9h4chfr8.cloudfront.net/image/725136000567/image_86lqj3hthp3i577gefm6ji3966/-FJPG/234782-001_ESS_1.jpg</t>
  </si>
  <si>
    <t>https://dd3ka9h4chfr8.cloudfront.net/image/725136000567/image_eeqj5unjit4o59is3g047ulp37/-FJPG/234782-001_DET_2.jpg</t>
  </si>
  <si>
    <t>https://dd3ka9h4chfr8.cloudfront.net/image/725136000567/image_vf1m8u22gd34f1td1aougf5l4s/-FJPG/234782-001_BCK_1.jpg</t>
  </si>
  <si>
    <t>https://dd3ka9h4chfr8.cloudfront.net/image/725136000567/image_femahv0q8t0h92hoverlcpdm65/-FJPG/234782-001_DET_1.jpg</t>
  </si>
  <si>
    <t>https://dd3ka9h4chfr8.cloudfront.net/image/725136000567/image_cc18evv0pp2sr47l4ipjgqst0q/-FJPG/234782-001_DET_3.jpg</t>
  </si>
  <si>
    <t>https://dd3ka9h4chfr8.cloudfront.net/image/725136000567/image_9epg9hl7dl3vf9nrc6ibjgpr0p/-FJPG/234782-001_OPN_1.jpg</t>
  </si>
  <si>
    <t>https://dd3ka9h4chfr8.cloudfront.net/image/725136000567/image_1d4vovta6t0217nrqv1kc0224c/-FJPG/234782-001_DET_4.jpg</t>
  </si>
  <si>
    <t>https://dd3ka9h4chfr8.cloudfront.net/image/725136000567/image_0tcdkgkkmd5kba5165k36k0a2m/-FJPG/234782-001_DET_5.jpg</t>
  </si>
  <si>
    <t>https://dd3ka9h4chfr8.cloudfront.net/image/725136000567/image_3umnvl77ih7nb5shk3bregmg3k/-FJPG/234782-001_DET_6.jpg</t>
  </si>
  <si>
    <t>https://dd3ka9h4chfr8.cloudfront.net/image/725136000567/image_l72vos3d6l0in8nnnmd2466c6f/-FJPG/234782-001_DET_7.jpg</t>
  </si>
  <si>
    <t>https://dd3ka9h4chfr8.cloudfront.net/image/725136000567/image_b3ir4sptr51t5c41uqgov3o010/-FJPG/234782-001_DET_8.jpg</t>
  </si>
  <si>
    <t>https://dd3ka9h4chfr8.cloudfront.net/image/725136000567/image_6oc6b6r9sh7178o37gfeukpe77/-FJPG/234782-001_DET_9.jpg</t>
  </si>
  <si>
    <t>https://dd3ka9h4chfr8.cloudfront.net/image/725136000567/image_pv895tdse52ot1pdh8tun3lm4l/-FJPG/234782-001_PRM_2.jpg</t>
  </si>
  <si>
    <t>https://dd3ka9h4chfr8.cloudfront.net/image/725136000567/image_puqoaubf196dd515lct03bct4b/-FJPG/234782-001_OPN_2.jpg</t>
  </si>
  <si>
    <t>https://dd3ka9h4chfr8.cloudfront.net/image/725136000567/image_ampip9n8h56j77edif0oofoe7l/-FJPG/234782-001_ESS_2.jpg</t>
  </si>
  <si>
    <t>https://dd3ka9h4chfr8.cloudfront.net/image/725136000567/image_1t9sef9491379eeq4mdsdubi5l/-S150x150-FJPG/234782-003_PRM_1.jpg</t>
  </si>
  <si>
    <t>https://dd3ka9h4chfr8.cloudfront.net/image/725136000567/image_1t9sef9491379eeq4mdsdubi5l/-FJPG/234782-003_PRM_1.jpg</t>
  </si>
  <si>
    <t>https://dd3ka9h4chfr8.cloudfront.net/image/725136000567/image_52edhvaodt4fpde2hfcjuuqd6m/-FJPG/234782-003_SID_1.jpg</t>
  </si>
  <si>
    <t>https://dd3ka9h4chfr8.cloudfront.net/image/725136000567/image_uhmcbi66d50mddk5hdsham3m31/-FJPG/234782-003_ESS_1.jpg</t>
  </si>
  <si>
    <t>https://dd3ka9h4chfr8.cloudfront.net/image/725136000567/image_pbeuqfa6ol2rdav7j6anf3qh7g/-FJPG/234782-003_DET_2.jpg</t>
  </si>
  <si>
    <t>https://dd3ka9h4chfr8.cloudfront.net/image/725136000567/image_h0s5p643k12q7bu51kacqv133f/-FJPG/234782-003_BCK_1.jpg</t>
  </si>
  <si>
    <t>https://dd3ka9h4chfr8.cloudfront.net/image/725136000567/image_s399t3fc6l1lv3g581l6r1nc3j/-FJPG/234782-003_DET_1.jpg</t>
  </si>
  <si>
    <t>https://dd3ka9h4chfr8.cloudfront.net/image/725136000567/image_rq2gq9adb96jl3hqucq78j9p3j/-FJPG/234782-003_DET_3.jpg</t>
  </si>
  <si>
    <t>https://dd3ka9h4chfr8.cloudfront.net/image/725136000567/image_cftta1bfdp6lj28aif6ajb4p33/-FJPG/234782-003_OPN_1.jpg</t>
  </si>
  <si>
    <t>https://dd3ka9h4chfr8.cloudfront.net/image/725136000567/image_0tq69gsf6l1lpc3s8f1493q406/-FJPG/234782-003_DET_4.jpg</t>
  </si>
  <si>
    <t>https://dd3ka9h4chfr8.cloudfront.net/image/725136000567/image_78uu4c6j5t4bnfavn8fi1t7225/-FJPG/234782-003_DET_5.jpg</t>
  </si>
  <si>
    <t>https://dd3ka9h4chfr8.cloudfront.net/image/725136000567/image_s6ib1654q967d6rbgq3k6ns04l/-FJPG/234782-003_DET_6.jpg</t>
  </si>
  <si>
    <t>https://dd3ka9h4chfr8.cloudfront.net/image/725136000567/image_7ip3s9gea56c17osr8spdb745l/-FJPG/234782-003_DET_7.jpg</t>
  </si>
  <si>
    <t>https://dd3ka9h4chfr8.cloudfront.net/image/725136000567/image_gq4bt6q3nl78f0saggpl76mv3f/-FJPG/234782-003_DET_8.jpg</t>
  </si>
  <si>
    <t>https://dd3ka9h4chfr8.cloudfront.net/image/725136000567/image_onsq7fdnd97rn64hmo6d407c62/-FJPG/234782-003_DET_9.jpg</t>
  </si>
  <si>
    <t>https://dd3ka9h4chfr8.cloudfront.net/image/725136000567/image_u42auqpgkt3q7bfnlnifaafr7a/-FJPG/234782-003_OPN_2.jpg</t>
  </si>
  <si>
    <t>Tolle Panel Door Cabinet - Rustic White Veneer</t>
  </si>
  <si>
    <t>https://dd3ka9h4chfr8.cloudfront.net/image/725136000567/image_pur6eaf1rt4an2me9thdheno05/-S150x150-FJPG/234782-005_PRM_1.jpg</t>
  </si>
  <si>
    <t>https://dd3ka9h4chfr8.cloudfront.net/image/725136000567/image_pur6eaf1rt4an2me9thdheno05/-FJPG/234782-005_PRM_1.jpg</t>
  </si>
  <si>
    <t>https://dd3ka9h4chfr8.cloudfront.net/image/725136000567/image_25pusjvhd96ah9o5tamb3q7b03/-FJPG/234782-005_SID_1.jpg</t>
  </si>
  <si>
    <t>https://dd3ka9h4chfr8.cloudfront.net/image/725136000567/image_ugdtep190h75p4ltmsdubta82l/-FJPG/234782-005_ESS.tif</t>
  </si>
  <si>
    <t>https://dd3ka9h4chfr8.cloudfront.net/image/725136000567/image_0c2ert9r112gv24218gtpf9d3u/-FJPG/234782-005_DET_2.jpg</t>
  </si>
  <si>
    <t>https://dd3ka9h4chfr8.cloudfront.net/image/725136000567/image_ne6l2t0chh0pb0psqnludk9p3p/-FJPG/234782-005_BCK_1.jpg</t>
  </si>
  <si>
    <t>https://dd3ka9h4chfr8.cloudfront.net/image/725136000567/image_i7v5ssoolt5sj1qpsd7303451v/-FJPG/234782-005_DET_1.jpg</t>
  </si>
  <si>
    <t>https://dd3ka9h4chfr8.cloudfront.net/image/725136000567/image_qdcuihbs096m9b3uid4pq9ns4c/-FJPG/234782-005_DET_3.jpg</t>
  </si>
  <si>
    <t>https://dd3ka9h4chfr8.cloudfront.net/image/725136000567/image_d6kh5e1jdp6e7943g4301aud3b/-FJPG/234782-005_OPN_1.jpg</t>
  </si>
  <si>
    <t>https://dd3ka9h4chfr8.cloudfront.net/image/725136000567/image_8fcb1ckn1p18v0mgsolamii87n/-FJPG/234782-005_DET_4.jpg</t>
  </si>
  <si>
    <t>https://dd3ka9h4chfr8.cloudfront.net/image/725136000567/image_ftkmld8and1g154fusrfq40r5u/-FJPG/234782-005_DET_5.jpg</t>
  </si>
  <si>
    <t>https://dd3ka9h4chfr8.cloudfront.net/image/725136000567/image_rgpvp224u50tv0oe7h75jnq63h/-FJPG/234782-005_DET_6.jpg</t>
  </si>
  <si>
    <t>https://dd3ka9h4chfr8.cloudfront.net/image/725136000567/image_tnt7puqnid28j583qs6sbie82u/-FJPG/234782-005_DET_7.jpg</t>
  </si>
  <si>
    <t>https://dd3ka9h4chfr8.cloudfront.net/image/725136000567/image_fv1i1kq3qt4v584vi10qdt660k/-FJPG/234782-005_DET_8.jpg</t>
  </si>
  <si>
    <t>https://dd3ka9h4chfr8.cloudfront.net/image/725136000567/image_csnn9107g90mp7m9lnda7df71a/-FJPG/234782-005_OPN_2.jpg</t>
  </si>
  <si>
    <t>https://dd3ka9h4chfr8.cloudfront.net/image/725136000567/image_ufkkik5kat0vrfd9vlbgn9fe2o/-FJPG/234782-005_ESS_2.tif</t>
  </si>
  <si>
    <t>Tolle Sideboard - Drifted Oak Veneer</t>
  </si>
  <si>
    <t>https://dd3ka9h4chfr8.cloudfront.net/image/725136000567/image_qa16mojgv97nl5l3qimdnd7g1o/-S150x150-FJPG/234883-001_PRM_1.jpg</t>
  </si>
  <si>
    <t>https://dd3ka9h4chfr8.cloudfront.net/image/725136000567/image_qa16mojgv97nl5l3qimdnd7g1o/-FJPG/234883-001_PRM_1.jpg</t>
  </si>
  <si>
    <t>https://dd3ka9h4chfr8.cloudfront.net/image/725136000567/image_6hvfcr39d953db8u0bpoevf967/-FJPG/234883-001_SID_1.jpg</t>
  </si>
  <si>
    <t>https://dd3ka9h4chfr8.cloudfront.net/image/725136000567/image_7268tkt8u92d56diatifjjal49/-FJPG/234883-001_ESS_1.jpg</t>
  </si>
  <si>
    <t>https://dd3ka9h4chfr8.cloudfront.net/image/725136000567/image_e1ui8bvs855m9bssq6i7478e0j/-FJPG/234883-001_DET_2.jpg</t>
  </si>
  <si>
    <t>https://dd3ka9h4chfr8.cloudfront.net/image/725136000567/image_arcunau1497qt5sbsj8fi6m07b/-FJPG/234883-001_BCK_1.jpg</t>
  </si>
  <si>
    <t>https://dd3ka9h4chfr8.cloudfront.net/image/725136000567/image_5ljbuh5sch4d52nssl3njtuu7e/-FJPG/234883-001_DET_1.jpg</t>
  </si>
  <si>
    <t>https://dd3ka9h4chfr8.cloudfront.net/image/725136000567/image_l6lsro00md551a51vs2qlavi6e/-FJPG/234883-001_DET_3.jpg</t>
  </si>
  <si>
    <t>https://dd3ka9h4chfr8.cloudfront.net/image/725136000567/image_ii8c54b4fl1bd8k913i8t0q47n/-FJPG/234883-001_OPN_1.jpg</t>
  </si>
  <si>
    <t>https://dd3ka9h4chfr8.cloudfront.net/image/725136000567/image_v1rcma7mpt0jldmvemnjlv3t0v/-FJPG/234883-001_DET_4.jpg</t>
  </si>
  <si>
    <t>https://dd3ka9h4chfr8.cloudfront.net/image/725136000567/image_v6ss90gv797kh26d3cfc2qrv1t/-FJPG/234883-001_DET_5.jpg</t>
  </si>
  <si>
    <t>https://dd3ka9h4chfr8.cloudfront.net/image/725136000567/image_3r9m9k7uc12kdf4ufj87hp6k4b/-FJPG/234883-001_DET_6.jpg</t>
  </si>
  <si>
    <t>https://dd3ka9h4chfr8.cloudfront.net/image/725136000567/image_qk5jm8fbnl4ad0l7ulrtr8d65j/-FJPG/234883-001_DET_7.jpg</t>
  </si>
  <si>
    <t>https://dd3ka9h4chfr8.cloudfront.net/image/725136000567/image_e69186017t0mbf8kjn9fhbs420/-FJPG/234883-001_OPN_1.jpg</t>
  </si>
  <si>
    <t>Tomlin Outdoor Bunching Table - Teak Root</t>
  </si>
  <si>
    <t>https://dd3ka9h4chfr8.cloudfront.net/image/725136000567/image_vnj8u2gpi10stbostg7uvd642t/-S150x150-FJPG/233799-001_PRM_1.jpg</t>
  </si>
  <si>
    <t>https://dd3ka9h4chfr8.cloudfront.net/image/725136000567/image_vnj8u2gpi10stbostg7uvd642t/-FJPG/233799-001_PRM_1.jpg</t>
  </si>
  <si>
    <t>https://dd3ka9h4chfr8.cloudfront.net/image/725136000567/image_8obngvm2q154556h0g84v9fh20/-FJPG/233799-001_SID_1.jpg</t>
  </si>
  <si>
    <t>https://dd3ka9h4chfr8.cloudfront.net/image/725136000567/image_85g2bsc7p51n72t2duno2f5e0b/-FJPG/233799-001_ESS_1.jpg</t>
  </si>
  <si>
    <t>https://dd3ka9h4chfr8.cloudfront.net/image/725136000567/image_1qmgp1pv6d7434aibqb7mlbk6e/-FJPG/233799-001_DET_2.jpg</t>
  </si>
  <si>
    <t>https://dd3ka9h4chfr8.cloudfront.net/image/725136000567/image_ecfo8aiu7p78f4ti3omka0as7i/-FJPG/233799-001_DET_1.jpg</t>
  </si>
  <si>
    <t>https://dd3ka9h4chfr8.cloudfront.net/image/725136000567/image_ihlvvjo12p2ojd9qdqukukqd33/-FJPG/233799-001_DET_3.jpg</t>
  </si>
  <si>
    <t>https://dd3ka9h4chfr8.cloudfront.net/image/725136000567/image_nj8crter7l5ud7rrm9rsbgj57e/-FJPG/233799-001_TOP_1.jpg</t>
  </si>
  <si>
    <t>https://dd3ka9h4chfr8.cloudfront.net/image/725136000567/image_7f6ae0vk0130t32cvhtqghvi0n/-FJPG/233799-001_DET_4.jpg</t>
  </si>
  <si>
    <t>Tomlin Outdoor End Table - Teak Root</t>
  </si>
  <si>
    <t>https://dd3ka9h4chfr8.cloudfront.net/image/725136000567/image_q14lutibjd0g52ibee242s7t1k/-S150x150-FJPG/233363-001_PRM_1.jpg</t>
  </si>
  <si>
    <t>https://dd3ka9h4chfr8.cloudfront.net/image/725136000567/image_q14lutibjd0g52ibee242s7t1k/-FJPG/233363-001_PRM_1.jpg</t>
  </si>
  <si>
    <t>https://dd3ka9h4chfr8.cloudfront.net/image/725136000567/image_7n4auu4val40r6ohn8r2bg7v4b/-FJPG/233363-001_SID_1.jpg</t>
  </si>
  <si>
    <t>https://dd3ka9h4chfr8.cloudfront.net/image/725136000567/image_vh4c9ibqkt2if30i8b63bfc438/-FJPG/233363-001_DET_2.jpg</t>
  </si>
  <si>
    <t>https://dd3ka9h4chfr8.cloudfront.net/image/725136000567/image_cg284du7ed5uj95smv7tjvef2o/-FJPG/233363-001_DET_1.jpg</t>
  </si>
  <si>
    <t>https://dd3ka9h4chfr8.cloudfront.net/image/725136000567/image_f3kvd2qe515jv62iepl0a27552/-FJPG/233363-001_DET_3.jpg</t>
  </si>
  <si>
    <t>https://dd3ka9h4chfr8.cloudfront.net/image/725136000567/image_9jujscoqnp4o996rtjn6k5b75l/-FJPG/233363-001_DET_4.jpg</t>
  </si>
  <si>
    <t>Topanga Sofa-97" - Knoll Domino</t>
  </si>
  <si>
    <t>https://dd3ka9h4chfr8.cloudfront.net/image/725136000567/image_37h5mfdqrd5rb8smgkkn722n02/-S150x150-FJPG/241188-004_PRM_1.JPG</t>
  </si>
  <si>
    <t>https://dd3ka9h4chfr8.cloudfront.net/image/725136000567/image_60rsvpr0h94r91c30oko5c9g32/-FJPG/241188-004_FRT_1.jpg</t>
  </si>
  <si>
    <t>https://dd3ka9h4chfr8.cloudfront.net/image/725136000567/image_37h5mfdqrd5rb8smgkkn722n02/-FJPG/241188-004_PRM_1.JPG</t>
  </si>
  <si>
    <t>https://dd3ka9h4chfr8.cloudfront.net/image/725136000567/image_vg2e6k91cd7u7a4logs0499i2p/-FJPG/241188-004_PRM_1.jpg</t>
  </si>
  <si>
    <t>https://dd3ka9h4chfr8.cloudfront.net/image/725136000567/image_7idueg4kal27r3lasmg2clld3s/-FJPG/241188-004_SID_1.JPG</t>
  </si>
  <si>
    <t>https://dd3ka9h4chfr8.cloudfront.net/image/725136000567/image_lkk6s91o3d2pf4fk8dlg1tq064/-FJPG/241188-004_SID_1.jpg</t>
  </si>
  <si>
    <t>https://dd3ka9h4chfr8.cloudfront.net/image/725136000567/image_16ttt3qd8h5cb7hpbl6d15pm2i/-FJPG/241188-004_ESS.tif</t>
  </si>
  <si>
    <t>https://dd3ka9h4chfr8.cloudfront.net/image/725136000567/image_npipf6eqlh3e11fdlegkpkbf1q/-FJPG/241188-004_DET_2.jpg</t>
  </si>
  <si>
    <t>https://dd3ka9h4chfr8.cloudfront.net/image/725136000567/image_1m1bp02vk118t4arganjmqiv2k/-FJPG/241188-004_DET_2.JPG</t>
  </si>
  <si>
    <t>https://dd3ka9h4chfr8.cloudfront.net/image/725136000567/image_k7vq16lid91atanvcpuc06fp5f/-FJPG/241188-004_BCK_1.JPG</t>
  </si>
  <si>
    <t>https://dd3ka9h4chfr8.cloudfront.net/image/725136000567/image_5i6n06a4d13u95kg0g6hgbms13/-FJPG/241188-004_BCK_1.jpg</t>
  </si>
  <si>
    <t>https://dd3ka9h4chfr8.cloudfront.net/image/725136000567/image_e1na2hs2gd57hf39e7t8igma2n/-FJPG/241188-004_DET_1.jpg</t>
  </si>
  <si>
    <t>https://dd3ka9h4chfr8.cloudfront.net/image/725136000567/image_4kvkrfh3891qn7gukhk8q8fk50/-FJPG/241188-004_DET_1.JPG</t>
  </si>
  <si>
    <t>https://dd3ka9h4chfr8.cloudfront.net/image/725136000567/image_v7ina28qkh2pd76hqcklu02324/-FJPG/241188-004_DET_3.jpg</t>
  </si>
  <si>
    <t>https://dd3ka9h4chfr8.cloudfront.net/image/725136000567/image_p087noos2t4r79jj0pda232r0d/-FJPG/241188-004_DET_3.JPG</t>
  </si>
  <si>
    <t>https://dd3ka9h4chfr8.cloudfront.net/image/725136000567/image_gjnc9paei953v3q9acbc45i66h/-FJPG/241188-004_TOP_1.jpg</t>
  </si>
  <si>
    <t>https://dd3ka9h4chfr8.cloudfront.net/image/725136000567/image_dh3ddam3at1u3fog7vf0fh4g1m/-FJPG/241188-004_DET_4.JPG</t>
  </si>
  <si>
    <t>https://dd3ka9h4chfr8.cloudfront.net/image/725136000567/image_k9mm7753rp03b8svgn78d55d4r/-FJPG/241188-004_DET_4.jpg</t>
  </si>
  <si>
    <t>https://dd3ka9h4chfr8.cloudfront.net/image/725136000567/image_9b9r6cq1p17558qqcv5kq6vg2r/-FJPG/241188-004_DET_5.JPG</t>
  </si>
  <si>
    <t>https://dd3ka9h4chfr8.cloudfront.net/image/725136000567/image_i3i2dcjkqh6rp8cgb7tcd5ve5t/-FJPG/241188-004_DET_5.jpg</t>
  </si>
  <si>
    <t>https://dd3ka9h4chfr8.cloudfront.net/image/725136000567/image_d6kn2og06p4652fiqvjc63077p/-FJPG/241188-004_DET_6.JPG</t>
  </si>
  <si>
    <t>https://dd3ka9h4chfr8.cloudfront.net/image/725136000567/image_i858miqfsl1er2k8peqmbndk6h/-FJPG/241188-004_DET_6.jpg</t>
  </si>
  <si>
    <t>https://dd3ka9h4chfr8.cloudfront.net/image/725136000567/image_m3sm87kqsl5gb6kne1vh78ib7p/-FJPG/241188-004_DET_9.tif</t>
  </si>
  <si>
    <t>https://dd3ka9h4chfr8.cloudfront.net/image/725136000567/image_d89554ktd14mn6vbm7p6a3me19/-FJPG/241188-004_DET_10.tif</t>
  </si>
  <si>
    <t>https://dd3ka9h4chfr8.cloudfront.net/image/725136000567/image_kubjkuhkh557r47d5m16s6p601/-FJPG/241188-004_DET_11.tif</t>
  </si>
  <si>
    <t>Topanga Swivel Chair - Heirloom Black</t>
  </si>
  <si>
    <t>https://dd3ka9h4chfr8.cloudfront.net/image/725136000567/image_rp4vkep73p62h5g9a10tffak51/-S150x150-FJPG/106008-020_PRM_1.JPG</t>
  </si>
  <si>
    <t>https://dd3ka9h4chfr8.cloudfront.net/image/725136000567/image_rp4vkep73p62h5g9a10tffak51/-FJPG/106008-020_PRM_1.JPG</t>
  </si>
  <si>
    <t>https://dd3ka9h4chfr8.cloudfront.net/image/725136000567/image_pui8032ki90h19l0i31oio0q3o/-FJPG/106008-020_SID_1.JPG</t>
  </si>
  <si>
    <t>https://dd3ka9h4chfr8.cloudfront.net/image/725136000567/image_9bpg2q244908nctfqjinji9c5i/-FJPG/106008-020_ESS_1.jpg</t>
  </si>
  <si>
    <t>https://dd3ka9h4chfr8.cloudfront.net/image/725136000567/image_3j0mtkg6ht2ht8bqm5s6qpse79/-FJPG/106008-020_DET_2.JPG</t>
  </si>
  <si>
    <t>https://dd3ka9h4chfr8.cloudfront.net/image/725136000567/image_20mhm8qsjd7jdcu19qga7di81s/-FJPG/106008-020_DET_1.JPG</t>
  </si>
  <si>
    <t>https://dd3ka9h4chfr8.cloudfront.net/image/725136000567/image_f74r4ds6ep48h3bgh090dsb45d/-FJPG/106008-020_DET_3.JPG</t>
  </si>
  <si>
    <t>https://dd3ka9h4chfr8.cloudfront.net/image/725136000567/image_im81tdt1kh3pj399ae7t9seq43/-FJPG/106008-020_DET_4.JPG</t>
  </si>
  <si>
    <t>https://dd3ka9h4chfr8.cloudfront.net/image/725136000567/image_b24fm5kjk93g948gf225jbhk6c/-FJPG/106008-020_DET_5.JPG</t>
  </si>
  <si>
    <t>https://dd3ka9h4chfr8.cloudfront.net/image/725136000567/image_hbh2rvma4d5efchciq5fgu2l27/-FJPG/106008-020_PRM_2.JPG</t>
  </si>
  <si>
    <t>Topanga Swivel Chair - Heirloom Sienna</t>
  </si>
  <si>
    <t>https://dd3ka9h4chfr8.cloudfront.net/image/725136000567/image_i8lv3c3sa56s35ms04e8nb2e4q/-S150x150-FJPG/106008-018_PRM_1.jpg</t>
  </si>
  <si>
    <t>https://dd3ka9h4chfr8.cloudfront.net/image/725136000567/image_i8lv3c3sa56s35ms04e8nb2e4q/-FJPG/106008-018_PRM_1.jpg</t>
  </si>
  <si>
    <t>https://dd3ka9h4chfr8.cloudfront.net/image/725136000567/image_v9m39me5s961vf6h1afdll657v/-FJPG/106008-018_SID_1.jpg</t>
  </si>
  <si>
    <t>https://dd3ka9h4chfr8.cloudfront.net/image/725136000567/image_qqjvmp44754p9fkt8l9bg4tn4r/-FJPG/106008-018_ESS_1.jpg</t>
  </si>
  <si>
    <t>https://dd3ka9h4chfr8.cloudfront.net/image/725136000567/image_4ub9kom9pd07v8oecb03u6cb4d/-FJPG/106008-018_DET_2.jpg</t>
  </si>
  <si>
    <t>https://dd3ka9h4chfr8.cloudfront.net/image/725136000567/image_lrue8seauh11dbh9tns0jovf2n/-FJPG/106008-018_BCK_1.jpg</t>
  </si>
  <si>
    <t>https://dd3ka9h4chfr8.cloudfront.net/image/725136000567/image_5k0gf7v24d5731ame5ofs8m36c/-FJPG/106008-018_DET_1.jpg</t>
  </si>
  <si>
    <t>https://dd3ka9h4chfr8.cloudfront.net/image/725136000567/image_vui74re3g54bvbd13ta8vj0h1q/-FJPG/106008-018_DET_3.jpg</t>
  </si>
  <si>
    <t>https://dd3ka9h4chfr8.cloudfront.net/image/725136000567/image_87ga0on5i97hl9dev5b0bo395e/-FJPG/106008-018_DET_4.jpg</t>
  </si>
  <si>
    <t>https://dd3ka9h4chfr8.cloudfront.net/image/725136000567/image_is7998iftd41n0dmdvce1c0t4e/-FJPG/106008-018_DET_5.jpg</t>
  </si>
  <si>
    <t>https://dd3ka9h4chfr8.cloudfront.net/image/725136000567/image_g6glvk5cg90epcn4tueoh7ld1t/-FJPG/106008-018_DET_6.jpg</t>
  </si>
  <si>
    <t>Topanga Swivel Chair - Knoll Domino</t>
  </si>
  <si>
    <t>https://dd3ka9h4chfr8.cloudfront.net/image/725136000567/image_cukm9asn1173h3oca71817rl71/-S150x150-FJPG/106008-009_PRM_1.jpg</t>
  </si>
  <si>
    <t>https://dd3ka9h4chfr8.cloudfront.net/image/725136000567/image_cukm9asn1173h3oca71817rl71/-FJPG/106008-009_PRM_1.jpg</t>
  </si>
  <si>
    <t>https://dd3ka9h4chfr8.cloudfront.net/image/725136000567/image_glvl4fp1pl7trdi4avoidsii75/-FJPG/106008-009_SID_1.jpg</t>
  </si>
  <si>
    <t>https://dd3ka9h4chfr8.cloudfront.net/image/725136000567/image_s4norn6brt4jd008tbrtsmso34/-FJPG/106008-009_ESS_1.jpg</t>
  </si>
  <si>
    <t>https://dd3ka9h4chfr8.cloudfront.net/image/725136000567/image_fcagddmdul6cjcnbq7nhcspg2l/-FJPG/106008-009_DET_2.jpg</t>
  </si>
  <si>
    <t>https://dd3ka9h4chfr8.cloudfront.net/image/725136000567/image_d516uav2k52al81e9tk5udtm3t/-FJPG/106008-009_BCK_1.jpg</t>
  </si>
  <si>
    <t>https://dd3ka9h4chfr8.cloudfront.net/image/725136000567/image_cio903qh3h7vbbiluplp0og62e/-FJPG/106008-009_INF_1.jpg</t>
  </si>
  <si>
    <t>https://dd3ka9h4chfr8.cloudfront.net/image/725136000567/image_krargvgsjt4n7cm9sii4tuph1b/-FJPG/106008-009_DET_1.jpg</t>
  </si>
  <si>
    <t>https://dd3ka9h4chfr8.cloudfront.net/image/725136000567/image_ocq1dgo99l2o555v1pdl31n72v/-FJPG/106008-009_DET_3.jpg</t>
  </si>
  <si>
    <t>https://dd3ka9h4chfr8.cloudfront.net/image/725136000567/image_f9dl0g1r3h66t7bpbsbsmfuo0c/-FJPG/106008-009_DET_4.jpg</t>
  </si>
  <si>
    <t>https://dd3ka9h4chfr8.cloudfront.net/image/725136000567/image_c3gqd5toal6dpfdne3rustni0k/-FJPG/106008-009_DET_5.jpg</t>
  </si>
  <si>
    <t>https://dd3ka9h4chfr8.cloudfront.net/image/725136000567/image_ssrhralr3d0d590h30vku2p153/-FJPG/106008-009_DET_6.jpg</t>
  </si>
  <si>
    <t>https://dd3ka9h4chfr8.cloudfront.net/image/725136000567/image_2p3b1f6g852adeo0vu3q7m8g1g/-FJPG/106008-009_DET_7.jpg</t>
  </si>
  <si>
    <t>https://dd3ka9h4chfr8.cloudfront.net/image/725136000567/image_c8r28rpdh927rb19ku8n6vg35o/-FJPG/106008-009_PRM_2.jpg</t>
  </si>
  <si>
    <t>Topanga Swivel Chair - Knoll Natural</t>
  </si>
  <si>
    <t>https://dd3ka9h4chfr8.cloudfront.net/image/725136000567/image_sr21hhuogp7a10k3n6uk59pf53/-S150x150-FJPG/106008-013_PRM_1.jpg</t>
  </si>
  <si>
    <t>https://dd3ka9h4chfr8.cloudfront.net/image/725136000567/image_sr21hhuogp7a10k3n6uk59pf53/-FJPG/106008-013_PRM_1.jpg</t>
  </si>
  <si>
    <t>https://dd3ka9h4chfr8.cloudfront.net/image/725136000567/image_d73i2tf00p0j3e4bcfcgbu0v63/-FJPG/106008-013_SID_1.jpg</t>
  </si>
  <si>
    <t>https://dd3ka9h4chfr8.cloudfront.net/image/725136000567/image_qg5hhbh9v550754j2skt704j3l/-FJPG/106008-013_ESS_1.jpg</t>
  </si>
  <si>
    <t>https://dd3ka9h4chfr8.cloudfront.net/image/725136000567/image_out49tihmh3030qqq9m9jbck22/-FJPG/106008-013_DET_2.jpg</t>
  </si>
  <si>
    <t>https://dd3ka9h4chfr8.cloudfront.net/image/725136000567/image_haden7ju5d6vne127qqet8387m/-FJPG/106008-013_BCK_1.jpg</t>
  </si>
  <si>
    <t>https://dd3ka9h4chfr8.cloudfront.net/image/725136000567/image_urup6ttjh967p63fuuk13e543m/-FJPG/106008-013_INF_1.jpg</t>
  </si>
  <si>
    <t>https://dd3ka9h4chfr8.cloudfront.net/image/725136000567/image_jphnf8qcfh5d1fsur9slvja445/-FJPG/106008-013_DET_1.jpg</t>
  </si>
  <si>
    <t>https://dd3ka9h4chfr8.cloudfront.net/image/725136000567/image_ke1b45i12h6vvah8o58p9co60a/-FJPG/106008-013_DET_3.jpg</t>
  </si>
  <si>
    <t>https://dd3ka9h4chfr8.cloudfront.net/image/725136000567/image_rcj738s6ap5o3frp091o1cjc4u/-FJPG/106008-013_DET_4.jpg</t>
  </si>
  <si>
    <t>https://dd3ka9h4chfr8.cloudfront.net/image/725136000567/image_3vqvpnhqn56fr0q96k1gjlpr0m/-FJPG/106008-013_DET_5.jpg</t>
  </si>
  <si>
    <t>Torrington Charging Nightstand - Sandy Oak Resawn</t>
  </si>
  <si>
    <t>https://dd3ka9h4chfr8.cloudfront.net/image/725136000567/image_ftrmckc0g91j32c2ad06otn35h/-S150x150-FJPG/238222-002_PRM_1.jpg</t>
  </si>
  <si>
    <t>https://dd3ka9h4chfr8.cloudfront.net/image/725136000567/image_ftrmckc0g91j32c2ad06otn35h/-FJPG/238222-002_PRM_1.jpg</t>
  </si>
  <si>
    <t>https://dd3ka9h4chfr8.cloudfront.net/image/725136000567/image_vpcbf1lked1kdd31ku6e47g93u/-FJPG/238222-002_SID_1.jpg</t>
  </si>
  <si>
    <t>https://dd3ka9h4chfr8.cloudfront.net/image/725136000567/image_jqm7hmlhqd11p6qicngbvg0b58/-FJPG/238222-002_DET_2.jpg</t>
  </si>
  <si>
    <t>https://dd3ka9h4chfr8.cloudfront.net/image/725136000567/image_b5vv2bp5o16fdetm11h0k1r051/-FJPG/238222-002_BCK_1.jpg</t>
  </si>
  <si>
    <t>https://dd3ka9h4chfr8.cloudfront.net/image/725136000567/image_hdsmlnt79126heorkrvf2mrj3q/-FJPG/238222-002_DET_1.jpg</t>
  </si>
  <si>
    <t>https://dd3ka9h4chfr8.cloudfront.net/image/725136000567/image_j58qa961gt441839cqbrfe2l0k/-FJPG/238222-002_DET_3.jpg</t>
  </si>
  <si>
    <t>https://dd3ka9h4chfr8.cloudfront.net/image/725136000567/image_ukfojbqe5t4ij6bjj8kot75r24/-FJPG/238222-002_OPN_1.jpg</t>
  </si>
  <si>
    <t>https://dd3ka9h4chfr8.cloudfront.net/image/725136000567/image_tdg4uop1jl2dr1gueq00qou266/-FJPG/238222-002_DET_4.jpg</t>
  </si>
  <si>
    <t>https://dd3ka9h4chfr8.cloudfront.net/image/725136000567/image_qj5fku3hn16c75scktvfj9ii18/-FJPG/238222-002_DET_5.jpg</t>
  </si>
  <si>
    <t>https://dd3ka9h4chfr8.cloudfront.net/image/725136000567/image_9jjsb3lckh4ut2ngvba11r686p/-FJPG/238222-002_DET_6.jpg</t>
  </si>
  <si>
    <t>https://dd3ka9h4chfr8.cloudfront.net/image/725136000567/image_rkcojnv9g95r16ubsq74j57v0s/-FJPG/238222-002_DET_7.jpg</t>
  </si>
  <si>
    <t>https://dd3ka9h4chfr8.cloudfront.net/image/725136000567/image_4teeide9j970b6b8bc4io45h1k/-FJPG/238222-002_DET_8.jpg</t>
  </si>
  <si>
    <t>Torrington Charging Nightstand - Umber Oak Resawn</t>
  </si>
  <si>
    <t>https://dd3ka9h4chfr8.cloudfront.net/image/725136000567/image_b20hq1du6p58d3fouv7qcipj25/-S150x150-FJPG/238222-001_PRM_1.jpg</t>
  </si>
  <si>
    <t>https://dd3ka9h4chfr8.cloudfront.net/image/725136000567/image_b20hq1du6p58d3fouv7qcipj25/-FJPG/238222-001_PRM_1.jpg</t>
  </si>
  <si>
    <t>https://dd3ka9h4chfr8.cloudfront.net/image/725136000567/image_v86s0rn9c94rf88vvgc9a8ha5k/-FJPG/238222-001_SID_1.jpg</t>
  </si>
  <si>
    <t>https://dd3ka9h4chfr8.cloudfront.net/image/725136000567/image_kq9d84idr91ilcjf8thf5ce731/-FJPG/238222-001_ESS_1.tif</t>
  </si>
  <si>
    <t>https://dd3ka9h4chfr8.cloudfront.net/image/725136000567/image_j41ievqbi97ub5n5mfqs9nsa55/-FJPG/238222-001_DET_2.jpg</t>
  </si>
  <si>
    <t>https://dd3ka9h4chfr8.cloudfront.net/image/725136000567/image_bm76cc98m55k1fc7d66iqcpv4n/-FJPG/238222-001_BCK_1.jpg</t>
  </si>
  <si>
    <t>https://dd3ka9h4chfr8.cloudfront.net/image/725136000567/image_v8c46ghcqp1871rhp6n65oic5h/-FJPG/238222-001_DET_1.jpg</t>
  </si>
  <si>
    <t>https://dd3ka9h4chfr8.cloudfront.net/image/725136000567/image_v2ospjsvll3rt47cubjmu6gp3d/-FJPG/238222-001_DET_3.jpg</t>
  </si>
  <si>
    <t>https://dd3ka9h4chfr8.cloudfront.net/image/725136000567/image_0gqjih90l133j354v3lhd9ct1s/-FJPG/238222-001_OPN_1.jpg</t>
  </si>
  <si>
    <t>https://dd3ka9h4chfr8.cloudfront.net/image/725136000567/image_cpjf5odlnt1k9536nq7g5p3a1g/-FJPG/238222-001_TOP_1.jpg</t>
  </si>
  <si>
    <t>https://dd3ka9h4chfr8.cloudfront.net/image/725136000567/image_0e3lvmhbcp66t41hjj9v49tm05/-FJPG/238222-001_DET_4.jpg</t>
  </si>
  <si>
    <t>https://dd3ka9h4chfr8.cloudfront.net/image/725136000567/image_5n2epdvd6p485evluam6on8p1s/-FJPG/238222-001_DET_6.jpg</t>
  </si>
  <si>
    <t>https://dd3ka9h4chfr8.cloudfront.net/image/725136000567/image_jo2bqft8st6cddar6gfjc05m1p/-FJPG/238222-001_DET_7.jpg</t>
  </si>
  <si>
    <t>https://dd3ka9h4chfr8.cloudfront.net/image/725136000567/image_u7viaciv3d4k3863t7vethof3o/-FJPG/238222-001_DET_9.jpg</t>
  </si>
  <si>
    <t>https://dd3ka9h4chfr8.cloudfront.net/image/725136000567/image_5vduc7ucp1625bkfkn69bue734/-FJPG/238222-001_DET_10.jpg</t>
  </si>
  <si>
    <t>https://dd3ka9h4chfr8.cloudfront.net/image/725136000567/image_sqhgkl0spp7bp1bba9bq4rn936/-FJPG/238222-001_ESS.tif</t>
  </si>
  <si>
    <t>Torrington Desk - Sandy Oak Resawn</t>
  </si>
  <si>
    <t>https://dd3ka9h4chfr8.cloudfront.net/image/725136000567/image_ojlebcepmp00p552f0b0fl2i0v/-S150x150-FJPG/238144-002_PRM_1.jpg</t>
  </si>
  <si>
    <t>https://dd3ka9h4chfr8.cloudfront.net/image/725136000567/image_ojlebcepmp00p552f0b0fl2i0v/-FJPG/238144-002_PRM_1.jpg</t>
  </si>
  <si>
    <t>https://dd3ka9h4chfr8.cloudfront.net/image/725136000567/image_2jfibavact4i38srnl9sl7044d/-FJPG/238144-002_SID_1.jpg</t>
  </si>
  <si>
    <t>https://dd3ka9h4chfr8.cloudfront.net/image/725136000567/image_ko7varodkh1q5bn5uofrgab45d/-FJPG/238144-002_DET_2.jpg</t>
  </si>
  <si>
    <t>https://dd3ka9h4chfr8.cloudfront.net/image/725136000567/image_lf23o1larl2ntfn3jpsdv82027/-FJPG/238144-002_BCK_1.jpg</t>
  </si>
  <si>
    <t>https://dd3ka9h4chfr8.cloudfront.net/image/725136000567/image_kvttgv4pp91fv8204a6vtfsv0g/-FJPG/238144-002_DET_1.jpg</t>
  </si>
  <si>
    <t>https://dd3ka9h4chfr8.cloudfront.net/image/725136000567/image_3ag2t5v8kd4e17lq5psoa4bg25/-FJPG/238144-002_DET_3.jpg</t>
  </si>
  <si>
    <t>https://dd3ka9h4chfr8.cloudfront.net/image/725136000567/image_ofk6o996kh3r942neecrgct45s/-FJPG/238144-002_OPN_1.jpg</t>
  </si>
  <si>
    <t>https://dd3ka9h4chfr8.cloudfront.net/image/725136000567/image_ghfuvk8frd3j5eme87r8ir664l/-FJPG/238144-002_DET_4.jpg</t>
  </si>
  <si>
    <t>https://dd3ka9h4chfr8.cloudfront.net/image/725136000567/image_k1rvrdub4h3dja6n2s9rafsa4j/-FJPG/238144-002_DET_5.jpg</t>
  </si>
  <si>
    <t>https://dd3ka9h4chfr8.cloudfront.net/image/725136000567/image_gioi21pm9t7l94r7js4eer2b4s/-FJPG/238144-002_DET_6.jpg</t>
  </si>
  <si>
    <t>https://dd3ka9h4chfr8.cloudfront.net/image/725136000567/image_r9rread6914lj2p0bdev0tse25/-FJPG/238144-002_DET_7.jpg</t>
  </si>
  <si>
    <t>https://dd3ka9h4chfr8.cloudfront.net/image/725136000567/image_93rjuj3o315617hd29ulocje50/-FJPG/238144-002_DET_8.jpg</t>
  </si>
  <si>
    <t>Torrington Desk - Umber Oak Resawn</t>
  </si>
  <si>
    <t>https://dd3ka9h4chfr8.cloudfront.net/image/725136000567/image_743e08qad579nck97nn44o2912/-S150x150-FJPG/238144-001_PRM_1.jpg</t>
  </si>
  <si>
    <t>https://dd3ka9h4chfr8.cloudfront.net/image/725136000567/image_743e08qad579nck97nn44o2912/-FJPG/238144-001_PRM_1.jpg</t>
  </si>
  <si>
    <t>https://dd3ka9h4chfr8.cloudfront.net/image/725136000567/image_qan1crd4j17st8s6dc8mlr4072/-FJPG/238144-001_SID_1.jpg</t>
  </si>
  <si>
    <t>https://dd3ka9h4chfr8.cloudfront.net/image/725136000567/image_uioop8bgdl1rheu21t8oi24i13/-FJPG/238144-001_ESS_1.tif</t>
  </si>
  <si>
    <t>https://dd3ka9h4chfr8.cloudfront.net/image/725136000567/image_9ug7oqbqlt5j30qk5sq2s9jn3p/-FJPG/238144-001_DET_2.jpg</t>
  </si>
  <si>
    <t>https://dd3ka9h4chfr8.cloudfront.net/image/725136000567/image_dgqsvmvemp5fb8vqa8gps9jm2v/-FJPG/238144-001_BCK_1.jpg</t>
  </si>
  <si>
    <t>https://dd3ka9h4chfr8.cloudfront.net/image/725136000567/image_okqkmk30pp62l1rdvrmcoi2v7n/-FJPG/238144-001_DET_5.jpg</t>
  </si>
  <si>
    <t>https://dd3ka9h4chfr8.cloudfront.net/image/725136000567/image_i51hkajerl3l53l1n6sbmb5j2s/-FJPG/238144-001_DET_3.jpg</t>
  </si>
  <si>
    <t>https://dd3ka9h4chfr8.cloudfront.net/image/725136000567/image_f8bbfmmffd4jfemabe38bbnh64/-FJPG/238144-001_OPN_1.jpg</t>
  </si>
  <si>
    <t>https://dd3ka9h4chfr8.cloudfront.net/image/725136000567/image_8andmgrdm96d94otivrqntdc3i/-FJPG/238144-001_TOP_1.jpg</t>
  </si>
  <si>
    <t>https://dd3ka9h4chfr8.cloudfront.net/image/725136000567/image_d6b46cekmp2c3diiptkpit9g6r/-FJPG/238144-001_DET_4.jpg</t>
  </si>
  <si>
    <t>https://dd3ka9h4chfr8.cloudfront.net/image/725136000567/image_npi7umuqj970l00o2v5md8b06i/-FJPG/238144-001_DET_6.jpg</t>
  </si>
  <si>
    <t>https://dd3ka9h4chfr8.cloudfront.net/image/725136000567/image_2eq54rkov90lv3d8vd30sc914r/-FJPG/238144-001_DET_7.jpg</t>
  </si>
  <si>
    <t>https://dd3ka9h4chfr8.cloudfront.net/image/725136000567/image_dlg55c6b9p7rv3tompbn4s9t1u/-FJPG/238144-001_DET_8.jpg</t>
  </si>
  <si>
    <t>https://dd3ka9h4chfr8.cloudfront.net/image/725136000567/image_sikucis6m16kvec0hnoc9sj51s/-FJPG/238144-001_DET_9.jpg</t>
  </si>
  <si>
    <t>https://dd3ka9h4chfr8.cloudfront.net/image/725136000567/image_b33jm1h7r137j2uu796up0ma3s/-FJPG/238144-001_DET_9.tif</t>
  </si>
  <si>
    <t>https://dd3ka9h4chfr8.cloudfront.net/image/725136000567/image_0c5fqpol157jba6c4svjo1e369/-FJPG/238144-001_DET_10.jpg</t>
  </si>
  <si>
    <t>https://dd3ka9h4chfr8.cloudfront.net/image/725136000567/image_q3octlnnkp5099pls5sm7ej939/-FJPG/238144-001_DET_11.jpg</t>
  </si>
  <si>
    <t>https://dd3ka9h4chfr8.cloudfront.net/image/725136000567/image_0ko03kg82965ddbricjs6vad33/-FJPG/238144-001_DET_12.jpg</t>
  </si>
  <si>
    <t>https://dd3ka9h4chfr8.cloudfront.net/image/725136000567/image_6iac9toagd7bb5bp5pmliqtm00/-FJPG/238144-001_ESS.tif</t>
  </si>
  <si>
    <t>Torrington Dining Table - Sandy Oak Resawn</t>
  </si>
  <si>
    <t>https://dd3ka9h4chfr8.cloudfront.net/image/725136000567/image_o1ktai9n2d0d1dilcgo31gqc66/-S150x150-FJPG/238149-002_PRM_1.jpg</t>
  </si>
  <si>
    <t>https://dd3ka9h4chfr8.cloudfront.net/image/725136000567/image_o1ktai9n2d0d1dilcgo31gqc66/-FJPG/238149-002_PRM_1.jpg</t>
  </si>
  <si>
    <t>https://dd3ka9h4chfr8.cloudfront.net/image/725136000567/image_d18spemdu17fl5icmse3rsj937/-FJPG/238149-002_SID_1.jpg</t>
  </si>
  <si>
    <t>https://dd3ka9h4chfr8.cloudfront.net/image/725136000567/image_dupmi6p33579j3ufbdavp28v27/-FJPG/238149-002_DET_2.jpg</t>
  </si>
  <si>
    <t>https://dd3ka9h4chfr8.cloudfront.net/image/725136000567/image_fnm0rog6j91ot70ticeb6ot25f/-FJPG/238149-002_BCK_1.jpg</t>
  </si>
  <si>
    <t>https://dd3ka9h4chfr8.cloudfront.net/image/725136000567/image_gusdsf1fp131775di3sutk0b3u/-FJPG/238149-002_DET_1.jpg</t>
  </si>
  <si>
    <t>https://dd3ka9h4chfr8.cloudfront.net/image/725136000567/image_bk59kst7b11r77p4n32bn8ah7e/-FJPG/238149-002_DET_3.jpg</t>
  </si>
  <si>
    <t>https://dd3ka9h4chfr8.cloudfront.net/image/725136000567/image_el4oemael12qd7qmqpterhk811/-FJPG/238149-002_TOP_1.jpg</t>
  </si>
  <si>
    <t>https://dd3ka9h4chfr8.cloudfront.net/image/725136000567/image_ql42b9bsb549r1k12idq6fic70/-FJPG/238149-002_DET_4.jpg</t>
  </si>
  <si>
    <t>https://dd3ka9h4chfr8.cloudfront.net/image/725136000567/image_81e1sa66rl3vneea73n4bf3n5p/-FJPG/238149-002_DET_5.jpg</t>
  </si>
  <si>
    <t>https://dd3ka9h4chfr8.cloudfront.net/image/725136000567/image_bqeua4kodt0jt8hsj6i7efsb41/-FJPG/238149-002_DET_6.jpg</t>
  </si>
  <si>
    <t>https://dd3ka9h4chfr8.cloudfront.net/image/725136000567/image_0m1gsvtbsd3g5br9q2deglvq3n/-FJPG/238149-002_DET_7.jpg</t>
  </si>
  <si>
    <t>Torrington Dining Table - Umber Oak Resawn</t>
  </si>
  <si>
    <t>https://dd3ka9h4chfr8.cloudfront.net/image/725136000567/image_6si3gg9k055cl098a6bu8di17j/-S150x150-FJPG/238149-001_PRM_1.jpg</t>
  </si>
  <si>
    <t>https://dd3ka9h4chfr8.cloudfront.net/image/725136000567/image_6si3gg9k055cl098a6bu8di17j/-FJPG/238149-001_PRM_1.jpg</t>
  </si>
  <si>
    <t>https://dd3ka9h4chfr8.cloudfront.net/image/725136000567/image_gugeh12s2l63re2bp9k1j7oi5i/-FJPG/238149-001_SID_1.jpg</t>
  </si>
  <si>
    <t>https://dd3ka9h4chfr8.cloudfront.net/image/725136000567/image_6cbuaeg62h607e25ur1br8fa7n/-FJPG/238149-001_ESS.tif</t>
  </si>
  <si>
    <t>https://dd3ka9h4chfr8.cloudfront.net/image/725136000567/image_8jossngdu109hau4cmvjgpav7u/-FJPG/238149-001_DET_2.jpg</t>
  </si>
  <si>
    <t>https://dd3ka9h4chfr8.cloudfront.net/image/725136000567/image_9amliofd9p0h58l0e59u4gcg5u/-FJPG/238149-001_BCK_1.jpg</t>
  </si>
  <si>
    <t>https://dd3ka9h4chfr8.cloudfront.net/image/725136000567/image_jgst250b3h44j5mj74kvb93t5m/-FJPG/238149-001_DET_1.jpg</t>
  </si>
  <si>
    <t>https://dd3ka9h4chfr8.cloudfront.net/image/725136000567/image_einhk29k595d1bomde5mtjsm26/-FJPG/238149-001_DET_3.jpg</t>
  </si>
  <si>
    <t>https://dd3ka9h4chfr8.cloudfront.net/image/725136000567/image_2dgvquu2cl0ur6eum5217q4q2r/-FJPG/238149-001_TOP_1.jpg</t>
  </si>
  <si>
    <t>https://dd3ka9h4chfr8.cloudfront.net/image/725136000567/image_1vlue2a3n55vl62bfpgs5hb81b/-FJPG/238149-001_DET_4.jpg</t>
  </si>
  <si>
    <t>https://dd3ka9h4chfr8.cloudfront.net/image/725136000567/image_o8to252ceh2lr60i7oiln7274f/-FJPG/238149-001_DET_5.jpg</t>
  </si>
  <si>
    <t>https://dd3ka9h4chfr8.cloudfront.net/image/725136000567/image_t6bsbkimd52f30kdh9m40f3c12/-FJPG/238149-001_DET_6.jpg</t>
  </si>
  <si>
    <t>https://dd3ka9h4chfr8.cloudfront.net/image/725136000567/image_ol9autri2l7mv5rb55middp26b/-FJPG/238149-001_DET_9.tif</t>
  </si>
  <si>
    <t>https://dd3ka9h4chfr8.cloudfront.net/image/725136000567/image_vil3dft4bt5kr4bs677hb6ku76/-FJPG/238149-001_DET_10.tif</t>
  </si>
  <si>
    <t>Torrington Sideboard - Sandy Oak Veneer</t>
  </si>
  <si>
    <t>https://dd3ka9h4chfr8.cloudfront.net/image/725136000567/image_2377idgjdl49r6ccus6ae9b52j/-S150x150-FJPG/236939-002_PRM_1.jpg</t>
  </si>
  <si>
    <t>https://dd3ka9h4chfr8.cloudfront.net/image/725136000567/image_2377idgjdl49r6ccus6ae9b52j/-FJPG/236939-002_PRM_1.jpg</t>
  </si>
  <si>
    <t>https://dd3ka9h4chfr8.cloudfront.net/image/725136000567/image_6tuv9pqs8d0utd1m3p7bq1fm0m/-FJPG/236939-002_SID_1.jpg</t>
  </si>
  <si>
    <t>https://dd3ka9h4chfr8.cloudfront.net/image/725136000567/image_kbbo8hg3al6cj2hvth6utb0878/-FJPG/236939-002_DET_2.jpg</t>
  </si>
  <si>
    <t>https://dd3ka9h4chfr8.cloudfront.net/image/725136000567/image_ko4jauku191vb44mval398ur2i/-FJPG/236939-002_BCK_1.jpg</t>
  </si>
  <si>
    <t>https://dd3ka9h4chfr8.cloudfront.net/image/725136000567/image_2j0p05ois50v93e7h1u4mm5s18/-FJPG/236939-002_DET_1.jpg</t>
  </si>
  <si>
    <t>https://dd3ka9h4chfr8.cloudfront.net/image/725136000567/image_utudnjbufl76t0iugii4kidu6p/-FJPG/236939-002_DET_3.jpg</t>
  </si>
  <si>
    <t>https://dd3ka9h4chfr8.cloudfront.net/image/725136000567/image_edd9ne0ojp0qbajiu09nrmtk58/-FJPG/236939-002_OPN_1.jpg</t>
  </si>
  <si>
    <t>https://dd3ka9h4chfr8.cloudfront.net/image/725136000567/image_gmnn7738kp0cb1nmq6fiuc4r4j/-FJPG/236939-002_DET_4.jpg</t>
  </si>
  <si>
    <t>https://dd3ka9h4chfr8.cloudfront.net/image/725136000567/image_mpn8mqhdu54hp3avlu63bvjk36/-FJPG/236939-002_DET_5.jpg</t>
  </si>
  <si>
    <t>https://dd3ka9h4chfr8.cloudfront.net/image/725136000567/image_o5t8gfq57536jdhrjqschhd735/-FJPG/236939-002_DET_6.jpg</t>
  </si>
  <si>
    <t>https://dd3ka9h4chfr8.cloudfront.net/image/725136000567/image_rp5uglpam94ip50jkie6beda5i/-FJPG/236939-002_DET_7.jpg</t>
  </si>
  <si>
    <t>Toulouse Bed - Distressed Black</t>
  </si>
  <si>
    <t>https://dd3ka9h4chfr8.cloudfront.net/image/725136000567/image_qh3qs0sgop3415dn845ffkma04/-S150x150-FJPG/231966-004_PRM_1.jpg</t>
  </si>
  <si>
    <t>https://dd3ka9h4chfr8.cloudfront.net/image/725136000567/image_qh3qs0sgop3415dn845ffkma04/-FJPG/231966-004_PRM_1.jpg</t>
  </si>
  <si>
    <t>https://dd3ka9h4chfr8.cloudfront.net/image/725136000567/image_frfsc9kimt1t5ae5ern5la9n1t/-FJPG/231966-004_SID_1.jpg</t>
  </si>
  <si>
    <t>https://dd3ka9h4chfr8.cloudfront.net/image/725136000567/image_1qoe4p29nt1tl74srinvph826k/-FJPG/231966-004_ESS.tif</t>
  </si>
  <si>
    <t>https://dd3ka9h4chfr8.cloudfront.net/image/725136000567/image_ul4busedcp0nt6p0k6s89dfc3f/-FJPG/231966-004_DET_2.jpg</t>
  </si>
  <si>
    <t>https://dd3ka9h4chfr8.cloudfront.net/image/725136000567/image_p1pi4stol95n9a2bt81sfv7j43/-FJPG/231966-004_BCK_1.jpg</t>
  </si>
  <si>
    <t>https://dd3ka9h4chfr8.cloudfront.net/image/725136000567/image_4nm6ue5vr916re74re5peir945/-FJPG/231966-004_DET_1.jpg</t>
  </si>
  <si>
    <t>https://dd3ka9h4chfr8.cloudfront.net/image/725136000567/image_a63iulg88t3j38q9ue9ocl9l1v/-FJPG/231966-004_DET_3.jpg</t>
  </si>
  <si>
    <t>https://dd3ka9h4chfr8.cloudfront.net/image/725136000567/image_bebk91r8r554v2onrno1t4p17j/-FJPG/231966-004_DET_4.jpg</t>
  </si>
  <si>
    <t>https://dd3ka9h4chfr8.cloudfront.net/image/725136000567/image_3kcpvv64s57un90k3kslon2i6a/-FJPG/231966-004_DET_5.jpg</t>
  </si>
  <si>
    <t>https://dd3ka9h4chfr8.cloudfront.net/image/725136000567/image_sk3dmhl18d1v598mv1426dd850/-FJPG/231966-004_DET_6.jpg</t>
  </si>
  <si>
    <t>Toulouse Bed - Toasted Oak Veneer</t>
  </si>
  <si>
    <t>https://dd3ka9h4chfr8.cloudfront.net/image/725136000567/image_oulidu20dp1q390rlh621k446m/-S150x150-FJPG/231966-001_PRM_1.jpg</t>
  </si>
  <si>
    <t>https://dd3ka9h4chfr8.cloudfront.net/image/725136000567/image_oulidu20dp1q390rlh621k446m/-FJPG/231966-001_PRM_1.jpg</t>
  </si>
  <si>
    <t>https://dd3ka9h4chfr8.cloudfront.net/image/725136000567/image_f8djf1of5d7btc14lt7t17676c/-FJPG/231966-001_SID_1.jpg</t>
  </si>
  <si>
    <t>https://dd3ka9h4chfr8.cloudfront.net/image/725136000567/image_nd0dmk8fqp7sl7iaoccck3e97q/-FJPG/231966-001_ESS.tif</t>
  </si>
  <si>
    <t>https://dd3ka9h4chfr8.cloudfront.net/image/725136000567/image_nvtfp20p594jl699g9e1q0552r/-FJPG/231966-001_DET_2.jpg</t>
  </si>
  <si>
    <t>https://dd3ka9h4chfr8.cloudfront.net/image/725136000567/image_o4m1k7f7qd32ndufsg01bnib7i/-FJPG/231966-001_BCK_1.jpg</t>
  </si>
  <si>
    <t>https://dd3ka9h4chfr8.cloudfront.net/image/725136000567/image_hde9i2bhi56theb7r80utheg16/-FJPG/231966-001_DET_1.jpg</t>
  </si>
  <si>
    <t>https://dd3ka9h4chfr8.cloudfront.net/image/725136000567/image_adstukdb195upbmo939t5ins6i/-FJPG/231966-001_DET_3.jpg</t>
  </si>
  <si>
    <t>https://dd3ka9h4chfr8.cloudfront.net/image/725136000567/image_3t3lqvh13p64vdffi87jsi3p54/-FJPG/231966-001_DET_4.jpg</t>
  </si>
  <si>
    <t>https://dd3ka9h4chfr8.cloudfront.net/image/725136000567/image_63obsods5956v0s6itkqq1qr2m/-FJPG/231966-001_PRM_2.jpg</t>
  </si>
  <si>
    <t>https://dd3ka9h4chfr8.cloudfront.net/image/725136000567/image_b3kajnjj2d2dn44nv91pi59n4f/-FJPG/231966-001_SID_2.jpg</t>
  </si>
  <si>
    <t>https://dd3ka9h4chfr8.cloudfront.net/image/725136000567/image_l7k0bhkqt95qpdg70m5qk1t32o/-FJPG/231966-001_FRT_2.jpg</t>
  </si>
  <si>
    <t>https://dd3ka9h4chfr8.cloudfront.net/image/725136000567/image_dftrgssti97mn9e0hm3per7h73/-S150x150-FJPG/231966-002_PRM_1.jpg</t>
  </si>
  <si>
    <t>https://dd3ka9h4chfr8.cloudfront.net/image/725136000567/image_dftrgssti97mn9e0hm3per7h73/-FJPG/231966-002_PRM_1.jpg</t>
  </si>
  <si>
    <t>https://dd3ka9h4chfr8.cloudfront.net/image/725136000567/image_61sva0qd554k32qfioon4f0i5o/-FJPG/231966-002_SID_1.jpg</t>
  </si>
  <si>
    <t>https://dd3ka9h4chfr8.cloudfront.net/image/725136000567/image_g6ll1opd1d6557vihf8hdv2e1f/-FJPG/231966-002_ESS_1.jpg</t>
  </si>
  <si>
    <t>https://dd3ka9h4chfr8.cloudfront.net/image/725136000567/image_3j2kco16nt3tt83054lutfgj16/-FJPG/231966-002_DET_2.jpg</t>
  </si>
  <si>
    <t>https://dd3ka9h4chfr8.cloudfront.net/image/725136000567/image_jg2doid3cd30j657dpcirh603s/-FJPG/231966-002_BCK_1.jpg</t>
  </si>
  <si>
    <t>https://dd3ka9h4chfr8.cloudfront.net/image/725136000567/image_nrj701atm95v5dhre9qp2i267j/-FJPG/231966-002_DET_1.jpg</t>
  </si>
  <si>
    <t>https://dd3ka9h4chfr8.cloudfront.net/image/725136000567/image_v09peonqud5edb3ut9b8d1591s/-FJPG/231966-002_DET_3.jpg</t>
  </si>
  <si>
    <t>https://dd3ka9h4chfr8.cloudfront.net/image/725136000567/image_02fooa1hah02n0vbn88flf4u56/-FJPG/231966-002_DET_4.jpg</t>
  </si>
  <si>
    <t>https://dd3ka9h4chfr8.cloudfront.net/image/725136000567/image_hof5esum8t06t74tinjeiq9a7r/-FJPG/231966-002_DET_5.jpg</t>
  </si>
  <si>
    <t>https://dd3ka9h4chfr8.cloudfront.net/image/725136000567/image_hv4lp7241t64j2c33niq66ij14/-FJPG/231966-002_DET_6.jpg</t>
  </si>
  <si>
    <t>https://dd3ka9h4chfr8.cloudfront.net/image/725136000567/image_00gntpljil4bj81vuvv4ocj37c/-FJPG/231966-002_SID_2.jpg</t>
  </si>
  <si>
    <t>https://dd3ka9h4chfr8.cloudfront.net/image/725136000567/image_1mftspf59d5rb6v2uo05v2br37/-FJPG/231966-002_FRT_2.jpg</t>
  </si>
  <si>
    <t>https://dd3ka9h4chfr8.cloudfront.net/image/725136000567/image_rk1bhu4iu51873cmijhlge2k75/-FJPG/231966-002_PRM_2.jpg</t>
  </si>
  <si>
    <t>https://dd3ka9h4chfr8.cloudfront.net/image/725136000567/image_i7s17pignd42j8lakaddusu74v/-FJPG/231966-002_PRM_3.jpg</t>
  </si>
  <si>
    <t>https://dd3ka9h4chfr8.cloudfront.net/image/725136000567/image_4qc6pomsap0hp2qr6v3rekin3j/-S150x150-FJPG/231966-005_PRM_1.jpg</t>
  </si>
  <si>
    <t>https://dd3ka9h4chfr8.cloudfront.net/image/725136000567/image_4qc6pomsap0hp2qr6v3rekin3j/-FJPG/231966-005_PRM_1.jpg</t>
  </si>
  <si>
    <t>https://dd3ka9h4chfr8.cloudfront.net/image/725136000567/image_4pjjvch1b922f9i8bopat1701g/-FJPG/231966-005_SID_1.jpg</t>
  </si>
  <si>
    <t>https://dd3ka9h4chfr8.cloudfront.net/image/725136000567/image_6tghi9crll291fveiro28fra4h/-FJPG/231966-005_ESS_1.jpg</t>
  </si>
  <si>
    <t>https://dd3ka9h4chfr8.cloudfront.net/image/725136000567/image_ntil6o8d3h1m39hocslvjm3b20/-FJPG/231966-005_DET_2.jpg</t>
  </si>
  <si>
    <t>https://dd3ka9h4chfr8.cloudfront.net/image/725136000567/image_agaf6kbtr53690uiv0s3j1pu6t/-FJPG/231966-005_BCK_1.jpg</t>
  </si>
  <si>
    <t>https://dd3ka9h4chfr8.cloudfront.net/image/725136000567/image_rvics69jp53ffd28f9hesl7m4t/-FJPG/231966-005_DET_1.jpg</t>
  </si>
  <si>
    <t>https://dd3ka9h4chfr8.cloudfront.net/image/725136000567/image_bgmdu54le90nb1iocjuagrdq0f/-FJPG/231966-005_DET_3.jpg</t>
  </si>
  <si>
    <t>https://dd3ka9h4chfr8.cloudfront.net/image/725136000567/image_54jfv4fj190cl3foss84cvoq34/-FJPG/231966-005_DET_4.jpg</t>
  </si>
  <si>
    <t>https://dd3ka9h4chfr8.cloudfront.net/image/725136000567/image_s0hiee0d6l0hr2kbigppgjsp4e/-FJPG/231966-005_DET_5.jpg</t>
  </si>
  <si>
    <t>https://dd3ka9h4chfr8.cloudfront.net/image/725136000567/image_f01njelgmd68n7jgecbhl1p907/-FJPG/231966-005_DET_6.jpg</t>
  </si>
  <si>
    <t>Toulouse Executive Desk - Toasted Oak Veneer</t>
  </si>
  <si>
    <t>https://dd3ka9h4chfr8.cloudfront.net/image/725136000567/image_uc088e89fd75nan7dkq7235v2t/-S150x150-FJPG/231890-001_PRM_1.jpg</t>
  </si>
  <si>
    <t>https://dd3ka9h4chfr8.cloudfront.net/image/725136000567/image_uc088e89fd75nan7dkq7235v2t/-FJPG/231890-001_PRM_1.jpg</t>
  </si>
  <si>
    <t>https://dd3ka9h4chfr8.cloudfront.net/image/725136000567/image_pemsch53hl6ql7619jv4mekf2i/-FJPG/231890-001_SID_1.jpg</t>
  </si>
  <si>
    <t>https://dd3ka9h4chfr8.cloudfront.net/image/725136000567/image_ask4hradjh5fbdmantagi6ud5o/-FJPG/231890-001_ESS_1.jpg</t>
  </si>
  <si>
    <t>https://dd3ka9h4chfr8.cloudfront.net/image/725136000567/image_ra7b3jib491af6r8pgnnsh840e/-FJPG/231890-001_DET_2.jpg</t>
  </si>
  <si>
    <t>https://dd3ka9h4chfr8.cloudfront.net/image/725136000567/image_q0n9qkls6t78v4qprbt11p2v69/-FJPG/231890-001_BCK_1.jpg</t>
  </si>
  <si>
    <t>https://dd3ka9h4chfr8.cloudfront.net/image/725136000567/image_g8s1iin9fh1954jh13rp9mv747/-FJPG/231890-001_DET_1.jpg</t>
  </si>
  <si>
    <t>https://dd3ka9h4chfr8.cloudfront.net/image/725136000567/image_d7g41ckpo90338ljon72rkgo47/-FJPG/231890-001_DET_3.jpg</t>
  </si>
  <si>
    <t>https://dd3ka9h4chfr8.cloudfront.net/image/725136000567/image_u7betalf1905l3h7h7p570lf2n/-FJPG/231890-001_OPN_1.jpg</t>
  </si>
  <si>
    <t>https://dd3ka9h4chfr8.cloudfront.net/image/725136000567/image_38hciisnp16st16fai1e06ns1m/-FJPG/231890-001_DET_4.jpg</t>
  </si>
  <si>
    <t>https://dd3ka9h4chfr8.cloudfront.net/image/725136000567/image_o0ddi8s3nt5olc6g6j7dp7431m/-FJPG/231890-001_DET_5.jpg</t>
  </si>
  <si>
    <t>https://dd3ka9h4chfr8.cloudfront.net/image/725136000567/image_0qrbi5g3l17sn3pgsu7t40dv3h/-FJPG/231890-001_DET_6.jpg</t>
  </si>
  <si>
    <t>https://dd3ka9h4chfr8.cloudfront.net/image/725136000567/image_chraff1nr91br1rnnmcoukok2g/-FJPG/231890-001_DET_7.jpg</t>
  </si>
  <si>
    <t>https://dd3ka9h4chfr8.cloudfront.net/image/725136000567/image_kv44gf5c094o196mvi8kd36p0i/-FJPG/231890-001_OPN_2.jpg</t>
  </si>
  <si>
    <t>https://dd3ka9h4chfr8.cloudfront.net/image/725136000567/image_je2jhdfub16r58lndnmffefa2e/-FJPG/231890-001-BACK.jpg</t>
  </si>
  <si>
    <t>https://dd3ka9h4chfr8.cloudfront.net/image/725136000567/image_rbsnbkfqfh7mv2fo3n9kh6lg3c/-FJPG/231890-001_PRM_2.jpg</t>
  </si>
  <si>
    <t>Trey 5 Drawer Dresser - Auburn Poplar</t>
  </si>
  <si>
    <t>https://dd3ka9h4chfr8.cloudfront.net/image/725136000567/image_koq4t7lplp06f9g8q51spld23o/-S150x150-FJPG/108604-001_PRM_1.jpg</t>
  </si>
  <si>
    <t>https://dd3ka9h4chfr8.cloudfront.net/image/725136000567/image_koq4t7lplp06f9g8q51spld23o/-FJPG/108604-001_PRM_1.jpg</t>
  </si>
  <si>
    <t>https://dd3ka9h4chfr8.cloudfront.net/image/725136000567/image_52637pkop10mdc0aeasbjg236r/-FJPG/108604-001_DET_2.jpg</t>
  </si>
  <si>
    <t>https://dd3ka9h4chfr8.cloudfront.net/image/725136000567/image_d2iill6gn15bpag0153avhha0p/-FJPG/108604-001_BCK_1.jpg</t>
  </si>
  <si>
    <t>https://dd3ka9h4chfr8.cloudfront.net/image/725136000567/image_umhmesscbd5m9dijgo6tl3ej06/-FJPG/108604-001_DET_1.jpg</t>
  </si>
  <si>
    <t>https://dd3ka9h4chfr8.cloudfront.net/image/725136000567/image_lcm6msr9p162v313iajm363c1s/-FJPG/108604-001_DET_3.jpg</t>
  </si>
  <si>
    <t>https://dd3ka9h4chfr8.cloudfront.net/image/725136000567/image_fhvcau7kpd2enbrs746en4ga12/-FJPG/108604-001_OPN_1.jpg</t>
  </si>
  <si>
    <t>https://dd3ka9h4chfr8.cloudfront.net/image/725136000567/image_bbkfnn93lp3jjdmvhrepr1g30u/-FJPG/108604-001_DET_4.jpg</t>
  </si>
  <si>
    <t>https://dd3ka9h4chfr8.cloudfront.net/image/725136000567/image_584sup95hl4lb3clmiuim9j776/-FJPG/108604-001_DET_5.jpg</t>
  </si>
  <si>
    <t>https://dd3ka9h4chfr8.cloudfront.net/image/725136000567/image_dbnlqk6gpl4d95jdl5fk2h7b2h/-FJPG/108604-001_VIG_1.jpg</t>
  </si>
  <si>
    <t>Trey 5 Drawer Dresser - Black Wash Poplar</t>
  </si>
  <si>
    <t>https://dd3ka9h4chfr8.cloudfront.net/image/725136000567/image_8shh5d8bi102321cij55q02e65/-S150x150-FJPG/108604-002_PRM_1.jpg</t>
  </si>
  <si>
    <t>https://dd3ka9h4chfr8.cloudfront.net/image/725136000567/image_8shh5d8bi102321cij55q02e65/-FJPG/108604-002_PRM_1.jpg</t>
  </si>
  <si>
    <t>https://dd3ka9h4chfr8.cloudfront.net/image/725136000567/image_mue35975e915v37rs286hh8b3l/-FJPG/108604-002_SID_1.jpg</t>
  </si>
  <si>
    <t>https://dd3ka9h4chfr8.cloudfront.net/image/725136000567/image_pqgffbr6hp63ded8l9q5v86s6r/-FJPG/108604-002_DET_2.jpg</t>
  </si>
  <si>
    <t>https://dd3ka9h4chfr8.cloudfront.net/image/725136000567/image_d7s7766tbh1oha483r02g44l53/-FJPG/108604-002_BCK_1.jpg</t>
  </si>
  <si>
    <t>https://dd3ka9h4chfr8.cloudfront.net/image/725136000567/image_0otb4ofnbl7qhe09a5rkt8lq52/-FJPG/108604-002_DET_1.jpg</t>
  </si>
  <si>
    <t>https://dd3ka9h4chfr8.cloudfront.net/image/725136000567/image_311s1u1re56a9b6v7vsu7m8v52/-FJPG/108604-002_DET_3.jpg</t>
  </si>
  <si>
    <t>https://dd3ka9h4chfr8.cloudfront.net/image/725136000567/image_r7mcj1r02565l90109ot32ct6q/-FJPG/108604-002_OPN_1.jpg</t>
  </si>
  <si>
    <t>https://dd3ka9h4chfr8.cloudfront.net/image/725136000567/image_avqf8kp8jl39pbk181gom5aj7u/-FJPG/108604-002_DET_4.jpg</t>
  </si>
  <si>
    <t>https://dd3ka9h4chfr8.cloudfront.net/image/725136000567/image_2j6quf5m2d2hf15iob8am10g38/-FJPG/108604-002_DET_5.jpg</t>
  </si>
  <si>
    <t>https://dd3ka9h4chfr8.cloudfront.net/image/725136000567/image_o472kra50h3bj5btfsq8iod53d/-FJPG/108604-002_DET_6.jpg</t>
  </si>
  <si>
    <t>https://dd3ka9h4chfr8.cloudfront.net/image/725136000567/image_6eq1i1gi2p74n10drls5guas7g/-FJPG/108604-002_DET_7.jpg</t>
  </si>
  <si>
    <t>Trey 5 Drawer Dresser - Dove Poplar</t>
  </si>
  <si>
    <t>https://dd3ka9h4chfr8.cloudfront.net/image/725136000567/image_72kmhk4j812tvb04c4lrm81r6m/-S150x150-FJPG/108604-003_PRM_1.jpg</t>
  </si>
  <si>
    <t>https://dd3ka9h4chfr8.cloudfront.net/image/725136000567/image_72kmhk4j812tvb04c4lrm81r6m/-FJPG/108604-003_PRM_1.jpg</t>
  </si>
  <si>
    <t>https://dd3ka9h4chfr8.cloudfront.net/image/725136000567/image_9pivarocod1l72stdf31kc6i5u/-FJPG/108604-003_SID_1.jpg</t>
  </si>
  <si>
    <t>https://dd3ka9h4chfr8.cloudfront.net/image/725136000567/image_9ers8jtbn11535qqqcs62mu97j/-FJPG/108604-003_DET_2.jpg</t>
  </si>
  <si>
    <t>https://dd3ka9h4chfr8.cloudfront.net/image/725136000567/image_nra70b8k2h0qf2vmdbne7mbe55/-FJPG/108604-003_BCK_1.jpg</t>
  </si>
  <si>
    <t>https://dd3ka9h4chfr8.cloudfront.net/image/725136000567/image_04r6jnnug54df6a6ni9t9irh0l/-FJPG/Color Variance Card_Trey Collection- Dove Poplar.jpg</t>
  </si>
  <si>
    <t>https://dd3ka9h4chfr8.cloudfront.net/image/725136000567/image_va8op1rvuh7cl5snveq5eu5910/-FJPG/108604-003_DET_1.jpg</t>
  </si>
  <si>
    <t>https://dd3ka9h4chfr8.cloudfront.net/image/725136000567/image_rsevtvhafl24t5kmdmq6fk1c6u/-FJPG/108604-003_DET_3.jpg</t>
  </si>
  <si>
    <t>https://dd3ka9h4chfr8.cloudfront.net/image/725136000567/image_09l1u9ibnh38v4r591tbk7ri7o/-FJPG/108604-003_OPN_1.jpg</t>
  </si>
  <si>
    <t>https://dd3ka9h4chfr8.cloudfront.net/image/725136000567/image_651ifa9vk571f2h7ma1fvkk14l/-FJPG/108604-003_DET_4.jpg</t>
  </si>
  <si>
    <t>https://dd3ka9h4chfr8.cloudfront.net/image/725136000567/image_nha3apa2rd4gj52a2v5oeb9u0q/-FJPG/108604-003_DET_5.jpg</t>
  </si>
  <si>
    <t>https://dd3ka9h4chfr8.cloudfront.net/image/725136000567/image_1dgr007m4l0dj05s9ugh1jbt02/-FJPG/108604-003_DET_6.jpg</t>
  </si>
  <si>
    <t>https://dd3ka9h4chfr8.cloudfront.net/image/725136000567/image_2jql8eei916frbpumb0kelkm7c/-FJPG/108604-003_DET_7.jpg</t>
  </si>
  <si>
    <t>Trey 7 Drawer Dresser - Auburn Poplar</t>
  </si>
  <si>
    <t>https://dd3ka9h4chfr8.cloudfront.net/image/725136000567/image_v2a1ti0aup7l9027ofddtsht0v/-S150x150-FJPG/108603-001_PRM_1.jpg</t>
  </si>
  <si>
    <t>https://dd3ka9h4chfr8.cloudfront.net/image/725136000567/image_v2a1ti0aup7l9027ofddtsht0v/-FJPG/108603-001_PRM_1.jpg</t>
  </si>
  <si>
    <t>https://dd3ka9h4chfr8.cloudfront.net/image/725136000567/image_tb5ppoflg10ql7s8fo9qo9l62k/-FJPG/108603-001_SID_1.jpg</t>
  </si>
  <si>
    <t>https://dd3ka9h4chfr8.cloudfront.net/image/725136000567/image_a6hotm9v811e984a5ma9sv5s1p/-FJPG/108603-001_DET_2.jpg</t>
  </si>
  <si>
    <t>https://dd3ka9h4chfr8.cloudfront.net/image/725136000567/image_obp2ogkv450k50jufmldibtd2o/-FJPG/108603-001_BCK_1.jpg</t>
  </si>
  <si>
    <t>https://dd3ka9h4chfr8.cloudfront.net/image/725136000567/image_8g21s1du7h1oj3a9je2n5gkl69/-FJPG/108603-001_DET_1.jpg</t>
  </si>
  <si>
    <t>https://dd3ka9h4chfr8.cloudfront.net/image/725136000567/image_o50itr7uf15n16li9njfeqj26r/-FJPG/108603-001_DET_3.jpg</t>
  </si>
  <si>
    <t>https://dd3ka9h4chfr8.cloudfront.net/image/725136000567/image_i2v8en7jtl07l4db8rlfdglm4g/-FJPG/108603-001_OPN_1.jpg</t>
  </si>
  <si>
    <t>https://dd3ka9h4chfr8.cloudfront.net/image/725136000567/image_3n2edc6v191qvdeuqb6cvq3d7n/-FJPG/108603-001_DET_4.jpg</t>
  </si>
  <si>
    <t>https://dd3ka9h4chfr8.cloudfront.net/image/725136000567/image_3cni3ke92l03f4sgb4cn3vqe43/-FJPG/108603-001_DET_5.jpg</t>
  </si>
  <si>
    <t>https://dd3ka9h4chfr8.cloudfront.net/image/725136000567/image_dd254q1s9p4o70j0qs3al4al4t/-FJPG/108603-001_VIG_1.jpg</t>
  </si>
  <si>
    <t>https://dd3ka9h4chfr8.cloudfront.net/image/725136000567/image_efdmsrf1vt0bv8n79cr02one6v/-FJPG/108603-001_VIG_2.jpg</t>
  </si>
  <si>
    <t>Trey 7 Drawer Dresser - Black Wash Poplar</t>
  </si>
  <si>
    <t>https://dd3ka9h4chfr8.cloudfront.net/image/725136000567/image_stkuf2bmi94rh73h2at6uo5379/-S150x150-FJPG/108603-002_PRM_1.jpg</t>
  </si>
  <si>
    <t>https://dd3ka9h4chfr8.cloudfront.net/image/725136000567/image_stkuf2bmi94rh73h2at6uo5379/-FJPG/108603-002_PRM_1.jpg</t>
  </si>
  <si>
    <t>https://dd3ka9h4chfr8.cloudfront.net/image/725136000567/image_dp0pkmkth92cvbh575117fh16i/-FJPG/108603-002_SID_1.jpg</t>
  </si>
  <si>
    <t>https://dd3ka9h4chfr8.cloudfront.net/image/725136000567/image_co3cg7chth70dblmb06pmn021o/-FJPG/108603-002_DET_2.jpg</t>
  </si>
  <si>
    <t>https://dd3ka9h4chfr8.cloudfront.net/image/725136000567/image_9es8cqvnhp7kr5qj69spe5n036/-FJPG/108603-002_BCK_1.jpg</t>
  </si>
  <si>
    <t>https://dd3ka9h4chfr8.cloudfront.net/image/725136000567/image_i67pd2f4np6u3c4pqoqnije16b/-FJPG/108603-002_DET_1.jpg</t>
  </si>
  <si>
    <t>https://dd3ka9h4chfr8.cloudfront.net/image/725136000567/image_n5nu1sihnh67798u0v503ejb50/-FJPG/108603-002_DET_3.jpg</t>
  </si>
  <si>
    <t>https://dd3ka9h4chfr8.cloudfront.net/image/725136000567/image_4caj31217h13jburaknd8ib96t/-FJPG/108603-002_OPN_1.jpg</t>
  </si>
  <si>
    <t>https://dd3ka9h4chfr8.cloudfront.net/image/725136000567/image_p8mu7qub4d7tt7ecjtkp4f7q2p/-FJPG/108603-002_DET_4.jpg</t>
  </si>
  <si>
    <t>https://dd3ka9h4chfr8.cloudfront.net/image/725136000567/image_0eq2j4ub810nr9qtn4dp3oca7m/-FJPG/108603-002_DET_5.jpg</t>
  </si>
  <si>
    <t>https://dd3ka9h4chfr8.cloudfront.net/image/725136000567/image_j0e9f33d095btd6ub6kimuf75s/-FJPG/108603-002_DET_6.jpg</t>
  </si>
  <si>
    <t>Trey 7 Drawer Dresser - Dove Poplar</t>
  </si>
  <si>
    <t>https://dd3ka9h4chfr8.cloudfront.net/image/725136000567/image_jpk3jfve5568v9f3bfhhnjbe0n/-S150x150-FJPG/108603-003_PRM_1.jpg</t>
  </si>
  <si>
    <t>https://dd3ka9h4chfr8.cloudfront.net/image/725136000567/image_jpk3jfve5568v9f3bfhhnjbe0n/-FJPG/108603-003_PRM_1.jpg</t>
  </si>
  <si>
    <t>https://dd3ka9h4chfr8.cloudfront.net/image/725136000567/image_dndpsl1lal15dfmfa7gade032b/-FJPG/108603-003_SID_1.jpg</t>
  </si>
  <si>
    <t>https://dd3ka9h4chfr8.cloudfront.net/image/725136000567/image_igm3r4cmdt4r7dq0e9rn6rdg2h/-FJPG/108603-003_DET_2.jpg</t>
  </si>
  <si>
    <t>https://dd3ka9h4chfr8.cloudfront.net/image/725136000567/image_9c1t198cl94s7ar1s6bv46hl45/-FJPG/108603-003_BCK_1.jpg</t>
  </si>
  <si>
    <t>https://dd3ka9h4chfr8.cloudfront.net/image/725136000567/image_h35k4thdjp5qv6c63m09r6rm2q/-FJPG/108603-003_DET_1.jpg</t>
  </si>
  <si>
    <t>https://dd3ka9h4chfr8.cloudfront.net/image/725136000567/image_i0nfjeick50b7b9e9kf2s9bo55/-FJPG/108603-003_DET_3.jpg</t>
  </si>
  <si>
    <t>https://dd3ka9h4chfr8.cloudfront.net/image/725136000567/image_2o0v53h2lp3sp5qt7u3nvgv879/-FJPG/108603-003_OPN_1.jpg</t>
  </si>
  <si>
    <t>https://dd3ka9h4chfr8.cloudfront.net/image/725136000567/image_2hqsb5g5pt5ob1p5nnjp68rj7i/-FJPG/108603-003_DET_4.jpg</t>
  </si>
  <si>
    <t>https://dd3ka9h4chfr8.cloudfront.net/image/725136000567/image_lqgue9nftd4m54493tomskvc7t/-FJPG/108603-003_DET_5.jpg</t>
  </si>
  <si>
    <t>https://dd3ka9h4chfr8.cloudfront.net/image/725136000567/image_747g36omq94473ci5kl7hv244u/-FJPG/108603-003_DET_6.jpg</t>
  </si>
  <si>
    <t>https://dd3ka9h4chfr8.cloudfront.net/image/725136000567/image_jeh8ud1m7521jda9nrpn8gqr4l/-FJPG/108603-003_DET_7.jpg</t>
  </si>
  <si>
    <t>Trey 9 Drawer Dresser - Auburn Poplar</t>
  </si>
  <si>
    <t>https://dd3ka9h4chfr8.cloudfront.net/image/725136000567/image_dfkajkm4ld2ht2j2l6lpf6ku00/-S150x150-FJPG/230300-001_PRM_1.jpg</t>
  </si>
  <si>
    <t>https://dd3ka9h4chfr8.cloudfront.net/image/725136000567/image_dfkajkm4ld2ht2j2l6lpf6ku00/-FJPG/230300-001_PRM_1.jpg</t>
  </si>
  <si>
    <t>https://dd3ka9h4chfr8.cloudfront.net/image/725136000567/image_ln0ik8tnel541cbunngek1eu7f/-FJPG/230300-001_SID_1.jpg</t>
  </si>
  <si>
    <t>https://dd3ka9h4chfr8.cloudfront.net/image/725136000567/image_skcuroiqgl007cbjm2f37jfe0a/-FJPG/230300-001_DET_2.jpg</t>
  </si>
  <si>
    <t>https://dd3ka9h4chfr8.cloudfront.net/image/725136000567/image_r7sjmg4teh311bcjt9th12d41c/-FJPG/230300-001_BCK_1.jpg</t>
  </si>
  <si>
    <t>https://dd3ka9h4chfr8.cloudfront.net/image/725136000567/image_qq5etopm3d7dbf3aaccus6o34u/-FJPG/230300-001_DET_1.jpg</t>
  </si>
  <si>
    <t>https://dd3ka9h4chfr8.cloudfront.net/image/725136000567/image_4ts94fgrqh33l87c51v14nir2t/-FJPG/230300-001_DET_3.jpg</t>
  </si>
  <si>
    <t>https://dd3ka9h4chfr8.cloudfront.net/image/725136000567/image_coim2s1o65341fl3l908vu4s2a/-FJPG/230300-001_OPN_1.jpg</t>
  </si>
  <si>
    <t>https://dd3ka9h4chfr8.cloudfront.net/image/725136000567/image_7u1sihmh6d5272dbomqcot8g6p/-FJPG/230300-001_DET_4.jpg</t>
  </si>
  <si>
    <t>https://dd3ka9h4chfr8.cloudfront.net/image/725136000567/image_ihdtl7muh14t9coikdnf03ug7g/-FJPG/230300-001_DET_5.jpg</t>
  </si>
  <si>
    <t>https://dd3ka9h4chfr8.cloudfront.net/image/725136000567/image_bmqko1h8tl2676lhnm5r3ld54t/-FJPG/230300-001_DET_6.jpg</t>
  </si>
  <si>
    <t>https://dd3ka9h4chfr8.cloudfront.net/image/725136000567/image_6aln27va113lj4jbl7brnksk1k/-FJPG/230300-001_DET_7.jpg</t>
  </si>
  <si>
    <t>https://dd3ka9h4chfr8.cloudfront.net/image/725136000567/image_s0j7ffrg0t7i95ejvhvbusr27r/-FJPG/230300-001_VIG_1.jpg</t>
  </si>
  <si>
    <t>https://dd3ka9h4chfr8.cloudfront.net/image/725136000567/image_02pvj77m493sd6h0hlubhei86o/-FJPG/230300-001_ESS_2.jpg</t>
  </si>
  <si>
    <t>Trey 9 Drawer Dresser - Black Wash Poplar</t>
  </si>
  <si>
    <t>https://dd3ka9h4chfr8.cloudfront.net/image/725136000567/image_4p9q2ordg17obfdtb87554s852/-S150x150-FJPG/230300-002_PRM_1.jpg</t>
  </si>
  <si>
    <t>https://dd3ka9h4chfr8.cloudfront.net/image/725136000567/image_4p9q2ordg17obfdtb87554s852/-FJPG/230300-002_PRM_1.jpg</t>
  </si>
  <si>
    <t>https://dd3ka9h4chfr8.cloudfront.net/image/725136000567/image_64glvl39bl5srcgap1mq42o461/-FJPG/230300-002_SID_1.jpg</t>
  </si>
  <si>
    <t>https://dd3ka9h4chfr8.cloudfront.net/image/725136000567/image_piu0m7kh5h29jebie3fg93s86d/-FJPG/230300-002_ESS.tif</t>
  </si>
  <si>
    <t>https://dd3ka9h4chfr8.cloudfront.net/image/725136000567/image_jlibh2cu6t6ltcvc28iojb483c/-FJPG/230300-002_DET_2.jpg</t>
  </si>
  <si>
    <t>https://dd3ka9h4chfr8.cloudfront.net/image/725136000567/image_779sqieho56ir9nvv3763ers2p/-FJPG/230300-002_BCK_1.jpg</t>
  </si>
  <si>
    <t>https://dd3ka9h4chfr8.cloudfront.net/image/725136000567/image_8o4b0kl4sp7tpamts2phsnir50/-FJPG/230300-002_DET_1.jpg</t>
  </si>
  <si>
    <t>https://dd3ka9h4chfr8.cloudfront.net/image/725136000567/image_n19qne82ud4enfpqpke827qg62/-FJPG/230300-002_DET_3.jpg</t>
  </si>
  <si>
    <t>https://dd3ka9h4chfr8.cloudfront.net/image/725136000567/image_om2pd6et1d63b7soblr22ptr6d/-FJPG/230300-002_OPN_1.jpg</t>
  </si>
  <si>
    <t>https://dd3ka9h4chfr8.cloudfront.net/image/725136000567/image_mm48c1oqht7p7dsprafqmhlf27/-FJPG/230300-002_DET_4.jpg</t>
  </si>
  <si>
    <t>https://dd3ka9h4chfr8.cloudfront.net/image/725136000567/image_88k23d4qvh1d5db5c73ectll35/-FJPG/230300-002_DET_5.jpg</t>
  </si>
  <si>
    <t>https://dd3ka9h4chfr8.cloudfront.net/image/725136000567/image_3l264m7en92sv71rjspc04t90n/-FJPG/230300-002_DET_6.jpg</t>
  </si>
  <si>
    <t>https://dd3ka9h4chfr8.cloudfront.net/image/725136000567/image_bge79o0r5d731cfh4d1hhf2p33/-FJPG/230300-002_DET_7.jpg</t>
  </si>
  <si>
    <t>https://dd3ka9h4chfr8.cloudfront.net/image/725136000567/image_04g0nkiart6lv9kodoo1igun64/-FJPG/230300-002_VIG_1.jpg</t>
  </si>
  <si>
    <t>Trey 9 Drawer Dresser - Dove Poplar</t>
  </si>
  <si>
    <t>https://dd3ka9h4chfr8.cloudfront.net/image/725136000567/image_a65e2bs9bp6sp54155u4h9h31u/-S150x150-FJPG/230300-003_PRM_1.jpg</t>
  </si>
  <si>
    <t>https://dd3ka9h4chfr8.cloudfront.net/image/725136000567/image_a65e2bs9bp6sp54155u4h9h31u/-FJPG/230300-003_PRM_1.jpg</t>
  </si>
  <si>
    <t>https://dd3ka9h4chfr8.cloudfront.net/image/725136000567/image_gm84pmm3gd4aldaedr26fbqk21/-FJPG/230300-003_SID_1.jpg</t>
  </si>
  <si>
    <t>https://dd3ka9h4chfr8.cloudfront.net/image/725136000567/image_4c1u7t7rct1jn63k3loj33hg6g/-FJPG/230300-003_DET_2.jpg</t>
  </si>
  <si>
    <t>https://dd3ka9h4chfr8.cloudfront.net/image/725136000567/image_0b2ltl4lbh13b8m99o05577b34/-FJPG/230300-003_BCK_1.jpg</t>
  </si>
  <si>
    <t>https://dd3ka9h4chfr8.cloudfront.net/image/725136000567/image_oduollsmpl5nfd4ii20qbnjo5c/-FJPG/230300-003_DET_1.jpg</t>
  </si>
  <si>
    <t>https://dd3ka9h4chfr8.cloudfront.net/image/725136000567/image_e28snnl5ql2eb9sbpp0j4v1637/-FJPG/230300-003_DET_3.jpg</t>
  </si>
  <si>
    <t>https://dd3ka9h4chfr8.cloudfront.net/image/725136000567/image_j6pb0th40l5dr55ic1q4o4a234/-FJPG/230300-003_OPN_1.jpg</t>
  </si>
  <si>
    <t>https://dd3ka9h4chfr8.cloudfront.net/image/725136000567/image_nuv7jomc0909f4o5vscu2u5a6u/-FJPG/230300-003_DET_4.jpg</t>
  </si>
  <si>
    <t>https://dd3ka9h4chfr8.cloudfront.net/image/725136000567/image_lao6q8i3a11rbf01ggestfk120/-FJPG/230300-003_DET_5.jpg</t>
  </si>
  <si>
    <t>https://dd3ka9h4chfr8.cloudfront.net/image/725136000567/image_8pnqmcltq934r6lmnd5cv9q627/-FJPG/230300-003_DET_6.jpg</t>
  </si>
  <si>
    <t>https://dd3ka9h4chfr8.cloudfront.net/image/725136000567/image_fub9hdne1p6rp0ud484dfbdi5q/-FJPG/230300-003_DET_7.jpg</t>
  </si>
  <si>
    <t>https://dd3ka9h4chfr8.cloudfront.net/image/725136000567/image_1sda5oqjut7ij3edmviub7ih3s/-FJPG/230300-003_ESS.jpg</t>
  </si>
  <si>
    <t>Trey Bed - Auburn Poplar</t>
  </si>
  <si>
    <t>https://dd3ka9h4chfr8.cloudfront.net/image/725136000567/image_0f0rgpcgth4654nic7ola23l0d/-S150x150-FJPG/109337-001_PRM_1.jpg</t>
  </si>
  <si>
    <t>https://dd3ka9h4chfr8.cloudfront.net/image/725136000567/image_0f0rgpcgth4654nic7ola23l0d/-FJPG/109337-001_PRM_1.jpg</t>
  </si>
  <si>
    <t>https://dd3ka9h4chfr8.cloudfront.net/image/725136000567/image_bn5dai2uit3itentgcg6psr75o/-FJPG/109337-001_SID_1.jpg</t>
  </si>
  <si>
    <t>https://dd3ka9h4chfr8.cloudfront.net/image/725136000567/image_1l6felhd1p67125kgf1l4trd34/-FJPG/109337-001_ESS_1.jpg</t>
  </si>
  <si>
    <t>https://dd3ka9h4chfr8.cloudfront.net/image/725136000567/image_vf7sfulmu16b18qn96rsafso2s/-FJPG/109337-001_DET_2.jpg</t>
  </si>
  <si>
    <t>https://dd3ka9h4chfr8.cloudfront.net/image/725136000567/image_kt5db7g5c50935jb23v8c8qe4s/-FJPG/109337-001_BCK_1.jpg</t>
  </si>
  <si>
    <t>https://dd3ka9h4chfr8.cloudfront.net/image/725136000567/image_ba43e3gpn10kb6g5ck7pteti1q/-FJPG/109337-001_DET_1.jpg</t>
  </si>
  <si>
    <t>https://dd3ka9h4chfr8.cloudfront.net/image/725136000567/image_3ehek1rd613onc58ma5emsfm2m/-FJPG/109337-001_DET_3.jpg</t>
  </si>
  <si>
    <t>https://dd3ka9h4chfr8.cloudfront.net/image/725136000567/image_0d2nprtg396kfescpvjjq6ps03/-FJPG/109337-001_DET_4.jpg</t>
  </si>
  <si>
    <t>https://dd3ka9h4chfr8.cloudfront.net/image/725136000567/image_m00doig5394i568c79n8gjq00k/-FJPG/109337-001_DET_5.jpg</t>
  </si>
  <si>
    <t>https://dd3ka9h4chfr8.cloudfront.net/image/725136000567/image_abil5f57gd5cr7ocp3s3br3b6i/-FJPG/109337-001_DET_6.jpg</t>
  </si>
  <si>
    <t>https://dd3ka9h4chfr8.cloudfront.net/image/725136000567/image_nmc8j8hefp6b5a75tamrd8ch47/-FJPG/109337-001_DET_7.jpg</t>
  </si>
  <si>
    <t>https://dd3ka9h4chfr8.cloudfront.net/image/725136000567/image_efvak12h3h0hd1ldqe5ekmcp5e/-S150x150-FJPG/109337-002_PRM_1.jpg</t>
  </si>
  <si>
    <t>https://dd3ka9h4chfr8.cloudfront.net/image/725136000567/image_efvak12h3h0hd1ldqe5ekmcp5e/-FJPG/109337-002_PRM_1.jpg</t>
  </si>
  <si>
    <t>https://dd3ka9h4chfr8.cloudfront.net/image/725136000567/image_6ci43cbc9l69p377mm6sg8314v/-FJPG/109337-002_SID_1.jpg</t>
  </si>
  <si>
    <t>https://dd3ka9h4chfr8.cloudfront.net/image/725136000567/image_hulkfmvke50gnd35g55pm0qm6n/-FJPG/109337-002_DET_2.jpg</t>
  </si>
  <si>
    <t>https://dd3ka9h4chfr8.cloudfront.net/image/725136000567/image_rs8cpisaap6lj664mjpbjocr6q/-FJPG/109337-002_BCK_1.jpg</t>
  </si>
  <si>
    <t>https://dd3ka9h4chfr8.cloudfront.net/image/725136000567/image_a41h4ijgrp4sd5tngn9e3m2m53/-FJPG/109337-002_DET_1.jpg</t>
  </si>
  <si>
    <t>https://dd3ka9h4chfr8.cloudfront.net/image/725136000567/image_nb192tdcat6874nun3duhml14e/-FJPG/109337-002_DET_3.jpg</t>
  </si>
  <si>
    <t>https://dd3ka9h4chfr8.cloudfront.net/image/725136000567/image_78sv8t1ar90m3bf9sk1ogr5m5o/-FJPG/109337-002_DET_4.jpg</t>
  </si>
  <si>
    <t>https://dd3ka9h4chfr8.cloudfront.net/image/725136000567/image_n18fu4d6fp1hr6ei6vj3dt0706/-FJPG/109337-002_DET_5.jpg</t>
  </si>
  <si>
    <t>https://dd3ka9h4chfr8.cloudfront.net/image/725136000567/image_njjia51n1p7rf7l0n9kkbms94e/-FJPG/109337-002_DET_6.jpg</t>
  </si>
  <si>
    <t>https://dd3ka9h4chfr8.cloudfront.net/image/725136000567/image_lu3cm62asp43r8rh1ai4d4t02h/-FJPG/109337-002_DET_7.jpg</t>
  </si>
  <si>
    <t>Trey Bed - Black Wash Poplar</t>
  </si>
  <si>
    <t>https://dd3ka9h4chfr8.cloudfront.net/image/725136000567/image_3ffj2jfnt918j7uhrqd7fvfa6s/-S150x150-FJPG/109337-003_PRM_1.jpg</t>
  </si>
  <si>
    <t>https://dd3ka9h4chfr8.cloudfront.net/image/725136000567/image_3ffj2jfnt918j7uhrqd7fvfa6s/-FJPG/109337-003_PRM_1.jpg</t>
  </si>
  <si>
    <t>https://dd3ka9h4chfr8.cloudfront.net/image/725136000567/image_ubjvubeu6t1mtclvv81timf465/-FJPG/109337-003_SID_1.jpg</t>
  </si>
  <si>
    <t>https://dd3ka9h4chfr8.cloudfront.net/image/725136000567/image_cuc37tq9o146dae19nfdngqf0i/-FJPG/109337-003_DET_2.jpg</t>
  </si>
  <si>
    <t>https://dd3ka9h4chfr8.cloudfront.net/image/725136000567/image_1hb6q9i8ap1q73btjfr46pjd27/-FJPG/109337-003_BCK_1.jpg</t>
  </si>
  <si>
    <t>https://dd3ka9h4chfr8.cloudfront.net/image/725136000567/image_oov5553l1d2tv2frhjnd5fen33/-FJPG/109337-003_DET_1.jpg</t>
  </si>
  <si>
    <t>https://dd3ka9h4chfr8.cloudfront.net/image/725136000567/image_mdsh6srv99333auob7shm59b0e/-FJPG/109337-003_DET_3.jpg</t>
  </si>
  <si>
    <t>https://dd3ka9h4chfr8.cloudfront.net/image/725136000567/image_6vso5slo9l2uhdhhfi98tos47c/-FJPG/109337-003_DET_4.jpg</t>
  </si>
  <si>
    <t>https://dd3ka9h4chfr8.cloudfront.net/image/725136000567/image_vb4t2veqap3072p7isc2vvb408/-FJPG/109337-003_DET_5.jpg</t>
  </si>
  <si>
    <t>https://dd3ka9h4chfr8.cloudfront.net/image/725136000567/image_f6p10qm25l77v07odscdarsc6m/-FJPG/109337-003_DET_6.jpg</t>
  </si>
  <si>
    <t>https://dd3ka9h4chfr8.cloudfront.net/image/725136000567/image_dofuqkpni95onb92gfns8iss3f/-S150x150-FJPG/109337-004_PRM_1.jpg</t>
  </si>
  <si>
    <t>https://dd3ka9h4chfr8.cloudfront.net/image/725136000567/image_dofuqkpni95onb92gfns8iss3f/-FJPG/109337-004_PRM_1.jpg</t>
  </si>
  <si>
    <t>https://dd3ka9h4chfr8.cloudfront.net/image/725136000567/image_oiiagetr2140h2odohgep2nu1b/-FJPG/109337-004_SID_1.jpg</t>
  </si>
  <si>
    <t>https://dd3ka9h4chfr8.cloudfront.net/image/725136000567/image_sc2h2vfk555un4mbuk5d9lu920/-FJPG/109337-004_DET_2.jpg</t>
  </si>
  <si>
    <t>https://dd3ka9h4chfr8.cloudfront.net/image/725136000567/image_7ko9pmn6050dp76r66l2hfkq27/-FJPG/109337-004_BCK_1.jpg</t>
  </si>
  <si>
    <t>https://dd3ka9h4chfr8.cloudfront.net/image/725136000567/image_auegaa5icd12tahr72iqb5pl4r/-FJPG/109337-004_DET_1.jpg</t>
  </si>
  <si>
    <t>https://dd3ka9h4chfr8.cloudfront.net/image/725136000567/image_02e61ue9th3p9ab2n7ii138k2b/-FJPG/109337-004_DET_3.jpg</t>
  </si>
  <si>
    <t>https://dd3ka9h4chfr8.cloudfront.net/image/725136000567/image_55p3rh3psh4mh8ih7g1at9op63/-FJPG/109337-004_DET_4.jpg</t>
  </si>
  <si>
    <t>https://dd3ka9h4chfr8.cloudfront.net/image/725136000567/image_3d0tcs890h7in1jd156eg0bp14/-FJPG/109337-004_DET_5.jpg</t>
  </si>
  <si>
    <t>https://dd3ka9h4chfr8.cloudfront.net/image/725136000567/image_6b9fj7ated3ht32750621rki54/-FJPG/109337-004_DET_6.jpg</t>
  </si>
  <si>
    <t>https://dd3ka9h4chfr8.cloudfront.net/image/725136000567/image_sb7c9tfe5d59l2cbrctb6afv03/-FJPG/109337-004_VIG_1.jpg</t>
  </si>
  <si>
    <t>Trey Bed - Dove Poplar</t>
  </si>
  <si>
    <t>https://dd3ka9h4chfr8.cloudfront.net/image/725136000567/image_rudv6ck5kd7br3rpgqbpbm3t1p/-S150x150-FJPG/109337-005_PRM_1.jpg</t>
  </si>
  <si>
    <t>https://dd3ka9h4chfr8.cloudfront.net/image/725136000567/image_rudv6ck5kd7br3rpgqbpbm3t1p/-FJPG/109337-005_PRM_1.jpg</t>
  </si>
  <si>
    <t>https://dd3ka9h4chfr8.cloudfront.net/image/725136000567/image_lrge8707j149nba5msgoq7ds17/-FJPG/109337-005_SID_1.jpg</t>
  </si>
  <si>
    <t>https://dd3ka9h4chfr8.cloudfront.net/image/725136000567/image_n54g2o1a3p4v98h6eolr6vsm22/-FJPG/109337-005_DET_2.jpg</t>
  </si>
  <si>
    <t>https://dd3ka9h4chfr8.cloudfront.net/image/725136000567/image_dn73ijoedt0st9qvv8m0bv8a2g/-FJPG/109337-005_BCK_1.jpg</t>
  </si>
  <si>
    <t>https://dd3ka9h4chfr8.cloudfront.net/image/725136000567/image_59oqf7kcf53g34t4e34t3f997d/-FJPG/109337-005_DET_1.jpg</t>
  </si>
  <si>
    <t>https://dd3ka9h4chfr8.cloudfront.net/image/725136000567/image_larjig78653vlfpcolqq92tc2v/-FJPG/109337-005_DET_3.jpg</t>
  </si>
  <si>
    <t>https://dd3ka9h4chfr8.cloudfront.net/image/725136000567/image_vbv77ld17967152nvm9aoqv72d/-FJPG/109337-005_DET_4.jpg</t>
  </si>
  <si>
    <t>https://dd3ka9h4chfr8.cloudfront.net/image/725136000567/image_cbtltq172h0dn2gtef7ahsku4r/-FJPG/109337-005_DET_5.jpg</t>
  </si>
  <si>
    <t>https://dd3ka9h4chfr8.cloudfront.net/image/725136000567/image_6f8ah6rle161r002fad44ro203/-FJPG/109337-005_DET_6.jpg</t>
  </si>
  <si>
    <t>https://dd3ka9h4chfr8.cloudfront.net/image/725136000567/image_9eek834mc528teh2s6bdkub172/-FJPG/109337-005_DET_7.jpg</t>
  </si>
  <si>
    <t>https://dd3ka9h4chfr8.cloudfront.net/image/725136000567/image_0u5uhc5j6d5grbc46j19n3g918/-FJPG/109337-005_FRT_2.jpg</t>
  </si>
  <si>
    <t>https://dd3ka9h4chfr8.cloudfront.net/image/725136000567/image_p8s8844r396en9u7asfdiaga15/-FJPG/109337-005_SID_2.jpg</t>
  </si>
  <si>
    <t>https://dd3ka9h4chfr8.cloudfront.net/image/725136000567/image_ssj04ud74h79v2415avn22cv4k/-FJPG/109337-005_PRM_2.jpg</t>
  </si>
  <si>
    <t>https://dd3ka9h4chfr8.cloudfront.net/image/725136000567/image_6kdmill5850d1ckmfb096df323/-S150x150-FJPG/109337-006_PRM_1.jpg</t>
  </si>
  <si>
    <t>https://dd3ka9h4chfr8.cloudfront.net/image/725136000567/image_6kdmill5850d1ckmfb096df323/-FJPG/109337-006_PRM_1.jpg</t>
  </si>
  <si>
    <t>https://dd3ka9h4chfr8.cloudfront.net/image/725136000567/image_h8af0luub50ab5p956j0a5h44c/-FJPG/109337-006_SID_1.jpg</t>
  </si>
  <si>
    <t>https://dd3ka9h4chfr8.cloudfront.net/image/725136000567/image_icvj5en9e94qr7ubn2d2uasv2p/-FJPG/109337-006_DET_2.jpg</t>
  </si>
  <si>
    <t>https://dd3ka9h4chfr8.cloudfront.net/image/725136000567/image_9o8rr7hb2h7e942140dlcj4321/-FJPG/109337-006_BCK_1.jpg</t>
  </si>
  <si>
    <t>https://dd3ka9h4chfr8.cloudfront.net/image/725136000567/image_e8gt5067t17kr8iilqt03oiq08/-FJPG/109337-006_DET_1.jpg</t>
  </si>
  <si>
    <t>https://dd3ka9h4chfr8.cloudfront.net/image/725136000567/image_g6qa69i7t922v51cqeaiigus0s/-FJPG/109337-006_DET_3.jpg</t>
  </si>
  <si>
    <t>https://dd3ka9h4chfr8.cloudfront.net/image/725136000567/image_iui1gsqacl44taf8q8pd056s7t/-FJPG/109337-006_DET_4.jpg</t>
  </si>
  <si>
    <t>https://dd3ka9h4chfr8.cloudfront.net/image/725136000567/image_1h1f1usnp972n6861bnmgj4t0i/-FJPG/109337-006_DET_5.jpg</t>
  </si>
  <si>
    <t>https://dd3ka9h4chfr8.cloudfront.net/image/725136000567/image_mfiscfbj2h4536fvq8ncpgk91s/-FJPG/109337-006_DET_6.jpg</t>
  </si>
  <si>
    <t>https://dd3ka9h4chfr8.cloudfront.net/image/725136000567/image_uedc1sruhh4a55hmr4qgim704q/-FJPG/109337-006_DET_7.jpg</t>
  </si>
  <si>
    <t>https://dd3ka9h4chfr8.cloudfront.net/image/725136000567/image_nd4gc88a8905rb7lahpfnnmt6h/-FJPG/109337-006_VIG_1.jpg</t>
  </si>
  <si>
    <t>https://dd3ka9h4chfr8.cloudfront.net/image/725136000567/image_sci2h514p91jv811asck7v6j61/-FJPG/109337-006_SID_2.jpg</t>
  </si>
  <si>
    <t>https://dd3ka9h4chfr8.cloudfront.net/image/725136000567/image_7gq9omsrql4uhd5k5v161jsn40/-FJPG/109337-006_PRM_2.jpg</t>
  </si>
  <si>
    <t>https://dd3ka9h4chfr8.cloudfront.net/image/725136000567/image_i3cg4dbup17278ohu2erftau5m/-FJPG/109337-006_FRT_2.jpg</t>
  </si>
  <si>
    <t>Trey Bookshelf - Natural Iron</t>
  </si>
  <si>
    <t>https://dd3ka9h4chfr8.cloudfront.net/image/725136000567/image_9gokdf3pb904bbrl419uhjr34o/-S150x150-FJPG/107316-006_PRM_1.jpg</t>
  </si>
  <si>
    <t>https://dd3ka9h4chfr8.cloudfront.net/image/725136000567/image_9gokdf3pb904bbrl419uhjr34o/-FJPG/107316-006_PRM_1.jpg</t>
  </si>
  <si>
    <t>https://dd3ka9h4chfr8.cloudfront.net/image/725136000567/image_ehbpe7l1f55eh1fp8sai9so62d/-FJPG/107316-006_SID_1.jpg</t>
  </si>
  <si>
    <t>https://dd3ka9h4chfr8.cloudfront.net/image/725136000567/image_ljbgddoshp2gl5rcrd075o9i53/-FJPG/107316-006_DET_2.jpg</t>
  </si>
  <si>
    <t>https://dd3ka9h4chfr8.cloudfront.net/image/725136000567/image_ourh7eqe9l6mt9vb78s9dstm0v/-FJPG/107316-006_BCK_1.jpg</t>
  </si>
  <si>
    <t>https://dd3ka9h4chfr8.cloudfront.net/image/725136000567/image_ae866nnu092jnavr02vnp1gt5k/-FJPG/107316-006_DET_3.jpg</t>
  </si>
  <si>
    <t>https://dd3ka9h4chfr8.cloudfront.net/image/725136000567/image_ianfn8kgrp3qferlvg3r22mr2u/-FJPG/107316-006_OPN_1.jpg</t>
  </si>
  <si>
    <t>https://dd3ka9h4chfr8.cloudfront.net/image/725136000567/image_dk0e7oiflp0j7di3u3m9tckg7k/-FJPG/107316-006_DET_4.jpg</t>
  </si>
  <si>
    <t>https://dd3ka9h4chfr8.cloudfront.net/image/725136000567/image_73qlfiiin56357dhr54f4blo5e/-FJPG/107316-006_DET_5.jpg</t>
  </si>
  <si>
    <t>https://dd3ka9h4chfr8.cloudfront.net/image/725136000567/image_dcq0afa97t4v15n4c5sr4svr16/-FJPG/107316-006_DET_6.jpg</t>
  </si>
  <si>
    <t>https://dd3ka9h4chfr8.cloudfront.net/image/725136000567/image_89bq081fc17dd1ejemr6dqqj3v/-FJPG/107316-006_DET_7.jpg</t>
  </si>
  <si>
    <t>https://dd3ka9h4chfr8.cloudfront.net/image/725136000567/image_i3r8a1lu9d6pb6digcmtgrtn3i/-FJPG/107316-006_DET_8.jpg</t>
  </si>
  <si>
    <t>https://dd3ka9h4chfr8.cloudfront.net/image/725136000567/image_vf9e1b6n0t1jb78q8nbuco405r/-FJPG/107316-006_DET_9.jpg</t>
  </si>
  <si>
    <t>https://dd3ka9h4chfr8.cloudfront.net/image/725136000567/image_9encqh64fl4879ed17v02r0i2n/-S150x150-FJPG/UFUL-032_PRM_1.jpg</t>
  </si>
  <si>
    <t>https://dd3ka9h4chfr8.cloudfront.net/image/725136000567/image_9encqh64fl4879ed17v02r0i2n/-FJPG/UFUL-032_PRM_1.jpg</t>
  </si>
  <si>
    <t>https://dd3ka9h4chfr8.cloudfront.net/image/725136000567/image_g2guh95t5t6bf2emeo34aj9s0g/-FJPG/UFUL-032_SID_1.jpg</t>
  </si>
  <si>
    <t>https://dd3ka9h4chfr8.cloudfront.net/image/725136000567/image_6it8g2lsl94ot9ht9m5o3ml140/-FJPG/UFUL-032_DET_2.jpg</t>
  </si>
  <si>
    <t>https://dd3ka9h4chfr8.cloudfront.net/image/725136000567/image_esal0u2mo524bd2sqqfbkijr1f/-FJPG/UFUL-032_BCK_1.jpg</t>
  </si>
  <si>
    <t>https://dd3ka9h4chfr8.cloudfront.net/image/725136000567/image_fb7aarodqh4lf6d35tc3ea9k1u/-FJPG/UFUL-032_DET_1.jpg</t>
  </si>
  <si>
    <t>https://dd3ka9h4chfr8.cloudfront.net/image/725136000567/image_l3dag69n4t6oh7ne6e4vfp8a1s/-FJPG/UFUL-032_DET_3.jpg</t>
  </si>
  <si>
    <t>https://dd3ka9h4chfr8.cloudfront.net/image/725136000567/image_89iga16c6l73l3u90t2duoe57t/-FJPG/UFUL-032_OPN_1.jpg</t>
  </si>
  <si>
    <t>https://dd3ka9h4chfr8.cloudfront.net/image/725136000567/image_rtltavsk353fb1vfn64e9b2c01/-FJPG/UFUL-032_OPN_1.jpg</t>
  </si>
  <si>
    <t>https://dd3ka9h4chfr8.cloudfront.net/image/725136000567/image_j01j81d01p6o757r4k1evhj057/-FJPG/UFUL-032_DET_4.jpg</t>
  </si>
  <si>
    <t>https://dd3ka9h4chfr8.cloudfront.net/image/725136000567/image_42uio5uc8h23j905ad60ar1q06/-FJPG/UFUL-032_DET_5.jpg</t>
  </si>
  <si>
    <t>https://dd3ka9h4chfr8.cloudfront.net/image/725136000567/image_7paock66uh29r5kgg0gnhrgs3s/-FJPG/UFUL-032_DET_6.jpg</t>
  </si>
  <si>
    <t>https://dd3ka9h4chfr8.cloudfront.net/image/725136000567/image_gdmlni7ovd2qf331rt4c0kou2l/-FJPG/UFUL-032_DET_7.jpg</t>
  </si>
  <si>
    <t>https://dd3ka9h4chfr8.cloudfront.net/image/725136000567/image_ddqkpnhqgh5vp6v8pakt2mpd0e/-FJPG/UFUL-032_ROM_1.jpg</t>
  </si>
  <si>
    <t>https://dd3ka9h4chfr8.cloudfront.net/image/725136000567/image_51hm6tqna91lbelcg3emnppq0e/-FJPG/UFUL-032_ROM_2.jpg</t>
  </si>
  <si>
    <t>https://dd3ka9h4chfr8.cloudfront.net/image/725136000567/image_o75ntc8mi92sp245ebbb3rvc35/-S150x150-FJPG/UFUL-032A_PRM_1.jpg</t>
  </si>
  <si>
    <t>https://dd3ka9h4chfr8.cloudfront.net/image/725136000567/image_o75ntc8mi92sp245ebbb3rvc35/-FJPG/UFUL-032A_PRM_1.jpg</t>
  </si>
  <si>
    <t>https://dd3ka9h4chfr8.cloudfront.net/image/725136000567/image_tefvcc698d45b2eoe8ljogca2h/-FJPG/UFUL-032A_SID_1.jpg</t>
  </si>
  <si>
    <t>https://dd3ka9h4chfr8.cloudfront.net/image/725136000567/image_3nemotb2390ejd9r9vq6jqlf3i/-FJPG/UFUL-032A_BCK_1.jpg</t>
  </si>
  <si>
    <t>https://dd3ka9h4chfr8.cloudfront.net/image/725136000567/image_ph0lvcjk6d1df1lfkrj2e07o7c/-FJPG/UFUL-032A_DET_1.jpg</t>
  </si>
  <si>
    <t>https://dd3ka9h4chfr8.cloudfront.net/image/725136000567/image_usvco32cht47p09oeh73oh1b6m/-FJPG/UFUL-032A_DET_3.jpg</t>
  </si>
  <si>
    <t>https://dd3ka9h4chfr8.cloudfront.net/image/725136000567/image_v6imjrqi6d4gv0h0c0hv9en44i/-FJPG/UFUL-032A_DET_4.jpg</t>
  </si>
  <si>
    <t>https://dd3ka9h4chfr8.cloudfront.net/image/725136000567/image_qdfi6qsf3l0lr1t51nb84lch6p/-FJPG/UFUL-032A_DET_5.jpg</t>
  </si>
  <si>
    <t>https://dd3ka9h4chfr8.cloudfront.net/image/725136000567/image_c142n986b1059bk9ihnkban34g/-FJPG/UFUL-032A_DET_6.jpg</t>
  </si>
  <si>
    <t>https://dd3ka9h4chfr8.cloudfront.net/image/725136000567/image_m1idgig1914n39biv97nh7om6n/-FJPG/UFUL-032A_DET_7.jpg</t>
  </si>
  <si>
    <t>https://dd3ka9h4chfr8.cloudfront.net/image/725136000567/image_4ihfuv77656jba84oruopiue3a/-FJPG/UFUL-032A_DET_8.jpg</t>
  </si>
  <si>
    <t>Trey Console Table - Natural Iron</t>
  </si>
  <si>
    <t>https://dd3ka9h4chfr8.cloudfront.net/image/725136000567/image_0f44vbegk96s161f7b6h8j196g/-S150x150-FJPG/223913-001_PRM_1.jpg</t>
  </si>
  <si>
    <t>https://dd3ka9h4chfr8.cloudfront.net/image/725136000567/image_0f44vbegk96s161f7b6h8j196g/-FJPG/223913-001_PRM_1.jpg</t>
  </si>
  <si>
    <t>https://dd3ka9h4chfr8.cloudfront.net/image/725136000567/image_802v35p9f565v8io31co507g1o/-FJPG/223913-001_SID_1.jpg</t>
  </si>
  <si>
    <t>https://dd3ka9h4chfr8.cloudfront.net/image/725136000567/image_9h8up4h8811dp52eonsiebpm1s/-FJPG/223913-001_ESS_1.jpg</t>
  </si>
  <si>
    <t>https://dd3ka9h4chfr8.cloudfront.net/image/725136000567/image_3skmfnefsd0a77nd7if84mam51/-FJPG/223913-001_DET_2.jpg</t>
  </si>
  <si>
    <t>https://dd3ka9h4chfr8.cloudfront.net/image/725136000567/image_kl81uti35l1fn50ctrccio395l/-FJPG/223913-001_BCK_1.jpg</t>
  </si>
  <si>
    <t>https://dd3ka9h4chfr8.cloudfront.net/image/725136000567/image_4gr0v2d47p6b7eg8ibohqh9l2q/-FJPG/223913-001_DET_1.jpg</t>
  </si>
  <si>
    <t>https://dd3ka9h4chfr8.cloudfront.net/image/725136000567/image_6u6bttsql56i12jk5q8ucr0c1m/-FJPG/223913-001_DET_3.jpg</t>
  </si>
  <si>
    <t>https://dd3ka9h4chfr8.cloudfront.net/image/725136000567/image_g76ici2o7910f695hdfm9s0c0e/-FJPG/223913-001_OPN_1.jpg</t>
  </si>
  <si>
    <t>https://dd3ka9h4chfr8.cloudfront.net/image/725136000567/image_kt37ogno3d79l3v3vt59o44j3f/-FJPG/223913-001_DET_4.jpg</t>
  </si>
  <si>
    <t>https://dd3ka9h4chfr8.cloudfront.net/image/725136000567/image_fejdeuc3355lvdf4te0qb7917t/-FJPG/223913-001_DET_5.jpg</t>
  </si>
  <si>
    <t>https://dd3ka9h4chfr8.cloudfront.net/image/725136000567/image_hqhq87p4gt7o5eoptd402r5g27/-FJPG/223913-001_DET_6.jpg</t>
  </si>
  <si>
    <t>https://dd3ka9h4chfr8.cloudfront.net/image/725136000567/image_ni64tvamhh44dagm1g9po4f60f/-FJPG/223913-001_DET_7.jpg</t>
  </si>
  <si>
    <t>https://dd3ka9h4chfr8.cloudfront.net/image/725136000567/image_trf9in70n93jrerh2s77r2n515/-S150x150-FJPG/223913-002_PRM_1.jpg</t>
  </si>
  <si>
    <t>https://dd3ka9h4chfr8.cloudfront.net/image/725136000567/image_trf9in70n93jrerh2s77r2n515/-FJPG/223913-002_PRM_1.jpg</t>
  </si>
  <si>
    <t>https://dd3ka9h4chfr8.cloudfront.net/image/725136000567/image_h49ap2d0s12n9ehkp60prrb348/-FJPG/223913-002_SID_1.jpg</t>
  </si>
  <si>
    <t>https://dd3ka9h4chfr8.cloudfront.net/image/725136000567/image_b128nsad1557fcmoca31nlsd60/-FJPG/223913-002_ESS.tif</t>
  </si>
  <si>
    <t>https://dd3ka9h4chfr8.cloudfront.net/image/725136000567/image_2j4p8lsgr1565d6h0c41k5ra60/-FJPG/223913-002_DET_2.jpg</t>
  </si>
  <si>
    <t>https://dd3ka9h4chfr8.cloudfront.net/image/725136000567/image_cfgcj162ld6dr9vk1v1gtt7g37/-FJPG/223913-002_BCK_1.jpg</t>
  </si>
  <si>
    <t>https://dd3ka9h4chfr8.cloudfront.net/image/725136000567/image_p7pi0mgon560d46e71gubb081t/-FJPG/223913-002_DET_1.jpg</t>
  </si>
  <si>
    <t>https://dd3ka9h4chfr8.cloudfront.net/image/725136000567/image_8ash3vc2l11m9bvhm9q7tm4o0m/-FJPG/223913-002_DET_3.jpg</t>
  </si>
  <si>
    <t>https://dd3ka9h4chfr8.cloudfront.net/image/725136000567/image_1h2mla35ul7gj2ged02cf99m34/-FJPG/223913-002_OPN_1.jpg</t>
  </si>
  <si>
    <t>https://dd3ka9h4chfr8.cloudfront.net/image/725136000567/image_11ala7ch7l693eued44ndvmf2b/-FJPG/223913-002_DET_4.jpg</t>
  </si>
  <si>
    <t>https://dd3ka9h4chfr8.cloudfront.net/image/725136000567/image_kpajcornap74rbffgam3hoha7i/-FJPG/223913-002_DET_5.jpg</t>
  </si>
  <si>
    <t>https://dd3ka9h4chfr8.cloudfront.net/image/725136000567/image_40smahhhep6q7arct88cqg5r0o/-FJPG/223913-002_DET_6.jpg</t>
  </si>
  <si>
    <t>https://dd3ka9h4chfr8.cloudfront.net/image/725136000567/image_1o3bbr7c094v9551o0mi01dc0r/-FJPG/223913-002_DET_7.jpg</t>
  </si>
  <si>
    <t>https://dd3ka9h4chfr8.cloudfront.net/image/725136000567/image_9j4d2qqmi10lneq9flfo2q5673/-S150x150-FJPG/223913-003_PRM_1.jpg</t>
  </si>
  <si>
    <t>https://dd3ka9h4chfr8.cloudfront.net/image/725136000567/image_9j4d2qqmi10lneq9flfo2q5673/-FJPG/223913-003_PRM_1.jpg</t>
  </si>
  <si>
    <t>https://dd3ka9h4chfr8.cloudfront.net/image/725136000567/image_dfmagqmi5d7tj2npukp9vihe21/-FJPG/223913-003_SID_1.jpg</t>
  </si>
  <si>
    <t>https://dd3ka9h4chfr8.cloudfront.net/image/725136000567/image_ivuhn8og5t13h7478ohds69j0c/-FJPG/223913-003_ESS.tif</t>
  </si>
  <si>
    <t>https://dd3ka9h4chfr8.cloudfront.net/image/725136000567/image_k2m2nj0e3p3eb6bqtovo8ilj02/-FJPG/223913-003_DET_2.jpg</t>
  </si>
  <si>
    <t>https://dd3ka9h4chfr8.cloudfront.net/image/725136000567/image_0naalpahet2n9b15gq2691n26a/-FJPG/223913-003_BCK_1.jpg</t>
  </si>
  <si>
    <t>https://dd3ka9h4chfr8.cloudfront.net/image/725136000567/image_rm972v2vk17l326nt9mgcbvf78/-FJPG/223913-003_DET_1.jpg</t>
  </si>
  <si>
    <t>https://dd3ka9h4chfr8.cloudfront.net/image/725136000567/image_f2muv5ofst0qb7e7lnkuufks5q/-FJPG/223913-003_DET_3.jpg</t>
  </si>
  <si>
    <t>https://dd3ka9h4chfr8.cloudfront.net/image/725136000567/image_bobjvb0nht4ldfu7acbvf57960/-FJPG/223913-003_OPN_1.jpg</t>
  </si>
  <si>
    <t>https://dd3ka9h4chfr8.cloudfront.net/image/725136000567/image_0pnstk9iut5un9fm6bg1hiea3p/-FJPG/223913-003_DET_4.jpg</t>
  </si>
  <si>
    <t>https://dd3ka9h4chfr8.cloudfront.net/image/725136000567/image_20gd8o2dq96er0vk0l0tefvo3s/-FJPG/223913-003_DET_5.jpg</t>
  </si>
  <si>
    <t>https://dd3ka9h4chfr8.cloudfront.net/image/725136000567/image_atftnjtc2970r9qinknl4fcd53/-FJPG/223913-003_DET_6.jpg</t>
  </si>
  <si>
    <t>https://dd3ka9h4chfr8.cloudfront.net/image/725136000567/image_pq0ui6s7rt51vb6ib0c6rg3d78/-FJPG/223913-003_DET_7.jpg</t>
  </si>
  <si>
    <t>https://dd3ka9h4chfr8.cloudfront.net/image/725136000567/image_4e35tr64lt0716d5pjfnjiag5e/-FJPG/223913-003_VIG_1.jpg</t>
  </si>
  <si>
    <t>Trey Executive Desk - Auburn Poplar</t>
  </si>
  <si>
    <t>https://dd3ka9h4chfr8.cloudfront.net/image/725136000567/image_59hsfsifil2b708i6pd4dm660f/-S150x150-FJPG/223816-001_PRM_1.jpg</t>
  </si>
  <si>
    <t>https://dd3ka9h4chfr8.cloudfront.net/image/725136000567/image_59hsfsifil2b708i6pd4dm660f/-FJPG/223816-001_PRM_1.jpg</t>
  </si>
  <si>
    <t>https://dd3ka9h4chfr8.cloudfront.net/image/725136000567/image_p5c38utk0158b2268j1kj17l69/-FJPG/223816-001_SID_1.jpg</t>
  </si>
  <si>
    <t>https://dd3ka9h4chfr8.cloudfront.net/image/725136000567/image_v9v1dcoq0l579a7inupepb9a4l/-FJPG/223816-001_ESS.tif</t>
  </si>
  <si>
    <t>https://dd3ka9h4chfr8.cloudfront.net/image/725136000567/image_vsiel5aiap2a7cfdeqms2fg712/-FJPG/223816-001_DET_2.jpg</t>
  </si>
  <si>
    <t>https://dd3ka9h4chfr8.cloudfront.net/image/725136000567/image_2c2hshja3d1kbdjust83insh5g/-FJPG/223816-001_BCK_1.jpg</t>
  </si>
  <si>
    <t>https://dd3ka9h4chfr8.cloudfront.net/image/725136000567/image_i2nnk6bv413ph1bnkq81fpd35k/-FJPG/223816-001_DET_1.jpg</t>
  </si>
  <si>
    <t>https://dd3ka9h4chfr8.cloudfront.net/image/725136000567/image_gsnidg5at96u3bcitjb768f56i/-FJPG/223816-001_DET_3.jpg</t>
  </si>
  <si>
    <t>https://dd3ka9h4chfr8.cloudfront.net/image/725136000567/image_3o2ifson3t1pd0ns9cabs8i12t/-FJPG/223816-001_OPN_1.jpg</t>
  </si>
  <si>
    <t>https://dd3ka9h4chfr8.cloudfront.net/image/725136000567/image_e67b5indh54gf39aseognk3k1i/-FJPG/223816-001_DET_4.jpg</t>
  </si>
  <si>
    <t>https://dd3ka9h4chfr8.cloudfront.net/image/725136000567/image_1r9jonljq152dar970p6rm7r4a/-FJPG/223816-001_DET_5.jpg</t>
  </si>
  <si>
    <t>https://dd3ka9h4chfr8.cloudfront.net/image/725136000567/image_nvvs4qfhq52079qg6rvr28h86k/-FJPG/223816-001_DET_6.jpg</t>
  </si>
  <si>
    <t>https://dd3ka9h4chfr8.cloudfront.net/image/725136000567/image_485qmif3u5571bhm97tdbcop46/-FJPG/223816-001_DET_7.jpg</t>
  </si>
  <si>
    <t>https://dd3ka9h4chfr8.cloudfront.net/image/725136000567/image_l3k8jhjrgl12be0fn9nilvlh4q/-FJPG/223816-001_DET_8.jpg</t>
  </si>
  <si>
    <t>https://dd3ka9h4chfr8.cloudfront.net/image/725136000567/image_tqv8rtpoe128b0bkdutve0426i/-FJPG/223816-001_DET_9.jpg</t>
  </si>
  <si>
    <t>https://dd3ka9h4chfr8.cloudfront.net/image/725136000567/image_9f12b489tl5mvd00d29101j67f/-FJPG/223816-001_OPN_2.jpg</t>
  </si>
  <si>
    <t>Trey Executive Desk - Black Wash Poplar</t>
  </si>
  <si>
    <t>https://dd3ka9h4chfr8.cloudfront.net/image/725136000567/image_85qak0podt08l2k86l1815gg7t/-S150x150-FJPG/223816-002_PRM_1.jpg</t>
  </si>
  <si>
    <t>https://dd3ka9h4chfr8.cloudfront.net/image/725136000567/image_85qak0podt08l2k86l1815gg7t/-FJPG/223816-002_PRM_1.jpg</t>
  </si>
  <si>
    <t>https://dd3ka9h4chfr8.cloudfront.net/image/725136000567/image_9jihne37f501l3qfiftqlhsk28/-FJPG/223816-002_SID_1.jpg</t>
  </si>
  <si>
    <t>https://dd3ka9h4chfr8.cloudfront.net/image/725136000567/image_g7hul4kbdh4ovapdk86qelna26/-FJPG/223816-002_BCK_1.jpg</t>
  </si>
  <si>
    <t>Trey Executive Desk - Dove Poplar</t>
  </si>
  <si>
    <t>https://dd3ka9h4chfr8.cloudfront.net/image/725136000567/image_7q3m8qaf5t5ppe1klp8eoe9705/-S150x150-FJPG/223816-003_PRM_1.jpg</t>
  </si>
  <si>
    <t>https://dd3ka9h4chfr8.cloudfront.net/image/725136000567/image_7q3m8qaf5t5ppe1klp8eoe9705/-FJPG/223816-003_PRM_1.jpg</t>
  </si>
  <si>
    <t>https://dd3ka9h4chfr8.cloudfront.net/image/725136000567/image_1b4uktbrt120ddthmd42gase71/-FJPG/223816-003_SID_1.jpg</t>
  </si>
  <si>
    <t>https://dd3ka9h4chfr8.cloudfront.net/image/725136000567/image_50cd20k8nh5gtdv6alabd2go7t/-FJPG/223816-003_ESS.tif</t>
  </si>
  <si>
    <t>https://dd3ka9h4chfr8.cloudfront.net/image/725136000567/image_5kanj353hd5jj98plkn71pel08/-FJPG/223816-003_DET_2.jpg</t>
  </si>
  <si>
    <t>https://dd3ka9h4chfr8.cloudfront.net/image/725136000567/image_ebimf7l4gp73t6v22o9lbe2p08/-FJPG/223816-003_BCK_1.jpg</t>
  </si>
  <si>
    <t>https://dd3ka9h4chfr8.cloudfront.net/image/725136000567/image_b6uvjomt554et6s0v4ig7t6u1v/-FJPG/223816-003_DET_1.jpg</t>
  </si>
  <si>
    <t>https://dd3ka9h4chfr8.cloudfront.net/image/725136000567/image_o0rb6osk3p1ul4hfes2njoed7p/-FJPG/223816-003_DET_3.jpg</t>
  </si>
  <si>
    <t>https://dd3ka9h4chfr8.cloudfront.net/image/725136000567/image_cl25rioh095tb7t83ccndga14c/-FJPG/223816-003_OPN_1.jpg</t>
  </si>
  <si>
    <t>https://dd3ka9h4chfr8.cloudfront.net/image/725136000567/image_7smtov1nk93lddaj9p41nrej57/-FJPG/223816-003_DET_4.jpg</t>
  </si>
  <si>
    <t>https://dd3ka9h4chfr8.cloudfront.net/image/725136000567/image_egeiq3pvr55l31v4ncbj1g9t45/-FJPG/223816-003_DET_5.jpg</t>
  </si>
  <si>
    <t>https://dd3ka9h4chfr8.cloudfront.net/image/725136000567/image_o3e015lcdl4vlbb8ec3k0pni2a/-FJPG/223816-003_DET_6.jpg</t>
  </si>
  <si>
    <t>https://dd3ka9h4chfr8.cloudfront.net/image/725136000567/image_uqei837u4t2pn3vc7hv99elk0r/-FJPG/223816-003_DET_7.jpg</t>
  </si>
  <si>
    <t>https://dd3ka9h4chfr8.cloudfront.net/image/725136000567/image_vhtgicc4750e36mvkl5pvh010h/-FJPG/223816-003_OPN_2.jpg</t>
  </si>
  <si>
    <t>Trey Large Nightstand - Auburn Poplar</t>
  </si>
  <si>
    <t>https://dd3ka9h4chfr8.cloudfront.net/image/725136000567/image_u0j7aiu5ep1rf512fvems82l7b/-S150x150-FJPG/230316-001_PRM_1.jpg</t>
  </si>
  <si>
    <t>https://dd3ka9h4chfr8.cloudfront.net/image/725136000567/image_u0j7aiu5ep1rf512fvems82l7b/-FJPG/230316-001_PRM_1.jpg</t>
  </si>
  <si>
    <t>https://dd3ka9h4chfr8.cloudfront.net/image/725136000567/image_36ss29cnmt0dlc7vab4cc8b573/-FJPG/230316-001_SID_1.jpg</t>
  </si>
  <si>
    <t>https://dd3ka9h4chfr8.cloudfront.net/image/725136000567/image_5rbvbsp39d1oh3v25dauv85u41/-FJPG/230316-001_DET_2.jpg</t>
  </si>
  <si>
    <t>https://dd3ka9h4chfr8.cloudfront.net/image/725136000567/image_rk2ipveubh3p166vfnnbpmmn1h/-FJPG/230316-001_BCK_1.jpg</t>
  </si>
  <si>
    <t>https://dd3ka9h4chfr8.cloudfront.net/image/725136000567/image_7ngsue8cip36p57pli9b35n86c/-FJPG/230316-001_DET_1.jpg</t>
  </si>
  <si>
    <t>https://dd3ka9h4chfr8.cloudfront.net/image/725136000567/image_iik89in9c13prdclmi89g6mt3m/-FJPG/230316-001_DET_3.jpg</t>
  </si>
  <si>
    <t>https://dd3ka9h4chfr8.cloudfront.net/image/725136000567/image_t50h0p5ng50j9dh4eojah2ot2v/-FJPG/230316-001_OPN_1.jpg</t>
  </si>
  <si>
    <t>https://dd3ka9h4chfr8.cloudfront.net/image/725136000567/image_2o84scdss90kn7follhjvr8d4e/-FJPG/230316-001_DET_4.jpg</t>
  </si>
  <si>
    <t>https://dd3ka9h4chfr8.cloudfront.net/image/725136000567/image_5ohetemi0t0chd465midi9dp0b/-FJPG/230316-001_DET_5.jpg</t>
  </si>
  <si>
    <t>https://dd3ka9h4chfr8.cloudfront.net/image/725136000567/image_g2vitjg1e931l5piucdk6hco2d/-FJPG/230316-001_DET_6.jpg</t>
  </si>
  <si>
    <t>https://dd3ka9h4chfr8.cloudfront.net/image/725136000567/image_7l6moishap3mp0t5mp79puv83p/-FJPG/230316-001_VIG_1.jpg</t>
  </si>
  <si>
    <t>https://dd3ka9h4chfr8.cloudfront.net/image/725136000567/image_5vlg75h0d914b8e61bhiovoj1d/-FJPG/230316-001_VIG_2.jpg</t>
  </si>
  <si>
    <t>Trey Large Nightstand - Black Wash Poplar</t>
  </si>
  <si>
    <t>https://dd3ka9h4chfr8.cloudfront.net/image/725136000567/image_2qj0ogj52953da6a34l9dngp72/-S150x150-FJPG/230316-002_PRM_1.jpg</t>
  </si>
  <si>
    <t>https://dd3ka9h4chfr8.cloudfront.net/image/725136000567/image_2qj0ogj52953da6a34l9dngp72/-FJPG/230316-002_PRM_1.jpg</t>
  </si>
  <si>
    <t>https://dd3ka9h4chfr8.cloudfront.net/image/725136000567/image_64vi53bdlh1r7fls2pqi9p8e75/-FJPG/230316-002_SID_1.jpg</t>
  </si>
  <si>
    <t>https://dd3ka9h4chfr8.cloudfront.net/image/725136000567/image_f9mgtm9akh4h5a9p797kto8t4p/-FJPG/230316-002_DET_2.jpg</t>
  </si>
  <si>
    <t>https://dd3ka9h4chfr8.cloudfront.net/image/725136000567/image_ii3fs49fo52k7023hs00b8ef7f/-FJPG/230316-002_BCK_1.jpg</t>
  </si>
  <si>
    <t>https://dd3ka9h4chfr8.cloudfront.net/image/725136000567/image_5q5nm2emsl78nc3ak2sfqmvg4g/-FJPG/230316-002_DET_1.jpg</t>
  </si>
  <si>
    <t>https://dd3ka9h4chfr8.cloudfront.net/image/725136000567/image_1ji1ng9kfd0gf5tc8vdp2noi5a/-FJPG/230316-002_DET_3.jpg</t>
  </si>
  <si>
    <t>https://dd3ka9h4chfr8.cloudfront.net/image/725136000567/image_im7uv9ius17kl2klsi7v031h0c/-FJPG/230316-002_DET_4.jpg</t>
  </si>
  <si>
    <t>https://dd3ka9h4chfr8.cloudfront.net/image/725136000567/image_c46de13s4p50t03h896n19jh2k/-FJPG/230316-002_DET_5.jpg</t>
  </si>
  <si>
    <t>https://dd3ka9h4chfr8.cloudfront.net/image/725136000567/image_0v48ur3e1560d6kh20pcgr0v3h/-FJPG/230316-002_DET_7.jpg</t>
  </si>
  <si>
    <t>https://dd3ka9h4chfr8.cloudfront.net/image/725136000567/image_i26vk3l0357unbckll449ham2v/-FJPG/230316-002_ESS.tif</t>
  </si>
  <si>
    <t>Trey Large Nightstand - Dove Poplar</t>
  </si>
  <si>
    <t>https://dd3ka9h4chfr8.cloudfront.net/image/725136000567/image_vdjs7igvdp4gb83or9nav86s20/-S150x150-FJPG/230316-003_PRM_1.jpg</t>
  </si>
  <si>
    <t>https://dd3ka9h4chfr8.cloudfront.net/image/725136000567/image_vdjs7igvdp4gb83or9nav86s20/-FJPG/230316-003_PRM_1.jpg</t>
  </si>
  <si>
    <t>https://dd3ka9h4chfr8.cloudfront.net/image/725136000567/image_hni66bvoj979313tk473tmgj16/-FJPG/230316-003_SID_1.jpg</t>
  </si>
  <si>
    <t>https://dd3ka9h4chfr8.cloudfront.net/image/725136000567/image_nbtbouptol4rl7umrjeb0hnv17/-FJPG/230316-006_ESS.tif</t>
  </si>
  <si>
    <t>https://dd3ka9h4chfr8.cloudfront.net/image/725136000567/image_ko8qmf74r13c51cnto3mmjm87r/-FJPG/230316-003_DET_2.jpg</t>
  </si>
  <si>
    <t>https://dd3ka9h4chfr8.cloudfront.net/image/725136000567/image_f38ggsloh15ij2fj01jrblpr7t/-FJPG/230316-003_BCK_1.jpg</t>
  </si>
  <si>
    <t>https://dd3ka9h4chfr8.cloudfront.net/image/725136000567/image_lmqm7jg3096vvflpqgou2q017e/-FJPG/230316-003_DET_1.jpg</t>
  </si>
  <si>
    <t>https://dd3ka9h4chfr8.cloudfront.net/image/725136000567/image_sadvahjs7p0s160e42geq45j38/-FJPG/230316-003_DET_3.jpg</t>
  </si>
  <si>
    <t>https://dd3ka9h4chfr8.cloudfront.net/image/725136000567/image_pg2ue843b57l950e18jnrhil6q/-FJPG/230316-003_OPN_1.jpg</t>
  </si>
  <si>
    <t>https://dd3ka9h4chfr8.cloudfront.net/image/725136000567/image_k9bidc8uu121p28mesiels2r5k/-FJPG/230316-003_DET_4.jpg</t>
  </si>
  <si>
    <t>https://dd3ka9h4chfr8.cloudfront.net/image/725136000567/image_q6c2ou5v31757c9j84ou0evt2n/-FJPG/230316-003_DET_5.jpg</t>
  </si>
  <si>
    <t>https://dd3ka9h4chfr8.cloudfront.net/image/725136000567/image_mqoj51m4013c5dh82b88scoa62/-FJPG/230316-003_DET_6.jpg</t>
  </si>
  <si>
    <t>https://dd3ka9h4chfr8.cloudfront.net/image/725136000567/image_1sefiiue4d4o73fi3ceq0v0e36/-FJPG/230316-003_DET_7.jpg</t>
  </si>
  <si>
    <t>Trey Media Console - Auburn Poplar</t>
  </si>
  <si>
    <t>https://dd3ka9h4chfr8.cloudfront.net/image/725136000567/image_camdpbdumh4hfdarojaqa2so07/-S150x150-FJPG/UFUL-031_PRM_1.jpg</t>
  </si>
  <si>
    <t>https://dd3ka9h4chfr8.cloudfront.net/image/725136000567/image_camdpbdumh4hfdarojaqa2so07/-FJPG/UFUL-031_PRM_1.jpg</t>
  </si>
  <si>
    <t>https://dd3ka9h4chfr8.cloudfront.net/image/725136000567/image_a9clr9aj2l3mvcl7vi4sq1dn46/-FJPG/UFUL-031_SID_1.jpg</t>
  </si>
  <si>
    <t>https://dd3ka9h4chfr8.cloudfront.net/image/725136000567/image_ojd0kseg1t3c32t90k7lr0fd2r/-FJPG/UFUL-031_ESS_1.jpg</t>
  </si>
  <si>
    <t>https://dd3ka9h4chfr8.cloudfront.net/image/725136000567/image_tqpd2ga9q569f5kdipsk3rgp23/-FJPG/UFUL-031_DET_2.jpg</t>
  </si>
  <si>
    <t>https://dd3ka9h4chfr8.cloudfront.net/image/725136000567/image_ioampq9k6h4tr4v5il746msa5q/-FJPG/UFUL-031_DET_1.jpg</t>
  </si>
  <si>
    <t>https://dd3ka9h4chfr8.cloudfront.net/image/725136000567/image_0vas5o5f4p4477s1p2isrjgj7t/-FJPG/UFUL-031_DET_3.jpg</t>
  </si>
  <si>
    <t>https://dd3ka9h4chfr8.cloudfront.net/image/725136000567/image_8p0pkp4tmt0sf3jll1nrrajk6p/-FJPG/UFUL-031_OPN_1.jpg</t>
  </si>
  <si>
    <t>https://dd3ka9h4chfr8.cloudfront.net/image/725136000567/image_4384t144bh0fl12iib1u3emg5p/-FJPG/UFUL-031_DET_4.jpg</t>
  </si>
  <si>
    <t>https://dd3ka9h4chfr8.cloudfront.net/image/725136000567/image_399v21phap54h0v9psnph0tr6f/-FJPG/UFUL-031_DET_5.jpg</t>
  </si>
  <si>
    <t>https://dd3ka9h4chfr8.cloudfront.net/image/725136000567/image_d859et8qc92ufbv2p6oapkvk3b/-FJPG/UFUL-031_DET_6.jpg</t>
  </si>
  <si>
    <t>https://dd3ka9h4chfr8.cloudfront.net/image/725136000567/image_rmq62mm21p6756o6tja8uv2u4f/-FJPG/UFUL-031_DET_7.jpg</t>
  </si>
  <si>
    <t>Trey Media Console - Black Wash Poplar</t>
  </si>
  <si>
    <t>https://dd3ka9h4chfr8.cloudfront.net/image/725136000567/image_7jv2b617n17375rl3utdgvsr0r/-S150x150-FJPG/UFUL-031A_PRM_1.jpg</t>
  </si>
  <si>
    <t>https://dd3ka9h4chfr8.cloudfront.net/image/725136000567/image_7jv2b617n17375rl3utdgvsr0r/-FJPG/UFUL-031A_PRM_1.jpg</t>
  </si>
  <si>
    <t>https://dd3ka9h4chfr8.cloudfront.net/image/725136000567/image_6b0dukftch0f12cv003eppjt3o/-FJPG/UFUL-031A_SID_1.jpg</t>
  </si>
  <si>
    <t>https://dd3ka9h4chfr8.cloudfront.net/image/725136000567/image_n3nvf3pnup4bt687kliinjh41p/-FJPG/UFUL-031A_ESS_1.jpg</t>
  </si>
  <si>
    <t>https://dd3ka9h4chfr8.cloudfront.net/image/725136000567/image_kbs1mmn2i970rb7v07muj3qt51/-FJPG/UFUL-031A_DET_2.jpg</t>
  </si>
  <si>
    <t>https://dd3ka9h4chfr8.cloudfront.net/image/725136000567/image_bp41cvdin97jl666bhmg387a7t/-FJPG/UFUL-031A_BCK_1.jpg</t>
  </si>
  <si>
    <t>https://dd3ka9h4chfr8.cloudfront.net/image/725136000567/image_ub3kvk5fvl0k13i06j2t4bah06/-FJPG/UFUL-031A_DET_1.jpg</t>
  </si>
  <si>
    <t>https://dd3ka9h4chfr8.cloudfront.net/image/725136000567/image_pcoaes3cn13ev4po4rfu9dnu77/-FJPG/UFUL-031A_DET_3.jpg</t>
  </si>
  <si>
    <t>https://dd3ka9h4chfr8.cloudfront.net/image/725136000567/image_j1kstoqvg10sl44fhjc7bp9571/-FJPG/UFUL-031A_OPN_1.jpg</t>
  </si>
  <si>
    <t>https://dd3ka9h4chfr8.cloudfront.net/image/725136000567/image_5kstu71roh3al2sf7dcm3c2v78/-FJPG/UFUL-031A_DET_4.jpg</t>
  </si>
  <si>
    <t>https://dd3ka9h4chfr8.cloudfront.net/image/725136000567/image_fs945bmnh9437e8l71k8j5lr66/-FJPG/UFUL-031A_DET_5.jpg</t>
  </si>
  <si>
    <t>https://dd3ka9h4chfr8.cloudfront.net/image/725136000567/image_rb19spuc3172t85o7vbha4pf35/-FJPG/UFUL-031A_DET_6.jpg</t>
  </si>
  <si>
    <t>Trey Media Console - Dove Poplar</t>
  </si>
  <si>
    <t>https://dd3ka9h4chfr8.cloudfront.net/image/725136000567/image_c56fbmvo9t04t79no5572cla2c/-S150x150-FJPG/107315-005_PRM_1.jpg</t>
  </si>
  <si>
    <t>https://dd3ka9h4chfr8.cloudfront.net/image/725136000567/image_c56fbmvo9t04t79no5572cla2c/-FJPG/107315-005_PRM_1.jpg</t>
  </si>
  <si>
    <t>https://dd3ka9h4chfr8.cloudfront.net/image/725136000567/image_6fp1bmcsm56j514agv1dggoj6l/-FJPG/107315-005_SID_1.jpg</t>
  </si>
  <si>
    <t>https://dd3ka9h4chfr8.cloudfront.net/image/725136000567/image_tf17gstu5p2rd196hjgkle240c/-FJPG/107315-005_ESS_1.jpg</t>
  </si>
  <si>
    <t>https://dd3ka9h4chfr8.cloudfront.net/image/725136000567/image_af1230njah3ab1uaroiada792f/-FJPG/107315-005_DET_2.jpg</t>
  </si>
  <si>
    <t>https://dd3ka9h4chfr8.cloudfront.net/image/725136000567/image_ugav5o4cml50h684blql9s785o/-FJPG/107315-005_BCK_1.jpg</t>
  </si>
  <si>
    <t>https://dd3ka9h4chfr8.cloudfront.net/image/725136000567/image_fjrt2inqjl1n72rrll0a42sq70/-FJPG/107315-005_DET_1.jpg</t>
  </si>
  <si>
    <t>https://dd3ka9h4chfr8.cloudfront.net/image/725136000567/image_v7e700l96l6utbucme51jrki1t/-FJPG/107315-005_DET_3.jpg</t>
  </si>
  <si>
    <t>https://dd3ka9h4chfr8.cloudfront.net/image/725136000567/image_ipta1225254v17bp80fvocqv75/-FJPG/107315-005_OPN_1.jpg</t>
  </si>
  <si>
    <t>https://dd3ka9h4chfr8.cloudfront.net/image/725136000567/image_clheooo5tt3e52p1mfh1gk6n0a/-FJPG/107315-005_DET_4.jpg</t>
  </si>
  <si>
    <t>https://dd3ka9h4chfr8.cloudfront.net/image/725136000567/image_dgcv9cknrp38n4brctp56t2b2e/-FJPG/107315-005_DET_5.jpg</t>
  </si>
  <si>
    <t>https://dd3ka9h4chfr8.cloudfront.net/image/725136000567/image_442lfr8r3l6l30albki03nb34u/-FJPG/107315-005_DET_6.jpg</t>
  </si>
  <si>
    <t>https://dd3ka9h4chfr8.cloudfront.net/image/725136000567/image_hk0dmmjh9d70vfif341n4hio32/-FJPG/107315-005_DET_7.jpg</t>
  </si>
  <si>
    <t>Trey Modular Filing Cabinet - Auburn Poplar</t>
  </si>
  <si>
    <t>https://dd3ka9h4chfr8.cloudfront.net/image/725136000567/image_646m0ouas5471c1igrnh4jlm0m/-S150x150-FJPG/107318-005_PRM_1.jpg</t>
  </si>
  <si>
    <t>https://dd3ka9h4chfr8.cloudfront.net/image/725136000567/image_646m0ouas5471c1igrnh4jlm0m/-FJPG/107318-005_PRM_1.jpg</t>
  </si>
  <si>
    <t>https://dd3ka9h4chfr8.cloudfront.net/image/725136000567/image_4f5dtisf0h15j9s9tbrpsr5e3s/-FJPG/107318-005_SID_1.jpg</t>
  </si>
  <si>
    <t>https://dd3ka9h4chfr8.cloudfront.net/image/725136000567/image_td0pub2mqh3ed5ioh1n8mr4p5d/-FJPG/107318-005_ESS_1.jpg</t>
  </si>
  <si>
    <t>https://dd3ka9h4chfr8.cloudfront.net/image/725136000567/image_oouerkv7jl2sd84dtg359p9v4m/-FJPG/107318-005_DET_2.jpg</t>
  </si>
  <si>
    <t>https://dd3ka9h4chfr8.cloudfront.net/image/725136000567/image_l382jr9m291ev7ppq87813si2g/-FJPG/107318-005_DET_1.jpg</t>
  </si>
  <si>
    <t>https://dd3ka9h4chfr8.cloudfront.net/image/725136000567/image_msveu6l4l51grek4bgcl4u337s/-FJPG/107318-005_DET_3.jpg</t>
  </si>
  <si>
    <t>https://dd3ka9h4chfr8.cloudfront.net/image/725136000567/image_bumn1vtgt16phbhd76ka1ss54e/-FJPG/107318-005_OPN_1.jpg</t>
  </si>
  <si>
    <t>https://dd3ka9h4chfr8.cloudfront.net/image/725136000567/image_7g5l0k5ivt035disefj5fs7o2l/-FJPG/107318-005_DET_4.jpg</t>
  </si>
  <si>
    <t>https://dd3ka9h4chfr8.cloudfront.net/image/725136000567/image_6js3a90rpd6i15fn9riqidjs1s/-FJPG/107318-005_DET_5.jpg</t>
  </si>
  <si>
    <t>https://dd3ka9h4chfr8.cloudfront.net/image/725136000567/image_f3pcd7b7q16l30p99pg8ctmd7q/-FJPG/107318-005_DET_6.jpg</t>
  </si>
  <si>
    <t>https://dd3ka9h4chfr8.cloudfront.net/image/725136000567/image_m0o3l3umi958tahf9084too45n/-FJPG/107318-005_DET_7.jpg</t>
  </si>
  <si>
    <t>https://dd3ka9h4chfr8.cloudfront.net/image/725136000567/image_08qqlo8me96n507ldhlkj5m303/-FJPG/107318-005_DET_8.jpg</t>
  </si>
  <si>
    <t>https://dd3ka9h4chfr8.cloudfront.net/image/725136000567/image_vmalvjp9m15k71vdrea9cm2e4g/-FJPG/107318-005_ROM_1.jpg</t>
  </si>
  <si>
    <t>https://dd3ka9h4chfr8.cloudfront.net/image/725136000567/image_fqihfk946h4kbdphi4thi1n261/-FJPG/107318-005_OPN_2.jpg</t>
  </si>
  <si>
    <t>Trey Modular Filing Cabinet - Black Wash Poplar</t>
  </si>
  <si>
    <t>https://dd3ka9h4chfr8.cloudfront.net/image/725136000567/image_vk1c5cv8el16ffki0etakvvd0s/-S150x150-FJPG/107318-006_PRM_1.jpg</t>
  </si>
  <si>
    <t>https://dd3ka9h4chfr8.cloudfront.net/image/725136000567/image_vk1c5cv8el16ffki0etakvvd0s/-FJPG/107318-006_PRM_1.jpg</t>
  </si>
  <si>
    <t>https://dd3ka9h4chfr8.cloudfront.net/image/725136000567/image_ltl0tt053l0nf74riu18gtvq62/-FJPG/107318-006_SID_1.jpg</t>
  </si>
  <si>
    <t>https://dd3ka9h4chfr8.cloudfront.net/image/725136000567/image_hu9b227ke14q36putgoptbdc5k/-FJPG/107318-006_ESS_1.jpg</t>
  </si>
  <si>
    <t>https://dd3ka9h4chfr8.cloudfront.net/image/725136000567/image_5r1bb9nqt50ln4evmv7991k95o/-FJPG/107318-006_DET_2.jpg</t>
  </si>
  <si>
    <t>https://dd3ka9h4chfr8.cloudfront.net/image/725136000567/image_9b223rmm4p4pjagk9h4tabse6d/-FJPG/107318-006_BCK_1.jpg</t>
  </si>
  <si>
    <t>https://dd3ka9h4chfr8.cloudfront.net/image/725136000567/image_6jmbfp76150uf62kudjec1q84a/-FJPG/107318-006_DET_1.jpg</t>
  </si>
  <si>
    <t>https://dd3ka9h4chfr8.cloudfront.net/image/725136000567/image_ijh6i50kht4o3694pqjapukn1b/-FJPG/107318-006_DET_3.jpg</t>
  </si>
  <si>
    <t>https://dd3ka9h4chfr8.cloudfront.net/image/725136000567/image_v62ihilunh7b75rjlc2kquri0b/-FJPG/107318-006_OPN_1.jpg</t>
  </si>
  <si>
    <t>https://dd3ka9h4chfr8.cloudfront.net/image/725136000567/image_djvei2284l50j37c29gfdirj28/-FJPG/107318-006_DET_4.jpg</t>
  </si>
  <si>
    <t>https://dd3ka9h4chfr8.cloudfront.net/image/725136000567/image_m0tb0ck4rp6h1bk9q0n17rkr50/-FJPG/107318-006_DET_5.jpg</t>
  </si>
  <si>
    <t>https://dd3ka9h4chfr8.cloudfront.net/image/725136000567/image_o90o258tgp5dn8mu9mm5m2lf52/-FJPG/107318-006_DET_6.jpg</t>
  </si>
  <si>
    <t>https://dd3ka9h4chfr8.cloudfront.net/image/725136000567/image_k2k4vblach1ed1lp1cg4ec0t1r/-FJPG/107318-006_DET_7.jpg</t>
  </si>
  <si>
    <t>https://dd3ka9h4chfr8.cloudfront.net/image/725136000567/image_lirlumvv4d1rndhrh6o8c9gb51/-FJPG/107318-006_DET_8.jpg</t>
  </si>
  <si>
    <t>https://dd3ka9h4chfr8.cloudfront.net/image/725136000567/image_8lss6gi3514t99782mpe8uci27/-FJPG/107318-006_DET_9.jpg</t>
  </si>
  <si>
    <t>https://dd3ka9h4chfr8.cloudfront.net/image/725136000567/image_744gudeoqd11j0050ac5isk04q/-FJPG/107318-006_OPN_2.jpg</t>
  </si>
  <si>
    <t>Trey Modular Filing Cabinet - Dove Poplar</t>
  </si>
  <si>
    <t>https://dd3ka9h4chfr8.cloudfront.net/image/725136000567/image_9octulst3h3p32smn9kit80a5g/-S150x150-FJPG/107318-007_PRM_1.jpg</t>
  </si>
  <si>
    <t>https://dd3ka9h4chfr8.cloudfront.net/image/725136000567/image_9octulst3h3p32smn9kit80a5g/-FJPG/107318-007_PRM_1.jpg</t>
  </si>
  <si>
    <t>https://dd3ka9h4chfr8.cloudfront.net/image/725136000567/image_g3iel6nh7t4ntdvh2uc22i7m0o/-FJPG/107318-007_SID_1.jpg</t>
  </si>
  <si>
    <t>https://dd3ka9h4chfr8.cloudfront.net/image/725136000567/image_crd6pc273l63bfgb48mr9nsg4r/-FJPG/107318-007_ESS_01.jpg</t>
  </si>
  <si>
    <t>https://dd3ka9h4chfr8.cloudfront.net/image/725136000567/image_7kn0o7mo35403ehuhnpgsifh58/-FJPG/107318-007_DET_2.jpg</t>
  </si>
  <si>
    <t>https://dd3ka9h4chfr8.cloudfront.net/image/725136000567/image_rp3qf31hot4vp7khdkb847ok21/-FJPG/107318-007_BCK_1.jpg</t>
  </si>
  <si>
    <t>https://dd3ka9h4chfr8.cloudfront.net/image/725136000567/image_72nvgoe9ph1cj6usofs3si2077/-FJPG/107318-007_DET_1.jpg</t>
  </si>
  <si>
    <t>https://dd3ka9h4chfr8.cloudfront.net/image/725136000567/image_ev31dlco2p3q15g7abnnq95c6i/-FJPG/107318-007_DET_3.jpg</t>
  </si>
  <si>
    <t>https://dd3ka9h4chfr8.cloudfront.net/image/725136000567/image_advlpu968h22hcd25r318brt1e/-FJPG/107318-007_OPN_1.jpg</t>
  </si>
  <si>
    <t>https://dd3ka9h4chfr8.cloudfront.net/image/725136000567/image_q2ofij66kp1rpd4aa91fovm23d/-FJPG/107318-007_DET_4.jpg</t>
  </si>
  <si>
    <t>https://dd3ka9h4chfr8.cloudfront.net/image/725136000567/image_ij68900kad0a3907or3oneq32g/-FJPG/107318-007_DET_5.jpg</t>
  </si>
  <si>
    <t>https://dd3ka9h4chfr8.cloudfront.net/image/725136000567/image_tc3ujvvvgh4s369nnh6s5dnn2e/-FJPG/107318-007_DET_6.jpg</t>
  </si>
  <si>
    <t>https://dd3ka9h4chfr8.cloudfront.net/image/725136000567/image_ek8lhaqdj93ct22qsqv5o7cf1c/-FJPG/107318-007_DET_7.jpg</t>
  </si>
  <si>
    <t>https://dd3ka9h4chfr8.cloudfront.net/image/725136000567/image_rm1l8s60697q1cq8dec0l01158/-FJPG/107318-007_DET_8.jpg</t>
  </si>
  <si>
    <t>https://dd3ka9h4chfr8.cloudfront.net/image/725136000567/image_cvo3ivd69t51r18868q4c48q53/-FJPG/107318-007_OPN_2.jpg</t>
  </si>
  <si>
    <t>Trey Modular Filing Credenza - Auburn Poplar</t>
  </si>
  <si>
    <t>https://dd3ka9h4chfr8.cloudfront.net/image/725136000567/image_e6hlaudoqh1dl0mgtbot56mh7u/-S150x150-FJPG/UFUL-035_PRM_1.jpg</t>
  </si>
  <si>
    <t>https://dd3ka9h4chfr8.cloudfront.net/image/725136000567/image_e6hlaudoqh1dl0mgtbot56mh7u/-FJPG/UFUL-035_PRM_1.jpg</t>
  </si>
  <si>
    <t>https://dd3ka9h4chfr8.cloudfront.net/image/725136000567/image_1nqsr7m1e17495cr8c9gsr985s/-FJPG/UFUL-035_SID_1.jpg</t>
  </si>
  <si>
    <t>https://dd3ka9h4chfr8.cloudfront.net/image/725136000567/image_70kfquioj15tbcebidds1lls54/-FJPG/UFUL-035_DET_2.jpg</t>
  </si>
  <si>
    <t>https://dd3ka9h4chfr8.cloudfront.net/image/725136000567/image_jm99dfmrlp1h10lhmve65n4t17/-FJPG/UFUL-035_DET_1.jpg</t>
  </si>
  <si>
    <t>https://dd3ka9h4chfr8.cloudfront.net/image/725136000567/image_lgn29cuih903je6lidhsh0k724/-FJPG/UFUL-035_DET_3.jpg</t>
  </si>
  <si>
    <t>https://dd3ka9h4chfr8.cloudfront.net/image/725136000567/image_nib4sttbil2un2l66dp4llg04m/-FJPG/UFUL-035_OPN_1.jpg</t>
  </si>
  <si>
    <t>https://dd3ka9h4chfr8.cloudfront.net/image/725136000567/image_9ls4572qnt0td58hmlh6ssnu0c/-FJPG/UFUL-035_DET_4.jpg</t>
  </si>
  <si>
    <t>https://dd3ka9h4chfr8.cloudfront.net/image/725136000567/image_hi4puloaut17575gu0n6ja6j0e/-FJPG/UFUL-035_DET_5.jpg</t>
  </si>
  <si>
    <t>https://dd3ka9h4chfr8.cloudfront.net/image/725136000567/image_914r2d6k2t75h7jgeqtqllv10u/-FJPG/UFUL-035_DET_6.jpg</t>
  </si>
  <si>
    <t>Trey Modular Filing Credenza - Black Wash Poplar</t>
  </si>
  <si>
    <t>https://dd3ka9h4chfr8.cloudfront.net/image/725136000567/image_loj79mhg4h4m32jurrc9diaq6c/-S150x150-FJPG/UFUL-035A_PRM_1.jpg</t>
  </si>
  <si>
    <t>https://dd3ka9h4chfr8.cloudfront.net/image/725136000567/image_loj79mhg4h4m32jurrc9diaq6c/-FJPG/UFUL-035A_PRM_1.jpg</t>
  </si>
  <si>
    <t>https://dd3ka9h4chfr8.cloudfront.net/image/725136000567/image_n0vns9otah1rj6b8fnpkg0dh3l/-FJPG/UFUL-035A_SID_1.jpg</t>
  </si>
  <si>
    <t>https://dd3ka9h4chfr8.cloudfront.net/image/725136000567/image_talir842r955f582grsjs9t55p/-FJPG/UFUL-035A_ESS_1.jpg</t>
  </si>
  <si>
    <t>https://dd3ka9h4chfr8.cloudfront.net/image/725136000567/image_8ef3q7m46l3lh0f1io5if1kj0e/-FJPG/UFUL-035A_BCK_1.jpg</t>
  </si>
  <si>
    <t>https://dd3ka9h4chfr8.cloudfront.net/image/725136000567/image_be193pgo0p29l0s5srifiifh4u/-FJPG/UFUL-035A_DET_1.jpg</t>
  </si>
  <si>
    <t>https://dd3ka9h4chfr8.cloudfront.net/image/725136000567/image_r6m2a9upal2jh2193l1salql5o/-FJPG/UFUL-035A_DET_3.jpg</t>
  </si>
  <si>
    <t>https://dd3ka9h4chfr8.cloudfront.net/image/725136000567/image_ol74fmf7dl76tb3nche4klo477/-FJPG/UFUL-035A_OPN_1.jpg</t>
  </si>
  <si>
    <t>https://dd3ka9h4chfr8.cloudfront.net/image/725136000567/image_s28dvobl897i90852ipfefvg51/-FJPG/UFUL-035A_DET_4.jpg</t>
  </si>
  <si>
    <t>https://dd3ka9h4chfr8.cloudfront.net/image/725136000567/image_4tgiaf8p3l6vn5v4q327qnmt67/-FJPG/UFUL-035A_DET_5.jpg</t>
  </si>
  <si>
    <t>https://dd3ka9h4chfr8.cloudfront.net/image/725136000567/image_1lj674j21p3cb8lieter9k1c2n/-FJPG/UFUL-035A_DET_6.jpg</t>
  </si>
  <si>
    <t>https://dd3ka9h4chfr8.cloudfront.net/image/725136000567/image_9akl4rns1d38t7528s54mb017k/-FJPG/UFUL-035A_DET_7.jpg</t>
  </si>
  <si>
    <t>https://dd3ka9h4chfr8.cloudfront.net/image/725136000567/image_k63839hosl7bh4962iccggr904/-FJPG/UFUL-035A_OPN_2.jpg</t>
  </si>
  <si>
    <t>Trey Modular Filing Credenza - Dove Poplar</t>
  </si>
  <si>
    <t>https://dd3ka9h4chfr8.cloudfront.net/image/725136000567/image_1t8f6glp8t23j2mr69qhc8lt73/-S150x150-FJPG/107319-004_PRM_1.jpg</t>
  </si>
  <si>
    <t>https://dd3ka9h4chfr8.cloudfront.net/image/725136000567/image_1t8f6glp8t23j2mr69qhc8lt73/-FJPG/107319-004_PRM_1.jpg</t>
  </si>
  <si>
    <t>https://dd3ka9h4chfr8.cloudfront.net/image/725136000567/image_fthcfc0kk54p9bpcqt08vfub5d/-FJPG/107319-004_SID_1.jpg</t>
  </si>
  <si>
    <t>https://dd3ka9h4chfr8.cloudfront.net/image/725136000567/image_vdvr9rfsih5id1bieaj985f64o/-FJPG/107319-004_ESS_1.jpg</t>
  </si>
  <si>
    <t>https://dd3ka9h4chfr8.cloudfront.net/image/725136000567/image_fhc1gq2lel7ml32sksg66lvh5e/-FJPG/107319-004_DET_2.jpg</t>
  </si>
  <si>
    <t>https://dd3ka9h4chfr8.cloudfront.net/image/725136000567/image_v4gffb2pm11qd1vu37ap1eo91i/-FJPG/107319-004_BCK_1.jpg</t>
  </si>
  <si>
    <t>https://dd3ka9h4chfr8.cloudfront.net/image/725136000567/image_bg18e6imo176r53ao81a47bk12/-FJPG/107319-004_DET_1.jpg</t>
  </si>
  <si>
    <t>https://dd3ka9h4chfr8.cloudfront.net/image/725136000567/image_g1jaqg0hgt2vn7rfiulvnel915/-FJPG/107319-004_DET_3.jpg</t>
  </si>
  <si>
    <t>https://dd3ka9h4chfr8.cloudfront.net/image/725136000567/image_6rmn9eaqd55inbtm9qdf3fj04u/-FJPG/107319-004_OPN_1.jpg</t>
  </si>
  <si>
    <t>https://dd3ka9h4chfr8.cloudfront.net/image/725136000567/image_s8gk09jvmp4c58dn1g419tbp49/-FJPG/107319-004_DET_4.jpg</t>
  </si>
  <si>
    <t>https://dd3ka9h4chfr8.cloudfront.net/image/725136000567/image_trlt00q1rh7d75q2gfou94tn36/-FJPG/107319-004_DET_5.jpg</t>
  </si>
  <si>
    <t>https://dd3ka9h4chfr8.cloudfront.net/image/725136000567/image_qe75cq656h5snelv12t9vga130/-FJPG/107319-004_DET_6.jpg</t>
  </si>
  <si>
    <t>https://dd3ka9h4chfr8.cloudfront.net/image/725136000567/image_00qd21d1sd3vh6q2ihkerve17n/-FJPG/107319-004_DET_7.jpg</t>
  </si>
  <si>
    <t>https://dd3ka9h4chfr8.cloudfront.net/image/725136000567/image_d05mqidh6d71d2b9s5fv4o751t/-FJPG/107319-004_DET_8.jpg</t>
  </si>
  <si>
    <t>https://dd3ka9h4chfr8.cloudfront.net/image/725136000567/image_dlquq7e5ld73h8bufe1clj8k6t/-FJPG/107319-004_VIG_2.jpg</t>
  </si>
  <si>
    <t>https://dd3ka9h4chfr8.cloudfront.net/image/725136000567/image_ml347aq1md4qn78qrconvnpr23/-FJPG/107319-004_OPN_2.jpg</t>
  </si>
  <si>
    <t>Trey Modular Wide Bookcase - Auburn Poplar</t>
  </si>
  <si>
    <t>https://dd3ka9h4chfr8.cloudfront.net/image/725136000567/image_s5br8hn9fd1u75qus17ud4ns4r/-S150x150-FJPG/223961-001_PRM_1.jpg</t>
  </si>
  <si>
    <t>https://dd3ka9h4chfr8.cloudfront.net/image/725136000567/image_s5br8hn9fd1u75qus17ud4ns4r/-FJPG/223961-001_PRM_1.jpg</t>
  </si>
  <si>
    <t>https://dd3ka9h4chfr8.cloudfront.net/image/725136000567/image_6m0oioes650h3cqrao13d4r15o/-FJPG/223961-001_SID_1.jpg</t>
  </si>
  <si>
    <t>https://dd3ka9h4chfr8.cloudfront.net/image/725136000567/image_0f42mi4arl7ll81jmd1ad1cd73/-FJPG/223961-001_DET_2.jpg</t>
  </si>
  <si>
    <t>https://dd3ka9h4chfr8.cloudfront.net/image/725136000567/image_7jq183eeip47f8mjgqk788sk0p/-FJPG/223961-001_BCK_1.jpg</t>
  </si>
  <si>
    <t>https://dd3ka9h4chfr8.cloudfront.net/image/725136000567/image_k34javrsn9769d6e6gn5oi9n4q/-FJPG/223961-001_DET_1.jpg</t>
  </si>
  <si>
    <t>https://dd3ka9h4chfr8.cloudfront.net/image/725136000567/image_ifo4be0vbl58l4gmpbv1vdev40/-FJPG/223961-001_DET_3.jpg</t>
  </si>
  <si>
    <t>https://dd3ka9h4chfr8.cloudfront.net/image/725136000567/image_voe7k2phut53rb09biq1ih2p0n/-FJPG/223961-001_OPN_1.jpg</t>
  </si>
  <si>
    <t>https://dd3ka9h4chfr8.cloudfront.net/image/725136000567/image_51si9crpet5lb8reit6o0mnk2g/-FJPG/223961-001_DET_4.jpg</t>
  </si>
  <si>
    <t>https://dd3ka9h4chfr8.cloudfront.net/image/725136000567/image_j4nsi76h195bd8vqdjstjn9q7v/-FJPG/223961-001_DET_5.jpg</t>
  </si>
  <si>
    <t>https://dd3ka9h4chfr8.cloudfront.net/image/725136000567/image_1jqn8i3m350d1ds4gqaqkgv85u/-FJPG/223961-001_DET_6.jpg</t>
  </si>
  <si>
    <t>https://dd3ka9h4chfr8.cloudfront.net/image/725136000567/image_in8uc60lcd1frbcaoh72crkl2a/-FJPG/223961-001_DET_7.jpg</t>
  </si>
  <si>
    <t>https://dd3ka9h4chfr8.cloudfront.net/image/725136000567/image_o122ehomet7ev8onhtratsmi3f/-FJPG/223961-001_VIG_1.jpg</t>
  </si>
  <si>
    <t>Trey Modular Wide Bookcase - Black Wash Poplar</t>
  </si>
  <si>
    <t>https://dd3ka9h4chfr8.cloudfront.net/image/725136000567/image_cso1l7rs7d4cvdbimbmlg4dh0r/-S150x150-FJPG/223961-002_PRM_1.jpg</t>
  </si>
  <si>
    <t>https://dd3ka9h4chfr8.cloudfront.net/image/725136000567/image_cso1l7rs7d4cvdbimbmlg4dh0r/-FJPG/223961-002_PRM_1.jpg</t>
  </si>
  <si>
    <t>https://dd3ka9h4chfr8.cloudfront.net/image/725136000567/image_9g03cltl7546v4lhdimmq70803/-FJPG/223961-002_SID_1.jpg</t>
  </si>
  <si>
    <t>https://dd3ka9h4chfr8.cloudfront.net/image/725136000567/image_n85snpv2fd0g9dt0f3g4ehdj00/-FJPG/223961-002_DET_2.jpg</t>
  </si>
  <si>
    <t>https://dd3ka9h4chfr8.cloudfront.net/image/725136000567/image_392kmkb72h12lf8kbpg2cpic20/-FJPG/223961-002_BCK_1.jpg</t>
  </si>
  <si>
    <t>https://dd3ka9h4chfr8.cloudfront.net/image/725136000567/image_v2vdh9oi9522v21nf0vtoksl36/-FJPG/223961-002_DET_1.jpg</t>
  </si>
  <si>
    <t>https://dd3ka9h4chfr8.cloudfront.net/image/725136000567/image_6o4iki9uo90op7b1bsd773ol3f/-FJPG/223961-002_DET_3.jpg</t>
  </si>
  <si>
    <t>https://dd3ka9h4chfr8.cloudfront.net/image/725136000567/image_lbv8liemtp1o1ai8hqiuj81i0j/-FJPG/223961-002_OPN_1.jpg</t>
  </si>
  <si>
    <t>https://dd3ka9h4chfr8.cloudfront.net/image/725136000567/image_e8ffhq4n8l2q98lk28irgrld4c/-FJPG/223961-002_DET_4.jpg</t>
  </si>
  <si>
    <t>https://dd3ka9h4chfr8.cloudfront.net/image/725136000567/image_hgm8sf1rkh6lp9b32ku2e5as5s/-FJPG/223961-002_DET_5.jpg</t>
  </si>
  <si>
    <t>https://dd3ka9h4chfr8.cloudfront.net/image/725136000567/image_s0d0onp9nl5ed8mvktfg47lj3g/-FJPG/223961-002_DET_6.jpg</t>
  </si>
  <si>
    <t>https://dd3ka9h4chfr8.cloudfront.net/image/725136000567/image_um0sp3hi8t10bc4oae31026p1q/-FJPG/223961-002_DET_7.jpg</t>
  </si>
  <si>
    <t>https://dd3ka9h4chfr8.cloudfront.net/image/725136000567/image_bg5n8o4gu96drcojufq1tgpa5n/-FJPG/223961-002_VIG_1.jpg</t>
  </si>
  <si>
    <t>https://dd3ka9h4chfr8.cloudfront.net/image/725136000567/image_66ro5u4h2d0vb7uk1qmhfpul68/-FJPG/223961-002_OPN_2.jpg</t>
  </si>
  <si>
    <t>Trey Modular Wide Bookcase - Dove Poplar</t>
  </si>
  <si>
    <t>https://dd3ka9h4chfr8.cloudfront.net/image/725136000567/image_s18hp60af57m1f8qbjmunoel6a/-S150x150-FJPG/223961-003_PRM_1.jpg</t>
  </si>
  <si>
    <t>https://dd3ka9h4chfr8.cloudfront.net/image/725136000567/image_s18hp60af57m1f8qbjmunoel6a/-FJPG/223961-003_PRM_1.jpg</t>
  </si>
  <si>
    <t>https://dd3ka9h4chfr8.cloudfront.net/image/725136000567/image_scfvrv87u94ohfkolgc4d4665b/-FJPG/223961-003_SID_1.jpg</t>
  </si>
  <si>
    <t>https://dd3ka9h4chfr8.cloudfront.net/image/725136000567/image_avhdfso7r13lpfq8ptmdn88o2v/-FJPG/223961-003_DET_2.jpg</t>
  </si>
  <si>
    <t>https://dd3ka9h4chfr8.cloudfront.net/image/725136000567/image_bsfqac2sit1mrdfa14krm4ks30/-FJPG/223961-003_BCK_1.jpg</t>
  </si>
  <si>
    <t>https://dd3ka9h4chfr8.cloudfront.net/image/725136000567/image_qd5v8g7nft5c5bdemfnjtosc5h/-FJPG/223961-003_DET_1.jpg</t>
  </si>
  <si>
    <t>https://dd3ka9h4chfr8.cloudfront.net/image/725136000567/image_4leq6l4bi14lhffrcf00knhc4j/-FJPG/223961-003_DET_3.jpg</t>
  </si>
  <si>
    <t>https://dd3ka9h4chfr8.cloudfront.net/image/725136000567/image_cpkqec0jrp7ene5eogs12he049/-FJPG/223961-003_OPN_1.jpg</t>
  </si>
  <si>
    <t>https://dd3ka9h4chfr8.cloudfront.net/image/725136000567/image_htkrv32dhl645a314uk7jg7444/-FJPG/223961-003_DET_4.jpg</t>
  </si>
  <si>
    <t>https://dd3ka9h4chfr8.cloudfront.net/image/725136000567/image_2l1gm6vvj925rb10ousahdim22/-FJPG/223961-003_DET_5.jpg</t>
  </si>
  <si>
    <t>https://dd3ka9h4chfr8.cloudfront.net/image/725136000567/image_i7phjirh153dtbm6t43d558t43/-FJPG/223961-003_DET_6.jpg</t>
  </si>
  <si>
    <t>https://dd3ka9h4chfr8.cloudfront.net/image/725136000567/image_bvcn008l5l29rbdql30eqf3664/-FJPG/223961-003_DET_7.jpg</t>
  </si>
  <si>
    <t>https://dd3ka9h4chfr8.cloudfront.net/image/725136000567/image_55lbqr1fqp4on9f8i6kbeidm0f/-FJPG/223961-003_DET_8.jpg</t>
  </si>
  <si>
    <t>https://dd3ka9h4chfr8.cloudfront.net/image/725136000567/image_3jait19kt91jv8oq301405ut32/-FJPG/223961-003_VIG_1.jpg</t>
  </si>
  <si>
    <t>Trey Modular Writing Desk - Auburn Poplar</t>
  </si>
  <si>
    <t>https://dd3ka9h4chfr8.cloudfront.net/image/725136000567/image_56fcvdh1dh15r1igoutb68ra7m/-S150x150-FJPG/UFUL-033_PRM_1.jpg</t>
  </si>
  <si>
    <t>https://dd3ka9h4chfr8.cloudfront.net/image/725136000567/image_56fcvdh1dh15r1igoutb68ra7m/-FJPG/UFUL-033_PRM_1.jpg</t>
  </si>
  <si>
    <t>https://dd3ka9h4chfr8.cloudfront.net/image/725136000567/image_kmu2rj1fkd7iv0bkajdh2tvq19/-FJPG/UFUL-033_SID_1.jpg</t>
  </si>
  <si>
    <t>https://dd3ka9h4chfr8.cloudfront.net/image/725136000567/image_pdcu8352uh1tr700ov08to8745/-FJPG/UFUL-033_DET_2.jpg</t>
  </si>
  <si>
    <t>https://dd3ka9h4chfr8.cloudfront.net/image/725136000567/image_ctn901nlu92sv39an5de9sig5i/-FJPG/UFUL-033_DET_1.jpg</t>
  </si>
  <si>
    <t>https://dd3ka9h4chfr8.cloudfront.net/image/725136000567/image_qh8110vcrl0jn07tm1vd3j055c/-FJPG/UFUL-033_DET_3.jpg</t>
  </si>
  <si>
    <t>https://dd3ka9h4chfr8.cloudfront.net/image/725136000567/image_85up45lncd5gb2gqnavghs7o54/-FJPG/UFUL-033_OPN_1.jpg</t>
  </si>
  <si>
    <t>https://dd3ka9h4chfr8.cloudfront.net/image/725136000567/image_7g5u2337vd5oj0p95ig5i2ti3l/-FJPG/UFUL-033_DET_4.jpg</t>
  </si>
  <si>
    <t>https://dd3ka9h4chfr8.cloudfront.net/image/725136000567/image_bkmtf3r4kh6iv8r3v4af23at7s/-FJPG/UFUL-033_DET_5.jpg</t>
  </si>
  <si>
    <t>https://dd3ka9h4chfr8.cloudfront.net/image/725136000567/image_i313sk6bk16u34verhfp70vk61/-FJPG/UFUL-033_DET_7.jpg</t>
  </si>
  <si>
    <t>https://dd3ka9h4chfr8.cloudfront.net/image/725136000567/image_5nqvf5s3b12o5792anf9ocgg7n/-FJPG/UFUL-033_ROM_1.jpg</t>
  </si>
  <si>
    <t>https://dd3ka9h4chfr8.cloudfront.net/image/725136000567/image_u498g0j0850a56mgvpvk8ri275/-FJPG/UFUL-033_ROM_2.jpg</t>
  </si>
  <si>
    <t>Trey Modular Writing Desk - Dove Poplar</t>
  </si>
  <si>
    <t>https://dd3ka9h4chfr8.cloudfront.net/image/725136000567/image_injacivgn92tbd72fq4osmma1u/-S150x150-FJPG/107317-004_PRM_1.jpg</t>
  </si>
  <si>
    <t>https://dd3ka9h4chfr8.cloudfront.net/image/725136000567/image_injacivgn92tbd72fq4osmma1u/-FJPG/107317-004_PRM_1.jpg</t>
  </si>
  <si>
    <t>https://dd3ka9h4chfr8.cloudfront.net/image/725136000567/image_g4b5dd27td2th9rh28p76hh26q/-FJPG/107317-004_SID_1.jpg</t>
  </si>
  <si>
    <t>https://dd3ka9h4chfr8.cloudfront.net/image/725136000567/image_mua4o274mh7hb8dmad0tr7gh00/-FJPG/107317-004_ESS_1.jpg</t>
  </si>
  <si>
    <t>https://dd3ka9h4chfr8.cloudfront.net/image/725136000567/image_70lqckhmkh1d135fc8r6c40e7a/-FJPG/107317-004_DET_2.jpg</t>
  </si>
  <si>
    <t>https://dd3ka9h4chfr8.cloudfront.net/image/725136000567/image_sp71k1q1195e12mbtslff6og23/-FJPG/107317-004_BCK_1.jpg</t>
  </si>
  <si>
    <t>https://dd3ka9h4chfr8.cloudfront.net/image/725136000567/image_luicaua9r13k7epi2go3lfa72e/-FJPG/107317-004_DET_1.jpg</t>
  </si>
  <si>
    <t>https://dd3ka9h4chfr8.cloudfront.net/image/725136000567/image_4a5c1u84393vr9s2fpebn72u7u/-FJPG/107317-004_DET_3.jpg</t>
  </si>
  <si>
    <t>https://dd3ka9h4chfr8.cloudfront.net/image/725136000567/image_bolk4mpccl2i1bihde3u1a9s4h/-FJPG/107317-004_OPN_1.jpg</t>
  </si>
  <si>
    <t>https://dd3ka9h4chfr8.cloudfront.net/image/725136000567/image_llm43svvll0s96he4kldea4i4g/-FJPG/107317-004_TOP_1.jpg</t>
  </si>
  <si>
    <t>https://dd3ka9h4chfr8.cloudfront.net/image/725136000567/image_305eoqhsvd1td5gi2fgvt84o28/-FJPG/107317-004_DET_4.jpg</t>
  </si>
  <si>
    <t>https://dd3ka9h4chfr8.cloudfront.net/image/725136000567/image_m8aarr2qoh2dl6tejoeska8u28/-FJPG/107317-004_DET_5.jpg</t>
  </si>
  <si>
    <t>https://dd3ka9h4chfr8.cloudfront.net/image/725136000567/image_ff0mkt8anp6un01hacar4i6q0u/-FJPG/107317-004_DET_6.jpg</t>
  </si>
  <si>
    <t>https://dd3ka9h4chfr8.cloudfront.net/image/725136000567/image_4fl4lbmaf528rd46qk0frgsc72/-FJPG/107317-004_DET_7.jpg</t>
  </si>
  <si>
    <t>Trey Nightstand - Auburn Poplar</t>
  </si>
  <si>
    <t>https://dd3ka9h4chfr8.cloudfront.net/image/725136000567/image_nh8a7o4b717g344ajneol26q4p/-S150x150-FJPG/108459-002_PRM_1.jpg</t>
  </si>
  <si>
    <t>https://dd3ka9h4chfr8.cloudfront.net/image/725136000567/image_nh8a7o4b717g344ajneol26q4p/-FJPG/108459-002_PRM_1.jpg</t>
  </si>
  <si>
    <t>https://dd3ka9h4chfr8.cloudfront.net/image/725136000567/image_n5npvnv5g56op72t9s3cp8fk3u/-FJPG/108459-002_SID_1.jpg</t>
  </si>
  <si>
    <t>https://dd3ka9h4chfr8.cloudfront.net/image/725136000567/image_hvjt1edos972re783un679g21i/-FJPG/108459-002_BCK_1.jpg</t>
  </si>
  <si>
    <t>https://dd3ka9h4chfr8.cloudfront.net/image/725136000567/image_g845hf3iop7orcfitvgrpuml0p/-FJPG/108459-002_DET_1.jpg</t>
  </si>
  <si>
    <t>https://dd3ka9h4chfr8.cloudfront.net/image/725136000567/image_6hgom3a7e515negbcchh7vuo2l/-FJPG/108459-002_DET_3.jpg</t>
  </si>
  <si>
    <t>https://dd3ka9h4chfr8.cloudfront.net/image/725136000567/image_f9u1198idp2rd7ue59b7ddt56f/-FJPG/108459-002_OPN_1.jpg</t>
  </si>
  <si>
    <t>https://dd3ka9h4chfr8.cloudfront.net/image/725136000567/image_t5rhrbrvmp1ctbnb1l9e8v790n/-FJPG/108459-002_DET_4.jpg</t>
  </si>
  <si>
    <t>https://dd3ka9h4chfr8.cloudfront.net/image/725136000567/image_ohhnjj18ql0alchciro3gre81h/-FJPG/108459-002_DET_5.jpg</t>
  </si>
  <si>
    <t>https://dd3ka9h4chfr8.cloudfront.net/image/725136000567/image_ga8ievkjj95n399cdl97bhe875/-FJPG/108459-002_DET_6.jpg</t>
  </si>
  <si>
    <t>https://dd3ka9h4chfr8.cloudfront.net/image/725136000567/image_igb1oeft1d1a93u7vgbfvt6r4v/-FJPG/108459-002_VIG_1.jpg</t>
  </si>
  <si>
    <t>Trey Nightstand - Black Wash Poplar</t>
  </si>
  <si>
    <t>https://dd3ka9h4chfr8.cloudfront.net/image/725136000567/image_118k1crk5d4l30674qqbc3b61g/-S150x150-FJPG/108459-004_PRM_1.jpg</t>
  </si>
  <si>
    <t>https://dd3ka9h4chfr8.cloudfront.net/image/725136000567/image_118k1crk5d4l30674qqbc3b61g/-FJPG/108459-004_PRM_1.jpg</t>
  </si>
  <si>
    <t>https://dd3ka9h4chfr8.cloudfront.net/image/725136000567/image_hbrqm2geul3b50n98cuuce8l3f/-FJPG/108459-004_SID_1.jpg</t>
  </si>
  <si>
    <t>https://dd3ka9h4chfr8.cloudfront.net/image/725136000567/image_56mlsl82o91r15qlb12m0jav44/-FJPG/108459-004_ESS_1.jpg</t>
  </si>
  <si>
    <t>https://dd3ka9h4chfr8.cloudfront.net/image/725136000567/image_7t4kfp7h3d0fnce57oh77kr64l/-FJPG/108459-004_BCK_1.jpg</t>
  </si>
  <si>
    <t>https://dd3ka9h4chfr8.cloudfront.net/image/725136000567/image_u3b9hj3gdl0sle80ibt10qiu65/-FJPG/108459-004_DET_1.jpg</t>
  </si>
  <si>
    <t>https://dd3ka9h4chfr8.cloudfront.net/image/725136000567/image_6t963u71vt2d543qsab8foc27s/-FJPG/108459-004_DET_3.jpg</t>
  </si>
  <si>
    <t>https://dd3ka9h4chfr8.cloudfront.net/image/725136000567/image_0prnmshkld5jfdjr9sginkae1t/-FJPG/108459-004_OPN_1.jpg</t>
  </si>
  <si>
    <t>https://dd3ka9h4chfr8.cloudfront.net/image/725136000567/image_cnuivqb8vt31d2r9s2kqa3bg7o/-FJPG/108459-004_DET_4.jpg</t>
  </si>
  <si>
    <t>https://dd3ka9h4chfr8.cloudfront.net/image/725136000567/image_a3snka57pp7th08r43safsih32/-FJPG/108459-004_DET_5.jpg</t>
  </si>
  <si>
    <t>Trey Nightstand - Dove Poplar</t>
  </si>
  <si>
    <t>https://dd3ka9h4chfr8.cloudfront.net/image/725136000567/image_vphjjage954sl0rinvep07a736/-S150x150-FJPG/108459-005_PRM_1.jpg</t>
  </si>
  <si>
    <t>https://dd3ka9h4chfr8.cloudfront.net/image/725136000567/image_vphjjage954sl0rinvep07a736/-FJPG/108459-005_PRM_1.jpg</t>
  </si>
  <si>
    <t>https://dd3ka9h4chfr8.cloudfront.net/image/725136000567/image_fjt321j1sd6ctcns1sfer4vl0e/-FJPG/108459-005_SID_1.jpg</t>
  </si>
  <si>
    <t>https://dd3ka9h4chfr8.cloudfront.net/image/725136000567/image_5kb691r11l731dbq19esst1g0j/-FJPG/108459-005_ESS.tif</t>
  </si>
  <si>
    <t>https://dd3ka9h4chfr8.cloudfront.net/image/725136000567/image_netg3qva694lt2346o1haci179/-FJPG/108459-005_DET_2.jpg</t>
  </si>
  <si>
    <t>https://dd3ka9h4chfr8.cloudfront.net/image/725136000567/image_acqe9m0p5d2dr861rmdp5h7o2t/-FJPG/108459-005_BCK_1.jpg</t>
  </si>
  <si>
    <t>https://dd3ka9h4chfr8.cloudfront.net/image/725136000567/image_f2pr86cb254k13mhesv2pmit1r/-FJPG/108459-005_DET_1.jpg</t>
  </si>
  <si>
    <t>https://dd3ka9h4chfr8.cloudfront.net/image/725136000567/image_dlbjouf4kp6a714ugn3bigei7m/-FJPG/108459-005_DET_3.jpg</t>
  </si>
  <si>
    <t>https://dd3ka9h4chfr8.cloudfront.net/image/725136000567/image_ef5jesbjq94o37vn224gn91q6c/-FJPG/108459-005_OPN_1.jpg</t>
  </si>
  <si>
    <t>https://dd3ka9h4chfr8.cloudfront.net/image/725136000567/image_5kjna0b58t1jf2ep4618btv63p/-FJPG/108459-005_DET_4.jpg</t>
  </si>
  <si>
    <t>https://dd3ka9h4chfr8.cloudfront.net/image/725136000567/image_7vgsuert495r1019ojtdg0rl41/-FJPG/108459-005_DET_5.jpg</t>
  </si>
  <si>
    <t>https://dd3ka9h4chfr8.cloudfront.net/image/725136000567/image_mgsjm6ra9l50j07916v2i3c86v/-FJPG/108459-005_DET_6.jpg</t>
  </si>
  <si>
    <t>Trey Sideboard - Black Wash Poplar</t>
  </si>
  <si>
    <t>https://dd3ka9h4chfr8.cloudfront.net/image/725136000567/image_u7q6m66u2d2r52qmbgl5df310f/-S150x150-FJPG/UFUL-037A_PRM_1.jpg</t>
  </si>
  <si>
    <t>https://dd3ka9h4chfr8.cloudfront.net/image/725136000567/image_u7q6m66u2d2r52qmbgl5df310f/-FJPG/UFUL-037A_PRM_1.jpg</t>
  </si>
  <si>
    <t>https://dd3ka9h4chfr8.cloudfront.net/image/725136000567/image_p6drt8q21l67vdkc31oj76sa6j/-FJPG/UFUL-037A_SID_1.jpg</t>
  </si>
  <si>
    <t>https://dd3ka9h4chfr8.cloudfront.net/image/725136000567/image_046bm5vlh90mrb5scbh9141r4s/-FJPG/UFUL-037A_ESS_1.jpg</t>
  </si>
  <si>
    <t>https://dd3ka9h4chfr8.cloudfront.net/image/725136000567/image_rr7o3g2cb12p5ccpn4pn3ule45/-FJPG/UFUL-037A_DET_2.jpg</t>
  </si>
  <si>
    <t>https://dd3ka9h4chfr8.cloudfront.net/image/725136000567/image_lpnh6fjrt51vfeuic37vt5963f/-FJPG/UFUL-037A_BCK_1.jpg</t>
  </si>
  <si>
    <t>https://dd3ka9h4chfr8.cloudfront.net/image/725136000567/image_qk7m3u6lnh2mn79ct7bdl4lr61/-FJPG/UFUL-037A_DET_3.jpg</t>
  </si>
  <si>
    <t>https://dd3ka9h4chfr8.cloudfront.net/image/725136000567/image_h71kllndbp7073nb8mpmjuv65b/-FJPG/UFUL-037A_OPN_1.jpg</t>
  </si>
  <si>
    <t>https://dd3ka9h4chfr8.cloudfront.net/image/725136000567/image_1qmqbe6k5d7pr2p66evleu6q08/-FJPG/UFUL-037A_DET_4.jpg</t>
  </si>
  <si>
    <t>https://dd3ka9h4chfr8.cloudfront.net/image/725136000567/image_7kd0ouf6kp7mn5hdhbmmtua123/-FJPG/UFUL-037A_DET_7.jpg</t>
  </si>
  <si>
    <t>https://dd3ka9h4chfr8.cloudfront.net/image/725136000567/image_10qtc38tqp07j1impkrbjc543r/-FJPG/UFUL-037A_DET_8.jpg</t>
  </si>
  <si>
    <t>https://dd3ka9h4chfr8.cloudfront.net/image/725136000567/image_vvm9m6934p7750vkve5j7lgm71/-FJPG/UFUL-037A_DET_9.jpg</t>
  </si>
  <si>
    <t>https://dd3ka9h4chfr8.cloudfront.net/image/725136000567/image_pvkgq86l6p10t6ftha7149jk5g/-FJPG/UFUL-037A_DET_10.jpg</t>
  </si>
  <si>
    <t>https://dd3ka9h4chfr8.cloudfront.net/image/725136000567/image_4p87kvu6lh33f04e1pjhn0cg3u/-FJPG/UFUL-037A_VIG_1.jpg</t>
  </si>
  <si>
    <t>https://dd3ka9h4chfr8.cloudfront.net/image/725136000567/image_4tais3l7h956l49m2mdb81kh5l/-FJPG/UFUL-037A_VIG_2.jpg</t>
  </si>
  <si>
    <t>https://dd3ka9h4chfr8.cloudfront.net/image/725136000567/image_ng4vekin0p5gfaaklg1q5lh47r/-FJPG/UFUL-037A_ESS_3.jpg</t>
  </si>
  <si>
    <t>Trinity Coffee Table - Distressed Light Oak</t>
  </si>
  <si>
    <t>https://dd3ka9h4chfr8.cloudfront.net/image/725136000567/image_pfg1tfo2ep4t98mt6henn5gp17/-S150x150-FJPG/241021-001_PRM_1.jpg</t>
  </si>
  <si>
    <t>https://dd3ka9h4chfr8.cloudfront.net/image/725136000567/image_pfg1tfo2ep4t98mt6henn5gp17/-FJPG/241021-001_PRM_1.jpg</t>
  </si>
  <si>
    <t>https://dd3ka9h4chfr8.cloudfront.net/image/725136000567/image_k6jpftfn411tv01untfdk58t6f/-FJPG/241021-001_SID_1.jpg</t>
  </si>
  <si>
    <t>https://dd3ka9h4chfr8.cloudfront.net/image/725136000567/image_1v8fdvmjlt2736du81jqn7954d/-FJPG/241021-001_ESS.tif</t>
  </si>
  <si>
    <t>https://dd3ka9h4chfr8.cloudfront.net/image/725136000567/image_esili5jjrh18r437ksm89mbt2v/-FJPG/241021-001_DET_2.jpg</t>
  </si>
  <si>
    <t>https://dd3ka9h4chfr8.cloudfront.net/image/725136000567/image_80tl6jods150h4trv0kh1n623m/-FJPG/241021-001_DET_1.jpg</t>
  </si>
  <si>
    <t>https://dd3ka9h4chfr8.cloudfront.net/image/725136000567/image_rddttn1lll6q79le54lto3i21e/-FJPG/241021-001_DET_3.jpg</t>
  </si>
  <si>
    <t>https://dd3ka9h4chfr8.cloudfront.net/image/725136000567/image_khokros8p97of58s79228a461d/-FJPG/241021-001_DET_4.jpg</t>
  </si>
  <si>
    <t>https://dd3ka9h4chfr8.cloudfront.net/image/725136000567/image_ot0l6j57oh3htesesc9hqpv77q/-FJPG/241021-001_DET_5.jpg</t>
  </si>
  <si>
    <t>https://dd3ka9h4chfr8.cloudfront.net/image/725136000567/image_og14uhdggt1b5b4lae51nmak4h/-FJPG/241021-001_DET_6.jpg</t>
  </si>
  <si>
    <t>https://dd3ka9h4chfr8.cloudfront.net/image/725136000567/image_8ir41h838h4utcdjo4bhe5ho2s/-FJPG/241021-001_DET_7.jpg</t>
  </si>
  <si>
    <t>Trinity Console Table - Distressed Light Oak</t>
  </si>
  <si>
    <t>https://dd3ka9h4chfr8.cloudfront.net/image/725136000567/image_c36l8ubj7h39tacb7oa30cgk0j/-S150x150-FJPG/241019-001_PRM_1.JPG</t>
  </si>
  <si>
    <t>https://dd3ka9h4chfr8.cloudfront.net/image/725136000567/image_c36l8ubj7h39tacb7oa30cgk0j/-FJPG/241019-001_PRM_1.JPG</t>
  </si>
  <si>
    <t>https://dd3ka9h4chfr8.cloudfront.net/image/725136000567/image_q65ghcnutp2737cadb0hhlri3k/-FJPG/241019-001_SID_1.JPG</t>
  </si>
  <si>
    <t>https://dd3ka9h4chfr8.cloudfront.net/image/725136000567/image_c6jq8r1fvh0q3ctj0a3lbtb46f/-FJPG/241019-001_ESS.tif</t>
  </si>
  <si>
    <t>https://dd3ka9h4chfr8.cloudfront.net/image/725136000567/image_t7bi8ace4l0gbdto3odmusir5g/-FJPG/241019-001_DET_2.JPG</t>
  </si>
  <si>
    <t>https://dd3ka9h4chfr8.cloudfront.net/image/725136000567/image_chg82fj2ld7sh7lc52h09cbe7k/-FJPG/241019-001_DET_1.JPG</t>
  </si>
  <si>
    <t>https://dd3ka9h4chfr8.cloudfront.net/image/725136000567/image_a26tug4frp33b1342fabu8he1c/-FJPG/241019-001_DET_3.JPG</t>
  </si>
  <si>
    <t>https://dd3ka9h4chfr8.cloudfront.net/image/725136000567/image_4sal3j4gop3gn8cdlpimoqfo19/-FJPG/241019-001_DET_4.JPG</t>
  </si>
  <si>
    <t>https://dd3ka9h4chfr8.cloudfront.net/image/725136000567/image_c773mlmo2h73bdainusomft62g/-FJPG/241019-001_DET_5.JPG</t>
  </si>
  <si>
    <t>https://dd3ka9h4chfr8.cloudfront.net/image/725136000567/image_67otuvf5jp0r97cqk03c7sji1q/-FJPG/241019-001_DET_6.JPG</t>
  </si>
  <si>
    <t>https://dd3ka9h4chfr8.cloudfront.net/image/725136000567/image_52voqed3s57mnaaab0jp4p625u/-FJPG/241019-001_DET_9.tif</t>
  </si>
  <si>
    <t>https://dd3ka9h4chfr8.cloudfront.net/image/725136000567/image_ki6ept84i57ap1e3afkmmchl7u/-FJPG/241019-001_DET_10.tif</t>
  </si>
  <si>
    <t>https://dd3ka9h4chfr8.cloudfront.net/image/725136000567/image_gec4uhp6917bper2bbcos2mt7k/-FJPG/FHMPRJ016_SCENE-14-CROP-1.tif</t>
  </si>
  <si>
    <t>Tulip Side Table - Antique Rust</t>
  </si>
  <si>
    <t>https://dd3ka9h4chfr8.cloudfront.net/image/725136000567/image_lfvbnjfict42v2ialff8q5lq4a/-S150x150-FJPG/106580-005_PRM_1.jpg</t>
  </si>
  <si>
    <t>https://dd3ka9h4chfr8.cloudfront.net/image/725136000567/image_1k8v5juugl65fbobodincs1b0o/-FJPG/106580-005_DET_2.jpg</t>
  </si>
  <si>
    <t>https://dd3ka9h4chfr8.cloudfront.net/image/725136000567/image_1lrceg93mt53f6tgjr80c97f7g/-FJPG/106580-005_DET_1.jpg</t>
  </si>
  <si>
    <t>https://dd3ka9h4chfr8.cloudfront.net/image/725136000567/image_sbs6p71e9167l80d3kbcs2h93i/-FJPG/106580-005_ROM_1.jpg</t>
  </si>
  <si>
    <t>https://dd3ka9h4chfr8.cloudfront.net/image/725136000567/image_m2imajbo0d53pa64igi428jq5n/-FJPG/106580-005_ROM_2.jpg</t>
  </si>
  <si>
    <t>https://dd3ka9h4chfr8.cloudfront.net/image/725136000567/image_e6it4k5k7l5eh78t6msaaiel3e/-FJPG/106580-005_ROM_3.jpg</t>
  </si>
  <si>
    <t>https://dd3ka9h4chfr8.cloudfront.net/image/725136000567/image_3g1eaepbjl07dbrq2o3vjv3e0o/-FJPG/106580-005_ROM_4.jpg</t>
  </si>
  <si>
    <t>https://dd3ka9h4chfr8.cloudfront.net/image/725136000567/image_en020bto510lf22eh4kpf29q7d/-FJPG/106580-005_ROM_5.jpg</t>
  </si>
  <si>
    <t>Tussac Media Console - Matte Brown Neem</t>
  </si>
  <si>
    <t>Solid Neem Wood</t>
  </si>
  <si>
    <t>https://dd3ka9h4chfr8.cloudfront.net/image/725136000567/image_rhna4ogec505f3nsbk9i008v2g/-S150x150-FJPG/232367-001_PRM_1.jpg</t>
  </si>
  <si>
    <t>https://dd3ka9h4chfr8.cloudfront.net/image/725136000567/image_rhna4ogec505f3nsbk9i008v2g/-FJPG/232367-001_PRM_1.jpg</t>
  </si>
  <si>
    <t>https://dd3ka9h4chfr8.cloudfront.net/image/725136000567/image_lkqv2rd4sl3i13sctpohk10769/-FJPG/232367-001_SID_1.jpg</t>
  </si>
  <si>
    <t>https://dd3ka9h4chfr8.cloudfront.net/image/725136000567/image_tq2bhh7q3d1kn4724vv0p6sa7v/-FJPG/232367-001_ESS_1.jpg</t>
  </si>
  <si>
    <t>https://dd3ka9h4chfr8.cloudfront.net/image/725136000567/image_aldhhflgq51f98m3uk1m2p9e53/-FJPG/232367-001_DET_2.jpg</t>
  </si>
  <si>
    <t>https://dd3ka9h4chfr8.cloudfront.net/image/725136000567/image_7dpga08fv940fb1c4i1svqap23/-FJPG/232367-001_BCK_1.jpg</t>
  </si>
  <si>
    <t>https://dd3ka9h4chfr8.cloudfront.net/image/725136000567/image_qn3qj5j6rt2et0erkebrro9v28/-FJPG/232367-001_DET_1.jpg</t>
  </si>
  <si>
    <t>https://dd3ka9h4chfr8.cloudfront.net/image/725136000567/image_9rg2o16o3p7b7636vmb9c5693s/-FJPG/232367-001_DET_3.jpg</t>
  </si>
  <si>
    <t>https://dd3ka9h4chfr8.cloudfront.net/image/725136000567/image_nkjma2uh617t1blte06558e625/-FJPG/232367-001_OPN_1.jpg</t>
  </si>
  <si>
    <t>https://dd3ka9h4chfr8.cloudfront.net/image/725136000567/image_7lb9bm3obt3dr70k5umff4jm6f/-FJPG/232367-001_DET_4.jpg</t>
  </si>
  <si>
    <t>https://dd3ka9h4chfr8.cloudfront.net/image/725136000567/image_t8lv65ueoh4576nvmcrtjc6r4b/-FJPG/232367-001_DET_5.jpg</t>
  </si>
  <si>
    <t>https://dd3ka9h4chfr8.cloudfront.net/image/725136000567/image_5l2cd82bch2jh01275illrd32t/-FJPG/232367-001_DET_6.jpg</t>
  </si>
  <si>
    <t>https://dd3ka9h4chfr8.cloudfront.net/image/725136000567/image_abnnndhoet7nn48hhjr7kbnr6s/-FJPG/232367-001_DET_7.jpg</t>
  </si>
  <si>
    <t>Two Tier Coffee Table - Matte Brown Neem</t>
  </si>
  <si>
    <t>https://dd3ka9h4chfr8.cloudfront.net/image/725136000567/image_ne4ps8lohp5t71o44e19v2h710/-S150x150-FJPG/236343-002_PRM_1.jpg</t>
  </si>
  <si>
    <t>https://dd3ka9h4chfr8.cloudfront.net/image/725136000567/image_ne4ps8lohp5t71o44e19v2h710/-FJPG/236343-002_PRM_1.jpg</t>
  </si>
  <si>
    <t>https://dd3ka9h4chfr8.cloudfront.net/image/725136000567/image_3uqe4miogt4iv1m10s7q884j7f/-FJPG/236343-002_SID_1.jpg</t>
  </si>
  <si>
    <t>https://dd3ka9h4chfr8.cloudfront.net/image/725136000567/image_mk9r51gagp6vbfntmci63m2558/-FJPG/236343-002_ESS_1.tif</t>
  </si>
  <si>
    <t>https://dd3ka9h4chfr8.cloudfront.net/image/725136000567/image_a5j840jmh511p0tnukdjhm014n/-FJPG/236343-002_DET_2.jpg</t>
  </si>
  <si>
    <t>https://dd3ka9h4chfr8.cloudfront.net/image/725136000567/image_070tsc5jfl73dbhobp09f8r245/-FJPG/236343-002_DET_1.jpg</t>
  </si>
  <si>
    <t>https://dd3ka9h4chfr8.cloudfront.net/image/725136000567/image_3i7bmfola913pcaa5ao9njjr5p/-FJPG/236343-002_DET_3.jpg</t>
  </si>
  <si>
    <t>https://dd3ka9h4chfr8.cloudfront.net/image/725136000567/image_bmjgh4fvmd6815einr5himft0q/-FJPG/236343-002_TOP_1.jpg</t>
  </si>
  <si>
    <t>https://dd3ka9h4chfr8.cloudfront.net/image/725136000567/image_ms66j94tpd30jf8cr5poljhd44/-FJPG/236343-002_DET_4.jpg</t>
  </si>
  <si>
    <t>https://dd3ka9h4chfr8.cloudfront.net/image/725136000567/image_inmpg27ln513hdo47m5m291v5m/-FJPG/236343-002_DET_5.jpg</t>
  </si>
  <si>
    <t>https://dd3ka9h4chfr8.cloudfront.net/image/725136000567/image_l5gh6odjo97kf0qt5078bdk636/-FJPG/236343-002_PRM_2.jpg</t>
  </si>
  <si>
    <t>Two Tier End Table - Matte Brown Neem</t>
  </si>
  <si>
    <t>https://dd3ka9h4chfr8.cloudfront.net/image/725136000567/image_ung0ijbr8d4b5bk39iugmvsq70/-S150x150-FJPG/236463-002_PRM_1.jpg</t>
  </si>
  <si>
    <t>https://dd3ka9h4chfr8.cloudfront.net/image/725136000567/image_ung0ijbr8d4b5bk39iugmvsq70/-FJPG/236463-002_PRM_1.jpg</t>
  </si>
  <si>
    <t>https://dd3ka9h4chfr8.cloudfront.net/image/725136000567/image_4n88qtpnp9423b84b4b8hk3e08/-FJPG/236463-002_SID_1.jpg</t>
  </si>
  <si>
    <t>https://dd3ka9h4chfr8.cloudfront.net/image/725136000567/image_iiho0rmu851573l513b6qc2859/-FJPG/236463-002_DET_2.jpg</t>
  </si>
  <si>
    <t>https://dd3ka9h4chfr8.cloudfront.net/image/725136000567/image_5giricdt596nndcp7u7f76nj5j/-FJPG/236463-002_BCK_1.jpg</t>
  </si>
  <si>
    <t>https://dd3ka9h4chfr8.cloudfront.net/image/725136000567/image_45kktgu5sh019024k1acp3ed3p/-FJPG/236463-002_DET_1.jpg</t>
  </si>
  <si>
    <t>https://dd3ka9h4chfr8.cloudfront.net/image/725136000567/image_2kvc5p97lt5136mkofi0g9j84e/-FJPG/236463-002_DET_3.jpg</t>
  </si>
  <si>
    <t>https://dd3ka9h4chfr8.cloudfront.net/image/725136000567/image_gjab0aptap5afe9l4tuun2ro02/-FJPG/236463-002_TOP_1.jpg</t>
  </si>
  <si>
    <t>https://dd3ka9h4chfr8.cloudfront.net/image/725136000567/image_7lk78d12k152f48tndd1imm502/-FJPG/236463-002_DET_4.jpg</t>
  </si>
  <si>
    <t>https://dd3ka9h4chfr8.cloudfront.net/image/725136000567/image_e9qec9srtp2tb23sdt1u8bbm6t/-FJPG/FHMPRJ-008_SCENE_6.tif</t>
  </si>
  <si>
    <t>https://dd3ka9h4chfr8.cloudfront.net/image/725136000567/image_5feqgbj9id5jtf472fmo9j3b26/-FJPG/236463-002_ESS.tif</t>
  </si>
  <si>
    <t>Tybalt Swivel Chair - Sheepskin Camel</t>
  </si>
  <si>
    <t>https://dd3ka9h4chfr8.cloudfront.net/image/725136000567/image_pel5q8e2010c53k3ue6aqn7d1n/-S150x150-FJPG/231367-001_PRM_1.jpg</t>
  </si>
  <si>
    <t>https://dd3ka9h4chfr8.cloudfront.net/image/725136000567/image_pel5q8e2010c53k3ue6aqn7d1n/-FJPG/231367-001_PRM_1.jpg</t>
  </si>
  <si>
    <t>https://dd3ka9h4chfr8.cloudfront.net/image/725136000567/image_f0h98sp7vl1u77gjd0pbu0241b/-FJPG/231367-001_SID_1.jpg</t>
  </si>
  <si>
    <t>https://dd3ka9h4chfr8.cloudfront.net/image/725136000567/image_fq090vdl956rfbli1258v67p7n/-FJPG/231367-001_ESS_1.jpg</t>
  </si>
  <si>
    <t>https://dd3ka9h4chfr8.cloudfront.net/image/725136000567/image_9lp4lespr14sr7104cmmmm950i/-FJPG/231367-001_DET_2.jpg</t>
  </si>
  <si>
    <t>https://dd3ka9h4chfr8.cloudfront.net/image/725136000567/image_nm8ujkkju51pn7g49ocmaljj3m/-FJPG/231367-001_BCK_1.jpg</t>
  </si>
  <si>
    <t>https://dd3ka9h4chfr8.cloudfront.net/image/725136000567/image_lj5qqvs50t205cb8osk2tnfr2i/-FJPG/231367-001_DET_3.jpg</t>
  </si>
  <si>
    <t>https://dd3ka9h4chfr8.cloudfront.net/image/725136000567/image_scf476i61p4h9f2o5oegb4ab1g/-FJPG/231367-001_DET_4.jpg</t>
  </si>
  <si>
    <t>https://dd3ka9h4chfr8.cloudfront.net/image/725136000567/image_n73b19iknl6qv0govrtt92jq6d/-FJPG/231367-001_DET_5.jpg</t>
  </si>
  <si>
    <t>https://dd3ka9h4chfr8.cloudfront.net/image/725136000567/image_7g5h0l7va1769br0o58sk90u0c/-FJPG/231367-001_DET_6.jpg</t>
  </si>
  <si>
    <t>Valen 6 Drawer Dresser - Rustic Brown Oak Veneer</t>
  </si>
  <si>
    <t>https://dd3ka9h4chfr8.cloudfront.net/image/725136000567/image_6apao1lt512ln5p2rodv3h6g7r/-S150x150-FJPG/244511-002_PRM_1.jpg</t>
  </si>
  <si>
    <t>https://dd3ka9h4chfr8.cloudfront.net/image/725136000567/image_6apao1lt512ln5p2rodv3h6g7r/-FJPG/244511-002_PRM_1.jpg</t>
  </si>
  <si>
    <t>https://dd3ka9h4chfr8.cloudfront.net/image/725136000567/image_dsif1le91p2ef80aibt98h5t3u/-FJPG/244511-002_SID_1.jpg</t>
  </si>
  <si>
    <t>https://dd3ka9h4chfr8.cloudfront.net/image/725136000567/image_bvkkrlel0d6rj64le8vh53o23u/-FJPG/244511-002_DET_2.jpg</t>
  </si>
  <si>
    <t>https://dd3ka9h4chfr8.cloudfront.net/image/725136000567/image_edjl855hf50s7aume992f1sn7d/-FJPG/244511-002_BCK_1.jpg</t>
  </si>
  <si>
    <t>https://dd3ka9h4chfr8.cloudfront.net/image/725136000567/image_0egdn3svql2qv2a91eakiq9c0r/-FJPG/244511-002_DET_1.jpg</t>
  </si>
  <si>
    <t>https://dd3ka9h4chfr8.cloudfront.net/image/725136000567/image_9g8mvp1a6t72lasgcf99em077e/-FJPG/244511-002_DET_3.jpg</t>
  </si>
  <si>
    <t>https://dd3ka9h4chfr8.cloudfront.net/image/725136000567/image_d6j4a6vb0p4t10353cq2b31v74/-FJPG/244511-002_OPN_1.jpg</t>
  </si>
  <si>
    <t>https://dd3ka9h4chfr8.cloudfront.net/image/725136000567/image_r1f4e6uupl2st17tu411k2m27f/-FJPG/244511-002_TOP_1.jpg</t>
  </si>
  <si>
    <t>https://dd3ka9h4chfr8.cloudfront.net/image/725136000567/image_q9ioivqpu12a1btq9fb74hvc70/-FJPG/244511-002_DET_4.jpg</t>
  </si>
  <si>
    <t>https://dd3ka9h4chfr8.cloudfront.net/image/725136000567/image_1jap0lahfp48pavt8m04hnru5m/-FJPG/244511-002_DET_5.jpg</t>
  </si>
  <si>
    <t>https://dd3ka9h4chfr8.cloudfront.net/image/725136000567/image_pqs24kicg919v2l73b9920tt68/-FJPG/244511-002_DET_6.jpg</t>
  </si>
  <si>
    <t>Valen Console Table - Rustic Brown Oak Veneer</t>
  </si>
  <si>
    <t>https://dd3ka9h4chfr8.cloudfront.net/image/725136000567/image_jo9hs0nmkt4hl18aohhu3mn60d/-S150x150-FJPG/244505-001_PRM_1.jpg</t>
  </si>
  <si>
    <t>https://dd3ka9h4chfr8.cloudfront.net/image/725136000567/image_jo9hs0nmkt4hl18aohhu3mn60d/-FJPG/244505-001_PRM_1.jpg</t>
  </si>
  <si>
    <t>https://dd3ka9h4chfr8.cloudfront.net/image/725136000567/image_so2ju531s1255430hd5f02552n/-FJPG/244505-001_SID_1.jpg</t>
  </si>
  <si>
    <t>https://dd3ka9h4chfr8.cloudfront.net/image/725136000567/image_ictatavphd26r4jr6cie38rh58/-FJPG/244505-001_ESS.tif</t>
  </si>
  <si>
    <t>https://dd3ka9h4chfr8.cloudfront.net/image/725136000567/image_bs1jpodvuh62p44vsq4mqtqs2h/-FJPG/244505-001_DET_2.jpg</t>
  </si>
  <si>
    <t>https://dd3ka9h4chfr8.cloudfront.net/image/725136000567/image_gnjukmak891vt26j4aga9o0u1v/-FJPG/244505-001_DET_1.jpg</t>
  </si>
  <si>
    <t>https://dd3ka9h4chfr8.cloudfront.net/image/725136000567/image_qoumuu3flt5rf13u1e9skuer66/-FJPG/244505-001_DET_3.jpg</t>
  </si>
  <si>
    <t>https://dd3ka9h4chfr8.cloudfront.net/image/725136000567/image_f35f6arlf90oteu6l9v8p0me2a/-FJPG/244505-001_TOP_1.jpg</t>
  </si>
  <si>
    <t>https://dd3ka9h4chfr8.cloudfront.net/image/725136000567/image_a1ofa5sgg103haull0ikte8m33/-FJPG/244505-001_DET_4.jpg</t>
  </si>
  <si>
    <t>https://dd3ka9h4chfr8.cloudfront.net/image/725136000567/image_enuoulukkt5glcu48mun08167f/-FJPG/244505-001_DET_5.jpg</t>
  </si>
  <si>
    <t>https://dd3ka9h4chfr8.cloudfront.net/image/725136000567/image_2fs47gs9gt49dcrhcjk68c264b/-FJPG/244505-001_DET_9.tif</t>
  </si>
  <si>
    <t>https://dd3ka9h4chfr8.cloudfront.net/image/725136000567/image_e6ln4j7uol3bv5g5limcr62r7p/-FJPG/FHMPRJ-018_SCENE-10.tif</t>
  </si>
  <si>
    <t>Valen Sideboard - Rustic Brown Oak Veneer</t>
  </si>
  <si>
    <t>https://dd3ka9h4chfr8.cloudfront.net/image/725136000567/image_nopnkj4g2t0af49g26noucum43/-S150x150-FJPG/244497-001_PRM_1.jpg</t>
  </si>
  <si>
    <t>https://dd3ka9h4chfr8.cloudfront.net/image/725136000567/image_nopnkj4g2t0af49g26noucum43/-FJPG/244497-001_PRM_1.jpg</t>
  </si>
  <si>
    <t>https://dd3ka9h4chfr8.cloudfront.net/image/725136000567/image_9qqnq6rumt03b63tdklmbpl42i/-FJPG/244497-001_SID_1.jpg</t>
  </si>
  <si>
    <t>https://dd3ka9h4chfr8.cloudfront.net/image/725136000567/image_dc96qjmdqd5rb1sdtit7lq3e3v/-FJPG/244497-001_ESS.tif</t>
  </si>
  <si>
    <t>https://dd3ka9h4chfr8.cloudfront.net/image/725136000567/image_a9tiufafht2at6vsvuo4ccgr6e/-FJPG/244497-001_DET_2.jpg</t>
  </si>
  <si>
    <t>https://dd3ka9h4chfr8.cloudfront.net/image/725136000567/image_1fh1jmi31h6oh413ch6pmumo18/-FJPG/244497-001_BCK_1.jpg</t>
  </si>
  <si>
    <t>https://dd3ka9h4chfr8.cloudfront.net/image/725136000567/image_gs8kqd0ru936h24sv8v84oln50/-FJPG/244497-001_DET_1.jpg</t>
  </si>
  <si>
    <t>https://dd3ka9h4chfr8.cloudfront.net/image/725136000567/image_4k0dgbkra95vh6knvfs6a6p249/-FJPG/244497-001_DET_3.jpg</t>
  </si>
  <si>
    <t>https://dd3ka9h4chfr8.cloudfront.net/image/725136000567/image_rnbatflhc950rfdbk0pc9rv80g/-FJPG/244497-001_OPN_1.jpg</t>
  </si>
  <si>
    <t>https://dd3ka9h4chfr8.cloudfront.net/image/725136000567/image_e76ls0dtml7el1kdbfn037gd1e/-FJPG/244497-001_TOP_1.jpg</t>
  </si>
  <si>
    <t>https://dd3ka9h4chfr8.cloudfront.net/image/725136000567/image_4ptc78ftup7on86jhjijf5ef47/-FJPG/244497-001_DET_4.jpg</t>
  </si>
  <si>
    <t>https://dd3ka9h4chfr8.cloudfront.net/image/725136000567/image_1v9u2dvi7l1s132ut50b78sq0g/-FJPG/244497-001_DET_5.jpg</t>
  </si>
  <si>
    <t>https://dd3ka9h4chfr8.cloudfront.net/image/725136000567/image_kkb1d6ci2l3fh0b1k3vo4fnb71/-FJPG/244497-001_DET_6.jpg</t>
  </si>
  <si>
    <t>https://dd3ka9h4chfr8.cloudfront.net/image/725136000567/image_b2t7uqpkc17h94mj6dq22p0c6c/-FJPG/244497-001_DET_9.tif</t>
  </si>
  <si>
    <t>Vanna Sofa - Knoll Domino</t>
  </si>
  <si>
    <t>https://dd3ka9h4chfr8.cloudfront.net/image/725136000567/image_eslslap8oh113dji7b504u6t2r/-S150x150-FJPG/227148-002_PRM_1.jpg</t>
  </si>
  <si>
    <t>https://dd3ka9h4chfr8.cloudfront.net/image/725136000567/image_eslslap8oh113dji7b504u6t2r/-FJPG/227148-002_PRM_1.jpg</t>
  </si>
  <si>
    <t>https://dd3ka9h4chfr8.cloudfront.net/image/725136000567/image_48n7eokm0h6alb2d5igiqdqa26/-FJPG/227148-002_SID_1.jpg</t>
  </si>
  <si>
    <t>https://dd3ka9h4chfr8.cloudfront.net/image/725136000567/image_vast75650l5gr3r7f8ll3ih656/-FJPG/227148-002_DET_2.jpg</t>
  </si>
  <si>
    <t>https://dd3ka9h4chfr8.cloudfront.net/image/725136000567/image_52tq06mtpd7mh32isrfskhf10u/-FJPG/227148-002_BCK_1.jpg</t>
  </si>
  <si>
    <t>https://dd3ka9h4chfr8.cloudfront.net/image/725136000567/image_9jpu0fp4ph7s37s79a3ocs8k54/-FJPG/227148-002_INF_1.jpg</t>
  </si>
  <si>
    <t>https://dd3ka9h4chfr8.cloudfront.net/image/725136000567/image_9m6i7u7s8h76d0alqj0lqgcv4r/-FJPG/227148-002_DET_1.jpg</t>
  </si>
  <si>
    <t>https://dd3ka9h4chfr8.cloudfront.net/image/725136000567/image_trifnmtj393evdk5a0k0hs6g7n/-FJPG/227148-002_DET_3.jpg</t>
  </si>
  <si>
    <t>https://dd3ka9h4chfr8.cloudfront.net/image/725136000567/image_13itk0f5ql7it302u1im36fj32/-FJPG/227148-002_DET_4.jpg</t>
  </si>
  <si>
    <t>https://dd3ka9h4chfr8.cloudfront.net/image/725136000567/image_n2ch7qeh9p33f72fj7rrini44d/-FJPG/227148-002_DET_5.jpg</t>
  </si>
  <si>
    <t>https://dd3ka9h4chfr8.cloudfront.net/image/725136000567/image_mgdt0q37a50alfaildbcpqbk54/-FJPG/227148-002_DET_6.jpg</t>
  </si>
  <si>
    <t>https://dd3ka9h4chfr8.cloudfront.net/image/725136000567/image_rmp8rgn8ch16bc0ani0llidk47/-FJPG/227148-002_DET_7.jpg</t>
  </si>
  <si>
    <t>Vanna Sofa - Umber Pewter</t>
  </si>
  <si>
    <t>https://dd3ka9h4chfr8.cloudfront.net/image/725136000567/image_25vo89prut6ap4ln8n8ajl2s5d/-S150x150-FJPG/227148-003_PRM_1.jpg</t>
  </si>
  <si>
    <t>https://dd3ka9h4chfr8.cloudfront.net/image/725136000567/image_25vo89prut6ap4ln8n8ajl2s5d/-FJPG/227148-003_PRM_1.jpg</t>
  </si>
  <si>
    <t>https://dd3ka9h4chfr8.cloudfront.net/image/725136000567/image_0h1k3mtvo10b31h5iuk7eakc0b/-FJPG/227148-003_SID_1.jpg</t>
  </si>
  <si>
    <t>https://dd3ka9h4chfr8.cloudfront.net/image/725136000567/image_43ok3c9u7p4gb19mmumdlhsv0d/-FJPG/227148-003_ESS_1.jpg</t>
  </si>
  <si>
    <t>https://dd3ka9h4chfr8.cloudfront.net/image/725136000567/image_lb2rmcbrhd3tbcums5puevok0o/-FJPG/227148-003_DET_2.jpg</t>
  </si>
  <si>
    <t>https://dd3ka9h4chfr8.cloudfront.net/image/725136000567/image_9j4ta3gjt105t5dr1gkcjorq68/-FJPG/227148-003_BCK_1.jpg</t>
  </si>
  <si>
    <t>https://dd3ka9h4chfr8.cloudfront.net/image/725136000567/image_opccq0ftap1qt082rog4ivsa2k/-FJPG/227148-003_DET_1.jpg</t>
  </si>
  <si>
    <t>https://dd3ka9h4chfr8.cloudfront.net/image/725136000567/image_6e85l3me4h6rt63595mipthn4o/-FJPG/227148-003_DET_3.jpg</t>
  </si>
  <si>
    <t>https://dd3ka9h4chfr8.cloudfront.net/image/725136000567/image_e6382ksfb131lcdnefnn4ns32c/-FJPG/227148-003_DET_4.jpg</t>
  </si>
  <si>
    <t>https://dd3ka9h4chfr8.cloudfront.net/image/725136000567/image_dfsduivgs50s5817bb11ooro33/-FJPG/227148-003_DET_5.jpg</t>
  </si>
  <si>
    <t>https://dd3ka9h4chfr8.cloudfront.net/image/725136000567/image_g5njtok3et2f1bu6kh7d427q64/-FJPG/227148-003_DET_6.jpg</t>
  </si>
  <si>
    <t>https://dd3ka9h4chfr8.cloudfront.net/image/725136000567/image_u7auukmkqd2ht494tqbkj3lk3g/-FJPG/227148-003_DET_7.jpg</t>
  </si>
  <si>
    <t>Veta Sideboard - Black Wash Mango</t>
  </si>
  <si>
    <t>https://dd3ka9h4chfr8.cloudfront.net/image/725136000567/image_fetlfk1d1t5gjafctooj8o5a3q/-S150x150-FJPG/230334-002_PRM_1.jpg</t>
  </si>
  <si>
    <t>https://dd3ka9h4chfr8.cloudfront.net/image/725136000567/image_fetlfk1d1t5gjafctooj8o5a3q/-FJPG/230334-002_PRM_1.jpg</t>
  </si>
  <si>
    <t>https://dd3ka9h4chfr8.cloudfront.net/image/725136000567/image_5ejbb1tqq53cv25rcjk9864m4s/-FJPG/230334-002_SID_1.jpg</t>
  </si>
  <si>
    <t>https://dd3ka9h4chfr8.cloudfront.net/image/725136000567/image_iti0o6d1hl3f12ihosv28opv44/-FJPG/230334-002_ESS_1.jpg</t>
  </si>
  <si>
    <t>https://dd3ka9h4chfr8.cloudfront.net/image/725136000567/image_qv8fnblcjd0bdef02glebh0n7u/-FJPG/230334-002_DET_2.jpg</t>
  </si>
  <si>
    <t>https://dd3ka9h4chfr8.cloudfront.net/image/725136000567/image_ifkoqtl87h0krdtokkfs82u31n/-FJPG/230334-002_BCK_1.jpg</t>
  </si>
  <si>
    <t>https://dd3ka9h4chfr8.cloudfront.net/image/725136000567/image_pqjoidiatp5ah0ol9r43u88o1e/-FJPG/230334-002_DET_1.jpg</t>
  </si>
  <si>
    <t>https://dd3ka9h4chfr8.cloudfront.net/image/725136000567/image_g7kdedqhv10a3bgpdgmr907m3f/-FJPG/230334-002_DET_3.jpg</t>
  </si>
  <si>
    <t>https://dd3ka9h4chfr8.cloudfront.net/image/725136000567/image_cgnumbj3td11155m6ngma09537/-FJPG/230334-002_OPN_1.jpg</t>
  </si>
  <si>
    <t>https://dd3ka9h4chfr8.cloudfront.net/image/725136000567/image_jkb766rrrl4bpbgjd3mk3d627i/-FJPG/230334-002_DET_4.jpg</t>
  </si>
  <si>
    <t>https://dd3ka9h4chfr8.cloudfront.net/image/725136000567/image_m0s603f61t6qrd4cuh5pp2o13g/-FJPG/230334-002_DET_5.jpg</t>
  </si>
  <si>
    <t>https://dd3ka9h4chfr8.cloudfront.net/image/725136000567/image_d4o02et2od77l3jsbulqnnt36v/-FJPG/230334-002_DET_6.jpg</t>
  </si>
  <si>
    <t>https://dd3ka9h4chfr8.cloudfront.net/image/725136000567/image_54dc40bv7l3bhce3t2eq3n6q66/-FJPG/230334-002_DET_7.jpg</t>
  </si>
  <si>
    <t>https://dd3ka9h4chfr8.cloudfront.net/image/725136000567/image_uj1o1mb42l2853i9o3andrn85n/-FJPG/230334-002_DET_8.jpg</t>
  </si>
  <si>
    <t>https://dd3ka9h4chfr8.cloudfront.net/image/725136000567/image_gbckr4ouit23vaqsopicsek32g/-FJPG/230334-002_DET_9.jpg</t>
  </si>
  <si>
    <t>https://dd3ka9h4chfr8.cloudfront.net/image/725136000567/image_9n71lmt3215g70p1dut5hfar0r/-FJPG/230334-002_DET_10.jpg</t>
  </si>
  <si>
    <t>Viggo 6 Drawer Dresser - Vintage White Oak</t>
  </si>
  <si>
    <t>https://dd3ka9h4chfr8.cloudfront.net/image/725136000567/image_h4lpbt2ps1735chmr2h6pc717i/-S150x150-FJPG/223978-001_PRM_1.jpg</t>
  </si>
  <si>
    <t>https://dd3ka9h4chfr8.cloudfront.net/image/725136000567/image_h4lpbt2ps1735chmr2h6pc717i/-FJPG/223978-001_PRM_1.jpg</t>
  </si>
  <si>
    <t>https://dd3ka9h4chfr8.cloudfront.net/image/725136000567/image_72nsst8i0d58901rh8r59f9003/-FJPG/223978-001_SID_1.jpg</t>
  </si>
  <si>
    <t>https://dd3ka9h4chfr8.cloudfront.net/image/725136000567/image_1sqpgu3bil3hv8og0447i36m42/-FJPG/223978-001_ESS_1.jpg</t>
  </si>
  <si>
    <t>https://dd3ka9h4chfr8.cloudfront.net/image/725136000567/image_9flfev7qbd2dn6kbt1vlh1o87g/-FJPG/223978-001_DET_2.jpg</t>
  </si>
  <si>
    <t>https://dd3ka9h4chfr8.cloudfront.net/image/725136000567/image_1koqckjf8p1ch15rmgcoclbl6s/-FJPG/223978-001_BCK_1.jpg</t>
  </si>
  <si>
    <t>https://dd3ka9h4chfr8.cloudfront.net/image/725136000567/image_b70cgdaes13458s4ureu541b1p/-FJPG/223978-001_DET_1.jpg</t>
  </si>
  <si>
    <t>https://dd3ka9h4chfr8.cloudfront.net/image/725136000567/image_gpjhe722bl31dcp0erslqjr85l/-FJPG/223978-001_DET_3.jpg</t>
  </si>
  <si>
    <t>https://dd3ka9h4chfr8.cloudfront.net/image/725136000567/image_b0o58gkc5l201e1t26ha8c5s6q/-FJPG/223978-001_OPN_1.jpg</t>
  </si>
  <si>
    <t>https://dd3ka9h4chfr8.cloudfront.net/image/725136000567/image_r1ofkjgb511p72rnce8iq5up76/-FJPG/223978-001_TOP_1.jpg</t>
  </si>
  <si>
    <t>https://dd3ka9h4chfr8.cloudfront.net/image/725136000567/image_e21p3n59a56vl5vtr858gc1j16/-FJPG/223978-001_DET_4.jpg</t>
  </si>
  <si>
    <t>https://dd3ka9h4chfr8.cloudfront.net/image/725136000567/image_qnvm6ip6gd16fag9pu2be7b85j/-FJPG/223978-001_DET_5.jpg</t>
  </si>
  <si>
    <t>https://dd3ka9h4chfr8.cloudfront.net/image/725136000567/image_mjmoicg02d26j7s9d23648jp47/-FJPG/223978-001_DET_6.jpg</t>
  </si>
  <si>
    <t>https://dd3ka9h4chfr8.cloudfront.net/image/725136000567/image_jld45mpj393f10bn9tet2piv3g/-FJPG/223978-001_DET_7.jpg</t>
  </si>
  <si>
    <t>Viola Accent Table - Antique White Marble</t>
  </si>
  <si>
    <t>https://dd3ka9h4chfr8.cloudfront.net/image/725136000567/image_ptq55t3l4d1bta50aia2kub16v/-S150x150-FJPG/224056-001_PRM_1.jpg</t>
  </si>
  <si>
    <t>https://dd3ka9h4chfr8.cloudfront.net/image/725136000567/image_ptq55t3l4d1bta50aia2kub16v/-FJPG/224056-001_PRM_1.jpg</t>
  </si>
  <si>
    <t>https://dd3ka9h4chfr8.cloudfront.net/image/725136000567/image_f3teuri9j15jj95cn8bjkcs70e/-FJPG/224056-001_DET_2.jpg</t>
  </si>
  <si>
    <t>https://dd3ka9h4chfr8.cloudfront.net/image/725136000567/image_icei6fp0r158t5rnbteoi04s57/-FJPG/224056-001_DET_1.jpg</t>
  </si>
  <si>
    <t>https://dd3ka9h4chfr8.cloudfront.net/image/725136000567/image_fhmhtl43rl21903313c5hlk56h/-FJPG/224056-001_DET_3.jpg</t>
  </si>
  <si>
    <t>https://dd3ka9h4chfr8.cloudfront.net/image/725136000567/image_q87gg0mor12otb2ecb8fbr3f6k/-FJPG/224056-001_TOP_1.jpg</t>
  </si>
  <si>
    <t>https://dd3ka9h4chfr8.cloudfront.net/image/725136000567/image_nkkr51ang120f4h94cb7fdqj70/-FJPG/224056-001_DET_4.jpg</t>
  </si>
  <si>
    <t>https://dd3ka9h4chfr8.cloudfront.net/image/725136000567/image_cu7tboa5gd071ammicv3mgjm3f/-FJPG/224056-001_ESS_3.jpg</t>
  </si>
  <si>
    <t>Viola Accent Table - Black Marble</t>
  </si>
  <si>
    <t>https://dd3ka9h4chfr8.cloudfront.net/image/725136000567/image_vievgnmua53j581margv3bmc00/-S150x150-FJPG/224056-003_PRM_1.jpg</t>
  </si>
  <si>
    <t>https://dd3ka9h4chfr8.cloudfront.net/image/725136000567/image_e5q27l74f56pj90l652non2r5g/-FJPG/224056-003_ESS_1.jpg</t>
  </si>
  <si>
    <t>https://dd3ka9h4chfr8.cloudfront.net/image/725136000567/image_rlhdes78v51gja91m5klkrcu6t/-FJPG/224056-003_DET_2.jpg</t>
  </si>
  <si>
    <t>https://dd3ka9h4chfr8.cloudfront.net/image/725136000567/image_udn9pkrop10bjbtsms716obc46/-FJPG/224056-003_DET_1.jpg</t>
  </si>
  <si>
    <t>https://dd3ka9h4chfr8.cloudfront.net/image/725136000567/image_4i93sjrn5d62152g7vgqmbis2u/-FJPG/224056-003_DET_3.jpg</t>
  </si>
  <si>
    <t>https://dd3ka9h4chfr8.cloudfront.net/image/725136000567/image_586d78m3h952d274vqqh6giv50/-FJPG/224056-003_DET_4.jpg</t>
  </si>
  <si>
    <t>https://dd3ka9h4chfr8.cloudfront.net/image/725136000567/image_phic6pg56t0bp0hn5qaf2ett2i/-FJPG/224056-003_DET_5.jpg</t>
  </si>
  <si>
    <t>Viola Accent Table - Merlot Marble</t>
  </si>
  <si>
    <t>https://dd3ka9h4chfr8.cloudfront.net/image/725136000567/image_5uslqqbt5d4ml4663167gid93e/-S150x150-FJPG/224056-004_PRM_1.jpg</t>
  </si>
  <si>
    <t>https://dd3ka9h4chfr8.cloudfront.net/image/725136000567/image_15rnoo3a8d5u9em7ci2mgtct32/-FJPG/224056-004_ESS_1.jpg</t>
  </si>
  <si>
    <t>https://dd3ka9h4chfr8.cloudfront.net/image/725136000567/image_6c9qs7cf5d28f5mu4cg5glv46g/-FJPG/224056-004_DET_1.jpg</t>
  </si>
  <si>
    <t>https://dd3ka9h4chfr8.cloudfront.net/image/725136000567/image_vrvdadj4ih4opfg6eitvibbi25/-FJPG/224056-004_DET_3.jpg</t>
  </si>
  <si>
    <t>https://dd3ka9h4chfr8.cloudfront.net/image/725136000567/image_84s136pf9d5h5b8qg1oag13i33/-FJPG/224056-004_TOP_1.jpg</t>
  </si>
  <si>
    <t>https://dd3ka9h4chfr8.cloudfront.net/image/725136000567/image_bicslsou3l1btfpv6372u27a0t/-FJPG/224056-004_DET_4.jpg</t>
  </si>
  <si>
    <t>https://dd3ka9h4chfr8.cloudfront.net/image/725136000567/image_20njgnbhq923namle1g1m91b21/-FJPG/224056-004_DET_5.jpg</t>
  </si>
  <si>
    <t>https://dd3ka9h4chfr8.cloudfront.net/image/725136000567/image_p5utj5jg9p3kr23f8u6ij5a373/-FJPG/224056-004_DET_6.jpg</t>
  </si>
  <si>
    <t>Viola Accent Table - Polished White Marble</t>
  </si>
  <si>
    <t>https://dd3ka9h4chfr8.cloudfront.net/image/725136000567/image_0ue4lkeiht55lbn435l2pdiv5k/-S150x150-FJPG/224056-005_PRM_1.jpg</t>
  </si>
  <si>
    <t>https://dd3ka9h4chfr8.cloudfront.net/image/725136000567/image_l6uu3icapp1bd6rtfr0c6b9p4m/-FJPG/224056-005_ESS_1.jpg</t>
  </si>
  <si>
    <t>https://dd3ka9h4chfr8.cloudfront.net/image/725136000567/image_rgqg6gngc16mp87m9tn8t1dh1l/-FJPG/224056-005_DET_2.jpg</t>
  </si>
  <si>
    <t>https://dd3ka9h4chfr8.cloudfront.net/image/725136000567/image_09m6p9m0ut3j9b54rl0etpuq4v/-FJPG/224056-005_DET_1.jpg</t>
  </si>
  <si>
    <t>https://dd3ka9h4chfr8.cloudfront.net/image/725136000567/image_b932jdsead0bla25pniq8van23/-FJPG/224056-005_DET_3.jpg</t>
  </si>
  <si>
    <t>https://dd3ka9h4chfr8.cloudfront.net/image/725136000567/image_rle38thoap0pn17fm67r41mi14/-FJPG/224056-005_TOP_1.jpg</t>
  </si>
  <si>
    <t>https://dd3ka9h4chfr8.cloudfront.net/image/725136000567/image_gof4lru0511on006r5bfktim1i/-FJPG/224056-005_DET_4.jpg</t>
  </si>
  <si>
    <t>https://dd3ka9h4chfr8.cloudfront.net/image/725136000567/image_ufiir4kh3t0p78r2a0mk845b42/-FJPG/224056-005_ESS_2.jpg</t>
  </si>
  <si>
    <t>Warby 6 Drawer Dresser - Worn Oak Veneer</t>
  </si>
  <si>
    <t>https://dd3ka9h4chfr8.cloudfront.net/image/725136000567/image_0ibc0cdib57hf04v6341gmo64d/-S150x150-FJPG/235361-002_PRM_1.jpg</t>
  </si>
  <si>
    <t>https://dd3ka9h4chfr8.cloudfront.net/image/725136000567/image_0ibc0cdib57hf04v6341gmo64d/-FJPG/235361-002_PRM_1.jpg</t>
  </si>
  <si>
    <t>https://dd3ka9h4chfr8.cloudfront.net/image/725136000567/image_9s2tu83qn918f3cgp2trgpn31n/-FJPG/235361-002_SID_1.jpg</t>
  </si>
  <si>
    <t>https://dd3ka9h4chfr8.cloudfront.net/image/725136000567/image_0hnv0f3bdd1v56b1d7cs0vrc09/-FJPG/235361-002_DET_2.jpg</t>
  </si>
  <si>
    <t>https://dd3ka9h4chfr8.cloudfront.net/image/725136000567/image_6qeka673e120j0h6beerpvng4u/-FJPG/235361-002_BCK_1.jpg</t>
  </si>
  <si>
    <t>https://dd3ka9h4chfr8.cloudfront.net/image/725136000567/image_8ssghak97549p33vbu995fr31c/-FJPG/235361-002_DET_1.jpg</t>
  </si>
  <si>
    <t>https://dd3ka9h4chfr8.cloudfront.net/image/725136000567/image_ejillcsdv93a5da5d032sp6r33/-FJPG/235361-002_DET_3.jpg</t>
  </si>
  <si>
    <t>https://dd3ka9h4chfr8.cloudfront.net/image/725136000567/image_hmlnnvl5n145d21odc6194ks1o/-FJPG/235361-002_OPN_1.jpg</t>
  </si>
  <si>
    <t>https://dd3ka9h4chfr8.cloudfront.net/image/725136000567/image_8hd96frfe55ct52dhg5oogs35e/-FJPG/235361-002_TOP_1.jpg</t>
  </si>
  <si>
    <t>https://dd3ka9h4chfr8.cloudfront.net/image/725136000567/image_81mon0bud911vb5k0dhs248p46/-FJPG/235361-002_DET_4.jpg</t>
  </si>
  <si>
    <t>https://dd3ka9h4chfr8.cloudfront.net/image/725136000567/image_pbq60feokt6t32oog45t7a8g3n/-FJPG/235361-002_DET_5.jpg</t>
  </si>
  <si>
    <t>https://dd3ka9h4chfr8.cloudfront.net/image/725136000567/image_1lmed4jpm52dv59q5lg8b3k75o/-FJPG/235361-002_DET_9.tif</t>
  </si>
  <si>
    <t>https://dd3ka9h4chfr8.cloudfront.net/image/725136000567/image_lk58fmlm6l6373f827bmh7887s/-FJPG/235361-002_ESS.tif</t>
  </si>
  <si>
    <t>https://dd3ka9h4chfr8.cloudfront.net/image/725136000567/image_ghvr6gde9p6uj82kc9a4nugt0p/-FJPG/235361-002_PRM_2.jpg</t>
  </si>
  <si>
    <t>Warby Coffee Table - Worn Black Veneer</t>
  </si>
  <si>
    <t>https://dd3ka9h4chfr8.cloudfront.net/image/725136000567/image_g2029r9h1h7pnefqr6phmcga6o/-S150x150-FJPG/235178-003_PRM_1.jpg</t>
  </si>
  <si>
    <t>https://dd3ka9h4chfr8.cloudfront.net/image/725136000567/image_g2029r9h1h7pnefqr6phmcga6o/-FJPG/235178-003_PRM_1.jpg</t>
  </si>
  <si>
    <t>https://dd3ka9h4chfr8.cloudfront.net/image/725136000567/image_n09utsqnq9449drkbl2cth9i44/-FJPG/235178-003_SID_1.jpg</t>
  </si>
  <si>
    <t>https://dd3ka9h4chfr8.cloudfront.net/image/725136000567/image_l8v506adeh4k9de6vo61nnsn70/-FJPG/235178-003_ESS_1.tif</t>
  </si>
  <si>
    <t>https://dd3ka9h4chfr8.cloudfront.net/image/725136000567/image_7b042ugru529p0dukri5tp085h/-FJPG/235178-003_DET_2.jpg</t>
  </si>
  <si>
    <t>https://dd3ka9h4chfr8.cloudfront.net/image/725136000567/image_9nin16242l2s705pbegdksn43a/-FJPG/235178-003_BCK_1.jpg</t>
  </si>
  <si>
    <t>https://dd3ka9h4chfr8.cloudfront.net/image/725136000567/image_8cn4akfem55l951lmb1ohgos2e/-FJPG/235178-003_DET_1.jpg</t>
  </si>
  <si>
    <t>https://dd3ka9h4chfr8.cloudfront.net/image/725136000567/image_ft5n095p1t2th5bbb6obdcml3s/-FJPG/235178-003_DET_3.jpg</t>
  </si>
  <si>
    <t>https://dd3ka9h4chfr8.cloudfront.net/image/725136000567/image_aifbtitefp6frf40uk3ci2vt2l/-FJPG/235178-003_TOP_1.jpg</t>
  </si>
  <si>
    <t>https://dd3ka9h4chfr8.cloudfront.net/image/725136000567/image_8om583h66d13r2te46s8mrgk1n/-FJPG/235178-003_DET_4.jpg</t>
  </si>
  <si>
    <t>Warby Coffee Table - Worn Oak Veneer</t>
  </si>
  <si>
    <t>https://dd3ka9h4chfr8.cloudfront.net/image/725136000567/image_5viq0ap7u12pt4onvl5n51am7s/-S150x150-FJPG/235178-002_PRM_1.jpg</t>
  </si>
  <si>
    <t>https://dd3ka9h4chfr8.cloudfront.net/image/725136000567/image_5viq0ap7u12pt4onvl5n51am7s/-FJPG/235178-002_PRM_1.jpg</t>
  </si>
  <si>
    <t>https://dd3ka9h4chfr8.cloudfront.net/image/725136000567/image_rdgl8m46pt23905p6q2hmt234m/-FJPG/235178-002_SID_1.jpg</t>
  </si>
  <si>
    <t>https://dd3ka9h4chfr8.cloudfront.net/image/725136000567/image_1vtg6bqar961v31ho0gei6q044/-FJPG/235178-002_ESS_1.tif</t>
  </si>
  <si>
    <t>https://dd3ka9h4chfr8.cloudfront.net/image/725136000567/image_iu4tcs5peh33hfd6rlcp4m2e1i/-FJPG/235178-002_DET_2.jpg</t>
  </si>
  <si>
    <t>https://dd3ka9h4chfr8.cloudfront.net/image/725136000567/image_doq2bvf5kt6q18nicgg164dm1v/-FJPG/235178-002_BCK_1.jpg</t>
  </si>
  <si>
    <t>https://dd3ka9h4chfr8.cloudfront.net/image/725136000567/image_08cdtp3pf140p823f7pequpv1d/-FJPG/235178-002_DET_1.jpg</t>
  </si>
  <si>
    <t>https://dd3ka9h4chfr8.cloudfront.net/image/725136000567/image_r17qiijtk56794be6p57533s60/-FJPG/235178-002_DET_3.jpg</t>
  </si>
  <si>
    <t>https://dd3ka9h4chfr8.cloudfront.net/image/725136000567/image_523mn1b26p517fv2ik8fi0m81p/-FJPG/235178-002_TOP_1.jpg</t>
  </si>
  <si>
    <t>https://dd3ka9h4chfr8.cloudfront.net/image/725136000567/image_hsg85siu7t7or5o8cro6t5a36p/-FJPG/235178-002_TOP.jpg</t>
  </si>
  <si>
    <t>https://dd3ka9h4chfr8.cloudfront.net/image/725136000567/image_76tgdln7i13dn6gg49njpslf18/-FJPG/235178-002_DET_4.jpg</t>
  </si>
  <si>
    <t>https://dd3ka9h4chfr8.cloudfront.net/image/725136000567/image_jq4su9oeq517f6t11phacpph7g/-FJPG/235178-002_DET_5.jpg</t>
  </si>
  <si>
    <t>https://dd3ka9h4chfr8.cloudfront.net/image/725136000567/image_9sj8qq4f0d42jc40m27blbm27v/-FJPG/235178-002_DET_9.tif</t>
  </si>
  <si>
    <t>Warby Console Table - Worn Black Veneer</t>
  </si>
  <si>
    <t>https://dd3ka9h4chfr8.cloudfront.net/image/725136000567/image_jcaeurqaa54mb5uke6ofjupd54/-S150x150-FJPG/235177-003_PRM_1.jpg</t>
  </si>
  <si>
    <t>https://dd3ka9h4chfr8.cloudfront.net/image/725136000567/image_jcaeurqaa54mb5uke6ofjupd54/-FJPG/235177-003_PRM_1.jpg</t>
  </si>
  <si>
    <t>https://dd3ka9h4chfr8.cloudfront.net/image/725136000567/image_rm2lcpu8214hn4qcmb2c17o94d/-FJPG/235177-003_SID_1.jpg</t>
  </si>
  <si>
    <t>https://dd3ka9h4chfr8.cloudfront.net/image/725136000567/image_qaefl89m1p3r33f2gd432abl63/-FJPG/235177-003_ESS.tif</t>
  </si>
  <si>
    <t>https://dd3ka9h4chfr8.cloudfront.net/image/725136000567/image_jl22m7qaft5gfbmdh2vug08q4q/-FJPG/235177-003_DET_2.jpg</t>
  </si>
  <si>
    <t>https://dd3ka9h4chfr8.cloudfront.net/image/725136000567/image_itonh5igst5g78g2j4dhkmbo52/-FJPG/235177-003_BCK_1.jpg</t>
  </si>
  <si>
    <t>https://dd3ka9h4chfr8.cloudfront.net/image/725136000567/image_bk5lrie0vd0tt331e1s21og66h/-FJPG/235177-003_DET_1.jpg</t>
  </si>
  <si>
    <t>https://dd3ka9h4chfr8.cloudfront.net/image/725136000567/image_lhiroq2ev1153borjiolainb0v/-FJPG/235177-003_DET_3.jpg</t>
  </si>
  <si>
    <t>Warby Console Table - Worn Oak Veneer</t>
  </si>
  <si>
    <t>https://dd3ka9h4chfr8.cloudfront.net/image/725136000567/image_kso447e3et2kj02kr3sgotdu4s/-S150x150-FJPG/235177-002_PRM_1.jpg</t>
  </si>
  <si>
    <t>https://dd3ka9h4chfr8.cloudfront.net/image/725136000567/image_kso447e3et2kj02kr3sgotdu4s/-FJPG/235177-002_PRM_1.jpg</t>
  </si>
  <si>
    <t>https://dd3ka9h4chfr8.cloudfront.net/image/725136000567/image_bqovupk3nd33t54v406rc4n80p/-FJPG/235177-002_SID_1.jpg</t>
  </si>
  <si>
    <t>https://dd3ka9h4chfr8.cloudfront.net/image/725136000567/image_ptbma781pl7afd2634m39f972t/-FJPG/235177-002_ESS_1.tif</t>
  </si>
  <si>
    <t>https://dd3ka9h4chfr8.cloudfront.net/image/725136000567/image_5pho4ug2dp18f60q9q2j961u5a/-FJPG/235177-002_DET_2.jpg</t>
  </si>
  <si>
    <t>https://dd3ka9h4chfr8.cloudfront.net/image/725136000567/image_rc93cemq111e79qmmct3q76d1k/-FJPG/235177-002_DET_1.jpg</t>
  </si>
  <si>
    <t>https://dd3ka9h4chfr8.cloudfront.net/image/725136000567/image_9ctnscvfpl3gf2g46e7a5u0f6j/-FJPG/235177-002_DET_3.jpg</t>
  </si>
  <si>
    <t>https://dd3ka9h4chfr8.cloudfront.net/image/725136000567/image_u1i8ob3mnh0l5emhu0itfs3t3s/-FJPG/235177-002_TOP_1.jpg</t>
  </si>
  <si>
    <t>https://dd3ka9h4chfr8.cloudfront.net/image/725136000567/image_51gv4lm95969fbgq67ejqbae6g/-FJPG/235177-002_DET_4.jpg</t>
  </si>
  <si>
    <t>https://dd3ka9h4chfr8.cloudfront.net/image/725136000567/image_oamt6i9pul41pavaveijg2bt40/-FJPG/235177-002_DET_9.tif</t>
  </si>
  <si>
    <t>Warby Desk - Worn Oak</t>
  </si>
  <si>
    <t>https://dd3ka9h4chfr8.cloudfront.net/image/725136000567/image_fei47iv1k53o14def96ek1lf1m/-S150x150-FJPG/235179-002_PRM_1.jpg</t>
  </si>
  <si>
    <t>https://dd3ka9h4chfr8.cloudfront.net/image/725136000567/image_fei47iv1k53o14def96ek1lf1m/-FJPG/235179-002_PRM_1.jpg</t>
  </si>
  <si>
    <t>https://dd3ka9h4chfr8.cloudfront.net/image/725136000567/image_lb8r5pahop1p5d6pu478m8d76m/-FJPG/235179-002_SID_1.jpg</t>
  </si>
  <si>
    <t>https://dd3ka9h4chfr8.cloudfront.net/image/725136000567/image_nfopgbp3nt79h4amtc9efo7k52/-FJPG/235179-002_ESS_1.tif</t>
  </si>
  <si>
    <t>https://dd3ka9h4chfr8.cloudfront.net/image/725136000567/image_afls7li805459em8ooi5m4u36r/-FJPG/235179-002_DET_2.jpg</t>
  </si>
  <si>
    <t>https://dd3ka9h4chfr8.cloudfront.net/image/725136000567/image_1uvgqtr07h2if7cqjj6jcede3p/-FJPG/235179-002_BCK_1.jpg</t>
  </si>
  <si>
    <t>https://dd3ka9h4chfr8.cloudfront.net/image/725136000567/image_ol98ftk3b13jb45equhnfc510s/-FJPG/235179-002_DET_1.jpg</t>
  </si>
  <si>
    <t>https://dd3ka9h4chfr8.cloudfront.net/image/725136000567/image_8fdh44i4fl6mbf9ni9lqn26r40/-FJPG/235179-002_DET_3.jpg</t>
  </si>
  <si>
    <t>https://dd3ka9h4chfr8.cloudfront.net/image/725136000567/image_9rd7iaej357opejeneaojt0e4o/-FJPG/235179-002_TOP_1.jpg</t>
  </si>
  <si>
    <t>https://dd3ka9h4chfr8.cloudfront.net/image/725136000567/image_narksv5sop7ohagtakvuoihc35/-FJPG/235179-002_DET_9.tif</t>
  </si>
  <si>
    <t>https://dd3ka9h4chfr8.cloudfront.net/image/725136000567/image_9v8jcj8tul4hf72gobiudqu61h/-FJPG/235179-002_PRM_2.jpg</t>
  </si>
  <si>
    <t>Warby Dining Table - Worn Black Veneer</t>
  </si>
  <si>
    <t>https://dd3ka9h4chfr8.cloudfront.net/image/725136000567/image_75l4sveqmp615avlhp2vvqje0c/-S150x150-FJPG/235116-003_PRM_1.jpg</t>
  </si>
  <si>
    <t>https://dd3ka9h4chfr8.cloudfront.net/image/725136000567/image_75l4sveqmp615avlhp2vvqje0c/-FJPG/235116-003_PRM_1.jpg</t>
  </si>
  <si>
    <t>https://dd3ka9h4chfr8.cloudfront.net/image/725136000567/image_al5svcgovp3mjfurvdgt4qk152/-FJPG/235116-003_SID_1.jpg</t>
  </si>
  <si>
    <t>https://dd3ka9h4chfr8.cloudfront.net/image/725136000567/image_ukvqbvn58d4a5cse8v9jq6nr1e/-FJPG/235116-003_ESS_1.tif</t>
  </si>
  <si>
    <t>https://dd3ka9h4chfr8.cloudfront.net/image/725136000567/image_oilr88cpdt6i77smlf029rq16b/-FJPG/235116-003_DET_2.jpg</t>
  </si>
  <si>
    <t>https://dd3ka9h4chfr8.cloudfront.net/image/725136000567/image_65uognlm414vlfjtbbc14oir1u/-FJPG/235116-003_BCK_1.jpg</t>
  </si>
  <si>
    <t>https://dd3ka9h4chfr8.cloudfront.net/image/725136000567/image_b5q2kfjg350j7b5fgf4tqpva18/-FJPG/235116-003_DET_1.jpg</t>
  </si>
  <si>
    <t>https://dd3ka9h4chfr8.cloudfront.net/image/725136000567/image_nb62ek0kf96qd2kh2cs8t9iq2q/-FJPG/235116-003_DET_3.jpg</t>
  </si>
  <si>
    <t>https://dd3ka9h4chfr8.cloudfront.net/image/725136000567/image_r9occlu6514kb4aejq3lprmn0c/-FJPG/235116-003_TOP_1.tif</t>
  </si>
  <si>
    <t>https://dd3ka9h4chfr8.cloudfront.net/image/725136000567/image_8l2vh884tl705boevvkpnb5a02/-FJPG/235116-003_TOP_1.jpg</t>
  </si>
  <si>
    <t>https://dd3ka9h4chfr8.cloudfront.net/image/725136000567/image_4kaci0ro1942bdhfkpbs1ffn7g/-FJPG/235116-003_DET_4.jpg</t>
  </si>
  <si>
    <t>https://dd3ka9h4chfr8.cloudfront.net/image/725136000567/image_m2ddh7kpf543pd2enr56pabj7u/-FJPG/235116-003_DET_5.jpg</t>
  </si>
  <si>
    <t>https://dd3ka9h4chfr8.cloudfront.net/image/725136000567/image_d90se6s6td17h5k25cs9epb004/-FJPG/235116-003_DET_6.jpg</t>
  </si>
  <si>
    <t>https://dd3ka9h4chfr8.cloudfront.net/image/725136000567/image_ojbg4cai094jn5hjvrgra88q6p/-FJPG/235116-003_DET_7.jpg</t>
  </si>
  <si>
    <t>Warby Dining Table - Worn Oak Veneer</t>
  </si>
  <si>
    <t>https://dd3ka9h4chfr8.cloudfront.net/image/725136000567/image_sklb6l50kd7i95qtot7e09gh79/-S150x150-FJPG/235116-002_PRM_1.jpg</t>
  </si>
  <si>
    <t>https://dd3ka9h4chfr8.cloudfront.net/image/725136000567/image_sklb6l50kd7i95qtot7e09gh79/-FJPG/235116-002_PRM_1.jpg</t>
  </si>
  <si>
    <t>https://dd3ka9h4chfr8.cloudfront.net/image/725136000567/image_aaeffq4md54j7d6tglidm22b55/-FJPG/235116-002_SID_1.jpg</t>
  </si>
  <si>
    <t>https://dd3ka9h4chfr8.cloudfront.net/image/725136000567/image_pl53co6re516p4etnisfe68j42/-FJPG/235116-002_ESS_1.tif</t>
  </si>
  <si>
    <t>https://dd3ka9h4chfr8.cloudfront.net/image/725136000567/image_91iej21qb52f76err09afeha5q/-FJPG/235116-002_DET_2.jpg</t>
  </si>
  <si>
    <t>https://dd3ka9h4chfr8.cloudfront.net/image/725136000567/image_7n1n8i7frd5q97pdni70au231i/-FJPG/235116-002_DET_1.jpg</t>
  </si>
  <si>
    <t>https://dd3ka9h4chfr8.cloudfront.net/image/725136000567/image_v1vuej86r53at06t8f2lqq5n1u/-FJPG/235116-002_DET_3.jpg</t>
  </si>
  <si>
    <t>https://dd3ka9h4chfr8.cloudfront.net/image/725136000567/image_8m3gmi9b8t4vd71ijavf92ff4q/-FJPG/235116-002_TOP_1.jpg</t>
  </si>
  <si>
    <t>https://dd3ka9h4chfr8.cloudfront.net/image/725136000567/image_aks76sbpp12il6ecslfclr443g/-FJPG/235116-002_DET_4.jpg</t>
  </si>
  <si>
    <t>https://dd3ka9h4chfr8.cloudfront.net/image/725136000567/image_qn5e6j5eih7i9221d6qk0u5d3g/-FJPG/235116-002_DET_5.jpg</t>
  </si>
  <si>
    <t>Warby End Table - Worn Black Veneer</t>
  </si>
  <si>
    <t>https://dd3ka9h4chfr8.cloudfront.net/image/725136000567/image_okrl6k326l5p944kolqiqkhh6g/-S150x150-FJPG/236317-003_PRM_1.jpg</t>
  </si>
  <si>
    <t>https://dd3ka9h4chfr8.cloudfront.net/image/725136000567/image_2dkaq5o85d0r729qb4bltbm63l/-FJPG/236317-003_FRT_1.jpg</t>
  </si>
  <si>
    <t>https://dd3ka9h4chfr8.cloudfront.net/image/725136000567/image_okrl6k326l5p944kolqiqkhh6g/-FJPG/236317-003_PRM_1.jpg</t>
  </si>
  <si>
    <t>https://dd3ka9h4chfr8.cloudfront.net/image/725136000567/image_qdj7smuerh7pv1h80n3c9jvk7p/-FJPG/236317-003_SID_1.jpg</t>
  </si>
  <si>
    <t>https://dd3ka9h4chfr8.cloudfront.net/image/725136000567/image_jb5cj87v89293330vu09432j35/-FJPG/236317-003_ESS_1.tif</t>
  </si>
  <si>
    <t>https://dd3ka9h4chfr8.cloudfront.net/image/725136000567/image_fuiv2hdnop54r075121rdbql2t/-FJPG/236317-003_DET_2.jpg</t>
  </si>
  <si>
    <t>https://dd3ka9h4chfr8.cloudfront.net/image/725136000567/image_r8qmnlt7j50j14e8p7241bkn4b/-FJPG/236317-003_BCK_1.jpg</t>
  </si>
  <si>
    <t>https://dd3ka9h4chfr8.cloudfront.net/image/725136000567/image_o0dpqkjk756lfe8hd73obs1q76/-FJPG/236317-003_DET_1.jpg</t>
  </si>
  <si>
    <t>https://dd3ka9h4chfr8.cloudfront.net/image/725136000567/image_mikklo1jap13v8uksm27kqd92j/-FJPG/236317-003_DET_3.jpg</t>
  </si>
  <si>
    <t>https://dd3ka9h4chfr8.cloudfront.net/image/725136000567/image_qqtbl74pah5nnb0cn2db7ag575/-FJPG/236317-003_TOP_1.jpg</t>
  </si>
  <si>
    <t>https://dd3ka9h4chfr8.cloudfront.net/image/725136000567/image_3cae9eejup2bv7uc3pbjceg458/-FJPG/236317-003_DET_4.jpg</t>
  </si>
  <si>
    <t>Warby End Table - Worn Oak Veneer</t>
  </si>
  <si>
    <t>https://dd3ka9h4chfr8.cloudfront.net/image/725136000567/image_8jrjvs10m13av5e3mvl0qrvh0r/-S150x150-FJPG/236317-002_PRM_1.jpg</t>
  </si>
  <si>
    <t>https://dd3ka9h4chfr8.cloudfront.net/image/725136000567/image_8jrjvs10m13av5e3mvl0qrvh0r/-FJPG/236317-002_PRM_1.jpg</t>
  </si>
  <si>
    <t>https://dd3ka9h4chfr8.cloudfront.net/image/725136000567/image_hadb4qf1f960hdauujrh83dt7p/-FJPG/236317-002_SID_1.jpg</t>
  </si>
  <si>
    <t>https://dd3ka9h4chfr8.cloudfront.net/image/725136000567/image_c1tluuoek947dbki2on66ucm22/-FJPG/236317-002_ESS_1.tif</t>
  </si>
  <si>
    <t>https://dd3ka9h4chfr8.cloudfront.net/image/725136000567/image_ge8b15oefl2mbdp216la9uht4t/-FJPG/239356-001_ESS_1.tif</t>
  </si>
  <si>
    <t>https://dd3ka9h4chfr8.cloudfront.net/image/725136000567/image_d8i6mr6a2d379bkd3j7bsols15/-FJPG/236317-002_DET_2.jpg</t>
  </si>
  <si>
    <t>https://dd3ka9h4chfr8.cloudfront.net/image/725136000567/image_38e6h2g6i92v98omii6ltb4o3p/-FJPG/236317-002_DET_1.jpg</t>
  </si>
  <si>
    <t>https://dd3ka9h4chfr8.cloudfront.net/image/725136000567/image_akguhuljsp6an3q5pma94jnc4f/-FJPG/236317-002_DET_3.jpg</t>
  </si>
  <si>
    <t>https://dd3ka9h4chfr8.cloudfront.net/image/725136000567/image_9p83jcf2sh3ov0rcr3alrrq976/-FJPG/236317-002_TOP_1.jpg</t>
  </si>
  <si>
    <t>https://dd3ka9h4chfr8.cloudfront.net/image/725136000567/image_scapkisa9559dcc7dlf0nnqh1m/-FJPG/236317-002_DET_9.tif</t>
  </si>
  <si>
    <t>https://dd3ka9h4chfr8.cloudfront.net/image/725136000567/image_ou1cojqmh57874e5p9i7v5rg73/-FJPG/236317-002_DET_10.tif</t>
  </si>
  <si>
    <t>Warby Nightstand - Worn Black Veneer</t>
  </si>
  <si>
    <t>https://dd3ka9h4chfr8.cloudfront.net/image/725136000567/image_iebhdgam2h1sfaicdl8tfg2333/-S150x150-FJPG/235362-003_PRM_1.jpg</t>
  </si>
  <si>
    <t>https://dd3ka9h4chfr8.cloudfront.net/image/725136000567/image_iebhdgam2h1sfaicdl8tfg2333/-FJPG/235362-003_PRM_1.jpg</t>
  </si>
  <si>
    <t>https://dd3ka9h4chfr8.cloudfront.net/image/725136000567/image_q28i3p3qut2p35cqa6movu9e24/-FJPG/235362-003_SID_1.jpg</t>
  </si>
  <si>
    <t>https://dd3ka9h4chfr8.cloudfront.net/image/725136000567/image_dq9rprmf3911nes5hb7v69gg4s/-FJPG/235362-003_ESS.tif</t>
  </si>
  <si>
    <t>https://dd3ka9h4chfr8.cloudfront.net/image/725136000567/image_kb32bpcl6p4r502bnpmk8oc66g/-FJPG/235362-003_DET_2.jpg</t>
  </si>
  <si>
    <t>https://dd3ka9h4chfr8.cloudfront.net/image/725136000567/image_r73i184q1d77h35og6618ihm04/-FJPG/235362-003_BCK_1.jpg</t>
  </si>
  <si>
    <t>https://dd3ka9h4chfr8.cloudfront.net/image/725136000567/image_dlurar8ddh2j38erjs4i4vdg6t/-FJPG/235362-003_DET_1.jpg</t>
  </si>
  <si>
    <t>https://dd3ka9h4chfr8.cloudfront.net/image/725136000567/image_3u42nuc8r14bn8dun036j55s7f/-FJPG/235362-003_DET_3.jpg</t>
  </si>
  <si>
    <t>https://dd3ka9h4chfr8.cloudfront.net/image/725136000567/image_bgvgjqv61d4fp09qagb4il1j3a/-FJPG/235362-003_OPN_1.jpg</t>
  </si>
  <si>
    <t>https://dd3ka9h4chfr8.cloudfront.net/image/725136000567/image_q4b7paqvdh5jnb4nof05em880f/-FJPG/235362-003_TOP_1.jpg</t>
  </si>
  <si>
    <t>https://dd3ka9h4chfr8.cloudfront.net/image/725136000567/image_l9bodbb3mh63n8j44119cmks6b/-FJPG/235362-003_DET_4.jpg</t>
  </si>
  <si>
    <t>https://dd3ka9h4chfr8.cloudfront.net/image/725136000567/image_f1sujt9ord77jemr7oamst2a24/-FJPG/235362-003_DET_5.jpg</t>
  </si>
  <si>
    <t>https://dd3ka9h4chfr8.cloudfront.net/image/725136000567/image_ouic07t5hd3tldm35h74b2p67f/-FJPG/235362-003_DET_6.jpg</t>
  </si>
  <si>
    <t>Warby Nightstand - Worn Oak Veneer</t>
  </si>
  <si>
    <t>https://dd3ka9h4chfr8.cloudfront.net/image/725136000567/image_hp9mv2m2e542f6fjtqn2b3om3u/-S150x150-FJPG/235362-002_PRM_1.jpg</t>
  </si>
  <si>
    <t>https://dd3ka9h4chfr8.cloudfront.net/image/725136000567/image_hp9mv2m2e542f6fjtqn2b3om3u/-FJPG/235362-002_PRM_1.jpg</t>
  </si>
  <si>
    <t>https://dd3ka9h4chfr8.cloudfront.net/image/725136000567/image_qlulnugjhd75ndccjp3nq5c265/-FJPG/235362-002_SID_1.jpg</t>
  </si>
  <si>
    <t>https://dd3ka9h4chfr8.cloudfront.net/image/725136000567/image_1pioicoif50f53l1bsp01cr56b/-FJPG/235362-002_ESS.tif</t>
  </si>
  <si>
    <t>https://dd3ka9h4chfr8.cloudfront.net/image/725136000567/image_6lenbgstb91fbeg2hk1g958161/-FJPG/235362-002_DET_2.jpg</t>
  </si>
  <si>
    <t>https://dd3ka9h4chfr8.cloudfront.net/image/725136000567/image_0anq8f8lhp3ur1jrhj8enfml3a/-FJPG/235362-002_BCK_1.jpg</t>
  </si>
  <si>
    <t>https://dd3ka9h4chfr8.cloudfront.net/image/725136000567/image_h4u6vvdc3d4tb11oc8ai7s9s68/-FJPG/235362-002_DET_1.jpg</t>
  </si>
  <si>
    <t>https://dd3ka9h4chfr8.cloudfront.net/image/725136000567/image_0rrf8uogt16n5fl0a2qli09802/-FJPG/235362-002_DET_3.jpg</t>
  </si>
  <si>
    <t>https://dd3ka9h4chfr8.cloudfront.net/image/725136000567/image_vndtsktmn56i1asr0uhooha23o/-FJPG/235362-002_OPN_1.jpg</t>
  </si>
  <si>
    <t>https://dd3ka9h4chfr8.cloudfront.net/image/725136000567/image_jb3s4vaf611lp6n1cf0cci3p5q/-FJPG/235362-002_TOP_1.jpg</t>
  </si>
  <si>
    <t>https://dd3ka9h4chfr8.cloudfront.net/image/725136000567/image_u7ggd5570p633evob93emjq70a/-FJPG/235362-002_DET_4.jpg</t>
  </si>
  <si>
    <t>https://dd3ka9h4chfr8.cloudfront.net/image/725136000567/image_i2ca5m9sgt09545i925np1ct2p/-FJPG/235362-002_DET_5.jpg</t>
  </si>
  <si>
    <t>Warby Sideboard - Worn Oak</t>
  </si>
  <si>
    <t>https://dd3ka9h4chfr8.cloudfront.net/image/725136000567/image_2khrmfs7dd29p684b3vdjgjs1a/-S150x150-FJPG/235117-002_PRM_1.jpg</t>
  </si>
  <si>
    <t>https://dd3ka9h4chfr8.cloudfront.net/image/725136000567/image_2khrmfs7dd29p684b3vdjgjs1a/-FJPG/235117-002_PRM_1.jpg</t>
  </si>
  <si>
    <t>https://dd3ka9h4chfr8.cloudfront.net/image/725136000567/image_bq2rajt1kp22h7situ9ig5qe0k/-FJPG/235117-002_SID_1.jpg</t>
  </si>
  <si>
    <t>https://dd3ka9h4chfr8.cloudfront.net/image/725136000567/image_ij890pu43l06917av5ui6fik71/-FJPG/235117-002_ESS_1.tif</t>
  </si>
  <si>
    <t>https://dd3ka9h4chfr8.cloudfront.net/image/725136000567/image_ua0nm7oha50o1973cmtaco0c5l/-FJPG/235117-002_DET_2.jpg</t>
  </si>
  <si>
    <t>https://dd3ka9h4chfr8.cloudfront.net/image/725136000567/image_tckscred2135dbf4iaot5lnn61/-FJPG/235117-002_DET_1.jpg</t>
  </si>
  <si>
    <t>https://dd3ka9h4chfr8.cloudfront.net/image/725136000567/image_08uqdooqd556f2pnnsgdkh7v74/-FJPG/235117-002_DET_3.jpg</t>
  </si>
  <si>
    <t>https://dd3ka9h4chfr8.cloudfront.net/image/725136000567/image_f7j192qif50gr1h13uujlt3v59/-FJPG/235117-002_TOP_1.jpg</t>
  </si>
  <si>
    <t>https://dd3ka9h4chfr8.cloudfront.net/image/725136000567/image_4ai0b8bs114mv2cgu2j1if565c/-FJPG/235117-002_DET_4.jpg</t>
  </si>
  <si>
    <t>https://dd3ka9h4chfr8.cloudfront.net/image/725136000567/image_mmkhc0tuf93p93gnj8du5h4h2c/-FJPG/235117-002_PRM_2.JPG</t>
  </si>
  <si>
    <t>Wellborn Swivel Chair - Palermo Cognac</t>
  </si>
  <si>
    <t>https://dd3ka9h4chfr8.cloudfront.net/image/725136000567/image_ing4kcbtfd1s30vf80cqqd8d7m/-S150x150-FJPG/236762-002_PRM_1.jpg</t>
  </si>
  <si>
    <t>https://dd3ka9h4chfr8.cloudfront.net/image/725136000567/image_ing4kcbtfd1s30vf80cqqd8d7m/-FJPG/236762-002_PRM_1.jpg</t>
  </si>
  <si>
    <t>https://dd3ka9h4chfr8.cloudfront.net/image/725136000567/image_5nl4ecm3s564l1g7bo77clc704/-FJPG/236762-002_SID_1.jpg</t>
  </si>
  <si>
    <t>https://dd3ka9h4chfr8.cloudfront.net/image/725136000567/image_3hr3egec5t6rj04avub07aad0u/-FJPG/236762-002_ESS_1.jpg</t>
  </si>
  <si>
    <t>https://dd3ka9h4chfr8.cloudfront.net/image/725136000567/image_07dhj4dkup6bn17vcq0hvdcq36/-FJPG/236762-002_DET_2.jpg</t>
  </si>
  <si>
    <t>https://dd3ka9h4chfr8.cloudfront.net/image/725136000567/image_9clei0dtml7upcqh4b5dar7a5a/-FJPG/236762-002_BCK_1.jpg</t>
  </si>
  <si>
    <t>https://dd3ka9h4chfr8.cloudfront.net/image/725136000567/image_nuvb7mpb8t5r31eulamt1gv319/-FJPG/236762-002_DET_1.jpg</t>
  </si>
  <si>
    <t>https://dd3ka9h4chfr8.cloudfront.net/image/725136000567/image_ql488tab1t6995grm64v2tgh45/-FJPG/236762-002_DET_3.jpg</t>
  </si>
  <si>
    <t>https://dd3ka9h4chfr8.cloudfront.net/image/725136000567/image_pfdb16iurd0ol6ra7mj8cf3d49/-FJPG/236762-002_DET_4.jpg</t>
  </si>
  <si>
    <t>https://dd3ka9h4chfr8.cloudfront.net/image/725136000567/image_o8tjur193l2lhdo5957un8r834/-FJPG/236762-002_DET_5.jpg</t>
  </si>
  <si>
    <t>https://dd3ka9h4chfr8.cloudfront.net/image/725136000567/image_21egn9aeg151nce0btlkegfq24/-FJPG/236762-002_DET_6.jpg</t>
  </si>
  <si>
    <t>https://dd3ka9h4chfr8.cloudfront.net/image/725136000567/image_j03dnj0gmp3f995oraka6eo84l/-FJPG/236762-002_DET_7.jpg</t>
  </si>
  <si>
    <t>https://dd3ka9h4chfr8.cloudfront.net/image/725136000567/image_94rp27q5bd4a11813rnqdf1n2h/-FJPG/236762-002_DET_8.jpg</t>
  </si>
  <si>
    <t>Westhoff Sideboard - Rubbed Black Oak</t>
  </si>
  <si>
    <t>https://dd3ka9h4chfr8.cloudfront.net/image/725136000567/image_nepa9m2n9138r04onpqkjdg51j/-S150x150-FJPG/236117-001_PRM_1.jpg</t>
  </si>
  <si>
    <t>https://dd3ka9h4chfr8.cloudfront.net/image/725136000567/image_nepa9m2n9138r04onpqkjdg51j/-FJPG/236117-001_PRM_1.jpg</t>
  </si>
  <si>
    <t>https://dd3ka9h4chfr8.cloudfront.net/image/725136000567/image_kdsg2s8i017t57rsaibgsnut3n/-FJPG/236117-001_SID_1.jpg</t>
  </si>
  <si>
    <t>https://dd3ka9h4chfr8.cloudfront.net/image/725136000567/image_lkcn9ugsql72n7dehmdaa4u84k/-FJPG/236117-001_ESS.tif</t>
  </si>
  <si>
    <t>https://dd3ka9h4chfr8.cloudfront.net/image/725136000567/image_uv5berp8dh3mfdhr1dd00aqg1o/-FJPG/236117-001_DET_2.jpg</t>
  </si>
  <si>
    <t>https://dd3ka9h4chfr8.cloudfront.net/image/725136000567/image_m4dodmrlkp0b915phu6eijsb6v/-FJPG/236117-001_BCK_1.jpg</t>
  </si>
  <si>
    <t>https://dd3ka9h4chfr8.cloudfront.net/image/725136000567/image_ui3tvjueod249blpgkv27rh169/-FJPG/236117-001_DET_1.jpg</t>
  </si>
  <si>
    <t>https://dd3ka9h4chfr8.cloudfront.net/image/725136000567/image_u9pvdb8u6t5kj9u6og8083ll5k/-FJPG/236117-001_DET_3.jpg</t>
  </si>
  <si>
    <t>https://dd3ka9h4chfr8.cloudfront.net/image/725136000567/image_uqpb5inv0945deegeskq0imf1g/-FJPG/236117-001_OPN_1.jpg</t>
  </si>
  <si>
    <t>https://dd3ka9h4chfr8.cloudfront.net/image/725136000567/image_g3ihcjc7qt7nbf0k42h9ueq11h/-FJPG/236117-001_DET_4.jpg</t>
  </si>
  <si>
    <t>https://dd3ka9h4chfr8.cloudfront.net/image/725136000567/image_rk94p61d5521d6r815bqt6rm4k/-FJPG/236117-001_DET_5.jpg</t>
  </si>
  <si>
    <t>https://dd3ka9h4chfr8.cloudfront.net/image/725136000567/image_r8isdg6q1t6kj0pthq5rrtgp1g/-FJPG/236117-001_DET_6.jpg</t>
  </si>
  <si>
    <t>https://dd3ka9h4chfr8.cloudfront.net/image/725136000567/image_kma4d08gh107f53masgu5sos25/-FJPG/236117-001_DET_7.jpg</t>
  </si>
  <si>
    <t>https://dd3ka9h4chfr8.cloudfront.net/image/725136000567/image_k017t8vubt42lfn8da8hhim15r/-FJPG/236117-001_DET_8.jpg</t>
  </si>
  <si>
    <t>https://dd3ka9h4chfr8.cloudfront.net/image/725136000567/image_6smm57g4el2tbcu1501lma1053/-FJPG/236117-001_DET_9.tif</t>
  </si>
  <si>
    <t>https://dd3ka9h4chfr8.cloudfront.net/image/725136000567/image_5gqlh8hcfd1hp5pt1ku55ij95v/-FJPG/236117-001_DET_10.tif</t>
  </si>
  <si>
    <t>https://dd3ka9h4chfr8.cloudfront.net/image/725136000567/image_riesc4dfi91e93rako9rfir44s/-FJPG/236117-001_DET_11.tif</t>
  </si>
  <si>
    <t>https://dd3ka9h4chfr8.cloudfront.net/image/725136000567/image_ejg9r4tgm16vl6c0e321ajc53m/-FJPG/236117-001_DET_12.tif</t>
  </si>
  <si>
    <t>Westwood Sofa - Bennett Charcoal</t>
  </si>
  <si>
    <t>https://dd3ka9h4chfr8.cloudfront.net/image/725136000567/image_luacjbl5j90u16mfc5gqkhv12b/-S150x150-FJPG/106134-006_PRM_1.jpg</t>
  </si>
  <si>
    <t>https://dd3ka9h4chfr8.cloudfront.net/image/725136000567/image_luacjbl5j90u16mfc5gqkhv12b/-FJPG/106134-006_PRM_1.jpg</t>
  </si>
  <si>
    <t>https://dd3ka9h4chfr8.cloudfront.net/image/725136000567/image_ppjio75vf17tt75o6ld0p0542f/-FJPG/106134-006_SID_1.jpg</t>
  </si>
  <si>
    <t>https://dd3ka9h4chfr8.cloudfront.net/image/725136000567/image_7n72970r4p0rj78r1jankhqk6t/-FJPG/106134-006_ESS_1.jpg</t>
  </si>
  <si>
    <t>https://dd3ka9h4chfr8.cloudfront.net/image/725136000567/image_1qgq59c31l0ghbd5gs38f5h301/-FJPG/106134-006_DET_2.jpg</t>
  </si>
  <si>
    <t>https://dd3ka9h4chfr8.cloudfront.net/image/725136000567/image_jj6vsle8395dtfe6dm0ulq5p1e/-FJPG/106134-006_BCK_1.jpg</t>
  </si>
  <si>
    <t>https://dd3ka9h4chfr8.cloudfront.net/image/725136000567/image_65bkqva6m5275fmaausc4rd16p/-FJPG/106134-006_DET_1.jpg</t>
  </si>
  <si>
    <t>https://dd3ka9h4chfr8.cloudfront.net/image/725136000567/image_u4rktjup255hteml9o696v7g6q/-FJPG/106134-006_DET_3.jpg</t>
  </si>
  <si>
    <t>https://dd3ka9h4chfr8.cloudfront.net/image/725136000567/image_agt73099rh04hei7a4vk164i7q/-FJPG/106134-006_DET_4.jpg</t>
  </si>
  <si>
    <t>https://dd3ka9h4chfr8.cloudfront.net/image/725136000567/image_uk66god3610hte0s8evc5cce0b/-FJPG/106134-006_DET_5.jpg</t>
  </si>
  <si>
    <t>https://dd3ka9h4chfr8.cloudfront.net/image/725136000567/image_ct3l92rpph175ehqmmutsuui0q/-FJPG/106134-006_DET_6.jpg</t>
  </si>
  <si>
    <t>https://dd3ka9h4chfr8.cloudfront.net/image/725136000567/image_5jncmlseh509f08ojlgs5f546g/-FJPG/106134-006_DET_7.jpg</t>
  </si>
  <si>
    <t>https://dd3ka9h4chfr8.cloudfront.net/image/725136000567/image_ciktcjuh410q9dih0armak2t54/-FJPG/106134-006_DET_8.jpg</t>
  </si>
  <si>
    <t>https://dd3ka9h4chfr8.cloudfront.net/image/725136000567/image_pnr8n0p8v1027cradvt93rj85a/-FJPG/106134-006_DET_9.jpg</t>
  </si>
  <si>
    <t>Westwood Sofa - Bennett Moon</t>
  </si>
  <si>
    <t>https://dd3ka9h4chfr8.cloudfront.net/image/725136000567/image_o1o1hl3rah05n5litlrol8iu5h/-S150x150-FJPG/106134-007_PRM_1.jpg</t>
  </si>
  <si>
    <t>https://dd3ka9h4chfr8.cloudfront.net/image/725136000567/image_o1o1hl3rah05n5litlrol8iu5h/-FJPG/106134-007_PRM_1.jpg</t>
  </si>
  <si>
    <t>https://dd3ka9h4chfr8.cloudfront.net/image/725136000567/image_dom85hkae170bef5p5u9ogr21o/-FJPG/106134-007_SID_1.jpg</t>
  </si>
  <si>
    <t>https://dd3ka9h4chfr8.cloudfront.net/image/725136000567/image_unf9s0ohe96qh1k7lsvtcbrf42/-FJPG/106134-007_ESS_1.jpg</t>
  </si>
  <si>
    <t>https://dd3ka9h4chfr8.cloudfront.net/image/725136000567/image_4cfmhhh4jt21h69dh0r2ecga4a/-FJPG/106134-007_DET_2.jpg</t>
  </si>
  <si>
    <t>https://dd3ka9h4chfr8.cloudfront.net/image/725136000567/image_akj388jcid5tl4q1uvmllim93e/-FJPG/106134-007_BCK_1.jpg</t>
  </si>
  <si>
    <t>https://dd3ka9h4chfr8.cloudfront.net/image/725136000567/image_i33dsi972953takq5ta3qcgn1j/-FJPG/106134-007_DET_1.jpg</t>
  </si>
  <si>
    <t>https://dd3ka9h4chfr8.cloudfront.net/image/725136000567/image_4b3h2ldumd3o1d0c8l1sn3dk4v/-FJPG/106134-007_DET_3.jpg</t>
  </si>
  <si>
    <t>https://dd3ka9h4chfr8.cloudfront.net/image/725136000567/image_jsn5iua2r55mtaie20s7640e2e/-FJPG/106134-007_DET_4.jpg</t>
  </si>
  <si>
    <t>https://dd3ka9h4chfr8.cloudfront.net/image/725136000567/image_3f0f2bjfep7277bt9ke0da643o/-FJPG/106134-007_DET_5.jpg</t>
  </si>
  <si>
    <t>https://dd3ka9h4chfr8.cloudfront.net/image/725136000567/image_tu8nguog6t7j31js6idetot92a/-FJPG/106134-007_DET_6.jpg</t>
  </si>
  <si>
    <t>Wickham 2-Piece Sleeper Sectional - Alameda Snow</t>
  </si>
  <si>
    <t>Solid Maple</t>
  </si>
  <si>
    <t>https://dd3ka9h4chfr8.cloudfront.net/image/725136000567/image_7ed8s0k7gd3dfch1vou4n6r33e/-S150x150-FJPG/248620-001_PRM_1.jpg</t>
  </si>
  <si>
    <t>https://dd3ka9h4chfr8.cloudfront.net/image/725136000567/image_7ed8s0k7gd3dfch1vou4n6r33e/-FJPG/248620-001_PRM_1.jpg</t>
  </si>
  <si>
    <t>https://dd3ka9h4chfr8.cloudfront.net/image/725136000567/image_2i9vgr2mj53srdbsievm9gdn74/-FJPG/248620-001_SID_1.jpg</t>
  </si>
  <si>
    <t>https://dd3ka9h4chfr8.cloudfront.net/image/725136000567/image_uoqscirkc14kh66rjlnt4vur6h/-FJPG/248620-001_ESS.tif</t>
  </si>
  <si>
    <t>https://dd3ka9h4chfr8.cloudfront.net/image/725136000567/image_la7f3dpdet7k70f8v3ikqegv6u/-FJPG/248620-001_DET_2.jpg</t>
  </si>
  <si>
    <t>https://dd3ka9h4chfr8.cloudfront.net/image/725136000567/image_hc73pqse6969v1vp7hvp2v006q/-FJPG/248620-001_BCK_1.jpg</t>
  </si>
  <si>
    <t>https://dd3ka9h4chfr8.cloudfront.net/image/725136000567/image_4hvjsu39dp17f7v2apshu4mo55/-FJPG/248620-001_DET_1.jpg</t>
  </si>
  <si>
    <t>https://dd3ka9h4chfr8.cloudfront.net/image/725136000567/image_heo2d7pqfp7utfqasulosbgj5l/-FJPG/248620-001_DET_3.jpg</t>
  </si>
  <si>
    <t>https://dd3ka9h4chfr8.cloudfront.net/image/725136000567/image_etapob0fmt1837doqc7nuluc5e/-FJPG/248620-001_OPN_1.jpg</t>
  </si>
  <si>
    <t>https://dd3ka9h4chfr8.cloudfront.net/image/725136000567/image_h0m94o55bd13j92obnjmus0147/-FJPG/248620-001_TOP.jpg</t>
  </si>
  <si>
    <t>https://dd3ka9h4chfr8.cloudfront.net/image/725136000567/image_mm86942mud5uh1dkqocbetsg1a/-FJPG/248620-001_DET_4.jpg</t>
  </si>
  <si>
    <t>https://dd3ka9h4chfr8.cloudfront.net/image/725136000567/image_4emp3da4ct3ql2tvofnnpjrr3l/-FJPG/248620-001_DET_6.jpg</t>
  </si>
  <si>
    <t>https://dd3ka9h4chfr8.cloudfront.net/image/725136000567/image_2k03dajleh3m58qcbruc7knk5t/-FJPG/248620-001_DET_7.jpg</t>
  </si>
  <si>
    <t>https://dd3ka9h4chfr8.cloudfront.net/image/725136000567/image_dh8kfg5e7t4up15513f3t4o604/-FJPG/248620-001_DET_9.tif</t>
  </si>
  <si>
    <t>https://dd3ka9h4chfr8.cloudfront.net/image/725136000567/image_sr09ijrhh959h5kvh0vps4fu1s/-FJPG/248620-001_ESS_2.tif</t>
  </si>
  <si>
    <t>https://dd3ka9h4chfr8.cloudfront.net/image/725136000567/image_ltjnb9vf7l14t6vbb5t2rbe617/-S150x150-FJPG/248621-001_PRM_1.jpg</t>
  </si>
  <si>
    <t>https://dd3ka9h4chfr8.cloudfront.net/image/725136000567/image_ltjnb9vf7l14t6vbb5t2rbe617/-FJPG/248621-001_PRM_1.jpg</t>
  </si>
  <si>
    <t>https://dd3ka9h4chfr8.cloudfront.net/image/725136000567/image_9earhmhcnt581d8opc1a061u45/-FJPG/248621-001_SID_1.jpg</t>
  </si>
  <si>
    <t>https://dd3ka9h4chfr8.cloudfront.net/image/725136000567/image_sdr274g0r15g9bkjno2e97t007/-FJPG/248621-001_ESS.jpg</t>
  </si>
  <si>
    <t>https://dd3ka9h4chfr8.cloudfront.net/image/725136000567/image_se390ugbrl6f5cg4fknio3902p/-FJPG/248621-001_DET_2.jpg</t>
  </si>
  <si>
    <t>https://dd3ka9h4chfr8.cloudfront.net/image/725136000567/image_26aiafq7kt7ch5gh9dov0sus0f/-FJPG/248621-001_BCK_1.jpg</t>
  </si>
  <si>
    <t>https://dd3ka9h4chfr8.cloudfront.net/image/725136000567/image_lovjhvi019071ci82ruvdid17d/-FJPG/248621-001_DET_1.jpg</t>
  </si>
  <si>
    <t>https://dd3ka9h4chfr8.cloudfront.net/image/725136000567/image_rrabna13vd179dprr67rt40057/-FJPG/248621-001_DET_3.jpg</t>
  </si>
  <si>
    <t>https://dd3ka9h4chfr8.cloudfront.net/image/725136000567/image_unai0b723h3hp189isq1e1ne18/-FJPG/248621-001_OPN_1.jpg</t>
  </si>
  <si>
    <t>https://dd3ka9h4chfr8.cloudfront.net/image/725136000567/image_d3ue7cspil69rct38dgc0sm914/-FJPG/248621-001_TOP_1.jpg</t>
  </si>
  <si>
    <t>https://dd3ka9h4chfr8.cloudfront.net/image/725136000567/image_ecoe89r7a93kraquouuqhbc34g/-FJPG/248621-001_DET_4.jpg</t>
  </si>
  <si>
    <t>https://dd3ka9h4chfr8.cloudfront.net/image/725136000567/image_au5mt7q73l25j3lkaesb87ch33/-FJPG/248621-001_DET_6.jpg</t>
  </si>
  <si>
    <t>https://dd3ka9h4chfr8.cloudfront.net/image/725136000567/image_lg5ab6hhi56cbb7pdsc226f017/-FJPG/248621-001_DET_7.jpg</t>
  </si>
  <si>
    <t>https://dd3ka9h4chfr8.cloudfront.net/image/725136000567/image_tb9068hp494f19dlqvhk689b3o/-FJPG/248621-001_DET_9.jpg</t>
  </si>
  <si>
    <t>https://dd3ka9h4chfr8.cloudfront.net/image/725136000567/image_s2585ifmf57ah8icrh024k4e55/-FJPG/248621-001_ESS_2.jpg</t>
  </si>
  <si>
    <t>https://dd3ka9h4chfr8.cloudfront.net/image/725136000567/image_8qrctb8d5t6cnconq49295hk4d/-S150x150-FJPG/248644-001_PRM_1.jpg</t>
  </si>
  <si>
    <t>https://dd3ka9h4chfr8.cloudfront.net/image/725136000567/image_8qrctb8d5t6cnconq49295hk4d/-FJPG/248644-001_PRM_1.jpg</t>
  </si>
  <si>
    <t>https://dd3ka9h4chfr8.cloudfront.net/image/725136000567/image_vi9s4r530t76j2fjic5dfgm143/-FJPG/248644-001_SID_1.jpg</t>
  </si>
  <si>
    <t>https://dd3ka9h4chfr8.cloudfront.net/image/725136000567/image_3dre0apjot071cjncrgredm718/-FJPG/248644-001_ESS.tif</t>
  </si>
  <si>
    <t>https://dd3ka9h4chfr8.cloudfront.net/image/725136000567/image_if1uir8s3p3on3q77f8f0j0s2l/-FJPG/248644-001_DET_2.jpg</t>
  </si>
  <si>
    <t>https://dd3ka9h4chfr8.cloudfront.net/image/725136000567/image_j42au8lu292ulafueajfstpp54/-FJPG/248644-001_BCK_1.jpg</t>
  </si>
  <si>
    <t>https://dd3ka9h4chfr8.cloudfront.net/image/725136000567/image_39c2b4qc6p1ltfomcq9ctdp86g/-FJPG/248644-001_DET_1.jpg</t>
  </si>
  <si>
    <t>https://dd3ka9h4chfr8.cloudfront.net/image/725136000567/image_lv7mdkimoh44ja6nnbumh9p64s/-FJPG/248644-001_DET_3.jpg</t>
  </si>
  <si>
    <t>https://dd3ka9h4chfr8.cloudfront.net/image/725136000567/image_d8gbdr5a4l11r209uosqq3tt28/-FJPG/248644-001_OPN_1.jpg</t>
  </si>
  <si>
    <t>https://dd3ka9h4chfr8.cloudfront.net/image/725136000567/image_l8b5s65gd50dt9qdi6q65pqq3q/-FJPG/248644-001_DET_4.jpg</t>
  </si>
  <si>
    <t>https://dd3ka9h4chfr8.cloudfront.net/image/725136000567/image_1a35vjk8mt7mn8j3k99eqbn161/-FJPG/248644-001_DET_5.jpg</t>
  </si>
  <si>
    <t>https://dd3ka9h4chfr8.cloudfront.net/image/725136000567/image_4ijb5f9ecl4cd4shr7euqk5m45/-FJPG/248644-001_DET_6.jpg</t>
  </si>
  <si>
    <t>https://dd3ka9h4chfr8.cloudfront.net/image/725136000567/image_d6l0rkeobp7i92k1hjse9lfc50/-FJPG/248644-001_DET_7.jpg</t>
  </si>
  <si>
    <t>https://dd3ka9h4chfr8.cloudfront.net/image/725136000567/image_h99fi5dknl0v3fdqkinecju01j/-FJPG/248644-001_DET_8.jpg</t>
  </si>
  <si>
    <t>https://dd3ka9h4chfr8.cloudfront.net/image/725136000567/image_he7k5op0ql0bnd9fqgpaquhp3i/-FJPG/248644-001_DET_9.jpg</t>
  </si>
  <si>
    <t>https://dd3ka9h4chfr8.cloudfront.net/image/725136000567/image_dt0vuf10dd0ddf35pmt0bpjc6j/-FJPG/248644-001_ESS_2.tif</t>
  </si>
  <si>
    <t>Wickham Sleeper Sofa - Alameda Snow</t>
  </si>
  <si>
    <t>https://dd3ka9h4chfr8.cloudfront.net/image/725136000567/image_8uqbmm5n497eh1lbhrdilami0q/-S150x150-FJPG/107197-011_PRM_1.jpg</t>
  </si>
  <si>
    <t>https://dd3ka9h4chfr8.cloudfront.net/image/725136000567/image_8uqbmm5n497eh1lbhrdilami0q/-FJPG/107197-011_PRM_1.jpg</t>
  </si>
  <si>
    <t>https://dd3ka9h4chfr8.cloudfront.net/image/725136000567/image_i1a2c2rcvl58b0tjd0fdii0j34/-FJPG/107197-011_SID_1.jpg</t>
  </si>
  <si>
    <t>https://dd3ka9h4chfr8.cloudfront.net/image/725136000567/image_q8m0eli13p6795edsf1o77jh7h/-FJPG/107197-011_ESS_1.jpg</t>
  </si>
  <si>
    <t>https://dd3ka9h4chfr8.cloudfront.net/image/725136000567/image_ak3dm9fs515fvfe2so934nq141/-FJPG/107197-011_DET_2.jpg</t>
  </si>
  <si>
    <t>https://dd3ka9h4chfr8.cloudfront.net/image/725136000567/image_8q75lputvd2pr8n71s1pq9g467/-FJPG/107197-011_BCK_1.jpg</t>
  </si>
  <si>
    <t>https://dd3ka9h4chfr8.cloudfront.net/image/725136000567/image_vboht3t7el7gv5r3pmpb486o20/-FJPG/107197-011_INF_1.jpg</t>
  </si>
  <si>
    <t>https://dd3ka9h4chfr8.cloudfront.net/image/725136000567/image_mv1fl1ghsh3816hhm04b488d7h/-FJPG/107197-011_DET_1.jpg</t>
  </si>
  <si>
    <t>https://dd3ka9h4chfr8.cloudfront.net/image/725136000567/image_gnijr71mmh3g71f2b016gt2d2u/-FJPG/107197-011_DET_3.jpg</t>
  </si>
  <si>
    <t>https://dd3ka9h4chfr8.cloudfront.net/image/725136000567/image_9pckllagm942jbpatjjqn0do3j/-FJPG/107197-011_OPN_1.jpg</t>
  </si>
  <si>
    <t>https://dd3ka9h4chfr8.cloudfront.net/image/725136000567/image_195t1l42hl3pp0525gnjekp63b/-FJPG/107197-011_DET_4.jpg</t>
  </si>
  <si>
    <t>https://dd3ka9h4chfr8.cloudfront.net/image/725136000567/image_95k103nohp4pt6epu55sf6hf4c/-FJPG/107197-011_DET_5.jpg</t>
  </si>
  <si>
    <t>https://dd3ka9h4chfr8.cloudfront.net/image/725136000567/image_uoarigklh50vt35akl42egei14/-FJPG/107197-011_DET_6.jpg</t>
  </si>
  <si>
    <t>https://dd3ka9h4chfr8.cloudfront.net/image/725136000567/image_22tq5bep0505v94uhhbui8mp74/-FJPG/107197-011_DET_7.jpg</t>
  </si>
  <si>
    <t>https://dd3ka9h4chfr8.cloudfront.net/image/725136000567/image_6pk52vv8g91mj0lu53a6f9he5v/-FJPG/107197-011_DET_9.jpg</t>
  </si>
  <si>
    <t>https://dd3ka9h4chfr8.cloudfront.net/image/725136000567/image_j25ghdss811oh806us6lohii18/-FJPG/107197-011_DET_10.jpg</t>
  </si>
  <si>
    <t>https://dd3ka9h4chfr8.cloudfront.net/image/725136000567/image_q6lmom2vhh0i3301onjqdkt77e/-FJPG/107197-011_OPN_2.jpg</t>
  </si>
  <si>
    <t>https://dd3ka9h4chfr8.cloudfront.net/image/725136000567/image_pl7814pu6h19n9r0ecq2fl8838/-FJPG/107197-011_OPN_3.jpg</t>
  </si>
  <si>
    <t>https://dd3ka9h4chfr8.cloudfront.net/image/725136000567/image_9o58ju54el26b4cuv6vcns5a7s/-S150x150-FJPG/107197-013_PRM_1.jpg</t>
  </si>
  <si>
    <t>https://dd3ka9h4chfr8.cloudfront.net/image/725136000567/image_9o58ju54el26b4cuv6vcns5a7s/-FJPG/107197-013_PRM_1.jpg</t>
  </si>
  <si>
    <t>https://dd3ka9h4chfr8.cloudfront.net/image/725136000567/image_bmosor0m2h69pbv36ber61a46r/-FJPG/107197-013_SID_1.jpg</t>
  </si>
  <si>
    <t>https://dd3ka9h4chfr8.cloudfront.net/image/725136000567/image_p275jq4pdh3s7ce4ppchsiuq1e/-FJPG/UATR-067E-892P_ESS_1.jpg</t>
  </si>
  <si>
    <t>https://dd3ka9h4chfr8.cloudfront.net/image/725136000567/image_aa9p1pio9d2vl0hff1e6gbus2c/-FJPG/107197-013_ESS_1.jpg</t>
  </si>
  <si>
    <t>https://dd3ka9h4chfr8.cloudfront.net/image/725136000567/image_i1f1gnpmql2tv2l6t7llhpe34h/-FJPG/107197-013_DET_2.jpg</t>
  </si>
  <si>
    <t>https://dd3ka9h4chfr8.cloudfront.net/image/725136000567/image_ia4kittup112h8hj7lmgkd6n6t/-FJPG/UATR-067E-892P_DET_2.jpg</t>
  </si>
  <si>
    <t>https://dd3ka9h4chfr8.cloudfront.net/image/725136000567/image_mt2fl3bru937va21ru8rid853i/-FJPG/107197-013_BCK_1.jpg</t>
  </si>
  <si>
    <t>https://dd3ka9h4chfr8.cloudfront.net/image/725136000567/image_k7va978tm1641euhnlbm6hoe4s/-FJPG/107197-013_INF_1.jpg</t>
  </si>
  <si>
    <t>https://dd3ka9h4chfr8.cloudfront.net/image/725136000567/image_ebmbgmmrs51mp98i2a5com2f17/-FJPG/107197-013_DET_1.jpg</t>
  </si>
  <si>
    <t>https://dd3ka9h4chfr8.cloudfront.net/image/725136000567/image_00utthk7ep73h3h516996drq6n/-FJPG/107197-013_DET_3.jpg</t>
  </si>
  <si>
    <t>https://dd3ka9h4chfr8.cloudfront.net/image/725136000567/image_35f2pah3b10gnbch76e90fu30i/-FJPG/107197-013_DET_4.jpg</t>
  </si>
  <si>
    <t>https://dd3ka9h4chfr8.cloudfront.net/image/725136000567/image_4ejsq0fmjp03hasb7pb0pqcv1b/-FJPG/107197-013_DET_5.jpg</t>
  </si>
  <si>
    <t>https://dd3ka9h4chfr8.cloudfront.net/image/725136000567/image_bvfsqpkqup1lvcrdqnneu74k1c/-FJPG/107197-013_DET_6.jpg</t>
  </si>
  <si>
    <t>https://dd3ka9h4chfr8.cloudfront.net/image/725136000567/image_ccjfidnm414h7c9mk9j1pa2d55/-FJPG/107197-013_DET_7.jpg</t>
  </si>
  <si>
    <t>https://dd3ka9h4chfr8.cloudfront.net/image/725136000567/image_vad9ke2re922ffo43m6bv1uc0f/-FJPG/107197-013_DET_9.jpg</t>
  </si>
  <si>
    <t>https://dd3ka9h4chfr8.cloudfront.net/image/725136000567/image_6u5v487lu14ml3uadkl6ml0t3o/-FJPG/107197-013_DET_10.jpg</t>
  </si>
  <si>
    <t>https://dd3ka9h4chfr8.cloudfront.net/image/725136000567/image_4nhd4t8b2955n027kobhj23i5n/-FJPG/107197-013_OPN_2.jpg</t>
  </si>
  <si>
    <t>https://dd3ka9h4chfr8.cloudfront.net/image/725136000567/image_ph7a7pr4vt76d7df66ijpisp34/-FJPG/107197-013_ESS_2.jpg</t>
  </si>
  <si>
    <t>https://dd3ka9h4chfr8.cloudfront.net/image/725136000567/image_2vaal097b1019eng4cok92jl2j/-FJPG/UATR-067E-892P_ESS_2.jpg</t>
  </si>
  <si>
    <t>https://dd3ka9h4chfr8.cloudfront.net/image/725136000567/image_n3g0a7peft3657e7tp1n6kog2v/-FJPG/107197-013_OPN_3.jpg</t>
  </si>
  <si>
    <t>Wickham Sofa - 86.5" - Alameda Snow</t>
  </si>
  <si>
    <t>https://dd3ka9h4chfr8.cloudfront.net/image/725136000567/image_02jtkg043l79p7etuir7ra3336/-S150x150-FJPG/250632-001_PRM_1.jpg</t>
  </si>
  <si>
    <t>https://dd3ka9h4chfr8.cloudfront.net/image/725136000567/image_02jtkg043l79p7etuir7ra3336/-FJPG/250632-001_PRM_1.jpg</t>
  </si>
  <si>
    <t>https://dd3ka9h4chfr8.cloudfront.net/image/725136000567/image_jfb4hsdpf17kbcd84qenc7ea3o/-FJPG/250632-001_SID_1.jpg</t>
  </si>
  <si>
    <t>https://dd3ka9h4chfr8.cloudfront.net/image/725136000567/image_1tmsi45ill7ej6bd8a8dldhu1h/-FJPG/250632-001_ESS.tif</t>
  </si>
  <si>
    <t>https://dd3ka9h4chfr8.cloudfront.net/image/725136000567/image_ubfuema2m1529353itch6v6s3d/-FJPG/250632-001_DET_2.jpg</t>
  </si>
  <si>
    <t>https://dd3ka9h4chfr8.cloudfront.net/image/725136000567/image_j6qfdg2qnd3g32dh5kfp9pra54/-FJPG/250632-001_BCK_1.jpg</t>
  </si>
  <si>
    <t>https://dd3ka9h4chfr8.cloudfront.net/image/725136000567/image_dcadgsrpt929v2lr50to7j8i1i/-FJPG/250632-001_DET_1.jpg</t>
  </si>
  <si>
    <t>https://dd3ka9h4chfr8.cloudfront.net/image/725136000567/image_82ctrnm2ch68h9kceln3tc5v18/-FJPG/250632-001_DET_3.jpg</t>
  </si>
  <si>
    <t>https://dd3ka9h4chfr8.cloudfront.net/image/725136000567/image_086aui62j95333jtcfl51tdn0v/-FJPG/250632-001_TOP.jpg</t>
  </si>
  <si>
    <t>https://dd3ka9h4chfr8.cloudfront.net/image/725136000567/image_jt8pvrm4gp5k72eph4bq2lpb08/-FJPG/250632-001_DET_4.jpg</t>
  </si>
  <si>
    <t>https://dd3ka9h4chfr8.cloudfront.net/image/725136000567/image_fnu0mq7tgd1kfd4qs62f384503/-FJPG/250632-001_DET_9.tif</t>
  </si>
  <si>
    <t>Willem Bed - Omari Natural</t>
  </si>
  <si>
    <t>https://dd3ka9h4chfr8.cloudfront.net/image/725136000567/image_pvuc6olabp5ubbs71acjribu0s/-S150x150-FJPG/235877-003_PRM_1.jpg</t>
  </si>
  <si>
    <t>https://dd3ka9h4chfr8.cloudfront.net/image/725136000567/image_pvuc6olabp5ubbs71acjribu0s/-FJPG/235877-003_PRM_1.jpg</t>
  </si>
  <si>
    <t>https://dd3ka9h4chfr8.cloudfront.net/image/725136000567/image_keplpoofdd1gf6unoojppbrb3i/-FJPG/235877-003_SID_1.jpg</t>
  </si>
  <si>
    <t>https://dd3ka9h4chfr8.cloudfront.net/image/725136000567/image_c7dj9p1dol3lf7gqefge32471f/-FJPG/235877-003_ESS_1.tif</t>
  </si>
  <si>
    <t>https://dd3ka9h4chfr8.cloudfront.net/image/725136000567/image_tg3q5uipq51frblu39jrgubr7r/-FJPG/235877-003_DET_2.jpg</t>
  </si>
  <si>
    <t>https://dd3ka9h4chfr8.cloudfront.net/image/725136000567/image_cpgljusj753sl0jb95piti4j10/-FJPG/235877-003_BCK_1.jpg</t>
  </si>
  <si>
    <t>https://dd3ka9h4chfr8.cloudfront.net/image/725136000567/image_30ipe8j73149f6no34ubbpv061/-FJPG/235877-003_DET_1.jpg</t>
  </si>
  <si>
    <t>https://dd3ka9h4chfr8.cloudfront.net/image/725136000567/image_6j12cs48sl0fn0b4fhsr9sqg4b/-FJPG/235877-003_DET_3.jpg</t>
  </si>
  <si>
    <t>https://dd3ka9h4chfr8.cloudfront.net/image/725136000567/image_qkocsi7q0l4tp2c1mrd92mht47/-FJPG/235877-003_DET_4.jpg</t>
  </si>
  <si>
    <t>https://dd3ka9h4chfr8.cloudfront.net/image/725136000567/image_9h40buo6pd0fbcgdf2409kb22g/-FJPG/235877-003_DET_5.jpg</t>
  </si>
  <si>
    <t>https://dd3ka9h4chfr8.cloudfront.net/image/725136000567/image_rj3idgqck96b7avrr6ibiolh3k/-FJPG/235877-003_DET_6.jpg</t>
  </si>
  <si>
    <t>https://dd3ka9h4chfr8.cloudfront.net/image/725136000567/image_cblhglug7l2hneub2cco42kr6h/-FJPG/235877-003_DET_7.jpg</t>
  </si>
  <si>
    <t>https://dd3ka9h4chfr8.cloudfront.net/image/725136000567/image_in8v2k5ns10odevf1fcqf5c270/-FJPG/235877-003_DET_8.jpg</t>
  </si>
  <si>
    <t>https://dd3ka9h4chfr8.cloudfront.net/image/725136000567/image_t6aelgupk53q75uj08mspjpb0r/-FJPG/235877-003_DET_9.tif</t>
  </si>
  <si>
    <t>https://dd3ka9h4chfr8.cloudfront.net/image/725136000567/image_slunlie1nt2tj9tivs3c7alp58/-S150x150-FJPG/235877-004_PRM_1.jpg</t>
  </si>
  <si>
    <t>https://dd3ka9h4chfr8.cloudfront.net/image/725136000567/image_slunlie1nt2tj9tivs3c7alp58/-FJPG/235877-004_PRM_1.jpg</t>
  </si>
  <si>
    <t>https://dd3ka9h4chfr8.cloudfront.net/image/725136000567/image_3jj74fp94p77l6d7gmmt3m7o3m/-FJPG/235877-004_SID_1.jpg</t>
  </si>
  <si>
    <t>https://dd3ka9h4chfr8.cloudfront.net/image/725136000567/image_a4c1j6nms95c10q4tqdkl1c31t/-FJPG/235877-004_ESS_1.jpg</t>
  </si>
  <si>
    <t>https://dd3ka9h4chfr8.cloudfront.net/image/725136000567/image_9jhkl3ufid71d4v0tlctca2o6j/-FJPG/235877-004_DET_2.jpg</t>
  </si>
  <si>
    <t>https://dd3ka9h4chfr8.cloudfront.net/image/725136000567/image_fk3rhf73il0vd36q3lju9i752b/-FJPG/235877-004_BCK_1.jpg</t>
  </si>
  <si>
    <t>https://dd3ka9h4chfr8.cloudfront.net/image/725136000567/image_lrdqbjnmc97611sutt3tfkak6r/-FJPG/235877-004_DET_1.jpg</t>
  </si>
  <si>
    <t>https://dd3ka9h4chfr8.cloudfront.net/image/725136000567/image_bm13638ts13cvd0lbig6mgr66s/-FJPG/235877-004_DET_3.jpg</t>
  </si>
  <si>
    <t>https://dd3ka9h4chfr8.cloudfront.net/image/725136000567/image_f2i89q2135169en1krqs5q774i/-FJPG/235877-004_DET_4.jpg</t>
  </si>
  <si>
    <t>https://dd3ka9h4chfr8.cloudfront.net/image/725136000567/image_9fo1gmmemd0nj25ehiqe6l244q/-FJPG/235877-004_DET_5.jpg</t>
  </si>
  <si>
    <t>https://dd3ka9h4chfr8.cloudfront.net/image/725136000567/image_9qdb00ve110tleauvtku7hfv6k/-FJPG/235877-004_DET_6.jpg</t>
  </si>
  <si>
    <t>https://dd3ka9h4chfr8.cloudfront.net/image/725136000567/image_d604sc59i94rpeng20plpc9825/-FJPG/235877-004_DET_7.jpg</t>
  </si>
  <si>
    <t>https://dd3ka9h4chfr8.cloudfront.net/image/725136000567/image_ucue316bkl30t71i9n8vilo54s/-FJPG/235877-004_DET_8.jpg</t>
  </si>
  <si>
    <t>Williams Leather Chair - Natural Washed Camel</t>
  </si>
  <si>
    <t>https://dd3ka9h4chfr8.cloudfront.net/image/725136000567/image_prkfij18g57a54bkgq8p3bss14/-S150x150-FJPG/100117-004_PRM_1.jpg</t>
  </si>
  <si>
    <t>https://dd3ka9h4chfr8.cloudfront.net/image/725136000567/image_prkfij18g57a54bkgq8p3bss14/-FJPG/100117-004_PRM_1.jpg</t>
  </si>
  <si>
    <t>https://dd3ka9h4chfr8.cloudfront.net/image/725136000567/image_akpibf1rr16pd8d2gepplkes3q/-FJPG/100117-004_SID_1.jpg</t>
  </si>
  <si>
    <t>https://dd3ka9h4chfr8.cloudfront.net/image/725136000567/image_0ikic39k1p2s999uqdhrrjcd4c/-FJPG/100117-004_DET_2.jpg</t>
  </si>
  <si>
    <t>https://dd3ka9h4chfr8.cloudfront.net/image/725136000567/image_e7rha0shk905167q2lloup9m35/-FJPG/100117-004_BCK_1.jpg</t>
  </si>
  <si>
    <t>https://dd3ka9h4chfr8.cloudfront.net/image/725136000567/image_83tfj1rv255bd2hsjtph40q404/-FJPG/100117-004_DET_1.jpg</t>
  </si>
  <si>
    <t>https://dd3ka9h4chfr8.cloudfront.net/image/725136000567/image_fkv4va2st14dj0ddme9uogf75i/-FJPG/100117-004_DET_3.jpg</t>
  </si>
  <si>
    <t>https://dd3ka9h4chfr8.cloudfront.net/image/725136000567/image_o75b9dgvu51vl0u2oo3ud2fv7t/-FJPG/100117-004_DET_4.jpg</t>
  </si>
  <si>
    <t>https://dd3ka9h4chfr8.cloudfront.net/image/725136000567/image_550g5svr412j32bnjs8g95k00h/-FJPG/100117-004_DET_5.jpg</t>
  </si>
  <si>
    <t>https://dd3ka9h4chfr8.cloudfront.net/image/725136000567/image_csq45tc18h30787prfsgvgef53/-FJPG/100117-004_DET_6.jpg</t>
  </si>
  <si>
    <t>https://dd3ka9h4chfr8.cloudfront.net/image/725136000567/image_b0kbljscpd4cd7qqu3pkhgmc2f/-FJPG/100117-004_DET_7.jpg</t>
  </si>
  <si>
    <t>https://dd3ka9h4chfr8.cloudfront.net/image/725136000567/image_lkb0uq9o9l4ft0f7e4dhao3b6t/-FJPG/100117-004_DET_8.jpg</t>
  </si>
  <si>
    <t>Winchester Coffee Table - Smoked Alder</t>
  </si>
  <si>
    <t>https://dd3ka9h4chfr8.cloudfront.net/image/725136000567/image_u74s77p5e96etejrufn80iq378/-S150x150-FJPG/239081-002_PRM_1.jpg</t>
  </si>
  <si>
    <t>https://dd3ka9h4chfr8.cloudfront.net/image/725136000567/image_u74s77p5e96etejrufn80iq378/-FJPG/239081-002_PRM_1.jpg</t>
  </si>
  <si>
    <t>https://dd3ka9h4chfr8.cloudfront.net/image/725136000567/image_fhcl7s08gp33v0aqr0vcp5or38/-FJPG/239081-002_SID_1.jpg</t>
  </si>
  <si>
    <t>https://dd3ka9h4chfr8.cloudfront.net/image/725136000567/image_nn4fhjahat7f39ri673k0bih5v/-FJPG/239081-002_ESS.tif</t>
  </si>
  <si>
    <t>https://dd3ka9h4chfr8.cloudfront.net/image/725136000567/image_26b6gqgpv143lajhagnka2q722/-FJPG/239081-002_DET_2.jpg</t>
  </si>
  <si>
    <t>https://dd3ka9h4chfr8.cloudfront.net/image/725136000567/image_mnipcsem3h5lt3utbh8ado335n/-FJPG/239081-002_BCK_1.jpg</t>
  </si>
  <si>
    <t>https://dd3ka9h4chfr8.cloudfront.net/image/725136000567/image_6o6hk8dont7v90r7n1tcqte735/-FJPG/239081-002_DET_3.jpg</t>
  </si>
  <si>
    <t>https://dd3ka9h4chfr8.cloudfront.net/image/725136000567/image_dc14cek0lh56v6uiguvg1g0h45/-FJPG/239081-002_TOP_1.jpg</t>
  </si>
  <si>
    <t>https://dd3ka9h4chfr8.cloudfront.net/image/725136000567/image_7b2dneo3bl5cfdo7o6esdsoi3e/-FJPG/239081-002_DET_4.jpg</t>
  </si>
  <si>
    <t>https://dd3ka9h4chfr8.cloudfront.net/image/725136000567/image_6peol75b1538t9te4c54lolo74/-FJPG/239081-002_DET_5.jpg</t>
  </si>
  <si>
    <t>https://dd3ka9h4chfr8.cloudfront.net/image/725136000567/image_bakkn0s9dt2cj2icebbcjlbj3b/-FJPG/239081-002_DET_9.tif</t>
  </si>
  <si>
    <t>Wycliffe Chair - Harben Ivory</t>
  </si>
  <si>
    <t>https://dd3ka9h4chfr8.cloudfront.net/image/725136000567/image_oubur02dul74770b8e6ak3mg3o/-S150x150-FJPG/233821-002_PRM_1.jpg</t>
  </si>
  <si>
    <t>https://dd3ka9h4chfr8.cloudfront.net/image/725136000567/image_oubur02dul74770b8e6ak3mg3o/-FJPG/233821-002_PRM_1.jpg</t>
  </si>
  <si>
    <t>https://dd3ka9h4chfr8.cloudfront.net/image/725136000567/image_dsbb00ka1h6ut0b38m7c0mdt6s/-FJPG/233821-002_SID_1.jpg</t>
  </si>
  <si>
    <t>https://dd3ka9h4chfr8.cloudfront.net/image/725136000567/image_r5ee0hsr7t4fh6ots9i6s8q37r/-FJPG/233821-002_ESS_1.jpg</t>
  </si>
  <si>
    <t>https://dd3ka9h4chfr8.cloudfront.net/image/725136000567/image_r9vu05bcgh41vcof9ff45sic68/-FJPG/233821-002_DET_2.jpg</t>
  </si>
  <si>
    <t>https://dd3ka9h4chfr8.cloudfront.net/image/725136000567/image_df04irb7vt4r11i36k9hl7ru7r/-FJPG/233821-002_BCK_1.jpg</t>
  </si>
  <si>
    <t>https://dd3ka9h4chfr8.cloudfront.net/image/725136000567/image_mhm522bb0h1r59fpknkeju4t7r/-FJPG/233821-002_DET_1.jpg</t>
  </si>
  <si>
    <t>https://dd3ka9h4chfr8.cloudfront.net/image/725136000567/image_0lcibksk6d2gb6dr2e15p1366e/-FJPG/233821-002_DET_3.jpg</t>
  </si>
  <si>
    <t>https://dd3ka9h4chfr8.cloudfront.net/image/725136000567/image_2ecsu4om413avae1lrk9vpml5u/-FJPG/233821-002_DET_4.jpg</t>
  </si>
  <si>
    <t>https://dd3ka9h4chfr8.cloudfront.net/image/725136000567/image_0bcje2a1h911tb9hmggdp48f7t/-FJPG/233821-002_DET_5.jpg</t>
  </si>
  <si>
    <t>https://dd3ka9h4chfr8.cloudfront.net/image/725136000567/image_33j522o9bp3mtbmd15ad3d4r6p/-FJPG/233821-002_DET_6.jpg</t>
  </si>
  <si>
    <t>Wycliffe Chair - Vintage Soft Camel</t>
  </si>
  <si>
    <t>https://dd3ka9h4chfr8.cloudfront.net/image/725136000567/image_ulksjj1hn10u52ud3v6rs4kb10/-S150x150-FJPG/233821-001_PRM_1.jpg</t>
  </si>
  <si>
    <t>https://dd3ka9h4chfr8.cloudfront.net/image/725136000567/image_ulksjj1hn10u52ud3v6rs4kb10/-FJPG/233821-001_PRM_1.jpg</t>
  </si>
  <si>
    <t>https://dd3ka9h4chfr8.cloudfront.net/image/725136000567/image_qig969roop2jv2fk91kna32t56/-FJPG/233821-001_SID_1.jpg</t>
  </si>
  <si>
    <t>https://dd3ka9h4chfr8.cloudfront.net/image/725136000567/image_4hhk5i66r14mb7es5hm90pu31t/-FJPG/233821-001_ESS_1.jpg</t>
  </si>
  <si>
    <t>https://dd3ka9h4chfr8.cloudfront.net/image/725136000567/image_blmm973jf53j99k1h9hruvpd6t/-FJPG/233821-001_DET_2.jpg</t>
  </si>
  <si>
    <t>https://dd3ka9h4chfr8.cloudfront.net/image/725136000567/image_vfrkt2f7ut4oh02ei4274mke5d/-FJPG/233821-001_BCK_1.jpg</t>
  </si>
  <si>
    <t>https://dd3ka9h4chfr8.cloudfront.net/image/725136000567/image_rki6u85bvl411fflqesuvepj7m/-FJPG/233821-001_DET_1.jpg</t>
  </si>
  <si>
    <t>https://dd3ka9h4chfr8.cloudfront.net/image/725136000567/image_3u77jj9hat3v1eco17vrhdvu3p/-FJPG/233821-001_DET_3.jpg</t>
  </si>
  <si>
    <t>https://dd3ka9h4chfr8.cloudfront.net/image/725136000567/image_714grvn8qd2gd9dbgt8o5o9e08/-FJPG/233821-001_DET_4.jpg</t>
  </si>
  <si>
    <t>https://dd3ka9h4chfr8.cloudfront.net/image/725136000567/image_5e75hp28h15hp9dulvivtqh27d/-FJPG/233821-001_DET_5.jpg</t>
  </si>
  <si>
    <t>https://dd3ka9h4chfr8.cloudfront.net/image/725136000567/image_8h6dkmvc651cde7eubeeh37p0k/-FJPG/233821-001_DET_6.jpg</t>
  </si>
  <si>
    <t>Wyeth 3 Drawer Dresser - Dark Carbon</t>
  </si>
  <si>
    <t>https://dd3ka9h4chfr8.cloudfront.net/image/725136000567/image_mdbinqqgep6rv4vk4v1ha89r4k/-S150x150-FJPG/108381-006_PRM_1.jpg</t>
  </si>
  <si>
    <t>https://dd3ka9h4chfr8.cloudfront.net/image/725136000567/image_mdbinqqgep6rv4vk4v1ha89r4k/-FJPG/108381-006_PRM_1.jpg</t>
  </si>
  <si>
    <t>https://dd3ka9h4chfr8.cloudfront.net/image/725136000567/image_h0j3crti457832uc81gln41b11/-FJPG/108381-006_SID_1.jpg</t>
  </si>
  <si>
    <t>https://dd3ka9h4chfr8.cloudfront.net/image/725136000567/image_j7b2meu1154g183iajd45lhn48/-FJPG/108381-006_ESS.tif</t>
  </si>
  <si>
    <t>https://dd3ka9h4chfr8.cloudfront.net/image/725136000567/image_qf52otej514uf98p4smknv1r55/-FJPG/108381-006_DET_2.jpg</t>
  </si>
  <si>
    <t>https://dd3ka9h4chfr8.cloudfront.net/image/725136000567/image_un3ggu09g11mtbou06smma4e54/-FJPG/108381-006_DET_1.jpg</t>
  </si>
  <si>
    <t>https://dd3ka9h4chfr8.cloudfront.net/image/725136000567/image_350tpt2cpd4593r2s2tgdqh60a/-FJPG/108381-006_DET_3.jpg</t>
  </si>
  <si>
    <t>https://dd3ka9h4chfr8.cloudfront.net/image/725136000567/image_hitvf11ctl3mb3usi6r56akd69/-FJPG/108381-006_OPN_1.jpg</t>
  </si>
  <si>
    <t>https://dd3ka9h4chfr8.cloudfront.net/image/725136000567/image_8ffc6rieut4qt4og35a90v4f48/-FJPG/108381-006_DET_4.jpg</t>
  </si>
  <si>
    <t>https://dd3ka9h4chfr8.cloudfront.net/image/725136000567/image_t8a841mi9d17hb4o8ma3upff2q/-FJPG/108381-006_DET_5.jpg</t>
  </si>
  <si>
    <t>https://dd3ka9h4chfr8.cloudfront.net/image/725136000567/image_v3ddjs6mdt2t1085f78ovsp61u/-FJPG/108381-006_DET_6.jpg</t>
  </si>
  <si>
    <t>Wyeth 5 Drawer Dresser - Dark Carbon</t>
  </si>
  <si>
    <t>https://dd3ka9h4chfr8.cloudfront.net/image/725136000567/image_e8g5n6epjl67p6q45l6e1nq04v/-S150x150-FJPG/108382-005_PRM_1.jpg</t>
  </si>
  <si>
    <t>https://dd3ka9h4chfr8.cloudfront.net/image/725136000567/image_e8g5n6epjl67p6q45l6e1nq04v/-FJPG/108382-005_PRM_1.jpg</t>
  </si>
  <si>
    <t>https://dd3ka9h4chfr8.cloudfront.net/image/725136000567/image_g6mc32gi5h0vtf7gdq0v395a1b/-FJPG/108382-005_SID_1.jpg</t>
  </si>
  <si>
    <t>https://dd3ka9h4chfr8.cloudfront.net/image/725136000567/image_lb1bqi01e533p59h89lpin8j44/-FJPG/108382-005_DET_2.jpg</t>
  </si>
  <si>
    <t>https://dd3ka9h4chfr8.cloudfront.net/image/725136000567/image_08o9gq5co15e90iae5ng591f5j/-FJPG/108382-005_DET_1.jpg</t>
  </si>
  <si>
    <t>https://dd3ka9h4chfr8.cloudfront.net/image/725136000567/image_vog5f9rqsh25h0n75tnfp6bt4p/-FJPG/108382-005_DET_3.jpg</t>
  </si>
  <si>
    <t>https://dd3ka9h4chfr8.cloudfront.net/image/725136000567/image_269ic7936123h3nlm96h901m71/-FJPG/108382-005_OPN_1.jpg</t>
  </si>
  <si>
    <t>https://dd3ka9h4chfr8.cloudfront.net/image/725136000567/image_a0ifup4sep7t14gcfbjv737p3d/-FJPG/108382-005_DET_4.jpg</t>
  </si>
  <si>
    <t>https://dd3ka9h4chfr8.cloudfront.net/image/725136000567/image_3j7epgqrft5sj4rqeuqe2u8n1t/-FJPG/108382-005_DET_5.jpg</t>
  </si>
  <si>
    <t>https://dd3ka9h4chfr8.cloudfront.net/image/725136000567/image_va34d9itr546jbbrchmr1osi5h/-FJPG/108382-005_DET_6.jpg</t>
  </si>
  <si>
    <t>https://dd3ka9h4chfr8.cloudfront.net/image/725136000567/image_upvvl3jrrd5hb31t65qbsmjb0c/-FJPG/108382-005_VIG_1.jpg</t>
  </si>
  <si>
    <t>Wyeth 6 Drawer Dresser - Dark Carbon</t>
  </si>
  <si>
    <t>https://dd3ka9h4chfr8.cloudfront.net/image/725136000567/image_f42qljskfp1anfijsk7h1n3d5h/-S150x150-FJPG/108383-005_PRM_1.jpg</t>
  </si>
  <si>
    <t>https://dd3ka9h4chfr8.cloudfront.net/image/725136000567/image_f42qljskfp1anfijsk7h1n3d5h/-FJPG/108383-005_PRM_1.jpg</t>
  </si>
  <si>
    <t>https://dd3ka9h4chfr8.cloudfront.net/image/725136000567/image_2aa9q98lt508f3fta45qg6n30q/-FJPG/108383-005_SID_1.jpg</t>
  </si>
  <si>
    <t>https://dd3ka9h4chfr8.cloudfront.net/image/725136000567/image_sogjfl17qh6cd6nv8vq91r1c60/-FJPG/108383-005_DET_2.jpg</t>
  </si>
  <si>
    <t>https://dd3ka9h4chfr8.cloudfront.net/image/725136000567/image_u4utvtoua150j98is2lfd58v22/-FJPG/108383-005_DET_1.jpg</t>
  </si>
  <si>
    <t>https://dd3ka9h4chfr8.cloudfront.net/image/725136000567/image_g8aj97j09l6b318bjdk3f7ro1d/-FJPG/108383-005_DET_3.jpg</t>
  </si>
  <si>
    <t>https://dd3ka9h4chfr8.cloudfront.net/image/725136000567/image_tik8724dqt4npcr4ih9m4bm31g/-FJPG/108383-005_OPN_1.jpg</t>
  </si>
  <si>
    <t>https://dd3ka9h4chfr8.cloudfront.net/image/725136000567/image_5pslqj0u852sha6hvupje3ci6u/-FJPG/108383-005_DET_4.jpg</t>
  </si>
  <si>
    <t>https://dd3ka9h4chfr8.cloudfront.net/image/725136000567/image_d5fae25hm13s961nr1naisvh7i/-FJPG/108383-005_DET_5.jpg</t>
  </si>
  <si>
    <t>https://dd3ka9h4chfr8.cloudfront.net/image/725136000567/image_ra9ajeqedd5sj3fv83cbiqod16/-FJPG/108383-005_DET_6.jpg</t>
  </si>
  <si>
    <t>https://dd3ka9h4chfr8.cloudfront.net/image/725136000567/image_4r5939ek4h2mr8n8iitns22e1r/-FJPG/108383-005_VIG_1.jpg</t>
  </si>
  <si>
    <t>Wylie Desk - Rustic Grey Veneer</t>
  </si>
  <si>
    <t>https://dd3ka9h4chfr8.cloudfront.net/image/725136000567/image_njv1k0chb10sn7ssoen27dg049/-S150x150-FJPG/241794-001_PRM_1.jpg</t>
  </si>
  <si>
    <t>https://dd3ka9h4chfr8.cloudfront.net/image/725136000567/image_njv1k0chb10sn7ssoen27dg049/-FJPG/241794-001_PRM_1.jpg</t>
  </si>
  <si>
    <t>https://dd3ka9h4chfr8.cloudfront.net/image/725136000567/image_jugp0rv9dl3m1c4jk2juiv4b3v/-FJPG/241794-001_SID_1.jpg</t>
  </si>
  <si>
    <t>https://dd3ka9h4chfr8.cloudfront.net/image/725136000567/image_2luv1btft12g5cjq2i9o61u35l/-FJPG/241794-001_DET_2.jpg</t>
  </si>
  <si>
    <t>https://dd3ka9h4chfr8.cloudfront.net/image/725136000567/image_4fne7u5ndh6d9djdumpe6blr2m/-FJPG/241794-001_BCK_1.jpg</t>
  </si>
  <si>
    <t>https://dd3ka9h4chfr8.cloudfront.net/image/725136000567/image_59pim3546h1off5c9eub0v3i12/-FJPG/241794-001_DET_1.jpg</t>
  </si>
  <si>
    <t>https://dd3ka9h4chfr8.cloudfront.net/image/725136000567/image_hubrddgrm97vj0msmki2kg3064/-FJPG/241794-001_DET_3.jpg</t>
  </si>
  <si>
    <t>https://dd3ka9h4chfr8.cloudfront.net/image/725136000567/image_sv28r67ogl3b12os9f1aclu22p/-FJPG/241794-001_DET_4.jpg</t>
  </si>
  <si>
    <t>https://dd3ka9h4chfr8.cloudfront.net/image/725136000567/image_amfe0b4as113jb1ktgdrh55530/-FJPG/241794-001_DET_5.jpg</t>
  </si>
  <si>
    <t>https://dd3ka9h4chfr8.cloudfront.net/image/725136000567/image_dj9knfvhqd58v69cr6rqif1q53/-FJPG/241794-001_DET_6.jpg</t>
  </si>
  <si>
    <t>https://dd3ka9h4chfr8.cloudfront.net/image/725136000567/image_55s2drni2d16bfklkbuj70l760/-FJPG/241794-001_DET_7.jpg</t>
  </si>
  <si>
    <t>https://dd3ka9h4chfr8.cloudfront.net/image/725136000567/image_101hao22rt6c5frpvo8r8ih10d/-FJPG/241794-001_DET_8.jpg</t>
  </si>
  <si>
    <t>https://dd3ka9h4chfr8.cloudfront.net/image/725136000567/image_ri8sjgmbrt54lf7s8rrcdol30u/-FJPG/241794-001_DET_9.jpg</t>
  </si>
  <si>
    <t>https://dd3ka9h4chfr8.cloudfront.net/image/725136000567/image_a2lhgrh2id5ud0072mmmms5811/-FJPG/241794-001_DET_10.jpg</t>
  </si>
  <si>
    <t>https://dd3ka9h4chfr8.cloudfront.net/image/725136000567/image_k4iccf30ml18dak21hml9q511s/-FJPG/FHMPRJ-010_SCENE-08.tif</t>
  </si>
  <si>
    <t>Xavier Chair - Antwerp Bone</t>
  </si>
  <si>
    <t>https://dd3ka9h4chfr8.cloudfront.net/image/725136000567/image_p66lul7g59185655oj1elvek5p/-S150x150-FJPG/229360-007_PRM_1.jpg</t>
  </si>
  <si>
    <t>https://dd3ka9h4chfr8.cloudfront.net/image/725136000567/image_p66lul7g59185655oj1elvek5p/-FJPG/229360-007_PRM_1.jpg</t>
  </si>
  <si>
    <t>https://dd3ka9h4chfr8.cloudfront.net/image/725136000567/image_abr53mls9d579dj1k5vq502668/-FJPG/229360-007_SID_1.jpg</t>
  </si>
  <si>
    <t>https://dd3ka9h4chfr8.cloudfront.net/image/725136000567/image_dmefi53ht50kv9a8jhjru54k5s/-FJPG/229360-007_ESS.tif</t>
  </si>
  <si>
    <t>https://dd3ka9h4chfr8.cloudfront.net/image/725136000567/image_rc62prbi1164p9uu3ah6f6il5o/-FJPG/229360-007_ESS.tif</t>
  </si>
  <si>
    <t>https://dd3ka9h4chfr8.cloudfront.net/image/725136000567/image_ahu6n97i296u34r68et3bjbr51/-FJPG/229360-007_DET_2.jpg</t>
  </si>
  <si>
    <t>https://dd3ka9h4chfr8.cloudfront.net/image/725136000567/image_mo1l8bo1qt0fp5a4sfocmh4875/-FJPG/229360-007_BCK_1.jpg</t>
  </si>
  <si>
    <t>https://dd3ka9h4chfr8.cloudfront.net/image/725136000567/image_n8t8uimjt56hdf51toj5iigh3t/-FJPG/229360-007_DET_1.jpg</t>
  </si>
  <si>
    <t>https://dd3ka9h4chfr8.cloudfront.net/image/725136000567/image_fbk02lvq350u135bvgblcfb04r/-FJPG/229360-007_DET_3.jpg</t>
  </si>
  <si>
    <t>https://dd3ka9h4chfr8.cloudfront.net/image/725136000567/image_7tkcb9erml68vd8d8cnotlq67j/-FJPG/229360-007_DET_4.jpg</t>
  </si>
  <si>
    <t>https://dd3ka9h4chfr8.cloudfront.net/image/725136000567/image_a5jgit7vfd12peu0e6j7egsm2v/-FJPG/229360-007_DET_5.jpg</t>
  </si>
  <si>
    <t>https://dd3ka9h4chfr8.cloudfront.net/image/725136000567/image_bka24298293u1928b0iesqg45a/-FJPG/229360-007_DET_6.jpg</t>
  </si>
  <si>
    <t>https://dd3ka9h4chfr8.cloudfront.net/image/725136000567/image_kfc5ab5dst5mvct66h7h9e7m1q/-FJPG/229360-007_DET_7.jpg</t>
  </si>
  <si>
    <t>https://dd3ka9h4chfr8.cloudfront.net/image/725136000567/image_tf6gu230i10717hfhto5098622/-FJPG/229360-007_DET_9.tif</t>
  </si>
  <si>
    <t>Xavier Chair - Carson Black</t>
  </si>
  <si>
    <t>https://dd3ka9h4chfr8.cloudfront.net/image/725136000567/image_3km1je72ut1n33c33m2k3rtr4f/-S150x150-FJPG/229360-003_PRM_1.jpg</t>
  </si>
  <si>
    <t>https://dd3ka9h4chfr8.cloudfront.net/image/725136000567/image_3km1je72ut1n33c33m2k3rtr4f/-FJPG/229360-003_PRM_1.jpg</t>
  </si>
  <si>
    <t>https://dd3ka9h4chfr8.cloudfront.net/image/725136000567/image_3euk4puk8d6ml1akesmqcd5n28/-FJPG/229360-003_SID_1.jpg</t>
  </si>
  <si>
    <t>https://dd3ka9h4chfr8.cloudfront.net/image/725136000567/image_iv8p5pooa91v532o70fte2vr0h/-FJPG/229360-003_ESS_1.jpg</t>
  </si>
  <si>
    <t>https://dd3ka9h4chfr8.cloudfront.net/image/725136000567/image_iluc6vv2j91r7bgp9n6ttgfo0q/-FJPG/229360-003_DET_2.jpg</t>
  </si>
  <si>
    <t>https://dd3ka9h4chfr8.cloudfront.net/image/725136000567/image_pkc0b3s9ep5r3ergrhi0pklo06/-FJPG/229360-003_BCK_1.jpg</t>
  </si>
  <si>
    <t>https://dd3ka9h4chfr8.cloudfront.net/image/725136000567/image_71dk4th5st6f38jba9i4f8mb1a/-FJPG/229360-003_DET_1.jpg</t>
  </si>
  <si>
    <t>https://dd3ka9h4chfr8.cloudfront.net/image/725136000567/image_g59bl8b1v15nj56tiag0i23k4o/-FJPG/229360-003_DET_3.jpg</t>
  </si>
  <si>
    <t>https://dd3ka9h4chfr8.cloudfront.net/image/725136000567/image_r6c8520rih30v9gtubthd8g13i/-FJPG/229360-003_DET_4.jpg</t>
  </si>
  <si>
    <t>https://dd3ka9h4chfr8.cloudfront.net/image/725136000567/image_vv4912gmqd6thfpsk4u3a3h97h/-FJPG/229360-003_DET_5.jpg</t>
  </si>
  <si>
    <t>https://dd3ka9h4chfr8.cloudfront.net/image/725136000567/image_883k0dglb139b0epv3lsa8mf53/-FJPG/229360-003_DET_6.jpg</t>
  </si>
  <si>
    <t>https://dd3ka9h4chfr8.cloudfront.net/image/725136000567/image_sq10e8vfrt3s777vhe96m8nh12/-FJPG/229360-003_DET_7.jpg</t>
  </si>
  <si>
    <t>Xavier Chair - Hasselt Taupe</t>
  </si>
  <si>
    <t>https://dd3ka9h4chfr8.cloudfront.net/image/725136000567/image_5otoesaur12590fi0iesr62462/-S150x150-FJPG/229360-002_PRM_1.jpg</t>
  </si>
  <si>
    <t>https://dd3ka9h4chfr8.cloudfront.net/image/725136000567/image_5otoesaur12590fi0iesr62462/-FJPG/229360-002_PRM_1.jpg</t>
  </si>
  <si>
    <t>https://dd3ka9h4chfr8.cloudfront.net/image/725136000567/image_hncjllhm312bl6udj0v37uqs3m/-FJPG/229360-002_SID_1.jpg</t>
  </si>
  <si>
    <t>https://dd3ka9h4chfr8.cloudfront.net/image/725136000567/image_op8q4h896h7m96vhsmte9vvv59/-FJPG/229360-002_ESS_1.jpg</t>
  </si>
  <si>
    <t>https://dd3ka9h4chfr8.cloudfront.net/image/725136000567/image_ba8r50e9ut1dh0hi1vklv5ll3m/-FJPG/229360-002_DET_2.jpg</t>
  </si>
  <si>
    <t>https://dd3ka9h4chfr8.cloudfront.net/image/725136000567/image_s7f3trfhh15nfa6olerujs827g/-FJPG/229360-002_BCK_1.jpg</t>
  </si>
  <si>
    <t>https://dd3ka9h4chfr8.cloudfront.net/image/725136000567/image_nt22bm3fop593eajr95l1ift3h/-FJPG/229360-002_DET_1.jpg</t>
  </si>
  <si>
    <t>https://dd3ka9h4chfr8.cloudfront.net/image/725136000567/image_ksappo5t6t09n4b2b6rq1d7404/-FJPG/229360-002_DET_3.jpg</t>
  </si>
  <si>
    <t>https://dd3ka9h4chfr8.cloudfront.net/image/725136000567/image_n7dhe9vsul2shb82d2312bnb59/-FJPG/229360-002_DET_4.jpg</t>
  </si>
  <si>
    <t>https://dd3ka9h4chfr8.cloudfront.net/image/725136000567/image_75uu5v5vt91svcn3gpgo5j3o1m/-FJPG/229360-002_DET_5.jpg</t>
  </si>
  <si>
    <t>https://dd3ka9h4chfr8.cloudfront.net/image/725136000567/image_cch4fknjhp6ft64oj329rfje3a/-FJPG/229360-002_DET_6.jpg</t>
  </si>
  <si>
    <t>https://dd3ka9h4chfr8.cloudfront.net/image/725136000567/image_sege39g2f94vb5jh2mo9m53t0i/-FJPG/229360-002_DET_7.jpg</t>
  </si>
  <si>
    <t>Yann Sofa-96" - Palermo Drift</t>
  </si>
  <si>
    <t>https://dd3ka9h4chfr8.cloudfront.net/image/725136000567/image_5f9e45rusd4vl1bgcbqpvnav0t/-S150x150-FJPG/242971-001_PRM_1.jpg</t>
  </si>
  <si>
    <t>https://dd3ka9h4chfr8.cloudfront.net/image/725136000567/image_5f9e45rusd4vl1bgcbqpvnav0t/-FJPG/242971-001_PRM_1.jpg</t>
  </si>
  <si>
    <t>https://dd3ka9h4chfr8.cloudfront.net/image/725136000567/image_2a639190bd5ctaanpjjtpeos0c/-FJPG/242971-001_SID_1.jpg</t>
  </si>
  <si>
    <t>https://dd3ka9h4chfr8.cloudfront.net/image/725136000567/image_ul62i8vomp6pdeq5kqqqputd59/-FJPG/242971-001_ESS.tif</t>
  </si>
  <si>
    <t>https://dd3ka9h4chfr8.cloudfront.net/image/725136000567/image_5flbnh9hp96of7bfgjp6bqhs0d/-FJPG/242971-001_DET_2.jpg</t>
  </si>
  <si>
    <t>https://dd3ka9h4chfr8.cloudfront.net/image/725136000567/image_gf9rivcm3h20fc2ltdvnbdjf5m/-FJPG/242971-001_BCK_1.jpg</t>
  </si>
  <si>
    <t>https://dd3ka9h4chfr8.cloudfront.net/image/725136000567/image_fm8h2fjv413st3fdugm4lo9c5l/-FJPG/242971-001_DET_1.jpg</t>
  </si>
  <si>
    <t>https://dd3ka9h4chfr8.cloudfront.net/image/725136000567/image_ia88j5s75t691e36t8btpk5a3m/-FJPG/242971-001_DET_3.jpg</t>
  </si>
  <si>
    <t>https://dd3ka9h4chfr8.cloudfront.net/image/725136000567/image_pjjp7g29l54u51o3uf0be97n3l/-FJPG/242971-001_DET_4.jpg</t>
  </si>
  <si>
    <t>https://dd3ka9h4chfr8.cloudfront.net/image/725136000567/image_jm3st7fjql5epdvcb7gk80q970/-FJPG/242971-001_DET_5.jpg</t>
  </si>
  <si>
    <t>https://dd3ka9h4chfr8.cloudfront.net/image/725136000567/image_j95so7astd2kdc0ov83qspa421/-FJPG/242971-001_DET_6.jpg</t>
  </si>
  <si>
    <t>https://dd3ka9h4chfr8.cloudfront.net/image/725136000567/image_isfioe445h1339i30bgg9o3a33/-FJPG/242971-001_DET_7.jpg</t>
  </si>
  <si>
    <t>https://dd3ka9h4chfr8.cloudfront.net/image/725136000567/image_9nbaoqg09d55f7vd6vfmg2na5a/-FJPG/242971-001_DET_8.jpg</t>
  </si>
  <si>
    <t>Yarra Console Table - Grey Oak Veneer</t>
  </si>
  <si>
    <t>https://dd3ka9h4chfr8.cloudfront.net/image/725136000567/image_pc0lptr8ol04pd1a89f3td896f/-S150x150-FJPG/240090-001_PRM_1.jpg</t>
  </si>
  <si>
    <t>https://dd3ka9h4chfr8.cloudfront.net/image/725136000567/image_pc0lptr8ol04pd1a89f3td896f/-FJPG/240090-001_PRM_1.jpg</t>
  </si>
  <si>
    <t>https://dd3ka9h4chfr8.cloudfront.net/image/725136000567/image_veu0nddk354g1ak9t2fq61ps0s/-FJPG/240090-001_SID_1.jpg</t>
  </si>
  <si>
    <t>https://dd3ka9h4chfr8.cloudfront.net/image/725136000567/image_ognofgp39l58b99mc01erpfp12/-FJPG/240090-001_ESS.tif</t>
  </si>
  <si>
    <t>https://dd3ka9h4chfr8.cloudfront.net/image/725136000567/image_rdgu0d30e16d59klm7lia08r63/-FJPG/240090-001_DET_2.jpg</t>
  </si>
  <si>
    <t>https://dd3ka9h4chfr8.cloudfront.net/image/725136000567/image_elspn7tgth27r00etu7hjkdq7q/-FJPG/240090-001_DET_1.jpg</t>
  </si>
  <si>
    <t>https://dd3ka9h4chfr8.cloudfront.net/image/725136000567/image_gl24b7iqe1639fb4hkilmlsj5t/-FJPG/240090-001_DET_3.jpg</t>
  </si>
  <si>
    <t>https://dd3ka9h4chfr8.cloudfront.net/image/725136000567/image_p80a5um0n92h9fp24e1fg1vq22/-FJPG/240090-001_DET_4.jpg</t>
  </si>
  <si>
    <t>https://dd3ka9h4chfr8.cloudfront.net/image/725136000567/image_7jqrpt9fl55t50ul84d8hkk140/-FJPG/240090-001_DET_5.jpg</t>
  </si>
  <si>
    <t>Yoko Nesting Tables - Clear Cast Glass</t>
  </si>
  <si>
    <t>Cast Glass</t>
  </si>
  <si>
    <t>https://dd3ka9h4chfr8.cloudfront.net/image/725136000567/image_m1pm65ebqp3c53j2thuu09e23h/-S150x150-FJPG/241299-004_PRM_1.jpg</t>
  </si>
  <si>
    <t>https://dd3ka9h4chfr8.cloudfront.net/image/725136000567/image_m1pm65ebqp3c53j2thuu09e23h/-FJPG/241299-004_PRM_1.jpg</t>
  </si>
  <si>
    <t>Zach End Table - Burnished Parawood</t>
  </si>
  <si>
    <t>Parawood Veneer</t>
  </si>
  <si>
    <t>https://dd3ka9h4chfr8.cloudfront.net/image/725136000567/image_corfk94i8p53912qiut1anuu0f/-S150x150-FJPG/226636-007_PRM_1.jpg</t>
  </si>
  <si>
    <t>https://dd3ka9h4chfr8.cloudfront.net/image/725136000567/image_corfk94i8p53912qiut1anuu0f/-FJPG/226636-007_PRM_1.jpg</t>
  </si>
  <si>
    <t>https://dd3ka9h4chfr8.cloudfront.net/image/725136000567/image_2p38f5mvmp5jh98dd2a735q813/-FJPG/226636-007_ESS_1.jpg</t>
  </si>
  <si>
    <t>https://dd3ka9h4chfr8.cloudfront.net/image/725136000567/image_ek6jirgiqh6c15gana2tf4pr7m/-FJPG/226636-007_DET_2.jpg</t>
  </si>
  <si>
    <t>https://dd3ka9h4chfr8.cloudfront.net/image/725136000567/image_vgsto2bv8h3tf699j3653t726j/-FJPG/226636-007_DET_1.jpg</t>
  </si>
  <si>
    <t>https://dd3ka9h4chfr8.cloudfront.net/image/725136000567/image_m65m2kue910q3058pfq0s9v679/-FJPG/226636-007_DET_3.jpg</t>
  </si>
  <si>
    <t>https://dd3ka9h4chfr8.cloudfront.net/image/725136000567/image_nbm9i3ppdt4mva8jeposbcpr5t/-FJPG/226636-007_DET_4.jpg</t>
  </si>
  <si>
    <t>https://dd3ka9h4chfr8.cloudfront.net/image/725136000567/image_ti73jlv85t1onb8p546s3c7j4k/-FJPG/226636-007_DET_5.jpg</t>
  </si>
  <si>
    <t>https://dd3ka9h4chfr8.cloudfront.net/image/725136000567/image_qmnpfr9ffp3g52o3cjituu485u/-FJPG/226636-007_ROM_1.jpg</t>
  </si>
  <si>
    <t>Zach End Table - Tofu Solid</t>
  </si>
  <si>
    <t>https://dd3ka9h4chfr8.cloudfront.net/image/725136000567/image_if8v0d5uh11mb2ohsn2p2r3660/-S150x150-FJPG/226636-005_PRM_1.jpg</t>
  </si>
  <si>
    <t>https://dd3ka9h4chfr8.cloudfront.net/image/725136000567/image_hbm3i526614ij2otd1ocjc8924/-FJPG/226636-005_ESS_1.jpg</t>
  </si>
  <si>
    <t>https://dd3ka9h4chfr8.cloudfront.net/image/725136000567/image_doscbhp5e12fdahjqb2ojgog15/-FJPG/226636-005_DET_2.jpg</t>
  </si>
  <si>
    <t>https://dd3ka9h4chfr8.cloudfront.net/image/725136000567/image_8bdbrjeq4h2l10luc0fdvo047k/-FJPG/226636-005_DET_1.jpg</t>
  </si>
  <si>
    <t>https://dd3ka9h4chfr8.cloudfront.net/image/725136000567/image_plo08t3smt36v0bb7almd7ea2a/-FJPG/226636-005_DET_3.jpg</t>
  </si>
  <si>
    <t>https://dd3ka9h4chfr8.cloudfront.net/image/725136000567/image_0g6muec91l6pr538hhqcpdo758/-FJPG/226636-005_DET_4.jpg</t>
  </si>
  <si>
    <t>Zena Ottoman - Altair Sienna</t>
  </si>
  <si>
    <t>https://dd3ka9h4chfr8.cloudfront.net/image/725136000567/image_bok5s6nqjp6dtb4v32cst2g45q/-S150x150-FJPG/241633-007_PRM_1.jpg</t>
  </si>
  <si>
    <t>https://dd3ka9h4chfr8.cloudfront.net/image/725136000567/image_bok5s6nqjp6dtb4v32cst2g45q/-FJPG/241633-007_PRM_1.jpg</t>
  </si>
  <si>
    <t>https://dd3ka9h4chfr8.cloudfront.net/image/725136000567/image_t34kpvas8d3n36je9t30nucn7h/-FJPG/241633-007_SID_1.jpg</t>
  </si>
  <si>
    <t>https://dd3ka9h4chfr8.cloudfront.net/image/725136000567/image_ecj6jldp5h0qdco79to3urif4a/-FJPG/241633-007_DET_2.jpg</t>
  </si>
  <si>
    <t>https://dd3ka9h4chfr8.cloudfront.net/image/725136000567/image_871oerupu91jh27g28o8nhih6p/-FJPG/241633-007_DET_1.jpg</t>
  </si>
  <si>
    <t>https://dd3ka9h4chfr8.cloudfront.net/image/725136000567/image_f7cf5sub0p7hl6icjupsemio7l/-FJPG/241633-007_DET_3.jpg</t>
  </si>
  <si>
    <t>https://dd3ka9h4chfr8.cloudfront.net/image/725136000567/image_dqp8otlqv52295srbl734q7d4a/-FJPG/241633-007_DET_4.jpg</t>
  </si>
  <si>
    <t>Zion Nesting Coffee Table Set - Cream Marble</t>
  </si>
  <si>
    <t>https://dd3ka9h4chfr8.cloudfront.net/image/725136000567/image_44bsr8h4l965hagg1qh0u2ee54/-S150x150-FJPG/238223-003_PRM_1.jpg</t>
  </si>
  <si>
    <t>https://dd3ka9h4chfr8.cloudfront.net/image/725136000567/image_omoif19m9l3in5p3jed9r0q23q/-FJPG/238223-003_SID_1.jpg</t>
  </si>
  <si>
    <t>https://dd3ka9h4chfr8.cloudfront.net/image/725136000567/image_ti9623mkdt49lc81amv110j83f/-FJPG/238223-003_ESS.tif</t>
  </si>
  <si>
    <t>https://dd3ka9h4chfr8.cloudfront.net/image/725136000567/image_ug298et36h1adf3msirtuonh27/-FJPG/238223-003_DET_2.jpg</t>
  </si>
  <si>
    <t>https://dd3ka9h4chfr8.cloudfront.net/image/725136000567/image_305qvilfvl1pvbfk8cdcar743l/-FJPG/238223-003_DET_1.jpg</t>
  </si>
  <si>
    <t>https://dd3ka9h4chfr8.cloudfront.net/image/725136000567/image_33s2upvtlh7nd55b51flod4q7s/-FJPG/238223-003_DET_3.jpg</t>
  </si>
  <si>
    <t>https://dd3ka9h4chfr8.cloudfront.net/image/725136000567/image_qep5d32ugl299drdv20piuao23/-FJPG/238223-003_DET_4.jpg</t>
  </si>
  <si>
    <t>https://dd3ka9h4chfr8.cloudfront.net/image/725136000567/image_4d7c9579n144v8nq3c9mpl1b0o/-FJPG/238223-003_DET_5.jpg</t>
  </si>
  <si>
    <t>https://dd3ka9h4chfr8.cloudfront.net/image/725136000567/image_hl065mm2id7a3c7b44jeppod3m/-FJPG/238223-003_DET_6.jpg</t>
  </si>
  <si>
    <t>https://dd3ka9h4chfr8.cloudfront.net/image/725136000567/image_oe3tgqfq5p1gvdlnu69lv80q1o/-FJPG/238223-003_DET_7.jpg</t>
  </si>
  <si>
    <t>https://dd3ka9h4chfr8.cloudfront.net/image/725136000567/image_9irapd71v16qtfr03j9odhra46/-FJPG/238223-003_DET_9.tif</t>
  </si>
  <si>
    <t>https://dd3ka9h4chfr8.cloudfront.net/image/725136000567/image_04qb3kgbch2r1enr1bhngagc4v/-FJPG/238223-003_DET_10.tif</t>
  </si>
  <si>
    <t>https://dd3ka9h4chfr8.cloudfront.net/image/725136000567/image_dle8uf4uk53t92drmigrpt015e/-FJPG/238223-003_DET_11.tif</t>
  </si>
  <si>
    <t>Zion Nesting Coffee Table Set - Merlot Marble</t>
  </si>
  <si>
    <t>https://dd3ka9h4chfr8.cloudfront.net/image/725136000567/image_i8ba11c6ad3qjbv79l917pde35/-S150x150-FJPG/238223-001_PRM_1.jpg</t>
  </si>
  <si>
    <t>https://dd3ka9h4chfr8.cloudfront.net/image/725136000567/image_i8ba11c6ad3qjbv79l917pde35/-FJPG/238223-001_PRM_1.jpg</t>
  </si>
  <si>
    <t>https://dd3ka9h4chfr8.cloudfront.net/image/725136000567/image_kgckhns1l565p0lhqsf5mlan3c/-FJPG/238223-001_SID_1.jpg</t>
  </si>
  <si>
    <t>https://dd3ka9h4chfr8.cloudfront.net/image/725136000567/image_dnqfguvsv9169btomqgd75t079/-FJPG/238223-001_ESS.tif</t>
  </si>
  <si>
    <t>https://dd3ka9h4chfr8.cloudfront.net/image/725136000567/image_ov54m6sn1h4r98kjddalkdkt4n/-FJPG/238223-001_DET_2.jpg</t>
  </si>
  <si>
    <t>https://dd3ka9h4chfr8.cloudfront.net/image/725136000567/image_61ntecg1kd32n72opopl4k2u46/-FJPG/238223-001_BCK_1.jpg</t>
  </si>
  <si>
    <t>https://dd3ka9h4chfr8.cloudfront.net/image/725136000567/image_ophgjg1n7h1oj0irduthspl54p/-FJPG/238223-001_DET_1.jpg</t>
  </si>
  <si>
    <t>https://dd3ka9h4chfr8.cloudfront.net/image/725136000567/image_8gt70pi7h15qbedod06slrd135/-FJPG/238223-001_DET_3.jpg</t>
  </si>
  <si>
    <t>https://dd3ka9h4chfr8.cloudfront.net/image/725136000567/image_kuf4saos713nv2f8g7p5p7614n/-FJPG/238223-001_TOP_1.jpg</t>
  </si>
  <si>
    <t>https://dd3ka9h4chfr8.cloudfront.net/image/725136000567/image_cutd661pl102367q4t6aofg97p/-FJPG/238223-001_DET_4.jpg</t>
  </si>
  <si>
    <t>https://dd3ka9h4chfr8.cloudfront.net/image/725136000567/image_rdfoib4u957j31b719g90dso2u/-FJPG/238223-001_DET_5.jpg</t>
  </si>
  <si>
    <t>https://dd3ka9h4chfr8.cloudfront.net/image/725136000567/image_8d7psko2914hn4r76f6oi9de0j/-FJPG/238223-001_DET_9.tif</t>
  </si>
  <si>
    <t>https://dd3ka9h4chfr8.cloudfront.net/image/725136000567/image_4e86sqj8t563n3mp30td7kji16/-FJPG/238223-001_PRM_2.jpg</t>
  </si>
  <si>
    <t>Zion Nesting Coffee Table Set - Natural Oak</t>
  </si>
  <si>
    <t>https://dd3ka9h4chfr8.cloudfront.net/image/725136000567/image_enurvk673t5c58eoemq3bk2i3l/-S150x150-FJPG/238223-004_PRM_1.jpg</t>
  </si>
  <si>
    <t>https://dd3ka9h4chfr8.cloudfront.net/image/725136000567/image_enurvk673t5c58eoemq3bk2i3l/-FJPG/238223-004_PRM_1.jpg</t>
  </si>
  <si>
    <t>https://dd3ka9h4chfr8.cloudfront.net/image/725136000567/image_hgefhnq5el3s170ndgu5ujat32/-FJPG/239699-005_SID_1.jpg</t>
  </si>
  <si>
    <t>https://dd3ka9h4chfr8.cloudfront.net/image/725136000567/image_p81mbumu850hfe3ks7c581an4a/-FJPG/238223-004_ESS.tif</t>
  </si>
  <si>
    <t>https://dd3ka9h4chfr8.cloudfront.net/image/725136000567/image_vml04tulhp7jpd8dh8pfnrj946/-FJPG/239699-005_DET_2.jpg</t>
  </si>
  <si>
    <t>https://dd3ka9h4chfr8.cloudfront.net/image/725136000567/image_6okrjrv1914k9egf3d18pmc26a/-FJPG/239699-005_DET_1.jpg</t>
  </si>
  <si>
    <t>https://dd3ka9h4chfr8.cloudfront.net/image/725136000567/image_ve7dbkgd113fndeiektv8pqq51/-FJPG/239699-005_DET_3.jpg</t>
  </si>
  <si>
    <t>https://dd3ka9h4chfr8.cloudfront.net/image/725136000567/image_9leji439n15tt4rfah427ttm46/-FJPG/239699-005_TOP_1.jpg</t>
  </si>
  <si>
    <t>https://dd3ka9h4chfr8.cloudfront.net/image/725136000567/image_geptvhhn291vv2t6vdp26oa175/-FJPG/239699-005_DET_4.jpg</t>
  </si>
  <si>
    <t>https://dd3ka9h4chfr8.cloudfront.net/image/725136000567/image_sftotnahn50f7dr5n9jniqu20q/-FJPG/238223-004_DET_9.tif</t>
  </si>
  <si>
    <t>Zuma 6 Drawer Dresser - Dune Ash Veneer</t>
  </si>
  <si>
    <t>https://dd3ka9h4chfr8.cloudfront.net/image/725136000567/image_ueo37l72m1177euveodd4j013q/-S150x150-FJPG/228896-001_PRM_1.jpg</t>
  </si>
  <si>
    <t>https://dd3ka9h4chfr8.cloudfront.net/image/725136000567/image_ueo37l72m1177euveodd4j013q/-FJPG/228896-001_PRM_1.jpg</t>
  </si>
  <si>
    <t>https://dd3ka9h4chfr8.cloudfront.net/image/725136000567/image_7osqscp92t7b5942lsu091r56o/-FJPG/228896-001_SID_1.jpg</t>
  </si>
  <si>
    <t>https://dd3ka9h4chfr8.cloudfront.net/image/725136000567/image_0fl5v8oefl17hfo8bacr9umh2k/-FJPG/228896-001_ESS_1.jpg</t>
  </si>
  <si>
    <t>https://dd3ka9h4chfr8.cloudfront.net/image/725136000567/image_e2dkpbon053hlet55c0ipveh5h/-FJPG/228896-001_DET_2.jpg</t>
  </si>
  <si>
    <t>https://dd3ka9h4chfr8.cloudfront.net/image/725136000567/image_u3ehfjh13l331eo6oh80f6633d/-FJPG/228896-001_BCK_1.jpg</t>
  </si>
  <si>
    <t>https://dd3ka9h4chfr8.cloudfront.net/image/725136000567/image_1eivsa7f7h13lepn2ccf8hg74j/-FJPG/228896-001_DET_1.jpg</t>
  </si>
  <si>
    <t>https://dd3ka9h4chfr8.cloudfront.net/image/725136000567/image_h2bkjoh5i96dhd22fn1ffot61p/-FJPG/228896-001_DET_3.jpg</t>
  </si>
  <si>
    <t>https://dd3ka9h4chfr8.cloudfront.net/image/725136000567/image_hh001linq12g94ltr62si6lo3q/-FJPG/228896-001_OPN_1.jpg</t>
  </si>
  <si>
    <t>https://dd3ka9h4chfr8.cloudfront.net/image/725136000567/image_mc91k9j1m909v5i3br7jd7gd5t/-FJPG/228896-001_DET_4.jpg</t>
  </si>
  <si>
    <t>https://dd3ka9h4chfr8.cloudfront.net/image/725136000567/image_s2u28pb9lt7ntftn5cmmvtnm32/-FJPG/228896-001_DET_5.jpg</t>
  </si>
  <si>
    <t>Zuma Coffee Table - Dune Ash Veneer</t>
  </si>
  <si>
    <t>https://dd3ka9h4chfr8.cloudfront.net/image/725136000567/image_gu9oo0to2p3mj5q6dfu85tcr4p/-S150x150-FJPG/228770-001_PRM_1.jpg</t>
  </si>
  <si>
    <t>https://dd3ka9h4chfr8.cloudfront.net/image/725136000567/image_gu9oo0to2p3mj5q6dfu85tcr4p/-FJPG/228770-001_PRM_1.jpg</t>
  </si>
  <si>
    <t>https://dd3ka9h4chfr8.cloudfront.net/image/725136000567/image_1o6nr8mjr90tve4ucvtb4vre3t/-FJPG/228770-001_SID_1.jpg</t>
  </si>
  <si>
    <t>https://dd3ka9h4chfr8.cloudfront.net/image/725136000567/image_dn2e23b00h07rdni1g9gue2a68/-FJPG/228770-001_DET_2.jpg</t>
  </si>
  <si>
    <t>https://dd3ka9h4chfr8.cloudfront.net/image/725136000567/image_1qs9g047g50drea05o3a1u185f/-FJPG/228770-001_BCK_1.jpg</t>
  </si>
  <si>
    <t>https://dd3ka9h4chfr8.cloudfront.net/image/725136000567/image_omsn4dg2g143v2aj21btmgdm48/-FJPG/228770-001_DET_1.jpg</t>
  </si>
  <si>
    <t>https://dd3ka9h4chfr8.cloudfront.net/image/725136000567/image_0cttme7h6147bf1f5aq83lgo2t/-FJPG/228770-001_DET_3.jpg</t>
  </si>
  <si>
    <t>https://dd3ka9h4chfr8.cloudfront.net/image/725136000567/image_ojst83nbr17gdcba1ij9kujo4u/-FJPG/228770-001_OPN_1.jpg</t>
  </si>
  <si>
    <t>https://dd3ka9h4chfr8.cloudfront.net/image/725136000567/image_2gintm76b56610gokilp3iva4e/-FJPG/228770-001_DET_4.jpg</t>
  </si>
  <si>
    <t>https://dd3ka9h4chfr8.cloudfront.net/image/725136000567/image_hparbod8jp621040j7fkf6uo1v/-FJPG/228770-001_DET_5.jpg</t>
  </si>
  <si>
    <t>https://dd3ka9h4chfr8.cloudfront.net/image/725136000567/image_71550rr97d5b9dtivfkurig31f/-FJPG/228770-001_DET_6.jpg</t>
  </si>
  <si>
    <t>https://dd3ka9h4chfr8.cloudfront.net/image/725136000567/image_2fsudnc6612hf4km70n9utpi4p/-FJPG/228770-001_DET_7.jpg</t>
  </si>
  <si>
    <t>https://dd3ka9h4chfr8.cloudfront.net/image/725136000567/image_u4ln3ne3ip6bj6k82ha1kkmr0i/-FJPG/228770-001_DET_8.jpg</t>
  </si>
  <si>
    <t>Zuma Console - Dune Ash Veneer</t>
  </si>
  <si>
    <t>https://dd3ka9h4chfr8.cloudfront.net/image/725136000567/image_sle5b44p896lv299vujudrlj62/-S150x150-FJPG/228835-001_PRM_1.jpg</t>
  </si>
  <si>
    <t>https://dd3ka9h4chfr8.cloudfront.net/image/725136000567/image_sle5b44p896lv299vujudrlj62/-FJPG/228835-001_PRM_1.jpg</t>
  </si>
  <si>
    <t>https://dd3ka9h4chfr8.cloudfront.net/image/725136000567/image_ei22pscp9l247dsktmansnm13l/-FJPG/228835-001_SID_1.jpg</t>
  </si>
  <si>
    <t>https://dd3ka9h4chfr8.cloudfront.net/image/725136000567/image_79vvdcfpfl1mfc7lhlq7d71q31/-FJPG/228835-001_ESS_1.jpg</t>
  </si>
  <si>
    <t>https://dd3ka9h4chfr8.cloudfront.net/image/725136000567/image_4nd5gogcqt1l9caprq4v9qp30b/-FJPG/228835-001_DET_2.jpg</t>
  </si>
  <si>
    <t>https://dd3ka9h4chfr8.cloudfront.net/image/725136000567/image_8is4qdas0p0kn8ndfci6cjit7s/-FJPG/228835-001_BCK_1.jpg</t>
  </si>
  <si>
    <t>https://dd3ka9h4chfr8.cloudfront.net/image/725136000567/image_fpsc0lqd417ol3lajik5fitr2d/-FJPG/228835-001_DET_1.jpg</t>
  </si>
  <si>
    <t>https://dd3ka9h4chfr8.cloudfront.net/image/725136000567/image_j91srdk3d10ojcunf9efhpug4t/-FJPG/228835-001_DET_3.jpg</t>
  </si>
  <si>
    <t>https://dd3ka9h4chfr8.cloudfront.net/image/725136000567/image_8le750em611gl2faphabt91t1h/-FJPG/228835-001_OPN_1.jpg</t>
  </si>
  <si>
    <t>https://dd3ka9h4chfr8.cloudfront.net/image/725136000567/image_dnrq0m85e9683ffh8cphcg1458/-FJPG/228835-001_DET_4.jpg</t>
  </si>
  <si>
    <t>https://dd3ka9h4chfr8.cloudfront.net/image/725136000567/image_7t9omf36d137b5ol8ltms55s2d/-FJPG/228835-001_DET_5.jpg</t>
  </si>
  <si>
    <t>https://dd3ka9h4chfr8.cloudfront.net/image/725136000567/image_ciimjqhuq96hp7odvle09uis7j/-FJPG/228835-001_DET_6.jpg</t>
  </si>
  <si>
    <t>https://dd3ka9h4chfr8.cloudfront.net/image/725136000567/image_m7jversffd0h30hep7fsb3r46j/-FJPG/228835-001_ROM_1.jpg</t>
  </si>
  <si>
    <t>Zuma Nightstand - Dune Ash Veneer</t>
  </si>
  <si>
    <t>https://dd3ka9h4chfr8.cloudfront.net/image/725136000567/image_6u1kv9sli132t0h1g1gt9ue674/-S150x150-FJPG/228899-001_PRM_1.jpg</t>
  </si>
  <si>
    <t>https://dd3ka9h4chfr8.cloudfront.net/image/725136000567/image_6u1kv9sli132t0h1g1gt9ue674/-FJPG/228899-001_PRM_1.jpg</t>
  </si>
  <si>
    <t>https://dd3ka9h4chfr8.cloudfront.net/image/725136000567/image_dpbbqk40lh6nlafd80oa46nd54/-FJPG/228899-001_SID_1.jpg</t>
  </si>
  <si>
    <t>https://dd3ka9h4chfr8.cloudfront.net/image/725136000567/image_t6e6tnrh2d75v7hlvfbmbeqg2p/-FJPG/228899-001_ESS.tif</t>
  </si>
  <si>
    <t>https://dd3ka9h4chfr8.cloudfront.net/image/725136000567/image_vouh1tctup7q32t6ar5hlvtp7h/-FJPG/228899-001_DET_2.jpg</t>
  </si>
  <si>
    <t>https://dd3ka9h4chfr8.cloudfront.net/image/725136000567/image_aaa73puneh13h4n7gup7dsu82s/-FJPG/228899-001_BCK_1.jpg</t>
  </si>
  <si>
    <t>https://dd3ka9h4chfr8.cloudfront.net/image/725136000567/image_h7q99iu3f14232667plsphh619/-FJPG/228899-001_DET_1.jpg</t>
  </si>
  <si>
    <t>https://dd3ka9h4chfr8.cloudfront.net/image/725136000567/image_5eo30dldj158ldpa01eupbtn7l/-FJPG/228899-001_DET_3.jpg</t>
  </si>
  <si>
    <t>https://dd3ka9h4chfr8.cloudfront.net/image/725136000567/image_58c9em4dd55c5aibnv7ukkfg4o/-FJPG/228899-001_OPN_1.jpg</t>
  </si>
  <si>
    <t>https://dd3ka9h4chfr8.cloudfront.net/image/725136000567/image_n8d0l5hgjt787dbjc4a8depd67/-FJPG/228899-001_DET_4.jpg</t>
  </si>
  <si>
    <t>https://dd3ka9h4chfr8.cloudfront.net/image/725136000567/image_i720rhh0mh4j9a0jo7pmohkv0d/-FJPG/228899-001_DET_5.jpg</t>
  </si>
  <si>
    <t>https://dd3ka9h4chfr8.cloudfront.net/image/725136000567/image_pi81tbg03132d5re8m8hpp1b00/-FJPG/228899-001_DET_6.jpg</t>
  </si>
  <si>
    <t>https://dd3ka9h4chfr8.cloudfront.net/image/725136000567/image_4g6vdst88d1anbg15isui2o85c/-FJPG/228899-001_DET_7.jpg</t>
  </si>
  <si>
    <t>https://dd3ka9h4chfr8.cloudfront.net/image/725136000567/image_gd2c3asuft5m56eequmc0i6d51/-FJPG/228899-001_VIG_1.jpg</t>
  </si>
  <si>
    <t>Zuma Sideboard - Dune Ash Veneer</t>
  </si>
  <si>
    <t>https://dd3ka9h4chfr8.cloudfront.net/image/725136000567/image_7v0hsh9ru519p5b7marf9pqo5k/-S150x150-FJPG/228295-001_PRM_1.jpg</t>
  </si>
  <si>
    <t>https://dd3ka9h4chfr8.cloudfront.net/image/725136000567/image_7v0hsh9ru519p5b7marf9pqo5k/-FJPG/228295-001_PRM_1.jpg</t>
  </si>
  <si>
    <t>https://dd3ka9h4chfr8.cloudfront.net/image/725136000567/image_ar9v1m1l7d2lj7lu3aff2e9j61/-FJPG/228295-001_SID_1.jpg</t>
  </si>
  <si>
    <t>https://dd3ka9h4chfr8.cloudfront.net/image/725136000567/image_90hhkdknah07haihdrbdlci957/-FJPG/228295-001_ESS_1.jpg</t>
  </si>
  <si>
    <t>https://dd3ka9h4chfr8.cloudfront.net/image/725136000567/image_pap7flqol11tn2r1n1m8imlc7l/-FJPG/228295-001_DET_2.jpg</t>
  </si>
  <si>
    <t>https://dd3ka9h4chfr8.cloudfront.net/image/725136000567/image_v09u3v7c0h7un09o5h4d0inu44/-FJPG/228295-001_BCK_1.jpg</t>
  </si>
  <si>
    <t>https://dd3ka9h4chfr8.cloudfront.net/image/725136000567/image_53430749ip1tb8nhpglasicv41/-FJPG/228295-001_DET_1.jpg</t>
  </si>
  <si>
    <t>https://dd3ka9h4chfr8.cloudfront.net/image/725136000567/image_aut2v0gga91214h7j9ab1cdm38/-FJPG/228295-001_DET_3.jpg</t>
  </si>
  <si>
    <t>https://dd3ka9h4chfr8.cloudfront.net/image/725136000567/image_tu7kj7iki11r38hh59ulcbj660/-FJPG/228295-001_OPN_1.jpg</t>
  </si>
  <si>
    <t>https://dd3ka9h4chfr8.cloudfront.net/image/725136000567/image_39otbsfpvl5jr8i6aq8a1b0j0d/-FJPG/228295-001_DET_4.jpg</t>
  </si>
  <si>
    <t>https://dd3ka9h4chfr8.cloudfront.net/image/725136000567/image_bt85vav9a97krbq067a3t6mc4c/-FJPG/228295-001_DET_5.jpg</t>
  </si>
  <si>
    <t>https://dd3ka9h4chfr8.cloudfront.net/image/725136000567/image_a59keapt0d089d1ar0q93uc83b/-FJPG/228295-001_DET_6.jpg</t>
  </si>
</sst>
</file>

<file path=xl/styles.xml><?xml version="1.0" encoding="utf-8"?>
<styleSheet xmlns="http://schemas.openxmlformats.org/spreadsheetml/2006/main" xmlns:x14ac="http://schemas.microsoft.com/office/spreadsheetml/2009/9/ac" xmlns:mc="http://schemas.openxmlformats.org/markup-compatibility/2006">
  <fonts count="15">
    <font>
      <sz val="11.0"/>
      <color theme="1"/>
      <name val="Aptos Narrow"/>
      <scheme val="minor"/>
    </font>
    <font>
      <b/>
      <u/>
      <sz val="11.0"/>
      <color theme="10"/>
      <name val="Arial"/>
    </font>
    <font>
      <b/>
      <u/>
      <sz val="11.0"/>
      <color theme="10"/>
      <name val="Arial"/>
    </font>
    <font>
      <b/>
      <u/>
      <sz val="11.0"/>
      <color theme="10"/>
      <name val="Arial"/>
    </font>
    <font>
      <b/>
      <u/>
      <sz val="11.0"/>
      <color rgb="FF467886"/>
      <name val="Arial"/>
    </font>
    <font>
      <b/>
      <u/>
      <sz val="11.0"/>
      <color theme="10"/>
      <name val="Arial"/>
    </font>
    <font>
      <b/>
      <u/>
      <sz val="11.0"/>
      <color theme="10"/>
      <name val="Arial"/>
    </font>
    <font>
      <b/>
      <sz val="11.0"/>
      <color rgb="FF467886"/>
      <name val="Arial"/>
    </font>
    <font>
      <b/>
      <u/>
      <sz val="11.0"/>
      <color theme="10"/>
      <name val="Arial"/>
    </font>
    <font>
      <b/>
      <u/>
      <sz val="11.0"/>
      <color rgb="FF467886"/>
      <name val="Arial"/>
    </font>
    <font>
      <sz val="11.0"/>
      <color theme="1"/>
      <name val="Arial"/>
    </font>
    <font>
      <sz val="11.0"/>
      <color theme="1"/>
      <name val="Aptos Narrow"/>
    </font>
    <font>
      <color theme="1"/>
      <name val="Aptos Narrow"/>
      <scheme val="minor"/>
    </font>
    <font>
      <color theme="1"/>
      <name val="Arial"/>
    </font>
    <font>
      <b/>
      <sz val="11.0"/>
      <color theme="1"/>
      <name val="Aptos Narrow"/>
    </font>
  </fonts>
  <fills count="12">
    <fill>
      <patternFill patternType="none"/>
    </fill>
    <fill>
      <patternFill patternType="lightGray"/>
    </fill>
    <fill>
      <patternFill patternType="solid">
        <fgColor rgb="FFCBCBCB"/>
        <bgColor rgb="FFCBCBCB"/>
      </patternFill>
    </fill>
    <fill>
      <patternFill patternType="solid">
        <fgColor rgb="FFE2EFDA"/>
        <bgColor rgb="FFE2EFDA"/>
      </patternFill>
    </fill>
    <fill>
      <patternFill patternType="solid">
        <fgColor rgb="FFFFF2CC"/>
        <bgColor rgb="FFFFF2CC"/>
      </patternFill>
    </fill>
    <fill>
      <patternFill patternType="solid">
        <fgColor rgb="FFA9D08E"/>
        <bgColor rgb="FFA9D08E"/>
      </patternFill>
    </fill>
    <fill>
      <patternFill patternType="solid">
        <fgColor rgb="FFB4C6E7"/>
        <bgColor rgb="FFB4C6E7"/>
      </patternFill>
    </fill>
    <fill>
      <patternFill patternType="solid">
        <fgColor rgb="FF45B0E1"/>
        <bgColor rgb="FF45B0E1"/>
      </patternFill>
    </fill>
    <fill>
      <patternFill patternType="solid">
        <fgColor rgb="FF00B0F0"/>
        <bgColor rgb="FF00B0F0"/>
      </patternFill>
    </fill>
    <fill>
      <patternFill patternType="solid">
        <fgColor rgb="FFFFFF00"/>
        <bgColor rgb="FFFFFF00"/>
      </patternFill>
    </fill>
    <fill>
      <patternFill patternType="solid">
        <fgColor rgb="FFFFC000"/>
        <bgColor rgb="FFFFC000"/>
      </patternFill>
    </fill>
    <fill>
      <patternFill patternType="solid">
        <fgColor rgb="FFDBE9F7"/>
        <bgColor rgb="FFDBE9F7"/>
      </patternFill>
    </fill>
  </fills>
  <borders count="2">
    <border/>
    <border>
      <left/>
      <right/>
      <top/>
      <bottom/>
    </border>
  </borders>
  <cellStyleXfs count="1">
    <xf borderId="0" fillId="0" fontId="0" numFmtId="0" applyAlignment="1" applyFont="1"/>
  </cellStyleXfs>
  <cellXfs count="29">
    <xf borderId="0" fillId="0" fontId="0" numFmtId="0" xfId="0" applyAlignment="1" applyFont="1">
      <alignment readingOrder="0" shrinkToFit="0" vertical="bottom" wrapText="0"/>
    </xf>
    <xf borderId="1" fillId="2" fontId="1" numFmtId="0" xfId="0" applyBorder="1" applyFill="1" applyFont="1"/>
    <xf borderId="1" fillId="3" fontId="2" numFmtId="0" xfId="0" applyBorder="1" applyFill="1" applyFont="1"/>
    <xf borderId="1" fillId="3" fontId="3" numFmtId="0" xfId="0" applyAlignment="1" applyBorder="1" applyFont="1">
      <alignment shrinkToFit="0" wrapText="0"/>
    </xf>
    <xf borderId="1" fillId="3" fontId="4" numFmtId="0" xfId="0" applyAlignment="1" applyBorder="1" applyFont="1">
      <alignment readingOrder="0"/>
    </xf>
    <xf borderId="1" fillId="4" fontId="5" numFmtId="0" xfId="0" applyBorder="1" applyFill="1" applyFont="1"/>
    <xf borderId="1" fillId="5" fontId="6" numFmtId="0" xfId="0" applyBorder="1" applyFill="1" applyFont="1"/>
    <xf borderId="1" fillId="5" fontId="7" numFmtId="0" xfId="0" applyAlignment="1" applyBorder="1" applyFont="1">
      <alignment readingOrder="0"/>
    </xf>
    <xf borderId="1" fillId="6" fontId="8" numFmtId="0" xfId="0" applyBorder="1" applyFill="1" applyFont="1"/>
    <xf borderId="1" fillId="6" fontId="9" numFmtId="0" xfId="0" applyAlignment="1" applyBorder="1" applyFont="1">
      <alignment readingOrder="0"/>
    </xf>
    <xf borderId="1" fillId="7" fontId="10" numFmtId="0" xfId="0" applyAlignment="1" applyBorder="1" applyFill="1" applyFont="1">
      <alignment readingOrder="0"/>
    </xf>
    <xf borderId="1" fillId="8" fontId="10" numFmtId="0" xfId="0" applyBorder="1" applyFill="1" applyFont="1"/>
    <xf borderId="1" fillId="8" fontId="10" numFmtId="0" xfId="0" applyAlignment="1" applyBorder="1" applyFont="1">
      <alignment readingOrder="0"/>
    </xf>
    <xf borderId="1" fillId="8" fontId="11" numFmtId="0" xfId="0" applyBorder="1" applyFont="1"/>
    <xf borderId="0" fillId="0" fontId="10" numFmtId="0" xfId="0" applyFont="1"/>
    <xf borderId="0" fillId="0" fontId="12" numFmtId="0" xfId="0" applyFont="1"/>
    <xf borderId="0" fillId="0" fontId="12" numFmtId="0" xfId="0" applyAlignment="1" applyFont="1">
      <alignment shrinkToFit="0" wrapText="0"/>
    </xf>
    <xf borderId="0" fillId="0" fontId="13" numFmtId="0" xfId="0" applyAlignment="1" applyFont="1">
      <alignment readingOrder="0"/>
    </xf>
    <xf borderId="0" fillId="0" fontId="12" numFmtId="0" xfId="0" applyAlignment="1" applyFont="1">
      <alignment readingOrder="0"/>
    </xf>
    <xf borderId="0" fillId="0" fontId="14" numFmtId="0" xfId="0" applyFont="1"/>
    <xf borderId="0" fillId="0" fontId="11" numFmtId="0" xfId="0" applyAlignment="1" applyFont="1">
      <alignment horizontal="center"/>
    </xf>
    <xf borderId="1" fillId="9" fontId="11" numFmtId="0" xfId="0" applyBorder="1" applyFill="1" applyFont="1"/>
    <xf borderId="1" fillId="10" fontId="11" numFmtId="0" xfId="0" applyBorder="1" applyFill="1" applyFont="1"/>
    <xf borderId="1" fillId="10" fontId="14" numFmtId="0" xfId="0" applyBorder="1" applyFont="1"/>
    <xf borderId="1" fillId="9" fontId="14" numFmtId="0" xfId="0" applyBorder="1" applyFont="1"/>
    <xf borderId="1" fillId="7" fontId="11" numFmtId="0" xfId="0" applyBorder="1" applyFont="1"/>
    <xf borderId="1" fillId="7" fontId="14" numFmtId="0" xfId="0" applyBorder="1" applyFont="1"/>
    <xf borderId="1" fillId="11" fontId="11" numFmtId="0" xfId="0" applyBorder="1" applyFill="1" applyFont="1"/>
    <xf borderId="0" fillId="0" fontId="11"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20" Type="http://schemas.openxmlformats.org/officeDocument/2006/relationships/hyperlink" Target="https://matrixify.app/documentation/products/" TargetMode="External"/><Relationship Id="rId22" Type="http://schemas.openxmlformats.org/officeDocument/2006/relationships/hyperlink" Target="https://matrixify.app/documentation/products/" TargetMode="External"/><Relationship Id="rId21" Type="http://schemas.openxmlformats.org/officeDocument/2006/relationships/hyperlink" Target="https://matrixify.app/documentation/products/" TargetMode="External"/><Relationship Id="rId24" Type="http://schemas.openxmlformats.org/officeDocument/2006/relationships/hyperlink" Target="https://matrixify.app/documentation/products/" TargetMode="External"/><Relationship Id="rId23" Type="http://schemas.openxmlformats.org/officeDocument/2006/relationships/hyperlink" Target="https://matrixify.app/documentation/products/" TargetMode="External"/><Relationship Id="rId1" Type="http://schemas.openxmlformats.org/officeDocument/2006/relationships/hyperlink" Target="https://matrixify.app/documentation/products/" TargetMode="External"/><Relationship Id="rId2" Type="http://schemas.openxmlformats.org/officeDocument/2006/relationships/hyperlink" Target="https://matrixify.app/documentation/products/" TargetMode="External"/><Relationship Id="rId3" Type="http://schemas.openxmlformats.org/officeDocument/2006/relationships/hyperlink" Target="https://matrixify.app/documentation/products/" TargetMode="External"/><Relationship Id="rId4" Type="http://schemas.openxmlformats.org/officeDocument/2006/relationships/hyperlink" Target="https://matrixify.app/documentation/products/" TargetMode="External"/><Relationship Id="rId9" Type="http://schemas.openxmlformats.org/officeDocument/2006/relationships/hyperlink" Target="https://matrixify.app/documentation/products/" TargetMode="External"/><Relationship Id="rId26" Type="http://schemas.openxmlformats.org/officeDocument/2006/relationships/hyperlink" Target="https://matrixify.app/documentation/products/" TargetMode="External"/><Relationship Id="rId25" Type="http://schemas.openxmlformats.org/officeDocument/2006/relationships/hyperlink" Target="https://matrixify.app/documentation/products/" TargetMode="External"/><Relationship Id="rId28" Type="http://schemas.openxmlformats.org/officeDocument/2006/relationships/hyperlink" Target="https://matrixify.app/documentation/products/" TargetMode="External"/><Relationship Id="rId27" Type="http://schemas.openxmlformats.org/officeDocument/2006/relationships/hyperlink" Target="https://matrixify.app/documentation/products/" TargetMode="External"/><Relationship Id="rId5" Type="http://schemas.openxmlformats.org/officeDocument/2006/relationships/hyperlink" Target="https://matrixify.app/documentation/products/" TargetMode="External"/><Relationship Id="rId6" Type="http://schemas.openxmlformats.org/officeDocument/2006/relationships/hyperlink" Target="https://matrixify.app/documentation/products/" TargetMode="External"/><Relationship Id="rId29" Type="http://schemas.openxmlformats.org/officeDocument/2006/relationships/hyperlink" Target="https://matrixify.app/documentation/products/" TargetMode="External"/><Relationship Id="rId7" Type="http://schemas.openxmlformats.org/officeDocument/2006/relationships/hyperlink" Target="https://matrixify.app/documentation/products/" TargetMode="External"/><Relationship Id="rId8" Type="http://schemas.openxmlformats.org/officeDocument/2006/relationships/hyperlink" Target="https://matrixify.app/documentation/products/" TargetMode="External"/><Relationship Id="rId31" Type="http://schemas.openxmlformats.org/officeDocument/2006/relationships/hyperlink" Target="https://matrixify.app/documentation/products/" TargetMode="External"/><Relationship Id="rId30" Type="http://schemas.openxmlformats.org/officeDocument/2006/relationships/hyperlink" Target="https://matrixify.app/documentation/products/" TargetMode="External"/><Relationship Id="rId11" Type="http://schemas.openxmlformats.org/officeDocument/2006/relationships/hyperlink" Target="https://matrixify.app/documentation/products/" TargetMode="External"/><Relationship Id="rId33" Type="http://schemas.openxmlformats.org/officeDocument/2006/relationships/hyperlink" Target="https://matrixify.app/documentation/products/" TargetMode="External"/><Relationship Id="rId10" Type="http://schemas.openxmlformats.org/officeDocument/2006/relationships/hyperlink" Target="https://matrixify.app/documentation/products/" TargetMode="External"/><Relationship Id="rId32" Type="http://schemas.openxmlformats.org/officeDocument/2006/relationships/hyperlink" Target="https://matrixify.app/documentation/products/" TargetMode="External"/><Relationship Id="rId13" Type="http://schemas.openxmlformats.org/officeDocument/2006/relationships/hyperlink" Target="https://matrixify.app/documentation/products/" TargetMode="External"/><Relationship Id="rId35" Type="http://schemas.openxmlformats.org/officeDocument/2006/relationships/hyperlink" Target="https://matrixify.app/documentation/products/" TargetMode="External"/><Relationship Id="rId12" Type="http://schemas.openxmlformats.org/officeDocument/2006/relationships/hyperlink" Target="https://matrixify.app/documentation/products/" TargetMode="External"/><Relationship Id="rId34" Type="http://schemas.openxmlformats.org/officeDocument/2006/relationships/hyperlink" Target="https://matrixify.app/documentation/products/" TargetMode="External"/><Relationship Id="rId15" Type="http://schemas.openxmlformats.org/officeDocument/2006/relationships/hyperlink" Target="https://matrixify.app/documentation/products/" TargetMode="External"/><Relationship Id="rId37" Type="http://schemas.openxmlformats.org/officeDocument/2006/relationships/drawing" Target="../drawings/drawing1.xml"/><Relationship Id="rId14" Type="http://schemas.openxmlformats.org/officeDocument/2006/relationships/hyperlink" Target="https://matrixify.app/documentation/products/" TargetMode="External"/><Relationship Id="rId36" Type="http://schemas.openxmlformats.org/officeDocument/2006/relationships/hyperlink" Target="https://matrixify.app/documentation/products/" TargetMode="External"/><Relationship Id="rId17" Type="http://schemas.openxmlformats.org/officeDocument/2006/relationships/hyperlink" Target="https://matrixify.app/documentation/products/" TargetMode="External"/><Relationship Id="rId16" Type="http://schemas.openxmlformats.org/officeDocument/2006/relationships/hyperlink" Target="https://matrixify.app/documentation/products/" TargetMode="External"/><Relationship Id="rId19" Type="http://schemas.openxmlformats.org/officeDocument/2006/relationships/hyperlink" Target="https://matrixify.app/documentation/products/" TargetMode="External"/><Relationship Id="rId18" Type="http://schemas.openxmlformats.org/officeDocument/2006/relationships/hyperlink" Target="https://matrixify.app/documentation/product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75"/>
    <col customWidth="1" min="2" max="2" width="30.13"/>
    <col customWidth="1" min="3" max="3" width="24.25"/>
    <col customWidth="1" min="4" max="4" width="11.75"/>
    <col customWidth="1" min="5" max="5" width="8.63"/>
    <col customWidth="1" min="6" max="6" width="9.25"/>
    <col customWidth="1" min="7" max="7" width="18.63"/>
    <col customWidth="1" min="8" max="10" width="8.63"/>
    <col customWidth="1" min="11" max="11" width="20.13"/>
    <col customWidth="1" min="12" max="16" width="8.63"/>
    <col customWidth="1" min="17" max="17" width="16.63"/>
    <col customWidth="1" min="18" max="18" width="8.63"/>
    <col customWidth="1" min="19" max="19" width="14.63"/>
    <col customWidth="1" min="20" max="20" width="8.63"/>
    <col customWidth="1" min="21" max="21" width="21.75"/>
    <col customWidth="1" min="22" max="22" width="18.0"/>
    <col customWidth="1" min="23" max="23" width="12.0"/>
    <col customWidth="1" min="24" max="24" width="27.13"/>
    <col customWidth="1" min="25" max="25" width="16.13"/>
    <col customWidth="1" min="26" max="26" width="30.75"/>
    <col customWidth="1" min="27" max="27" width="16.13"/>
    <col customWidth="1" min="28" max="34" width="8.63"/>
    <col customWidth="1" min="35" max="35" width="8.75"/>
    <col customWidth="1" min="36" max="36" width="26.5"/>
    <col customWidth="1" min="37" max="37" width="36.5"/>
    <col customWidth="1" min="38" max="38" width="50.13"/>
    <col customWidth="1" min="39" max="39" width="11.13"/>
    <col customWidth="1" min="40" max="40" width="35.63"/>
    <col customWidth="1" min="41" max="41" width="10.25"/>
    <col customWidth="1" min="42" max="42" width="37.88"/>
    <col customWidth="1" min="43" max="43" width="13.5"/>
    <col customWidth="1" min="44" max="44" width="48.13"/>
    <col customWidth="1" min="45" max="45" width="20.63"/>
    <col customWidth="1" min="46" max="46" width="30.5"/>
    <col customWidth="1" min="47" max="47" width="23.5"/>
    <col customWidth="1" min="48" max="48" width="23.13"/>
    <col customWidth="1" min="49" max="49" width="29.13"/>
    <col customWidth="1" min="50" max="50" width="24.88"/>
    <col customWidth="1" min="51" max="51" width="25.13"/>
    <col customWidth="1" min="52" max="52" width="18.63"/>
    <col customWidth="1" min="53" max="53" width="20.75"/>
    <col customWidth="1" min="54" max="54" width="46.38"/>
    <col customWidth="1" min="55" max="55" width="82.75"/>
    <col customWidth="1" min="56" max="56" width="12.0"/>
    <col customWidth="1" min="57" max="57" width="25.75"/>
    <col customWidth="1" min="58" max="58" width="53.63"/>
    <col customWidth="1" min="59" max="59" width="8.5"/>
    <col customWidth="1" min="60" max="60" width="35.25"/>
    <col customWidth="1" min="61" max="61" width="12.25"/>
    <col customWidth="1" min="62" max="62" width="42.63"/>
    <col customWidth="1" min="63" max="63" width="9.25"/>
    <col customWidth="1" min="64" max="64" width="40.5"/>
    <col customWidth="1" min="65" max="65" width="13.63"/>
    <col customWidth="1" min="66" max="66" width="28.25"/>
    <col customWidth="1" min="67" max="67" width="30.5"/>
    <col customWidth="1" min="68" max="68" width="13.75"/>
    <col customWidth="1" min="69" max="69" width="43.0"/>
    <col customWidth="1" min="70" max="70" width="13.25"/>
    <col customWidth="1" min="71" max="71" width="43.13"/>
    <col customWidth="1" min="72" max="72" width="11.88"/>
    <col customWidth="1" min="73" max="73" width="44.25"/>
    <col customWidth="1" min="74" max="74" width="11.38"/>
    <col customWidth="1" min="75" max="75" width="42.88"/>
    <col customWidth="1" min="76" max="76" width="22.13"/>
    <col customWidth="1" min="77" max="77" width="14.88"/>
    <col customWidth="1" min="78" max="78" width="27.38"/>
    <col customWidth="1" min="79" max="79" width="11.75"/>
    <col customWidth="1" min="80" max="80" width="25.25"/>
    <col customWidth="1" min="81" max="81" width="13.88"/>
    <col customWidth="1" min="82" max="82" width="41.13"/>
    <col customWidth="1" min="83" max="83" width="14.0"/>
    <col customWidth="1" min="84" max="84" width="46.13"/>
    <col customWidth="1" min="85" max="85" width="53.5"/>
    <col customWidth="1" min="86" max="86" width="11.5"/>
    <col customWidth="1" min="87" max="87" width="31.88"/>
    <col customWidth="1" min="88" max="88" width="13.13"/>
    <col customWidth="1" min="89" max="89" width="20.13"/>
    <col customWidth="1" min="90" max="90" width="14.0"/>
    <col customWidth="1" min="91" max="91" width="30.75"/>
    <col customWidth="1" min="92" max="92" width="15.75"/>
    <col customWidth="1" min="93" max="93" width="37.38"/>
    <col customWidth="1" min="94" max="94" width="15.25"/>
    <col customWidth="1" min="95" max="95" width="14.5"/>
    <col customWidth="1" min="96" max="96" width="53.0"/>
    <col customWidth="1" min="97" max="99" width="8.63"/>
    <col customWidth="1" min="100" max="100" width="40.13"/>
    <col customWidth="1" min="101" max="101" width="13.63"/>
    <col customWidth="1" min="102" max="102" width="8.63"/>
    <col customWidth="1" min="103" max="103" width="21.0"/>
    <col customWidth="1" min="104" max="104" width="18.0"/>
    <col customWidth="1" min="105" max="105" width="8.63"/>
    <col customWidth="1" min="106" max="106" width="14.13"/>
    <col customWidth="1" min="107" max="107" width="38.38"/>
    <col customWidth="1" min="108" max="108" width="14.63"/>
    <col customWidth="1" min="109" max="109" width="38.25"/>
    <col customWidth="1" min="110" max="110" width="13.13"/>
    <col customWidth="1" min="111" max="111" width="39.25"/>
    <col customWidth="1" min="112" max="112" width="13.88"/>
    <col customWidth="1" min="113" max="113" width="27.38"/>
    <col customWidth="1" min="114" max="114" width="40.25"/>
    <col customWidth="1" min="115" max="115" width="43.38"/>
    <col customWidth="1" min="116" max="116" width="64.75"/>
    <col customWidth="1" min="117" max="117" width="43.38"/>
    <col customWidth="1" min="118" max="118" width="21.13"/>
    <col customWidth="1" min="119" max="119" width="22.63"/>
    <col customWidth="1" min="120" max="120" width="12.25"/>
    <col customWidth="1" min="121" max="121" width="16.13"/>
    <col customWidth="1" min="122" max="122" width="18.5"/>
    <col customWidth="1" min="123" max="123" width="16.88"/>
    <col customWidth="1" min="124" max="124" width="14.13"/>
    <col customWidth="1" min="125" max="126" width="8.63"/>
    <col customWidth="1" min="127" max="127" width="15.75"/>
    <col customWidth="1" min="128" max="129" width="8.63"/>
    <col customWidth="1" min="130" max="130" width="27.5"/>
    <col customWidth="1" min="131" max="131" width="25.25"/>
    <col customWidth="1" min="132" max="132" width="17.38"/>
    <col customWidth="1" min="133" max="134" width="8.63"/>
    <col customWidth="1" min="135" max="135" width="24.88"/>
    <col customWidth="1" min="136" max="136" width="16.25"/>
    <col customWidth="1" min="137" max="137" width="14.75"/>
    <col customWidth="1" min="138" max="138" width="15.0"/>
    <col customWidth="1" min="139" max="139" width="13.25"/>
    <col customWidth="1" min="140" max="141" width="43.5"/>
    <col customWidth="1" min="142" max="142" width="18.13"/>
    <col customWidth="1" min="143" max="143" width="51.88"/>
    <col customWidth="1" min="144" max="144" width="26.5"/>
    <col customWidth="1" min="145" max="246" width="8.63"/>
    <col customWidth="1" min="247" max="247" width="26.38"/>
    <col customWidth="1" min="248" max="360" width="8.63"/>
    <col customWidth="1" min="361" max="361" width="21.25"/>
    <col customWidth="1" min="362" max="377" width="8.63"/>
    <col customWidth="1" min="378" max="378" width="43.5"/>
    <col customWidth="1" min="379" max="379" width="41.0"/>
    <col customWidth="1" min="380" max="380" width="30.63"/>
    <col customWidth="1" min="381" max="393" width="8.63"/>
  </cols>
  <sheetData>
    <row r="1">
      <c r="A1" s="1" t="s">
        <v>0</v>
      </c>
      <c r="B1" s="2" t="s">
        <v>1</v>
      </c>
      <c r="C1" s="3" t="s">
        <v>2</v>
      </c>
      <c r="D1" s="2" t="s">
        <v>3</v>
      </c>
      <c r="E1" s="4" t="s">
        <v>4</v>
      </c>
      <c r="F1" s="2" t="s">
        <v>5</v>
      </c>
      <c r="G1" s="1" t="s">
        <v>6</v>
      </c>
      <c r="H1" s="2" t="s">
        <v>7</v>
      </c>
      <c r="I1" s="2" t="s">
        <v>8</v>
      </c>
      <c r="J1" s="2" t="s">
        <v>9</v>
      </c>
      <c r="K1" s="2" t="s">
        <v>10</v>
      </c>
      <c r="L1" s="2" t="s">
        <v>11</v>
      </c>
      <c r="M1" s="5" t="s">
        <v>12</v>
      </c>
      <c r="N1" s="5" t="s">
        <v>13</v>
      </c>
      <c r="O1" s="6" t="s">
        <v>14</v>
      </c>
      <c r="P1" s="6" t="s">
        <v>15</v>
      </c>
      <c r="Q1" s="6" t="s">
        <v>16</v>
      </c>
      <c r="R1" s="6" t="s">
        <v>17</v>
      </c>
      <c r="S1" s="6" t="s">
        <v>18</v>
      </c>
      <c r="T1" s="6" t="s">
        <v>19</v>
      </c>
      <c r="U1" s="6" t="s">
        <v>20</v>
      </c>
      <c r="V1" s="6" t="s">
        <v>21</v>
      </c>
      <c r="W1" s="6" t="s">
        <v>22</v>
      </c>
      <c r="X1" s="6" t="s">
        <v>23</v>
      </c>
      <c r="Y1" s="7" t="s">
        <v>24</v>
      </c>
      <c r="Z1" s="6" t="s">
        <v>25</v>
      </c>
      <c r="AA1" s="6" t="s">
        <v>26</v>
      </c>
      <c r="AB1" s="6" t="s">
        <v>27</v>
      </c>
      <c r="AC1" s="6" t="s">
        <v>28</v>
      </c>
      <c r="AD1" s="6" t="s">
        <v>29</v>
      </c>
      <c r="AE1" s="6" t="s">
        <v>30</v>
      </c>
      <c r="AF1" s="6" t="s">
        <v>31</v>
      </c>
      <c r="AG1" s="6" t="s">
        <v>32</v>
      </c>
      <c r="AH1" s="6" t="s">
        <v>33</v>
      </c>
      <c r="AI1" s="6" t="s">
        <v>34</v>
      </c>
      <c r="AJ1" s="8" t="s">
        <v>35</v>
      </c>
      <c r="AK1" s="9" t="s">
        <v>36</v>
      </c>
      <c r="AL1" s="10" t="s">
        <v>37</v>
      </c>
      <c r="AM1" s="10" t="s">
        <v>38</v>
      </c>
      <c r="AN1" s="10" t="s">
        <v>39</v>
      </c>
      <c r="AO1" s="10" t="s">
        <v>40</v>
      </c>
      <c r="AP1" s="10" t="s">
        <v>41</v>
      </c>
      <c r="AQ1" s="10" t="s">
        <v>42</v>
      </c>
      <c r="AR1" s="10" t="s">
        <v>43</v>
      </c>
      <c r="AS1" s="11" t="s">
        <v>44</v>
      </c>
      <c r="AT1" s="11" t="s">
        <v>45</v>
      </c>
      <c r="AU1" s="11" t="s">
        <v>46</v>
      </c>
      <c r="AV1" s="11" t="s">
        <v>47</v>
      </c>
      <c r="AW1" s="12" t="s">
        <v>48</v>
      </c>
      <c r="AX1" s="12" t="s">
        <v>49</v>
      </c>
      <c r="AY1" s="12" t="s">
        <v>50</v>
      </c>
      <c r="AZ1" s="12" t="s">
        <v>51</v>
      </c>
      <c r="BA1" s="11" t="s">
        <v>52</v>
      </c>
      <c r="BB1" s="12" t="s">
        <v>53</v>
      </c>
      <c r="BC1" s="12" t="s">
        <v>54</v>
      </c>
      <c r="BD1" s="13" t="s">
        <v>55</v>
      </c>
      <c r="BE1" s="12" t="s">
        <v>56</v>
      </c>
      <c r="BF1" s="12" t="s">
        <v>57</v>
      </c>
      <c r="BG1" s="12" t="s">
        <v>58</v>
      </c>
      <c r="BH1" s="12" t="s">
        <v>59</v>
      </c>
      <c r="BI1" s="12" t="s">
        <v>60</v>
      </c>
      <c r="BJ1" s="12" t="s">
        <v>61</v>
      </c>
      <c r="BK1" s="12" t="s">
        <v>62</v>
      </c>
      <c r="BL1" s="12" t="s">
        <v>63</v>
      </c>
      <c r="BM1" s="12" t="s">
        <v>64</v>
      </c>
      <c r="BN1" s="12" t="s">
        <v>65</v>
      </c>
      <c r="BO1" s="12" t="s">
        <v>66</v>
      </c>
      <c r="BP1" s="12" t="s">
        <v>67</v>
      </c>
      <c r="BQ1" s="12" t="s">
        <v>68</v>
      </c>
      <c r="BR1" s="12" t="s">
        <v>69</v>
      </c>
      <c r="BS1" s="12" t="s">
        <v>70</v>
      </c>
      <c r="BT1" s="12" t="s">
        <v>71</v>
      </c>
      <c r="BU1" s="12" t="s">
        <v>72</v>
      </c>
      <c r="BV1" s="12" t="s">
        <v>73</v>
      </c>
      <c r="BW1" s="12" t="s">
        <v>74</v>
      </c>
      <c r="BX1" s="12" t="s">
        <v>75</v>
      </c>
      <c r="BY1" s="12" t="s">
        <v>76</v>
      </c>
      <c r="BZ1" s="12" t="s">
        <v>77</v>
      </c>
      <c r="CA1" s="12" t="s">
        <v>78</v>
      </c>
      <c r="CB1" s="12" t="s">
        <v>79</v>
      </c>
      <c r="CC1" s="12" t="s">
        <v>80</v>
      </c>
      <c r="CD1" s="12" t="s">
        <v>81</v>
      </c>
      <c r="CE1" s="12" t="s">
        <v>82</v>
      </c>
      <c r="CF1" s="12" t="s">
        <v>83</v>
      </c>
      <c r="CG1" s="12" t="s">
        <v>84</v>
      </c>
      <c r="CH1" s="12" t="s">
        <v>85</v>
      </c>
      <c r="CI1" s="12" t="s">
        <v>86</v>
      </c>
      <c r="CJ1" s="12" t="s">
        <v>87</v>
      </c>
      <c r="CK1" s="12" t="s">
        <v>88</v>
      </c>
      <c r="CL1" s="12" t="s">
        <v>89</v>
      </c>
      <c r="CM1" s="12" t="s">
        <v>90</v>
      </c>
      <c r="CN1" s="12" t="s">
        <v>91</v>
      </c>
      <c r="CO1" s="12" t="s">
        <v>92</v>
      </c>
      <c r="CP1" s="12" t="s">
        <v>93</v>
      </c>
      <c r="CQ1" s="12" t="s">
        <v>94</v>
      </c>
      <c r="CR1" s="12" t="s">
        <v>95</v>
      </c>
      <c r="CS1" s="13" t="s">
        <v>96</v>
      </c>
      <c r="CT1" s="13" t="s">
        <v>97</v>
      </c>
      <c r="CU1" s="13" t="s">
        <v>98</v>
      </c>
      <c r="CV1" s="13" t="s">
        <v>99</v>
      </c>
      <c r="CW1" s="13" t="s">
        <v>100</v>
      </c>
      <c r="CX1" s="13" t="s">
        <v>101</v>
      </c>
      <c r="CY1" s="13" t="s">
        <v>102</v>
      </c>
      <c r="CZ1" s="13" t="s">
        <v>103</v>
      </c>
      <c r="DA1" s="13" t="s">
        <v>104</v>
      </c>
      <c r="DB1" s="12" t="s">
        <v>105</v>
      </c>
      <c r="DC1" s="12" t="s">
        <v>106</v>
      </c>
      <c r="DD1" s="12" t="s">
        <v>107</v>
      </c>
      <c r="DE1" s="12" t="s">
        <v>108</v>
      </c>
      <c r="DF1" s="12" t="s">
        <v>109</v>
      </c>
      <c r="DG1" s="12" t="s">
        <v>110</v>
      </c>
      <c r="DH1" s="12" t="s">
        <v>111</v>
      </c>
      <c r="DI1" s="12" t="s">
        <v>112</v>
      </c>
      <c r="DJ1" s="12" t="s">
        <v>113</v>
      </c>
      <c r="DK1" s="12" t="s">
        <v>114</v>
      </c>
      <c r="DL1" s="12" t="s">
        <v>115</v>
      </c>
      <c r="DM1" s="12" t="s">
        <v>116</v>
      </c>
      <c r="DN1" s="13" t="s">
        <v>117</v>
      </c>
      <c r="DO1" s="13" t="s">
        <v>118</v>
      </c>
      <c r="DP1" s="13" t="s">
        <v>119</v>
      </c>
      <c r="DQ1" s="13" t="s">
        <v>120</v>
      </c>
      <c r="DR1" s="13" t="s">
        <v>121</v>
      </c>
      <c r="DS1" s="13" t="s">
        <v>122</v>
      </c>
      <c r="DT1" s="13" t="s">
        <v>123</v>
      </c>
      <c r="DU1" s="13" t="s">
        <v>124</v>
      </c>
      <c r="DV1" s="13" t="s">
        <v>125</v>
      </c>
      <c r="DW1" s="13" t="s">
        <v>126</v>
      </c>
      <c r="DX1" s="13" t="s">
        <v>127</v>
      </c>
      <c r="DY1" s="13" t="s">
        <v>128</v>
      </c>
      <c r="DZ1" s="12" t="s">
        <v>129</v>
      </c>
      <c r="EA1" s="13" t="s">
        <v>130</v>
      </c>
      <c r="EB1" s="13" t="s">
        <v>131</v>
      </c>
      <c r="EC1" s="13" t="s">
        <v>132</v>
      </c>
      <c r="ED1" s="13" t="s">
        <v>133</v>
      </c>
      <c r="EE1" s="12" t="s">
        <v>134</v>
      </c>
      <c r="EF1" s="12" t="s">
        <v>135</v>
      </c>
      <c r="EG1" s="12" t="s">
        <v>136</v>
      </c>
      <c r="EH1" s="13" t="s">
        <v>137</v>
      </c>
      <c r="EI1" s="13" t="s">
        <v>138</v>
      </c>
      <c r="EJ1" s="12" t="s">
        <v>139</v>
      </c>
      <c r="EK1" s="12" t="s">
        <v>140</v>
      </c>
      <c r="EL1" s="12" t="s">
        <v>141</v>
      </c>
      <c r="EM1" s="12" t="s">
        <v>142</v>
      </c>
      <c r="EN1" s="13" t="s">
        <v>143</v>
      </c>
      <c r="EO1" s="13" t="s">
        <v>144</v>
      </c>
      <c r="EP1" s="13" t="s">
        <v>145</v>
      </c>
      <c r="EQ1" s="13" t="s">
        <v>146</v>
      </c>
      <c r="ER1" s="13" t="s">
        <v>147</v>
      </c>
      <c r="ES1" s="13" t="s">
        <v>148</v>
      </c>
      <c r="ET1" s="13" t="s">
        <v>149</v>
      </c>
      <c r="EU1" s="13" t="s">
        <v>150</v>
      </c>
      <c r="EV1" s="13" t="s">
        <v>151</v>
      </c>
      <c r="EW1" s="13" t="s">
        <v>152</v>
      </c>
      <c r="EX1" s="13" t="s">
        <v>153</v>
      </c>
      <c r="EY1" s="13" t="s">
        <v>154</v>
      </c>
      <c r="EZ1" s="13" t="s">
        <v>155</v>
      </c>
      <c r="FA1" s="13" t="s">
        <v>156</v>
      </c>
      <c r="FB1" s="13" t="s">
        <v>157</v>
      </c>
      <c r="FC1" s="13" t="s">
        <v>158</v>
      </c>
      <c r="FD1" s="13" t="s">
        <v>159</v>
      </c>
      <c r="FE1" s="13" t="s">
        <v>160</v>
      </c>
      <c r="FF1" s="13" t="s">
        <v>161</v>
      </c>
      <c r="FG1" s="13" t="s">
        <v>162</v>
      </c>
      <c r="FH1" s="13" t="s">
        <v>163</v>
      </c>
      <c r="FI1" s="13" t="s">
        <v>164</v>
      </c>
      <c r="FJ1" s="13" t="s">
        <v>165</v>
      </c>
      <c r="FK1" s="13" t="s">
        <v>166</v>
      </c>
      <c r="FL1" s="13" t="s">
        <v>167</v>
      </c>
      <c r="FM1" s="13" t="s">
        <v>168</v>
      </c>
      <c r="FN1" s="13" t="s">
        <v>169</v>
      </c>
      <c r="FO1" s="13" t="s">
        <v>170</v>
      </c>
      <c r="FP1" s="13" t="s">
        <v>171</v>
      </c>
      <c r="FQ1" s="13" t="s">
        <v>172</v>
      </c>
      <c r="FR1" s="13" t="s">
        <v>173</v>
      </c>
      <c r="FS1" s="13" t="s">
        <v>174</v>
      </c>
      <c r="FT1" s="13" t="s">
        <v>175</v>
      </c>
      <c r="FU1" s="13" t="s">
        <v>176</v>
      </c>
      <c r="FV1" s="13" t="s">
        <v>177</v>
      </c>
      <c r="FW1" s="13" t="s">
        <v>178</v>
      </c>
      <c r="FX1" s="13" t="s">
        <v>179</v>
      </c>
      <c r="FY1" s="13" t="s">
        <v>180</v>
      </c>
      <c r="FZ1" s="13" t="s">
        <v>181</v>
      </c>
      <c r="GA1" s="13" t="s">
        <v>182</v>
      </c>
      <c r="GB1" s="13" t="s">
        <v>183</v>
      </c>
      <c r="GC1" s="13" t="s">
        <v>184</v>
      </c>
      <c r="GD1" s="13" t="s">
        <v>185</v>
      </c>
      <c r="GE1" s="13" t="s">
        <v>186</v>
      </c>
      <c r="GF1" s="13" t="s">
        <v>187</v>
      </c>
      <c r="GG1" s="13" t="s">
        <v>188</v>
      </c>
      <c r="GH1" s="13" t="s">
        <v>189</v>
      </c>
      <c r="GI1" s="13" t="s">
        <v>190</v>
      </c>
      <c r="GJ1" s="13" t="s">
        <v>191</v>
      </c>
      <c r="GK1" s="13" t="s">
        <v>192</v>
      </c>
      <c r="GL1" s="13" t="s">
        <v>193</v>
      </c>
      <c r="GM1" s="13" t="s">
        <v>194</v>
      </c>
      <c r="GN1" s="13" t="s">
        <v>195</v>
      </c>
      <c r="GO1" s="13" t="s">
        <v>196</v>
      </c>
      <c r="GP1" s="13" t="s">
        <v>197</v>
      </c>
      <c r="GQ1" s="13" t="s">
        <v>198</v>
      </c>
      <c r="GR1" s="13" t="s">
        <v>199</v>
      </c>
      <c r="GS1" s="13" t="s">
        <v>200</v>
      </c>
      <c r="GT1" s="13" t="s">
        <v>201</v>
      </c>
      <c r="GU1" s="13" t="s">
        <v>202</v>
      </c>
      <c r="GV1" s="13" t="s">
        <v>203</v>
      </c>
      <c r="GW1" s="13" t="s">
        <v>204</v>
      </c>
      <c r="GX1" s="13" t="s">
        <v>205</v>
      </c>
      <c r="GY1" s="13" t="s">
        <v>206</v>
      </c>
      <c r="GZ1" s="13" t="s">
        <v>207</v>
      </c>
      <c r="HA1" s="13" t="s">
        <v>208</v>
      </c>
      <c r="HB1" s="13" t="s">
        <v>209</v>
      </c>
      <c r="HC1" s="13" t="s">
        <v>210</v>
      </c>
      <c r="HD1" s="13" t="s">
        <v>211</v>
      </c>
      <c r="HE1" s="13" t="s">
        <v>212</v>
      </c>
      <c r="HF1" s="13" t="s">
        <v>213</v>
      </c>
      <c r="HG1" s="13" t="s">
        <v>214</v>
      </c>
      <c r="HH1" s="13" t="s">
        <v>215</v>
      </c>
      <c r="HI1" s="13" t="s">
        <v>216</v>
      </c>
      <c r="HJ1" s="13" t="s">
        <v>217</v>
      </c>
      <c r="HK1" s="13" t="s">
        <v>218</v>
      </c>
      <c r="HL1" s="13" t="s">
        <v>219</v>
      </c>
      <c r="HM1" s="13" t="s">
        <v>220</v>
      </c>
      <c r="HN1" s="13" t="s">
        <v>221</v>
      </c>
      <c r="HO1" s="13" t="s">
        <v>222</v>
      </c>
      <c r="HP1" s="13" t="s">
        <v>223</v>
      </c>
      <c r="HQ1" s="13" t="s">
        <v>224</v>
      </c>
      <c r="HR1" s="13" t="s">
        <v>225</v>
      </c>
      <c r="HS1" s="13" t="s">
        <v>226</v>
      </c>
      <c r="HT1" s="13" t="s">
        <v>227</v>
      </c>
      <c r="HU1" s="13" t="s">
        <v>228</v>
      </c>
      <c r="HV1" s="13" t="s">
        <v>229</v>
      </c>
      <c r="HW1" s="13" t="s">
        <v>230</v>
      </c>
      <c r="HX1" s="13" t="s">
        <v>231</v>
      </c>
      <c r="HY1" s="13" t="s">
        <v>232</v>
      </c>
      <c r="HZ1" s="13" t="s">
        <v>233</v>
      </c>
      <c r="IA1" s="13" t="s">
        <v>234</v>
      </c>
      <c r="IB1" s="13" t="s">
        <v>235</v>
      </c>
      <c r="IC1" s="13" t="s">
        <v>236</v>
      </c>
      <c r="ID1" s="13" t="s">
        <v>237</v>
      </c>
      <c r="IE1" s="13" t="s">
        <v>238</v>
      </c>
      <c r="IF1" s="13" t="s">
        <v>239</v>
      </c>
      <c r="IG1" s="13" t="s">
        <v>240</v>
      </c>
      <c r="IH1" s="13" t="s">
        <v>241</v>
      </c>
      <c r="II1" s="13" t="s">
        <v>242</v>
      </c>
      <c r="IJ1" s="13" t="s">
        <v>243</v>
      </c>
      <c r="IK1" s="13" t="s">
        <v>244</v>
      </c>
      <c r="IL1" s="13" t="s">
        <v>245</v>
      </c>
      <c r="IM1" s="13" t="s">
        <v>246</v>
      </c>
      <c r="IN1" s="13" t="s">
        <v>247</v>
      </c>
      <c r="IO1" s="13" t="s">
        <v>248</v>
      </c>
      <c r="IP1" s="13" t="s">
        <v>249</v>
      </c>
      <c r="IQ1" s="13" t="s">
        <v>250</v>
      </c>
      <c r="IR1" s="13" t="s">
        <v>251</v>
      </c>
      <c r="IS1" s="13" t="s">
        <v>252</v>
      </c>
      <c r="IT1" s="13" t="s">
        <v>253</v>
      </c>
      <c r="IU1" s="13" t="s">
        <v>254</v>
      </c>
      <c r="IV1" s="13" t="s">
        <v>255</v>
      </c>
      <c r="IW1" s="13" t="s">
        <v>256</v>
      </c>
      <c r="IX1" s="13" t="s">
        <v>257</v>
      </c>
      <c r="IY1" s="13" t="s">
        <v>258</v>
      </c>
      <c r="IZ1" s="13" t="s">
        <v>259</v>
      </c>
      <c r="JA1" s="13" t="s">
        <v>260</v>
      </c>
      <c r="JB1" s="13" t="s">
        <v>261</v>
      </c>
      <c r="JC1" s="13" t="s">
        <v>262</v>
      </c>
      <c r="JD1" s="13" t="s">
        <v>263</v>
      </c>
      <c r="JE1" s="13" t="s">
        <v>264</v>
      </c>
      <c r="JF1" s="13" t="s">
        <v>265</v>
      </c>
      <c r="JG1" s="13" t="s">
        <v>266</v>
      </c>
      <c r="JH1" s="13" t="s">
        <v>267</v>
      </c>
      <c r="JI1" s="13" t="s">
        <v>268</v>
      </c>
      <c r="JJ1" s="13" t="s">
        <v>269</v>
      </c>
      <c r="JK1" s="13" t="s">
        <v>270</v>
      </c>
      <c r="JL1" s="13" t="s">
        <v>271</v>
      </c>
      <c r="JM1" s="13" t="s">
        <v>272</v>
      </c>
      <c r="JN1" s="13" t="s">
        <v>273</v>
      </c>
      <c r="JO1" s="13" t="s">
        <v>274</v>
      </c>
      <c r="JP1" s="13" t="s">
        <v>275</v>
      </c>
      <c r="JQ1" s="13" t="s">
        <v>276</v>
      </c>
      <c r="JR1" s="13" t="s">
        <v>277</v>
      </c>
      <c r="JS1" s="13" t="s">
        <v>278</v>
      </c>
      <c r="JT1" s="13" t="s">
        <v>279</v>
      </c>
      <c r="JU1" s="13" t="s">
        <v>280</v>
      </c>
      <c r="JV1" s="13" t="s">
        <v>281</v>
      </c>
      <c r="JW1" s="13" t="s">
        <v>282</v>
      </c>
      <c r="JX1" s="13" t="s">
        <v>283</v>
      </c>
      <c r="JY1" s="13" t="s">
        <v>284</v>
      </c>
      <c r="JZ1" s="13" t="s">
        <v>285</v>
      </c>
      <c r="KA1" s="13" t="s">
        <v>286</v>
      </c>
      <c r="KB1" s="13" t="s">
        <v>287</v>
      </c>
      <c r="KC1" s="13" t="s">
        <v>288</v>
      </c>
      <c r="KD1" s="13" t="s">
        <v>289</v>
      </c>
      <c r="KE1" s="13" t="s">
        <v>290</v>
      </c>
      <c r="KF1" s="13" t="s">
        <v>291</v>
      </c>
      <c r="KG1" s="13" t="s">
        <v>292</v>
      </c>
      <c r="KH1" s="13" t="s">
        <v>293</v>
      </c>
      <c r="KI1" s="13" t="s">
        <v>294</v>
      </c>
      <c r="KJ1" s="13" t="s">
        <v>295</v>
      </c>
      <c r="KK1" s="13" t="s">
        <v>296</v>
      </c>
      <c r="KL1" s="13" t="s">
        <v>297</v>
      </c>
      <c r="KM1" s="13" t="s">
        <v>298</v>
      </c>
      <c r="KN1" s="13" t="s">
        <v>299</v>
      </c>
      <c r="KO1" s="13" t="s">
        <v>300</v>
      </c>
      <c r="KP1" s="13" t="s">
        <v>301</v>
      </c>
      <c r="KQ1" s="13" t="s">
        <v>302</v>
      </c>
      <c r="KR1" s="13" t="s">
        <v>303</v>
      </c>
      <c r="KS1" s="13" t="s">
        <v>304</v>
      </c>
      <c r="KT1" s="13" t="s">
        <v>305</v>
      </c>
      <c r="KU1" s="13" t="s">
        <v>306</v>
      </c>
      <c r="KV1" s="13" t="s">
        <v>307</v>
      </c>
      <c r="KW1" s="13" t="s">
        <v>308</v>
      </c>
      <c r="KX1" s="13" t="s">
        <v>309</v>
      </c>
      <c r="KY1" s="13" t="s">
        <v>310</v>
      </c>
      <c r="KZ1" s="13" t="s">
        <v>311</v>
      </c>
      <c r="LA1" s="13" t="s">
        <v>312</v>
      </c>
      <c r="LB1" s="13" t="s">
        <v>313</v>
      </c>
      <c r="LC1" s="13" t="s">
        <v>314</v>
      </c>
      <c r="LD1" s="13" t="s">
        <v>315</v>
      </c>
      <c r="LE1" s="13" t="s">
        <v>316</v>
      </c>
      <c r="LF1" s="13" t="s">
        <v>317</v>
      </c>
      <c r="LG1" s="13" t="s">
        <v>318</v>
      </c>
      <c r="LH1" s="13" t="s">
        <v>319</v>
      </c>
      <c r="LI1" s="13" t="s">
        <v>320</v>
      </c>
      <c r="LJ1" s="13" t="s">
        <v>321</v>
      </c>
      <c r="LK1" s="13" t="s">
        <v>322</v>
      </c>
      <c r="LL1" s="13" t="s">
        <v>323</v>
      </c>
      <c r="LM1" s="13" t="s">
        <v>324</v>
      </c>
      <c r="LN1" s="13" t="s">
        <v>325</v>
      </c>
      <c r="LO1" s="13" t="s">
        <v>326</v>
      </c>
      <c r="LP1" s="13" t="s">
        <v>327</v>
      </c>
      <c r="LQ1" s="13" t="s">
        <v>328</v>
      </c>
      <c r="LR1" s="13" t="s">
        <v>329</v>
      </c>
      <c r="LS1" s="13" t="s">
        <v>330</v>
      </c>
      <c r="LT1" s="13" t="s">
        <v>331</v>
      </c>
      <c r="LU1" s="13" t="s">
        <v>332</v>
      </c>
      <c r="LV1" s="13" t="s">
        <v>333</v>
      </c>
      <c r="LW1" s="13" t="s">
        <v>334</v>
      </c>
      <c r="LX1" s="13" t="s">
        <v>335</v>
      </c>
      <c r="LY1" s="13" t="s">
        <v>336</v>
      </c>
      <c r="LZ1" s="13" t="s">
        <v>337</v>
      </c>
      <c r="MA1" s="13" t="s">
        <v>338</v>
      </c>
      <c r="MB1" s="13" t="s">
        <v>339</v>
      </c>
      <c r="MC1" s="13" t="s">
        <v>340</v>
      </c>
      <c r="MD1" s="13" t="s">
        <v>341</v>
      </c>
      <c r="ME1" s="13" t="s">
        <v>342</v>
      </c>
      <c r="MF1" s="13" t="s">
        <v>343</v>
      </c>
      <c r="MG1" s="13" t="s">
        <v>344</v>
      </c>
      <c r="MH1" s="13" t="s">
        <v>345</v>
      </c>
      <c r="MI1" s="13" t="s">
        <v>346</v>
      </c>
      <c r="MJ1" s="13" t="s">
        <v>347</v>
      </c>
      <c r="MK1" s="13" t="s">
        <v>348</v>
      </c>
      <c r="ML1" s="13" t="s">
        <v>349</v>
      </c>
      <c r="MM1" s="13" t="s">
        <v>350</v>
      </c>
      <c r="MN1" s="13" t="s">
        <v>351</v>
      </c>
      <c r="MO1" s="13" t="s">
        <v>352</v>
      </c>
      <c r="MP1" s="13" t="s">
        <v>353</v>
      </c>
      <c r="MQ1" s="13" t="s">
        <v>354</v>
      </c>
      <c r="MR1" s="13" t="s">
        <v>355</v>
      </c>
      <c r="MS1" s="13" t="s">
        <v>356</v>
      </c>
      <c r="MT1" s="13" t="s">
        <v>357</v>
      </c>
      <c r="MU1" s="13" t="s">
        <v>358</v>
      </c>
      <c r="MV1" s="13" t="s">
        <v>359</v>
      </c>
      <c r="MW1" s="13" t="s">
        <v>360</v>
      </c>
      <c r="MX1" s="13" t="s">
        <v>361</v>
      </c>
      <c r="MY1" s="13" t="s">
        <v>362</v>
      </c>
      <c r="MZ1" s="13" t="s">
        <v>363</v>
      </c>
      <c r="NA1" s="13" t="s">
        <v>364</v>
      </c>
      <c r="NB1" s="13" t="s">
        <v>365</v>
      </c>
      <c r="NC1" s="13" t="s">
        <v>366</v>
      </c>
      <c r="ND1" s="13" t="s">
        <v>367</v>
      </c>
      <c r="NE1" s="13" t="s">
        <v>368</v>
      </c>
      <c r="NF1" s="13" t="s">
        <v>369</v>
      </c>
      <c r="NG1" s="13" t="s">
        <v>370</v>
      </c>
      <c r="NH1" s="13" t="s">
        <v>371</v>
      </c>
      <c r="NI1" s="13" t="s">
        <v>372</v>
      </c>
      <c r="NJ1" s="13" t="s">
        <v>373</v>
      </c>
      <c r="NK1" s="13" t="s">
        <v>374</v>
      </c>
      <c r="NL1" s="13" t="s">
        <v>375</v>
      </c>
      <c r="NM1" s="13" t="s">
        <v>376</v>
      </c>
      <c r="NN1" s="13" t="s">
        <v>377</v>
      </c>
      <c r="NO1" s="13" t="s">
        <v>378</v>
      </c>
      <c r="NP1" s="13" t="s">
        <v>379</v>
      </c>
      <c r="NQ1" s="13" t="s">
        <v>380</v>
      </c>
      <c r="NR1" s="13" t="s">
        <v>381</v>
      </c>
      <c r="NS1" s="13" t="s">
        <v>382</v>
      </c>
      <c r="NT1" s="13" t="s">
        <v>383</v>
      </c>
      <c r="NU1" s="13" t="s">
        <v>384</v>
      </c>
      <c r="NV1" s="13" t="s">
        <v>385</v>
      </c>
      <c r="NW1" s="13" t="s">
        <v>386</v>
      </c>
      <c r="NX1" s="13" t="s">
        <v>387</v>
      </c>
      <c r="NY1" s="13" t="s">
        <v>388</v>
      </c>
      <c r="NZ1" s="13" t="s">
        <v>389</v>
      </c>
      <c r="OA1" s="13" t="s">
        <v>390</v>
      </c>
      <c r="OB1" s="14"/>
      <c r="OC1" s="14"/>
    </row>
    <row r="2">
      <c r="A2" s="14" t="s">
        <v>391</v>
      </c>
      <c r="B2" s="15" t="s">
        <v>392</v>
      </c>
      <c r="C2" s="16"/>
      <c r="D2" s="15" t="str">
        <f t="array" ref="D2:D1133">IF(ROW(D2:D1133), "Four Hands", )</f>
        <v>Four Hands</v>
      </c>
      <c r="G2" s="14" t="s">
        <v>393</v>
      </c>
      <c r="H2" s="14" t="s">
        <v>394</v>
      </c>
      <c r="I2" s="14" t="b">
        <v>1</v>
      </c>
      <c r="J2" s="14" t="s">
        <v>395</v>
      </c>
      <c r="L2" s="14" t="b">
        <v>0</v>
      </c>
      <c r="M2" s="15" t="s">
        <v>396</v>
      </c>
      <c r="N2" s="14" t="s">
        <v>393</v>
      </c>
      <c r="O2" s="14" t="s">
        <v>393</v>
      </c>
      <c r="P2" s="15" t="s">
        <v>397</v>
      </c>
      <c r="Q2" s="15" t="s">
        <v>398</v>
      </c>
      <c r="T2" s="14" t="b">
        <v>0</v>
      </c>
      <c r="U2" s="15" t="s">
        <v>399</v>
      </c>
      <c r="V2" s="15" t="s">
        <v>400</v>
      </c>
      <c r="W2" s="15" t="s">
        <v>401</v>
      </c>
      <c r="X2" s="15" t="s">
        <v>402</v>
      </c>
      <c r="Y2" s="15">
        <f t="array" ref="Y2:Y1133">IF(
    AA2:AA1133="",
    "",
    AA2:AA1133 * 2.6
  )</f>
        <v>5356</v>
      </c>
      <c r="AA2" s="15" t="str">
        <f t="shared" ref="AA2:AA3" si="1">"2060"</f>
        <v>2060</v>
      </c>
      <c r="AB2" s="14" t="b">
        <v>1</v>
      </c>
      <c r="AC2" s="14" t="b">
        <v>1</v>
      </c>
      <c r="AD2" s="15" t="str">
        <f>"801542240929"</f>
        <v>801542240929</v>
      </c>
      <c r="AE2" s="15" t="s">
        <v>403</v>
      </c>
      <c r="AF2" s="14" t="s">
        <v>404</v>
      </c>
      <c r="AG2" s="14" t="s">
        <v>405</v>
      </c>
      <c r="AH2" s="14" t="s">
        <v>406</v>
      </c>
      <c r="AI2" s="15">
        <v>0.0</v>
      </c>
      <c r="AL2" s="15" t="s">
        <v>407</v>
      </c>
      <c r="AM2" s="15" t="s">
        <v>408</v>
      </c>
      <c r="AN2" s="15" t="str">
        <f t="array" ref="AN2:AN1133">IF(
    AM2:AM1133="",
    "",
    "{""value"":" &amp; AM2:AM1133 &amp; ",""unit"":""in""}"
  )</f>
        <v>{"value":80,"unit":"in"}</v>
      </c>
      <c r="AO2" s="15" t="s">
        <v>409</v>
      </c>
      <c r="AP2" s="15" t="str">
        <f t="array" ref="AP2:AP1133">IF(
    AO2:AO1133="",
    "",
    "{""value"":" &amp; AO2:AO1133 &amp; ",""unit"":""in""}"
  )</f>
        <v>{"value":20,"unit":"in"}</v>
      </c>
      <c r="AQ2" s="15" t="s">
        <v>410</v>
      </c>
      <c r="AR2" s="15" t="str">
        <f t="array" ref="AR2:AR1133">IF(
    AQ2:AQ1133="",
    "",
    "{""value"":" &amp; AQ2:AQ1133 &amp; ",""unit"":""in""}"
  )</f>
        <v>{"value":32,"unit":"in"}</v>
      </c>
      <c r="AS2" s="15" t="s">
        <v>411</v>
      </c>
      <c r="AT2" s="15" t="s">
        <v>398</v>
      </c>
      <c r="AW2" s="17" t="s">
        <v>412</v>
      </c>
      <c r="AY2" s="15" t="s">
        <v>413</v>
      </c>
      <c r="AZ2" s="15" t="b">
        <f t="array" ref="AZ2:AZ1133">IF(AY2:AY1133="", "", IF(LOWER(AY2:AY1133)="yes", TRUE, IF(LOWER(AY2:AY1133)="no", FALSE, "")))
</f>
        <v>0</v>
      </c>
      <c r="BA2" s="15" t="s">
        <v>413</v>
      </c>
      <c r="BB2" s="15" t="b">
        <f t="array" ref="BB2:BB1133">IF(BA2:BA1133="", "", IF(LOWER(BA2:BA1133)="yes", TRUE, IF(LOWER(BA2:BA1133)="no", FALSE, "")))
</f>
        <v>0</v>
      </c>
      <c r="BC2" s="17" t="s">
        <v>414</v>
      </c>
      <c r="BD2" s="15" t="s">
        <v>415</v>
      </c>
      <c r="BE2" s="15" t="str">
        <f t="shared" ref="BE2:BE26" si="2">"1"</f>
        <v>1</v>
      </c>
      <c r="BF2" s="15" t="s">
        <v>416</v>
      </c>
      <c r="BG2" s="15" t="str">
        <f t="shared" ref="BG2:BG3" si="3">"85.04"</f>
        <v>85.04</v>
      </c>
      <c r="BH2" s="15" t="str">
        <f t="array" ref="BH2:BH1133">IF(ROW(BG2:BG1133)=1,
     "Dimension JSON",
     IF(BG2:BG1133="",
        "",
        "{""value"":"&amp;BG2:BG1133&amp;",""unit"":""in""}"
     )
  )</f>
        <v>{"value":85.04,"unit":"in"}</v>
      </c>
      <c r="BI2" s="15" t="str">
        <f t="shared" ref="BI2:BI3" si="4">"25.59"</f>
        <v>25.59</v>
      </c>
      <c r="BJ2" s="15" t="str">
        <f t="array" ref="BJ2:BJ1133">IF(ROW(BI2:BI1133)=1,
     "Dimension JSON",
     IF(BI2:BI1133="",
        "",
        "{""value"":"&amp;BI2:BI1133&amp;",""unit"":""in""}"
     )
  )</f>
        <v>{"value":25.59,"unit":"in"}</v>
      </c>
      <c r="BK2" s="15" t="str">
        <f t="shared" ref="BK2:BK3" si="5">"38.58"</f>
        <v>38.58</v>
      </c>
      <c r="BL2" s="15" t="str">
        <f t="array" ref="BL2:BL1133">IF(ROW(BK2:BK1133)=1,
     "Dimension JSON",
     IF(BK2:BK1133="",
        "",
        "{""value"":"&amp;BK2:BK1133&amp;",""unit"":""in""}"
     )
  )</f>
        <v>{"value":38.58,"unit":"in"}</v>
      </c>
      <c r="BM2" s="15" t="str">
        <f t="shared" ref="BM2:BM3" si="6">"384.26"</f>
        <v>384.26</v>
      </c>
      <c r="BN2" s="15" t="str">
        <f t="array" ref="BN2:BN1133">IF(
    BM2:BM1133="",
    "",
    "{""value"":" &amp; BM2:BM1133 &amp; ",""unit"":""lb""}"
  )</f>
        <v>{"value":384.26,"unit":"lb"}</v>
      </c>
      <c r="BQ2" s="15" t="str">
        <f t="array" ref="BQ2:BQ1133">IF(
    BP2:BP1133="",
    "",
    "{""value"":" &amp; BP2:BP1133 &amp; ",""unit"":""in""}"
  )</f>
        <v/>
      </c>
      <c r="BS2" s="15" t="str">
        <f t="array" ref="BS2:BS1133">IF(
    BR2:BR1133="",
    "",
    "{""value"":" &amp; BR2:BR1133 &amp; ",""unit"":""in""}"
  )</f>
        <v/>
      </c>
      <c r="BU2" s="15" t="str">
        <f t="array" ref="BU2:BU1133">IF(
    BT2:BT1133="",
    "",
    "{""value"":" &amp; BT2:BT1133 &amp; ",""unit"":""in""}"
  )</f>
        <v/>
      </c>
      <c r="BW2" s="15" t="str">
        <f t="array" ref="BW2:BW1133">IF(
    BV2:BV1133="",
    "",
    "{""value"":" &amp; BV2:BV1133 &amp; ",""unit"":""lb""}"
  )</f>
        <v/>
      </c>
      <c r="BZ2" s="15" t="str">
        <f t="array" ref="BZ2:BZ1133">IF(
    BY2:BY1133="",
    "",
    "{""value"":" &amp; BY2:BY1133 &amp; ",""unit"":""in""}"
  )</f>
        <v/>
      </c>
      <c r="CB2" s="15" t="str">
        <f t="array" ref="CB2:CB1133">IF(
    CA2:CA1133="",
    "",
    "{""value"":" &amp; CA2:CA1133 &amp; ",""unit"":""in""}"
  )</f>
        <v/>
      </c>
      <c r="CD2" s="15" t="str">
        <f t="array" ref="CD2:CD1133">IF(
    CC2:CC1133="",
    "",
    "{""value"":" &amp; CC2:CC1133 &amp; ",""unit"":""in""}"
  )</f>
        <v/>
      </c>
      <c r="CF2" s="15" t="str">
        <f t="array" ref="CF2:CF1133">IF(
    CE2:CE1133="",
    "",
    "{""value"":" &amp; CE2:CE1133 &amp; ",""unit"":""lb""}"
  )</f>
        <v/>
      </c>
      <c r="CI2" s="15" t="str">
        <f t="array" ref="CI2:CI1133">IF(
    CH2:CH1133="",
    "",
    "{""value"":" &amp; CH2:CH1133 &amp; ",""unit"":""in""}"
  )</f>
        <v/>
      </c>
      <c r="CK2" s="15" t="str">
        <f t="array" ref="CK2:CK1133">IF(
    CJ2:CJ1133="",
    "",
    "{""value"":" &amp; CJ2:CJ1133 &amp; ",""unit"":""in""}"
  )</f>
        <v/>
      </c>
      <c r="CM2" s="15" t="str">
        <f t="array" ref="CM2:CM1133">IF(
    CL2:CL1133="",
    "",
    "{""value"":" &amp; CL2:CL1133 &amp; ",""unit"":""in""}"
  )</f>
        <v/>
      </c>
      <c r="CO2" s="15" t="str">
        <f t="array" ref="CO2:CO1133">IF(
    CN2:CN1133="",
    "",
    "{""value"":" &amp; CN2:CN1133 &amp; ",""unit"":""lb""}"
  )</f>
        <v/>
      </c>
      <c r="CP2" s="15" t="str">
        <f t="shared" ref="CP2:CP3" si="7">"48.59"</f>
        <v>48.59</v>
      </c>
      <c r="CQ2" s="15" t="str">
        <f t="shared" ref="CQ2:CQ3" si="8">"1.376"</f>
        <v>1.376</v>
      </c>
      <c r="CR2" s="15" t="s">
        <v>417</v>
      </c>
      <c r="DC2" s="15" t="str">
        <f>IFERROR(__xludf.DUMMYFUNCTION("ArrayFormula(
  IF(
    DB2:DB1133="""",
    """",
    ""{""""value"""":"" &amp;
       REGEXEXTRACT(DB2:DB1133, ""[0-9]+(?:\.[0-9]+)?"")
    &amp; "",""""unit"""":""""in""""}""
  )
)"),"")</f>
        <v/>
      </c>
      <c r="DE2" s="15" t="str">
        <f>IFERROR(__xludf.DUMMYFUNCTION("ArrayFormula(
  IF(
    DD2:DD1133="""",
    """",
    ""{""""value"""":"" &amp;
       REGEXEXTRACT(DD2:DD1133, ""[0-9]+(?:\.[0-9]+)?"")
    &amp; "",""""unit"""":""""in""""}""
  )
)"),"")</f>
        <v/>
      </c>
      <c r="DG2" s="15" t="str">
        <f>IFERROR(__xludf.DUMMYFUNCTION("ArrayFormula(
  IF(
    DF2:DF1133="""",
    """",
    ""{""""value"""":"" &amp;
       REGEXEXTRACT(DF2:DF1133, ""[0-9]+(?:\.[0-9]+)?"")
    &amp; "",""""unit"""":""""in""""}""
  )
)"),"")</f>
        <v/>
      </c>
      <c r="DL2" s="15" t="str">
        <f>IFERROR(__xludf.DUMMYFUNCTION("ARRAYFORMULA(IF(DK2:DK1133="""", """", 
  IF(REGEXMATCH(DK2:DK1133, ""^(WS|W/S|S/W)\b""), ""Spot clean with water-based or solvent-based cleaner. Use mild detergent or upholstery shampoo."",
  IF(REGEXMATCH(DK2:DK1133, ""^W\b""), ""Clean with water-based "&amp;"products only. Use mild detergent or upholstery shampoo."",
  IF(REGEXMATCH(DK2:DK1133, ""^S\b""), ""Clean with solvent-based (dry clean only) products. Do not use water."",
  IF(REGEXMATCH(DK2:DK1133, ""^X\b""), ""Vacuum or light brush only. Do not use w"&amp;"ater or any cleaning products."",
  IF(REGEXMATCH(DK2:DK1133, ""^DC\b""), ""Dry clean only. Professional cleaning recommended."",
  IF(REGEXMATCH(DK2:DK1133, ""^C\b""), ""Crypton® fabric. Clean with water-based cleaners; some are bleach safe. Check fabric"&amp;" specs."",
  ""Unknown cleaning code – please check with the manufacturer.""
))))))))"),"")</f>
        <v/>
      </c>
      <c r="DM2" s="15" t="str">
        <f t="array" ref="DM2:DM1133">IF(DK2:DK1133="", "", LEFT(DK2:DK1133, FIND(" ", DK2:DK1133)-1))</f>
        <v/>
      </c>
      <c r="DN2" s="15" t="s">
        <v>418</v>
      </c>
      <c r="DO2" s="15">
        <v>6.0</v>
      </c>
      <c r="DP2" s="15" t="s">
        <v>419</v>
      </c>
      <c r="DR2" s="15">
        <v>0.0</v>
      </c>
      <c r="DT2" s="15" t="s">
        <v>420</v>
      </c>
      <c r="DU2" s="15" t="s">
        <v>421</v>
      </c>
      <c r="DY2" s="15">
        <v>0.0</v>
      </c>
      <c r="EF2" s="15" t="s">
        <v>422</v>
      </c>
      <c r="EG2" s="15" t="str">
        <f t="array" ref="EG2:EG1133">IF(
    EF2:EF1133="",
    "",
    "[""" &amp; SUBSTITUTE(EF2:EF1133, "/", """,""") &amp; """]"
  )</f>
        <v>["Wide"]</v>
      </c>
      <c r="EH2" s="15" t="s">
        <v>423</v>
      </c>
      <c r="EJ2" s="17" t="s">
        <v>424</v>
      </c>
      <c r="EK2" s="15" t="str">
        <f t="array" ref="EK2:EK1133">IF(
    EJ2:EJ1133="",
    "",
    "{""value"":" &amp; SUBSTITUTE(EJ2:EJ1133, " lb", "") &amp; ",""unit"":""lb""}"
  )</f>
        <v>{"value":200,"unit":"lb"}</v>
      </c>
      <c r="EM2" s="15" t="str">
        <f>IFERROR(__xludf.DUMMYFUNCTION("ArrayFormula(
  IF(
    EL2:EL1133="""",
    """",
    ""{""""value"""":"" &amp;
      REGEXEXTRACT( EL2:EL1133, ""[0-9]+(?:\.[0-9]+)?"") &amp;
    "",""""unit"""":""""in""""}""
  )
)"),"")</f>
        <v/>
      </c>
      <c r="EW2" s="15" t="s">
        <v>425</v>
      </c>
      <c r="FL2" s="15" t="s">
        <v>426</v>
      </c>
      <c r="FM2" s="15">
        <v>0.0</v>
      </c>
      <c r="GH2" s="15">
        <v>0.0</v>
      </c>
      <c r="GI2" s="15" t="s">
        <v>427</v>
      </c>
      <c r="GO2" s="15" t="s">
        <v>426</v>
      </c>
      <c r="GQ2" s="15" t="s">
        <v>428</v>
      </c>
      <c r="GS2" s="15" t="s">
        <v>429</v>
      </c>
      <c r="GU2" s="15" t="s">
        <v>430</v>
      </c>
      <c r="GW2" s="15" t="s">
        <v>431</v>
      </c>
    </row>
    <row r="3">
      <c r="A3" s="14" t="s">
        <v>391</v>
      </c>
      <c r="B3" s="15" t="s">
        <v>392</v>
      </c>
      <c r="C3" s="16"/>
      <c r="D3" s="15" t="s">
        <v>432</v>
      </c>
      <c r="G3" s="14" t="s">
        <v>393</v>
      </c>
      <c r="H3" s="14" t="s">
        <v>394</v>
      </c>
      <c r="I3" s="14" t="b">
        <v>1</v>
      </c>
      <c r="J3" s="14" t="s">
        <v>395</v>
      </c>
      <c r="L3" s="14" t="b">
        <v>0</v>
      </c>
      <c r="M3" s="15" t="s">
        <v>433</v>
      </c>
      <c r="N3" s="14" t="s">
        <v>393</v>
      </c>
      <c r="O3" s="14" t="s">
        <v>393</v>
      </c>
      <c r="P3" s="15" t="s">
        <v>397</v>
      </c>
      <c r="Q3" s="15" t="s">
        <v>434</v>
      </c>
      <c r="T3" s="14" t="b">
        <v>0</v>
      </c>
      <c r="U3" s="15" t="s">
        <v>435</v>
      </c>
      <c r="V3" s="15" t="s">
        <v>400</v>
      </c>
      <c r="W3" s="15" t="s">
        <v>401</v>
      </c>
      <c r="X3" s="15" t="s">
        <v>402</v>
      </c>
      <c r="Y3" s="15">
        <v>5356.0</v>
      </c>
      <c r="AA3" s="15" t="str">
        <f t="shared" si="1"/>
        <v>2060</v>
      </c>
      <c r="AB3" s="14" t="b">
        <v>1</v>
      </c>
      <c r="AC3" s="14" t="b">
        <v>1</v>
      </c>
      <c r="AD3" s="15" t="str">
        <f>"801542240936"</f>
        <v>801542240936</v>
      </c>
      <c r="AE3" s="15" t="s">
        <v>436</v>
      </c>
      <c r="AF3" s="14" t="s">
        <v>404</v>
      </c>
      <c r="AG3" s="14" t="s">
        <v>405</v>
      </c>
      <c r="AH3" s="14" t="s">
        <v>406</v>
      </c>
      <c r="AI3" s="15">
        <v>0.0</v>
      </c>
      <c r="AL3" s="15" t="s">
        <v>407</v>
      </c>
      <c r="AM3" s="15" t="s">
        <v>408</v>
      </c>
      <c r="AN3" s="15" t="s">
        <v>437</v>
      </c>
      <c r="AO3" s="15" t="s">
        <v>409</v>
      </c>
      <c r="AP3" s="15" t="s">
        <v>438</v>
      </c>
      <c r="AQ3" s="15" t="s">
        <v>410</v>
      </c>
      <c r="AR3" s="15" t="s">
        <v>439</v>
      </c>
      <c r="AS3" s="15" t="s">
        <v>411</v>
      </c>
      <c r="AT3" s="15" t="s">
        <v>434</v>
      </c>
      <c r="AW3" s="15" t="s">
        <v>412</v>
      </c>
      <c r="AY3" s="15" t="s">
        <v>413</v>
      </c>
      <c r="AZ3" s="15" t="b">
        <v>0</v>
      </c>
      <c r="BA3" s="15" t="s">
        <v>413</v>
      </c>
      <c r="BB3" s="15" t="b">
        <v>0</v>
      </c>
      <c r="BC3" s="18" t="s">
        <v>414</v>
      </c>
      <c r="BD3" s="15" t="s">
        <v>415</v>
      </c>
      <c r="BE3" s="15" t="str">
        <f t="shared" si="2"/>
        <v>1</v>
      </c>
      <c r="BF3" s="15" t="s">
        <v>416</v>
      </c>
      <c r="BG3" s="15" t="str">
        <f t="shared" si="3"/>
        <v>85.04</v>
      </c>
      <c r="BH3" s="15" t="s">
        <v>440</v>
      </c>
      <c r="BI3" s="15" t="str">
        <f t="shared" si="4"/>
        <v>25.59</v>
      </c>
      <c r="BJ3" s="15" t="s">
        <v>441</v>
      </c>
      <c r="BK3" s="15" t="str">
        <f t="shared" si="5"/>
        <v>38.58</v>
      </c>
      <c r="BL3" s="15" t="s">
        <v>442</v>
      </c>
      <c r="BM3" s="15" t="str">
        <f t="shared" si="6"/>
        <v>384.26</v>
      </c>
      <c r="BN3" s="15" t="s">
        <v>443</v>
      </c>
      <c r="BQ3" s="15" t="s">
        <v>444</v>
      </c>
      <c r="BS3" s="15" t="s">
        <v>444</v>
      </c>
      <c r="BU3" s="15" t="s">
        <v>444</v>
      </c>
      <c r="BW3" s="15" t="s">
        <v>444</v>
      </c>
      <c r="BZ3" s="15" t="s">
        <v>444</v>
      </c>
      <c r="CB3" s="15" t="s">
        <v>444</v>
      </c>
      <c r="CD3" s="15" t="s">
        <v>444</v>
      </c>
      <c r="CF3" s="15" t="s">
        <v>444</v>
      </c>
      <c r="CI3" s="15" t="s">
        <v>444</v>
      </c>
      <c r="CK3" s="15" t="s">
        <v>444</v>
      </c>
      <c r="CM3" s="15" t="s">
        <v>444</v>
      </c>
      <c r="CO3" s="15" t="s">
        <v>444</v>
      </c>
      <c r="CP3" s="15" t="str">
        <f t="shared" si="7"/>
        <v>48.59</v>
      </c>
      <c r="CQ3" s="15" t="str">
        <f t="shared" si="8"/>
        <v>1.376</v>
      </c>
      <c r="CR3" s="15" t="s">
        <v>417</v>
      </c>
      <c r="DC3" s="15" t="str">
        <f>IFERROR(__xludf.DUMMYFUNCTION("""COMPUTED_VALUE"""),"")</f>
        <v/>
      </c>
      <c r="DE3" s="15" t="str">
        <f>IFERROR(__xludf.DUMMYFUNCTION("""COMPUTED_VALUE"""),"")</f>
        <v/>
      </c>
      <c r="DG3" s="15" t="str">
        <f>IFERROR(__xludf.DUMMYFUNCTION("""COMPUTED_VALUE"""),"")</f>
        <v/>
      </c>
      <c r="DL3" s="15" t="str">
        <f>IFERROR(__xludf.DUMMYFUNCTION("""COMPUTED_VALUE"""),"")</f>
        <v/>
      </c>
      <c r="DM3" s="15" t="s">
        <v>444</v>
      </c>
      <c r="DN3" s="15" t="s">
        <v>418</v>
      </c>
      <c r="DO3" s="15">
        <v>6.0</v>
      </c>
      <c r="DP3" s="15" t="s">
        <v>419</v>
      </c>
      <c r="DR3" s="15">
        <v>0.0</v>
      </c>
      <c r="DT3" s="15" t="s">
        <v>420</v>
      </c>
      <c r="DU3" s="15" t="s">
        <v>421</v>
      </c>
      <c r="DY3" s="15">
        <v>0.0</v>
      </c>
      <c r="EF3" s="15" t="s">
        <v>422</v>
      </c>
      <c r="EG3" s="15" t="s">
        <v>445</v>
      </c>
      <c r="EH3" s="15" t="s">
        <v>423</v>
      </c>
      <c r="EJ3" s="15" t="s">
        <v>424</v>
      </c>
      <c r="EK3" s="15" t="s">
        <v>446</v>
      </c>
      <c r="EM3" s="15" t="str">
        <f>IFERROR(__xludf.DUMMYFUNCTION("""COMPUTED_VALUE"""),"")</f>
        <v/>
      </c>
      <c r="EW3" s="15" t="s">
        <v>425</v>
      </c>
      <c r="FL3" s="15" t="s">
        <v>426</v>
      </c>
      <c r="FM3" s="15">
        <v>0.0</v>
      </c>
      <c r="GH3" s="15">
        <v>0.0</v>
      </c>
      <c r="GI3" s="15" t="s">
        <v>427</v>
      </c>
      <c r="GO3" s="15" t="s">
        <v>426</v>
      </c>
      <c r="GQ3" s="15" t="s">
        <v>428</v>
      </c>
      <c r="GS3" s="15" t="s">
        <v>429</v>
      </c>
      <c r="GU3" s="15" t="s">
        <v>430</v>
      </c>
      <c r="GW3" s="15" t="s">
        <v>431</v>
      </c>
    </row>
    <row r="4">
      <c r="A4" s="14" t="s">
        <v>391</v>
      </c>
      <c r="B4" s="15" t="s">
        <v>447</v>
      </c>
      <c r="C4" s="16"/>
      <c r="D4" s="15" t="s">
        <v>432</v>
      </c>
      <c r="G4" s="14" t="s">
        <v>393</v>
      </c>
      <c r="H4" s="14" t="s">
        <v>394</v>
      </c>
      <c r="I4" s="14" t="b">
        <v>1</v>
      </c>
      <c r="J4" s="14" t="s">
        <v>395</v>
      </c>
      <c r="L4" s="14" t="b">
        <v>0</v>
      </c>
      <c r="M4" s="15" t="s">
        <v>448</v>
      </c>
      <c r="N4" s="14" t="s">
        <v>393</v>
      </c>
      <c r="O4" s="14" t="s">
        <v>393</v>
      </c>
      <c r="P4" s="15" t="s">
        <v>397</v>
      </c>
      <c r="Q4" s="15" t="s">
        <v>398</v>
      </c>
      <c r="T4" s="14" t="b">
        <v>0</v>
      </c>
      <c r="U4" s="15" t="s">
        <v>449</v>
      </c>
      <c r="V4" s="15" t="s">
        <v>450</v>
      </c>
      <c r="W4" s="15" t="s">
        <v>401</v>
      </c>
      <c r="X4" s="15" t="s">
        <v>402</v>
      </c>
      <c r="Y4" s="15">
        <v>2301.0</v>
      </c>
      <c r="AA4" s="15" t="str">
        <f t="shared" ref="AA4:AA5" si="9">"885"</f>
        <v>885</v>
      </c>
      <c r="AB4" s="14" t="b">
        <v>1</v>
      </c>
      <c r="AC4" s="14" t="b">
        <v>1</v>
      </c>
      <c r="AD4" s="15" t="str">
        <f>"801542200787"</f>
        <v>801542200787</v>
      </c>
      <c r="AE4" s="15" t="s">
        <v>451</v>
      </c>
      <c r="AF4" s="14" t="s">
        <v>404</v>
      </c>
      <c r="AG4" s="14" t="s">
        <v>405</v>
      </c>
      <c r="AH4" s="14" t="s">
        <v>406</v>
      </c>
      <c r="AI4" s="15">
        <v>0.0</v>
      </c>
      <c r="AL4" s="15" t="s">
        <v>407</v>
      </c>
      <c r="AM4" s="15" t="s">
        <v>452</v>
      </c>
      <c r="AN4" s="15" t="s">
        <v>453</v>
      </c>
      <c r="AO4" s="15" t="s">
        <v>454</v>
      </c>
      <c r="AP4" s="15" t="s">
        <v>455</v>
      </c>
      <c r="AQ4" s="15" t="s">
        <v>456</v>
      </c>
      <c r="AR4" s="15" t="s">
        <v>457</v>
      </c>
      <c r="AS4" s="15" t="s">
        <v>411</v>
      </c>
      <c r="AT4" s="15" t="s">
        <v>398</v>
      </c>
      <c r="AW4" s="15" t="s">
        <v>458</v>
      </c>
      <c r="AX4" s="15" t="s">
        <v>459</v>
      </c>
      <c r="AY4" s="15" t="s">
        <v>426</v>
      </c>
      <c r="AZ4" s="15" t="b">
        <v>1</v>
      </c>
      <c r="BA4" s="15" t="s">
        <v>413</v>
      </c>
      <c r="BB4" s="15" t="b">
        <v>0</v>
      </c>
      <c r="BC4" s="17" t="s">
        <v>460</v>
      </c>
      <c r="BD4" s="15" t="s">
        <v>415</v>
      </c>
      <c r="BE4" s="15" t="str">
        <f t="shared" si="2"/>
        <v>1</v>
      </c>
      <c r="BF4" s="15" t="s">
        <v>416</v>
      </c>
      <c r="BG4" s="15" t="str">
        <f t="shared" ref="BG4:BG5" si="10">"75.2"</f>
        <v>75.2</v>
      </c>
      <c r="BH4" s="15" t="s">
        <v>461</v>
      </c>
      <c r="BI4" s="15" t="str">
        <f t="shared" ref="BI4:BI5" si="11">"24.25"</f>
        <v>24.25</v>
      </c>
      <c r="BJ4" s="15" t="s">
        <v>462</v>
      </c>
      <c r="BK4" s="15" t="str">
        <f t="shared" ref="BK4:BK5" si="12">"24.21"</f>
        <v>24.21</v>
      </c>
      <c r="BL4" s="15" t="s">
        <v>463</v>
      </c>
      <c r="BM4" s="15" t="str">
        <f t="shared" ref="BM4:BM5" si="13">"142.64"</f>
        <v>142.64</v>
      </c>
      <c r="BN4" s="15" t="s">
        <v>464</v>
      </c>
      <c r="BQ4" s="15" t="s">
        <v>444</v>
      </c>
      <c r="BS4" s="15" t="s">
        <v>444</v>
      </c>
      <c r="BU4" s="15" t="s">
        <v>444</v>
      </c>
      <c r="BW4" s="15" t="s">
        <v>444</v>
      </c>
      <c r="BZ4" s="15" t="s">
        <v>444</v>
      </c>
      <c r="CB4" s="15" t="s">
        <v>444</v>
      </c>
      <c r="CD4" s="15" t="s">
        <v>444</v>
      </c>
      <c r="CF4" s="15" t="s">
        <v>444</v>
      </c>
      <c r="CI4" s="15" t="s">
        <v>444</v>
      </c>
      <c r="CK4" s="15" t="s">
        <v>444</v>
      </c>
      <c r="CM4" s="15" t="s">
        <v>444</v>
      </c>
      <c r="CO4" s="15" t="s">
        <v>444</v>
      </c>
      <c r="CP4" s="15" t="str">
        <f t="shared" ref="CP4:CP5" si="14">"25.57"</f>
        <v>25.57</v>
      </c>
      <c r="CQ4" s="15" t="str">
        <f t="shared" ref="CQ4:CQ5" si="15">"0.724"</f>
        <v>0.724</v>
      </c>
      <c r="CR4" s="15" t="s">
        <v>465</v>
      </c>
      <c r="DB4" s="15" t="s">
        <v>466</v>
      </c>
      <c r="DC4" s="15" t="str">
        <f>IFERROR(__xludf.DUMMYFUNCTION("""COMPUTED_VALUE"""),"{""value"":19.25,""unit"":""in""}")</f>
        <v>{"value":19.25,"unit":"in"}</v>
      </c>
      <c r="DD4" s="15" t="s">
        <v>467</v>
      </c>
      <c r="DE4" s="15" t="str">
        <f>IFERROR(__xludf.DUMMYFUNCTION("""COMPUTED_VALUE"""),"{""value"":19.00,""unit"":""in""}")</f>
        <v>{"value":19.00,"unit":"in"}</v>
      </c>
      <c r="DF4" s="15" t="s">
        <v>468</v>
      </c>
      <c r="DG4" s="15" t="str">
        <f>IFERROR(__xludf.DUMMYFUNCTION("""COMPUTED_VALUE"""),"{""value"":70.00,""unit"":""in""}")</f>
        <v>{"value":70.00,"unit":"in"}</v>
      </c>
      <c r="DH4" s="15">
        <v>0.0</v>
      </c>
      <c r="DI4" s="15">
        <v>0.0</v>
      </c>
      <c r="DJ4" s="15" t="s">
        <v>469</v>
      </c>
      <c r="DL4" s="15" t="str">
        <f>IFERROR(__xludf.DUMMYFUNCTION("""COMPUTED_VALUE"""),"")</f>
        <v/>
      </c>
      <c r="DM4" s="15" t="s">
        <v>444</v>
      </c>
      <c r="DN4" s="15" t="s">
        <v>419</v>
      </c>
      <c r="DO4" s="15">
        <v>0.0</v>
      </c>
      <c r="DP4" s="15" t="s">
        <v>419</v>
      </c>
      <c r="DR4" s="15">
        <v>0.0</v>
      </c>
      <c r="DT4" s="15" t="s">
        <v>420</v>
      </c>
      <c r="DU4" s="15" t="s">
        <v>419</v>
      </c>
      <c r="DV4" s="15">
        <v>0.0</v>
      </c>
      <c r="DW4" s="15">
        <v>0.0</v>
      </c>
      <c r="DX4" s="15">
        <v>0.0</v>
      </c>
      <c r="DY4" s="15">
        <v>0.0</v>
      </c>
      <c r="EA4" s="15" t="s">
        <v>470</v>
      </c>
      <c r="ED4" s="15">
        <v>0.0</v>
      </c>
      <c r="EE4" s="15">
        <v>3.0</v>
      </c>
      <c r="EF4" s="15" t="s">
        <v>471</v>
      </c>
      <c r="EG4" s="15" t="s">
        <v>472</v>
      </c>
      <c r="EH4" s="15" t="s">
        <v>423</v>
      </c>
      <c r="EI4" s="15">
        <v>0.0</v>
      </c>
      <c r="EJ4" s="15" t="s">
        <v>473</v>
      </c>
      <c r="EK4" s="15" t="s">
        <v>474</v>
      </c>
      <c r="EM4" s="15" t="str">
        <f>IFERROR(__xludf.DUMMYFUNCTION("""COMPUTED_VALUE"""),"")</f>
        <v/>
      </c>
      <c r="EW4" s="15" t="s">
        <v>475</v>
      </c>
      <c r="EX4" s="15" t="s">
        <v>476</v>
      </c>
      <c r="EY4" s="15" t="s">
        <v>477</v>
      </c>
      <c r="FL4" s="15" t="s">
        <v>426</v>
      </c>
    </row>
    <row r="5">
      <c r="A5" s="14" t="s">
        <v>391</v>
      </c>
      <c r="B5" s="15" t="s">
        <v>447</v>
      </c>
      <c r="C5" s="16"/>
      <c r="D5" s="15" t="s">
        <v>432</v>
      </c>
      <c r="G5" s="14" t="s">
        <v>393</v>
      </c>
      <c r="H5" s="14" t="s">
        <v>394</v>
      </c>
      <c r="I5" s="14" t="b">
        <v>1</v>
      </c>
      <c r="J5" s="14" t="s">
        <v>395</v>
      </c>
      <c r="L5" s="14" t="b">
        <v>0</v>
      </c>
      <c r="M5" s="15" t="s">
        <v>478</v>
      </c>
      <c r="N5" s="14" t="s">
        <v>393</v>
      </c>
      <c r="O5" s="14" t="s">
        <v>393</v>
      </c>
      <c r="P5" s="15" t="s">
        <v>397</v>
      </c>
      <c r="Q5" s="15" t="s">
        <v>434</v>
      </c>
      <c r="T5" s="14" t="b">
        <v>0</v>
      </c>
      <c r="U5" s="15" t="s">
        <v>479</v>
      </c>
      <c r="V5" s="15" t="s">
        <v>450</v>
      </c>
      <c r="W5" s="15" t="s">
        <v>401</v>
      </c>
      <c r="X5" s="15" t="s">
        <v>402</v>
      </c>
      <c r="Y5" s="15">
        <v>2301.0</v>
      </c>
      <c r="AA5" s="15" t="str">
        <f t="shared" si="9"/>
        <v>885</v>
      </c>
      <c r="AB5" s="14" t="b">
        <v>1</v>
      </c>
      <c r="AC5" s="14" t="b">
        <v>1</v>
      </c>
      <c r="AD5" s="15" t="str">
        <f>"801542200244"</f>
        <v>801542200244</v>
      </c>
      <c r="AE5" s="15" t="s">
        <v>480</v>
      </c>
      <c r="AF5" s="14" t="s">
        <v>404</v>
      </c>
      <c r="AG5" s="14" t="s">
        <v>405</v>
      </c>
      <c r="AH5" s="14" t="s">
        <v>406</v>
      </c>
      <c r="AI5" s="15">
        <v>0.0</v>
      </c>
      <c r="AL5" s="15" t="s">
        <v>407</v>
      </c>
      <c r="AM5" s="15" t="s">
        <v>452</v>
      </c>
      <c r="AN5" s="15" t="s">
        <v>453</v>
      </c>
      <c r="AO5" s="15" t="s">
        <v>454</v>
      </c>
      <c r="AP5" s="15" t="s">
        <v>455</v>
      </c>
      <c r="AQ5" s="15" t="s">
        <v>456</v>
      </c>
      <c r="AR5" s="15" t="s">
        <v>457</v>
      </c>
      <c r="AS5" s="15" t="s">
        <v>411</v>
      </c>
      <c r="AT5" s="15" t="s">
        <v>434</v>
      </c>
      <c r="AW5" s="15" t="s">
        <v>458</v>
      </c>
      <c r="AX5" s="15" t="s">
        <v>459</v>
      </c>
      <c r="AY5" s="15" t="s">
        <v>426</v>
      </c>
      <c r="AZ5" s="15" t="b">
        <v>1</v>
      </c>
      <c r="BA5" s="15" t="s">
        <v>413</v>
      </c>
      <c r="BB5" s="15" t="b">
        <v>0</v>
      </c>
      <c r="BC5" s="15" t="s">
        <v>481</v>
      </c>
      <c r="BD5" s="15" t="s">
        <v>415</v>
      </c>
      <c r="BE5" s="15" t="str">
        <f t="shared" si="2"/>
        <v>1</v>
      </c>
      <c r="BF5" s="15" t="s">
        <v>416</v>
      </c>
      <c r="BG5" s="15" t="str">
        <f t="shared" si="10"/>
        <v>75.2</v>
      </c>
      <c r="BH5" s="15" t="s">
        <v>461</v>
      </c>
      <c r="BI5" s="15" t="str">
        <f t="shared" si="11"/>
        <v>24.25</v>
      </c>
      <c r="BJ5" s="15" t="s">
        <v>462</v>
      </c>
      <c r="BK5" s="15" t="str">
        <f t="shared" si="12"/>
        <v>24.21</v>
      </c>
      <c r="BL5" s="15" t="s">
        <v>463</v>
      </c>
      <c r="BM5" s="15" t="str">
        <f t="shared" si="13"/>
        <v>142.64</v>
      </c>
      <c r="BN5" s="15" t="s">
        <v>464</v>
      </c>
      <c r="BQ5" s="15" t="s">
        <v>444</v>
      </c>
      <c r="BS5" s="15" t="s">
        <v>444</v>
      </c>
      <c r="BU5" s="15" t="s">
        <v>444</v>
      </c>
      <c r="BW5" s="15" t="s">
        <v>444</v>
      </c>
      <c r="BZ5" s="15" t="s">
        <v>444</v>
      </c>
      <c r="CB5" s="15" t="s">
        <v>444</v>
      </c>
      <c r="CD5" s="15" t="s">
        <v>444</v>
      </c>
      <c r="CF5" s="15" t="s">
        <v>444</v>
      </c>
      <c r="CI5" s="15" t="s">
        <v>444</v>
      </c>
      <c r="CK5" s="15" t="s">
        <v>444</v>
      </c>
      <c r="CM5" s="15" t="s">
        <v>444</v>
      </c>
      <c r="CO5" s="15" t="s">
        <v>444</v>
      </c>
      <c r="CP5" s="15" t="str">
        <f t="shared" si="14"/>
        <v>25.57</v>
      </c>
      <c r="CQ5" s="15" t="str">
        <f t="shared" si="15"/>
        <v>0.724</v>
      </c>
      <c r="CR5" s="15" t="s">
        <v>465</v>
      </c>
      <c r="DB5" s="15" t="s">
        <v>466</v>
      </c>
      <c r="DC5" s="15" t="str">
        <f>IFERROR(__xludf.DUMMYFUNCTION("""COMPUTED_VALUE"""),"{""value"":19.25,""unit"":""in""}")</f>
        <v>{"value":19.25,"unit":"in"}</v>
      </c>
      <c r="DD5" s="15" t="s">
        <v>467</v>
      </c>
      <c r="DE5" s="15" t="str">
        <f>IFERROR(__xludf.DUMMYFUNCTION("""COMPUTED_VALUE"""),"{""value"":19.00,""unit"":""in""}")</f>
        <v>{"value":19.00,"unit":"in"}</v>
      </c>
      <c r="DF5" s="15" t="s">
        <v>468</v>
      </c>
      <c r="DG5" s="15" t="str">
        <f>IFERROR(__xludf.DUMMYFUNCTION("""COMPUTED_VALUE"""),"{""value"":70.00,""unit"":""in""}")</f>
        <v>{"value":70.00,"unit":"in"}</v>
      </c>
      <c r="DH5" s="15">
        <v>0.0</v>
      </c>
      <c r="DI5" s="15">
        <v>0.0</v>
      </c>
      <c r="DJ5" s="15" t="s">
        <v>469</v>
      </c>
      <c r="DL5" s="17" t="str">
        <f>IFERROR(__xludf.DUMMYFUNCTION("""COMPUTED_VALUE"""),"")</f>
        <v/>
      </c>
      <c r="DM5" s="15" t="s">
        <v>444</v>
      </c>
      <c r="DN5" s="15" t="s">
        <v>419</v>
      </c>
      <c r="DO5" s="15">
        <v>0.0</v>
      </c>
      <c r="DP5" s="15" t="s">
        <v>419</v>
      </c>
      <c r="DR5" s="15">
        <v>0.0</v>
      </c>
      <c r="DT5" s="15" t="s">
        <v>420</v>
      </c>
      <c r="DU5" s="15" t="s">
        <v>419</v>
      </c>
      <c r="DV5" s="15">
        <v>0.0</v>
      </c>
      <c r="DW5" s="15">
        <v>0.0</v>
      </c>
      <c r="DX5" s="15">
        <v>0.0</v>
      </c>
      <c r="DY5" s="15">
        <v>0.0</v>
      </c>
      <c r="EA5" s="15" t="s">
        <v>470</v>
      </c>
      <c r="ED5" s="15">
        <v>0.0</v>
      </c>
      <c r="EE5" s="15">
        <v>3.0</v>
      </c>
      <c r="EF5" s="15" t="s">
        <v>471</v>
      </c>
      <c r="EG5" s="15" t="s">
        <v>472</v>
      </c>
      <c r="EH5" s="15" t="s">
        <v>423</v>
      </c>
      <c r="EI5" s="15">
        <v>0.0</v>
      </c>
      <c r="EJ5" s="15" t="s">
        <v>473</v>
      </c>
      <c r="EK5" s="15" t="s">
        <v>474</v>
      </c>
      <c r="EM5" s="15" t="str">
        <f>IFERROR(__xludf.DUMMYFUNCTION("""COMPUTED_VALUE"""),"")</f>
        <v/>
      </c>
      <c r="EW5" s="15" t="s">
        <v>475</v>
      </c>
      <c r="EX5" s="15" t="s">
        <v>476</v>
      </c>
      <c r="EY5" s="15" t="s">
        <v>477</v>
      </c>
      <c r="FL5" s="15" t="s">
        <v>426</v>
      </c>
    </row>
    <row r="6">
      <c r="A6" s="14" t="s">
        <v>391</v>
      </c>
      <c r="B6" s="15" t="s">
        <v>482</v>
      </c>
      <c r="C6" s="16"/>
      <c r="D6" s="15" t="s">
        <v>432</v>
      </c>
      <c r="G6" s="14" t="s">
        <v>393</v>
      </c>
      <c r="H6" s="14" t="s">
        <v>394</v>
      </c>
      <c r="I6" s="14" t="b">
        <v>1</v>
      </c>
      <c r="J6" s="14" t="s">
        <v>395</v>
      </c>
      <c r="L6" s="14" t="b">
        <v>0</v>
      </c>
      <c r="M6" s="15" t="s">
        <v>483</v>
      </c>
      <c r="N6" s="14" t="s">
        <v>393</v>
      </c>
      <c r="O6" s="14" t="s">
        <v>393</v>
      </c>
      <c r="P6" s="15" t="s">
        <v>397</v>
      </c>
      <c r="Q6" s="15" t="s">
        <v>398</v>
      </c>
      <c r="T6" s="14" t="b">
        <v>0</v>
      </c>
      <c r="U6" s="15" t="s">
        <v>484</v>
      </c>
      <c r="V6" s="15" t="s">
        <v>485</v>
      </c>
      <c r="W6" s="15" t="s">
        <v>401</v>
      </c>
      <c r="X6" s="15" t="s">
        <v>402</v>
      </c>
      <c r="Y6" s="15">
        <v>2522.0</v>
      </c>
      <c r="AA6" s="15" t="str">
        <f>"970"</f>
        <v>970</v>
      </c>
      <c r="AB6" s="14" t="b">
        <v>1</v>
      </c>
      <c r="AC6" s="14" t="b">
        <v>1</v>
      </c>
      <c r="AD6" s="15" t="str">
        <f>"801542200299"</f>
        <v>801542200299</v>
      </c>
      <c r="AE6" s="15" t="s">
        <v>486</v>
      </c>
      <c r="AF6" s="14" t="s">
        <v>404</v>
      </c>
      <c r="AG6" s="14" t="s">
        <v>405</v>
      </c>
      <c r="AH6" s="14" t="s">
        <v>406</v>
      </c>
      <c r="AI6" s="15">
        <v>0.0</v>
      </c>
      <c r="AL6" s="15" t="s">
        <v>407</v>
      </c>
      <c r="AM6" s="15" t="s">
        <v>487</v>
      </c>
      <c r="AN6" s="15" t="s">
        <v>488</v>
      </c>
      <c r="AO6" s="15" t="s">
        <v>487</v>
      </c>
      <c r="AP6" s="15" t="s">
        <v>488</v>
      </c>
      <c r="AQ6" s="15" t="s">
        <v>489</v>
      </c>
      <c r="AR6" s="15" t="s">
        <v>490</v>
      </c>
      <c r="AS6" s="15" t="s">
        <v>411</v>
      </c>
      <c r="AT6" s="15" t="s">
        <v>398</v>
      </c>
      <c r="AW6" s="15" t="s">
        <v>491</v>
      </c>
      <c r="AY6" s="15" t="s">
        <v>426</v>
      </c>
      <c r="AZ6" s="15" t="b">
        <v>1</v>
      </c>
      <c r="BA6" s="15" t="s">
        <v>413</v>
      </c>
      <c r="BB6" s="15" t="b">
        <v>0</v>
      </c>
      <c r="BC6" s="15" t="s">
        <v>492</v>
      </c>
      <c r="BD6" s="15" t="s">
        <v>415</v>
      </c>
      <c r="BE6" s="15" t="str">
        <f t="shared" si="2"/>
        <v>1</v>
      </c>
      <c r="BF6" s="15" t="s">
        <v>416</v>
      </c>
      <c r="BG6" s="15" t="str">
        <f>"61.26"</f>
        <v>61.26</v>
      </c>
      <c r="BH6" s="15" t="s">
        <v>493</v>
      </c>
      <c r="BI6" s="15" t="str">
        <f>"61.65"</f>
        <v>61.65</v>
      </c>
      <c r="BJ6" s="15" t="s">
        <v>494</v>
      </c>
      <c r="BK6" s="15" t="str">
        <f>"20.87"</f>
        <v>20.87</v>
      </c>
      <c r="BL6" s="15" t="s">
        <v>495</v>
      </c>
      <c r="BM6" s="15" t="str">
        <f>"200.62"</f>
        <v>200.62</v>
      </c>
      <c r="BN6" s="15" t="s">
        <v>496</v>
      </c>
      <c r="BQ6" s="15" t="s">
        <v>444</v>
      </c>
      <c r="BS6" s="15" t="s">
        <v>444</v>
      </c>
      <c r="BU6" s="15" t="s">
        <v>444</v>
      </c>
      <c r="BW6" s="15" t="s">
        <v>444</v>
      </c>
      <c r="BZ6" s="15" t="s">
        <v>444</v>
      </c>
      <c r="CB6" s="15" t="s">
        <v>444</v>
      </c>
      <c r="CD6" s="15" t="s">
        <v>444</v>
      </c>
      <c r="CF6" s="15" t="s">
        <v>444</v>
      </c>
      <c r="CI6" s="15" t="s">
        <v>444</v>
      </c>
      <c r="CK6" s="15" t="s">
        <v>444</v>
      </c>
      <c r="CM6" s="15" t="s">
        <v>444</v>
      </c>
      <c r="CO6" s="15" t="s">
        <v>444</v>
      </c>
      <c r="CP6" s="15" t="str">
        <f>"45.59"</f>
        <v>45.59</v>
      </c>
      <c r="CQ6" s="15" t="str">
        <f>"1.291"</f>
        <v>1.291</v>
      </c>
      <c r="CR6" s="15" t="s">
        <v>497</v>
      </c>
      <c r="DC6" s="15" t="str">
        <f>IFERROR(__xludf.DUMMYFUNCTION("""COMPUTED_VALUE"""),"")</f>
        <v/>
      </c>
      <c r="DE6" s="15" t="str">
        <f>IFERROR(__xludf.DUMMYFUNCTION("""COMPUTED_VALUE"""),"")</f>
        <v/>
      </c>
      <c r="DG6" s="15" t="str">
        <f>IFERROR(__xludf.DUMMYFUNCTION("""COMPUTED_VALUE"""),"")</f>
        <v/>
      </c>
      <c r="DL6" s="15" t="str">
        <f>IFERROR(__xludf.DUMMYFUNCTION("""COMPUTED_VALUE"""),"")</f>
        <v/>
      </c>
      <c r="DM6" s="15" t="s">
        <v>444</v>
      </c>
      <c r="DN6" s="15" t="s">
        <v>419</v>
      </c>
      <c r="DO6" s="15">
        <v>0.0</v>
      </c>
      <c r="DP6" s="15" t="s">
        <v>419</v>
      </c>
      <c r="DR6" s="15">
        <v>0.0</v>
      </c>
      <c r="DT6" s="15" t="s">
        <v>420</v>
      </c>
      <c r="DU6" s="15" t="s">
        <v>419</v>
      </c>
      <c r="DY6" s="15">
        <v>0.0</v>
      </c>
      <c r="EF6" s="15" t="s">
        <v>498</v>
      </c>
      <c r="EG6" s="15" t="s">
        <v>499</v>
      </c>
      <c r="EH6" s="15" t="s">
        <v>423</v>
      </c>
      <c r="EJ6" s="15" t="s">
        <v>500</v>
      </c>
      <c r="EK6" s="15" t="s">
        <v>501</v>
      </c>
      <c r="EM6" s="15" t="str">
        <f>IFERROR(__xludf.DUMMYFUNCTION("""COMPUTED_VALUE"""),"")</f>
        <v/>
      </c>
      <c r="EW6" s="15" t="s">
        <v>475</v>
      </c>
      <c r="EX6" s="15" t="s">
        <v>502</v>
      </c>
      <c r="EY6" s="15" t="s">
        <v>502</v>
      </c>
      <c r="FH6" s="15" t="s">
        <v>503</v>
      </c>
      <c r="FI6" s="15" t="s">
        <v>504</v>
      </c>
      <c r="FJ6" s="15" t="s">
        <v>503</v>
      </c>
      <c r="FK6" s="15" t="s">
        <v>505</v>
      </c>
      <c r="FL6" s="15" t="s">
        <v>426</v>
      </c>
      <c r="FM6" s="15">
        <v>0.0</v>
      </c>
      <c r="FN6" s="15">
        <v>0.0</v>
      </c>
    </row>
    <row r="7">
      <c r="A7" s="14" t="s">
        <v>391</v>
      </c>
      <c r="B7" s="17" t="s">
        <v>506</v>
      </c>
      <c r="C7" s="16"/>
      <c r="D7" s="15" t="s">
        <v>432</v>
      </c>
      <c r="G7" s="14" t="s">
        <v>393</v>
      </c>
      <c r="H7" s="14" t="s">
        <v>394</v>
      </c>
      <c r="I7" s="14" t="b">
        <v>1</v>
      </c>
      <c r="J7" s="14" t="s">
        <v>395</v>
      </c>
      <c r="L7" s="14" t="b">
        <v>0</v>
      </c>
      <c r="M7" s="15" t="s">
        <v>507</v>
      </c>
      <c r="N7" s="14" t="s">
        <v>393</v>
      </c>
      <c r="O7" s="14" t="s">
        <v>393</v>
      </c>
      <c r="P7" s="15" t="s">
        <v>397</v>
      </c>
      <c r="Q7" s="15" t="s">
        <v>508</v>
      </c>
      <c r="T7" s="14" t="b">
        <v>0</v>
      </c>
      <c r="U7" s="15" t="s">
        <v>509</v>
      </c>
      <c r="V7" s="15" t="s">
        <v>510</v>
      </c>
      <c r="W7" s="15" t="s">
        <v>401</v>
      </c>
      <c r="X7" s="15" t="s">
        <v>402</v>
      </c>
      <c r="Y7" s="15">
        <v>2626.0</v>
      </c>
      <c r="AA7" s="15" t="str">
        <f t="shared" ref="AA7:AA8" si="16">"1010"</f>
        <v>1010</v>
      </c>
      <c r="AB7" s="14" t="b">
        <v>1</v>
      </c>
      <c r="AC7" s="14" t="b">
        <v>1</v>
      </c>
      <c r="AD7" s="15" t="str">
        <f>"801542200848"</f>
        <v>801542200848</v>
      </c>
      <c r="AE7" s="15" t="s">
        <v>511</v>
      </c>
      <c r="AF7" s="14" t="s">
        <v>404</v>
      </c>
      <c r="AG7" s="14" t="s">
        <v>405</v>
      </c>
      <c r="AH7" s="14" t="s">
        <v>406</v>
      </c>
      <c r="AI7" s="15">
        <v>0.0</v>
      </c>
      <c r="AL7" s="15" t="s">
        <v>512</v>
      </c>
      <c r="AM7" s="15" t="s">
        <v>513</v>
      </c>
      <c r="AN7" s="15" t="s">
        <v>514</v>
      </c>
      <c r="AO7" s="15" t="s">
        <v>515</v>
      </c>
      <c r="AP7" s="15" t="s">
        <v>516</v>
      </c>
      <c r="AQ7" s="15" t="s">
        <v>517</v>
      </c>
      <c r="AR7" s="15" t="s">
        <v>518</v>
      </c>
      <c r="AS7" s="15" t="s">
        <v>411</v>
      </c>
      <c r="AT7" s="15" t="s">
        <v>508</v>
      </c>
      <c r="AU7" s="15" t="s">
        <v>398</v>
      </c>
      <c r="AW7" s="15" t="s">
        <v>519</v>
      </c>
      <c r="AY7" s="15" t="s">
        <v>413</v>
      </c>
      <c r="AZ7" s="15" t="b">
        <v>0</v>
      </c>
      <c r="BA7" s="15" t="s">
        <v>413</v>
      </c>
      <c r="BB7" s="15" t="b">
        <v>0</v>
      </c>
      <c r="BC7" s="15" t="s">
        <v>520</v>
      </c>
      <c r="BD7" s="15" t="s">
        <v>415</v>
      </c>
      <c r="BE7" s="15" t="str">
        <f t="shared" si="2"/>
        <v>1</v>
      </c>
      <c r="BF7" s="15" t="s">
        <v>416</v>
      </c>
      <c r="BG7" s="15" t="str">
        <f t="shared" ref="BG7:BG8" si="17">"79.53"</f>
        <v>79.53</v>
      </c>
      <c r="BH7" s="15" t="s">
        <v>521</v>
      </c>
      <c r="BI7" s="15" t="str">
        <f t="shared" ref="BI7:BI8" si="18">"25.98"</f>
        <v>25.98</v>
      </c>
      <c r="BJ7" s="15" t="s">
        <v>522</v>
      </c>
      <c r="BK7" s="15" t="str">
        <f t="shared" ref="BK7:BK8" si="19">"39.37"</f>
        <v>39.37</v>
      </c>
      <c r="BL7" s="15" t="s">
        <v>523</v>
      </c>
      <c r="BM7" s="15" t="str">
        <f t="shared" ref="BM7:BM8" si="20">"227.96"</f>
        <v>227.96</v>
      </c>
      <c r="BN7" s="15" t="s">
        <v>524</v>
      </c>
      <c r="BQ7" s="15" t="s">
        <v>444</v>
      </c>
      <c r="BS7" s="15" t="s">
        <v>444</v>
      </c>
      <c r="BU7" s="15" t="s">
        <v>444</v>
      </c>
      <c r="BW7" s="15" t="s">
        <v>444</v>
      </c>
      <c r="BZ7" s="15" t="s">
        <v>444</v>
      </c>
      <c r="CB7" s="15" t="s">
        <v>444</v>
      </c>
      <c r="CD7" s="15" t="s">
        <v>444</v>
      </c>
      <c r="CF7" s="15" t="s">
        <v>444</v>
      </c>
      <c r="CI7" s="15" t="s">
        <v>444</v>
      </c>
      <c r="CK7" s="15" t="s">
        <v>444</v>
      </c>
      <c r="CM7" s="15" t="s">
        <v>444</v>
      </c>
      <c r="CO7" s="15" t="s">
        <v>444</v>
      </c>
      <c r="CP7" s="15" t="str">
        <f t="shared" ref="CP7:CP8" si="21">"47.07"</f>
        <v>47.07</v>
      </c>
      <c r="CQ7" s="15" t="str">
        <f t="shared" ref="CQ7:CQ8" si="22">"1.333"</f>
        <v>1.333</v>
      </c>
      <c r="CR7" s="15" t="s">
        <v>497</v>
      </c>
      <c r="DC7" s="15" t="str">
        <f>IFERROR(__xludf.DUMMYFUNCTION("""COMPUTED_VALUE"""),"")</f>
        <v/>
      </c>
      <c r="DE7" s="15" t="str">
        <f>IFERROR(__xludf.DUMMYFUNCTION("""COMPUTED_VALUE"""),"")</f>
        <v/>
      </c>
      <c r="DG7" s="15" t="str">
        <f>IFERROR(__xludf.DUMMYFUNCTION("""COMPUTED_VALUE"""),"")</f>
        <v/>
      </c>
      <c r="DL7" s="15" t="str">
        <f>IFERROR(__xludf.DUMMYFUNCTION("""COMPUTED_VALUE"""),"")</f>
        <v/>
      </c>
      <c r="DM7" s="15" t="s">
        <v>444</v>
      </c>
      <c r="DN7" s="15" t="s">
        <v>419</v>
      </c>
      <c r="DO7" s="15">
        <v>0.0</v>
      </c>
      <c r="DP7" s="15" t="s">
        <v>419</v>
      </c>
      <c r="DR7" s="15">
        <v>0.0</v>
      </c>
      <c r="DT7" s="15" t="s">
        <v>420</v>
      </c>
      <c r="DU7" s="15" t="s">
        <v>419</v>
      </c>
      <c r="DY7" s="15">
        <v>0.0</v>
      </c>
      <c r="EF7" s="15" t="s">
        <v>471</v>
      </c>
      <c r="EG7" s="15" t="s">
        <v>472</v>
      </c>
      <c r="EH7" s="15" t="s">
        <v>423</v>
      </c>
      <c r="EJ7" s="15" t="s">
        <v>424</v>
      </c>
      <c r="EK7" s="15" t="s">
        <v>446</v>
      </c>
      <c r="EM7" s="15" t="str">
        <f>IFERROR(__xludf.DUMMYFUNCTION("""COMPUTED_VALUE"""),"")</f>
        <v/>
      </c>
      <c r="EW7" s="15" t="s">
        <v>525</v>
      </c>
      <c r="EX7" s="15" t="s">
        <v>526</v>
      </c>
      <c r="EY7" s="15" t="s">
        <v>527</v>
      </c>
      <c r="FH7" s="15" t="s">
        <v>528</v>
      </c>
      <c r="FI7" s="15" t="s">
        <v>529</v>
      </c>
      <c r="FJ7" s="15" t="s">
        <v>530</v>
      </c>
      <c r="FK7" s="15" t="s">
        <v>531</v>
      </c>
      <c r="FL7" s="15" t="s">
        <v>426</v>
      </c>
      <c r="FM7" s="15">
        <v>0.0</v>
      </c>
      <c r="FN7" s="15">
        <v>0.0</v>
      </c>
      <c r="GH7" s="15">
        <v>0.0</v>
      </c>
      <c r="GI7" s="15" t="s">
        <v>427</v>
      </c>
    </row>
    <row r="8">
      <c r="A8" s="14" t="s">
        <v>391</v>
      </c>
      <c r="B8" s="15" t="s">
        <v>506</v>
      </c>
      <c r="C8" s="16"/>
      <c r="D8" s="15" t="s">
        <v>432</v>
      </c>
      <c r="G8" s="14" t="s">
        <v>393</v>
      </c>
      <c r="H8" s="14" t="s">
        <v>394</v>
      </c>
      <c r="I8" s="14" t="b">
        <v>1</v>
      </c>
      <c r="J8" s="14" t="s">
        <v>395</v>
      </c>
      <c r="L8" s="14" t="b">
        <v>0</v>
      </c>
      <c r="M8" s="15" t="s">
        <v>532</v>
      </c>
      <c r="N8" s="14" t="s">
        <v>393</v>
      </c>
      <c r="O8" s="14" t="s">
        <v>393</v>
      </c>
      <c r="P8" s="15" t="s">
        <v>397</v>
      </c>
      <c r="Q8" s="15" t="s">
        <v>533</v>
      </c>
      <c r="T8" s="14" t="b">
        <v>0</v>
      </c>
      <c r="U8" s="15" t="s">
        <v>534</v>
      </c>
      <c r="V8" s="15" t="s">
        <v>510</v>
      </c>
      <c r="W8" s="15" t="s">
        <v>401</v>
      </c>
      <c r="X8" s="15" t="s">
        <v>402</v>
      </c>
      <c r="Y8" s="15">
        <v>2626.0</v>
      </c>
      <c r="AA8" s="15" t="str">
        <f t="shared" si="16"/>
        <v>1010</v>
      </c>
      <c r="AB8" s="14" t="b">
        <v>1</v>
      </c>
      <c r="AC8" s="14" t="b">
        <v>1</v>
      </c>
      <c r="AD8" s="15" t="str">
        <f>"801542009663"</f>
        <v>801542009663</v>
      </c>
      <c r="AE8" s="15" t="s">
        <v>535</v>
      </c>
      <c r="AF8" s="14" t="s">
        <v>404</v>
      </c>
      <c r="AG8" s="14" t="s">
        <v>405</v>
      </c>
      <c r="AH8" s="14" t="s">
        <v>406</v>
      </c>
      <c r="AI8" s="15">
        <v>0.0</v>
      </c>
      <c r="AL8" s="15" t="s">
        <v>512</v>
      </c>
      <c r="AM8" s="15" t="s">
        <v>513</v>
      </c>
      <c r="AN8" s="15" t="s">
        <v>514</v>
      </c>
      <c r="AO8" s="15" t="s">
        <v>515</v>
      </c>
      <c r="AP8" s="15" t="s">
        <v>516</v>
      </c>
      <c r="AQ8" s="15" t="s">
        <v>517</v>
      </c>
      <c r="AR8" s="15" t="s">
        <v>518</v>
      </c>
      <c r="AS8" s="15" t="s">
        <v>411</v>
      </c>
      <c r="AT8" s="15" t="s">
        <v>533</v>
      </c>
      <c r="AU8" s="15" t="s">
        <v>434</v>
      </c>
      <c r="AW8" s="15" t="s">
        <v>519</v>
      </c>
      <c r="AY8" s="15" t="s">
        <v>426</v>
      </c>
      <c r="AZ8" s="15" t="b">
        <v>1</v>
      </c>
      <c r="BA8" s="15" t="s">
        <v>413</v>
      </c>
      <c r="BB8" s="15" t="b">
        <v>0</v>
      </c>
      <c r="BC8" s="15" t="s">
        <v>536</v>
      </c>
      <c r="BD8" s="15" t="s">
        <v>415</v>
      </c>
      <c r="BE8" s="15" t="str">
        <f t="shared" si="2"/>
        <v>1</v>
      </c>
      <c r="BF8" s="15" t="s">
        <v>416</v>
      </c>
      <c r="BG8" s="15" t="str">
        <f t="shared" si="17"/>
        <v>79.53</v>
      </c>
      <c r="BH8" s="15" t="s">
        <v>521</v>
      </c>
      <c r="BI8" s="15" t="str">
        <f t="shared" si="18"/>
        <v>25.98</v>
      </c>
      <c r="BJ8" s="15" t="s">
        <v>522</v>
      </c>
      <c r="BK8" s="15" t="str">
        <f t="shared" si="19"/>
        <v>39.37</v>
      </c>
      <c r="BL8" s="15" t="s">
        <v>523</v>
      </c>
      <c r="BM8" s="15" t="str">
        <f t="shared" si="20"/>
        <v>227.96</v>
      </c>
      <c r="BN8" s="15" t="s">
        <v>524</v>
      </c>
      <c r="BQ8" s="15" t="s">
        <v>444</v>
      </c>
      <c r="BS8" s="15" t="s">
        <v>444</v>
      </c>
      <c r="BU8" s="15" t="s">
        <v>444</v>
      </c>
      <c r="BW8" s="15" t="s">
        <v>444</v>
      </c>
      <c r="BZ8" s="15" t="s">
        <v>444</v>
      </c>
      <c r="CB8" s="15" t="s">
        <v>444</v>
      </c>
      <c r="CD8" s="15" t="s">
        <v>444</v>
      </c>
      <c r="CF8" s="15" t="s">
        <v>444</v>
      </c>
      <c r="CI8" s="15" t="s">
        <v>444</v>
      </c>
      <c r="CK8" s="15" t="s">
        <v>444</v>
      </c>
      <c r="CM8" s="15" t="s">
        <v>444</v>
      </c>
      <c r="CO8" s="15" t="s">
        <v>444</v>
      </c>
      <c r="CP8" s="15" t="str">
        <f t="shared" si="21"/>
        <v>47.07</v>
      </c>
      <c r="CQ8" s="15" t="str">
        <f t="shared" si="22"/>
        <v>1.333</v>
      </c>
      <c r="CR8" s="15" t="s">
        <v>497</v>
      </c>
      <c r="DC8" s="15" t="str">
        <f>IFERROR(__xludf.DUMMYFUNCTION("""COMPUTED_VALUE"""),"")</f>
        <v/>
      </c>
      <c r="DE8" s="15" t="str">
        <f>IFERROR(__xludf.DUMMYFUNCTION("""COMPUTED_VALUE"""),"")</f>
        <v/>
      </c>
      <c r="DG8" s="15" t="str">
        <f>IFERROR(__xludf.DUMMYFUNCTION("""COMPUTED_VALUE"""),"")</f>
        <v/>
      </c>
      <c r="DL8" s="15" t="str">
        <f>IFERROR(__xludf.DUMMYFUNCTION("""COMPUTED_VALUE"""),"")</f>
        <v/>
      </c>
      <c r="DM8" s="15" t="s">
        <v>444</v>
      </c>
      <c r="DN8" s="15" t="s">
        <v>419</v>
      </c>
      <c r="DO8" s="15">
        <v>0.0</v>
      </c>
      <c r="DP8" s="15" t="s">
        <v>419</v>
      </c>
      <c r="DR8" s="15">
        <v>0.0</v>
      </c>
      <c r="DT8" s="15" t="s">
        <v>420</v>
      </c>
      <c r="DU8" s="15" t="s">
        <v>419</v>
      </c>
      <c r="DY8" s="15">
        <v>0.0</v>
      </c>
      <c r="EF8" s="15" t="s">
        <v>471</v>
      </c>
      <c r="EG8" s="15" t="s">
        <v>472</v>
      </c>
      <c r="EH8" s="15" t="s">
        <v>423</v>
      </c>
      <c r="EJ8" s="15" t="s">
        <v>424</v>
      </c>
      <c r="EK8" s="15" t="s">
        <v>446</v>
      </c>
      <c r="EM8" s="15" t="str">
        <f>IFERROR(__xludf.DUMMYFUNCTION("""COMPUTED_VALUE"""),"")</f>
        <v/>
      </c>
      <c r="EW8" s="15" t="s">
        <v>525</v>
      </c>
      <c r="EX8" s="15" t="s">
        <v>526</v>
      </c>
      <c r="EY8" s="15" t="s">
        <v>527</v>
      </c>
      <c r="FH8" s="15" t="s">
        <v>528</v>
      </c>
      <c r="FI8" s="15" t="s">
        <v>529</v>
      </c>
      <c r="FJ8" s="15" t="s">
        <v>530</v>
      </c>
      <c r="FK8" s="15" t="s">
        <v>531</v>
      </c>
      <c r="FL8" s="15" t="s">
        <v>426</v>
      </c>
      <c r="FM8" s="15">
        <v>0.0</v>
      </c>
      <c r="FN8" s="15">
        <v>0.0</v>
      </c>
      <c r="GH8" s="15">
        <v>0.0</v>
      </c>
      <c r="GI8" s="15" t="s">
        <v>427</v>
      </c>
    </row>
    <row r="9">
      <c r="A9" s="14" t="s">
        <v>391</v>
      </c>
      <c r="B9" s="15" t="s">
        <v>537</v>
      </c>
      <c r="C9" s="16"/>
      <c r="D9" s="15" t="s">
        <v>432</v>
      </c>
      <c r="G9" s="14" t="s">
        <v>393</v>
      </c>
      <c r="H9" s="14" t="s">
        <v>394</v>
      </c>
      <c r="I9" s="14" t="b">
        <v>1</v>
      </c>
      <c r="J9" s="14" t="s">
        <v>395</v>
      </c>
      <c r="L9" s="14" t="b">
        <v>0</v>
      </c>
      <c r="M9" s="15" t="s">
        <v>538</v>
      </c>
      <c r="N9" s="14" t="s">
        <v>393</v>
      </c>
      <c r="O9" s="14" t="s">
        <v>393</v>
      </c>
      <c r="P9" s="15" t="s">
        <v>397</v>
      </c>
      <c r="Q9" s="15" t="s">
        <v>398</v>
      </c>
      <c r="R9" s="15" t="s">
        <v>265</v>
      </c>
      <c r="S9" s="15" t="s">
        <v>539</v>
      </c>
      <c r="T9" s="14" t="b">
        <v>0</v>
      </c>
      <c r="U9" s="15" t="s">
        <v>540</v>
      </c>
      <c r="V9" s="15" t="s">
        <v>541</v>
      </c>
      <c r="W9" s="15" t="s">
        <v>401</v>
      </c>
      <c r="X9" s="15" t="s">
        <v>402</v>
      </c>
      <c r="Y9" s="15">
        <v>5031.0</v>
      </c>
      <c r="AA9" s="15" t="str">
        <f>"1935"</f>
        <v>1935</v>
      </c>
      <c r="AB9" s="14" t="b">
        <v>1</v>
      </c>
      <c r="AC9" s="14" t="b">
        <v>1</v>
      </c>
      <c r="AD9" s="15" t="str">
        <f>"801542203122"</f>
        <v>801542203122</v>
      </c>
      <c r="AE9" s="15" t="s">
        <v>542</v>
      </c>
      <c r="AF9" s="14" t="s">
        <v>404</v>
      </c>
      <c r="AG9" s="14" t="s">
        <v>405</v>
      </c>
      <c r="AH9" s="14" t="s">
        <v>406</v>
      </c>
      <c r="AI9" s="15">
        <v>0.0</v>
      </c>
      <c r="AL9" s="15" t="s">
        <v>407</v>
      </c>
      <c r="AM9" s="15" t="s">
        <v>539</v>
      </c>
      <c r="AN9" s="15" t="s">
        <v>543</v>
      </c>
      <c r="AO9" s="15" t="s">
        <v>544</v>
      </c>
      <c r="AP9" s="15" t="s">
        <v>545</v>
      </c>
      <c r="AQ9" s="15" t="s">
        <v>546</v>
      </c>
      <c r="AR9" s="15" t="s">
        <v>547</v>
      </c>
      <c r="AS9" s="15" t="s">
        <v>411</v>
      </c>
      <c r="AT9" s="15" t="s">
        <v>398</v>
      </c>
      <c r="AW9" s="15" t="s">
        <v>548</v>
      </c>
      <c r="AX9" s="15" t="s">
        <v>549</v>
      </c>
      <c r="AY9" s="15" t="s">
        <v>426</v>
      </c>
      <c r="AZ9" s="15" t="b">
        <v>1</v>
      </c>
      <c r="BA9" s="15" t="s">
        <v>413</v>
      </c>
      <c r="BB9" s="15" t="b">
        <v>0</v>
      </c>
      <c r="BC9" s="15" t="s">
        <v>550</v>
      </c>
      <c r="BD9" s="15" t="s">
        <v>415</v>
      </c>
      <c r="BE9" s="15" t="str">
        <f t="shared" si="2"/>
        <v>1</v>
      </c>
      <c r="BF9" s="15" t="s">
        <v>416</v>
      </c>
      <c r="BG9" s="15" t="str">
        <f>"100"</f>
        <v>100</v>
      </c>
      <c r="BH9" s="15" t="s">
        <v>551</v>
      </c>
      <c r="BI9" s="15" t="str">
        <f>"18.9"</f>
        <v>18.9</v>
      </c>
      <c r="BJ9" s="15" t="s">
        <v>552</v>
      </c>
      <c r="BK9" s="15" t="str">
        <f>"51.18"</f>
        <v>51.18</v>
      </c>
      <c r="BL9" s="15" t="s">
        <v>553</v>
      </c>
      <c r="BM9" s="15" t="str">
        <f>"322.97"</f>
        <v>322.97</v>
      </c>
      <c r="BN9" s="15" t="s">
        <v>554</v>
      </c>
      <c r="BQ9" s="15" t="s">
        <v>444</v>
      </c>
      <c r="BS9" s="15" t="s">
        <v>444</v>
      </c>
      <c r="BU9" s="15" t="s">
        <v>444</v>
      </c>
      <c r="BW9" s="15" t="s">
        <v>444</v>
      </c>
      <c r="BZ9" s="15" t="s">
        <v>444</v>
      </c>
      <c r="CB9" s="15" t="s">
        <v>444</v>
      </c>
      <c r="CD9" s="15" t="s">
        <v>444</v>
      </c>
      <c r="CF9" s="15" t="s">
        <v>444</v>
      </c>
      <c r="CI9" s="15" t="s">
        <v>444</v>
      </c>
      <c r="CK9" s="15" t="s">
        <v>444</v>
      </c>
      <c r="CM9" s="15" t="s">
        <v>444</v>
      </c>
      <c r="CO9" s="15" t="s">
        <v>444</v>
      </c>
      <c r="CP9" s="15" t="str">
        <f>"55.97"</f>
        <v>55.97</v>
      </c>
      <c r="CQ9" s="15" t="str">
        <f>"1.585"</f>
        <v>1.585</v>
      </c>
      <c r="CR9" s="15" t="s">
        <v>465</v>
      </c>
      <c r="DC9" s="15" t="str">
        <f>IFERROR(__xludf.DUMMYFUNCTION("""COMPUTED_VALUE"""),"")</f>
        <v/>
      </c>
      <c r="DE9" s="15" t="str">
        <f>IFERROR(__xludf.DUMMYFUNCTION("""COMPUTED_VALUE"""),"")</f>
        <v/>
      </c>
      <c r="DG9" s="15" t="str">
        <f>IFERROR(__xludf.DUMMYFUNCTION("""COMPUTED_VALUE"""),"")</f>
        <v/>
      </c>
      <c r="DL9" s="15" t="str">
        <f>IFERROR(__xludf.DUMMYFUNCTION("""COMPUTED_VALUE"""),"")</f>
        <v/>
      </c>
      <c r="DM9" s="15" t="s">
        <v>444</v>
      </c>
      <c r="DN9" s="15" t="s">
        <v>419</v>
      </c>
      <c r="DO9" s="15">
        <v>0.0</v>
      </c>
      <c r="DP9" s="15" t="s">
        <v>419</v>
      </c>
      <c r="DR9" s="15">
        <v>0.0</v>
      </c>
      <c r="DT9" s="15" t="s">
        <v>420</v>
      </c>
      <c r="DU9" s="15" t="s">
        <v>419</v>
      </c>
      <c r="DW9" s="15">
        <v>0.0</v>
      </c>
      <c r="DX9" s="15">
        <v>0.0</v>
      </c>
      <c r="DY9" s="15">
        <v>0.0</v>
      </c>
      <c r="EE9" s="15">
        <v>10.0</v>
      </c>
      <c r="EF9" s="15" t="s">
        <v>471</v>
      </c>
      <c r="EG9" s="15" t="s">
        <v>472</v>
      </c>
      <c r="EH9" s="15" t="s">
        <v>423</v>
      </c>
      <c r="EJ9" s="15" t="s">
        <v>424</v>
      </c>
      <c r="EK9" s="15" t="s">
        <v>446</v>
      </c>
      <c r="EM9" s="15" t="str">
        <f>IFERROR(__xludf.DUMMYFUNCTION("""COMPUTED_VALUE"""),"")</f>
        <v/>
      </c>
      <c r="EW9" s="15" t="s">
        <v>555</v>
      </c>
      <c r="EX9" s="15" t="s">
        <v>556</v>
      </c>
      <c r="EY9" s="15" t="s">
        <v>557</v>
      </c>
      <c r="FH9" s="15" t="s">
        <v>528</v>
      </c>
      <c r="FI9" s="15" t="s">
        <v>558</v>
      </c>
      <c r="FJ9" s="15" t="s">
        <v>530</v>
      </c>
      <c r="FK9" s="15" t="s">
        <v>429</v>
      </c>
      <c r="FL9" s="15" t="s">
        <v>426</v>
      </c>
      <c r="FM9" s="15">
        <v>0.0</v>
      </c>
      <c r="FN9" s="15">
        <v>0.0</v>
      </c>
      <c r="FV9" s="15" t="s">
        <v>555</v>
      </c>
      <c r="FX9" s="15" t="s">
        <v>559</v>
      </c>
    </row>
    <row r="10">
      <c r="A10" s="14" t="s">
        <v>391</v>
      </c>
      <c r="B10" s="15" t="s">
        <v>537</v>
      </c>
      <c r="C10" s="16"/>
      <c r="D10" s="15" t="s">
        <v>432</v>
      </c>
      <c r="G10" s="14" t="s">
        <v>393</v>
      </c>
      <c r="H10" s="14" t="s">
        <v>394</v>
      </c>
      <c r="I10" s="14" t="b">
        <v>1</v>
      </c>
      <c r="J10" s="14" t="s">
        <v>395</v>
      </c>
      <c r="L10" s="14" t="b">
        <v>0</v>
      </c>
      <c r="M10" s="15" t="s">
        <v>560</v>
      </c>
      <c r="N10" s="14" t="s">
        <v>393</v>
      </c>
      <c r="O10" s="14" t="s">
        <v>393</v>
      </c>
      <c r="P10" s="15" t="s">
        <v>397</v>
      </c>
      <c r="Q10" s="15" t="s">
        <v>398</v>
      </c>
      <c r="R10" s="15" t="s">
        <v>265</v>
      </c>
      <c r="S10" s="15" t="s">
        <v>513</v>
      </c>
      <c r="T10" s="14" t="b">
        <v>0</v>
      </c>
      <c r="U10" s="15" t="s">
        <v>561</v>
      </c>
      <c r="V10" s="15" t="s">
        <v>562</v>
      </c>
      <c r="W10" s="15" t="s">
        <v>401</v>
      </c>
      <c r="X10" s="15" t="s">
        <v>402</v>
      </c>
      <c r="Y10" s="15">
        <v>4368.0</v>
      </c>
      <c r="AA10" s="15" t="str">
        <f>"1680"</f>
        <v>1680</v>
      </c>
      <c r="AB10" s="14" t="b">
        <v>1</v>
      </c>
      <c r="AC10" s="14" t="b">
        <v>1</v>
      </c>
      <c r="AD10" s="15" t="str">
        <f>"801542957896"</f>
        <v>801542957896</v>
      </c>
      <c r="AE10" s="15" t="s">
        <v>563</v>
      </c>
      <c r="AF10" s="14" t="s">
        <v>404</v>
      </c>
      <c r="AG10" s="14" t="s">
        <v>405</v>
      </c>
      <c r="AH10" s="14" t="s">
        <v>406</v>
      </c>
      <c r="AI10" s="15">
        <v>0.0</v>
      </c>
      <c r="AL10" s="15" t="s">
        <v>407</v>
      </c>
      <c r="AM10" s="15" t="s">
        <v>513</v>
      </c>
      <c r="AN10" s="15" t="s">
        <v>514</v>
      </c>
      <c r="AO10" s="15" t="s">
        <v>544</v>
      </c>
      <c r="AP10" s="15" t="s">
        <v>545</v>
      </c>
      <c r="AQ10" s="15" t="s">
        <v>546</v>
      </c>
      <c r="AR10" s="15" t="s">
        <v>547</v>
      </c>
      <c r="AS10" s="15" t="s">
        <v>411</v>
      </c>
      <c r="AT10" s="15" t="s">
        <v>398</v>
      </c>
      <c r="AW10" s="15" t="s">
        <v>548</v>
      </c>
      <c r="AX10" s="15" t="s">
        <v>549</v>
      </c>
      <c r="AY10" s="15" t="s">
        <v>426</v>
      </c>
      <c r="AZ10" s="15" t="b">
        <v>1</v>
      </c>
      <c r="BA10" s="15" t="s">
        <v>413</v>
      </c>
      <c r="BB10" s="15" t="b">
        <v>0</v>
      </c>
      <c r="BC10" s="15" t="s">
        <v>564</v>
      </c>
      <c r="BD10" s="15" t="s">
        <v>415</v>
      </c>
      <c r="BE10" s="15" t="str">
        <f t="shared" si="2"/>
        <v>1</v>
      </c>
      <c r="BF10" s="15" t="s">
        <v>416</v>
      </c>
      <c r="BG10" s="15" t="str">
        <f>"78.7"</f>
        <v>78.7</v>
      </c>
      <c r="BH10" s="15" t="s">
        <v>565</v>
      </c>
      <c r="BI10" s="15" t="str">
        <f>"19.29"</f>
        <v>19.29</v>
      </c>
      <c r="BJ10" s="15" t="s">
        <v>566</v>
      </c>
      <c r="BK10" s="15" t="str">
        <f>"51.57"</f>
        <v>51.57</v>
      </c>
      <c r="BL10" s="15" t="s">
        <v>567</v>
      </c>
      <c r="BM10" s="15" t="str">
        <f>"233.69"</f>
        <v>233.69</v>
      </c>
      <c r="BN10" s="15" t="s">
        <v>568</v>
      </c>
      <c r="BQ10" s="15" t="s">
        <v>444</v>
      </c>
      <c r="BS10" s="15" t="s">
        <v>444</v>
      </c>
      <c r="BU10" s="15" t="s">
        <v>444</v>
      </c>
      <c r="BW10" s="15" t="s">
        <v>444</v>
      </c>
      <c r="BZ10" s="15" t="s">
        <v>444</v>
      </c>
      <c r="CB10" s="15" t="s">
        <v>444</v>
      </c>
      <c r="CD10" s="15" t="s">
        <v>444</v>
      </c>
      <c r="CF10" s="15" t="s">
        <v>444</v>
      </c>
      <c r="CI10" s="15" t="s">
        <v>444</v>
      </c>
      <c r="CK10" s="15" t="s">
        <v>444</v>
      </c>
      <c r="CM10" s="15" t="s">
        <v>444</v>
      </c>
      <c r="CO10" s="15" t="s">
        <v>444</v>
      </c>
      <c r="CP10" s="15" t="str">
        <f>"45.31"</f>
        <v>45.31</v>
      </c>
      <c r="CQ10" s="15" t="str">
        <f>"1.283"</f>
        <v>1.283</v>
      </c>
      <c r="CR10" s="15" t="s">
        <v>465</v>
      </c>
      <c r="DC10" s="15" t="str">
        <f>IFERROR(__xludf.DUMMYFUNCTION("""COMPUTED_VALUE"""),"")</f>
        <v/>
      </c>
      <c r="DE10" s="15" t="str">
        <f>IFERROR(__xludf.DUMMYFUNCTION("""COMPUTED_VALUE"""),"")</f>
        <v/>
      </c>
      <c r="DG10" s="15" t="str">
        <f>IFERROR(__xludf.DUMMYFUNCTION("""COMPUTED_VALUE"""),"")</f>
        <v/>
      </c>
      <c r="DL10" s="15" t="str">
        <f>IFERROR(__xludf.DUMMYFUNCTION("""COMPUTED_VALUE"""),"")</f>
        <v/>
      </c>
      <c r="DM10" s="15" t="s">
        <v>444</v>
      </c>
      <c r="DN10" s="15" t="s">
        <v>419</v>
      </c>
      <c r="DO10" s="15">
        <v>0.0</v>
      </c>
      <c r="DP10" s="15" t="s">
        <v>419</v>
      </c>
      <c r="DR10" s="15">
        <v>0.0</v>
      </c>
      <c r="DT10" s="15" t="s">
        <v>420</v>
      </c>
      <c r="DU10" s="15" t="s">
        <v>419</v>
      </c>
      <c r="DW10" s="15">
        <v>0.0</v>
      </c>
      <c r="DX10" s="15">
        <v>0.0</v>
      </c>
      <c r="DY10" s="15">
        <v>0.0</v>
      </c>
      <c r="EE10" s="15">
        <v>8.0</v>
      </c>
      <c r="EF10" s="15" t="s">
        <v>471</v>
      </c>
      <c r="EG10" s="15" t="s">
        <v>472</v>
      </c>
      <c r="EH10" s="15" t="s">
        <v>423</v>
      </c>
      <c r="EJ10" s="15" t="s">
        <v>424</v>
      </c>
      <c r="EK10" s="15" t="s">
        <v>446</v>
      </c>
      <c r="EM10" s="15" t="str">
        <f>IFERROR(__xludf.DUMMYFUNCTION("""COMPUTED_VALUE"""),"")</f>
        <v/>
      </c>
      <c r="EW10" s="15" t="s">
        <v>555</v>
      </c>
      <c r="EX10" s="15" t="s">
        <v>556</v>
      </c>
      <c r="EY10" s="15" t="s">
        <v>527</v>
      </c>
      <c r="FH10" s="15" t="s">
        <v>528</v>
      </c>
      <c r="FI10" s="15" t="s">
        <v>558</v>
      </c>
      <c r="FJ10" s="15" t="s">
        <v>530</v>
      </c>
      <c r="FK10" s="15" t="s">
        <v>429</v>
      </c>
      <c r="FL10" s="15" t="s">
        <v>426</v>
      </c>
      <c r="FM10" s="15">
        <v>0.0</v>
      </c>
      <c r="FN10" s="15">
        <v>0.0</v>
      </c>
      <c r="FV10" s="15" t="s">
        <v>555</v>
      </c>
      <c r="FX10" s="15" t="s">
        <v>559</v>
      </c>
    </row>
    <row r="11">
      <c r="A11" s="14" t="s">
        <v>391</v>
      </c>
      <c r="B11" s="15" t="s">
        <v>537</v>
      </c>
      <c r="C11" s="16"/>
      <c r="D11" s="15" t="s">
        <v>432</v>
      </c>
      <c r="G11" s="14" t="s">
        <v>393</v>
      </c>
      <c r="H11" s="14" t="s">
        <v>394</v>
      </c>
      <c r="I11" s="14" t="b">
        <v>1</v>
      </c>
      <c r="J11" s="14" t="s">
        <v>395</v>
      </c>
      <c r="L11" s="14" t="b">
        <v>0</v>
      </c>
      <c r="M11" s="15" t="s">
        <v>569</v>
      </c>
      <c r="N11" s="14" t="s">
        <v>393</v>
      </c>
      <c r="O11" s="14" t="s">
        <v>393</v>
      </c>
      <c r="P11" s="15" t="s">
        <v>397</v>
      </c>
      <c r="Q11" s="15" t="s">
        <v>434</v>
      </c>
      <c r="R11" s="15" t="s">
        <v>265</v>
      </c>
      <c r="S11" s="15" t="s">
        <v>539</v>
      </c>
      <c r="T11" s="14" t="b">
        <v>0</v>
      </c>
      <c r="U11" s="15" t="s">
        <v>570</v>
      </c>
      <c r="V11" s="15" t="s">
        <v>541</v>
      </c>
      <c r="W11" s="15" t="s">
        <v>401</v>
      </c>
      <c r="X11" s="15" t="s">
        <v>402</v>
      </c>
      <c r="Y11" s="15">
        <v>5031.0</v>
      </c>
      <c r="AA11" s="15" t="str">
        <f>"1935"</f>
        <v>1935</v>
      </c>
      <c r="AB11" s="14" t="b">
        <v>1</v>
      </c>
      <c r="AC11" s="14" t="b">
        <v>1</v>
      </c>
      <c r="AD11" s="15" t="str">
        <f>"801542110406"</f>
        <v>801542110406</v>
      </c>
      <c r="AE11" s="15" t="s">
        <v>571</v>
      </c>
      <c r="AF11" s="14" t="s">
        <v>404</v>
      </c>
      <c r="AG11" s="14" t="s">
        <v>405</v>
      </c>
      <c r="AH11" s="14" t="s">
        <v>406</v>
      </c>
      <c r="AI11" s="15">
        <v>0.0</v>
      </c>
      <c r="AL11" s="15" t="s">
        <v>407</v>
      </c>
      <c r="AM11" s="15" t="s">
        <v>539</v>
      </c>
      <c r="AN11" s="15" t="s">
        <v>543</v>
      </c>
      <c r="AO11" s="15" t="s">
        <v>544</v>
      </c>
      <c r="AP11" s="15" t="s">
        <v>545</v>
      </c>
      <c r="AQ11" s="15" t="s">
        <v>546</v>
      </c>
      <c r="AR11" s="15" t="s">
        <v>547</v>
      </c>
      <c r="AS11" s="15" t="s">
        <v>411</v>
      </c>
      <c r="AT11" s="15" t="s">
        <v>434</v>
      </c>
      <c r="AW11" s="15" t="s">
        <v>548</v>
      </c>
      <c r="AX11" s="15" t="s">
        <v>549</v>
      </c>
      <c r="AY11" s="15" t="s">
        <v>426</v>
      </c>
      <c r="AZ11" s="15" t="b">
        <v>1</v>
      </c>
      <c r="BA11" s="15" t="s">
        <v>413</v>
      </c>
      <c r="BB11" s="15" t="b">
        <v>0</v>
      </c>
      <c r="BC11" s="15" t="s">
        <v>572</v>
      </c>
      <c r="BD11" s="15" t="s">
        <v>415</v>
      </c>
      <c r="BE11" s="15" t="str">
        <f t="shared" si="2"/>
        <v>1</v>
      </c>
      <c r="BF11" s="15" t="s">
        <v>416</v>
      </c>
      <c r="BG11" s="15" t="str">
        <f>"100"</f>
        <v>100</v>
      </c>
      <c r="BH11" s="15" t="s">
        <v>551</v>
      </c>
      <c r="BI11" s="15" t="str">
        <f>"18.9"</f>
        <v>18.9</v>
      </c>
      <c r="BJ11" s="15" t="s">
        <v>552</v>
      </c>
      <c r="BK11" s="15" t="str">
        <f>"51.18"</f>
        <v>51.18</v>
      </c>
      <c r="BL11" s="15" t="s">
        <v>553</v>
      </c>
      <c r="BM11" s="15" t="str">
        <f>"322.97"</f>
        <v>322.97</v>
      </c>
      <c r="BN11" s="15" t="s">
        <v>554</v>
      </c>
      <c r="BQ11" s="15" t="s">
        <v>444</v>
      </c>
      <c r="BS11" s="15" t="s">
        <v>444</v>
      </c>
      <c r="BU11" s="15" t="s">
        <v>444</v>
      </c>
      <c r="BW11" s="15" t="s">
        <v>444</v>
      </c>
      <c r="BZ11" s="15" t="s">
        <v>444</v>
      </c>
      <c r="CB11" s="15" t="s">
        <v>444</v>
      </c>
      <c r="CD11" s="15" t="s">
        <v>444</v>
      </c>
      <c r="CF11" s="15" t="s">
        <v>444</v>
      </c>
      <c r="CI11" s="15" t="s">
        <v>444</v>
      </c>
      <c r="CK11" s="15" t="s">
        <v>444</v>
      </c>
      <c r="CM11" s="15" t="s">
        <v>444</v>
      </c>
      <c r="CO11" s="15" t="s">
        <v>444</v>
      </c>
      <c r="CP11" s="15" t="str">
        <f>"55.97"</f>
        <v>55.97</v>
      </c>
      <c r="CQ11" s="15" t="str">
        <f>"1.585"</f>
        <v>1.585</v>
      </c>
      <c r="CR11" s="15" t="s">
        <v>497</v>
      </c>
      <c r="DC11" s="15" t="str">
        <f>IFERROR(__xludf.DUMMYFUNCTION("""COMPUTED_VALUE"""),"")</f>
        <v/>
      </c>
      <c r="DE11" s="15" t="str">
        <f>IFERROR(__xludf.DUMMYFUNCTION("""COMPUTED_VALUE"""),"")</f>
        <v/>
      </c>
      <c r="DG11" s="15" t="str">
        <f>IFERROR(__xludf.DUMMYFUNCTION("""COMPUTED_VALUE"""),"")</f>
        <v/>
      </c>
      <c r="DL11" s="15" t="str">
        <f>IFERROR(__xludf.DUMMYFUNCTION("""COMPUTED_VALUE"""),"")</f>
        <v/>
      </c>
      <c r="DM11" s="15" t="s">
        <v>444</v>
      </c>
      <c r="DN11" s="15" t="s">
        <v>419</v>
      </c>
      <c r="DO11" s="15">
        <v>0.0</v>
      </c>
      <c r="DP11" s="15" t="s">
        <v>419</v>
      </c>
      <c r="DR11" s="15">
        <v>0.0</v>
      </c>
      <c r="DT11" s="15" t="s">
        <v>420</v>
      </c>
      <c r="DU11" s="15" t="s">
        <v>419</v>
      </c>
      <c r="DW11" s="15">
        <v>0.0</v>
      </c>
      <c r="DX11" s="15">
        <v>0.0</v>
      </c>
      <c r="DY11" s="15">
        <v>0.0</v>
      </c>
      <c r="EE11" s="15">
        <v>10.0</v>
      </c>
      <c r="EF11" s="15" t="s">
        <v>471</v>
      </c>
      <c r="EG11" s="15" t="s">
        <v>472</v>
      </c>
      <c r="EH11" s="15" t="s">
        <v>423</v>
      </c>
      <c r="EJ11" s="15" t="s">
        <v>424</v>
      </c>
      <c r="EK11" s="15" t="s">
        <v>446</v>
      </c>
      <c r="EM11" s="15" t="str">
        <f>IFERROR(__xludf.DUMMYFUNCTION("""COMPUTED_VALUE"""),"")</f>
        <v/>
      </c>
      <c r="EW11" s="15" t="s">
        <v>555</v>
      </c>
      <c r="EX11" s="15" t="s">
        <v>556</v>
      </c>
      <c r="EY11" s="15" t="s">
        <v>557</v>
      </c>
      <c r="FH11" s="15" t="s">
        <v>528</v>
      </c>
      <c r="FI11" s="15" t="s">
        <v>558</v>
      </c>
      <c r="FJ11" s="15" t="s">
        <v>530</v>
      </c>
      <c r="FK11" s="15" t="s">
        <v>429</v>
      </c>
      <c r="FL11" s="15" t="s">
        <v>426</v>
      </c>
      <c r="FM11" s="15">
        <v>0.0</v>
      </c>
      <c r="FN11" s="15">
        <v>0.0</v>
      </c>
      <c r="FV11" s="15" t="s">
        <v>555</v>
      </c>
      <c r="FX11" s="15" t="s">
        <v>559</v>
      </c>
    </row>
    <row r="12">
      <c r="A12" s="14" t="s">
        <v>391</v>
      </c>
      <c r="B12" s="15" t="s">
        <v>537</v>
      </c>
      <c r="C12" s="16"/>
      <c r="D12" s="15" t="s">
        <v>432</v>
      </c>
      <c r="G12" s="14" t="s">
        <v>393</v>
      </c>
      <c r="H12" s="14" t="s">
        <v>394</v>
      </c>
      <c r="I12" s="14" t="b">
        <v>1</v>
      </c>
      <c r="J12" s="14" t="s">
        <v>395</v>
      </c>
      <c r="L12" s="14" t="b">
        <v>0</v>
      </c>
      <c r="M12" s="15" t="s">
        <v>573</v>
      </c>
      <c r="N12" s="14" t="s">
        <v>393</v>
      </c>
      <c r="O12" s="14" t="s">
        <v>393</v>
      </c>
      <c r="P12" s="15" t="s">
        <v>397</v>
      </c>
      <c r="Q12" s="15" t="s">
        <v>434</v>
      </c>
      <c r="R12" s="15" t="s">
        <v>265</v>
      </c>
      <c r="S12" s="15" t="s">
        <v>513</v>
      </c>
      <c r="T12" s="14" t="b">
        <v>0</v>
      </c>
      <c r="U12" s="15" t="s">
        <v>574</v>
      </c>
      <c r="V12" s="15" t="s">
        <v>562</v>
      </c>
      <c r="W12" s="15" t="s">
        <v>401</v>
      </c>
      <c r="X12" s="15" t="s">
        <v>402</v>
      </c>
      <c r="Y12" s="15">
        <v>4368.0</v>
      </c>
      <c r="AA12" s="15" t="str">
        <f>"1680"</f>
        <v>1680</v>
      </c>
      <c r="AB12" s="14" t="b">
        <v>1</v>
      </c>
      <c r="AC12" s="14" t="b">
        <v>1</v>
      </c>
      <c r="AD12" s="15" t="str">
        <f>"801542312725"</f>
        <v>801542312725</v>
      </c>
      <c r="AE12" s="15" t="s">
        <v>575</v>
      </c>
      <c r="AF12" s="14" t="s">
        <v>404</v>
      </c>
      <c r="AG12" s="14" t="s">
        <v>405</v>
      </c>
      <c r="AH12" s="14" t="s">
        <v>406</v>
      </c>
      <c r="AI12" s="15">
        <v>0.0</v>
      </c>
      <c r="AL12" s="15" t="s">
        <v>407</v>
      </c>
      <c r="AM12" s="15" t="s">
        <v>513</v>
      </c>
      <c r="AN12" s="15" t="s">
        <v>514</v>
      </c>
      <c r="AO12" s="15" t="s">
        <v>544</v>
      </c>
      <c r="AP12" s="15" t="s">
        <v>545</v>
      </c>
      <c r="AQ12" s="15" t="s">
        <v>546</v>
      </c>
      <c r="AR12" s="15" t="s">
        <v>547</v>
      </c>
      <c r="AS12" s="15" t="s">
        <v>411</v>
      </c>
      <c r="AT12" s="15" t="s">
        <v>434</v>
      </c>
      <c r="AW12" s="15" t="s">
        <v>548</v>
      </c>
      <c r="AX12" s="15" t="s">
        <v>549</v>
      </c>
      <c r="AY12" s="15" t="s">
        <v>426</v>
      </c>
      <c r="AZ12" s="15" t="b">
        <v>1</v>
      </c>
      <c r="BA12" s="15" t="s">
        <v>413</v>
      </c>
      <c r="BB12" s="15" t="b">
        <v>0</v>
      </c>
      <c r="BC12" s="15" t="s">
        <v>576</v>
      </c>
      <c r="BD12" s="15" t="s">
        <v>415</v>
      </c>
      <c r="BE12" s="15" t="str">
        <f t="shared" si="2"/>
        <v>1</v>
      </c>
      <c r="BF12" s="15" t="s">
        <v>416</v>
      </c>
      <c r="BG12" s="15" t="str">
        <f>"78.7"</f>
        <v>78.7</v>
      </c>
      <c r="BH12" s="15" t="s">
        <v>565</v>
      </c>
      <c r="BI12" s="15" t="str">
        <f>"19.29"</f>
        <v>19.29</v>
      </c>
      <c r="BJ12" s="15" t="s">
        <v>566</v>
      </c>
      <c r="BK12" s="15" t="str">
        <f>"51.57"</f>
        <v>51.57</v>
      </c>
      <c r="BL12" s="15" t="s">
        <v>567</v>
      </c>
      <c r="BM12" s="15" t="str">
        <f>"233.69"</f>
        <v>233.69</v>
      </c>
      <c r="BN12" s="15" t="s">
        <v>568</v>
      </c>
      <c r="BQ12" s="15" t="s">
        <v>444</v>
      </c>
      <c r="BS12" s="15" t="s">
        <v>444</v>
      </c>
      <c r="BU12" s="15" t="s">
        <v>444</v>
      </c>
      <c r="BW12" s="15" t="s">
        <v>444</v>
      </c>
      <c r="BZ12" s="15" t="s">
        <v>444</v>
      </c>
      <c r="CB12" s="15" t="s">
        <v>444</v>
      </c>
      <c r="CD12" s="15" t="s">
        <v>444</v>
      </c>
      <c r="CF12" s="15" t="s">
        <v>444</v>
      </c>
      <c r="CI12" s="15" t="s">
        <v>444</v>
      </c>
      <c r="CK12" s="15" t="s">
        <v>444</v>
      </c>
      <c r="CM12" s="15" t="s">
        <v>444</v>
      </c>
      <c r="CO12" s="15" t="s">
        <v>444</v>
      </c>
      <c r="CP12" s="15" t="str">
        <f>"45.31"</f>
        <v>45.31</v>
      </c>
      <c r="CQ12" s="15" t="str">
        <f>"1.283"</f>
        <v>1.283</v>
      </c>
      <c r="CR12" s="15" t="s">
        <v>465</v>
      </c>
      <c r="DC12" s="15" t="str">
        <f>IFERROR(__xludf.DUMMYFUNCTION("""COMPUTED_VALUE"""),"")</f>
        <v/>
      </c>
      <c r="DE12" s="15" t="str">
        <f>IFERROR(__xludf.DUMMYFUNCTION("""COMPUTED_VALUE"""),"")</f>
        <v/>
      </c>
      <c r="DG12" s="15" t="str">
        <f>IFERROR(__xludf.DUMMYFUNCTION("""COMPUTED_VALUE"""),"")</f>
        <v/>
      </c>
      <c r="DL12" s="15" t="str">
        <f>IFERROR(__xludf.DUMMYFUNCTION("""COMPUTED_VALUE"""),"")</f>
        <v/>
      </c>
      <c r="DM12" s="15" t="s">
        <v>444</v>
      </c>
      <c r="DN12" s="15" t="s">
        <v>419</v>
      </c>
      <c r="DO12" s="15">
        <v>0.0</v>
      </c>
      <c r="DP12" s="15" t="s">
        <v>419</v>
      </c>
      <c r="DR12" s="15">
        <v>0.0</v>
      </c>
      <c r="DT12" s="15" t="s">
        <v>420</v>
      </c>
      <c r="DU12" s="15" t="s">
        <v>419</v>
      </c>
      <c r="DW12" s="15">
        <v>0.0</v>
      </c>
      <c r="DX12" s="15">
        <v>0.0</v>
      </c>
      <c r="DY12" s="15">
        <v>0.0</v>
      </c>
      <c r="EE12" s="15">
        <v>8.0</v>
      </c>
      <c r="EF12" s="15" t="s">
        <v>471</v>
      </c>
      <c r="EG12" s="15" t="s">
        <v>472</v>
      </c>
      <c r="EH12" s="15" t="s">
        <v>423</v>
      </c>
      <c r="EJ12" s="15" t="s">
        <v>424</v>
      </c>
      <c r="EK12" s="15" t="s">
        <v>446</v>
      </c>
      <c r="EM12" s="15" t="str">
        <f>IFERROR(__xludf.DUMMYFUNCTION("""COMPUTED_VALUE"""),"")</f>
        <v/>
      </c>
      <c r="EW12" s="15" t="s">
        <v>555</v>
      </c>
      <c r="EX12" s="15" t="s">
        <v>556</v>
      </c>
      <c r="EY12" s="15" t="s">
        <v>527</v>
      </c>
      <c r="FH12" s="15" t="s">
        <v>528</v>
      </c>
      <c r="FI12" s="15" t="s">
        <v>558</v>
      </c>
      <c r="FJ12" s="15" t="s">
        <v>530</v>
      </c>
      <c r="FK12" s="15" t="s">
        <v>429</v>
      </c>
      <c r="FL12" s="15" t="s">
        <v>426</v>
      </c>
      <c r="FM12" s="15">
        <v>0.0</v>
      </c>
      <c r="FN12" s="15">
        <v>0.0</v>
      </c>
      <c r="FV12" s="15" t="s">
        <v>555</v>
      </c>
      <c r="FX12" s="15" t="s">
        <v>559</v>
      </c>
    </row>
    <row r="13">
      <c r="A13" s="14" t="s">
        <v>391</v>
      </c>
      <c r="B13" s="15" t="s">
        <v>577</v>
      </c>
      <c r="C13" s="16"/>
      <c r="D13" s="15" t="s">
        <v>432</v>
      </c>
      <c r="G13" s="14" t="s">
        <v>393</v>
      </c>
      <c r="H13" s="14" t="s">
        <v>394</v>
      </c>
      <c r="I13" s="14" t="b">
        <v>1</v>
      </c>
      <c r="J13" s="14" t="s">
        <v>395</v>
      </c>
      <c r="L13" s="14" t="b">
        <v>0</v>
      </c>
      <c r="M13" s="15" t="s">
        <v>578</v>
      </c>
      <c r="N13" s="14" t="s">
        <v>393</v>
      </c>
      <c r="O13" s="14" t="s">
        <v>393</v>
      </c>
      <c r="P13" s="15" t="s">
        <v>397</v>
      </c>
      <c r="Q13" s="15" t="s">
        <v>434</v>
      </c>
      <c r="T13" s="14" t="b">
        <v>0</v>
      </c>
      <c r="U13" s="15" t="s">
        <v>579</v>
      </c>
      <c r="V13" s="15" t="s">
        <v>580</v>
      </c>
      <c r="W13" s="15" t="s">
        <v>401</v>
      </c>
      <c r="X13" s="15" t="s">
        <v>402</v>
      </c>
      <c r="Y13" s="15">
        <v>2522.0</v>
      </c>
      <c r="AA13" s="15" t="str">
        <f>"970"</f>
        <v>970</v>
      </c>
      <c r="AB13" s="14" t="b">
        <v>1</v>
      </c>
      <c r="AC13" s="14" t="b">
        <v>1</v>
      </c>
      <c r="AD13" s="15" t="str">
        <f>"801542200329"</f>
        <v>801542200329</v>
      </c>
      <c r="AE13" s="15" t="s">
        <v>581</v>
      </c>
      <c r="AF13" s="14" t="s">
        <v>404</v>
      </c>
      <c r="AG13" s="14" t="s">
        <v>405</v>
      </c>
      <c r="AH13" s="14" t="s">
        <v>406</v>
      </c>
      <c r="AI13" s="15">
        <v>0.0</v>
      </c>
      <c r="AL13" s="15" t="s">
        <v>407</v>
      </c>
      <c r="AM13" s="15" t="s">
        <v>582</v>
      </c>
      <c r="AN13" s="15" t="s">
        <v>583</v>
      </c>
      <c r="AO13" s="15" t="s">
        <v>454</v>
      </c>
      <c r="AP13" s="15" t="s">
        <v>455</v>
      </c>
      <c r="AQ13" s="15" t="s">
        <v>456</v>
      </c>
      <c r="AR13" s="15" t="s">
        <v>457</v>
      </c>
      <c r="AS13" s="15" t="s">
        <v>411</v>
      </c>
      <c r="AT13" s="15" t="s">
        <v>434</v>
      </c>
      <c r="AW13" s="15" t="s">
        <v>458</v>
      </c>
      <c r="AX13" s="15" t="s">
        <v>459</v>
      </c>
      <c r="AY13" s="15" t="s">
        <v>426</v>
      </c>
      <c r="AZ13" s="15" t="b">
        <v>1</v>
      </c>
      <c r="BA13" s="15" t="s">
        <v>413</v>
      </c>
      <c r="BB13" s="15" t="b">
        <v>0</v>
      </c>
      <c r="BC13" s="15" t="s">
        <v>460</v>
      </c>
      <c r="BD13" s="15" t="s">
        <v>415</v>
      </c>
      <c r="BE13" s="15" t="str">
        <f t="shared" si="2"/>
        <v>1</v>
      </c>
      <c r="BF13" s="15" t="s">
        <v>416</v>
      </c>
      <c r="BG13" s="15" t="str">
        <f>"96.06"</f>
        <v>96.06</v>
      </c>
      <c r="BH13" s="15" t="s">
        <v>584</v>
      </c>
      <c r="BI13" s="15" t="str">
        <f>"25.59"</f>
        <v>25.59</v>
      </c>
      <c r="BJ13" s="15" t="s">
        <v>441</v>
      </c>
      <c r="BK13" s="15" t="str">
        <f>"25.2"</f>
        <v>25.2</v>
      </c>
      <c r="BL13" s="15" t="s">
        <v>585</v>
      </c>
      <c r="BM13" s="15" t="str">
        <f>"169.31"</f>
        <v>169.31</v>
      </c>
      <c r="BN13" s="15" t="s">
        <v>586</v>
      </c>
      <c r="BQ13" s="15" t="s">
        <v>444</v>
      </c>
      <c r="BS13" s="15" t="s">
        <v>444</v>
      </c>
      <c r="BU13" s="15" t="s">
        <v>444</v>
      </c>
      <c r="BW13" s="15" t="s">
        <v>444</v>
      </c>
      <c r="BZ13" s="15" t="s">
        <v>444</v>
      </c>
      <c r="CB13" s="15" t="s">
        <v>444</v>
      </c>
      <c r="CD13" s="15" t="s">
        <v>444</v>
      </c>
      <c r="CF13" s="15" t="s">
        <v>444</v>
      </c>
      <c r="CI13" s="15" t="s">
        <v>444</v>
      </c>
      <c r="CK13" s="15" t="s">
        <v>444</v>
      </c>
      <c r="CM13" s="15" t="s">
        <v>444</v>
      </c>
      <c r="CO13" s="15" t="s">
        <v>444</v>
      </c>
      <c r="CP13" s="15" t="str">
        <f>"35.84"</f>
        <v>35.84</v>
      </c>
      <c r="CQ13" s="15" t="str">
        <f>"1.015"</f>
        <v>1.015</v>
      </c>
      <c r="CR13" s="15" t="s">
        <v>465</v>
      </c>
      <c r="DB13" s="15" t="s">
        <v>466</v>
      </c>
      <c r="DC13" s="15" t="str">
        <f>IFERROR(__xludf.DUMMYFUNCTION("""COMPUTED_VALUE"""),"{""value"":19.25,""unit"":""in""}")</f>
        <v>{"value":19.25,"unit":"in"}</v>
      </c>
      <c r="DD13" s="15" t="s">
        <v>467</v>
      </c>
      <c r="DE13" s="15" t="str">
        <f>IFERROR(__xludf.DUMMYFUNCTION("""COMPUTED_VALUE"""),"{""value"":19.00,""unit"":""in""}")</f>
        <v>{"value":19.00,"unit":"in"}</v>
      </c>
      <c r="DF13" s="15" t="s">
        <v>587</v>
      </c>
      <c r="DG13" s="15" t="str">
        <f>IFERROR(__xludf.DUMMYFUNCTION("""COMPUTED_VALUE"""),"{""value"":90.00,""unit"":""in""}")</f>
        <v>{"value":90.00,"unit":"in"}</v>
      </c>
      <c r="DH13" s="15">
        <v>0.0</v>
      </c>
      <c r="DI13" s="15">
        <v>0.0</v>
      </c>
      <c r="DJ13" s="15" t="s">
        <v>469</v>
      </c>
      <c r="DL13" s="15" t="str">
        <f>IFERROR(__xludf.DUMMYFUNCTION("""COMPUTED_VALUE"""),"")</f>
        <v/>
      </c>
      <c r="DM13" s="15" t="s">
        <v>444</v>
      </c>
      <c r="DN13" s="15" t="s">
        <v>419</v>
      </c>
      <c r="DO13" s="15">
        <v>0.0</v>
      </c>
      <c r="DP13" s="15" t="s">
        <v>419</v>
      </c>
      <c r="DR13" s="15">
        <v>0.0</v>
      </c>
      <c r="DT13" s="15" t="s">
        <v>420</v>
      </c>
      <c r="DU13" s="15" t="s">
        <v>419</v>
      </c>
      <c r="DV13" s="15">
        <v>0.0</v>
      </c>
      <c r="DW13" s="15">
        <v>0.0</v>
      </c>
      <c r="DX13" s="15">
        <v>0.0</v>
      </c>
      <c r="DY13" s="15">
        <v>0.0</v>
      </c>
      <c r="EA13" s="15" t="s">
        <v>470</v>
      </c>
      <c r="ED13" s="15">
        <v>0.0</v>
      </c>
      <c r="EE13" s="15">
        <v>4.0</v>
      </c>
      <c r="EF13" s="15" t="s">
        <v>471</v>
      </c>
      <c r="EG13" s="15" t="s">
        <v>472</v>
      </c>
      <c r="EH13" s="15" t="s">
        <v>423</v>
      </c>
      <c r="EI13" s="15">
        <v>0.0</v>
      </c>
      <c r="EJ13" s="15" t="s">
        <v>588</v>
      </c>
      <c r="EK13" s="15" t="s">
        <v>589</v>
      </c>
      <c r="EM13" s="15" t="str">
        <f>IFERROR(__xludf.DUMMYFUNCTION("""COMPUTED_VALUE"""),"")</f>
        <v/>
      </c>
      <c r="EW13" s="15" t="s">
        <v>475</v>
      </c>
      <c r="EX13" s="15" t="s">
        <v>590</v>
      </c>
      <c r="EY13" s="15" t="s">
        <v>477</v>
      </c>
      <c r="FL13" s="15" t="s">
        <v>426</v>
      </c>
    </row>
    <row r="14">
      <c r="A14" s="14" t="s">
        <v>391</v>
      </c>
      <c r="B14" s="15" t="s">
        <v>591</v>
      </c>
      <c r="C14" s="16"/>
      <c r="D14" s="15" t="s">
        <v>432</v>
      </c>
      <c r="G14" s="14" t="s">
        <v>393</v>
      </c>
      <c r="H14" s="14" t="s">
        <v>394</v>
      </c>
      <c r="I14" s="14" t="b">
        <v>1</v>
      </c>
      <c r="J14" s="14" t="s">
        <v>395</v>
      </c>
      <c r="L14" s="14" t="b">
        <v>0</v>
      </c>
      <c r="M14" s="15" t="s">
        <v>592</v>
      </c>
      <c r="N14" s="14" t="s">
        <v>393</v>
      </c>
      <c r="O14" s="14" t="s">
        <v>393</v>
      </c>
      <c r="P14" s="15" t="s">
        <v>397</v>
      </c>
      <c r="Q14" s="15" t="s">
        <v>398</v>
      </c>
      <c r="T14" s="14" t="b">
        <v>0</v>
      </c>
      <c r="U14" s="15" t="s">
        <v>593</v>
      </c>
      <c r="V14" s="15" t="s">
        <v>594</v>
      </c>
      <c r="W14" s="15" t="s">
        <v>401</v>
      </c>
      <c r="X14" s="15" t="s">
        <v>402</v>
      </c>
      <c r="Y14" s="15">
        <v>4589.0</v>
      </c>
      <c r="AA14" s="15" t="str">
        <f>"1765"</f>
        <v>1765</v>
      </c>
      <c r="AB14" s="14" t="b">
        <v>1</v>
      </c>
      <c r="AC14" s="14" t="b">
        <v>1</v>
      </c>
      <c r="AD14" s="15" t="str">
        <f>"801542194239"</f>
        <v>801542194239</v>
      </c>
      <c r="AE14" s="15" t="s">
        <v>595</v>
      </c>
      <c r="AF14" s="14" t="s">
        <v>404</v>
      </c>
      <c r="AG14" s="14" t="s">
        <v>405</v>
      </c>
      <c r="AH14" s="14" t="s">
        <v>406</v>
      </c>
      <c r="AI14" s="15">
        <v>0.0</v>
      </c>
      <c r="AL14" s="15" t="s">
        <v>407</v>
      </c>
      <c r="AM14" s="15" t="s">
        <v>596</v>
      </c>
      <c r="AN14" s="15" t="s">
        <v>597</v>
      </c>
      <c r="AO14" s="15" t="s">
        <v>598</v>
      </c>
      <c r="AP14" s="15" t="s">
        <v>599</v>
      </c>
      <c r="AQ14" s="15" t="s">
        <v>600</v>
      </c>
      <c r="AR14" s="15" t="s">
        <v>601</v>
      </c>
      <c r="AS14" s="15" t="s">
        <v>411</v>
      </c>
      <c r="AT14" s="15" t="s">
        <v>398</v>
      </c>
      <c r="AW14" s="15" t="s">
        <v>602</v>
      </c>
      <c r="AY14" s="15" t="s">
        <v>426</v>
      </c>
      <c r="AZ14" s="15" t="b">
        <v>1</v>
      </c>
      <c r="BA14" s="15" t="s">
        <v>413</v>
      </c>
      <c r="BB14" s="15" t="b">
        <v>0</v>
      </c>
      <c r="BC14" s="15" t="s">
        <v>603</v>
      </c>
      <c r="BD14" s="15" t="s">
        <v>415</v>
      </c>
      <c r="BE14" s="15" t="str">
        <f t="shared" si="2"/>
        <v>1</v>
      </c>
      <c r="BF14" s="15" t="s">
        <v>416</v>
      </c>
      <c r="BG14" s="15" t="str">
        <f>"100.59"</f>
        <v>100.59</v>
      </c>
      <c r="BH14" s="15" t="s">
        <v>604</v>
      </c>
      <c r="BI14" s="15" t="str">
        <f>"25.98"</f>
        <v>25.98</v>
      </c>
      <c r="BJ14" s="15" t="s">
        <v>522</v>
      </c>
      <c r="BK14" s="15" t="str">
        <f>"34.25"</f>
        <v>34.25</v>
      </c>
      <c r="BL14" s="15" t="s">
        <v>605</v>
      </c>
      <c r="BM14" s="15" t="str">
        <f>"308.86"</f>
        <v>308.86</v>
      </c>
      <c r="BN14" s="15" t="s">
        <v>606</v>
      </c>
      <c r="BQ14" s="15" t="s">
        <v>444</v>
      </c>
      <c r="BS14" s="15" t="s">
        <v>444</v>
      </c>
      <c r="BU14" s="15" t="s">
        <v>444</v>
      </c>
      <c r="BW14" s="15" t="s">
        <v>444</v>
      </c>
      <c r="BZ14" s="15" t="s">
        <v>444</v>
      </c>
      <c r="CB14" s="15" t="s">
        <v>444</v>
      </c>
      <c r="CD14" s="15" t="s">
        <v>444</v>
      </c>
      <c r="CF14" s="15" t="s">
        <v>444</v>
      </c>
      <c r="CI14" s="15" t="s">
        <v>444</v>
      </c>
      <c r="CK14" s="15" t="s">
        <v>444</v>
      </c>
      <c r="CM14" s="15" t="s">
        <v>444</v>
      </c>
      <c r="CO14" s="15" t="s">
        <v>444</v>
      </c>
      <c r="CP14" s="15" t="str">
        <f>"51.81"</f>
        <v>51.81</v>
      </c>
      <c r="CQ14" s="15" t="str">
        <f>"1.467"</f>
        <v>1.467</v>
      </c>
      <c r="CR14" s="15" t="s">
        <v>465</v>
      </c>
      <c r="CV14" s="15" t="s">
        <v>607</v>
      </c>
      <c r="CW14" s="15" t="s">
        <v>608</v>
      </c>
      <c r="CX14" s="15" t="s">
        <v>609</v>
      </c>
      <c r="DC14" s="15" t="str">
        <f>IFERROR(__xludf.DUMMYFUNCTION("""COMPUTED_VALUE"""),"")</f>
        <v/>
      </c>
      <c r="DE14" s="15" t="str">
        <f>IFERROR(__xludf.DUMMYFUNCTION("""COMPUTED_VALUE"""),"")</f>
        <v/>
      </c>
      <c r="DG14" s="15" t="str">
        <f>IFERROR(__xludf.DUMMYFUNCTION("""COMPUTED_VALUE"""),"")</f>
        <v/>
      </c>
      <c r="DL14" s="15" t="str">
        <f>IFERROR(__xludf.DUMMYFUNCTION("""COMPUTED_VALUE"""),"")</f>
        <v/>
      </c>
      <c r="DM14" s="15" t="s">
        <v>444</v>
      </c>
      <c r="DN14" s="15" t="s">
        <v>419</v>
      </c>
      <c r="DO14" s="15">
        <v>0.0</v>
      </c>
      <c r="DP14" s="15" t="s">
        <v>419</v>
      </c>
      <c r="DR14" s="15">
        <v>0.0</v>
      </c>
      <c r="DT14" s="15" t="s">
        <v>420</v>
      </c>
      <c r="DU14" s="15" t="s">
        <v>610</v>
      </c>
      <c r="DW14" s="15">
        <v>11.34</v>
      </c>
      <c r="DX14" s="15">
        <v>25.0</v>
      </c>
      <c r="DY14" s="15">
        <v>2.0</v>
      </c>
      <c r="EG14" s="15" t="s">
        <v>444</v>
      </c>
      <c r="EH14" s="15" t="s">
        <v>423</v>
      </c>
      <c r="EK14" s="15" t="s">
        <v>444</v>
      </c>
      <c r="EM14" s="15" t="str">
        <f>IFERROR(__xludf.DUMMYFUNCTION("""COMPUTED_VALUE"""),"")</f>
        <v/>
      </c>
      <c r="EW14" s="15" t="s">
        <v>425</v>
      </c>
      <c r="FL14" s="15" t="s">
        <v>426</v>
      </c>
      <c r="FM14" s="15">
        <v>2.0</v>
      </c>
      <c r="FY14" s="15" t="s">
        <v>611</v>
      </c>
      <c r="FZ14" s="15" t="s">
        <v>612</v>
      </c>
      <c r="GA14" s="15" t="s">
        <v>613</v>
      </c>
      <c r="GB14" s="15" t="s">
        <v>607</v>
      </c>
      <c r="GC14" s="15" t="s">
        <v>612</v>
      </c>
      <c r="GD14" s="15" t="s">
        <v>609</v>
      </c>
      <c r="GF14" s="15" t="s">
        <v>426</v>
      </c>
      <c r="GH14" s="15">
        <v>4.0</v>
      </c>
      <c r="GI14" s="15" t="s">
        <v>614</v>
      </c>
      <c r="GJ14" s="15" t="s">
        <v>615</v>
      </c>
      <c r="GL14" s="15" t="s">
        <v>426</v>
      </c>
      <c r="GN14" s="15" t="s">
        <v>616</v>
      </c>
      <c r="HD14" s="15">
        <v>0.0</v>
      </c>
    </row>
    <row r="15">
      <c r="A15" s="14" t="s">
        <v>391</v>
      </c>
      <c r="B15" s="15" t="s">
        <v>617</v>
      </c>
      <c r="C15" s="16"/>
      <c r="D15" s="15" t="s">
        <v>432</v>
      </c>
      <c r="G15" s="14" t="s">
        <v>393</v>
      </c>
      <c r="H15" s="14" t="s">
        <v>394</v>
      </c>
      <c r="I15" s="14" t="b">
        <v>1</v>
      </c>
      <c r="J15" s="14" t="s">
        <v>395</v>
      </c>
      <c r="L15" s="14" t="b">
        <v>0</v>
      </c>
      <c r="M15" s="15" t="s">
        <v>618</v>
      </c>
      <c r="N15" s="14" t="s">
        <v>393</v>
      </c>
      <c r="O15" s="14" t="s">
        <v>393</v>
      </c>
      <c r="P15" s="15" t="s">
        <v>397</v>
      </c>
      <c r="Q15" s="15" t="s">
        <v>398</v>
      </c>
      <c r="T15" s="14" t="b">
        <v>0</v>
      </c>
      <c r="U15" s="15" t="s">
        <v>619</v>
      </c>
      <c r="V15" s="15" t="s">
        <v>620</v>
      </c>
      <c r="W15" s="15" t="s">
        <v>401</v>
      </c>
      <c r="X15" s="15" t="s">
        <v>402</v>
      </c>
      <c r="Y15" s="15">
        <v>2405.0</v>
      </c>
      <c r="AA15" s="15" t="str">
        <f t="shared" ref="AA15:AA16" si="23">"925"</f>
        <v>925</v>
      </c>
      <c r="AB15" s="14" t="b">
        <v>1</v>
      </c>
      <c r="AC15" s="14" t="b">
        <v>1</v>
      </c>
      <c r="AD15" s="15" t="str">
        <f>"801542240943"</f>
        <v>801542240943</v>
      </c>
      <c r="AE15" s="15" t="s">
        <v>621</v>
      </c>
      <c r="AF15" s="14" t="s">
        <v>404</v>
      </c>
      <c r="AG15" s="14" t="s">
        <v>405</v>
      </c>
      <c r="AH15" s="14" t="s">
        <v>406</v>
      </c>
      <c r="AI15" s="15">
        <v>0.0</v>
      </c>
      <c r="AL15" s="15" t="s">
        <v>407</v>
      </c>
      <c r="AM15" s="15" t="s">
        <v>622</v>
      </c>
      <c r="AN15" s="15" t="s">
        <v>623</v>
      </c>
      <c r="AO15" s="15" t="s">
        <v>624</v>
      </c>
      <c r="AP15" s="15" t="s">
        <v>625</v>
      </c>
      <c r="AQ15" s="15" t="s">
        <v>626</v>
      </c>
      <c r="AR15" s="15" t="s">
        <v>627</v>
      </c>
      <c r="AS15" s="15" t="s">
        <v>411</v>
      </c>
      <c r="AT15" s="15" t="s">
        <v>398</v>
      </c>
      <c r="AW15" s="15" t="s">
        <v>628</v>
      </c>
      <c r="AY15" s="15" t="s">
        <v>413</v>
      </c>
      <c r="AZ15" s="15" t="b">
        <v>0</v>
      </c>
      <c r="BA15" s="15" t="s">
        <v>413</v>
      </c>
      <c r="BB15" s="15" t="b">
        <v>0</v>
      </c>
      <c r="BC15" s="15" t="s">
        <v>629</v>
      </c>
      <c r="BD15" s="15" t="s">
        <v>415</v>
      </c>
      <c r="BE15" s="15" t="str">
        <f t="shared" si="2"/>
        <v>1</v>
      </c>
      <c r="BF15" s="15" t="s">
        <v>416</v>
      </c>
      <c r="BG15" s="15" t="str">
        <f t="shared" ref="BG15:BG16" si="24">"41.34"</f>
        <v>41.34</v>
      </c>
      <c r="BH15" s="15" t="s">
        <v>630</v>
      </c>
      <c r="BI15" s="15" t="str">
        <f t="shared" ref="BI15:BI16" si="25">"25.79"</f>
        <v>25.79</v>
      </c>
      <c r="BJ15" s="15" t="s">
        <v>631</v>
      </c>
      <c r="BK15" s="15" t="str">
        <f t="shared" ref="BK15:BK16" si="26">"28.94"</f>
        <v>28.94</v>
      </c>
      <c r="BL15" s="15" t="s">
        <v>632</v>
      </c>
      <c r="BM15" s="15" t="str">
        <f t="shared" ref="BM15:BM16" si="27">"116.07"</f>
        <v>116.07</v>
      </c>
      <c r="BN15" s="15" t="s">
        <v>633</v>
      </c>
      <c r="BQ15" s="15" t="s">
        <v>444</v>
      </c>
      <c r="BS15" s="15" t="s">
        <v>444</v>
      </c>
      <c r="BU15" s="15" t="s">
        <v>444</v>
      </c>
      <c r="BW15" s="15" t="s">
        <v>444</v>
      </c>
      <c r="BZ15" s="15" t="s">
        <v>444</v>
      </c>
      <c r="CB15" s="15" t="s">
        <v>444</v>
      </c>
      <c r="CD15" s="15" t="s">
        <v>444</v>
      </c>
      <c r="CF15" s="15" t="s">
        <v>444</v>
      </c>
      <c r="CI15" s="15" t="s">
        <v>444</v>
      </c>
      <c r="CK15" s="15" t="s">
        <v>444</v>
      </c>
      <c r="CM15" s="15" t="s">
        <v>444</v>
      </c>
      <c r="CO15" s="15" t="s">
        <v>444</v>
      </c>
      <c r="CP15" s="15" t="str">
        <f t="shared" ref="CP15:CP16" si="28">"17.83"</f>
        <v>17.83</v>
      </c>
      <c r="CQ15" s="15" t="str">
        <f t="shared" ref="CQ15:CQ16" si="29">"0.505"</f>
        <v>0.505</v>
      </c>
      <c r="CR15" s="15" t="s">
        <v>417</v>
      </c>
      <c r="DC15" s="15" t="str">
        <f>IFERROR(__xludf.DUMMYFUNCTION("""COMPUTED_VALUE"""),"")</f>
        <v/>
      </c>
      <c r="DE15" s="15" t="str">
        <f>IFERROR(__xludf.DUMMYFUNCTION("""COMPUTED_VALUE"""),"")</f>
        <v/>
      </c>
      <c r="DG15" s="15" t="str">
        <f>IFERROR(__xludf.DUMMYFUNCTION("""COMPUTED_VALUE"""),"")</f>
        <v/>
      </c>
      <c r="DL15" s="15" t="str">
        <f>IFERROR(__xludf.DUMMYFUNCTION("""COMPUTED_VALUE"""),"")</f>
        <v/>
      </c>
      <c r="DM15" s="15" t="s">
        <v>444</v>
      </c>
      <c r="DN15" s="15" t="s">
        <v>418</v>
      </c>
      <c r="DO15" s="15">
        <v>2.0</v>
      </c>
      <c r="DP15" s="15" t="s">
        <v>419</v>
      </c>
      <c r="DR15" s="15">
        <v>0.0</v>
      </c>
      <c r="DT15" s="15" t="s">
        <v>420</v>
      </c>
      <c r="DU15" s="15" t="s">
        <v>421</v>
      </c>
      <c r="DY15" s="15">
        <v>0.0</v>
      </c>
      <c r="EF15" s="15" t="s">
        <v>471</v>
      </c>
      <c r="EG15" s="15" t="s">
        <v>472</v>
      </c>
      <c r="EH15" s="15" t="s">
        <v>423</v>
      </c>
      <c r="EJ15" s="15" t="s">
        <v>500</v>
      </c>
      <c r="EK15" s="15" t="s">
        <v>501</v>
      </c>
      <c r="EM15" s="15" t="str">
        <f>IFERROR(__xludf.DUMMYFUNCTION("""COMPUTED_VALUE"""),"")</f>
        <v/>
      </c>
      <c r="EW15" s="15" t="s">
        <v>425</v>
      </c>
      <c r="FL15" s="15" t="s">
        <v>426</v>
      </c>
      <c r="FM15" s="15">
        <v>0.0</v>
      </c>
      <c r="GH15" s="15">
        <v>0.0</v>
      </c>
      <c r="GI15" s="15" t="s">
        <v>427</v>
      </c>
      <c r="GO15" s="15" t="s">
        <v>426</v>
      </c>
      <c r="GQ15" s="15" t="s">
        <v>634</v>
      </c>
      <c r="GS15" s="15" t="s">
        <v>635</v>
      </c>
      <c r="GU15" s="15" t="s">
        <v>636</v>
      </c>
      <c r="GW15" s="15" t="s">
        <v>431</v>
      </c>
    </row>
    <row r="16">
      <c r="A16" s="14" t="s">
        <v>391</v>
      </c>
      <c r="B16" s="15" t="s">
        <v>617</v>
      </c>
      <c r="C16" s="16"/>
      <c r="D16" s="15" t="s">
        <v>432</v>
      </c>
      <c r="G16" s="14" t="s">
        <v>393</v>
      </c>
      <c r="H16" s="14" t="s">
        <v>394</v>
      </c>
      <c r="I16" s="14" t="b">
        <v>1</v>
      </c>
      <c r="J16" s="14" t="s">
        <v>395</v>
      </c>
      <c r="L16" s="14" t="b">
        <v>0</v>
      </c>
      <c r="M16" s="15" t="s">
        <v>637</v>
      </c>
      <c r="N16" s="14" t="s">
        <v>393</v>
      </c>
      <c r="O16" s="14" t="s">
        <v>393</v>
      </c>
      <c r="P16" s="15" t="s">
        <v>397</v>
      </c>
      <c r="Q16" s="15" t="s">
        <v>434</v>
      </c>
      <c r="T16" s="14" t="b">
        <v>0</v>
      </c>
      <c r="U16" s="15" t="s">
        <v>638</v>
      </c>
      <c r="V16" s="15" t="s">
        <v>620</v>
      </c>
      <c r="W16" s="15" t="s">
        <v>401</v>
      </c>
      <c r="X16" s="15" t="s">
        <v>402</v>
      </c>
      <c r="Y16" s="15">
        <v>2405.0</v>
      </c>
      <c r="AA16" s="15" t="str">
        <f t="shared" si="23"/>
        <v>925</v>
      </c>
      <c r="AB16" s="14" t="b">
        <v>1</v>
      </c>
      <c r="AC16" s="14" t="b">
        <v>1</v>
      </c>
      <c r="AD16" s="15" t="str">
        <f>"801542240950"</f>
        <v>801542240950</v>
      </c>
      <c r="AE16" s="15" t="s">
        <v>639</v>
      </c>
      <c r="AF16" s="14" t="s">
        <v>404</v>
      </c>
      <c r="AG16" s="14" t="s">
        <v>405</v>
      </c>
      <c r="AH16" s="14" t="s">
        <v>406</v>
      </c>
      <c r="AI16" s="15">
        <v>0.0</v>
      </c>
      <c r="AL16" s="15" t="s">
        <v>407</v>
      </c>
      <c r="AM16" s="15" t="s">
        <v>622</v>
      </c>
      <c r="AN16" s="15" t="s">
        <v>623</v>
      </c>
      <c r="AO16" s="15" t="s">
        <v>624</v>
      </c>
      <c r="AP16" s="15" t="s">
        <v>625</v>
      </c>
      <c r="AQ16" s="15" t="s">
        <v>626</v>
      </c>
      <c r="AR16" s="15" t="s">
        <v>627</v>
      </c>
      <c r="AS16" s="15" t="s">
        <v>411</v>
      </c>
      <c r="AT16" s="15" t="s">
        <v>434</v>
      </c>
      <c r="AW16" s="15" t="s">
        <v>628</v>
      </c>
      <c r="AY16" s="15" t="s">
        <v>413</v>
      </c>
      <c r="AZ16" s="15" t="b">
        <v>0</v>
      </c>
      <c r="BA16" s="15" t="s">
        <v>413</v>
      </c>
      <c r="BB16" s="15" t="b">
        <v>0</v>
      </c>
      <c r="BC16" s="15" t="s">
        <v>629</v>
      </c>
      <c r="BD16" s="15" t="s">
        <v>415</v>
      </c>
      <c r="BE16" s="15" t="str">
        <f t="shared" si="2"/>
        <v>1</v>
      </c>
      <c r="BF16" s="15" t="s">
        <v>416</v>
      </c>
      <c r="BG16" s="15" t="str">
        <f t="shared" si="24"/>
        <v>41.34</v>
      </c>
      <c r="BH16" s="15" t="s">
        <v>630</v>
      </c>
      <c r="BI16" s="15" t="str">
        <f t="shared" si="25"/>
        <v>25.79</v>
      </c>
      <c r="BJ16" s="15" t="s">
        <v>631</v>
      </c>
      <c r="BK16" s="15" t="str">
        <f t="shared" si="26"/>
        <v>28.94</v>
      </c>
      <c r="BL16" s="15" t="s">
        <v>632</v>
      </c>
      <c r="BM16" s="15" t="str">
        <f t="shared" si="27"/>
        <v>116.07</v>
      </c>
      <c r="BN16" s="15" t="s">
        <v>633</v>
      </c>
      <c r="BQ16" s="15" t="s">
        <v>444</v>
      </c>
      <c r="BS16" s="15" t="s">
        <v>444</v>
      </c>
      <c r="BU16" s="15" t="s">
        <v>444</v>
      </c>
      <c r="BW16" s="15" t="s">
        <v>444</v>
      </c>
      <c r="BZ16" s="15" t="s">
        <v>444</v>
      </c>
      <c r="CB16" s="15" t="s">
        <v>444</v>
      </c>
      <c r="CD16" s="15" t="s">
        <v>444</v>
      </c>
      <c r="CF16" s="15" t="s">
        <v>444</v>
      </c>
      <c r="CI16" s="15" t="s">
        <v>444</v>
      </c>
      <c r="CK16" s="15" t="s">
        <v>444</v>
      </c>
      <c r="CM16" s="15" t="s">
        <v>444</v>
      </c>
      <c r="CO16" s="15" t="s">
        <v>444</v>
      </c>
      <c r="CP16" s="15" t="str">
        <f t="shared" si="28"/>
        <v>17.83</v>
      </c>
      <c r="CQ16" s="15" t="str">
        <f t="shared" si="29"/>
        <v>0.505</v>
      </c>
      <c r="CR16" s="15" t="s">
        <v>417</v>
      </c>
      <c r="DC16" s="15" t="str">
        <f>IFERROR(__xludf.DUMMYFUNCTION("""COMPUTED_VALUE"""),"")</f>
        <v/>
      </c>
      <c r="DE16" s="15" t="str">
        <f>IFERROR(__xludf.DUMMYFUNCTION("""COMPUTED_VALUE"""),"")</f>
        <v/>
      </c>
      <c r="DG16" s="15" t="str">
        <f>IFERROR(__xludf.DUMMYFUNCTION("""COMPUTED_VALUE"""),"")</f>
        <v/>
      </c>
      <c r="DL16" s="15" t="str">
        <f>IFERROR(__xludf.DUMMYFUNCTION("""COMPUTED_VALUE"""),"")</f>
        <v/>
      </c>
      <c r="DM16" s="15" t="s">
        <v>444</v>
      </c>
      <c r="DN16" s="15" t="s">
        <v>418</v>
      </c>
      <c r="DO16" s="15">
        <v>2.0</v>
      </c>
      <c r="DP16" s="15" t="s">
        <v>419</v>
      </c>
      <c r="DR16" s="15">
        <v>0.0</v>
      </c>
      <c r="DT16" s="15" t="s">
        <v>420</v>
      </c>
      <c r="DU16" s="15" t="s">
        <v>421</v>
      </c>
      <c r="DY16" s="15">
        <v>0.0</v>
      </c>
      <c r="EF16" s="15" t="s">
        <v>471</v>
      </c>
      <c r="EG16" s="15" t="s">
        <v>472</v>
      </c>
      <c r="EH16" s="15" t="s">
        <v>423</v>
      </c>
      <c r="EJ16" s="15" t="s">
        <v>500</v>
      </c>
      <c r="EK16" s="15" t="s">
        <v>501</v>
      </c>
      <c r="EM16" s="15" t="str">
        <f>IFERROR(__xludf.DUMMYFUNCTION("""COMPUTED_VALUE"""),"")</f>
        <v/>
      </c>
      <c r="EW16" s="15" t="s">
        <v>425</v>
      </c>
      <c r="FL16" s="15" t="s">
        <v>426</v>
      </c>
      <c r="FM16" s="15">
        <v>0.0</v>
      </c>
      <c r="GH16" s="15">
        <v>0.0</v>
      </c>
      <c r="GI16" s="15" t="s">
        <v>427</v>
      </c>
      <c r="GO16" s="15" t="s">
        <v>426</v>
      </c>
      <c r="GQ16" s="15" t="s">
        <v>634</v>
      </c>
      <c r="GS16" s="15" t="s">
        <v>635</v>
      </c>
      <c r="GU16" s="15" t="s">
        <v>636</v>
      </c>
      <c r="GW16" s="15" t="s">
        <v>431</v>
      </c>
    </row>
    <row r="17">
      <c r="A17" s="14" t="s">
        <v>391</v>
      </c>
      <c r="B17" s="15" t="s">
        <v>640</v>
      </c>
      <c r="C17" s="16"/>
      <c r="D17" s="15" t="s">
        <v>432</v>
      </c>
      <c r="G17" s="14" t="s">
        <v>393</v>
      </c>
      <c r="H17" s="14" t="s">
        <v>394</v>
      </c>
      <c r="I17" s="14" t="b">
        <v>1</v>
      </c>
      <c r="J17" s="14" t="s">
        <v>395</v>
      </c>
      <c r="L17" s="14" t="b">
        <v>0</v>
      </c>
      <c r="M17" s="15" t="s">
        <v>641</v>
      </c>
      <c r="N17" s="14" t="s">
        <v>393</v>
      </c>
      <c r="O17" s="14" t="s">
        <v>393</v>
      </c>
      <c r="P17" s="15" t="s">
        <v>397</v>
      </c>
      <c r="Q17" s="15" t="s">
        <v>398</v>
      </c>
      <c r="T17" s="14" t="b">
        <v>0</v>
      </c>
      <c r="U17" s="15" t="s">
        <v>642</v>
      </c>
      <c r="V17" s="15" t="s">
        <v>643</v>
      </c>
      <c r="W17" s="15" t="s">
        <v>401</v>
      </c>
      <c r="X17" s="15" t="s">
        <v>402</v>
      </c>
      <c r="Y17" s="15">
        <v>2730.0</v>
      </c>
      <c r="AA17" s="15" t="str">
        <f t="shared" ref="AA17:AA18" si="30">"1050"</f>
        <v>1050</v>
      </c>
      <c r="AB17" s="14" t="b">
        <v>1</v>
      </c>
      <c r="AC17" s="14" t="b">
        <v>1</v>
      </c>
      <c r="AD17" s="15" t="str">
        <f>"801542200916"</f>
        <v>801542200916</v>
      </c>
      <c r="AE17" s="15" t="s">
        <v>644</v>
      </c>
      <c r="AF17" s="14" t="s">
        <v>404</v>
      </c>
      <c r="AG17" s="14" t="s">
        <v>405</v>
      </c>
      <c r="AH17" s="14" t="s">
        <v>406</v>
      </c>
      <c r="AI17" s="15">
        <v>0.0</v>
      </c>
      <c r="AL17" s="15" t="s">
        <v>407</v>
      </c>
      <c r="AM17" s="15" t="s">
        <v>452</v>
      </c>
      <c r="AN17" s="15" t="s">
        <v>453</v>
      </c>
      <c r="AO17" s="15" t="s">
        <v>645</v>
      </c>
      <c r="AP17" s="15" t="s">
        <v>646</v>
      </c>
      <c r="AQ17" s="15" t="s">
        <v>489</v>
      </c>
      <c r="AR17" s="15" t="s">
        <v>490</v>
      </c>
      <c r="AS17" s="15" t="s">
        <v>411</v>
      </c>
      <c r="AT17" s="15" t="s">
        <v>398</v>
      </c>
      <c r="AW17" s="15" t="s">
        <v>491</v>
      </c>
      <c r="AY17" s="15" t="s">
        <v>413</v>
      </c>
      <c r="AZ17" s="15" t="b">
        <v>0</v>
      </c>
      <c r="BA17" s="15" t="s">
        <v>413</v>
      </c>
      <c r="BB17" s="15" t="b">
        <v>0</v>
      </c>
      <c r="BC17" s="15" t="s">
        <v>647</v>
      </c>
      <c r="BD17" s="15" t="s">
        <v>415</v>
      </c>
      <c r="BE17" s="15" t="str">
        <f t="shared" si="2"/>
        <v>1</v>
      </c>
      <c r="BF17" s="15" t="s">
        <v>416</v>
      </c>
      <c r="BG17" s="15" t="str">
        <f t="shared" ref="BG17:BG18" si="31">"75.2"</f>
        <v>75.2</v>
      </c>
      <c r="BH17" s="15" t="s">
        <v>461</v>
      </c>
      <c r="BI17" s="15" t="str">
        <f t="shared" ref="BI17:BI18" si="32">"40.94"</f>
        <v>40.94</v>
      </c>
      <c r="BJ17" s="15" t="s">
        <v>648</v>
      </c>
      <c r="BK17" s="15" t="str">
        <f t="shared" ref="BK17:BK18" si="33">"20.87"</f>
        <v>20.87</v>
      </c>
      <c r="BL17" s="15" t="s">
        <v>495</v>
      </c>
      <c r="BM17" s="15" t="str">
        <f t="shared" ref="BM17:BM18" si="34">"208.89"</f>
        <v>208.89</v>
      </c>
      <c r="BN17" s="15" t="s">
        <v>649</v>
      </c>
      <c r="BQ17" s="15" t="s">
        <v>444</v>
      </c>
      <c r="BS17" s="15" t="s">
        <v>444</v>
      </c>
      <c r="BU17" s="15" t="s">
        <v>444</v>
      </c>
      <c r="BW17" s="15" t="s">
        <v>444</v>
      </c>
      <c r="BZ17" s="15" t="s">
        <v>444</v>
      </c>
      <c r="CB17" s="15" t="s">
        <v>444</v>
      </c>
      <c r="CD17" s="15" t="s">
        <v>444</v>
      </c>
      <c r="CF17" s="15" t="s">
        <v>444</v>
      </c>
      <c r="CI17" s="15" t="s">
        <v>444</v>
      </c>
      <c r="CK17" s="15" t="s">
        <v>444</v>
      </c>
      <c r="CM17" s="15" t="s">
        <v>444</v>
      </c>
      <c r="CO17" s="15" t="s">
        <v>444</v>
      </c>
      <c r="CP17" s="15" t="str">
        <f t="shared" ref="CP17:CP18" si="35">"37.19"</f>
        <v>37.19</v>
      </c>
      <c r="CQ17" s="15" t="str">
        <f t="shared" ref="CQ17:CQ18" si="36">"1.053"</f>
        <v>1.053</v>
      </c>
      <c r="CR17" s="15" t="s">
        <v>497</v>
      </c>
      <c r="DC17" s="15" t="str">
        <f>IFERROR(__xludf.DUMMYFUNCTION("""COMPUTED_VALUE"""),"")</f>
        <v/>
      </c>
      <c r="DE17" s="15" t="str">
        <f>IFERROR(__xludf.DUMMYFUNCTION("""COMPUTED_VALUE"""),"")</f>
        <v/>
      </c>
      <c r="DG17" s="15" t="str">
        <f>IFERROR(__xludf.DUMMYFUNCTION("""COMPUTED_VALUE"""),"")</f>
        <v/>
      </c>
      <c r="DL17" s="15" t="str">
        <f>IFERROR(__xludf.DUMMYFUNCTION("""COMPUTED_VALUE"""),"")</f>
        <v/>
      </c>
      <c r="DM17" s="15" t="s">
        <v>444</v>
      </c>
      <c r="DN17" s="15" t="s">
        <v>419</v>
      </c>
      <c r="DO17" s="15">
        <v>0.0</v>
      </c>
      <c r="DP17" s="15" t="s">
        <v>419</v>
      </c>
      <c r="DR17" s="15">
        <v>0.0</v>
      </c>
      <c r="DT17" s="15" t="s">
        <v>420</v>
      </c>
      <c r="DU17" s="15" t="s">
        <v>419</v>
      </c>
      <c r="DY17" s="15">
        <v>0.0</v>
      </c>
      <c r="EF17" s="15" t="s">
        <v>471</v>
      </c>
      <c r="EG17" s="15" t="s">
        <v>472</v>
      </c>
      <c r="EH17" s="15" t="s">
        <v>423</v>
      </c>
      <c r="EJ17" s="15" t="s">
        <v>500</v>
      </c>
      <c r="EK17" s="15" t="s">
        <v>501</v>
      </c>
      <c r="EM17" s="15" t="str">
        <f>IFERROR(__xludf.DUMMYFUNCTION("""COMPUTED_VALUE"""),"")</f>
        <v/>
      </c>
      <c r="EW17" s="15" t="s">
        <v>475</v>
      </c>
      <c r="EX17" s="15" t="s">
        <v>650</v>
      </c>
      <c r="EY17" s="15" t="s">
        <v>651</v>
      </c>
      <c r="FH17" s="15" t="s">
        <v>652</v>
      </c>
      <c r="FI17" s="15" t="s">
        <v>504</v>
      </c>
      <c r="FJ17" s="15" t="s">
        <v>652</v>
      </c>
      <c r="FK17" s="15" t="s">
        <v>505</v>
      </c>
      <c r="FL17" s="15" t="s">
        <v>426</v>
      </c>
      <c r="FM17" s="15">
        <v>0.0</v>
      </c>
      <c r="FN17" s="15">
        <v>0.0</v>
      </c>
    </row>
    <row r="18">
      <c r="A18" s="14" t="s">
        <v>391</v>
      </c>
      <c r="B18" s="15" t="s">
        <v>640</v>
      </c>
      <c r="C18" s="16"/>
      <c r="D18" s="15" t="s">
        <v>432</v>
      </c>
      <c r="G18" s="14" t="s">
        <v>393</v>
      </c>
      <c r="H18" s="14" t="s">
        <v>394</v>
      </c>
      <c r="I18" s="14" t="b">
        <v>1</v>
      </c>
      <c r="J18" s="14" t="s">
        <v>395</v>
      </c>
      <c r="L18" s="14" t="b">
        <v>0</v>
      </c>
      <c r="M18" s="15" t="s">
        <v>653</v>
      </c>
      <c r="N18" s="14" t="s">
        <v>393</v>
      </c>
      <c r="O18" s="14" t="s">
        <v>393</v>
      </c>
      <c r="P18" s="15" t="s">
        <v>397</v>
      </c>
      <c r="Q18" s="15" t="s">
        <v>434</v>
      </c>
      <c r="T18" s="14" t="b">
        <v>0</v>
      </c>
      <c r="U18" s="15" t="s">
        <v>654</v>
      </c>
      <c r="V18" s="15" t="s">
        <v>643</v>
      </c>
      <c r="W18" s="15" t="s">
        <v>401</v>
      </c>
      <c r="X18" s="15" t="s">
        <v>402</v>
      </c>
      <c r="Y18" s="15">
        <v>2730.0</v>
      </c>
      <c r="AA18" s="15" t="str">
        <f t="shared" si="30"/>
        <v>1050</v>
      </c>
      <c r="AB18" s="14" t="b">
        <v>1</v>
      </c>
      <c r="AC18" s="14" t="b">
        <v>1</v>
      </c>
      <c r="AD18" s="15" t="str">
        <f>"801542200343"</f>
        <v>801542200343</v>
      </c>
      <c r="AE18" s="15" t="s">
        <v>655</v>
      </c>
      <c r="AF18" s="14" t="s">
        <v>404</v>
      </c>
      <c r="AG18" s="14" t="s">
        <v>405</v>
      </c>
      <c r="AH18" s="14" t="s">
        <v>406</v>
      </c>
      <c r="AI18" s="15">
        <v>0.0</v>
      </c>
      <c r="AL18" s="15" t="s">
        <v>407</v>
      </c>
      <c r="AM18" s="15" t="s">
        <v>452</v>
      </c>
      <c r="AN18" s="15" t="s">
        <v>453</v>
      </c>
      <c r="AO18" s="15" t="s">
        <v>645</v>
      </c>
      <c r="AP18" s="15" t="s">
        <v>646</v>
      </c>
      <c r="AQ18" s="15" t="s">
        <v>489</v>
      </c>
      <c r="AR18" s="15" t="s">
        <v>490</v>
      </c>
      <c r="AS18" s="15" t="s">
        <v>411</v>
      </c>
      <c r="AT18" s="15" t="s">
        <v>434</v>
      </c>
      <c r="AW18" s="15" t="s">
        <v>491</v>
      </c>
      <c r="AY18" s="15" t="s">
        <v>413</v>
      </c>
      <c r="AZ18" s="15" t="b">
        <v>0</v>
      </c>
      <c r="BA18" s="15" t="s">
        <v>413</v>
      </c>
      <c r="BB18" s="15" t="b">
        <v>0</v>
      </c>
      <c r="BC18" s="15" t="s">
        <v>656</v>
      </c>
      <c r="BD18" s="15" t="s">
        <v>415</v>
      </c>
      <c r="BE18" s="15" t="str">
        <f t="shared" si="2"/>
        <v>1</v>
      </c>
      <c r="BF18" s="15" t="s">
        <v>416</v>
      </c>
      <c r="BG18" s="15" t="str">
        <f t="shared" si="31"/>
        <v>75.2</v>
      </c>
      <c r="BH18" s="15" t="s">
        <v>461</v>
      </c>
      <c r="BI18" s="15" t="str">
        <f t="shared" si="32"/>
        <v>40.94</v>
      </c>
      <c r="BJ18" s="15" t="s">
        <v>648</v>
      </c>
      <c r="BK18" s="15" t="str">
        <f t="shared" si="33"/>
        <v>20.87</v>
      </c>
      <c r="BL18" s="15" t="s">
        <v>495</v>
      </c>
      <c r="BM18" s="15" t="str">
        <f t="shared" si="34"/>
        <v>208.89</v>
      </c>
      <c r="BN18" s="15" t="s">
        <v>649</v>
      </c>
      <c r="BQ18" s="15" t="s">
        <v>444</v>
      </c>
      <c r="BS18" s="15" t="s">
        <v>444</v>
      </c>
      <c r="BU18" s="15" t="s">
        <v>444</v>
      </c>
      <c r="BW18" s="15" t="s">
        <v>444</v>
      </c>
      <c r="BZ18" s="15" t="s">
        <v>444</v>
      </c>
      <c r="CB18" s="15" t="s">
        <v>444</v>
      </c>
      <c r="CD18" s="15" t="s">
        <v>444</v>
      </c>
      <c r="CF18" s="15" t="s">
        <v>444</v>
      </c>
      <c r="CI18" s="15" t="s">
        <v>444</v>
      </c>
      <c r="CK18" s="15" t="s">
        <v>444</v>
      </c>
      <c r="CM18" s="15" t="s">
        <v>444</v>
      </c>
      <c r="CO18" s="15" t="s">
        <v>444</v>
      </c>
      <c r="CP18" s="15" t="str">
        <f t="shared" si="35"/>
        <v>37.19</v>
      </c>
      <c r="CQ18" s="15" t="str">
        <f t="shared" si="36"/>
        <v>1.053</v>
      </c>
      <c r="CR18" s="15" t="s">
        <v>497</v>
      </c>
      <c r="DC18" s="15" t="str">
        <f>IFERROR(__xludf.DUMMYFUNCTION("""COMPUTED_VALUE"""),"")</f>
        <v/>
      </c>
      <c r="DE18" s="15" t="str">
        <f>IFERROR(__xludf.DUMMYFUNCTION("""COMPUTED_VALUE"""),"")</f>
        <v/>
      </c>
      <c r="DG18" s="15" t="str">
        <f>IFERROR(__xludf.DUMMYFUNCTION("""COMPUTED_VALUE"""),"")</f>
        <v/>
      </c>
      <c r="DL18" s="15" t="str">
        <f>IFERROR(__xludf.DUMMYFUNCTION("""COMPUTED_VALUE"""),"")</f>
        <v/>
      </c>
      <c r="DM18" s="15" t="s">
        <v>444</v>
      </c>
      <c r="DN18" s="15" t="s">
        <v>419</v>
      </c>
      <c r="DO18" s="15">
        <v>0.0</v>
      </c>
      <c r="DP18" s="15" t="s">
        <v>419</v>
      </c>
      <c r="DR18" s="15">
        <v>0.0</v>
      </c>
      <c r="DT18" s="15" t="s">
        <v>420</v>
      </c>
      <c r="DU18" s="15" t="s">
        <v>419</v>
      </c>
      <c r="DY18" s="15">
        <v>0.0</v>
      </c>
      <c r="EF18" s="15" t="s">
        <v>471</v>
      </c>
      <c r="EG18" s="15" t="s">
        <v>472</v>
      </c>
      <c r="EH18" s="15" t="s">
        <v>423</v>
      </c>
      <c r="EJ18" s="15" t="s">
        <v>500</v>
      </c>
      <c r="EK18" s="15" t="s">
        <v>501</v>
      </c>
      <c r="EM18" s="15" t="str">
        <f>IFERROR(__xludf.DUMMYFUNCTION("""COMPUTED_VALUE"""),"")</f>
        <v/>
      </c>
      <c r="EW18" s="15" t="s">
        <v>475</v>
      </c>
      <c r="EX18" s="15" t="s">
        <v>650</v>
      </c>
      <c r="EY18" s="15" t="s">
        <v>651</v>
      </c>
      <c r="FH18" s="15" t="s">
        <v>652</v>
      </c>
      <c r="FI18" s="15" t="s">
        <v>504</v>
      </c>
      <c r="FJ18" s="15" t="s">
        <v>652</v>
      </c>
      <c r="FK18" s="15" t="s">
        <v>505</v>
      </c>
      <c r="FL18" s="15" t="s">
        <v>426</v>
      </c>
      <c r="FM18" s="15">
        <v>0.0</v>
      </c>
      <c r="FN18" s="15">
        <v>0.0</v>
      </c>
    </row>
    <row r="19">
      <c r="A19" s="14" t="s">
        <v>391</v>
      </c>
      <c r="B19" s="15" t="s">
        <v>657</v>
      </c>
      <c r="C19" s="16"/>
      <c r="D19" s="15" t="s">
        <v>432</v>
      </c>
      <c r="G19" s="14" t="s">
        <v>393</v>
      </c>
      <c r="H19" s="14" t="s">
        <v>394</v>
      </c>
      <c r="I19" s="14" t="b">
        <v>1</v>
      </c>
      <c r="J19" s="14" t="s">
        <v>395</v>
      </c>
      <c r="L19" s="14" t="b">
        <v>0</v>
      </c>
      <c r="M19" s="15" t="s">
        <v>658</v>
      </c>
      <c r="N19" s="14" t="s">
        <v>393</v>
      </c>
      <c r="O19" s="14" t="s">
        <v>393</v>
      </c>
      <c r="P19" s="15" t="s">
        <v>397</v>
      </c>
      <c r="Q19" s="15" t="s">
        <v>398</v>
      </c>
      <c r="T19" s="14" t="b">
        <v>0</v>
      </c>
      <c r="U19" s="15" t="s">
        <v>659</v>
      </c>
      <c r="V19" s="15" t="s">
        <v>660</v>
      </c>
      <c r="W19" s="15" t="s">
        <v>401</v>
      </c>
      <c r="X19" s="15" t="s">
        <v>402</v>
      </c>
      <c r="Y19" s="15">
        <v>4589.0</v>
      </c>
      <c r="AA19" s="15" t="str">
        <f>"1765"</f>
        <v>1765</v>
      </c>
      <c r="AB19" s="14" t="b">
        <v>1</v>
      </c>
      <c r="AC19" s="14" t="b">
        <v>1</v>
      </c>
      <c r="AD19" s="15" t="str">
        <f>"801542203139"</f>
        <v>801542203139</v>
      </c>
      <c r="AE19" s="15" t="s">
        <v>661</v>
      </c>
      <c r="AF19" s="14" t="s">
        <v>404</v>
      </c>
      <c r="AG19" s="14" t="s">
        <v>405</v>
      </c>
      <c r="AH19" s="14" t="s">
        <v>406</v>
      </c>
      <c r="AI19" s="15">
        <v>0.0</v>
      </c>
      <c r="AL19" s="15" t="s">
        <v>407</v>
      </c>
      <c r="AM19" s="15" t="s">
        <v>596</v>
      </c>
      <c r="AN19" s="15" t="s">
        <v>597</v>
      </c>
      <c r="AO19" s="15" t="s">
        <v>598</v>
      </c>
      <c r="AP19" s="15" t="s">
        <v>599</v>
      </c>
      <c r="AQ19" s="15" t="s">
        <v>662</v>
      </c>
      <c r="AR19" s="15" t="s">
        <v>663</v>
      </c>
      <c r="AS19" s="15" t="s">
        <v>411</v>
      </c>
      <c r="AT19" s="15" t="s">
        <v>398</v>
      </c>
      <c r="AW19" s="15" t="s">
        <v>664</v>
      </c>
      <c r="AY19" s="15" t="s">
        <v>413</v>
      </c>
      <c r="AZ19" s="15" t="b">
        <v>0</v>
      </c>
      <c r="BA19" s="15" t="s">
        <v>413</v>
      </c>
      <c r="BB19" s="15" t="b">
        <v>0</v>
      </c>
      <c r="BC19" s="15" t="s">
        <v>665</v>
      </c>
      <c r="BD19" s="15" t="s">
        <v>415</v>
      </c>
      <c r="BE19" s="15" t="str">
        <f t="shared" si="2"/>
        <v>1</v>
      </c>
      <c r="BF19" s="15" t="s">
        <v>416</v>
      </c>
      <c r="BG19" s="15" t="str">
        <f>"100.79"</f>
        <v>100.79</v>
      </c>
      <c r="BH19" s="15" t="s">
        <v>666</v>
      </c>
      <c r="BI19" s="15" t="str">
        <f>"25.98"</f>
        <v>25.98</v>
      </c>
      <c r="BJ19" s="15" t="s">
        <v>522</v>
      </c>
      <c r="BK19" s="15" t="str">
        <f>"40.16"</f>
        <v>40.16</v>
      </c>
      <c r="BL19" s="15" t="s">
        <v>667</v>
      </c>
      <c r="BM19" s="15" t="str">
        <f>"334.44"</f>
        <v>334.44</v>
      </c>
      <c r="BN19" s="15" t="s">
        <v>668</v>
      </c>
      <c r="BQ19" s="15" t="s">
        <v>444</v>
      </c>
      <c r="BS19" s="15" t="s">
        <v>444</v>
      </c>
      <c r="BU19" s="15" t="s">
        <v>444</v>
      </c>
      <c r="BW19" s="15" t="s">
        <v>444</v>
      </c>
      <c r="BZ19" s="15" t="s">
        <v>444</v>
      </c>
      <c r="CB19" s="15" t="s">
        <v>444</v>
      </c>
      <c r="CD19" s="15" t="s">
        <v>444</v>
      </c>
      <c r="CF19" s="15" t="s">
        <v>444</v>
      </c>
      <c r="CI19" s="15" t="s">
        <v>444</v>
      </c>
      <c r="CK19" s="15" t="s">
        <v>444</v>
      </c>
      <c r="CM19" s="15" t="s">
        <v>444</v>
      </c>
      <c r="CO19" s="15" t="s">
        <v>444</v>
      </c>
      <c r="CP19" s="15" t="str">
        <f>"60.85"</f>
        <v>60.85</v>
      </c>
      <c r="CQ19" s="15" t="str">
        <f>"1.723"</f>
        <v>1.723</v>
      </c>
      <c r="CR19" s="15" t="s">
        <v>417</v>
      </c>
      <c r="CV19" s="15" t="s">
        <v>669</v>
      </c>
      <c r="CW19" s="15" t="s">
        <v>670</v>
      </c>
      <c r="CX19" s="15" t="s">
        <v>671</v>
      </c>
      <c r="DC19" s="15" t="str">
        <f>IFERROR(__xludf.DUMMYFUNCTION("""COMPUTED_VALUE"""),"")</f>
        <v/>
      </c>
      <c r="DE19" s="15" t="str">
        <f>IFERROR(__xludf.DUMMYFUNCTION("""COMPUTED_VALUE"""),"")</f>
        <v/>
      </c>
      <c r="DG19" s="15" t="str">
        <f>IFERROR(__xludf.DUMMYFUNCTION("""COMPUTED_VALUE"""),"")</f>
        <v/>
      </c>
      <c r="DL19" s="15" t="str">
        <f>IFERROR(__xludf.DUMMYFUNCTION("""COMPUTED_VALUE"""),"")</f>
        <v/>
      </c>
      <c r="DM19" s="15" t="s">
        <v>444</v>
      </c>
      <c r="DN19" s="15" t="s">
        <v>419</v>
      </c>
      <c r="DO19" s="15">
        <v>0.0</v>
      </c>
      <c r="DP19" s="15" t="s">
        <v>419</v>
      </c>
      <c r="DR19" s="15">
        <v>0.0</v>
      </c>
      <c r="DT19" s="15" t="s">
        <v>420</v>
      </c>
      <c r="DU19" s="15" t="s">
        <v>610</v>
      </c>
      <c r="DW19" s="15">
        <v>18.14</v>
      </c>
      <c r="DX19" s="15">
        <v>40.0</v>
      </c>
      <c r="DY19" s="15">
        <v>2.0</v>
      </c>
      <c r="EG19" s="15" t="s">
        <v>444</v>
      </c>
      <c r="EH19" s="15" t="s">
        <v>423</v>
      </c>
      <c r="EJ19" s="15" t="s">
        <v>424</v>
      </c>
      <c r="EK19" s="15" t="s">
        <v>446</v>
      </c>
      <c r="EM19" s="15" t="str">
        <f>IFERROR(__xludf.DUMMYFUNCTION("""COMPUTED_VALUE"""),"")</f>
        <v/>
      </c>
      <c r="EW19" s="15" t="s">
        <v>672</v>
      </c>
      <c r="FL19" s="15" t="s">
        <v>426</v>
      </c>
      <c r="FM19" s="15">
        <v>2.0</v>
      </c>
      <c r="FY19" s="15" t="s">
        <v>673</v>
      </c>
      <c r="FZ19" s="15" t="s">
        <v>612</v>
      </c>
      <c r="GA19" s="15" t="s">
        <v>613</v>
      </c>
      <c r="GB19" s="15" t="s">
        <v>669</v>
      </c>
      <c r="GC19" s="15" t="s">
        <v>612</v>
      </c>
      <c r="GD19" s="15" t="s">
        <v>671</v>
      </c>
      <c r="GE19" s="15">
        <v>0.0</v>
      </c>
      <c r="GF19" s="15" t="s">
        <v>426</v>
      </c>
      <c r="GH19" s="15">
        <v>4.0</v>
      </c>
      <c r="GI19" s="15" t="s">
        <v>614</v>
      </c>
      <c r="GJ19" s="15" t="s">
        <v>615</v>
      </c>
      <c r="GK19" s="15">
        <v>0.0</v>
      </c>
      <c r="GL19" s="15" t="s">
        <v>426</v>
      </c>
      <c r="GN19" s="15" t="s">
        <v>616</v>
      </c>
    </row>
    <row r="20" ht="15.75" customHeight="1">
      <c r="A20" s="14" t="s">
        <v>391</v>
      </c>
      <c r="B20" s="15" t="s">
        <v>674</v>
      </c>
      <c r="C20" s="16"/>
      <c r="D20" s="15" t="s">
        <v>432</v>
      </c>
      <c r="G20" s="14" t="s">
        <v>393</v>
      </c>
      <c r="H20" s="14" t="s">
        <v>394</v>
      </c>
      <c r="I20" s="14" t="b">
        <v>1</v>
      </c>
      <c r="J20" s="14" t="s">
        <v>395</v>
      </c>
      <c r="L20" s="14" t="b">
        <v>0</v>
      </c>
      <c r="M20" s="15" t="s">
        <v>675</v>
      </c>
      <c r="N20" s="14" t="s">
        <v>393</v>
      </c>
      <c r="O20" s="14" t="s">
        <v>393</v>
      </c>
      <c r="P20" s="15" t="s">
        <v>397</v>
      </c>
      <c r="Q20" s="15" t="s">
        <v>398</v>
      </c>
      <c r="T20" s="14" t="b">
        <v>0</v>
      </c>
      <c r="U20" s="15" t="s">
        <v>676</v>
      </c>
      <c r="V20" s="15" t="s">
        <v>677</v>
      </c>
      <c r="W20" s="15" t="s">
        <v>401</v>
      </c>
      <c r="X20" s="15" t="s">
        <v>402</v>
      </c>
      <c r="Y20" s="15">
        <v>2405.0</v>
      </c>
      <c r="AA20" s="15" t="str">
        <f t="shared" ref="AA20:AA21" si="37">"925"</f>
        <v>925</v>
      </c>
      <c r="AB20" s="14" t="b">
        <v>1</v>
      </c>
      <c r="AC20" s="14" t="b">
        <v>1</v>
      </c>
      <c r="AD20" s="15" t="str">
        <f>"801542200923"</f>
        <v>801542200923</v>
      </c>
      <c r="AE20" s="15" t="s">
        <v>678</v>
      </c>
      <c r="AF20" s="14" t="s">
        <v>404</v>
      </c>
      <c r="AG20" s="14" t="s">
        <v>405</v>
      </c>
      <c r="AH20" s="14" t="s">
        <v>406</v>
      </c>
      <c r="AI20" s="15">
        <v>0.0</v>
      </c>
      <c r="AL20" s="15" t="s">
        <v>407</v>
      </c>
      <c r="AM20" s="15" t="s">
        <v>679</v>
      </c>
      <c r="AN20" s="15" t="s">
        <v>680</v>
      </c>
      <c r="AO20" s="15" t="s">
        <v>679</v>
      </c>
      <c r="AP20" s="15" t="s">
        <v>680</v>
      </c>
      <c r="AQ20" s="15" t="s">
        <v>489</v>
      </c>
      <c r="AR20" s="15" t="s">
        <v>490</v>
      </c>
      <c r="AS20" s="15" t="s">
        <v>411</v>
      </c>
      <c r="AT20" s="15" t="s">
        <v>398</v>
      </c>
      <c r="AW20" s="15" t="s">
        <v>491</v>
      </c>
      <c r="AY20" s="15" t="s">
        <v>413</v>
      </c>
      <c r="AZ20" s="15" t="b">
        <v>0</v>
      </c>
      <c r="BA20" s="15" t="s">
        <v>413</v>
      </c>
      <c r="BB20" s="15" t="b">
        <v>0</v>
      </c>
      <c r="BC20" s="15" t="s">
        <v>681</v>
      </c>
      <c r="BD20" s="15" t="s">
        <v>415</v>
      </c>
      <c r="BE20" s="15" t="str">
        <f t="shared" si="2"/>
        <v>1</v>
      </c>
      <c r="BF20" s="15" t="s">
        <v>416</v>
      </c>
      <c r="BG20" s="15" t="str">
        <f t="shared" ref="BG20:BG21" si="38">"45.28"</f>
        <v>45.28</v>
      </c>
      <c r="BH20" s="15" t="s">
        <v>682</v>
      </c>
      <c r="BI20" s="15" t="str">
        <f t="shared" ref="BI20:BI21" si="39">"45.67"</f>
        <v>45.67</v>
      </c>
      <c r="BJ20" s="15" t="s">
        <v>683</v>
      </c>
      <c r="BK20" s="15" t="str">
        <f t="shared" ref="BK20:BK21" si="40">"21.26"</f>
        <v>21.26</v>
      </c>
      <c r="BL20" s="15" t="s">
        <v>684</v>
      </c>
      <c r="BM20" s="15" t="str">
        <f t="shared" ref="BM20:BM21" si="41">"129.52"</f>
        <v>129.52</v>
      </c>
      <c r="BN20" s="15" t="s">
        <v>685</v>
      </c>
      <c r="BQ20" s="15" t="s">
        <v>444</v>
      </c>
      <c r="BS20" s="15" t="s">
        <v>444</v>
      </c>
      <c r="BU20" s="15" t="s">
        <v>444</v>
      </c>
      <c r="BW20" s="15" t="s">
        <v>444</v>
      </c>
      <c r="BZ20" s="15" t="s">
        <v>444</v>
      </c>
      <c r="CB20" s="15" t="s">
        <v>444</v>
      </c>
      <c r="CD20" s="15" t="s">
        <v>444</v>
      </c>
      <c r="CF20" s="15" t="s">
        <v>444</v>
      </c>
      <c r="CI20" s="15" t="s">
        <v>444</v>
      </c>
      <c r="CK20" s="15" t="s">
        <v>444</v>
      </c>
      <c r="CM20" s="15" t="s">
        <v>444</v>
      </c>
      <c r="CO20" s="15" t="s">
        <v>444</v>
      </c>
      <c r="CP20" s="15" t="str">
        <f t="shared" ref="CP20:CP21" si="42">"25.43"</f>
        <v>25.43</v>
      </c>
      <c r="CQ20" s="15" t="str">
        <f t="shared" ref="CQ20:CQ21" si="43">"0.72"</f>
        <v>0.72</v>
      </c>
      <c r="CR20" s="15" t="s">
        <v>497</v>
      </c>
      <c r="DC20" s="15" t="str">
        <f>IFERROR(__xludf.DUMMYFUNCTION("""COMPUTED_VALUE"""),"")</f>
        <v/>
      </c>
      <c r="DE20" s="15" t="str">
        <f>IFERROR(__xludf.DUMMYFUNCTION("""COMPUTED_VALUE"""),"")</f>
        <v/>
      </c>
      <c r="DG20" s="15" t="str">
        <f>IFERROR(__xludf.DUMMYFUNCTION("""COMPUTED_VALUE"""),"")</f>
        <v/>
      </c>
      <c r="DL20" s="15" t="str">
        <f>IFERROR(__xludf.DUMMYFUNCTION("""COMPUTED_VALUE"""),"")</f>
        <v/>
      </c>
      <c r="DM20" s="15" t="s">
        <v>444</v>
      </c>
      <c r="DN20" s="15" t="s">
        <v>419</v>
      </c>
      <c r="DO20" s="15">
        <v>0.0</v>
      </c>
      <c r="DP20" s="15" t="s">
        <v>419</v>
      </c>
      <c r="DR20" s="15">
        <v>0.0</v>
      </c>
      <c r="DT20" s="15" t="s">
        <v>420</v>
      </c>
      <c r="DU20" s="15" t="s">
        <v>419</v>
      </c>
      <c r="DY20" s="15">
        <v>0.0</v>
      </c>
      <c r="EF20" s="15" t="s">
        <v>498</v>
      </c>
      <c r="EG20" s="15" t="s">
        <v>499</v>
      </c>
      <c r="EH20" s="15" t="s">
        <v>423</v>
      </c>
      <c r="EJ20" s="15" t="s">
        <v>500</v>
      </c>
      <c r="EK20" s="15" t="s">
        <v>501</v>
      </c>
      <c r="EM20" s="15" t="str">
        <f>IFERROR(__xludf.DUMMYFUNCTION("""COMPUTED_VALUE"""),"")</f>
        <v/>
      </c>
      <c r="EW20" s="15" t="s">
        <v>475</v>
      </c>
      <c r="EX20" s="15" t="s">
        <v>636</v>
      </c>
      <c r="EY20" s="15" t="s">
        <v>636</v>
      </c>
      <c r="FH20" s="15" t="s">
        <v>503</v>
      </c>
      <c r="FI20" s="15" t="s">
        <v>504</v>
      </c>
      <c r="FJ20" s="15" t="s">
        <v>503</v>
      </c>
      <c r="FK20" s="15" t="s">
        <v>505</v>
      </c>
      <c r="FL20" s="15" t="s">
        <v>426</v>
      </c>
      <c r="FM20" s="15">
        <v>0.0</v>
      </c>
      <c r="FN20" s="15">
        <v>0.0</v>
      </c>
    </row>
    <row r="21" ht="15.75" customHeight="1">
      <c r="A21" s="14" t="s">
        <v>391</v>
      </c>
      <c r="B21" s="15" t="s">
        <v>674</v>
      </c>
      <c r="C21" s="16"/>
      <c r="D21" s="15" t="s">
        <v>432</v>
      </c>
      <c r="G21" s="14" t="s">
        <v>393</v>
      </c>
      <c r="H21" s="14" t="s">
        <v>394</v>
      </c>
      <c r="I21" s="14" t="b">
        <v>1</v>
      </c>
      <c r="J21" s="14" t="s">
        <v>395</v>
      </c>
      <c r="L21" s="14" t="b">
        <v>0</v>
      </c>
      <c r="M21" s="15" t="s">
        <v>686</v>
      </c>
      <c r="N21" s="14" t="s">
        <v>393</v>
      </c>
      <c r="O21" s="14" t="s">
        <v>393</v>
      </c>
      <c r="P21" s="15" t="s">
        <v>397</v>
      </c>
      <c r="Q21" s="15" t="s">
        <v>434</v>
      </c>
      <c r="T21" s="14" t="b">
        <v>0</v>
      </c>
      <c r="U21" s="15" t="s">
        <v>687</v>
      </c>
      <c r="V21" s="15" t="s">
        <v>677</v>
      </c>
      <c r="W21" s="15" t="s">
        <v>401</v>
      </c>
      <c r="X21" s="15" t="s">
        <v>402</v>
      </c>
      <c r="Y21" s="15">
        <v>2405.0</v>
      </c>
      <c r="AA21" s="15" t="str">
        <f t="shared" si="37"/>
        <v>925</v>
      </c>
      <c r="AB21" s="14" t="b">
        <v>1</v>
      </c>
      <c r="AC21" s="14" t="b">
        <v>1</v>
      </c>
      <c r="AD21" s="15" t="str">
        <f>"801542200367"</f>
        <v>801542200367</v>
      </c>
      <c r="AE21" s="15" t="s">
        <v>688</v>
      </c>
      <c r="AF21" s="14" t="s">
        <v>404</v>
      </c>
      <c r="AG21" s="14" t="s">
        <v>405</v>
      </c>
      <c r="AH21" s="14" t="s">
        <v>406</v>
      </c>
      <c r="AI21" s="15">
        <v>0.0</v>
      </c>
      <c r="AL21" s="15" t="s">
        <v>407</v>
      </c>
      <c r="AM21" s="15" t="s">
        <v>679</v>
      </c>
      <c r="AN21" s="15" t="s">
        <v>680</v>
      </c>
      <c r="AO21" s="15" t="s">
        <v>679</v>
      </c>
      <c r="AP21" s="15" t="s">
        <v>680</v>
      </c>
      <c r="AQ21" s="15" t="s">
        <v>489</v>
      </c>
      <c r="AR21" s="15" t="s">
        <v>490</v>
      </c>
      <c r="AS21" s="15" t="s">
        <v>411</v>
      </c>
      <c r="AT21" s="15" t="s">
        <v>434</v>
      </c>
      <c r="AW21" s="15" t="s">
        <v>491</v>
      </c>
      <c r="AY21" s="15" t="s">
        <v>413</v>
      </c>
      <c r="AZ21" s="15" t="b">
        <v>0</v>
      </c>
      <c r="BA21" s="15" t="s">
        <v>413</v>
      </c>
      <c r="BB21" s="15" t="b">
        <v>0</v>
      </c>
      <c r="BC21" s="15" t="s">
        <v>689</v>
      </c>
      <c r="BD21" s="15" t="s">
        <v>415</v>
      </c>
      <c r="BE21" s="15" t="str">
        <f t="shared" si="2"/>
        <v>1</v>
      </c>
      <c r="BF21" s="15" t="s">
        <v>416</v>
      </c>
      <c r="BG21" s="15" t="str">
        <f t="shared" si="38"/>
        <v>45.28</v>
      </c>
      <c r="BH21" s="15" t="s">
        <v>682</v>
      </c>
      <c r="BI21" s="15" t="str">
        <f t="shared" si="39"/>
        <v>45.67</v>
      </c>
      <c r="BJ21" s="15" t="s">
        <v>683</v>
      </c>
      <c r="BK21" s="15" t="str">
        <f t="shared" si="40"/>
        <v>21.26</v>
      </c>
      <c r="BL21" s="15" t="s">
        <v>684</v>
      </c>
      <c r="BM21" s="15" t="str">
        <f t="shared" si="41"/>
        <v>129.52</v>
      </c>
      <c r="BN21" s="15" t="s">
        <v>685</v>
      </c>
      <c r="BQ21" s="15" t="s">
        <v>444</v>
      </c>
      <c r="BS21" s="15" t="s">
        <v>444</v>
      </c>
      <c r="BU21" s="15" t="s">
        <v>444</v>
      </c>
      <c r="BW21" s="15" t="s">
        <v>444</v>
      </c>
      <c r="BZ21" s="15" t="s">
        <v>444</v>
      </c>
      <c r="CB21" s="15" t="s">
        <v>444</v>
      </c>
      <c r="CD21" s="15" t="s">
        <v>444</v>
      </c>
      <c r="CF21" s="15" t="s">
        <v>444</v>
      </c>
      <c r="CI21" s="15" t="s">
        <v>444</v>
      </c>
      <c r="CK21" s="15" t="s">
        <v>444</v>
      </c>
      <c r="CM21" s="15" t="s">
        <v>444</v>
      </c>
      <c r="CO21" s="15" t="s">
        <v>444</v>
      </c>
      <c r="CP21" s="15" t="str">
        <f t="shared" si="42"/>
        <v>25.43</v>
      </c>
      <c r="CQ21" s="15" t="str">
        <f t="shared" si="43"/>
        <v>0.72</v>
      </c>
      <c r="CR21" s="15" t="s">
        <v>497</v>
      </c>
      <c r="DC21" s="15" t="str">
        <f>IFERROR(__xludf.DUMMYFUNCTION("""COMPUTED_VALUE"""),"")</f>
        <v/>
      </c>
      <c r="DE21" s="15" t="str">
        <f>IFERROR(__xludf.DUMMYFUNCTION("""COMPUTED_VALUE"""),"")</f>
        <v/>
      </c>
      <c r="DG21" s="15" t="str">
        <f>IFERROR(__xludf.DUMMYFUNCTION("""COMPUTED_VALUE"""),"")</f>
        <v/>
      </c>
      <c r="DL21" s="15" t="str">
        <f>IFERROR(__xludf.DUMMYFUNCTION("""COMPUTED_VALUE"""),"")</f>
        <v/>
      </c>
      <c r="DM21" s="15" t="s">
        <v>444</v>
      </c>
      <c r="DN21" s="15" t="s">
        <v>419</v>
      </c>
      <c r="DO21" s="15">
        <v>0.0</v>
      </c>
      <c r="DP21" s="15" t="s">
        <v>419</v>
      </c>
      <c r="DR21" s="15">
        <v>0.0</v>
      </c>
      <c r="DT21" s="15" t="s">
        <v>420</v>
      </c>
      <c r="DU21" s="15" t="s">
        <v>419</v>
      </c>
      <c r="DY21" s="15">
        <v>0.0</v>
      </c>
      <c r="EF21" s="15" t="s">
        <v>498</v>
      </c>
      <c r="EG21" s="15" t="s">
        <v>499</v>
      </c>
      <c r="EH21" s="15" t="s">
        <v>423</v>
      </c>
      <c r="EJ21" s="15" t="s">
        <v>500</v>
      </c>
      <c r="EK21" s="15" t="s">
        <v>501</v>
      </c>
      <c r="EM21" s="15" t="str">
        <f>IFERROR(__xludf.DUMMYFUNCTION("""COMPUTED_VALUE"""),"")</f>
        <v/>
      </c>
      <c r="EW21" s="15" t="s">
        <v>475</v>
      </c>
      <c r="EX21" s="15" t="s">
        <v>636</v>
      </c>
      <c r="EY21" s="15" t="s">
        <v>636</v>
      </c>
      <c r="FH21" s="15" t="s">
        <v>503</v>
      </c>
      <c r="FI21" s="15" t="s">
        <v>504</v>
      </c>
      <c r="FJ21" s="15" t="s">
        <v>503</v>
      </c>
      <c r="FK21" s="15" t="s">
        <v>505</v>
      </c>
      <c r="FL21" s="15" t="s">
        <v>426</v>
      </c>
      <c r="FM21" s="15">
        <v>0.0</v>
      </c>
      <c r="FN21" s="15">
        <v>0.0</v>
      </c>
    </row>
    <row r="22" ht="15.75" customHeight="1">
      <c r="A22" s="14" t="s">
        <v>391</v>
      </c>
      <c r="B22" s="15" t="s">
        <v>690</v>
      </c>
      <c r="C22" s="16"/>
      <c r="D22" s="15" t="s">
        <v>432</v>
      </c>
      <c r="G22" s="14" t="s">
        <v>393</v>
      </c>
      <c r="H22" s="14" t="s">
        <v>394</v>
      </c>
      <c r="I22" s="14" t="b">
        <v>1</v>
      </c>
      <c r="J22" s="14" t="s">
        <v>395</v>
      </c>
      <c r="L22" s="14" t="b">
        <v>0</v>
      </c>
      <c r="M22" s="15" t="s">
        <v>691</v>
      </c>
      <c r="N22" s="14" t="s">
        <v>393</v>
      </c>
      <c r="O22" s="14" t="s">
        <v>393</v>
      </c>
      <c r="P22" s="15" t="s">
        <v>397</v>
      </c>
      <c r="Q22" s="15" t="s">
        <v>692</v>
      </c>
      <c r="T22" s="14" t="b">
        <v>0</v>
      </c>
      <c r="U22" s="15" t="s">
        <v>693</v>
      </c>
      <c r="V22" s="15" t="s">
        <v>694</v>
      </c>
      <c r="W22" s="15" t="s">
        <v>401</v>
      </c>
      <c r="X22" s="15" t="s">
        <v>695</v>
      </c>
      <c r="Y22" s="15">
        <v>3068.0</v>
      </c>
      <c r="AA22" s="15" t="str">
        <f>"1180"</f>
        <v>1180</v>
      </c>
      <c r="AB22" s="14" t="b">
        <v>1</v>
      </c>
      <c r="AC22" s="14" t="b">
        <v>1</v>
      </c>
      <c r="AD22" s="15" t="str">
        <f>"801542705923"</f>
        <v>801542705923</v>
      </c>
      <c r="AE22" s="15" t="s">
        <v>696</v>
      </c>
      <c r="AF22" s="14" t="s">
        <v>404</v>
      </c>
      <c r="AG22" s="14" t="s">
        <v>405</v>
      </c>
      <c r="AH22" s="14" t="s">
        <v>406</v>
      </c>
      <c r="AI22" s="15">
        <v>0.0</v>
      </c>
      <c r="AL22" s="15" t="s">
        <v>697</v>
      </c>
      <c r="AM22" s="15" t="s">
        <v>698</v>
      </c>
      <c r="AN22" s="15" t="s">
        <v>699</v>
      </c>
      <c r="AO22" s="15" t="s">
        <v>700</v>
      </c>
      <c r="AP22" s="15" t="s">
        <v>605</v>
      </c>
      <c r="AQ22" s="15" t="s">
        <v>701</v>
      </c>
      <c r="AR22" s="15" t="s">
        <v>702</v>
      </c>
      <c r="AS22" s="15" t="s">
        <v>703</v>
      </c>
      <c r="AT22" s="15" t="s">
        <v>692</v>
      </c>
      <c r="AU22" s="15" t="s">
        <v>704</v>
      </c>
      <c r="AV22" s="15" t="s">
        <v>705</v>
      </c>
      <c r="AW22" s="15" t="s">
        <v>706</v>
      </c>
      <c r="AX22" s="15" t="s">
        <v>707</v>
      </c>
      <c r="AY22" s="15" t="s">
        <v>413</v>
      </c>
      <c r="AZ22" s="15" t="b">
        <v>0</v>
      </c>
      <c r="BA22" s="15" t="s">
        <v>413</v>
      </c>
      <c r="BB22" s="15" t="b">
        <v>0</v>
      </c>
      <c r="BC22" s="15" t="s">
        <v>708</v>
      </c>
      <c r="BD22" s="15" t="s">
        <v>709</v>
      </c>
      <c r="BE22" s="15" t="str">
        <f t="shared" si="2"/>
        <v>1</v>
      </c>
      <c r="BF22" s="15" t="s">
        <v>416</v>
      </c>
      <c r="BG22" s="15" t="str">
        <f>"38.58"</f>
        <v>38.58</v>
      </c>
      <c r="BH22" s="15" t="s">
        <v>442</v>
      </c>
      <c r="BI22" s="15" t="str">
        <f>"35.63"</f>
        <v>35.63</v>
      </c>
      <c r="BJ22" s="15" t="s">
        <v>710</v>
      </c>
      <c r="BK22" s="15" t="str">
        <f>"24.8"</f>
        <v>24.8</v>
      </c>
      <c r="BL22" s="15" t="s">
        <v>711</v>
      </c>
      <c r="BM22" s="15" t="str">
        <f>"84.66"</f>
        <v>84.66</v>
      </c>
      <c r="BN22" s="15" t="s">
        <v>712</v>
      </c>
      <c r="BQ22" s="15" t="s">
        <v>444</v>
      </c>
      <c r="BS22" s="15" t="s">
        <v>444</v>
      </c>
      <c r="BU22" s="15" t="s">
        <v>444</v>
      </c>
      <c r="BW22" s="15" t="s">
        <v>444</v>
      </c>
      <c r="BZ22" s="15" t="s">
        <v>444</v>
      </c>
      <c r="CB22" s="15" t="s">
        <v>444</v>
      </c>
      <c r="CD22" s="15" t="s">
        <v>444</v>
      </c>
      <c r="CF22" s="15" t="s">
        <v>444</v>
      </c>
      <c r="CI22" s="15" t="s">
        <v>444</v>
      </c>
      <c r="CK22" s="15" t="s">
        <v>444</v>
      </c>
      <c r="CM22" s="15" t="s">
        <v>444</v>
      </c>
      <c r="CO22" s="15" t="s">
        <v>444</v>
      </c>
      <c r="CP22" s="15" t="str">
        <f>"19.74"</f>
        <v>19.74</v>
      </c>
      <c r="CQ22" s="15" t="str">
        <f>"0.559"</f>
        <v>0.559</v>
      </c>
      <c r="CR22" s="15" t="s">
        <v>417</v>
      </c>
      <c r="CY22" s="15" t="s">
        <v>713</v>
      </c>
      <c r="CZ22" s="15" t="s">
        <v>714</v>
      </c>
      <c r="DA22" s="15" t="s">
        <v>715</v>
      </c>
      <c r="DB22" s="15" t="s">
        <v>713</v>
      </c>
      <c r="DC22" s="15" t="str">
        <f>IFERROR(__xludf.DUMMYFUNCTION("""COMPUTED_VALUE"""),"{""value"":23.62,""unit"":""in""}")</f>
        <v>{"value":23.62,"unit":"in"}</v>
      </c>
      <c r="DD22" s="15" t="s">
        <v>716</v>
      </c>
      <c r="DE22" s="15" t="str">
        <f>IFERROR(__xludf.DUMMYFUNCTION("""COMPUTED_VALUE"""),"{""value"":18.11,""unit"":""in""}")</f>
        <v>{"value":18.11,"unit":"in"}</v>
      </c>
      <c r="DF22" s="15" t="s">
        <v>715</v>
      </c>
      <c r="DG22" s="15" t="str">
        <f>IFERROR(__xludf.DUMMYFUNCTION("""COMPUTED_VALUE"""),"{""value"":23.23,""unit"":""in""}")</f>
        <v>{"value":23.23,"unit":"in"}</v>
      </c>
      <c r="DH22" s="15">
        <v>0.0</v>
      </c>
      <c r="DI22" s="15">
        <v>0.0</v>
      </c>
      <c r="DJ22" s="15" t="s">
        <v>717</v>
      </c>
      <c r="DK22" s="17" t="s">
        <v>718</v>
      </c>
      <c r="DL22" s="17" t="str">
        <f>IFERROR(__xludf.DUMMYFUNCTION("""COMPUTED_VALUE"""),"Vacuum or light brush only. Do not use water or any cleaning products.")</f>
        <v>Vacuum or light brush only. Do not use water or any cleaning products.</v>
      </c>
      <c r="DM22" s="17" t="s">
        <v>719</v>
      </c>
      <c r="DQ22" s="15" t="s">
        <v>720</v>
      </c>
      <c r="DT22" s="15" t="s">
        <v>721</v>
      </c>
      <c r="DU22" s="15" t="s">
        <v>419</v>
      </c>
      <c r="DV22" s="15">
        <v>0.0</v>
      </c>
      <c r="DZ22" s="15">
        <v>0.0</v>
      </c>
      <c r="EA22" s="15" t="s">
        <v>722</v>
      </c>
      <c r="EB22" s="15" t="s">
        <v>723</v>
      </c>
      <c r="EC22" s="15" t="s">
        <v>724</v>
      </c>
      <c r="ED22" s="15">
        <v>1.0</v>
      </c>
      <c r="EE22" s="15">
        <v>1.0</v>
      </c>
      <c r="EG22" s="15" t="s">
        <v>444</v>
      </c>
      <c r="EH22" s="15" t="s">
        <v>725</v>
      </c>
      <c r="EI22" s="15">
        <v>0.0</v>
      </c>
      <c r="EJ22" s="15" t="s">
        <v>726</v>
      </c>
      <c r="EK22" s="15" t="s">
        <v>727</v>
      </c>
      <c r="EL22" s="15" t="s">
        <v>728</v>
      </c>
      <c r="EM22" s="15" t="str">
        <f>IFERROR(__xludf.DUMMYFUNCTION("""COMPUTED_VALUE"""),"{""value"":28.15,""unit"":""in""}")</f>
        <v>{"value":28.15,"unit":"in"}</v>
      </c>
      <c r="EN22" s="15" t="s">
        <v>729</v>
      </c>
      <c r="EO22" s="15" t="s">
        <v>730</v>
      </c>
      <c r="ES22" s="15" t="s">
        <v>731</v>
      </c>
      <c r="EW22" s="15" t="s">
        <v>732</v>
      </c>
      <c r="EX22" s="15" t="s">
        <v>733</v>
      </c>
      <c r="EY22" s="15" t="s">
        <v>734</v>
      </c>
      <c r="EZ22" s="15" t="s">
        <v>729</v>
      </c>
      <c r="FF22" s="15" t="s">
        <v>735</v>
      </c>
      <c r="FQ22" s="15">
        <v>0.0</v>
      </c>
      <c r="FR22" s="15">
        <v>0.0</v>
      </c>
      <c r="FS22" s="15" t="s">
        <v>736</v>
      </c>
      <c r="FT22" s="15">
        <v>0.0</v>
      </c>
    </row>
    <row r="23" ht="15.75" customHeight="1">
      <c r="A23" s="14" t="s">
        <v>391</v>
      </c>
      <c r="B23" s="15" t="s">
        <v>737</v>
      </c>
      <c r="C23" s="16"/>
      <c r="D23" s="15" t="s">
        <v>432</v>
      </c>
      <c r="G23" s="14" t="s">
        <v>393</v>
      </c>
      <c r="H23" s="14" t="s">
        <v>394</v>
      </c>
      <c r="I23" s="14" t="b">
        <v>1</v>
      </c>
      <c r="J23" s="14" t="s">
        <v>395</v>
      </c>
      <c r="L23" s="14" t="b">
        <v>0</v>
      </c>
      <c r="M23" s="15" t="s">
        <v>738</v>
      </c>
      <c r="N23" s="14" t="s">
        <v>393</v>
      </c>
      <c r="O23" s="14" t="s">
        <v>393</v>
      </c>
      <c r="P23" s="15" t="s">
        <v>397</v>
      </c>
      <c r="Q23" s="15" t="s">
        <v>739</v>
      </c>
      <c r="T23" s="14" t="b">
        <v>0</v>
      </c>
      <c r="U23" s="15" t="s">
        <v>740</v>
      </c>
      <c r="V23" s="15" t="s">
        <v>741</v>
      </c>
      <c r="W23" s="15" t="s">
        <v>401</v>
      </c>
      <c r="X23" s="15" t="s">
        <v>742</v>
      </c>
      <c r="Y23" s="15">
        <v>3614.0</v>
      </c>
      <c r="AA23" s="15" t="str">
        <f>"1390"</f>
        <v>1390</v>
      </c>
      <c r="AB23" s="14" t="b">
        <v>1</v>
      </c>
      <c r="AC23" s="14" t="b">
        <v>1</v>
      </c>
      <c r="AD23" s="15" t="str">
        <f>"801542358303"</f>
        <v>801542358303</v>
      </c>
      <c r="AE23" s="15" t="s">
        <v>743</v>
      </c>
      <c r="AF23" s="14" t="s">
        <v>404</v>
      </c>
      <c r="AG23" s="14" t="s">
        <v>405</v>
      </c>
      <c r="AH23" s="14" t="s">
        <v>406</v>
      </c>
      <c r="AI23" s="15">
        <v>0.0</v>
      </c>
      <c r="AL23" s="15" t="s">
        <v>744</v>
      </c>
      <c r="AM23" s="15" t="s">
        <v>745</v>
      </c>
      <c r="AN23" s="15" t="s">
        <v>746</v>
      </c>
      <c r="AO23" s="15" t="s">
        <v>747</v>
      </c>
      <c r="AP23" s="15" t="s">
        <v>748</v>
      </c>
      <c r="AQ23" s="15" t="s">
        <v>749</v>
      </c>
      <c r="AR23" s="15" t="s">
        <v>750</v>
      </c>
      <c r="AS23" s="15" t="s">
        <v>751</v>
      </c>
      <c r="AT23" s="15" t="s">
        <v>739</v>
      </c>
      <c r="AU23" s="15" t="s">
        <v>752</v>
      </c>
      <c r="AW23" s="15" t="s">
        <v>412</v>
      </c>
      <c r="AY23" s="15" t="s">
        <v>413</v>
      </c>
      <c r="AZ23" s="15" t="b">
        <v>0</v>
      </c>
      <c r="BA23" s="15" t="s">
        <v>413</v>
      </c>
      <c r="BB23" s="15" t="b">
        <v>0</v>
      </c>
      <c r="BC23" s="15" t="s">
        <v>753</v>
      </c>
      <c r="BD23" s="15" t="s">
        <v>742</v>
      </c>
      <c r="BE23" s="15" t="str">
        <f t="shared" si="2"/>
        <v>1</v>
      </c>
      <c r="BF23" s="15" t="s">
        <v>416</v>
      </c>
      <c r="BG23" s="15" t="str">
        <f>"77.76"</f>
        <v>77.76</v>
      </c>
      <c r="BH23" s="15" t="s">
        <v>754</v>
      </c>
      <c r="BI23" s="15" t="str">
        <f t="shared" ref="BI23:BI24" si="44">"24.02"</f>
        <v>24.02</v>
      </c>
      <c r="BJ23" s="15" t="s">
        <v>755</v>
      </c>
      <c r="BK23" s="15" t="str">
        <f>"37.8"</f>
        <v>37.8</v>
      </c>
      <c r="BL23" s="15" t="s">
        <v>756</v>
      </c>
      <c r="BM23" s="15" t="str">
        <f>"340.61"</f>
        <v>340.61</v>
      </c>
      <c r="BN23" s="15" t="s">
        <v>757</v>
      </c>
      <c r="BQ23" s="15" t="s">
        <v>444</v>
      </c>
      <c r="BS23" s="15" t="s">
        <v>444</v>
      </c>
      <c r="BU23" s="15" t="s">
        <v>444</v>
      </c>
      <c r="BW23" s="15" t="s">
        <v>444</v>
      </c>
      <c r="BZ23" s="15" t="s">
        <v>444</v>
      </c>
      <c r="CB23" s="15" t="s">
        <v>444</v>
      </c>
      <c r="CD23" s="15" t="s">
        <v>444</v>
      </c>
      <c r="CF23" s="15" t="s">
        <v>444</v>
      </c>
      <c r="CI23" s="15" t="s">
        <v>444</v>
      </c>
      <c r="CK23" s="15" t="s">
        <v>444</v>
      </c>
      <c r="CM23" s="15" t="s">
        <v>444</v>
      </c>
      <c r="CO23" s="15" t="s">
        <v>444</v>
      </c>
      <c r="CP23" s="15" t="str">
        <f>"40.86"</f>
        <v>40.86</v>
      </c>
      <c r="CQ23" s="15" t="str">
        <f>"1.157"</f>
        <v>1.157</v>
      </c>
      <c r="CR23" s="15" t="s">
        <v>465</v>
      </c>
      <c r="DC23" s="15" t="str">
        <f>IFERROR(__xludf.DUMMYFUNCTION("""COMPUTED_VALUE"""),"")</f>
        <v/>
      </c>
      <c r="DE23" s="15" t="str">
        <f>IFERROR(__xludf.DUMMYFUNCTION("""COMPUTED_VALUE"""),"")</f>
        <v/>
      </c>
      <c r="DG23" s="15" t="str">
        <f>IFERROR(__xludf.DUMMYFUNCTION("""COMPUTED_VALUE"""),"")</f>
        <v/>
      </c>
      <c r="DL23" s="15" t="str">
        <f>IFERROR(__xludf.DUMMYFUNCTION("""COMPUTED_VALUE"""),"")</f>
        <v/>
      </c>
      <c r="DM23" s="15" t="s">
        <v>444</v>
      </c>
      <c r="DN23" s="15" t="s">
        <v>418</v>
      </c>
      <c r="DO23" s="15">
        <v>6.0</v>
      </c>
      <c r="DP23" s="15" t="s">
        <v>419</v>
      </c>
      <c r="DR23" s="15">
        <v>0.0</v>
      </c>
      <c r="DT23" s="15" t="s">
        <v>420</v>
      </c>
      <c r="DU23" s="15" t="s">
        <v>421</v>
      </c>
      <c r="DY23" s="15">
        <v>0.0</v>
      </c>
      <c r="EF23" s="15" t="s">
        <v>422</v>
      </c>
      <c r="EG23" s="15" t="s">
        <v>445</v>
      </c>
      <c r="EH23" s="15" t="s">
        <v>758</v>
      </c>
      <c r="EJ23" s="15" t="s">
        <v>424</v>
      </c>
      <c r="EK23" s="15" t="s">
        <v>446</v>
      </c>
      <c r="EM23" s="15" t="str">
        <f>IFERROR(__xludf.DUMMYFUNCTION("""COMPUTED_VALUE"""),"")</f>
        <v/>
      </c>
      <c r="EW23" s="15" t="s">
        <v>759</v>
      </c>
      <c r="FL23" s="15" t="s">
        <v>426</v>
      </c>
      <c r="FM23" s="15">
        <v>0.0</v>
      </c>
      <c r="GH23" s="15">
        <v>0.0</v>
      </c>
      <c r="GI23" s="15" t="s">
        <v>427</v>
      </c>
      <c r="GO23" s="15" t="s">
        <v>426</v>
      </c>
      <c r="GQ23" s="15" t="s">
        <v>760</v>
      </c>
      <c r="GR23" s="15" t="s">
        <v>760</v>
      </c>
      <c r="GS23" s="15" t="s">
        <v>761</v>
      </c>
      <c r="GT23" s="15" t="s">
        <v>762</v>
      </c>
      <c r="GU23" s="15" t="s">
        <v>763</v>
      </c>
      <c r="GV23" s="15" t="s">
        <v>763</v>
      </c>
      <c r="GW23" s="15" t="s">
        <v>431</v>
      </c>
      <c r="GY23" s="15" t="s">
        <v>764</v>
      </c>
    </row>
    <row r="24" ht="15.75" customHeight="1">
      <c r="A24" s="14" t="s">
        <v>391</v>
      </c>
      <c r="B24" s="15" t="s">
        <v>765</v>
      </c>
      <c r="C24" s="16"/>
      <c r="D24" s="15" t="s">
        <v>432</v>
      </c>
      <c r="G24" s="14" t="s">
        <v>393</v>
      </c>
      <c r="H24" s="14" t="s">
        <v>394</v>
      </c>
      <c r="I24" s="14" t="b">
        <v>1</v>
      </c>
      <c r="J24" s="14" t="s">
        <v>395</v>
      </c>
      <c r="L24" s="14" t="b">
        <v>0</v>
      </c>
      <c r="M24" s="15" t="s">
        <v>766</v>
      </c>
      <c r="N24" s="14" t="s">
        <v>393</v>
      </c>
      <c r="O24" s="14" t="s">
        <v>393</v>
      </c>
      <c r="P24" s="15" t="s">
        <v>397</v>
      </c>
      <c r="Q24" s="15" t="s">
        <v>739</v>
      </c>
      <c r="T24" s="14" t="b">
        <v>0</v>
      </c>
      <c r="U24" s="15" t="s">
        <v>767</v>
      </c>
      <c r="V24" s="15" t="s">
        <v>768</v>
      </c>
      <c r="W24" s="15" t="s">
        <v>401</v>
      </c>
      <c r="X24" s="15" t="s">
        <v>742</v>
      </c>
      <c r="Y24" s="15">
        <v>4485.0</v>
      </c>
      <c r="AA24" s="15" t="str">
        <f>"1725"</f>
        <v>1725</v>
      </c>
      <c r="AB24" s="14" t="b">
        <v>1</v>
      </c>
      <c r="AC24" s="14" t="b">
        <v>1</v>
      </c>
      <c r="AD24" s="15" t="str">
        <f>"198394015462"</f>
        <v>198394015462</v>
      </c>
      <c r="AE24" s="15" t="s">
        <v>769</v>
      </c>
      <c r="AF24" s="14" t="s">
        <v>404</v>
      </c>
      <c r="AG24" s="14" t="s">
        <v>405</v>
      </c>
      <c r="AH24" s="14" t="s">
        <v>406</v>
      </c>
      <c r="AI24" s="15">
        <v>0.0</v>
      </c>
      <c r="AL24" s="15" t="s">
        <v>744</v>
      </c>
      <c r="AM24" s="15" t="s">
        <v>770</v>
      </c>
      <c r="AN24" s="15" t="s">
        <v>771</v>
      </c>
      <c r="AO24" s="15" t="s">
        <v>747</v>
      </c>
      <c r="AP24" s="15" t="s">
        <v>748</v>
      </c>
      <c r="AQ24" s="15" t="s">
        <v>772</v>
      </c>
      <c r="AR24" s="15" t="s">
        <v>773</v>
      </c>
      <c r="AS24" s="15" t="s">
        <v>751</v>
      </c>
      <c r="AT24" s="15" t="s">
        <v>739</v>
      </c>
      <c r="AU24" s="15" t="s">
        <v>752</v>
      </c>
      <c r="AW24" s="15" t="s">
        <v>602</v>
      </c>
      <c r="AY24" s="15" t="s">
        <v>413</v>
      </c>
      <c r="AZ24" s="15" t="b">
        <v>0</v>
      </c>
      <c r="BA24" s="15" t="s">
        <v>413</v>
      </c>
      <c r="BB24" s="15" t="b">
        <v>0</v>
      </c>
      <c r="BC24" s="15" t="s">
        <v>774</v>
      </c>
      <c r="BD24" s="15" t="s">
        <v>742</v>
      </c>
      <c r="BE24" s="15" t="str">
        <f t="shared" si="2"/>
        <v>1</v>
      </c>
      <c r="BF24" s="15" t="s">
        <v>416</v>
      </c>
      <c r="BG24" s="15" t="str">
        <f t="shared" ref="BG24:BG25" si="45">"99.61"</f>
        <v>99.61</v>
      </c>
      <c r="BH24" s="15" t="s">
        <v>775</v>
      </c>
      <c r="BI24" s="15" t="str">
        <f t="shared" si="44"/>
        <v>24.02</v>
      </c>
      <c r="BJ24" s="15" t="s">
        <v>755</v>
      </c>
      <c r="BK24" s="15" t="str">
        <f>"32.87"</f>
        <v>32.87</v>
      </c>
      <c r="BL24" s="15" t="s">
        <v>776</v>
      </c>
      <c r="BM24" s="15" t="str">
        <f>"319.67"</f>
        <v>319.67</v>
      </c>
      <c r="BN24" s="15" t="s">
        <v>777</v>
      </c>
      <c r="BQ24" s="15" t="s">
        <v>444</v>
      </c>
      <c r="BS24" s="15" t="s">
        <v>444</v>
      </c>
      <c r="BU24" s="15" t="s">
        <v>444</v>
      </c>
      <c r="BW24" s="15" t="s">
        <v>444</v>
      </c>
      <c r="BZ24" s="15" t="s">
        <v>444</v>
      </c>
      <c r="CB24" s="15" t="s">
        <v>444</v>
      </c>
      <c r="CD24" s="15" t="s">
        <v>444</v>
      </c>
      <c r="CF24" s="15" t="s">
        <v>444</v>
      </c>
      <c r="CI24" s="15" t="s">
        <v>444</v>
      </c>
      <c r="CK24" s="15" t="s">
        <v>444</v>
      </c>
      <c r="CM24" s="15" t="s">
        <v>444</v>
      </c>
      <c r="CO24" s="15" t="s">
        <v>444</v>
      </c>
      <c r="CP24" s="15" t="str">
        <f>"45.52"</f>
        <v>45.52</v>
      </c>
      <c r="CQ24" s="15" t="str">
        <f>"1.289"</f>
        <v>1.289</v>
      </c>
      <c r="CR24" s="15" t="s">
        <v>465</v>
      </c>
      <c r="CV24" s="15" t="s">
        <v>778</v>
      </c>
      <c r="CW24" s="15" t="s">
        <v>779</v>
      </c>
      <c r="CX24" s="15" t="s">
        <v>780</v>
      </c>
      <c r="DC24" s="15" t="str">
        <f>IFERROR(__xludf.DUMMYFUNCTION("""COMPUTED_VALUE"""),"")</f>
        <v/>
      </c>
      <c r="DE24" s="15" t="str">
        <f>IFERROR(__xludf.DUMMYFUNCTION("""COMPUTED_VALUE"""),"")</f>
        <v/>
      </c>
      <c r="DG24" s="15" t="str">
        <f>IFERROR(__xludf.DUMMYFUNCTION("""COMPUTED_VALUE"""),"")</f>
        <v/>
      </c>
      <c r="DL24" s="15" t="str">
        <f>IFERROR(__xludf.DUMMYFUNCTION("""COMPUTED_VALUE"""),"")</f>
        <v/>
      </c>
      <c r="DM24" s="15" t="s">
        <v>444</v>
      </c>
      <c r="DN24" s="15" t="s">
        <v>418</v>
      </c>
      <c r="DO24" s="15">
        <v>3.0</v>
      </c>
      <c r="DP24" s="15" t="s">
        <v>419</v>
      </c>
      <c r="DR24" s="15">
        <v>0.0</v>
      </c>
      <c r="DT24" s="15" t="s">
        <v>420</v>
      </c>
      <c r="DU24" s="15" t="s">
        <v>610</v>
      </c>
      <c r="DW24" s="15">
        <v>18.14</v>
      </c>
      <c r="DX24" s="15">
        <v>40.0</v>
      </c>
      <c r="DY24" s="15">
        <v>2.0</v>
      </c>
      <c r="EG24" s="15" t="s">
        <v>444</v>
      </c>
      <c r="EH24" s="15" t="s">
        <v>758</v>
      </c>
      <c r="EK24" s="15" t="s">
        <v>444</v>
      </c>
      <c r="EM24" s="15" t="str">
        <f>IFERROR(__xludf.DUMMYFUNCTION("""COMPUTED_VALUE"""),"")</f>
        <v/>
      </c>
      <c r="EW24" s="15" t="s">
        <v>759</v>
      </c>
      <c r="FL24" s="15" t="s">
        <v>426</v>
      </c>
      <c r="FM24" s="15">
        <v>2.0</v>
      </c>
      <c r="FY24" s="15" t="s">
        <v>781</v>
      </c>
      <c r="FZ24" s="15" t="s">
        <v>782</v>
      </c>
      <c r="GA24" s="15" t="s">
        <v>783</v>
      </c>
      <c r="GB24" s="15" t="s">
        <v>778</v>
      </c>
      <c r="GC24" s="15" t="s">
        <v>784</v>
      </c>
      <c r="GD24" s="15" t="s">
        <v>780</v>
      </c>
      <c r="GF24" s="15" t="s">
        <v>426</v>
      </c>
      <c r="GG24" s="15" t="s">
        <v>785</v>
      </c>
      <c r="GH24" s="15">
        <v>4.0</v>
      </c>
      <c r="GI24" s="15" t="s">
        <v>614</v>
      </c>
      <c r="GJ24" s="15" t="s">
        <v>786</v>
      </c>
      <c r="GL24" s="15" t="s">
        <v>426</v>
      </c>
      <c r="GN24" s="15" t="s">
        <v>616</v>
      </c>
      <c r="GO24" s="15" t="s">
        <v>426</v>
      </c>
      <c r="GQ24" s="15" t="s">
        <v>760</v>
      </c>
      <c r="GS24" s="15" t="s">
        <v>787</v>
      </c>
      <c r="GU24" s="15" t="s">
        <v>788</v>
      </c>
      <c r="GW24" s="15" t="s">
        <v>431</v>
      </c>
      <c r="GY24" s="15" t="s">
        <v>764</v>
      </c>
      <c r="HA24" s="15" t="s">
        <v>778</v>
      </c>
      <c r="HB24" s="15" t="s">
        <v>779</v>
      </c>
      <c r="HC24" s="15" t="s">
        <v>780</v>
      </c>
      <c r="HD24" s="15">
        <v>0.0</v>
      </c>
      <c r="HW24" s="15" t="s">
        <v>789</v>
      </c>
      <c r="IH24" s="15" t="s">
        <v>426</v>
      </c>
    </row>
    <row r="25" ht="15.75" customHeight="1">
      <c r="A25" s="14" t="s">
        <v>391</v>
      </c>
      <c r="B25" s="15" t="s">
        <v>790</v>
      </c>
      <c r="C25" s="16"/>
      <c r="D25" s="15" t="s">
        <v>432</v>
      </c>
      <c r="G25" s="14" t="s">
        <v>393</v>
      </c>
      <c r="H25" s="14" t="s">
        <v>394</v>
      </c>
      <c r="I25" s="14" t="b">
        <v>1</v>
      </c>
      <c r="J25" s="14" t="s">
        <v>395</v>
      </c>
      <c r="L25" s="14" t="b">
        <v>0</v>
      </c>
      <c r="M25" s="15" t="s">
        <v>791</v>
      </c>
      <c r="N25" s="14" t="s">
        <v>393</v>
      </c>
      <c r="O25" s="14" t="s">
        <v>393</v>
      </c>
      <c r="P25" s="15" t="s">
        <v>397</v>
      </c>
      <c r="Q25" s="15" t="s">
        <v>739</v>
      </c>
      <c r="T25" s="14" t="b">
        <v>0</v>
      </c>
      <c r="U25" s="15" t="s">
        <v>792</v>
      </c>
      <c r="V25" s="15" t="s">
        <v>793</v>
      </c>
      <c r="W25" s="15" t="s">
        <v>401</v>
      </c>
      <c r="X25" s="15" t="s">
        <v>742</v>
      </c>
      <c r="Y25" s="15">
        <v>4368.0</v>
      </c>
      <c r="AA25" s="15" t="str">
        <f>"1680"</f>
        <v>1680</v>
      </c>
      <c r="AB25" s="14" t="b">
        <v>1</v>
      </c>
      <c r="AC25" s="14" t="b">
        <v>1</v>
      </c>
      <c r="AD25" s="15" t="str">
        <f>"801542996550"</f>
        <v>801542996550</v>
      </c>
      <c r="AE25" s="15" t="s">
        <v>794</v>
      </c>
      <c r="AF25" s="14" t="s">
        <v>404</v>
      </c>
      <c r="AG25" s="14" t="s">
        <v>405</v>
      </c>
      <c r="AH25" s="14" t="s">
        <v>406</v>
      </c>
      <c r="AI25" s="15">
        <v>0.0</v>
      </c>
      <c r="AL25" s="15" t="s">
        <v>744</v>
      </c>
      <c r="AM25" s="15" t="s">
        <v>770</v>
      </c>
      <c r="AN25" s="15" t="s">
        <v>771</v>
      </c>
      <c r="AO25" s="15" t="s">
        <v>747</v>
      </c>
      <c r="AP25" s="15" t="s">
        <v>748</v>
      </c>
      <c r="AQ25" s="15" t="s">
        <v>749</v>
      </c>
      <c r="AR25" s="15" t="s">
        <v>750</v>
      </c>
      <c r="AS25" s="15" t="s">
        <v>751</v>
      </c>
      <c r="AT25" s="15" t="s">
        <v>739</v>
      </c>
      <c r="AU25" s="15" t="s">
        <v>752</v>
      </c>
      <c r="AW25" s="15" t="s">
        <v>664</v>
      </c>
      <c r="AY25" s="15" t="s">
        <v>413</v>
      </c>
      <c r="AZ25" s="15" t="b">
        <v>0</v>
      </c>
      <c r="BA25" s="15" t="s">
        <v>413</v>
      </c>
      <c r="BB25" s="15" t="b">
        <v>0</v>
      </c>
      <c r="BC25" s="15" t="s">
        <v>795</v>
      </c>
      <c r="BD25" s="15" t="s">
        <v>742</v>
      </c>
      <c r="BE25" s="15" t="str">
        <f t="shared" si="2"/>
        <v>1</v>
      </c>
      <c r="BF25" s="15" t="s">
        <v>416</v>
      </c>
      <c r="BG25" s="15" t="str">
        <f t="shared" si="45"/>
        <v>99.61</v>
      </c>
      <c r="BH25" s="15" t="s">
        <v>775</v>
      </c>
      <c r="BI25" s="15" t="str">
        <f>"24.41"</f>
        <v>24.41</v>
      </c>
      <c r="BJ25" s="15" t="s">
        <v>796</v>
      </c>
      <c r="BK25" s="15" t="str">
        <f>"37.8"</f>
        <v>37.8</v>
      </c>
      <c r="BL25" s="15" t="s">
        <v>756</v>
      </c>
      <c r="BM25" s="15" t="str">
        <f>"341.72"</f>
        <v>341.72</v>
      </c>
      <c r="BN25" s="15" t="s">
        <v>797</v>
      </c>
      <c r="BQ25" s="15" t="s">
        <v>444</v>
      </c>
      <c r="BS25" s="15" t="s">
        <v>444</v>
      </c>
      <c r="BU25" s="15" t="s">
        <v>444</v>
      </c>
      <c r="BW25" s="15" t="s">
        <v>444</v>
      </c>
      <c r="BZ25" s="15" t="s">
        <v>444</v>
      </c>
      <c r="CB25" s="15" t="s">
        <v>444</v>
      </c>
      <c r="CD25" s="15" t="s">
        <v>444</v>
      </c>
      <c r="CF25" s="15" t="s">
        <v>444</v>
      </c>
      <c r="CI25" s="15" t="s">
        <v>444</v>
      </c>
      <c r="CK25" s="15" t="s">
        <v>444</v>
      </c>
      <c r="CM25" s="15" t="s">
        <v>444</v>
      </c>
      <c r="CO25" s="15" t="s">
        <v>444</v>
      </c>
      <c r="CP25" s="15" t="str">
        <f>"53.18"</f>
        <v>53.18</v>
      </c>
      <c r="CQ25" s="15" t="str">
        <f>"1.506"</f>
        <v>1.506</v>
      </c>
      <c r="CR25" s="15" t="s">
        <v>465</v>
      </c>
      <c r="CV25" s="15" t="s">
        <v>778</v>
      </c>
      <c r="CW25" s="15" t="s">
        <v>798</v>
      </c>
      <c r="CX25" s="15" t="s">
        <v>799</v>
      </c>
      <c r="DC25" s="15" t="str">
        <f>IFERROR(__xludf.DUMMYFUNCTION("""COMPUTED_VALUE"""),"")</f>
        <v/>
      </c>
      <c r="DE25" s="15" t="str">
        <f>IFERROR(__xludf.DUMMYFUNCTION("""COMPUTED_VALUE"""),"")</f>
        <v/>
      </c>
      <c r="DG25" s="15" t="str">
        <f>IFERROR(__xludf.DUMMYFUNCTION("""COMPUTED_VALUE"""),"")</f>
        <v/>
      </c>
      <c r="DL25" s="15" t="str">
        <f>IFERROR(__xludf.DUMMYFUNCTION("""COMPUTED_VALUE"""),"")</f>
        <v/>
      </c>
      <c r="DM25" s="15" t="s">
        <v>444</v>
      </c>
      <c r="DN25" s="15" t="s">
        <v>419</v>
      </c>
      <c r="DO25" s="15">
        <v>0.0</v>
      </c>
      <c r="DP25" s="15" t="s">
        <v>419</v>
      </c>
      <c r="DR25" s="15">
        <v>0.0</v>
      </c>
      <c r="DT25" s="15" t="s">
        <v>420</v>
      </c>
      <c r="DU25" s="15" t="s">
        <v>610</v>
      </c>
      <c r="DW25" s="15">
        <v>18.14</v>
      </c>
      <c r="DX25" s="15">
        <v>40.0</v>
      </c>
      <c r="DY25" s="15">
        <v>2.0</v>
      </c>
      <c r="EG25" s="15" t="s">
        <v>444</v>
      </c>
      <c r="EH25" s="15" t="s">
        <v>758</v>
      </c>
      <c r="EJ25" s="15" t="s">
        <v>424</v>
      </c>
      <c r="EK25" s="15" t="s">
        <v>446</v>
      </c>
      <c r="EM25" s="15" t="str">
        <f>IFERROR(__xludf.DUMMYFUNCTION("""COMPUTED_VALUE"""),"")</f>
        <v/>
      </c>
      <c r="EW25" s="15" t="s">
        <v>759</v>
      </c>
      <c r="FL25" s="15" t="s">
        <v>426</v>
      </c>
      <c r="FM25" s="15">
        <v>2.0</v>
      </c>
      <c r="FY25" s="15" t="s">
        <v>800</v>
      </c>
      <c r="FZ25" s="15" t="s">
        <v>782</v>
      </c>
      <c r="GA25" s="15" t="s">
        <v>801</v>
      </c>
      <c r="GB25" s="15" t="s">
        <v>778</v>
      </c>
      <c r="GC25" s="15" t="s">
        <v>784</v>
      </c>
      <c r="GD25" s="15" t="s">
        <v>799</v>
      </c>
      <c r="GE25" s="15">
        <v>0.0</v>
      </c>
      <c r="GF25" s="15" t="s">
        <v>426</v>
      </c>
      <c r="GG25" s="15" t="s">
        <v>785</v>
      </c>
      <c r="GH25" s="15">
        <v>4.0</v>
      </c>
      <c r="GI25" s="15" t="s">
        <v>614</v>
      </c>
      <c r="GJ25" s="15" t="s">
        <v>786</v>
      </c>
      <c r="GK25" s="15">
        <v>0.0</v>
      </c>
      <c r="GL25" s="15" t="s">
        <v>426</v>
      </c>
      <c r="GN25" s="15" t="s">
        <v>616</v>
      </c>
      <c r="HA25" s="15" t="s">
        <v>778</v>
      </c>
      <c r="HB25" s="15" t="s">
        <v>798</v>
      </c>
      <c r="HC25" s="15" t="s">
        <v>799</v>
      </c>
      <c r="HW25" s="15" t="s">
        <v>789</v>
      </c>
    </row>
    <row r="26" ht="15.75" customHeight="1">
      <c r="A26" s="14" t="s">
        <v>391</v>
      </c>
      <c r="B26" s="15" t="s">
        <v>802</v>
      </c>
      <c r="C26" s="16"/>
      <c r="D26" s="15" t="s">
        <v>432</v>
      </c>
      <c r="G26" s="14" t="s">
        <v>393</v>
      </c>
      <c r="H26" s="14" t="s">
        <v>394</v>
      </c>
      <c r="I26" s="14" t="b">
        <v>1</v>
      </c>
      <c r="J26" s="14" t="s">
        <v>395</v>
      </c>
      <c r="L26" s="14" t="b">
        <v>0</v>
      </c>
      <c r="M26" s="15" t="s">
        <v>803</v>
      </c>
      <c r="N26" s="14" t="s">
        <v>393</v>
      </c>
      <c r="O26" s="14" t="s">
        <v>393</v>
      </c>
      <c r="P26" s="15" t="s">
        <v>397</v>
      </c>
      <c r="Q26" s="15" t="s">
        <v>804</v>
      </c>
      <c r="T26" s="14" t="b">
        <v>0</v>
      </c>
      <c r="U26" s="15" t="s">
        <v>805</v>
      </c>
      <c r="V26" s="15" t="s">
        <v>806</v>
      </c>
      <c r="W26" s="15" t="s">
        <v>401</v>
      </c>
      <c r="X26" s="15" t="s">
        <v>695</v>
      </c>
      <c r="Y26" s="15">
        <v>546.0</v>
      </c>
      <c r="AA26" s="15" t="str">
        <f>"210"</f>
        <v>210</v>
      </c>
      <c r="AB26" s="14" t="b">
        <v>1</v>
      </c>
      <c r="AC26" s="14" t="b">
        <v>1</v>
      </c>
      <c r="AD26" s="15" t="str">
        <f>"801542295820"</f>
        <v>801542295820</v>
      </c>
      <c r="AE26" s="15" t="s">
        <v>807</v>
      </c>
      <c r="AF26" s="14" t="s">
        <v>404</v>
      </c>
      <c r="AG26" s="14" t="s">
        <v>405</v>
      </c>
      <c r="AH26" s="14" t="s">
        <v>406</v>
      </c>
      <c r="AI26" s="15">
        <v>0.0</v>
      </c>
      <c r="AL26" s="15" t="s">
        <v>808</v>
      </c>
      <c r="AM26" s="15" t="s">
        <v>809</v>
      </c>
      <c r="AN26" s="15" t="s">
        <v>810</v>
      </c>
      <c r="AO26" s="15" t="s">
        <v>811</v>
      </c>
      <c r="AP26" s="15" t="s">
        <v>812</v>
      </c>
      <c r="AQ26" s="15" t="s">
        <v>456</v>
      </c>
      <c r="AR26" s="15" t="s">
        <v>457</v>
      </c>
      <c r="AS26" s="15" t="s">
        <v>813</v>
      </c>
      <c r="AT26" s="15" t="s">
        <v>804</v>
      </c>
      <c r="AU26" s="15" t="s">
        <v>814</v>
      </c>
      <c r="AW26" s="15" t="s">
        <v>815</v>
      </c>
      <c r="AX26" s="15" t="s">
        <v>816</v>
      </c>
      <c r="AY26" s="15" t="s">
        <v>413</v>
      </c>
      <c r="AZ26" s="15" t="b">
        <v>0</v>
      </c>
      <c r="BA26" s="15" t="s">
        <v>413</v>
      </c>
      <c r="BB26" s="15" t="b">
        <v>0</v>
      </c>
      <c r="BC26" s="15" t="s">
        <v>817</v>
      </c>
      <c r="BD26" s="15" t="s">
        <v>709</v>
      </c>
      <c r="BE26" s="15" t="str">
        <f t="shared" si="2"/>
        <v>1</v>
      </c>
      <c r="BF26" s="15" t="s">
        <v>416</v>
      </c>
      <c r="BG26" s="15" t="str">
        <f>"20.47"</f>
        <v>20.47</v>
      </c>
      <c r="BH26" s="15" t="s">
        <v>818</v>
      </c>
      <c r="BI26" s="15" t="str">
        <f>"12.6"</f>
        <v>12.6</v>
      </c>
      <c r="BJ26" s="15" t="s">
        <v>819</v>
      </c>
      <c r="BK26" s="15" t="str">
        <f>"20.87"</f>
        <v>20.87</v>
      </c>
      <c r="BL26" s="15" t="s">
        <v>495</v>
      </c>
      <c r="BM26" s="15" t="str">
        <f>"8.82"</f>
        <v>8.82</v>
      </c>
      <c r="BN26" s="15" t="s">
        <v>820</v>
      </c>
      <c r="BQ26" s="15" t="s">
        <v>444</v>
      </c>
      <c r="BS26" s="15" t="s">
        <v>444</v>
      </c>
      <c r="BU26" s="15" t="s">
        <v>444</v>
      </c>
      <c r="BW26" s="15" t="s">
        <v>444</v>
      </c>
      <c r="BZ26" s="15" t="s">
        <v>444</v>
      </c>
      <c r="CB26" s="15" t="s">
        <v>444</v>
      </c>
      <c r="CD26" s="15" t="s">
        <v>444</v>
      </c>
      <c r="CF26" s="15" t="s">
        <v>444</v>
      </c>
      <c r="CI26" s="15" t="s">
        <v>444</v>
      </c>
      <c r="CK26" s="15" t="s">
        <v>444</v>
      </c>
      <c r="CM26" s="15" t="s">
        <v>444</v>
      </c>
      <c r="CO26" s="15" t="s">
        <v>444</v>
      </c>
      <c r="CP26" s="15" t="str">
        <f>"3.11"</f>
        <v>3.11</v>
      </c>
      <c r="CQ26" s="15" t="str">
        <f>"0.088"</f>
        <v>0.088</v>
      </c>
      <c r="CR26" s="15" t="s">
        <v>465</v>
      </c>
      <c r="DC26" s="15" t="str">
        <f>IFERROR(__xludf.DUMMYFUNCTION("""COMPUTED_VALUE"""),"")</f>
        <v/>
      </c>
      <c r="DE26" s="15" t="str">
        <f>IFERROR(__xludf.DUMMYFUNCTION("""COMPUTED_VALUE"""),"")</f>
        <v/>
      </c>
      <c r="DG26" s="15" t="str">
        <f>IFERROR(__xludf.DUMMYFUNCTION("""COMPUTED_VALUE"""),"")</f>
        <v/>
      </c>
      <c r="DK26" s="15" t="s">
        <v>718</v>
      </c>
      <c r="DL26" s="15" t="str">
        <f>IFERROR(__xludf.DUMMYFUNCTION("""COMPUTED_VALUE"""),"Vacuum or light brush only. Do not use water or any cleaning products.")</f>
        <v>Vacuum or light brush only. Do not use water or any cleaning products.</v>
      </c>
      <c r="DM26" s="15" t="s">
        <v>719</v>
      </c>
      <c r="DZ26" s="15">
        <v>0.0</v>
      </c>
      <c r="EG26" s="15" t="s">
        <v>444</v>
      </c>
      <c r="EH26" s="15" t="s">
        <v>821</v>
      </c>
      <c r="EK26" s="15" t="s">
        <v>444</v>
      </c>
      <c r="EM26" s="15" t="str">
        <f>IFERROR(__xludf.DUMMYFUNCTION("""COMPUTED_VALUE"""),"")</f>
        <v/>
      </c>
      <c r="LA26" s="15" t="s">
        <v>822</v>
      </c>
      <c r="LB26" s="15" t="s">
        <v>823</v>
      </c>
      <c r="LC26" s="15" t="s">
        <v>824</v>
      </c>
      <c r="LD26" s="15">
        <v>1.0</v>
      </c>
    </row>
    <row r="27" ht="15.75" customHeight="1">
      <c r="A27" s="14" t="s">
        <v>391</v>
      </c>
      <c r="B27" s="15" t="s">
        <v>825</v>
      </c>
      <c r="C27" s="16"/>
      <c r="D27" s="15" t="s">
        <v>432</v>
      </c>
      <c r="G27" s="14" t="s">
        <v>393</v>
      </c>
      <c r="H27" s="14" t="s">
        <v>394</v>
      </c>
      <c r="I27" s="14" t="b">
        <v>1</v>
      </c>
      <c r="J27" s="14" t="s">
        <v>395</v>
      </c>
      <c r="L27" s="14" t="b">
        <v>0</v>
      </c>
      <c r="M27" s="15" t="s">
        <v>826</v>
      </c>
      <c r="N27" s="14" t="s">
        <v>393</v>
      </c>
      <c r="O27" s="14" t="s">
        <v>393</v>
      </c>
      <c r="P27" s="15" t="s">
        <v>397</v>
      </c>
      <c r="Q27" s="15" t="s">
        <v>827</v>
      </c>
      <c r="R27" s="15" t="s">
        <v>265</v>
      </c>
      <c r="S27" s="15" t="s">
        <v>828</v>
      </c>
      <c r="T27" s="14" t="b">
        <v>0</v>
      </c>
      <c r="U27" s="15" t="s">
        <v>829</v>
      </c>
      <c r="V27" s="15" t="s">
        <v>830</v>
      </c>
      <c r="W27" s="15" t="s">
        <v>401</v>
      </c>
      <c r="X27" s="15" t="s">
        <v>742</v>
      </c>
      <c r="Y27" s="15">
        <v>1638.0</v>
      </c>
      <c r="AA27" s="15" t="str">
        <f>"630"</f>
        <v>630</v>
      </c>
      <c r="AB27" s="14" t="b">
        <v>1</v>
      </c>
      <c r="AC27" s="14" t="b">
        <v>1</v>
      </c>
      <c r="AD27" s="15" t="str">
        <f>"801542029081"</f>
        <v>801542029081</v>
      </c>
      <c r="AE27" s="15" t="s">
        <v>831</v>
      </c>
      <c r="AF27" s="14" t="s">
        <v>404</v>
      </c>
      <c r="AG27" s="14" t="s">
        <v>405</v>
      </c>
      <c r="AH27" s="14" t="s">
        <v>406</v>
      </c>
      <c r="AI27" s="15">
        <v>0.0</v>
      </c>
      <c r="AL27" s="15" t="s">
        <v>832</v>
      </c>
      <c r="AM27" s="15" t="s">
        <v>833</v>
      </c>
      <c r="AN27" s="15" t="s">
        <v>834</v>
      </c>
      <c r="AO27" s="15" t="s">
        <v>770</v>
      </c>
      <c r="AP27" s="15" t="s">
        <v>771</v>
      </c>
      <c r="AQ27" s="15" t="s">
        <v>835</v>
      </c>
      <c r="AR27" s="15" t="s">
        <v>836</v>
      </c>
      <c r="AS27" s="15" t="s">
        <v>837</v>
      </c>
      <c r="AT27" s="15" t="s">
        <v>827</v>
      </c>
      <c r="AU27" s="15" t="s">
        <v>838</v>
      </c>
      <c r="AW27" s="15" t="s">
        <v>839</v>
      </c>
      <c r="AX27" s="15" t="s">
        <v>828</v>
      </c>
      <c r="AY27" s="15" t="s">
        <v>426</v>
      </c>
      <c r="AZ27" s="15" t="b">
        <v>1</v>
      </c>
      <c r="BA27" s="15" t="s">
        <v>426</v>
      </c>
      <c r="BB27" s="15" t="b">
        <v>1</v>
      </c>
      <c r="BC27" s="15" t="s">
        <v>840</v>
      </c>
      <c r="BD27" s="15" t="s">
        <v>742</v>
      </c>
      <c r="BE27" s="15" t="str">
        <f t="shared" ref="BE27:BE30" si="46">"3"</f>
        <v>3</v>
      </c>
      <c r="BF27" s="15" t="s">
        <v>841</v>
      </c>
      <c r="BG27" s="15" t="str">
        <f>"83.9"</f>
        <v>83.9</v>
      </c>
      <c r="BH27" s="15" t="s">
        <v>842</v>
      </c>
      <c r="BI27" s="15" t="str">
        <f t="shared" ref="BI27:BI30" si="47">"34.45"</f>
        <v>34.45</v>
      </c>
      <c r="BJ27" s="15" t="s">
        <v>843</v>
      </c>
      <c r="BK27" s="15" t="str">
        <f t="shared" ref="BK27:BK30" si="48">"12.01"</f>
        <v>12.01</v>
      </c>
      <c r="BL27" s="15" t="s">
        <v>844</v>
      </c>
      <c r="BM27" s="15" t="str">
        <f>"70.55"</f>
        <v>70.55</v>
      </c>
      <c r="BN27" s="15" t="s">
        <v>845</v>
      </c>
      <c r="BO27" s="15" t="s">
        <v>846</v>
      </c>
      <c r="BP27" s="15" t="str">
        <f>"85.24"</f>
        <v>85.24</v>
      </c>
      <c r="BQ27" s="15" t="s">
        <v>847</v>
      </c>
      <c r="BR27" s="15" t="str">
        <f t="shared" ref="BR27:BR30" si="49">"11.22"</f>
        <v>11.22</v>
      </c>
      <c r="BS27" s="15" t="s">
        <v>848</v>
      </c>
      <c r="BT27" s="15" t="str">
        <f t="shared" ref="BT27:BT30" si="50">"8.07"</f>
        <v>8.07</v>
      </c>
      <c r="BU27" s="15" t="s">
        <v>849</v>
      </c>
      <c r="BV27" s="15" t="str">
        <f>"69.67"</f>
        <v>69.67</v>
      </c>
      <c r="BW27" s="15" t="s">
        <v>850</v>
      </c>
      <c r="BX27" s="15" t="s">
        <v>851</v>
      </c>
      <c r="BY27" s="15" t="str">
        <f t="shared" ref="BY27:BY31" si="51">"84.65"</f>
        <v>84.65</v>
      </c>
      <c r="BZ27" s="15" t="s">
        <v>852</v>
      </c>
      <c r="CA27" s="15" t="str">
        <f t="shared" ref="CA27:CA30" si="52">"11.42"</f>
        <v>11.42</v>
      </c>
      <c r="CB27" s="15" t="s">
        <v>853</v>
      </c>
      <c r="CC27" s="15" t="str">
        <f t="shared" ref="CC27:CC30" si="53">"8.07"</f>
        <v>8.07</v>
      </c>
      <c r="CD27" s="15" t="s">
        <v>849</v>
      </c>
      <c r="CE27" s="15" t="str">
        <f>"59.52"</f>
        <v>59.52</v>
      </c>
      <c r="CF27" s="15" t="s">
        <v>854</v>
      </c>
      <c r="CI27" s="15" t="s">
        <v>444</v>
      </c>
      <c r="CK27" s="15" t="s">
        <v>444</v>
      </c>
      <c r="CM27" s="15" t="s">
        <v>444</v>
      </c>
      <c r="CO27" s="15" t="s">
        <v>444</v>
      </c>
      <c r="CP27" s="15" t="str">
        <f>"29.06"</f>
        <v>29.06</v>
      </c>
      <c r="CQ27" s="15" t="str">
        <f>"0.823"</f>
        <v>0.823</v>
      </c>
      <c r="CR27" s="15" t="s">
        <v>465</v>
      </c>
      <c r="DC27" s="15" t="str">
        <f>IFERROR(__xludf.DUMMYFUNCTION("""COMPUTED_VALUE"""),"")</f>
        <v/>
      </c>
      <c r="DE27" s="15" t="str">
        <f>IFERROR(__xludf.DUMMYFUNCTION("""COMPUTED_VALUE"""),"")</f>
        <v/>
      </c>
      <c r="DG27" s="15" t="str">
        <f>IFERROR(__xludf.DUMMYFUNCTION("""COMPUTED_VALUE"""),"")</f>
        <v/>
      </c>
      <c r="DK27" s="15" t="s">
        <v>855</v>
      </c>
      <c r="DL27" s="15" t="str">
        <f>IFERROR(__xludf.DUMMYFUNCTION("""COMPUTED_VALUE"""),"Clean with solvent-based (dry clean only) products. Do not use water.")</f>
        <v>Clean with solvent-based (dry clean only) products. Do not use water.</v>
      </c>
      <c r="DM27" s="15" t="s">
        <v>856</v>
      </c>
      <c r="DN27" s="15" t="s">
        <v>419</v>
      </c>
      <c r="DO27" s="15">
        <v>0.0</v>
      </c>
      <c r="DP27" s="15" t="s">
        <v>419</v>
      </c>
      <c r="DR27" s="15">
        <v>0.0</v>
      </c>
      <c r="DT27" s="15" t="s">
        <v>721</v>
      </c>
      <c r="DU27" s="15" t="s">
        <v>419</v>
      </c>
      <c r="DW27" s="15">
        <v>0.0</v>
      </c>
      <c r="DX27" s="15">
        <v>0.0</v>
      </c>
      <c r="DY27" s="15">
        <v>0.0</v>
      </c>
      <c r="DZ27" s="15">
        <v>15000.0</v>
      </c>
      <c r="EG27" s="15" t="s">
        <v>444</v>
      </c>
      <c r="EH27" s="15" t="s">
        <v>857</v>
      </c>
      <c r="EJ27" s="15" t="s">
        <v>858</v>
      </c>
      <c r="EK27" s="15" t="s">
        <v>859</v>
      </c>
      <c r="EM27" s="15" t="str">
        <f>IFERROR(__xludf.DUMMYFUNCTION("""COMPUTED_VALUE"""),"")</f>
        <v/>
      </c>
      <c r="FF27" s="15" t="s">
        <v>860</v>
      </c>
      <c r="FM27" s="15">
        <v>0.0</v>
      </c>
      <c r="IM27" s="15" t="s">
        <v>861</v>
      </c>
      <c r="IN27" s="15" t="s">
        <v>861</v>
      </c>
      <c r="IO27" s="15" t="s">
        <v>861</v>
      </c>
      <c r="IP27" s="15" t="s">
        <v>862</v>
      </c>
      <c r="IQ27" s="15" t="s">
        <v>863</v>
      </c>
      <c r="IR27" s="15" t="s">
        <v>864</v>
      </c>
      <c r="IS27" s="15" t="s">
        <v>865</v>
      </c>
      <c r="IT27" s="15" t="s">
        <v>866</v>
      </c>
      <c r="IU27" s="15" t="s">
        <v>864</v>
      </c>
      <c r="IV27" s="15" t="s">
        <v>867</v>
      </c>
      <c r="IW27" s="15" t="s">
        <v>868</v>
      </c>
      <c r="IX27" s="15" t="s">
        <v>869</v>
      </c>
      <c r="IY27" s="15" t="s">
        <v>870</v>
      </c>
      <c r="IZ27" s="15" t="s">
        <v>867</v>
      </c>
      <c r="JA27" s="15" t="s">
        <v>863</v>
      </c>
      <c r="JB27" s="15" t="s">
        <v>426</v>
      </c>
      <c r="JC27" s="15" t="s">
        <v>871</v>
      </c>
      <c r="JD27" s="15" t="s">
        <v>872</v>
      </c>
      <c r="JE27" s="15" t="s">
        <v>873</v>
      </c>
      <c r="JF27" s="15" t="s">
        <v>828</v>
      </c>
      <c r="JL27" s="15" t="s">
        <v>759</v>
      </c>
      <c r="JM27" s="15" t="s">
        <v>874</v>
      </c>
      <c r="JN27" s="15" t="s">
        <v>759</v>
      </c>
      <c r="JO27" s="15" t="s">
        <v>426</v>
      </c>
      <c r="JP27" s="15" t="s">
        <v>875</v>
      </c>
    </row>
    <row r="28" ht="15.75" customHeight="1">
      <c r="A28" s="14" t="s">
        <v>391</v>
      </c>
      <c r="B28" s="15" t="s">
        <v>825</v>
      </c>
      <c r="C28" s="16"/>
      <c r="D28" s="15" t="s">
        <v>432</v>
      </c>
      <c r="G28" s="14" t="s">
        <v>393</v>
      </c>
      <c r="H28" s="14" t="s">
        <v>394</v>
      </c>
      <c r="I28" s="14" t="b">
        <v>1</v>
      </c>
      <c r="J28" s="14" t="s">
        <v>395</v>
      </c>
      <c r="L28" s="14" t="b">
        <v>0</v>
      </c>
      <c r="M28" s="15" t="s">
        <v>876</v>
      </c>
      <c r="N28" s="14" t="s">
        <v>393</v>
      </c>
      <c r="O28" s="14" t="s">
        <v>393</v>
      </c>
      <c r="P28" s="15" t="s">
        <v>397</v>
      </c>
      <c r="Q28" s="15" t="s">
        <v>827</v>
      </c>
      <c r="R28" s="15" t="s">
        <v>265</v>
      </c>
      <c r="S28" s="15" t="s">
        <v>877</v>
      </c>
      <c r="T28" s="14" t="b">
        <v>0</v>
      </c>
      <c r="U28" s="15" t="s">
        <v>878</v>
      </c>
      <c r="V28" s="15" t="s">
        <v>879</v>
      </c>
      <c r="W28" s="15" t="s">
        <v>401</v>
      </c>
      <c r="X28" s="15" t="s">
        <v>742</v>
      </c>
      <c r="Y28" s="15">
        <v>1430.0</v>
      </c>
      <c r="AA28" s="15" t="str">
        <f>"550"</f>
        <v>550</v>
      </c>
      <c r="AB28" s="14" t="b">
        <v>1</v>
      </c>
      <c r="AC28" s="14" t="b">
        <v>1</v>
      </c>
      <c r="AD28" s="15" t="str">
        <f>"801542029128"</f>
        <v>801542029128</v>
      </c>
      <c r="AE28" s="15" t="s">
        <v>880</v>
      </c>
      <c r="AF28" s="14" t="s">
        <v>404</v>
      </c>
      <c r="AG28" s="14" t="s">
        <v>405</v>
      </c>
      <c r="AH28" s="14" t="s">
        <v>406</v>
      </c>
      <c r="AI28" s="15">
        <v>0.0</v>
      </c>
      <c r="AL28" s="15" t="s">
        <v>832</v>
      </c>
      <c r="AM28" s="15" t="s">
        <v>881</v>
      </c>
      <c r="AN28" s="15" t="s">
        <v>882</v>
      </c>
      <c r="AO28" s="15" t="s">
        <v>770</v>
      </c>
      <c r="AP28" s="15" t="s">
        <v>771</v>
      </c>
      <c r="AQ28" s="15" t="s">
        <v>835</v>
      </c>
      <c r="AR28" s="15" t="s">
        <v>836</v>
      </c>
      <c r="AS28" s="15" t="s">
        <v>837</v>
      </c>
      <c r="AT28" s="15" t="s">
        <v>827</v>
      </c>
      <c r="AU28" s="15" t="s">
        <v>838</v>
      </c>
      <c r="AW28" s="15" t="s">
        <v>839</v>
      </c>
      <c r="AX28" s="15" t="s">
        <v>877</v>
      </c>
      <c r="AY28" s="15" t="s">
        <v>426</v>
      </c>
      <c r="AZ28" s="15" t="b">
        <v>1</v>
      </c>
      <c r="BA28" s="15" t="s">
        <v>426</v>
      </c>
      <c r="BB28" s="15" t="b">
        <v>1</v>
      </c>
      <c r="BC28" s="15" t="s">
        <v>840</v>
      </c>
      <c r="BD28" s="15" t="s">
        <v>742</v>
      </c>
      <c r="BE28" s="15" t="str">
        <f t="shared" si="46"/>
        <v>3</v>
      </c>
      <c r="BF28" s="15" t="s">
        <v>841</v>
      </c>
      <c r="BG28" s="15" t="str">
        <f>"67.91"</f>
        <v>67.91</v>
      </c>
      <c r="BH28" s="15" t="s">
        <v>883</v>
      </c>
      <c r="BI28" s="15" t="str">
        <f t="shared" si="47"/>
        <v>34.45</v>
      </c>
      <c r="BJ28" s="15" t="s">
        <v>843</v>
      </c>
      <c r="BK28" s="15" t="str">
        <f t="shared" si="48"/>
        <v>12.01</v>
      </c>
      <c r="BL28" s="15" t="s">
        <v>844</v>
      </c>
      <c r="BM28" s="15" t="str">
        <f>"59.97"</f>
        <v>59.97</v>
      </c>
      <c r="BN28" s="15" t="s">
        <v>884</v>
      </c>
      <c r="BO28" s="15" t="s">
        <v>846</v>
      </c>
      <c r="BP28" s="15" t="str">
        <f>"69.25"</f>
        <v>69.25</v>
      </c>
      <c r="BQ28" s="15" t="s">
        <v>885</v>
      </c>
      <c r="BR28" s="15" t="str">
        <f t="shared" si="49"/>
        <v>11.22</v>
      </c>
      <c r="BS28" s="15" t="s">
        <v>848</v>
      </c>
      <c r="BT28" s="15" t="str">
        <f t="shared" si="50"/>
        <v>8.07</v>
      </c>
      <c r="BU28" s="15" t="s">
        <v>849</v>
      </c>
      <c r="BV28" s="15" t="str">
        <f>"54.67"</f>
        <v>54.67</v>
      </c>
      <c r="BW28" s="15" t="s">
        <v>886</v>
      </c>
      <c r="BX28" s="15" t="s">
        <v>887</v>
      </c>
      <c r="BY28" s="15" t="str">
        <f t="shared" si="51"/>
        <v>84.65</v>
      </c>
      <c r="BZ28" s="15" t="s">
        <v>852</v>
      </c>
      <c r="CA28" s="15" t="str">
        <f t="shared" si="52"/>
        <v>11.42</v>
      </c>
      <c r="CB28" s="15" t="s">
        <v>853</v>
      </c>
      <c r="CC28" s="15" t="str">
        <f t="shared" si="53"/>
        <v>8.07</v>
      </c>
      <c r="CD28" s="15" t="s">
        <v>849</v>
      </c>
      <c r="CE28" s="15" t="str">
        <f>"54.01"</f>
        <v>54.01</v>
      </c>
      <c r="CF28" s="15" t="s">
        <v>888</v>
      </c>
      <c r="CI28" s="15" t="s">
        <v>444</v>
      </c>
      <c r="CK28" s="15" t="s">
        <v>444</v>
      </c>
      <c r="CM28" s="15" t="s">
        <v>444</v>
      </c>
      <c r="CO28" s="15" t="s">
        <v>444</v>
      </c>
      <c r="CP28" s="15" t="str">
        <f>"24.4"</f>
        <v>24.4</v>
      </c>
      <c r="CQ28" s="15" t="str">
        <f>"0.691"</f>
        <v>0.691</v>
      </c>
      <c r="CR28" s="15" t="s">
        <v>417</v>
      </c>
      <c r="DC28" s="15" t="str">
        <f>IFERROR(__xludf.DUMMYFUNCTION("""COMPUTED_VALUE"""),"")</f>
        <v/>
      </c>
      <c r="DE28" s="15" t="str">
        <f>IFERROR(__xludf.DUMMYFUNCTION("""COMPUTED_VALUE"""),"")</f>
        <v/>
      </c>
      <c r="DG28" s="15" t="str">
        <f>IFERROR(__xludf.DUMMYFUNCTION("""COMPUTED_VALUE"""),"")</f>
        <v/>
      </c>
      <c r="DK28" s="15" t="s">
        <v>855</v>
      </c>
      <c r="DL28" s="15" t="str">
        <f>IFERROR(__xludf.DUMMYFUNCTION("""COMPUTED_VALUE"""),"Clean with solvent-based (dry clean only) products. Do not use water.")</f>
        <v>Clean with solvent-based (dry clean only) products. Do not use water.</v>
      </c>
      <c r="DM28" s="15" t="s">
        <v>856</v>
      </c>
      <c r="DN28" s="15" t="s">
        <v>419</v>
      </c>
      <c r="DO28" s="15">
        <v>0.0</v>
      </c>
      <c r="DP28" s="15" t="s">
        <v>419</v>
      </c>
      <c r="DR28" s="15">
        <v>0.0</v>
      </c>
      <c r="DT28" s="15" t="s">
        <v>721</v>
      </c>
      <c r="DU28" s="15" t="s">
        <v>419</v>
      </c>
      <c r="DW28" s="15">
        <v>0.0</v>
      </c>
      <c r="DX28" s="15">
        <v>0.0</v>
      </c>
      <c r="DY28" s="15">
        <v>0.0</v>
      </c>
      <c r="DZ28" s="15">
        <v>15000.0</v>
      </c>
      <c r="EG28" s="15" t="s">
        <v>444</v>
      </c>
      <c r="EH28" s="15" t="s">
        <v>857</v>
      </c>
      <c r="EJ28" s="15" t="s">
        <v>858</v>
      </c>
      <c r="EK28" s="15" t="s">
        <v>859</v>
      </c>
      <c r="EM28" s="15" t="str">
        <f>IFERROR(__xludf.DUMMYFUNCTION("""COMPUTED_VALUE"""),"")</f>
        <v/>
      </c>
      <c r="FF28" s="15" t="s">
        <v>860</v>
      </c>
      <c r="FM28" s="15">
        <v>0.0</v>
      </c>
      <c r="IM28" s="15" t="s">
        <v>861</v>
      </c>
      <c r="IN28" s="15" t="s">
        <v>861</v>
      </c>
      <c r="IO28" s="15" t="s">
        <v>861</v>
      </c>
      <c r="IP28" s="15" t="s">
        <v>862</v>
      </c>
      <c r="IQ28" s="15" t="s">
        <v>863</v>
      </c>
      <c r="IR28" s="15" t="s">
        <v>889</v>
      </c>
      <c r="IS28" s="15" t="s">
        <v>865</v>
      </c>
      <c r="IT28" s="15" t="s">
        <v>866</v>
      </c>
      <c r="IU28" s="15" t="s">
        <v>889</v>
      </c>
      <c r="IV28" s="15" t="s">
        <v>867</v>
      </c>
      <c r="IW28" s="15" t="s">
        <v>868</v>
      </c>
      <c r="IX28" s="15" t="s">
        <v>890</v>
      </c>
      <c r="IY28" s="15" t="s">
        <v>870</v>
      </c>
      <c r="IZ28" s="15" t="s">
        <v>867</v>
      </c>
      <c r="JA28" s="15" t="s">
        <v>863</v>
      </c>
      <c r="JB28" s="15" t="s">
        <v>426</v>
      </c>
      <c r="JC28" s="15" t="s">
        <v>871</v>
      </c>
      <c r="JD28" s="15" t="s">
        <v>872</v>
      </c>
      <c r="JE28" s="15" t="s">
        <v>873</v>
      </c>
      <c r="JF28" s="15" t="s">
        <v>877</v>
      </c>
      <c r="JL28" s="15" t="s">
        <v>759</v>
      </c>
      <c r="JM28" s="15" t="s">
        <v>874</v>
      </c>
      <c r="JN28" s="15" t="s">
        <v>759</v>
      </c>
      <c r="JO28" s="15" t="s">
        <v>426</v>
      </c>
      <c r="JP28" s="15" t="s">
        <v>875</v>
      </c>
    </row>
    <row r="29" ht="15.75" customHeight="1">
      <c r="A29" s="14" t="s">
        <v>391</v>
      </c>
      <c r="B29" s="15" t="s">
        <v>825</v>
      </c>
      <c r="C29" s="16"/>
      <c r="D29" s="15" t="s">
        <v>432</v>
      </c>
      <c r="G29" s="14" t="s">
        <v>393</v>
      </c>
      <c r="H29" s="14" t="s">
        <v>394</v>
      </c>
      <c r="I29" s="14" t="b">
        <v>1</v>
      </c>
      <c r="J29" s="14" t="s">
        <v>395</v>
      </c>
      <c r="L29" s="14" t="b">
        <v>0</v>
      </c>
      <c r="M29" s="15" t="s">
        <v>891</v>
      </c>
      <c r="N29" s="14" t="s">
        <v>393</v>
      </c>
      <c r="O29" s="14" t="s">
        <v>393</v>
      </c>
      <c r="P29" s="15" t="s">
        <v>397</v>
      </c>
      <c r="Q29" s="15" t="s">
        <v>892</v>
      </c>
      <c r="R29" s="15" t="s">
        <v>265</v>
      </c>
      <c r="S29" s="15" t="s">
        <v>828</v>
      </c>
      <c r="T29" s="14" t="b">
        <v>0</v>
      </c>
      <c r="U29" s="15" t="s">
        <v>893</v>
      </c>
      <c r="V29" s="15" t="s">
        <v>830</v>
      </c>
      <c r="W29" s="15" t="s">
        <v>401</v>
      </c>
      <c r="X29" s="15" t="s">
        <v>742</v>
      </c>
      <c r="Y29" s="15">
        <v>1638.0</v>
      </c>
      <c r="AA29" s="15" t="str">
        <f>"630"</f>
        <v>630</v>
      </c>
      <c r="AB29" s="14" t="b">
        <v>1</v>
      </c>
      <c r="AC29" s="14" t="b">
        <v>1</v>
      </c>
      <c r="AD29" s="15" t="str">
        <f>"801542029166"</f>
        <v>801542029166</v>
      </c>
      <c r="AE29" s="15" t="s">
        <v>894</v>
      </c>
      <c r="AF29" s="14" t="s">
        <v>404</v>
      </c>
      <c r="AG29" s="14" t="s">
        <v>405</v>
      </c>
      <c r="AH29" s="14" t="s">
        <v>406</v>
      </c>
      <c r="AI29" s="15">
        <v>0.0</v>
      </c>
      <c r="AL29" s="15" t="s">
        <v>895</v>
      </c>
      <c r="AM29" s="15" t="s">
        <v>833</v>
      </c>
      <c r="AN29" s="15" t="s">
        <v>834</v>
      </c>
      <c r="AO29" s="15" t="s">
        <v>770</v>
      </c>
      <c r="AP29" s="15" t="s">
        <v>771</v>
      </c>
      <c r="AQ29" s="15" t="s">
        <v>835</v>
      </c>
      <c r="AR29" s="15" t="s">
        <v>836</v>
      </c>
      <c r="AS29" s="15" t="s">
        <v>837</v>
      </c>
      <c r="AT29" s="15" t="s">
        <v>892</v>
      </c>
      <c r="AU29" s="15" t="s">
        <v>838</v>
      </c>
      <c r="AW29" s="15" t="s">
        <v>839</v>
      </c>
      <c r="AX29" s="15" t="s">
        <v>828</v>
      </c>
      <c r="AY29" s="15" t="s">
        <v>413</v>
      </c>
      <c r="AZ29" s="15" t="b">
        <v>0</v>
      </c>
      <c r="BA29" s="15" t="s">
        <v>413</v>
      </c>
      <c r="BB29" s="15" t="b">
        <v>0</v>
      </c>
      <c r="BC29" s="15" t="s">
        <v>896</v>
      </c>
      <c r="BD29" s="15" t="s">
        <v>742</v>
      </c>
      <c r="BE29" s="15" t="str">
        <f t="shared" si="46"/>
        <v>3</v>
      </c>
      <c r="BF29" s="15" t="s">
        <v>841</v>
      </c>
      <c r="BG29" s="15" t="str">
        <f>"83.9"</f>
        <v>83.9</v>
      </c>
      <c r="BH29" s="15" t="s">
        <v>842</v>
      </c>
      <c r="BI29" s="15" t="str">
        <f t="shared" si="47"/>
        <v>34.45</v>
      </c>
      <c r="BJ29" s="15" t="s">
        <v>843</v>
      </c>
      <c r="BK29" s="15" t="str">
        <f t="shared" si="48"/>
        <v>12.01</v>
      </c>
      <c r="BL29" s="15" t="s">
        <v>844</v>
      </c>
      <c r="BM29" s="15" t="str">
        <f>"70.55"</f>
        <v>70.55</v>
      </c>
      <c r="BN29" s="15" t="s">
        <v>845</v>
      </c>
      <c r="BO29" s="15" t="s">
        <v>846</v>
      </c>
      <c r="BP29" s="15" t="str">
        <f>"85.24"</f>
        <v>85.24</v>
      </c>
      <c r="BQ29" s="15" t="s">
        <v>847</v>
      </c>
      <c r="BR29" s="15" t="str">
        <f t="shared" si="49"/>
        <v>11.22</v>
      </c>
      <c r="BS29" s="15" t="s">
        <v>848</v>
      </c>
      <c r="BT29" s="15" t="str">
        <f t="shared" si="50"/>
        <v>8.07</v>
      </c>
      <c r="BU29" s="15" t="s">
        <v>849</v>
      </c>
      <c r="BV29" s="15" t="str">
        <f>"69.67"</f>
        <v>69.67</v>
      </c>
      <c r="BW29" s="15" t="s">
        <v>850</v>
      </c>
      <c r="BX29" s="15" t="s">
        <v>851</v>
      </c>
      <c r="BY29" s="15" t="str">
        <f t="shared" si="51"/>
        <v>84.65</v>
      </c>
      <c r="BZ29" s="15" t="s">
        <v>852</v>
      </c>
      <c r="CA29" s="15" t="str">
        <f t="shared" si="52"/>
        <v>11.42</v>
      </c>
      <c r="CB29" s="15" t="s">
        <v>853</v>
      </c>
      <c r="CC29" s="15" t="str">
        <f t="shared" si="53"/>
        <v>8.07</v>
      </c>
      <c r="CD29" s="15" t="s">
        <v>849</v>
      </c>
      <c r="CE29" s="15" t="str">
        <f>"59.52"</f>
        <v>59.52</v>
      </c>
      <c r="CF29" s="15" t="s">
        <v>854</v>
      </c>
      <c r="CI29" s="15" t="s">
        <v>444</v>
      </c>
      <c r="CK29" s="15" t="s">
        <v>444</v>
      </c>
      <c r="CM29" s="15" t="s">
        <v>444</v>
      </c>
      <c r="CO29" s="15" t="s">
        <v>444</v>
      </c>
      <c r="CP29" s="15" t="str">
        <f>"29.06"</f>
        <v>29.06</v>
      </c>
      <c r="CQ29" s="15" t="str">
        <f>"0.823"</f>
        <v>0.823</v>
      </c>
      <c r="CR29" s="15" t="s">
        <v>497</v>
      </c>
      <c r="DC29" s="15" t="str">
        <f>IFERROR(__xludf.DUMMYFUNCTION("""COMPUTED_VALUE"""),"")</f>
        <v/>
      </c>
      <c r="DE29" s="15" t="str">
        <f>IFERROR(__xludf.DUMMYFUNCTION("""COMPUTED_VALUE"""),"")</f>
        <v/>
      </c>
      <c r="DG29" s="15" t="str">
        <f>IFERROR(__xludf.DUMMYFUNCTION("""COMPUTED_VALUE"""),"")</f>
        <v/>
      </c>
      <c r="DK29" s="15" t="s">
        <v>897</v>
      </c>
      <c r="DL29" s="15" t="str">
        <f>IFERROR(__xludf.DUMMYFUNCTION("""COMPUTED_VALUE"""),"Clean with water-based products only. Use mild detergent or upholstery shampoo.")</f>
        <v>Clean with water-based products only. Use mild detergent or upholstery shampoo.</v>
      </c>
      <c r="DM29" s="15" t="s">
        <v>898</v>
      </c>
      <c r="DN29" s="15" t="s">
        <v>419</v>
      </c>
      <c r="DO29" s="15">
        <v>0.0</v>
      </c>
      <c r="DP29" s="15" t="s">
        <v>419</v>
      </c>
      <c r="DR29" s="15">
        <v>0.0</v>
      </c>
      <c r="DT29" s="15" t="s">
        <v>721</v>
      </c>
      <c r="DU29" s="15" t="s">
        <v>419</v>
      </c>
      <c r="DW29" s="15">
        <v>0.0</v>
      </c>
      <c r="DX29" s="15">
        <v>0.0</v>
      </c>
      <c r="DY29" s="15">
        <v>0.0</v>
      </c>
      <c r="DZ29" s="15">
        <v>15000.0</v>
      </c>
      <c r="EG29" s="15" t="s">
        <v>444</v>
      </c>
      <c r="EH29" s="15" t="s">
        <v>857</v>
      </c>
      <c r="EJ29" s="15" t="s">
        <v>858</v>
      </c>
      <c r="EK29" s="15" t="s">
        <v>859</v>
      </c>
      <c r="EM29" s="15" t="str">
        <f>IFERROR(__xludf.DUMMYFUNCTION("""COMPUTED_VALUE"""),"")</f>
        <v/>
      </c>
      <c r="FF29" s="15" t="s">
        <v>860</v>
      </c>
      <c r="FM29" s="15">
        <v>0.0</v>
      </c>
      <c r="IM29" s="15" t="s">
        <v>861</v>
      </c>
      <c r="IN29" s="15" t="s">
        <v>861</v>
      </c>
      <c r="IO29" s="15" t="s">
        <v>861</v>
      </c>
      <c r="IP29" s="15" t="s">
        <v>862</v>
      </c>
      <c r="IQ29" s="15" t="s">
        <v>863</v>
      </c>
      <c r="IR29" s="15" t="s">
        <v>864</v>
      </c>
      <c r="IS29" s="15" t="s">
        <v>865</v>
      </c>
      <c r="IT29" s="15" t="s">
        <v>866</v>
      </c>
      <c r="IU29" s="15" t="s">
        <v>864</v>
      </c>
      <c r="IV29" s="15" t="s">
        <v>867</v>
      </c>
      <c r="IW29" s="15" t="s">
        <v>868</v>
      </c>
      <c r="IX29" s="15" t="s">
        <v>869</v>
      </c>
      <c r="IY29" s="15" t="s">
        <v>870</v>
      </c>
      <c r="IZ29" s="15" t="s">
        <v>867</v>
      </c>
      <c r="JA29" s="15" t="s">
        <v>863</v>
      </c>
      <c r="JB29" s="15" t="s">
        <v>426</v>
      </c>
      <c r="JC29" s="15" t="s">
        <v>871</v>
      </c>
      <c r="JD29" s="15" t="s">
        <v>872</v>
      </c>
      <c r="JE29" s="15" t="s">
        <v>873</v>
      </c>
      <c r="JF29" s="15" t="s">
        <v>828</v>
      </c>
      <c r="JL29" s="15" t="s">
        <v>759</v>
      </c>
      <c r="JM29" s="15" t="s">
        <v>874</v>
      </c>
      <c r="JN29" s="15" t="s">
        <v>759</v>
      </c>
      <c r="JO29" s="15" t="s">
        <v>426</v>
      </c>
      <c r="JP29" s="15" t="s">
        <v>875</v>
      </c>
    </row>
    <row r="30" ht="15.75" customHeight="1">
      <c r="A30" s="14" t="s">
        <v>391</v>
      </c>
      <c r="B30" s="15" t="s">
        <v>825</v>
      </c>
      <c r="C30" s="16"/>
      <c r="D30" s="15" t="s">
        <v>432</v>
      </c>
      <c r="G30" s="14" t="s">
        <v>393</v>
      </c>
      <c r="H30" s="14" t="s">
        <v>394</v>
      </c>
      <c r="I30" s="14" t="b">
        <v>1</v>
      </c>
      <c r="J30" s="14" t="s">
        <v>395</v>
      </c>
      <c r="L30" s="14" t="b">
        <v>0</v>
      </c>
      <c r="M30" s="15" t="s">
        <v>899</v>
      </c>
      <c r="N30" s="14" t="s">
        <v>393</v>
      </c>
      <c r="O30" s="14" t="s">
        <v>393</v>
      </c>
      <c r="P30" s="15" t="s">
        <v>397</v>
      </c>
      <c r="Q30" s="15" t="s">
        <v>892</v>
      </c>
      <c r="R30" s="15" t="s">
        <v>265</v>
      </c>
      <c r="S30" s="15" t="s">
        <v>877</v>
      </c>
      <c r="T30" s="14" t="b">
        <v>0</v>
      </c>
      <c r="U30" s="15" t="s">
        <v>900</v>
      </c>
      <c r="V30" s="15" t="s">
        <v>879</v>
      </c>
      <c r="W30" s="15" t="s">
        <v>401</v>
      </c>
      <c r="X30" s="15" t="s">
        <v>742</v>
      </c>
      <c r="Y30" s="15">
        <v>1430.0</v>
      </c>
      <c r="AA30" s="15" t="str">
        <f>"550"</f>
        <v>550</v>
      </c>
      <c r="AB30" s="14" t="b">
        <v>1</v>
      </c>
      <c r="AC30" s="14" t="b">
        <v>1</v>
      </c>
      <c r="AD30" s="15" t="str">
        <f>"801542029203"</f>
        <v>801542029203</v>
      </c>
      <c r="AE30" s="15" t="s">
        <v>901</v>
      </c>
      <c r="AF30" s="14" t="s">
        <v>404</v>
      </c>
      <c r="AG30" s="14" t="s">
        <v>405</v>
      </c>
      <c r="AH30" s="14" t="s">
        <v>406</v>
      </c>
      <c r="AI30" s="15">
        <v>0.0</v>
      </c>
      <c r="AL30" s="15" t="s">
        <v>895</v>
      </c>
      <c r="AM30" s="15" t="s">
        <v>881</v>
      </c>
      <c r="AN30" s="15" t="s">
        <v>882</v>
      </c>
      <c r="AO30" s="15" t="s">
        <v>770</v>
      </c>
      <c r="AP30" s="15" t="s">
        <v>771</v>
      </c>
      <c r="AQ30" s="15" t="s">
        <v>835</v>
      </c>
      <c r="AR30" s="15" t="s">
        <v>836</v>
      </c>
      <c r="AS30" s="15" t="s">
        <v>837</v>
      </c>
      <c r="AT30" s="15" t="s">
        <v>892</v>
      </c>
      <c r="AU30" s="15" t="s">
        <v>838</v>
      </c>
      <c r="AW30" s="15" t="s">
        <v>839</v>
      </c>
      <c r="AX30" s="15" t="s">
        <v>877</v>
      </c>
      <c r="AY30" s="15" t="s">
        <v>413</v>
      </c>
      <c r="AZ30" s="15" t="b">
        <v>0</v>
      </c>
      <c r="BA30" s="15" t="s">
        <v>413</v>
      </c>
      <c r="BB30" s="15" t="b">
        <v>0</v>
      </c>
      <c r="BC30" s="15" t="s">
        <v>896</v>
      </c>
      <c r="BD30" s="15" t="s">
        <v>742</v>
      </c>
      <c r="BE30" s="15" t="str">
        <f t="shared" si="46"/>
        <v>3</v>
      </c>
      <c r="BF30" s="15" t="s">
        <v>841</v>
      </c>
      <c r="BG30" s="15" t="str">
        <f>"67.91"</f>
        <v>67.91</v>
      </c>
      <c r="BH30" s="15" t="s">
        <v>883</v>
      </c>
      <c r="BI30" s="15" t="str">
        <f t="shared" si="47"/>
        <v>34.45</v>
      </c>
      <c r="BJ30" s="15" t="s">
        <v>843</v>
      </c>
      <c r="BK30" s="15" t="str">
        <f t="shared" si="48"/>
        <v>12.01</v>
      </c>
      <c r="BL30" s="15" t="s">
        <v>844</v>
      </c>
      <c r="BM30" s="15" t="str">
        <f>"59.97"</f>
        <v>59.97</v>
      </c>
      <c r="BN30" s="15" t="s">
        <v>884</v>
      </c>
      <c r="BO30" s="15" t="s">
        <v>846</v>
      </c>
      <c r="BP30" s="15" t="str">
        <f>"69.25"</f>
        <v>69.25</v>
      </c>
      <c r="BQ30" s="15" t="s">
        <v>885</v>
      </c>
      <c r="BR30" s="15" t="str">
        <f t="shared" si="49"/>
        <v>11.22</v>
      </c>
      <c r="BS30" s="15" t="s">
        <v>848</v>
      </c>
      <c r="BT30" s="15" t="str">
        <f t="shared" si="50"/>
        <v>8.07</v>
      </c>
      <c r="BU30" s="15" t="s">
        <v>849</v>
      </c>
      <c r="BV30" s="15" t="str">
        <f>"54.67"</f>
        <v>54.67</v>
      </c>
      <c r="BW30" s="15" t="s">
        <v>886</v>
      </c>
      <c r="BX30" s="15" t="s">
        <v>887</v>
      </c>
      <c r="BY30" s="15" t="str">
        <f t="shared" si="51"/>
        <v>84.65</v>
      </c>
      <c r="BZ30" s="15" t="s">
        <v>852</v>
      </c>
      <c r="CA30" s="15" t="str">
        <f t="shared" si="52"/>
        <v>11.42</v>
      </c>
      <c r="CB30" s="15" t="s">
        <v>853</v>
      </c>
      <c r="CC30" s="15" t="str">
        <f t="shared" si="53"/>
        <v>8.07</v>
      </c>
      <c r="CD30" s="15" t="s">
        <v>849</v>
      </c>
      <c r="CE30" s="15" t="str">
        <f>"54.01"</f>
        <v>54.01</v>
      </c>
      <c r="CF30" s="15" t="s">
        <v>888</v>
      </c>
      <c r="CI30" s="15" t="s">
        <v>444</v>
      </c>
      <c r="CK30" s="15" t="s">
        <v>444</v>
      </c>
      <c r="CM30" s="15" t="s">
        <v>444</v>
      </c>
      <c r="CO30" s="15" t="s">
        <v>444</v>
      </c>
      <c r="CP30" s="15" t="str">
        <f>"24.4"</f>
        <v>24.4</v>
      </c>
      <c r="CQ30" s="15" t="str">
        <f>"0.691"</f>
        <v>0.691</v>
      </c>
      <c r="CR30" s="15" t="s">
        <v>497</v>
      </c>
      <c r="DC30" s="15" t="str">
        <f>IFERROR(__xludf.DUMMYFUNCTION("""COMPUTED_VALUE"""),"")</f>
        <v/>
      </c>
      <c r="DE30" s="15" t="str">
        <f>IFERROR(__xludf.DUMMYFUNCTION("""COMPUTED_VALUE"""),"")</f>
        <v/>
      </c>
      <c r="DG30" s="15" t="str">
        <f>IFERROR(__xludf.DUMMYFUNCTION("""COMPUTED_VALUE"""),"")</f>
        <v/>
      </c>
      <c r="DK30" s="15" t="s">
        <v>897</v>
      </c>
      <c r="DL30" s="15" t="str">
        <f>IFERROR(__xludf.DUMMYFUNCTION("""COMPUTED_VALUE"""),"Clean with water-based products only. Use mild detergent or upholstery shampoo.")</f>
        <v>Clean with water-based products only. Use mild detergent or upholstery shampoo.</v>
      </c>
      <c r="DM30" s="15" t="s">
        <v>898</v>
      </c>
      <c r="DN30" s="15" t="s">
        <v>419</v>
      </c>
      <c r="DO30" s="15">
        <v>0.0</v>
      </c>
      <c r="DP30" s="15" t="s">
        <v>419</v>
      </c>
      <c r="DR30" s="15">
        <v>0.0</v>
      </c>
      <c r="DT30" s="15" t="s">
        <v>721</v>
      </c>
      <c r="DU30" s="15" t="s">
        <v>419</v>
      </c>
      <c r="DW30" s="15">
        <v>0.0</v>
      </c>
      <c r="DX30" s="15">
        <v>0.0</v>
      </c>
      <c r="DY30" s="15">
        <v>0.0</v>
      </c>
      <c r="DZ30" s="15">
        <v>15000.0</v>
      </c>
      <c r="EG30" s="15" t="s">
        <v>444</v>
      </c>
      <c r="EH30" s="15" t="s">
        <v>857</v>
      </c>
      <c r="EJ30" s="15" t="s">
        <v>858</v>
      </c>
      <c r="EK30" s="15" t="s">
        <v>859</v>
      </c>
      <c r="EM30" s="15" t="str">
        <f>IFERROR(__xludf.DUMMYFUNCTION("""COMPUTED_VALUE"""),"")</f>
        <v/>
      </c>
      <c r="FF30" s="15" t="s">
        <v>860</v>
      </c>
      <c r="FM30" s="15">
        <v>0.0</v>
      </c>
      <c r="IM30" s="15" t="s">
        <v>861</v>
      </c>
      <c r="IN30" s="15" t="s">
        <v>861</v>
      </c>
      <c r="IO30" s="15" t="s">
        <v>861</v>
      </c>
      <c r="IP30" s="15" t="s">
        <v>862</v>
      </c>
      <c r="IQ30" s="15" t="s">
        <v>863</v>
      </c>
      <c r="IR30" s="15" t="s">
        <v>889</v>
      </c>
      <c r="IS30" s="15" t="s">
        <v>865</v>
      </c>
      <c r="IT30" s="15" t="s">
        <v>866</v>
      </c>
      <c r="IU30" s="15" t="s">
        <v>889</v>
      </c>
      <c r="IV30" s="15" t="s">
        <v>867</v>
      </c>
      <c r="IW30" s="15" t="s">
        <v>868</v>
      </c>
      <c r="IX30" s="15" t="s">
        <v>890</v>
      </c>
      <c r="IY30" s="15" t="s">
        <v>870</v>
      </c>
      <c r="IZ30" s="15" t="s">
        <v>867</v>
      </c>
      <c r="JA30" s="15" t="s">
        <v>863</v>
      </c>
      <c r="JB30" s="15" t="s">
        <v>426</v>
      </c>
      <c r="JC30" s="15" t="s">
        <v>871</v>
      </c>
      <c r="JD30" s="15" t="s">
        <v>872</v>
      </c>
      <c r="JE30" s="15" t="s">
        <v>873</v>
      </c>
      <c r="JF30" s="15" t="s">
        <v>877</v>
      </c>
      <c r="JL30" s="15" t="s">
        <v>759</v>
      </c>
      <c r="JM30" s="15" t="s">
        <v>874</v>
      </c>
      <c r="JN30" s="15" t="s">
        <v>759</v>
      </c>
      <c r="JO30" s="15" t="s">
        <v>426</v>
      </c>
      <c r="JP30" s="15" t="s">
        <v>875</v>
      </c>
    </row>
    <row r="31" ht="15.75" customHeight="1">
      <c r="A31" s="14" t="s">
        <v>391</v>
      </c>
      <c r="B31" s="15" t="s">
        <v>902</v>
      </c>
      <c r="C31" s="16"/>
      <c r="D31" s="15" t="s">
        <v>432</v>
      </c>
      <c r="G31" s="14" t="s">
        <v>393</v>
      </c>
      <c r="H31" s="14" t="s">
        <v>394</v>
      </c>
      <c r="I31" s="14" t="b">
        <v>1</v>
      </c>
      <c r="J31" s="14" t="s">
        <v>395</v>
      </c>
      <c r="L31" s="14" t="b">
        <v>0</v>
      </c>
      <c r="M31" s="15" t="s">
        <v>903</v>
      </c>
      <c r="N31" s="14" t="s">
        <v>393</v>
      </c>
      <c r="O31" s="14" t="s">
        <v>393</v>
      </c>
      <c r="P31" s="15" t="s">
        <v>397</v>
      </c>
      <c r="Q31" s="15" t="s">
        <v>904</v>
      </c>
      <c r="R31" s="15" t="s">
        <v>265</v>
      </c>
      <c r="S31" s="15" t="s">
        <v>828</v>
      </c>
      <c r="T31" s="14" t="b">
        <v>0</v>
      </c>
      <c r="U31" s="15" t="s">
        <v>905</v>
      </c>
      <c r="V31" s="15" t="s">
        <v>906</v>
      </c>
      <c r="W31" s="15" t="s">
        <v>401</v>
      </c>
      <c r="X31" s="15" t="s">
        <v>695</v>
      </c>
      <c r="Y31" s="15">
        <v>3068.0</v>
      </c>
      <c r="AA31" s="15" t="str">
        <f>"1180"</f>
        <v>1180</v>
      </c>
      <c r="AB31" s="14" t="b">
        <v>1</v>
      </c>
      <c r="AC31" s="14" t="b">
        <v>1</v>
      </c>
      <c r="AD31" s="15" t="str">
        <f>"801542125448"</f>
        <v>801542125448</v>
      </c>
      <c r="AE31" s="15" t="s">
        <v>907</v>
      </c>
      <c r="AF31" s="14" t="s">
        <v>404</v>
      </c>
      <c r="AG31" s="14" t="s">
        <v>405</v>
      </c>
      <c r="AH31" s="14" t="s">
        <v>406</v>
      </c>
      <c r="AI31" s="15">
        <v>0.0</v>
      </c>
      <c r="AL31" s="15" t="s">
        <v>908</v>
      </c>
      <c r="AM31" s="15" t="s">
        <v>909</v>
      </c>
      <c r="AN31" s="15" t="s">
        <v>910</v>
      </c>
      <c r="AO31" s="15" t="s">
        <v>911</v>
      </c>
      <c r="AP31" s="15" t="s">
        <v>912</v>
      </c>
      <c r="AQ31" s="15" t="s">
        <v>913</v>
      </c>
      <c r="AR31" s="15" t="s">
        <v>914</v>
      </c>
      <c r="AS31" s="15" t="s">
        <v>915</v>
      </c>
      <c r="AT31" s="15" t="s">
        <v>904</v>
      </c>
      <c r="AW31" s="15" t="s">
        <v>839</v>
      </c>
      <c r="AX31" s="15" t="s">
        <v>828</v>
      </c>
      <c r="AY31" s="15" t="s">
        <v>413</v>
      </c>
      <c r="AZ31" s="15" t="b">
        <v>0</v>
      </c>
      <c r="BA31" s="15" t="s">
        <v>413</v>
      </c>
      <c r="BB31" s="15" t="b">
        <v>0</v>
      </c>
      <c r="BC31" s="15" t="s">
        <v>916</v>
      </c>
      <c r="BD31" s="15" t="s">
        <v>709</v>
      </c>
      <c r="BE31" s="15" t="str">
        <f t="shared" ref="BE31:BE34" si="54">"4"</f>
        <v>4</v>
      </c>
      <c r="BF31" s="15" t="s">
        <v>917</v>
      </c>
      <c r="BG31" s="15" t="str">
        <f t="shared" ref="BG31:BG34" si="55">"81.73"</f>
        <v>81.73</v>
      </c>
      <c r="BH31" s="15" t="s">
        <v>918</v>
      </c>
      <c r="BI31" s="15" t="str">
        <f t="shared" ref="BI31:BI34" si="56">"5.39"</f>
        <v>5.39</v>
      </c>
      <c r="BJ31" s="15" t="s">
        <v>919</v>
      </c>
      <c r="BK31" s="15" t="str">
        <f>"40.35"</f>
        <v>40.35</v>
      </c>
      <c r="BL31" s="15" t="s">
        <v>920</v>
      </c>
      <c r="BM31" s="15" t="str">
        <f>"52.91"</f>
        <v>52.91</v>
      </c>
      <c r="BN31" s="15" t="s">
        <v>921</v>
      </c>
      <c r="BO31" s="15" t="s">
        <v>922</v>
      </c>
      <c r="BP31" s="15" t="str">
        <f t="shared" ref="BP31:BP34" si="57">"7.87"</f>
        <v>7.87</v>
      </c>
      <c r="BQ31" s="15" t="s">
        <v>923</v>
      </c>
      <c r="BR31" s="15" t="str">
        <f t="shared" ref="BR31:BR34" si="58">"7.87"</f>
        <v>7.87</v>
      </c>
      <c r="BS31" s="15" t="s">
        <v>923</v>
      </c>
      <c r="BT31" s="15" t="str">
        <f t="shared" ref="BT31:BT34" si="59">"28.35"</f>
        <v>28.35</v>
      </c>
      <c r="BU31" s="15" t="s">
        <v>924</v>
      </c>
      <c r="BV31" s="15" t="str">
        <f>"12.79"</f>
        <v>12.79</v>
      </c>
      <c r="BW31" s="15" t="s">
        <v>925</v>
      </c>
      <c r="BX31" s="15" t="s">
        <v>926</v>
      </c>
      <c r="BY31" s="15" t="str">
        <f t="shared" si="51"/>
        <v>84.65</v>
      </c>
      <c r="BZ31" s="15" t="s">
        <v>852</v>
      </c>
      <c r="CA31" s="15" t="str">
        <f t="shared" ref="CA31:CA34" si="60">"38.98"</f>
        <v>38.98</v>
      </c>
      <c r="CB31" s="15" t="s">
        <v>927</v>
      </c>
      <c r="CC31" s="15" t="str">
        <f t="shared" ref="CC31:CC34" si="61">"12.6"</f>
        <v>12.6</v>
      </c>
      <c r="CD31" s="15" t="s">
        <v>819</v>
      </c>
      <c r="CE31" s="15" t="str">
        <f>"85.98"</f>
        <v>85.98</v>
      </c>
      <c r="CF31" s="15" t="s">
        <v>928</v>
      </c>
      <c r="CG31" s="15" t="s">
        <v>929</v>
      </c>
      <c r="CH31" s="15" t="str">
        <f t="shared" ref="CH31:CH34" si="62">"83.07"</f>
        <v>83.07</v>
      </c>
      <c r="CI31" s="15" t="s">
        <v>930</v>
      </c>
      <c r="CJ31" s="15" t="str">
        <f t="shared" ref="CJ31:CJ34" si="63">"10.63"</f>
        <v>10.63</v>
      </c>
      <c r="CK31" s="15" t="s">
        <v>931</v>
      </c>
      <c r="CL31" s="15" t="str">
        <f t="shared" ref="CL31:CL34" si="64">"11.02"</f>
        <v>11.02</v>
      </c>
      <c r="CM31" s="15" t="s">
        <v>932</v>
      </c>
      <c r="CN31" s="15" t="str">
        <f t="shared" ref="CN31:CN34" si="65">"41.89"</f>
        <v>41.89</v>
      </c>
      <c r="CO31" s="15" t="s">
        <v>933</v>
      </c>
      <c r="CP31" s="15" t="str">
        <f>"41.04"</f>
        <v>41.04</v>
      </c>
      <c r="CQ31" s="15" t="str">
        <f>"1.162"</f>
        <v>1.162</v>
      </c>
      <c r="CR31" s="15" t="s">
        <v>465</v>
      </c>
      <c r="DC31" s="15" t="str">
        <f>IFERROR(__xludf.DUMMYFUNCTION("""COMPUTED_VALUE"""),"")</f>
        <v/>
      </c>
      <c r="DE31" s="15" t="str">
        <f>IFERROR(__xludf.DUMMYFUNCTION("""COMPUTED_VALUE"""),"")</f>
        <v/>
      </c>
      <c r="DG31" s="15" t="str">
        <f>IFERROR(__xludf.DUMMYFUNCTION("""COMPUTED_VALUE"""),"")</f>
        <v/>
      </c>
      <c r="DK31" s="15" t="s">
        <v>934</v>
      </c>
      <c r="DL31" s="15" t="str">
        <f>IFERROR(__xludf.DUMMYFUNCTION("""COMPUTED_VALUE"""),"Spot clean with water-based or solvent-based cleaner. Use mild detergent or upholstery shampoo.")</f>
        <v>Spot clean with water-based or solvent-based cleaner. Use mild detergent or upholstery shampoo.</v>
      </c>
      <c r="DM31" s="15" t="s">
        <v>935</v>
      </c>
      <c r="DN31" s="15" t="s">
        <v>419</v>
      </c>
      <c r="DO31" s="15">
        <v>0.0</v>
      </c>
      <c r="DP31" s="15" t="s">
        <v>419</v>
      </c>
      <c r="DR31" s="15">
        <v>0.0</v>
      </c>
      <c r="DT31" s="15" t="s">
        <v>721</v>
      </c>
      <c r="DU31" s="15" t="s">
        <v>936</v>
      </c>
      <c r="DW31" s="15">
        <v>0.0</v>
      </c>
      <c r="DX31" s="15">
        <v>0.0</v>
      </c>
      <c r="DY31" s="15">
        <v>0.0</v>
      </c>
      <c r="DZ31" s="15">
        <v>25000.0</v>
      </c>
      <c r="EG31" s="15" t="s">
        <v>444</v>
      </c>
      <c r="EH31" s="15" t="s">
        <v>857</v>
      </c>
      <c r="EJ31" s="15" t="s">
        <v>858</v>
      </c>
      <c r="EK31" s="15" t="s">
        <v>859</v>
      </c>
      <c r="EM31" s="15" t="str">
        <f>IFERROR(__xludf.DUMMYFUNCTION("""COMPUTED_VALUE"""),"")</f>
        <v/>
      </c>
      <c r="FF31" s="15" t="s">
        <v>937</v>
      </c>
      <c r="FM31" s="15">
        <v>0.0</v>
      </c>
      <c r="FS31" s="15" t="s">
        <v>938</v>
      </c>
      <c r="IP31" s="15" t="s">
        <v>939</v>
      </c>
      <c r="IQ31" s="15" t="s">
        <v>940</v>
      </c>
      <c r="IR31" s="15" t="s">
        <v>941</v>
      </c>
      <c r="IS31" s="15" t="s">
        <v>942</v>
      </c>
      <c r="IT31" s="15" t="s">
        <v>943</v>
      </c>
      <c r="IU31" s="15" t="s">
        <v>944</v>
      </c>
      <c r="IV31" s="15" t="s">
        <v>945</v>
      </c>
      <c r="IW31" s="15" t="s">
        <v>784</v>
      </c>
      <c r="IX31" s="15" t="s">
        <v>946</v>
      </c>
      <c r="IY31" s="15" t="s">
        <v>939</v>
      </c>
      <c r="IZ31" s="15" t="s">
        <v>945</v>
      </c>
      <c r="JA31" s="15" t="s">
        <v>940</v>
      </c>
      <c r="JB31" s="15" t="s">
        <v>426</v>
      </c>
      <c r="JC31" s="15" t="s">
        <v>947</v>
      </c>
      <c r="JD31" s="15" t="s">
        <v>872</v>
      </c>
      <c r="JE31" s="15" t="s">
        <v>873</v>
      </c>
      <c r="JF31" s="15" t="s">
        <v>828</v>
      </c>
      <c r="JL31" s="15" t="s">
        <v>635</v>
      </c>
      <c r="JM31" s="15" t="s">
        <v>531</v>
      </c>
      <c r="JO31" s="15" t="s">
        <v>426</v>
      </c>
      <c r="JP31" s="15" t="s">
        <v>875</v>
      </c>
    </row>
    <row r="32" ht="15.75" customHeight="1">
      <c r="A32" s="14" t="s">
        <v>391</v>
      </c>
      <c r="B32" s="15" t="s">
        <v>902</v>
      </c>
      <c r="C32" s="16"/>
      <c r="D32" s="15" t="s">
        <v>432</v>
      </c>
      <c r="G32" s="14" t="s">
        <v>393</v>
      </c>
      <c r="H32" s="14" t="s">
        <v>394</v>
      </c>
      <c r="I32" s="14" t="b">
        <v>1</v>
      </c>
      <c r="J32" s="14" t="s">
        <v>395</v>
      </c>
      <c r="L32" s="14" t="b">
        <v>0</v>
      </c>
      <c r="M32" s="15" t="s">
        <v>948</v>
      </c>
      <c r="N32" s="14" t="s">
        <v>393</v>
      </c>
      <c r="O32" s="14" t="s">
        <v>393</v>
      </c>
      <c r="P32" s="15" t="s">
        <v>397</v>
      </c>
      <c r="Q32" s="15" t="s">
        <v>904</v>
      </c>
      <c r="R32" s="15" t="s">
        <v>265</v>
      </c>
      <c r="S32" s="15" t="s">
        <v>877</v>
      </c>
      <c r="T32" s="14" t="b">
        <v>0</v>
      </c>
      <c r="U32" s="15" t="s">
        <v>949</v>
      </c>
      <c r="V32" s="15" t="s">
        <v>950</v>
      </c>
      <c r="W32" s="15" t="s">
        <v>401</v>
      </c>
      <c r="X32" s="15" t="s">
        <v>695</v>
      </c>
      <c r="Y32" s="15">
        <v>2730.0</v>
      </c>
      <c r="AA32" s="15" t="str">
        <f>"1050"</f>
        <v>1050</v>
      </c>
      <c r="AB32" s="14" t="b">
        <v>1</v>
      </c>
      <c r="AC32" s="14" t="b">
        <v>1</v>
      </c>
      <c r="AD32" s="15" t="str">
        <f>"801542125455"</f>
        <v>801542125455</v>
      </c>
      <c r="AE32" s="15" t="s">
        <v>951</v>
      </c>
      <c r="AF32" s="14" t="s">
        <v>404</v>
      </c>
      <c r="AG32" s="14" t="s">
        <v>405</v>
      </c>
      <c r="AH32" s="14" t="s">
        <v>406</v>
      </c>
      <c r="AI32" s="15">
        <v>0.0</v>
      </c>
      <c r="AL32" s="15" t="s">
        <v>908</v>
      </c>
      <c r="AM32" s="15" t="s">
        <v>694</v>
      </c>
      <c r="AN32" s="15" t="s">
        <v>952</v>
      </c>
      <c r="AO32" s="15" t="s">
        <v>911</v>
      </c>
      <c r="AP32" s="15" t="s">
        <v>912</v>
      </c>
      <c r="AQ32" s="15" t="s">
        <v>913</v>
      </c>
      <c r="AR32" s="15" t="s">
        <v>914</v>
      </c>
      <c r="AS32" s="15" t="s">
        <v>915</v>
      </c>
      <c r="AT32" s="15" t="s">
        <v>904</v>
      </c>
      <c r="AW32" s="15" t="s">
        <v>839</v>
      </c>
      <c r="AX32" s="15" t="s">
        <v>877</v>
      </c>
      <c r="AY32" s="15" t="s">
        <v>413</v>
      </c>
      <c r="AZ32" s="15" t="b">
        <v>0</v>
      </c>
      <c r="BA32" s="15" t="s">
        <v>413</v>
      </c>
      <c r="BB32" s="15" t="b">
        <v>0</v>
      </c>
      <c r="BC32" s="15" t="s">
        <v>953</v>
      </c>
      <c r="BD32" s="15" t="s">
        <v>709</v>
      </c>
      <c r="BE32" s="15" t="str">
        <f t="shared" si="54"/>
        <v>4</v>
      </c>
      <c r="BF32" s="15" t="s">
        <v>917</v>
      </c>
      <c r="BG32" s="15" t="str">
        <f t="shared" si="55"/>
        <v>81.73</v>
      </c>
      <c r="BH32" s="15" t="s">
        <v>918</v>
      </c>
      <c r="BI32" s="15" t="str">
        <f t="shared" si="56"/>
        <v>5.39</v>
      </c>
      <c r="BJ32" s="15" t="s">
        <v>919</v>
      </c>
      <c r="BK32" s="15" t="str">
        <f>"32.28"</f>
        <v>32.28</v>
      </c>
      <c r="BL32" s="15" t="s">
        <v>954</v>
      </c>
      <c r="BM32" s="15" t="str">
        <f>"43.87"</f>
        <v>43.87</v>
      </c>
      <c r="BN32" s="15" t="s">
        <v>955</v>
      </c>
      <c r="BO32" s="15" t="s">
        <v>922</v>
      </c>
      <c r="BP32" s="15" t="str">
        <f t="shared" si="57"/>
        <v>7.87</v>
      </c>
      <c r="BQ32" s="15" t="s">
        <v>923</v>
      </c>
      <c r="BR32" s="15" t="str">
        <f t="shared" si="58"/>
        <v>7.87</v>
      </c>
      <c r="BS32" s="15" t="s">
        <v>923</v>
      </c>
      <c r="BT32" s="15" t="str">
        <f t="shared" si="59"/>
        <v>28.35</v>
      </c>
      <c r="BU32" s="15" t="s">
        <v>924</v>
      </c>
      <c r="BV32" s="15" t="str">
        <f>"10.05"</f>
        <v>10.05</v>
      </c>
      <c r="BW32" s="15" t="s">
        <v>956</v>
      </c>
      <c r="BX32" s="15" t="s">
        <v>926</v>
      </c>
      <c r="BY32" s="15" t="str">
        <f>"70.08"</f>
        <v>70.08</v>
      </c>
      <c r="BZ32" s="15" t="s">
        <v>957</v>
      </c>
      <c r="CA32" s="15" t="str">
        <f t="shared" si="60"/>
        <v>38.98</v>
      </c>
      <c r="CB32" s="15" t="s">
        <v>927</v>
      </c>
      <c r="CC32" s="15" t="str">
        <f t="shared" si="61"/>
        <v>12.6</v>
      </c>
      <c r="CD32" s="15" t="s">
        <v>819</v>
      </c>
      <c r="CE32" s="15" t="str">
        <f>"66.14"</f>
        <v>66.14</v>
      </c>
      <c r="CF32" s="15" t="s">
        <v>958</v>
      </c>
      <c r="CG32" s="15" t="s">
        <v>929</v>
      </c>
      <c r="CH32" s="15" t="str">
        <f t="shared" si="62"/>
        <v>83.07</v>
      </c>
      <c r="CI32" s="15" t="s">
        <v>930</v>
      </c>
      <c r="CJ32" s="15" t="str">
        <f t="shared" si="63"/>
        <v>10.63</v>
      </c>
      <c r="CK32" s="15" t="s">
        <v>931</v>
      </c>
      <c r="CL32" s="15" t="str">
        <f t="shared" si="64"/>
        <v>11.02</v>
      </c>
      <c r="CM32" s="15" t="s">
        <v>932</v>
      </c>
      <c r="CN32" s="15" t="str">
        <f t="shared" si="65"/>
        <v>41.89</v>
      </c>
      <c r="CO32" s="15" t="s">
        <v>933</v>
      </c>
      <c r="CP32" s="15" t="str">
        <f>"34.82"</f>
        <v>34.82</v>
      </c>
      <c r="CQ32" s="15" t="str">
        <f>"0.986"</f>
        <v>0.986</v>
      </c>
      <c r="CR32" s="15" t="s">
        <v>417</v>
      </c>
      <c r="DC32" s="15" t="str">
        <f>IFERROR(__xludf.DUMMYFUNCTION("""COMPUTED_VALUE"""),"")</f>
        <v/>
      </c>
      <c r="DE32" s="15" t="str">
        <f>IFERROR(__xludf.DUMMYFUNCTION("""COMPUTED_VALUE"""),"")</f>
        <v/>
      </c>
      <c r="DG32" s="15" t="str">
        <f>IFERROR(__xludf.DUMMYFUNCTION("""COMPUTED_VALUE"""),"")</f>
        <v/>
      </c>
      <c r="DK32" s="15" t="s">
        <v>934</v>
      </c>
      <c r="DL32" s="15" t="str">
        <f>IFERROR(__xludf.DUMMYFUNCTION("""COMPUTED_VALUE"""),"Spot clean with water-based or solvent-based cleaner. Use mild detergent or upholstery shampoo.")</f>
        <v>Spot clean with water-based or solvent-based cleaner. Use mild detergent or upholstery shampoo.</v>
      </c>
      <c r="DM32" s="15" t="s">
        <v>935</v>
      </c>
      <c r="DN32" s="15" t="s">
        <v>419</v>
      </c>
      <c r="DO32" s="15">
        <v>0.0</v>
      </c>
      <c r="DP32" s="15" t="s">
        <v>419</v>
      </c>
      <c r="DR32" s="15">
        <v>0.0</v>
      </c>
      <c r="DT32" s="15" t="s">
        <v>721</v>
      </c>
      <c r="DU32" s="15" t="s">
        <v>936</v>
      </c>
      <c r="DW32" s="15">
        <v>0.0</v>
      </c>
      <c r="DX32" s="15">
        <v>0.0</v>
      </c>
      <c r="DY32" s="15">
        <v>0.0</v>
      </c>
      <c r="DZ32" s="15">
        <v>25000.0</v>
      </c>
      <c r="EG32" s="15" t="s">
        <v>444</v>
      </c>
      <c r="EH32" s="15" t="s">
        <v>857</v>
      </c>
      <c r="EJ32" s="15" t="s">
        <v>858</v>
      </c>
      <c r="EK32" s="15" t="s">
        <v>859</v>
      </c>
      <c r="EM32" s="15" t="str">
        <f>IFERROR(__xludf.DUMMYFUNCTION("""COMPUTED_VALUE"""),"")</f>
        <v/>
      </c>
      <c r="FF32" s="15" t="s">
        <v>937</v>
      </c>
      <c r="FM32" s="15">
        <v>0.0</v>
      </c>
      <c r="FS32" s="15" t="s">
        <v>938</v>
      </c>
      <c r="IP32" s="15" t="s">
        <v>939</v>
      </c>
      <c r="IQ32" s="15" t="s">
        <v>940</v>
      </c>
      <c r="IR32" s="15" t="s">
        <v>959</v>
      </c>
      <c r="IS32" s="15" t="s">
        <v>942</v>
      </c>
      <c r="IT32" s="15" t="s">
        <v>943</v>
      </c>
      <c r="IU32" s="15" t="s">
        <v>960</v>
      </c>
      <c r="IV32" s="15" t="s">
        <v>945</v>
      </c>
      <c r="IW32" s="15" t="s">
        <v>784</v>
      </c>
      <c r="IX32" s="15" t="s">
        <v>961</v>
      </c>
      <c r="IY32" s="15" t="s">
        <v>939</v>
      </c>
      <c r="IZ32" s="15" t="s">
        <v>945</v>
      </c>
      <c r="JA32" s="15" t="s">
        <v>940</v>
      </c>
      <c r="JB32" s="15" t="s">
        <v>426</v>
      </c>
      <c r="JC32" s="15" t="s">
        <v>947</v>
      </c>
      <c r="JD32" s="15" t="s">
        <v>872</v>
      </c>
      <c r="JE32" s="15" t="s">
        <v>873</v>
      </c>
      <c r="JF32" s="15" t="s">
        <v>877</v>
      </c>
      <c r="JL32" s="15" t="s">
        <v>635</v>
      </c>
      <c r="JM32" s="15" t="s">
        <v>531</v>
      </c>
      <c r="JO32" s="15" t="s">
        <v>426</v>
      </c>
      <c r="JP32" s="15" t="s">
        <v>875</v>
      </c>
    </row>
    <row r="33" ht="15.75" customHeight="1">
      <c r="A33" s="14" t="s">
        <v>391</v>
      </c>
      <c r="B33" s="15" t="s">
        <v>902</v>
      </c>
      <c r="C33" s="16"/>
      <c r="D33" s="15" t="s">
        <v>432</v>
      </c>
      <c r="G33" s="14" t="s">
        <v>393</v>
      </c>
      <c r="H33" s="14" t="s">
        <v>394</v>
      </c>
      <c r="I33" s="14" t="b">
        <v>1</v>
      </c>
      <c r="J33" s="14" t="s">
        <v>395</v>
      </c>
      <c r="L33" s="14" t="b">
        <v>0</v>
      </c>
      <c r="M33" s="15" t="s">
        <v>962</v>
      </c>
      <c r="N33" s="14" t="s">
        <v>393</v>
      </c>
      <c r="O33" s="14" t="s">
        <v>393</v>
      </c>
      <c r="P33" s="15" t="s">
        <v>397</v>
      </c>
      <c r="Q33" s="15" t="s">
        <v>963</v>
      </c>
      <c r="R33" s="15" t="s">
        <v>265</v>
      </c>
      <c r="S33" s="15" t="s">
        <v>828</v>
      </c>
      <c r="T33" s="14" t="b">
        <v>0</v>
      </c>
      <c r="U33" s="15" t="s">
        <v>964</v>
      </c>
      <c r="V33" s="15" t="s">
        <v>906</v>
      </c>
      <c r="W33" s="15" t="s">
        <v>401</v>
      </c>
      <c r="X33" s="15" t="s">
        <v>695</v>
      </c>
      <c r="Y33" s="15">
        <v>2951.0</v>
      </c>
      <c r="AA33" s="15" t="str">
        <f>"1135"</f>
        <v>1135</v>
      </c>
      <c r="AB33" s="14" t="b">
        <v>1</v>
      </c>
      <c r="AC33" s="14" t="b">
        <v>1</v>
      </c>
      <c r="AD33" s="15" t="str">
        <f>"801542125486"</f>
        <v>801542125486</v>
      </c>
      <c r="AE33" s="15" t="s">
        <v>965</v>
      </c>
      <c r="AF33" s="14" t="s">
        <v>404</v>
      </c>
      <c r="AG33" s="14" t="s">
        <v>405</v>
      </c>
      <c r="AH33" s="14" t="s">
        <v>406</v>
      </c>
      <c r="AI33" s="15">
        <v>0.0</v>
      </c>
      <c r="AL33" s="15" t="s">
        <v>908</v>
      </c>
      <c r="AM33" s="15" t="s">
        <v>909</v>
      </c>
      <c r="AN33" s="15" t="s">
        <v>910</v>
      </c>
      <c r="AO33" s="15" t="s">
        <v>911</v>
      </c>
      <c r="AP33" s="15" t="s">
        <v>912</v>
      </c>
      <c r="AQ33" s="15" t="s">
        <v>913</v>
      </c>
      <c r="AR33" s="15" t="s">
        <v>914</v>
      </c>
      <c r="AS33" s="15" t="s">
        <v>915</v>
      </c>
      <c r="AT33" s="15" t="s">
        <v>963</v>
      </c>
      <c r="AW33" s="15" t="s">
        <v>839</v>
      </c>
      <c r="AX33" s="15" t="s">
        <v>828</v>
      </c>
      <c r="AY33" s="15" t="s">
        <v>413</v>
      </c>
      <c r="AZ33" s="15" t="b">
        <v>0</v>
      </c>
      <c r="BA33" s="15" t="s">
        <v>413</v>
      </c>
      <c r="BB33" s="15" t="b">
        <v>0</v>
      </c>
      <c r="BC33" s="15" t="s">
        <v>916</v>
      </c>
      <c r="BD33" s="15" t="s">
        <v>709</v>
      </c>
      <c r="BE33" s="15" t="str">
        <f t="shared" si="54"/>
        <v>4</v>
      </c>
      <c r="BF33" s="15" t="s">
        <v>917</v>
      </c>
      <c r="BG33" s="15" t="str">
        <f t="shared" si="55"/>
        <v>81.73</v>
      </c>
      <c r="BH33" s="15" t="s">
        <v>918</v>
      </c>
      <c r="BI33" s="15" t="str">
        <f t="shared" si="56"/>
        <v>5.39</v>
      </c>
      <c r="BJ33" s="15" t="s">
        <v>919</v>
      </c>
      <c r="BK33" s="15" t="str">
        <f>"40.35"</f>
        <v>40.35</v>
      </c>
      <c r="BL33" s="15" t="s">
        <v>920</v>
      </c>
      <c r="BM33" s="15" t="str">
        <f>"52.91"</f>
        <v>52.91</v>
      </c>
      <c r="BN33" s="15" t="s">
        <v>921</v>
      </c>
      <c r="BO33" s="15" t="s">
        <v>922</v>
      </c>
      <c r="BP33" s="15" t="str">
        <f t="shared" si="57"/>
        <v>7.87</v>
      </c>
      <c r="BQ33" s="15" t="s">
        <v>923</v>
      </c>
      <c r="BR33" s="15" t="str">
        <f t="shared" si="58"/>
        <v>7.87</v>
      </c>
      <c r="BS33" s="15" t="s">
        <v>923</v>
      </c>
      <c r="BT33" s="15" t="str">
        <f t="shared" si="59"/>
        <v>28.35</v>
      </c>
      <c r="BU33" s="15" t="s">
        <v>924</v>
      </c>
      <c r="BV33" s="15" t="str">
        <f>"12.79"</f>
        <v>12.79</v>
      </c>
      <c r="BW33" s="15" t="s">
        <v>925</v>
      </c>
      <c r="BX33" s="15" t="s">
        <v>926</v>
      </c>
      <c r="BY33" s="15" t="str">
        <f>"84.65"</f>
        <v>84.65</v>
      </c>
      <c r="BZ33" s="15" t="s">
        <v>852</v>
      </c>
      <c r="CA33" s="15" t="str">
        <f t="shared" si="60"/>
        <v>38.98</v>
      </c>
      <c r="CB33" s="15" t="s">
        <v>927</v>
      </c>
      <c r="CC33" s="15" t="str">
        <f t="shared" si="61"/>
        <v>12.6</v>
      </c>
      <c r="CD33" s="15" t="s">
        <v>819</v>
      </c>
      <c r="CE33" s="15" t="str">
        <f>"85.98"</f>
        <v>85.98</v>
      </c>
      <c r="CF33" s="15" t="s">
        <v>928</v>
      </c>
      <c r="CG33" s="15" t="s">
        <v>929</v>
      </c>
      <c r="CH33" s="15" t="str">
        <f t="shared" si="62"/>
        <v>83.07</v>
      </c>
      <c r="CI33" s="15" t="s">
        <v>930</v>
      </c>
      <c r="CJ33" s="15" t="str">
        <f t="shared" si="63"/>
        <v>10.63</v>
      </c>
      <c r="CK33" s="15" t="s">
        <v>931</v>
      </c>
      <c r="CL33" s="15" t="str">
        <f t="shared" si="64"/>
        <v>11.02</v>
      </c>
      <c r="CM33" s="15" t="s">
        <v>932</v>
      </c>
      <c r="CN33" s="15" t="str">
        <f t="shared" si="65"/>
        <v>41.89</v>
      </c>
      <c r="CO33" s="15" t="s">
        <v>933</v>
      </c>
      <c r="CP33" s="15" t="str">
        <f>"41.04"</f>
        <v>41.04</v>
      </c>
      <c r="CQ33" s="15" t="str">
        <f>"1.162"</f>
        <v>1.162</v>
      </c>
      <c r="CR33" s="15" t="s">
        <v>497</v>
      </c>
      <c r="DC33" s="15" t="str">
        <f>IFERROR(__xludf.DUMMYFUNCTION("""COMPUTED_VALUE"""),"")</f>
        <v/>
      </c>
      <c r="DE33" s="15" t="str">
        <f>IFERROR(__xludf.DUMMYFUNCTION("""COMPUTED_VALUE"""),"")</f>
        <v/>
      </c>
      <c r="DG33" s="15" t="str">
        <f>IFERROR(__xludf.DUMMYFUNCTION("""COMPUTED_VALUE"""),"")</f>
        <v/>
      </c>
      <c r="DK33" s="15" t="s">
        <v>934</v>
      </c>
      <c r="DL33" s="15" t="str">
        <f>IFERROR(__xludf.DUMMYFUNCTION("""COMPUTED_VALUE"""),"Spot clean with water-based or solvent-based cleaner. Use mild detergent or upholstery shampoo.")</f>
        <v>Spot clean with water-based or solvent-based cleaner. Use mild detergent or upholstery shampoo.</v>
      </c>
      <c r="DM33" s="15" t="s">
        <v>935</v>
      </c>
      <c r="DN33" s="15" t="s">
        <v>419</v>
      </c>
      <c r="DO33" s="15">
        <v>0.0</v>
      </c>
      <c r="DP33" s="15" t="s">
        <v>419</v>
      </c>
      <c r="DR33" s="15">
        <v>0.0</v>
      </c>
      <c r="DT33" s="15" t="s">
        <v>721</v>
      </c>
      <c r="DU33" s="15" t="s">
        <v>936</v>
      </c>
      <c r="DW33" s="15">
        <v>0.0</v>
      </c>
      <c r="DX33" s="15">
        <v>0.0</v>
      </c>
      <c r="DY33" s="15">
        <v>0.0</v>
      </c>
      <c r="DZ33" s="15">
        <v>25000.0</v>
      </c>
      <c r="EG33" s="15" t="s">
        <v>444</v>
      </c>
      <c r="EH33" s="15" t="s">
        <v>857</v>
      </c>
      <c r="EJ33" s="15" t="s">
        <v>858</v>
      </c>
      <c r="EK33" s="15" t="s">
        <v>859</v>
      </c>
      <c r="EM33" s="15" t="str">
        <f>IFERROR(__xludf.DUMMYFUNCTION("""COMPUTED_VALUE"""),"")</f>
        <v/>
      </c>
      <c r="FF33" s="15" t="s">
        <v>937</v>
      </c>
      <c r="FM33" s="15">
        <v>0.0</v>
      </c>
      <c r="FS33" s="15" t="s">
        <v>938</v>
      </c>
      <c r="IP33" s="15" t="s">
        <v>939</v>
      </c>
      <c r="IQ33" s="15" t="s">
        <v>940</v>
      </c>
      <c r="IR33" s="15" t="s">
        <v>941</v>
      </c>
      <c r="IS33" s="15" t="s">
        <v>942</v>
      </c>
      <c r="IT33" s="15" t="s">
        <v>943</v>
      </c>
      <c r="IU33" s="15" t="s">
        <v>944</v>
      </c>
      <c r="IV33" s="15" t="s">
        <v>945</v>
      </c>
      <c r="IW33" s="15" t="s">
        <v>784</v>
      </c>
      <c r="IX33" s="15" t="s">
        <v>946</v>
      </c>
      <c r="IY33" s="15" t="s">
        <v>939</v>
      </c>
      <c r="IZ33" s="15" t="s">
        <v>945</v>
      </c>
      <c r="JA33" s="15" t="s">
        <v>940</v>
      </c>
      <c r="JB33" s="15" t="s">
        <v>426</v>
      </c>
      <c r="JC33" s="15" t="s">
        <v>947</v>
      </c>
      <c r="JD33" s="15" t="s">
        <v>872</v>
      </c>
      <c r="JE33" s="15" t="s">
        <v>873</v>
      </c>
      <c r="JF33" s="15" t="s">
        <v>828</v>
      </c>
      <c r="JL33" s="15" t="s">
        <v>635</v>
      </c>
      <c r="JM33" s="15" t="s">
        <v>531</v>
      </c>
      <c r="JO33" s="15" t="s">
        <v>426</v>
      </c>
      <c r="JP33" s="15" t="s">
        <v>875</v>
      </c>
    </row>
    <row r="34" ht="15.75" customHeight="1">
      <c r="A34" s="14" t="s">
        <v>391</v>
      </c>
      <c r="B34" s="15" t="s">
        <v>902</v>
      </c>
      <c r="C34" s="16"/>
      <c r="D34" s="15" t="s">
        <v>432</v>
      </c>
      <c r="G34" s="14" t="s">
        <v>393</v>
      </c>
      <c r="H34" s="14" t="s">
        <v>394</v>
      </c>
      <c r="I34" s="14" t="b">
        <v>1</v>
      </c>
      <c r="J34" s="14" t="s">
        <v>395</v>
      </c>
      <c r="L34" s="14" t="b">
        <v>0</v>
      </c>
      <c r="M34" s="15" t="s">
        <v>966</v>
      </c>
      <c r="N34" s="14" t="s">
        <v>393</v>
      </c>
      <c r="O34" s="14" t="s">
        <v>393</v>
      </c>
      <c r="P34" s="15" t="s">
        <v>397</v>
      </c>
      <c r="Q34" s="15" t="s">
        <v>963</v>
      </c>
      <c r="R34" s="15" t="s">
        <v>265</v>
      </c>
      <c r="S34" s="15" t="s">
        <v>877</v>
      </c>
      <c r="T34" s="14" t="b">
        <v>0</v>
      </c>
      <c r="U34" s="15" t="s">
        <v>967</v>
      </c>
      <c r="V34" s="15" t="s">
        <v>950</v>
      </c>
      <c r="W34" s="15" t="s">
        <v>401</v>
      </c>
      <c r="X34" s="15" t="s">
        <v>695</v>
      </c>
      <c r="Y34" s="15">
        <v>2626.0</v>
      </c>
      <c r="AA34" s="15" t="str">
        <f>"1010"</f>
        <v>1010</v>
      </c>
      <c r="AB34" s="14" t="b">
        <v>1</v>
      </c>
      <c r="AC34" s="14" t="b">
        <v>1</v>
      </c>
      <c r="AD34" s="15" t="str">
        <f>"801542125493"</f>
        <v>801542125493</v>
      </c>
      <c r="AE34" s="15" t="s">
        <v>968</v>
      </c>
      <c r="AF34" s="14" t="s">
        <v>404</v>
      </c>
      <c r="AG34" s="14" t="s">
        <v>405</v>
      </c>
      <c r="AH34" s="14" t="s">
        <v>406</v>
      </c>
      <c r="AI34" s="15">
        <v>0.0</v>
      </c>
      <c r="AL34" s="15" t="s">
        <v>908</v>
      </c>
      <c r="AM34" s="15" t="s">
        <v>694</v>
      </c>
      <c r="AN34" s="15" t="s">
        <v>952</v>
      </c>
      <c r="AO34" s="15" t="s">
        <v>911</v>
      </c>
      <c r="AP34" s="15" t="s">
        <v>912</v>
      </c>
      <c r="AQ34" s="15" t="s">
        <v>913</v>
      </c>
      <c r="AR34" s="15" t="s">
        <v>914</v>
      </c>
      <c r="AS34" s="15" t="s">
        <v>915</v>
      </c>
      <c r="AT34" s="15" t="s">
        <v>963</v>
      </c>
      <c r="AW34" s="15" t="s">
        <v>839</v>
      </c>
      <c r="AX34" s="15" t="s">
        <v>877</v>
      </c>
      <c r="AY34" s="15" t="s">
        <v>413</v>
      </c>
      <c r="AZ34" s="15" t="b">
        <v>0</v>
      </c>
      <c r="BA34" s="15" t="s">
        <v>413</v>
      </c>
      <c r="BB34" s="15" t="b">
        <v>0</v>
      </c>
      <c r="BC34" s="15" t="s">
        <v>916</v>
      </c>
      <c r="BD34" s="15" t="s">
        <v>709</v>
      </c>
      <c r="BE34" s="15" t="str">
        <f t="shared" si="54"/>
        <v>4</v>
      </c>
      <c r="BF34" s="15" t="s">
        <v>917</v>
      </c>
      <c r="BG34" s="15" t="str">
        <f t="shared" si="55"/>
        <v>81.73</v>
      </c>
      <c r="BH34" s="15" t="s">
        <v>918</v>
      </c>
      <c r="BI34" s="15" t="str">
        <f t="shared" si="56"/>
        <v>5.39</v>
      </c>
      <c r="BJ34" s="15" t="s">
        <v>919</v>
      </c>
      <c r="BK34" s="15" t="str">
        <f>"32.28"</f>
        <v>32.28</v>
      </c>
      <c r="BL34" s="15" t="s">
        <v>954</v>
      </c>
      <c r="BM34" s="15" t="str">
        <f>"43.87"</f>
        <v>43.87</v>
      </c>
      <c r="BN34" s="15" t="s">
        <v>955</v>
      </c>
      <c r="BO34" s="15" t="s">
        <v>922</v>
      </c>
      <c r="BP34" s="15" t="str">
        <f t="shared" si="57"/>
        <v>7.87</v>
      </c>
      <c r="BQ34" s="15" t="s">
        <v>923</v>
      </c>
      <c r="BR34" s="15" t="str">
        <f t="shared" si="58"/>
        <v>7.87</v>
      </c>
      <c r="BS34" s="15" t="s">
        <v>923</v>
      </c>
      <c r="BT34" s="15" t="str">
        <f t="shared" si="59"/>
        <v>28.35</v>
      </c>
      <c r="BU34" s="15" t="s">
        <v>924</v>
      </c>
      <c r="BV34" s="15" t="str">
        <f>"10.05"</f>
        <v>10.05</v>
      </c>
      <c r="BW34" s="15" t="s">
        <v>956</v>
      </c>
      <c r="BX34" s="15" t="s">
        <v>926</v>
      </c>
      <c r="BY34" s="15" t="str">
        <f>"70.08"</f>
        <v>70.08</v>
      </c>
      <c r="BZ34" s="15" t="s">
        <v>957</v>
      </c>
      <c r="CA34" s="15" t="str">
        <f t="shared" si="60"/>
        <v>38.98</v>
      </c>
      <c r="CB34" s="15" t="s">
        <v>927</v>
      </c>
      <c r="CC34" s="15" t="str">
        <f t="shared" si="61"/>
        <v>12.6</v>
      </c>
      <c r="CD34" s="15" t="s">
        <v>819</v>
      </c>
      <c r="CE34" s="15" t="str">
        <f>"66.14"</f>
        <v>66.14</v>
      </c>
      <c r="CF34" s="15" t="s">
        <v>958</v>
      </c>
      <c r="CG34" s="15" t="s">
        <v>929</v>
      </c>
      <c r="CH34" s="15" t="str">
        <f t="shared" si="62"/>
        <v>83.07</v>
      </c>
      <c r="CI34" s="15" t="s">
        <v>930</v>
      </c>
      <c r="CJ34" s="15" t="str">
        <f t="shared" si="63"/>
        <v>10.63</v>
      </c>
      <c r="CK34" s="15" t="s">
        <v>931</v>
      </c>
      <c r="CL34" s="15" t="str">
        <f t="shared" si="64"/>
        <v>11.02</v>
      </c>
      <c r="CM34" s="15" t="s">
        <v>932</v>
      </c>
      <c r="CN34" s="15" t="str">
        <f t="shared" si="65"/>
        <v>41.89</v>
      </c>
      <c r="CO34" s="15" t="s">
        <v>933</v>
      </c>
      <c r="CP34" s="15" t="str">
        <f>"34.82"</f>
        <v>34.82</v>
      </c>
      <c r="CQ34" s="15" t="str">
        <f>"0.986"</f>
        <v>0.986</v>
      </c>
      <c r="CR34" s="15" t="s">
        <v>465</v>
      </c>
      <c r="DC34" s="15" t="str">
        <f>IFERROR(__xludf.DUMMYFUNCTION("""COMPUTED_VALUE"""),"")</f>
        <v/>
      </c>
      <c r="DE34" s="15" t="str">
        <f>IFERROR(__xludf.DUMMYFUNCTION("""COMPUTED_VALUE"""),"")</f>
        <v/>
      </c>
      <c r="DG34" s="15" t="str">
        <f>IFERROR(__xludf.DUMMYFUNCTION("""COMPUTED_VALUE"""),"")</f>
        <v/>
      </c>
      <c r="DK34" s="15" t="s">
        <v>934</v>
      </c>
      <c r="DL34" s="15" t="str">
        <f>IFERROR(__xludf.DUMMYFUNCTION("""COMPUTED_VALUE"""),"Spot clean with water-based or solvent-based cleaner. Use mild detergent or upholstery shampoo.")</f>
        <v>Spot clean with water-based or solvent-based cleaner. Use mild detergent or upholstery shampoo.</v>
      </c>
      <c r="DM34" s="15" t="s">
        <v>935</v>
      </c>
      <c r="DN34" s="15" t="s">
        <v>419</v>
      </c>
      <c r="DO34" s="15">
        <v>0.0</v>
      </c>
      <c r="DP34" s="15" t="s">
        <v>419</v>
      </c>
      <c r="DR34" s="15">
        <v>0.0</v>
      </c>
      <c r="DT34" s="15" t="s">
        <v>721</v>
      </c>
      <c r="DU34" s="15" t="s">
        <v>936</v>
      </c>
      <c r="DW34" s="15">
        <v>0.0</v>
      </c>
      <c r="DX34" s="15">
        <v>0.0</v>
      </c>
      <c r="DY34" s="15">
        <v>0.0</v>
      </c>
      <c r="DZ34" s="15">
        <v>25000.0</v>
      </c>
      <c r="EG34" s="15" t="s">
        <v>444</v>
      </c>
      <c r="EH34" s="15" t="s">
        <v>857</v>
      </c>
      <c r="EJ34" s="15" t="s">
        <v>858</v>
      </c>
      <c r="EK34" s="15" t="s">
        <v>859</v>
      </c>
      <c r="EM34" s="15" t="str">
        <f>IFERROR(__xludf.DUMMYFUNCTION("""COMPUTED_VALUE"""),"")</f>
        <v/>
      </c>
      <c r="FF34" s="15" t="s">
        <v>937</v>
      </c>
      <c r="FM34" s="15">
        <v>0.0</v>
      </c>
      <c r="FS34" s="15" t="s">
        <v>938</v>
      </c>
      <c r="IP34" s="15" t="s">
        <v>939</v>
      </c>
      <c r="IQ34" s="15" t="s">
        <v>940</v>
      </c>
      <c r="IR34" s="15" t="s">
        <v>959</v>
      </c>
      <c r="IS34" s="15" t="s">
        <v>942</v>
      </c>
      <c r="IT34" s="15" t="s">
        <v>943</v>
      </c>
      <c r="IU34" s="15" t="s">
        <v>960</v>
      </c>
      <c r="IV34" s="15" t="s">
        <v>945</v>
      </c>
      <c r="IW34" s="15" t="s">
        <v>784</v>
      </c>
      <c r="IX34" s="15" t="s">
        <v>961</v>
      </c>
      <c r="IY34" s="15" t="s">
        <v>939</v>
      </c>
      <c r="IZ34" s="15" t="s">
        <v>945</v>
      </c>
      <c r="JA34" s="15" t="s">
        <v>940</v>
      </c>
      <c r="JB34" s="15" t="s">
        <v>426</v>
      </c>
      <c r="JC34" s="15" t="s">
        <v>947</v>
      </c>
      <c r="JD34" s="15" t="s">
        <v>872</v>
      </c>
      <c r="JE34" s="15" t="s">
        <v>873</v>
      </c>
      <c r="JF34" s="15" t="s">
        <v>877</v>
      </c>
      <c r="JL34" s="15" t="s">
        <v>635</v>
      </c>
      <c r="JM34" s="15" t="s">
        <v>531</v>
      </c>
      <c r="JO34" s="15" t="s">
        <v>426</v>
      </c>
      <c r="JP34" s="15" t="s">
        <v>875</v>
      </c>
    </row>
    <row r="35" ht="15.75" customHeight="1">
      <c r="A35" s="14" t="s">
        <v>391</v>
      </c>
      <c r="B35" s="15" t="s">
        <v>969</v>
      </c>
      <c r="C35" s="16"/>
      <c r="D35" s="15" t="s">
        <v>432</v>
      </c>
      <c r="G35" s="14" t="s">
        <v>393</v>
      </c>
      <c r="H35" s="14" t="s">
        <v>394</v>
      </c>
      <c r="I35" s="14" t="b">
        <v>1</v>
      </c>
      <c r="J35" s="14" t="s">
        <v>395</v>
      </c>
      <c r="L35" s="14" t="b">
        <v>0</v>
      </c>
      <c r="M35" s="15" t="s">
        <v>970</v>
      </c>
      <c r="N35" s="14" t="s">
        <v>393</v>
      </c>
      <c r="O35" s="14" t="s">
        <v>393</v>
      </c>
      <c r="P35" s="15" t="s">
        <v>397</v>
      </c>
      <c r="Q35" s="15" t="s">
        <v>971</v>
      </c>
      <c r="T35" s="14" t="b">
        <v>0</v>
      </c>
      <c r="U35" s="15" t="s">
        <v>972</v>
      </c>
      <c r="V35" s="15" t="s">
        <v>973</v>
      </c>
      <c r="W35" s="15" t="s">
        <v>401</v>
      </c>
      <c r="X35" s="15" t="s">
        <v>742</v>
      </c>
      <c r="Y35" s="15">
        <v>2847.0</v>
      </c>
      <c r="AA35" s="15" t="str">
        <f>"1095"</f>
        <v>1095</v>
      </c>
      <c r="AB35" s="14" t="b">
        <v>1</v>
      </c>
      <c r="AC35" s="14" t="b">
        <v>1</v>
      </c>
      <c r="AD35" s="15" t="str">
        <f>"801542803803"</f>
        <v>801542803803</v>
      </c>
      <c r="AE35" s="15" t="s">
        <v>974</v>
      </c>
      <c r="AF35" s="14" t="s">
        <v>404</v>
      </c>
      <c r="AG35" s="14" t="s">
        <v>405</v>
      </c>
      <c r="AH35" s="14" t="s">
        <v>406</v>
      </c>
      <c r="AI35" s="15">
        <v>0.0</v>
      </c>
      <c r="AL35" s="15" t="s">
        <v>975</v>
      </c>
      <c r="AM35" s="15" t="s">
        <v>487</v>
      </c>
      <c r="AN35" s="15" t="s">
        <v>488</v>
      </c>
      <c r="AO35" s="15" t="s">
        <v>976</v>
      </c>
      <c r="AP35" s="15" t="s">
        <v>977</v>
      </c>
      <c r="AQ35" s="15" t="s">
        <v>772</v>
      </c>
      <c r="AR35" s="15" t="s">
        <v>773</v>
      </c>
      <c r="AS35" s="15" t="s">
        <v>837</v>
      </c>
      <c r="AT35" s="15" t="s">
        <v>971</v>
      </c>
      <c r="AU35" s="15" t="s">
        <v>978</v>
      </c>
      <c r="AW35" s="15" t="s">
        <v>706</v>
      </c>
      <c r="AX35" s="15" t="s">
        <v>707</v>
      </c>
      <c r="AY35" s="15" t="s">
        <v>413</v>
      </c>
      <c r="AZ35" s="15" t="b">
        <v>0</v>
      </c>
      <c r="BA35" s="15" t="s">
        <v>413</v>
      </c>
      <c r="BB35" s="15" t="b">
        <v>0</v>
      </c>
      <c r="BC35" s="15" t="s">
        <v>979</v>
      </c>
      <c r="BD35" s="15" t="s">
        <v>742</v>
      </c>
      <c r="BE35" s="15" t="str">
        <f t="shared" ref="BE35:BE39" si="66">"1"</f>
        <v>1</v>
      </c>
      <c r="BF35" s="15" t="s">
        <v>980</v>
      </c>
      <c r="BG35" s="15" t="str">
        <f>"57.48"</f>
        <v>57.48</v>
      </c>
      <c r="BH35" s="15" t="s">
        <v>981</v>
      </c>
      <c r="BI35" s="15" t="str">
        <f>"39.37"</f>
        <v>39.37</v>
      </c>
      <c r="BJ35" s="15" t="s">
        <v>523</v>
      </c>
      <c r="BK35" s="15" t="str">
        <f>"30.31"</f>
        <v>30.31</v>
      </c>
      <c r="BL35" s="15" t="s">
        <v>982</v>
      </c>
      <c r="BM35" s="15" t="str">
        <f>"134.48"</f>
        <v>134.48</v>
      </c>
      <c r="BN35" s="15" t="s">
        <v>983</v>
      </c>
      <c r="BQ35" s="15" t="s">
        <v>444</v>
      </c>
      <c r="BS35" s="15" t="s">
        <v>444</v>
      </c>
      <c r="BU35" s="15" t="s">
        <v>444</v>
      </c>
      <c r="BW35" s="15" t="s">
        <v>444</v>
      </c>
      <c r="BZ35" s="15" t="s">
        <v>444</v>
      </c>
      <c r="CB35" s="15" t="s">
        <v>444</v>
      </c>
      <c r="CD35" s="15" t="s">
        <v>444</v>
      </c>
      <c r="CF35" s="15" t="s">
        <v>444</v>
      </c>
      <c r="CI35" s="15" t="s">
        <v>444</v>
      </c>
      <c r="CK35" s="15" t="s">
        <v>444</v>
      </c>
      <c r="CM35" s="15" t="s">
        <v>444</v>
      </c>
      <c r="CO35" s="15" t="s">
        <v>444</v>
      </c>
      <c r="CP35" s="15" t="str">
        <f>"39.69"</f>
        <v>39.69</v>
      </c>
      <c r="CQ35" s="15" t="str">
        <f>"1.124"</f>
        <v>1.124</v>
      </c>
      <c r="CR35" s="15" t="s">
        <v>417</v>
      </c>
      <c r="CY35" s="15" t="s">
        <v>984</v>
      </c>
      <c r="CZ35" s="15" t="s">
        <v>985</v>
      </c>
      <c r="DA35" s="15" t="s">
        <v>986</v>
      </c>
      <c r="DB35" s="15" t="s">
        <v>987</v>
      </c>
      <c r="DC35" s="15" t="str">
        <f>IFERROR(__xludf.DUMMYFUNCTION("""COMPUTED_VALUE"""),"{""value"":25.98,""unit"":""in""}")</f>
        <v>{"value":25.98,"unit":"in"}</v>
      </c>
      <c r="DD35" s="15" t="s">
        <v>824</v>
      </c>
      <c r="DE35" s="15" t="str">
        <f>IFERROR(__xludf.DUMMYFUNCTION("""COMPUTED_VALUE"""),"{""value"":18.50,""unit"":""in""}")</f>
        <v>{"value":18.50,"unit":"in"}</v>
      </c>
      <c r="DF35" s="15" t="s">
        <v>986</v>
      </c>
      <c r="DG35" s="15" t="str">
        <f>IFERROR(__xludf.DUMMYFUNCTION("""COMPUTED_VALUE"""),"{""value"":37.99,""unit"":""in""}")</f>
        <v>{"value":37.99,"unit":"in"}</v>
      </c>
      <c r="DH35" s="15">
        <v>0.0</v>
      </c>
      <c r="DI35" s="15">
        <v>0.0</v>
      </c>
      <c r="DJ35" s="15" t="s">
        <v>717</v>
      </c>
      <c r="DK35" s="15" t="s">
        <v>718</v>
      </c>
      <c r="DL35" s="15" t="str">
        <f>IFERROR(__xludf.DUMMYFUNCTION("""COMPUTED_VALUE"""),"Vacuum or light brush only. Do not use water or any cleaning products.")</f>
        <v>Vacuum or light brush only. Do not use water or any cleaning products.</v>
      </c>
      <c r="DM35" s="15" t="s">
        <v>719</v>
      </c>
      <c r="DQ35" s="15" t="s">
        <v>988</v>
      </c>
      <c r="DT35" s="15" t="s">
        <v>989</v>
      </c>
      <c r="DU35" s="15" t="s">
        <v>419</v>
      </c>
      <c r="DV35" s="15">
        <v>0.0</v>
      </c>
      <c r="DZ35" s="15">
        <v>0.0</v>
      </c>
      <c r="EA35" s="15" t="s">
        <v>990</v>
      </c>
      <c r="EB35" s="15" t="s">
        <v>723</v>
      </c>
      <c r="ED35" s="15">
        <v>1.0</v>
      </c>
      <c r="EE35" s="15">
        <v>1.0</v>
      </c>
      <c r="EG35" s="15" t="s">
        <v>444</v>
      </c>
      <c r="EH35" s="15" t="s">
        <v>991</v>
      </c>
      <c r="EI35" s="15">
        <v>0.0</v>
      </c>
      <c r="EJ35" s="15" t="s">
        <v>726</v>
      </c>
      <c r="EK35" s="15" t="s">
        <v>727</v>
      </c>
      <c r="EL35" s="15" t="s">
        <v>992</v>
      </c>
      <c r="EM35" s="15" t="str">
        <f>IFERROR(__xludf.DUMMYFUNCTION("""COMPUTED_VALUE"""),"{""value"":27.48,""unit"":""in""}")</f>
        <v>{"value":27.48,"unit":"in"}</v>
      </c>
      <c r="EN35" s="15" t="s">
        <v>993</v>
      </c>
      <c r="EO35" s="15" t="s">
        <v>994</v>
      </c>
      <c r="ES35" s="15" t="s">
        <v>995</v>
      </c>
      <c r="EX35" s="15" t="s">
        <v>987</v>
      </c>
      <c r="EY35" s="15" t="s">
        <v>996</v>
      </c>
      <c r="EZ35" s="15" t="s">
        <v>993</v>
      </c>
      <c r="FF35" s="15" t="s">
        <v>997</v>
      </c>
      <c r="FQ35" s="15">
        <v>0.0</v>
      </c>
      <c r="FR35" s="15">
        <v>0.0</v>
      </c>
      <c r="FT35" s="15">
        <v>0.0</v>
      </c>
    </row>
    <row r="36" ht="15.75" customHeight="1">
      <c r="A36" s="14" t="s">
        <v>391</v>
      </c>
      <c r="B36" s="15" t="s">
        <v>998</v>
      </c>
      <c r="C36" s="16"/>
      <c r="D36" s="15" t="s">
        <v>432</v>
      </c>
      <c r="G36" s="14" t="s">
        <v>393</v>
      </c>
      <c r="H36" s="14" t="s">
        <v>394</v>
      </c>
      <c r="I36" s="14" t="b">
        <v>1</v>
      </c>
      <c r="J36" s="14" t="s">
        <v>395</v>
      </c>
      <c r="L36" s="14" t="b">
        <v>0</v>
      </c>
      <c r="M36" s="15" t="s">
        <v>999</v>
      </c>
      <c r="N36" s="14" t="s">
        <v>393</v>
      </c>
      <c r="O36" s="14" t="s">
        <v>393</v>
      </c>
      <c r="P36" s="15" t="s">
        <v>397</v>
      </c>
      <c r="Q36" s="15" t="s">
        <v>971</v>
      </c>
      <c r="T36" s="14" t="b">
        <v>0</v>
      </c>
      <c r="U36" s="15" t="s">
        <v>1000</v>
      </c>
      <c r="V36" s="15" t="s">
        <v>1001</v>
      </c>
      <c r="W36" s="15" t="s">
        <v>401</v>
      </c>
      <c r="X36" s="15" t="s">
        <v>742</v>
      </c>
      <c r="Y36" s="15">
        <v>1859.0</v>
      </c>
      <c r="AA36" s="15" t="str">
        <f>"715"</f>
        <v>715</v>
      </c>
      <c r="AB36" s="14" t="b">
        <v>1</v>
      </c>
      <c r="AC36" s="14" t="b">
        <v>1</v>
      </c>
      <c r="AD36" s="15" t="str">
        <f>"801542803827"</f>
        <v>801542803827</v>
      </c>
      <c r="AE36" s="15" t="s">
        <v>1002</v>
      </c>
      <c r="AF36" s="14" t="s">
        <v>404</v>
      </c>
      <c r="AG36" s="14" t="s">
        <v>405</v>
      </c>
      <c r="AH36" s="14" t="s">
        <v>406</v>
      </c>
      <c r="AI36" s="15">
        <v>0.0</v>
      </c>
      <c r="AL36" s="15" t="s">
        <v>975</v>
      </c>
      <c r="AM36" s="15" t="s">
        <v>1003</v>
      </c>
      <c r="AN36" s="15" t="s">
        <v>1004</v>
      </c>
      <c r="AO36" s="15" t="s">
        <v>1005</v>
      </c>
      <c r="AP36" s="15" t="s">
        <v>1006</v>
      </c>
      <c r="AQ36" s="15" t="s">
        <v>1007</v>
      </c>
      <c r="AR36" s="15" t="s">
        <v>1008</v>
      </c>
      <c r="AS36" s="15" t="s">
        <v>837</v>
      </c>
      <c r="AT36" s="15" t="s">
        <v>971</v>
      </c>
      <c r="AU36" s="15" t="s">
        <v>978</v>
      </c>
      <c r="AW36" s="15" t="s">
        <v>1009</v>
      </c>
      <c r="AY36" s="15" t="s">
        <v>413</v>
      </c>
      <c r="AZ36" s="15" t="b">
        <v>0</v>
      </c>
      <c r="BA36" s="15" t="s">
        <v>413</v>
      </c>
      <c r="BB36" s="15" t="b">
        <v>0</v>
      </c>
      <c r="BC36" s="15" t="s">
        <v>1010</v>
      </c>
      <c r="BD36" s="15" t="s">
        <v>742</v>
      </c>
      <c r="BE36" s="15" t="str">
        <f t="shared" si="66"/>
        <v>1</v>
      </c>
      <c r="BF36" s="15" t="s">
        <v>980</v>
      </c>
      <c r="BG36" s="15" t="str">
        <f>"59.25"</f>
        <v>59.25</v>
      </c>
      <c r="BH36" s="15" t="s">
        <v>1011</v>
      </c>
      <c r="BI36" s="15" t="str">
        <f>"32.87"</f>
        <v>32.87</v>
      </c>
      <c r="BJ36" s="15" t="s">
        <v>776</v>
      </c>
      <c r="BK36" s="15" t="str">
        <f>"21.26"</f>
        <v>21.26</v>
      </c>
      <c r="BL36" s="15" t="s">
        <v>684</v>
      </c>
      <c r="BM36" s="15" t="str">
        <f>"116.84"</f>
        <v>116.84</v>
      </c>
      <c r="BN36" s="15" t="s">
        <v>1012</v>
      </c>
      <c r="BQ36" s="15" t="s">
        <v>444</v>
      </c>
      <c r="BS36" s="15" t="s">
        <v>444</v>
      </c>
      <c r="BU36" s="15" t="s">
        <v>444</v>
      </c>
      <c r="BW36" s="15" t="s">
        <v>444</v>
      </c>
      <c r="BZ36" s="15" t="s">
        <v>444</v>
      </c>
      <c r="CB36" s="15" t="s">
        <v>444</v>
      </c>
      <c r="CD36" s="15" t="s">
        <v>444</v>
      </c>
      <c r="CF36" s="15" t="s">
        <v>444</v>
      </c>
      <c r="CI36" s="15" t="s">
        <v>444</v>
      </c>
      <c r="CK36" s="15" t="s">
        <v>444</v>
      </c>
      <c r="CM36" s="15" t="s">
        <v>444</v>
      </c>
      <c r="CO36" s="15" t="s">
        <v>444</v>
      </c>
      <c r="CP36" s="15" t="str">
        <f>"23.98"</f>
        <v>23.98</v>
      </c>
      <c r="CQ36" s="15" t="str">
        <f>"0.679"</f>
        <v>0.679</v>
      </c>
      <c r="CR36" s="15" t="s">
        <v>417</v>
      </c>
      <c r="DB36" s="15" t="s">
        <v>1013</v>
      </c>
      <c r="DC36" s="15" t="str">
        <f>IFERROR(__xludf.DUMMYFUNCTION("""COMPUTED_VALUE"""),"{""value"":29.80,""unit"":""in""}")</f>
        <v>{"value":29.80,"unit":"in"}</v>
      </c>
      <c r="DD36" s="15" t="s">
        <v>1014</v>
      </c>
      <c r="DE36" s="15" t="str">
        <f>IFERROR(__xludf.DUMMYFUNCTION("""COMPUTED_VALUE"""),"{""value"":17.99,""unit"":""in""}")</f>
        <v>{"value":17.99,"unit":"in"}</v>
      </c>
      <c r="DF36" s="15" t="s">
        <v>1015</v>
      </c>
      <c r="DG36" s="15" t="str">
        <f>IFERROR(__xludf.DUMMYFUNCTION("""COMPUTED_VALUE"""),"{""value"":56.10,""unit"":""in""}")</f>
        <v>{"value":56.10,"unit":"in"}</v>
      </c>
      <c r="DI36" s="15">
        <v>0.0</v>
      </c>
      <c r="DK36" s="15" t="s">
        <v>718</v>
      </c>
      <c r="DL36" s="15" t="str">
        <f>IFERROR(__xludf.DUMMYFUNCTION("""COMPUTED_VALUE"""),"Vacuum or light brush only. Do not use water or any cleaning products.")</f>
        <v>Vacuum or light brush only. Do not use water or any cleaning products.</v>
      </c>
      <c r="DM36" s="15" t="s">
        <v>719</v>
      </c>
      <c r="DT36" s="15" t="s">
        <v>989</v>
      </c>
      <c r="DV36" s="15">
        <v>0.0</v>
      </c>
      <c r="DZ36" s="15">
        <v>0.0</v>
      </c>
      <c r="EA36" s="15" t="s">
        <v>990</v>
      </c>
      <c r="EB36" s="15" t="s">
        <v>1016</v>
      </c>
      <c r="EC36" s="15" t="s">
        <v>724</v>
      </c>
      <c r="ED36" s="15">
        <v>1.0</v>
      </c>
      <c r="EE36" s="15">
        <v>1.0</v>
      </c>
      <c r="EF36" s="15" t="s">
        <v>471</v>
      </c>
      <c r="EG36" s="15" t="s">
        <v>472</v>
      </c>
      <c r="EH36" s="15" t="s">
        <v>991</v>
      </c>
      <c r="EI36" s="15">
        <v>0.0</v>
      </c>
      <c r="EJ36" s="15" t="s">
        <v>726</v>
      </c>
      <c r="EK36" s="15" t="s">
        <v>727</v>
      </c>
      <c r="EM36" s="15" t="str">
        <f>IFERROR(__xludf.DUMMYFUNCTION("""COMPUTED_VALUE"""),"")</f>
        <v/>
      </c>
      <c r="EX36" s="15" t="s">
        <v>1017</v>
      </c>
      <c r="EY36" s="15" t="s">
        <v>1018</v>
      </c>
      <c r="FF36" s="15" t="s">
        <v>860</v>
      </c>
    </row>
    <row r="37" ht="15.75" customHeight="1">
      <c r="A37" s="14" t="s">
        <v>391</v>
      </c>
      <c r="B37" s="15" t="s">
        <v>1019</v>
      </c>
      <c r="C37" s="16"/>
      <c r="D37" s="15" t="s">
        <v>432</v>
      </c>
      <c r="G37" s="14" t="s">
        <v>393</v>
      </c>
      <c r="H37" s="14" t="s">
        <v>394</v>
      </c>
      <c r="I37" s="14" t="b">
        <v>1</v>
      </c>
      <c r="J37" s="14" t="s">
        <v>395</v>
      </c>
      <c r="L37" s="14" t="b">
        <v>0</v>
      </c>
      <c r="M37" s="15" t="s">
        <v>1020</v>
      </c>
      <c r="N37" s="14" t="s">
        <v>393</v>
      </c>
      <c r="O37" s="14" t="s">
        <v>393</v>
      </c>
      <c r="P37" s="15" t="s">
        <v>397</v>
      </c>
      <c r="Q37" s="15" t="s">
        <v>1021</v>
      </c>
      <c r="T37" s="14" t="b">
        <v>0</v>
      </c>
      <c r="U37" s="15" t="s">
        <v>1022</v>
      </c>
      <c r="V37" s="15" t="s">
        <v>1023</v>
      </c>
      <c r="W37" s="15" t="s">
        <v>401</v>
      </c>
      <c r="X37" s="15" t="s">
        <v>742</v>
      </c>
      <c r="Y37" s="15">
        <v>2951.0</v>
      </c>
      <c r="AA37" s="15" t="str">
        <f>"1135"</f>
        <v>1135</v>
      </c>
      <c r="AB37" s="14" t="b">
        <v>1</v>
      </c>
      <c r="AC37" s="14" t="b">
        <v>1</v>
      </c>
      <c r="AD37" s="15" t="str">
        <f>"198394015479"</f>
        <v>198394015479</v>
      </c>
      <c r="AE37" s="15" t="s">
        <v>1024</v>
      </c>
      <c r="AF37" s="14" t="s">
        <v>404</v>
      </c>
      <c r="AG37" s="14" t="s">
        <v>405</v>
      </c>
      <c r="AH37" s="14" t="s">
        <v>406</v>
      </c>
      <c r="AI37" s="15">
        <v>0.0</v>
      </c>
      <c r="AL37" s="15" t="s">
        <v>1025</v>
      </c>
      <c r="AM37" s="15" t="s">
        <v>1026</v>
      </c>
      <c r="AN37" s="15" t="s">
        <v>1027</v>
      </c>
      <c r="AO37" s="15" t="s">
        <v>409</v>
      </c>
      <c r="AP37" s="15" t="s">
        <v>438</v>
      </c>
      <c r="AQ37" s="15" t="s">
        <v>1028</v>
      </c>
      <c r="AR37" s="15" t="s">
        <v>1029</v>
      </c>
      <c r="AS37" s="15" t="s">
        <v>1030</v>
      </c>
      <c r="AT37" s="15" t="s">
        <v>1021</v>
      </c>
      <c r="AW37" s="15" t="s">
        <v>664</v>
      </c>
      <c r="AY37" s="15" t="s">
        <v>413</v>
      </c>
      <c r="AZ37" s="15" t="b">
        <v>0</v>
      </c>
      <c r="BA37" s="15" t="s">
        <v>413</v>
      </c>
      <c r="BB37" s="15" t="b">
        <v>0</v>
      </c>
      <c r="BC37" s="15" t="s">
        <v>1031</v>
      </c>
      <c r="BD37" s="15" t="s">
        <v>742</v>
      </c>
      <c r="BE37" s="15" t="str">
        <f t="shared" si="66"/>
        <v>1</v>
      </c>
      <c r="BF37" s="15" t="s">
        <v>980</v>
      </c>
      <c r="BG37" s="15" t="str">
        <f>"87.4"</f>
        <v>87.4</v>
      </c>
      <c r="BH37" s="15" t="s">
        <v>1032</v>
      </c>
      <c r="BI37" s="15" t="str">
        <f>"24.61"</f>
        <v>24.61</v>
      </c>
      <c r="BJ37" s="15" t="s">
        <v>1033</v>
      </c>
      <c r="BK37" s="15" t="str">
        <f>"35.43"</f>
        <v>35.43</v>
      </c>
      <c r="BL37" s="15" t="s">
        <v>1034</v>
      </c>
      <c r="BM37" s="15" t="str">
        <f>"249.12"</f>
        <v>249.12</v>
      </c>
      <c r="BN37" s="15" t="s">
        <v>1035</v>
      </c>
      <c r="BQ37" s="15" t="s">
        <v>444</v>
      </c>
      <c r="BS37" s="15" t="s">
        <v>444</v>
      </c>
      <c r="BU37" s="15" t="s">
        <v>444</v>
      </c>
      <c r="BW37" s="15" t="s">
        <v>444</v>
      </c>
      <c r="BZ37" s="15" t="s">
        <v>444</v>
      </c>
      <c r="CB37" s="15" t="s">
        <v>444</v>
      </c>
      <c r="CD37" s="15" t="s">
        <v>444</v>
      </c>
      <c r="CF37" s="15" t="s">
        <v>444</v>
      </c>
      <c r="CI37" s="15" t="s">
        <v>444</v>
      </c>
      <c r="CK37" s="15" t="s">
        <v>444</v>
      </c>
      <c r="CM37" s="15" t="s">
        <v>444</v>
      </c>
      <c r="CO37" s="15" t="s">
        <v>444</v>
      </c>
      <c r="CP37" s="15" t="str">
        <f>"44.11"</f>
        <v>44.11</v>
      </c>
      <c r="CQ37" s="15" t="str">
        <f>"1.249"</f>
        <v>1.249</v>
      </c>
      <c r="CR37" s="15" t="s">
        <v>497</v>
      </c>
      <c r="CV37" s="15" t="s">
        <v>1036</v>
      </c>
      <c r="CW37" s="15" t="s">
        <v>1037</v>
      </c>
      <c r="CX37" s="15" t="s">
        <v>1038</v>
      </c>
      <c r="DC37" s="15" t="str">
        <f>IFERROR(__xludf.DUMMYFUNCTION("""COMPUTED_VALUE"""),"")</f>
        <v/>
      </c>
      <c r="DE37" s="15" t="str">
        <f>IFERROR(__xludf.DUMMYFUNCTION("""COMPUTED_VALUE"""),"")</f>
        <v/>
      </c>
      <c r="DG37" s="15" t="str">
        <f>IFERROR(__xludf.DUMMYFUNCTION("""COMPUTED_VALUE"""),"")</f>
        <v/>
      </c>
      <c r="DL37" s="15" t="str">
        <f>IFERROR(__xludf.DUMMYFUNCTION("""COMPUTED_VALUE"""),"")</f>
        <v/>
      </c>
      <c r="DM37" s="15" t="s">
        <v>444</v>
      </c>
      <c r="DN37" s="15" t="s">
        <v>419</v>
      </c>
      <c r="DO37" s="15">
        <v>0.0</v>
      </c>
      <c r="DP37" s="15" t="s">
        <v>419</v>
      </c>
      <c r="DR37" s="15">
        <v>0.0</v>
      </c>
      <c r="DT37" s="15" t="s">
        <v>721</v>
      </c>
      <c r="DU37" s="15" t="s">
        <v>610</v>
      </c>
      <c r="DW37" s="15">
        <v>18.14</v>
      </c>
      <c r="DX37" s="15">
        <v>40.0</v>
      </c>
      <c r="DY37" s="15">
        <v>2.0</v>
      </c>
      <c r="EG37" s="15" t="s">
        <v>444</v>
      </c>
      <c r="EH37" s="15" t="s">
        <v>1039</v>
      </c>
      <c r="EJ37" s="15" t="s">
        <v>424</v>
      </c>
      <c r="EK37" s="15" t="s">
        <v>446</v>
      </c>
      <c r="EM37" s="15" t="str">
        <f>IFERROR(__xludf.DUMMYFUNCTION("""COMPUTED_VALUE"""),"")</f>
        <v/>
      </c>
      <c r="EW37" s="15" t="s">
        <v>1040</v>
      </c>
      <c r="FL37" s="15" t="s">
        <v>426</v>
      </c>
      <c r="FM37" s="15">
        <v>2.0</v>
      </c>
      <c r="FY37" s="15" t="s">
        <v>1041</v>
      </c>
      <c r="FZ37" s="15" t="s">
        <v>1042</v>
      </c>
      <c r="GA37" s="15" t="s">
        <v>1043</v>
      </c>
      <c r="GB37" s="15" t="s">
        <v>1036</v>
      </c>
      <c r="GC37" s="15" t="s">
        <v>782</v>
      </c>
      <c r="GD37" s="15" t="s">
        <v>1038</v>
      </c>
      <c r="GE37" s="15">
        <v>0.0</v>
      </c>
      <c r="GF37" s="15" t="s">
        <v>426</v>
      </c>
      <c r="GG37" s="15" t="s">
        <v>1044</v>
      </c>
      <c r="GH37" s="15">
        <v>4.0</v>
      </c>
      <c r="GI37" s="15" t="s">
        <v>614</v>
      </c>
      <c r="GJ37" s="15" t="s">
        <v>1045</v>
      </c>
      <c r="GK37" s="15">
        <v>0.0</v>
      </c>
      <c r="GL37" s="15" t="s">
        <v>426</v>
      </c>
      <c r="GN37" s="15" t="s">
        <v>616</v>
      </c>
      <c r="HA37" s="15" t="s">
        <v>1036</v>
      </c>
      <c r="HC37" s="15" t="s">
        <v>1038</v>
      </c>
      <c r="HW37" s="15" t="s">
        <v>789</v>
      </c>
      <c r="IH37" s="15" t="s">
        <v>426</v>
      </c>
    </row>
    <row r="38" ht="15.75" customHeight="1">
      <c r="A38" s="14" t="s">
        <v>391</v>
      </c>
      <c r="B38" s="15" t="s">
        <v>1046</v>
      </c>
      <c r="C38" s="16"/>
      <c r="D38" s="15" t="s">
        <v>432</v>
      </c>
      <c r="G38" s="14" t="s">
        <v>393</v>
      </c>
      <c r="H38" s="14" t="s">
        <v>394</v>
      </c>
      <c r="I38" s="14" t="b">
        <v>1</v>
      </c>
      <c r="J38" s="14" t="s">
        <v>395</v>
      </c>
      <c r="L38" s="14" t="b">
        <v>0</v>
      </c>
      <c r="M38" s="15" t="s">
        <v>1047</v>
      </c>
      <c r="N38" s="14" t="s">
        <v>393</v>
      </c>
      <c r="O38" s="14" t="s">
        <v>393</v>
      </c>
      <c r="P38" s="15" t="s">
        <v>397</v>
      </c>
      <c r="Q38" s="15" t="s">
        <v>1048</v>
      </c>
      <c r="T38" s="14" t="b">
        <v>0</v>
      </c>
      <c r="U38" s="15" t="s">
        <v>1049</v>
      </c>
      <c r="V38" s="15" t="s">
        <v>1050</v>
      </c>
      <c r="W38" s="15" t="s">
        <v>401</v>
      </c>
      <c r="X38" s="15" t="s">
        <v>695</v>
      </c>
      <c r="Y38" s="15">
        <v>1157.0</v>
      </c>
      <c r="AA38" s="15" t="str">
        <f>"445"</f>
        <v>445</v>
      </c>
      <c r="AB38" s="14" t="b">
        <v>1</v>
      </c>
      <c r="AC38" s="14" t="b">
        <v>1</v>
      </c>
      <c r="AD38" s="15" t="str">
        <f>"801542277253"</f>
        <v>801542277253</v>
      </c>
      <c r="AE38" s="15" t="s">
        <v>1051</v>
      </c>
      <c r="AF38" s="14" t="s">
        <v>404</v>
      </c>
      <c r="AG38" s="14" t="s">
        <v>405</v>
      </c>
      <c r="AH38" s="14" t="s">
        <v>406</v>
      </c>
      <c r="AI38" s="15">
        <v>0.0</v>
      </c>
      <c r="AL38" s="15" t="s">
        <v>1052</v>
      </c>
      <c r="AM38" s="15" t="s">
        <v>1053</v>
      </c>
      <c r="AN38" s="15" t="s">
        <v>1054</v>
      </c>
      <c r="AO38" s="15" t="s">
        <v>1055</v>
      </c>
      <c r="AP38" s="15" t="s">
        <v>1056</v>
      </c>
      <c r="AQ38" s="15" t="s">
        <v>1057</v>
      </c>
      <c r="AR38" s="15" t="s">
        <v>1058</v>
      </c>
      <c r="AS38" s="15" t="s">
        <v>725</v>
      </c>
      <c r="AT38" s="15" t="s">
        <v>1048</v>
      </c>
      <c r="AU38" s="15" t="s">
        <v>1059</v>
      </c>
      <c r="AV38" s="15" t="s">
        <v>1060</v>
      </c>
      <c r="AW38" s="15" t="s">
        <v>706</v>
      </c>
      <c r="AX38" s="15" t="s">
        <v>707</v>
      </c>
      <c r="AY38" s="15" t="s">
        <v>413</v>
      </c>
      <c r="AZ38" s="15" t="b">
        <v>0</v>
      </c>
      <c r="BA38" s="15" t="s">
        <v>413</v>
      </c>
      <c r="BB38" s="15" t="b">
        <v>0</v>
      </c>
      <c r="BC38" s="15" t="s">
        <v>1061</v>
      </c>
      <c r="BD38" s="15" t="s">
        <v>709</v>
      </c>
      <c r="BE38" s="15" t="str">
        <f t="shared" si="66"/>
        <v>1</v>
      </c>
      <c r="BF38" s="15" t="s">
        <v>416</v>
      </c>
      <c r="BG38" s="15" t="str">
        <f>"29.53"</f>
        <v>29.53</v>
      </c>
      <c r="BH38" s="15" t="s">
        <v>1062</v>
      </c>
      <c r="BI38" s="15" t="str">
        <f>"28.94"</f>
        <v>28.94</v>
      </c>
      <c r="BJ38" s="15" t="s">
        <v>632</v>
      </c>
      <c r="BK38" s="15" t="str">
        <f>"32.28"</f>
        <v>32.28</v>
      </c>
      <c r="BL38" s="15" t="s">
        <v>954</v>
      </c>
      <c r="BM38" s="15" t="str">
        <f>"37.26"</f>
        <v>37.26</v>
      </c>
      <c r="BN38" s="15" t="s">
        <v>1063</v>
      </c>
      <c r="BQ38" s="15" t="s">
        <v>444</v>
      </c>
      <c r="BS38" s="15" t="s">
        <v>444</v>
      </c>
      <c r="BU38" s="15" t="s">
        <v>444</v>
      </c>
      <c r="BW38" s="15" t="s">
        <v>444</v>
      </c>
      <c r="BZ38" s="15" t="s">
        <v>444</v>
      </c>
      <c r="CB38" s="15" t="s">
        <v>444</v>
      </c>
      <c r="CD38" s="15" t="s">
        <v>444</v>
      </c>
      <c r="CF38" s="15" t="s">
        <v>444</v>
      </c>
      <c r="CI38" s="15" t="s">
        <v>444</v>
      </c>
      <c r="CK38" s="15" t="s">
        <v>444</v>
      </c>
      <c r="CM38" s="15" t="s">
        <v>444</v>
      </c>
      <c r="CO38" s="15" t="s">
        <v>444</v>
      </c>
      <c r="CP38" s="15" t="str">
        <f>"15.96"</f>
        <v>15.96</v>
      </c>
      <c r="CQ38" s="15" t="str">
        <f>"0.452"</f>
        <v>0.452</v>
      </c>
      <c r="CR38" s="15" t="s">
        <v>465</v>
      </c>
      <c r="CY38" s="15" t="s">
        <v>525</v>
      </c>
      <c r="CZ38" s="15" t="s">
        <v>505</v>
      </c>
      <c r="DA38" s="15" t="s">
        <v>1064</v>
      </c>
      <c r="DB38" s="15" t="s">
        <v>1065</v>
      </c>
      <c r="DC38" s="15" t="str">
        <f>IFERROR(__xludf.DUMMYFUNCTION("""COMPUTED_VALUE"""),"{""value"":18.00,""unit"":""in""}")</f>
        <v>{"value":18.00,"unit":"in"}</v>
      </c>
      <c r="DD38" s="15" t="s">
        <v>466</v>
      </c>
      <c r="DE38" s="15" t="str">
        <f>IFERROR(__xludf.DUMMYFUNCTION("""COMPUTED_VALUE"""),"{""value"":19.25,""unit"":""in""}")</f>
        <v>{"value":19.25,"unit":"in"}</v>
      </c>
      <c r="DG38" s="15" t="str">
        <f>IFERROR(__xludf.DUMMYFUNCTION("""COMPUTED_VALUE"""),"")</f>
        <v/>
      </c>
      <c r="DH38" s="15">
        <v>0.0</v>
      </c>
      <c r="DI38" s="15">
        <v>1.0</v>
      </c>
      <c r="DJ38" s="15" t="s">
        <v>717</v>
      </c>
      <c r="DK38" s="15" t="s">
        <v>897</v>
      </c>
      <c r="DL38" s="15" t="str">
        <f>IFERROR(__xludf.DUMMYFUNCTION("""COMPUTED_VALUE"""),"Clean with water-based products only. Use mild detergent or upholstery shampoo.")</f>
        <v>Clean with water-based products only. Use mild detergent or upholstery shampoo.</v>
      </c>
      <c r="DM38" s="15" t="s">
        <v>898</v>
      </c>
      <c r="DQ38" s="15" t="s">
        <v>1066</v>
      </c>
      <c r="DT38" s="15" t="s">
        <v>721</v>
      </c>
      <c r="DU38" s="15" t="s">
        <v>419</v>
      </c>
      <c r="DV38" s="15">
        <v>0.0</v>
      </c>
      <c r="DZ38" s="15">
        <v>20000.0</v>
      </c>
      <c r="EA38" s="15" t="s">
        <v>722</v>
      </c>
      <c r="EB38" s="15" t="s">
        <v>723</v>
      </c>
      <c r="EC38" s="15" t="s">
        <v>724</v>
      </c>
      <c r="ED38" s="15">
        <v>1.0</v>
      </c>
      <c r="EE38" s="15">
        <v>1.0</v>
      </c>
      <c r="EG38" s="15" t="s">
        <v>444</v>
      </c>
      <c r="EH38" s="15" t="s">
        <v>1067</v>
      </c>
      <c r="EI38" s="15">
        <v>0.0</v>
      </c>
      <c r="EJ38" s="15" t="s">
        <v>726</v>
      </c>
      <c r="EK38" s="15" t="s">
        <v>727</v>
      </c>
      <c r="EL38" s="15" t="s">
        <v>1068</v>
      </c>
      <c r="EM38" s="15" t="str">
        <f>IFERROR(__xludf.DUMMYFUNCTION("""COMPUTED_VALUE"""),"{""value"":24.80,""unit"":""in""}")</f>
        <v>{"value":24.80,"unit":"in"}</v>
      </c>
      <c r="EN38" s="15" t="s">
        <v>1069</v>
      </c>
      <c r="EO38" s="15" t="s">
        <v>1070</v>
      </c>
      <c r="ES38" s="15" t="s">
        <v>1071</v>
      </c>
      <c r="ET38" s="15" t="s">
        <v>505</v>
      </c>
      <c r="EU38" s="15" t="s">
        <v>504</v>
      </c>
      <c r="EV38" s="15" t="s">
        <v>1072</v>
      </c>
      <c r="EW38" s="15" t="s">
        <v>1073</v>
      </c>
      <c r="EX38" s="15" t="s">
        <v>1074</v>
      </c>
      <c r="EY38" s="15" t="s">
        <v>1068</v>
      </c>
      <c r="EZ38" s="15" t="s">
        <v>1075</v>
      </c>
      <c r="FC38" s="15" t="s">
        <v>723</v>
      </c>
      <c r="FD38" s="15" t="s">
        <v>1076</v>
      </c>
      <c r="FE38" s="15" t="s">
        <v>1077</v>
      </c>
      <c r="FF38" s="15" t="s">
        <v>1078</v>
      </c>
      <c r="FG38" s="15" t="s">
        <v>1079</v>
      </c>
      <c r="FP38" s="15" t="s">
        <v>1075</v>
      </c>
      <c r="FQ38" s="15" t="s">
        <v>713</v>
      </c>
      <c r="FR38" s="15">
        <v>0.0</v>
      </c>
      <c r="FS38" s="15">
        <v>0.0</v>
      </c>
      <c r="FU38" s="15">
        <v>0.0</v>
      </c>
    </row>
    <row r="39" ht="15.75" customHeight="1">
      <c r="A39" s="14" t="s">
        <v>391</v>
      </c>
      <c r="B39" s="15" t="s">
        <v>1046</v>
      </c>
      <c r="C39" s="16"/>
      <c r="D39" s="15" t="s">
        <v>432</v>
      </c>
      <c r="G39" s="14" t="s">
        <v>393</v>
      </c>
      <c r="H39" s="14" t="s">
        <v>394</v>
      </c>
      <c r="I39" s="14" t="b">
        <v>1</v>
      </c>
      <c r="J39" s="14" t="s">
        <v>395</v>
      </c>
      <c r="L39" s="14" t="b">
        <v>0</v>
      </c>
      <c r="M39" s="15" t="s">
        <v>1080</v>
      </c>
      <c r="N39" s="14" t="s">
        <v>393</v>
      </c>
      <c r="O39" s="14" t="s">
        <v>393</v>
      </c>
      <c r="P39" s="15" t="s">
        <v>397</v>
      </c>
      <c r="Q39" s="15" t="s">
        <v>1081</v>
      </c>
      <c r="T39" s="14" t="b">
        <v>0</v>
      </c>
      <c r="U39" s="15" t="s">
        <v>1082</v>
      </c>
      <c r="V39" s="15" t="s">
        <v>1050</v>
      </c>
      <c r="W39" s="15" t="s">
        <v>401</v>
      </c>
      <c r="X39" s="15" t="s">
        <v>695</v>
      </c>
      <c r="Y39" s="15">
        <v>1365.0</v>
      </c>
      <c r="AA39" s="15" t="str">
        <f>"525"</f>
        <v>525</v>
      </c>
      <c r="AB39" s="14" t="b">
        <v>1</v>
      </c>
      <c r="AC39" s="14" t="b">
        <v>1</v>
      </c>
      <c r="AD39" s="15" t="str">
        <f>"801542396800"</f>
        <v>801542396800</v>
      </c>
      <c r="AE39" s="15" t="s">
        <v>1083</v>
      </c>
      <c r="AF39" s="14" t="s">
        <v>404</v>
      </c>
      <c r="AG39" s="14" t="s">
        <v>405</v>
      </c>
      <c r="AH39" s="14" t="s">
        <v>406</v>
      </c>
      <c r="AI39" s="15">
        <v>0.0</v>
      </c>
      <c r="AL39" s="15" t="s">
        <v>1084</v>
      </c>
      <c r="AM39" s="15" t="s">
        <v>1053</v>
      </c>
      <c r="AN39" s="15" t="s">
        <v>1054</v>
      </c>
      <c r="AO39" s="15" t="s">
        <v>1085</v>
      </c>
      <c r="AP39" s="15" t="s">
        <v>1086</v>
      </c>
      <c r="AQ39" s="15" t="s">
        <v>517</v>
      </c>
      <c r="AR39" s="15" t="s">
        <v>518</v>
      </c>
      <c r="AS39" s="15" t="s">
        <v>725</v>
      </c>
      <c r="AT39" s="15" t="s">
        <v>1081</v>
      </c>
      <c r="AU39" s="15" t="s">
        <v>1087</v>
      </c>
      <c r="AV39" s="15" t="s">
        <v>1088</v>
      </c>
      <c r="AW39" s="15" t="s">
        <v>706</v>
      </c>
      <c r="AX39" s="15" t="s">
        <v>707</v>
      </c>
      <c r="AY39" s="15" t="s">
        <v>413</v>
      </c>
      <c r="AZ39" s="15" t="b">
        <v>0</v>
      </c>
      <c r="BA39" s="15" t="s">
        <v>426</v>
      </c>
      <c r="BB39" s="15" t="b">
        <v>1</v>
      </c>
      <c r="BC39" s="15" t="s">
        <v>1089</v>
      </c>
      <c r="BD39" s="15" t="s">
        <v>709</v>
      </c>
      <c r="BE39" s="15" t="str">
        <f t="shared" si="66"/>
        <v>1</v>
      </c>
      <c r="BF39" s="15" t="s">
        <v>416</v>
      </c>
      <c r="BG39" s="15" t="str">
        <f>"29.33"</f>
        <v>29.33</v>
      </c>
      <c r="BH39" s="15" t="s">
        <v>1090</v>
      </c>
      <c r="BI39" s="15" t="str">
        <f>"29.33"</f>
        <v>29.33</v>
      </c>
      <c r="BJ39" s="15" t="s">
        <v>1090</v>
      </c>
      <c r="BK39" s="15" t="str">
        <f>"33.07"</f>
        <v>33.07</v>
      </c>
      <c r="BL39" s="15" t="s">
        <v>1091</v>
      </c>
      <c r="BM39" s="15" t="str">
        <f>"39.68"</f>
        <v>39.68</v>
      </c>
      <c r="BN39" s="15" t="s">
        <v>1092</v>
      </c>
      <c r="BQ39" s="15" t="s">
        <v>444</v>
      </c>
      <c r="BS39" s="15" t="s">
        <v>444</v>
      </c>
      <c r="BU39" s="15" t="s">
        <v>444</v>
      </c>
      <c r="BW39" s="15" t="s">
        <v>444</v>
      </c>
      <c r="BZ39" s="15" t="s">
        <v>444</v>
      </c>
      <c r="CB39" s="15" t="s">
        <v>444</v>
      </c>
      <c r="CD39" s="15" t="s">
        <v>444</v>
      </c>
      <c r="CF39" s="15" t="s">
        <v>444</v>
      </c>
      <c r="CI39" s="15" t="s">
        <v>444</v>
      </c>
      <c r="CK39" s="15" t="s">
        <v>444</v>
      </c>
      <c r="CM39" s="15" t="s">
        <v>444</v>
      </c>
      <c r="CO39" s="15" t="s">
        <v>444</v>
      </c>
      <c r="CP39" s="15" t="str">
        <f>"16.46"</f>
        <v>16.46</v>
      </c>
      <c r="CQ39" s="15" t="str">
        <f>"0.466"</f>
        <v>0.466</v>
      </c>
      <c r="CR39" s="15" t="s">
        <v>465</v>
      </c>
      <c r="CY39" s="15" t="s">
        <v>525</v>
      </c>
      <c r="CZ39" s="15" t="s">
        <v>505</v>
      </c>
      <c r="DA39" s="15" t="s">
        <v>1064</v>
      </c>
      <c r="DB39" s="15" t="s">
        <v>1065</v>
      </c>
      <c r="DC39" s="15" t="str">
        <f>IFERROR(__xludf.DUMMYFUNCTION("""COMPUTED_VALUE"""),"{""value"":18.00,""unit"":""in""}")</f>
        <v>{"value":18.00,"unit":"in"}</v>
      </c>
      <c r="DD39" s="15" t="s">
        <v>466</v>
      </c>
      <c r="DE39" s="15" t="str">
        <f>IFERROR(__xludf.DUMMYFUNCTION("""COMPUTED_VALUE"""),"{""value"":19.25,""unit"":""in""}")</f>
        <v>{"value":19.25,"unit":"in"}</v>
      </c>
      <c r="DG39" s="15" t="str">
        <f>IFERROR(__xludf.DUMMYFUNCTION("""COMPUTED_VALUE"""),"")</f>
        <v/>
      </c>
      <c r="DH39" s="15">
        <v>0.0</v>
      </c>
      <c r="DI39" s="15">
        <v>1.0</v>
      </c>
      <c r="DJ39" s="15" t="s">
        <v>717</v>
      </c>
      <c r="DK39" s="15" t="s">
        <v>855</v>
      </c>
      <c r="DL39" s="15" t="str">
        <f>IFERROR(__xludf.DUMMYFUNCTION("""COMPUTED_VALUE"""),"Clean with solvent-based (dry clean only) products. Do not use water.")</f>
        <v>Clean with solvent-based (dry clean only) products. Do not use water.</v>
      </c>
      <c r="DM39" s="15" t="s">
        <v>856</v>
      </c>
      <c r="DQ39" s="15" t="s">
        <v>1066</v>
      </c>
      <c r="DT39" s="15" t="s">
        <v>721</v>
      </c>
      <c r="DU39" s="15" t="s">
        <v>419</v>
      </c>
      <c r="DV39" s="15">
        <v>0.0</v>
      </c>
      <c r="DZ39" s="15">
        <v>25000.0</v>
      </c>
      <c r="EA39" s="15" t="s">
        <v>722</v>
      </c>
      <c r="EB39" s="15" t="s">
        <v>723</v>
      </c>
      <c r="EC39" s="15" t="s">
        <v>724</v>
      </c>
      <c r="ED39" s="15">
        <v>1.0</v>
      </c>
      <c r="EE39" s="15">
        <v>1.0</v>
      </c>
      <c r="EG39" s="15" t="s">
        <v>444</v>
      </c>
      <c r="EH39" s="15" t="s">
        <v>1067</v>
      </c>
      <c r="EI39" s="15">
        <v>0.0</v>
      </c>
      <c r="EJ39" s="15" t="s">
        <v>726</v>
      </c>
      <c r="EK39" s="15" t="s">
        <v>727</v>
      </c>
      <c r="EL39" s="15" t="s">
        <v>1068</v>
      </c>
      <c r="EM39" s="15" t="str">
        <f>IFERROR(__xludf.DUMMYFUNCTION("""COMPUTED_VALUE"""),"{""value"":24.80,""unit"":""in""}")</f>
        <v>{"value":24.80,"unit":"in"}</v>
      </c>
      <c r="EN39" s="15" t="s">
        <v>1069</v>
      </c>
      <c r="EO39" s="15" t="s">
        <v>1070</v>
      </c>
      <c r="ES39" s="15" t="s">
        <v>1071</v>
      </c>
      <c r="ET39" s="15" t="s">
        <v>505</v>
      </c>
      <c r="EU39" s="15" t="s">
        <v>504</v>
      </c>
      <c r="EV39" s="15" t="s">
        <v>1072</v>
      </c>
      <c r="EW39" s="15" t="s">
        <v>1073</v>
      </c>
      <c r="EX39" s="15" t="s">
        <v>1074</v>
      </c>
      <c r="EY39" s="15" t="s">
        <v>1068</v>
      </c>
      <c r="EZ39" s="15" t="s">
        <v>1075</v>
      </c>
      <c r="FC39" s="15" t="s">
        <v>723</v>
      </c>
      <c r="FD39" s="15" t="s">
        <v>1076</v>
      </c>
      <c r="FE39" s="15" t="s">
        <v>1077</v>
      </c>
      <c r="FF39" s="15" t="s">
        <v>1078</v>
      </c>
      <c r="FG39" s="15" t="s">
        <v>1079</v>
      </c>
      <c r="FP39" s="15" t="s">
        <v>1075</v>
      </c>
      <c r="FQ39" s="15" t="s">
        <v>713</v>
      </c>
      <c r="FR39" s="15">
        <v>0.0</v>
      </c>
      <c r="FS39" s="15">
        <v>0.0</v>
      </c>
      <c r="FU39" s="15">
        <v>0.0</v>
      </c>
    </row>
    <row r="40" ht="15.75" customHeight="1">
      <c r="A40" s="14" t="s">
        <v>391</v>
      </c>
      <c r="B40" s="15" t="s">
        <v>1093</v>
      </c>
      <c r="C40" s="16"/>
      <c r="D40" s="15" t="s">
        <v>432</v>
      </c>
      <c r="G40" s="14" t="s">
        <v>393</v>
      </c>
      <c r="H40" s="14" t="s">
        <v>394</v>
      </c>
      <c r="I40" s="14" t="b">
        <v>1</v>
      </c>
      <c r="J40" s="14" t="s">
        <v>395</v>
      </c>
      <c r="L40" s="14" t="b">
        <v>0</v>
      </c>
      <c r="M40" s="15" t="s">
        <v>1094</v>
      </c>
      <c r="N40" s="14" t="s">
        <v>393</v>
      </c>
      <c r="O40" s="14" t="s">
        <v>393</v>
      </c>
      <c r="P40" s="15" t="s">
        <v>397</v>
      </c>
      <c r="Q40" s="15" t="s">
        <v>1095</v>
      </c>
      <c r="R40" s="15" t="s">
        <v>265</v>
      </c>
      <c r="S40" s="15" t="s">
        <v>1096</v>
      </c>
      <c r="T40" s="14" t="b">
        <v>0</v>
      </c>
      <c r="U40" s="15" t="s">
        <v>1097</v>
      </c>
      <c r="V40" s="15" t="s">
        <v>879</v>
      </c>
      <c r="W40" s="15" t="s">
        <v>401</v>
      </c>
      <c r="X40" s="15" t="s">
        <v>742</v>
      </c>
      <c r="Y40" s="15">
        <v>1976.0</v>
      </c>
      <c r="AA40" s="15" t="str">
        <f>"760"</f>
        <v>760</v>
      </c>
      <c r="AB40" s="14" t="b">
        <v>1</v>
      </c>
      <c r="AC40" s="14" t="b">
        <v>1</v>
      </c>
      <c r="AD40" s="15" t="str">
        <f>"801542820572"</f>
        <v>801542820572</v>
      </c>
      <c r="AE40" s="15" t="s">
        <v>1098</v>
      </c>
      <c r="AF40" s="14" t="s">
        <v>404</v>
      </c>
      <c r="AG40" s="14" t="s">
        <v>405</v>
      </c>
      <c r="AH40" s="14" t="s">
        <v>406</v>
      </c>
      <c r="AI40" s="15">
        <v>0.0</v>
      </c>
      <c r="AL40" s="15" t="s">
        <v>1099</v>
      </c>
      <c r="AM40" s="15" t="s">
        <v>1096</v>
      </c>
      <c r="AN40" s="15" t="s">
        <v>1100</v>
      </c>
      <c r="AO40" s="15" t="s">
        <v>913</v>
      </c>
      <c r="AP40" s="15" t="s">
        <v>914</v>
      </c>
      <c r="AQ40" s="15" t="s">
        <v>546</v>
      </c>
      <c r="AR40" s="15" t="s">
        <v>547</v>
      </c>
      <c r="AS40" s="15" t="s">
        <v>1101</v>
      </c>
      <c r="AT40" s="15" t="s">
        <v>1095</v>
      </c>
      <c r="AW40" s="15" t="s">
        <v>548</v>
      </c>
      <c r="AX40" s="15" t="s">
        <v>549</v>
      </c>
      <c r="AY40" s="15" t="s">
        <v>413</v>
      </c>
      <c r="AZ40" s="15" t="b">
        <v>0</v>
      </c>
      <c r="BA40" s="15" t="s">
        <v>413</v>
      </c>
      <c r="BB40" s="15" t="b">
        <v>0</v>
      </c>
      <c r="BC40" s="15" t="s">
        <v>1102</v>
      </c>
      <c r="BD40" s="15" t="s">
        <v>742</v>
      </c>
      <c r="BE40" s="15" t="str">
        <f t="shared" ref="BE40:BE43" si="67">"2"</f>
        <v>2</v>
      </c>
      <c r="BF40" s="15" t="s">
        <v>1103</v>
      </c>
      <c r="BG40" s="15" t="str">
        <f>"113.98"</f>
        <v>113.98</v>
      </c>
      <c r="BH40" s="15" t="s">
        <v>1104</v>
      </c>
      <c r="BI40" s="15" t="str">
        <f t="shared" ref="BI40:BI43" si="68">"39.17"</f>
        <v>39.17</v>
      </c>
      <c r="BJ40" s="15" t="s">
        <v>1105</v>
      </c>
      <c r="BK40" s="15" t="str">
        <f t="shared" ref="BK40:BK43" si="69">"8.27"</f>
        <v>8.27</v>
      </c>
      <c r="BL40" s="15" t="s">
        <v>1106</v>
      </c>
      <c r="BM40" s="15" t="str">
        <f>"145.51"</f>
        <v>145.51</v>
      </c>
      <c r="BN40" s="15" t="s">
        <v>1107</v>
      </c>
      <c r="BO40" s="15" t="s">
        <v>1108</v>
      </c>
      <c r="BP40" s="15" t="str">
        <f t="shared" ref="BP40:BP43" si="70">"34.25"</f>
        <v>34.25</v>
      </c>
      <c r="BQ40" s="15" t="s">
        <v>605</v>
      </c>
      <c r="BR40" s="15" t="str">
        <f t="shared" ref="BR40:BR43" si="71">"33.46"</f>
        <v>33.46</v>
      </c>
      <c r="BS40" s="15" t="s">
        <v>1109</v>
      </c>
      <c r="BT40" s="15" t="str">
        <f t="shared" ref="BT40:BT43" si="72">"10.63"</f>
        <v>10.63</v>
      </c>
      <c r="BU40" s="15" t="s">
        <v>931</v>
      </c>
      <c r="BV40" s="15" t="str">
        <f t="shared" ref="BV40:BV43" si="73">"38.58"</f>
        <v>38.58</v>
      </c>
      <c r="BW40" s="15" t="s">
        <v>1110</v>
      </c>
      <c r="BZ40" s="15" t="s">
        <v>444</v>
      </c>
      <c r="CB40" s="15" t="s">
        <v>444</v>
      </c>
      <c r="CD40" s="15" t="s">
        <v>444</v>
      </c>
      <c r="CF40" s="15" t="s">
        <v>444</v>
      </c>
      <c r="CI40" s="15" t="s">
        <v>444</v>
      </c>
      <c r="CK40" s="15" t="s">
        <v>444</v>
      </c>
      <c r="CM40" s="15" t="s">
        <v>444</v>
      </c>
      <c r="CO40" s="15" t="s">
        <v>444</v>
      </c>
      <c r="CP40" s="15" t="str">
        <f>"28.43"</f>
        <v>28.43</v>
      </c>
      <c r="CQ40" s="15" t="str">
        <f>"0.805"</f>
        <v>0.805</v>
      </c>
      <c r="CR40" s="15" t="s">
        <v>417</v>
      </c>
      <c r="DC40" s="15" t="str">
        <f>IFERROR(__xludf.DUMMYFUNCTION("""COMPUTED_VALUE"""),"")</f>
        <v/>
      </c>
      <c r="DE40" s="15" t="str">
        <f>IFERROR(__xludf.DUMMYFUNCTION("""COMPUTED_VALUE"""),"")</f>
        <v/>
      </c>
      <c r="DG40" s="15" t="str">
        <f>IFERROR(__xludf.DUMMYFUNCTION("""COMPUTED_VALUE"""),"")</f>
        <v/>
      </c>
      <c r="DL40" s="15" t="str">
        <f>IFERROR(__xludf.DUMMYFUNCTION("""COMPUTED_VALUE"""),"")</f>
        <v/>
      </c>
      <c r="DM40" s="15" t="s">
        <v>444</v>
      </c>
      <c r="DN40" s="15" t="s">
        <v>419</v>
      </c>
      <c r="DO40" s="15">
        <v>0.0</v>
      </c>
      <c r="DP40" s="15" t="s">
        <v>419</v>
      </c>
      <c r="DR40" s="15">
        <v>0.0</v>
      </c>
      <c r="DT40" s="15" t="s">
        <v>1111</v>
      </c>
      <c r="DU40" s="15" t="s">
        <v>419</v>
      </c>
      <c r="DW40" s="15">
        <v>0.0</v>
      </c>
      <c r="DX40" s="15">
        <v>0.0</v>
      </c>
      <c r="DY40" s="15">
        <v>0.0</v>
      </c>
      <c r="EE40" s="15">
        <v>12.0</v>
      </c>
      <c r="EF40" s="15" t="s">
        <v>1112</v>
      </c>
      <c r="EG40" s="15" t="s">
        <v>1113</v>
      </c>
      <c r="EH40" s="15" t="s">
        <v>1114</v>
      </c>
      <c r="EJ40" s="15" t="s">
        <v>424</v>
      </c>
      <c r="EK40" s="15" t="s">
        <v>446</v>
      </c>
      <c r="EM40" s="15" t="str">
        <f>IFERROR(__xludf.DUMMYFUNCTION("""COMPUTED_VALUE"""),"")</f>
        <v/>
      </c>
      <c r="EW40" s="15" t="s">
        <v>1115</v>
      </c>
      <c r="EX40" s="15" t="s">
        <v>1116</v>
      </c>
      <c r="EY40" s="15" t="s">
        <v>1117</v>
      </c>
      <c r="FH40" s="15" t="s">
        <v>1118</v>
      </c>
      <c r="FI40" s="15" t="s">
        <v>1119</v>
      </c>
      <c r="FJ40" s="15" t="s">
        <v>1120</v>
      </c>
      <c r="FK40" s="15" t="s">
        <v>1121</v>
      </c>
      <c r="FL40" s="15" t="s">
        <v>426</v>
      </c>
      <c r="FM40" s="15">
        <v>0.0</v>
      </c>
      <c r="FN40" s="15">
        <v>0.0</v>
      </c>
      <c r="FU40" s="15" t="s">
        <v>1122</v>
      </c>
      <c r="FV40" s="15" t="s">
        <v>555</v>
      </c>
      <c r="FW40" s="15" t="s">
        <v>822</v>
      </c>
      <c r="FX40" s="15" t="s">
        <v>1123</v>
      </c>
    </row>
    <row r="41" ht="15.75" customHeight="1">
      <c r="A41" s="14" t="s">
        <v>391</v>
      </c>
      <c r="B41" s="15" t="s">
        <v>1093</v>
      </c>
      <c r="C41" s="16"/>
      <c r="D41" s="15" t="s">
        <v>432</v>
      </c>
      <c r="G41" s="14" t="s">
        <v>393</v>
      </c>
      <c r="H41" s="14" t="s">
        <v>394</v>
      </c>
      <c r="I41" s="14" t="b">
        <v>1</v>
      </c>
      <c r="J41" s="14" t="s">
        <v>395</v>
      </c>
      <c r="L41" s="14" t="b">
        <v>0</v>
      </c>
      <c r="M41" s="15" t="s">
        <v>1124</v>
      </c>
      <c r="N41" s="14" t="s">
        <v>393</v>
      </c>
      <c r="O41" s="14" t="s">
        <v>393</v>
      </c>
      <c r="P41" s="15" t="s">
        <v>397</v>
      </c>
      <c r="Q41" s="15" t="s">
        <v>1095</v>
      </c>
      <c r="R41" s="15" t="s">
        <v>265</v>
      </c>
      <c r="S41" s="15" t="s">
        <v>1125</v>
      </c>
      <c r="T41" s="14" t="b">
        <v>0</v>
      </c>
      <c r="U41" s="15" t="s">
        <v>1126</v>
      </c>
      <c r="V41" s="15" t="s">
        <v>1127</v>
      </c>
      <c r="W41" s="15" t="s">
        <v>401</v>
      </c>
      <c r="X41" s="15" t="s">
        <v>742</v>
      </c>
      <c r="Y41" s="15">
        <v>1755.0</v>
      </c>
      <c r="AA41" s="15" t="str">
        <f>"675"</f>
        <v>675</v>
      </c>
      <c r="AB41" s="14" t="b">
        <v>1</v>
      </c>
      <c r="AC41" s="14" t="b">
        <v>1</v>
      </c>
      <c r="AD41" s="15" t="str">
        <f>"801542811570"</f>
        <v>801542811570</v>
      </c>
      <c r="AE41" s="15" t="s">
        <v>1128</v>
      </c>
      <c r="AF41" s="14" t="s">
        <v>404</v>
      </c>
      <c r="AG41" s="14" t="s">
        <v>405</v>
      </c>
      <c r="AH41" s="14" t="s">
        <v>406</v>
      </c>
      <c r="AI41" s="15">
        <v>0.0</v>
      </c>
      <c r="AL41" s="15" t="s">
        <v>1099</v>
      </c>
      <c r="AM41" s="15" t="s">
        <v>1125</v>
      </c>
      <c r="AN41" s="15" t="s">
        <v>1129</v>
      </c>
      <c r="AO41" s="15" t="s">
        <v>913</v>
      </c>
      <c r="AP41" s="15" t="s">
        <v>914</v>
      </c>
      <c r="AQ41" s="15" t="s">
        <v>546</v>
      </c>
      <c r="AR41" s="15" t="s">
        <v>547</v>
      </c>
      <c r="AS41" s="15" t="s">
        <v>1101</v>
      </c>
      <c r="AT41" s="15" t="s">
        <v>1095</v>
      </c>
      <c r="AW41" s="15" t="s">
        <v>548</v>
      </c>
      <c r="AX41" s="15" t="s">
        <v>549</v>
      </c>
      <c r="AY41" s="15" t="s">
        <v>413</v>
      </c>
      <c r="AZ41" s="15" t="b">
        <v>0</v>
      </c>
      <c r="BA41" s="15" t="s">
        <v>413</v>
      </c>
      <c r="BB41" s="15" t="b">
        <v>0</v>
      </c>
      <c r="BC41" s="15" t="s">
        <v>1102</v>
      </c>
      <c r="BD41" s="15" t="s">
        <v>742</v>
      </c>
      <c r="BE41" s="15" t="str">
        <f t="shared" si="67"/>
        <v>2</v>
      </c>
      <c r="BF41" s="15" t="s">
        <v>1103</v>
      </c>
      <c r="BG41" s="15" t="str">
        <f>"90.94"</f>
        <v>90.94</v>
      </c>
      <c r="BH41" s="15" t="s">
        <v>1130</v>
      </c>
      <c r="BI41" s="15" t="str">
        <f t="shared" si="68"/>
        <v>39.17</v>
      </c>
      <c r="BJ41" s="15" t="s">
        <v>1105</v>
      </c>
      <c r="BK41" s="15" t="str">
        <f t="shared" si="69"/>
        <v>8.27</v>
      </c>
      <c r="BL41" s="15" t="s">
        <v>1106</v>
      </c>
      <c r="BM41" s="15" t="str">
        <f>"110.23"</f>
        <v>110.23</v>
      </c>
      <c r="BN41" s="15" t="s">
        <v>1131</v>
      </c>
      <c r="BO41" s="15" t="s">
        <v>1108</v>
      </c>
      <c r="BP41" s="15" t="str">
        <f t="shared" si="70"/>
        <v>34.25</v>
      </c>
      <c r="BQ41" s="15" t="s">
        <v>605</v>
      </c>
      <c r="BR41" s="15" t="str">
        <f t="shared" si="71"/>
        <v>33.46</v>
      </c>
      <c r="BS41" s="15" t="s">
        <v>1109</v>
      </c>
      <c r="BT41" s="15" t="str">
        <f t="shared" si="72"/>
        <v>10.63</v>
      </c>
      <c r="BU41" s="15" t="s">
        <v>931</v>
      </c>
      <c r="BV41" s="15" t="str">
        <f t="shared" si="73"/>
        <v>38.58</v>
      </c>
      <c r="BW41" s="15" t="s">
        <v>1110</v>
      </c>
      <c r="BZ41" s="15" t="s">
        <v>444</v>
      </c>
      <c r="CB41" s="15" t="s">
        <v>444</v>
      </c>
      <c r="CD41" s="15" t="s">
        <v>444</v>
      </c>
      <c r="CF41" s="15" t="s">
        <v>444</v>
      </c>
      <c r="CI41" s="15" t="s">
        <v>444</v>
      </c>
      <c r="CK41" s="15" t="s">
        <v>444</v>
      </c>
      <c r="CM41" s="15" t="s">
        <v>444</v>
      </c>
      <c r="CO41" s="15" t="s">
        <v>444</v>
      </c>
      <c r="CP41" s="15" t="str">
        <f>"24.12"</f>
        <v>24.12</v>
      </c>
      <c r="CQ41" s="15" t="str">
        <f>"0.683"</f>
        <v>0.683</v>
      </c>
      <c r="CR41" s="15" t="s">
        <v>417</v>
      </c>
      <c r="DC41" s="15" t="str">
        <f>IFERROR(__xludf.DUMMYFUNCTION("""COMPUTED_VALUE"""),"")</f>
        <v/>
      </c>
      <c r="DE41" s="15" t="str">
        <f>IFERROR(__xludf.DUMMYFUNCTION("""COMPUTED_VALUE"""),"")</f>
        <v/>
      </c>
      <c r="DG41" s="15" t="str">
        <f>IFERROR(__xludf.DUMMYFUNCTION("""COMPUTED_VALUE"""),"")</f>
        <v/>
      </c>
      <c r="DL41" s="15" t="str">
        <f>IFERROR(__xludf.DUMMYFUNCTION("""COMPUTED_VALUE"""),"")</f>
        <v/>
      </c>
      <c r="DM41" s="15" t="s">
        <v>444</v>
      </c>
      <c r="DN41" s="15" t="s">
        <v>419</v>
      </c>
      <c r="DO41" s="15">
        <v>0.0</v>
      </c>
      <c r="DP41" s="15" t="s">
        <v>419</v>
      </c>
      <c r="DR41" s="15">
        <v>0.0</v>
      </c>
      <c r="DT41" s="15" t="s">
        <v>1111</v>
      </c>
      <c r="DU41" s="15" t="s">
        <v>419</v>
      </c>
      <c r="DW41" s="15">
        <v>0.0</v>
      </c>
      <c r="DX41" s="15">
        <v>0.0</v>
      </c>
      <c r="DY41" s="15">
        <v>0.0</v>
      </c>
      <c r="EE41" s="15">
        <v>8.0</v>
      </c>
      <c r="EF41" s="15" t="s">
        <v>1112</v>
      </c>
      <c r="EG41" s="15" t="s">
        <v>1113</v>
      </c>
      <c r="EH41" s="15" t="s">
        <v>1114</v>
      </c>
      <c r="EJ41" s="15" t="s">
        <v>424</v>
      </c>
      <c r="EK41" s="15" t="s">
        <v>446</v>
      </c>
      <c r="EM41" s="15" t="str">
        <f>IFERROR(__xludf.DUMMYFUNCTION("""COMPUTED_VALUE"""),"")</f>
        <v/>
      </c>
      <c r="EW41" s="15" t="s">
        <v>1132</v>
      </c>
      <c r="EX41" s="15" t="s">
        <v>1116</v>
      </c>
      <c r="EY41" s="15" t="s">
        <v>1133</v>
      </c>
      <c r="FH41" s="15" t="s">
        <v>1118</v>
      </c>
      <c r="FI41" s="15" t="s">
        <v>1119</v>
      </c>
      <c r="FJ41" s="15" t="s">
        <v>1134</v>
      </c>
      <c r="FK41" s="15" t="s">
        <v>1121</v>
      </c>
      <c r="FM41" s="15">
        <v>0.0</v>
      </c>
      <c r="FN41" s="15">
        <v>0.0</v>
      </c>
      <c r="FU41" s="15" t="s">
        <v>1122</v>
      </c>
      <c r="FV41" s="15" t="s">
        <v>555</v>
      </c>
      <c r="FW41" s="15" t="s">
        <v>822</v>
      </c>
      <c r="FX41" s="15" t="s">
        <v>559</v>
      </c>
    </row>
    <row r="42" ht="15.75" customHeight="1">
      <c r="A42" s="14" t="s">
        <v>391</v>
      </c>
      <c r="B42" s="15" t="s">
        <v>1093</v>
      </c>
      <c r="C42" s="16"/>
      <c r="D42" s="15" t="s">
        <v>432</v>
      </c>
      <c r="G42" s="14" t="s">
        <v>393</v>
      </c>
      <c r="H42" s="14" t="s">
        <v>394</v>
      </c>
      <c r="I42" s="14" t="b">
        <v>1</v>
      </c>
      <c r="J42" s="14" t="s">
        <v>395</v>
      </c>
      <c r="L42" s="14" t="b">
        <v>0</v>
      </c>
      <c r="M42" s="15" t="s">
        <v>1135</v>
      </c>
      <c r="N42" s="14" t="s">
        <v>393</v>
      </c>
      <c r="O42" s="14" t="s">
        <v>393</v>
      </c>
      <c r="P42" s="15" t="s">
        <v>397</v>
      </c>
      <c r="Q42" s="15" t="s">
        <v>1136</v>
      </c>
      <c r="R42" s="15" t="s">
        <v>265</v>
      </c>
      <c r="S42" s="15" t="s">
        <v>1096</v>
      </c>
      <c r="T42" s="14" t="b">
        <v>0</v>
      </c>
      <c r="U42" s="15" t="s">
        <v>1137</v>
      </c>
      <c r="V42" s="15" t="s">
        <v>879</v>
      </c>
      <c r="W42" s="15" t="s">
        <v>401</v>
      </c>
      <c r="X42" s="15" t="s">
        <v>742</v>
      </c>
      <c r="Y42" s="15">
        <v>1859.0</v>
      </c>
      <c r="AA42" s="15" t="str">
        <f>"715"</f>
        <v>715</v>
      </c>
      <c r="AB42" s="14" t="b">
        <v>1</v>
      </c>
      <c r="AC42" s="14" t="b">
        <v>1</v>
      </c>
      <c r="AD42" s="15" t="str">
        <f>"801542750640"</f>
        <v>801542750640</v>
      </c>
      <c r="AE42" s="15" t="s">
        <v>1138</v>
      </c>
      <c r="AF42" s="14" t="s">
        <v>404</v>
      </c>
      <c r="AG42" s="14" t="s">
        <v>405</v>
      </c>
      <c r="AH42" s="14" t="s">
        <v>406</v>
      </c>
      <c r="AI42" s="15">
        <v>0.0</v>
      </c>
      <c r="AL42" s="15" t="s">
        <v>1099</v>
      </c>
      <c r="AM42" s="15" t="s">
        <v>1096</v>
      </c>
      <c r="AN42" s="15" t="s">
        <v>1100</v>
      </c>
      <c r="AO42" s="15" t="s">
        <v>913</v>
      </c>
      <c r="AP42" s="15" t="s">
        <v>914</v>
      </c>
      <c r="AQ42" s="15" t="s">
        <v>546</v>
      </c>
      <c r="AR42" s="15" t="s">
        <v>547</v>
      </c>
      <c r="AS42" s="15" t="s">
        <v>1101</v>
      </c>
      <c r="AT42" s="15" t="s">
        <v>1136</v>
      </c>
      <c r="AU42" s="15" t="s">
        <v>1139</v>
      </c>
      <c r="AW42" s="15" t="s">
        <v>548</v>
      </c>
      <c r="AX42" s="15" t="s">
        <v>549</v>
      </c>
      <c r="AY42" s="15" t="s">
        <v>413</v>
      </c>
      <c r="AZ42" s="15" t="b">
        <v>0</v>
      </c>
      <c r="BA42" s="15" t="s">
        <v>413</v>
      </c>
      <c r="BB42" s="15" t="b">
        <v>0</v>
      </c>
      <c r="BC42" s="15" t="s">
        <v>1140</v>
      </c>
      <c r="BD42" s="15" t="s">
        <v>742</v>
      </c>
      <c r="BE42" s="15" t="str">
        <f t="shared" si="67"/>
        <v>2</v>
      </c>
      <c r="BF42" s="15" t="s">
        <v>1103</v>
      </c>
      <c r="BG42" s="15" t="str">
        <f>"113.98"</f>
        <v>113.98</v>
      </c>
      <c r="BH42" s="15" t="s">
        <v>1104</v>
      </c>
      <c r="BI42" s="15" t="str">
        <f t="shared" si="68"/>
        <v>39.17</v>
      </c>
      <c r="BJ42" s="15" t="s">
        <v>1105</v>
      </c>
      <c r="BK42" s="15" t="str">
        <f t="shared" si="69"/>
        <v>8.27</v>
      </c>
      <c r="BL42" s="15" t="s">
        <v>1106</v>
      </c>
      <c r="BM42" s="15" t="str">
        <f>"145.51"</f>
        <v>145.51</v>
      </c>
      <c r="BN42" s="15" t="s">
        <v>1107</v>
      </c>
      <c r="BO42" s="15" t="s">
        <v>1108</v>
      </c>
      <c r="BP42" s="15" t="str">
        <f t="shared" si="70"/>
        <v>34.25</v>
      </c>
      <c r="BQ42" s="15" t="s">
        <v>605</v>
      </c>
      <c r="BR42" s="15" t="str">
        <f t="shared" si="71"/>
        <v>33.46</v>
      </c>
      <c r="BS42" s="15" t="s">
        <v>1109</v>
      </c>
      <c r="BT42" s="15" t="str">
        <f t="shared" si="72"/>
        <v>10.63</v>
      </c>
      <c r="BU42" s="15" t="s">
        <v>931</v>
      </c>
      <c r="BV42" s="15" t="str">
        <f t="shared" si="73"/>
        <v>38.58</v>
      </c>
      <c r="BW42" s="15" t="s">
        <v>1110</v>
      </c>
      <c r="BZ42" s="15" t="s">
        <v>444</v>
      </c>
      <c r="CB42" s="15" t="s">
        <v>444</v>
      </c>
      <c r="CD42" s="15" t="s">
        <v>444</v>
      </c>
      <c r="CF42" s="15" t="s">
        <v>444</v>
      </c>
      <c r="CI42" s="15" t="s">
        <v>444</v>
      </c>
      <c r="CK42" s="15" t="s">
        <v>444</v>
      </c>
      <c r="CM42" s="15" t="s">
        <v>444</v>
      </c>
      <c r="CO42" s="15" t="s">
        <v>444</v>
      </c>
      <c r="CP42" s="15" t="str">
        <f>"28.43"</f>
        <v>28.43</v>
      </c>
      <c r="CQ42" s="15" t="str">
        <f>"0.805"</f>
        <v>0.805</v>
      </c>
      <c r="CR42" s="15" t="s">
        <v>465</v>
      </c>
      <c r="DC42" s="15" t="str">
        <f>IFERROR(__xludf.DUMMYFUNCTION("""COMPUTED_VALUE"""),"")</f>
        <v/>
      </c>
      <c r="DE42" s="15" t="str">
        <f>IFERROR(__xludf.DUMMYFUNCTION("""COMPUTED_VALUE"""),"")</f>
        <v/>
      </c>
      <c r="DG42" s="15" t="str">
        <f>IFERROR(__xludf.DUMMYFUNCTION("""COMPUTED_VALUE"""),"")</f>
        <v/>
      </c>
      <c r="DL42" s="15" t="str">
        <f>IFERROR(__xludf.DUMMYFUNCTION("""COMPUTED_VALUE"""),"")</f>
        <v/>
      </c>
      <c r="DM42" s="15" t="s">
        <v>444</v>
      </c>
      <c r="DN42" s="15" t="s">
        <v>419</v>
      </c>
      <c r="DO42" s="15">
        <v>0.0</v>
      </c>
      <c r="DP42" s="15" t="s">
        <v>419</v>
      </c>
      <c r="DR42" s="15">
        <v>0.0</v>
      </c>
      <c r="DT42" s="15" t="s">
        <v>1111</v>
      </c>
      <c r="DU42" s="15" t="s">
        <v>419</v>
      </c>
      <c r="DW42" s="15">
        <v>0.0</v>
      </c>
      <c r="DX42" s="15">
        <v>0.0</v>
      </c>
      <c r="DY42" s="15">
        <v>0.0</v>
      </c>
      <c r="EE42" s="15">
        <v>12.0</v>
      </c>
      <c r="EF42" s="15" t="s">
        <v>1112</v>
      </c>
      <c r="EG42" s="15" t="s">
        <v>1113</v>
      </c>
      <c r="EH42" s="15" t="s">
        <v>1114</v>
      </c>
      <c r="EJ42" s="15" t="s">
        <v>424</v>
      </c>
      <c r="EK42" s="15" t="s">
        <v>446</v>
      </c>
      <c r="EM42" s="15" t="str">
        <f>IFERROR(__xludf.DUMMYFUNCTION("""COMPUTED_VALUE"""),"")</f>
        <v/>
      </c>
      <c r="EW42" s="15" t="s">
        <v>1115</v>
      </c>
      <c r="EX42" s="15" t="s">
        <v>1116</v>
      </c>
      <c r="EY42" s="15" t="s">
        <v>1117</v>
      </c>
      <c r="FH42" s="15" t="s">
        <v>1118</v>
      </c>
      <c r="FI42" s="15" t="s">
        <v>1119</v>
      </c>
      <c r="FJ42" s="15" t="s">
        <v>1120</v>
      </c>
      <c r="FK42" s="15" t="s">
        <v>1121</v>
      </c>
      <c r="FL42" s="15" t="s">
        <v>426</v>
      </c>
      <c r="FM42" s="15">
        <v>0.0</v>
      </c>
      <c r="FN42" s="15">
        <v>0.0</v>
      </c>
      <c r="FU42" s="15" t="s">
        <v>1122</v>
      </c>
      <c r="FV42" s="15" t="s">
        <v>555</v>
      </c>
      <c r="FW42" s="15" t="s">
        <v>822</v>
      </c>
      <c r="FX42" s="15" t="s">
        <v>1123</v>
      </c>
    </row>
    <row r="43" ht="15.75" customHeight="1">
      <c r="A43" s="14" t="s">
        <v>391</v>
      </c>
      <c r="B43" s="15" t="s">
        <v>1093</v>
      </c>
      <c r="C43" s="16"/>
      <c r="D43" s="15" t="s">
        <v>432</v>
      </c>
      <c r="G43" s="14" t="s">
        <v>393</v>
      </c>
      <c r="H43" s="14" t="s">
        <v>394</v>
      </c>
      <c r="I43" s="14" t="b">
        <v>1</v>
      </c>
      <c r="J43" s="14" t="s">
        <v>395</v>
      </c>
      <c r="L43" s="14" t="b">
        <v>0</v>
      </c>
      <c r="M43" s="15" t="s">
        <v>1141</v>
      </c>
      <c r="N43" s="14" t="s">
        <v>393</v>
      </c>
      <c r="O43" s="14" t="s">
        <v>393</v>
      </c>
      <c r="P43" s="15" t="s">
        <v>397</v>
      </c>
      <c r="Q43" s="15" t="s">
        <v>1136</v>
      </c>
      <c r="R43" s="15" t="s">
        <v>265</v>
      </c>
      <c r="S43" s="15" t="s">
        <v>1125</v>
      </c>
      <c r="T43" s="14" t="b">
        <v>0</v>
      </c>
      <c r="U43" s="15" t="s">
        <v>1142</v>
      </c>
      <c r="V43" s="15" t="s">
        <v>1127</v>
      </c>
      <c r="W43" s="15" t="s">
        <v>401</v>
      </c>
      <c r="X43" s="15" t="s">
        <v>742</v>
      </c>
      <c r="Y43" s="15">
        <v>1638.0</v>
      </c>
      <c r="AA43" s="15" t="str">
        <f>"630"</f>
        <v>630</v>
      </c>
      <c r="AB43" s="14" t="b">
        <v>1</v>
      </c>
      <c r="AC43" s="14" t="b">
        <v>1</v>
      </c>
      <c r="AD43" s="15" t="str">
        <f>"801542751104"</f>
        <v>801542751104</v>
      </c>
      <c r="AE43" s="15" t="s">
        <v>1143</v>
      </c>
      <c r="AF43" s="14" t="s">
        <v>404</v>
      </c>
      <c r="AG43" s="14" t="s">
        <v>405</v>
      </c>
      <c r="AH43" s="14" t="s">
        <v>406</v>
      </c>
      <c r="AI43" s="15">
        <v>0.0</v>
      </c>
      <c r="AL43" s="15" t="s">
        <v>1099</v>
      </c>
      <c r="AM43" s="15" t="s">
        <v>1125</v>
      </c>
      <c r="AN43" s="15" t="s">
        <v>1129</v>
      </c>
      <c r="AO43" s="15" t="s">
        <v>913</v>
      </c>
      <c r="AP43" s="15" t="s">
        <v>914</v>
      </c>
      <c r="AQ43" s="15" t="s">
        <v>546</v>
      </c>
      <c r="AR43" s="15" t="s">
        <v>547</v>
      </c>
      <c r="AS43" s="15" t="s">
        <v>1101</v>
      </c>
      <c r="AT43" s="15" t="s">
        <v>1136</v>
      </c>
      <c r="AU43" s="15" t="s">
        <v>1139</v>
      </c>
      <c r="AW43" s="15" t="s">
        <v>548</v>
      </c>
      <c r="AX43" s="15" t="s">
        <v>549</v>
      </c>
      <c r="AY43" s="15" t="s">
        <v>413</v>
      </c>
      <c r="AZ43" s="15" t="b">
        <v>0</v>
      </c>
      <c r="BA43" s="15" t="s">
        <v>413</v>
      </c>
      <c r="BB43" s="15" t="b">
        <v>0</v>
      </c>
      <c r="BC43" s="15" t="s">
        <v>1144</v>
      </c>
      <c r="BD43" s="15" t="s">
        <v>742</v>
      </c>
      <c r="BE43" s="15" t="str">
        <f t="shared" si="67"/>
        <v>2</v>
      </c>
      <c r="BF43" s="15" t="s">
        <v>1103</v>
      </c>
      <c r="BG43" s="15" t="str">
        <f>"90.94"</f>
        <v>90.94</v>
      </c>
      <c r="BH43" s="15" t="s">
        <v>1130</v>
      </c>
      <c r="BI43" s="15" t="str">
        <f t="shared" si="68"/>
        <v>39.17</v>
      </c>
      <c r="BJ43" s="15" t="s">
        <v>1105</v>
      </c>
      <c r="BK43" s="15" t="str">
        <f t="shared" si="69"/>
        <v>8.27</v>
      </c>
      <c r="BL43" s="15" t="s">
        <v>1106</v>
      </c>
      <c r="BM43" s="15" t="str">
        <f>"110.23"</f>
        <v>110.23</v>
      </c>
      <c r="BN43" s="15" t="s">
        <v>1131</v>
      </c>
      <c r="BO43" s="15" t="s">
        <v>1108</v>
      </c>
      <c r="BP43" s="15" t="str">
        <f t="shared" si="70"/>
        <v>34.25</v>
      </c>
      <c r="BQ43" s="15" t="s">
        <v>605</v>
      </c>
      <c r="BR43" s="15" t="str">
        <f t="shared" si="71"/>
        <v>33.46</v>
      </c>
      <c r="BS43" s="15" t="s">
        <v>1109</v>
      </c>
      <c r="BT43" s="15" t="str">
        <f t="shared" si="72"/>
        <v>10.63</v>
      </c>
      <c r="BU43" s="15" t="s">
        <v>931</v>
      </c>
      <c r="BV43" s="15" t="str">
        <f t="shared" si="73"/>
        <v>38.58</v>
      </c>
      <c r="BW43" s="15" t="s">
        <v>1110</v>
      </c>
      <c r="BZ43" s="15" t="s">
        <v>444</v>
      </c>
      <c r="CB43" s="15" t="s">
        <v>444</v>
      </c>
      <c r="CD43" s="15" t="s">
        <v>444</v>
      </c>
      <c r="CF43" s="15" t="s">
        <v>444</v>
      </c>
      <c r="CI43" s="15" t="s">
        <v>444</v>
      </c>
      <c r="CK43" s="15" t="s">
        <v>444</v>
      </c>
      <c r="CM43" s="15" t="s">
        <v>444</v>
      </c>
      <c r="CO43" s="15" t="s">
        <v>444</v>
      </c>
      <c r="CP43" s="15" t="str">
        <f>"24.12"</f>
        <v>24.12</v>
      </c>
      <c r="CQ43" s="15" t="str">
        <f>"0.683"</f>
        <v>0.683</v>
      </c>
      <c r="CR43" s="15" t="s">
        <v>497</v>
      </c>
      <c r="DC43" s="15" t="str">
        <f>IFERROR(__xludf.DUMMYFUNCTION("""COMPUTED_VALUE"""),"")</f>
        <v/>
      </c>
      <c r="DE43" s="15" t="str">
        <f>IFERROR(__xludf.DUMMYFUNCTION("""COMPUTED_VALUE"""),"")</f>
        <v/>
      </c>
      <c r="DG43" s="15" t="str">
        <f>IFERROR(__xludf.DUMMYFUNCTION("""COMPUTED_VALUE"""),"")</f>
        <v/>
      </c>
      <c r="DL43" s="15" t="str">
        <f>IFERROR(__xludf.DUMMYFUNCTION("""COMPUTED_VALUE"""),"")</f>
        <v/>
      </c>
      <c r="DM43" s="15" t="s">
        <v>444</v>
      </c>
      <c r="DN43" s="15" t="s">
        <v>419</v>
      </c>
      <c r="DO43" s="15">
        <v>0.0</v>
      </c>
      <c r="DP43" s="15" t="s">
        <v>419</v>
      </c>
      <c r="DR43" s="15">
        <v>0.0</v>
      </c>
      <c r="DT43" s="15" t="s">
        <v>1111</v>
      </c>
      <c r="DU43" s="15" t="s">
        <v>419</v>
      </c>
      <c r="DW43" s="15">
        <v>0.0</v>
      </c>
      <c r="DX43" s="15">
        <v>0.0</v>
      </c>
      <c r="DY43" s="15">
        <v>0.0</v>
      </c>
      <c r="EE43" s="15">
        <v>8.0</v>
      </c>
      <c r="EF43" s="15" t="s">
        <v>1112</v>
      </c>
      <c r="EG43" s="15" t="s">
        <v>1113</v>
      </c>
      <c r="EH43" s="15" t="s">
        <v>1114</v>
      </c>
      <c r="EJ43" s="15" t="s">
        <v>424</v>
      </c>
      <c r="EK43" s="15" t="s">
        <v>446</v>
      </c>
      <c r="EM43" s="15" t="str">
        <f>IFERROR(__xludf.DUMMYFUNCTION("""COMPUTED_VALUE"""),"")</f>
        <v/>
      </c>
      <c r="EW43" s="15" t="s">
        <v>1132</v>
      </c>
      <c r="EX43" s="15" t="s">
        <v>1116</v>
      </c>
      <c r="EY43" s="15" t="s">
        <v>1133</v>
      </c>
      <c r="FH43" s="15" t="s">
        <v>1118</v>
      </c>
      <c r="FI43" s="15" t="s">
        <v>1119</v>
      </c>
      <c r="FJ43" s="15" t="s">
        <v>1134</v>
      </c>
      <c r="FK43" s="15" t="s">
        <v>1121</v>
      </c>
      <c r="FM43" s="15">
        <v>0.0</v>
      </c>
      <c r="FN43" s="15">
        <v>0.0</v>
      </c>
      <c r="FU43" s="15" t="s">
        <v>1122</v>
      </c>
      <c r="FV43" s="15" t="s">
        <v>555</v>
      </c>
      <c r="FW43" s="15" t="s">
        <v>822</v>
      </c>
      <c r="FX43" s="15" t="s">
        <v>559</v>
      </c>
    </row>
    <row r="44" ht="15.75" customHeight="1">
      <c r="A44" s="14" t="s">
        <v>391</v>
      </c>
      <c r="B44" s="15" t="s">
        <v>1145</v>
      </c>
      <c r="C44" s="16"/>
      <c r="D44" s="15" t="s">
        <v>432</v>
      </c>
      <c r="G44" s="14" t="s">
        <v>393</v>
      </c>
      <c r="H44" s="14" t="s">
        <v>394</v>
      </c>
      <c r="I44" s="14" t="b">
        <v>1</v>
      </c>
      <c r="J44" s="14" t="s">
        <v>395</v>
      </c>
      <c r="L44" s="14" t="b">
        <v>0</v>
      </c>
      <c r="M44" s="15" t="s">
        <v>1146</v>
      </c>
      <c r="N44" s="14" t="s">
        <v>393</v>
      </c>
      <c r="O44" s="14" t="s">
        <v>393</v>
      </c>
      <c r="P44" s="15" t="s">
        <v>397</v>
      </c>
      <c r="Q44" s="15" t="s">
        <v>1095</v>
      </c>
      <c r="T44" s="14" t="b">
        <v>0</v>
      </c>
      <c r="U44" s="15" t="s">
        <v>1147</v>
      </c>
      <c r="V44" s="15" t="s">
        <v>1148</v>
      </c>
      <c r="W44" s="15" t="s">
        <v>401</v>
      </c>
      <c r="X44" s="15" t="s">
        <v>695</v>
      </c>
      <c r="Y44" s="15">
        <v>767.0</v>
      </c>
      <c r="AA44" s="15" t="str">
        <f t="shared" ref="AA44:AA45" si="74">"295"</f>
        <v>295</v>
      </c>
      <c r="AB44" s="14" t="b">
        <v>1</v>
      </c>
      <c r="AC44" s="14" t="b">
        <v>1</v>
      </c>
      <c r="AD44" s="15" t="str">
        <f>"801542725075"</f>
        <v>801542725075</v>
      </c>
      <c r="AE44" s="15" t="s">
        <v>1149</v>
      </c>
      <c r="AF44" s="14" t="s">
        <v>404</v>
      </c>
      <c r="AG44" s="14" t="s">
        <v>405</v>
      </c>
      <c r="AH44" s="14" t="s">
        <v>406</v>
      </c>
      <c r="AI44" s="15">
        <v>0.0</v>
      </c>
      <c r="AL44" s="15" t="s">
        <v>1099</v>
      </c>
      <c r="AM44" s="15" t="s">
        <v>1150</v>
      </c>
      <c r="AN44" s="15" t="s">
        <v>1151</v>
      </c>
      <c r="AO44" s="15" t="s">
        <v>1150</v>
      </c>
      <c r="AP44" s="15" t="s">
        <v>1151</v>
      </c>
      <c r="AQ44" s="15" t="s">
        <v>1152</v>
      </c>
      <c r="AR44" s="15" t="s">
        <v>1153</v>
      </c>
      <c r="AS44" s="15" t="s">
        <v>813</v>
      </c>
      <c r="AT44" s="15" t="s">
        <v>1095</v>
      </c>
      <c r="AW44" s="15" t="s">
        <v>1154</v>
      </c>
      <c r="AY44" s="15" t="s">
        <v>413</v>
      </c>
      <c r="AZ44" s="15" t="b">
        <v>0</v>
      </c>
      <c r="BA44" s="15" t="s">
        <v>413</v>
      </c>
      <c r="BB44" s="15" t="b">
        <v>0</v>
      </c>
      <c r="BC44" s="15" t="s">
        <v>1155</v>
      </c>
      <c r="BD44" s="15" t="s">
        <v>709</v>
      </c>
      <c r="BE44" s="15" t="str">
        <f t="shared" ref="BE44:BE70" si="75">"1"</f>
        <v>1</v>
      </c>
      <c r="BF44" s="15" t="s">
        <v>416</v>
      </c>
      <c r="BG44" s="15" t="str">
        <f t="shared" ref="BG44:BG45" si="76">"18.5"</f>
        <v>18.5</v>
      </c>
      <c r="BH44" s="15" t="s">
        <v>810</v>
      </c>
      <c r="BI44" s="15" t="str">
        <f t="shared" ref="BI44:BI45" si="77">"18.5"</f>
        <v>18.5</v>
      </c>
      <c r="BJ44" s="15" t="s">
        <v>810</v>
      </c>
      <c r="BK44" s="15" t="str">
        <f t="shared" ref="BK44:BK45" si="78">"22.44"</f>
        <v>22.44</v>
      </c>
      <c r="BL44" s="15" t="s">
        <v>1156</v>
      </c>
      <c r="BM44" s="15" t="str">
        <f t="shared" ref="BM44:BM45" si="79">"52.91"</f>
        <v>52.91</v>
      </c>
      <c r="BN44" s="15" t="s">
        <v>921</v>
      </c>
      <c r="BQ44" s="15" t="s">
        <v>444</v>
      </c>
      <c r="BS44" s="15" t="s">
        <v>444</v>
      </c>
      <c r="BU44" s="15" t="s">
        <v>444</v>
      </c>
      <c r="BW44" s="15" t="s">
        <v>444</v>
      </c>
      <c r="BZ44" s="15" t="s">
        <v>444</v>
      </c>
      <c r="CB44" s="15" t="s">
        <v>444</v>
      </c>
      <c r="CD44" s="15" t="s">
        <v>444</v>
      </c>
      <c r="CF44" s="15" t="s">
        <v>444</v>
      </c>
      <c r="CI44" s="15" t="s">
        <v>444</v>
      </c>
      <c r="CK44" s="15" t="s">
        <v>444</v>
      </c>
      <c r="CM44" s="15" t="s">
        <v>444</v>
      </c>
      <c r="CO44" s="15" t="s">
        <v>444</v>
      </c>
      <c r="CP44" s="15" t="str">
        <f t="shared" ref="CP44:CP45" si="80">"4.45"</f>
        <v>4.45</v>
      </c>
      <c r="CQ44" s="15" t="str">
        <f t="shared" ref="CQ44:CQ45" si="81">"0.126"</f>
        <v>0.126</v>
      </c>
      <c r="CR44" s="15" t="s">
        <v>465</v>
      </c>
      <c r="DC44" s="15" t="str">
        <f>IFERROR(__xludf.DUMMYFUNCTION("""COMPUTED_VALUE"""),"")</f>
        <v/>
      </c>
      <c r="DE44" s="15" t="str">
        <f>IFERROR(__xludf.DUMMYFUNCTION("""COMPUTED_VALUE"""),"")</f>
        <v/>
      </c>
      <c r="DG44" s="15" t="str">
        <f>IFERROR(__xludf.DUMMYFUNCTION("""COMPUTED_VALUE"""),"")</f>
        <v/>
      </c>
      <c r="DL44" s="15" t="str">
        <f>IFERROR(__xludf.DUMMYFUNCTION("""COMPUTED_VALUE"""),"")</f>
        <v/>
      </c>
      <c r="DM44" s="15" t="s">
        <v>444</v>
      </c>
      <c r="DN44" s="15" t="s">
        <v>419</v>
      </c>
      <c r="DO44" s="15">
        <v>0.0</v>
      </c>
      <c r="DP44" s="15" t="s">
        <v>419</v>
      </c>
      <c r="DR44" s="15">
        <v>0.0</v>
      </c>
      <c r="DU44" s="15" t="s">
        <v>419</v>
      </c>
      <c r="DY44" s="15">
        <v>0.0</v>
      </c>
      <c r="EF44" s="15" t="s">
        <v>1157</v>
      </c>
      <c r="EG44" s="15" t="s">
        <v>1158</v>
      </c>
      <c r="EH44" s="15" t="s">
        <v>1159</v>
      </c>
      <c r="EJ44" s="15" t="s">
        <v>500</v>
      </c>
      <c r="EK44" s="15" t="s">
        <v>501</v>
      </c>
      <c r="EM44" s="15" t="str">
        <f>IFERROR(__xludf.DUMMYFUNCTION("""COMPUTED_VALUE"""),"")</f>
        <v/>
      </c>
      <c r="FH44" s="15" t="s">
        <v>1160</v>
      </c>
      <c r="FI44" s="15" t="s">
        <v>1161</v>
      </c>
      <c r="FJ44" s="15" t="s">
        <v>1160</v>
      </c>
      <c r="FL44" s="15" t="s">
        <v>426</v>
      </c>
      <c r="FM44" s="15">
        <v>0.0</v>
      </c>
      <c r="FN44" s="15">
        <v>0.0</v>
      </c>
    </row>
    <row r="45" ht="15.75" customHeight="1">
      <c r="A45" s="14" t="s">
        <v>391</v>
      </c>
      <c r="B45" s="15" t="s">
        <v>1145</v>
      </c>
      <c r="C45" s="16"/>
      <c r="D45" s="15" t="s">
        <v>432</v>
      </c>
      <c r="G45" s="14" t="s">
        <v>393</v>
      </c>
      <c r="H45" s="14" t="s">
        <v>394</v>
      </c>
      <c r="I45" s="14" t="b">
        <v>1</v>
      </c>
      <c r="J45" s="14" t="s">
        <v>395</v>
      </c>
      <c r="L45" s="14" t="b">
        <v>0</v>
      </c>
      <c r="M45" s="15" t="s">
        <v>1162</v>
      </c>
      <c r="N45" s="14" t="s">
        <v>393</v>
      </c>
      <c r="O45" s="14" t="s">
        <v>393</v>
      </c>
      <c r="P45" s="15" t="s">
        <v>397</v>
      </c>
      <c r="Q45" s="15" t="s">
        <v>1163</v>
      </c>
      <c r="T45" s="14" t="b">
        <v>0</v>
      </c>
      <c r="U45" s="15" t="s">
        <v>1164</v>
      </c>
      <c r="V45" s="15" t="s">
        <v>1148</v>
      </c>
      <c r="W45" s="15" t="s">
        <v>401</v>
      </c>
      <c r="X45" s="15" t="s">
        <v>695</v>
      </c>
      <c r="Y45" s="15">
        <v>767.0</v>
      </c>
      <c r="AA45" s="15" t="str">
        <f t="shared" si="74"/>
        <v>295</v>
      </c>
      <c r="AB45" s="14" t="b">
        <v>1</v>
      </c>
      <c r="AC45" s="14" t="b">
        <v>1</v>
      </c>
      <c r="AD45" s="15" t="str">
        <f>"801542354916"</f>
        <v>801542354916</v>
      </c>
      <c r="AE45" s="15" t="s">
        <v>1165</v>
      </c>
      <c r="AF45" s="14" t="s">
        <v>404</v>
      </c>
      <c r="AG45" s="14" t="s">
        <v>405</v>
      </c>
      <c r="AH45" s="14" t="s">
        <v>406</v>
      </c>
      <c r="AI45" s="15">
        <v>0.0</v>
      </c>
      <c r="AL45" s="15" t="s">
        <v>1099</v>
      </c>
      <c r="AM45" s="15" t="s">
        <v>1150</v>
      </c>
      <c r="AN45" s="15" t="s">
        <v>1151</v>
      </c>
      <c r="AO45" s="15" t="s">
        <v>1150</v>
      </c>
      <c r="AP45" s="15" t="s">
        <v>1151</v>
      </c>
      <c r="AQ45" s="15" t="s">
        <v>1152</v>
      </c>
      <c r="AR45" s="15" t="s">
        <v>1153</v>
      </c>
      <c r="AS45" s="15" t="s">
        <v>813</v>
      </c>
      <c r="AT45" s="15" t="s">
        <v>1163</v>
      </c>
      <c r="AW45" s="15" t="s">
        <v>1154</v>
      </c>
      <c r="AY45" s="15" t="s">
        <v>413</v>
      </c>
      <c r="AZ45" s="15" t="b">
        <v>0</v>
      </c>
      <c r="BA45" s="15" t="s">
        <v>413</v>
      </c>
      <c r="BB45" s="15" t="b">
        <v>0</v>
      </c>
      <c r="BC45" s="15" t="s">
        <v>1166</v>
      </c>
      <c r="BD45" s="15" t="s">
        <v>709</v>
      </c>
      <c r="BE45" s="15" t="str">
        <f t="shared" si="75"/>
        <v>1</v>
      </c>
      <c r="BF45" s="15" t="s">
        <v>416</v>
      </c>
      <c r="BG45" s="15" t="str">
        <f t="shared" si="76"/>
        <v>18.5</v>
      </c>
      <c r="BH45" s="15" t="s">
        <v>810</v>
      </c>
      <c r="BI45" s="15" t="str">
        <f t="shared" si="77"/>
        <v>18.5</v>
      </c>
      <c r="BJ45" s="15" t="s">
        <v>810</v>
      </c>
      <c r="BK45" s="15" t="str">
        <f t="shared" si="78"/>
        <v>22.44</v>
      </c>
      <c r="BL45" s="15" t="s">
        <v>1156</v>
      </c>
      <c r="BM45" s="15" t="str">
        <f t="shared" si="79"/>
        <v>52.91</v>
      </c>
      <c r="BN45" s="15" t="s">
        <v>921</v>
      </c>
      <c r="BQ45" s="15" t="s">
        <v>444</v>
      </c>
      <c r="BS45" s="15" t="s">
        <v>444</v>
      </c>
      <c r="BU45" s="15" t="s">
        <v>444</v>
      </c>
      <c r="BW45" s="15" t="s">
        <v>444</v>
      </c>
      <c r="BZ45" s="15" t="s">
        <v>444</v>
      </c>
      <c r="CB45" s="15" t="s">
        <v>444</v>
      </c>
      <c r="CD45" s="15" t="s">
        <v>444</v>
      </c>
      <c r="CF45" s="15" t="s">
        <v>444</v>
      </c>
      <c r="CI45" s="15" t="s">
        <v>444</v>
      </c>
      <c r="CK45" s="15" t="s">
        <v>444</v>
      </c>
      <c r="CM45" s="15" t="s">
        <v>444</v>
      </c>
      <c r="CO45" s="15" t="s">
        <v>444</v>
      </c>
      <c r="CP45" s="15" t="str">
        <f t="shared" si="80"/>
        <v>4.45</v>
      </c>
      <c r="CQ45" s="15" t="str">
        <f t="shared" si="81"/>
        <v>0.126</v>
      </c>
      <c r="CR45" s="15" t="s">
        <v>465</v>
      </c>
      <c r="DC45" s="15" t="str">
        <f>IFERROR(__xludf.DUMMYFUNCTION("""COMPUTED_VALUE"""),"")</f>
        <v/>
      </c>
      <c r="DE45" s="15" t="str">
        <f>IFERROR(__xludf.DUMMYFUNCTION("""COMPUTED_VALUE"""),"")</f>
        <v/>
      </c>
      <c r="DG45" s="15" t="str">
        <f>IFERROR(__xludf.DUMMYFUNCTION("""COMPUTED_VALUE"""),"")</f>
        <v/>
      </c>
      <c r="DL45" s="15" t="str">
        <f>IFERROR(__xludf.DUMMYFUNCTION("""COMPUTED_VALUE"""),"")</f>
        <v/>
      </c>
      <c r="DM45" s="15" t="s">
        <v>444</v>
      </c>
      <c r="DN45" s="15" t="s">
        <v>419</v>
      </c>
      <c r="DO45" s="15">
        <v>0.0</v>
      </c>
      <c r="DP45" s="15" t="s">
        <v>419</v>
      </c>
      <c r="DR45" s="15">
        <v>0.0</v>
      </c>
      <c r="DU45" s="15" t="s">
        <v>419</v>
      </c>
      <c r="DY45" s="15">
        <v>0.0</v>
      </c>
      <c r="EF45" s="15" t="s">
        <v>1157</v>
      </c>
      <c r="EG45" s="15" t="s">
        <v>1158</v>
      </c>
      <c r="EH45" s="15" t="s">
        <v>1159</v>
      </c>
      <c r="EJ45" s="15" t="s">
        <v>500</v>
      </c>
      <c r="EK45" s="15" t="s">
        <v>501</v>
      </c>
      <c r="EM45" s="15" t="str">
        <f>IFERROR(__xludf.DUMMYFUNCTION("""COMPUTED_VALUE"""),"")</f>
        <v/>
      </c>
      <c r="FH45" s="15" t="s">
        <v>1160</v>
      </c>
      <c r="FI45" s="15" t="s">
        <v>1161</v>
      </c>
      <c r="FJ45" s="15" t="s">
        <v>1160</v>
      </c>
      <c r="FL45" s="15" t="s">
        <v>426</v>
      </c>
      <c r="FM45" s="15">
        <v>0.0</v>
      </c>
      <c r="FN45" s="15">
        <v>0.0</v>
      </c>
    </row>
    <row r="46" ht="15.75" customHeight="1">
      <c r="A46" s="14" t="s">
        <v>391</v>
      </c>
      <c r="B46" s="15" t="s">
        <v>1167</v>
      </c>
      <c r="C46" s="16"/>
      <c r="D46" s="15" t="s">
        <v>432</v>
      </c>
      <c r="G46" s="14" t="s">
        <v>393</v>
      </c>
      <c r="H46" s="14" t="s">
        <v>394</v>
      </c>
      <c r="I46" s="14" t="b">
        <v>1</v>
      </c>
      <c r="J46" s="14" t="s">
        <v>395</v>
      </c>
      <c r="L46" s="14" t="b">
        <v>0</v>
      </c>
      <c r="M46" s="15" t="s">
        <v>1168</v>
      </c>
      <c r="N46" s="14" t="s">
        <v>393</v>
      </c>
      <c r="O46" s="14" t="s">
        <v>393</v>
      </c>
      <c r="P46" s="15" t="s">
        <v>397</v>
      </c>
      <c r="Q46" s="15" t="s">
        <v>1169</v>
      </c>
      <c r="T46" s="14" t="b">
        <v>0</v>
      </c>
      <c r="U46" s="15" t="s">
        <v>1170</v>
      </c>
      <c r="V46" s="15" t="s">
        <v>1171</v>
      </c>
      <c r="W46" s="15" t="s">
        <v>401</v>
      </c>
      <c r="X46" s="15" t="s">
        <v>1172</v>
      </c>
      <c r="Y46" s="15">
        <v>1430.0</v>
      </c>
      <c r="AA46" s="15" t="str">
        <f t="shared" ref="AA46:AA47" si="82">"550"</f>
        <v>550</v>
      </c>
      <c r="AB46" s="14" t="b">
        <v>1</v>
      </c>
      <c r="AC46" s="14" t="b">
        <v>1</v>
      </c>
      <c r="AD46" s="15" t="str">
        <f>"198394000932"</f>
        <v>198394000932</v>
      </c>
      <c r="AE46" s="15" t="s">
        <v>1173</v>
      </c>
      <c r="AF46" s="14" t="s">
        <v>404</v>
      </c>
      <c r="AG46" s="14" t="s">
        <v>405</v>
      </c>
      <c r="AH46" s="14" t="s">
        <v>406</v>
      </c>
      <c r="AI46" s="15">
        <v>0.0</v>
      </c>
      <c r="AL46" s="15" t="s">
        <v>1174</v>
      </c>
      <c r="AM46" s="15" t="s">
        <v>1175</v>
      </c>
      <c r="AN46" s="15" t="s">
        <v>1176</v>
      </c>
      <c r="AO46" s="15" t="s">
        <v>409</v>
      </c>
      <c r="AP46" s="15" t="s">
        <v>438</v>
      </c>
      <c r="AQ46" s="15" t="s">
        <v>1177</v>
      </c>
      <c r="AR46" s="15" t="s">
        <v>1178</v>
      </c>
      <c r="AS46" s="15" t="s">
        <v>1179</v>
      </c>
      <c r="AT46" s="15" t="s">
        <v>1169</v>
      </c>
      <c r="AW46" s="15" t="s">
        <v>628</v>
      </c>
      <c r="AY46" s="15" t="s">
        <v>413</v>
      </c>
      <c r="AZ46" s="15" t="b">
        <v>0</v>
      </c>
      <c r="BA46" s="15" t="s">
        <v>413</v>
      </c>
      <c r="BB46" s="15" t="b">
        <v>0</v>
      </c>
      <c r="BC46" s="15" t="s">
        <v>1180</v>
      </c>
      <c r="BD46" s="15" t="s">
        <v>1181</v>
      </c>
      <c r="BE46" s="15" t="str">
        <f t="shared" si="75"/>
        <v>1</v>
      </c>
      <c r="BF46" s="15" t="s">
        <v>416</v>
      </c>
      <c r="BG46" s="15" t="str">
        <f t="shared" ref="BG46:BG47" si="83">"31.3"</f>
        <v>31.3</v>
      </c>
      <c r="BH46" s="15" t="s">
        <v>1182</v>
      </c>
      <c r="BI46" s="15" t="str">
        <f t="shared" ref="BI46:BI47" si="84">"25.79"</f>
        <v>25.79</v>
      </c>
      <c r="BJ46" s="15" t="s">
        <v>631</v>
      </c>
      <c r="BK46" s="15" t="str">
        <f t="shared" ref="BK46:BK47" si="85">"31.89"</f>
        <v>31.89</v>
      </c>
      <c r="BL46" s="15" t="s">
        <v>1183</v>
      </c>
      <c r="BM46" s="15" t="str">
        <f t="shared" ref="BM46:BM47" si="86">"112.21"</f>
        <v>112.21</v>
      </c>
      <c r="BN46" s="15" t="s">
        <v>1184</v>
      </c>
      <c r="BQ46" s="15" t="s">
        <v>444</v>
      </c>
      <c r="BS46" s="15" t="s">
        <v>444</v>
      </c>
      <c r="BU46" s="15" t="s">
        <v>444</v>
      </c>
      <c r="BW46" s="15" t="s">
        <v>444</v>
      </c>
      <c r="BZ46" s="15" t="s">
        <v>444</v>
      </c>
      <c r="CB46" s="15" t="s">
        <v>444</v>
      </c>
      <c r="CD46" s="15" t="s">
        <v>444</v>
      </c>
      <c r="CF46" s="15" t="s">
        <v>444</v>
      </c>
      <c r="CI46" s="15" t="s">
        <v>444</v>
      </c>
      <c r="CK46" s="15" t="s">
        <v>444</v>
      </c>
      <c r="CM46" s="15" t="s">
        <v>444</v>
      </c>
      <c r="CO46" s="15" t="s">
        <v>444</v>
      </c>
      <c r="CP46" s="15" t="str">
        <f t="shared" ref="CP46:CP47" si="87">"14.9"</f>
        <v>14.9</v>
      </c>
      <c r="CQ46" s="15" t="str">
        <f t="shared" ref="CQ46:CQ47" si="88">"0.422"</f>
        <v>0.422</v>
      </c>
      <c r="CR46" s="15" t="s">
        <v>497</v>
      </c>
      <c r="DC46" s="15" t="str">
        <f>IFERROR(__xludf.DUMMYFUNCTION("""COMPUTED_VALUE"""),"")</f>
        <v/>
      </c>
      <c r="DE46" s="15" t="str">
        <f>IFERROR(__xludf.DUMMYFUNCTION("""COMPUTED_VALUE"""),"")</f>
        <v/>
      </c>
      <c r="DG46" s="15" t="str">
        <f>IFERROR(__xludf.DUMMYFUNCTION("""COMPUTED_VALUE"""),"")</f>
        <v/>
      </c>
      <c r="DL46" s="15" t="str">
        <f>IFERROR(__xludf.DUMMYFUNCTION("""COMPUTED_VALUE"""),"")</f>
        <v/>
      </c>
      <c r="DM46" s="15" t="s">
        <v>444</v>
      </c>
      <c r="DN46" s="15" t="s">
        <v>418</v>
      </c>
      <c r="DO46" s="15">
        <v>4.0</v>
      </c>
      <c r="DP46" s="15" t="s">
        <v>1185</v>
      </c>
      <c r="DR46" s="15">
        <v>0.0</v>
      </c>
      <c r="DT46" s="15" t="s">
        <v>1186</v>
      </c>
      <c r="DU46" s="15" t="s">
        <v>421</v>
      </c>
      <c r="DY46" s="15">
        <v>0.0</v>
      </c>
      <c r="EF46" s="15" t="s">
        <v>1112</v>
      </c>
      <c r="EG46" s="15" t="s">
        <v>1113</v>
      </c>
      <c r="EH46" s="15" t="s">
        <v>1187</v>
      </c>
      <c r="EJ46" s="15" t="s">
        <v>500</v>
      </c>
      <c r="EK46" s="15" t="s">
        <v>501</v>
      </c>
      <c r="EM46" s="15" t="str">
        <f>IFERROR(__xludf.DUMMYFUNCTION("""COMPUTED_VALUE"""),"")</f>
        <v/>
      </c>
      <c r="EW46" s="15" t="s">
        <v>1188</v>
      </c>
      <c r="FL46" s="15" t="s">
        <v>426</v>
      </c>
      <c r="FM46" s="15">
        <v>0.0</v>
      </c>
      <c r="GH46" s="15">
        <v>0.0</v>
      </c>
      <c r="GI46" s="15" t="s">
        <v>427</v>
      </c>
      <c r="GO46" s="15" t="s">
        <v>426</v>
      </c>
      <c r="GQ46" s="15" t="s">
        <v>428</v>
      </c>
      <c r="GS46" s="15" t="s">
        <v>940</v>
      </c>
      <c r="GU46" s="15" t="s">
        <v>1189</v>
      </c>
      <c r="GW46" s="15" t="s">
        <v>431</v>
      </c>
      <c r="GY46" s="15" t="s">
        <v>1190</v>
      </c>
      <c r="GZ46" s="15" t="s">
        <v>426</v>
      </c>
    </row>
    <row r="47" ht="15.75" customHeight="1">
      <c r="A47" s="14" t="s">
        <v>391</v>
      </c>
      <c r="B47" s="15" t="s">
        <v>1167</v>
      </c>
      <c r="C47" s="16"/>
      <c r="D47" s="15" t="s">
        <v>432</v>
      </c>
      <c r="G47" s="14" t="s">
        <v>393</v>
      </c>
      <c r="H47" s="14" t="s">
        <v>394</v>
      </c>
      <c r="I47" s="14" t="b">
        <v>1</v>
      </c>
      <c r="J47" s="14" t="s">
        <v>395</v>
      </c>
      <c r="L47" s="14" t="b">
        <v>0</v>
      </c>
      <c r="M47" s="15" t="s">
        <v>1191</v>
      </c>
      <c r="N47" s="14" t="s">
        <v>393</v>
      </c>
      <c r="O47" s="14" t="s">
        <v>393</v>
      </c>
      <c r="P47" s="15" t="s">
        <v>397</v>
      </c>
      <c r="Q47" s="15" t="s">
        <v>1192</v>
      </c>
      <c r="T47" s="14" t="b">
        <v>0</v>
      </c>
      <c r="U47" s="15" t="s">
        <v>1193</v>
      </c>
      <c r="V47" s="15" t="s">
        <v>1171</v>
      </c>
      <c r="W47" s="15" t="s">
        <v>401</v>
      </c>
      <c r="X47" s="15" t="s">
        <v>1172</v>
      </c>
      <c r="Y47" s="15">
        <v>1430.0</v>
      </c>
      <c r="AA47" s="15" t="str">
        <f t="shared" si="82"/>
        <v>550</v>
      </c>
      <c r="AB47" s="14" t="b">
        <v>1</v>
      </c>
      <c r="AC47" s="14" t="b">
        <v>1</v>
      </c>
      <c r="AD47" s="15" t="str">
        <f>"801542959326"</f>
        <v>801542959326</v>
      </c>
      <c r="AE47" s="15" t="s">
        <v>1194</v>
      </c>
      <c r="AF47" s="14" t="s">
        <v>404</v>
      </c>
      <c r="AG47" s="14" t="s">
        <v>405</v>
      </c>
      <c r="AH47" s="14" t="s">
        <v>406</v>
      </c>
      <c r="AI47" s="15">
        <v>0.0</v>
      </c>
      <c r="AL47" s="15" t="s">
        <v>1174</v>
      </c>
      <c r="AM47" s="15" t="s">
        <v>1175</v>
      </c>
      <c r="AN47" s="15" t="s">
        <v>1176</v>
      </c>
      <c r="AO47" s="15" t="s">
        <v>409</v>
      </c>
      <c r="AP47" s="15" t="s">
        <v>438</v>
      </c>
      <c r="AQ47" s="15" t="s">
        <v>1177</v>
      </c>
      <c r="AR47" s="15" t="s">
        <v>1178</v>
      </c>
      <c r="AS47" s="15" t="s">
        <v>1179</v>
      </c>
      <c r="AT47" s="15" t="s">
        <v>1192</v>
      </c>
      <c r="AW47" s="15" t="s">
        <v>628</v>
      </c>
      <c r="AY47" s="15" t="s">
        <v>413</v>
      </c>
      <c r="AZ47" s="15" t="b">
        <v>0</v>
      </c>
      <c r="BA47" s="15" t="s">
        <v>413</v>
      </c>
      <c r="BB47" s="15" t="b">
        <v>0</v>
      </c>
      <c r="BC47" s="15" t="s">
        <v>1195</v>
      </c>
      <c r="BD47" s="15" t="s">
        <v>1181</v>
      </c>
      <c r="BE47" s="15" t="str">
        <f t="shared" si="75"/>
        <v>1</v>
      </c>
      <c r="BF47" s="15" t="s">
        <v>416</v>
      </c>
      <c r="BG47" s="15" t="str">
        <f t="shared" si="83"/>
        <v>31.3</v>
      </c>
      <c r="BH47" s="15" t="s">
        <v>1182</v>
      </c>
      <c r="BI47" s="15" t="str">
        <f t="shared" si="84"/>
        <v>25.79</v>
      </c>
      <c r="BJ47" s="15" t="s">
        <v>631</v>
      </c>
      <c r="BK47" s="15" t="str">
        <f t="shared" si="85"/>
        <v>31.89</v>
      </c>
      <c r="BL47" s="15" t="s">
        <v>1183</v>
      </c>
      <c r="BM47" s="15" t="str">
        <f t="shared" si="86"/>
        <v>112.21</v>
      </c>
      <c r="BN47" s="15" t="s">
        <v>1184</v>
      </c>
      <c r="BQ47" s="15" t="s">
        <v>444</v>
      </c>
      <c r="BS47" s="15" t="s">
        <v>444</v>
      </c>
      <c r="BU47" s="15" t="s">
        <v>444</v>
      </c>
      <c r="BW47" s="15" t="s">
        <v>444</v>
      </c>
      <c r="BZ47" s="15" t="s">
        <v>444</v>
      </c>
      <c r="CB47" s="15" t="s">
        <v>444</v>
      </c>
      <c r="CD47" s="15" t="s">
        <v>444</v>
      </c>
      <c r="CF47" s="15" t="s">
        <v>444</v>
      </c>
      <c r="CI47" s="15" t="s">
        <v>444</v>
      </c>
      <c r="CK47" s="15" t="s">
        <v>444</v>
      </c>
      <c r="CM47" s="15" t="s">
        <v>444</v>
      </c>
      <c r="CO47" s="15" t="s">
        <v>444</v>
      </c>
      <c r="CP47" s="15" t="str">
        <f t="shared" si="87"/>
        <v>14.9</v>
      </c>
      <c r="CQ47" s="15" t="str">
        <f t="shared" si="88"/>
        <v>0.422</v>
      </c>
      <c r="CR47" s="15" t="s">
        <v>497</v>
      </c>
      <c r="DC47" s="15" t="str">
        <f>IFERROR(__xludf.DUMMYFUNCTION("""COMPUTED_VALUE"""),"")</f>
        <v/>
      </c>
      <c r="DE47" s="15" t="str">
        <f>IFERROR(__xludf.DUMMYFUNCTION("""COMPUTED_VALUE"""),"")</f>
        <v/>
      </c>
      <c r="DG47" s="15" t="str">
        <f>IFERROR(__xludf.DUMMYFUNCTION("""COMPUTED_VALUE"""),"")</f>
        <v/>
      </c>
      <c r="DL47" s="15" t="str">
        <f>IFERROR(__xludf.DUMMYFUNCTION("""COMPUTED_VALUE"""),"")</f>
        <v/>
      </c>
      <c r="DM47" s="15" t="s">
        <v>444</v>
      </c>
      <c r="DN47" s="15" t="s">
        <v>418</v>
      </c>
      <c r="DO47" s="15">
        <v>4.0</v>
      </c>
      <c r="DP47" s="15" t="s">
        <v>1185</v>
      </c>
      <c r="DR47" s="15">
        <v>0.0</v>
      </c>
      <c r="DT47" s="15" t="s">
        <v>1186</v>
      </c>
      <c r="DU47" s="15" t="s">
        <v>421</v>
      </c>
      <c r="DY47" s="15">
        <v>0.0</v>
      </c>
      <c r="EF47" s="15" t="s">
        <v>1112</v>
      </c>
      <c r="EG47" s="15" t="s">
        <v>1113</v>
      </c>
      <c r="EH47" s="15" t="s">
        <v>1187</v>
      </c>
      <c r="EJ47" s="15" t="s">
        <v>500</v>
      </c>
      <c r="EK47" s="15" t="s">
        <v>501</v>
      </c>
      <c r="EM47" s="15" t="str">
        <f>IFERROR(__xludf.DUMMYFUNCTION("""COMPUTED_VALUE"""),"")</f>
        <v/>
      </c>
      <c r="EW47" s="15" t="s">
        <v>1188</v>
      </c>
      <c r="FL47" s="15" t="s">
        <v>426</v>
      </c>
      <c r="FM47" s="15">
        <v>0.0</v>
      </c>
      <c r="GH47" s="15">
        <v>0.0</v>
      </c>
      <c r="GI47" s="15" t="s">
        <v>427</v>
      </c>
      <c r="GO47" s="15" t="s">
        <v>426</v>
      </c>
      <c r="GQ47" s="15" t="s">
        <v>428</v>
      </c>
      <c r="GS47" s="15" t="s">
        <v>940</v>
      </c>
      <c r="GU47" s="15" t="s">
        <v>1189</v>
      </c>
      <c r="GW47" s="15" t="s">
        <v>431</v>
      </c>
      <c r="GY47" s="15" t="s">
        <v>1190</v>
      </c>
      <c r="GZ47" s="15" t="s">
        <v>426</v>
      </c>
    </row>
    <row r="48" ht="15.75" customHeight="1">
      <c r="A48" s="14" t="s">
        <v>391</v>
      </c>
      <c r="B48" s="15" t="s">
        <v>1196</v>
      </c>
      <c r="C48" s="16"/>
      <c r="D48" s="15" t="s">
        <v>432</v>
      </c>
      <c r="G48" s="14" t="s">
        <v>393</v>
      </c>
      <c r="H48" s="14" t="s">
        <v>394</v>
      </c>
      <c r="I48" s="14" t="b">
        <v>1</v>
      </c>
      <c r="J48" s="14" t="s">
        <v>395</v>
      </c>
      <c r="L48" s="14" t="b">
        <v>0</v>
      </c>
      <c r="M48" s="15" t="s">
        <v>1197</v>
      </c>
      <c r="N48" s="14" t="s">
        <v>393</v>
      </c>
      <c r="O48" s="14" t="s">
        <v>393</v>
      </c>
      <c r="P48" s="15" t="s">
        <v>397</v>
      </c>
      <c r="Q48" s="15" t="s">
        <v>1198</v>
      </c>
      <c r="T48" s="14" t="b">
        <v>0</v>
      </c>
      <c r="U48" s="15" t="s">
        <v>1199</v>
      </c>
      <c r="V48" s="15" t="s">
        <v>1200</v>
      </c>
      <c r="W48" s="15" t="s">
        <v>401</v>
      </c>
      <c r="X48" s="15" t="s">
        <v>695</v>
      </c>
      <c r="Y48" s="15">
        <v>3393.0</v>
      </c>
      <c r="AA48" s="15" t="str">
        <f>"1305"</f>
        <v>1305</v>
      </c>
      <c r="AB48" s="14" t="b">
        <v>1</v>
      </c>
      <c r="AC48" s="14" t="b">
        <v>1</v>
      </c>
      <c r="AD48" s="15" t="str">
        <f>"198394059855"</f>
        <v>198394059855</v>
      </c>
      <c r="AE48" s="15" t="s">
        <v>1201</v>
      </c>
      <c r="AF48" s="14" t="s">
        <v>404</v>
      </c>
      <c r="AG48" s="14" t="s">
        <v>405</v>
      </c>
      <c r="AH48" s="14" t="s">
        <v>406</v>
      </c>
      <c r="AI48" s="15">
        <v>0.0</v>
      </c>
      <c r="AL48" s="15" t="s">
        <v>1202</v>
      </c>
      <c r="AM48" s="15" t="s">
        <v>1203</v>
      </c>
      <c r="AN48" s="15" t="s">
        <v>1204</v>
      </c>
      <c r="AO48" s="15" t="s">
        <v>1205</v>
      </c>
      <c r="AP48" s="15" t="s">
        <v>1206</v>
      </c>
      <c r="AQ48" s="15" t="s">
        <v>976</v>
      </c>
      <c r="AR48" s="15" t="s">
        <v>977</v>
      </c>
      <c r="AS48" s="15" t="s">
        <v>915</v>
      </c>
      <c r="AT48" s="15" t="s">
        <v>1198</v>
      </c>
      <c r="AW48" s="15" t="s">
        <v>706</v>
      </c>
      <c r="AX48" s="15" t="s">
        <v>707</v>
      </c>
      <c r="AY48" s="15" t="s">
        <v>413</v>
      </c>
      <c r="AZ48" s="15" t="b">
        <v>0</v>
      </c>
      <c r="BA48" s="15" t="s">
        <v>413</v>
      </c>
      <c r="BB48" s="15" t="b">
        <v>0</v>
      </c>
      <c r="BC48" s="15" t="s">
        <v>1207</v>
      </c>
      <c r="BD48" s="15" t="s">
        <v>709</v>
      </c>
      <c r="BE48" s="15" t="str">
        <f t="shared" si="75"/>
        <v>1</v>
      </c>
      <c r="BF48" s="15" t="s">
        <v>1208</v>
      </c>
      <c r="BG48" s="15" t="str">
        <f>"33.86"</f>
        <v>33.86</v>
      </c>
      <c r="BH48" s="15" t="s">
        <v>1209</v>
      </c>
      <c r="BI48" s="15" t="str">
        <f>"37.8"</f>
        <v>37.8</v>
      </c>
      <c r="BJ48" s="15" t="s">
        <v>756</v>
      </c>
      <c r="BK48" s="15" t="str">
        <f>"37.8"</f>
        <v>37.8</v>
      </c>
      <c r="BL48" s="15" t="s">
        <v>756</v>
      </c>
      <c r="BM48" s="15" t="str">
        <f>"85.98"</f>
        <v>85.98</v>
      </c>
      <c r="BN48" s="15" t="s">
        <v>928</v>
      </c>
      <c r="BQ48" s="15" t="s">
        <v>444</v>
      </c>
      <c r="BS48" s="15" t="s">
        <v>444</v>
      </c>
      <c r="BU48" s="15" t="s">
        <v>444</v>
      </c>
      <c r="BW48" s="15" t="s">
        <v>444</v>
      </c>
      <c r="BZ48" s="15" t="s">
        <v>444</v>
      </c>
      <c r="CB48" s="15" t="s">
        <v>444</v>
      </c>
      <c r="CD48" s="15" t="s">
        <v>444</v>
      </c>
      <c r="CF48" s="15" t="s">
        <v>444</v>
      </c>
      <c r="CI48" s="15" t="s">
        <v>444</v>
      </c>
      <c r="CK48" s="15" t="s">
        <v>444</v>
      </c>
      <c r="CM48" s="15" t="s">
        <v>444</v>
      </c>
      <c r="CO48" s="15" t="s">
        <v>444</v>
      </c>
      <c r="CP48" s="15" t="str">
        <f>"23.31"</f>
        <v>23.31</v>
      </c>
      <c r="CQ48" s="15" t="str">
        <f>"0.66"</f>
        <v>0.66</v>
      </c>
      <c r="CR48" s="15" t="s">
        <v>465</v>
      </c>
      <c r="DB48" s="15" t="s">
        <v>525</v>
      </c>
      <c r="DC48" s="15" t="str">
        <f>IFERROR(__xludf.DUMMYFUNCTION("""COMPUTED_VALUE"""),"{""value"":23.00,""unit"":""in""}")</f>
        <v>{"value":23.00,"unit":"in"}</v>
      </c>
      <c r="DD48" s="15" t="s">
        <v>1065</v>
      </c>
      <c r="DE48" s="15" t="str">
        <f>IFERROR(__xludf.DUMMYFUNCTION("""COMPUTED_VALUE"""),"{""value"":18.00,""unit"":""in""}")</f>
        <v>{"value":18.00,"unit":"in"}</v>
      </c>
      <c r="DG48" s="15" t="str">
        <f>IFERROR(__xludf.DUMMYFUNCTION("""COMPUTED_VALUE"""),"")</f>
        <v/>
      </c>
      <c r="DH48" s="15">
        <v>0.0</v>
      </c>
      <c r="DI48" s="15">
        <v>0.0</v>
      </c>
      <c r="DJ48" s="15" t="s">
        <v>717</v>
      </c>
      <c r="DK48" s="15" t="s">
        <v>718</v>
      </c>
      <c r="DL48" s="15" t="str">
        <f>IFERROR(__xludf.DUMMYFUNCTION("""COMPUTED_VALUE"""),"Vacuum or light brush only. Do not use water or any cleaning products.")</f>
        <v>Vacuum or light brush only. Do not use water or any cleaning products.</v>
      </c>
      <c r="DM48" s="15" t="s">
        <v>719</v>
      </c>
      <c r="DQ48" s="15" t="s">
        <v>997</v>
      </c>
      <c r="DT48" s="15" t="s">
        <v>721</v>
      </c>
      <c r="DU48" s="15" t="s">
        <v>419</v>
      </c>
      <c r="DV48" s="15">
        <v>0.0</v>
      </c>
      <c r="DZ48" s="15">
        <v>0.0</v>
      </c>
      <c r="EA48" s="15" t="s">
        <v>990</v>
      </c>
      <c r="EB48" s="15" t="s">
        <v>723</v>
      </c>
      <c r="EC48" s="15" t="s">
        <v>724</v>
      </c>
      <c r="ED48" s="15">
        <v>1.0</v>
      </c>
      <c r="EE48" s="15">
        <v>1.0</v>
      </c>
      <c r="EG48" s="15" t="s">
        <v>444</v>
      </c>
      <c r="EH48" s="15" t="s">
        <v>1210</v>
      </c>
      <c r="EI48" s="15">
        <v>0.0</v>
      </c>
      <c r="EJ48" s="15" t="s">
        <v>726</v>
      </c>
      <c r="EK48" s="15" t="s">
        <v>727</v>
      </c>
      <c r="EL48" s="15" t="s">
        <v>1211</v>
      </c>
      <c r="EM48" s="15" t="str">
        <f>IFERROR(__xludf.DUMMYFUNCTION("""COMPUTED_VALUE"""),"{""value"":24.00,""unit"":""in""}")</f>
        <v>{"value":24.00,"unit":"in"}</v>
      </c>
      <c r="EN48" s="15" t="s">
        <v>505</v>
      </c>
      <c r="EO48" s="15" t="s">
        <v>1212</v>
      </c>
      <c r="ES48" s="15" t="s">
        <v>505</v>
      </c>
      <c r="EW48" s="15" t="s">
        <v>1188</v>
      </c>
      <c r="EX48" s="15" t="s">
        <v>1213</v>
      </c>
      <c r="EY48" s="15" t="s">
        <v>1214</v>
      </c>
      <c r="EZ48" s="15" t="s">
        <v>824</v>
      </c>
      <c r="FF48" s="15" t="s">
        <v>997</v>
      </c>
      <c r="FO48" s="15" t="s">
        <v>1065</v>
      </c>
      <c r="FP48" s="15" t="s">
        <v>1072</v>
      </c>
      <c r="FQ48" s="15">
        <v>0.0</v>
      </c>
      <c r="FR48" s="15">
        <v>0.0</v>
      </c>
      <c r="FT48" s="15">
        <v>0.0</v>
      </c>
      <c r="IL48" s="15" t="s">
        <v>1215</v>
      </c>
    </row>
    <row r="49" ht="15.75" customHeight="1">
      <c r="A49" s="14" t="s">
        <v>391</v>
      </c>
      <c r="B49" s="15" t="s">
        <v>1216</v>
      </c>
      <c r="C49" s="16"/>
      <c r="D49" s="15" t="s">
        <v>432</v>
      </c>
      <c r="G49" s="14" t="s">
        <v>393</v>
      </c>
      <c r="H49" s="14" t="s">
        <v>394</v>
      </c>
      <c r="I49" s="14" t="b">
        <v>1</v>
      </c>
      <c r="J49" s="14" t="s">
        <v>395</v>
      </c>
      <c r="L49" s="14" t="b">
        <v>0</v>
      </c>
      <c r="M49" s="15" t="s">
        <v>1217</v>
      </c>
      <c r="N49" s="14" t="s">
        <v>393</v>
      </c>
      <c r="O49" s="14" t="s">
        <v>393</v>
      </c>
      <c r="P49" s="15" t="s">
        <v>397</v>
      </c>
      <c r="Q49" s="15" t="s">
        <v>1218</v>
      </c>
      <c r="T49" s="14" t="b">
        <v>0</v>
      </c>
      <c r="U49" s="15" t="s">
        <v>1219</v>
      </c>
      <c r="V49" s="15" t="s">
        <v>1220</v>
      </c>
      <c r="W49" s="15" t="s">
        <v>401</v>
      </c>
      <c r="X49" s="15" t="s">
        <v>695</v>
      </c>
      <c r="Y49" s="15">
        <v>1703.0</v>
      </c>
      <c r="AA49" s="15" t="str">
        <f>"655"</f>
        <v>655</v>
      </c>
      <c r="AB49" s="14" t="b">
        <v>1</v>
      </c>
      <c r="AC49" s="14" t="b">
        <v>1</v>
      </c>
      <c r="AD49" s="15" t="str">
        <f>"801542465353"</f>
        <v>801542465353</v>
      </c>
      <c r="AE49" s="15" t="s">
        <v>1221</v>
      </c>
      <c r="AF49" s="14" t="s">
        <v>404</v>
      </c>
      <c r="AG49" s="14" t="s">
        <v>405</v>
      </c>
      <c r="AH49" s="14" t="s">
        <v>406</v>
      </c>
      <c r="AI49" s="15">
        <v>0.0</v>
      </c>
      <c r="AL49" s="15" t="s">
        <v>832</v>
      </c>
      <c r="AM49" s="15" t="s">
        <v>1222</v>
      </c>
      <c r="AN49" s="15" t="s">
        <v>1223</v>
      </c>
      <c r="AO49" s="15" t="s">
        <v>1224</v>
      </c>
      <c r="AP49" s="15" t="s">
        <v>1225</v>
      </c>
      <c r="AQ49" s="15" t="s">
        <v>410</v>
      </c>
      <c r="AR49" s="15" t="s">
        <v>439</v>
      </c>
      <c r="AS49" s="15" t="s">
        <v>915</v>
      </c>
      <c r="AT49" s="15" t="s">
        <v>1218</v>
      </c>
      <c r="AU49" s="15" t="s">
        <v>1087</v>
      </c>
      <c r="AW49" s="15" t="s">
        <v>1226</v>
      </c>
      <c r="AY49" s="15" t="s">
        <v>413</v>
      </c>
      <c r="AZ49" s="15" t="b">
        <v>0</v>
      </c>
      <c r="BA49" s="15" t="s">
        <v>413</v>
      </c>
      <c r="BB49" s="15" t="b">
        <v>0</v>
      </c>
      <c r="BC49" s="15" t="s">
        <v>1227</v>
      </c>
      <c r="BD49" s="15" t="s">
        <v>709</v>
      </c>
      <c r="BE49" s="15" t="str">
        <f t="shared" si="75"/>
        <v>1</v>
      </c>
      <c r="BF49" s="15" t="s">
        <v>1228</v>
      </c>
      <c r="BG49" s="15" t="str">
        <f>"34.65"</f>
        <v>34.65</v>
      </c>
      <c r="BH49" s="15" t="s">
        <v>1229</v>
      </c>
      <c r="BI49" s="15" t="str">
        <f>"66.93"</f>
        <v>66.93</v>
      </c>
      <c r="BJ49" s="15" t="s">
        <v>1230</v>
      </c>
      <c r="BK49" s="15" t="str">
        <f>"32.28"</f>
        <v>32.28</v>
      </c>
      <c r="BL49" s="15" t="s">
        <v>954</v>
      </c>
      <c r="BM49" s="15" t="str">
        <f>"94.8"</f>
        <v>94.8</v>
      </c>
      <c r="BN49" s="15" t="s">
        <v>1231</v>
      </c>
      <c r="BQ49" s="15" t="s">
        <v>444</v>
      </c>
      <c r="BS49" s="15" t="s">
        <v>444</v>
      </c>
      <c r="BU49" s="15" t="s">
        <v>444</v>
      </c>
      <c r="BW49" s="15" t="s">
        <v>444</v>
      </c>
      <c r="BZ49" s="15" t="s">
        <v>444</v>
      </c>
      <c r="CB49" s="15" t="s">
        <v>444</v>
      </c>
      <c r="CD49" s="15" t="s">
        <v>444</v>
      </c>
      <c r="CF49" s="15" t="s">
        <v>444</v>
      </c>
      <c r="CI49" s="15" t="s">
        <v>444</v>
      </c>
      <c r="CK49" s="15" t="s">
        <v>444</v>
      </c>
      <c r="CM49" s="15" t="s">
        <v>444</v>
      </c>
      <c r="CO49" s="15" t="s">
        <v>444</v>
      </c>
      <c r="CP49" s="15" t="str">
        <f>"35.67"</f>
        <v>35.67</v>
      </c>
      <c r="CQ49" s="15" t="str">
        <f>"1.01"</f>
        <v>1.01</v>
      </c>
      <c r="CR49" s="15" t="s">
        <v>497</v>
      </c>
      <c r="DB49" s="15" t="s">
        <v>1232</v>
      </c>
      <c r="DC49" s="15" t="str">
        <f>IFERROR(__xludf.DUMMYFUNCTION("""COMPUTED_VALUE"""),"{""value"":50.00,""unit"":""in""}")</f>
        <v>{"value":50.00,"unit":"in"}</v>
      </c>
      <c r="DD49" s="15" t="s">
        <v>824</v>
      </c>
      <c r="DE49" s="15" t="str">
        <f>IFERROR(__xludf.DUMMYFUNCTION("""COMPUTED_VALUE"""),"{""value"":18.50,""unit"":""in""}")</f>
        <v>{"value":18.50,"unit":"in"}</v>
      </c>
      <c r="DG49" s="15" t="str">
        <f>IFERROR(__xludf.DUMMYFUNCTION("""COMPUTED_VALUE"""),"")</f>
        <v/>
      </c>
      <c r="DH49" s="15">
        <v>0.0</v>
      </c>
      <c r="DI49" s="15">
        <v>1.0</v>
      </c>
      <c r="DJ49" s="15" t="s">
        <v>717</v>
      </c>
      <c r="DK49" s="15" t="s">
        <v>897</v>
      </c>
      <c r="DL49" s="15" t="str">
        <f>IFERROR(__xludf.DUMMYFUNCTION("""COMPUTED_VALUE"""),"Clean with water-based products only. Use mild detergent or upholstery shampoo.")</f>
        <v>Clean with water-based products only. Use mild detergent or upholstery shampoo.</v>
      </c>
      <c r="DM49" s="15" t="s">
        <v>898</v>
      </c>
      <c r="DT49" s="15" t="s">
        <v>721</v>
      </c>
      <c r="DU49" s="15" t="s">
        <v>419</v>
      </c>
      <c r="DV49" s="15">
        <v>0.0</v>
      </c>
      <c r="DZ49" s="15">
        <v>100000.0</v>
      </c>
      <c r="EA49" s="15" t="s">
        <v>990</v>
      </c>
      <c r="EB49" s="15" t="s">
        <v>1016</v>
      </c>
      <c r="ED49" s="15">
        <v>1.0</v>
      </c>
      <c r="EE49" s="15">
        <v>1.0</v>
      </c>
      <c r="EG49" s="15" t="s">
        <v>444</v>
      </c>
      <c r="EH49" s="15" t="s">
        <v>1233</v>
      </c>
      <c r="EI49" s="15">
        <v>0.0</v>
      </c>
      <c r="EJ49" s="15" t="s">
        <v>726</v>
      </c>
      <c r="EK49" s="15" t="s">
        <v>727</v>
      </c>
      <c r="EL49" s="15" t="s">
        <v>1234</v>
      </c>
      <c r="EM49" s="15" t="str">
        <f>IFERROR(__xludf.DUMMYFUNCTION("""COMPUTED_VALUE"""),"{""value"":24.25,""unit"":""in""}")</f>
        <v>{"value":24.25,"unit":"in"}</v>
      </c>
      <c r="EN49" s="15" t="s">
        <v>1235</v>
      </c>
      <c r="EO49" s="15" t="s">
        <v>558</v>
      </c>
      <c r="ES49" s="15" t="s">
        <v>1236</v>
      </c>
      <c r="EW49" s="15" t="s">
        <v>1069</v>
      </c>
      <c r="EX49" s="15" t="s">
        <v>1211</v>
      </c>
      <c r="EY49" s="15" t="s">
        <v>1237</v>
      </c>
      <c r="EZ49" s="15" t="s">
        <v>1238</v>
      </c>
      <c r="FC49" s="15" t="s">
        <v>1016</v>
      </c>
      <c r="FF49" s="15" t="s">
        <v>1239</v>
      </c>
      <c r="FL49" s="15" t="s">
        <v>426</v>
      </c>
      <c r="FO49" s="15" t="s">
        <v>1212</v>
      </c>
      <c r="FP49" s="15" t="s">
        <v>1240</v>
      </c>
    </row>
    <row r="50" ht="15.75" customHeight="1">
      <c r="A50" s="14" t="s">
        <v>391</v>
      </c>
      <c r="B50" s="15" t="s">
        <v>1241</v>
      </c>
      <c r="C50" s="16"/>
      <c r="D50" s="15" t="s">
        <v>432</v>
      </c>
      <c r="G50" s="14" t="s">
        <v>393</v>
      </c>
      <c r="H50" s="14" t="s">
        <v>394</v>
      </c>
      <c r="I50" s="14" t="b">
        <v>1</v>
      </c>
      <c r="J50" s="14" t="s">
        <v>395</v>
      </c>
      <c r="L50" s="14" t="b">
        <v>0</v>
      </c>
      <c r="M50" s="15" t="s">
        <v>1242</v>
      </c>
      <c r="N50" s="14" t="s">
        <v>393</v>
      </c>
      <c r="O50" s="14" t="s">
        <v>393</v>
      </c>
      <c r="P50" s="15" t="s">
        <v>397</v>
      </c>
      <c r="Q50" s="15" t="s">
        <v>1218</v>
      </c>
      <c r="T50" s="14" t="b">
        <v>0</v>
      </c>
      <c r="U50" s="15" t="s">
        <v>1243</v>
      </c>
      <c r="V50" s="15" t="s">
        <v>1244</v>
      </c>
      <c r="W50" s="15" t="s">
        <v>401</v>
      </c>
      <c r="X50" s="15" t="s">
        <v>695</v>
      </c>
      <c r="Y50" s="15">
        <v>442.0</v>
      </c>
      <c r="AA50" s="15" t="str">
        <f t="shared" ref="AA50:AA51" si="89">"170"</f>
        <v>170</v>
      </c>
      <c r="AB50" s="14" t="b">
        <v>1</v>
      </c>
      <c r="AC50" s="14" t="b">
        <v>1</v>
      </c>
      <c r="AD50" s="15" t="str">
        <f>"801542065676"</f>
        <v>801542065676</v>
      </c>
      <c r="AE50" s="15" t="s">
        <v>1245</v>
      </c>
      <c r="AF50" s="14" t="s">
        <v>404</v>
      </c>
      <c r="AG50" s="14" t="s">
        <v>405</v>
      </c>
      <c r="AH50" s="14" t="s">
        <v>406</v>
      </c>
      <c r="AI50" s="15">
        <v>0.0</v>
      </c>
      <c r="AL50" s="15" t="s">
        <v>832</v>
      </c>
      <c r="AM50" s="15" t="s">
        <v>1246</v>
      </c>
      <c r="AN50" s="15" t="s">
        <v>1247</v>
      </c>
      <c r="AO50" s="15" t="s">
        <v>1246</v>
      </c>
      <c r="AP50" s="15" t="s">
        <v>1247</v>
      </c>
      <c r="AQ50" s="15" t="s">
        <v>1248</v>
      </c>
      <c r="AR50" s="15" t="s">
        <v>1249</v>
      </c>
      <c r="AS50" s="15" t="s">
        <v>915</v>
      </c>
      <c r="AT50" s="15" t="s">
        <v>1218</v>
      </c>
      <c r="AU50" s="15" t="s">
        <v>1087</v>
      </c>
      <c r="AW50" s="15" t="s">
        <v>1009</v>
      </c>
      <c r="AY50" s="15" t="s">
        <v>413</v>
      </c>
      <c r="AZ50" s="15" t="b">
        <v>0</v>
      </c>
      <c r="BA50" s="15" t="s">
        <v>413</v>
      </c>
      <c r="BB50" s="15" t="b">
        <v>0</v>
      </c>
      <c r="BC50" s="15" t="s">
        <v>1250</v>
      </c>
      <c r="BD50" s="15" t="s">
        <v>709</v>
      </c>
      <c r="BE50" s="15" t="str">
        <f t="shared" si="75"/>
        <v>1</v>
      </c>
      <c r="BF50" s="15" t="s">
        <v>416</v>
      </c>
      <c r="BG50" s="15" t="str">
        <f t="shared" ref="BG50:BG52" si="90">"24.02"</f>
        <v>24.02</v>
      </c>
      <c r="BH50" s="15" t="s">
        <v>755</v>
      </c>
      <c r="BI50" s="15" t="str">
        <f t="shared" ref="BI50:BI52" si="91">"24.02"</f>
        <v>24.02</v>
      </c>
      <c r="BJ50" s="15" t="s">
        <v>755</v>
      </c>
      <c r="BK50" s="15" t="str">
        <f t="shared" ref="BK50:BK52" si="92">"16.14"</f>
        <v>16.14</v>
      </c>
      <c r="BL50" s="15" t="s">
        <v>1251</v>
      </c>
      <c r="BM50" s="15" t="str">
        <f t="shared" ref="BM50:BM52" si="93">"22.71"</f>
        <v>22.71</v>
      </c>
      <c r="BN50" s="15" t="s">
        <v>1252</v>
      </c>
      <c r="BQ50" s="15" t="s">
        <v>444</v>
      </c>
      <c r="BS50" s="15" t="s">
        <v>444</v>
      </c>
      <c r="BU50" s="15" t="s">
        <v>444</v>
      </c>
      <c r="BW50" s="15" t="s">
        <v>444</v>
      </c>
      <c r="BZ50" s="15" t="s">
        <v>444</v>
      </c>
      <c r="CB50" s="15" t="s">
        <v>444</v>
      </c>
      <c r="CD50" s="15" t="s">
        <v>444</v>
      </c>
      <c r="CF50" s="15" t="s">
        <v>444</v>
      </c>
      <c r="CI50" s="15" t="s">
        <v>444</v>
      </c>
      <c r="CK50" s="15" t="s">
        <v>444</v>
      </c>
      <c r="CM50" s="15" t="s">
        <v>444</v>
      </c>
      <c r="CO50" s="15" t="s">
        <v>444</v>
      </c>
      <c r="CP50" s="15" t="str">
        <f t="shared" ref="CP50:CP52" si="94">"5.4"</f>
        <v>5.4</v>
      </c>
      <c r="CQ50" s="15" t="str">
        <f t="shared" ref="CQ50:CQ52" si="95">"0.153"</f>
        <v>0.153</v>
      </c>
      <c r="CR50" s="15" t="s">
        <v>497</v>
      </c>
      <c r="DB50" s="15" t="s">
        <v>1253</v>
      </c>
      <c r="DC50" s="15" t="str">
        <f>IFERROR(__xludf.DUMMYFUNCTION("""COMPUTED_VALUE"""),"{""value"":22.50,""unit"":""in""}")</f>
        <v>{"value":22.50,"unit":"in"}</v>
      </c>
      <c r="DD50" s="15" t="s">
        <v>1237</v>
      </c>
      <c r="DE50" s="15" t="str">
        <f>IFERROR(__xludf.DUMMYFUNCTION("""COMPUTED_VALUE"""),"{""value"":20.50,""unit"":""in""}")</f>
        <v>{"value":20.50,"unit":"in"}</v>
      </c>
      <c r="DF50" s="15" t="s">
        <v>1253</v>
      </c>
      <c r="DG50" s="15" t="str">
        <f>IFERROR(__xludf.DUMMYFUNCTION("""COMPUTED_VALUE"""),"{""value"":22.50,""unit"":""in""}")</f>
        <v>{"value":22.50,"unit":"in"}</v>
      </c>
      <c r="DI50" s="15">
        <v>0.0</v>
      </c>
      <c r="DK50" s="15" t="s">
        <v>897</v>
      </c>
      <c r="DL50" s="15" t="str">
        <f>IFERROR(__xludf.DUMMYFUNCTION("""COMPUTED_VALUE"""),"Clean with water-based products only. Use mild detergent or upholstery shampoo.")</f>
        <v>Clean with water-based products only. Use mild detergent or upholstery shampoo.</v>
      </c>
      <c r="DM50" s="15" t="s">
        <v>898</v>
      </c>
      <c r="DT50" s="15" t="s">
        <v>721</v>
      </c>
      <c r="DU50" s="15" t="s">
        <v>419</v>
      </c>
      <c r="DV50" s="15">
        <v>0.0</v>
      </c>
      <c r="DZ50" s="15">
        <v>100000.0</v>
      </c>
      <c r="EA50" s="15" t="s">
        <v>722</v>
      </c>
      <c r="EB50" s="15" t="s">
        <v>1016</v>
      </c>
      <c r="ED50" s="15">
        <v>1.0</v>
      </c>
      <c r="EE50" s="15">
        <v>1.0</v>
      </c>
      <c r="EF50" s="15" t="s">
        <v>1157</v>
      </c>
      <c r="EG50" s="15" t="s">
        <v>1158</v>
      </c>
      <c r="EH50" s="15" t="s">
        <v>1233</v>
      </c>
      <c r="EI50" s="15">
        <v>0.0</v>
      </c>
      <c r="EJ50" s="15" t="s">
        <v>726</v>
      </c>
      <c r="EK50" s="15" t="s">
        <v>727</v>
      </c>
      <c r="EM50" s="15" t="str">
        <f>IFERROR(__xludf.DUMMYFUNCTION("""COMPUTED_VALUE"""),"")</f>
        <v/>
      </c>
      <c r="EW50" s="15" t="s">
        <v>1069</v>
      </c>
      <c r="EX50" s="15" t="s">
        <v>1254</v>
      </c>
      <c r="EY50" s="15" t="s">
        <v>1254</v>
      </c>
      <c r="FF50" s="15" t="s">
        <v>1255</v>
      </c>
    </row>
    <row r="51" ht="15.75" customHeight="1">
      <c r="A51" s="14" t="s">
        <v>391</v>
      </c>
      <c r="B51" s="15" t="s">
        <v>1241</v>
      </c>
      <c r="C51" s="16"/>
      <c r="D51" s="15" t="s">
        <v>432</v>
      </c>
      <c r="G51" s="14" t="s">
        <v>393</v>
      </c>
      <c r="H51" s="14" t="s">
        <v>394</v>
      </c>
      <c r="I51" s="14" t="b">
        <v>1</v>
      </c>
      <c r="J51" s="14" t="s">
        <v>395</v>
      </c>
      <c r="L51" s="14" t="b">
        <v>0</v>
      </c>
      <c r="M51" s="15" t="s">
        <v>1256</v>
      </c>
      <c r="N51" s="14" t="s">
        <v>393</v>
      </c>
      <c r="O51" s="14" t="s">
        <v>393</v>
      </c>
      <c r="P51" s="15" t="s">
        <v>397</v>
      </c>
      <c r="Q51" s="15" t="s">
        <v>1257</v>
      </c>
      <c r="T51" s="14" t="b">
        <v>0</v>
      </c>
      <c r="U51" s="15" t="s">
        <v>1258</v>
      </c>
      <c r="V51" s="15" t="s">
        <v>1244</v>
      </c>
      <c r="W51" s="15" t="s">
        <v>401</v>
      </c>
      <c r="X51" s="15" t="s">
        <v>695</v>
      </c>
      <c r="Y51" s="15">
        <v>442.0</v>
      </c>
      <c r="AA51" s="15" t="str">
        <f t="shared" si="89"/>
        <v>170</v>
      </c>
      <c r="AB51" s="14" t="b">
        <v>1</v>
      </c>
      <c r="AC51" s="14" t="b">
        <v>1</v>
      </c>
      <c r="AD51" s="15" t="str">
        <f>"801542135249"</f>
        <v>801542135249</v>
      </c>
      <c r="AE51" s="15" t="s">
        <v>1259</v>
      </c>
      <c r="AF51" s="14" t="s">
        <v>404</v>
      </c>
      <c r="AG51" s="14" t="s">
        <v>405</v>
      </c>
      <c r="AH51" s="14" t="s">
        <v>406</v>
      </c>
      <c r="AI51" s="15">
        <v>0.0</v>
      </c>
      <c r="AL51" s="15" t="s">
        <v>832</v>
      </c>
      <c r="AM51" s="15" t="s">
        <v>1246</v>
      </c>
      <c r="AN51" s="15" t="s">
        <v>1247</v>
      </c>
      <c r="AO51" s="15" t="s">
        <v>1246</v>
      </c>
      <c r="AP51" s="15" t="s">
        <v>1247</v>
      </c>
      <c r="AQ51" s="15" t="s">
        <v>1248</v>
      </c>
      <c r="AR51" s="15" t="s">
        <v>1249</v>
      </c>
      <c r="AS51" s="15" t="s">
        <v>915</v>
      </c>
      <c r="AT51" s="15" t="s">
        <v>1257</v>
      </c>
      <c r="AU51" s="15" t="s">
        <v>1059</v>
      </c>
      <c r="AW51" s="15" t="s">
        <v>1009</v>
      </c>
      <c r="AY51" s="15" t="s">
        <v>413</v>
      </c>
      <c r="AZ51" s="15" t="b">
        <v>0</v>
      </c>
      <c r="BA51" s="15" t="s">
        <v>413</v>
      </c>
      <c r="BB51" s="15" t="b">
        <v>0</v>
      </c>
      <c r="BC51" s="15" t="s">
        <v>1260</v>
      </c>
      <c r="BD51" s="15" t="s">
        <v>709</v>
      </c>
      <c r="BE51" s="15" t="str">
        <f t="shared" si="75"/>
        <v>1</v>
      </c>
      <c r="BF51" s="15" t="s">
        <v>416</v>
      </c>
      <c r="BG51" s="15" t="str">
        <f t="shared" si="90"/>
        <v>24.02</v>
      </c>
      <c r="BH51" s="15" t="s">
        <v>755</v>
      </c>
      <c r="BI51" s="15" t="str">
        <f t="shared" si="91"/>
        <v>24.02</v>
      </c>
      <c r="BJ51" s="15" t="s">
        <v>755</v>
      </c>
      <c r="BK51" s="15" t="str">
        <f t="shared" si="92"/>
        <v>16.14</v>
      </c>
      <c r="BL51" s="15" t="s">
        <v>1251</v>
      </c>
      <c r="BM51" s="15" t="str">
        <f t="shared" si="93"/>
        <v>22.71</v>
      </c>
      <c r="BN51" s="15" t="s">
        <v>1252</v>
      </c>
      <c r="BQ51" s="15" t="s">
        <v>444</v>
      </c>
      <c r="BS51" s="15" t="s">
        <v>444</v>
      </c>
      <c r="BU51" s="15" t="s">
        <v>444</v>
      </c>
      <c r="BW51" s="15" t="s">
        <v>444</v>
      </c>
      <c r="BZ51" s="15" t="s">
        <v>444</v>
      </c>
      <c r="CB51" s="15" t="s">
        <v>444</v>
      </c>
      <c r="CD51" s="15" t="s">
        <v>444</v>
      </c>
      <c r="CF51" s="15" t="s">
        <v>444</v>
      </c>
      <c r="CI51" s="15" t="s">
        <v>444</v>
      </c>
      <c r="CK51" s="15" t="s">
        <v>444</v>
      </c>
      <c r="CM51" s="15" t="s">
        <v>444</v>
      </c>
      <c r="CO51" s="15" t="s">
        <v>444</v>
      </c>
      <c r="CP51" s="15" t="str">
        <f t="shared" si="94"/>
        <v>5.4</v>
      </c>
      <c r="CQ51" s="15" t="str">
        <f t="shared" si="95"/>
        <v>0.153</v>
      </c>
      <c r="CR51" s="15" t="s">
        <v>497</v>
      </c>
      <c r="DB51" s="15" t="s">
        <v>1253</v>
      </c>
      <c r="DC51" s="15" t="str">
        <f>IFERROR(__xludf.DUMMYFUNCTION("""COMPUTED_VALUE"""),"{""value"":22.50,""unit"":""in""}")</f>
        <v>{"value":22.50,"unit":"in"}</v>
      </c>
      <c r="DD51" s="15" t="s">
        <v>1237</v>
      </c>
      <c r="DE51" s="15" t="str">
        <f>IFERROR(__xludf.DUMMYFUNCTION("""COMPUTED_VALUE"""),"{""value"":20.50,""unit"":""in""}")</f>
        <v>{"value":20.50,"unit":"in"}</v>
      </c>
      <c r="DF51" s="15" t="s">
        <v>1253</v>
      </c>
      <c r="DG51" s="15" t="str">
        <f>IFERROR(__xludf.DUMMYFUNCTION("""COMPUTED_VALUE"""),"{""value"":22.50,""unit"":""in""}")</f>
        <v>{"value":22.50,"unit":"in"}</v>
      </c>
      <c r="DI51" s="15">
        <v>0.0</v>
      </c>
      <c r="DK51" s="15" t="s">
        <v>897</v>
      </c>
      <c r="DL51" s="15" t="str">
        <f>IFERROR(__xludf.DUMMYFUNCTION("""COMPUTED_VALUE"""),"Clean with water-based products only. Use mild detergent or upholstery shampoo.")</f>
        <v>Clean with water-based products only. Use mild detergent or upholstery shampoo.</v>
      </c>
      <c r="DM51" s="15" t="s">
        <v>898</v>
      </c>
      <c r="DT51" s="15" t="s">
        <v>721</v>
      </c>
      <c r="DU51" s="15" t="s">
        <v>419</v>
      </c>
      <c r="DV51" s="15">
        <v>0.0</v>
      </c>
      <c r="DZ51" s="15">
        <v>100000.0</v>
      </c>
      <c r="EA51" s="15" t="s">
        <v>722</v>
      </c>
      <c r="EB51" s="15" t="s">
        <v>1016</v>
      </c>
      <c r="ED51" s="15">
        <v>1.0</v>
      </c>
      <c r="EE51" s="15">
        <v>1.0</v>
      </c>
      <c r="EF51" s="15" t="s">
        <v>1157</v>
      </c>
      <c r="EG51" s="15" t="s">
        <v>1158</v>
      </c>
      <c r="EH51" s="15" t="s">
        <v>1233</v>
      </c>
      <c r="EI51" s="15">
        <v>0.0</v>
      </c>
      <c r="EJ51" s="15" t="s">
        <v>726</v>
      </c>
      <c r="EK51" s="15" t="s">
        <v>727</v>
      </c>
      <c r="EM51" s="15" t="str">
        <f>IFERROR(__xludf.DUMMYFUNCTION("""COMPUTED_VALUE"""),"")</f>
        <v/>
      </c>
      <c r="EW51" s="15" t="s">
        <v>1069</v>
      </c>
      <c r="EX51" s="15" t="s">
        <v>1254</v>
      </c>
      <c r="EY51" s="15" t="s">
        <v>1254</v>
      </c>
      <c r="FF51" s="15" t="s">
        <v>1255</v>
      </c>
    </row>
    <row r="52" ht="15.75" customHeight="1">
      <c r="A52" s="14" t="s">
        <v>391</v>
      </c>
      <c r="B52" s="15" t="s">
        <v>1241</v>
      </c>
      <c r="C52" s="16"/>
      <c r="D52" s="15" t="s">
        <v>432</v>
      </c>
      <c r="G52" s="14" t="s">
        <v>393</v>
      </c>
      <c r="H52" s="14" t="s">
        <v>394</v>
      </c>
      <c r="I52" s="14" t="b">
        <v>1</v>
      </c>
      <c r="J52" s="14" t="s">
        <v>395</v>
      </c>
      <c r="L52" s="14" t="b">
        <v>0</v>
      </c>
      <c r="M52" s="15" t="s">
        <v>1261</v>
      </c>
      <c r="N52" s="14" t="s">
        <v>393</v>
      </c>
      <c r="O52" s="14" t="s">
        <v>393</v>
      </c>
      <c r="P52" s="15" t="s">
        <v>397</v>
      </c>
      <c r="Q52" s="15" t="s">
        <v>1262</v>
      </c>
      <c r="T52" s="14" t="b">
        <v>0</v>
      </c>
      <c r="U52" s="15" t="s">
        <v>1263</v>
      </c>
      <c r="V52" s="15" t="s">
        <v>1244</v>
      </c>
      <c r="W52" s="15" t="s">
        <v>401</v>
      </c>
      <c r="X52" s="15" t="s">
        <v>695</v>
      </c>
      <c r="Y52" s="15">
        <v>494.0</v>
      </c>
      <c r="AA52" s="15" t="str">
        <f>"190"</f>
        <v>190</v>
      </c>
      <c r="AB52" s="14" t="b">
        <v>1</v>
      </c>
      <c r="AC52" s="14" t="b">
        <v>1</v>
      </c>
      <c r="AD52" s="15" t="str">
        <f>"801542284091"</f>
        <v>801542284091</v>
      </c>
      <c r="AE52" s="15" t="s">
        <v>1264</v>
      </c>
      <c r="AF52" s="14" t="s">
        <v>404</v>
      </c>
      <c r="AG52" s="14" t="s">
        <v>405</v>
      </c>
      <c r="AH52" s="14" t="s">
        <v>406</v>
      </c>
      <c r="AI52" s="15">
        <v>0.0</v>
      </c>
      <c r="AL52" s="15" t="s">
        <v>1265</v>
      </c>
      <c r="AM52" s="15" t="s">
        <v>1246</v>
      </c>
      <c r="AN52" s="15" t="s">
        <v>1247</v>
      </c>
      <c r="AO52" s="15" t="s">
        <v>1246</v>
      </c>
      <c r="AP52" s="15" t="s">
        <v>1247</v>
      </c>
      <c r="AQ52" s="15" t="s">
        <v>1248</v>
      </c>
      <c r="AR52" s="15" t="s">
        <v>1249</v>
      </c>
      <c r="AS52" s="15" t="s">
        <v>915</v>
      </c>
      <c r="AT52" s="15" t="s">
        <v>1262</v>
      </c>
      <c r="AU52" s="15" t="s">
        <v>1087</v>
      </c>
      <c r="AW52" s="15" t="s">
        <v>1009</v>
      </c>
      <c r="AY52" s="15" t="s">
        <v>413</v>
      </c>
      <c r="AZ52" s="15" t="b">
        <v>0</v>
      </c>
      <c r="BA52" s="15" t="s">
        <v>413</v>
      </c>
      <c r="BB52" s="15" t="b">
        <v>0</v>
      </c>
      <c r="BC52" s="15" t="s">
        <v>1266</v>
      </c>
      <c r="BD52" s="15" t="s">
        <v>709</v>
      </c>
      <c r="BE52" s="15" t="str">
        <f t="shared" si="75"/>
        <v>1</v>
      </c>
      <c r="BF52" s="15" t="s">
        <v>416</v>
      </c>
      <c r="BG52" s="15" t="str">
        <f t="shared" si="90"/>
        <v>24.02</v>
      </c>
      <c r="BH52" s="15" t="s">
        <v>755</v>
      </c>
      <c r="BI52" s="15" t="str">
        <f t="shared" si="91"/>
        <v>24.02</v>
      </c>
      <c r="BJ52" s="15" t="s">
        <v>755</v>
      </c>
      <c r="BK52" s="15" t="str">
        <f t="shared" si="92"/>
        <v>16.14</v>
      </c>
      <c r="BL52" s="15" t="s">
        <v>1251</v>
      </c>
      <c r="BM52" s="15" t="str">
        <f t="shared" si="93"/>
        <v>22.71</v>
      </c>
      <c r="BN52" s="15" t="s">
        <v>1252</v>
      </c>
      <c r="BQ52" s="15" t="s">
        <v>444</v>
      </c>
      <c r="BS52" s="15" t="s">
        <v>444</v>
      </c>
      <c r="BU52" s="15" t="s">
        <v>444</v>
      </c>
      <c r="BW52" s="15" t="s">
        <v>444</v>
      </c>
      <c r="BZ52" s="15" t="s">
        <v>444</v>
      </c>
      <c r="CB52" s="15" t="s">
        <v>444</v>
      </c>
      <c r="CD52" s="15" t="s">
        <v>444</v>
      </c>
      <c r="CF52" s="15" t="s">
        <v>444</v>
      </c>
      <c r="CI52" s="15" t="s">
        <v>444</v>
      </c>
      <c r="CK52" s="15" t="s">
        <v>444</v>
      </c>
      <c r="CM52" s="15" t="s">
        <v>444</v>
      </c>
      <c r="CO52" s="15" t="s">
        <v>444</v>
      </c>
      <c r="CP52" s="15" t="str">
        <f t="shared" si="94"/>
        <v>5.4</v>
      </c>
      <c r="CQ52" s="15" t="str">
        <f t="shared" si="95"/>
        <v>0.153</v>
      </c>
      <c r="CR52" s="15" t="s">
        <v>497</v>
      </c>
      <c r="DB52" s="15" t="s">
        <v>1253</v>
      </c>
      <c r="DC52" s="15" t="str">
        <f>IFERROR(__xludf.DUMMYFUNCTION("""COMPUTED_VALUE"""),"{""value"":22.50,""unit"":""in""}")</f>
        <v>{"value":22.50,"unit":"in"}</v>
      </c>
      <c r="DD52" s="15" t="s">
        <v>1237</v>
      </c>
      <c r="DE52" s="15" t="str">
        <f>IFERROR(__xludf.DUMMYFUNCTION("""COMPUTED_VALUE"""),"{""value"":20.50,""unit"":""in""}")</f>
        <v>{"value":20.50,"unit":"in"}</v>
      </c>
      <c r="DF52" s="15" t="s">
        <v>1253</v>
      </c>
      <c r="DG52" s="15" t="str">
        <f>IFERROR(__xludf.DUMMYFUNCTION("""COMPUTED_VALUE"""),"{""value"":22.50,""unit"":""in""}")</f>
        <v>{"value":22.50,"unit":"in"}</v>
      </c>
      <c r="DI52" s="15">
        <v>0.0</v>
      </c>
      <c r="DK52" s="15" t="s">
        <v>897</v>
      </c>
      <c r="DL52" s="15" t="str">
        <f>IFERROR(__xludf.DUMMYFUNCTION("""COMPUTED_VALUE"""),"Clean with water-based products only. Use mild detergent or upholstery shampoo.")</f>
        <v>Clean with water-based products only. Use mild detergent or upholstery shampoo.</v>
      </c>
      <c r="DM52" s="15" t="s">
        <v>898</v>
      </c>
      <c r="DT52" s="15" t="s">
        <v>721</v>
      </c>
      <c r="DU52" s="15" t="s">
        <v>419</v>
      </c>
      <c r="DV52" s="15">
        <v>0.0</v>
      </c>
      <c r="DZ52" s="15">
        <v>30000.0</v>
      </c>
      <c r="EA52" s="15" t="s">
        <v>722</v>
      </c>
      <c r="EB52" s="15" t="s">
        <v>1016</v>
      </c>
      <c r="ED52" s="15">
        <v>1.0</v>
      </c>
      <c r="EE52" s="15">
        <v>1.0</v>
      </c>
      <c r="EF52" s="15" t="s">
        <v>1157</v>
      </c>
      <c r="EG52" s="15" t="s">
        <v>1158</v>
      </c>
      <c r="EH52" s="15" t="s">
        <v>1233</v>
      </c>
      <c r="EI52" s="15">
        <v>0.0</v>
      </c>
      <c r="EJ52" s="15" t="s">
        <v>726</v>
      </c>
      <c r="EK52" s="15" t="s">
        <v>727</v>
      </c>
      <c r="EM52" s="15" t="str">
        <f>IFERROR(__xludf.DUMMYFUNCTION("""COMPUTED_VALUE"""),"")</f>
        <v/>
      </c>
      <c r="EW52" s="15" t="s">
        <v>1069</v>
      </c>
      <c r="EX52" s="15" t="s">
        <v>1254</v>
      </c>
      <c r="EY52" s="15" t="s">
        <v>1254</v>
      </c>
      <c r="FF52" s="15" t="s">
        <v>1255</v>
      </c>
    </row>
    <row r="53" ht="15.75" customHeight="1">
      <c r="A53" s="14" t="s">
        <v>391</v>
      </c>
      <c r="B53" s="15" t="s">
        <v>1267</v>
      </c>
      <c r="C53" s="16"/>
      <c r="D53" s="15" t="s">
        <v>432</v>
      </c>
      <c r="G53" s="14" t="s">
        <v>393</v>
      </c>
      <c r="H53" s="14" t="s">
        <v>394</v>
      </c>
      <c r="I53" s="14" t="b">
        <v>1</v>
      </c>
      <c r="J53" s="14" t="s">
        <v>395</v>
      </c>
      <c r="L53" s="14" t="b">
        <v>0</v>
      </c>
      <c r="M53" s="15" t="s">
        <v>1268</v>
      </c>
      <c r="N53" s="14" t="s">
        <v>393</v>
      </c>
      <c r="O53" s="14" t="s">
        <v>393</v>
      </c>
      <c r="P53" s="15" t="s">
        <v>397</v>
      </c>
      <c r="Q53" s="15" t="s">
        <v>1269</v>
      </c>
      <c r="T53" s="14" t="b">
        <v>0</v>
      </c>
      <c r="U53" s="15" t="s">
        <v>1270</v>
      </c>
      <c r="V53" s="15" t="s">
        <v>1271</v>
      </c>
      <c r="W53" s="15" t="s">
        <v>401</v>
      </c>
      <c r="X53" s="15" t="s">
        <v>695</v>
      </c>
      <c r="Y53" s="15">
        <v>1482.0</v>
      </c>
      <c r="AA53" s="15" t="str">
        <f>"570"</f>
        <v>570</v>
      </c>
      <c r="AB53" s="14" t="b">
        <v>1</v>
      </c>
      <c r="AC53" s="14" t="b">
        <v>1</v>
      </c>
      <c r="AD53" s="15" t="str">
        <f>"801542538248"</f>
        <v>801542538248</v>
      </c>
      <c r="AE53" s="15" t="s">
        <v>1272</v>
      </c>
      <c r="AF53" s="14" t="s">
        <v>404</v>
      </c>
      <c r="AG53" s="14" t="s">
        <v>405</v>
      </c>
      <c r="AH53" s="14" t="s">
        <v>406</v>
      </c>
      <c r="AI53" s="15">
        <v>0.0</v>
      </c>
      <c r="AL53" s="15" t="s">
        <v>1273</v>
      </c>
      <c r="AM53" s="15" t="s">
        <v>1274</v>
      </c>
      <c r="AN53" s="15" t="s">
        <v>1275</v>
      </c>
      <c r="AO53" s="15" t="s">
        <v>645</v>
      </c>
      <c r="AP53" s="15" t="s">
        <v>646</v>
      </c>
      <c r="AQ53" s="15" t="s">
        <v>1276</v>
      </c>
      <c r="AR53" s="15" t="s">
        <v>1277</v>
      </c>
      <c r="AS53" s="15" t="s">
        <v>915</v>
      </c>
      <c r="AT53" s="15" t="s">
        <v>1269</v>
      </c>
      <c r="AU53" s="15" t="s">
        <v>1278</v>
      </c>
      <c r="AW53" s="15" t="s">
        <v>706</v>
      </c>
      <c r="AX53" s="15" t="s">
        <v>707</v>
      </c>
      <c r="AY53" s="15" t="s">
        <v>413</v>
      </c>
      <c r="AZ53" s="15" t="b">
        <v>0</v>
      </c>
      <c r="BA53" s="15" t="s">
        <v>426</v>
      </c>
      <c r="BB53" s="15" t="b">
        <v>1</v>
      </c>
      <c r="BC53" s="15" t="s">
        <v>1279</v>
      </c>
      <c r="BD53" s="15" t="s">
        <v>709</v>
      </c>
      <c r="BE53" s="15" t="str">
        <f t="shared" si="75"/>
        <v>1</v>
      </c>
      <c r="BF53" s="15" t="s">
        <v>416</v>
      </c>
      <c r="BG53" s="15" t="str">
        <f>"40.75"</f>
        <v>40.75</v>
      </c>
      <c r="BH53" s="15" t="s">
        <v>1280</v>
      </c>
      <c r="BI53" s="15" t="str">
        <f>"33.07"</f>
        <v>33.07</v>
      </c>
      <c r="BJ53" s="15" t="s">
        <v>1091</v>
      </c>
      <c r="BK53" s="15" t="str">
        <f>"30.71"</f>
        <v>30.71</v>
      </c>
      <c r="BL53" s="15" t="s">
        <v>1281</v>
      </c>
      <c r="BM53" s="15" t="str">
        <f>"56.88"</f>
        <v>56.88</v>
      </c>
      <c r="BN53" s="15" t="s">
        <v>1282</v>
      </c>
      <c r="BQ53" s="15" t="s">
        <v>444</v>
      </c>
      <c r="BS53" s="15" t="s">
        <v>444</v>
      </c>
      <c r="BU53" s="15" t="s">
        <v>444</v>
      </c>
      <c r="BW53" s="15" t="s">
        <v>444</v>
      </c>
      <c r="BZ53" s="15" t="s">
        <v>444</v>
      </c>
      <c r="CB53" s="15" t="s">
        <v>444</v>
      </c>
      <c r="CD53" s="15" t="s">
        <v>444</v>
      </c>
      <c r="CF53" s="15" t="s">
        <v>444</v>
      </c>
      <c r="CI53" s="15" t="s">
        <v>444</v>
      </c>
      <c r="CK53" s="15" t="s">
        <v>444</v>
      </c>
      <c r="CM53" s="15" t="s">
        <v>444</v>
      </c>
      <c r="CO53" s="15" t="s">
        <v>444</v>
      </c>
      <c r="CP53" s="15" t="str">
        <f>"23.94"</f>
        <v>23.94</v>
      </c>
      <c r="CQ53" s="15" t="str">
        <f>"0.678"</f>
        <v>0.678</v>
      </c>
      <c r="CR53" s="15" t="s">
        <v>465</v>
      </c>
      <c r="CY53" s="15" t="s">
        <v>558</v>
      </c>
      <c r="CZ53" s="15" t="s">
        <v>505</v>
      </c>
      <c r="DA53" s="15" t="s">
        <v>1283</v>
      </c>
      <c r="DB53" s="15" t="s">
        <v>525</v>
      </c>
      <c r="DC53" s="15" t="str">
        <f>IFERROR(__xludf.DUMMYFUNCTION("""COMPUTED_VALUE"""),"{""value"":23.00,""unit"":""in""}")</f>
        <v>{"value":23.00,"unit":"in"}</v>
      </c>
      <c r="DD53" s="15" t="s">
        <v>1065</v>
      </c>
      <c r="DE53" s="15" t="str">
        <f>IFERROR(__xludf.DUMMYFUNCTION("""COMPUTED_VALUE"""),"{""value"":18.00,""unit"":""in""}")</f>
        <v>{"value":18.00,"unit":"in"}</v>
      </c>
      <c r="DG53" s="15" t="str">
        <f>IFERROR(__xludf.DUMMYFUNCTION("""COMPUTED_VALUE"""),"")</f>
        <v/>
      </c>
      <c r="DH53" s="15">
        <v>0.0</v>
      </c>
      <c r="DI53" s="15">
        <v>1.0</v>
      </c>
      <c r="DJ53" s="15" t="s">
        <v>717</v>
      </c>
      <c r="DK53" s="15" t="s">
        <v>855</v>
      </c>
      <c r="DL53" s="15" t="str">
        <f>IFERROR(__xludf.DUMMYFUNCTION("""COMPUTED_VALUE"""),"Clean with solvent-based (dry clean only) products. Do not use water.")</f>
        <v>Clean with solvent-based (dry clean only) products. Do not use water.</v>
      </c>
      <c r="DM53" s="15" t="s">
        <v>856</v>
      </c>
      <c r="DQ53" s="15" t="s">
        <v>1066</v>
      </c>
      <c r="DT53" s="15" t="s">
        <v>1284</v>
      </c>
      <c r="DU53" s="15" t="s">
        <v>419</v>
      </c>
      <c r="DV53" s="15">
        <v>0.0</v>
      </c>
      <c r="DZ53" s="15">
        <v>25000.0</v>
      </c>
      <c r="EA53" s="15" t="s">
        <v>722</v>
      </c>
      <c r="EB53" s="15" t="s">
        <v>723</v>
      </c>
      <c r="EC53" s="15" t="s">
        <v>724</v>
      </c>
      <c r="ED53" s="15">
        <v>1.0</v>
      </c>
      <c r="EE53" s="15">
        <v>1.0</v>
      </c>
      <c r="EG53" s="15" t="s">
        <v>444</v>
      </c>
      <c r="EH53" s="15" t="s">
        <v>1285</v>
      </c>
      <c r="EI53" s="15">
        <v>0.0</v>
      </c>
      <c r="EJ53" s="15" t="s">
        <v>726</v>
      </c>
      <c r="EK53" s="15" t="s">
        <v>727</v>
      </c>
      <c r="EL53" s="15" t="s">
        <v>1286</v>
      </c>
      <c r="EM53" s="15" t="str">
        <f>IFERROR(__xludf.DUMMYFUNCTION("""COMPUTED_VALUE"""),"{""value"":23.50,""unit"":""in""}")</f>
        <v>{"value":23.50,"unit":"in"}</v>
      </c>
      <c r="EN53" s="15" t="s">
        <v>1069</v>
      </c>
      <c r="EO53" s="15" t="s">
        <v>1283</v>
      </c>
      <c r="ES53" s="15" t="s">
        <v>425</v>
      </c>
      <c r="ET53" s="15" t="s">
        <v>505</v>
      </c>
      <c r="EU53" s="15" t="s">
        <v>1287</v>
      </c>
      <c r="EV53" s="15" t="s">
        <v>525</v>
      </c>
      <c r="EW53" s="15" t="s">
        <v>1069</v>
      </c>
      <c r="EX53" s="15" t="s">
        <v>525</v>
      </c>
      <c r="EY53" s="15" t="s">
        <v>1064</v>
      </c>
      <c r="EZ53" s="15" t="s">
        <v>1288</v>
      </c>
      <c r="FC53" s="15" t="s">
        <v>723</v>
      </c>
      <c r="FD53" s="15" t="s">
        <v>724</v>
      </c>
      <c r="FE53" s="15" t="s">
        <v>1289</v>
      </c>
      <c r="FF53" s="15" t="s">
        <v>1290</v>
      </c>
      <c r="FO53" s="15" t="s">
        <v>1072</v>
      </c>
      <c r="FP53" s="15" t="s">
        <v>1283</v>
      </c>
      <c r="FQ53" s="15">
        <v>0.0</v>
      </c>
      <c r="FR53" s="15">
        <v>0.0</v>
      </c>
      <c r="FT53" s="15">
        <v>0.0</v>
      </c>
    </row>
    <row r="54" ht="15.75" customHeight="1">
      <c r="A54" s="14" t="s">
        <v>391</v>
      </c>
      <c r="B54" s="15" t="s">
        <v>1291</v>
      </c>
      <c r="C54" s="16"/>
      <c r="D54" s="15" t="s">
        <v>432</v>
      </c>
      <c r="G54" s="14" t="s">
        <v>393</v>
      </c>
      <c r="H54" s="14" t="s">
        <v>394</v>
      </c>
      <c r="I54" s="14" t="b">
        <v>1</v>
      </c>
      <c r="J54" s="14" t="s">
        <v>395</v>
      </c>
      <c r="L54" s="14" t="b">
        <v>0</v>
      </c>
      <c r="M54" s="15" t="s">
        <v>1292</v>
      </c>
      <c r="N54" s="14" t="s">
        <v>393</v>
      </c>
      <c r="O54" s="14" t="s">
        <v>393</v>
      </c>
      <c r="P54" s="15" t="s">
        <v>397</v>
      </c>
      <c r="Q54" s="15" t="s">
        <v>1293</v>
      </c>
      <c r="T54" s="14" t="b">
        <v>0</v>
      </c>
      <c r="U54" s="15" t="s">
        <v>1294</v>
      </c>
      <c r="V54" s="15" t="s">
        <v>1295</v>
      </c>
      <c r="W54" s="15" t="s">
        <v>401</v>
      </c>
      <c r="X54" s="15" t="s">
        <v>1296</v>
      </c>
      <c r="Y54" s="15">
        <v>2522.0</v>
      </c>
      <c r="AA54" s="15" t="str">
        <f>"970"</f>
        <v>970</v>
      </c>
      <c r="AB54" s="14" t="b">
        <v>1</v>
      </c>
      <c r="AC54" s="14" t="b">
        <v>1</v>
      </c>
      <c r="AD54" s="15" t="str">
        <f>"801542363048"</f>
        <v>801542363048</v>
      </c>
      <c r="AE54" s="15" t="s">
        <v>1297</v>
      </c>
      <c r="AF54" s="14" t="s">
        <v>404</v>
      </c>
      <c r="AG54" s="14" t="s">
        <v>405</v>
      </c>
      <c r="AH54" s="14" t="s">
        <v>406</v>
      </c>
      <c r="AI54" s="15">
        <v>0.0</v>
      </c>
      <c r="AL54" s="15" t="s">
        <v>1298</v>
      </c>
      <c r="AM54" s="15" t="s">
        <v>1299</v>
      </c>
      <c r="AN54" s="15" t="s">
        <v>1300</v>
      </c>
      <c r="AO54" s="15" t="s">
        <v>409</v>
      </c>
      <c r="AP54" s="15" t="s">
        <v>438</v>
      </c>
      <c r="AQ54" s="15" t="s">
        <v>517</v>
      </c>
      <c r="AR54" s="15" t="s">
        <v>518</v>
      </c>
      <c r="AS54" s="15" t="s">
        <v>1301</v>
      </c>
      <c r="AT54" s="15" t="s">
        <v>1293</v>
      </c>
      <c r="AW54" s="15" t="s">
        <v>664</v>
      </c>
      <c r="AY54" s="15" t="s">
        <v>413</v>
      </c>
      <c r="AZ54" s="15" t="b">
        <v>0</v>
      </c>
      <c r="BA54" s="15" t="s">
        <v>413</v>
      </c>
      <c r="BB54" s="15" t="b">
        <v>0</v>
      </c>
      <c r="BC54" s="15" t="s">
        <v>1302</v>
      </c>
      <c r="BD54" s="15" t="s">
        <v>1303</v>
      </c>
      <c r="BE54" s="15" t="str">
        <f t="shared" si="75"/>
        <v>1</v>
      </c>
      <c r="BF54" s="15" t="s">
        <v>416</v>
      </c>
      <c r="BG54" s="15" t="str">
        <f>"99.5"</f>
        <v>99.5</v>
      </c>
      <c r="BH54" s="15" t="s">
        <v>1304</v>
      </c>
      <c r="BI54" s="15" t="str">
        <f>"24"</f>
        <v>24</v>
      </c>
      <c r="BJ54" s="15" t="s">
        <v>1178</v>
      </c>
      <c r="BK54" s="15" t="str">
        <f>"38.5"</f>
        <v>38.5</v>
      </c>
      <c r="BL54" s="15" t="s">
        <v>1206</v>
      </c>
      <c r="BM54" s="15" t="str">
        <f>"321.76"</f>
        <v>321.76</v>
      </c>
      <c r="BN54" s="15" t="s">
        <v>1305</v>
      </c>
      <c r="BQ54" s="15" t="s">
        <v>444</v>
      </c>
      <c r="BS54" s="15" t="s">
        <v>444</v>
      </c>
      <c r="BU54" s="15" t="s">
        <v>444</v>
      </c>
      <c r="BW54" s="15" t="s">
        <v>444</v>
      </c>
      <c r="BZ54" s="15" t="s">
        <v>444</v>
      </c>
      <c r="CB54" s="15" t="s">
        <v>444</v>
      </c>
      <c r="CD54" s="15" t="s">
        <v>444</v>
      </c>
      <c r="CF54" s="15" t="s">
        <v>444</v>
      </c>
      <c r="CI54" s="15" t="s">
        <v>444</v>
      </c>
      <c r="CK54" s="15" t="s">
        <v>444</v>
      </c>
      <c r="CM54" s="15" t="s">
        <v>444</v>
      </c>
      <c r="CO54" s="15" t="s">
        <v>444</v>
      </c>
      <c r="CP54" s="15" t="str">
        <f>"53.22"</f>
        <v>53.22</v>
      </c>
      <c r="CQ54" s="15" t="str">
        <f>"1.507"</f>
        <v>1.507</v>
      </c>
      <c r="CR54" s="15" t="s">
        <v>497</v>
      </c>
      <c r="CV54" s="15" t="s">
        <v>1065</v>
      </c>
      <c r="CW54" s="15" t="s">
        <v>1306</v>
      </c>
      <c r="CX54" s="15" t="s">
        <v>1240</v>
      </c>
      <c r="DC54" s="15" t="str">
        <f>IFERROR(__xludf.DUMMYFUNCTION("""COMPUTED_VALUE"""),"")</f>
        <v/>
      </c>
      <c r="DE54" s="15" t="str">
        <f>IFERROR(__xludf.DUMMYFUNCTION("""COMPUTED_VALUE"""),"")</f>
        <v/>
      </c>
      <c r="DG54" s="15" t="str">
        <f>IFERROR(__xludf.DUMMYFUNCTION("""COMPUTED_VALUE"""),"")</f>
        <v/>
      </c>
      <c r="DL54" s="15" t="str">
        <f>IFERROR(__xludf.DUMMYFUNCTION("""COMPUTED_VALUE"""),"")</f>
        <v/>
      </c>
      <c r="DM54" s="15" t="s">
        <v>444</v>
      </c>
      <c r="DN54" s="15" t="s">
        <v>419</v>
      </c>
      <c r="DO54" s="15">
        <v>0.0</v>
      </c>
      <c r="DP54" s="15" t="s">
        <v>419</v>
      </c>
      <c r="DR54" s="15">
        <v>0.0</v>
      </c>
      <c r="DT54" s="15" t="s">
        <v>1307</v>
      </c>
      <c r="DU54" s="15" t="s">
        <v>610</v>
      </c>
      <c r="DW54" s="15">
        <v>18.14</v>
      </c>
      <c r="DX54" s="15">
        <v>40.0</v>
      </c>
      <c r="DY54" s="15">
        <v>3.0</v>
      </c>
      <c r="EG54" s="15" t="s">
        <v>444</v>
      </c>
      <c r="EH54" s="15" t="s">
        <v>1308</v>
      </c>
      <c r="EJ54" s="15" t="s">
        <v>424</v>
      </c>
      <c r="EK54" s="15" t="s">
        <v>446</v>
      </c>
      <c r="EM54" s="15" t="str">
        <f>IFERROR(__xludf.DUMMYFUNCTION("""COMPUTED_VALUE"""),"")</f>
        <v/>
      </c>
      <c r="EW54" s="15" t="s">
        <v>1236</v>
      </c>
      <c r="FL54" s="15" t="s">
        <v>426</v>
      </c>
      <c r="FM54" s="15">
        <v>3.0</v>
      </c>
      <c r="FY54" s="15" t="s">
        <v>1212</v>
      </c>
      <c r="FZ54" s="15" t="s">
        <v>1309</v>
      </c>
      <c r="GA54" s="15" t="s">
        <v>428</v>
      </c>
      <c r="GB54" s="15" t="s">
        <v>1161</v>
      </c>
      <c r="GC54" s="15" t="s">
        <v>1309</v>
      </c>
      <c r="GD54" s="15" t="s">
        <v>1240</v>
      </c>
      <c r="GE54" s="15">
        <v>0.0</v>
      </c>
      <c r="GF54" s="15" t="s">
        <v>426</v>
      </c>
      <c r="GH54" s="15">
        <v>6.0</v>
      </c>
      <c r="GI54" s="15" t="s">
        <v>614</v>
      </c>
      <c r="GJ54" s="15" t="s">
        <v>615</v>
      </c>
      <c r="GK54" s="15">
        <v>0.0</v>
      </c>
      <c r="GL54" s="15" t="s">
        <v>426</v>
      </c>
      <c r="GN54" s="15" t="s">
        <v>616</v>
      </c>
      <c r="HA54" s="15" t="s">
        <v>1065</v>
      </c>
      <c r="HB54" s="15" t="s">
        <v>1306</v>
      </c>
      <c r="HC54" s="15" t="s">
        <v>1240</v>
      </c>
      <c r="HQ54" s="15" t="s">
        <v>1065</v>
      </c>
      <c r="HS54" s="15" t="s">
        <v>1306</v>
      </c>
      <c r="HU54" s="15" t="s">
        <v>1240</v>
      </c>
    </row>
    <row r="55" ht="15.75" customHeight="1">
      <c r="A55" s="14" t="s">
        <v>391</v>
      </c>
      <c r="B55" s="15" t="s">
        <v>1310</v>
      </c>
      <c r="C55" s="16"/>
      <c r="D55" s="15" t="s">
        <v>432</v>
      </c>
      <c r="G55" s="14" t="s">
        <v>393</v>
      </c>
      <c r="H55" s="14" t="s">
        <v>394</v>
      </c>
      <c r="I55" s="14" t="b">
        <v>1</v>
      </c>
      <c r="J55" s="14" t="s">
        <v>395</v>
      </c>
      <c r="L55" s="14" t="b">
        <v>0</v>
      </c>
      <c r="M55" s="15" t="s">
        <v>1311</v>
      </c>
      <c r="N55" s="14" t="s">
        <v>393</v>
      </c>
      <c r="O55" s="14" t="s">
        <v>393</v>
      </c>
      <c r="P55" s="15" t="s">
        <v>397</v>
      </c>
      <c r="Q55" s="15" t="s">
        <v>1312</v>
      </c>
      <c r="T55" s="14" t="b">
        <v>0</v>
      </c>
      <c r="U55" s="15" t="s">
        <v>1313</v>
      </c>
      <c r="V55" s="15" t="s">
        <v>1314</v>
      </c>
      <c r="W55" s="15" t="s">
        <v>401</v>
      </c>
      <c r="X55" s="15" t="s">
        <v>695</v>
      </c>
      <c r="Y55" s="15">
        <v>1092.0</v>
      </c>
      <c r="AA55" s="15" t="str">
        <f>"420"</f>
        <v>420</v>
      </c>
      <c r="AB55" s="14" t="b">
        <v>1</v>
      </c>
      <c r="AC55" s="14" t="b">
        <v>1</v>
      </c>
      <c r="AD55" s="15" t="str">
        <f>"801542073961"</f>
        <v>801542073961</v>
      </c>
      <c r="AE55" s="15" t="s">
        <v>1315</v>
      </c>
      <c r="AF55" s="14" t="s">
        <v>404</v>
      </c>
      <c r="AG55" s="14" t="s">
        <v>405</v>
      </c>
      <c r="AH55" s="14" t="s">
        <v>406</v>
      </c>
      <c r="AI55" s="15">
        <v>0.0</v>
      </c>
      <c r="AL55" s="15" t="s">
        <v>1316</v>
      </c>
      <c r="AM55" s="15" t="s">
        <v>1274</v>
      </c>
      <c r="AN55" s="15" t="s">
        <v>1275</v>
      </c>
      <c r="AO55" s="15" t="s">
        <v>546</v>
      </c>
      <c r="AP55" s="15" t="s">
        <v>547</v>
      </c>
      <c r="AQ55" s="15" t="s">
        <v>1274</v>
      </c>
      <c r="AR55" s="15" t="s">
        <v>1275</v>
      </c>
      <c r="AS55" s="15" t="s">
        <v>1317</v>
      </c>
      <c r="AT55" s="15" t="s">
        <v>1312</v>
      </c>
      <c r="AU55" s="15" t="s">
        <v>1318</v>
      </c>
      <c r="AV55" s="15" t="s">
        <v>1319</v>
      </c>
      <c r="AW55" s="15" t="s">
        <v>706</v>
      </c>
      <c r="AX55" s="15" t="s">
        <v>707</v>
      </c>
      <c r="AY55" s="15" t="s">
        <v>413</v>
      </c>
      <c r="AZ55" s="15" t="b">
        <v>0</v>
      </c>
      <c r="BA55" s="15" t="s">
        <v>426</v>
      </c>
      <c r="BB55" s="15" t="b">
        <v>1</v>
      </c>
      <c r="BC55" s="15" t="s">
        <v>1320</v>
      </c>
      <c r="BD55" s="15" t="s">
        <v>709</v>
      </c>
      <c r="BE55" s="15" t="str">
        <f t="shared" si="75"/>
        <v>1</v>
      </c>
      <c r="BF55" s="15" t="s">
        <v>416</v>
      </c>
      <c r="BG55" s="15" t="str">
        <f t="shared" ref="BG55:BG59" si="96">"37.8"</f>
        <v>37.8</v>
      </c>
      <c r="BH55" s="15" t="s">
        <v>756</v>
      </c>
      <c r="BI55" s="15" t="str">
        <f t="shared" ref="BI55:BI59" si="97">"29.92"</f>
        <v>29.92</v>
      </c>
      <c r="BJ55" s="15" t="s">
        <v>1321</v>
      </c>
      <c r="BK55" s="15" t="str">
        <f t="shared" ref="BK55:BK59" si="98">"31.5"</f>
        <v>31.5</v>
      </c>
      <c r="BL55" s="15" t="s">
        <v>1322</v>
      </c>
      <c r="BM55" s="15" t="str">
        <f t="shared" ref="BM55:BM59" si="99">"51.37"</f>
        <v>51.37</v>
      </c>
      <c r="BN55" s="15" t="s">
        <v>1323</v>
      </c>
      <c r="BQ55" s="15" t="s">
        <v>444</v>
      </c>
      <c r="BS55" s="15" t="s">
        <v>444</v>
      </c>
      <c r="BU55" s="15" t="s">
        <v>444</v>
      </c>
      <c r="BW55" s="15" t="s">
        <v>444</v>
      </c>
      <c r="BZ55" s="15" t="s">
        <v>444</v>
      </c>
      <c r="CB55" s="15" t="s">
        <v>444</v>
      </c>
      <c r="CD55" s="15" t="s">
        <v>444</v>
      </c>
      <c r="CF55" s="15" t="s">
        <v>444</v>
      </c>
      <c r="CI55" s="15" t="s">
        <v>444</v>
      </c>
      <c r="CK55" s="15" t="s">
        <v>444</v>
      </c>
      <c r="CM55" s="15" t="s">
        <v>444</v>
      </c>
      <c r="CO55" s="15" t="s">
        <v>444</v>
      </c>
      <c r="CP55" s="15" t="str">
        <f t="shared" ref="CP55:CP59" si="100">"20.62"</f>
        <v>20.62</v>
      </c>
      <c r="CQ55" s="15" t="str">
        <f t="shared" ref="CQ55:CQ59" si="101">"0.584"</f>
        <v>0.584</v>
      </c>
      <c r="CR55" s="15" t="s">
        <v>417</v>
      </c>
      <c r="DB55" s="15" t="s">
        <v>1324</v>
      </c>
      <c r="DC55" s="15" t="str">
        <f>IFERROR(__xludf.DUMMYFUNCTION("""COMPUTED_VALUE"""),"{""value"":20.00,""unit"":""in""}")</f>
        <v>{"value":20.00,"unit":"in"}</v>
      </c>
      <c r="DD55" s="15" t="s">
        <v>1325</v>
      </c>
      <c r="DE55" s="15" t="str">
        <f>IFERROR(__xludf.DUMMYFUNCTION("""COMPUTED_VALUE"""),"{""value"":18.25,""unit"":""in""}")</f>
        <v>{"value":18.25,"unit":"in"}</v>
      </c>
      <c r="DG55" s="15" t="str">
        <f>IFERROR(__xludf.DUMMYFUNCTION("""COMPUTED_VALUE"""),"")</f>
        <v/>
      </c>
      <c r="DH55" s="15">
        <v>0.0</v>
      </c>
      <c r="DI55" s="15">
        <v>1.0</v>
      </c>
      <c r="DJ55" s="15" t="s">
        <v>717</v>
      </c>
      <c r="DK55" s="15" t="s">
        <v>855</v>
      </c>
      <c r="DL55" s="15" t="str">
        <f>IFERROR(__xludf.DUMMYFUNCTION("""COMPUTED_VALUE"""),"Clean with solvent-based (dry clean only) products. Do not use water.")</f>
        <v>Clean with solvent-based (dry clean only) products. Do not use water.</v>
      </c>
      <c r="DM55" s="15" t="s">
        <v>856</v>
      </c>
      <c r="DT55" s="15" t="s">
        <v>721</v>
      </c>
      <c r="DU55" s="15" t="s">
        <v>419</v>
      </c>
      <c r="DV55" s="15">
        <v>0.0</v>
      </c>
      <c r="DZ55" s="15">
        <v>25000.0</v>
      </c>
      <c r="EA55" s="15" t="s">
        <v>990</v>
      </c>
      <c r="EB55" s="15" t="s">
        <v>1016</v>
      </c>
      <c r="ED55" s="15">
        <v>1.0</v>
      </c>
      <c r="EE55" s="15">
        <v>1.0</v>
      </c>
      <c r="EG55" s="15" t="s">
        <v>444</v>
      </c>
      <c r="EH55" s="15" t="s">
        <v>1326</v>
      </c>
      <c r="EI55" s="15">
        <v>0.0</v>
      </c>
      <c r="EJ55" s="15" t="s">
        <v>726</v>
      </c>
      <c r="EK55" s="15" t="s">
        <v>727</v>
      </c>
      <c r="EL55" s="15" t="s">
        <v>1286</v>
      </c>
      <c r="EM55" s="15" t="str">
        <f>IFERROR(__xludf.DUMMYFUNCTION("""COMPUTED_VALUE"""),"{""value"":23.50,""unit"":""in""}")</f>
        <v>{"value":23.50,"unit":"in"}</v>
      </c>
      <c r="EN55" s="15" t="s">
        <v>1327</v>
      </c>
      <c r="EO55" s="15" t="s">
        <v>1328</v>
      </c>
      <c r="ES55" s="15" t="s">
        <v>477</v>
      </c>
      <c r="EW55" s="15" t="s">
        <v>1329</v>
      </c>
      <c r="EX55" s="15" t="s">
        <v>1330</v>
      </c>
      <c r="EY55" s="15" t="s">
        <v>1211</v>
      </c>
      <c r="EZ55" s="15" t="s">
        <v>939</v>
      </c>
      <c r="FC55" s="15" t="s">
        <v>1016</v>
      </c>
      <c r="FF55" s="15" t="s">
        <v>860</v>
      </c>
      <c r="FO55" s="15" t="s">
        <v>1065</v>
      </c>
      <c r="FP55" s="15" t="s">
        <v>1331</v>
      </c>
      <c r="FQ55" s="15">
        <v>0.0</v>
      </c>
      <c r="FR55" s="15">
        <v>0.0</v>
      </c>
      <c r="FT55" s="15">
        <v>0.0</v>
      </c>
    </row>
    <row r="56" ht="15.75" customHeight="1">
      <c r="A56" s="14" t="s">
        <v>391</v>
      </c>
      <c r="B56" s="15" t="s">
        <v>1310</v>
      </c>
      <c r="C56" s="16"/>
      <c r="D56" s="15" t="s">
        <v>432</v>
      </c>
      <c r="G56" s="14" t="s">
        <v>393</v>
      </c>
      <c r="H56" s="14" t="s">
        <v>394</v>
      </c>
      <c r="I56" s="14" t="b">
        <v>1</v>
      </c>
      <c r="J56" s="14" t="s">
        <v>395</v>
      </c>
      <c r="L56" s="14" t="b">
        <v>0</v>
      </c>
      <c r="M56" s="15" t="s">
        <v>1332</v>
      </c>
      <c r="N56" s="14" t="s">
        <v>393</v>
      </c>
      <c r="O56" s="14" t="s">
        <v>393</v>
      </c>
      <c r="P56" s="15" t="s">
        <v>397</v>
      </c>
      <c r="Q56" s="15" t="s">
        <v>1333</v>
      </c>
      <c r="T56" s="14" t="b">
        <v>0</v>
      </c>
      <c r="U56" s="15" t="s">
        <v>1334</v>
      </c>
      <c r="V56" s="15" t="s">
        <v>1314</v>
      </c>
      <c r="W56" s="15" t="s">
        <v>401</v>
      </c>
      <c r="X56" s="15" t="s">
        <v>695</v>
      </c>
      <c r="Y56" s="15">
        <v>1586.0</v>
      </c>
      <c r="AA56" s="15" t="str">
        <f>"610"</f>
        <v>610</v>
      </c>
      <c r="AB56" s="14" t="b">
        <v>1</v>
      </c>
      <c r="AC56" s="14" t="b">
        <v>1</v>
      </c>
      <c r="AD56" s="15" t="str">
        <f>"801542672331"</f>
        <v>801542672331</v>
      </c>
      <c r="AE56" s="15" t="s">
        <v>1335</v>
      </c>
      <c r="AF56" s="14" t="s">
        <v>404</v>
      </c>
      <c r="AG56" s="14" t="s">
        <v>405</v>
      </c>
      <c r="AH56" s="14" t="s">
        <v>406</v>
      </c>
      <c r="AI56" s="15">
        <v>0.0</v>
      </c>
      <c r="AL56" s="15" t="s">
        <v>975</v>
      </c>
      <c r="AM56" s="15" t="s">
        <v>1274</v>
      </c>
      <c r="AN56" s="15" t="s">
        <v>1275</v>
      </c>
      <c r="AO56" s="15" t="s">
        <v>546</v>
      </c>
      <c r="AP56" s="15" t="s">
        <v>547</v>
      </c>
      <c r="AQ56" s="15" t="s">
        <v>1274</v>
      </c>
      <c r="AR56" s="15" t="s">
        <v>1275</v>
      </c>
      <c r="AS56" s="15" t="s">
        <v>1317</v>
      </c>
      <c r="AT56" s="15" t="s">
        <v>1333</v>
      </c>
      <c r="AU56" s="15" t="s">
        <v>1087</v>
      </c>
      <c r="AW56" s="15" t="s">
        <v>706</v>
      </c>
      <c r="AX56" s="15" t="s">
        <v>707</v>
      </c>
      <c r="AY56" s="15" t="s">
        <v>413</v>
      </c>
      <c r="AZ56" s="15" t="b">
        <v>0</v>
      </c>
      <c r="BA56" s="15" t="s">
        <v>413</v>
      </c>
      <c r="BB56" s="15" t="b">
        <v>0</v>
      </c>
      <c r="BC56" s="15" t="s">
        <v>1336</v>
      </c>
      <c r="BD56" s="15" t="s">
        <v>709</v>
      </c>
      <c r="BE56" s="15" t="str">
        <f t="shared" si="75"/>
        <v>1</v>
      </c>
      <c r="BF56" s="15" t="s">
        <v>416</v>
      </c>
      <c r="BG56" s="15" t="str">
        <f t="shared" si="96"/>
        <v>37.8</v>
      </c>
      <c r="BH56" s="15" t="s">
        <v>756</v>
      </c>
      <c r="BI56" s="15" t="str">
        <f t="shared" si="97"/>
        <v>29.92</v>
      </c>
      <c r="BJ56" s="15" t="s">
        <v>1321</v>
      </c>
      <c r="BK56" s="15" t="str">
        <f t="shared" si="98"/>
        <v>31.5</v>
      </c>
      <c r="BL56" s="15" t="s">
        <v>1322</v>
      </c>
      <c r="BM56" s="15" t="str">
        <f t="shared" si="99"/>
        <v>51.37</v>
      </c>
      <c r="BN56" s="15" t="s">
        <v>1323</v>
      </c>
      <c r="BQ56" s="15" t="s">
        <v>444</v>
      </c>
      <c r="BS56" s="15" t="s">
        <v>444</v>
      </c>
      <c r="BU56" s="15" t="s">
        <v>444</v>
      </c>
      <c r="BW56" s="15" t="s">
        <v>444</v>
      </c>
      <c r="BZ56" s="15" t="s">
        <v>444</v>
      </c>
      <c r="CB56" s="15" t="s">
        <v>444</v>
      </c>
      <c r="CD56" s="15" t="s">
        <v>444</v>
      </c>
      <c r="CF56" s="15" t="s">
        <v>444</v>
      </c>
      <c r="CI56" s="15" t="s">
        <v>444</v>
      </c>
      <c r="CK56" s="15" t="s">
        <v>444</v>
      </c>
      <c r="CM56" s="15" t="s">
        <v>444</v>
      </c>
      <c r="CO56" s="15" t="s">
        <v>444</v>
      </c>
      <c r="CP56" s="15" t="str">
        <f t="shared" si="100"/>
        <v>20.62</v>
      </c>
      <c r="CQ56" s="15" t="str">
        <f t="shared" si="101"/>
        <v>0.584</v>
      </c>
      <c r="CR56" s="15" t="s">
        <v>417</v>
      </c>
      <c r="DB56" s="15" t="s">
        <v>1324</v>
      </c>
      <c r="DC56" s="15" t="str">
        <f>IFERROR(__xludf.DUMMYFUNCTION("""COMPUTED_VALUE"""),"{""value"":20.00,""unit"":""in""}")</f>
        <v>{"value":20.00,"unit":"in"}</v>
      </c>
      <c r="DD56" s="15" t="s">
        <v>1325</v>
      </c>
      <c r="DE56" s="15" t="str">
        <f>IFERROR(__xludf.DUMMYFUNCTION("""COMPUTED_VALUE"""),"{""value"":18.25,""unit"":""in""}")</f>
        <v>{"value":18.25,"unit":"in"}</v>
      </c>
      <c r="DG56" s="15" t="str">
        <f>IFERROR(__xludf.DUMMYFUNCTION("""COMPUTED_VALUE"""),"")</f>
        <v/>
      </c>
      <c r="DH56" s="15">
        <v>0.0</v>
      </c>
      <c r="DI56" s="15">
        <v>1.0</v>
      </c>
      <c r="DJ56" s="15" t="s">
        <v>717</v>
      </c>
      <c r="DK56" s="15" t="s">
        <v>718</v>
      </c>
      <c r="DL56" s="15" t="str">
        <f>IFERROR(__xludf.DUMMYFUNCTION("""COMPUTED_VALUE"""),"Vacuum or light brush only. Do not use water or any cleaning products.")</f>
        <v>Vacuum or light brush only. Do not use water or any cleaning products.</v>
      </c>
      <c r="DM56" s="15" t="s">
        <v>719</v>
      </c>
      <c r="DT56" s="15" t="s">
        <v>721</v>
      </c>
      <c r="DU56" s="15" t="s">
        <v>419</v>
      </c>
      <c r="DV56" s="15">
        <v>0.0</v>
      </c>
      <c r="DZ56" s="15">
        <v>0.0</v>
      </c>
      <c r="EA56" s="15" t="s">
        <v>990</v>
      </c>
      <c r="EB56" s="15" t="s">
        <v>1016</v>
      </c>
      <c r="ED56" s="15">
        <v>1.0</v>
      </c>
      <c r="EE56" s="15">
        <v>1.0</v>
      </c>
      <c r="EG56" s="15" t="s">
        <v>444</v>
      </c>
      <c r="EH56" s="15" t="s">
        <v>1326</v>
      </c>
      <c r="EI56" s="15">
        <v>0.0</v>
      </c>
      <c r="EJ56" s="15" t="s">
        <v>726</v>
      </c>
      <c r="EK56" s="15" t="s">
        <v>727</v>
      </c>
      <c r="EL56" s="15" t="s">
        <v>1286</v>
      </c>
      <c r="EM56" s="15" t="str">
        <f>IFERROR(__xludf.DUMMYFUNCTION("""COMPUTED_VALUE"""),"{""value"":23.50,""unit"":""in""}")</f>
        <v>{"value":23.50,"unit":"in"}</v>
      </c>
      <c r="EN56" s="15" t="s">
        <v>1327</v>
      </c>
      <c r="EO56" s="15" t="s">
        <v>1328</v>
      </c>
      <c r="ES56" s="15" t="s">
        <v>477</v>
      </c>
      <c r="EW56" s="15" t="s">
        <v>1329</v>
      </c>
      <c r="EX56" s="15" t="s">
        <v>1330</v>
      </c>
      <c r="EY56" s="15" t="s">
        <v>1211</v>
      </c>
      <c r="EZ56" s="15" t="s">
        <v>939</v>
      </c>
      <c r="FC56" s="15" t="s">
        <v>1016</v>
      </c>
      <c r="FF56" s="15" t="s">
        <v>860</v>
      </c>
      <c r="FO56" s="15" t="s">
        <v>1065</v>
      </c>
      <c r="FP56" s="15" t="s">
        <v>1331</v>
      </c>
      <c r="FQ56" s="15">
        <v>0.0</v>
      </c>
      <c r="FR56" s="15">
        <v>0.0</v>
      </c>
      <c r="FT56" s="15">
        <v>0.0</v>
      </c>
    </row>
    <row r="57" ht="15.75" customHeight="1">
      <c r="A57" s="14" t="s">
        <v>391</v>
      </c>
      <c r="B57" s="15" t="s">
        <v>1310</v>
      </c>
      <c r="C57" s="16"/>
      <c r="D57" s="15" t="s">
        <v>432</v>
      </c>
      <c r="G57" s="14" t="s">
        <v>393</v>
      </c>
      <c r="H57" s="14" t="s">
        <v>394</v>
      </c>
      <c r="I57" s="14" t="b">
        <v>1</v>
      </c>
      <c r="J57" s="14" t="s">
        <v>395</v>
      </c>
      <c r="L57" s="14" t="b">
        <v>0</v>
      </c>
      <c r="M57" s="15" t="s">
        <v>1337</v>
      </c>
      <c r="N57" s="14" t="s">
        <v>393</v>
      </c>
      <c r="O57" s="14" t="s">
        <v>393</v>
      </c>
      <c r="P57" s="15" t="s">
        <v>397</v>
      </c>
      <c r="Q57" s="15" t="s">
        <v>1338</v>
      </c>
      <c r="T57" s="14" t="b">
        <v>0</v>
      </c>
      <c r="U57" s="15" t="s">
        <v>1339</v>
      </c>
      <c r="V57" s="15" t="s">
        <v>1314</v>
      </c>
      <c r="W57" s="15" t="s">
        <v>401</v>
      </c>
      <c r="X57" s="15" t="s">
        <v>695</v>
      </c>
      <c r="Y57" s="15">
        <v>1755.0</v>
      </c>
      <c r="AA57" s="15" t="str">
        <f>"675"</f>
        <v>675</v>
      </c>
      <c r="AB57" s="14" t="b">
        <v>1</v>
      </c>
      <c r="AC57" s="14" t="b">
        <v>1</v>
      </c>
      <c r="AD57" s="15" t="str">
        <f>"801542728670"</f>
        <v>801542728670</v>
      </c>
      <c r="AE57" s="15" t="s">
        <v>1340</v>
      </c>
      <c r="AF57" s="14" t="s">
        <v>404</v>
      </c>
      <c r="AG57" s="14" t="s">
        <v>405</v>
      </c>
      <c r="AH57" s="14" t="s">
        <v>406</v>
      </c>
      <c r="AI57" s="15">
        <v>0.0</v>
      </c>
      <c r="AL57" s="15" t="s">
        <v>1341</v>
      </c>
      <c r="AM57" s="15" t="s">
        <v>1274</v>
      </c>
      <c r="AN57" s="15" t="s">
        <v>1275</v>
      </c>
      <c r="AO57" s="15" t="s">
        <v>546</v>
      </c>
      <c r="AP57" s="15" t="s">
        <v>547</v>
      </c>
      <c r="AQ57" s="15" t="s">
        <v>1274</v>
      </c>
      <c r="AR57" s="15" t="s">
        <v>1275</v>
      </c>
      <c r="AS57" s="15" t="s">
        <v>1317</v>
      </c>
      <c r="AT57" s="15" t="s">
        <v>1338</v>
      </c>
      <c r="AU57" s="15" t="s">
        <v>1342</v>
      </c>
      <c r="AW57" s="15" t="s">
        <v>706</v>
      </c>
      <c r="AX57" s="15" t="s">
        <v>707</v>
      </c>
      <c r="AY57" s="15" t="s">
        <v>413</v>
      </c>
      <c r="AZ57" s="15" t="b">
        <v>0</v>
      </c>
      <c r="BA57" s="15" t="s">
        <v>413</v>
      </c>
      <c r="BB57" s="15" t="b">
        <v>0</v>
      </c>
      <c r="BC57" s="15" t="s">
        <v>1343</v>
      </c>
      <c r="BD57" s="15" t="s">
        <v>709</v>
      </c>
      <c r="BE57" s="15" t="str">
        <f t="shared" si="75"/>
        <v>1</v>
      </c>
      <c r="BF57" s="15" t="s">
        <v>416</v>
      </c>
      <c r="BG57" s="15" t="str">
        <f t="shared" si="96"/>
        <v>37.8</v>
      </c>
      <c r="BH57" s="15" t="s">
        <v>756</v>
      </c>
      <c r="BI57" s="15" t="str">
        <f t="shared" si="97"/>
        <v>29.92</v>
      </c>
      <c r="BJ57" s="15" t="s">
        <v>1321</v>
      </c>
      <c r="BK57" s="15" t="str">
        <f t="shared" si="98"/>
        <v>31.5</v>
      </c>
      <c r="BL57" s="15" t="s">
        <v>1322</v>
      </c>
      <c r="BM57" s="15" t="str">
        <f t="shared" si="99"/>
        <v>51.37</v>
      </c>
      <c r="BN57" s="15" t="s">
        <v>1323</v>
      </c>
      <c r="BQ57" s="15" t="s">
        <v>444</v>
      </c>
      <c r="BS57" s="15" t="s">
        <v>444</v>
      </c>
      <c r="BU57" s="15" t="s">
        <v>444</v>
      </c>
      <c r="BW57" s="15" t="s">
        <v>444</v>
      </c>
      <c r="BZ57" s="15" t="s">
        <v>444</v>
      </c>
      <c r="CB57" s="15" t="s">
        <v>444</v>
      </c>
      <c r="CD57" s="15" t="s">
        <v>444</v>
      </c>
      <c r="CF57" s="15" t="s">
        <v>444</v>
      </c>
      <c r="CI57" s="15" t="s">
        <v>444</v>
      </c>
      <c r="CK57" s="15" t="s">
        <v>444</v>
      </c>
      <c r="CM57" s="15" t="s">
        <v>444</v>
      </c>
      <c r="CO57" s="15" t="s">
        <v>444</v>
      </c>
      <c r="CP57" s="15" t="str">
        <f t="shared" si="100"/>
        <v>20.62</v>
      </c>
      <c r="CQ57" s="15" t="str">
        <f t="shared" si="101"/>
        <v>0.584</v>
      </c>
      <c r="CR57" s="15" t="s">
        <v>417</v>
      </c>
      <c r="DB57" s="15" t="s">
        <v>1324</v>
      </c>
      <c r="DC57" s="15" t="str">
        <f>IFERROR(__xludf.DUMMYFUNCTION("""COMPUTED_VALUE"""),"{""value"":20.00,""unit"":""in""}")</f>
        <v>{"value":20.00,"unit":"in"}</v>
      </c>
      <c r="DD57" s="15" t="s">
        <v>1325</v>
      </c>
      <c r="DE57" s="15" t="str">
        <f>IFERROR(__xludf.DUMMYFUNCTION("""COMPUTED_VALUE"""),"{""value"":18.25,""unit"":""in""}")</f>
        <v>{"value":18.25,"unit":"in"}</v>
      </c>
      <c r="DG57" s="15" t="str">
        <f>IFERROR(__xludf.DUMMYFUNCTION("""COMPUTED_VALUE"""),"")</f>
        <v/>
      </c>
      <c r="DH57" s="15">
        <v>0.0</v>
      </c>
      <c r="DI57" s="15">
        <v>1.0</v>
      </c>
      <c r="DJ57" s="15" t="s">
        <v>717</v>
      </c>
      <c r="DK57" s="15" t="s">
        <v>718</v>
      </c>
      <c r="DL57" s="15" t="str">
        <f>IFERROR(__xludf.DUMMYFUNCTION("""COMPUTED_VALUE"""),"Vacuum or light brush only. Do not use water or any cleaning products.")</f>
        <v>Vacuum or light brush only. Do not use water or any cleaning products.</v>
      </c>
      <c r="DM57" s="15" t="s">
        <v>719</v>
      </c>
      <c r="DT57" s="15" t="s">
        <v>721</v>
      </c>
      <c r="DU57" s="15" t="s">
        <v>419</v>
      </c>
      <c r="DV57" s="15">
        <v>0.0</v>
      </c>
      <c r="DZ57" s="15">
        <v>0.0</v>
      </c>
      <c r="EA57" s="15" t="s">
        <v>990</v>
      </c>
      <c r="EB57" s="15" t="s">
        <v>1016</v>
      </c>
      <c r="ED57" s="15">
        <v>1.0</v>
      </c>
      <c r="EE57" s="15">
        <v>1.0</v>
      </c>
      <c r="EG57" s="15" t="s">
        <v>444</v>
      </c>
      <c r="EH57" s="15" t="s">
        <v>1326</v>
      </c>
      <c r="EI57" s="15">
        <v>0.0</v>
      </c>
      <c r="EJ57" s="15" t="s">
        <v>726</v>
      </c>
      <c r="EK57" s="15" t="s">
        <v>727</v>
      </c>
      <c r="EL57" s="15" t="s">
        <v>1286</v>
      </c>
      <c r="EM57" s="15" t="str">
        <f>IFERROR(__xludf.DUMMYFUNCTION("""COMPUTED_VALUE"""),"{""value"":23.50,""unit"":""in""}")</f>
        <v>{"value":23.50,"unit":"in"}</v>
      </c>
      <c r="EN57" s="15" t="s">
        <v>1327</v>
      </c>
      <c r="EO57" s="15" t="s">
        <v>1328</v>
      </c>
      <c r="ES57" s="15" t="s">
        <v>477</v>
      </c>
      <c r="EW57" s="15" t="s">
        <v>1329</v>
      </c>
      <c r="EX57" s="15" t="s">
        <v>1330</v>
      </c>
      <c r="EY57" s="15" t="s">
        <v>1211</v>
      </c>
      <c r="EZ57" s="15" t="s">
        <v>939</v>
      </c>
      <c r="FC57" s="15" t="s">
        <v>1016</v>
      </c>
      <c r="FF57" s="15" t="s">
        <v>860</v>
      </c>
      <c r="FO57" s="15" t="s">
        <v>1065</v>
      </c>
      <c r="FP57" s="15" t="s">
        <v>1331</v>
      </c>
      <c r="FQ57" s="15">
        <v>0.0</v>
      </c>
      <c r="FR57" s="15">
        <v>0.0</v>
      </c>
      <c r="FT57" s="15">
        <v>0.0</v>
      </c>
    </row>
    <row r="58" ht="15.75" customHeight="1">
      <c r="A58" s="14" t="s">
        <v>391</v>
      </c>
      <c r="B58" s="15" t="s">
        <v>1310</v>
      </c>
      <c r="C58" s="16"/>
      <c r="D58" s="15" t="s">
        <v>432</v>
      </c>
      <c r="G58" s="14" t="s">
        <v>393</v>
      </c>
      <c r="H58" s="14" t="s">
        <v>394</v>
      </c>
      <c r="I58" s="14" t="b">
        <v>1</v>
      </c>
      <c r="J58" s="14" t="s">
        <v>395</v>
      </c>
      <c r="L58" s="14" t="b">
        <v>0</v>
      </c>
      <c r="M58" s="15" t="s">
        <v>1344</v>
      </c>
      <c r="N58" s="14" t="s">
        <v>393</v>
      </c>
      <c r="O58" s="14" t="s">
        <v>393</v>
      </c>
      <c r="P58" s="15" t="s">
        <v>397</v>
      </c>
      <c r="Q58" s="15" t="s">
        <v>1081</v>
      </c>
      <c r="T58" s="14" t="b">
        <v>0</v>
      </c>
      <c r="U58" s="15" t="s">
        <v>1345</v>
      </c>
      <c r="V58" s="15" t="s">
        <v>1314</v>
      </c>
      <c r="W58" s="15" t="s">
        <v>401</v>
      </c>
      <c r="X58" s="15" t="s">
        <v>695</v>
      </c>
      <c r="Y58" s="15">
        <v>1092.0</v>
      </c>
      <c r="AA58" s="15" t="str">
        <f t="shared" ref="AA58:AA59" si="102">"420"</f>
        <v>420</v>
      </c>
      <c r="AB58" s="14" t="b">
        <v>1</v>
      </c>
      <c r="AC58" s="14" t="b">
        <v>1</v>
      </c>
      <c r="AD58" s="15" t="str">
        <f>"801542672348"</f>
        <v>801542672348</v>
      </c>
      <c r="AE58" s="15" t="s">
        <v>1346</v>
      </c>
      <c r="AF58" s="14" t="s">
        <v>404</v>
      </c>
      <c r="AG58" s="14" t="s">
        <v>405</v>
      </c>
      <c r="AH58" s="14" t="s">
        <v>406</v>
      </c>
      <c r="AI58" s="15">
        <v>0.0</v>
      </c>
      <c r="AL58" s="15" t="s">
        <v>1347</v>
      </c>
      <c r="AM58" s="15" t="s">
        <v>1274</v>
      </c>
      <c r="AN58" s="15" t="s">
        <v>1275</v>
      </c>
      <c r="AO58" s="15" t="s">
        <v>546</v>
      </c>
      <c r="AP58" s="15" t="s">
        <v>547</v>
      </c>
      <c r="AQ58" s="15" t="s">
        <v>1274</v>
      </c>
      <c r="AR58" s="15" t="s">
        <v>1275</v>
      </c>
      <c r="AS58" s="15" t="s">
        <v>1317</v>
      </c>
      <c r="AT58" s="15" t="s">
        <v>1081</v>
      </c>
      <c r="AU58" s="15" t="s">
        <v>1087</v>
      </c>
      <c r="AV58" s="15" t="s">
        <v>1319</v>
      </c>
      <c r="AW58" s="15" t="s">
        <v>706</v>
      </c>
      <c r="AX58" s="15" t="s">
        <v>707</v>
      </c>
      <c r="AY58" s="15" t="s">
        <v>413</v>
      </c>
      <c r="AZ58" s="15" t="b">
        <v>0</v>
      </c>
      <c r="BA58" s="15" t="s">
        <v>426</v>
      </c>
      <c r="BB58" s="15" t="b">
        <v>1</v>
      </c>
      <c r="BC58" s="15" t="s">
        <v>1348</v>
      </c>
      <c r="BD58" s="15" t="s">
        <v>709</v>
      </c>
      <c r="BE58" s="15" t="str">
        <f t="shared" si="75"/>
        <v>1</v>
      </c>
      <c r="BF58" s="15" t="s">
        <v>416</v>
      </c>
      <c r="BG58" s="15" t="str">
        <f t="shared" si="96"/>
        <v>37.8</v>
      </c>
      <c r="BH58" s="15" t="s">
        <v>756</v>
      </c>
      <c r="BI58" s="15" t="str">
        <f t="shared" si="97"/>
        <v>29.92</v>
      </c>
      <c r="BJ58" s="15" t="s">
        <v>1321</v>
      </c>
      <c r="BK58" s="15" t="str">
        <f t="shared" si="98"/>
        <v>31.5</v>
      </c>
      <c r="BL58" s="15" t="s">
        <v>1322</v>
      </c>
      <c r="BM58" s="15" t="str">
        <f t="shared" si="99"/>
        <v>51.37</v>
      </c>
      <c r="BN58" s="15" t="s">
        <v>1323</v>
      </c>
      <c r="BQ58" s="15" t="s">
        <v>444</v>
      </c>
      <c r="BS58" s="15" t="s">
        <v>444</v>
      </c>
      <c r="BU58" s="15" t="s">
        <v>444</v>
      </c>
      <c r="BW58" s="15" t="s">
        <v>444</v>
      </c>
      <c r="BZ58" s="15" t="s">
        <v>444</v>
      </c>
      <c r="CB58" s="15" t="s">
        <v>444</v>
      </c>
      <c r="CD58" s="15" t="s">
        <v>444</v>
      </c>
      <c r="CF58" s="15" t="s">
        <v>444</v>
      </c>
      <c r="CI58" s="15" t="s">
        <v>444</v>
      </c>
      <c r="CK58" s="15" t="s">
        <v>444</v>
      </c>
      <c r="CM58" s="15" t="s">
        <v>444</v>
      </c>
      <c r="CO58" s="15" t="s">
        <v>444</v>
      </c>
      <c r="CP58" s="15" t="str">
        <f t="shared" si="100"/>
        <v>20.62</v>
      </c>
      <c r="CQ58" s="15" t="str">
        <f t="shared" si="101"/>
        <v>0.584</v>
      </c>
      <c r="CR58" s="15" t="s">
        <v>465</v>
      </c>
      <c r="DB58" s="15" t="s">
        <v>1324</v>
      </c>
      <c r="DC58" s="15" t="str">
        <f>IFERROR(__xludf.DUMMYFUNCTION("""COMPUTED_VALUE"""),"{""value"":20.00,""unit"":""in""}")</f>
        <v>{"value":20.00,"unit":"in"}</v>
      </c>
      <c r="DD58" s="15" t="s">
        <v>1325</v>
      </c>
      <c r="DE58" s="15" t="str">
        <f>IFERROR(__xludf.DUMMYFUNCTION("""COMPUTED_VALUE"""),"{""value"":18.25,""unit"":""in""}")</f>
        <v>{"value":18.25,"unit":"in"}</v>
      </c>
      <c r="DG58" s="15" t="str">
        <f>IFERROR(__xludf.DUMMYFUNCTION("""COMPUTED_VALUE"""),"")</f>
        <v/>
      </c>
      <c r="DH58" s="15">
        <v>0.0</v>
      </c>
      <c r="DI58" s="15">
        <v>1.0</v>
      </c>
      <c r="DJ58" s="15" t="s">
        <v>717</v>
      </c>
      <c r="DK58" s="15" t="s">
        <v>855</v>
      </c>
      <c r="DL58" s="15" t="str">
        <f>IFERROR(__xludf.DUMMYFUNCTION("""COMPUTED_VALUE"""),"Clean with solvent-based (dry clean only) products. Do not use water.")</f>
        <v>Clean with solvent-based (dry clean only) products. Do not use water.</v>
      </c>
      <c r="DM58" s="15" t="s">
        <v>856</v>
      </c>
      <c r="DT58" s="15" t="s">
        <v>721</v>
      </c>
      <c r="DU58" s="15" t="s">
        <v>419</v>
      </c>
      <c r="DV58" s="15">
        <v>0.0</v>
      </c>
      <c r="DZ58" s="15">
        <v>25000.0</v>
      </c>
      <c r="EA58" s="15" t="s">
        <v>990</v>
      </c>
      <c r="EB58" s="15" t="s">
        <v>1016</v>
      </c>
      <c r="ED58" s="15">
        <v>1.0</v>
      </c>
      <c r="EE58" s="15">
        <v>1.0</v>
      </c>
      <c r="EG58" s="15" t="s">
        <v>444</v>
      </c>
      <c r="EH58" s="15" t="s">
        <v>1326</v>
      </c>
      <c r="EI58" s="15">
        <v>0.0</v>
      </c>
      <c r="EJ58" s="15" t="s">
        <v>726</v>
      </c>
      <c r="EK58" s="15" t="s">
        <v>727</v>
      </c>
      <c r="EL58" s="15" t="s">
        <v>1286</v>
      </c>
      <c r="EM58" s="15" t="str">
        <f>IFERROR(__xludf.DUMMYFUNCTION("""COMPUTED_VALUE"""),"{""value"":23.50,""unit"":""in""}")</f>
        <v>{"value":23.50,"unit":"in"}</v>
      </c>
      <c r="EN58" s="15" t="s">
        <v>1327</v>
      </c>
      <c r="EO58" s="15" t="s">
        <v>1328</v>
      </c>
      <c r="ES58" s="15" t="s">
        <v>477</v>
      </c>
      <c r="EW58" s="15" t="s">
        <v>1329</v>
      </c>
      <c r="EX58" s="15" t="s">
        <v>1330</v>
      </c>
      <c r="EY58" s="15" t="s">
        <v>1211</v>
      </c>
      <c r="EZ58" s="15" t="s">
        <v>939</v>
      </c>
      <c r="FC58" s="15" t="s">
        <v>1016</v>
      </c>
      <c r="FF58" s="15" t="s">
        <v>860</v>
      </c>
      <c r="FO58" s="15" t="s">
        <v>1065</v>
      </c>
      <c r="FP58" s="15" t="s">
        <v>1331</v>
      </c>
      <c r="FQ58" s="15">
        <v>0.0</v>
      </c>
      <c r="FR58" s="15">
        <v>0.0</v>
      </c>
      <c r="FT58" s="15">
        <v>0.0</v>
      </c>
    </row>
    <row r="59" ht="15.75" customHeight="1">
      <c r="A59" s="14" t="s">
        <v>391</v>
      </c>
      <c r="B59" s="15" t="s">
        <v>1310</v>
      </c>
      <c r="C59" s="16"/>
      <c r="D59" s="15" t="s">
        <v>432</v>
      </c>
      <c r="G59" s="14" t="s">
        <v>393</v>
      </c>
      <c r="H59" s="14" t="s">
        <v>394</v>
      </c>
      <c r="I59" s="14" t="b">
        <v>1</v>
      </c>
      <c r="J59" s="14" t="s">
        <v>395</v>
      </c>
      <c r="L59" s="14" t="b">
        <v>0</v>
      </c>
      <c r="M59" s="15" t="s">
        <v>1349</v>
      </c>
      <c r="N59" s="14" t="s">
        <v>393</v>
      </c>
      <c r="O59" s="14" t="s">
        <v>393</v>
      </c>
      <c r="P59" s="15" t="s">
        <v>397</v>
      </c>
      <c r="Q59" s="15" t="s">
        <v>1350</v>
      </c>
      <c r="T59" s="14" t="b">
        <v>0</v>
      </c>
      <c r="U59" s="15" t="s">
        <v>1351</v>
      </c>
      <c r="V59" s="15" t="s">
        <v>1314</v>
      </c>
      <c r="W59" s="15" t="s">
        <v>401</v>
      </c>
      <c r="X59" s="15" t="s">
        <v>695</v>
      </c>
      <c r="Y59" s="15">
        <v>1092.0</v>
      </c>
      <c r="AA59" s="15" t="str">
        <f t="shared" si="102"/>
        <v>420</v>
      </c>
      <c r="AB59" s="14" t="b">
        <v>1</v>
      </c>
      <c r="AC59" s="14" t="b">
        <v>1</v>
      </c>
      <c r="AD59" s="15" t="str">
        <f>"801542432096"</f>
        <v>801542432096</v>
      </c>
      <c r="AE59" s="15" t="s">
        <v>1352</v>
      </c>
      <c r="AF59" s="14" t="s">
        <v>404</v>
      </c>
      <c r="AG59" s="14" t="s">
        <v>405</v>
      </c>
      <c r="AH59" s="14" t="s">
        <v>406</v>
      </c>
      <c r="AI59" s="15">
        <v>0.0</v>
      </c>
      <c r="AL59" s="15" t="s">
        <v>1353</v>
      </c>
      <c r="AM59" s="15" t="s">
        <v>1274</v>
      </c>
      <c r="AN59" s="15" t="s">
        <v>1275</v>
      </c>
      <c r="AO59" s="15" t="s">
        <v>546</v>
      </c>
      <c r="AP59" s="15" t="s">
        <v>547</v>
      </c>
      <c r="AQ59" s="15" t="s">
        <v>1274</v>
      </c>
      <c r="AR59" s="15" t="s">
        <v>1275</v>
      </c>
      <c r="AS59" s="15" t="s">
        <v>1317</v>
      </c>
      <c r="AT59" s="15" t="s">
        <v>1350</v>
      </c>
      <c r="AU59" s="15" t="s">
        <v>1318</v>
      </c>
      <c r="AV59" s="15" t="s">
        <v>1319</v>
      </c>
      <c r="AW59" s="15" t="s">
        <v>706</v>
      </c>
      <c r="AX59" s="15" t="s">
        <v>707</v>
      </c>
      <c r="AY59" s="15" t="s">
        <v>413</v>
      </c>
      <c r="AZ59" s="15" t="b">
        <v>0</v>
      </c>
      <c r="BA59" s="15" t="s">
        <v>413</v>
      </c>
      <c r="BB59" s="15" t="b">
        <v>0</v>
      </c>
      <c r="BC59" s="15" t="s">
        <v>1354</v>
      </c>
      <c r="BD59" s="15" t="s">
        <v>709</v>
      </c>
      <c r="BE59" s="15" t="str">
        <f t="shared" si="75"/>
        <v>1</v>
      </c>
      <c r="BF59" s="15" t="s">
        <v>416</v>
      </c>
      <c r="BG59" s="15" t="str">
        <f t="shared" si="96"/>
        <v>37.8</v>
      </c>
      <c r="BH59" s="15" t="s">
        <v>756</v>
      </c>
      <c r="BI59" s="15" t="str">
        <f t="shared" si="97"/>
        <v>29.92</v>
      </c>
      <c r="BJ59" s="15" t="s">
        <v>1321</v>
      </c>
      <c r="BK59" s="15" t="str">
        <f t="shared" si="98"/>
        <v>31.5</v>
      </c>
      <c r="BL59" s="15" t="s">
        <v>1322</v>
      </c>
      <c r="BM59" s="15" t="str">
        <f t="shared" si="99"/>
        <v>51.37</v>
      </c>
      <c r="BN59" s="15" t="s">
        <v>1323</v>
      </c>
      <c r="BQ59" s="15" t="s">
        <v>444</v>
      </c>
      <c r="BS59" s="15" t="s">
        <v>444</v>
      </c>
      <c r="BU59" s="15" t="s">
        <v>444</v>
      </c>
      <c r="BW59" s="15" t="s">
        <v>444</v>
      </c>
      <c r="BZ59" s="15" t="s">
        <v>444</v>
      </c>
      <c r="CB59" s="15" t="s">
        <v>444</v>
      </c>
      <c r="CD59" s="15" t="s">
        <v>444</v>
      </c>
      <c r="CF59" s="15" t="s">
        <v>444</v>
      </c>
      <c r="CI59" s="15" t="s">
        <v>444</v>
      </c>
      <c r="CK59" s="15" t="s">
        <v>444</v>
      </c>
      <c r="CM59" s="15" t="s">
        <v>444</v>
      </c>
      <c r="CO59" s="15" t="s">
        <v>444</v>
      </c>
      <c r="CP59" s="15" t="str">
        <f t="shared" si="100"/>
        <v>20.62</v>
      </c>
      <c r="CQ59" s="15" t="str">
        <f t="shared" si="101"/>
        <v>0.584</v>
      </c>
      <c r="CR59" s="15" t="s">
        <v>417</v>
      </c>
      <c r="DB59" s="15" t="s">
        <v>1324</v>
      </c>
      <c r="DC59" s="15" t="str">
        <f>IFERROR(__xludf.DUMMYFUNCTION("""COMPUTED_VALUE"""),"{""value"":20.00,""unit"":""in""}")</f>
        <v>{"value":20.00,"unit":"in"}</v>
      </c>
      <c r="DD59" s="15" t="s">
        <v>1325</v>
      </c>
      <c r="DE59" s="15" t="str">
        <f>IFERROR(__xludf.DUMMYFUNCTION("""COMPUTED_VALUE"""),"{""value"":18.25,""unit"":""in""}")</f>
        <v>{"value":18.25,"unit":"in"}</v>
      </c>
      <c r="DG59" s="15" t="str">
        <f>IFERROR(__xludf.DUMMYFUNCTION("""COMPUTED_VALUE"""),"")</f>
        <v/>
      </c>
      <c r="DH59" s="15">
        <v>0.0</v>
      </c>
      <c r="DI59" s="15">
        <v>1.0</v>
      </c>
      <c r="DJ59" s="15" t="s">
        <v>717</v>
      </c>
      <c r="DK59" s="15" t="s">
        <v>897</v>
      </c>
      <c r="DL59" s="15" t="str">
        <f>IFERROR(__xludf.DUMMYFUNCTION("""COMPUTED_VALUE"""),"Clean with water-based products only. Use mild detergent or upholstery shampoo.")</f>
        <v>Clean with water-based products only. Use mild detergent or upholstery shampoo.</v>
      </c>
      <c r="DM59" s="15" t="s">
        <v>898</v>
      </c>
      <c r="DT59" s="15" t="s">
        <v>721</v>
      </c>
      <c r="DU59" s="15" t="s">
        <v>419</v>
      </c>
      <c r="DV59" s="15">
        <v>0.0</v>
      </c>
      <c r="DZ59" s="15">
        <v>15000.0</v>
      </c>
      <c r="EA59" s="15" t="s">
        <v>990</v>
      </c>
      <c r="EB59" s="15" t="s">
        <v>1016</v>
      </c>
      <c r="ED59" s="15">
        <v>1.0</v>
      </c>
      <c r="EE59" s="15">
        <v>1.0</v>
      </c>
      <c r="EG59" s="15" t="s">
        <v>444</v>
      </c>
      <c r="EH59" s="15" t="s">
        <v>1326</v>
      </c>
      <c r="EI59" s="15">
        <v>0.0</v>
      </c>
      <c r="EJ59" s="15" t="s">
        <v>726</v>
      </c>
      <c r="EK59" s="15" t="s">
        <v>727</v>
      </c>
      <c r="EL59" s="15" t="s">
        <v>1286</v>
      </c>
      <c r="EM59" s="15" t="str">
        <f>IFERROR(__xludf.DUMMYFUNCTION("""COMPUTED_VALUE"""),"{""value"":23.50,""unit"":""in""}")</f>
        <v>{"value":23.50,"unit":"in"}</v>
      </c>
      <c r="EN59" s="15" t="s">
        <v>1327</v>
      </c>
      <c r="EO59" s="15" t="s">
        <v>1328</v>
      </c>
      <c r="ES59" s="15" t="s">
        <v>477</v>
      </c>
      <c r="EW59" s="15" t="s">
        <v>1329</v>
      </c>
      <c r="EX59" s="15" t="s">
        <v>1330</v>
      </c>
      <c r="EY59" s="15" t="s">
        <v>1211</v>
      </c>
      <c r="EZ59" s="15" t="s">
        <v>939</v>
      </c>
      <c r="FC59" s="15" t="s">
        <v>1016</v>
      </c>
      <c r="FF59" s="15" t="s">
        <v>860</v>
      </c>
      <c r="FO59" s="15" t="s">
        <v>1065</v>
      </c>
      <c r="FP59" s="15" t="s">
        <v>1331</v>
      </c>
      <c r="FQ59" s="15">
        <v>0.0</v>
      </c>
      <c r="FR59" s="15">
        <v>0.0</v>
      </c>
      <c r="FT59" s="15">
        <v>0.0</v>
      </c>
    </row>
    <row r="60" ht="15.75" customHeight="1">
      <c r="A60" s="14" t="s">
        <v>391</v>
      </c>
      <c r="B60" s="15" t="s">
        <v>1355</v>
      </c>
      <c r="C60" s="16"/>
      <c r="D60" s="15" t="s">
        <v>432</v>
      </c>
      <c r="G60" s="14" t="s">
        <v>393</v>
      </c>
      <c r="H60" s="14" t="s">
        <v>394</v>
      </c>
      <c r="I60" s="14" t="b">
        <v>1</v>
      </c>
      <c r="J60" s="14" t="s">
        <v>395</v>
      </c>
      <c r="L60" s="14" t="b">
        <v>0</v>
      </c>
      <c r="M60" s="15" t="s">
        <v>1356</v>
      </c>
      <c r="N60" s="14" t="s">
        <v>393</v>
      </c>
      <c r="O60" s="14" t="s">
        <v>393</v>
      </c>
      <c r="P60" s="15" t="s">
        <v>397</v>
      </c>
      <c r="Q60" s="15" t="s">
        <v>1357</v>
      </c>
      <c r="T60" s="14" t="b">
        <v>0</v>
      </c>
      <c r="U60" s="15" t="s">
        <v>1358</v>
      </c>
      <c r="V60" s="15" t="s">
        <v>1359</v>
      </c>
      <c r="W60" s="15" t="s">
        <v>401</v>
      </c>
      <c r="X60" s="15" t="s">
        <v>742</v>
      </c>
      <c r="Y60" s="15">
        <v>2184.0</v>
      </c>
      <c r="AA60" s="15" t="str">
        <f>"840"</f>
        <v>840</v>
      </c>
      <c r="AB60" s="14" t="b">
        <v>1</v>
      </c>
      <c r="AC60" s="14" t="b">
        <v>1</v>
      </c>
      <c r="AD60" s="15" t="str">
        <f>"801542091422"</f>
        <v>801542091422</v>
      </c>
      <c r="AE60" s="15" t="s">
        <v>1360</v>
      </c>
      <c r="AF60" s="14" t="s">
        <v>404</v>
      </c>
      <c r="AG60" s="14" t="s">
        <v>405</v>
      </c>
      <c r="AH60" s="14" t="s">
        <v>406</v>
      </c>
      <c r="AI60" s="15">
        <v>0.0</v>
      </c>
      <c r="AL60" s="15" t="s">
        <v>1361</v>
      </c>
      <c r="AM60" s="15" t="s">
        <v>1362</v>
      </c>
      <c r="AN60" s="15" t="s">
        <v>1363</v>
      </c>
      <c r="AO60" s="15" t="s">
        <v>809</v>
      </c>
      <c r="AP60" s="15" t="s">
        <v>810</v>
      </c>
      <c r="AQ60" s="15" t="s">
        <v>1364</v>
      </c>
      <c r="AR60" s="15" t="s">
        <v>1365</v>
      </c>
      <c r="AS60" s="15" t="s">
        <v>1366</v>
      </c>
      <c r="AT60" s="15" t="s">
        <v>1357</v>
      </c>
      <c r="AW60" s="15" t="s">
        <v>412</v>
      </c>
      <c r="AY60" s="15" t="s">
        <v>413</v>
      </c>
      <c r="AZ60" s="15" t="b">
        <v>0</v>
      </c>
      <c r="BA60" s="15" t="s">
        <v>413</v>
      </c>
      <c r="BB60" s="15" t="b">
        <v>0</v>
      </c>
      <c r="BC60" s="15" t="s">
        <v>1367</v>
      </c>
      <c r="BD60" s="15" t="s">
        <v>742</v>
      </c>
      <c r="BE60" s="15" t="str">
        <f t="shared" si="75"/>
        <v>1</v>
      </c>
      <c r="BF60" s="15" t="s">
        <v>1368</v>
      </c>
      <c r="BG60" s="15" t="str">
        <f>"73.43"</f>
        <v>73.43</v>
      </c>
      <c r="BH60" s="15" t="s">
        <v>1369</v>
      </c>
      <c r="BI60" s="15" t="str">
        <f>"21.26"</f>
        <v>21.26</v>
      </c>
      <c r="BJ60" s="15" t="s">
        <v>684</v>
      </c>
      <c r="BK60" s="15" t="str">
        <f>"30.71"</f>
        <v>30.71</v>
      </c>
      <c r="BL60" s="15" t="s">
        <v>1281</v>
      </c>
      <c r="BM60" s="15" t="str">
        <f>"262.35"</f>
        <v>262.35</v>
      </c>
      <c r="BN60" s="15" t="s">
        <v>1370</v>
      </c>
      <c r="BQ60" s="15" t="s">
        <v>444</v>
      </c>
      <c r="BS60" s="15" t="s">
        <v>444</v>
      </c>
      <c r="BU60" s="15" t="s">
        <v>444</v>
      </c>
      <c r="BW60" s="15" t="s">
        <v>444</v>
      </c>
      <c r="BZ60" s="15" t="s">
        <v>444</v>
      </c>
      <c r="CB60" s="15" t="s">
        <v>444</v>
      </c>
      <c r="CD60" s="15" t="s">
        <v>444</v>
      </c>
      <c r="CF60" s="15" t="s">
        <v>444</v>
      </c>
      <c r="CI60" s="15" t="s">
        <v>444</v>
      </c>
      <c r="CK60" s="15" t="s">
        <v>444</v>
      </c>
      <c r="CM60" s="15" t="s">
        <v>444</v>
      </c>
      <c r="CO60" s="15" t="s">
        <v>444</v>
      </c>
      <c r="CP60" s="15" t="str">
        <f>"27.76"</f>
        <v>27.76</v>
      </c>
      <c r="CQ60" s="15" t="str">
        <f>"0.786"</f>
        <v>0.786</v>
      </c>
      <c r="CR60" s="15" t="s">
        <v>465</v>
      </c>
      <c r="DC60" s="15" t="str">
        <f>IFERROR(__xludf.DUMMYFUNCTION("""COMPUTED_VALUE"""),"")</f>
        <v/>
      </c>
      <c r="DE60" s="15" t="str">
        <f>IFERROR(__xludf.DUMMYFUNCTION("""COMPUTED_VALUE"""),"")</f>
        <v/>
      </c>
      <c r="DG60" s="15" t="str">
        <f>IFERROR(__xludf.DUMMYFUNCTION("""COMPUTED_VALUE"""),"")</f>
        <v/>
      </c>
      <c r="DL60" s="15" t="str">
        <f>IFERROR(__xludf.DUMMYFUNCTION("""COMPUTED_VALUE"""),"")</f>
        <v/>
      </c>
      <c r="DM60" s="15" t="s">
        <v>444</v>
      </c>
      <c r="DN60" s="15" t="s">
        <v>1371</v>
      </c>
      <c r="DO60" s="15">
        <v>6.0</v>
      </c>
      <c r="DP60" s="15" t="s">
        <v>419</v>
      </c>
      <c r="DR60" s="15">
        <v>0.0</v>
      </c>
      <c r="DT60" s="15" t="s">
        <v>420</v>
      </c>
      <c r="DU60" s="15" t="s">
        <v>421</v>
      </c>
      <c r="DY60" s="15">
        <v>0.0</v>
      </c>
      <c r="EF60" s="15" t="s">
        <v>422</v>
      </c>
      <c r="EG60" s="15" t="s">
        <v>445</v>
      </c>
      <c r="EH60" s="15" t="s">
        <v>1372</v>
      </c>
      <c r="EJ60" s="15" t="s">
        <v>424</v>
      </c>
      <c r="EK60" s="15" t="s">
        <v>446</v>
      </c>
      <c r="EM60" s="15" t="str">
        <f>IFERROR(__xludf.DUMMYFUNCTION("""COMPUTED_VALUE"""),"")</f>
        <v/>
      </c>
      <c r="EW60" s="15" t="s">
        <v>1373</v>
      </c>
      <c r="FL60" s="15" t="s">
        <v>426</v>
      </c>
      <c r="FM60" s="15">
        <v>0.0</v>
      </c>
      <c r="GH60" s="15">
        <v>0.0</v>
      </c>
      <c r="GI60" s="15" t="s">
        <v>427</v>
      </c>
      <c r="GQ60" s="15" t="s">
        <v>1374</v>
      </c>
      <c r="GS60" s="15" t="s">
        <v>761</v>
      </c>
      <c r="GU60" s="15" t="s">
        <v>1375</v>
      </c>
      <c r="GW60" s="15" t="s">
        <v>838</v>
      </c>
      <c r="GY60" s="15" t="s">
        <v>764</v>
      </c>
    </row>
    <row r="61" ht="15.75" customHeight="1">
      <c r="A61" s="14" t="s">
        <v>391</v>
      </c>
      <c r="B61" s="15" t="s">
        <v>1376</v>
      </c>
      <c r="C61" s="16"/>
      <c r="D61" s="15" t="s">
        <v>432</v>
      </c>
      <c r="G61" s="14" t="s">
        <v>393</v>
      </c>
      <c r="H61" s="14" t="s">
        <v>394</v>
      </c>
      <c r="I61" s="14" t="b">
        <v>1</v>
      </c>
      <c r="J61" s="14" t="s">
        <v>395</v>
      </c>
      <c r="L61" s="14" t="b">
        <v>0</v>
      </c>
      <c r="M61" s="15" t="s">
        <v>1377</v>
      </c>
      <c r="N61" s="14" t="s">
        <v>393</v>
      </c>
      <c r="O61" s="14" t="s">
        <v>393</v>
      </c>
      <c r="P61" s="15" t="s">
        <v>397</v>
      </c>
      <c r="Q61" s="15" t="s">
        <v>1357</v>
      </c>
      <c r="T61" s="14" t="b">
        <v>0</v>
      </c>
      <c r="U61" s="15" t="s">
        <v>1378</v>
      </c>
      <c r="V61" s="15" t="s">
        <v>1379</v>
      </c>
      <c r="W61" s="15" t="s">
        <v>401</v>
      </c>
      <c r="X61" s="15" t="s">
        <v>742</v>
      </c>
      <c r="Y61" s="15">
        <v>2730.0</v>
      </c>
      <c r="AA61" s="15" t="str">
        <f>"1050"</f>
        <v>1050</v>
      </c>
      <c r="AB61" s="14" t="b">
        <v>1</v>
      </c>
      <c r="AC61" s="14" t="b">
        <v>1</v>
      </c>
      <c r="AD61" s="15" t="str">
        <f>"801542091439"</f>
        <v>801542091439</v>
      </c>
      <c r="AE61" s="15" t="s">
        <v>1380</v>
      </c>
      <c r="AF61" s="14" t="s">
        <v>404</v>
      </c>
      <c r="AG61" s="14" t="s">
        <v>405</v>
      </c>
      <c r="AH61" s="14" t="s">
        <v>406</v>
      </c>
      <c r="AI61" s="15">
        <v>0.0</v>
      </c>
      <c r="AL61" s="15" t="s">
        <v>1361</v>
      </c>
      <c r="AM61" s="15" t="s">
        <v>1381</v>
      </c>
      <c r="AN61" s="15" t="s">
        <v>1382</v>
      </c>
      <c r="AO61" s="15" t="s">
        <v>1007</v>
      </c>
      <c r="AP61" s="15" t="s">
        <v>1008</v>
      </c>
      <c r="AQ61" s="15" t="s">
        <v>1364</v>
      </c>
      <c r="AR61" s="15" t="s">
        <v>1365</v>
      </c>
      <c r="AS61" s="15" t="s">
        <v>1366</v>
      </c>
      <c r="AT61" s="15" t="s">
        <v>1357</v>
      </c>
      <c r="AW61" s="15" t="s">
        <v>412</v>
      </c>
      <c r="AY61" s="15" t="s">
        <v>413</v>
      </c>
      <c r="AZ61" s="15" t="b">
        <v>0</v>
      </c>
      <c r="BA61" s="15" t="s">
        <v>413</v>
      </c>
      <c r="BB61" s="15" t="b">
        <v>0</v>
      </c>
      <c r="BC61" s="15" t="s">
        <v>1367</v>
      </c>
      <c r="BD61" s="15" t="s">
        <v>742</v>
      </c>
      <c r="BE61" s="15" t="str">
        <f t="shared" si="75"/>
        <v>1</v>
      </c>
      <c r="BF61" s="15" t="s">
        <v>1383</v>
      </c>
      <c r="BG61" s="15" t="str">
        <f>"88.39"</f>
        <v>88.39</v>
      </c>
      <c r="BH61" s="15" t="s">
        <v>1384</v>
      </c>
      <c r="BI61" s="15" t="str">
        <f>"21.46"</f>
        <v>21.46</v>
      </c>
      <c r="BJ61" s="15" t="s">
        <v>1385</v>
      </c>
      <c r="BK61" s="15" t="str">
        <f>"31.1"</f>
        <v>31.1</v>
      </c>
      <c r="BL61" s="15" t="s">
        <v>1386</v>
      </c>
      <c r="BM61" s="15" t="str">
        <f>"326.28"</f>
        <v>326.28</v>
      </c>
      <c r="BN61" s="15" t="s">
        <v>1387</v>
      </c>
      <c r="BQ61" s="15" t="s">
        <v>444</v>
      </c>
      <c r="BS61" s="15" t="s">
        <v>444</v>
      </c>
      <c r="BU61" s="15" t="s">
        <v>444</v>
      </c>
      <c r="BW61" s="15" t="s">
        <v>444</v>
      </c>
      <c r="BZ61" s="15" t="s">
        <v>444</v>
      </c>
      <c r="CB61" s="15" t="s">
        <v>444</v>
      </c>
      <c r="CD61" s="15" t="s">
        <v>444</v>
      </c>
      <c r="CF61" s="15" t="s">
        <v>444</v>
      </c>
      <c r="CI61" s="15" t="s">
        <v>444</v>
      </c>
      <c r="CK61" s="15" t="s">
        <v>444</v>
      </c>
      <c r="CM61" s="15" t="s">
        <v>444</v>
      </c>
      <c r="CO61" s="15" t="s">
        <v>444</v>
      </c>
      <c r="CP61" s="15" t="str">
        <f>"34.15"</f>
        <v>34.15</v>
      </c>
      <c r="CQ61" s="15" t="str">
        <f>"0.967"</f>
        <v>0.967</v>
      </c>
      <c r="CR61" s="15" t="s">
        <v>465</v>
      </c>
      <c r="DC61" s="15" t="str">
        <f>IFERROR(__xludf.DUMMYFUNCTION("""COMPUTED_VALUE"""),"")</f>
        <v/>
      </c>
      <c r="DE61" s="15" t="str">
        <f>IFERROR(__xludf.DUMMYFUNCTION("""COMPUTED_VALUE"""),"")</f>
        <v/>
      </c>
      <c r="DG61" s="15" t="str">
        <f>IFERROR(__xludf.DUMMYFUNCTION("""COMPUTED_VALUE"""),"")</f>
        <v/>
      </c>
      <c r="DL61" s="15" t="str">
        <f>IFERROR(__xludf.DUMMYFUNCTION("""COMPUTED_VALUE"""),"")</f>
        <v/>
      </c>
      <c r="DM61" s="15" t="s">
        <v>444</v>
      </c>
      <c r="DN61" s="15" t="s">
        <v>1371</v>
      </c>
      <c r="DO61" s="15">
        <v>9.0</v>
      </c>
      <c r="DP61" s="15" t="s">
        <v>419</v>
      </c>
      <c r="DR61" s="15">
        <v>0.0</v>
      </c>
      <c r="DT61" s="15" t="s">
        <v>1388</v>
      </c>
      <c r="DU61" s="15" t="s">
        <v>421</v>
      </c>
      <c r="DY61" s="15">
        <v>0.0</v>
      </c>
      <c r="EF61" s="15" t="s">
        <v>422</v>
      </c>
      <c r="EG61" s="15" t="s">
        <v>445</v>
      </c>
      <c r="EH61" s="15" t="s">
        <v>1372</v>
      </c>
      <c r="EJ61" s="15" t="s">
        <v>424</v>
      </c>
      <c r="EK61" s="15" t="s">
        <v>446</v>
      </c>
      <c r="EM61" s="15" t="str">
        <f>IFERROR(__xludf.DUMMYFUNCTION("""COMPUTED_VALUE"""),"")</f>
        <v/>
      </c>
      <c r="EW61" s="15" t="s">
        <v>1389</v>
      </c>
      <c r="FL61" s="15" t="s">
        <v>426</v>
      </c>
      <c r="FM61" s="15">
        <v>0.0</v>
      </c>
      <c r="GH61" s="15">
        <v>0.0</v>
      </c>
      <c r="GI61" s="15" t="s">
        <v>427</v>
      </c>
      <c r="GQ61" s="15" t="s">
        <v>1390</v>
      </c>
      <c r="GR61" s="15" t="s">
        <v>1390</v>
      </c>
      <c r="GS61" s="15" t="s">
        <v>1391</v>
      </c>
      <c r="GT61" s="15" t="s">
        <v>1391</v>
      </c>
      <c r="GU61" s="15" t="s">
        <v>1392</v>
      </c>
      <c r="GV61" s="15" t="s">
        <v>1393</v>
      </c>
      <c r="GW61" s="15" t="s">
        <v>838</v>
      </c>
      <c r="GY61" s="15" t="s">
        <v>764</v>
      </c>
    </row>
    <row r="62" ht="15.75" customHeight="1">
      <c r="A62" s="14" t="s">
        <v>391</v>
      </c>
      <c r="B62" s="15" t="s">
        <v>1394</v>
      </c>
      <c r="C62" s="16"/>
      <c r="D62" s="15" t="s">
        <v>432</v>
      </c>
      <c r="G62" s="14" t="s">
        <v>393</v>
      </c>
      <c r="H62" s="14" t="s">
        <v>394</v>
      </c>
      <c r="I62" s="14" t="b">
        <v>1</v>
      </c>
      <c r="J62" s="14" t="s">
        <v>395</v>
      </c>
      <c r="L62" s="14" t="b">
        <v>0</v>
      </c>
      <c r="M62" s="15" t="s">
        <v>1395</v>
      </c>
      <c r="N62" s="14" t="s">
        <v>393</v>
      </c>
      <c r="O62" s="14" t="s">
        <v>393</v>
      </c>
      <c r="P62" s="15" t="s">
        <v>397</v>
      </c>
      <c r="Q62" s="15" t="s">
        <v>1357</v>
      </c>
      <c r="T62" s="14" t="b">
        <v>0</v>
      </c>
      <c r="U62" s="15" t="s">
        <v>1396</v>
      </c>
      <c r="V62" s="15" t="s">
        <v>1397</v>
      </c>
      <c r="W62" s="15" t="s">
        <v>401</v>
      </c>
      <c r="X62" s="15" t="s">
        <v>742</v>
      </c>
      <c r="Y62" s="15">
        <v>1534.0</v>
      </c>
      <c r="AA62" s="15" t="str">
        <f>"590"</f>
        <v>590</v>
      </c>
      <c r="AB62" s="14" t="b">
        <v>1</v>
      </c>
      <c r="AC62" s="14" t="b">
        <v>1</v>
      </c>
      <c r="AD62" s="15" t="str">
        <f>"801542992361"</f>
        <v>801542992361</v>
      </c>
      <c r="AE62" s="15" t="s">
        <v>1398</v>
      </c>
      <c r="AF62" s="14" t="s">
        <v>404</v>
      </c>
      <c r="AG62" s="14" t="s">
        <v>405</v>
      </c>
      <c r="AH62" s="14" t="s">
        <v>406</v>
      </c>
      <c r="AI62" s="15">
        <v>0.0</v>
      </c>
      <c r="AL62" s="15" t="s">
        <v>1361</v>
      </c>
      <c r="AM62" s="15" t="s">
        <v>1399</v>
      </c>
      <c r="AN62" s="15" t="s">
        <v>1400</v>
      </c>
      <c r="AO62" s="15" t="s">
        <v>809</v>
      </c>
      <c r="AP62" s="15" t="s">
        <v>810</v>
      </c>
      <c r="AQ62" s="15" t="s">
        <v>1401</v>
      </c>
      <c r="AR62" s="15" t="s">
        <v>1402</v>
      </c>
      <c r="AS62" s="15" t="s">
        <v>1366</v>
      </c>
      <c r="AT62" s="15" t="s">
        <v>1357</v>
      </c>
      <c r="AW62" s="15" t="s">
        <v>412</v>
      </c>
      <c r="AY62" s="15" t="s">
        <v>413</v>
      </c>
      <c r="AZ62" s="15" t="b">
        <v>0</v>
      </c>
      <c r="BA62" s="15" t="s">
        <v>413</v>
      </c>
      <c r="BB62" s="15" t="b">
        <v>0</v>
      </c>
      <c r="BC62" s="15" t="s">
        <v>1403</v>
      </c>
      <c r="BD62" s="15" t="s">
        <v>742</v>
      </c>
      <c r="BE62" s="15" t="str">
        <f t="shared" si="75"/>
        <v>1</v>
      </c>
      <c r="BF62" s="15" t="s">
        <v>416</v>
      </c>
      <c r="BG62" s="15" t="str">
        <f>"35.04"</f>
        <v>35.04</v>
      </c>
      <c r="BH62" s="15" t="s">
        <v>1404</v>
      </c>
      <c r="BI62" s="15" t="str">
        <f>"21.85"</f>
        <v>21.85</v>
      </c>
      <c r="BJ62" s="15" t="s">
        <v>1405</v>
      </c>
      <c r="BK62" s="15" t="str">
        <f>"38.78"</f>
        <v>38.78</v>
      </c>
      <c r="BL62" s="15" t="s">
        <v>1406</v>
      </c>
      <c r="BM62" s="15" t="str">
        <f>"178.57"</f>
        <v>178.57</v>
      </c>
      <c r="BN62" s="15" t="s">
        <v>1407</v>
      </c>
      <c r="BQ62" s="15" t="s">
        <v>444</v>
      </c>
      <c r="BS62" s="15" t="s">
        <v>444</v>
      </c>
      <c r="BU62" s="15" t="s">
        <v>444</v>
      </c>
      <c r="BW62" s="15" t="s">
        <v>444</v>
      </c>
      <c r="BZ62" s="15" t="s">
        <v>444</v>
      </c>
      <c r="CB62" s="15" t="s">
        <v>444</v>
      </c>
      <c r="CD62" s="15" t="s">
        <v>444</v>
      </c>
      <c r="CF62" s="15" t="s">
        <v>444</v>
      </c>
      <c r="CI62" s="15" t="s">
        <v>444</v>
      </c>
      <c r="CK62" s="15" t="s">
        <v>444</v>
      </c>
      <c r="CM62" s="15" t="s">
        <v>444</v>
      </c>
      <c r="CO62" s="15" t="s">
        <v>444</v>
      </c>
      <c r="CP62" s="15" t="str">
        <f>"17.2"</f>
        <v>17.2</v>
      </c>
      <c r="CQ62" s="15" t="str">
        <f>"0.487"</f>
        <v>0.487</v>
      </c>
      <c r="CR62" s="15" t="s">
        <v>417</v>
      </c>
      <c r="DC62" s="15" t="str">
        <f>IFERROR(__xludf.DUMMYFUNCTION("""COMPUTED_VALUE"""),"")</f>
        <v/>
      </c>
      <c r="DE62" s="15" t="str">
        <f>IFERROR(__xludf.DUMMYFUNCTION("""COMPUTED_VALUE"""),"")</f>
        <v/>
      </c>
      <c r="DG62" s="15" t="str">
        <f>IFERROR(__xludf.DUMMYFUNCTION("""COMPUTED_VALUE"""),"")</f>
        <v/>
      </c>
      <c r="DL62" s="15" t="str">
        <f>IFERROR(__xludf.DUMMYFUNCTION("""COMPUTED_VALUE"""),"")</f>
        <v/>
      </c>
      <c r="DM62" s="15" t="s">
        <v>444</v>
      </c>
      <c r="DN62" s="15" t="s">
        <v>1371</v>
      </c>
      <c r="DO62" s="15">
        <v>5.0</v>
      </c>
      <c r="DP62" s="15" t="s">
        <v>419</v>
      </c>
      <c r="DR62" s="15">
        <v>0.0</v>
      </c>
      <c r="DT62" s="15" t="s">
        <v>1388</v>
      </c>
      <c r="DU62" s="15" t="s">
        <v>421</v>
      </c>
      <c r="DY62" s="15">
        <v>0.0</v>
      </c>
      <c r="EF62" s="15" t="s">
        <v>1408</v>
      </c>
      <c r="EG62" s="15" t="s">
        <v>1409</v>
      </c>
      <c r="EH62" s="15" t="s">
        <v>1372</v>
      </c>
      <c r="EJ62" s="15" t="s">
        <v>500</v>
      </c>
      <c r="EK62" s="15" t="s">
        <v>501</v>
      </c>
      <c r="EM62" s="15" t="str">
        <f>IFERROR(__xludf.DUMMYFUNCTION("""COMPUTED_VALUE"""),"")</f>
        <v/>
      </c>
      <c r="EW62" s="15" t="s">
        <v>1389</v>
      </c>
      <c r="FL62" s="15" t="s">
        <v>426</v>
      </c>
      <c r="FM62" s="15">
        <v>0.0</v>
      </c>
      <c r="GH62" s="15">
        <v>0.0</v>
      </c>
      <c r="GI62" s="15" t="s">
        <v>427</v>
      </c>
      <c r="GQ62" s="15" t="s">
        <v>1374</v>
      </c>
      <c r="GS62" s="15" t="s">
        <v>1410</v>
      </c>
      <c r="GU62" s="15" t="s">
        <v>1411</v>
      </c>
      <c r="GW62" s="15" t="s">
        <v>838</v>
      </c>
      <c r="GY62" s="15" t="s">
        <v>764</v>
      </c>
    </row>
    <row r="63" ht="15.75" customHeight="1">
      <c r="A63" s="14" t="s">
        <v>391</v>
      </c>
      <c r="B63" s="15" t="s">
        <v>1412</v>
      </c>
      <c r="C63" s="16"/>
      <c r="D63" s="15" t="s">
        <v>432</v>
      </c>
      <c r="G63" s="14" t="s">
        <v>393</v>
      </c>
      <c r="H63" s="14" t="s">
        <v>394</v>
      </c>
      <c r="I63" s="14" t="b">
        <v>1</v>
      </c>
      <c r="J63" s="14" t="s">
        <v>395</v>
      </c>
      <c r="L63" s="14" t="b">
        <v>0</v>
      </c>
      <c r="M63" s="15" t="s">
        <v>1413</v>
      </c>
      <c r="N63" s="14" t="s">
        <v>393</v>
      </c>
      <c r="O63" s="14" t="s">
        <v>393</v>
      </c>
      <c r="P63" s="15" t="s">
        <v>397</v>
      </c>
      <c r="Q63" s="15" t="s">
        <v>1357</v>
      </c>
      <c r="T63" s="14" t="b">
        <v>0</v>
      </c>
      <c r="U63" s="15" t="s">
        <v>1414</v>
      </c>
      <c r="V63" s="15" t="s">
        <v>1415</v>
      </c>
      <c r="W63" s="15" t="s">
        <v>401</v>
      </c>
      <c r="X63" s="15" t="s">
        <v>742</v>
      </c>
      <c r="Y63" s="15">
        <v>2028.0</v>
      </c>
      <c r="AA63" s="15" t="str">
        <f>"780"</f>
        <v>780</v>
      </c>
      <c r="AB63" s="14" t="b">
        <v>1</v>
      </c>
      <c r="AC63" s="14" t="b">
        <v>1</v>
      </c>
      <c r="AD63" s="15" t="str">
        <f>"801542062590"</f>
        <v>801542062590</v>
      </c>
      <c r="AE63" s="15" t="s">
        <v>1416</v>
      </c>
      <c r="AF63" s="14" t="s">
        <v>404</v>
      </c>
      <c r="AG63" s="14" t="s">
        <v>405</v>
      </c>
      <c r="AH63" s="14" t="s">
        <v>406</v>
      </c>
      <c r="AI63" s="15">
        <v>0.0</v>
      </c>
      <c r="AL63" s="15" t="s">
        <v>1417</v>
      </c>
      <c r="AM63" s="15" t="s">
        <v>1418</v>
      </c>
      <c r="AN63" s="15" t="s">
        <v>1419</v>
      </c>
      <c r="AO63" s="15" t="s">
        <v>1007</v>
      </c>
      <c r="AP63" s="15" t="s">
        <v>1008</v>
      </c>
      <c r="AQ63" s="15" t="s">
        <v>600</v>
      </c>
      <c r="AR63" s="15" t="s">
        <v>601</v>
      </c>
      <c r="AS63" s="15" t="s">
        <v>1366</v>
      </c>
      <c r="AT63" s="15" t="s">
        <v>1357</v>
      </c>
      <c r="AW63" s="15" t="s">
        <v>602</v>
      </c>
      <c r="AY63" s="15" t="s">
        <v>413</v>
      </c>
      <c r="AZ63" s="15" t="b">
        <v>0</v>
      </c>
      <c r="BA63" s="15" t="s">
        <v>413</v>
      </c>
      <c r="BB63" s="15" t="b">
        <v>0</v>
      </c>
      <c r="BC63" s="15" t="s">
        <v>1420</v>
      </c>
      <c r="BD63" s="15" t="s">
        <v>742</v>
      </c>
      <c r="BE63" s="15" t="str">
        <f t="shared" si="75"/>
        <v>1</v>
      </c>
      <c r="BF63" s="15" t="s">
        <v>1421</v>
      </c>
      <c r="BG63" s="15" t="str">
        <f>"81.5"</f>
        <v>81.5</v>
      </c>
      <c r="BH63" s="15" t="s">
        <v>1422</v>
      </c>
      <c r="BI63" s="15" t="str">
        <f>"25.2"</f>
        <v>25.2</v>
      </c>
      <c r="BJ63" s="15" t="s">
        <v>585</v>
      </c>
      <c r="BK63" s="15" t="str">
        <f>"22.24"</f>
        <v>22.24</v>
      </c>
      <c r="BL63" s="15" t="s">
        <v>1423</v>
      </c>
      <c r="BM63" s="15" t="str">
        <f>"224.87"</f>
        <v>224.87</v>
      </c>
      <c r="BN63" s="15" t="s">
        <v>1424</v>
      </c>
      <c r="BQ63" s="15" t="s">
        <v>444</v>
      </c>
      <c r="BS63" s="15" t="s">
        <v>444</v>
      </c>
      <c r="BU63" s="15" t="s">
        <v>444</v>
      </c>
      <c r="BW63" s="15" t="s">
        <v>444</v>
      </c>
      <c r="BZ63" s="15" t="s">
        <v>444</v>
      </c>
      <c r="CB63" s="15" t="s">
        <v>444</v>
      </c>
      <c r="CD63" s="15" t="s">
        <v>444</v>
      </c>
      <c r="CF63" s="15" t="s">
        <v>444</v>
      </c>
      <c r="CI63" s="15" t="s">
        <v>444</v>
      </c>
      <c r="CK63" s="15" t="s">
        <v>444</v>
      </c>
      <c r="CM63" s="15" t="s">
        <v>444</v>
      </c>
      <c r="CO63" s="15" t="s">
        <v>444</v>
      </c>
      <c r="CP63" s="15" t="str">
        <f>"26.45"</f>
        <v>26.45</v>
      </c>
      <c r="CQ63" s="15" t="str">
        <f>"0.749"</f>
        <v>0.749</v>
      </c>
      <c r="CR63" s="15" t="s">
        <v>417</v>
      </c>
      <c r="CV63" s="15" t="s">
        <v>1425</v>
      </c>
      <c r="CW63" s="15" t="s">
        <v>1426</v>
      </c>
      <c r="CX63" s="15" t="s">
        <v>1427</v>
      </c>
      <c r="DC63" s="15" t="str">
        <f>IFERROR(__xludf.DUMMYFUNCTION("""COMPUTED_VALUE"""),"")</f>
        <v/>
      </c>
      <c r="DE63" s="15" t="str">
        <f>IFERROR(__xludf.DUMMYFUNCTION("""COMPUTED_VALUE"""),"")</f>
        <v/>
      </c>
      <c r="DG63" s="15" t="str">
        <f>IFERROR(__xludf.DUMMYFUNCTION("""COMPUTED_VALUE"""),"")</f>
        <v/>
      </c>
      <c r="DL63" s="15" t="str">
        <f>IFERROR(__xludf.DUMMYFUNCTION("""COMPUTED_VALUE"""),"")</f>
        <v/>
      </c>
      <c r="DM63" s="15" t="s">
        <v>444</v>
      </c>
      <c r="DN63" s="15" t="s">
        <v>1371</v>
      </c>
      <c r="DO63" s="15">
        <v>4.0</v>
      </c>
      <c r="DP63" s="15" t="s">
        <v>419</v>
      </c>
      <c r="DR63" s="15">
        <v>0.0</v>
      </c>
      <c r="DT63" s="15" t="s">
        <v>764</v>
      </c>
      <c r="DU63" s="15" t="s">
        <v>610</v>
      </c>
      <c r="DW63" s="15">
        <v>18.14</v>
      </c>
      <c r="DX63" s="15">
        <v>40.0</v>
      </c>
      <c r="DY63" s="15">
        <v>1.0</v>
      </c>
      <c r="EG63" s="15" t="s">
        <v>444</v>
      </c>
      <c r="EH63" s="15" t="s">
        <v>1372</v>
      </c>
      <c r="EK63" s="15" t="s">
        <v>444</v>
      </c>
      <c r="EM63" s="15" t="str">
        <f>IFERROR(__xludf.DUMMYFUNCTION("""COMPUTED_VALUE"""),"")</f>
        <v/>
      </c>
      <c r="EW63" s="15" t="s">
        <v>1428</v>
      </c>
      <c r="FL63" s="15" t="s">
        <v>426</v>
      </c>
      <c r="FM63" s="15">
        <v>1.0</v>
      </c>
      <c r="FY63" s="15" t="s">
        <v>1429</v>
      </c>
      <c r="FZ63" s="15" t="s">
        <v>782</v>
      </c>
      <c r="GA63" s="15" t="s">
        <v>823</v>
      </c>
      <c r="GB63" s="15" t="s">
        <v>1425</v>
      </c>
      <c r="GC63" s="15" t="s">
        <v>782</v>
      </c>
      <c r="GD63" s="15" t="s">
        <v>1427</v>
      </c>
      <c r="GF63" s="15" t="s">
        <v>426</v>
      </c>
      <c r="GG63" s="15" t="s">
        <v>785</v>
      </c>
      <c r="GH63" s="15">
        <v>2.0</v>
      </c>
      <c r="GI63" s="15" t="s">
        <v>614</v>
      </c>
      <c r="GJ63" s="15" t="s">
        <v>615</v>
      </c>
      <c r="GL63" s="15" t="s">
        <v>426</v>
      </c>
      <c r="GN63" s="15" t="s">
        <v>616</v>
      </c>
      <c r="GQ63" s="15" t="s">
        <v>1430</v>
      </c>
      <c r="GS63" s="15" t="s">
        <v>1431</v>
      </c>
      <c r="GU63" s="15" t="s">
        <v>1432</v>
      </c>
      <c r="GW63" s="15" t="s">
        <v>838</v>
      </c>
      <c r="GY63" s="15" t="s">
        <v>764</v>
      </c>
      <c r="HD63" s="15">
        <v>0.0</v>
      </c>
      <c r="HW63" s="15" t="s">
        <v>789</v>
      </c>
      <c r="IH63" s="15" t="s">
        <v>426</v>
      </c>
    </row>
    <row r="64" ht="15.75" customHeight="1">
      <c r="A64" s="14" t="s">
        <v>391</v>
      </c>
      <c r="B64" s="15" t="s">
        <v>1433</v>
      </c>
      <c r="C64" s="16"/>
      <c r="D64" s="15" t="s">
        <v>432</v>
      </c>
      <c r="G64" s="14" t="s">
        <v>393</v>
      </c>
      <c r="H64" s="14" t="s">
        <v>394</v>
      </c>
      <c r="I64" s="14" t="b">
        <v>1</v>
      </c>
      <c r="J64" s="14" t="s">
        <v>395</v>
      </c>
      <c r="L64" s="14" t="b">
        <v>0</v>
      </c>
      <c r="M64" s="15" t="s">
        <v>1434</v>
      </c>
      <c r="N64" s="14" t="s">
        <v>393</v>
      </c>
      <c r="O64" s="14" t="s">
        <v>393</v>
      </c>
      <c r="P64" s="15" t="s">
        <v>397</v>
      </c>
      <c r="Q64" s="15" t="s">
        <v>1357</v>
      </c>
      <c r="T64" s="14" t="b">
        <v>0</v>
      </c>
      <c r="U64" s="15" t="s">
        <v>1435</v>
      </c>
      <c r="V64" s="15" t="s">
        <v>1436</v>
      </c>
      <c r="W64" s="15" t="s">
        <v>401</v>
      </c>
      <c r="X64" s="15" t="s">
        <v>742</v>
      </c>
      <c r="Y64" s="15">
        <v>936.0</v>
      </c>
      <c r="AA64" s="15" t="str">
        <f>"360"</f>
        <v>360</v>
      </c>
      <c r="AB64" s="14" t="b">
        <v>1</v>
      </c>
      <c r="AC64" s="14" t="b">
        <v>1</v>
      </c>
      <c r="AD64" s="15" t="str">
        <f>"801542091453"</f>
        <v>801542091453</v>
      </c>
      <c r="AE64" s="15" t="s">
        <v>1437</v>
      </c>
      <c r="AF64" s="14" t="s">
        <v>404</v>
      </c>
      <c r="AG64" s="14" t="s">
        <v>405</v>
      </c>
      <c r="AH64" s="14" t="s">
        <v>406</v>
      </c>
      <c r="AI64" s="15">
        <v>0.0</v>
      </c>
      <c r="AL64" s="15" t="s">
        <v>1361</v>
      </c>
      <c r="AM64" s="15" t="s">
        <v>410</v>
      </c>
      <c r="AN64" s="15" t="s">
        <v>439</v>
      </c>
      <c r="AO64" s="15" t="s">
        <v>809</v>
      </c>
      <c r="AP64" s="15" t="s">
        <v>810</v>
      </c>
      <c r="AQ64" s="15" t="s">
        <v>1175</v>
      </c>
      <c r="AR64" s="15" t="s">
        <v>1176</v>
      </c>
      <c r="AS64" s="15" t="s">
        <v>1366</v>
      </c>
      <c r="AT64" s="15" t="s">
        <v>1357</v>
      </c>
      <c r="AW64" s="15" t="s">
        <v>628</v>
      </c>
      <c r="AY64" s="15" t="s">
        <v>413</v>
      </c>
      <c r="AZ64" s="15" t="b">
        <v>0</v>
      </c>
      <c r="BA64" s="15" t="s">
        <v>413</v>
      </c>
      <c r="BB64" s="15" t="b">
        <v>0</v>
      </c>
      <c r="BC64" s="15" t="s">
        <v>1438</v>
      </c>
      <c r="BD64" s="15" t="s">
        <v>742</v>
      </c>
      <c r="BE64" s="15" t="str">
        <f t="shared" si="75"/>
        <v>1</v>
      </c>
      <c r="BF64" s="15" t="s">
        <v>1439</v>
      </c>
      <c r="BG64" s="15" t="str">
        <f>"35.43"</f>
        <v>35.43</v>
      </c>
      <c r="BH64" s="15" t="s">
        <v>1034</v>
      </c>
      <c r="BI64" s="15" t="str">
        <f>"21.46"</f>
        <v>21.46</v>
      </c>
      <c r="BJ64" s="15" t="s">
        <v>1385</v>
      </c>
      <c r="BK64" s="15" t="str">
        <f>"19.09"</f>
        <v>19.09</v>
      </c>
      <c r="BL64" s="15" t="s">
        <v>1440</v>
      </c>
      <c r="BM64" s="15" t="str">
        <f>"79.37"</f>
        <v>79.37</v>
      </c>
      <c r="BN64" s="15" t="s">
        <v>1441</v>
      </c>
      <c r="BQ64" s="15" t="s">
        <v>444</v>
      </c>
      <c r="BS64" s="15" t="s">
        <v>444</v>
      </c>
      <c r="BU64" s="15" t="s">
        <v>444</v>
      </c>
      <c r="BW64" s="15" t="s">
        <v>444</v>
      </c>
      <c r="BZ64" s="15" t="s">
        <v>444</v>
      </c>
      <c r="CB64" s="15" t="s">
        <v>444</v>
      </c>
      <c r="CD64" s="15" t="s">
        <v>444</v>
      </c>
      <c r="CF64" s="15" t="s">
        <v>444</v>
      </c>
      <c r="CI64" s="15" t="s">
        <v>444</v>
      </c>
      <c r="CK64" s="15" t="s">
        <v>444</v>
      </c>
      <c r="CM64" s="15" t="s">
        <v>444</v>
      </c>
      <c r="CO64" s="15" t="s">
        <v>444</v>
      </c>
      <c r="CP64" s="15" t="str">
        <f>"8.4"</f>
        <v>8.4</v>
      </c>
      <c r="CQ64" s="15" t="str">
        <f>"0.238"</f>
        <v>0.238</v>
      </c>
      <c r="CR64" s="15" t="s">
        <v>465</v>
      </c>
      <c r="DC64" s="15" t="str">
        <f>IFERROR(__xludf.DUMMYFUNCTION("""COMPUTED_VALUE"""),"")</f>
        <v/>
      </c>
      <c r="DE64" s="15" t="str">
        <f>IFERROR(__xludf.DUMMYFUNCTION("""COMPUTED_VALUE"""),"")</f>
        <v/>
      </c>
      <c r="DG64" s="15" t="str">
        <f>IFERROR(__xludf.DUMMYFUNCTION("""COMPUTED_VALUE"""),"")</f>
        <v/>
      </c>
      <c r="DL64" s="15" t="str">
        <f>IFERROR(__xludf.DUMMYFUNCTION("""COMPUTED_VALUE"""),"")</f>
        <v/>
      </c>
      <c r="DM64" s="15" t="s">
        <v>444</v>
      </c>
      <c r="DN64" s="15" t="s">
        <v>418</v>
      </c>
      <c r="DO64" s="15">
        <v>2.0</v>
      </c>
      <c r="DP64" s="15" t="s">
        <v>419</v>
      </c>
      <c r="DR64" s="15">
        <v>0.0</v>
      </c>
      <c r="DT64" s="15" t="s">
        <v>420</v>
      </c>
      <c r="DU64" s="15" t="s">
        <v>421</v>
      </c>
      <c r="DY64" s="15">
        <v>0.0</v>
      </c>
      <c r="EF64" s="15" t="s">
        <v>471</v>
      </c>
      <c r="EG64" s="15" t="s">
        <v>472</v>
      </c>
      <c r="EH64" s="15" t="s">
        <v>1372</v>
      </c>
      <c r="EJ64" s="15" t="s">
        <v>500</v>
      </c>
      <c r="EK64" s="15" t="s">
        <v>501</v>
      </c>
      <c r="EM64" s="15" t="str">
        <f>IFERROR(__xludf.DUMMYFUNCTION("""COMPUTED_VALUE"""),"")</f>
        <v/>
      </c>
      <c r="EW64" s="15" t="s">
        <v>1442</v>
      </c>
      <c r="FM64" s="15">
        <v>0.0</v>
      </c>
      <c r="GH64" s="15">
        <v>0.0</v>
      </c>
      <c r="GI64" s="15" t="s">
        <v>427</v>
      </c>
      <c r="GO64" s="15" t="s">
        <v>426</v>
      </c>
      <c r="GQ64" s="15" t="s">
        <v>1443</v>
      </c>
      <c r="GS64" s="15" t="s">
        <v>1444</v>
      </c>
      <c r="GU64" s="15" t="s">
        <v>1445</v>
      </c>
      <c r="GW64" s="15" t="s">
        <v>838</v>
      </c>
      <c r="GY64" s="15" t="s">
        <v>764</v>
      </c>
    </row>
    <row r="65" ht="15.75" customHeight="1">
      <c r="A65" s="14" t="s">
        <v>391</v>
      </c>
      <c r="B65" s="15" t="s">
        <v>1446</v>
      </c>
      <c r="C65" s="16"/>
      <c r="D65" s="15" t="s">
        <v>432</v>
      </c>
      <c r="G65" s="14" t="s">
        <v>393</v>
      </c>
      <c r="H65" s="14" t="s">
        <v>394</v>
      </c>
      <c r="I65" s="14" t="b">
        <v>1</v>
      </c>
      <c r="J65" s="14" t="s">
        <v>395</v>
      </c>
      <c r="L65" s="14" t="b">
        <v>0</v>
      </c>
      <c r="M65" s="15" t="s">
        <v>1447</v>
      </c>
      <c r="N65" s="14" t="s">
        <v>393</v>
      </c>
      <c r="O65" s="14" t="s">
        <v>393</v>
      </c>
      <c r="P65" s="15" t="s">
        <v>397</v>
      </c>
      <c r="Q65" s="15" t="s">
        <v>1357</v>
      </c>
      <c r="T65" s="14" t="b">
        <v>0</v>
      </c>
      <c r="U65" s="15" t="s">
        <v>1448</v>
      </c>
      <c r="V65" s="15" t="s">
        <v>1415</v>
      </c>
      <c r="W65" s="15" t="s">
        <v>401</v>
      </c>
      <c r="X65" s="15" t="s">
        <v>742</v>
      </c>
      <c r="Y65" s="15">
        <v>2028.0</v>
      </c>
      <c r="AA65" s="15" t="str">
        <f>"780"</f>
        <v>780</v>
      </c>
      <c r="AB65" s="14" t="b">
        <v>1</v>
      </c>
      <c r="AC65" s="14" t="b">
        <v>1</v>
      </c>
      <c r="AD65" s="15" t="str">
        <f>"801542065706"</f>
        <v>801542065706</v>
      </c>
      <c r="AE65" s="15" t="s">
        <v>1449</v>
      </c>
      <c r="AF65" s="14" t="s">
        <v>404</v>
      </c>
      <c r="AG65" s="14" t="s">
        <v>405</v>
      </c>
      <c r="AH65" s="14" t="s">
        <v>406</v>
      </c>
      <c r="AI65" s="15">
        <v>0.0</v>
      </c>
      <c r="AL65" s="15" t="s">
        <v>1361</v>
      </c>
      <c r="AM65" s="15" t="s">
        <v>1450</v>
      </c>
      <c r="AN65" s="15" t="s">
        <v>1451</v>
      </c>
      <c r="AO65" s="15" t="s">
        <v>1452</v>
      </c>
      <c r="AP65" s="15" t="s">
        <v>1453</v>
      </c>
      <c r="AQ65" s="15" t="s">
        <v>1276</v>
      </c>
      <c r="AR65" s="15" t="s">
        <v>1277</v>
      </c>
      <c r="AS65" s="15" t="s">
        <v>1366</v>
      </c>
      <c r="AT65" s="15" t="s">
        <v>1357</v>
      </c>
      <c r="AW65" s="15" t="s">
        <v>664</v>
      </c>
      <c r="AY65" s="15" t="s">
        <v>413</v>
      </c>
      <c r="AZ65" s="15" t="b">
        <v>0</v>
      </c>
      <c r="BA65" s="15" t="s">
        <v>413</v>
      </c>
      <c r="BB65" s="15" t="b">
        <v>0</v>
      </c>
      <c r="BC65" s="15" t="s">
        <v>1454</v>
      </c>
      <c r="BD65" s="15" t="s">
        <v>742</v>
      </c>
      <c r="BE65" s="15" t="str">
        <f t="shared" si="75"/>
        <v>1</v>
      </c>
      <c r="BF65" s="15" t="s">
        <v>1455</v>
      </c>
      <c r="BG65" s="15" t="str">
        <f>"89.17"</f>
        <v>89.17</v>
      </c>
      <c r="BH65" s="15" t="s">
        <v>1456</v>
      </c>
      <c r="BI65" s="15" t="str">
        <f>"21.85"</f>
        <v>21.85</v>
      </c>
      <c r="BJ65" s="15" t="s">
        <v>1405</v>
      </c>
      <c r="BK65" s="15" t="str">
        <f>"26.97"</f>
        <v>26.97</v>
      </c>
      <c r="BL65" s="15" t="s">
        <v>1457</v>
      </c>
      <c r="BM65" s="15" t="str">
        <f>"229.28"</f>
        <v>229.28</v>
      </c>
      <c r="BN65" s="15" t="s">
        <v>1458</v>
      </c>
      <c r="BQ65" s="15" t="s">
        <v>444</v>
      </c>
      <c r="BS65" s="15" t="s">
        <v>444</v>
      </c>
      <c r="BU65" s="15" t="s">
        <v>444</v>
      </c>
      <c r="BW65" s="15" t="s">
        <v>444</v>
      </c>
      <c r="BZ65" s="15" t="s">
        <v>444</v>
      </c>
      <c r="CB65" s="15" t="s">
        <v>444</v>
      </c>
      <c r="CD65" s="15" t="s">
        <v>444</v>
      </c>
      <c r="CF65" s="15" t="s">
        <v>444</v>
      </c>
      <c r="CI65" s="15" t="s">
        <v>444</v>
      </c>
      <c r="CK65" s="15" t="s">
        <v>444</v>
      </c>
      <c r="CM65" s="15" t="s">
        <v>444</v>
      </c>
      <c r="CO65" s="15" t="s">
        <v>444</v>
      </c>
      <c r="CP65" s="15" t="str">
        <f>"30.41"</f>
        <v>30.41</v>
      </c>
      <c r="CQ65" s="15" t="str">
        <f>"0.861"</f>
        <v>0.861</v>
      </c>
      <c r="CR65" s="15" t="s">
        <v>497</v>
      </c>
      <c r="CV65" s="15" t="s">
        <v>1459</v>
      </c>
      <c r="CW65" s="15" t="s">
        <v>1460</v>
      </c>
      <c r="CX65" s="15" t="s">
        <v>1461</v>
      </c>
      <c r="DC65" s="15" t="str">
        <f>IFERROR(__xludf.DUMMYFUNCTION("""COMPUTED_VALUE"""),"")</f>
        <v/>
      </c>
      <c r="DE65" s="15" t="str">
        <f>IFERROR(__xludf.DUMMYFUNCTION("""COMPUTED_VALUE"""),"")</f>
        <v/>
      </c>
      <c r="DG65" s="15" t="str">
        <f>IFERROR(__xludf.DUMMYFUNCTION("""COMPUTED_VALUE"""),"")</f>
        <v/>
      </c>
      <c r="DL65" s="15" t="str">
        <f>IFERROR(__xludf.DUMMYFUNCTION("""COMPUTED_VALUE"""),"")</f>
        <v/>
      </c>
      <c r="DM65" s="15" t="s">
        <v>444</v>
      </c>
      <c r="DN65" s="15" t="s">
        <v>419</v>
      </c>
      <c r="DO65" s="15">
        <v>0.0</v>
      </c>
      <c r="DP65" s="15" t="s">
        <v>419</v>
      </c>
      <c r="DR65" s="15">
        <v>0.0</v>
      </c>
      <c r="DT65" s="15" t="s">
        <v>420</v>
      </c>
      <c r="DU65" s="15" t="s">
        <v>610</v>
      </c>
      <c r="DW65" s="15">
        <v>18.14</v>
      </c>
      <c r="DX65" s="15">
        <v>40.0</v>
      </c>
      <c r="DY65" s="15">
        <v>3.0</v>
      </c>
      <c r="EG65" s="15" t="s">
        <v>444</v>
      </c>
      <c r="EH65" s="15" t="s">
        <v>1372</v>
      </c>
      <c r="EJ65" s="15" t="s">
        <v>424</v>
      </c>
      <c r="EK65" s="15" t="s">
        <v>446</v>
      </c>
      <c r="EM65" s="15" t="str">
        <f>IFERROR(__xludf.DUMMYFUNCTION("""COMPUTED_VALUE"""),"")</f>
        <v/>
      </c>
      <c r="EW65" s="15" t="s">
        <v>1373</v>
      </c>
      <c r="FL65" s="15" t="s">
        <v>426</v>
      </c>
      <c r="FM65" s="15">
        <v>3.0</v>
      </c>
      <c r="FY65" s="15" t="s">
        <v>1460</v>
      </c>
      <c r="FZ65" s="15" t="s">
        <v>782</v>
      </c>
      <c r="GA65" s="15" t="s">
        <v>1462</v>
      </c>
      <c r="GB65" s="15" t="s">
        <v>1459</v>
      </c>
      <c r="GC65" s="15" t="s">
        <v>782</v>
      </c>
      <c r="GD65" s="15" t="s">
        <v>1461</v>
      </c>
      <c r="GE65" s="15">
        <v>0.0</v>
      </c>
      <c r="GF65" s="15" t="s">
        <v>426</v>
      </c>
      <c r="GG65" s="15" t="s">
        <v>785</v>
      </c>
      <c r="GH65" s="15">
        <v>6.0</v>
      </c>
      <c r="GI65" s="15" t="s">
        <v>614</v>
      </c>
      <c r="GJ65" s="15" t="s">
        <v>1045</v>
      </c>
      <c r="GK65" s="15">
        <v>0.0</v>
      </c>
      <c r="GL65" s="15" t="s">
        <v>426</v>
      </c>
      <c r="GN65" s="15" t="s">
        <v>616</v>
      </c>
      <c r="HA65" s="15" t="s">
        <v>1459</v>
      </c>
      <c r="HB65" s="15" t="s">
        <v>1460</v>
      </c>
      <c r="HC65" s="15" t="s">
        <v>1461</v>
      </c>
      <c r="HQ65" s="15" t="s">
        <v>1459</v>
      </c>
      <c r="HS65" s="15" t="s">
        <v>1460</v>
      </c>
      <c r="HU65" s="15" t="s">
        <v>1461</v>
      </c>
      <c r="HW65" s="15" t="s">
        <v>789</v>
      </c>
      <c r="IH65" s="15" t="s">
        <v>426</v>
      </c>
    </row>
    <row r="66" ht="15.75" customHeight="1">
      <c r="A66" s="14" t="s">
        <v>391</v>
      </c>
      <c r="B66" s="15" t="s">
        <v>1463</v>
      </c>
      <c r="C66" s="16"/>
      <c r="D66" s="15" t="s">
        <v>432</v>
      </c>
      <c r="G66" s="14" t="s">
        <v>393</v>
      </c>
      <c r="H66" s="14" t="s">
        <v>394</v>
      </c>
      <c r="I66" s="14" t="b">
        <v>1</v>
      </c>
      <c r="J66" s="14" t="s">
        <v>395</v>
      </c>
      <c r="L66" s="14" t="b">
        <v>0</v>
      </c>
      <c r="M66" s="15" t="s">
        <v>1464</v>
      </c>
      <c r="N66" s="14" t="s">
        <v>393</v>
      </c>
      <c r="O66" s="14" t="s">
        <v>393</v>
      </c>
      <c r="P66" s="15" t="s">
        <v>397</v>
      </c>
      <c r="Q66" s="15" t="s">
        <v>1465</v>
      </c>
      <c r="T66" s="14" t="b">
        <v>0</v>
      </c>
      <c r="U66" s="15" t="s">
        <v>1466</v>
      </c>
      <c r="V66" s="15" t="s">
        <v>1467</v>
      </c>
      <c r="W66" s="15" t="s">
        <v>401</v>
      </c>
      <c r="X66" s="15" t="s">
        <v>695</v>
      </c>
      <c r="Y66" s="15">
        <v>2080.0</v>
      </c>
      <c r="AA66" s="15" t="str">
        <f t="shared" ref="AA66:AA67" si="103">"800"</f>
        <v>800</v>
      </c>
      <c r="AB66" s="14" t="b">
        <v>1</v>
      </c>
      <c r="AC66" s="14" t="b">
        <v>1</v>
      </c>
      <c r="AD66" s="15" t="str">
        <f>"801542721381"</f>
        <v>801542721381</v>
      </c>
      <c r="AE66" s="15" t="s">
        <v>1468</v>
      </c>
      <c r="AF66" s="14" t="s">
        <v>404</v>
      </c>
      <c r="AG66" s="14" t="s">
        <v>405</v>
      </c>
      <c r="AH66" s="14" t="s">
        <v>406</v>
      </c>
      <c r="AI66" s="15">
        <v>0.0</v>
      </c>
      <c r="AL66" s="15" t="s">
        <v>1469</v>
      </c>
      <c r="AM66" s="15" t="s">
        <v>1470</v>
      </c>
      <c r="AN66" s="15" t="s">
        <v>1471</v>
      </c>
      <c r="AO66" s="15" t="s">
        <v>1472</v>
      </c>
      <c r="AP66" s="15" t="s">
        <v>1473</v>
      </c>
      <c r="AQ66" s="15" t="s">
        <v>410</v>
      </c>
      <c r="AR66" s="15" t="s">
        <v>439</v>
      </c>
      <c r="AS66" s="15" t="s">
        <v>1474</v>
      </c>
      <c r="AT66" s="15" t="s">
        <v>1475</v>
      </c>
      <c r="AU66" s="15" t="s">
        <v>1465</v>
      </c>
      <c r="AW66" s="15" t="s">
        <v>706</v>
      </c>
      <c r="AX66" s="15" t="s">
        <v>707</v>
      </c>
      <c r="AY66" s="15" t="s">
        <v>413</v>
      </c>
      <c r="AZ66" s="15" t="b">
        <v>0</v>
      </c>
      <c r="BA66" s="15" t="s">
        <v>413</v>
      </c>
      <c r="BB66" s="15" t="b">
        <v>0</v>
      </c>
      <c r="BC66" s="15" t="s">
        <v>1476</v>
      </c>
      <c r="BD66" s="15" t="s">
        <v>709</v>
      </c>
      <c r="BE66" s="15" t="str">
        <f t="shared" si="75"/>
        <v>1</v>
      </c>
      <c r="BF66" s="15" t="s">
        <v>1477</v>
      </c>
      <c r="BG66" s="15" t="str">
        <f t="shared" ref="BG66:BG67" si="104">"27.17"</f>
        <v>27.17</v>
      </c>
      <c r="BH66" s="15" t="s">
        <v>1478</v>
      </c>
      <c r="BI66" s="15" t="str">
        <f t="shared" ref="BI66:BI67" si="105">"31.3"</f>
        <v>31.3</v>
      </c>
      <c r="BJ66" s="15" t="s">
        <v>1182</v>
      </c>
      <c r="BK66" s="15" t="str">
        <f t="shared" ref="BK66:BK67" si="106">"34.25"</f>
        <v>34.25</v>
      </c>
      <c r="BL66" s="15" t="s">
        <v>605</v>
      </c>
      <c r="BM66" s="15" t="str">
        <f t="shared" ref="BM66:BM67" si="107">"44.53"</f>
        <v>44.53</v>
      </c>
      <c r="BN66" s="15" t="s">
        <v>1479</v>
      </c>
      <c r="BQ66" s="15" t="s">
        <v>444</v>
      </c>
      <c r="BS66" s="15" t="s">
        <v>444</v>
      </c>
      <c r="BU66" s="15" t="s">
        <v>444</v>
      </c>
      <c r="BW66" s="15" t="s">
        <v>444</v>
      </c>
      <c r="BZ66" s="15" t="s">
        <v>444</v>
      </c>
      <c r="CB66" s="15" t="s">
        <v>444</v>
      </c>
      <c r="CD66" s="15" t="s">
        <v>444</v>
      </c>
      <c r="CF66" s="15" t="s">
        <v>444</v>
      </c>
      <c r="CI66" s="15" t="s">
        <v>444</v>
      </c>
      <c r="CK66" s="15" t="s">
        <v>444</v>
      </c>
      <c r="CM66" s="15" t="s">
        <v>444</v>
      </c>
      <c r="CO66" s="15" t="s">
        <v>444</v>
      </c>
      <c r="CP66" s="15" t="str">
        <f t="shared" ref="CP66:CP67" si="108">"14.83"</f>
        <v>14.83</v>
      </c>
      <c r="CQ66" s="15" t="str">
        <f t="shared" ref="CQ66:CQ67" si="109">"0.42"</f>
        <v>0.42</v>
      </c>
      <c r="CR66" s="15" t="s">
        <v>465</v>
      </c>
      <c r="DB66" s="15" t="s">
        <v>1480</v>
      </c>
      <c r="DC66" s="15" t="str">
        <f>IFERROR(__xludf.DUMMYFUNCTION("""COMPUTED_VALUE"""),"{""value"":19.02,""unit"":""in""}")</f>
        <v>{"value":19.02,"unit":"in"}</v>
      </c>
      <c r="DD66" s="15" t="s">
        <v>824</v>
      </c>
      <c r="DE66" s="15" t="str">
        <f>IFERROR(__xludf.DUMMYFUNCTION("""COMPUTED_VALUE"""),"{""value"":18.50,""unit"":""in""}")</f>
        <v>{"value":18.50,"unit":"in"}</v>
      </c>
      <c r="DG66" s="15" t="str">
        <f>IFERROR(__xludf.DUMMYFUNCTION("""COMPUTED_VALUE"""),"")</f>
        <v/>
      </c>
      <c r="DH66" s="15">
        <v>0.0</v>
      </c>
      <c r="DI66" s="15">
        <v>1.0</v>
      </c>
      <c r="DJ66" s="15" t="s">
        <v>717</v>
      </c>
      <c r="DK66" s="15" t="s">
        <v>718</v>
      </c>
      <c r="DL66" s="15" t="str">
        <f>IFERROR(__xludf.DUMMYFUNCTION("""COMPUTED_VALUE"""),"Vacuum or light brush only. Do not use water or any cleaning products.")</f>
        <v>Vacuum or light brush only. Do not use water or any cleaning products.</v>
      </c>
      <c r="DM66" s="15" t="s">
        <v>719</v>
      </c>
      <c r="DT66" s="15" t="s">
        <v>721</v>
      </c>
      <c r="DU66" s="15" t="s">
        <v>419</v>
      </c>
      <c r="DV66" s="15">
        <v>0.0</v>
      </c>
      <c r="DZ66" s="15">
        <v>0.0</v>
      </c>
      <c r="EA66" s="15" t="s">
        <v>990</v>
      </c>
      <c r="EB66" s="15" t="s">
        <v>1016</v>
      </c>
      <c r="ED66" s="15">
        <v>1.0</v>
      </c>
      <c r="EE66" s="15">
        <v>1.0</v>
      </c>
      <c r="EG66" s="15" t="s">
        <v>444</v>
      </c>
      <c r="EH66" s="15" t="s">
        <v>1481</v>
      </c>
      <c r="EI66" s="15">
        <v>0.0</v>
      </c>
      <c r="EJ66" s="15" t="s">
        <v>726</v>
      </c>
      <c r="EK66" s="15" t="s">
        <v>727</v>
      </c>
      <c r="EL66" s="15" t="s">
        <v>1482</v>
      </c>
      <c r="EM66" s="15" t="str">
        <f>IFERROR(__xludf.DUMMYFUNCTION("""COMPUTED_VALUE"""),"{""value"":24.41,""unit"":""in""}")</f>
        <v>{"value":24.41,"unit":"in"}</v>
      </c>
      <c r="EN66" s="15" t="s">
        <v>1483</v>
      </c>
      <c r="EO66" s="15" t="s">
        <v>1484</v>
      </c>
      <c r="ES66" s="15" t="s">
        <v>1485</v>
      </c>
      <c r="EW66" s="15" t="s">
        <v>670</v>
      </c>
      <c r="EX66" s="15" t="s">
        <v>1486</v>
      </c>
      <c r="EY66" s="15" t="s">
        <v>1487</v>
      </c>
      <c r="EZ66" s="15" t="s">
        <v>1374</v>
      </c>
      <c r="FC66" s="15" t="s">
        <v>1016</v>
      </c>
      <c r="FF66" s="15" t="s">
        <v>1239</v>
      </c>
      <c r="FO66" s="15" t="s">
        <v>1484</v>
      </c>
      <c r="FP66" s="15" t="s">
        <v>1488</v>
      </c>
      <c r="FQ66" s="15">
        <v>0.0</v>
      </c>
      <c r="FR66" s="15">
        <v>0.0</v>
      </c>
      <c r="FT66" s="15">
        <v>0.0</v>
      </c>
    </row>
    <row r="67" ht="15.75" customHeight="1">
      <c r="A67" s="14" t="s">
        <v>391</v>
      </c>
      <c r="B67" s="15" t="s">
        <v>1463</v>
      </c>
      <c r="C67" s="16"/>
      <c r="D67" s="15" t="s">
        <v>432</v>
      </c>
      <c r="G67" s="14" t="s">
        <v>393</v>
      </c>
      <c r="H67" s="14" t="s">
        <v>394</v>
      </c>
      <c r="I67" s="14" t="b">
        <v>1</v>
      </c>
      <c r="J67" s="14" t="s">
        <v>395</v>
      </c>
      <c r="L67" s="14" t="b">
        <v>0</v>
      </c>
      <c r="M67" s="15" t="s">
        <v>1489</v>
      </c>
      <c r="N67" s="14" t="s">
        <v>393</v>
      </c>
      <c r="O67" s="14" t="s">
        <v>393</v>
      </c>
      <c r="P67" s="15" t="s">
        <v>397</v>
      </c>
      <c r="Q67" s="15" t="s">
        <v>1490</v>
      </c>
      <c r="T67" s="14" t="b">
        <v>0</v>
      </c>
      <c r="U67" s="15" t="s">
        <v>1491</v>
      </c>
      <c r="V67" s="15" t="s">
        <v>1467</v>
      </c>
      <c r="W67" s="15" t="s">
        <v>401</v>
      </c>
      <c r="X67" s="15" t="s">
        <v>695</v>
      </c>
      <c r="Y67" s="15">
        <v>2080.0</v>
      </c>
      <c r="AA67" s="15" t="str">
        <f t="shared" si="103"/>
        <v>800</v>
      </c>
      <c r="AB67" s="14" t="b">
        <v>1</v>
      </c>
      <c r="AC67" s="14" t="b">
        <v>1</v>
      </c>
      <c r="AD67" s="15" t="str">
        <f>"801542031121"</f>
        <v>801542031121</v>
      </c>
      <c r="AE67" s="15" t="s">
        <v>1492</v>
      </c>
      <c r="AF67" s="14" t="s">
        <v>404</v>
      </c>
      <c r="AG67" s="14" t="s">
        <v>405</v>
      </c>
      <c r="AH67" s="14" t="s">
        <v>406</v>
      </c>
      <c r="AI67" s="15">
        <v>0.0</v>
      </c>
      <c r="AL67" s="15" t="s">
        <v>1469</v>
      </c>
      <c r="AM67" s="15" t="s">
        <v>1470</v>
      </c>
      <c r="AN67" s="15" t="s">
        <v>1471</v>
      </c>
      <c r="AO67" s="15" t="s">
        <v>1472</v>
      </c>
      <c r="AP67" s="15" t="s">
        <v>1473</v>
      </c>
      <c r="AQ67" s="15" t="s">
        <v>410</v>
      </c>
      <c r="AR67" s="15" t="s">
        <v>439</v>
      </c>
      <c r="AS67" s="15" t="s">
        <v>1474</v>
      </c>
      <c r="AT67" s="15" t="s">
        <v>1475</v>
      </c>
      <c r="AU67" s="15" t="s">
        <v>1490</v>
      </c>
      <c r="AW67" s="15" t="s">
        <v>706</v>
      </c>
      <c r="AX67" s="15" t="s">
        <v>707</v>
      </c>
      <c r="AY67" s="15" t="s">
        <v>413</v>
      </c>
      <c r="AZ67" s="15" t="b">
        <v>0</v>
      </c>
      <c r="BA67" s="15" t="s">
        <v>413</v>
      </c>
      <c r="BB67" s="15" t="b">
        <v>0</v>
      </c>
      <c r="BC67" s="15" t="s">
        <v>1493</v>
      </c>
      <c r="BD67" s="15" t="s">
        <v>709</v>
      </c>
      <c r="BE67" s="15" t="str">
        <f t="shared" si="75"/>
        <v>1</v>
      </c>
      <c r="BF67" s="15" t="s">
        <v>1494</v>
      </c>
      <c r="BG67" s="15" t="str">
        <f t="shared" si="104"/>
        <v>27.17</v>
      </c>
      <c r="BH67" s="15" t="s">
        <v>1478</v>
      </c>
      <c r="BI67" s="15" t="str">
        <f t="shared" si="105"/>
        <v>31.3</v>
      </c>
      <c r="BJ67" s="15" t="s">
        <v>1182</v>
      </c>
      <c r="BK67" s="15" t="str">
        <f t="shared" si="106"/>
        <v>34.25</v>
      </c>
      <c r="BL67" s="15" t="s">
        <v>605</v>
      </c>
      <c r="BM67" s="15" t="str">
        <f t="shared" si="107"/>
        <v>44.53</v>
      </c>
      <c r="BN67" s="15" t="s">
        <v>1479</v>
      </c>
      <c r="BQ67" s="15" t="s">
        <v>444</v>
      </c>
      <c r="BS67" s="15" t="s">
        <v>444</v>
      </c>
      <c r="BU67" s="15" t="s">
        <v>444</v>
      </c>
      <c r="BW67" s="15" t="s">
        <v>444</v>
      </c>
      <c r="BZ67" s="15" t="s">
        <v>444</v>
      </c>
      <c r="CB67" s="15" t="s">
        <v>444</v>
      </c>
      <c r="CD67" s="15" t="s">
        <v>444</v>
      </c>
      <c r="CF67" s="15" t="s">
        <v>444</v>
      </c>
      <c r="CI67" s="15" t="s">
        <v>444</v>
      </c>
      <c r="CK67" s="15" t="s">
        <v>444</v>
      </c>
      <c r="CM67" s="15" t="s">
        <v>444</v>
      </c>
      <c r="CO67" s="15" t="s">
        <v>444</v>
      </c>
      <c r="CP67" s="15" t="str">
        <f t="shared" si="108"/>
        <v>14.83</v>
      </c>
      <c r="CQ67" s="15" t="str">
        <f t="shared" si="109"/>
        <v>0.42</v>
      </c>
      <c r="CR67" s="15" t="s">
        <v>417</v>
      </c>
      <c r="DB67" s="15" t="s">
        <v>1480</v>
      </c>
      <c r="DC67" s="15" t="str">
        <f>IFERROR(__xludf.DUMMYFUNCTION("""COMPUTED_VALUE"""),"{""value"":19.02,""unit"":""in""}")</f>
        <v>{"value":19.02,"unit":"in"}</v>
      </c>
      <c r="DD67" s="15" t="s">
        <v>824</v>
      </c>
      <c r="DE67" s="15" t="str">
        <f>IFERROR(__xludf.DUMMYFUNCTION("""COMPUTED_VALUE"""),"{""value"":18.50,""unit"":""in""}")</f>
        <v>{"value":18.50,"unit":"in"}</v>
      </c>
      <c r="DG67" s="15" t="str">
        <f>IFERROR(__xludf.DUMMYFUNCTION("""COMPUTED_VALUE"""),"")</f>
        <v/>
      </c>
      <c r="DH67" s="15">
        <v>0.0</v>
      </c>
      <c r="DI67" s="15">
        <v>1.0</v>
      </c>
      <c r="DJ67" s="15" t="s">
        <v>717</v>
      </c>
      <c r="DK67" s="15" t="s">
        <v>718</v>
      </c>
      <c r="DL67" s="15" t="str">
        <f>IFERROR(__xludf.DUMMYFUNCTION("""COMPUTED_VALUE"""),"Vacuum or light brush only. Do not use water or any cleaning products.")</f>
        <v>Vacuum or light brush only. Do not use water or any cleaning products.</v>
      </c>
      <c r="DM67" s="15" t="s">
        <v>719</v>
      </c>
      <c r="DT67" s="15" t="s">
        <v>721</v>
      </c>
      <c r="DU67" s="15" t="s">
        <v>419</v>
      </c>
      <c r="DV67" s="15">
        <v>0.0</v>
      </c>
      <c r="DZ67" s="15">
        <v>0.0</v>
      </c>
      <c r="EA67" s="15" t="s">
        <v>990</v>
      </c>
      <c r="EB67" s="15" t="s">
        <v>1016</v>
      </c>
      <c r="ED67" s="15">
        <v>1.0</v>
      </c>
      <c r="EE67" s="15">
        <v>1.0</v>
      </c>
      <c r="EG67" s="15" t="s">
        <v>444</v>
      </c>
      <c r="EH67" s="15" t="s">
        <v>1481</v>
      </c>
      <c r="EI67" s="15">
        <v>0.0</v>
      </c>
      <c r="EJ67" s="15" t="s">
        <v>726</v>
      </c>
      <c r="EK67" s="15" t="s">
        <v>727</v>
      </c>
      <c r="EL67" s="15" t="s">
        <v>1482</v>
      </c>
      <c r="EM67" s="15" t="str">
        <f>IFERROR(__xludf.DUMMYFUNCTION("""COMPUTED_VALUE"""),"{""value"":24.41,""unit"":""in""}")</f>
        <v>{"value":24.41,"unit":"in"}</v>
      </c>
      <c r="EN67" s="15" t="s">
        <v>1483</v>
      </c>
      <c r="EO67" s="15" t="s">
        <v>1484</v>
      </c>
      <c r="ES67" s="15" t="s">
        <v>1485</v>
      </c>
      <c r="EW67" s="15" t="s">
        <v>670</v>
      </c>
      <c r="EX67" s="15" t="s">
        <v>1486</v>
      </c>
      <c r="EY67" s="15" t="s">
        <v>1487</v>
      </c>
      <c r="EZ67" s="15" t="s">
        <v>1374</v>
      </c>
      <c r="FC67" s="15" t="s">
        <v>1016</v>
      </c>
      <c r="FF67" s="15" t="s">
        <v>1239</v>
      </c>
      <c r="FO67" s="15" t="s">
        <v>1484</v>
      </c>
      <c r="FP67" s="15" t="s">
        <v>1488</v>
      </c>
      <c r="FQ67" s="15">
        <v>0.0</v>
      </c>
      <c r="FR67" s="15">
        <v>0.0</v>
      </c>
      <c r="FT67" s="15">
        <v>0.0</v>
      </c>
    </row>
    <row r="68" ht="15.75" customHeight="1">
      <c r="A68" s="14" t="s">
        <v>391</v>
      </c>
      <c r="B68" s="15" t="s">
        <v>1495</v>
      </c>
      <c r="C68" s="16"/>
      <c r="D68" s="15" t="s">
        <v>432</v>
      </c>
      <c r="G68" s="14" t="s">
        <v>393</v>
      </c>
      <c r="H68" s="14" t="s">
        <v>394</v>
      </c>
      <c r="I68" s="14" t="b">
        <v>1</v>
      </c>
      <c r="J68" s="14" t="s">
        <v>395</v>
      </c>
      <c r="L68" s="14" t="b">
        <v>0</v>
      </c>
      <c r="M68" s="15" t="s">
        <v>1496</v>
      </c>
      <c r="N68" s="14" t="s">
        <v>393</v>
      </c>
      <c r="O68" s="14" t="s">
        <v>393</v>
      </c>
      <c r="P68" s="15" t="s">
        <v>397</v>
      </c>
      <c r="Q68" s="15" t="s">
        <v>1497</v>
      </c>
      <c r="T68" s="14" t="b">
        <v>0</v>
      </c>
      <c r="U68" s="15" t="s">
        <v>1498</v>
      </c>
      <c r="V68" s="15" t="s">
        <v>1499</v>
      </c>
      <c r="W68" s="15" t="s">
        <v>401</v>
      </c>
      <c r="X68" s="15" t="s">
        <v>742</v>
      </c>
      <c r="Y68" s="15">
        <v>1313.0</v>
      </c>
      <c r="AA68" s="15" t="str">
        <f t="shared" ref="AA68:AA69" si="110">"505"</f>
        <v>505</v>
      </c>
      <c r="AB68" s="14" t="b">
        <v>1</v>
      </c>
      <c r="AC68" s="14" t="b">
        <v>1</v>
      </c>
      <c r="AD68" s="15" t="str">
        <f>"801542972554"</f>
        <v>801542972554</v>
      </c>
      <c r="AE68" s="15" t="s">
        <v>1500</v>
      </c>
      <c r="AF68" s="14" t="s">
        <v>404</v>
      </c>
      <c r="AG68" s="14" t="s">
        <v>405</v>
      </c>
      <c r="AH68" s="14" t="s">
        <v>406</v>
      </c>
      <c r="AI68" s="15">
        <v>0.0</v>
      </c>
      <c r="AL68" s="15" t="s">
        <v>1501</v>
      </c>
      <c r="AM68" s="15" t="s">
        <v>546</v>
      </c>
      <c r="AN68" s="15" t="s">
        <v>547</v>
      </c>
      <c r="AO68" s="15" t="s">
        <v>1152</v>
      </c>
      <c r="AP68" s="15" t="s">
        <v>1153</v>
      </c>
      <c r="AQ68" s="15" t="s">
        <v>1177</v>
      </c>
      <c r="AR68" s="15" t="s">
        <v>1178</v>
      </c>
      <c r="AS68" s="15" t="s">
        <v>1502</v>
      </c>
      <c r="AT68" s="15" t="s">
        <v>1497</v>
      </c>
      <c r="AU68" s="15" t="s">
        <v>1503</v>
      </c>
      <c r="AW68" s="15" t="s">
        <v>628</v>
      </c>
      <c r="AY68" s="15" t="s">
        <v>413</v>
      </c>
      <c r="AZ68" s="15" t="b">
        <v>0</v>
      </c>
      <c r="BA68" s="15" t="s">
        <v>413</v>
      </c>
      <c r="BB68" s="15" t="b">
        <v>0</v>
      </c>
      <c r="BC68" s="15" t="s">
        <v>1504</v>
      </c>
      <c r="BD68" s="15" t="s">
        <v>742</v>
      </c>
      <c r="BE68" s="15" t="str">
        <f t="shared" si="75"/>
        <v>1</v>
      </c>
      <c r="BF68" s="15" t="s">
        <v>416</v>
      </c>
      <c r="BG68" s="15" t="str">
        <f t="shared" ref="BG68:BG69" si="111">"35.83"</f>
        <v>35.83</v>
      </c>
      <c r="BH68" s="15" t="s">
        <v>1505</v>
      </c>
      <c r="BI68" s="15" t="str">
        <f t="shared" ref="BI68:BI69" si="112">"21.65"</f>
        <v>21.65</v>
      </c>
      <c r="BJ68" s="15" t="s">
        <v>1506</v>
      </c>
      <c r="BK68" s="15" t="str">
        <f t="shared" ref="BK68:BK69" si="113">"29.53"</f>
        <v>29.53</v>
      </c>
      <c r="BL68" s="15" t="s">
        <v>1062</v>
      </c>
      <c r="BM68" s="15" t="str">
        <f>"99.21"</f>
        <v>99.21</v>
      </c>
      <c r="BN68" s="15" t="s">
        <v>1507</v>
      </c>
      <c r="BQ68" s="15" t="s">
        <v>444</v>
      </c>
      <c r="BS68" s="15" t="s">
        <v>444</v>
      </c>
      <c r="BU68" s="15" t="s">
        <v>444</v>
      </c>
      <c r="BW68" s="15" t="s">
        <v>444</v>
      </c>
      <c r="BZ68" s="15" t="s">
        <v>444</v>
      </c>
      <c r="CB68" s="15" t="s">
        <v>444</v>
      </c>
      <c r="CD68" s="15" t="s">
        <v>444</v>
      </c>
      <c r="CF68" s="15" t="s">
        <v>444</v>
      </c>
      <c r="CI68" s="15" t="s">
        <v>444</v>
      </c>
      <c r="CK68" s="15" t="s">
        <v>444</v>
      </c>
      <c r="CM68" s="15" t="s">
        <v>444</v>
      </c>
      <c r="CO68" s="15" t="s">
        <v>444</v>
      </c>
      <c r="CP68" s="15" t="str">
        <f t="shared" ref="CP68:CP69" si="114">"13.24"</f>
        <v>13.24</v>
      </c>
      <c r="CQ68" s="15" t="str">
        <f t="shared" ref="CQ68:CQ69" si="115">"0.375"</f>
        <v>0.375</v>
      </c>
      <c r="CR68" s="15" t="s">
        <v>497</v>
      </c>
      <c r="CV68" s="15" t="s">
        <v>1430</v>
      </c>
      <c r="CW68" s="15" t="s">
        <v>1508</v>
      </c>
      <c r="CX68" s="15" t="s">
        <v>1460</v>
      </c>
      <c r="DC68" s="15" t="str">
        <f>IFERROR(__xludf.DUMMYFUNCTION("""COMPUTED_VALUE"""),"")</f>
        <v/>
      </c>
      <c r="DE68" s="15" t="str">
        <f>IFERROR(__xludf.DUMMYFUNCTION("""COMPUTED_VALUE"""),"")</f>
        <v/>
      </c>
      <c r="DG68" s="15" t="str">
        <f>IFERROR(__xludf.DUMMYFUNCTION("""COMPUTED_VALUE"""),"")</f>
        <v/>
      </c>
      <c r="DL68" s="15" t="str">
        <f>IFERROR(__xludf.DUMMYFUNCTION("""COMPUTED_VALUE"""),"")</f>
        <v/>
      </c>
      <c r="DM68" s="15" t="s">
        <v>444</v>
      </c>
      <c r="DN68" s="15" t="s">
        <v>418</v>
      </c>
      <c r="DO68" s="15">
        <v>1.0</v>
      </c>
      <c r="DP68" s="15" t="s">
        <v>419</v>
      </c>
      <c r="DR68" s="15">
        <v>0.0</v>
      </c>
      <c r="DT68" s="15" t="s">
        <v>1509</v>
      </c>
      <c r="DU68" s="15" t="s">
        <v>610</v>
      </c>
      <c r="DY68" s="15">
        <v>1.0</v>
      </c>
      <c r="EF68" s="15" t="s">
        <v>1112</v>
      </c>
      <c r="EG68" s="15" t="s">
        <v>1113</v>
      </c>
      <c r="EH68" s="15" t="s">
        <v>1510</v>
      </c>
      <c r="EJ68" s="15" t="s">
        <v>500</v>
      </c>
      <c r="EK68" s="15" t="s">
        <v>501</v>
      </c>
      <c r="EM68" s="15" t="str">
        <f>IFERROR(__xludf.DUMMYFUNCTION("""COMPUTED_VALUE"""),"")</f>
        <v/>
      </c>
      <c r="EW68" s="15" t="s">
        <v>1042</v>
      </c>
      <c r="FL68" s="15" t="s">
        <v>426</v>
      </c>
      <c r="FM68" s="15">
        <v>1.0</v>
      </c>
      <c r="FY68" s="15" t="s">
        <v>1511</v>
      </c>
      <c r="FZ68" s="15" t="s">
        <v>1512</v>
      </c>
      <c r="GA68" s="15" t="s">
        <v>1513</v>
      </c>
      <c r="GB68" s="15" t="s">
        <v>1514</v>
      </c>
      <c r="GC68" s="15" t="s">
        <v>1512</v>
      </c>
      <c r="GD68" s="15" t="s">
        <v>1515</v>
      </c>
      <c r="GF68" s="15" t="s">
        <v>426</v>
      </c>
      <c r="GG68" s="15" t="s">
        <v>785</v>
      </c>
      <c r="GH68" s="15">
        <v>2.0</v>
      </c>
      <c r="GI68" s="15" t="s">
        <v>614</v>
      </c>
      <c r="GJ68" s="15" t="s">
        <v>615</v>
      </c>
      <c r="GL68" s="15" t="s">
        <v>426</v>
      </c>
      <c r="GN68" s="15" t="s">
        <v>616</v>
      </c>
      <c r="GO68" s="15" t="s">
        <v>426</v>
      </c>
      <c r="GQ68" s="15" t="s">
        <v>760</v>
      </c>
      <c r="GS68" s="15" t="s">
        <v>1516</v>
      </c>
      <c r="GU68" s="15" t="s">
        <v>1014</v>
      </c>
      <c r="GW68" s="15" t="s">
        <v>431</v>
      </c>
      <c r="GY68" s="15" t="s">
        <v>1190</v>
      </c>
      <c r="HW68" s="15" t="s">
        <v>1517</v>
      </c>
      <c r="IH68" s="15" t="s">
        <v>426</v>
      </c>
    </row>
    <row r="69" ht="15.75" customHeight="1">
      <c r="A69" s="14" t="s">
        <v>391</v>
      </c>
      <c r="B69" s="15" t="s">
        <v>1495</v>
      </c>
      <c r="C69" s="16"/>
      <c r="D69" s="15" t="s">
        <v>432</v>
      </c>
      <c r="G69" s="14" t="s">
        <v>393</v>
      </c>
      <c r="H69" s="14" t="s">
        <v>394</v>
      </c>
      <c r="I69" s="14" t="b">
        <v>1</v>
      </c>
      <c r="J69" s="14" t="s">
        <v>395</v>
      </c>
      <c r="L69" s="14" t="b">
        <v>0</v>
      </c>
      <c r="M69" s="15" t="s">
        <v>1518</v>
      </c>
      <c r="N69" s="14" t="s">
        <v>393</v>
      </c>
      <c r="O69" s="14" t="s">
        <v>393</v>
      </c>
      <c r="P69" s="15" t="s">
        <v>397</v>
      </c>
      <c r="Q69" s="15" t="s">
        <v>1519</v>
      </c>
      <c r="T69" s="14" t="b">
        <v>0</v>
      </c>
      <c r="U69" s="15" t="s">
        <v>1520</v>
      </c>
      <c r="V69" s="15" t="s">
        <v>1521</v>
      </c>
      <c r="W69" s="15" t="s">
        <v>401</v>
      </c>
      <c r="X69" s="15" t="s">
        <v>742</v>
      </c>
      <c r="Y69" s="15">
        <v>1313.0</v>
      </c>
      <c r="AA69" s="15" t="str">
        <f t="shared" si="110"/>
        <v>505</v>
      </c>
      <c r="AB69" s="14" t="b">
        <v>1</v>
      </c>
      <c r="AC69" s="14" t="b">
        <v>1</v>
      </c>
      <c r="AD69" s="15" t="str">
        <f>"801542972561"</f>
        <v>801542972561</v>
      </c>
      <c r="AE69" s="15" t="s">
        <v>1522</v>
      </c>
      <c r="AF69" s="14" t="s">
        <v>404</v>
      </c>
      <c r="AG69" s="14" t="s">
        <v>405</v>
      </c>
      <c r="AH69" s="14" t="s">
        <v>406</v>
      </c>
      <c r="AI69" s="15">
        <v>0.0</v>
      </c>
      <c r="AL69" s="15" t="s">
        <v>1523</v>
      </c>
      <c r="AM69" s="15" t="s">
        <v>546</v>
      </c>
      <c r="AN69" s="15" t="s">
        <v>547</v>
      </c>
      <c r="AO69" s="15" t="s">
        <v>1152</v>
      </c>
      <c r="AP69" s="15" t="s">
        <v>1153</v>
      </c>
      <c r="AQ69" s="15" t="s">
        <v>1177</v>
      </c>
      <c r="AR69" s="15" t="s">
        <v>1178</v>
      </c>
      <c r="AS69" s="15" t="s">
        <v>1502</v>
      </c>
      <c r="AT69" s="15" t="s">
        <v>1519</v>
      </c>
      <c r="AW69" s="15" t="s">
        <v>628</v>
      </c>
      <c r="AY69" s="15" t="s">
        <v>413</v>
      </c>
      <c r="AZ69" s="15" t="b">
        <v>0</v>
      </c>
      <c r="BA69" s="15" t="s">
        <v>413</v>
      </c>
      <c r="BB69" s="15" t="b">
        <v>0</v>
      </c>
      <c r="BC69" s="15" t="s">
        <v>1524</v>
      </c>
      <c r="BD69" s="15" t="s">
        <v>742</v>
      </c>
      <c r="BE69" s="15" t="str">
        <f t="shared" si="75"/>
        <v>1</v>
      </c>
      <c r="BF69" s="15" t="s">
        <v>416</v>
      </c>
      <c r="BG69" s="15" t="str">
        <f t="shared" si="111"/>
        <v>35.83</v>
      </c>
      <c r="BH69" s="15" t="s">
        <v>1505</v>
      </c>
      <c r="BI69" s="15" t="str">
        <f t="shared" si="112"/>
        <v>21.65</v>
      </c>
      <c r="BJ69" s="15" t="s">
        <v>1506</v>
      </c>
      <c r="BK69" s="15" t="str">
        <f t="shared" si="113"/>
        <v>29.53</v>
      </c>
      <c r="BL69" s="15" t="s">
        <v>1062</v>
      </c>
      <c r="BM69" s="15" t="str">
        <f>"90.39"</f>
        <v>90.39</v>
      </c>
      <c r="BN69" s="15" t="s">
        <v>1525</v>
      </c>
      <c r="BQ69" s="15" t="s">
        <v>444</v>
      </c>
      <c r="BS69" s="15" t="s">
        <v>444</v>
      </c>
      <c r="BU69" s="15" t="s">
        <v>444</v>
      </c>
      <c r="BW69" s="15" t="s">
        <v>444</v>
      </c>
      <c r="BZ69" s="15" t="s">
        <v>444</v>
      </c>
      <c r="CB69" s="15" t="s">
        <v>444</v>
      </c>
      <c r="CD69" s="15" t="s">
        <v>444</v>
      </c>
      <c r="CF69" s="15" t="s">
        <v>444</v>
      </c>
      <c r="CI69" s="15" t="s">
        <v>444</v>
      </c>
      <c r="CK69" s="15" t="s">
        <v>444</v>
      </c>
      <c r="CM69" s="15" t="s">
        <v>444</v>
      </c>
      <c r="CO69" s="15" t="s">
        <v>444</v>
      </c>
      <c r="CP69" s="15" t="str">
        <f t="shared" si="114"/>
        <v>13.24</v>
      </c>
      <c r="CQ69" s="15" t="str">
        <f t="shared" si="115"/>
        <v>0.375</v>
      </c>
      <c r="CR69" s="15" t="s">
        <v>497</v>
      </c>
      <c r="CV69" s="15" t="s">
        <v>1430</v>
      </c>
      <c r="CW69" s="15" t="s">
        <v>1508</v>
      </c>
      <c r="CX69" s="15" t="s">
        <v>1460</v>
      </c>
      <c r="DC69" s="15" t="str">
        <f>IFERROR(__xludf.DUMMYFUNCTION("""COMPUTED_VALUE"""),"")</f>
        <v/>
      </c>
      <c r="DE69" s="15" t="str">
        <f>IFERROR(__xludf.DUMMYFUNCTION("""COMPUTED_VALUE"""),"")</f>
        <v/>
      </c>
      <c r="DG69" s="15" t="str">
        <f>IFERROR(__xludf.DUMMYFUNCTION("""COMPUTED_VALUE"""),"")</f>
        <v/>
      </c>
      <c r="DL69" s="15" t="str">
        <f>IFERROR(__xludf.DUMMYFUNCTION("""COMPUTED_VALUE"""),"")</f>
        <v/>
      </c>
      <c r="DM69" s="15" t="s">
        <v>444</v>
      </c>
      <c r="DN69" s="15" t="s">
        <v>418</v>
      </c>
      <c r="DO69" s="15">
        <v>1.0</v>
      </c>
      <c r="DP69" s="15" t="s">
        <v>419</v>
      </c>
      <c r="DR69" s="15">
        <v>0.0</v>
      </c>
      <c r="DT69" s="15" t="s">
        <v>1509</v>
      </c>
      <c r="DU69" s="15" t="s">
        <v>610</v>
      </c>
      <c r="DY69" s="15">
        <v>1.0</v>
      </c>
      <c r="EF69" s="15" t="s">
        <v>1112</v>
      </c>
      <c r="EG69" s="15" t="s">
        <v>1113</v>
      </c>
      <c r="EH69" s="15" t="s">
        <v>1510</v>
      </c>
      <c r="EJ69" s="15" t="s">
        <v>500</v>
      </c>
      <c r="EK69" s="15" t="s">
        <v>501</v>
      </c>
      <c r="EM69" s="15" t="str">
        <f>IFERROR(__xludf.DUMMYFUNCTION("""COMPUTED_VALUE"""),"")</f>
        <v/>
      </c>
      <c r="EW69" s="15" t="s">
        <v>1042</v>
      </c>
      <c r="FL69" s="15" t="s">
        <v>426</v>
      </c>
      <c r="FM69" s="15">
        <v>1.0</v>
      </c>
      <c r="FY69" s="15" t="s">
        <v>1511</v>
      </c>
      <c r="FZ69" s="15" t="s">
        <v>1512</v>
      </c>
      <c r="GA69" s="15" t="s">
        <v>1513</v>
      </c>
      <c r="GB69" s="15" t="s">
        <v>1514</v>
      </c>
      <c r="GC69" s="15" t="s">
        <v>1512</v>
      </c>
      <c r="GD69" s="15" t="s">
        <v>1515</v>
      </c>
      <c r="GF69" s="15" t="s">
        <v>426</v>
      </c>
      <c r="GG69" s="15" t="s">
        <v>785</v>
      </c>
      <c r="GH69" s="15">
        <v>2.0</v>
      </c>
      <c r="GI69" s="15" t="s">
        <v>614</v>
      </c>
      <c r="GJ69" s="15" t="s">
        <v>615</v>
      </c>
      <c r="GL69" s="15" t="s">
        <v>426</v>
      </c>
      <c r="GN69" s="15" t="s">
        <v>616</v>
      </c>
      <c r="GO69" s="15" t="s">
        <v>426</v>
      </c>
      <c r="GQ69" s="15" t="s">
        <v>760</v>
      </c>
      <c r="GS69" s="15" t="s">
        <v>1516</v>
      </c>
      <c r="GU69" s="15" t="s">
        <v>1014</v>
      </c>
      <c r="GW69" s="15" t="s">
        <v>431</v>
      </c>
      <c r="GY69" s="15" t="s">
        <v>1190</v>
      </c>
      <c r="HW69" s="15" t="s">
        <v>1517</v>
      </c>
      <c r="IH69" s="15" t="s">
        <v>426</v>
      </c>
    </row>
    <row r="70" ht="15.75" customHeight="1">
      <c r="A70" s="14" t="s">
        <v>391</v>
      </c>
      <c r="B70" s="15" t="s">
        <v>1526</v>
      </c>
      <c r="C70" s="16"/>
      <c r="D70" s="15" t="s">
        <v>432</v>
      </c>
      <c r="G70" s="14" t="s">
        <v>393</v>
      </c>
      <c r="H70" s="14" t="s">
        <v>394</v>
      </c>
      <c r="I70" s="14" t="b">
        <v>1</v>
      </c>
      <c r="J70" s="14" t="s">
        <v>395</v>
      </c>
      <c r="L70" s="14" t="b">
        <v>0</v>
      </c>
      <c r="M70" s="15" t="s">
        <v>1527</v>
      </c>
      <c r="N70" s="14" t="s">
        <v>393</v>
      </c>
      <c r="O70" s="14" t="s">
        <v>393</v>
      </c>
      <c r="P70" s="15" t="s">
        <v>397</v>
      </c>
      <c r="Q70" s="15" t="s">
        <v>1528</v>
      </c>
      <c r="T70" s="14" t="b">
        <v>0</v>
      </c>
      <c r="U70" s="15" t="s">
        <v>1529</v>
      </c>
      <c r="V70" s="15" t="s">
        <v>1530</v>
      </c>
      <c r="W70" s="15" t="s">
        <v>401</v>
      </c>
      <c r="X70" s="15" t="s">
        <v>742</v>
      </c>
      <c r="Y70" s="15">
        <v>1092.0</v>
      </c>
      <c r="AA70" s="15" t="str">
        <f>"420"</f>
        <v>420</v>
      </c>
      <c r="AB70" s="14" t="b">
        <v>1</v>
      </c>
      <c r="AC70" s="14" t="b">
        <v>1</v>
      </c>
      <c r="AD70" s="15" t="str">
        <f>"801542376949"</f>
        <v>801542376949</v>
      </c>
      <c r="AE70" s="15" t="s">
        <v>1531</v>
      </c>
      <c r="AF70" s="14" t="s">
        <v>404</v>
      </c>
      <c r="AG70" s="14" t="s">
        <v>405</v>
      </c>
      <c r="AH70" s="14" t="s">
        <v>406</v>
      </c>
      <c r="AI70" s="15">
        <v>0.0</v>
      </c>
      <c r="AL70" s="15" t="s">
        <v>1532</v>
      </c>
      <c r="AM70" s="15" t="s">
        <v>1533</v>
      </c>
      <c r="AN70" s="15" t="s">
        <v>1534</v>
      </c>
      <c r="AO70" s="15" t="s">
        <v>1535</v>
      </c>
      <c r="AP70" s="15" t="s">
        <v>1536</v>
      </c>
      <c r="AQ70" s="15" t="s">
        <v>1537</v>
      </c>
      <c r="AR70" s="15" t="s">
        <v>1538</v>
      </c>
      <c r="AS70" s="15" t="s">
        <v>1539</v>
      </c>
      <c r="AT70" s="15" t="s">
        <v>1528</v>
      </c>
      <c r="AU70" s="15" t="s">
        <v>1540</v>
      </c>
      <c r="AW70" s="15" t="s">
        <v>458</v>
      </c>
      <c r="AX70" s="15" t="s">
        <v>459</v>
      </c>
      <c r="AY70" s="15" t="s">
        <v>413</v>
      </c>
      <c r="AZ70" s="15" t="b">
        <v>0</v>
      </c>
      <c r="BA70" s="15" t="s">
        <v>413</v>
      </c>
      <c r="BB70" s="15" t="b">
        <v>0</v>
      </c>
      <c r="BC70" s="15" t="s">
        <v>1541</v>
      </c>
      <c r="BD70" s="15" t="s">
        <v>742</v>
      </c>
      <c r="BE70" s="15" t="str">
        <f t="shared" si="75"/>
        <v>1</v>
      </c>
      <c r="BF70" s="15" t="s">
        <v>416</v>
      </c>
      <c r="BG70" s="15" t="str">
        <f>"58.07"</f>
        <v>58.07</v>
      </c>
      <c r="BH70" s="15" t="s">
        <v>1542</v>
      </c>
      <c r="BI70" s="15" t="str">
        <f>"24.02"</f>
        <v>24.02</v>
      </c>
      <c r="BJ70" s="15" t="s">
        <v>755</v>
      </c>
      <c r="BK70" s="15" t="str">
        <f>"22.83"</f>
        <v>22.83</v>
      </c>
      <c r="BL70" s="15" t="s">
        <v>1543</v>
      </c>
      <c r="BM70" s="15" t="str">
        <f>"59.52"</f>
        <v>59.52</v>
      </c>
      <c r="BN70" s="15" t="s">
        <v>854</v>
      </c>
      <c r="BQ70" s="15" t="s">
        <v>444</v>
      </c>
      <c r="BS70" s="15" t="s">
        <v>444</v>
      </c>
      <c r="BU70" s="15" t="s">
        <v>444</v>
      </c>
      <c r="BW70" s="15" t="s">
        <v>444</v>
      </c>
      <c r="BZ70" s="15" t="s">
        <v>444</v>
      </c>
      <c r="CB70" s="15" t="s">
        <v>444</v>
      </c>
      <c r="CD70" s="15" t="s">
        <v>444</v>
      </c>
      <c r="CF70" s="15" t="s">
        <v>444</v>
      </c>
      <c r="CI70" s="15" t="s">
        <v>444</v>
      </c>
      <c r="CK70" s="15" t="s">
        <v>444</v>
      </c>
      <c r="CM70" s="15" t="s">
        <v>444</v>
      </c>
      <c r="CO70" s="15" t="s">
        <v>444</v>
      </c>
      <c r="CP70" s="15" t="str">
        <f>"18.43"</f>
        <v>18.43</v>
      </c>
      <c r="CQ70" s="15" t="str">
        <f>"0.522"</f>
        <v>0.522</v>
      </c>
      <c r="CR70" s="15" t="s">
        <v>417</v>
      </c>
      <c r="DB70" s="15" t="s">
        <v>716</v>
      </c>
      <c r="DC70" s="15" t="str">
        <f>IFERROR(__xludf.DUMMYFUNCTION("""COMPUTED_VALUE"""),"{""value"":18.11,""unit"":""in""}")</f>
        <v>{"value":18.11,"unit":"in"}</v>
      </c>
      <c r="DD70" s="15" t="s">
        <v>716</v>
      </c>
      <c r="DE70" s="15" t="str">
        <f>IFERROR(__xludf.DUMMYFUNCTION("""COMPUTED_VALUE"""),"{""value"":18.11,""unit"":""in""}")</f>
        <v>{"value":18.11,"unit":"in"}</v>
      </c>
      <c r="DG70" s="15" t="str">
        <f>IFERROR(__xludf.DUMMYFUNCTION("""COMPUTED_VALUE"""),"")</f>
        <v/>
      </c>
      <c r="DH70" s="15">
        <v>0.0</v>
      </c>
      <c r="DI70" s="15">
        <v>0.0</v>
      </c>
      <c r="DJ70" s="15" t="s">
        <v>717</v>
      </c>
      <c r="DL70" s="15" t="str">
        <f>IFERROR(__xludf.DUMMYFUNCTION("""COMPUTED_VALUE"""),"")</f>
        <v/>
      </c>
      <c r="DM70" s="15" t="s">
        <v>444</v>
      </c>
      <c r="DN70" s="15" t="s">
        <v>419</v>
      </c>
      <c r="DO70" s="15">
        <v>0.0</v>
      </c>
      <c r="DP70" s="15" t="s">
        <v>419</v>
      </c>
      <c r="DR70" s="15">
        <v>0.0</v>
      </c>
      <c r="DT70" s="15" t="s">
        <v>721</v>
      </c>
      <c r="DU70" s="15" t="s">
        <v>419</v>
      </c>
      <c r="DV70" s="15">
        <v>0.0</v>
      </c>
      <c r="DW70" s="15">
        <v>0.0</v>
      </c>
      <c r="DX70" s="15">
        <v>0.0</v>
      </c>
      <c r="DY70" s="15">
        <v>0.0</v>
      </c>
      <c r="EA70" s="15" t="s">
        <v>470</v>
      </c>
      <c r="ED70" s="15">
        <v>0.0</v>
      </c>
      <c r="EE70" s="15">
        <v>2.0</v>
      </c>
      <c r="EF70" s="15" t="s">
        <v>471</v>
      </c>
      <c r="EG70" s="15" t="s">
        <v>472</v>
      </c>
      <c r="EH70" s="15" t="s">
        <v>1544</v>
      </c>
      <c r="EI70" s="15">
        <v>0.0</v>
      </c>
      <c r="EJ70" s="15" t="s">
        <v>1545</v>
      </c>
      <c r="EK70" s="15" t="s">
        <v>1546</v>
      </c>
      <c r="EL70" s="15" t="s">
        <v>1461</v>
      </c>
      <c r="EM70" s="15" t="str">
        <f>IFERROR(__xludf.DUMMYFUNCTION("""COMPUTED_VALUE"""),"{""value"":27.32,""unit"":""in""}")</f>
        <v>{"value":27.32,"unit":"in"}</v>
      </c>
      <c r="EN70" s="15" t="s">
        <v>1547</v>
      </c>
      <c r="EO70" s="15" t="s">
        <v>1548</v>
      </c>
      <c r="ES70" s="15" t="s">
        <v>1042</v>
      </c>
      <c r="EW70" s="15" t="s">
        <v>1549</v>
      </c>
      <c r="EX70" s="15" t="s">
        <v>1550</v>
      </c>
      <c r="EY70" s="15" t="s">
        <v>1551</v>
      </c>
      <c r="EZ70" s="15" t="s">
        <v>1070</v>
      </c>
      <c r="FO70" s="15" t="s">
        <v>1552</v>
      </c>
      <c r="FP70" s="15" t="s">
        <v>1553</v>
      </c>
    </row>
    <row r="71" ht="15.75" customHeight="1">
      <c r="A71" s="14" t="s">
        <v>391</v>
      </c>
      <c r="B71" s="15" t="s">
        <v>1554</v>
      </c>
      <c r="C71" s="16"/>
      <c r="D71" s="15" t="s">
        <v>432</v>
      </c>
      <c r="G71" s="14" t="s">
        <v>393</v>
      </c>
      <c r="H71" s="14" t="s">
        <v>394</v>
      </c>
      <c r="I71" s="14" t="b">
        <v>1</v>
      </c>
      <c r="J71" s="14" t="s">
        <v>395</v>
      </c>
      <c r="L71" s="14" t="b">
        <v>0</v>
      </c>
      <c r="M71" s="15" t="s">
        <v>1555</v>
      </c>
      <c r="N71" s="14" t="s">
        <v>393</v>
      </c>
      <c r="O71" s="14" t="s">
        <v>393</v>
      </c>
      <c r="P71" s="15" t="s">
        <v>397</v>
      </c>
      <c r="Q71" s="15" t="s">
        <v>1556</v>
      </c>
      <c r="T71" s="14" t="b">
        <v>0</v>
      </c>
      <c r="U71" s="15" t="s">
        <v>1557</v>
      </c>
      <c r="V71" s="15" t="s">
        <v>1558</v>
      </c>
      <c r="W71" s="15" t="s">
        <v>401</v>
      </c>
      <c r="X71" s="15" t="s">
        <v>402</v>
      </c>
      <c r="Y71" s="15">
        <v>2847.0</v>
      </c>
      <c r="AA71" s="15" t="str">
        <f t="shared" ref="AA71:AA72" si="116">"1095"</f>
        <v>1095</v>
      </c>
      <c r="AB71" s="14" t="b">
        <v>1</v>
      </c>
      <c r="AC71" s="14" t="b">
        <v>1</v>
      </c>
      <c r="AD71" s="15" t="str">
        <f>"801542834258"</f>
        <v>801542834258</v>
      </c>
      <c r="AE71" s="15" t="s">
        <v>1559</v>
      </c>
      <c r="AF71" s="14" t="s">
        <v>404</v>
      </c>
      <c r="AG71" s="14" t="s">
        <v>405</v>
      </c>
      <c r="AH71" s="14" t="s">
        <v>406</v>
      </c>
      <c r="AI71" s="15">
        <v>0.0</v>
      </c>
      <c r="AL71" s="15" t="s">
        <v>1560</v>
      </c>
      <c r="AM71" s="15" t="s">
        <v>770</v>
      </c>
      <c r="AN71" s="15" t="s">
        <v>771</v>
      </c>
      <c r="AO71" s="15" t="s">
        <v>1561</v>
      </c>
      <c r="AP71" s="15" t="s">
        <v>1562</v>
      </c>
      <c r="AQ71" s="15" t="s">
        <v>546</v>
      </c>
      <c r="AR71" s="15" t="s">
        <v>547</v>
      </c>
      <c r="AS71" s="15" t="s">
        <v>411</v>
      </c>
      <c r="AT71" s="15" t="s">
        <v>1556</v>
      </c>
      <c r="AW71" s="15" t="s">
        <v>519</v>
      </c>
      <c r="AY71" s="15" t="s">
        <v>413</v>
      </c>
      <c r="AZ71" s="15" t="b">
        <v>0</v>
      </c>
      <c r="BA71" s="15" t="s">
        <v>413</v>
      </c>
      <c r="BB71" s="15" t="b">
        <v>0</v>
      </c>
      <c r="BC71" s="15" t="s">
        <v>1563</v>
      </c>
      <c r="BD71" s="15" t="s">
        <v>415</v>
      </c>
      <c r="BE71" s="15" t="str">
        <f t="shared" ref="BE71:BE73" si="117">"2"</f>
        <v>2</v>
      </c>
      <c r="BF71" s="15" t="s">
        <v>1564</v>
      </c>
      <c r="BG71" s="15" t="str">
        <f t="shared" ref="BG71:BG72" si="118">"101.18"</f>
        <v>101.18</v>
      </c>
      <c r="BH71" s="15" t="s">
        <v>1565</v>
      </c>
      <c r="BI71" s="15" t="str">
        <f t="shared" ref="BI71:BI73" si="119">"7.87"</f>
        <v>7.87</v>
      </c>
      <c r="BJ71" s="15" t="s">
        <v>923</v>
      </c>
      <c r="BK71" s="15" t="str">
        <f t="shared" ref="BK71:BK72" si="120">"29.13"</f>
        <v>29.13</v>
      </c>
      <c r="BL71" s="15" t="s">
        <v>1566</v>
      </c>
      <c r="BM71" s="15" t="str">
        <f t="shared" ref="BM71:BM72" si="121">"109.13"</f>
        <v>109.13</v>
      </c>
      <c r="BN71" s="15" t="s">
        <v>1567</v>
      </c>
      <c r="BO71" s="15" t="s">
        <v>1568</v>
      </c>
      <c r="BP71" s="15" t="str">
        <f t="shared" ref="BP71:BP72" si="122">"43.78"</f>
        <v>43.78</v>
      </c>
      <c r="BQ71" s="15" t="s">
        <v>1569</v>
      </c>
      <c r="BR71" s="15" t="str">
        <f t="shared" ref="BR71:BR72" si="123">"23.62"</f>
        <v>23.62</v>
      </c>
      <c r="BS71" s="15" t="s">
        <v>1570</v>
      </c>
      <c r="BT71" s="15" t="str">
        <f t="shared" ref="BT71:BT72" si="124">"34.06"</f>
        <v>34.06</v>
      </c>
      <c r="BU71" s="15" t="s">
        <v>1571</v>
      </c>
      <c r="BV71" s="15" t="str">
        <f t="shared" ref="BV71:BV72" si="125">"93.7"</f>
        <v>93.7</v>
      </c>
      <c r="BW71" s="15" t="s">
        <v>1572</v>
      </c>
      <c r="BZ71" s="15" t="s">
        <v>444</v>
      </c>
      <c r="CB71" s="15" t="s">
        <v>444</v>
      </c>
      <c r="CD71" s="15" t="s">
        <v>444</v>
      </c>
      <c r="CF71" s="15" t="s">
        <v>444</v>
      </c>
      <c r="CI71" s="15" t="s">
        <v>444</v>
      </c>
      <c r="CK71" s="15" t="s">
        <v>444</v>
      </c>
      <c r="CM71" s="15" t="s">
        <v>444</v>
      </c>
      <c r="CO71" s="15" t="s">
        <v>444</v>
      </c>
      <c r="CP71" s="15" t="str">
        <f t="shared" ref="CP71:CP72" si="126">"33.8"</f>
        <v>33.8</v>
      </c>
      <c r="CQ71" s="15" t="str">
        <f t="shared" ref="CQ71:CQ72" si="127">"0.957"</f>
        <v>0.957</v>
      </c>
      <c r="CR71" s="15" t="s">
        <v>465</v>
      </c>
      <c r="DC71" s="15" t="str">
        <f>IFERROR(__xludf.DUMMYFUNCTION("""COMPUTED_VALUE"""),"")</f>
        <v/>
      </c>
      <c r="DE71" s="15" t="str">
        <f>IFERROR(__xludf.DUMMYFUNCTION("""COMPUTED_VALUE"""),"")</f>
        <v/>
      </c>
      <c r="DG71" s="15" t="str">
        <f>IFERROR(__xludf.DUMMYFUNCTION("""COMPUTED_VALUE"""),"")</f>
        <v/>
      </c>
      <c r="DL71" s="15" t="str">
        <f>IFERROR(__xludf.DUMMYFUNCTION("""COMPUTED_VALUE"""),"")</f>
        <v/>
      </c>
      <c r="DM71" s="15" t="s">
        <v>444</v>
      </c>
      <c r="DN71" s="15" t="s">
        <v>419</v>
      </c>
      <c r="DO71" s="15">
        <v>0.0</v>
      </c>
      <c r="DP71" s="15" t="s">
        <v>419</v>
      </c>
      <c r="DR71" s="15">
        <v>0.0</v>
      </c>
      <c r="DT71" s="15" t="s">
        <v>420</v>
      </c>
      <c r="DU71" s="15" t="s">
        <v>419</v>
      </c>
      <c r="DY71" s="15">
        <v>0.0</v>
      </c>
      <c r="EF71" s="15" t="s">
        <v>471</v>
      </c>
      <c r="EG71" s="15" t="s">
        <v>472</v>
      </c>
      <c r="EH71" s="15" t="s">
        <v>1573</v>
      </c>
      <c r="EJ71" s="15" t="s">
        <v>424</v>
      </c>
      <c r="EK71" s="15" t="s">
        <v>446</v>
      </c>
      <c r="EM71" s="15" t="str">
        <f>IFERROR(__xludf.DUMMYFUNCTION("""COMPUTED_VALUE"""),"")</f>
        <v/>
      </c>
      <c r="EW71" s="15" t="s">
        <v>1574</v>
      </c>
      <c r="EY71" s="15" t="s">
        <v>1575</v>
      </c>
      <c r="FH71" s="15" t="s">
        <v>1213</v>
      </c>
      <c r="FI71" s="15" t="s">
        <v>1574</v>
      </c>
      <c r="FJ71" s="15" t="s">
        <v>1213</v>
      </c>
      <c r="FK71" s="15" t="s">
        <v>672</v>
      </c>
      <c r="FL71" s="15" t="s">
        <v>426</v>
      </c>
      <c r="FM71" s="15">
        <v>0.0</v>
      </c>
      <c r="FN71" s="15">
        <v>0.0</v>
      </c>
      <c r="FW71" s="15" t="s">
        <v>1576</v>
      </c>
      <c r="GH71" s="15">
        <v>0.0</v>
      </c>
      <c r="GI71" s="15" t="s">
        <v>427</v>
      </c>
    </row>
    <row r="72" ht="15.75" customHeight="1">
      <c r="A72" s="14" t="s">
        <v>391</v>
      </c>
      <c r="B72" s="15" t="s">
        <v>1554</v>
      </c>
      <c r="C72" s="16"/>
      <c r="D72" s="15" t="s">
        <v>432</v>
      </c>
      <c r="G72" s="14" t="s">
        <v>393</v>
      </c>
      <c r="H72" s="14" t="s">
        <v>394</v>
      </c>
      <c r="I72" s="14" t="b">
        <v>1</v>
      </c>
      <c r="J72" s="14" t="s">
        <v>395</v>
      </c>
      <c r="L72" s="14" t="b">
        <v>0</v>
      </c>
      <c r="M72" s="15" t="s">
        <v>1577</v>
      </c>
      <c r="N72" s="14" t="s">
        <v>393</v>
      </c>
      <c r="O72" s="14" t="s">
        <v>393</v>
      </c>
      <c r="P72" s="15" t="s">
        <v>397</v>
      </c>
      <c r="Q72" s="15" t="s">
        <v>1578</v>
      </c>
      <c r="R72" s="15" t="s">
        <v>265</v>
      </c>
      <c r="S72" s="15" t="s">
        <v>770</v>
      </c>
      <c r="T72" s="14" t="b">
        <v>0</v>
      </c>
      <c r="U72" s="15" t="s">
        <v>1579</v>
      </c>
      <c r="V72" s="15" t="s">
        <v>1580</v>
      </c>
      <c r="W72" s="15" t="s">
        <v>401</v>
      </c>
      <c r="X72" s="15" t="s">
        <v>402</v>
      </c>
      <c r="Y72" s="15">
        <v>2847.0</v>
      </c>
      <c r="AA72" s="15" t="str">
        <f t="shared" si="116"/>
        <v>1095</v>
      </c>
      <c r="AB72" s="14" t="b">
        <v>1</v>
      </c>
      <c r="AC72" s="14" t="b">
        <v>1</v>
      </c>
      <c r="AD72" s="15" t="str">
        <f>"801542236939"</f>
        <v>801542236939</v>
      </c>
      <c r="AE72" s="15" t="s">
        <v>1581</v>
      </c>
      <c r="AF72" s="14" t="s">
        <v>404</v>
      </c>
      <c r="AG72" s="14" t="s">
        <v>405</v>
      </c>
      <c r="AH72" s="14" t="s">
        <v>406</v>
      </c>
      <c r="AI72" s="15">
        <v>0.0</v>
      </c>
      <c r="AL72" s="15" t="s">
        <v>1560</v>
      </c>
      <c r="AM72" s="15" t="s">
        <v>770</v>
      </c>
      <c r="AN72" s="15" t="s">
        <v>771</v>
      </c>
      <c r="AO72" s="15" t="s">
        <v>1561</v>
      </c>
      <c r="AP72" s="15" t="s">
        <v>1562</v>
      </c>
      <c r="AQ72" s="15" t="s">
        <v>546</v>
      </c>
      <c r="AR72" s="15" t="s">
        <v>547</v>
      </c>
      <c r="AS72" s="15" t="s">
        <v>411</v>
      </c>
      <c r="AT72" s="15" t="s">
        <v>1578</v>
      </c>
      <c r="AW72" s="15" t="s">
        <v>519</v>
      </c>
      <c r="AY72" s="15" t="s">
        <v>413</v>
      </c>
      <c r="AZ72" s="15" t="b">
        <v>0</v>
      </c>
      <c r="BA72" s="15" t="s">
        <v>413</v>
      </c>
      <c r="BB72" s="15" t="b">
        <v>0</v>
      </c>
      <c r="BC72" s="15" t="s">
        <v>1582</v>
      </c>
      <c r="BD72" s="15" t="s">
        <v>415</v>
      </c>
      <c r="BE72" s="15" t="str">
        <f t="shared" si="117"/>
        <v>2</v>
      </c>
      <c r="BF72" s="15" t="s">
        <v>1564</v>
      </c>
      <c r="BG72" s="15" t="str">
        <f t="shared" si="118"/>
        <v>101.18</v>
      </c>
      <c r="BH72" s="15" t="s">
        <v>1565</v>
      </c>
      <c r="BI72" s="15" t="str">
        <f t="shared" si="119"/>
        <v>7.87</v>
      </c>
      <c r="BJ72" s="15" t="s">
        <v>923</v>
      </c>
      <c r="BK72" s="15" t="str">
        <f t="shared" si="120"/>
        <v>29.13</v>
      </c>
      <c r="BL72" s="15" t="s">
        <v>1566</v>
      </c>
      <c r="BM72" s="15" t="str">
        <f t="shared" si="121"/>
        <v>109.13</v>
      </c>
      <c r="BN72" s="15" t="s">
        <v>1567</v>
      </c>
      <c r="BO72" s="15" t="s">
        <v>1568</v>
      </c>
      <c r="BP72" s="15" t="str">
        <f t="shared" si="122"/>
        <v>43.78</v>
      </c>
      <c r="BQ72" s="15" t="s">
        <v>1569</v>
      </c>
      <c r="BR72" s="15" t="str">
        <f t="shared" si="123"/>
        <v>23.62</v>
      </c>
      <c r="BS72" s="15" t="s">
        <v>1570</v>
      </c>
      <c r="BT72" s="15" t="str">
        <f t="shared" si="124"/>
        <v>34.06</v>
      </c>
      <c r="BU72" s="15" t="s">
        <v>1571</v>
      </c>
      <c r="BV72" s="15" t="str">
        <f t="shared" si="125"/>
        <v>93.7</v>
      </c>
      <c r="BW72" s="15" t="s">
        <v>1572</v>
      </c>
      <c r="BZ72" s="15" t="s">
        <v>444</v>
      </c>
      <c r="CB72" s="15" t="s">
        <v>444</v>
      </c>
      <c r="CD72" s="15" t="s">
        <v>444</v>
      </c>
      <c r="CF72" s="15" t="s">
        <v>444</v>
      </c>
      <c r="CI72" s="15" t="s">
        <v>444</v>
      </c>
      <c r="CK72" s="15" t="s">
        <v>444</v>
      </c>
      <c r="CM72" s="15" t="s">
        <v>444</v>
      </c>
      <c r="CO72" s="15" t="s">
        <v>444</v>
      </c>
      <c r="CP72" s="15" t="str">
        <f t="shared" si="126"/>
        <v>33.8</v>
      </c>
      <c r="CQ72" s="15" t="str">
        <f t="shared" si="127"/>
        <v>0.957</v>
      </c>
      <c r="CR72" s="15" t="s">
        <v>465</v>
      </c>
      <c r="DC72" s="15" t="str">
        <f>IFERROR(__xludf.DUMMYFUNCTION("""COMPUTED_VALUE"""),"")</f>
        <v/>
      </c>
      <c r="DE72" s="15" t="str">
        <f>IFERROR(__xludf.DUMMYFUNCTION("""COMPUTED_VALUE"""),"")</f>
        <v/>
      </c>
      <c r="DG72" s="15" t="str">
        <f>IFERROR(__xludf.DUMMYFUNCTION("""COMPUTED_VALUE"""),"")</f>
        <v/>
      </c>
      <c r="DL72" s="15" t="str">
        <f>IFERROR(__xludf.DUMMYFUNCTION("""COMPUTED_VALUE"""),"")</f>
        <v/>
      </c>
      <c r="DM72" s="15" t="s">
        <v>444</v>
      </c>
      <c r="DN72" s="15" t="s">
        <v>419</v>
      </c>
      <c r="DO72" s="15">
        <v>0.0</v>
      </c>
      <c r="DP72" s="15" t="s">
        <v>419</v>
      </c>
      <c r="DR72" s="15">
        <v>0.0</v>
      </c>
      <c r="DT72" s="15" t="s">
        <v>420</v>
      </c>
      <c r="DU72" s="15" t="s">
        <v>419</v>
      </c>
      <c r="DY72" s="15">
        <v>0.0</v>
      </c>
      <c r="EF72" s="15" t="s">
        <v>471</v>
      </c>
      <c r="EG72" s="15" t="s">
        <v>472</v>
      </c>
      <c r="EH72" s="15" t="s">
        <v>1573</v>
      </c>
      <c r="EJ72" s="15" t="s">
        <v>424</v>
      </c>
      <c r="EK72" s="15" t="s">
        <v>446</v>
      </c>
      <c r="EM72" s="15" t="str">
        <f>IFERROR(__xludf.DUMMYFUNCTION("""COMPUTED_VALUE"""),"")</f>
        <v/>
      </c>
      <c r="EW72" s="15" t="s">
        <v>1574</v>
      </c>
      <c r="EY72" s="15" t="s">
        <v>1575</v>
      </c>
      <c r="FH72" s="15" t="s">
        <v>1213</v>
      </c>
      <c r="FI72" s="15" t="s">
        <v>1574</v>
      </c>
      <c r="FJ72" s="15" t="s">
        <v>1213</v>
      </c>
      <c r="FK72" s="15" t="s">
        <v>672</v>
      </c>
      <c r="FL72" s="15" t="s">
        <v>426</v>
      </c>
      <c r="FM72" s="15">
        <v>0.0</v>
      </c>
      <c r="FN72" s="15">
        <v>0.0</v>
      </c>
      <c r="FW72" s="15" t="s">
        <v>1576</v>
      </c>
      <c r="GH72" s="15">
        <v>0.0</v>
      </c>
      <c r="GI72" s="15" t="s">
        <v>427</v>
      </c>
    </row>
    <row r="73" ht="15.75" customHeight="1">
      <c r="A73" s="14" t="s">
        <v>391</v>
      </c>
      <c r="B73" s="15" t="s">
        <v>1554</v>
      </c>
      <c r="C73" s="16"/>
      <c r="D73" s="15" t="s">
        <v>432</v>
      </c>
      <c r="G73" s="14" t="s">
        <v>393</v>
      </c>
      <c r="H73" s="14" t="s">
        <v>394</v>
      </c>
      <c r="I73" s="14" t="b">
        <v>1</v>
      </c>
      <c r="J73" s="14" t="s">
        <v>395</v>
      </c>
      <c r="L73" s="14" t="b">
        <v>0</v>
      </c>
      <c r="M73" s="15" t="s">
        <v>1583</v>
      </c>
      <c r="N73" s="14" t="s">
        <v>393</v>
      </c>
      <c r="O73" s="14" t="s">
        <v>393</v>
      </c>
      <c r="P73" s="15" t="s">
        <v>397</v>
      </c>
      <c r="Q73" s="15" t="s">
        <v>1578</v>
      </c>
      <c r="R73" s="15" t="s">
        <v>265</v>
      </c>
      <c r="S73" s="15" t="s">
        <v>452</v>
      </c>
      <c r="T73" s="14" t="b">
        <v>0</v>
      </c>
      <c r="U73" s="15" t="s">
        <v>1584</v>
      </c>
      <c r="V73" s="15" t="s">
        <v>1585</v>
      </c>
      <c r="W73" s="15" t="s">
        <v>401</v>
      </c>
      <c r="X73" s="15" t="s">
        <v>402</v>
      </c>
      <c r="Y73" s="15">
        <v>2730.0</v>
      </c>
      <c r="AA73" s="15" t="str">
        <f>"1050"</f>
        <v>1050</v>
      </c>
      <c r="AB73" s="14" t="b">
        <v>1</v>
      </c>
      <c r="AC73" s="14" t="b">
        <v>1</v>
      </c>
      <c r="AD73" s="15" t="str">
        <f>"198394000949"</f>
        <v>198394000949</v>
      </c>
      <c r="AE73" s="15" t="s">
        <v>1586</v>
      </c>
      <c r="AF73" s="14" t="s">
        <v>404</v>
      </c>
      <c r="AG73" s="14" t="s">
        <v>405</v>
      </c>
      <c r="AH73" s="14" t="s">
        <v>406</v>
      </c>
      <c r="AI73" s="15">
        <v>0.0</v>
      </c>
      <c r="AL73" s="15" t="s">
        <v>1560</v>
      </c>
      <c r="AM73" s="15" t="s">
        <v>452</v>
      </c>
      <c r="AN73" s="15" t="s">
        <v>453</v>
      </c>
      <c r="AO73" s="15" t="s">
        <v>1007</v>
      </c>
      <c r="AP73" s="15" t="s">
        <v>1008</v>
      </c>
      <c r="AQ73" s="15" t="s">
        <v>546</v>
      </c>
      <c r="AR73" s="15" t="s">
        <v>547</v>
      </c>
      <c r="AS73" s="15" t="s">
        <v>411</v>
      </c>
      <c r="AT73" s="15" t="s">
        <v>1578</v>
      </c>
      <c r="AW73" s="15" t="s">
        <v>519</v>
      </c>
      <c r="AY73" s="15" t="s">
        <v>413</v>
      </c>
      <c r="AZ73" s="15" t="b">
        <v>0</v>
      </c>
      <c r="BA73" s="15" t="s">
        <v>413</v>
      </c>
      <c r="BB73" s="15" t="b">
        <v>0</v>
      </c>
      <c r="BC73" s="15" t="s">
        <v>1587</v>
      </c>
      <c r="BD73" s="15" t="s">
        <v>415</v>
      </c>
      <c r="BE73" s="15" t="str">
        <f t="shared" si="117"/>
        <v>2</v>
      </c>
      <c r="BF73" s="15" t="s">
        <v>1564</v>
      </c>
      <c r="BG73" s="15" t="str">
        <f>"76.38"</f>
        <v>76.38</v>
      </c>
      <c r="BH73" s="15" t="s">
        <v>1588</v>
      </c>
      <c r="BI73" s="15" t="str">
        <f t="shared" si="119"/>
        <v>7.87</v>
      </c>
      <c r="BJ73" s="15" t="s">
        <v>923</v>
      </c>
      <c r="BK73" s="15" t="str">
        <f>"25.2"</f>
        <v>25.2</v>
      </c>
      <c r="BL73" s="15" t="s">
        <v>585</v>
      </c>
      <c r="BM73" s="15" t="str">
        <f>"67.57"</f>
        <v>67.57</v>
      </c>
      <c r="BN73" s="15" t="s">
        <v>1589</v>
      </c>
      <c r="BO73" s="15" t="s">
        <v>1590</v>
      </c>
      <c r="BP73" s="15" t="str">
        <f>"37.8"</f>
        <v>37.8</v>
      </c>
      <c r="BQ73" s="15" t="s">
        <v>756</v>
      </c>
      <c r="BR73" s="15" t="str">
        <f>"20.87"</f>
        <v>20.87</v>
      </c>
      <c r="BS73" s="15" t="s">
        <v>495</v>
      </c>
      <c r="BT73" s="15" t="str">
        <f>"34.65"</f>
        <v>34.65</v>
      </c>
      <c r="BU73" s="15" t="s">
        <v>1229</v>
      </c>
      <c r="BV73" s="15" t="str">
        <f>"84.99"</f>
        <v>84.99</v>
      </c>
      <c r="BW73" s="15" t="s">
        <v>1591</v>
      </c>
      <c r="BZ73" s="15" t="s">
        <v>444</v>
      </c>
      <c r="CB73" s="15" t="s">
        <v>444</v>
      </c>
      <c r="CD73" s="15" t="s">
        <v>444</v>
      </c>
      <c r="CF73" s="15" t="s">
        <v>444</v>
      </c>
      <c r="CI73" s="15" t="s">
        <v>444</v>
      </c>
      <c r="CK73" s="15" t="s">
        <v>444</v>
      </c>
      <c r="CM73" s="15" t="s">
        <v>444</v>
      </c>
      <c r="CO73" s="15" t="s">
        <v>444</v>
      </c>
      <c r="CP73" s="15" t="str">
        <f>"24.58"</f>
        <v>24.58</v>
      </c>
      <c r="CQ73" s="15" t="str">
        <f>"0.696"</f>
        <v>0.696</v>
      </c>
      <c r="CR73" s="15" t="s">
        <v>465</v>
      </c>
      <c r="DC73" s="15" t="str">
        <f>IFERROR(__xludf.DUMMYFUNCTION("""COMPUTED_VALUE"""),"")</f>
        <v/>
      </c>
      <c r="DE73" s="15" t="str">
        <f>IFERROR(__xludf.DUMMYFUNCTION("""COMPUTED_VALUE"""),"")</f>
        <v/>
      </c>
      <c r="DG73" s="15" t="str">
        <f>IFERROR(__xludf.DUMMYFUNCTION("""COMPUTED_VALUE"""),"")</f>
        <v/>
      </c>
      <c r="DL73" s="15" t="str">
        <f>IFERROR(__xludf.DUMMYFUNCTION("""COMPUTED_VALUE"""),"")</f>
        <v/>
      </c>
      <c r="DM73" s="15" t="s">
        <v>444</v>
      </c>
      <c r="DN73" s="15" t="s">
        <v>419</v>
      </c>
      <c r="DO73" s="15">
        <v>0.0</v>
      </c>
      <c r="DP73" s="15" t="s">
        <v>419</v>
      </c>
      <c r="DR73" s="15">
        <v>0.0</v>
      </c>
      <c r="DT73" s="15" t="s">
        <v>420</v>
      </c>
      <c r="DU73" s="15" t="s">
        <v>419</v>
      </c>
      <c r="DY73" s="15">
        <v>0.0</v>
      </c>
      <c r="EF73" s="15" t="s">
        <v>471</v>
      </c>
      <c r="EG73" s="15" t="s">
        <v>472</v>
      </c>
      <c r="EH73" s="15" t="s">
        <v>1573</v>
      </c>
      <c r="EJ73" s="15" t="s">
        <v>500</v>
      </c>
      <c r="EK73" s="15" t="s">
        <v>501</v>
      </c>
      <c r="EM73" s="15" t="str">
        <f>IFERROR(__xludf.DUMMYFUNCTION("""COMPUTED_VALUE"""),"")</f>
        <v/>
      </c>
      <c r="EW73" s="15" t="s">
        <v>1574</v>
      </c>
      <c r="EY73" s="15" t="s">
        <v>467</v>
      </c>
      <c r="FH73" s="15" t="s">
        <v>1592</v>
      </c>
      <c r="FI73" s="15" t="s">
        <v>1574</v>
      </c>
      <c r="FJ73" s="15" t="s">
        <v>1592</v>
      </c>
      <c r="FK73" s="15" t="s">
        <v>672</v>
      </c>
      <c r="FL73" s="15" t="s">
        <v>426</v>
      </c>
      <c r="FM73" s="15">
        <v>0.0</v>
      </c>
      <c r="FN73" s="15">
        <v>0.0</v>
      </c>
      <c r="FW73" s="15" t="s">
        <v>1593</v>
      </c>
      <c r="GH73" s="15">
        <v>0.0</v>
      </c>
      <c r="GI73" s="15" t="s">
        <v>427</v>
      </c>
    </row>
    <row r="74" ht="15.75" customHeight="1">
      <c r="A74" s="14" t="s">
        <v>391</v>
      </c>
      <c r="B74" s="15" t="s">
        <v>1594</v>
      </c>
      <c r="C74" s="16"/>
      <c r="D74" s="15" t="s">
        <v>432</v>
      </c>
      <c r="G74" s="14" t="s">
        <v>393</v>
      </c>
      <c r="H74" s="14" t="s">
        <v>394</v>
      </c>
      <c r="I74" s="14" t="b">
        <v>1</v>
      </c>
      <c r="J74" s="14" t="s">
        <v>395</v>
      </c>
      <c r="L74" s="14" t="b">
        <v>0</v>
      </c>
      <c r="M74" s="15" t="s">
        <v>1595</v>
      </c>
      <c r="N74" s="14" t="s">
        <v>393</v>
      </c>
      <c r="O74" s="14" t="s">
        <v>393</v>
      </c>
      <c r="P74" s="15" t="s">
        <v>397</v>
      </c>
      <c r="Q74" s="15" t="s">
        <v>1596</v>
      </c>
      <c r="T74" s="14" t="b">
        <v>0</v>
      </c>
      <c r="U74" s="15" t="s">
        <v>1597</v>
      </c>
      <c r="V74" s="15" t="s">
        <v>1598</v>
      </c>
      <c r="W74" s="15" t="s">
        <v>401</v>
      </c>
      <c r="X74" s="15" t="s">
        <v>742</v>
      </c>
      <c r="Y74" s="15">
        <v>1976.0</v>
      </c>
      <c r="AA74" s="15" t="str">
        <f>"760"</f>
        <v>760</v>
      </c>
      <c r="AB74" s="14" t="b">
        <v>1</v>
      </c>
      <c r="AC74" s="14" t="b">
        <v>1</v>
      </c>
      <c r="AD74" s="15" t="str">
        <f>"801542744267"</f>
        <v>801542744267</v>
      </c>
      <c r="AE74" s="15" t="s">
        <v>1599</v>
      </c>
      <c r="AF74" s="14" t="s">
        <v>404</v>
      </c>
      <c r="AG74" s="14" t="s">
        <v>405</v>
      </c>
      <c r="AH74" s="14" t="s">
        <v>406</v>
      </c>
      <c r="AI74" s="15">
        <v>0.0</v>
      </c>
      <c r="AL74" s="15" t="s">
        <v>1600</v>
      </c>
      <c r="AM74" s="15" t="s">
        <v>913</v>
      </c>
      <c r="AN74" s="15" t="s">
        <v>914</v>
      </c>
      <c r="AO74" s="15" t="s">
        <v>1537</v>
      </c>
      <c r="AP74" s="15" t="s">
        <v>1538</v>
      </c>
      <c r="AQ74" s="15" t="s">
        <v>1274</v>
      </c>
      <c r="AR74" s="15" t="s">
        <v>1275</v>
      </c>
      <c r="AS74" s="15" t="s">
        <v>1539</v>
      </c>
      <c r="AT74" s="15" t="s">
        <v>1596</v>
      </c>
      <c r="AW74" s="15" t="s">
        <v>706</v>
      </c>
      <c r="AX74" s="15" t="s">
        <v>707</v>
      </c>
      <c r="AY74" s="15" t="s">
        <v>413</v>
      </c>
      <c r="AZ74" s="15" t="b">
        <v>0</v>
      </c>
      <c r="BA74" s="15" t="s">
        <v>413</v>
      </c>
      <c r="BB74" s="15" t="b">
        <v>0</v>
      </c>
      <c r="BC74" s="15" t="s">
        <v>1601</v>
      </c>
      <c r="BD74" s="15" t="s">
        <v>742</v>
      </c>
      <c r="BE74" s="15" t="str">
        <f t="shared" ref="BE74:BE75" si="128">"1"</f>
        <v>1</v>
      </c>
      <c r="BF74" s="15" t="s">
        <v>416</v>
      </c>
      <c r="BG74" s="15" t="str">
        <f t="shared" ref="BG74:BG75" si="129">"38.39"</f>
        <v>38.39</v>
      </c>
      <c r="BH74" s="15" t="s">
        <v>1602</v>
      </c>
      <c r="BI74" s="15" t="str">
        <f t="shared" ref="BI74:BI75" si="130">"37.8"</f>
        <v>37.8</v>
      </c>
      <c r="BJ74" s="15" t="s">
        <v>756</v>
      </c>
      <c r="BK74" s="15" t="str">
        <f t="shared" ref="BK74:BK75" si="131">"32.28"</f>
        <v>32.28</v>
      </c>
      <c r="BL74" s="15" t="s">
        <v>954</v>
      </c>
      <c r="BM74" s="15" t="str">
        <f t="shared" ref="BM74:BM75" si="132">"85.98"</f>
        <v>85.98</v>
      </c>
      <c r="BN74" s="15" t="s">
        <v>928</v>
      </c>
      <c r="BQ74" s="15" t="s">
        <v>444</v>
      </c>
      <c r="BS74" s="15" t="s">
        <v>444</v>
      </c>
      <c r="BU74" s="15" t="s">
        <v>444</v>
      </c>
      <c r="BW74" s="15" t="s">
        <v>444</v>
      </c>
      <c r="BZ74" s="15" t="s">
        <v>444</v>
      </c>
      <c r="CB74" s="15" t="s">
        <v>444</v>
      </c>
      <c r="CD74" s="15" t="s">
        <v>444</v>
      </c>
      <c r="CF74" s="15" t="s">
        <v>444</v>
      </c>
      <c r="CI74" s="15" t="s">
        <v>444</v>
      </c>
      <c r="CK74" s="15" t="s">
        <v>444</v>
      </c>
      <c r="CM74" s="15" t="s">
        <v>444</v>
      </c>
      <c r="CO74" s="15" t="s">
        <v>444</v>
      </c>
      <c r="CP74" s="15" t="str">
        <f t="shared" ref="CP74:CP75" si="133">"27.12"</f>
        <v>27.12</v>
      </c>
      <c r="CQ74" s="15" t="str">
        <f t="shared" ref="CQ74:CQ75" si="134">"0.768"</f>
        <v>0.768</v>
      </c>
      <c r="CR74" s="15" t="s">
        <v>417</v>
      </c>
      <c r="DB74" s="15" t="s">
        <v>1603</v>
      </c>
      <c r="DC74" s="15" t="str">
        <f>IFERROR(__xludf.DUMMYFUNCTION("""COMPUTED_VALUE"""),"{""value"":22.83,""unit"":""in""}")</f>
        <v>{"value":22.83,"unit":"in"}</v>
      </c>
      <c r="DD74" s="15" t="s">
        <v>1604</v>
      </c>
      <c r="DE74" s="15" t="str">
        <f>IFERROR(__xludf.DUMMYFUNCTION("""COMPUTED_VALUE"""),"{""value"":16.93,""unit"":""in""}")</f>
        <v>{"value":16.93,"unit":"in"}</v>
      </c>
      <c r="DF74" s="15" t="s">
        <v>1068</v>
      </c>
      <c r="DG74" s="15" t="str">
        <f>IFERROR(__xludf.DUMMYFUNCTION("""COMPUTED_VALUE"""),"{""value"":24.80,""unit"":""in""}")</f>
        <v>{"value":24.80,"unit":"in"}</v>
      </c>
      <c r="DH74" s="15">
        <v>0.0</v>
      </c>
      <c r="DI74" s="15">
        <v>0.0</v>
      </c>
      <c r="DJ74" s="15" t="s">
        <v>469</v>
      </c>
      <c r="DK74" s="15" t="s">
        <v>718</v>
      </c>
      <c r="DL74" s="15" t="str">
        <f>IFERROR(__xludf.DUMMYFUNCTION("""COMPUTED_VALUE"""),"Vacuum or light brush only. Do not use water or any cleaning products.")</f>
        <v>Vacuum or light brush only. Do not use water or any cleaning products.</v>
      </c>
      <c r="DM74" s="15" t="s">
        <v>719</v>
      </c>
      <c r="DT74" s="15" t="s">
        <v>721</v>
      </c>
      <c r="DU74" s="15" t="s">
        <v>1605</v>
      </c>
      <c r="DV74" s="15">
        <v>0.0</v>
      </c>
      <c r="DZ74" s="15">
        <v>0.0</v>
      </c>
      <c r="EA74" s="15" t="s">
        <v>990</v>
      </c>
      <c r="ED74" s="15">
        <v>0.0</v>
      </c>
      <c r="EE74" s="15">
        <v>1.0</v>
      </c>
      <c r="EG74" s="15" t="s">
        <v>444</v>
      </c>
      <c r="EH74" s="15" t="s">
        <v>1606</v>
      </c>
      <c r="EI74" s="15">
        <v>0.0</v>
      </c>
      <c r="EJ74" s="15" t="s">
        <v>726</v>
      </c>
      <c r="EK74" s="15" t="s">
        <v>727</v>
      </c>
      <c r="EM74" s="15" t="str">
        <f>IFERROR(__xludf.DUMMYFUNCTION("""COMPUTED_VALUE"""),"")</f>
        <v/>
      </c>
      <c r="EW74" s="15" t="s">
        <v>1607</v>
      </c>
      <c r="EZ74" s="15" t="s">
        <v>1608</v>
      </c>
      <c r="FF74" s="15" t="s">
        <v>860</v>
      </c>
      <c r="FQ74" s="15">
        <v>0.0</v>
      </c>
      <c r="FR74" s="15">
        <v>0.0</v>
      </c>
      <c r="FS74" s="15" t="s">
        <v>1609</v>
      </c>
      <c r="FT74" s="15">
        <v>0.0</v>
      </c>
      <c r="IL74" s="15" t="s">
        <v>1610</v>
      </c>
    </row>
    <row r="75" ht="15.75" customHeight="1">
      <c r="A75" s="14" t="s">
        <v>391</v>
      </c>
      <c r="B75" s="15" t="s">
        <v>1594</v>
      </c>
      <c r="C75" s="16"/>
      <c r="D75" s="15" t="s">
        <v>432</v>
      </c>
      <c r="G75" s="14" t="s">
        <v>393</v>
      </c>
      <c r="H75" s="14" t="s">
        <v>394</v>
      </c>
      <c r="I75" s="14" t="b">
        <v>1</v>
      </c>
      <c r="J75" s="14" t="s">
        <v>395</v>
      </c>
      <c r="L75" s="14" t="b">
        <v>0</v>
      </c>
      <c r="M75" s="15" t="s">
        <v>1611</v>
      </c>
      <c r="N75" s="14" t="s">
        <v>393</v>
      </c>
      <c r="O75" s="14" t="s">
        <v>393</v>
      </c>
      <c r="P75" s="15" t="s">
        <v>397</v>
      </c>
      <c r="Q75" s="15" t="s">
        <v>1612</v>
      </c>
      <c r="T75" s="14" t="b">
        <v>0</v>
      </c>
      <c r="U75" s="15" t="s">
        <v>1613</v>
      </c>
      <c r="V75" s="15" t="s">
        <v>1598</v>
      </c>
      <c r="W75" s="15" t="s">
        <v>401</v>
      </c>
      <c r="X75" s="15" t="s">
        <v>742</v>
      </c>
      <c r="Y75" s="15">
        <v>1430.0</v>
      </c>
      <c r="AA75" s="15" t="str">
        <f>"550"</f>
        <v>550</v>
      </c>
      <c r="AB75" s="14" t="b">
        <v>1</v>
      </c>
      <c r="AC75" s="14" t="b">
        <v>1</v>
      </c>
      <c r="AD75" s="15" t="str">
        <f>"801542044060"</f>
        <v>801542044060</v>
      </c>
      <c r="AE75" s="15" t="s">
        <v>1614</v>
      </c>
      <c r="AF75" s="14" t="s">
        <v>404</v>
      </c>
      <c r="AG75" s="14" t="s">
        <v>405</v>
      </c>
      <c r="AH75" s="14" t="s">
        <v>406</v>
      </c>
      <c r="AI75" s="15">
        <v>0.0</v>
      </c>
      <c r="AL75" s="15" t="s">
        <v>1615</v>
      </c>
      <c r="AM75" s="15" t="s">
        <v>913</v>
      </c>
      <c r="AN75" s="15" t="s">
        <v>914</v>
      </c>
      <c r="AO75" s="15" t="s">
        <v>1537</v>
      </c>
      <c r="AP75" s="15" t="s">
        <v>1538</v>
      </c>
      <c r="AQ75" s="15" t="s">
        <v>1274</v>
      </c>
      <c r="AR75" s="15" t="s">
        <v>1275</v>
      </c>
      <c r="AS75" s="15" t="s">
        <v>1539</v>
      </c>
      <c r="AT75" s="15" t="s">
        <v>1612</v>
      </c>
      <c r="AW75" s="15" t="s">
        <v>706</v>
      </c>
      <c r="AX75" s="15" t="s">
        <v>707</v>
      </c>
      <c r="AY75" s="15" t="s">
        <v>413</v>
      </c>
      <c r="AZ75" s="15" t="b">
        <v>0</v>
      </c>
      <c r="BA75" s="15" t="s">
        <v>413</v>
      </c>
      <c r="BB75" s="15" t="b">
        <v>0</v>
      </c>
      <c r="BC75" s="15" t="s">
        <v>1616</v>
      </c>
      <c r="BD75" s="15" t="s">
        <v>742</v>
      </c>
      <c r="BE75" s="15" t="str">
        <f t="shared" si="128"/>
        <v>1</v>
      </c>
      <c r="BF75" s="15" t="s">
        <v>416</v>
      </c>
      <c r="BG75" s="15" t="str">
        <f t="shared" si="129"/>
        <v>38.39</v>
      </c>
      <c r="BH75" s="15" t="s">
        <v>1602</v>
      </c>
      <c r="BI75" s="15" t="str">
        <f t="shared" si="130"/>
        <v>37.8</v>
      </c>
      <c r="BJ75" s="15" t="s">
        <v>756</v>
      </c>
      <c r="BK75" s="15" t="str">
        <f t="shared" si="131"/>
        <v>32.28</v>
      </c>
      <c r="BL75" s="15" t="s">
        <v>954</v>
      </c>
      <c r="BM75" s="15" t="str">
        <f t="shared" si="132"/>
        <v>85.98</v>
      </c>
      <c r="BN75" s="15" t="s">
        <v>928</v>
      </c>
      <c r="BQ75" s="15" t="s">
        <v>444</v>
      </c>
      <c r="BS75" s="15" t="s">
        <v>444</v>
      </c>
      <c r="BU75" s="15" t="s">
        <v>444</v>
      </c>
      <c r="BW75" s="15" t="s">
        <v>444</v>
      </c>
      <c r="BZ75" s="15" t="s">
        <v>444</v>
      </c>
      <c r="CB75" s="15" t="s">
        <v>444</v>
      </c>
      <c r="CD75" s="15" t="s">
        <v>444</v>
      </c>
      <c r="CF75" s="15" t="s">
        <v>444</v>
      </c>
      <c r="CI75" s="15" t="s">
        <v>444</v>
      </c>
      <c r="CK75" s="15" t="s">
        <v>444</v>
      </c>
      <c r="CM75" s="15" t="s">
        <v>444</v>
      </c>
      <c r="CO75" s="15" t="s">
        <v>444</v>
      </c>
      <c r="CP75" s="15" t="str">
        <f t="shared" si="133"/>
        <v>27.12</v>
      </c>
      <c r="CQ75" s="15" t="str">
        <f t="shared" si="134"/>
        <v>0.768</v>
      </c>
      <c r="CR75" s="15" t="s">
        <v>417</v>
      </c>
      <c r="DB75" s="15" t="s">
        <v>1603</v>
      </c>
      <c r="DC75" s="15" t="str">
        <f>IFERROR(__xludf.DUMMYFUNCTION("""COMPUTED_VALUE"""),"{""value"":22.83,""unit"":""in""}")</f>
        <v>{"value":22.83,"unit":"in"}</v>
      </c>
      <c r="DD75" s="15" t="s">
        <v>1604</v>
      </c>
      <c r="DE75" s="15" t="str">
        <f>IFERROR(__xludf.DUMMYFUNCTION("""COMPUTED_VALUE"""),"{""value"":16.93,""unit"":""in""}")</f>
        <v>{"value":16.93,"unit":"in"}</v>
      </c>
      <c r="DF75" s="15" t="s">
        <v>1068</v>
      </c>
      <c r="DG75" s="15" t="str">
        <f>IFERROR(__xludf.DUMMYFUNCTION("""COMPUTED_VALUE"""),"{""value"":24.80,""unit"":""in""}")</f>
        <v>{"value":24.80,"unit":"in"}</v>
      </c>
      <c r="DH75" s="15">
        <v>0.0</v>
      </c>
      <c r="DI75" s="15">
        <v>0.0</v>
      </c>
      <c r="DJ75" s="15" t="s">
        <v>469</v>
      </c>
      <c r="DK75" s="15" t="s">
        <v>718</v>
      </c>
      <c r="DL75" s="15" t="str">
        <f>IFERROR(__xludf.DUMMYFUNCTION("""COMPUTED_VALUE"""),"Vacuum or light brush only. Do not use water or any cleaning products.")</f>
        <v>Vacuum or light brush only. Do not use water or any cleaning products.</v>
      </c>
      <c r="DM75" s="15" t="s">
        <v>719</v>
      </c>
      <c r="DT75" s="15" t="s">
        <v>721</v>
      </c>
      <c r="DU75" s="15" t="s">
        <v>1605</v>
      </c>
      <c r="DV75" s="15">
        <v>0.0</v>
      </c>
      <c r="DZ75" s="15">
        <v>30000.0</v>
      </c>
      <c r="EA75" s="15" t="s">
        <v>990</v>
      </c>
      <c r="ED75" s="15">
        <v>0.0</v>
      </c>
      <c r="EE75" s="15">
        <v>1.0</v>
      </c>
      <c r="EG75" s="15" t="s">
        <v>444</v>
      </c>
      <c r="EH75" s="15" t="s">
        <v>1606</v>
      </c>
      <c r="EI75" s="15">
        <v>0.0</v>
      </c>
      <c r="EJ75" s="15" t="s">
        <v>726</v>
      </c>
      <c r="EK75" s="15" t="s">
        <v>727</v>
      </c>
      <c r="EM75" s="15" t="str">
        <f>IFERROR(__xludf.DUMMYFUNCTION("""COMPUTED_VALUE"""),"")</f>
        <v/>
      </c>
      <c r="EW75" s="15" t="s">
        <v>1607</v>
      </c>
      <c r="EZ75" s="15" t="s">
        <v>1608</v>
      </c>
      <c r="FF75" s="15" t="s">
        <v>860</v>
      </c>
      <c r="FQ75" s="15">
        <v>0.0</v>
      </c>
      <c r="FR75" s="15">
        <v>0.0</v>
      </c>
      <c r="FS75" s="15" t="s">
        <v>1609</v>
      </c>
      <c r="FT75" s="15">
        <v>0.0</v>
      </c>
      <c r="IL75" s="15" t="s">
        <v>1610</v>
      </c>
    </row>
    <row r="76" ht="15.75" customHeight="1">
      <c r="A76" s="14" t="s">
        <v>391</v>
      </c>
      <c r="B76" s="15" t="s">
        <v>1617</v>
      </c>
      <c r="C76" s="16"/>
      <c r="D76" s="15" t="s">
        <v>432</v>
      </c>
      <c r="G76" s="14" t="s">
        <v>393</v>
      </c>
      <c r="H76" s="14" t="s">
        <v>394</v>
      </c>
      <c r="I76" s="14" t="b">
        <v>1</v>
      </c>
      <c r="J76" s="14" t="s">
        <v>395</v>
      </c>
      <c r="L76" s="14" t="b">
        <v>0</v>
      </c>
      <c r="M76" s="15" t="s">
        <v>1618</v>
      </c>
      <c r="N76" s="14" t="s">
        <v>393</v>
      </c>
      <c r="O76" s="14" t="s">
        <v>393</v>
      </c>
      <c r="P76" s="15" t="s">
        <v>397</v>
      </c>
      <c r="Q76" s="15" t="s">
        <v>1619</v>
      </c>
      <c r="T76" s="14" t="b">
        <v>0</v>
      </c>
      <c r="U76" s="15" t="s">
        <v>1620</v>
      </c>
      <c r="V76" s="15" t="s">
        <v>1621</v>
      </c>
      <c r="W76" s="15" t="s">
        <v>401</v>
      </c>
      <c r="X76" s="15" t="s">
        <v>695</v>
      </c>
      <c r="Y76" s="15">
        <v>5135.0</v>
      </c>
      <c r="AA76" s="15" t="str">
        <f>"1975"</f>
        <v>1975</v>
      </c>
      <c r="AB76" s="14" t="b">
        <v>1</v>
      </c>
      <c r="AC76" s="14" t="b">
        <v>1</v>
      </c>
      <c r="AD76" s="15" t="str">
        <f>"198394086578"</f>
        <v>198394086578</v>
      </c>
      <c r="AE76" s="15" t="s">
        <v>1622</v>
      </c>
      <c r="AF76" s="14" t="s">
        <v>404</v>
      </c>
      <c r="AG76" s="14" t="s">
        <v>405</v>
      </c>
      <c r="AH76" s="14" t="s">
        <v>406</v>
      </c>
      <c r="AI76" s="15">
        <v>0.0</v>
      </c>
      <c r="AL76" s="15" t="s">
        <v>1623</v>
      </c>
      <c r="AM76" s="15" t="s">
        <v>1624</v>
      </c>
      <c r="AN76" s="15" t="s">
        <v>1625</v>
      </c>
      <c r="AO76" s="15" t="s">
        <v>1624</v>
      </c>
      <c r="AP76" s="15" t="s">
        <v>1625</v>
      </c>
      <c r="AQ76" s="15" t="s">
        <v>1626</v>
      </c>
      <c r="AR76" s="15" t="s">
        <v>1627</v>
      </c>
      <c r="AS76" s="15" t="s">
        <v>1628</v>
      </c>
      <c r="AT76" s="15" t="s">
        <v>1619</v>
      </c>
      <c r="AW76" s="15" t="s">
        <v>1629</v>
      </c>
      <c r="AX76" s="15" t="s">
        <v>1630</v>
      </c>
      <c r="AY76" s="15" t="s">
        <v>426</v>
      </c>
      <c r="AZ76" s="15" t="b">
        <v>1</v>
      </c>
      <c r="BA76" s="15" t="s">
        <v>426</v>
      </c>
      <c r="BB76" s="15" t="b">
        <v>1</v>
      </c>
      <c r="BC76" s="15" t="s">
        <v>1631</v>
      </c>
      <c r="BD76" s="15" t="s">
        <v>709</v>
      </c>
      <c r="BE76" s="15" t="str">
        <f t="shared" ref="BE76:BE81" si="135">"3"</f>
        <v>3</v>
      </c>
      <c r="BF76" s="15" t="s">
        <v>416</v>
      </c>
      <c r="BG76" s="15" t="str">
        <f t="shared" ref="BG76:BG81" si="136">"72.05"</f>
        <v>72.05</v>
      </c>
      <c r="BH76" s="15" t="s">
        <v>1632</v>
      </c>
      <c r="BI76" s="15" t="str">
        <f t="shared" ref="BI76:BI81" si="137">"35.04"</f>
        <v>35.04</v>
      </c>
      <c r="BJ76" s="15" t="s">
        <v>1404</v>
      </c>
      <c r="BK76" s="15" t="str">
        <f t="shared" ref="BK76:BK81" si="138">"27.17"</f>
        <v>27.17</v>
      </c>
      <c r="BL76" s="15" t="s">
        <v>1478</v>
      </c>
      <c r="BM76" s="15" t="str">
        <f t="shared" ref="BM76:BM81" si="139">"116.84"</f>
        <v>116.84</v>
      </c>
      <c r="BN76" s="15" t="s">
        <v>1012</v>
      </c>
      <c r="BO76" s="15" t="s">
        <v>416</v>
      </c>
      <c r="BP76" s="15" t="str">
        <f t="shared" ref="BP76:BP81" si="140">"72.05"</f>
        <v>72.05</v>
      </c>
      <c r="BQ76" s="15" t="s">
        <v>1632</v>
      </c>
      <c r="BR76" s="15" t="str">
        <f t="shared" ref="BR76:BR81" si="141">"35.04"</f>
        <v>35.04</v>
      </c>
      <c r="BS76" s="15" t="s">
        <v>1404</v>
      </c>
      <c r="BT76" s="15" t="str">
        <f t="shared" ref="BT76:BT81" si="142">"27.17"</f>
        <v>27.17</v>
      </c>
      <c r="BU76" s="15" t="s">
        <v>1478</v>
      </c>
      <c r="BV76" s="15" t="str">
        <f t="shared" ref="BV76:BV81" si="143">"116.84"</f>
        <v>116.84</v>
      </c>
      <c r="BW76" s="15" t="s">
        <v>1012</v>
      </c>
      <c r="BX76" s="15" t="s">
        <v>416</v>
      </c>
      <c r="BY76" s="15" t="str">
        <f t="shared" ref="BY76:BY81" si="144">"35.04"</f>
        <v>35.04</v>
      </c>
      <c r="BZ76" s="15" t="s">
        <v>1404</v>
      </c>
      <c r="CA76" s="15" t="str">
        <f t="shared" ref="CA76:CA81" si="145">"35.04"</f>
        <v>35.04</v>
      </c>
      <c r="CB76" s="15" t="s">
        <v>1404</v>
      </c>
      <c r="CC76" s="15" t="str">
        <f t="shared" ref="CC76:CC81" si="146">"27.17"</f>
        <v>27.17</v>
      </c>
      <c r="CD76" s="15" t="s">
        <v>1478</v>
      </c>
      <c r="CE76" s="15" t="str">
        <f t="shared" ref="CE76:CE81" si="147">"66.14"</f>
        <v>66.14</v>
      </c>
      <c r="CF76" s="15" t="s">
        <v>958</v>
      </c>
      <c r="CI76" s="15" t="s">
        <v>444</v>
      </c>
      <c r="CK76" s="15" t="s">
        <v>444</v>
      </c>
      <c r="CM76" s="15" t="s">
        <v>444</v>
      </c>
      <c r="CO76" s="15" t="s">
        <v>444</v>
      </c>
      <c r="CP76" s="15" t="str">
        <f t="shared" ref="CP76:CP81" si="148">"98.7"</f>
        <v>98.7</v>
      </c>
      <c r="CQ76" s="15" t="str">
        <f t="shared" ref="CQ76:CQ81" si="149">"2.795"</f>
        <v>2.795</v>
      </c>
      <c r="CR76" s="15" t="s">
        <v>497</v>
      </c>
      <c r="DC76" s="15" t="str">
        <f>IFERROR(__xludf.DUMMYFUNCTION("""COMPUTED_VALUE"""),"")</f>
        <v/>
      </c>
      <c r="DE76" s="15" t="str">
        <f>IFERROR(__xludf.DUMMYFUNCTION("""COMPUTED_VALUE"""),"")</f>
        <v/>
      </c>
      <c r="DG76" s="15" t="str">
        <f>IFERROR(__xludf.DUMMYFUNCTION("""COMPUTED_VALUE"""),"")</f>
        <v/>
      </c>
      <c r="DJ76" s="15" t="s">
        <v>717</v>
      </c>
      <c r="DK76" s="15" t="s">
        <v>897</v>
      </c>
      <c r="DL76" s="15" t="str">
        <f>IFERROR(__xludf.DUMMYFUNCTION("""COMPUTED_VALUE"""),"Clean with water-based products only. Use mild detergent or upholstery shampoo.")</f>
        <v>Clean with water-based products only. Use mild detergent or upholstery shampoo.</v>
      </c>
      <c r="DM76" s="15" t="s">
        <v>898</v>
      </c>
      <c r="DT76" s="15" t="s">
        <v>721</v>
      </c>
      <c r="DU76" s="15" t="s">
        <v>419</v>
      </c>
      <c r="DZ76" s="15">
        <v>50000.0</v>
      </c>
      <c r="EA76" s="15" t="s">
        <v>990</v>
      </c>
      <c r="EB76" s="15" t="s">
        <v>1016</v>
      </c>
      <c r="EE76" s="15">
        <v>5.0</v>
      </c>
      <c r="EF76" s="15" t="s">
        <v>1633</v>
      </c>
      <c r="EG76" s="15" t="s">
        <v>1634</v>
      </c>
      <c r="EH76" s="15" t="s">
        <v>1635</v>
      </c>
      <c r="EJ76" s="15" t="s">
        <v>1636</v>
      </c>
      <c r="EK76" s="15" t="s">
        <v>1637</v>
      </c>
      <c r="EM76" s="15" t="str">
        <f>IFERROR(__xludf.DUMMYFUNCTION("""COMPUTED_VALUE"""),"")</f>
        <v/>
      </c>
      <c r="FC76" s="15" t="s">
        <v>1016</v>
      </c>
      <c r="FF76" s="15" t="s">
        <v>997</v>
      </c>
      <c r="FS76" s="15" t="s">
        <v>1609</v>
      </c>
      <c r="HN76" s="15" t="s">
        <v>426</v>
      </c>
      <c r="HO76" s="15" t="s">
        <v>1638</v>
      </c>
      <c r="HP76" s="15" t="s">
        <v>1639</v>
      </c>
    </row>
    <row r="77" ht="15.75" customHeight="1">
      <c r="A77" s="14" t="s">
        <v>391</v>
      </c>
      <c r="B77" s="15" t="s">
        <v>1617</v>
      </c>
      <c r="C77" s="16"/>
      <c r="D77" s="15" t="s">
        <v>432</v>
      </c>
      <c r="G77" s="14" t="s">
        <v>393</v>
      </c>
      <c r="H77" s="14" t="s">
        <v>394</v>
      </c>
      <c r="I77" s="14" t="b">
        <v>1</v>
      </c>
      <c r="J77" s="14" t="s">
        <v>395</v>
      </c>
      <c r="L77" s="14" t="b">
        <v>0</v>
      </c>
      <c r="M77" s="15" t="s">
        <v>1640</v>
      </c>
      <c r="N77" s="14" t="s">
        <v>393</v>
      </c>
      <c r="O77" s="14" t="s">
        <v>393</v>
      </c>
      <c r="P77" s="15" t="s">
        <v>397</v>
      </c>
      <c r="Q77" s="15" t="s">
        <v>1641</v>
      </c>
      <c r="T77" s="14" t="b">
        <v>0</v>
      </c>
      <c r="U77" s="15" t="s">
        <v>1642</v>
      </c>
      <c r="V77" s="15" t="s">
        <v>1621</v>
      </c>
      <c r="W77" s="15" t="s">
        <v>401</v>
      </c>
      <c r="X77" s="15" t="s">
        <v>695</v>
      </c>
      <c r="Y77" s="15">
        <v>9828.0</v>
      </c>
      <c r="AA77" s="15" t="str">
        <f>"3780"</f>
        <v>3780</v>
      </c>
      <c r="AB77" s="14" t="b">
        <v>1</v>
      </c>
      <c r="AC77" s="14" t="b">
        <v>1</v>
      </c>
      <c r="AD77" s="15" t="str">
        <f>"801542051518"</f>
        <v>801542051518</v>
      </c>
      <c r="AE77" s="15" t="s">
        <v>1643</v>
      </c>
      <c r="AF77" s="14" t="s">
        <v>404</v>
      </c>
      <c r="AG77" s="14" t="s">
        <v>405</v>
      </c>
      <c r="AH77" s="14" t="s">
        <v>406</v>
      </c>
      <c r="AI77" s="15">
        <v>0.0</v>
      </c>
      <c r="AL77" s="15" t="s">
        <v>1600</v>
      </c>
      <c r="AM77" s="15" t="s">
        <v>1624</v>
      </c>
      <c r="AN77" s="15" t="s">
        <v>1625</v>
      </c>
      <c r="AO77" s="15" t="s">
        <v>1624</v>
      </c>
      <c r="AP77" s="15" t="s">
        <v>1625</v>
      </c>
      <c r="AQ77" s="15" t="s">
        <v>1626</v>
      </c>
      <c r="AR77" s="15" t="s">
        <v>1627</v>
      </c>
      <c r="AS77" s="15" t="s">
        <v>1628</v>
      </c>
      <c r="AT77" s="15" t="s">
        <v>1641</v>
      </c>
      <c r="AW77" s="15" t="s">
        <v>1629</v>
      </c>
      <c r="AX77" s="15" t="s">
        <v>1630</v>
      </c>
      <c r="AY77" s="15" t="s">
        <v>426</v>
      </c>
      <c r="AZ77" s="15" t="b">
        <v>1</v>
      </c>
      <c r="BA77" s="15" t="s">
        <v>413</v>
      </c>
      <c r="BB77" s="15" t="b">
        <v>0</v>
      </c>
      <c r="BC77" s="15" t="s">
        <v>1644</v>
      </c>
      <c r="BD77" s="15" t="s">
        <v>709</v>
      </c>
      <c r="BE77" s="15" t="str">
        <f t="shared" si="135"/>
        <v>3</v>
      </c>
      <c r="BF77" s="15" t="s">
        <v>416</v>
      </c>
      <c r="BG77" s="15" t="str">
        <f t="shared" si="136"/>
        <v>72.05</v>
      </c>
      <c r="BH77" s="15" t="s">
        <v>1632</v>
      </c>
      <c r="BI77" s="15" t="str">
        <f t="shared" si="137"/>
        <v>35.04</v>
      </c>
      <c r="BJ77" s="15" t="s">
        <v>1404</v>
      </c>
      <c r="BK77" s="15" t="str">
        <f t="shared" si="138"/>
        <v>27.17</v>
      </c>
      <c r="BL77" s="15" t="s">
        <v>1478</v>
      </c>
      <c r="BM77" s="15" t="str">
        <f t="shared" si="139"/>
        <v>116.84</v>
      </c>
      <c r="BN77" s="15" t="s">
        <v>1012</v>
      </c>
      <c r="BO77" s="15" t="s">
        <v>416</v>
      </c>
      <c r="BP77" s="15" t="str">
        <f t="shared" si="140"/>
        <v>72.05</v>
      </c>
      <c r="BQ77" s="15" t="s">
        <v>1632</v>
      </c>
      <c r="BR77" s="15" t="str">
        <f t="shared" si="141"/>
        <v>35.04</v>
      </c>
      <c r="BS77" s="15" t="s">
        <v>1404</v>
      </c>
      <c r="BT77" s="15" t="str">
        <f t="shared" si="142"/>
        <v>27.17</v>
      </c>
      <c r="BU77" s="15" t="s">
        <v>1478</v>
      </c>
      <c r="BV77" s="15" t="str">
        <f t="shared" si="143"/>
        <v>116.84</v>
      </c>
      <c r="BW77" s="15" t="s">
        <v>1012</v>
      </c>
      <c r="BX77" s="15" t="s">
        <v>416</v>
      </c>
      <c r="BY77" s="15" t="str">
        <f t="shared" si="144"/>
        <v>35.04</v>
      </c>
      <c r="BZ77" s="15" t="s">
        <v>1404</v>
      </c>
      <c r="CA77" s="15" t="str">
        <f t="shared" si="145"/>
        <v>35.04</v>
      </c>
      <c r="CB77" s="15" t="s">
        <v>1404</v>
      </c>
      <c r="CC77" s="15" t="str">
        <f t="shared" si="146"/>
        <v>27.17</v>
      </c>
      <c r="CD77" s="15" t="s">
        <v>1478</v>
      </c>
      <c r="CE77" s="15" t="str">
        <f t="shared" si="147"/>
        <v>66.14</v>
      </c>
      <c r="CF77" s="15" t="s">
        <v>958</v>
      </c>
      <c r="CI77" s="15" t="s">
        <v>444</v>
      </c>
      <c r="CK77" s="15" t="s">
        <v>444</v>
      </c>
      <c r="CM77" s="15" t="s">
        <v>444</v>
      </c>
      <c r="CO77" s="15" t="s">
        <v>444</v>
      </c>
      <c r="CP77" s="15" t="str">
        <f t="shared" si="148"/>
        <v>98.7</v>
      </c>
      <c r="CQ77" s="15" t="str">
        <f t="shared" si="149"/>
        <v>2.795</v>
      </c>
      <c r="CR77" s="15" t="s">
        <v>497</v>
      </c>
      <c r="DC77" s="15" t="str">
        <f>IFERROR(__xludf.DUMMYFUNCTION("""COMPUTED_VALUE"""),"")</f>
        <v/>
      </c>
      <c r="DE77" s="15" t="str">
        <f>IFERROR(__xludf.DUMMYFUNCTION("""COMPUTED_VALUE"""),"")</f>
        <v/>
      </c>
      <c r="DG77" s="15" t="str">
        <f>IFERROR(__xludf.DUMMYFUNCTION("""COMPUTED_VALUE"""),"")</f>
        <v/>
      </c>
      <c r="DJ77" s="15" t="s">
        <v>717</v>
      </c>
      <c r="DK77" s="15" t="s">
        <v>718</v>
      </c>
      <c r="DL77" s="15" t="str">
        <f>IFERROR(__xludf.DUMMYFUNCTION("""COMPUTED_VALUE"""),"Vacuum or light brush only. Do not use water or any cleaning products.")</f>
        <v>Vacuum or light brush only. Do not use water or any cleaning products.</v>
      </c>
      <c r="DM77" s="15" t="s">
        <v>719</v>
      </c>
      <c r="DT77" s="15" t="s">
        <v>721</v>
      </c>
      <c r="DU77" s="15" t="s">
        <v>419</v>
      </c>
      <c r="DZ77" s="15">
        <v>0.0</v>
      </c>
      <c r="EA77" s="15" t="s">
        <v>990</v>
      </c>
      <c r="EB77" s="15" t="s">
        <v>1016</v>
      </c>
      <c r="EE77" s="15">
        <v>5.0</v>
      </c>
      <c r="EF77" s="15" t="s">
        <v>1633</v>
      </c>
      <c r="EG77" s="15" t="s">
        <v>1634</v>
      </c>
      <c r="EH77" s="15" t="s">
        <v>1635</v>
      </c>
      <c r="EJ77" s="15" t="s">
        <v>1636</v>
      </c>
      <c r="EK77" s="15" t="s">
        <v>1637</v>
      </c>
      <c r="EM77" s="15" t="str">
        <f>IFERROR(__xludf.DUMMYFUNCTION("""COMPUTED_VALUE"""),"")</f>
        <v/>
      </c>
      <c r="FC77" s="15" t="s">
        <v>1016</v>
      </c>
      <c r="FF77" s="15" t="s">
        <v>997</v>
      </c>
      <c r="FS77" s="15" t="s">
        <v>1609</v>
      </c>
      <c r="HN77" s="15" t="s">
        <v>426</v>
      </c>
      <c r="HO77" s="15" t="s">
        <v>1638</v>
      </c>
      <c r="HP77" s="15" t="s">
        <v>1639</v>
      </c>
    </row>
    <row r="78" ht="15.75" customHeight="1">
      <c r="A78" s="14" t="s">
        <v>391</v>
      </c>
      <c r="B78" s="15" t="s">
        <v>1617</v>
      </c>
      <c r="C78" s="16"/>
      <c r="D78" s="15" t="s">
        <v>432</v>
      </c>
      <c r="G78" s="14" t="s">
        <v>393</v>
      </c>
      <c r="H78" s="14" t="s">
        <v>394</v>
      </c>
      <c r="I78" s="14" t="b">
        <v>1</v>
      </c>
      <c r="J78" s="14" t="s">
        <v>395</v>
      </c>
      <c r="L78" s="14" t="b">
        <v>0</v>
      </c>
      <c r="M78" s="15" t="s">
        <v>1645</v>
      </c>
      <c r="N78" s="14" t="s">
        <v>393</v>
      </c>
      <c r="O78" s="14" t="s">
        <v>393</v>
      </c>
      <c r="P78" s="15" t="s">
        <v>397</v>
      </c>
      <c r="Q78" s="15" t="s">
        <v>1646</v>
      </c>
      <c r="T78" s="14" t="b">
        <v>0</v>
      </c>
      <c r="U78" s="15" t="s">
        <v>1647</v>
      </c>
      <c r="V78" s="15" t="s">
        <v>1621</v>
      </c>
      <c r="W78" s="15" t="s">
        <v>401</v>
      </c>
      <c r="X78" s="15" t="s">
        <v>695</v>
      </c>
      <c r="Y78" s="15">
        <v>5031.0</v>
      </c>
      <c r="AA78" s="15" t="str">
        <f t="shared" ref="AA78:AA79" si="150">"1935"</f>
        <v>1935</v>
      </c>
      <c r="AB78" s="14" t="b">
        <v>1</v>
      </c>
      <c r="AC78" s="14" t="b">
        <v>1</v>
      </c>
      <c r="AD78" s="15" t="str">
        <f>"801542017019"</f>
        <v>801542017019</v>
      </c>
      <c r="AE78" s="15" t="s">
        <v>1648</v>
      </c>
      <c r="AF78" s="14" t="s">
        <v>404</v>
      </c>
      <c r="AG78" s="14" t="s">
        <v>405</v>
      </c>
      <c r="AH78" s="14" t="s">
        <v>406</v>
      </c>
      <c r="AI78" s="15">
        <v>0.0</v>
      </c>
      <c r="AL78" s="15" t="s">
        <v>1649</v>
      </c>
      <c r="AM78" s="15" t="s">
        <v>1624</v>
      </c>
      <c r="AN78" s="15" t="s">
        <v>1625</v>
      </c>
      <c r="AO78" s="15" t="s">
        <v>1624</v>
      </c>
      <c r="AP78" s="15" t="s">
        <v>1625</v>
      </c>
      <c r="AQ78" s="15" t="s">
        <v>1626</v>
      </c>
      <c r="AR78" s="15" t="s">
        <v>1627</v>
      </c>
      <c r="AS78" s="15" t="s">
        <v>1628</v>
      </c>
      <c r="AT78" s="15" t="s">
        <v>1646</v>
      </c>
      <c r="AW78" s="15" t="s">
        <v>1629</v>
      </c>
      <c r="AX78" s="15" t="s">
        <v>1630</v>
      </c>
      <c r="AY78" s="15" t="s">
        <v>426</v>
      </c>
      <c r="AZ78" s="15" t="b">
        <v>1</v>
      </c>
      <c r="BA78" s="15" t="s">
        <v>426</v>
      </c>
      <c r="BB78" s="15" t="b">
        <v>1</v>
      </c>
      <c r="BC78" s="15" t="s">
        <v>1650</v>
      </c>
      <c r="BD78" s="15" t="s">
        <v>709</v>
      </c>
      <c r="BE78" s="15" t="str">
        <f t="shared" si="135"/>
        <v>3</v>
      </c>
      <c r="BF78" s="15" t="s">
        <v>416</v>
      </c>
      <c r="BG78" s="15" t="str">
        <f t="shared" si="136"/>
        <v>72.05</v>
      </c>
      <c r="BH78" s="15" t="s">
        <v>1632</v>
      </c>
      <c r="BI78" s="15" t="str">
        <f t="shared" si="137"/>
        <v>35.04</v>
      </c>
      <c r="BJ78" s="15" t="s">
        <v>1404</v>
      </c>
      <c r="BK78" s="15" t="str">
        <f t="shared" si="138"/>
        <v>27.17</v>
      </c>
      <c r="BL78" s="15" t="s">
        <v>1478</v>
      </c>
      <c r="BM78" s="15" t="str">
        <f t="shared" si="139"/>
        <v>116.84</v>
      </c>
      <c r="BN78" s="15" t="s">
        <v>1012</v>
      </c>
      <c r="BO78" s="15" t="s">
        <v>416</v>
      </c>
      <c r="BP78" s="15" t="str">
        <f t="shared" si="140"/>
        <v>72.05</v>
      </c>
      <c r="BQ78" s="15" t="s">
        <v>1632</v>
      </c>
      <c r="BR78" s="15" t="str">
        <f t="shared" si="141"/>
        <v>35.04</v>
      </c>
      <c r="BS78" s="15" t="s">
        <v>1404</v>
      </c>
      <c r="BT78" s="15" t="str">
        <f t="shared" si="142"/>
        <v>27.17</v>
      </c>
      <c r="BU78" s="15" t="s">
        <v>1478</v>
      </c>
      <c r="BV78" s="15" t="str">
        <f t="shared" si="143"/>
        <v>116.84</v>
      </c>
      <c r="BW78" s="15" t="s">
        <v>1012</v>
      </c>
      <c r="BX78" s="15" t="s">
        <v>416</v>
      </c>
      <c r="BY78" s="15" t="str">
        <f t="shared" si="144"/>
        <v>35.04</v>
      </c>
      <c r="BZ78" s="15" t="s">
        <v>1404</v>
      </c>
      <c r="CA78" s="15" t="str">
        <f t="shared" si="145"/>
        <v>35.04</v>
      </c>
      <c r="CB78" s="15" t="s">
        <v>1404</v>
      </c>
      <c r="CC78" s="15" t="str">
        <f t="shared" si="146"/>
        <v>27.17</v>
      </c>
      <c r="CD78" s="15" t="s">
        <v>1478</v>
      </c>
      <c r="CE78" s="15" t="str">
        <f t="shared" si="147"/>
        <v>66.14</v>
      </c>
      <c r="CF78" s="15" t="s">
        <v>958</v>
      </c>
      <c r="CI78" s="15" t="s">
        <v>444</v>
      </c>
      <c r="CK78" s="15" t="s">
        <v>444</v>
      </c>
      <c r="CM78" s="15" t="s">
        <v>444</v>
      </c>
      <c r="CO78" s="15" t="s">
        <v>444</v>
      </c>
      <c r="CP78" s="15" t="str">
        <f t="shared" si="148"/>
        <v>98.7</v>
      </c>
      <c r="CQ78" s="15" t="str">
        <f t="shared" si="149"/>
        <v>2.795</v>
      </c>
      <c r="CR78" s="15" t="s">
        <v>465</v>
      </c>
      <c r="DC78" s="15" t="str">
        <f>IFERROR(__xludf.DUMMYFUNCTION("""COMPUTED_VALUE"""),"")</f>
        <v/>
      </c>
      <c r="DE78" s="15" t="str">
        <f>IFERROR(__xludf.DUMMYFUNCTION("""COMPUTED_VALUE"""),"")</f>
        <v/>
      </c>
      <c r="DG78" s="15" t="str">
        <f>IFERROR(__xludf.DUMMYFUNCTION("""COMPUTED_VALUE"""),"")</f>
        <v/>
      </c>
      <c r="DJ78" s="15" t="s">
        <v>717</v>
      </c>
      <c r="DK78" s="15" t="s">
        <v>855</v>
      </c>
      <c r="DL78" s="15" t="str">
        <f>IFERROR(__xludf.DUMMYFUNCTION("""COMPUTED_VALUE"""),"Clean with solvent-based (dry clean only) products. Do not use water.")</f>
        <v>Clean with solvent-based (dry clean only) products. Do not use water.</v>
      </c>
      <c r="DM78" s="15" t="s">
        <v>856</v>
      </c>
      <c r="DT78" s="15" t="s">
        <v>721</v>
      </c>
      <c r="DU78" s="15" t="s">
        <v>419</v>
      </c>
      <c r="DZ78" s="15">
        <v>25000.0</v>
      </c>
      <c r="EA78" s="15" t="s">
        <v>990</v>
      </c>
      <c r="EB78" s="15" t="s">
        <v>1016</v>
      </c>
      <c r="EE78" s="15">
        <v>5.0</v>
      </c>
      <c r="EF78" s="15" t="s">
        <v>1633</v>
      </c>
      <c r="EG78" s="15" t="s">
        <v>1634</v>
      </c>
      <c r="EH78" s="15" t="s">
        <v>1635</v>
      </c>
      <c r="EJ78" s="15" t="s">
        <v>1636</v>
      </c>
      <c r="EK78" s="15" t="s">
        <v>1637</v>
      </c>
      <c r="EM78" s="15" t="str">
        <f>IFERROR(__xludf.DUMMYFUNCTION("""COMPUTED_VALUE"""),"")</f>
        <v/>
      </c>
      <c r="FC78" s="15" t="s">
        <v>1016</v>
      </c>
      <c r="FF78" s="15" t="s">
        <v>997</v>
      </c>
      <c r="FS78" s="15" t="s">
        <v>1609</v>
      </c>
      <c r="HN78" s="15" t="s">
        <v>426</v>
      </c>
      <c r="HO78" s="15" t="s">
        <v>1638</v>
      </c>
      <c r="HP78" s="15" t="s">
        <v>1639</v>
      </c>
    </row>
    <row r="79" ht="15.75" customHeight="1">
      <c r="A79" s="14" t="s">
        <v>391</v>
      </c>
      <c r="B79" s="15" t="s">
        <v>1617</v>
      </c>
      <c r="C79" s="16"/>
      <c r="D79" s="15" t="s">
        <v>432</v>
      </c>
      <c r="G79" s="14" t="s">
        <v>393</v>
      </c>
      <c r="H79" s="14" t="s">
        <v>394</v>
      </c>
      <c r="I79" s="14" t="b">
        <v>1</v>
      </c>
      <c r="J79" s="14" t="s">
        <v>395</v>
      </c>
      <c r="L79" s="14" t="b">
        <v>0</v>
      </c>
      <c r="M79" s="15" t="s">
        <v>1651</v>
      </c>
      <c r="N79" s="14" t="s">
        <v>393</v>
      </c>
      <c r="O79" s="14" t="s">
        <v>393</v>
      </c>
      <c r="P79" s="15" t="s">
        <v>397</v>
      </c>
      <c r="Q79" s="15" t="s">
        <v>1652</v>
      </c>
      <c r="T79" s="14" t="b">
        <v>0</v>
      </c>
      <c r="U79" s="15" t="s">
        <v>1653</v>
      </c>
      <c r="V79" s="15" t="s">
        <v>1621</v>
      </c>
      <c r="W79" s="15" t="s">
        <v>401</v>
      </c>
      <c r="X79" s="15" t="s">
        <v>695</v>
      </c>
      <c r="Y79" s="15">
        <v>5031.0</v>
      </c>
      <c r="AA79" s="15" t="str">
        <f t="shared" si="150"/>
        <v>1935</v>
      </c>
      <c r="AB79" s="14" t="b">
        <v>1</v>
      </c>
      <c r="AC79" s="14" t="b">
        <v>1</v>
      </c>
      <c r="AD79" s="15" t="str">
        <f>"801542017057"</f>
        <v>801542017057</v>
      </c>
      <c r="AE79" s="15" t="s">
        <v>1654</v>
      </c>
      <c r="AF79" s="14" t="s">
        <v>404</v>
      </c>
      <c r="AG79" s="14" t="s">
        <v>405</v>
      </c>
      <c r="AH79" s="14" t="s">
        <v>406</v>
      </c>
      <c r="AI79" s="15">
        <v>0.0</v>
      </c>
      <c r="AL79" s="15" t="s">
        <v>1655</v>
      </c>
      <c r="AM79" s="15" t="s">
        <v>1624</v>
      </c>
      <c r="AN79" s="15" t="s">
        <v>1625</v>
      </c>
      <c r="AO79" s="15" t="s">
        <v>1624</v>
      </c>
      <c r="AP79" s="15" t="s">
        <v>1625</v>
      </c>
      <c r="AQ79" s="15" t="s">
        <v>1626</v>
      </c>
      <c r="AR79" s="15" t="s">
        <v>1627</v>
      </c>
      <c r="AS79" s="15" t="s">
        <v>1628</v>
      </c>
      <c r="AT79" s="15" t="s">
        <v>1652</v>
      </c>
      <c r="AW79" s="15" t="s">
        <v>1629</v>
      </c>
      <c r="AX79" s="15" t="s">
        <v>1630</v>
      </c>
      <c r="AY79" s="15" t="s">
        <v>426</v>
      </c>
      <c r="AZ79" s="15" t="b">
        <v>1</v>
      </c>
      <c r="BA79" s="15" t="s">
        <v>413</v>
      </c>
      <c r="BB79" s="15" t="b">
        <v>0</v>
      </c>
      <c r="BC79" s="15" t="s">
        <v>1656</v>
      </c>
      <c r="BD79" s="15" t="s">
        <v>709</v>
      </c>
      <c r="BE79" s="15" t="str">
        <f t="shared" si="135"/>
        <v>3</v>
      </c>
      <c r="BF79" s="15" t="s">
        <v>416</v>
      </c>
      <c r="BG79" s="15" t="str">
        <f t="shared" si="136"/>
        <v>72.05</v>
      </c>
      <c r="BH79" s="15" t="s">
        <v>1632</v>
      </c>
      <c r="BI79" s="15" t="str">
        <f t="shared" si="137"/>
        <v>35.04</v>
      </c>
      <c r="BJ79" s="15" t="s">
        <v>1404</v>
      </c>
      <c r="BK79" s="15" t="str">
        <f t="shared" si="138"/>
        <v>27.17</v>
      </c>
      <c r="BL79" s="15" t="s">
        <v>1478</v>
      </c>
      <c r="BM79" s="15" t="str">
        <f t="shared" si="139"/>
        <v>116.84</v>
      </c>
      <c r="BN79" s="15" t="s">
        <v>1012</v>
      </c>
      <c r="BO79" s="15" t="s">
        <v>416</v>
      </c>
      <c r="BP79" s="15" t="str">
        <f t="shared" si="140"/>
        <v>72.05</v>
      </c>
      <c r="BQ79" s="15" t="s">
        <v>1632</v>
      </c>
      <c r="BR79" s="15" t="str">
        <f t="shared" si="141"/>
        <v>35.04</v>
      </c>
      <c r="BS79" s="15" t="s">
        <v>1404</v>
      </c>
      <c r="BT79" s="15" t="str">
        <f t="shared" si="142"/>
        <v>27.17</v>
      </c>
      <c r="BU79" s="15" t="s">
        <v>1478</v>
      </c>
      <c r="BV79" s="15" t="str">
        <f t="shared" si="143"/>
        <v>116.84</v>
      </c>
      <c r="BW79" s="15" t="s">
        <v>1012</v>
      </c>
      <c r="BX79" s="15" t="s">
        <v>416</v>
      </c>
      <c r="BY79" s="15" t="str">
        <f t="shared" si="144"/>
        <v>35.04</v>
      </c>
      <c r="BZ79" s="15" t="s">
        <v>1404</v>
      </c>
      <c r="CA79" s="15" t="str">
        <f t="shared" si="145"/>
        <v>35.04</v>
      </c>
      <c r="CB79" s="15" t="s">
        <v>1404</v>
      </c>
      <c r="CC79" s="15" t="str">
        <f t="shared" si="146"/>
        <v>27.17</v>
      </c>
      <c r="CD79" s="15" t="s">
        <v>1478</v>
      </c>
      <c r="CE79" s="15" t="str">
        <f t="shared" si="147"/>
        <v>66.14</v>
      </c>
      <c r="CF79" s="15" t="s">
        <v>958</v>
      </c>
      <c r="CI79" s="15" t="s">
        <v>444</v>
      </c>
      <c r="CK79" s="15" t="s">
        <v>444</v>
      </c>
      <c r="CM79" s="15" t="s">
        <v>444</v>
      </c>
      <c r="CO79" s="15" t="s">
        <v>444</v>
      </c>
      <c r="CP79" s="15" t="str">
        <f t="shared" si="148"/>
        <v>98.7</v>
      </c>
      <c r="CQ79" s="15" t="str">
        <f t="shared" si="149"/>
        <v>2.795</v>
      </c>
      <c r="CR79" s="15" t="s">
        <v>465</v>
      </c>
      <c r="DC79" s="15" t="str">
        <f>IFERROR(__xludf.DUMMYFUNCTION("""COMPUTED_VALUE"""),"")</f>
        <v/>
      </c>
      <c r="DE79" s="15" t="str">
        <f>IFERROR(__xludf.DUMMYFUNCTION("""COMPUTED_VALUE"""),"")</f>
        <v/>
      </c>
      <c r="DG79" s="15" t="str">
        <f>IFERROR(__xludf.DUMMYFUNCTION("""COMPUTED_VALUE"""),"")</f>
        <v/>
      </c>
      <c r="DJ79" s="15" t="s">
        <v>717</v>
      </c>
      <c r="DK79" s="15" t="s">
        <v>855</v>
      </c>
      <c r="DL79" s="15" t="str">
        <f>IFERROR(__xludf.DUMMYFUNCTION("""COMPUTED_VALUE"""),"Clean with solvent-based (dry clean only) products. Do not use water.")</f>
        <v>Clean with solvent-based (dry clean only) products. Do not use water.</v>
      </c>
      <c r="DM79" s="15" t="s">
        <v>856</v>
      </c>
      <c r="DT79" s="15" t="s">
        <v>721</v>
      </c>
      <c r="DU79" s="15" t="s">
        <v>419</v>
      </c>
      <c r="DZ79" s="15">
        <v>25000.0</v>
      </c>
      <c r="EA79" s="15" t="s">
        <v>990</v>
      </c>
      <c r="EB79" s="15" t="s">
        <v>1016</v>
      </c>
      <c r="EE79" s="15">
        <v>5.0</v>
      </c>
      <c r="EF79" s="15" t="s">
        <v>1633</v>
      </c>
      <c r="EG79" s="15" t="s">
        <v>1634</v>
      </c>
      <c r="EH79" s="15" t="s">
        <v>1635</v>
      </c>
      <c r="EJ79" s="15" t="s">
        <v>1636</v>
      </c>
      <c r="EK79" s="15" t="s">
        <v>1637</v>
      </c>
      <c r="EM79" s="15" t="str">
        <f>IFERROR(__xludf.DUMMYFUNCTION("""COMPUTED_VALUE"""),"")</f>
        <v/>
      </c>
      <c r="FC79" s="15" t="s">
        <v>1016</v>
      </c>
      <c r="FF79" s="15" t="s">
        <v>997</v>
      </c>
      <c r="FS79" s="15" t="s">
        <v>1609</v>
      </c>
      <c r="HN79" s="15" t="s">
        <v>426</v>
      </c>
      <c r="HO79" s="15" t="s">
        <v>1638</v>
      </c>
      <c r="HP79" s="15" t="s">
        <v>1639</v>
      </c>
    </row>
    <row r="80" ht="15.75" customHeight="1">
      <c r="A80" s="14" t="s">
        <v>391</v>
      </c>
      <c r="B80" s="15" t="s">
        <v>1617</v>
      </c>
      <c r="C80" s="16"/>
      <c r="D80" s="15" t="s">
        <v>432</v>
      </c>
      <c r="G80" s="14" t="s">
        <v>393</v>
      </c>
      <c r="H80" s="14" t="s">
        <v>394</v>
      </c>
      <c r="I80" s="14" t="b">
        <v>1</v>
      </c>
      <c r="J80" s="14" t="s">
        <v>395</v>
      </c>
      <c r="L80" s="14" t="b">
        <v>0</v>
      </c>
      <c r="M80" s="15" t="s">
        <v>1657</v>
      </c>
      <c r="N80" s="14" t="s">
        <v>393</v>
      </c>
      <c r="O80" s="14" t="s">
        <v>393</v>
      </c>
      <c r="P80" s="15" t="s">
        <v>397</v>
      </c>
      <c r="Q80" s="15" t="s">
        <v>1658</v>
      </c>
      <c r="T80" s="14" t="b">
        <v>0</v>
      </c>
      <c r="U80" s="15" t="s">
        <v>1659</v>
      </c>
      <c r="V80" s="15" t="s">
        <v>1621</v>
      </c>
      <c r="W80" s="15" t="s">
        <v>401</v>
      </c>
      <c r="X80" s="15" t="s">
        <v>695</v>
      </c>
      <c r="Y80" s="15">
        <v>9828.0</v>
      </c>
      <c r="AA80" s="15" t="str">
        <f>"3780"</f>
        <v>3780</v>
      </c>
      <c r="AB80" s="14" t="b">
        <v>1</v>
      </c>
      <c r="AC80" s="14" t="b">
        <v>1</v>
      </c>
      <c r="AD80" s="15" t="str">
        <f>"801542051525"</f>
        <v>801542051525</v>
      </c>
      <c r="AE80" s="15" t="s">
        <v>1660</v>
      </c>
      <c r="AF80" s="14" t="s">
        <v>404</v>
      </c>
      <c r="AG80" s="14" t="s">
        <v>405</v>
      </c>
      <c r="AH80" s="14" t="s">
        <v>406</v>
      </c>
      <c r="AI80" s="15">
        <v>0.0</v>
      </c>
      <c r="AL80" s="15" t="s">
        <v>1600</v>
      </c>
      <c r="AM80" s="15" t="s">
        <v>1624</v>
      </c>
      <c r="AN80" s="15" t="s">
        <v>1625</v>
      </c>
      <c r="AO80" s="15" t="s">
        <v>1624</v>
      </c>
      <c r="AP80" s="15" t="s">
        <v>1625</v>
      </c>
      <c r="AQ80" s="15" t="s">
        <v>1626</v>
      </c>
      <c r="AR80" s="15" t="s">
        <v>1627</v>
      </c>
      <c r="AS80" s="15" t="s">
        <v>1628</v>
      </c>
      <c r="AT80" s="15" t="s">
        <v>1658</v>
      </c>
      <c r="AW80" s="15" t="s">
        <v>1629</v>
      </c>
      <c r="AX80" s="15" t="s">
        <v>1630</v>
      </c>
      <c r="AY80" s="15" t="s">
        <v>413</v>
      </c>
      <c r="AZ80" s="15" t="b">
        <v>0</v>
      </c>
      <c r="BA80" s="15" t="s">
        <v>413</v>
      </c>
      <c r="BB80" s="15" t="b">
        <v>0</v>
      </c>
      <c r="BC80" s="15" t="s">
        <v>1661</v>
      </c>
      <c r="BD80" s="15" t="s">
        <v>709</v>
      </c>
      <c r="BE80" s="15" t="str">
        <f t="shared" si="135"/>
        <v>3</v>
      </c>
      <c r="BF80" s="15" t="s">
        <v>416</v>
      </c>
      <c r="BG80" s="15" t="str">
        <f t="shared" si="136"/>
        <v>72.05</v>
      </c>
      <c r="BH80" s="15" t="s">
        <v>1632</v>
      </c>
      <c r="BI80" s="15" t="str">
        <f t="shared" si="137"/>
        <v>35.04</v>
      </c>
      <c r="BJ80" s="15" t="s">
        <v>1404</v>
      </c>
      <c r="BK80" s="15" t="str">
        <f t="shared" si="138"/>
        <v>27.17</v>
      </c>
      <c r="BL80" s="15" t="s">
        <v>1478</v>
      </c>
      <c r="BM80" s="15" t="str">
        <f t="shared" si="139"/>
        <v>116.84</v>
      </c>
      <c r="BN80" s="15" t="s">
        <v>1012</v>
      </c>
      <c r="BO80" s="15" t="s">
        <v>416</v>
      </c>
      <c r="BP80" s="15" t="str">
        <f t="shared" si="140"/>
        <v>72.05</v>
      </c>
      <c r="BQ80" s="15" t="s">
        <v>1632</v>
      </c>
      <c r="BR80" s="15" t="str">
        <f t="shared" si="141"/>
        <v>35.04</v>
      </c>
      <c r="BS80" s="15" t="s">
        <v>1404</v>
      </c>
      <c r="BT80" s="15" t="str">
        <f t="shared" si="142"/>
        <v>27.17</v>
      </c>
      <c r="BU80" s="15" t="s">
        <v>1478</v>
      </c>
      <c r="BV80" s="15" t="str">
        <f t="shared" si="143"/>
        <v>116.84</v>
      </c>
      <c r="BW80" s="15" t="s">
        <v>1012</v>
      </c>
      <c r="BX80" s="15" t="s">
        <v>416</v>
      </c>
      <c r="BY80" s="15" t="str">
        <f t="shared" si="144"/>
        <v>35.04</v>
      </c>
      <c r="BZ80" s="15" t="s">
        <v>1404</v>
      </c>
      <c r="CA80" s="15" t="str">
        <f t="shared" si="145"/>
        <v>35.04</v>
      </c>
      <c r="CB80" s="15" t="s">
        <v>1404</v>
      </c>
      <c r="CC80" s="15" t="str">
        <f t="shared" si="146"/>
        <v>27.17</v>
      </c>
      <c r="CD80" s="15" t="s">
        <v>1478</v>
      </c>
      <c r="CE80" s="15" t="str">
        <f t="shared" si="147"/>
        <v>66.14</v>
      </c>
      <c r="CF80" s="15" t="s">
        <v>958</v>
      </c>
      <c r="CI80" s="15" t="s">
        <v>444</v>
      </c>
      <c r="CK80" s="15" t="s">
        <v>444</v>
      </c>
      <c r="CM80" s="15" t="s">
        <v>444</v>
      </c>
      <c r="CO80" s="15" t="s">
        <v>444</v>
      </c>
      <c r="CP80" s="15" t="str">
        <f t="shared" si="148"/>
        <v>98.7</v>
      </c>
      <c r="CQ80" s="15" t="str">
        <f t="shared" si="149"/>
        <v>2.795</v>
      </c>
      <c r="CR80" s="15" t="s">
        <v>465</v>
      </c>
      <c r="DC80" s="15" t="str">
        <f>IFERROR(__xludf.DUMMYFUNCTION("""COMPUTED_VALUE"""),"")</f>
        <v/>
      </c>
      <c r="DE80" s="15" t="str">
        <f>IFERROR(__xludf.DUMMYFUNCTION("""COMPUTED_VALUE"""),"")</f>
        <v/>
      </c>
      <c r="DG80" s="15" t="str">
        <f>IFERROR(__xludf.DUMMYFUNCTION("""COMPUTED_VALUE"""),"")</f>
        <v/>
      </c>
      <c r="DJ80" s="15" t="s">
        <v>717</v>
      </c>
      <c r="DK80" s="15" t="s">
        <v>718</v>
      </c>
      <c r="DL80" s="15" t="str">
        <f>IFERROR(__xludf.DUMMYFUNCTION("""COMPUTED_VALUE"""),"Vacuum or light brush only. Do not use water or any cleaning products.")</f>
        <v>Vacuum or light brush only. Do not use water or any cleaning products.</v>
      </c>
      <c r="DM80" s="15" t="s">
        <v>719</v>
      </c>
      <c r="DT80" s="15" t="s">
        <v>721</v>
      </c>
      <c r="DU80" s="15" t="s">
        <v>419</v>
      </c>
      <c r="DZ80" s="15">
        <v>0.0</v>
      </c>
      <c r="EA80" s="15" t="s">
        <v>990</v>
      </c>
      <c r="EB80" s="15" t="s">
        <v>1016</v>
      </c>
      <c r="EE80" s="15">
        <v>5.0</v>
      </c>
      <c r="EF80" s="15" t="s">
        <v>1633</v>
      </c>
      <c r="EG80" s="15" t="s">
        <v>1634</v>
      </c>
      <c r="EH80" s="15" t="s">
        <v>1635</v>
      </c>
      <c r="EJ80" s="15" t="s">
        <v>1636</v>
      </c>
      <c r="EK80" s="15" t="s">
        <v>1637</v>
      </c>
      <c r="EM80" s="15" t="str">
        <f>IFERROR(__xludf.DUMMYFUNCTION("""COMPUTED_VALUE"""),"")</f>
        <v/>
      </c>
      <c r="FC80" s="15" t="s">
        <v>1016</v>
      </c>
      <c r="FF80" s="15" t="s">
        <v>997</v>
      </c>
      <c r="FS80" s="15" t="s">
        <v>1609</v>
      </c>
      <c r="HN80" s="15" t="s">
        <v>426</v>
      </c>
      <c r="HO80" s="15" t="s">
        <v>1638</v>
      </c>
      <c r="HP80" s="15" t="s">
        <v>1639</v>
      </c>
    </row>
    <row r="81" ht="15.75" customHeight="1">
      <c r="A81" s="14" t="s">
        <v>391</v>
      </c>
      <c r="B81" s="15" t="s">
        <v>1617</v>
      </c>
      <c r="C81" s="16"/>
      <c r="D81" s="15" t="s">
        <v>432</v>
      </c>
      <c r="G81" s="14" t="s">
        <v>393</v>
      </c>
      <c r="H81" s="14" t="s">
        <v>394</v>
      </c>
      <c r="I81" s="14" t="b">
        <v>1</v>
      </c>
      <c r="J81" s="14" t="s">
        <v>395</v>
      </c>
      <c r="L81" s="14" t="b">
        <v>0</v>
      </c>
      <c r="M81" s="15" t="s">
        <v>1662</v>
      </c>
      <c r="N81" s="14" t="s">
        <v>393</v>
      </c>
      <c r="O81" s="14" t="s">
        <v>393</v>
      </c>
      <c r="P81" s="15" t="s">
        <v>397</v>
      </c>
      <c r="Q81" s="15" t="s">
        <v>1663</v>
      </c>
      <c r="T81" s="14" t="b">
        <v>0</v>
      </c>
      <c r="U81" s="15" t="s">
        <v>1664</v>
      </c>
      <c r="V81" s="15" t="s">
        <v>1621</v>
      </c>
      <c r="W81" s="15" t="s">
        <v>401</v>
      </c>
      <c r="X81" s="15" t="s">
        <v>695</v>
      </c>
      <c r="Y81" s="15">
        <v>5252.0</v>
      </c>
      <c r="AA81" s="15" t="str">
        <f>"2020"</f>
        <v>2020</v>
      </c>
      <c r="AB81" s="14" t="b">
        <v>1</v>
      </c>
      <c r="AC81" s="14" t="b">
        <v>1</v>
      </c>
      <c r="AD81" s="15" t="str">
        <f>"801542051532"</f>
        <v>801542051532</v>
      </c>
      <c r="AE81" s="15" t="s">
        <v>1665</v>
      </c>
      <c r="AF81" s="14" t="s">
        <v>404</v>
      </c>
      <c r="AG81" s="14" t="s">
        <v>405</v>
      </c>
      <c r="AH81" s="14" t="s">
        <v>406</v>
      </c>
      <c r="AI81" s="15">
        <v>0.0</v>
      </c>
      <c r="AL81" s="15" t="s">
        <v>1666</v>
      </c>
      <c r="AM81" s="15" t="s">
        <v>1624</v>
      </c>
      <c r="AN81" s="15" t="s">
        <v>1625</v>
      </c>
      <c r="AO81" s="15" t="s">
        <v>1624</v>
      </c>
      <c r="AP81" s="15" t="s">
        <v>1625</v>
      </c>
      <c r="AQ81" s="15" t="s">
        <v>1626</v>
      </c>
      <c r="AR81" s="15" t="s">
        <v>1627</v>
      </c>
      <c r="AS81" s="15" t="s">
        <v>1628</v>
      </c>
      <c r="AT81" s="15" t="s">
        <v>1663</v>
      </c>
      <c r="AW81" s="15" t="s">
        <v>1629</v>
      </c>
      <c r="AX81" s="15" t="s">
        <v>1630</v>
      </c>
      <c r="AY81" s="15" t="s">
        <v>426</v>
      </c>
      <c r="AZ81" s="15" t="b">
        <v>1</v>
      </c>
      <c r="BA81" s="15" t="s">
        <v>413</v>
      </c>
      <c r="BB81" s="15" t="b">
        <v>0</v>
      </c>
      <c r="BC81" s="15" t="s">
        <v>1667</v>
      </c>
      <c r="BD81" s="15" t="s">
        <v>709</v>
      </c>
      <c r="BE81" s="15" t="str">
        <f t="shared" si="135"/>
        <v>3</v>
      </c>
      <c r="BF81" s="15" t="s">
        <v>416</v>
      </c>
      <c r="BG81" s="15" t="str">
        <f t="shared" si="136"/>
        <v>72.05</v>
      </c>
      <c r="BH81" s="15" t="s">
        <v>1632</v>
      </c>
      <c r="BI81" s="15" t="str">
        <f t="shared" si="137"/>
        <v>35.04</v>
      </c>
      <c r="BJ81" s="15" t="s">
        <v>1404</v>
      </c>
      <c r="BK81" s="15" t="str">
        <f t="shared" si="138"/>
        <v>27.17</v>
      </c>
      <c r="BL81" s="15" t="s">
        <v>1478</v>
      </c>
      <c r="BM81" s="15" t="str">
        <f t="shared" si="139"/>
        <v>116.84</v>
      </c>
      <c r="BN81" s="15" t="s">
        <v>1012</v>
      </c>
      <c r="BO81" s="15" t="s">
        <v>416</v>
      </c>
      <c r="BP81" s="15" t="str">
        <f t="shared" si="140"/>
        <v>72.05</v>
      </c>
      <c r="BQ81" s="15" t="s">
        <v>1632</v>
      </c>
      <c r="BR81" s="15" t="str">
        <f t="shared" si="141"/>
        <v>35.04</v>
      </c>
      <c r="BS81" s="15" t="s">
        <v>1404</v>
      </c>
      <c r="BT81" s="15" t="str">
        <f t="shared" si="142"/>
        <v>27.17</v>
      </c>
      <c r="BU81" s="15" t="s">
        <v>1478</v>
      </c>
      <c r="BV81" s="15" t="str">
        <f t="shared" si="143"/>
        <v>116.84</v>
      </c>
      <c r="BW81" s="15" t="s">
        <v>1012</v>
      </c>
      <c r="BX81" s="15" t="s">
        <v>416</v>
      </c>
      <c r="BY81" s="15" t="str">
        <f t="shared" si="144"/>
        <v>35.04</v>
      </c>
      <c r="BZ81" s="15" t="s">
        <v>1404</v>
      </c>
      <c r="CA81" s="15" t="str">
        <f t="shared" si="145"/>
        <v>35.04</v>
      </c>
      <c r="CB81" s="15" t="s">
        <v>1404</v>
      </c>
      <c r="CC81" s="15" t="str">
        <f t="shared" si="146"/>
        <v>27.17</v>
      </c>
      <c r="CD81" s="15" t="s">
        <v>1478</v>
      </c>
      <c r="CE81" s="15" t="str">
        <f t="shared" si="147"/>
        <v>66.14</v>
      </c>
      <c r="CF81" s="15" t="s">
        <v>958</v>
      </c>
      <c r="CI81" s="15" t="s">
        <v>444</v>
      </c>
      <c r="CK81" s="15" t="s">
        <v>444</v>
      </c>
      <c r="CM81" s="15" t="s">
        <v>444</v>
      </c>
      <c r="CO81" s="15" t="s">
        <v>444</v>
      </c>
      <c r="CP81" s="15" t="str">
        <f t="shared" si="148"/>
        <v>98.7</v>
      </c>
      <c r="CQ81" s="15" t="str">
        <f t="shared" si="149"/>
        <v>2.795</v>
      </c>
      <c r="CR81" s="15" t="s">
        <v>497</v>
      </c>
      <c r="DC81" s="15" t="str">
        <f>IFERROR(__xludf.DUMMYFUNCTION("""COMPUTED_VALUE"""),"")</f>
        <v/>
      </c>
      <c r="DE81" s="15" t="str">
        <f>IFERROR(__xludf.DUMMYFUNCTION("""COMPUTED_VALUE"""),"")</f>
        <v/>
      </c>
      <c r="DG81" s="15" t="str">
        <f>IFERROR(__xludf.DUMMYFUNCTION("""COMPUTED_VALUE"""),"")</f>
        <v/>
      </c>
      <c r="DJ81" s="15" t="s">
        <v>717</v>
      </c>
      <c r="DK81" s="15" t="s">
        <v>897</v>
      </c>
      <c r="DL81" s="15" t="str">
        <f>IFERROR(__xludf.DUMMYFUNCTION("""COMPUTED_VALUE"""),"Clean with water-based products only. Use mild detergent or upholstery shampoo.")</f>
        <v>Clean with water-based products only. Use mild detergent or upholstery shampoo.</v>
      </c>
      <c r="DM81" s="15" t="s">
        <v>898</v>
      </c>
      <c r="DT81" s="15" t="s">
        <v>721</v>
      </c>
      <c r="DU81" s="15" t="s">
        <v>419</v>
      </c>
      <c r="DZ81" s="15">
        <v>100000.0</v>
      </c>
      <c r="EA81" s="15" t="s">
        <v>990</v>
      </c>
      <c r="EB81" s="15" t="s">
        <v>1016</v>
      </c>
      <c r="EE81" s="15">
        <v>5.0</v>
      </c>
      <c r="EF81" s="15" t="s">
        <v>1633</v>
      </c>
      <c r="EG81" s="15" t="s">
        <v>1634</v>
      </c>
      <c r="EH81" s="15" t="s">
        <v>1635</v>
      </c>
      <c r="EJ81" s="15" t="s">
        <v>1636</v>
      </c>
      <c r="EK81" s="15" t="s">
        <v>1637</v>
      </c>
      <c r="EM81" s="15" t="str">
        <f>IFERROR(__xludf.DUMMYFUNCTION("""COMPUTED_VALUE"""),"")</f>
        <v/>
      </c>
      <c r="FC81" s="15" t="s">
        <v>1016</v>
      </c>
      <c r="FF81" s="15" t="s">
        <v>997</v>
      </c>
      <c r="FS81" s="15" t="s">
        <v>1609</v>
      </c>
      <c r="HN81" s="15" t="s">
        <v>426</v>
      </c>
      <c r="HO81" s="15" t="s">
        <v>1638</v>
      </c>
      <c r="HP81" s="15" t="s">
        <v>1639</v>
      </c>
    </row>
    <row r="82" ht="15.75" customHeight="1">
      <c r="A82" s="14" t="s">
        <v>391</v>
      </c>
      <c r="B82" s="15" t="s">
        <v>1668</v>
      </c>
      <c r="C82" s="16"/>
      <c r="D82" s="15" t="s">
        <v>432</v>
      </c>
      <c r="G82" s="14" t="s">
        <v>393</v>
      </c>
      <c r="H82" s="14" t="s">
        <v>394</v>
      </c>
      <c r="I82" s="14" t="b">
        <v>1</v>
      </c>
      <c r="J82" s="14" t="s">
        <v>395</v>
      </c>
      <c r="L82" s="14" t="b">
        <v>0</v>
      </c>
      <c r="M82" s="15" t="s">
        <v>1669</v>
      </c>
      <c r="N82" s="14" t="s">
        <v>393</v>
      </c>
      <c r="O82" s="14" t="s">
        <v>393</v>
      </c>
      <c r="P82" s="15" t="s">
        <v>397</v>
      </c>
      <c r="Q82" s="15" t="s">
        <v>1641</v>
      </c>
      <c r="T82" s="14" t="b">
        <v>0</v>
      </c>
      <c r="U82" s="15" t="s">
        <v>1670</v>
      </c>
      <c r="V82" s="15" t="s">
        <v>1671</v>
      </c>
      <c r="W82" s="15" t="s">
        <v>401</v>
      </c>
      <c r="X82" s="15" t="s">
        <v>695</v>
      </c>
      <c r="Y82" s="15">
        <v>1807.0</v>
      </c>
      <c r="AA82" s="15" t="str">
        <f>"695"</f>
        <v>695</v>
      </c>
      <c r="AB82" s="14" t="b">
        <v>1</v>
      </c>
      <c r="AC82" s="14" t="b">
        <v>1</v>
      </c>
      <c r="AD82" s="15" t="str">
        <f>"801542774240"</f>
        <v>801542774240</v>
      </c>
      <c r="AE82" s="15" t="s">
        <v>1672</v>
      </c>
      <c r="AF82" s="14" t="s">
        <v>404</v>
      </c>
      <c r="AG82" s="14" t="s">
        <v>405</v>
      </c>
      <c r="AH82" s="14" t="s">
        <v>406</v>
      </c>
      <c r="AI82" s="15">
        <v>0.0</v>
      </c>
      <c r="AL82" s="15" t="s">
        <v>1600</v>
      </c>
      <c r="AM82" s="15" t="s">
        <v>1673</v>
      </c>
      <c r="AN82" s="15" t="s">
        <v>1674</v>
      </c>
      <c r="AO82" s="15" t="s">
        <v>1675</v>
      </c>
      <c r="AP82" s="15" t="s">
        <v>1676</v>
      </c>
      <c r="AQ82" s="15" t="s">
        <v>1007</v>
      </c>
      <c r="AR82" s="15" t="s">
        <v>1008</v>
      </c>
      <c r="AS82" s="15" t="s">
        <v>1628</v>
      </c>
      <c r="AT82" s="15" t="s">
        <v>1641</v>
      </c>
      <c r="AW82" s="15" t="s">
        <v>458</v>
      </c>
      <c r="AX82" s="15" t="s">
        <v>459</v>
      </c>
      <c r="AY82" s="15" t="s">
        <v>426</v>
      </c>
      <c r="AZ82" s="15" t="b">
        <v>1</v>
      </c>
      <c r="BA82" s="15" t="s">
        <v>413</v>
      </c>
      <c r="BB82" s="15" t="b">
        <v>0</v>
      </c>
      <c r="BC82" s="15" t="s">
        <v>1677</v>
      </c>
      <c r="BD82" s="15" t="s">
        <v>709</v>
      </c>
      <c r="BE82" s="15" t="str">
        <f t="shared" ref="BE82:BE108" si="151">"1"</f>
        <v>1</v>
      </c>
      <c r="BF82" s="15" t="s">
        <v>1678</v>
      </c>
      <c r="BG82" s="15" t="str">
        <f t="shared" ref="BG82:BG84" si="152">"62.6"</f>
        <v>62.6</v>
      </c>
      <c r="BH82" s="15" t="s">
        <v>1679</v>
      </c>
      <c r="BI82" s="15" t="str">
        <f t="shared" ref="BI82:BI84" si="153">"21.65"</f>
        <v>21.65</v>
      </c>
      <c r="BJ82" s="15" t="s">
        <v>1506</v>
      </c>
      <c r="BK82" s="15" t="str">
        <f t="shared" ref="BK82:BK84" si="154">"19.69"</f>
        <v>19.69</v>
      </c>
      <c r="BL82" s="15" t="s">
        <v>1680</v>
      </c>
      <c r="BM82" s="15" t="str">
        <f t="shared" ref="BM82:BM84" si="155">"62.83"</f>
        <v>62.83</v>
      </c>
      <c r="BN82" s="15" t="s">
        <v>1681</v>
      </c>
      <c r="BQ82" s="15" t="s">
        <v>444</v>
      </c>
      <c r="BS82" s="15" t="s">
        <v>444</v>
      </c>
      <c r="BU82" s="15" t="s">
        <v>444</v>
      </c>
      <c r="BW82" s="15" t="s">
        <v>444</v>
      </c>
      <c r="BZ82" s="15" t="s">
        <v>444</v>
      </c>
      <c r="CB82" s="15" t="s">
        <v>444</v>
      </c>
      <c r="CD82" s="15" t="s">
        <v>444</v>
      </c>
      <c r="CF82" s="15" t="s">
        <v>444</v>
      </c>
      <c r="CI82" s="15" t="s">
        <v>444</v>
      </c>
      <c r="CK82" s="15" t="s">
        <v>444</v>
      </c>
      <c r="CM82" s="15" t="s">
        <v>444</v>
      </c>
      <c r="CO82" s="15" t="s">
        <v>444</v>
      </c>
      <c r="CP82" s="15" t="str">
        <f t="shared" ref="CP82:CP84" si="156">"15.43"</f>
        <v>15.43</v>
      </c>
      <c r="CQ82" s="15" t="str">
        <f t="shared" ref="CQ82:CQ84" si="157">"0.437"</f>
        <v>0.437</v>
      </c>
      <c r="CR82" s="15" t="s">
        <v>417</v>
      </c>
      <c r="DB82" s="15" t="s">
        <v>1331</v>
      </c>
      <c r="DC82" s="15" t="str">
        <f>IFERROR(__xludf.DUMMYFUNCTION("""COMPUTED_VALUE"""),"{""value"":21.00,""unit"":""in""}")</f>
        <v>{"value":21.00,"unit":"in"}</v>
      </c>
      <c r="DD82" s="15" t="s">
        <v>1065</v>
      </c>
      <c r="DE82" s="15" t="str">
        <f>IFERROR(__xludf.DUMMYFUNCTION("""COMPUTED_VALUE"""),"{""value"":18.00,""unit"":""in""}")</f>
        <v>{"value":18.00,"unit":"in"}</v>
      </c>
      <c r="DF82" s="15" t="s">
        <v>1682</v>
      </c>
      <c r="DG82" s="15" t="str">
        <f>IFERROR(__xludf.DUMMYFUNCTION("""COMPUTED_VALUE"""),"{""value"":61.00,""unit"":""in""}")</f>
        <v>{"value":61.00,"unit":"in"}</v>
      </c>
      <c r="DH82" s="15">
        <v>0.0</v>
      </c>
      <c r="DI82" s="15">
        <v>0.0</v>
      </c>
      <c r="DJ82" s="15" t="s">
        <v>469</v>
      </c>
      <c r="DK82" s="15" t="s">
        <v>718</v>
      </c>
      <c r="DL82" s="15" t="str">
        <f>IFERROR(__xludf.DUMMYFUNCTION("""COMPUTED_VALUE"""),"Vacuum or light brush only. Do not use water or any cleaning products.")</f>
        <v>Vacuum or light brush only. Do not use water or any cleaning products.</v>
      </c>
      <c r="DM82" s="15" t="s">
        <v>719</v>
      </c>
      <c r="DN82" s="15" t="s">
        <v>419</v>
      </c>
      <c r="DO82" s="15">
        <v>0.0</v>
      </c>
      <c r="DP82" s="15" t="s">
        <v>419</v>
      </c>
      <c r="DR82" s="15">
        <v>0.0</v>
      </c>
      <c r="DT82" s="15" t="s">
        <v>721</v>
      </c>
      <c r="DU82" s="15" t="s">
        <v>419</v>
      </c>
      <c r="DV82" s="15">
        <v>0.0</v>
      </c>
      <c r="DW82" s="15">
        <v>0.0</v>
      </c>
      <c r="DX82" s="15">
        <v>0.0</v>
      </c>
      <c r="DY82" s="15">
        <v>0.0</v>
      </c>
      <c r="DZ82" s="15">
        <v>0.0</v>
      </c>
      <c r="EA82" s="15" t="s">
        <v>470</v>
      </c>
      <c r="ED82" s="15">
        <v>0.0</v>
      </c>
      <c r="EE82" s="15">
        <v>3.0</v>
      </c>
      <c r="EF82" s="15" t="s">
        <v>471</v>
      </c>
      <c r="EG82" s="15" t="s">
        <v>472</v>
      </c>
      <c r="EH82" s="15" t="s">
        <v>1635</v>
      </c>
      <c r="EI82" s="15">
        <v>0.0</v>
      </c>
      <c r="EJ82" s="15" t="s">
        <v>473</v>
      </c>
      <c r="EK82" s="15" t="s">
        <v>474</v>
      </c>
      <c r="EM82" s="15" t="str">
        <f>IFERROR(__xludf.DUMMYFUNCTION("""COMPUTED_VALUE"""),"")</f>
        <v/>
      </c>
      <c r="EW82" s="15" t="s">
        <v>1288</v>
      </c>
      <c r="EY82" s="15" t="s">
        <v>1683</v>
      </c>
      <c r="FF82" s="15" t="s">
        <v>997</v>
      </c>
      <c r="FS82" s="15" t="s">
        <v>1609</v>
      </c>
    </row>
    <row r="83" ht="15.75" customHeight="1">
      <c r="A83" s="14" t="s">
        <v>391</v>
      </c>
      <c r="B83" s="15" t="s">
        <v>1668</v>
      </c>
      <c r="C83" s="16"/>
      <c r="D83" s="15" t="s">
        <v>432</v>
      </c>
      <c r="G83" s="14" t="s">
        <v>393</v>
      </c>
      <c r="H83" s="14" t="s">
        <v>394</v>
      </c>
      <c r="I83" s="14" t="b">
        <v>1</v>
      </c>
      <c r="J83" s="14" t="s">
        <v>395</v>
      </c>
      <c r="L83" s="14" t="b">
        <v>0</v>
      </c>
      <c r="M83" s="15" t="s">
        <v>1684</v>
      </c>
      <c r="N83" s="14" t="s">
        <v>393</v>
      </c>
      <c r="O83" s="14" t="s">
        <v>393</v>
      </c>
      <c r="P83" s="15" t="s">
        <v>397</v>
      </c>
      <c r="Q83" s="15" t="s">
        <v>1663</v>
      </c>
      <c r="T83" s="14" t="b">
        <v>0</v>
      </c>
      <c r="U83" s="15" t="s">
        <v>1685</v>
      </c>
      <c r="V83" s="15" t="s">
        <v>1671</v>
      </c>
      <c r="W83" s="15" t="s">
        <v>401</v>
      </c>
      <c r="X83" s="15" t="s">
        <v>695</v>
      </c>
      <c r="Y83" s="15">
        <v>1040.0</v>
      </c>
      <c r="AA83" s="15" t="str">
        <f t="shared" ref="AA83:AA84" si="158">"400"</f>
        <v>400</v>
      </c>
      <c r="AB83" s="14" t="b">
        <v>1</v>
      </c>
      <c r="AC83" s="14" t="b">
        <v>1</v>
      </c>
      <c r="AD83" s="15" t="str">
        <f>"801542061258"</f>
        <v>801542061258</v>
      </c>
      <c r="AE83" s="15" t="s">
        <v>1686</v>
      </c>
      <c r="AF83" s="14" t="s">
        <v>404</v>
      </c>
      <c r="AG83" s="14" t="s">
        <v>405</v>
      </c>
      <c r="AH83" s="14" t="s">
        <v>406</v>
      </c>
      <c r="AI83" s="15">
        <v>0.0</v>
      </c>
      <c r="AL83" s="15" t="s">
        <v>1666</v>
      </c>
      <c r="AM83" s="15" t="s">
        <v>1673</v>
      </c>
      <c r="AN83" s="15" t="s">
        <v>1674</v>
      </c>
      <c r="AO83" s="15" t="s">
        <v>1675</v>
      </c>
      <c r="AP83" s="15" t="s">
        <v>1676</v>
      </c>
      <c r="AQ83" s="15" t="s">
        <v>1007</v>
      </c>
      <c r="AR83" s="15" t="s">
        <v>1008</v>
      </c>
      <c r="AS83" s="15" t="s">
        <v>1628</v>
      </c>
      <c r="AT83" s="15" t="s">
        <v>1663</v>
      </c>
      <c r="AW83" s="15" t="s">
        <v>458</v>
      </c>
      <c r="AX83" s="15" t="s">
        <v>459</v>
      </c>
      <c r="AY83" s="15" t="s">
        <v>426</v>
      </c>
      <c r="AZ83" s="15" t="b">
        <v>1</v>
      </c>
      <c r="BA83" s="15" t="s">
        <v>413</v>
      </c>
      <c r="BB83" s="15" t="b">
        <v>0</v>
      </c>
      <c r="BC83" s="15" t="s">
        <v>1687</v>
      </c>
      <c r="BD83" s="15" t="s">
        <v>709</v>
      </c>
      <c r="BE83" s="15" t="str">
        <f t="shared" si="151"/>
        <v>1</v>
      </c>
      <c r="BF83" s="15" t="s">
        <v>416</v>
      </c>
      <c r="BG83" s="15" t="str">
        <f t="shared" si="152"/>
        <v>62.6</v>
      </c>
      <c r="BH83" s="15" t="s">
        <v>1679</v>
      </c>
      <c r="BI83" s="15" t="str">
        <f t="shared" si="153"/>
        <v>21.65</v>
      </c>
      <c r="BJ83" s="15" t="s">
        <v>1506</v>
      </c>
      <c r="BK83" s="15" t="str">
        <f t="shared" si="154"/>
        <v>19.69</v>
      </c>
      <c r="BL83" s="15" t="s">
        <v>1680</v>
      </c>
      <c r="BM83" s="15" t="str">
        <f t="shared" si="155"/>
        <v>62.83</v>
      </c>
      <c r="BN83" s="15" t="s">
        <v>1681</v>
      </c>
      <c r="BQ83" s="15" t="s">
        <v>444</v>
      </c>
      <c r="BS83" s="15" t="s">
        <v>444</v>
      </c>
      <c r="BU83" s="15" t="s">
        <v>444</v>
      </c>
      <c r="BW83" s="15" t="s">
        <v>444</v>
      </c>
      <c r="BZ83" s="15" t="s">
        <v>444</v>
      </c>
      <c r="CB83" s="15" t="s">
        <v>444</v>
      </c>
      <c r="CD83" s="15" t="s">
        <v>444</v>
      </c>
      <c r="CF83" s="15" t="s">
        <v>444</v>
      </c>
      <c r="CI83" s="15" t="s">
        <v>444</v>
      </c>
      <c r="CK83" s="15" t="s">
        <v>444</v>
      </c>
      <c r="CM83" s="15" t="s">
        <v>444</v>
      </c>
      <c r="CO83" s="15" t="s">
        <v>444</v>
      </c>
      <c r="CP83" s="15" t="str">
        <f t="shared" si="156"/>
        <v>15.43</v>
      </c>
      <c r="CQ83" s="15" t="str">
        <f t="shared" si="157"/>
        <v>0.437</v>
      </c>
      <c r="CR83" s="15" t="s">
        <v>417</v>
      </c>
      <c r="DB83" s="15" t="s">
        <v>1331</v>
      </c>
      <c r="DC83" s="15" t="str">
        <f>IFERROR(__xludf.DUMMYFUNCTION("""COMPUTED_VALUE"""),"{""value"":21.00,""unit"":""in""}")</f>
        <v>{"value":21.00,"unit":"in"}</v>
      </c>
      <c r="DD83" s="15" t="s">
        <v>1065</v>
      </c>
      <c r="DE83" s="15" t="str">
        <f>IFERROR(__xludf.DUMMYFUNCTION("""COMPUTED_VALUE"""),"{""value"":18.00,""unit"":""in""}")</f>
        <v>{"value":18.00,"unit":"in"}</v>
      </c>
      <c r="DF83" s="15" t="s">
        <v>1682</v>
      </c>
      <c r="DG83" s="15" t="str">
        <f>IFERROR(__xludf.DUMMYFUNCTION("""COMPUTED_VALUE"""),"{""value"":61.00,""unit"":""in""}")</f>
        <v>{"value":61.00,"unit":"in"}</v>
      </c>
      <c r="DH83" s="15">
        <v>0.0</v>
      </c>
      <c r="DI83" s="15">
        <v>0.0</v>
      </c>
      <c r="DJ83" s="15" t="s">
        <v>469</v>
      </c>
      <c r="DK83" s="15" t="s">
        <v>897</v>
      </c>
      <c r="DL83" s="15" t="str">
        <f>IFERROR(__xludf.DUMMYFUNCTION("""COMPUTED_VALUE"""),"Clean with water-based products only. Use mild detergent or upholstery shampoo.")</f>
        <v>Clean with water-based products only. Use mild detergent or upholstery shampoo.</v>
      </c>
      <c r="DM83" s="15" t="s">
        <v>898</v>
      </c>
      <c r="DN83" s="15" t="s">
        <v>419</v>
      </c>
      <c r="DO83" s="15">
        <v>0.0</v>
      </c>
      <c r="DP83" s="15" t="s">
        <v>419</v>
      </c>
      <c r="DR83" s="15">
        <v>0.0</v>
      </c>
      <c r="DT83" s="15" t="s">
        <v>721</v>
      </c>
      <c r="DU83" s="15" t="s">
        <v>419</v>
      </c>
      <c r="DV83" s="15">
        <v>0.0</v>
      </c>
      <c r="DW83" s="15">
        <v>0.0</v>
      </c>
      <c r="DX83" s="15">
        <v>0.0</v>
      </c>
      <c r="DY83" s="15">
        <v>0.0</v>
      </c>
      <c r="DZ83" s="15">
        <v>100000.0</v>
      </c>
      <c r="EA83" s="15" t="s">
        <v>470</v>
      </c>
      <c r="ED83" s="15">
        <v>0.0</v>
      </c>
      <c r="EE83" s="15">
        <v>3.0</v>
      </c>
      <c r="EF83" s="15" t="s">
        <v>471</v>
      </c>
      <c r="EG83" s="15" t="s">
        <v>472</v>
      </c>
      <c r="EH83" s="15" t="s">
        <v>1635</v>
      </c>
      <c r="EI83" s="15">
        <v>0.0</v>
      </c>
      <c r="EJ83" s="15" t="s">
        <v>473</v>
      </c>
      <c r="EK83" s="15" t="s">
        <v>474</v>
      </c>
      <c r="EM83" s="15" t="str">
        <f>IFERROR(__xludf.DUMMYFUNCTION("""COMPUTED_VALUE"""),"")</f>
        <v/>
      </c>
      <c r="EW83" s="15" t="s">
        <v>1288</v>
      </c>
      <c r="EY83" s="15" t="s">
        <v>1683</v>
      </c>
      <c r="FF83" s="15" t="s">
        <v>997</v>
      </c>
      <c r="FS83" s="15" t="s">
        <v>1609</v>
      </c>
    </row>
    <row r="84" ht="15.75" customHeight="1">
      <c r="A84" s="14" t="s">
        <v>391</v>
      </c>
      <c r="B84" s="15" t="s">
        <v>1668</v>
      </c>
      <c r="C84" s="16"/>
      <c r="D84" s="15" t="s">
        <v>432</v>
      </c>
      <c r="G84" s="14" t="s">
        <v>393</v>
      </c>
      <c r="H84" s="14" t="s">
        <v>394</v>
      </c>
      <c r="I84" s="14" t="b">
        <v>1</v>
      </c>
      <c r="J84" s="14" t="s">
        <v>395</v>
      </c>
      <c r="L84" s="14" t="b">
        <v>0</v>
      </c>
      <c r="M84" s="15" t="s">
        <v>1688</v>
      </c>
      <c r="N84" s="14" t="s">
        <v>393</v>
      </c>
      <c r="O84" s="14" t="s">
        <v>393</v>
      </c>
      <c r="P84" s="15" t="s">
        <v>397</v>
      </c>
      <c r="Q84" s="15" t="s">
        <v>1689</v>
      </c>
      <c r="T84" s="14" t="b">
        <v>0</v>
      </c>
      <c r="U84" s="15" t="s">
        <v>1690</v>
      </c>
      <c r="V84" s="15" t="s">
        <v>1671</v>
      </c>
      <c r="W84" s="15" t="s">
        <v>401</v>
      </c>
      <c r="X84" s="15" t="s">
        <v>695</v>
      </c>
      <c r="Y84" s="15">
        <v>1040.0</v>
      </c>
      <c r="AA84" s="15" t="str">
        <f t="shared" si="158"/>
        <v>400</v>
      </c>
      <c r="AB84" s="14" t="b">
        <v>1</v>
      </c>
      <c r="AC84" s="14" t="b">
        <v>1</v>
      </c>
      <c r="AD84" s="15" t="str">
        <f>"801542061265"</f>
        <v>801542061265</v>
      </c>
      <c r="AE84" s="15" t="s">
        <v>1691</v>
      </c>
      <c r="AF84" s="14" t="s">
        <v>404</v>
      </c>
      <c r="AG84" s="14" t="s">
        <v>405</v>
      </c>
      <c r="AH84" s="14" t="s">
        <v>406</v>
      </c>
      <c r="AI84" s="15">
        <v>0.0</v>
      </c>
      <c r="AL84" s="15" t="s">
        <v>1615</v>
      </c>
      <c r="AM84" s="15" t="s">
        <v>1673</v>
      </c>
      <c r="AN84" s="15" t="s">
        <v>1674</v>
      </c>
      <c r="AO84" s="15" t="s">
        <v>1675</v>
      </c>
      <c r="AP84" s="15" t="s">
        <v>1676</v>
      </c>
      <c r="AQ84" s="15" t="s">
        <v>1007</v>
      </c>
      <c r="AR84" s="15" t="s">
        <v>1008</v>
      </c>
      <c r="AS84" s="15" t="s">
        <v>1628</v>
      </c>
      <c r="AT84" s="15" t="s">
        <v>1689</v>
      </c>
      <c r="AW84" s="15" t="s">
        <v>458</v>
      </c>
      <c r="AX84" s="15" t="s">
        <v>459</v>
      </c>
      <c r="AY84" s="15" t="s">
        <v>426</v>
      </c>
      <c r="AZ84" s="15" t="b">
        <v>1</v>
      </c>
      <c r="BA84" s="15" t="s">
        <v>413</v>
      </c>
      <c r="BB84" s="15" t="b">
        <v>0</v>
      </c>
      <c r="BC84" s="15" t="s">
        <v>1692</v>
      </c>
      <c r="BD84" s="15" t="s">
        <v>709</v>
      </c>
      <c r="BE84" s="15" t="str">
        <f t="shared" si="151"/>
        <v>1</v>
      </c>
      <c r="BF84" s="15" t="s">
        <v>416</v>
      </c>
      <c r="BG84" s="15" t="str">
        <f t="shared" si="152"/>
        <v>62.6</v>
      </c>
      <c r="BH84" s="15" t="s">
        <v>1679</v>
      </c>
      <c r="BI84" s="15" t="str">
        <f t="shared" si="153"/>
        <v>21.65</v>
      </c>
      <c r="BJ84" s="15" t="s">
        <v>1506</v>
      </c>
      <c r="BK84" s="15" t="str">
        <f t="shared" si="154"/>
        <v>19.69</v>
      </c>
      <c r="BL84" s="15" t="s">
        <v>1680</v>
      </c>
      <c r="BM84" s="15" t="str">
        <f t="shared" si="155"/>
        <v>62.83</v>
      </c>
      <c r="BN84" s="15" t="s">
        <v>1681</v>
      </c>
      <c r="BQ84" s="15" t="s">
        <v>444</v>
      </c>
      <c r="BS84" s="15" t="s">
        <v>444</v>
      </c>
      <c r="BU84" s="15" t="s">
        <v>444</v>
      </c>
      <c r="BW84" s="15" t="s">
        <v>444</v>
      </c>
      <c r="BZ84" s="15" t="s">
        <v>444</v>
      </c>
      <c r="CB84" s="15" t="s">
        <v>444</v>
      </c>
      <c r="CD84" s="15" t="s">
        <v>444</v>
      </c>
      <c r="CF84" s="15" t="s">
        <v>444</v>
      </c>
      <c r="CI84" s="15" t="s">
        <v>444</v>
      </c>
      <c r="CK84" s="15" t="s">
        <v>444</v>
      </c>
      <c r="CM84" s="15" t="s">
        <v>444</v>
      </c>
      <c r="CO84" s="15" t="s">
        <v>444</v>
      </c>
      <c r="CP84" s="15" t="str">
        <f t="shared" si="156"/>
        <v>15.43</v>
      </c>
      <c r="CQ84" s="15" t="str">
        <f t="shared" si="157"/>
        <v>0.437</v>
      </c>
      <c r="CR84" s="15" t="s">
        <v>465</v>
      </c>
      <c r="DB84" s="15" t="s">
        <v>1331</v>
      </c>
      <c r="DC84" s="15" t="str">
        <f>IFERROR(__xludf.DUMMYFUNCTION("""COMPUTED_VALUE"""),"{""value"":21.00,""unit"":""in""}")</f>
        <v>{"value":21.00,"unit":"in"}</v>
      </c>
      <c r="DD84" s="15" t="s">
        <v>1065</v>
      </c>
      <c r="DE84" s="15" t="str">
        <f>IFERROR(__xludf.DUMMYFUNCTION("""COMPUTED_VALUE"""),"{""value"":18.00,""unit"":""in""}")</f>
        <v>{"value":18.00,"unit":"in"}</v>
      </c>
      <c r="DF84" s="15" t="s">
        <v>1682</v>
      </c>
      <c r="DG84" s="15" t="str">
        <f>IFERROR(__xludf.DUMMYFUNCTION("""COMPUTED_VALUE"""),"{""value"":61.00,""unit"":""in""}")</f>
        <v>{"value":61.00,"unit":"in"}</v>
      </c>
      <c r="DH84" s="15">
        <v>0.0</v>
      </c>
      <c r="DI84" s="15">
        <v>0.0</v>
      </c>
      <c r="DJ84" s="15" t="s">
        <v>469</v>
      </c>
      <c r="DK84" s="15" t="s">
        <v>718</v>
      </c>
      <c r="DL84" s="15" t="str">
        <f>IFERROR(__xludf.DUMMYFUNCTION("""COMPUTED_VALUE"""),"Vacuum or light brush only. Do not use water or any cleaning products.")</f>
        <v>Vacuum or light brush only. Do not use water or any cleaning products.</v>
      </c>
      <c r="DM84" s="15" t="s">
        <v>719</v>
      </c>
      <c r="DN84" s="15" t="s">
        <v>419</v>
      </c>
      <c r="DO84" s="15">
        <v>0.0</v>
      </c>
      <c r="DP84" s="15" t="s">
        <v>419</v>
      </c>
      <c r="DR84" s="15">
        <v>0.0</v>
      </c>
      <c r="DT84" s="15" t="s">
        <v>721</v>
      </c>
      <c r="DU84" s="15" t="s">
        <v>419</v>
      </c>
      <c r="DV84" s="15">
        <v>0.0</v>
      </c>
      <c r="DW84" s="15">
        <v>0.0</v>
      </c>
      <c r="DX84" s="15">
        <v>0.0</v>
      </c>
      <c r="DY84" s="15">
        <v>0.0</v>
      </c>
      <c r="DZ84" s="15">
        <v>30000.0</v>
      </c>
      <c r="EA84" s="15" t="s">
        <v>470</v>
      </c>
      <c r="ED84" s="15">
        <v>0.0</v>
      </c>
      <c r="EE84" s="15">
        <v>3.0</v>
      </c>
      <c r="EF84" s="15" t="s">
        <v>471</v>
      </c>
      <c r="EG84" s="15" t="s">
        <v>472</v>
      </c>
      <c r="EH84" s="15" t="s">
        <v>1635</v>
      </c>
      <c r="EI84" s="15">
        <v>0.0</v>
      </c>
      <c r="EJ84" s="15" t="s">
        <v>473</v>
      </c>
      <c r="EK84" s="15" t="s">
        <v>474</v>
      </c>
      <c r="EM84" s="15" t="str">
        <f>IFERROR(__xludf.DUMMYFUNCTION("""COMPUTED_VALUE"""),"")</f>
        <v/>
      </c>
      <c r="EW84" s="15" t="s">
        <v>1288</v>
      </c>
      <c r="EY84" s="15" t="s">
        <v>1683</v>
      </c>
      <c r="FF84" s="15" t="s">
        <v>997</v>
      </c>
      <c r="FS84" s="15" t="s">
        <v>1609</v>
      </c>
    </row>
    <row r="85" ht="15.75" customHeight="1">
      <c r="A85" s="14" t="s">
        <v>391</v>
      </c>
      <c r="B85" s="15" t="s">
        <v>1693</v>
      </c>
      <c r="C85" s="16"/>
      <c r="D85" s="15" t="s">
        <v>432</v>
      </c>
      <c r="G85" s="14" t="s">
        <v>393</v>
      </c>
      <c r="H85" s="14" t="s">
        <v>394</v>
      </c>
      <c r="I85" s="14" t="b">
        <v>1</v>
      </c>
      <c r="J85" s="14" t="s">
        <v>395</v>
      </c>
      <c r="L85" s="14" t="b">
        <v>0</v>
      </c>
      <c r="M85" s="15" t="s">
        <v>1694</v>
      </c>
      <c r="N85" s="14" t="s">
        <v>393</v>
      </c>
      <c r="O85" s="14" t="s">
        <v>393</v>
      </c>
      <c r="P85" s="15" t="s">
        <v>397</v>
      </c>
      <c r="Q85" s="15" t="s">
        <v>1619</v>
      </c>
      <c r="T85" s="14" t="b">
        <v>0</v>
      </c>
      <c r="U85" s="15" t="s">
        <v>1695</v>
      </c>
      <c r="V85" s="15" t="s">
        <v>1696</v>
      </c>
      <c r="W85" s="15" t="s">
        <v>401</v>
      </c>
      <c r="X85" s="15" t="s">
        <v>695</v>
      </c>
      <c r="Y85" s="15">
        <v>442.0</v>
      </c>
      <c r="AA85" s="15" t="str">
        <f>"170"</f>
        <v>170</v>
      </c>
      <c r="AB85" s="14" t="b">
        <v>1</v>
      </c>
      <c r="AC85" s="14" t="b">
        <v>1</v>
      </c>
      <c r="AD85" s="15" t="str">
        <f>"198394062459"</f>
        <v>198394062459</v>
      </c>
      <c r="AE85" s="15" t="s">
        <v>1697</v>
      </c>
      <c r="AF85" s="14" t="s">
        <v>404</v>
      </c>
      <c r="AG85" s="14" t="s">
        <v>405</v>
      </c>
      <c r="AH85" s="14" t="s">
        <v>406</v>
      </c>
      <c r="AI85" s="15">
        <v>0.0</v>
      </c>
      <c r="AL85" s="15" t="s">
        <v>1623</v>
      </c>
      <c r="AM85" s="15" t="s">
        <v>747</v>
      </c>
      <c r="AN85" s="15" t="s">
        <v>748</v>
      </c>
      <c r="AO85" s="15" t="s">
        <v>1675</v>
      </c>
      <c r="AP85" s="15" t="s">
        <v>1676</v>
      </c>
      <c r="AQ85" s="15" t="s">
        <v>1007</v>
      </c>
      <c r="AR85" s="15" t="s">
        <v>1008</v>
      </c>
      <c r="AS85" s="15" t="s">
        <v>1628</v>
      </c>
      <c r="AT85" s="15" t="s">
        <v>1619</v>
      </c>
      <c r="AW85" s="15" t="s">
        <v>1009</v>
      </c>
      <c r="AY85" s="15" t="s">
        <v>426</v>
      </c>
      <c r="AZ85" s="15" t="b">
        <v>1</v>
      </c>
      <c r="BA85" s="15" t="s">
        <v>426</v>
      </c>
      <c r="BB85" s="15" t="b">
        <v>1</v>
      </c>
      <c r="BC85" s="15" t="s">
        <v>1698</v>
      </c>
      <c r="BD85" s="15" t="s">
        <v>709</v>
      </c>
      <c r="BE85" s="15" t="str">
        <f t="shared" si="151"/>
        <v>1</v>
      </c>
      <c r="BF85" s="15" t="s">
        <v>416</v>
      </c>
      <c r="BG85" s="15" t="str">
        <f t="shared" ref="BG85:BG91" si="159">"22.24"</f>
        <v>22.24</v>
      </c>
      <c r="BH85" s="15" t="s">
        <v>1423</v>
      </c>
      <c r="BI85" s="15" t="str">
        <f t="shared" ref="BI85:BI91" si="160">"21.85"</f>
        <v>21.85</v>
      </c>
      <c r="BJ85" s="15" t="s">
        <v>1405</v>
      </c>
      <c r="BK85" s="15" t="str">
        <f t="shared" ref="BK85:BK91" si="161">"19.29"</f>
        <v>19.29</v>
      </c>
      <c r="BL85" s="15" t="s">
        <v>566</v>
      </c>
      <c r="BM85" s="15" t="str">
        <f t="shared" ref="BM85:BM91" si="162">"30.86"</f>
        <v>30.86</v>
      </c>
      <c r="BN85" s="15" t="s">
        <v>1699</v>
      </c>
      <c r="BQ85" s="15" t="s">
        <v>444</v>
      </c>
      <c r="BS85" s="15" t="s">
        <v>444</v>
      </c>
      <c r="BU85" s="15" t="s">
        <v>444</v>
      </c>
      <c r="BW85" s="15" t="s">
        <v>444</v>
      </c>
      <c r="BZ85" s="15" t="s">
        <v>444</v>
      </c>
      <c r="CB85" s="15" t="s">
        <v>444</v>
      </c>
      <c r="CD85" s="15" t="s">
        <v>444</v>
      </c>
      <c r="CF85" s="15" t="s">
        <v>444</v>
      </c>
      <c r="CI85" s="15" t="s">
        <v>444</v>
      </c>
      <c r="CK85" s="15" t="s">
        <v>444</v>
      </c>
      <c r="CM85" s="15" t="s">
        <v>444</v>
      </c>
      <c r="CO85" s="15" t="s">
        <v>444</v>
      </c>
      <c r="CP85" s="15" t="str">
        <f t="shared" ref="CP85:CP91" si="163">"5.44"</f>
        <v>5.44</v>
      </c>
      <c r="CQ85" s="15" t="str">
        <f t="shared" ref="CQ85:CQ91" si="164">"0.154"</f>
        <v>0.154</v>
      </c>
      <c r="CR85" s="15" t="s">
        <v>497</v>
      </c>
      <c r="DB85" s="15" t="s">
        <v>1331</v>
      </c>
      <c r="DC85" s="15" t="str">
        <f>IFERROR(__xludf.DUMMYFUNCTION("""COMPUTED_VALUE"""),"{""value"":21.00,""unit"":""in""}")</f>
        <v>{"value":21.00,"unit":"in"}</v>
      </c>
      <c r="DD85" s="15" t="s">
        <v>1065</v>
      </c>
      <c r="DE85" s="15" t="str">
        <f>IFERROR(__xludf.DUMMYFUNCTION("""COMPUTED_VALUE"""),"{""value"":18.00,""unit"":""in""}")</f>
        <v>{"value":18.00,"unit":"in"}</v>
      </c>
      <c r="DF85" s="15" t="s">
        <v>1700</v>
      </c>
      <c r="DG85" s="15" t="str">
        <f>IFERROR(__xludf.DUMMYFUNCTION("""COMPUTED_VALUE"""),"{""value"":21.50,""unit"":""in""}")</f>
        <v>{"value":21.50,"unit":"in"}</v>
      </c>
      <c r="DI85" s="15">
        <v>0.0</v>
      </c>
      <c r="DK85" s="15" t="s">
        <v>897</v>
      </c>
      <c r="DL85" s="15" t="str">
        <f>IFERROR(__xludf.DUMMYFUNCTION("""COMPUTED_VALUE"""),"Clean with water-based products only. Use mild detergent or upholstery shampoo.")</f>
        <v>Clean with water-based products only. Use mild detergent or upholstery shampoo.</v>
      </c>
      <c r="DM85" s="15" t="s">
        <v>898</v>
      </c>
      <c r="DT85" s="15" t="s">
        <v>721</v>
      </c>
      <c r="DU85" s="15" t="s">
        <v>419</v>
      </c>
      <c r="DV85" s="15">
        <v>0.0</v>
      </c>
      <c r="DZ85" s="15">
        <v>50000.0</v>
      </c>
      <c r="EA85" s="15" t="s">
        <v>470</v>
      </c>
      <c r="EB85" s="15" t="s">
        <v>1016</v>
      </c>
      <c r="EC85" s="15" t="s">
        <v>1701</v>
      </c>
      <c r="ED85" s="15">
        <v>1.0</v>
      </c>
      <c r="EE85" s="15">
        <v>2.0</v>
      </c>
      <c r="EF85" s="15" t="s">
        <v>498</v>
      </c>
      <c r="EG85" s="15" t="s">
        <v>499</v>
      </c>
      <c r="EH85" s="15" t="s">
        <v>1635</v>
      </c>
      <c r="EI85" s="15">
        <v>0.0</v>
      </c>
      <c r="EJ85" s="15" t="s">
        <v>1545</v>
      </c>
      <c r="EK85" s="15" t="s">
        <v>1546</v>
      </c>
      <c r="EM85" s="15" t="str">
        <f>IFERROR(__xludf.DUMMYFUNCTION("""COMPUTED_VALUE"""),"")</f>
        <v/>
      </c>
      <c r="EW85" s="15" t="s">
        <v>1288</v>
      </c>
      <c r="EY85" s="15" t="s">
        <v>1593</v>
      </c>
      <c r="FF85" s="15" t="s">
        <v>997</v>
      </c>
      <c r="FS85" s="15" t="s">
        <v>1609</v>
      </c>
    </row>
    <row r="86" ht="15.75" customHeight="1">
      <c r="A86" s="14" t="s">
        <v>391</v>
      </c>
      <c r="B86" s="15" t="s">
        <v>1693</v>
      </c>
      <c r="C86" s="16"/>
      <c r="D86" s="15" t="s">
        <v>432</v>
      </c>
      <c r="G86" s="14" t="s">
        <v>393</v>
      </c>
      <c r="H86" s="14" t="s">
        <v>394</v>
      </c>
      <c r="I86" s="14" t="b">
        <v>1</v>
      </c>
      <c r="J86" s="14" t="s">
        <v>395</v>
      </c>
      <c r="L86" s="14" t="b">
        <v>0</v>
      </c>
      <c r="M86" s="15" t="s">
        <v>1702</v>
      </c>
      <c r="N86" s="14" t="s">
        <v>393</v>
      </c>
      <c r="O86" s="14" t="s">
        <v>393</v>
      </c>
      <c r="P86" s="15" t="s">
        <v>397</v>
      </c>
      <c r="Q86" s="15" t="s">
        <v>1641</v>
      </c>
      <c r="T86" s="14" t="b">
        <v>0</v>
      </c>
      <c r="U86" s="15" t="s">
        <v>1703</v>
      </c>
      <c r="V86" s="15" t="s">
        <v>1696</v>
      </c>
      <c r="W86" s="15" t="s">
        <v>401</v>
      </c>
      <c r="X86" s="15" t="s">
        <v>695</v>
      </c>
      <c r="Y86" s="15">
        <v>1040.0</v>
      </c>
      <c r="AA86" s="15" t="str">
        <f>"400"</f>
        <v>400</v>
      </c>
      <c r="AB86" s="14" t="b">
        <v>1</v>
      </c>
      <c r="AC86" s="14" t="b">
        <v>1</v>
      </c>
      <c r="AD86" s="15" t="str">
        <f>"801542666675"</f>
        <v>801542666675</v>
      </c>
      <c r="AE86" s="15" t="s">
        <v>1704</v>
      </c>
      <c r="AF86" s="14" t="s">
        <v>404</v>
      </c>
      <c r="AG86" s="14" t="s">
        <v>405</v>
      </c>
      <c r="AH86" s="14" t="s">
        <v>406</v>
      </c>
      <c r="AI86" s="15">
        <v>0.0</v>
      </c>
      <c r="AL86" s="15" t="s">
        <v>1600</v>
      </c>
      <c r="AM86" s="15" t="s">
        <v>747</v>
      </c>
      <c r="AN86" s="15" t="s">
        <v>748</v>
      </c>
      <c r="AO86" s="15" t="s">
        <v>1675</v>
      </c>
      <c r="AP86" s="15" t="s">
        <v>1676</v>
      </c>
      <c r="AQ86" s="15" t="s">
        <v>1007</v>
      </c>
      <c r="AR86" s="15" t="s">
        <v>1008</v>
      </c>
      <c r="AS86" s="15" t="s">
        <v>1628</v>
      </c>
      <c r="AT86" s="15" t="s">
        <v>1641</v>
      </c>
      <c r="AW86" s="15" t="s">
        <v>1009</v>
      </c>
      <c r="AY86" s="15" t="s">
        <v>426</v>
      </c>
      <c r="AZ86" s="15" t="b">
        <v>1</v>
      </c>
      <c r="BA86" s="15" t="s">
        <v>413</v>
      </c>
      <c r="BB86" s="15" t="b">
        <v>0</v>
      </c>
      <c r="BC86" s="15" t="s">
        <v>1705</v>
      </c>
      <c r="BD86" s="15" t="s">
        <v>709</v>
      </c>
      <c r="BE86" s="15" t="str">
        <f t="shared" si="151"/>
        <v>1</v>
      </c>
      <c r="BF86" s="15" t="s">
        <v>416</v>
      </c>
      <c r="BG86" s="15" t="str">
        <f t="shared" si="159"/>
        <v>22.24</v>
      </c>
      <c r="BH86" s="15" t="s">
        <v>1423</v>
      </c>
      <c r="BI86" s="15" t="str">
        <f t="shared" si="160"/>
        <v>21.85</v>
      </c>
      <c r="BJ86" s="15" t="s">
        <v>1405</v>
      </c>
      <c r="BK86" s="15" t="str">
        <f t="shared" si="161"/>
        <v>19.29</v>
      </c>
      <c r="BL86" s="15" t="s">
        <v>566</v>
      </c>
      <c r="BM86" s="15" t="str">
        <f t="shared" si="162"/>
        <v>30.86</v>
      </c>
      <c r="BN86" s="15" t="s">
        <v>1699</v>
      </c>
      <c r="BQ86" s="15" t="s">
        <v>444</v>
      </c>
      <c r="BS86" s="15" t="s">
        <v>444</v>
      </c>
      <c r="BU86" s="15" t="s">
        <v>444</v>
      </c>
      <c r="BW86" s="15" t="s">
        <v>444</v>
      </c>
      <c r="BZ86" s="15" t="s">
        <v>444</v>
      </c>
      <c r="CB86" s="15" t="s">
        <v>444</v>
      </c>
      <c r="CD86" s="15" t="s">
        <v>444</v>
      </c>
      <c r="CF86" s="15" t="s">
        <v>444</v>
      </c>
      <c r="CI86" s="15" t="s">
        <v>444</v>
      </c>
      <c r="CK86" s="15" t="s">
        <v>444</v>
      </c>
      <c r="CM86" s="15" t="s">
        <v>444</v>
      </c>
      <c r="CO86" s="15" t="s">
        <v>444</v>
      </c>
      <c r="CP86" s="15" t="str">
        <f t="shared" si="163"/>
        <v>5.44</v>
      </c>
      <c r="CQ86" s="15" t="str">
        <f t="shared" si="164"/>
        <v>0.154</v>
      </c>
      <c r="CR86" s="15" t="s">
        <v>417</v>
      </c>
      <c r="DB86" s="15" t="s">
        <v>1331</v>
      </c>
      <c r="DC86" s="15" t="str">
        <f>IFERROR(__xludf.DUMMYFUNCTION("""COMPUTED_VALUE"""),"{""value"":21.00,""unit"":""in""}")</f>
        <v>{"value":21.00,"unit":"in"}</v>
      </c>
      <c r="DD86" s="15" t="s">
        <v>1065</v>
      </c>
      <c r="DE86" s="15" t="str">
        <f>IFERROR(__xludf.DUMMYFUNCTION("""COMPUTED_VALUE"""),"{""value"":18.00,""unit"":""in""}")</f>
        <v>{"value":18.00,"unit":"in"}</v>
      </c>
      <c r="DF86" s="15" t="s">
        <v>1700</v>
      </c>
      <c r="DG86" s="15" t="str">
        <f>IFERROR(__xludf.DUMMYFUNCTION("""COMPUTED_VALUE"""),"{""value"":21.50,""unit"":""in""}")</f>
        <v>{"value":21.50,"unit":"in"}</v>
      </c>
      <c r="DI86" s="15">
        <v>0.0</v>
      </c>
      <c r="DK86" s="15" t="s">
        <v>718</v>
      </c>
      <c r="DL86" s="15" t="str">
        <f>IFERROR(__xludf.DUMMYFUNCTION("""COMPUTED_VALUE"""),"Vacuum or light brush only. Do not use water or any cleaning products.")</f>
        <v>Vacuum or light brush only. Do not use water or any cleaning products.</v>
      </c>
      <c r="DM86" s="15" t="s">
        <v>719</v>
      </c>
      <c r="DT86" s="15" t="s">
        <v>721</v>
      </c>
      <c r="DU86" s="15" t="s">
        <v>419</v>
      </c>
      <c r="DV86" s="15">
        <v>0.0</v>
      </c>
      <c r="DZ86" s="15">
        <v>0.0</v>
      </c>
      <c r="EA86" s="15" t="s">
        <v>470</v>
      </c>
      <c r="EB86" s="15" t="s">
        <v>1016</v>
      </c>
      <c r="EC86" s="15" t="s">
        <v>1701</v>
      </c>
      <c r="ED86" s="15">
        <v>1.0</v>
      </c>
      <c r="EE86" s="15">
        <v>2.0</v>
      </c>
      <c r="EF86" s="15" t="s">
        <v>498</v>
      </c>
      <c r="EG86" s="15" t="s">
        <v>499</v>
      </c>
      <c r="EH86" s="15" t="s">
        <v>1635</v>
      </c>
      <c r="EI86" s="15">
        <v>0.0</v>
      </c>
      <c r="EJ86" s="15" t="s">
        <v>1545</v>
      </c>
      <c r="EK86" s="15" t="s">
        <v>1546</v>
      </c>
      <c r="EM86" s="15" t="str">
        <f>IFERROR(__xludf.DUMMYFUNCTION("""COMPUTED_VALUE"""),"")</f>
        <v/>
      </c>
      <c r="EW86" s="15" t="s">
        <v>1288</v>
      </c>
      <c r="EY86" s="15" t="s">
        <v>1593</v>
      </c>
      <c r="FF86" s="15" t="s">
        <v>997</v>
      </c>
      <c r="FS86" s="15" t="s">
        <v>1609</v>
      </c>
    </row>
    <row r="87" ht="15.75" customHeight="1">
      <c r="A87" s="14" t="s">
        <v>391</v>
      </c>
      <c r="B87" s="15" t="s">
        <v>1693</v>
      </c>
      <c r="C87" s="16"/>
      <c r="D87" s="15" t="s">
        <v>432</v>
      </c>
      <c r="G87" s="14" t="s">
        <v>393</v>
      </c>
      <c r="H87" s="14" t="s">
        <v>394</v>
      </c>
      <c r="I87" s="14" t="b">
        <v>1</v>
      </c>
      <c r="J87" s="14" t="s">
        <v>395</v>
      </c>
      <c r="L87" s="14" t="b">
        <v>0</v>
      </c>
      <c r="M87" s="15" t="s">
        <v>1706</v>
      </c>
      <c r="N87" s="14" t="s">
        <v>393</v>
      </c>
      <c r="O87" s="14" t="s">
        <v>393</v>
      </c>
      <c r="P87" s="15" t="s">
        <v>397</v>
      </c>
      <c r="Q87" s="15" t="s">
        <v>1646</v>
      </c>
      <c r="T87" s="14" t="b">
        <v>0</v>
      </c>
      <c r="U87" s="15" t="s">
        <v>1707</v>
      </c>
      <c r="V87" s="15" t="s">
        <v>1696</v>
      </c>
      <c r="W87" s="15" t="s">
        <v>401</v>
      </c>
      <c r="X87" s="15" t="s">
        <v>695</v>
      </c>
      <c r="Y87" s="15">
        <v>442.0</v>
      </c>
      <c r="AA87" s="15" t="str">
        <f t="shared" ref="AA87:AA88" si="165">"170"</f>
        <v>170</v>
      </c>
      <c r="AB87" s="14" t="b">
        <v>1</v>
      </c>
      <c r="AC87" s="14" t="b">
        <v>1</v>
      </c>
      <c r="AD87" s="15" t="str">
        <f>"801542651756"</f>
        <v>801542651756</v>
      </c>
      <c r="AE87" s="15" t="s">
        <v>1708</v>
      </c>
      <c r="AF87" s="14" t="s">
        <v>404</v>
      </c>
      <c r="AG87" s="14" t="s">
        <v>405</v>
      </c>
      <c r="AH87" s="14" t="s">
        <v>406</v>
      </c>
      <c r="AI87" s="15">
        <v>0.0</v>
      </c>
      <c r="AL87" s="15" t="s">
        <v>1649</v>
      </c>
      <c r="AM87" s="15" t="s">
        <v>747</v>
      </c>
      <c r="AN87" s="15" t="s">
        <v>748</v>
      </c>
      <c r="AO87" s="15" t="s">
        <v>1675</v>
      </c>
      <c r="AP87" s="15" t="s">
        <v>1676</v>
      </c>
      <c r="AQ87" s="15" t="s">
        <v>1007</v>
      </c>
      <c r="AR87" s="15" t="s">
        <v>1008</v>
      </c>
      <c r="AS87" s="15" t="s">
        <v>1628</v>
      </c>
      <c r="AT87" s="15" t="s">
        <v>1646</v>
      </c>
      <c r="AW87" s="15" t="s">
        <v>1009</v>
      </c>
      <c r="AY87" s="15" t="s">
        <v>426</v>
      </c>
      <c r="AZ87" s="15" t="b">
        <v>1</v>
      </c>
      <c r="BA87" s="15" t="s">
        <v>426</v>
      </c>
      <c r="BB87" s="15" t="b">
        <v>1</v>
      </c>
      <c r="BC87" s="15" t="s">
        <v>1709</v>
      </c>
      <c r="BD87" s="15" t="s">
        <v>709</v>
      </c>
      <c r="BE87" s="15" t="str">
        <f t="shared" si="151"/>
        <v>1</v>
      </c>
      <c r="BF87" s="15" t="s">
        <v>416</v>
      </c>
      <c r="BG87" s="15" t="str">
        <f t="shared" si="159"/>
        <v>22.24</v>
      </c>
      <c r="BH87" s="15" t="s">
        <v>1423</v>
      </c>
      <c r="BI87" s="15" t="str">
        <f t="shared" si="160"/>
        <v>21.85</v>
      </c>
      <c r="BJ87" s="15" t="s">
        <v>1405</v>
      </c>
      <c r="BK87" s="15" t="str">
        <f t="shared" si="161"/>
        <v>19.29</v>
      </c>
      <c r="BL87" s="15" t="s">
        <v>566</v>
      </c>
      <c r="BM87" s="15" t="str">
        <f t="shared" si="162"/>
        <v>30.86</v>
      </c>
      <c r="BN87" s="15" t="s">
        <v>1699</v>
      </c>
      <c r="BQ87" s="15" t="s">
        <v>444</v>
      </c>
      <c r="BS87" s="15" t="s">
        <v>444</v>
      </c>
      <c r="BU87" s="15" t="s">
        <v>444</v>
      </c>
      <c r="BW87" s="15" t="s">
        <v>444</v>
      </c>
      <c r="BZ87" s="15" t="s">
        <v>444</v>
      </c>
      <c r="CB87" s="15" t="s">
        <v>444</v>
      </c>
      <c r="CD87" s="15" t="s">
        <v>444</v>
      </c>
      <c r="CF87" s="15" t="s">
        <v>444</v>
      </c>
      <c r="CI87" s="15" t="s">
        <v>444</v>
      </c>
      <c r="CK87" s="15" t="s">
        <v>444</v>
      </c>
      <c r="CM87" s="15" t="s">
        <v>444</v>
      </c>
      <c r="CO87" s="15" t="s">
        <v>444</v>
      </c>
      <c r="CP87" s="15" t="str">
        <f t="shared" si="163"/>
        <v>5.44</v>
      </c>
      <c r="CQ87" s="15" t="str">
        <f t="shared" si="164"/>
        <v>0.154</v>
      </c>
      <c r="CR87" s="15" t="s">
        <v>497</v>
      </c>
      <c r="DB87" s="15" t="s">
        <v>1331</v>
      </c>
      <c r="DC87" s="15" t="str">
        <f>IFERROR(__xludf.DUMMYFUNCTION("""COMPUTED_VALUE"""),"{""value"":21.00,""unit"":""in""}")</f>
        <v>{"value":21.00,"unit":"in"}</v>
      </c>
      <c r="DD87" s="15" t="s">
        <v>1065</v>
      </c>
      <c r="DE87" s="15" t="str">
        <f>IFERROR(__xludf.DUMMYFUNCTION("""COMPUTED_VALUE"""),"{""value"":18.00,""unit"":""in""}")</f>
        <v>{"value":18.00,"unit":"in"}</v>
      </c>
      <c r="DF87" s="15" t="s">
        <v>1700</v>
      </c>
      <c r="DG87" s="15" t="str">
        <f>IFERROR(__xludf.DUMMYFUNCTION("""COMPUTED_VALUE"""),"{""value"":21.50,""unit"":""in""}")</f>
        <v>{"value":21.50,"unit":"in"}</v>
      </c>
      <c r="DI87" s="15">
        <v>0.0</v>
      </c>
      <c r="DK87" s="15" t="s">
        <v>855</v>
      </c>
      <c r="DL87" s="15" t="str">
        <f>IFERROR(__xludf.DUMMYFUNCTION("""COMPUTED_VALUE"""),"Clean with solvent-based (dry clean only) products. Do not use water.")</f>
        <v>Clean with solvent-based (dry clean only) products. Do not use water.</v>
      </c>
      <c r="DM87" s="15" t="s">
        <v>856</v>
      </c>
      <c r="DT87" s="15" t="s">
        <v>721</v>
      </c>
      <c r="DU87" s="15" t="s">
        <v>419</v>
      </c>
      <c r="DV87" s="15">
        <v>0.0</v>
      </c>
      <c r="DZ87" s="15">
        <v>25000.0</v>
      </c>
      <c r="EA87" s="15" t="s">
        <v>470</v>
      </c>
      <c r="EB87" s="15" t="s">
        <v>1016</v>
      </c>
      <c r="EC87" s="15" t="s">
        <v>1701</v>
      </c>
      <c r="ED87" s="15">
        <v>1.0</v>
      </c>
      <c r="EE87" s="15">
        <v>2.0</v>
      </c>
      <c r="EF87" s="15" t="s">
        <v>498</v>
      </c>
      <c r="EG87" s="15" t="s">
        <v>499</v>
      </c>
      <c r="EH87" s="15" t="s">
        <v>1635</v>
      </c>
      <c r="EI87" s="15">
        <v>0.0</v>
      </c>
      <c r="EJ87" s="15" t="s">
        <v>1545</v>
      </c>
      <c r="EK87" s="15" t="s">
        <v>1546</v>
      </c>
      <c r="EM87" s="15" t="str">
        <f>IFERROR(__xludf.DUMMYFUNCTION("""COMPUTED_VALUE"""),"")</f>
        <v/>
      </c>
      <c r="EW87" s="15" t="s">
        <v>1288</v>
      </c>
      <c r="EY87" s="15" t="s">
        <v>1593</v>
      </c>
      <c r="FF87" s="15" t="s">
        <v>997</v>
      </c>
      <c r="FS87" s="15" t="s">
        <v>1609</v>
      </c>
    </row>
    <row r="88" ht="15.75" customHeight="1">
      <c r="A88" s="14" t="s">
        <v>391</v>
      </c>
      <c r="B88" s="15" t="s">
        <v>1693</v>
      </c>
      <c r="C88" s="16"/>
      <c r="D88" s="15" t="s">
        <v>432</v>
      </c>
      <c r="G88" s="14" t="s">
        <v>393</v>
      </c>
      <c r="H88" s="14" t="s">
        <v>394</v>
      </c>
      <c r="I88" s="14" t="b">
        <v>1</v>
      </c>
      <c r="J88" s="14" t="s">
        <v>395</v>
      </c>
      <c r="L88" s="14" t="b">
        <v>0</v>
      </c>
      <c r="M88" s="15" t="s">
        <v>1710</v>
      </c>
      <c r="N88" s="14" t="s">
        <v>393</v>
      </c>
      <c r="O88" s="14" t="s">
        <v>393</v>
      </c>
      <c r="P88" s="15" t="s">
        <v>397</v>
      </c>
      <c r="Q88" s="15" t="s">
        <v>1652</v>
      </c>
      <c r="T88" s="14" t="b">
        <v>0</v>
      </c>
      <c r="U88" s="15" t="s">
        <v>1711</v>
      </c>
      <c r="V88" s="15" t="s">
        <v>1696</v>
      </c>
      <c r="W88" s="15" t="s">
        <v>401</v>
      </c>
      <c r="X88" s="15" t="s">
        <v>695</v>
      </c>
      <c r="Y88" s="15">
        <v>442.0</v>
      </c>
      <c r="AA88" s="15" t="str">
        <f t="shared" si="165"/>
        <v>170</v>
      </c>
      <c r="AB88" s="14" t="b">
        <v>1</v>
      </c>
      <c r="AC88" s="14" t="b">
        <v>1</v>
      </c>
      <c r="AD88" s="15" t="str">
        <f>"801542623654"</f>
        <v>801542623654</v>
      </c>
      <c r="AE88" s="15" t="s">
        <v>1712</v>
      </c>
      <c r="AF88" s="14" t="s">
        <v>404</v>
      </c>
      <c r="AG88" s="14" t="s">
        <v>405</v>
      </c>
      <c r="AH88" s="14" t="s">
        <v>406</v>
      </c>
      <c r="AI88" s="15">
        <v>0.0</v>
      </c>
      <c r="AL88" s="15" t="s">
        <v>1655</v>
      </c>
      <c r="AM88" s="15" t="s">
        <v>747</v>
      </c>
      <c r="AN88" s="15" t="s">
        <v>748</v>
      </c>
      <c r="AO88" s="15" t="s">
        <v>1675</v>
      </c>
      <c r="AP88" s="15" t="s">
        <v>1676</v>
      </c>
      <c r="AQ88" s="15" t="s">
        <v>1007</v>
      </c>
      <c r="AR88" s="15" t="s">
        <v>1008</v>
      </c>
      <c r="AS88" s="15" t="s">
        <v>1628</v>
      </c>
      <c r="AT88" s="15" t="s">
        <v>1652</v>
      </c>
      <c r="AW88" s="15" t="s">
        <v>1009</v>
      </c>
      <c r="AY88" s="15" t="s">
        <v>426</v>
      </c>
      <c r="AZ88" s="15" t="b">
        <v>1</v>
      </c>
      <c r="BA88" s="15" t="s">
        <v>413</v>
      </c>
      <c r="BB88" s="15" t="b">
        <v>0</v>
      </c>
      <c r="BC88" s="15" t="s">
        <v>1713</v>
      </c>
      <c r="BD88" s="15" t="s">
        <v>709</v>
      </c>
      <c r="BE88" s="15" t="str">
        <f t="shared" si="151"/>
        <v>1</v>
      </c>
      <c r="BF88" s="15" t="s">
        <v>416</v>
      </c>
      <c r="BG88" s="15" t="str">
        <f t="shared" si="159"/>
        <v>22.24</v>
      </c>
      <c r="BH88" s="15" t="s">
        <v>1423</v>
      </c>
      <c r="BI88" s="15" t="str">
        <f t="shared" si="160"/>
        <v>21.85</v>
      </c>
      <c r="BJ88" s="15" t="s">
        <v>1405</v>
      </c>
      <c r="BK88" s="15" t="str">
        <f t="shared" si="161"/>
        <v>19.29</v>
      </c>
      <c r="BL88" s="15" t="s">
        <v>566</v>
      </c>
      <c r="BM88" s="15" t="str">
        <f t="shared" si="162"/>
        <v>30.86</v>
      </c>
      <c r="BN88" s="15" t="s">
        <v>1699</v>
      </c>
      <c r="BQ88" s="15" t="s">
        <v>444</v>
      </c>
      <c r="BS88" s="15" t="s">
        <v>444</v>
      </c>
      <c r="BU88" s="15" t="s">
        <v>444</v>
      </c>
      <c r="BW88" s="15" t="s">
        <v>444</v>
      </c>
      <c r="BZ88" s="15" t="s">
        <v>444</v>
      </c>
      <c r="CB88" s="15" t="s">
        <v>444</v>
      </c>
      <c r="CD88" s="15" t="s">
        <v>444</v>
      </c>
      <c r="CF88" s="15" t="s">
        <v>444</v>
      </c>
      <c r="CI88" s="15" t="s">
        <v>444</v>
      </c>
      <c r="CK88" s="15" t="s">
        <v>444</v>
      </c>
      <c r="CM88" s="15" t="s">
        <v>444</v>
      </c>
      <c r="CO88" s="15" t="s">
        <v>444</v>
      </c>
      <c r="CP88" s="15" t="str">
        <f t="shared" si="163"/>
        <v>5.44</v>
      </c>
      <c r="CQ88" s="15" t="str">
        <f t="shared" si="164"/>
        <v>0.154</v>
      </c>
      <c r="CR88" s="15" t="s">
        <v>465</v>
      </c>
      <c r="DB88" s="15" t="s">
        <v>1331</v>
      </c>
      <c r="DC88" s="15" t="str">
        <f>IFERROR(__xludf.DUMMYFUNCTION("""COMPUTED_VALUE"""),"{""value"":21.00,""unit"":""in""}")</f>
        <v>{"value":21.00,"unit":"in"}</v>
      </c>
      <c r="DD88" s="15" t="s">
        <v>1065</v>
      </c>
      <c r="DE88" s="15" t="str">
        <f>IFERROR(__xludf.DUMMYFUNCTION("""COMPUTED_VALUE"""),"{""value"":18.00,""unit"":""in""}")</f>
        <v>{"value":18.00,"unit":"in"}</v>
      </c>
      <c r="DF88" s="15" t="s">
        <v>1700</v>
      </c>
      <c r="DG88" s="15" t="str">
        <f>IFERROR(__xludf.DUMMYFUNCTION("""COMPUTED_VALUE"""),"{""value"":21.50,""unit"":""in""}")</f>
        <v>{"value":21.50,"unit":"in"}</v>
      </c>
      <c r="DI88" s="15">
        <v>0.0</v>
      </c>
      <c r="DK88" s="15" t="s">
        <v>855</v>
      </c>
      <c r="DL88" s="15" t="str">
        <f>IFERROR(__xludf.DUMMYFUNCTION("""COMPUTED_VALUE"""),"Clean with solvent-based (dry clean only) products. Do not use water.")</f>
        <v>Clean with solvent-based (dry clean only) products. Do not use water.</v>
      </c>
      <c r="DM88" s="15" t="s">
        <v>856</v>
      </c>
      <c r="DT88" s="15" t="s">
        <v>721</v>
      </c>
      <c r="DU88" s="15" t="s">
        <v>419</v>
      </c>
      <c r="DV88" s="15">
        <v>0.0</v>
      </c>
      <c r="DZ88" s="15">
        <v>25000.0</v>
      </c>
      <c r="EA88" s="15" t="s">
        <v>470</v>
      </c>
      <c r="EB88" s="15" t="s">
        <v>1016</v>
      </c>
      <c r="EC88" s="15" t="s">
        <v>1701</v>
      </c>
      <c r="ED88" s="15">
        <v>1.0</v>
      </c>
      <c r="EE88" s="15">
        <v>2.0</v>
      </c>
      <c r="EF88" s="15" t="s">
        <v>498</v>
      </c>
      <c r="EG88" s="15" t="s">
        <v>499</v>
      </c>
      <c r="EH88" s="15" t="s">
        <v>1635</v>
      </c>
      <c r="EI88" s="15">
        <v>0.0</v>
      </c>
      <c r="EJ88" s="15" t="s">
        <v>1545</v>
      </c>
      <c r="EK88" s="15" t="s">
        <v>1546</v>
      </c>
      <c r="EM88" s="15" t="str">
        <f>IFERROR(__xludf.DUMMYFUNCTION("""COMPUTED_VALUE"""),"")</f>
        <v/>
      </c>
      <c r="EW88" s="15" t="s">
        <v>1288</v>
      </c>
      <c r="EY88" s="15" t="s">
        <v>1593</v>
      </c>
      <c r="FF88" s="15" t="s">
        <v>997</v>
      </c>
      <c r="FS88" s="15" t="s">
        <v>1609</v>
      </c>
    </row>
    <row r="89" ht="15.75" customHeight="1">
      <c r="A89" s="14" t="s">
        <v>391</v>
      </c>
      <c r="B89" s="15" t="s">
        <v>1693</v>
      </c>
      <c r="C89" s="16"/>
      <c r="D89" s="15" t="s">
        <v>432</v>
      </c>
      <c r="G89" s="14" t="s">
        <v>393</v>
      </c>
      <c r="H89" s="14" t="s">
        <v>394</v>
      </c>
      <c r="I89" s="14" t="b">
        <v>1</v>
      </c>
      <c r="J89" s="14" t="s">
        <v>395</v>
      </c>
      <c r="L89" s="14" t="b">
        <v>0</v>
      </c>
      <c r="M89" s="15" t="s">
        <v>1714</v>
      </c>
      <c r="N89" s="14" t="s">
        <v>393</v>
      </c>
      <c r="O89" s="14" t="s">
        <v>393</v>
      </c>
      <c r="P89" s="15" t="s">
        <v>397</v>
      </c>
      <c r="Q89" s="15" t="s">
        <v>1658</v>
      </c>
      <c r="T89" s="14" t="b">
        <v>0</v>
      </c>
      <c r="U89" s="15" t="s">
        <v>1715</v>
      </c>
      <c r="V89" s="15" t="s">
        <v>1696</v>
      </c>
      <c r="W89" s="15" t="s">
        <v>401</v>
      </c>
      <c r="X89" s="15" t="s">
        <v>695</v>
      </c>
      <c r="Y89" s="15">
        <v>1040.0</v>
      </c>
      <c r="AA89" s="15" t="str">
        <f>"400"</f>
        <v>400</v>
      </c>
      <c r="AB89" s="14" t="b">
        <v>1</v>
      </c>
      <c r="AC89" s="14" t="b">
        <v>1</v>
      </c>
      <c r="AD89" s="15" t="str">
        <f>"801542699031"</f>
        <v>801542699031</v>
      </c>
      <c r="AE89" s="15" t="s">
        <v>1716</v>
      </c>
      <c r="AF89" s="14" t="s">
        <v>404</v>
      </c>
      <c r="AG89" s="14" t="s">
        <v>405</v>
      </c>
      <c r="AH89" s="14" t="s">
        <v>406</v>
      </c>
      <c r="AI89" s="15">
        <v>0.0</v>
      </c>
      <c r="AL89" s="15" t="s">
        <v>1600</v>
      </c>
      <c r="AM89" s="15" t="s">
        <v>747</v>
      </c>
      <c r="AN89" s="15" t="s">
        <v>748</v>
      </c>
      <c r="AO89" s="15" t="s">
        <v>1675</v>
      </c>
      <c r="AP89" s="15" t="s">
        <v>1676</v>
      </c>
      <c r="AQ89" s="15" t="s">
        <v>1007</v>
      </c>
      <c r="AR89" s="15" t="s">
        <v>1008</v>
      </c>
      <c r="AS89" s="15" t="s">
        <v>1628</v>
      </c>
      <c r="AT89" s="15" t="s">
        <v>1658</v>
      </c>
      <c r="AW89" s="15" t="s">
        <v>1009</v>
      </c>
      <c r="AY89" s="15" t="s">
        <v>413</v>
      </c>
      <c r="AZ89" s="15" t="b">
        <v>0</v>
      </c>
      <c r="BA89" s="15" t="s">
        <v>413</v>
      </c>
      <c r="BB89" s="15" t="b">
        <v>0</v>
      </c>
      <c r="BC89" s="15" t="s">
        <v>1717</v>
      </c>
      <c r="BD89" s="15" t="s">
        <v>709</v>
      </c>
      <c r="BE89" s="15" t="str">
        <f t="shared" si="151"/>
        <v>1</v>
      </c>
      <c r="BF89" s="15" t="s">
        <v>416</v>
      </c>
      <c r="BG89" s="15" t="str">
        <f t="shared" si="159"/>
        <v>22.24</v>
      </c>
      <c r="BH89" s="15" t="s">
        <v>1423</v>
      </c>
      <c r="BI89" s="15" t="str">
        <f t="shared" si="160"/>
        <v>21.85</v>
      </c>
      <c r="BJ89" s="15" t="s">
        <v>1405</v>
      </c>
      <c r="BK89" s="15" t="str">
        <f t="shared" si="161"/>
        <v>19.29</v>
      </c>
      <c r="BL89" s="15" t="s">
        <v>566</v>
      </c>
      <c r="BM89" s="15" t="str">
        <f t="shared" si="162"/>
        <v>30.86</v>
      </c>
      <c r="BN89" s="15" t="s">
        <v>1699</v>
      </c>
      <c r="BQ89" s="15" t="s">
        <v>444</v>
      </c>
      <c r="BS89" s="15" t="s">
        <v>444</v>
      </c>
      <c r="BU89" s="15" t="s">
        <v>444</v>
      </c>
      <c r="BW89" s="15" t="s">
        <v>444</v>
      </c>
      <c r="BZ89" s="15" t="s">
        <v>444</v>
      </c>
      <c r="CB89" s="15" t="s">
        <v>444</v>
      </c>
      <c r="CD89" s="15" t="s">
        <v>444</v>
      </c>
      <c r="CF89" s="15" t="s">
        <v>444</v>
      </c>
      <c r="CI89" s="15" t="s">
        <v>444</v>
      </c>
      <c r="CK89" s="15" t="s">
        <v>444</v>
      </c>
      <c r="CM89" s="15" t="s">
        <v>444</v>
      </c>
      <c r="CO89" s="15" t="s">
        <v>444</v>
      </c>
      <c r="CP89" s="15" t="str">
        <f t="shared" si="163"/>
        <v>5.44</v>
      </c>
      <c r="CQ89" s="15" t="str">
        <f t="shared" si="164"/>
        <v>0.154</v>
      </c>
      <c r="CR89" s="15" t="s">
        <v>497</v>
      </c>
      <c r="DB89" s="15" t="s">
        <v>1331</v>
      </c>
      <c r="DC89" s="15" t="str">
        <f>IFERROR(__xludf.DUMMYFUNCTION("""COMPUTED_VALUE"""),"{""value"":21.00,""unit"":""in""}")</f>
        <v>{"value":21.00,"unit":"in"}</v>
      </c>
      <c r="DD89" s="15" t="s">
        <v>1065</v>
      </c>
      <c r="DE89" s="15" t="str">
        <f>IFERROR(__xludf.DUMMYFUNCTION("""COMPUTED_VALUE"""),"{""value"":18.00,""unit"":""in""}")</f>
        <v>{"value":18.00,"unit":"in"}</v>
      </c>
      <c r="DF89" s="15" t="s">
        <v>1700</v>
      </c>
      <c r="DG89" s="15" t="str">
        <f>IFERROR(__xludf.DUMMYFUNCTION("""COMPUTED_VALUE"""),"{""value"":21.50,""unit"":""in""}")</f>
        <v>{"value":21.50,"unit":"in"}</v>
      </c>
      <c r="DI89" s="15">
        <v>0.0</v>
      </c>
      <c r="DK89" s="15" t="s">
        <v>718</v>
      </c>
      <c r="DL89" s="15" t="str">
        <f>IFERROR(__xludf.DUMMYFUNCTION("""COMPUTED_VALUE"""),"Vacuum or light brush only. Do not use water or any cleaning products.")</f>
        <v>Vacuum or light brush only. Do not use water or any cleaning products.</v>
      </c>
      <c r="DM89" s="15" t="s">
        <v>719</v>
      </c>
      <c r="DT89" s="15" t="s">
        <v>721</v>
      </c>
      <c r="DU89" s="15" t="s">
        <v>419</v>
      </c>
      <c r="DV89" s="15">
        <v>0.0</v>
      </c>
      <c r="DZ89" s="15">
        <v>0.0</v>
      </c>
      <c r="EA89" s="15" t="s">
        <v>470</v>
      </c>
      <c r="EB89" s="15" t="s">
        <v>1016</v>
      </c>
      <c r="EC89" s="15" t="s">
        <v>1701</v>
      </c>
      <c r="ED89" s="15">
        <v>1.0</v>
      </c>
      <c r="EE89" s="15">
        <v>2.0</v>
      </c>
      <c r="EF89" s="15" t="s">
        <v>498</v>
      </c>
      <c r="EG89" s="15" t="s">
        <v>499</v>
      </c>
      <c r="EH89" s="15" t="s">
        <v>1635</v>
      </c>
      <c r="EI89" s="15">
        <v>0.0</v>
      </c>
      <c r="EJ89" s="15" t="s">
        <v>1545</v>
      </c>
      <c r="EK89" s="15" t="s">
        <v>1546</v>
      </c>
      <c r="EM89" s="15" t="str">
        <f>IFERROR(__xludf.DUMMYFUNCTION("""COMPUTED_VALUE"""),"")</f>
        <v/>
      </c>
      <c r="EW89" s="15" t="s">
        <v>1288</v>
      </c>
      <c r="EY89" s="15" t="s">
        <v>1593</v>
      </c>
      <c r="FF89" s="15" t="s">
        <v>997</v>
      </c>
      <c r="FS89" s="15" t="s">
        <v>1609</v>
      </c>
    </row>
    <row r="90" ht="15.75" customHeight="1">
      <c r="A90" s="14" t="s">
        <v>391</v>
      </c>
      <c r="B90" s="15" t="s">
        <v>1693</v>
      </c>
      <c r="C90" s="16"/>
      <c r="D90" s="15" t="s">
        <v>432</v>
      </c>
      <c r="G90" s="14" t="s">
        <v>393</v>
      </c>
      <c r="H90" s="14" t="s">
        <v>394</v>
      </c>
      <c r="I90" s="14" t="b">
        <v>1</v>
      </c>
      <c r="J90" s="14" t="s">
        <v>395</v>
      </c>
      <c r="L90" s="14" t="b">
        <v>0</v>
      </c>
      <c r="M90" s="15" t="s">
        <v>1718</v>
      </c>
      <c r="N90" s="14" t="s">
        <v>393</v>
      </c>
      <c r="O90" s="14" t="s">
        <v>393</v>
      </c>
      <c r="P90" s="15" t="s">
        <v>397</v>
      </c>
      <c r="Q90" s="15" t="s">
        <v>1663</v>
      </c>
      <c r="T90" s="14" t="b">
        <v>0</v>
      </c>
      <c r="U90" s="15" t="s">
        <v>1719</v>
      </c>
      <c r="V90" s="15" t="s">
        <v>1696</v>
      </c>
      <c r="W90" s="15" t="s">
        <v>401</v>
      </c>
      <c r="X90" s="15" t="s">
        <v>695</v>
      </c>
      <c r="Y90" s="15">
        <v>494.0</v>
      </c>
      <c r="AA90" s="15" t="str">
        <f t="shared" ref="AA90:AA91" si="166">"190"</f>
        <v>190</v>
      </c>
      <c r="AB90" s="14" t="b">
        <v>1</v>
      </c>
      <c r="AC90" s="14" t="b">
        <v>1</v>
      </c>
      <c r="AD90" s="15" t="str">
        <f>"801542623661"</f>
        <v>801542623661</v>
      </c>
      <c r="AE90" s="15" t="s">
        <v>1720</v>
      </c>
      <c r="AF90" s="14" t="s">
        <v>404</v>
      </c>
      <c r="AG90" s="14" t="s">
        <v>405</v>
      </c>
      <c r="AH90" s="14" t="s">
        <v>406</v>
      </c>
      <c r="AI90" s="15">
        <v>0.0</v>
      </c>
      <c r="AL90" s="15" t="s">
        <v>1666</v>
      </c>
      <c r="AM90" s="15" t="s">
        <v>747</v>
      </c>
      <c r="AN90" s="15" t="s">
        <v>748</v>
      </c>
      <c r="AO90" s="15" t="s">
        <v>1675</v>
      </c>
      <c r="AP90" s="15" t="s">
        <v>1676</v>
      </c>
      <c r="AQ90" s="15" t="s">
        <v>1007</v>
      </c>
      <c r="AR90" s="15" t="s">
        <v>1008</v>
      </c>
      <c r="AS90" s="15" t="s">
        <v>1628</v>
      </c>
      <c r="AT90" s="15" t="s">
        <v>1663</v>
      </c>
      <c r="AW90" s="15" t="s">
        <v>1009</v>
      </c>
      <c r="AY90" s="15" t="s">
        <v>426</v>
      </c>
      <c r="AZ90" s="15" t="b">
        <v>1</v>
      </c>
      <c r="BA90" s="15" t="s">
        <v>413</v>
      </c>
      <c r="BB90" s="15" t="b">
        <v>0</v>
      </c>
      <c r="BC90" s="15" t="s">
        <v>1721</v>
      </c>
      <c r="BD90" s="15" t="s">
        <v>709</v>
      </c>
      <c r="BE90" s="15" t="str">
        <f t="shared" si="151"/>
        <v>1</v>
      </c>
      <c r="BF90" s="15" t="s">
        <v>416</v>
      </c>
      <c r="BG90" s="15" t="str">
        <f t="shared" si="159"/>
        <v>22.24</v>
      </c>
      <c r="BH90" s="15" t="s">
        <v>1423</v>
      </c>
      <c r="BI90" s="15" t="str">
        <f t="shared" si="160"/>
        <v>21.85</v>
      </c>
      <c r="BJ90" s="15" t="s">
        <v>1405</v>
      </c>
      <c r="BK90" s="15" t="str">
        <f t="shared" si="161"/>
        <v>19.29</v>
      </c>
      <c r="BL90" s="15" t="s">
        <v>566</v>
      </c>
      <c r="BM90" s="15" t="str">
        <f t="shared" si="162"/>
        <v>30.86</v>
      </c>
      <c r="BN90" s="15" t="s">
        <v>1699</v>
      </c>
      <c r="BQ90" s="15" t="s">
        <v>444</v>
      </c>
      <c r="BS90" s="15" t="s">
        <v>444</v>
      </c>
      <c r="BU90" s="15" t="s">
        <v>444</v>
      </c>
      <c r="BW90" s="15" t="s">
        <v>444</v>
      </c>
      <c r="BZ90" s="15" t="s">
        <v>444</v>
      </c>
      <c r="CB90" s="15" t="s">
        <v>444</v>
      </c>
      <c r="CD90" s="15" t="s">
        <v>444</v>
      </c>
      <c r="CF90" s="15" t="s">
        <v>444</v>
      </c>
      <c r="CI90" s="15" t="s">
        <v>444</v>
      </c>
      <c r="CK90" s="15" t="s">
        <v>444</v>
      </c>
      <c r="CM90" s="15" t="s">
        <v>444</v>
      </c>
      <c r="CO90" s="15" t="s">
        <v>444</v>
      </c>
      <c r="CP90" s="15" t="str">
        <f t="shared" si="163"/>
        <v>5.44</v>
      </c>
      <c r="CQ90" s="15" t="str">
        <f t="shared" si="164"/>
        <v>0.154</v>
      </c>
      <c r="CR90" s="15" t="s">
        <v>465</v>
      </c>
      <c r="DB90" s="15" t="s">
        <v>1331</v>
      </c>
      <c r="DC90" s="15" t="str">
        <f>IFERROR(__xludf.DUMMYFUNCTION("""COMPUTED_VALUE"""),"{""value"":21.00,""unit"":""in""}")</f>
        <v>{"value":21.00,"unit":"in"}</v>
      </c>
      <c r="DD90" s="15" t="s">
        <v>1065</v>
      </c>
      <c r="DE90" s="15" t="str">
        <f>IFERROR(__xludf.DUMMYFUNCTION("""COMPUTED_VALUE"""),"{""value"":18.00,""unit"":""in""}")</f>
        <v>{"value":18.00,"unit":"in"}</v>
      </c>
      <c r="DF90" s="15" t="s">
        <v>1700</v>
      </c>
      <c r="DG90" s="15" t="str">
        <f>IFERROR(__xludf.DUMMYFUNCTION("""COMPUTED_VALUE"""),"{""value"":21.50,""unit"":""in""}")</f>
        <v>{"value":21.50,"unit":"in"}</v>
      </c>
      <c r="DI90" s="15">
        <v>0.0</v>
      </c>
      <c r="DK90" s="15" t="s">
        <v>897</v>
      </c>
      <c r="DL90" s="15" t="str">
        <f>IFERROR(__xludf.DUMMYFUNCTION("""COMPUTED_VALUE"""),"Clean with water-based products only. Use mild detergent or upholstery shampoo.")</f>
        <v>Clean with water-based products only. Use mild detergent or upholstery shampoo.</v>
      </c>
      <c r="DM90" s="15" t="s">
        <v>898</v>
      </c>
      <c r="DT90" s="15" t="s">
        <v>721</v>
      </c>
      <c r="DU90" s="15" t="s">
        <v>419</v>
      </c>
      <c r="DV90" s="15">
        <v>0.0</v>
      </c>
      <c r="DZ90" s="15">
        <v>100000.0</v>
      </c>
      <c r="EA90" s="15" t="s">
        <v>470</v>
      </c>
      <c r="EB90" s="15" t="s">
        <v>1016</v>
      </c>
      <c r="EC90" s="15" t="s">
        <v>1701</v>
      </c>
      <c r="ED90" s="15">
        <v>1.0</v>
      </c>
      <c r="EE90" s="15">
        <v>2.0</v>
      </c>
      <c r="EF90" s="15" t="s">
        <v>498</v>
      </c>
      <c r="EG90" s="15" t="s">
        <v>499</v>
      </c>
      <c r="EH90" s="15" t="s">
        <v>1635</v>
      </c>
      <c r="EI90" s="15">
        <v>0.0</v>
      </c>
      <c r="EJ90" s="15" t="s">
        <v>1545</v>
      </c>
      <c r="EK90" s="15" t="s">
        <v>1546</v>
      </c>
      <c r="EM90" s="15" t="str">
        <f>IFERROR(__xludf.DUMMYFUNCTION("""COMPUTED_VALUE"""),"")</f>
        <v/>
      </c>
      <c r="EW90" s="15" t="s">
        <v>1288</v>
      </c>
      <c r="EY90" s="15" t="s">
        <v>1593</v>
      </c>
      <c r="FF90" s="15" t="s">
        <v>997</v>
      </c>
      <c r="FS90" s="15" t="s">
        <v>1609</v>
      </c>
    </row>
    <row r="91" ht="15.75" customHeight="1">
      <c r="A91" s="14" t="s">
        <v>391</v>
      </c>
      <c r="B91" s="15" t="s">
        <v>1693</v>
      </c>
      <c r="C91" s="16"/>
      <c r="D91" s="15" t="s">
        <v>432</v>
      </c>
      <c r="G91" s="14" t="s">
        <v>393</v>
      </c>
      <c r="H91" s="14" t="s">
        <v>394</v>
      </c>
      <c r="I91" s="14" t="b">
        <v>1</v>
      </c>
      <c r="J91" s="14" t="s">
        <v>395</v>
      </c>
      <c r="L91" s="14" t="b">
        <v>0</v>
      </c>
      <c r="M91" s="15" t="s">
        <v>1722</v>
      </c>
      <c r="N91" s="14" t="s">
        <v>393</v>
      </c>
      <c r="O91" s="14" t="s">
        <v>393</v>
      </c>
      <c r="P91" s="15" t="s">
        <v>397</v>
      </c>
      <c r="Q91" s="15" t="s">
        <v>1689</v>
      </c>
      <c r="T91" s="14" t="b">
        <v>0</v>
      </c>
      <c r="U91" s="15" t="s">
        <v>1723</v>
      </c>
      <c r="V91" s="15" t="s">
        <v>1696</v>
      </c>
      <c r="W91" s="15" t="s">
        <v>401</v>
      </c>
      <c r="X91" s="15" t="s">
        <v>695</v>
      </c>
      <c r="Y91" s="15">
        <v>494.0</v>
      </c>
      <c r="AA91" s="15" t="str">
        <f t="shared" si="166"/>
        <v>190</v>
      </c>
      <c r="AB91" s="14" t="b">
        <v>1</v>
      </c>
      <c r="AC91" s="14" t="b">
        <v>1</v>
      </c>
      <c r="AD91" s="15" t="str">
        <f>"801542672355"</f>
        <v>801542672355</v>
      </c>
      <c r="AE91" s="15" t="s">
        <v>1724</v>
      </c>
      <c r="AF91" s="14" t="s">
        <v>404</v>
      </c>
      <c r="AG91" s="14" t="s">
        <v>405</v>
      </c>
      <c r="AH91" s="14" t="s">
        <v>406</v>
      </c>
      <c r="AI91" s="15">
        <v>0.0</v>
      </c>
      <c r="AL91" s="15" t="s">
        <v>1615</v>
      </c>
      <c r="AM91" s="15" t="s">
        <v>747</v>
      </c>
      <c r="AN91" s="15" t="s">
        <v>748</v>
      </c>
      <c r="AO91" s="15" t="s">
        <v>1675</v>
      </c>
      <c r="AP91" s="15" t="s">
        <v>1676</v>
      </c>
      <c r="AQ91" s="15" t="s">
        <v>1007</v>
      </c>
      <c r="AR91" s="15" t="s">
        <v>1008</v>
      </c>
      <c r="AS91" s="15" t="s">
        <v>1628</v>
      </c>
      <c r="AT91" s="15" t="s">
        <v>1689</v>
      </c>
      <c r="AW91" s="15" t="s">
        <v>1009</v>
      </c>
      <c r="AY91" s="15" t="s">
        <v>426</v>
      </c>
      <c r="AZ91" s="15" t="b">
        <v>1</v>
      </c>
      <c r="BA91" s="15" t="s">
        <v>413</v>
      </c>
      <c r="BB91" s="15" t="b">
        <v>0</v>
      </c>
      <c r="BC91" s="15" t="s">
        <v>1725</v>
      </c>
      <c r="BD91" s="15" t="s">
        <v>709</v>
      </c>
      <c r="BE91" s="15" t="str">
        <f t="shared" si="151"/>
        <v>1</v>
      </c>
      <c r="BF91" s="15" t="s">
        <v>416</v>
      </c>
      <c r="BG91" s="15" t="str">
        <f t="shared" si="159"/>
        <v>22.24</v>
      </c>
      <c r="BH91" s="15" t="s">
        <v>1423</v>
      </c>
      <c r="BI91" s="15" t="str">
        <f t="shared" si="160"/>
        <v>21.85</v>
      </c>
      <c r="BJ91" s="15" t="s">
        <v>1405</v>
      </c>
      <c r="BK91" s="15" t="str">
        <f t="shared" si="161"/>
        <v>19.29</v>
      </c>
      <c r="BL91" s="15" t="s">
        <v>566</v>
      </c>
      <c r="BM91" s="15" t="str">
        <f t="shared" si="162"/>
        <v>30.86</v>
      </c>
      <c r="BN91" s="15" t="s">
        <v>1699</v>
      </c>
      <c r="BQ91" s="15" t="s">
        <v>444</v>
      </c>
      <c r="BS91" s="15" t="s">
        <v>444</v>
      </c>
      <c r="BU91" s="15" t="s">
        <v>444</v>
      </c>
      <c r="BW91" s="15" t="s">
        <v>444</v>
      </c>
      <c r="BZ91" s="15" t="s">
        <v>444</v>
      </c>
      <c r="CB91" s="15" t="s">
        <v>444</v>
      </c>
      <c r="CD91" s="15" t="s">
        <v>444</v>
      </c>
      <c r="CF91" s="15" t="s">
        <v>444</v>
      </c>
      <c r="CI91" s="15" t="s">
        <v>444</v>
      </c>
      <c r="CK91" s="15" t="s">
        <v>444</v>
      </c>
      <c r="CM91" s="15" t="s">
        <v>444</v>
      </c>
      <c r="CO91" s="15" t="s">
        <v>444</v>
      </c>
      <c r="CP91" s="15" t="str">
        <f t="shared" si="163"/>
        <v>5.44</v>
      </c>
      <c r="CQ91" s="15" t="str">
        <f t="shared" si="164"/>
        <v>0.154</v>
      </c>
      <c r="CR91" s="15" t="s">
        <v>465</v>
      </c>
      <c r="DB91" s="15" t="s">
        <v>1331</v>
      </c>
      <c r="DC91" s="15" t="str">
        <f>IFERROR(__xludf.DUMMYFUNCTION("""COMPUTED_VALUE"""),"{""value"":21.00,""unit"":""in""}")</f>
        <v>{"value":21.00,"unit":"in"}</v>
      </c>
      <c r="DD91" s="15" t="s">
        <v>1065</v>
      </c>
      <c r="DE91" s="15" t="str">
        <f>IFERROR(__xludf.DUMMYFUNCTION("""COMPUTED_VALUE"""),"{""value"":18.00,""unit"":""in""}")</f>
        <v>{"value":18.00,"unit":"in"}</v>
      </c>
      <c r="DF91" s="15" t="s">
        <v>1700</v>
      </c>
      <c r="DG91" s="15" t="str">
        <f>IFERROR(__xludf.DUMMYFUNCTION("""COMPUTED_VALUE"""),"{""value"":21.50,""unit"":""in""}")</f>
        <v>{"value":21.50,"unit":"in"}</v>
      </c>
      <c r="DI91" s="15">
        <v>0.0</v>
      </c>
      <c r="DK91" s="15" t="s">
        <v>718</v>
      </c>
      <c r="DL91" s="15" t="str">
        <f>IFERROR(__xludf.DUMMYFUNCTION("""COMPUTED_VALUE"""),"Vacuum or light brush only. Do not use water or any cleaning products.")</f>
        <v>Vacuum or light brush only. Do not use water or any cleaning products.</v>
      </c>
      <c r="DM91" s="15" t="s">
        <v>719</v>
      </c>
      <c r="DT91" s="15" t="s">
        <v>721</v>
      </c>
      <c r="DU91" s="15" t="s">
        <v>419</v>
      </c>
      <c r="DV91" s="15">
        <v>0.0</v>
      </c>
      <c r="DZ91" s="15">
        <v>30000.0</v>
      </c>
      <c r="EA91" s="15" t="s">
        <v>470</v>
      </c>
      <c r="EB91" s="15" t="s">
        <v>1016</v>
      </c>
      <c r="EC91" s="15" t="s">
        <v>1701</v>
      </c>
      <c r="ED91" s="15">
        <v>1.0</v>
      </c>
      <c r="EE91" s="15">
        <v>2.0</v>
      </c>
      <c r="EF91" s="15" t="s">
        <v>498</v>
      </c>
      <c r="EG91" s="15" t="s">
        <v>499</v>
      </c>
      <c r="EH91" s="15" t="s">
        <v>1635</v>
      </c>
      <c r="EI91" s="15">
        <v>0.0</v>
      </c>
      <c r="EJ91" s="15" t="s">
        <v>1545</v>
      </c>
      <c r="EK91" s="15" t="s">
        <v>1546</v>
      </c>
      <c r="EM91" s="15" t="str">
        <f>IFERROR(__xludf.DUMMYFUNCTION("""COMPUTED_VALUE"""),"")</f>
        <v/>
      </c>
      <c r="EW91" s="15" t="s">
        <v>1288</v>
      </c>
      <c r="EY91" s="15" t="s">
        <v>1593</v>
      </c>
      <c r="FF91" s="15" t="s">
        <v>997</v>
      </c>
      <c r="FS91" s="15" t="s">
        <v>1609</v>
      </c>
    </row>
    <row r="92" ht="15.75" customHeight="1">
      <c r="A92" s="14" t="s">
        <v>391</v>
      </c>
      <c r="B92" s="15" t="s">
        <v>1726</v>
      </c>
      <c r="C92" s="16"/>
      <c r="D92" s="15" t="s">
        <v>432</v>
      </c>
      <c r="G92" s="14" t="s">
        <v>393</v>
      </c>
      <c r="H92" s="14" t="s">
        <v>394</v>
      </c>
      <c r="I92" s="14" t="b">
        <v>1</v>
      </c>
      <c r="J92" s="14" t="s">
        <v>395</v>
      </c>
      <c r="L92" s="14" t="b">
        <v>0</v>
      </c>
      <c r="M92" s="15" t="s">
        <v>1727</v>
      </c>
      <c r="N92" s="14" t="s">
        <v>393</v>
      </c>
      <c r="O92" s="14" t="s">
        <v>393</v>
      </c>
      <c r="P92" s="15" t="s">
        <v>397</v>
      </c>
      <c r="Q92" s="15" t="s">
        <v>1619</v>
      </c>
      <c r="T92" s="14" t="b">
        <v>0</v>
      </c>
      <c r="U92" s="15" t="s">
        <v>1728</v>
      </c>
      <c r="V92" s="15" t="s">
        <v>1729</v>
      </c>
      <c r="W92" s="15" t="s">
        <v>401</v>
      </c>
      <c r="X92" s="15" t="s">
        <v>695</v>
      </c>
      <c r="Y92" s="15">
        <v>2847.0</v>
      </c>
      <c r="AA92" s="15" t="str">
        <f>"1095"</f>
        <v>1095</v>
      </c>
      <c r="AB92" s="14" t="b">
        <v>1</v>
      </c>
      <c r="AC92" s="14" t="b">
        <v>1</v>
      </c>
      <c r="AD92" s="15" t="str">
        <f>"198394062510"</f>
        <v>198394062510</v>
      </c>
      <c r="AE92" s="15" t="s">
        <v>1730</v>
      </c>
      <c r="AF92" s="14" t="s">
        <v>404</v>
      </c>
      <c r="AG92" s="14" t="s">
        <v>405</v>
      </c>
      <c r="AH92" s="14" t="s">
        <v>406</v>
      </c>
      <c r="AI92" s="15">
        <v>0.0</v>
      </c>
      <c r="AL92" s="15" t="s">
        <v>1623</v>
      </c>
      <c r="AM92" s="15" t="s">
        <v>1001</v>
      </c>
      <c r="AN92" s="15" t="s">
        <v>1731</v>
      </c>
      <c r="AO92" s="15" t="s">
        <v>645</v>
      </c>
      <c r="AP92" s="15" t="s">
        <v>646</v>
      </c>
      <c r="AQ92" s="15" t="s">
        <v>1626</v>
      </c>
      <c r="AR92" s="15" t="s">
        <v>1627</v>
      </c>
      <c r="AS92" s="15" t="s">
        <v>1628</v>
      </c>
      <c r="AT92" s="15" t="s">
        <v>1619</v>
      </c>
      <c r="AW92" s="15" t="s">
        <v>1732</v>
      </c>
      <c r="AY92" s="15" t="s">
        <v>426</v>
      </c>
      <c r="AZ92" s="15" t="b">
        <v>1</v>
      </c>
      <c r="BA92" s="15" t="s">
        <v>426</v>
      </c>
      <c r="BB92" s="15" t="b">
        <v>1</v>
      </c>
      <c r="BC92" s="15" t="s">
        <v>1631</v>
      </c>
      <c r="BD92" s="15" t="s">
        <v>709</v>
      </c>
      <c r="BE92" s="15" t="str">
        <f t="shared" si="151"/>
        <v>1</v>
      </c>
      <c r="BF92" s="15" t="s">
        <v>416</v>
      </c>
      <c r="BG92" s="15" t="str">
        <f t="shared" ref="BG92:BG93" si="167">"99.21"</f>
        <v>99.21</v>
      </c>
      <c r="BH92" s="15" t="s">
        <v>1733</v>
      </c>
      <c r="BI92" s="15" t="str">
        <f t="shared" ref="BI92:BI98" si="168">"36.61"</f>
        <v>36.61</v>
      </c>
      <c r="BJ92" s="15" t="s">
        <v>1734</v>
      </c>
      <c r="BK92" s="15" t="str">
        <f t="shared" ref="BK92:BK98" si="169">"26.38"</f>
        <v>26.38</v>
      </c>
      <c r="BL92" s="15" t="s">
        <v>1735</v>
      </c>
      <c r="BM92" s="15" t="str">
        <f t="shared" ref="BM92:BM93" si="170">"149.47"</f>
        <v>149.47</v>
      </c>
      <c r="BN92" s="15" t="s">
        <v>1736</v>
      </c>
      <c r="BQ92" s="15" t="s">
        <v>444</v>
      </c>
      <c r="BS92" s="15" t="s">
        <v>444</v>
      </c>
      <c r="BU92" s="15" t="s">
        <v>444</v>
      </c>
      <c r="BW92" s="15" t="s">
        <v>444</v>
      </c>
      <c r="BZ92" s="15" t="s">
        <v>444</v>
      </c>
      <c r="CB92" s="15" t="s">
        <v>444</v>
      </c>
      <c r="CD92" s="15" t="s">
        <v>444</v>
      </c>
      <c r="CF92" s="15" t="s">
        <v>444</v>
      </c>
      <c r="CI92" s="15" t="s">
        <v>444</v>
      </c>
      <c r="CK92" s="15" t="s">
        <v>444</v>
      </c>
      <c r="CM92" s="15" t="s">
        <v>444</v>
      </c>
      <c r="CO92" s="15" t="s">
        <v>444</v>
      </c>
      <c r="CP92" s="15" t="str">
        <f t="shared" ref="CP92:CP93" si="171">"55.44"</f>
        <v>55.44</v>
      </c>
      <c r="CQ92" s="15" t="str">
        <f t="shared" ref="CQ92:CQ93" si="172">"1.57"</f>
        <v>1.57</v>
      </c>
      <c r="CR92" s="15" t="s">
        <v>465</v>
      </c>
      <c r="DB92" s="15" t="s">
        <v>1211</v>
      </c>
      <c r="DC92" s="15" t="str">
        <f>IFERROR(__xludf.DUMMYFUNCTION("""COMPUTED_VALUE"""),"{""value"":24.00,""unit"":""in""}")</f>
        <v>{"value":24.00,"unit":"in"}</v>
      </c>
      <c r="DD92" s="15" t="s">
        <v>1161</v>
      </c>
      <c r="DE92" s="15" t="str">
        <f>IFERROR(__xludf.DUMMYFUNCTION("""COMPUTED_VALUE"""),"{""value"":17.00,""unit"":""in""}")</f>
        <v>{"value":17.00,"unit":"in"}</v>
      </c>
      <c r="DF92" s="15" t="s">
        <v>1737</v>
      </c>
      <c r="DG92" s="15" t="str">
        <f>IFERROR(__xludf.DUMMYFUNCTION("""COMPUTED_VALUE"""),"{""value"":85.00,""unit"":""in""}")</f>
        <v>{"value":85.00,"unit":"in"}</v>
      </c>
      <c r="DH92" s="15">
        <v>0.0</v>
      </c>
      <c r="DI92" s="15">
        <v>1.0</v>
      </c>
      <c r="DJ92" s="15" t="s">
        <v>717</v>
      </c>
      <c r="DK92" s="15" t="s">
        <v>897</v>
      </c>
      <c r="DL92" s="15" t="str">
        <f>IFERROR(__xludf.DUMMYFUNCTION("""COMPUTED_VALUE"""),"Clean with water-based products only. Use mild detergent or upholstery shampoo.")</f>
        <v>Clean with water-based products only. Use mild detergent or upholstery shampoo.</v>
      </c>
      <c r="DM92" s="15" t="s">
        <v>898</v>
      </c>
      <c r="DT92" s="15" t="s">
        <v>721</v>
      </c>
      <c r="DU92" s="15" t="s">
        <v>419</v>
      </c>
      <c r="DV92" s="15">
        <v>0.0</v>
      </c>
      <c r="DZ92" s="15">
        <v>50000.0</v>
      </c>
      <c r="EA92" s="15" t="s">
        <v>990</v>
      </c>
      <c r="EB92" s="15" t="s">
        <v>1016</v>
      </c>
      <c r="EC92" s="15" t="s">
        <v>1701</v>
      </c>
      <c r="ED92" s="15">
        <v>1.0</v>
      </c>
      <c r="EE92" s="15">
        <v>3.0</v>
      </c>
      <c r="EG92" s="15" t="s">
        <v>444</v>
      </c>
      <c r="EH92" s="15" t="s">
        <v>1635</v>
      </c>
      <c r="EI92" s="15">
        <v>0.0</v>
      </c>
      <c r="EJ92" s="15" t="s">
        <v>473</v>
      </c>
      <c r="EK92" s="15" t="s">
        <v>474</v>
      </c>
      <c r="EL92" s="15" t="s">
        <v>1283</v>
      </c>
      <c r="EM92" s="15" t="str">
        <f>IFERROR(__xludf.DUMMYFUNCTION("""COMPUTED_VALUE"""),"{""value"":26.50,""unit"":""in""}")</f>
        <v>{"value":26.50,"unit":"in"}</v>
      </c>
      <c r="EN92" s="15" t="s">
        <v>1738</v>
      </c>
      <c r="EO92" s="15" t="s">
        <v>1739</v>
      </c>
      <c r="ES92" s="15" t="s">
        <v>505</v>
      </c>
      <c r="EW92" s="15" t="s">
        <v>784</v>
      </c>
      <c r="EX92" s="15" t="s">
        <v>555</v>
      </c>
      <c r="EY92" s="15" t="s">
        <v>1740</v>
      </c>
      <c r="EZ92" s="15" t="s">
        <v>1738</v>
      </c>
      <c r="FC92" s="15" t="s">
        <v>1016</v>
      </c>
      <c r="FD92" s="15" t="s">
        <v>1701</v>
      </c>
      <c r="FF92" s="15" t="s">
        <v>997</v>
      </c>
      <c r="FS92" s="15" t="s">
        <v>1609</v>
      </c>
    </row>
    <row r="93" ht="15.75" customHeight="1">
      <c r="A93" s="14" t="s">
        <v>391</v>
      </c>
      <c r="B93" s="15" t="s">
        <v>1726</v>
      </c>
      <c r="C93" s="16"/>
      <c r="D93" s="15" t="s">
        <v>432</v>
      </c>
      <c r="G93" s="14" t="s">
        <v>393</v>
      </c>
      <c r="H93" s="14" t="s">
        <v>394</v>
      </c>
      <c r="I93" s="14" t="b">
        <v>1</v>
      </c>
      <c r="J93" s="14" t="s">
        <v>395</v>
      </c>
      <c r="L93" s="14" t="b">
        <v>0</v>
      </c>
      <c r="M93" s="15" t="s">
        <v>1741</v>
      </c>
      <c r="N93" s="14" t="s">
        <v>393</v>
      </c>
      <c r="O93" s="14" t="s">
        <v>393</v>
      </c>
      <c r="P93" s="15" t="s">
        <v>397</v>
      </c>
      <c r="Q93" s="15" t="s">
        <v>1641</v>
      </c>
      <c r="T93" s="14" t="b">
        <v>0</v>
      </c>
      <c r="U93" s="15" t="s">
        <v>1742</v>
      </c>
      <c r="V93" s="15" t="s">
        <v>1729</v>
      </c>
      <c r="W93" s="15" t="s">
        <v>401</v>
      </c>
      <c r="X93" s="15" t="s">
        <v>695</v>
      </c>
      <c r="Y93" s="15">
        <v>5356.0</v>
      </c>
      <c r="AA93" s="15" t="str">
        <f>"2060"</f>
        <v>2060</v>
      </c>
      <c r="AB93" s="14" t="b">
        <v>1</v>
      </c>
      <c r="AC93" s="14" t="b">
        <v>1</v>
      </c>
      <c r="AD93" s="15" t="str">
        <f>"801542399047"</f>
        <v>801542399047</v>
      </c>
      <c r="AE93" s="15" t="s">
        <v>1743</v>
      </c>
      <c r="AF93" s="14" t="s">
        <v>404</v>
      </c>
      <c r="AG93" s="14" t="s">
        <v>405</v>
      </c>
      <c r="AH93" s="14" t="s">
        <v>406</v>
      </c>
      <c r="AI93" s="15">
        <v>0.0</v>
      </c>
      <c r="AL93" s="15" t="s">
        <v>1600</v>
      </c>
      <c r="AM93" s="15" t="s">
        <v>1001</v>
      </c>
      <c r="AN93" s="15" t="s">
        <v>1731</v>
      </c>
      <c r="AO93" s="15" t="s">
        <v>645</v>
      </c>
      <c r="AP93" s="15" t="s">
        <v>646</v>
      </c>
      <c r="AQ93" s="15" t="s">
        <v>1626</v>
      </c>
      <c r="AR93" s="15" t="s">
        <v>1627</v>
      </c>
      <c r="AS93" s="15" t="s">
        <v>1628</v>
      </c>
      <c r="AT93" s="15" t="s">
        <v>1641</v>
      </c>
      <c r="AW93" s="15" t="s">
        <v>1732</v>
      </c>
      <c r="AY93" s="15" t="s">
        <v>413</v>
      </c>
      <c r="AZ93" s="15" t="b">
        <v>0</v>
      </c>
      <c r="BA93" s="15" t="s">
        <v>413</v>
      </c>
      <c r="BB93" s="15" t="b">
        <v>0</v>
      </c>
      <c r="BC93" s="15" t="s">
        <v>1744</v>
      </c>
      <c r="BD93" s="15" t="s">
        <v>709</v>
      </c>
      <c r="BE93" s="15" t="str">
        <f t="shared" si="151"/>
        <v>1</v>
      </c>
      <c r="BF93" s="15" t="s">
        <v>416</v>
      </c>
      <c r="BG93" s="15" t="str">
        <f t="shared" si="167"/>
        <v>99.21</v>
      </c>
      <c r="BH93" s="15" t="s">
        <v>1733</v>
      </c>
      <c r="BI93" s="15" t="str">
        <f t="shared" si="168"/>
        <v>36.61</v>
      </c>
      <c r="BJ93" s="15" t="s">
        <v>1734</v>
      </c>
      <c r="BK93" s="15" t="str">
        <f t="shared" si="169"/>
        <v>26.38</v>
      </c>
      <c r="BL93" s="15" t="s">
        <v>1735</v>
      </c>
      <c r="BM93" s="15" t="str">
        <f t="shared" si="170"/>
        <v>149.47</v>
      </c>
      <c r="BN93" s="15" t="s">
        <v>1736</v>
      </c>
      <c r="BQ93" s="15" t="s">
        <v>444</v>
      </c>
      <c r="BS93" s="15" t="s">
        <v>444</v>
      </c>
      <c r="BU93" s="15" t="s">
        <v>444</v>
      </c>
      <c r="BW93" s="15" t="s">
        <v>444</v>
      </c>
      <c r="BZ93" s="15" t="s">
        <v>444</v>
      </c>
      <c r="CB93" s="15" t="s">
        <v>444</v>
      </c>
      <c r="CD93" s="15" t="s">
        <v>444</v>
      </c>
      <c r="CF93" s="15" t="s">
        <v>444</v>
      </c>
      <c r="CI93" s="15" t="s">
        <v>444</v>
      </c>
      <c r="CK93" s="15" t="s">
        <v>444</v>
      </c>
      <c r="CM93" s="15" t="s">
        <v>444</v>
      </c>
      <c r="CO93" s="15" t="s">
        <v>444</v>
      </c>
      <c r="CP93" s="15" t="str">
        <f t="shared" si="171"/>
        <v>55.44</v>
      </c>
      <c r="CQ93" s="15" t="str">
        <f t="shared" si="172"/>
        <v>1.57</v>
      </c>
      <c r="CR93" s="15" t="s">
        <v>497</v>
      </c>
      <c r="DB93" s="15" t="s">
        <v>1211</v>
      </c>
      <c r="DC93" s="15" t="str">
        <f>IFERROR(__xludf.DUMMYFUNCTION("""COMPUTED_VALUE"""),"{""value"":24.00,""unit"":""in""}")</f>
        <v>{"value":24.00,"unit":"in"}</v>
      </c>
      <c r="DD93" s="15" t="s">
        <v>1161</v>
      </c>
      <c r="DE93" s="15" t="str">
        <f>IFERROR(__xludf.DUMMYFUNCTION("""COMPUTED_VALUE"""),"{""value"":17.00,""unit"":""in""}")</f>
        <v>{"value":17.00,"unit":"in"}</v>
      </c>
      <c r="DF93" s="15" t="s">
        <v>1737</v>
      </c>
      <c r="DG93" s="15" t="str">
        <f>IFERROR(__xludf.DUMMYFUNCTION("""COMPUTED_VALUE"""),"{""value"":85.00,""unit"":""in""}")</f>
        <v>{"value":85.00,"unit":"in"}</v>
      </c>
      <c r="DH93" s="15">
        <v>0.0</v>
      </c>
      <c r="DI93" s="15">
        <v>1.0</v>
      </c>
      <c r="DJ93" s="15" t="s">
        <v>717</v>
      </c>
      <c r="DK93" s="15" t="s">
        <v>718</v>
      </c>
      <c r="DL93" s="15" t="str">
        <f>IFERROR(__xludf.DUMMYFUNCTION("""COMPUTED_VALUE"""),"Vacuum or light brush only. Do not use water or any cleaning products.")</f>
        <v>Vacuum or light brush only. Do not use water or any cleaning products.</v>
      </c>
      <c r="DM93" s="15" t="s">
        <v>719</v>
      </c>
      <c r="DT93" s="15" t="s">
        <v>721</v>
      </c>
      <c r="DU93" s="15" t="s">
        <v>419</v>
      </c>
      <c r="DV93" s="15">
        <v>0.0</v>
      </c>
      <c r="DZ93" s="15">
        <v>0.0</v>
      </c>
      <c r="EA93" s="15" t="s">
        <v>990</v>
      </c>
      <c r="EB93" s="15" t="s">
        <v>1016</v>
      </c>
      <c r="EC93" s="15" t="s">
        <v>1701</v>
      </c>
      <c r="ED93" s="15">
        <v>1.0</v>
      </c>
      <c r="EE93" s="15">
        <v>3.0</v>
      </c>
      <c r="EG93" s="15" t="s">
        <v>444</v>
      </c>
      <c r="EH93" s="15" t="s">
        <v>1635</v>
      </c>
      <c r="EI93" s="15">
        <v>0.0</v>
      </c>
      <c r="EJ93" s="15" t="s">
        <v>473</v>
      </c>
      <c r="EK93" s="15" t="s">
        <v>474</v>
      </c>
      <c r="EL93" s="15" t="s">
        <v>1283</v>
      </c>
      <c r="EM93" s="15" t="str">
        <f>IFERROR(__xludf.DUMMYFUNCTION("""COMPUTED_VALUE"""),"{""value"":26.50,""unit"":""in""}")</f>
        <v>{"value":26.50,"unit":"in"}</v>
      </c>
      <c r="EN93" s="15" t="s">
        <v>1738</v>
      </c>
      <c r="EO93" s="15" t="s">
        <v>1739</v>
      </c>
      <c r="ES93" s="15" t="s">
        <v>505</v>
      </c>
      <c r="EW93" s="15" t="s">
        <v>784</v>
      </c>
      <c r="EX93" s="15" t="s">
        <v>555</v>
      </c>
      <c r="EY93" s="15" t="s">
        <v>1740</v>
      </c>
      <c r="EZ93" s="15" t="s">
        <v>1738</v>
      </c>
      <c r="FC93" s="15" t="s">
        <v>1016</v>
      </c>
      <c r="FD93" s="15" t="s">
        <v>1701</v>
      </c>
      <c r="FF93" s="15" t="s">
        <v>997</v>
      </c>
      <c r="FS93" s="15" t="s">
        <v>1609</v>
      </c>
    </row>
    <row r="94" ht="15.75" customHeight="1">
      <c r="A94" s="14" t="s">
        <v>391</v>
      </c>
      <c r="B94" s="15" t="s">
        <v>1726</v>
      </c>
      <c r="C94" s="16"/>
      <c r="D94" s="15" t="s">
        <v>432</v>
      </c>
      <c r="G94" s="14" t="s">
        <v>393</v>
      </c>
      <c r="H94" s="14" t="s">
        <v>394</v>
      </c>
      <c r="I94" s="14" t="b">
        <v>1</v>
      </c>
      <c r="J94" s="14" t="s">
        <v>395</v>
      </c>
      <c r="L94" s="14" t="b">
        <v>0</v>
      </c>
      <c r="M94" s="15" t="s">
        <v>1745</v>
      </c>
      <c r="N94" s="14" t="s">
        <v>393</v>
      </c>
      <c r="O94" s="14" t="s">
        <v>393</v>
      </c>
      <c r="P94" s="15" t="s">
        <v>397</v>
      </c>
      <c r="Q94" s="15" t="s">
        <v>1646</v>
      </c>
      <c r="R94" s="15" t="s">
        <v>265</v>
      </c>
      <c r="S94" s="15" t="s">
        <v>1746</v>
      </c>
      <c r="T94" s="14" t="b">
        <v>0</v>
      </c>
      <c r="U94" s="15" t="s">
        <v>1747</v>
      </c>
      <c r="V94" s="15" t="s">
        <v>1748</v>
      </c>
      <c r="W94" s="15" t="s">
        <v>401</v>
      </c>
      <c r="X94" s="15" t="s">
        <v>695</v>
      </c>
      <c r="Y94" s="15">
        <v>2626.0</v>
      </c>
      <c r="AA94" s="15" t="str">
        <f>"1010"</f>
        <v>1010</v>
      </c>
      <c r="AB94" s="14" t="b">
        <v>1</v>
      </c>
      <c r="AC94" s="14" t="b">
        <v>1</v>
      </c>
      <c r="AD94" s="15" t="str">
        <f>"801542022112"</f>
        <v>801542022112</v>
      </c>
      <c r="AE94" s="15" t="s">
        <v>1749</v>
      </c>
      <c r="AF94" s="14" t="s">
        <v>404</v>
      </c>
      <c r="AG94" s="14" t="s">
        <v>405</v>
      </c>
      <c r="AH94" s="14" t="s">
        <v>406</v>
      </c>
      <c r="AI94" s="15">
        <v>0.0</v>
      </c>
      <c r="AL94" s="15" t="s">
        <v>1649</v>
      </c>
      <c r="AM94" s="15" t="s">
        <v>1746</v>
      </c>
      <c r="AN94" s="15" t="s">
        <v>1750</v>
      </c>
      <c r="AO94" s="15" t="s">
        <v>645</v>
      </c>
      <c r="AP94" s="15" t="s">
        <v>646</v>
      </c>
      <c r="AQ94" s="15" t="s">
        <v>1626</v>
      </c>
      <c r="AR94" s="15" t="s">
        <v>1627</v>
      </c>
      <c r="AS94" s="15" t="s">
        <v>1628</v>
      </c>
      <c r="AT94" s="15" t="s">
        <v>1646</v>
      </c>
      <c r="AW94" s="15" t="s">
        <v>1732</v>
      </c>
      <c r="AY94" s="15" t="s">
        <v>426</v>
      </c>
      <c r="AZ94" s="15" t="b">
        <v>1</v>
      </c>
      <c r="BA94" s="15" t="s">
        <v>426</v>
      </c>
      <c r="BB94" s="15" t="b">
        <v>1</v>
      </c>
      <c r="BC94" s="15" t="s">
        <v>1751</v>
      </c>
      <c r="BD94" s="15" t="s">
        <v>709</v>
      </c>
      <c r="BE94" s="15" t="str">
        <f t="shared" si="151"/>
        <v>1</v>
      </c>
      <c r="BF94" s="15" t="s">
        <v>416</v>
      </c>
      <c r="BG94" s="15" t="str">
        <f>"88.98"</f>
        <v>88.98</v>
      </c>
      <c r="BH94" s="15" t="s">
        <v>1752</v>
      </c>
      <c r="BI94" s="15" t="str">
        <f t="shared" si="168"/>
        <v>36.61</v>
      </c>
      <c r="BJ94" s="15" t="s">
        <v>1734</v>
      </c>
      <c r="BK94" s="15" t="str">
        <f t="shared" si="169"/>
        <v>26.38</v>
      </c>
      <c r="BL94" s="15" t="s">
        <v>1735</v>
      </c>
      <c r="BM94" s="15" t="str">
        <f>"127.87"</f>
        <v>127.87</v>
      </c>
      <c r="BN94" s="15" t="s">
        <v>1753</v>
      </c>
      <c r="BQ94" s="15" t="s">
        <v>444</v>
      </c>
      <c r="BS94" s="15" t="s">
        <v>444</v>
      </c>
      <c r="BU94" s="15" t="s">
        <v>444</v>
      </c>
      <c r="BW94" s="15" t="s">
        <v>444</v>
      </c>
      <c r="BZ94" s="15" t="s">
        <v>444</v>
      </c>
      <c r="CB94" s="15" t="s">
        <v>444</v>
      </c>
      <c r="CD94" s="15" t="s">
        <v>444</v>
      </c>
      <c r="CF94" s="15" t="s">
        <v>444</v>
      </c>
      <c r="CI94" s="15" t="s">
        <v>444</v>
      </c>
      <c r="CK94" s="15" t="s">
        <v>444</v>
      </c>
      <c r="CM94" s="15" t="s">
        <v>444</v>
      </c>
      <c r="CO94" s="15" t="s">
        <v>444</v>
      </c>
      <c r="CP94" s="15" t="str">
        <f>"49.72"</f>
        <v>49.72</v>
      </c>
      <c r="CQ94" s="15" t="str">
        <f>"1.408"</f>
        <v>1.408</v>
      </c>
      <c r="CR94" s="15" t="s">
        <v>465</v>
      </c>
      <c r="DB94" s="15" t="s">
        <v>1211</v>
      </c>
      <c r="DC94" s="15" t="str">
        <f>IFERROR(__xludf.DUMMYFUNCTION("""COMPUTED_VALUE"""),"{""value"":24.00,""unit"":""in""}")</f>
        <v>{"value":24.00,"unit":"in"}</v>
      </c>
      <c r="DD94" s="15" t="s">
        <v>1161</v>
      </c>
      <c r="DE94" s="15" t="str">
        <f>IFERROR(__xludf.DUMMYFUNCTION("""COMPUTED_VALUE"""),"{""value"":17.00,""unit"":""in""}")</f>
        <v>{"value":17.00,"unit":"in"}</v>
      </c>
      <c r="DG94" s="15" t="str">
        <f>IFERROR(__xludf.DUMMYFUNCTION("""COMPUTED_VALUE"""),"")</f>
        <v/>
      </c>
      <c r="DH94" s="15">
        <v>0.0</v>
      </c>
      <c r="DI94" s="15">
        <v>1.0</v>
      </c>
      <c r="DJ94" s="15" t="s">
        <v>717</v>
      </c>
      <c r="DK94" s="15" t="s">
        <v>855</v>
      </c>
      <c r="DL94" s="15" t="str">
        <f>IFERROR(__xludf.DUMMYFUNCTION("""COMPUTED_VALUE"""),"Clean with solvent-based (dry clean only) products. Do not use water.")</f>
        <v>Clean with solvent-based (dry clean only) products. Do not use water.</v>
      </c>
      <c r="DM94" s="15" t="s">
        <v>856</v>
      </c>
      <c r="DT94" s="15" t="s">
        <v>721</v>
      </c>
      <c r="DU94" s="15" t="s">
        <v>419</v>
      </c>
      <c r="DV94" s="15">
        <v>0.0</v>
      </c>
      <c r="DZ94" s="15">
        <v>25000.0</v>
      </c>
      <c r="EA94" s="15" t="s">
        <v>990</v>
      </c>
      <c r="EB94" s="15" t="s">
        <v>1016</v>
      </c>
      <c r="ED94" s="15">
        <v>1.0</v>
      </c>
      <c r="EE94" s="15">
        <v>3.0</v>
      </c>
      <c r="EG94" s="15" t="s">
        <v>444</v>
      </c>
      <c r="EH94" s="15" t="s">
        <v>1635</v>
      </c>
      <c r="EI94" s="15">
        <v>0.0</v>
      </c>
      <c r="EJ94" s="15" t="s">
        <v>473</v>
      </c>
      <c r="EK94" s="15" t="s">
        <v>474</v>
      </c>
      <c r="EL94" s="15" t="s">
        <v>1283</v>
      </c>
      <c r="EM94" s="15" t="str">
        <f>IFERROR(__xludf.DUMMYFUNCTION("""COMPUTED_VALUE"""),"{""value"":26.50,""unit"":""in""}")</f>
        <v>{"value":26.50,"unit":"in"}</v>
      </c>
      <c r="EN94" s="15" t="s">
        <v>531</v>
      </c>
      <c r="EO94" s="15" t="s">
        <v>1739</v>
      </c>
      <c r="ES94" s="15" t="s">
        <v>505</v>
      </c>
      <c r="EW94" s="15" t="s">
        <v>784</v>
      </c>
      <c r="EX94" s="15" t="s">
        <v>555</v>
      </c>
      <c r="EY94" s="15" t="s">
        <v>1754</v>
      </c>
      <c r="EZ94" s="15" t="s">
        <v>1738</v>
      </c>
      <c r="FC94" s="15" t="s">
        <v>1016</v>
      </c>
      <c r="FF94" s="15" t="s">
        <v>997</v>
      </c>
      <c r="FO94" s="15" t="s">
        <v>1755</v>
      </c>
      <c r="FP94" s="15" t="s">
        <v>1755</v>
      </c>
      <c r="FS94" s="15" t="s">
        <v>1609</v>
      </c>
    </row>
    <row r="95" ht="15.75" customHeight="1">
      <c r="A95" s="14" t="s">
        <v>391</v>
      </c>
      <c r="B95" s="15" t="s">
        <v>1726</v>
      </c>
      <c r="C95" s="16"/>
      <c r="D95" s="15" t="s">
        <v>432</v>
      </c>
      <c r="G95" s="14" t="s">
        <v>393</v>
      </c>
      <c r="H95" s="14" t="s">
        <v>394</v>
      </c>
      <c r="I95" s="14" t="b">
        <v>1</v>
      </c>
      <c r="J95" s="14" t="s">
        <v>395</v>
      </c>
      <c r="L95" s="14" t="b">
        <v>0</v>
      </c>
      <c r="M95" s="15" t="s">
        <v>1756</v>
      </c>
      <c r="N95" s="14" t="s">
        <v>393</v>
      </c>
      <c r="O95" s="14" t="s">
        <v>393</v>
      </c>
      <c r="P95" s="15" t="s">
        <v>397</v>
      </c>
      <c r="Q95" s="15" t="s">
        <v>1646</v>
      </c>
      <c r="R95" s="15" t="s">
        <v>265</v>
      </c>
      <c r="S95" s="15" t="s">
        <v>1001</v>
      </c>
      <c r="T95" s="14" t="b">
        <v>0</v>
      </c>
      <c r="U95" s="15" t="s">
        <v>1757</v>
      </c>
      <c r="V95" s="15" t="s">
        <v>1729</v>
      </c>
      <c r="W95" s="15" t="s">
        <v>401</v>
      </c>
      <c r="X95" s="15" t="s">
        <v>695</v>
      </c>
      <c r="Y95" s="15">
        <v>2847.0</v>
      </c>
      <c r="AA95" s="15" t="str">
        <f t="shared" ref="AA95:AA96" si="173">"1095"</f>
        <v>1095</v>
      </c>
      <c r="AB95" s="14" t="b">
        <v>1</v>
      </c>
      <c r="AC95" s="14" t="b">
        <v>1</v>
      </c>
      <c r="AD95" s="15" t="str">
        <f>"801542396831"</f>
        <v>801542396831</v>
      </c>
      <c r="AE95" s="15" t="s">
        <v>1758</v>
      </c>
      <c r="AF95" s="14" t="s">
        <v>404</v>
      </c>
      <c r="AG95" s="14" t="s">
        <v>405</v>
      </c>
      <c r="AH95" s="14" t="s">
        <v>406</v>
      </c>
      <c r="AI95" s="15">
        <v>0.0</v>
      </c>
      <c r="AL95" s="15" t="s">
        <v>1649</v>
      </c>
      <c r="AM95" s="15" t="s">
        <v>1001</v>
      </c>
      <c r="AN95" s="15" t="s">
        <v>1731</v>
      </c>
      <c r="AO95" s="15" t="s">
        <v>645</v>
      </c>
      <c r="AP95" s="15" t="s">
        <v>646</v>
      </c>
      <c r="AQ95" s="15" t="s">
        <v>1626</v>
      </c>
      <c r="AR95" s="15" t="s">
        <v>1627</v>
      </c>
      <c r="AS95" s="15" t="s">
        <v>1628</v>
      </c>
      <c r="AT95" s="15" t="s">
        <v>1646</v>
      </c>
      <c r="AW95" s="15" t="s">
        <v>1732</v>
      </c>
      <c r="AY95" s="15" t="s">
        <v>413</v>
      </c>
      <c r="AZ95" s="15" t="b">
        <v>0</v>
      </c>
      <c r="BA95" s="15" t="s">
        <v>426</v>
      </c>
      <c r="BB95" s="15" t="b">
        <v>1</v>
      </c>
      <c r="BC95" s="15" t="s">
        <v>1759</v>
      </c>
      <c r="BD95" s="15" t="s">
        <v>709</v>
      </c>
      <c r="BE95" s="15" t="str">
        <f t="shared" si="151"/>
        <v>1</v>
      </c>
      <c r="BF95" s="15" t="s">
        <v>416</v>
      </c>
      <c r="BG95" s="15" t="str">
        <f t="shared" ref="BG95:BG98" si="174">"99.21"</f>
        <v>99.21</v>
      </c>
      <c r="BH95" s="15" t="s">
        <v>1733</v>
      </c>
      <c r="BI95" s="15" t="str">
        <f t="shared" si="168"/>
        <v>36.61</v>
      </c>
      <c r="BJ95" s="15" t="s">
        <v>1734</v>
      </c>
      <c r="BK95" s="15" t="str">
        <f t="shared" si="169"/>
        <v>26.38</v>
      </c>
      <c r="BL95" s="15" t="s">
        <v>1735</v>
      </c>
      <c r="BM95" s="15" t="str">
        <f t="shared" ref="BM95:BM98" si="175">"149.47"</f>
        <v>149.47</v>
      </c>
      <c r="BN95" s="15" t="s">
        <v>1736</v>
      </c>
      <c r="BQ95" s="15" t="s">
        <v>444</v>
      </c>
      <c r="BS95" s="15" t="s">
        <v>444</v>
      </c>
      <c r="BU95" s="15" t="s">
        <v>444</v>
      </c>
      <c r="BW95" s="15" t="s">
        <v>444</v>
      </c>
      <c r="BZ95" s="15" t="s">
        <v>444</v>
      </c>
      <c r="CB95" s="15" t="s">
        <v>444</v>
      </c>
      <c r="CD95" s="15" t="s">
        <v>444</v>
      </c>
      <c r="CF95" s="15" t="s">
        <v>444</v>
      </c>
      <c r="CI95" s="15" t="s">
        <v>444</v>
      </c>
      <c r="CK95" s="15" t="s">
        <v>444</v>
      </c>
      <c r="CM95" s="15" t="s">
        <v>444</v>
      </c>
      <c r="CO95" s="15" t="s">
        <v>444</v>
      </c>
      <c r="CP95" s="15" t="str">
        <f>"55.44"</f>
        <v>55.44</v>
      </c>
      <c r="CQ95" s="15" t="str">
        <f>"1.57"</f>
        <v>1.57</v>
      </c>
      <c r="CR95" s="15" t="s">
        <v>465</v>
      </c>
      <c r="DB95" s="15" t="s">
        <v>1211</v>
      </c>
      <c r="DC95" s="15" t="str">
        <f>IFERROR(__xludf.DUMMYFUNCTION("""COMPUTED_VALUE"""),"{""value"":24.00,""unit"":""in""}")</f>
        <v>{"value":24.00,"unit":"in"}</v>
      </c>
      <c r="DD95" s="15" t="s">
        <v>1161</v>
      </c>
      <c r="DE95" s="15" t="str">
        <f>IFERROR(__xludf.DUMMYFUNCTION("""COMPUTED_VALUE"""),"{""value"":17.00,""unit"":""in""}")</f>
        <v>{"value":17.00,"unit":"in"}</v>
      </c>
      <c r="DF95" s="15" t="s">
        <v>1737</v>
      </c>
      <c r="DG95" s="15" t="str">
        <f>IFERROR(__xludf.DUMMYFUNCTION("""COMPUTED_VALUE"""),"{""value"":85.00,""unit"":""in""}")</f>
        <v>{"value":85.00,"unit":"in"}</v>
      </c>
      <c r="DH95" s="15">
        <v>0.0</v>
      </c>
      <c r="DI95" s="15">
        <v>1.0</v>
      </c>
      <c r="DJ95" s="15" t="s">
        <v>717</v>
      </c>
      <c r="DK95" s="15" t="s">
        <v>855</v>
      </c>
      <c r="DL95" s="15" t="str">
        <f>IFERROR(__xludf.DUMMYFUNCTION("""COMPUTED_VALUE"""),"Clean with solvent-based (dry clean only) products. Do not use water.")</f>
        <v>Clean with solvent-based (dry clean only) products. Do not use water.</v>
      </c>
      <c r="DM95" s="15" t="s">
        <v>856</v>
      </c>
      <c r="DT95" s="15" t="s">
        <v>721</v>
      </c>
      <c r="DU95" s="15" t="s">
        <v>419</v>
      </c>
      <c r="DV95" s="15">
        <v>0.0</v>
      </c>
      <c r="DZ95" s="15">
        <v>25000.0</v>
      </c>
      <c r="EA95" s="15" t="s">
        <v>990</v>
      </c>
      <c r="EB95" s="15" t="s">
        <v>1016</v>
      </c>
      <c r="EC95" s="15" t="s">
        <v>1701</v>
      </c>
      <c r="ED95" s="15">
        <v>1.0</v>
      </c>
      <c r="EE95" s="15">
        <v>3.0</v>
      </c>
      <c r="EG95" s="15" t="s">
        <v>444</v>
      </c>
      <c r="EH95" s="15" t="s">
        <v>1635</v>
      </c>
      <c r="EI95" s="15">
        <v>0.0</v>
      </c>
      <c r="EJ95" s="15" t="s">
        <v>473</v>
      </c>
      <c r="EK95" s="15" t="s">
        <v>474</v>
      </c>
      <c r="EL95" s="15" t="s">
        <v>1283</v>
      </c>
      <c r="EM95" s="15" t="str">
        <f>IFERROR(__xludf.DUMMYFUNCTION("""COMPUTED_VALUE"""),"{""value"":26.50,""unit"":""in""}")</f>
        <v>{"value":26.50,"unit":"in"}</v>
      </c>
      <c r="EN95" s="15" t="s">
        <v>1738</v>
      </c>
      <c r="EO95" s="15" t="s">
        <v>1739</v>
      </c>
      <c r="ES95" s="15" t="s">
        <v>505</v>
      </c>
      <c r="EW95" s="15" t="s">
        <v>784</v>
      </c>
      <c r="EX95" s="15" t="s">
        <v>555</v>
      </c>
      <c r="EY95" s="15" t="s">
        <v>1740</v>
      </c>
      <c r="EZ95" s="15" t="s">
        <v>1738</v>
      </c>
      <c r="FC95" s="15" t="s">
        <v>1016</v>
      </c>
      <c r="FD95" s="15" t="s">
        <v>1701</v>
      </c>
      <c r="FF95" s="15" t="s">
        <v>997</v>
      </c>
      <c r="FS95" s="15" t="s">
        <v>1609</v>
      </c>
    </row>
    <row r="96" ht="15.75" customHeight="1">
      <c r="A96" s="14" t="s">
        <v>391</v>
      </c>
      <c r="B96" s="15" t="s">
        <v>1726</v>
      </c>
      <c r="C96" s="16"/>
      <c r="D96" s="15" t="s">
        <v>432</v>
      </c>
      <c r="G96" s="14" t="s">
        <v>393</v>
      </c>
      <c r="H96" s="14" t="s">
        <v>394</v>
      </c>
      <c r="I96" s="14" t="b">
        <v>1</v>
      </c>
      <c r="J96" s="14" t="s">
        <v>395</v>
      </c>
      <c r="L96" s="14" t="b">
        <v>0</v>
      </c>
      <c r="M96" s="15" t="s">
        <v>1760</v>
      </c>
      <c r="N96" s="14" t="s">
        <v>393</v>
      </c>
      <c r="O96" s="14" t="s">
        <v>393</v>
      </c>
      <c r="P96" s="15" t="s">
        <v>397</v>
      </c>
      <c r="Q96" s="15" t="s">
        <v>1652</v>
      </c>
      <c r="T96" s="14" t="b">
        <v>0</v>
      </c>
      <c r="U96" s="15" t="s">
        <v>1761</v>
      </c>
      <c r="V96" s="15" t="s">
        <v>1762</v>
      </c>
      <c r="W96" s="15" t="s">
        <v>401</v>
      </c>
      <c r="X96" s="15" t="s">
        <v>695</v>
      </c>
      <c r="Y96" s="15">
        <v>2847.0</v>
      </c>
      <c r="AA96" s="15" t="str">
        <f t="shared" si="173"/>
        <v>1095</v>
      </c>
      <c r="AB96" s="14" t="b">
        <v>1</v>
      </c>
      <c r="AC96" s="14" t="b">
        <v>1</v>
      </c>
      <c r="AD96" s="15" t="str">
        <f>"801542401238"</f>
        <v>801542401238</v>
      </c>
      <c r="AE96" s="15" t="s">
        <v>1763</v>
      </c>
      <c r="AF96" s="14" t="s">
        <v>404</v>
      </c>
      <c r="AG96" s="14" t="s">
        <v>405</v>
      </c>
      <c r="AH96" s="14" t="s">
        <v>406</v>
      </c>
      <c r="AI96" s="15">
        <v>0.0</v>
      </c>
      <c r="AL96" s="15" t="s">
        <v>1655</v>
      </c>
      <c r="AM96" s="15" t="s">
        <v>1001</v>
      </c>
      <c r="AN96" s="15" t="s">
        <v>1731</v>
      </c>
      <c r="AO96" s="15" t="s">
        <v>645</v>
      </c>
      <c r="AP96" s="15" t="s">
        <v>646</v>
      </c>
      <c r="AQ96" s="15" t="s">
        <v>1626</v>
      </c>
      <c r="AR96" s="15" t="s">
        <v>1627</v>
      </c>
      <c r="AS96" s="15" t="s">
        <v>1628</v>
      </c>
      <c r="AT96" s="15" t="s">
        <v>1652</v>
      </c>
      <c r="AW96" s="15" t="s">
        <v>1732</v>
      </c>
      <c r="AY96" s="15" t="s">
        <v>413</v>
      </c>
      <c r="AZ96" s="15" t="b">
        <v>0</v>
      </c>
      <c r="BA96" s="15" t="s">
        <v>413</v>
      </c>
      <c r="BB96" s="15" t="b">
        <v>0</v>
      </c>
      <c r="BC96" s="15" t="s">
        <v>1764</v>
      </c>
      <c r="BD96" s="15" t="s">
        <v>709</v>
      </c>
      <c r="BE96" s="15" t="str">
        <f t="shared" si="151"/>
        <v>1</v>
      </c>
      <c r="BF96" s="15" t="s">
        <v>416</v>
      </c>
      <c r="BG96" s="15" t="str">
        <f t="shared" si="174"/>
        <v>99.21</v>
      </c>
      <c r="BH96" s="15" t="s">
        <v>1733</v>
      </c>
      <c r="BI96" s="15" t="str">
        <f t="shared" si="168"/>
        <v>36.61</v>
      </c>
      <c r="BJ96" s="15" t="s">
        <v>1734</v>
      </c>
      <c r="BK96" s="15" t="str">
        <f t="shared" si="169"/>
        <v>26.38</v>
      </c>
      <c r="BL96" s="15" t="s">
        <v>1735</v>
      </c>
      <c r="BM96" s="15" t="str">
        <f t="shared" si="175"/>
        <v>149.47</v>
      </c>
      <c r="BN96" s="15" t="s">
        <v>1736</v>
      </c>
      <c r="BQ96" s="15" t="s">
        <v>444</v>
      </c>
      <c r="BS96" s="15" t="s">
        <v>444</v>
      </c>
      <c r="BU96" s="15" t="s">
        <v>444</v>
      </c>
      <c r="BW96" s="15" t="s">
        <v>444</v>
      </c>
      <c r="BZ96" s="15" t="s">
        <v>444</v>
      </c>
      <c r="CB96" s="15" t="s">
        <v>444</v>
      </c>
      <c r="CD96" s="15" t="s">
        <v>444</v>
      </c>
      <c r="CF96" s="15" t="s">
        <v>444</v>
      </c>
      <c r="CI96" s="15" t="s">
        <v>444</v>
      </c>
      <c r="CK96" s="15" t="s">
        <v>444</v>
      </c>
      <c r="CM96" s="15" t="s">
        <v>444</v>
      </c>
      <c r="CO96" s="15" t="s">
        <v>444</v>
      </c>
      <c r="CP96" s="15" t="str">
        <f>"57.21"</f>
        <v>57.21</v>
      </c>
      <c r="CQ96" s="15" t="str">
        <f>"1.62"</f>
        <v>1.62</v>
      </c>
      <c r="CR96" s="15" t="s">
        <v>465</v>
      </c>
      <c r="DB96" s="15" t="s">
        <v>1211</v>
      </c>
      <c r="DC96" s="15" t="str">
        <f>IFERROR(__xludf.DUMMYFUNCTION("""COMPUTED_VALUE"""),"{""value"":24.00,""unit"":""in""}")</f>
        <v>{"value":24.00,"unit":"in"}</v>
      </c>
      <c r="DD96" s="15" t="s">
        <v>1161</v>
      </c>
      <c r="DE96" s="15" t="str">
        <f>IFERROR(__xludf.DUMMYFUNCTION("""COMPUTED_VALUE"""),"{""value"":17.00,""unit"":""in""}")</f>
        <v>{"value":17.00,"unit":"in"}</v>
      </c>
      <c r="DF96" s="15" t="s">
        <v>1737</v>
      </c>
      <c r="DG96" s="15" t="str">
        <f>IFERROR(__xludf.DUMMYFUNCTION("""COMPUTED_VALUE"""),"{""value"":85.00,""unit"":""in""}")</f>
        <v>{"value":85.00,"unit":"in"}</v>
      </c>
      <c r="DH96" s="15">
        <v>0.0</v>
      </c>
      <c r="DI96" s="15">
        <v>1.0</v>
      </c>
      <c r="DJ96" s="15" t="s">
        <v>717</v>
      </c>
      <c r="DK96" s="15" t="s">
        <v>855</v>
      </c>
      <c r="DL96" s="15" t="str">
        <f>IFERROR(__xludf.DUMMYFUNCTION("""COMPUTED_VALUE"""),"Clean with solvent-based (dry clean only) products. Do not use water.")</f>
        <v>Clean with solvent-based (dry clean only) products. Do not use water.</v>
      </c>
      <c r="DM96" s="15" t="s">
        <v>856</v>
      </c>
      <c r="DT96" s="15" t="s">
        <v>721</v>
      </c>
      <c r="DU96" s="15" t="s">
        <v>419</v>
      </c>
      <c r="DV96" s="15">
        <v>0.0</v>
      </c>
      <c r="DZ96" s="15">
        <v>25000.0</v>
      </c>
      <c r="EA96" s="15" t="s">
        <v>990</v>
      </c>
      <c r="EB96" s="15" t="s">
        <v>1016</v>
      </c>
      <c r="EC96" s="15" t="s">
        <v>1701</v>
      </c>
      <c r="ED96" s="15">
        <v>1.0</v>
      </c>
      <c r="EE96" s="15">
        <v>3.0</v>
      </c>
      <c r="EG96" s="15" t="s">
        <v>444</v>
      </c>
      <c r="EH96" s="15" t="s">
        <v>1635</v>
      </c>
      <c r="EI96" s="15">
        <v>0.0</v>
      </c>
      <c r="EJ96" s="15" t="s">
        <v>473</v>
      </c>
      <c r="EK96" s="15" t="s">
        <v>474</v>
      </c>
      <c r="EL96" s="15" t="s">
        <v>1283</v>
      </c>
      <c r="EM96" s="15" t="str">
        <f>IFERROR(__xludf.DUMMYFUNCTION("""COMPUTED_VALUE"""),"{""value"":26.50,""unit"":""in""}")</f>
        <v>{"value":26.50,"unit":"in"}</v>
      </c>
      <c r="EN96" s="15" t="s">
        <v>1738</v>
      </c>
      <c r="EO96" s="15" t="s">
        <v>1739</v>
      </c>
      <c r="ES96" s="15" t="s">
        <v>505</v>
      </c>
      <c r="EW96" s="15" t="s">
        <v>784</v>
      </c>
      <c r="EX96" s="15" t="s">
        <v>555</v>
      </c>
      <c r="EY96" s="15" t="s">
        <v>1740</v>
      </c>
      <c r="EZ96" s="15" t="s">
        <v>1738</v>
      </c>
      <c r="FC96" s="15" t="s">
        <v>1016</v>
      </c>
      <c r="FD96" s="15" t="s">
        <v>1701</v>
      </c>
      <c r="FF96" s="15" t="s">
        <v>997</v>
      </c>
      <c r="FS96" s="15" t="s">
        <v>1609</v>
      </c>
    </row>
    <row r="97" ht="15.75" customHeight="1">
      <c r="A97" s="14" t="s">
        <v>391</v>
      </c>
      <c r="B97" s="15" t="s">
        <v>1726</v>
      </c>
      <c r="C97" s="16"/>
      <c r="D97" s="15" t="s">
        <v>432</v>
      </c>
      <c r="G97" s="14" t="s">
        <v>393</v>
      </c>
      <c r="H97" s="14" t="s">
        <v>394</v>
      </c>
      <c r="I97" s="14" t="b">
        <v>1</v>
      </c>
      <c r="J97" s="14" t="s">
        <v>395</v>
      </c>
      <c r="L97" s="14" t="b">
        <v>0</v>
      </c>
      <c r="M97" s="15" t="s">
        <v>1765</v>
      </c>
      <c r="N97" s="14" t="s">
        <v>393</v>
      </c>
      <c r="O97" s="14" t="s">
        <v>393</v>
      </c>
      <c r="P97" s="15" t="s">
        <v>397</v>
      </c>
      <c r="Q97" s="15" t="s">
        <v>1658</v>
      </c>
      <c r="T97" s="14" t="b">
        <v>0</v>
      </c>
      <c r="U97" s="15" t="s">
        <v>1766</v>
      </c>
      <c r="V97" s="15" t="s">
        <v>1729</v>
      </c>
      <c r="W97" s="15" t="s">
        <v>401</v>
      </c>
      <c r="X97" s="15" t="s">
        <v>695</v>
      </c>
      <c r="Y97" s="15">
        <v>5356.0</v>
      </c>
      <c r="AA97" s="15" t="str">
        <f>"2060"</f>
        <v>2060</v>
      </c>
      <c r="AB97" s="14" t="b">
        <v>1</v>
      </c>
      <c r="AC97" s="14" t="b">
        <v>1</v>
      </c>
      <c r="AD97" s="15" t="str">
        <f>"801542675714"</f>
        <v>801542675714</v>
      </c>
      <c r="AE97" s="15" t="s">
        <v>1767</v>
      </c>
      <c r="AF97" s="14" t="s">
        <v>404</v>
      </c>
      <c r="AG97" s="14" t="s">
        <v>405</v>
      </c>
      <c r="AH97" s="14" t="s">
        <v>406</v>
      </c>
      <c r="AI97" s="15">
        <v>0.0</v>
      </c>
      <c r="AL97" s="15" t="s">
        <v>1600</v>
      </c>
      <c r="AM97" s="15" t="s">
        <v>1001</v>
      </c>
      <c r="AN97" s="15" t="s">
        <v>1731</v>
      </c>
      <c r="AO97" s="15" t="s">
        <v>645</v>
      </c>
      <c r="AP97" s="15" t="s">
        <v>646</v>
      </c>
      <c r="AQ97" s="15" t="s">
        <v>1626</v>
      </c>
      <c r="AR97" s="15" t="s">
        <v>1627</v>
      </c>
      <c r="AS97" s="15" t="s">
        <v>1628</v>
      </c>
      <c r="AT97" s="15" t="s">
        <v>1658</v>
      </c>
      <c r="AW97" s="15" t="s">
        <v>1732</v>
      </c>
      <c r="AY97" s="15" t="s">
        <v>413</v>
      </c>
      <c r="AZ97" s="15" t="b">
        <v>0</v>
      </c>
      <c r="BA97" s="15" t="s">
        <v>413</v>
      </c>
      <c r="BB97" s="15" t="b">
        <v>0</v>
      </c>
      <c r="BC97" s="15" t="s">
        <v>1768</v>
      </c>
      <c r="BD97" s="15" t="s">
        <v>709</v>
      </c>
      <c r="BE97" s="15" t="str">
        <f t="shared" si="151"/>
        <v>1</v>
      </c>
      <c r="BF97" s="15" t="s">
        <v>416</v>
      </c>
      <c r="BG97" s="15" t="str">
        <f t="shared" si="174"/>
        <v>99.21</v>
      </c>
      <c r="BH97" s="15" t="s">
        <v>1733</v>
      </c>
      <c r="BI97" s="15" t="str">
        <f t="shared" si="168"/>
        <v>36.61</v>
      </c>
      <c r="BJ97" s="15" t="s">
        <v>1734</v>
      </c>
      <c r="BK97" s="15" t="str">
        <f t="shared" si="169"/>
        <v>26.38</v>
      </c>
      <c r="BL97" s="15" t="s">
        <v>1735</v>
      </c>
      <c r="BM97" s="15" t="str">
        <f t="shared" si="175"/>
        <v>149.47</v>
      </c>
      <c r="BN97" s="15" t="s">
        <v>1736</v>
      </c>
      <c r="BQ97" s="15" t="s">
        <v>444</v>
      </c>
      <c r="BS97" s="15" t="s">
        <v>444</v>
      </c>
      <c r="BU97" s="15" t="s">
        <v>444</v>
      </c>
      <c r="BW97" s="15" t="s">
        <v>444</v>
      </c>
      <c r="BZ97" s="15" t="s">
        <v>444</v>
      </c>
      <c r="CB97" s="15" t="s">
        <v>444</v>
      </c>
      <c r="CD97" s="15" t="s">
        <v>444</v>
      </c>
      <c r="CF97" s="15" t="s">
        <v>444</v>
      </c>
      <c r="CI97" s="15" t="s">
        <v>444</v>
      </c>
      <c r="CK97" s="15" t="s">
        <v>444</v>
      </c>
      <c r="CM97" s="15" t="s">
        <v>444</v>
      </c>
      <c r="CO97" s="15" t="s">
        <v>444</v>
      </c>
      <c r="CP97" s="15" t="str">
        <f t="shared" ref="CP97:CP98" si="176">"55.44"</f>
        <v>55.44</v>
      </c>
      <c r="CQ97" s="15" t="str">
        <f t="shared" ref="CQ97:CQ98" si="177">"1.57"</f>
        <v>1.57</v>
      </c>
      <c r="CR97" s="15" t="s">
        <v>497</v>
      </c>
      <c r="DB97" s="15" t="s">
        <v>1211</v>
      </c>
      <c r="DC97" s="15" t="str">
        <f>IFERROR(__xludf.DUMMYFUNCTION("""COMPUTED_VALUE"""),"{""value"":24.00,""unit"":""in""}")</f>
        <v>{"value":24.00,"unit":"in"}</v>
      </c>
      <c r="DD97" s="15" t="s">
        <v>1161</v>
      </c>
      <c r="DE97" s="15" t="str">
        <f>IFERROR(__xludf.DUMMYFUNCTION("""COMPUTED_VALUE"""),"{""value"":17.00,""unit"":""in""}")</f>
        <v>{"value":17.00,"unit":"in"}</v>
      </c>
      <c r="DF97" s="15" t="s">
        <v>1737</v>
      </c>
      <c r="DG97" s="15" t="str">
        <f>IFERROR(__xludf.DUMMYFUNCTION("""COMPUTED_VALUE"""),"{""value"":85.00,""unit"":""in""}")</f>
        <v>{"value":85.00,"unit":"in"}</v>
      </c>
      <c r="DH97" s="15">
        <v>0.0</v>
      </c>
      <c r="DI97" s="15">
        <v>1.0</v>
      </c>
      <c r="DJ97" s="15" t="s">
        <v>717</v>
      </c>
      <c r="DK97" s="15" t="s">
        <v>718</v>
      </c>
      <c r="DL97" s="15" t="str">
        <f>IFERROR(__xludf.DUMMYFUNCTION("""COMPUTED_VALUE"""),"Vacuum or light brush only. Do not use water or any cleaning products.")</f>
        <v>Vacuum or light brush only. Do not use water or any cleaning products.</v>
      </c>
      <c r="DM97" s="15" t="s">
        <v>719</v>
      </c>
      <c r="DT97" s="15" t="s">
        <v>721</v>
      </c>
      <c r="DU97" s="15" t="s">
        <v>419</v>
      </c>
      <c r="DV97" s="15">
        <v>0.0</v>
      </c>
      <c r="DZ97" s="15">
        <v>0.0</v>
      </c>
      <c r="EA97" s="15" t="s">
        <v>990</v>
      </c>
      <c r="EB97" s="15" t="s">
        <v>1016</v>
      </c>
      <c r="EC97" s="15" t="s">
        <v>1701</v>
      </c>
      <c r="ED97" s="15">
        <v>1.0</v>
      </c>
      <c r="EE97" s="15">
        <v>3.0</v>
      </c>
      <c r="EG97" s="15" t="s">
        <v>444</v>
      </c>
      <c r="EH97" s="15" t="s">
        <v>1635</v>
      </c>
      <c r="EI97" s="15">
        <v>0.0</v>
      </c>
      <c r="EJ97" s="15" t="s">
        <v>473</v>
      </c>
      <c r="EK97" s="15" t="s">
        <v>474</v>
      </c>
      <c r="EL97" s="15" t="s">
        <v>1283</v>
      </c>
      <c r="EM97" s="15" t="str">
        <f>IFERROR(__xludf.DUMMYFUNCTION("""COMPUTED_VALUE"""),"{""value"":26.50,""unit"":""in""}")</f>
        <v>{"value":26.50,"unit":"in"}</v>
      </c>
      <c r="EN97" s="15" t="s">
        <v>1738</v>
      </c>
      <c r="EO97" s="15" t="s">
        <v>1739</v>
      </c>
      <c r="ES97" s="15" t="s">
        <v>505</v>
      </c>
      <c r="EW97" s="15" t="s">
        <v>784</v>
      </c>
      <c r="EX97" s="15" t="s">
        <v>555</v>
      </c>
      <c r="EY97" s="15" t="s">
        <v>1740</v>
      </c>
      <c r="EZ97" s="15" t="s">
        <v>1738</v>
      </c>
      <c r="FC97" s="15" t="s">
        <v>1016</v>
      </c>
      <c r="FD97" s="15" t="s">
        <v>1701</v>
      </c>
      <c r="FF97" s="15" t="s">
        <v>997</v>
      </c>
      <c r="FS97" s="15" t="s">
        <v>1609</v>
      </c>
    </row>
    <row r="98" ht="15.75" customHeight="1">
      <c r="A98" s="14" t="s">
        <v>391</v>
      </c>
      <c r="B98" s="15" t="s">
        <v>1726</v>
      </c>
      <c r="C98" s="16"/>
      <c r="D98" s="15" t="s">
        <v>432</v>
      </c>
      <c r="G98" s="14" t="s">
        <v>393</v>
      </c>
      <c r="H98" s="14" t="s">
        <v>394</v>
      </c>
      <c r="I98" s="14" t="b">
        <v>1</v>
      </c>
      <c r="J98" s="14" t="s">
        <v>395</v>
      </c>
      <c r="L98" s="14" t="b">
        <v>0</v>
      </c>
      <c r="M98" s="15" t="s">
        <v>1769</v>
      </c>
      <c r="N98" s="14" t="s">
        <v>393</v>
      </c>
      <c r="O98" s="14" t="s">
        <v>393</v>
      </c>
      <c r="P98" s="15" t="s">
        <v>397</v>
      </c>
      <c r="Q98" s="15" t="s">
        <v>1689</v>
      </c>
      <c r="T98" s="14" t="b">
        <v>0</v>
      </c>
      <c r="U98" s="15" t="s">
        <v>1770</v>
      </c>
      <c r="V98" s="15" t="s">
        <v>1729</v>
      </c>
      <c r="W98" s="15" t="s">
        <v>401</v>
      </c>
      <c r="X98" s="15" t="s">
        <v>695</v>
      </c>
      <c r="Y98" s="15">
        <v>2951.0</v>
      </c>
      <c r="AA98" s="15" t="str">
        <f>"1135"</f>
        <v>1135</v>
      </c>
      <c r="AB98" s="14" t="b">
        <v>1</v>
      </c>
      <c r="AC98" s="14" t="b">
        <v>1</v>
      </c>
      <c r="AD98" s="15" t="str">
        <f>"801542675707"</f>
        <v>801542675707</v>
      </c>
      <c r="AE98" s="15" t="s">
        <v>1771</v>
      </c>
      <c r="AF98" s="14" t="s">
        <v>404</v>
      </c>
      <c r="AG98" s="14" t="s">
        <v>405</v>
      </c>
      <c r="AH98" s="14" t="s">
        <v>406</v>
      </c>
      <c r="AI98" s="15">
        <v>0.0</v>
      </c>
      <c r="AL98" s="15" t="s">
        <v>1615</v>
      </c>
      <c r="AM98" s="15" t="s">
        <v>1001</v>
      </c>
      <c r="AN98" s="15" t="s">
        <v>1731</v>
      </c>
      <c r="AO98" s="15" t="s">
        <v>645</v>
      </c>
      <c r="AP98" s="15" t="s">
        <v>646</v>
      </c>
      <c r="AQ98" s="15" t="s">
        <v>1626</v>
      </c>
      <c r="AR98" s="15" t="s">
        <v>1627</v>
      </c>
      <c r="AS98" s="15" t="s">
        <v>1628</v>
      </c>
      <c r="AT98" s="15" t="s">
        <v>1689</v>
      </c>
      <c r="AW98" s="15" t="s">
        <v>1732</v>
      </c>
      <c r="AY98" s="15" t="s">
        <v>426</v>
      </c>
      <c r="AZ98" s="15" t="b">
        <v>1</v>
      </c>
      <c r="BA98" s="15" t="s">
        <v>413</v>
      </c>
      <c r="BB98" s="15" t="b">
        <v>0</v>
      </c>
      <c r="BC98" s="15" t="s">
        <v>1772</v>
      </c>
      <c r="BD98" s="15" t="s">
        <v>709</v>
      </c>
      <c r="BE98" s="15" t="str">
        <f t="shared" si="151"/>
        <v>1</v>
      </c>
      <c r="BF98" s="15" t="s">
        <v>416</v>
      </c>
      <c r="BG98" s="15" t="str">
        <f t="shared" si="174"/>
        <v>99.21</v>
      </c>
      <c r="BH98" s="15" t="s">
        <v>1733</v>
      </c>
      <c r="BI98" s="15" t="str">
        <f t="shared" si="168"/>
        <v>36.61</v>
      </c>
      <c r="BJ98" s="15" t="s">
        <v>1734</v>
      </c>
      <c r="BK98" s="15" t="str">
        <f t="shared" si="169"/>
        <v>26.38</v>
      </c>
      <c r="BL98" s="15" t="s">
        <v>1735</v>
      </c>
      <c r="BM98" s="15" t="str">
        <f t="shared" si="175"/>
        <v>149.47</v>
      </c>
      <c r="BN98" s="15" t="s">
        <v>1736</v>
      </c>
      <c r="BQ98" s="15" t="s">
        <v>444</v>
      </c>
      <c r="BS98" s="15" t="s">
        <v>444</v>
      </c>
      <c r="BU98" s="15" t="s">
        <v>444</v>
      </c>
      <c r="BW98" s="15" t="s">
        <v>444</v>
      </c>
      <c r="BZ98" s="15" t="s">
        <v>444</v>
      </c>
      <c r="CB98" s="15" t="s">
        <v>444</v>
      </c>
      <c r="CD98" s="15" t="s">
        <v>444</v>
      </c>
      <c r="CF98" s="15" t="s">
        <v>444</v>
      </c>
      <c r="CI98" s="15" t="s">
        <v>444</v>
      </c>
      <c r="CK98" s="15" t="s">
        <v>444</v>
      </c>
      <c r="CM98" s="15" t="s">
        <v>444</v>
      </c>
      <c r="CO98" s="15" t="s">
        <v>444</v>
      </c>
      <c r="CP98" s="15" t="str">
        <f t="shared" si="176"/>
        <v>55.44</v>
      </c>
      <c r="CQ98" s="15" t="str">
        <f t="shared" si="177"/>
        <v>1.57</v>
      </c>
      <c r="CR98" s="15" t="s">
        <v>417</v>
      </c>
      <c r="DB98" s="15" t="s">
        <v>1211</v>
      </c>
      <c r="DC98" s="15" t="str">
        <f>IFERROR(__xludf.DUMMYFUNCTION("""COMPUTED_VALUE"""),"{""value"":24.00,""unit"":""in""}")</f>
        <v>{"value":24.00,"unit":"in"}</v>
      </c>
      <c r="DD98" s="15" t="s">
        <v>1161</v>
      </c>
      <c r="DE98" s="15" t="str">
        <f>IFERROR(__xludf.DUMMYFUNCTION("""COMPUTED_VALUE"""),"{""value"":17.00,""unit"":""in""}")</f>
        <v>{"value":17.00,"unit":"in"}</v>
      </c>
      <c r="DF98" s="15" t="s">
        <v>1737</v>
      </c>
      <c r="DG98" s="15" t="str">
        <f>IFERROR(__xludf.DUMMYFUNCTION("""COMPUTED_VALUE"""),"{""value"":85.00,""unit"":""in""}")</f>
        <v>{"value":85.00,"unit":"in"}</v>
      </c>
      <c r="DH98" s="15">
        <v>0.0</v>
      </c>
      <c r="DI98" s="15">
        <v>1.0</v>
      </c>
      <c r="DJ98" s="15" t="s">
        <v>717</v>
      </c>
      <c r="DK98" s="15" t="s">
        <v>718</v>
      </c>
      <c r="DL98" s="15" t="str">
        <f>IFERROR(__xludf.DUMMYFUNCTION("""COMPUTED_VALUE"""),"Vacuum or light brush only. Do not use water or any cleaning products.")</f>
        <v>Vacuum or light brush only. Do not use water or any cleaning products.</v>
      </c>
      <c r="DM98" s="15" t="s">
        <v>719</v>
      </c>
      <c r="DT98" s="15" t="s">
        <v>721</v>
      </c>
      <c r="DU98" s="15" t="s">
        <v>419</v>
      </c>
      <c r="DV98" s="15">
        <v>0.0</v>
      </c>
      <c r="DZ98" s="15">
        <v>30000.0</v>
      </c>
      <c r="EA98" s="15" t="s">
        <v>990</v>
      </c>
      <c r="EB98" s="15" t="s">
        <v>1016</v>
      </c>
      <c r="EC98" s="15" t="s">
        <v>1701</v>
      </c>
      <c r="ED98" s="15">
        <v>1.0</v>
      </c>
      <c r="EE98" s="15">
        <v>3.0</v>
      </c>
      <c r="EG98" s="15" t="s">
        <v>444</v>
      </c>
      <c r="EH98" s="15" t="s">
        <v>1635</v>
      </c>
      <c r="EI98" s="15">
        <v>0.0</v>
      </c>
      <c r="EJ98" s="15" t="s">
        <v>473</v>
      </c>
      <c r="EK98" s="15" t="s">
        <v>474</v>
      </c>
      <c r="EL98" s="15" t="s">
        <v>1283</v>
      </c>
      <c r="EM98" s="15" t="str">
        <f>IFERROR(__xludf.DUMMYFUNCTION("""COMPUTED_VALUE"""),"{""value"":26.50,""unit"":""in""}")</f>
        <v>{"value":26.50,"unit":"in"}</v>
      </c>
      <c r="EN98" s="15" t="s">
        <v>1738</v>
      </c>
      <c r="EO98" s="15" t="s">
        <v>1739</v>
      </c>
      <c r="ES98" s="15" t="s">
        <v>505</v>
      </c>
      <c r="EW98" s="15" t="s">
        <v>784</v>
      </c>
      <c r="EX98" s="15" t="s">
        <v>555</v>
      </c>
      <c r="EY98" s="15" t="s">
        <v>1740</v>
      </c>
      <c r="EZ98" s="15" t="s">
        <v>1738</v>
      </c>
      <c r="FC98" s="15" t="s">
        <v>1016</v>
      </c>
      <c r="FD98" s="15" t="s">
        <v>1701</v>
      </c>
      <c r="FF98" s="15" t="s">
        <v>997</v>
      </c>
      <c r="FS98" s="15" t="s">
        <v>1609</v>
      </c>
    </row>
    <row r="99" ht="15.75" customHeight="1">
      <c r="A99" s="14" t="s">
        <v>391</v>
      </c>
      <c r="B99" s="15" t="s">
        <v>1773</v>
      </c>
      <c r="C99" s="16"/>
      <c r="D99" s="15" t="s">
        <v>432</v>
      </c>
      <c r="G99" s="14" t="s">
        <v>393</v>
      </c>
      <c r="H99" s="14" t="s">
        <v>394</v>
      </c>
      <c r="I99" s="14" t="b">
        <v>1</v>
      </c>
      <c r="J99" s="14" t="s">
        <v>395</v>
      </c>
      <c r="L99" s="14" t="b">
        <v>0</v>
      </c>
      <c r="M99" s="15" t="s">
        <v>1774</v>
      </c>
      <c r="N99" s="14" t="s">
        <v>393</v>
      </c>
      <c r="O99" s="14" t="s">
        <v>393</v>
      </c>
      <c r="P99" s="15" t="s">
        <v>397</v>
      </c>
      <c r="Q99" s="15" t="s">
        <v>1619</v>
      </c>
      <c r="T99" s="14" t="b">
        <v>0</v>
      </c>
      <c r="U99" s="15" t="s">
        <v>1775</v>
      </c>
      <c r="V99" s="15" t="s">
        <v>1776</v>
      </c>
      <c r="W99" s="15" t="s">
        <v>401</v>
      </c>
      <c r="X99" s="15" t="s">
        <v>695</v>
      </c>
      <c r="Y99" s="15">
        <v>1157.0</v>
      </c>
      <c r="AA99" s="15" t="str">
        <f>"445"</f>
        <v>445</v>
      </c>
      <c r="AB99" s="14" t="b">
        <v>1</v>
      </c>
      <c r="AC99" s="14" t="b">
        <v>1</v>
      </c>
      <c r="AD99" s="15" t="str">
        <f>"198394062527"</f>
        <v>198394062527</v>
      </c>
      <c r="AE99" s="15" t="s">
        <v>1777</v>
      </c>
      <c r="AF99" s="14" t="s">
        <v>404</v>
      </c>
      <c r="AG99" s="14" t="s">
        <v>405</v>
      </c>
      <c r="AH99" s="14" t="s">
        <v>406</v>
      </c>
      <c r="AI99" s="15">
        <v>0.0</v>
      </c>
      <c r="AL99" s="15" t="s">
        <v>1623</v>
      </c>
      <c r="AM99" s="15" t="s">
        <v>517</v>
      </c>
      <c r="AN99" s="15" t="s">
        <v>518</v>
      </c>
      <c r="AO99" s="15" t="s">
        <v>645</v>
      </c>
      <c r="AP99" s="15" t="s">
        <v>646</v>
      </c>
      <c r="AQ99" s="15" t="s">
        <v>1626</v>
      </c>
      <c r="AR99" s="15" t="s">
        <v>1627</v>
      </c>
      <c r="AS99" s="15" t="s">
        <v>1628</v>
      </c>
      <c r="AT99" s="15" t="s">
        <v>1619</v>
      </c>
      <c r="AW99" s="15" t="s">
        <v>706</v>
      </c>
      <c r="AX99" s="15" t="s">
        <v>707</v>
      </c>
      <c r="AY99" s="15" t="s">
        <v>426</v>
      </c>
      <c r="AZ99" s="15" t="b">
        <v>1</v>
      </c>
      <c r="BA99" s="15" t="s">
        <v>426</v>
      </c>
      <c r="BB99" s="15" t="b">
        <v>1</v>
      </c>
      <c r="BC99" s="15" t="s">
        <v>1778</v>
      </c>
      <c r="BD99" s="15" t="s">
        <v>709</v>
      </c>
      <c r="BE99" s="15" t="str">
        <f t="shared" si="151"/>
        <v>1</v>
      </c>
      <c r="BF99" s="15" t="s">
        <v>416</v>
      </c>
      <c r="BG99" s="15" t="str">
        <f>"33.86"</f>
        <v>33.86</v>
      </c>
      <c r="BH99" s="15" t="s">
        <v>1209</v>
      </c>
      <c r="BI99" s="15" t="str">
        <f>"36.22"</f>
        <v>36.22</v>
      </c>
      <c r="BJ99" s="15" t="s">
        <v>1779</v>
      </c>
      <c r="BK99" s="15" t="str">
        <f t="shared" ref="BK99:BK102" si="178">"27.56"</f>
        <v>27.56</v>
      </c>
      <c r="BL99" s="15" t="s">
        <v>1780</v>
      </c>
      <c r="BM99" s="15" t="str">
        <f t="shared" ref="BM99:BM102" si="179">"82.67"</f>
        <v>82.67</v>
      </c>
      <c r="BN99" s="15" t="s">
        <v>1781</v>
      </c>
      <c r="BQ99" s="15" t="s">
        <v>444</v>
      </c>
      <c r="BS99" s="15" t="s">
        <v>444</v>
      </c>
      <c r="BU99" s="15" t="s">
        <v>444</v>
      </c>
      <c r="BW99" s="15" t="s">
        <v>444</v>
      </c>
      <c r="BZ99" s="15" t="s">
        <v>444</v>
      </c>
      <c r="CB99" s="15" t="s">
        <v>444</v>
      </c>
      <c r="CD99" s="15" t="s">
        <v>444</v>
      </c>
      <c r="CF99" s="15" t="s">
        <v>444</v>
      </c>
      <c r="CI99" s="15" t="s">
        <v>444</v>
      </c>
      <c r="CK99" s="15" t="s">
        <v>444</v>
      </c>
      <c r="CM99" s="15" t="s">
        <v>444</v>
      </c>
      <c r="CO99" s="15" t="s">
        <v>444</v>
      </c>
      <c r="CP99" s="15" t="str">
        <f t="shared" ref="CP99:CP102" si="180">"19.56"</f>
        <v>19.56</v>
      </c>
      <c r="CQ99" s="15" t="str">
        <f t="shared" ref="CQ99:CQ102" si="181">"0.554"</f>
        <v>0.554</v>
      </c>
      <c r="CR99" s="15" t="s">
        <v>497</v>
      </c>
      <c r="DB99" s="15" t="s">
        <v>1211</v>
      </c>
      <c r="DC99" s="15" t="str">
        <f>IFERROR(__xludf.DUMMYFUNCTION("""COMPUTED_VALUE"""),"{""value"":24.00,""unit"":""in""}")</f>
        <v>{"value":24.00,"unit":"in"}</v>
      </c>
      <c r="DD99" s="15" t="s">
        <v>1161</v>
      </c>
      <c r="DE99" s="15" t="str">
        <f>IFERROR(__xludf.DUMMYFUNCTION("""COMPUTED_VALUE"""),"{""value"":17.00,""unit"":""in""}")</f>
        <v>{"value":17.00,"unit":"in"}</v>
      </c>
      <c r="DF99" s="15" t="s">
        <v>1331</v>
      </c>
      <c r="DG99" s="15" t="str">
        <f>IFERROR(__xludf.DUMMYFUNCTION("""COMPUTED_VALUE"""),"{""value"":21.00,""unit"":""in""}")</f>
        <v>{"value":21.00,"unit":"in"}</v>
      </c>
      <c r="DH99" s="15">
        <v>0.0</v>
      </c>
      <c r="DI99" s="15">
        <v>0.0</v>
      </c>
      <c r="DJ99" s="15" t="s">
        <v>717</v>
      </c>
      <c r="DK99" s="15" t="s">
        <v>897</v>
      </c>
      <c r="DL99" s="15" t="str">
        <f>IFERROR(__xludf.DUMMYFUNCTION("""COMPUTED_VALUE"""),"Clean with water-based products only. Use mild detergent or upholstery shampoo.")</f>
        <v>Clean with water-based products only. Use mild detergent or upholstery shampoo.</v>
      </c>
      <c r="DM99" s="15" t="s">
        <v>898</v>
      </c>
      <c r="DT99" s="15" t="s">
        <v>721</v>
      </c>
      <c r="DU99" s="15" t="s">
        <v>1605</v>
      </c>
      <c r="DV99" s="15">
        <v>0.0</v>
      </c>
      <c r="DZ99" s="15">
        <v>50000.0</v>
      </c>
      <c r="EA99" s="15" t="s">
        <v>990</v>
      </c>
      <c r="ED99" s="15">
        <v>0.0</v>
      </c>
      <c r="EE99" s="15">
        <v>1.0</v>
      </c>
      <c r="EG99" s="15" t="s">
        <v>444</v>
      </c>
      <c r="EH99" s="15" t="s">
        <v>1635</v>
      </c>
      <c r="EI99" s="15">
        <v>0.0</v>
      </c>
      <c r="EJ99" s="15" t="s">
        <v>726</v>
      </c>
      <c r="EK99" s="15" t="s">
        <v>727</v>
      </c>
      <c r="EL99" s="15" t="s">
        <v>1283</v>
      </c>
      <c r="EM99" s="15" t="str">
        <f>IFERROR(__xludf.DUMMYFUNCTION("""COMPUTED_VALUE"""),"{""value"":26.50,""unit"":""in""}")</f>
        <v>{"value":26.50,"unit":"in"}</v>
      </c>
      <c r="EN99" s="15" t="s">
        <v>1738</v>
      </c>
      <c r="EO99" s="15" t="s">
        <v>1739</v>
      </c>
      <c r="ES99" s="15" t="s">
        <v>505</v>
      </c>
      <c r="EW99" s="15" t="s">
        <v>784</v>
      </c>
      <c r="EZ99" s="15" t="s">
        <v>1738</v>
      </c>
      <c r="FF99" s="15" t="s">
        <v>997</v>
      </c>
      <c r="FQ99" s="15">
        <v>0.0</v>
      </c>
      <c r="FR99" s="15">
        <v>0.0</v>
      </c>
      <c r="FS99" s="15" t="s">
        <v>1609</v>
      </c>
      <c r="FT99" s="15">
        <v>0.0</v>
      </c>
      <c r="IL99" s="15" t="s">
        <v>1610</v>
      </c>
    </row>
    <row r="100" ht="15.75" customHeight="1">
      <c r="A100" s="14" t="s">
        <v>391</v>
      </c>
      <c r="B100" s="15" t="s">
        <v>1773</v>
      </c>
      <c r="C100" s="16"/>
      <c r="D100" s="15" t="s">
        <v>432</v>
      </c>
      <c r="G100" s="14" t="s">
        <v>393</v>
      </c>
      <c r="H100" s="14" t="s">
        <v>394</v>
      </c>
      <c r="I100" s="14" t="b">
        <v>1</v>
      </c>
      <c r="J100" s="14" t="s">
        <v>395</v>
      </c>
      <c r="L100" s="14" t="b">
        <v>0</v>
      </c>
      <c r="M100" s="15" t="s">
        <v>1782</v>
      </c>
      <c r="N100" s="14" t="s">
        <v>393</v>
      </c>
      <c r="O100" s="14" t="s">
        <v>393</v>
      </c>
      <c r="P100" s="15" t="s">
        <v>397</v>
      </c>
      <c r="Q100" s="15" t="s">
        <v>1641</v>
      </c>
      <c r="T100" s="14" t="b">
        <v>0</v>
      </c>
      <c r="U100" s="15" t="s">
        <v>1783</v>
      </c>
      <c r="V100" s="15" t="s">
        <v>1776</v>
      </c>
      <c r="W100" s="15" t="s">
        <v>401</v>
      </c>
      <c r="X100" s="15" t="s">
        <v>695</v>
      </c>
      <c r="Y100" s="15">
        <v>2522.0</v>
      </c>
      <c r="AA100" s="15" t="str">
        <f>"970"</f>
        <v>970</v>
      </c>
      <c r="AB100" s="14" t="b">
        <v>1</v>
      </c>
      <c r="AC100" s="14" t="b">
        <v>1</v>
      </c>
      <c r="AD100" s="15" t="str">
        <f>"801542698409"</f>
        <v>801542698409</v>
      </c>
      <c r="AE100" s="15" t="s">
        <v>1784</v>
      </c>
      <c r="AF100" s="14" t="s">
        <v>404</v>
      </c>
      <c r="AG100" s="14" t="s">
        <v>405</v>
      </c>
      <c r="AH100" s="14" t="s">
        <v>406</v>
      </c>
      <c r="AI100" s="15">
        <v>0.0</v>
      </c>
      <c r="AL100" s="15" t="s">
        <v>1600</v>
      </c>
      <c r="AM100" s="15" t="s">
        <v>517</v>
      </c>
      <c r="AN100" s="15" t="s">
        <v>518</v>
      </c>
      <c r="AO100" s="15" t="s">
        <v>645</v>
      </c>
      <c r="AP100" s="15" t="s">
        <v>646</v>
      </c>
      <c r="AQ100" s="15" t="s">
        <v>1626</v>
      </c>
      <c r="AR100" s="15" t="s">
        <v>1627</v>
      </c>
      <c r="AS100" s="15" t="s">
        <v>1628</v>
      </c>
      <c r="AT100" s="15" t="s">
        <v>1641</v>
      </c>
      <c r="AW100" s="15" t="s">
        <v>706</v>
      </c>
      <c r="AX100" s="15" t="s">
        <v>707</v>
      </c>
      <c r="AY100" s="15" t="s">
        <v>426</v>
      </c>
      <c r="AZ100" s="15" t="b">
        <v>1</v>
      </c>
      <c r="BA100" s="15" t="s">
        <v>413</v>
      </c>
      <c r="BB100" s="15" t="b">
        <v>0</v>
      </c>
      <c r="BC100" s="15" t="s">
        <v>1785</v>
      </c>
      <c r="BD100" s="15" t="s">
        <v>709</v>
      </c>
      <c r="BE100" s="15" t="str">
        <f t="shared" si="151"/>
        <v>1</v>
      </c>
      <c r="BF100" s="15" t="s">
        <v>416</v>
      </c>
      <c r="BG100" s="15" t="str">
        <f t="shared" ref="BG100:BG102" si="182">"36.22"</f>
        <v>36.22</v>
      </c>
      <c r="BH100" s="15" t="s">
        <v>1779</v>
      </c>
      <c r="BI100" s="15" t="str">
        <f t="shared" ref="BI100:BI102" si="183">"33.86"</f>
        <v>33.86</v>
      </c>
      <c r="BJ100" s="15" t="s">
        <v>1209</v>
      </c>
      <c r="BK100" s="15" t="str">
        <f t="shared" si="178"/>
        <v>27.56</v>
      </c>
      <c r="BL100" s="15" t="s">
        <v>1780</v>
      </c>
      <c r="BM100" s="15" t="str">
        <f t="shared" si="179"/>
        <v>82.67</v>
      </c>
      <c r="BN100" s="15" t="s">
        <v>1781</v>
      </c>
      <c r="BQ100" s="15" t="s">
        <v>444</v>
      </c>
      <c r="BS100" s="15" t="s">
        <v>444</v>
      </c>
      <c r="BU100" s="15" t="s">
        <v>444</v>
      </c>
      <c r="BW100" s="15" t="s">
        <v>444</v>
      </c>
      <c r="BZ100" s="15" t="s">
        <v>444</v>
      </c>
      <c r="CB100" s="15" t="s">
        <v>444</v>
      </c>
      <c r="CD100" s="15" t="s">
        <v>444</v>
      </c>
      <c r="CF100" s="15" t="s">
        <v>444</v>
      </c>
      <c r="CI100" s="15" t="s">
        <v>444</v>
      </c>
      <c r="CK100" s="15" t="s">
        <v>444</v>
      </c>
      <c r="CM100" s="15" t="s">
        <v>444</v>
      </c>
      <c r="CO100" s="15" t="s">
        <v>444</v>
      </c>
      <c r="CP100" s="15" t="str">
        <f t="shared" si="180"/>
        <v>19.56</v>
      </c>
      <c r="CQ100" s="15" t="str">
        <f t="shared" si="181"/>
        <v>0.554</v>
      </c>
      <c r="CR100" s="15" t="s">
        <v>497</v>
      </c>
      <c r="DB100" s="15" t="s">
        <v>1211</v>
      </c>
      <c r="DC100" s="15" t="str">
        <f>IFERROR(__xludf.DUMMYFUNCTION("""COMPUTED_VALUE"""),"{""value"":24.00,""unit"":""in""}")</f>
        <v>{"value":24.00,"unit":"in"}</v>
      </c>
      <c r="DD100" s="15" t="s">
        <v>1161</v>
      </c>
      <c r="DE100" s="15" t="str">
        <f>IFERROR(__xludf.DUMMYFUNCTION("""COMPUTED_VALUE"""),"{""value"":17.00,""unit"":""in""}")</f>
        <v>{"value":17.00,"unit":"in"}</v>
      </c>
      <c r="DF100" s="15" t="s">
        <v>1331</v>
      </c>
      <c r="DG100" s="15" t="str">
        <f>IFERROR(__xludf.DUMMYFUNCTION("""COMPUTED_VALUE"""),"{""value"":21.00,""unit"":""in""}")</f>
        <v>{"value":21.00,"unit":"in"}</v>
      </c>
      <c r="DH100" s="15">
        <v>0.0</v>
      </c>
      <c r="DI100" s="15">
        <v>0.0</v>
      </c>
      <c r="DJ100" s="15" t="s">
        <v>717</v>
      </c>
      <c r="DK100" s="15" t="s">
        <v>718</v>
      </c>
      <c r="DL100" s="15" t="str">
        <f>IFERROR(__xludf.DUMMYFUNCTION("""COMPUTED_VALUE"""),"Vacuum or light brush only. Do not use water or any cleaning products.")</f>
        <v>Vacuum or light brush only. Do not use water or any cleaning products.</v>
      </c>
      <c r="DM100" s="15" t="s">
        <v>719</v>
      </c>
      <c r="DT100" s="15" t="s">
        <v>721</v>
      </c>
      <c r="DU100" s="15" t="s">
        <v>1605</v>
      </c>
      <c r="DV100" s="15">
        <v>0.0</v>
      </c>
      <c r="DZ100" s="15">
        <v>0.0</v>
      </c>
      <c r="EA100" s="15" t="s">
        <v>990</v>
      </c>
      <c r="ED100" s="15">
        <v>0.0</v>
      </c>
      <c r="EE100" s="15">
        <v>1.0</v>
      </c>
      <c r="EG100" s="15" t="s">
        <v>444</v>
      </c>
      <c r="EH100" s="15" t="s">
        <v>1635</v>
      </c>
      <c r="EI100" s="15">
        <v>0.0</v>
      </c>
      <c r="EJ100" s="15" t="s">
        <v>726</v>
      </c>
      <c r="EK100" s="15" t="s">
        <v>727</v>
      </c>
      <c r="EL100" s="15" t="s">
        <v>1283</v>
      </c>
      <c r="EM100" s="15" t="str">
        <f>IFERROR(__xludf.DUMMYFUNCTION("""COMPUTED_VALUE"""),"{""value"":26.50,""unit"":""in""}")</f>
        <v>{"value":26.50,"unit":"in"}</v>
      </c>
      <c r="EN100" s="15" t="s">
        <v>1738</v>
      </c>
      <c r="EO100" s="15" t="s">
        <v>1739</v>
      </c>
      <c r="ES100" s="15" t="s">
        <v>505</v>
      </c>
      <c r="EW100" s="15" t="s">
        <v>784</v>
      </c>
      <c r="EZ100" s="15" t="s">
        <v>1738</v>
      </c>
      <c r="FF100" s="15" t="s">
        <v>997</v>
      </c>
      <c r="FQ100" s="15">
        <v>0.0</v>
      </c>
      <c r="FR100" s="15">
        <v>0.0</v>
      </c>
      <c r="FS100" s="15" t="s">
        <v>1609</v>
      </c>
      <c r="FT100" s="15">
        <v>0.0</v>
      </c>
      <c r="IL100" s="15" t="s">
        <v>1610</v>
      </c>
    </row>
    <row r="101" ht="15.75" customHeight="1">
      <c r="A101" s="14" t="s">
        <v>391</v>
      </c>
      <c r="B101" s="15" t="s">
        <v>1773</v>
      </c>
      <c r="C101" s="16"/>
      <c r="D101" s="15" t="s">
        <v>432</v>
      </c>
      <c r="G101" s="14" t="s">
        <v>393</v>
      </c>
      <c r="H101" s="14" t="s">
        <v>394</v>
      </c>
      <c r="I101" s="14" t="b">
        <v>1</v>
      </c>
      <c r="J101" s="14" t="s">
        <v>395</v>
      </c>
      <c r="L101" s="14" t="b">
        <v>0</v>
      </c>
      <c r="M101" s="15" t="s">
        <v>1786</v>
      </c>
      <c r="N101" s="14" t="s">
        <v>393</v>
      </c>
      <c r="O101" s="14" t="s">
        <v>393</v>
      </c>
      <c r="P101" s="15" t="s">
        <v>397</v>
      </c>
      <c r="Q101" s="15" t="s">
        <v>1652</v>
      </c>
      <c r="T101" s="14" t="b">
        <v>0</v>
      </c>
      <c r="U101" s="15" t="s">
        <v>1787</v>
      </c>
      <c r="V101" s="15" t="s">
        <v>1776</v>
      </c>
      <c r="W101" s="15" t="s">
        <v>401</v>
      </c>
      <c r="X101" s="15" t="s">
        <v>695</v>
      </c>
      <c r="Y101" s="15">
        <v>1157.0</v>
      </c>
      <c r="AA101" s="15" t="str">
        <f>"445"</f>
        <v>445</v>
      </c>
      <c r="AB101" s="14" t="b">
        <v>1</v>
      </c>
      <c r="AC101" s="14" t="b">
        <v>1</v>
      </c>
      <c r="AD101" s="15" t="str">
        <f>"801542698423"</f>
        <v>801542698423</v>
      </c>
      <c r="AE101" s="15" t="s">
        <v>1788</v>
      </c>
      <c r="AF101" s="14" t="s">
        <v>404</v>
      </c>
      <c r="AG101" s="14" t="s">
        <v>405</v>
      </c>
      <c r="AH101" s="14" t="s">
        <v>406</v>
      </c>
      <c r="AI101" s="15">
        <v>0.0</v>
      </c>
      <c r="AL101" s="15" t="s">
        <v>1655</v>
      </c>
      <c r="AM101" s="15" t="s">
        <v>517</v>
      </c>
      <c r="AN101" s="15" t="s">
        <v>518</v>
      </c>
      <c r="AO101" s="15" t="s">
        <v>645</v>
      </c>
      <c r="AP101" s="15" t="s">
        <v>646</v>
      </c>
      <c r="AQ101" s="15" t="s">
        <v>1626</v>
      </c>
      <c r="AR101" s="15" t="s">
        <v>1627</v>
      </c>
      <c r="AS101" s="15" t="s">
        <v>1628</v>
      </c>
      <c r="AT101" s="15" t="s">
        <v>1652</v>
      </c>
      <c r="AW101" s="15" t="s">
        <v>706</v>
      </c>
      <c r="AX101" s="15" t="s">
        <v>707</v>
      </c>
      <c r="AY101" s="15" t="s">
        <v>426</v>
      </c>
      <c r="AZ101" s="15" t="b">
        <v>1</v>
      </c>
      <c r="BA101" s="15" t="s">
        <v>413</v>
      </c>
      <c r="BB101" s="15" t="b">
        <v>0</v>
      </c>
      <c r="BC101" s="15" t="s">
        <v>1789</v>
      </c>
      <c r="BD101" s="15" t="s">
        <v>709</v>
      </c>
      <c r="BE101" s="15" t="str">
        <f t="shared" si="151"/>
        <v>1</v>
      </c>
      <c r="BF101" s="15" t="s">
        <v>416</v>
      </c>
      <c r="BG101" s="15" t="str">
        <f t="shared" si="182"/>
        <v>36.22</v>
      </c>
      <c r="BH101" s="15" t="s">
        <v>1779</v>
      </c>
      <c r="BI101" s="15" t="str">
        <f t="shared" si="183"/>
        <v>33.86</v>
      </c>
      <c r="BJ101" s="15" t="s">
        <v>1209</v>
      </c>
      <c r="BK101" s="15" t="str">
        <f t="shared" si="178"/>
        <v>27.56</v>
      </c>
      <c r="BL101" s="15" t="s">
        <v>1780</v>
      </c>
      <c r="BM101" s="15" t="str">
        <f t="shared" si="179"/>
        <v>82.67</v>
      </c>
      <c r="BN101" s="15" t="s">
        <v>1781</v>
      </c>
      <c r="BQ101" s="15" t="s">
        <v>444</v>
      </c>
      <c r="BS101" s="15" t="s">
        <v>444</v>
      </c>
      <c r="BU101" s="15" t="s">
        <v>444</v>
      </c>
      <c r="BW101" s="15" t="s">
        <v>444</v>
      </c>
      <c r="BZ101" s="15" t="s">
        <v>444</v>
      </c>
      <c r="CB101" s="15" t="s">
        <v>444</v>
      </c>
      <c r="CD101" s="15" t="s">
        <v>444</v>
      </c>
      <c r="CF101" s="15" t="s">
        <v>444</v>
      </c>
      <c r="CI101" s="15" t="s">
        <v>444</v>
      </c>
      <c r="CK101" s="15" t="s">
        <v>444</v>
      </c>
      <c r="CM101" s="15" t="s">
        <v>444</v>
      </c>
      <c r="CO101" s="15" t="s">
        <v>444</v>
      </c>
      <c r="CP101" s="15" t="str">
        <f t="shared" si="180"/>
        <v>19.56</v>
      </c>
      <c r="CQ101" s="15" t="str">
        <f t="shared" si="181"/>
        <v>0.554</v>
      </c>
      <c r="CR101" s="15" t="s">
        <v>497</v>
      </c>
      <c r="DB101" s="15" t="s">
        <v>1211</v>
      </c>
      <c r="DC101" s="15" t="str">
        <f>IFERROR(__xludf.DUMMYFUNCTION("""COMPUTED_VALUE"""),"{""value"":24.00,""unit"":""in""}")</f>
        <v>{"value":24.00,"unit":"in"}</v>
      </c>
      <c r="DD101" s="15" t="s">
        <v>1161</v>
      </c>
      <c r="DE101" s="15" t="str">
        <f>IFERROR(__xludf.DUMMYFUNCTION("""COMPUTED_VALUE"""),"{""value"":17.00,""unit"":""in""}")</f>
        <v>{"value":17.00,"unit":"in"}</v>
      </c>
      <c r="DF101" s="15" t="s">
        <v>1331</v>
      </c>
      <c r="DG101" s="15" t="str">
        <f>IFERROR(__xludf.DUMMYFUNCTION("""COMPUTED_VALUE"""),"{""value"":21.00,""unit"":""in""}")</f>
        <v>{"value":21.00,"unit":"in"}</v>
      </c>
      <c r="DH101" s="15">
        <v>0.0</v>
      </c>
      <c r="DI101" s="15">
        <v>0.0</v>
      </c>
      <c r="DJ101" s="15" t="s">
        <v>717</v>
      </c>
      <c r="DK101" s="15" t="s">
        <v>855</v>
      </c>
      <c r="DL101" s="15" t="str">
        <f>IFERROR(__xludf.DUMMYFUNCTION("""COMPUTED_VALUE"""),"Clean with solvent-based (dry clean only) products. Do not use water.")</f>
        <v>Clean with solvent-based (dry clean only) products. Do not use water.</v>
      </c>
      <c r="DM101" s="15" t="s">
        <v>856</v>
      </c>
      <c r="DT101" s="15" t="s">
        <v>721</v>
      </c>
      <c r="DU101" s="15" t="s">
        <v>1605</v>
      </c>
      <c r="DV101" s="15">
        <v>0.0</v>
      </c>
      <c r="DZ101" s="15">
        <v>25000.0</v>
      </c>
      <c r="EA101" s="15" t="s">
        <v>990</v>
      </c>
      <c r="ED101" s="15">
        <v>0.0</v>
      </c>
      <c r="EE101" s="15">
        <v>1.0</v>
      </c>
      <c r="EG101" s="15" t="s">
        <v>444</v>
      </c>
      <c r="EH101" s="15" t="s">
        <v>1635</v>
      </c>
      <c r="EI101" s="15">
        <v>0.0</v>
      </c>
      <c r="EJ101" s="15" t="s">
        <v>726</v>
      </c>
      <c r="EK101" s="15" t="s">
        <v>727</v>
      </c>
      <c r="EL101" s="15" t="s">
        <v>1283</v>
      </c>
      <c r="EM101" s="15" t="str">
        <f>IFERROR(__xludf.DUMMYFUNCTION("""COMPUTED_VALUE"""),"{""value"":26.50,""unit"":""in""}")</f>
        <v>{"value":26.50,"unit":"in"}</v>
      </c>
      <c r="EN101" s="15" t="s">
        <v>1738</v>
      </c>
      <c r="EO101" s="15" t="s">
        <v>1739</v>
      </c>
      <c r="ES101" s="15" t="s">
        <v>505</v>
      </c>
      <c r="EW101" s="15" t="s">
        <v>784</v>
      </c>
      <c r="EZ101" s="15" t="s">
        <v>1738</v>
      </c>
      <c r="FF101" s="15" t="s">
        <v>997</v>
      </c>
      <c r="FQ101" s="15">
        <v>0.0</v>
      </c>
      <c r="FR101" s="15">
        <v>0.0</v>
      </c>
      <c r="FS101" s="15" t="s">
        <v>1609</v>
      </c>
      <c r="FT101" s="15">
        <v>0.0</v>
      </c>
      <c r="IL101" s="15" t="s">
        <v>1610</v>
      </c>
    </row>
    <row r="102" ht="15.75" customHeight="1">
      <c r="A102" s="14" t="s">
        <v>391</v>
      </c>
      <c r="B102" s="15" t="s">
        <v>1773</v>
      </c>
      <c r="C102" s="16"/>
      <c r="D102" s="15" t="s">
        <v>432</v>
      </c>
      <c r="G102" s="14" t="s">
        <v>393</v>
      </c>
      <c r="H102" s="14" t="s">
        <v>394</v>
      </c>
      <c r="I102" s="14" t="b">
        <v>1</v>
      </c>
      <c r="J102" s="14" t="s">
        <v>395</v>
      </c>
      <c r="L102" s="14" t="b">
        <v>0</v>
      </c>
      <c r="M102" s="15" t="s">
        <v>1790</v>
      </c>
      <c r="N102" s="14" t="s">
        <v>393</v>
      </c>
      <c r="O102" s="14" t="s">
        <v>393</v>
      </c>
      <c r="P102" s="15" t="s">
        <v>397</v>
      </c>
      <c r="Q102" s="15" t="s">
        <v>1658</v>
      </c>
      <c r="T102" s="14" t="b">
        <v>0</v>
      </c>
      <c r="U102" s="15" t="s">
        <v>1791</v>
      </c>
      <c r="V102" s="15" t="s">
        <v>1776</v>
      </c>
      <c r="W102" s="15" t="s">
        <v>401</v>
      </c>
      <c r="X102" s="15" t="s">
        <v>695</v>
      </c>
      <c r="Y102" s="15">
        <v>2522.0</v>
      </c>
      <c r="AA102" s="15" t="str">
        <f>"970"</f>
        <v>970</v>
      </c>
      <c r="AB102" s="14" t="b">
        <v>1</v>
      </c>
      <c r="AC102" s="14" t="b">
        <v>1</v>
      </c>
      <c r="AD102" s="15" t="str">
        <f>"801542696559"</f>
        <v>801542696559</v>
      </c>
      <c r="AE102" s="15" t="s">
        <v>1792</v>
      </c>
      <c r="AF102" s="14" t="s">
        <v>404</v>
      </c>
      <c r="AG102" s="14" t="s">
        <v>405</v>
      </c>
      <c r="AH102" s="14" t="s">
        <v>406</v>
      </c>
      <c r="AI102" s="15">
        <v>0.0</v>
      </c>
      <c r="AL102" s="15" t="s">
        <v>1600</v>
      </c>
      <c r="AM102" s="15" t="s">
        <v>517</v>
      </c>
      <c r="AN102" s="15" t="s">
        <v>518</v>
      </c>
      <c r="AO102" s="15" t="s">
        <v>645</v>
      </c>
      <c r="AP102" s="15" t="s">
        <v>646</v>
      </c>
      <c r="AQ102" s="15" t="s">
        <v>1626</v>
      </c>
      <c r="AR102" s="15" t="s">
        <v>1627</v>
      </c>
      <c r="AS102" s="15" t="s">
        <v>1628</v>
      </c>
      <c r="AT102" s="15" t="s">
        <v>1658</v>
      </c>
      <c r="AW102" s="15" t="s">
        <v>706</v>
      </c>
      <c r="AX102" s="15" t="s">
        <v>707</v>
      </c>
      <c r="AY102" s="15" t="s">
        <v>413</v>
      </c>
      <c r="AZ102" s="15" t="b">
        <v>0</v>
      </c>
      <c r="BA102" s="15" t="s">
        <v>413</v>
      </c>
      <c r="BB102" s="15" t="b">
        <v>0</v>
      </c>
      <c r="BC102" s="15" t="s">
        <v>1785</v>
      </c>
      <c r="BD102" s="15" t="s">
        <v>709</v>
      </c>
      <c r="BE102" s="15" t="str">
        <f t="shared" si="151"/>
        <v>1</v>
      </c>
      <c r="BF102" s="15" t="s">
        <v>416</v>
      </c>
      <c r="BG102" s="15" t="str">
        <f t="shared" si="182"/>
        <v>36.22</v>
      </c>
      <c r="BH102" s="15" t="s">
        <v>1779</v>
      </c>
      <c r="BI102" s="15" t="str">
        <f t="shared" si="183"/>
        <v>33.86</v>
      </c>
      <c r="BJ102" s="15" t="s">
        <v>1209</v>
      </c>
      <c r="BK102" s="15" t="str">
        <f t="shared" si="178"/>
        <v>27.56</v>
      </c>
      <c r="BL102" s="15" t="s">
        <v>1780</v>
      </c>
      <c r="BM102" s="15" t="str">
        <f t="shared" si="179"/>
        <v>82.67</v>
      </c>
      <c r="BN102" s="15" t="s">
        <v>1781</v>
      </c>
      <c r="BQ102" s="15" t="s">
        <v>444</v>
      </c>
      <c r="BS102" s="15" t="s">
        <v>444</v>
      </c>
      <c r="BU102" s="15" t="s">
        <v>444</v>
      </c>
      <c r="BW102" s="15" t="s">
        <v>444</v>
      </c>
      <c r="BZ102" s="15" t="s">
        <v>444</v>
      </c>
      <c r="CB102" s="15" t="s">
        <v>444</v>
      </c>
      <c r="CD102" s="15" t="s">
        <v>444</v>
      </c>
      <c r="CF102" s="15" t="s">
        <v>444</v>
      </c>
      <c r="CI102" s="15" t="s">
        <v>444</v>
      </c>
      <c r="CK102" s="15" t="s">
        <v>444</v>
      </c>
      <c r="CM102" s="15" t="s">
        <v>444</v>
      </c>
      <c r="CO102" s="15" t="s">
        <v>444</v>
      </c>
      <c r="CP102" s="15" t="str">
        <f t="shared" si="180"/>
        <v>19.56</v>
      </c>
      <c r="CQ102" s="15" t="str">
        <f t="shared" si="181"/>
        <v>0.554</v>
      </c>
      <c r="CR102" s="15" t="s">
        <v>1793</v>
      </c>
      <c r="DB102" s="15" t="s">
        <v>1211</v>
      </c>
      <c r="DC102" s="15" t="str">
        <f>IFERROR(__xludf.DUMMYFUNCTION("""COMPUTED_VALUE"""),"{""value"":24.00,""unit"":""in""}")</f>
        <v>{"value":24.00,"unit":"in"}</v>
      </c>
      <c r="DD102" s="15" t="s">
        <v>1161</v>
      </c>
      <c r="DE102" s="15" t="str">
        <f>IFERROR(__xludf.DUMMYFUNCTION("""COMPUTED_VALUE"""),"{""value"":17.00,""unit"":""in""}")</f>
        <v>{"value":17.00,"unit":"in"}</v>
      </c>
      <c r="DF102" s="15" t="s">
        <v>1331</v>
      </c>
      <c r="DG102" s="15" t="str">
        <f>IFERROR(__xludf.DUMMYFUNCTION("""COMPUTED_VALUE"""),"{""value"":21.00,""unit"":""in""}")</f>
        <v>{"value":21.00,"unit":"in"}</v>
      </c>
      <c r="DH102" s="15">
        <v>0.0</v>
      </c>
      <c r="DI102" s="15">
        <v>0.0</v>
      </c>
      <c r="DJ102" s="15" t="s">
        <v>717</v>
      </c>
      <c r="DK102" s="15" t="s">
        <v>718</v>
      </c>
      <c r="DL102" s="15" t="str">
        <f>IFERROR(__xludf.DUMMYFUNCTION("""COMPUTED_VALUE"""),"Vacuum or light brush only. Do not use water or any cleaning products.")</f>
        <v>Vacuum or light brush only. Do not use water or any cleaning products.</v>
      </c>
      <c r="DM102" s="15" t="s">
        <v>719</v>
      </c>
      <c r="DT102" s="15" t="s">
        <v>721</v>
      </c>
      <c r="DU102" s="15" t="s">
        <v>1605</v>
      </c>
      <c r="DV102" s="15">
        <v>0.0</v>
      </c>
      <c r="DZ102" s="15">
        <v>0.0</v>
      </c>
      <c r="EA102" s="15" t="s">
        <v>990</v>
      </c>
      <c r="ED102" s="15">
        <v>0.0</v>
      </c>
      <c r="EE102" s="15">
        <v>1.0</v>
      </c>
      <c r="EG102" s="15" t="s">
        <v>444</v>
      </c>
      <c r="EH102" s="15" t="s">
        <v>1635</v>
      </c>
      <c r="EI102" s="15">
        <v>0.0</v>
      </c>
      <c r="EJ102" s="15" t="s">
        <v>726</v>
      </c>
      <c r="EK102" s="15" t="s">
        <v>727</v>
      </c>
      <c r="EL102" s="15" t="s">
        <v>1283</v>
      </c>
      <c r="EM102" s="15" t="str">
        <f>IFERROR(__xludf.DUMMYFUNCTION("""COMPUTED_VALUE"""),"{""value"":26.50,""unit"":""in""}")</f>
        <v>{"value":26.50,"unit":"in"}</v>
      </c>
      <c r="EN102" s="15" t="s">
        <v>1738</v>
      </c>
      <c r="EO102" s="15" t="s">
        <v>1739</v>
      </c>
      <c r="ES102" s="15" t="s">
        <v>505</v>
      </c>
      <c r="EW102" s="15" t="s">
        <v>784</v>
      </c>
      <c r="EZ102" s="15" t="s">
        <v>1738</v>
      </c>
      <c r="FF102" s="15" t="s">
        <v>997</v>
      </c>
      <c r="FQ102" s="15">
        <v>0.0</v>
      </c>
      <c r="FR102" s="15">
        <v>0.0</v>
      </c>
      <c r="FS102" s="15" t="s">
        <v>1609</v>
      </c>
      <c r="FT102" s="15">
        <v>0.0</v>
      </c>
      <c r="IL102" s="15" t="s">
        <v>1610</v>
      </c>
    </row>
    <row r="103" ht="15.75" customHeight="1">
      <c r="A103" s="14" t="s">
        <v>391</v>
      </c>
      <c r="B103" s="15" t="s">
        <v>1794</v>
      </c>
      <c r="C103" s="16"/>
      <c r="D103" s="15" t="s">
        <v>432</v>
      </c>
      <c r="G103" s="14" t="s">
        <v>393</v>
      </c>
      <c r="H103" s="14" t="s">
        <v>394</v>
      </c>
      <c r="I103" s="14" t="b">
        <v>1</v>
      </c>
      <c r="J103" s="14" t="s">
        <v>395</v>
      </c>
      <c r="L103" s="14" t="b">
        <v>0</v>
      </c>
      <c r="M103" s="15" t="s">
        <v>1795</v>
      </c>
      <c r="N103" s="14" t="s">
        <v>393</v>
      </c>
      <c r="O103" s="14" t="s">
        <v>393</v>
      </c>
      <c r="P103" s="15" t="s">
        <v>397</v>
      </c>
      <c r="Q103" s="15" t="s">
        <v>1796</v>
      </c>
      <c r="T103" s="14" t="b">
        <v>0</v>
      </c>
      <c r="U103" s="15" t="s">
        <v>1797</v>
      </c>
      <c r="V103" s="15" t="s">
        <v>1798</v>
      </c>
      <c r="W103" s="15" t="s">
        <v>401</v>
      </c>
      <c r="X103" s="15" t="s">
        <v>695</v>
      </c>
      <c r="Y103" s="15">
        <v>1209.0</v>
      </c>
      <c r="AA103" s="15" t="str">
        <f>"465"</f>
        <v>465</v>
      </c>
      <c r="AB103" s="14" t="b">
        <v>1</v>
      </c>
      <c r="AC103" s="14" t="b">
        <v>1</v>
      </c>
      <c r="AD103" s="15" t="str">
        <f>"801542432102"</f>
        <v>801542432102</v>
      </c>
      <c r="AE103" s="15" t="s">
        <v>1799</v>
      </c>
      <c r="AF103" s="14" t="s">
        <v>404</v>
      </c>
      <c r="AG103" s="14" t="s">
        <v>405</v>
      </c>
      <c r="AH103" s="14" t="s">
        <v>406</v>
      </c>
      <c r="AI103" s="15">
        <v>0.0</v>
      </c>
      <c r="AL103" s="15" t="s">
        <v>1800</v>
      </c>
      <c r="AM103" s="15" t="s">
        <v>1175</v>
      </c>
      <c r="AN103" s="15" t="s">
        <v>1176</v>
      </c>
      <c r="AO103" s="15" t="s">
        <v>1801</v>
      </c>
      <c r="AP103" s="15" t="s">
        <v>1322</v>
      </c>
      <c r="AQ103" s="15" t="s">
        <v>1276</v>
      </c>
      <c r="AR103" s="15" t="s">
        <v>1277</v>
      </c>
      <c r="AS103" s="15" t="s">
        <v>1317</v>
      </c>
      <c r="AT103" s="15" t="s">
        <v>1796</v>
      </c>
      <c r="AU103" s="15" t="s">
        <v>1087</v>
      </c>
      <c r="AW103" s="15" t="s">
        <v>706</v>
      </c>
      <c r="AX103" s="15" t="s">
        <v>707</v>
      </c>
      <c r="AY103" s="15" t="s">
        <v>413</v>
      </c>
      <c r="AZ103" s="15" t="b">
        <v>0</v>
      </c>
      <c r="BA103" s="15" t="s">
        <v>413</v>
      </c>
      <c r="BB103" s="15" t="b">
        <v>0</v>
      </c>
      <c r="BC103" s="15" t="s">
        <v>1802</v>
      </c>
      <c r="BD103" s="15" t="s">
        <v>709</v>
      </c>
      <c r="BE103" s="15" t="str">
        <f t="shared" si="151"/>
        <v>1</v>
      </c>
      <c r="BF103" s="15" t="s">
        <v>1803</v>
      </c>
      <c r="BG103" s="15" t="str">
        <f t="shared" ref="BG103:BG108" si="184">"27.17"</f>
        <v>27.17</v>
      </c>
      <c r="BH103" s="15" t="s">
        <v>1478</v>
      </c>
      <c r="BI103" s="15" t="str">
        <f t="shared" ref="BI103:BI108" si="185">"31.3"</f>
        <v>31.3</v>
      </c>
      <c r="BJ103" s="15" t="s">
        <v>1182</v>
      </c>
      <c r="BK103" s="15" t="str">
        <f t="shared" ref="BK103:BK108" si="186">"33.86"</f>
        <v>33.86</v>
      </c>
      <c r="BL103" s="15" t="s">
        <v>1209</v>
      </c>
      <c r="BM103" s="15" t="str">
        <f t="shared" ref="BM103:BM108" si="187">"56.88"</f>
        <v>56.88</v>
      </c>
      <c r="BN103" s="15" t="s">
        <v>1282</v>
      </c>
      <c r="BQ103" s="15" t="s">
        <v>444</v>
      </c>
      <c r="BS103" s="15" t="s">
        <v>444</v>
      </c>
      <c r="BU103" s="15" t="s">
        <v>444</v>
      </c>
      <c r="BW103" s="15" t="s">
        <v>444</v>
      </c>
      <c r="BZ103" s="15" t="s">
        <v>444</v>
      </c>
      <c r="CB103" s="15" t="s">
        <v>444</v>
      </c>
      <c r="CD103" s="15" t="s">
        <v>444</v>
      </c>
      <c r="CF103" s="15" t="s">
        <v>444</v>
      </c>
      <c r="CI103" s="15" t="s">
        <v>444</v>
      </c>
      <c r="CK103" s="15" t="s">
        <v>444</v>
      </c>
      <c r="CM103" s="15" t="s">
        <v>444</v>
      </c>
      <c r="CO103" s="15" t="s">
        <v>444</v>
      </c>
      <c r="CP103" s="15" t="str">
        <f t="shared" ref="CP103:CP108" si="188">"15.29"</f>
        <v>15.29</v>
      </c>
      <c r="CQ103" s="15" t="str">
        <f t="shared" ref="CQ103:CQ108" si="189">"0.433"</f>
        <v>0.433</v>
      </c>
      <c r="CR103" s="15" t="s">
        <v>465</v>
      </c>
      <c r="DB103" s="15" t="s">
        <v>1072</v>
      </c>
      <c r="DC103" s="15" t="str">
        <f>IFERROR(__xludf.DUMMYFUNCTION("""COMPUTED_VALUE"""),"{""value"":22.00,""unit"":""in""}")</f>
        <v>{"value":22.00,"unit":"in"}</v>
      </c>
      <c r="DD103" s="15" t="s">
        <v>1804</v>
      </c>
      <c r="DE103" s="15" t="str">
        <f>IFERROR(__xludf.DUMMYFUNCTION("""COMPUTED_VALUE"""),"{""value"":17.50,""unit"":""in""}")</f>
        <v>{"value":17.50,"unit":"in"}</v>
      </c>
      <c r="DG103" s="15" t="str">
        <f>IFERROR(__xludf.DUMMYFUNCTION("""COMPUTED_VALUE"""),"")</f>
        <v/>
      </c>
      <c r="DH103" s="15">
        <v>0.0</v>
      </c>
      <c r="DI103" s="15">
        <v>0.0</v>
      </c>
      <c r="DJ103" s="15" t="s">
        <v>717</v>
      </c>
      <c r="DK103" s="15" t="s">
        <v>855</v>
      </c>
      <c r="DL103" s="15" t="str">
        <f>IFERROR(__xludf.DUMMYFUNCTION("""COMPUTED_VALUE"""),"Clean with solvent-based (dry clean only) products. Do not use water.")</f>
        <v>Clean with solvent-based (dry clean only) products. Do not use water.</v>
      </c>
      <c r="DM103" s="15" t="s">
        <v>856</v>
      </c>
      <c r="DT103" s="15" t="s">
        <v>721</v>
      </c>
      <c r="DU103" s="15" t="s">
        <v>1605</v>
      </c>
      <c r="DV103" s="15">
        <v>0.0</v>
      </c>
      <c r="DZ103" s="15">
        <v>35000.0</v>
      </c>
      <c r="EA103" s="15" t="s">
        <v>722</v>
      </c>
      <c r="ED103" s="15">
        <v>0.0</v>
      </c>
      <c r="EE103" s="15">
        <v>1.0</v>
      </c>
      <c r="EG103" s="15" t="s">
        <v>444</v>
      </c>
      <c r="EH103" s="15" t="s">
        <v>1805</v>
      </c>
      <c r="EI103" s="15">
        <v>0.0</v>
      </c>
      <c r="EJ103" s="15" t="s">
        <v>726</v>
      </c>
      <c r="EK103" s="15" t="s">
        <v>727</v>
      </c>
      <c r="EL103" s="15" t="s">
        <v>1806</v>
      </c>
      <c r="EM103" s="15" t="str">
        <f>IFERROR(__xludf.DUMMYFUNCTION("""COMPUTED_VALUE"""),"{""value"":26.00,""unit"":""in""}")</f>
        <v>{"value":26.00,"unit":"in"}</v>
      </c>
      <c r="EN103" s="15" t="s">
        <v>995</v>
      </c>
      <c r="EO103" s="15" t="s">
        <v>475</v>
      </c>
      <c r="ES103" s="15" t="s">
        <v>1807</v>
      </c>
      <c r="EW103" s="15" t="s">
        <v>672</v>
      </c>
      <c r="EX103" s="15" t="s">
        <v>1808</v>
      </c>
      <c r="EY103" s="15" t="s">
        <v>1808</v>
      </c>
      <c r="EZ103" s="15" t="s">
        <v>1238</v>
      </c>
      <c r="FF103" s="15" t="s">
        <v>1255</v>
      </c>
      <c r="FO103" s="15" t="s">
        <v>1213</v>
      </c>
      <c r="FP103" s="15" t="s">
        <v>1324</v>
      </c>
      <c r="FQ103" s="15">
        <v>0.0</v>
      </c>
      <c r="FR103" s="15">
        <v>0.0</v>
      </c>
      <c r="FT103" s="15">
        <v>0.0</v>
      </c>
      <c r="IL103" s="15" t="s">
        <v>1610</v>
      </c>
    </row>
    <row r="104" ht="15.75" customHeight="1">
      <c r="A104" s="14" t="s">
        <v>391</v>
      </c>
      <c r="B104" s="15" t="s">
        <v>1794</v>
      </c>
      <c r="C104" s="16"/>
      <c r="D104" s="15" t="s">
        <v>432</v>
      </c>
      <c r="G104" s="14" t="s">
        <v>393</v>
      </c>
      <c r="H104" s="14" t="s">
        <v>394</v>
      </c>
      <c r="I104" s="14" t="b">
        <v>1</v>
      </c>
      <c r="J104" s="14" t="s">
        <v>395</v>
      </c>
      <c r="L104" s="14" t="b">
        <v>0</v>
      </c>
      <c r="M104" s="15" t="s">
        <v>1809</v>
      </c>
      <c r="N104" s="14" t="s">
        <v>393</v>
      </c>
      <c r="O104" s="14" t="s">
        <v>393</v>
      </c>
      <c r="P104" s="15" t="s">
        <v>397</v>
      </c>
      <c r="Q104" s="15" t="s">
        <v>1810</v>
      </c>
      <c r="T104" s="14" t="b">
        <v>0</v>
      </c>
      <c r="U104" s="15" t="s">
        <v>1811</v>
      </c>
      <c r="V104" s="15" t="s">
        <v>1798</v>
      </c>
      <c r="W104" s="15" t="s">
        <v>401</v>
      </c>
      <c r="X104" s="15" t="s">
        <v>695</v>
      </c>
      <c r="Y104" s="15">
        <v>1157.0</v>
      </c>
      <c r="AA104" s="15" t="str">
        <f>"445"</f>
        <v>445</v>
      </c>
      <c r="AB104" s="14" t="b">
        <v>1</v>
      </c>
      <c r="AC104" s="14" t="b">
        <v>1</v>
      </c>
      <c r="AD104" s="15" t="str">
        <f>"801542709426"</f>
        <v>801542709426</v>
      </c>
      <c r="AE104" s="15" t="s">
        <v>1812</v>
      </c>
      <c r="AF104" s="14" t="s">
        <v>404</v>
      </c>
      <c r="AG104" s="14" t="s">
        <v>405</v>
      </c>
      <c r="AH104" s="14" t="s">
        <v>406</v>
      </c>
      <c r="AI104" s="15">
        <v>0.0</v>
      </c>
      <c r="AL104" s="15" t="s">
        <v>832</v>
      </c>
      <c r="AM104" s="15" t="s">
        <v>1175</v>
      </c>
      <c r="AN104" s="15" t="s">
        <v>1176</v>
      </c>
      <c r="AO104" s="15" t="s">
        <v>1801</v>
      </c>
      <c r="AP104" s="15" t="s">
        <v>1322</v>
      </c>
      <c r="AQ104" s="15" t="s">
        <v>1276</v>
      </c>
      <c r="AR104" s="15" t="s">
        <v>1277</v>
      </c>
      <c r="AS104" s="15" t="s">
        <v>1317</v>
      </c>
      <c r="AT104" s="15" t="s">
        <v>1810</v>
      </c>
      <c r="AU104" s="15" t="s">
        <v>1087</v>
      </c>
      <c r="AW104" s="15" t="s">
        <v>706</v>
      </c>
      <c r="AX104" s="15" t="s">
        <v>707</v>
      </c>
      <c r="AY104" s="15" t="s">
        <v>426</v>
      </c>
      <c r="AZ104" s="15" t="b">
        <v>1</v>
      </c>
      <c r="BA104" s="15" t="s">
        <v>413</v>
      </c>
      <c r="BB104" s="15" t="b">
        <v>0</v>
      </c>
      <c r="BC104" s="15" t="s">
        <v>1813</v>
      </c>
      <c r="BD104" s="15" t="s">
        <v>709</v>
      </c>
      <c r="BE104" s="15" t="str">
        <f t="shared" si="151"/>
        <v>1</v>
      </c>
      <c r="BF104" s="15" t="s">
        <v>1814</v>
      </c>
      <c r="BG104" s="15" t="str">
        <f t="shared" si="184"/>
        <v>27.17</v>
      </c>
      <c r="BH104" s="15" t="s">
        <v>1478</v>
      </c>
      <c r="BI104" s="15" t="str">
        <f t="shared" si="185"/>
        <v>31.3</v>
      </c>
      <c r="BJ104" s="15" t="s">
        <v>1182</v>
      </c>
      <c r="BK104" s="15" t="str">
        <f t="shared" si="186"/>
        <v>33.86</v>
      </c>
      <c r="BL104" s="15" t="s">
        <v>1209</v>
      </c>
      <c r="BM104" s="15" t="str">
        <f t="shared" si="187"/>
        <v>56.88</v>
      </c>
      <c r="BN104" s="15" t="s">
        <v>1282</v>
      </c>
      <c r="BQ104" s="15" t="s">
        <v>444</v>
      </c>
      <c r="BS104" s="15" t="s">
        <v>444</v>
      </c>
      <c r="BU104" s="15" t="s">
        <v>444</v>
      </c>
      <c r="BW104" s="15" t="s">
        <v>444</v>
      </c>
      <c r="BZ104" s="15" t="s">
        <v>444</v>
      </c>
      <c r="CB104" s="15" t="s">
        <v>444</v>
      </c>
      <c r="CD104" s="15" t="s">
        <v>444</v>
      </c>
      <c r="CF104" s="15" t="s">
        <v>444</v>
      </c>
      <c r="CI104" s="15" t="s">
        <v>444</v>
      </c>
      <c r="CK104" s="15" t="s">
        <v>444</v>
      </c>
      <c r="CM104" s="15" t="s">
        <v>444</v>
      </c>
      <c r="CO104" s="15" t="s">
        <v>444</v>
      </c>
      <c r="CP104" s="15" t="str">
        <f t="shared" si="188"/>
        <v>15.29</v>
      </c>
      <c r="CQ104" s="15" t="str">
        <f t="shared" si="189"/>
        <v>0.433</v>
      </c>
      <c r="CR104" s="15" t="s">
        <v>497</v>
      </c>
      <c r="DB104" s="15" t="s">
        <v>1072</v>
      </c>
      <c r="DC104" s="15" t="str">
        <f>IFERROR(__xludf.DUMMYFUNCTION("""COMPUTED_VALUE"""),"{""value"":22.00,""unit"":""in""}")</f>
        <v>{"value":22.00,"unit":"in"}</v>
      </c>
      <c r="DD104" s="15" t="s">
        <v>1804</v>
      </c>
      <c r="DE104" s="15" t="str">
        <f>IFERROR(__xludf.DUMMYFUNCTION("""COMPUTED_VALUE"""),"{""value"":17.50,""unit"":""in""}")</f>
        <v>{"value":17.50,"unit":"in"}</v>
      </c>
      <c r="DG104" s="15" t="str">
        <f>IFERROR(__xludf.DUMMYFUNCTION("""COMPUTED_VALUE"""),"")</f>
        <v/>
      </c>
      <c r="DH104" s="15">
        <v>0.0</v>
      </c>
      <c r="DI104" s="15">
        <v>0.0</v>
      </c>
      <c r="DJ104" s="15" t="s">
        <v>717</v>
      </c>
      <c r="DK104" s="15" t="s">
        <v>897</v>
      </c>
      <c r="DL104" s="15" t="str">
        <f>IFERROR(__xludf.DUMMYFUNCTION("""COMPUTED_VALUE"""),"Clean with water-based products only. Use mild detergent or upholstery shampoo.")</f>
        <v>Clean with water-based products only. Use mild detergent or upholstery shampoo.</v>
      </c>
      <c r="DM104" s="15" t="s">
        <v>898</v>
      </c>
      <c r="DT104" s="15" t="s">
        <v>721</v>
      </c>
      <c r="DU104" s="15" t="s">
        <v>1605</v>
      </c>
      <c r="DV104" s="15">
        <v>0.0</v>
      </c>
      <c r="DZ104" s="15">
        <v>100000.0</v>
      </c>
      <c r="EA104" s="15" t="s">
        <v>722</v>
      </c>
      <c r="ED104" s="15">
        <v>0.0</v>
      </c>
      <c r="EE104" s="15">
        <v>1.0</v>
      </c>
      <c r="EG104" s="15" t="s">
        <v>444</v>
      </c>
      <c r="EH104" s="15" t="s">
        <v>1805</v>
      </c>
      <c r="EI104" s="15">
        <v>0.0</v>
      </c>
      <c r="EJ104" s="15" t="s">
        <v>726</v>
      </c>
      <c r="EK104" s="15" t="s">
        <v>727</v>
      </c>
      <c r="EL104" s="15" t="s">
        <v>1806</v>
      </c>
      <c r="EM104" s="15" t="str">
        <f>IFERROR(__xludf.DUMMYFUNCTION("""COMPUTED_VALUE"""),"{""value"":26.00,""unit"":""in""}")</f>
        <v>{"value":26.00,"unit":"in"}</v>
      </c>
      <c r="EN104" s="15" t="s">
        <v>995</v>
      </c>
      <c r="EO104" s="15" t="s">
        <v>475</v>
      </c>
      <c r="ES104" s="15" t="s">
        <v>1807</v>
      </c>
      <c r="EW104" s="15" t="s">
        <v>672</v>
      </c>
      <c r="EX104" s="15" t="s">
        <v>1808</v>
      </c>
      <c r="EY104" s="15" t="s">
        <v>1808</v>
      </c>
      <c r="EZ104" s="15" t="s">
        <v>1238</v>
      </c>
      <c r="FF104" s="15" t="s">
        <v>1255</v>
      </c>
      <c r="FO104" s="15" t="s">
        <v>1213</v>
      </c>
      <c r="FP104" s="15" t="s">
        <v>1324</v>
      </c>
      <c r="FQ104" s="15">
        <v>0.0</v>
      </c>
      <c r="FR104" s="15">
        <v>0.0</v>
      </c>
      <c r="FT104" s="15">
        <v>0.0</v>
      </c>
      <c r="IL104" s="15" t="s">
        <v>1610</v>
      </c>
    </row>
    <row r="105" ht="15.75" customHeight="1">
      <c r="A105" s="14" t="s">
        <v>391</v>
      </c>
      <c r="B105" s="15" t="s">
        <v>1794</v>
      </c>
      <c r="C105" s="16"/>
      <c r="D105" s="15" t="s">
        <v>432</v>
      </c>
      <c r="G105" s="14" t="s">
        <v>393</v>
      </c>
      <c r="H105" s="14" t="s">
        <v>394</v>
      </c>
      <c r="I105" s="14" t="b">
        <v>1</v>
      </c>
      <c r="J105" s="14" t="s">
        <v>395</v>
      </c>
      <c r="L105" s="14" t="b">
        <v>0</v>
      </c>
      <c r="M105" s="15" t="s">
        <v>1815</v>
      </c>
      <c r="N105" s="14" t="s">
        <v>393</v>
      </c>
      <c r="O105" s="14" t="s">
        <v>393</v>
      </c>
      <c r="P105" s="15" t="s">
        <v>397</v>
      </c>
      <c r="Q105" s="15" t="s">
        <v>1816</v>
      </c>
      <c r="T105" s="14" t="b">
        <v>0</v>
      </c>
      <c r="U105" s="15" t="s">
        <v>1817</v>
      </c>
      <c r="V105" s="15" t="s">
        <v>1798</v>
      </c>
      <c r="W105" s="15" t="s">
        <v>401</v>
      </c>
      <c r="X105" s="15" t="s">
        <v>695</v>
      </c>
      <c r="Y105" s="15">
        <v>1261.0</v>
      </c>
      <c r="AA105" s="15" t="str">
        <f>"485"</f>
        <v>485</v>
      </c>
      <c r="AB105" s="14" t="b">
        <v>1</v>
      </c>
      <c r="AC105" s="14" t="b">
        <v>1</v>
      </c>
      <c r="AD105" s="15" t="str">
        <f>"801542128425"</f>
        <v>801542128425</v>
      </c>
      <c r="AE105" s="15" t="s">
        <v>1818</v>
      </c>
      <c r="AF105" s="14" t="s">
        <v>404</v>
      </c>
      <c r="AG105" s="14" t="s">
        <v>405</v>
      </c>
      <c r="AH105" s="14" t="s">
        <v>406</v>
      </c>
      <c r="AI105" s="15">
        <v>0.0</v>
      </c>
      <c r="AL105" s="15" t="s">
        <v>832</v>
      </c>
      <c r="AM105" s="15" t="s">
        <v>1175</v>
      </c>
      <c r="AN105" s="15" t="s">
        <v>1176</v>
      </c>
      <c r="AO105" s="15" t="s">
        <v>1801</v>
      </c>
      <c r="AP105" s="15" t="s">
        <v>1322</v>
      </c>
      <c r="AQ105" s="15" t="s">
        <v>1276</v>
      </c>
      <c r="AR105" s="15" t="s">
        <v>1277</v>
      </c>
      <c r="AS105" s="15" t="s">
        <v>1317</v>
      </c>
      <c r="AT105" s="15" t="s">
        <v>1816</v>
      </c>
      <c r="AU105" s="15" t="s">
        <v>1087</v>
      </c>
      <c r="AW105" s="15" t="s">
        <v>706</v>
      </c>
      <c r="AX105" s="15" t="s">
        <v>707</v>
      </c>
      <c r="AY105" s="15" t="s">
        <v>413</v>
      </c>
      <c r="AZ105" s="15" t="b">
        <v>0</v>
      </c>
      <c r="BA105" s="15" t="s">
        <v>426</v>
      </c>
      <c r="BB105" s="15" t="b">
        <v>1</v>
      </c>
      <c r="BC105" s="15" t="s">
        <v>1819</v>
      </c>
      <c r="BD105" s="15" t="s">
        <v>709</v>
      </c>
      <c r="BE105" s="15" t="str">
        <f t="shared" si="151"/>
        <v>1</v>
      </c>
      <c r="BF105" s="15" t="s">
        <v>1803</v>
      </c>
      <c r="BG105" s="15" t="str">
        <f t="shared" si="184"/>
        <v>27.17</v>
      </c>
      <c r="BH105" s="15" t="s">
        <v>1478</v>
      </c>
      <c r="BI105" s="15" t="str">
        <f t="shared" si="185"/>
        <v>31.3</v>
      </c>
      <c r="BJ105" s="15" t="s">
        <v>1182</v>
      </c>
      <c r="BK105" s="15" t="str">
        <f t="shared" si="186"/>
        <v>33.86</v>
      </c>
      <c r="BL105" s="15" t="s">
        <v>1209</v>
      </c>
      <c r="BM105" s="15" t="str">
        <f t="shared" si="187"/>
        <v>56.88</v>
      </c>
      <c r="BN105" s="15" t="s">
        <v>1282</v>
      </c>
      <c r="BQ105" s="15" t="s">
        <v>444</v>
      </c>
      <c r="BS105" s="15" t="s">
        <v>444</v>
      </c>
      <c r="BU105" s="15" t="s">
        <v>444</v>
      </c>
      <c r="BW105" s="15" t="s">
        <v>444</v>
      </c>
      <c r="BZ105" s="15" t="s">
        <v>444</v>
      </c>
      <c r="CB105" s="15" t="s">
        <v>444</v>
      </c>
      <c r="CD105" s="15" t="s">
        <v>444</v>
      </c>
      <c r="CF105" s="15" t="s">
        <v>444</v>
      </c>
      <c r="CI105" s="15" t="s">
        <v>444</v>
      </c>
      <c r="CK105" s="15" t="s">
        <v>444</v>
      </c>
      <c r="CM105" s="15" t="s">
        <v>444</v>
      </c>
      <c r="CO105" s="15" t="s">
        <v>444</v>
      </c>
      <c r="CP105" s="15" t="str">
        <f t="shared" si="188"/>
        <v>15.29</v>
      </c>
      <c r="CQ105" s="15" t="str">
        <f t="shared" si="189"/>
        <v>0.433</v>
      </c>
      <c r="CR105" s="15" t="s">
        <v>497</v>
      </c>
      <c r="DB105" s="15" t="s">
        <v>1072</v>
      </c>
      <c r="DC105" s="15" t="str">
        <f>IFERROR(__xludf.DUMMYFUNCTION("""COMPUTED_VALUE"""),"{""value"":22.00,""unit"":""in""}")</f>
        <v>{"value":22.00,"unit":"in"}</v>
      </c>
      <c r="DD105" s="15" t="s">
        <v>1804</v>
      </c>
      <c r="DE105" s="15" t="str">
        <f>IFERROR(__xludf.DUMMYFUNCTION("""COMPUTED_VALUE"""),"{""value"":17.50,""unit"":""in""}")</f>
        <v>{"value":17.50,"unit":"in"}</v>
      </c>
      <c r="DG105" s="15" t="str">
        <f>IFERROR(__xludf.DUMMYFUNCTION("""COMPUTED_VALUE"""),"")</f>
        <v/>
      </c>
      <c r="DH105" s="15">
        <v>0.0</v>
      </c>
      <c r="DI105" s="15">
        <v>0.0</v>
      </c>
      <c r="DJ105" s="15" t="s">
        <v>717</v>
      </c>
      <c r="DK105" s="15" t="s">
        <v>897</v>
      </c>
      <c r="DL105" s="15" t="str">
        <f>IFERROR(__xludf.DUMMYFUNCTION("""COMPUTED_VALUE"""),"Clean with water-based products only. Use mild detergent or upholstery shampoo.")</f>
        <v>Clean with water-based products only. Use mild detergent or upholstery shampoo.</v>
      </c>
      <c r="DM105" s="15" t="s">
        <v>898</v>
      </c>
      <c r="DT105" s="15" t="s">
        <v>721</v>
      </c>
      <c r="DU105" s="15" t="s">
        <v>1605</v>
      </c>
      <c r="DV105" s="15">
        <v>0.0</v>
      </c>
      <c r="DZ105" s="15">
        <v>100000.0</v>
      </c>
      <c r="EA105" s="15" t="s">
        <v>722</v>
      </c>
      <c r="ED105" s="15">
        <v>0.0</v>
      </c>
      <c r="EE105" s="15">
        <v>1.0</v>
      </c>
      <c r="EG105" s="15" t="s">
        <v>444</v>
      </c>
      <c r="EH105" s="15" t="s">
        <v>1805</v>
      </c>
      <c r="EI105" s="15">
        <v>0.0</v>
      </c>
      <c r="EJ105" s="15" t="s">
        <v>726</v>
      </c>
      <c r="EK105" s="15" t="s">
        <v>727</v>
      </c>
      <c r="EL105" s="15" t="s">
        <v>1806</v>
      </c>
      <c r="EM105" s="15" t="str">
        <f>IFERROR(__xludf.DUMMYFUNCTION("""COMPUTED_VALUE"""),"{""value"":26.00,""unit"":""in""}")</f>
        <v>{"value":26.00,"unit":"in"}</v>
      </c>
      <c r="EN105" s="15" t="s">
        <v>995</v>
      </c>
      <c r="EO105" s="15" t="s">
        <v>475</v>
      </c>
      <c r="ES105" s="15" t="s">
        <v>1807</v>
      </c>
      <c r="EW105" s="15" t="s">
        <v>672</v>
      </c>
      <c r="EX105" s="15" t="s">
        <v>1808</v>
      </c>
      <c r="EY105" s="15" t="s">
        <v>1808</v>
      </c>
      <c r="EZ105" s="15" t="s">
        <v>1238</v>
      </c>
      <c r="FF105" s="15" t="s">
        <v>1255</v>
      </c>
      <c r="FO105" s="15" t="s">
        <v>1213</v>
      </c>
      <c r="FP105" s="15" t="s">
        <v>1324</v>
      </c>
      <c r="FQ105" s="15">
        <v>0.0</v>
      </c>
      <c r="FR105" s="15">
        <v>0.0</v>
      </c>
      <c r="FT105" s="15">
        <v>0.0</v>
      </c>
      <c r="IL105" s="15" t="s">
        <v>1610</v>
      </c>
    </row>
    <row r="106" ht="15.75" customHeight="1">
      <c r="A106" s="14" t="s">
        <v>391</v>
      </c>
      <c r="B106" s="15" t="s">
        <v>1794</v>
      </c>
      <c r="C106" s="16"/>
      <c r="D106" s="15" t="s">
        <v>432</v>
      </c>
      <c r="G106" s="14" t="s">
        <v>393</v>
      </c>
      <c r="H106" s="14" t="s">
        <v>394</v>
      </c>
      <c r="I106" s="14" t="b">
        <v>1</v>
      </c>
      <c r="J106" s="14" t="s">
        <v>395</v>
      </c>
      <c r="L106" s="14" t="b">
        <v>0</v>
      </c>
      <c r="M106" s="15" t="s">
        <v>1820</v>
      </c>
      <c r="N106" s="14" t="s">
        <v>393</v>
      </c>
      <c r="O106" s="14" t="s">
        <v>393</v>
      </c>
      <c r="P106" s="15" t="s">
        <v>397</v>
      </c>
      <c r="Q106" s="15" t="s">
        <v>1821</v>
      </c>
      <c r="T106" s="14" t="b">
        <v>0</v>
      </c>
      <c r="U106" s="15" t="s">
        <v>1822</v>
      </c>
      <c r="V106" s="15" t="s">
        <v>1798</v>
      </c>
      <c r="W106" s="15" t="s">
        <v>401</v>
      </c>
      <c r="X106" s="15" t="s">
        <v>695</v>
      </c>
      <c r="Y106" s="15">
        <v>1092.0</v>
      </c>
      <c r="AA106" s="15" t="str">
        <f t="shared" ref="AA106:AA107" si="190">"420"</f>
        <v>420</v>
      </c>
      <c r="AB106" s="14" t="b">
        <v>1</v>
      </c>
      <c r="AC106" s="14" t="b">
        <v>1</v>
      </c>
      <c r="AD106" s="15" t="str">
        <f>"801542709433"</f>
        <v>801542709433</v>
      </c>
      <c r="AE106" s="15" t="s">
        <v>1823</v>
      </c>
      <c r="AF106" s="14" t="s">
        <v>404</v>
      </c>
      <c r="AG106" s="14" t="s">
        <v>405</v>
      </c>
      <c r="AH106" s="14" t="s">
        <v>406</v>
      </c>
      <c r="AI106" s="15">
        <v>0.0</v>
      </c>
      <c r="AL106" s="15" t="s">
        <v>1824</v>
      </c>
      <c r="AM106" s="15" t="s">
        <v>1175</v>
      </c>
      <c r="AN106" s="15" t="s">
        <v>1176</v>
      </c>
      <c r="AO106" s="15" t="s">
        <v>1801</v>
      </c>
      <c r="AP106" s="15" t="s">
        <v>1322</v>
      </c>
      <c r="AQ106" s="15" t="s">
        <v>1276</v>
      </c>
      <c r="AR106" s="15" t="s">
        <v>1277</v>
      </c>
      <c r="AS106" s="15" t="s">
        <v>1317</v>
      </c>
      <c r="AT106" s="15" t="s">
        <v>1821</v>
      </c>
      <c r="AU106" s="15" t="s">
        <v>1087</v>
      </c>
      <c r="AW106" s="15" t="s">
        <v>706</v>
      </c>
      <c r="AX106" s="15" t="s">
        <v>707</v>
      </c>
      <c r="AY106" s="15" t="s">
        <v>413</v>
      </c>
      <c r="AZ106" s="15" t="b">
        <v>0</v>
      </c>
      <c r="BA106" s="15" t="s">
        <v>426</v>
      </c>
      <c r="BB106" s="15" t="b">
        <v>1</v>
      </c>
      <c r="BC106" s="15" t="s">
        <v>1825</v>
      </c>
      <c r="BD106" s="15" t="s">
        <v>709</v>
      </c>
      <c r="BE106" s="15" t="str">
        <f t="shared" si="151"/>
        <v>1</v>
      </c>
      <c r="BF106" s="15" t="s">
        <v>1826</v>
      </c>
      <c r="BG106" s="15" t="str">
        <f t="shared" si="184"/>
        <v>27.17</v>
      </c>
      <c r="BH106" s="15" t="s">
        <v>1478</v>
      </c>
      <c r="BI106" s="15" t="str">
        <f t="shared" si="185"/>
        <v>31.3</v>
      </c>
      <c r="BJ106" s="15" t="s">
        <v>1182</v>
      </c>
      <c r="BK106" s="15" t="str">
        <f t="shared" si="186"/>
        <v>33.86</v>
      </c>
      <c r="BL106" s="15" t="s">
        <v>1209</v>
      </c>
      <c r="BM106" s="15" t="str">
        <f t="shared" si="187"/>
        <v>56.88</v>
      </c>
      <c r="BN106" s="15" t="s">
        <v>1282</v>
      </c>
      <c r="BQ106" s="15" t="s">
        <v>444</v>
      </c>
      <c r="BS106" s="15" t="s">
        <v>444</v>
      </c>
      <c r="BU106" s="15" t="s">
        <v>444</v>
      </c>
      <c r="BW106" s="15" t="s">
        <v>444</v>
      </c>
      <c r="BZ106" s="15" t="s">
        <v>444</v>
      </c>
      <c r="CB106" s="15" t="s">
        <v>444</v>
      </c>
      <c r="CD106" s="15" t="s">
        <v>444</v>
      </c>
      <c r="CF106" s="15" t="s">
        <v>444</v>
      </c>
      <c r="CI106" s="15" t="s">
        <v>444</v>
      </c>
      <c r="CK106" s="15" t="s">
        <v>444</v>
      </c>
      <c r="CM106" s="15" t="s">
        <v>444</v>
      </c>
      <c r="CO106" s="15" t="s">
        <v>444</v>
      </c>
      <c r="CP106" s="15" t="str">
        <f t="shared" si="188"/>
        <v>15.29</v>
      </c>
      <c r="CQ106" s="15" t="str">
        <f t="shared" si="189"/>
        <v>0.433</v>
      </c>
      <c r="CR106" s="15" t="s">
        <v>497</v>
      </c>
      <c r="DB106" s="15" t="s">
        <v>1072</v>
      </c>
      <c r="DC106" s="15" t="str">
        <f>IFERROR(__xludf.DUMMYFUNCTION("""COMPUTED_VALUE"""),"{""value"":22.00,""unit"":""in""}")</f>
        <v>{"value":22.00,"unit":"in"}</v>
      </c>
      <c r="DD106" s="15" t="s">
        <v>1804</v>
      </c>
      <c r="DE106" s="15" t="str">
        <f>IFERROR(__xludf.DUMMYFUNCTION("""COMPUTED_VALUE"""),"{""value"":17.50,""unit"":""in""}")</f>
        <v>{"value":17.50,"unit":"in"}</v>
      </c>
      <c r="DG106" s="15" t="str">
        <f>IFERROR(__xludf.DUMMYFUNCTION("""COMPUTED_VALUE"""),"")</f>
        <v/>
      </c>
      <c r="DH106" s="15">
        <v>0.0</v>
      </c>
      <c r="DI106" s="15">
        <v>0.0</v>
      </c>
      <c r="DJ106" s="15" t="s">
        <v>717</v>
      </c>
      <c r="DK106" s="15" t="s">
        <v>855</v>
      </c>
      <c r="DL106" s="15" t="str">
        <f>IFERROR(__xludf.DUMMYFUNCTION("""COMPUTED_VALUE"""),"Clean with solvent-based (dry clean only) products. Do not use water.")</f>
        <v>Clean with solvent-based (dry clean only) products. Do not use water.</v>
      </c>
      <c r="DM106" s="15" t="s">
        <v>856</v>
      </c>
      <c r="DT106" s="15" t="s">
        <v>721</v>
      </c>
      <c r="DU106" s="15" t="s">
        <v>1605</v>
      </c>
      <c r="DV106" s="15">
        <v>0.0</v>
      </c>
      <c r="DZ106" s="15">
        <v>25000.0</v>
      </c>
      <c r="EA106" s="15" t="s">
        <v>722</v>
      </c>
      <c r="ED106" s="15">
        <v>0.0</v>
      </c>
      <c r="EE106" s="15">
        <v>1.0</v>
      </c>
      <c r="EG106" s="15" t="s">
        <v>444</v>
      </c>
      <c r="EH106" s="15" t="s">
        <v>1805</v>
      </c>
      <c r="EI106" s="15">
        <v>0.0</v>
      </c>
      <c r="EJ106" s="15" t="s">
        <v>726</v>
      </c>
      <c r="EK106" s="15" t="s">
        <v>727</v>
      </c>
      <c r="EL106" s="15" t="s">
        <v>1806</v>
      </c>
      <c r="EM106" s="15" t="str">
        <f>IFERROR(__xludf.DUMMYFUNCTION("""COMPUTED_VALUE"""),"{""value"":26.00,""unit"":""in""}")</f>
        <v>{"value":26.00,"unit":"in"}</v>
      </c>
      <c r="EN106" s="15" t="s">
        <v>995</v>
      </c>
      <c r="EO106" s="15" t="s">
        <v>475</v>
      </c>
      <c r="ES106" s="15" t="s">
        <v>1807</v>
      </c>
      <c r="EW106" s="15" t="s">
        <v>672</v>
      </c>
      <c r="EX106" s="15" t="s">
        <v>1808</v>
      </c>
      <c r="EY106" s="15" t="s">
        <v>1808</v>
      </c>
      <c r="EZ106" s="15" t="s">
        <v>1238</v>
      </c>
      <c r="FF106" s="15" t="s">
        <v>1255</v>
      </c>
      <c r="FO106" s="15" t="s">
        <v>1213</v>
      </c>
      <c r="FP106" s="15" t="s">
        <v>1324</v>
      </c>
      <c r="FQ106" s="15">
        <v>0.0</v>
      </c>
      <c r="FR106" s="15">
        <v>0.0</v>
      </c>
      <c r="FT106" s="15">
        <v>0.0</v>
      </c>
      <c r="IL106" s="15" t="s">
        <v>1610</v>
      </c>
    </row>
    <row r="107" ht="15.75" customHeight="1">
      <c r="A107" s="14" t="s">
        <v>391</v>
      </c>
      <c r="B107" s="15" t="s">
        <v>1794</v>
      </c>
      <c r="C107" s="16"/>
      <c r="D107" s="15" t="s">
        <v>432</v>
      </c>
      <c r="G107" s="14" t="s">
        <v>393</v>
      </c>
      <c r="H107" s="14" t="s">
        <v>394</v>
      </c>
      <c r="I107" s="14" t="b">
        <v>1</v>
      </c>
      <c r="J107" s="14" t="s">
        <v>395</v>
      </c>
      <c r="L107" s="14" t="b">
        <v>0</v>
      </c>
      <c r="M107" s="15" t="s">
        <v>1827</v>
      </c>
      <c r="N107" s="14" t="s">
        <v>393</v>
      </c>
      <c r="O107" s="14" t="s">
        <v>393</v>
      </c>
      <c r="P107" s="15" t="s">
        <v>397</v>
      </c>
      <c r="Q107" s="15" t="s">
        <v>1081</v>
      </c>
      <c r="T107" s="14" t="b">
        <v>0</v>
      </c>
      <c r="U107" s="15" t="s">
        <v>1828</v>
      </c>
      <c r="V107" s="15" t="s">
        <v>1798</v>
      </c>
      <c r="W107" s="15" t="s">
        <v>401</v>
      </c>
      <c r="X107" s="15" t="s">
        <v>695</v>
      </c>
      <c r="Y107" s="15">
        <v>1092.0</v>
      </c>
      <c r="AA107" s="15" t="str">
        <f t="shared" si="190"/>
        <v>420</v>
      </c>
      <c r="AB107" s="14" t="b">
        <v>1</v>
      </c>
      <c r="AC107" s="14" t="b">
        <v>1</v>
      </c>
      <c r="AD107" s="15" t="str">
        <f>"801542709440"</f>
        <v>801542709440</v>
      </c>
      <c r="AE107" s="15" t="s">
        <v>1829</v>
      </c>
      <c r="AF107" s="14" t="s">
        <v>404</v>
      </c>
      <c r="AG107" s="14" t="s">
        <v>405</v>
      </c>
      <c r="AH107" s="14" t="s">
        <v>406</v>
      </c>
      <c r="AI107" s="15">
        <v>0.0</v>
      </c>
      <c r="AL107" s="15" t="s">
        <v>1830</v>
      </c>
      <c r="AM107" s="15" t="s">
        <v>1175</v>
      </c>
      <c r="AN107" s="15" t="s">
        <v>1176</v>
      </c>
      <c r="AO107" s="15" t="s">
        <v>1801</v>
      </c>
      <c r="AP107" s="15" t="s">
        <v>1322</v>
      </c>
      <c r="AQ107" s="15" t="s">
        <v>1276</v>
      </c>
      <c r="AR107" s="15" t="s">
        <v>1277</v>
      </c>
      <c r="AS107" s="15" t="s">
        <v>1317</v>
      </c>
      <c r="AT107" s="15" t="s">
        <v>1081</v>
      </c>
      <c r="AU107" s="15" t="s">
        <v>1087</v>
      </c>
      <c r="AW107" s="15" t="s">
        <v>706</v>
      </c>
      <c r="AX107" s="15" t="s">
        <v>707</v>
      </c>
      <c r="AY107" s="15" t="s">
        <v>426</v>
      </c>
      <c r="AZ107" s="15" t="b">
        <v>1</v>
      </c>
      <c r="BA107" s="15" t="s">
        <v>426</v>
      </c>
      <c r="BB107" s="15" t="b">
        <v>1</v>
      </c>
      <c r="BC107" s="15" t="s">
        <v>1831</v>
      </c>
      <c r="BD107" s="15" t="s">
        <v>709</v>
      </c>
      <c r="BE107" s="15" t="str">
        <f t="shared" si="151"/>
        <v>1</v>
      </c>
      <c r="BF107" s="15" t="s">
        <v>416</v>
      </c>
      <c r="BG107" s="15" t="str">
        <f t="shared" si="184"/>
        <v>27.17</v>
      </c>
      <c r="BH107" s="15" t="s">
        <v>1478</v>
      </c>
      <c r="BI107" s="15" t="str">
        <f t="shared" si="185"/>
        <v>31.3</v>
      </c>
      <c r="BJ107" s="15" t="s">
        <v>1182</v>
      </c>
      <c r="BK107" s="15" t="str">
        <f t="shared" si="186"/>
        <v>33.86</v>
      </c>
      <c r="BL107" s="15" t="s">
        <v>1209</v>
      </c>
      <c r="BM107" s="15" t="str">
        <f t="shared" si="187"/>
        <v>56.88</v>
      </c>
      <c r="BN107" s="15" t="s">
        <v>1282</v>
      </c>
      <c r="BQ107" s="15" t="s">
        <v>444</v>
      </c>
      <c r="BS107" s="15" t="s">
        <v>444</v>
      </c>
      <c r="BU107" s="15" t="s">
        <v>444</v>
      </c>
      <c r="BW107" s="15" t="s">
        <v>444</v>
      </c>
      <c r="BZ107" s="15" t="s">
        <v>444</v>
      </c>
      <c r="CB107" s="15" t="s">
        <v>444</v>
      </c>
      <c r="CD107" s="15" t="s">
        <v>444</v>
      </c>
      <c r="CF107" s="15" t="s">
        <v>444</v>
      </c>
      <c r="CI107" s="15" t="s">
        <v>444</v>
      </c>
      <c r="CK107" s="15" t="s">
        <v>444</v>
      </c>
      <c r="CM107" s="15" t="s">
        <v>444</v>
      </c>
      <c r="CO107" s="15" t="s">
        <v>444</v>
      </c>
      <c r="CP107" s="15" t="str">
        <f t="shared" si="188"/>
        <v>15.29</v>
      </c>
      <c r="CQ107" s="15" t="str">
        <f t="shared" si="189"/>
        <v>0.433</v>
      </c>
      <c r="CR107" s="15" t="s">
        <v>497</v>
      </c>
      <c r="DB107" s="15" t="s">
        <v>1072</v>
      </c>
      <c r="DC107" s="15" t="str">
        <f>IFERROR(__xludf.DUMMYFUNCTION("""COMPUTED_VALUE"""),"{""value"":22.00,""unit"":""in""}")</f>
        <v>{"value":22.00,"unit":"in"}</v>
      </c>
      <c r="DD107" s="15" t="s">
        <v>1804</v>
      </c>
      <c r="DE107" s="15" t="str">
        <f>IFERROR(__xludf.DUMMYFUNCTION("""COMPUTED_VALUE"""),"{""value"":17.50,""unit"":""in""}")</f>
        <v>{"value":17.50,"unit":"in"}</v>
      </c>
      <c r="DG107" s="15" t="str">
        <f>IFERROR(__xludf.DUMMYFUNCTION("""COMPUTED_VALUE"""),"")</f>
        <v/>
      </c>
      <c r="DH107" s="15">
        <v>0.0</v>
      </c>
      <c r="DI107" s="15">
        <v>0.0</v>
      </c>
      <c r="DJ107" s="15" t="s">
        <v>717</v>
      </c>
      <c r="DK107" s="15" t="s">
        <v>855</v>
      </c>
      <c r="DL107" s="15" t="str">
        <f>IFERROR(__xludf.DUMMYFUNCTION("""COMPUTED_VALUE"""),"Clean with solvent-based (dry clean only) products. Do not use water.")</f>
        <v>Clean with solvent-based (dry clean only) products. Do not use water.</v>
      </c>
      <c r="DM107" s="15" t="s">
        <v>856</v>
      </c>
      <c r="DT107" s="15" t="s">
        <v>721</v>
      </c>
      <c r="DU107" s="15" t="s">
        <v>1605</v>
      </c>
      <c r="DV107" s="15">
        <v>0.0</v>
      </c>
      <c r="DZ107" s="15">
        <v>25000.0</v>
      </c>
      <c r="EA107" s="15" t="s">
        <v>722</v>
      </c>
      <c r="ED107" s="15">
        <v>0.0</v>
      </c>
      <c r="EE107" s="15">
        <v>1.0</v>
      </c>
      <c r="EG107" s="15" t="s">
        <v>444</v>
      </c>
      <c r="EH107" s="15" t="s">
        <v>1805</v>
      </c>
      <c r="EI107" s="15">
        <v>0.0</v>
      </c>
      <c r="EJ107" s="15" t="s">
        <v>726</v>
      </c>
      <c r="EK107" s="15" t="s">
        <v>727</v>
      </c>
      <c r="EL107" s="15" t="s">
        <v>1806</v>
      </c>
      <c r="EM107" s="15" t="str">
        <f>IFERROR(__xludf.DUMMYFUNCTION("""COMPUTED_VALUE"""),"{""value"":26.00,""unit"":""in""}")</f>
        <v>{"value":26.00,"unit":"in"}</v>
      </c>
      <c r="EN107" s="15" t="s">
        <v>995</v>
      </c>
      <c r="EO107" s="15" t="s">
        <v>475</v>
      </c>
      <c r="ES107" s="15" t="s">
        <v>1807</v>
      </c>
      <c r="EW107" s="15" t="s">
        <v>672</v>
      </c>
      <c r="EX107" s="15" t="s">
        <v>1808</v>
      </c>
      <c r="EY107" s="15" t="s">
        <v>1808</v>
      </c>
      <c r="EZ107" s="15" t="s">
        <v>1238</v>
      </c>
      <c r="FF107" s="15" t="s">
        <v>1255</v>
      </c>
      <c r="FO107" s="15" t="s">
        <v>1213</v>
      </c>
      <c r="FP107" s="15" t="s">
        <v>1324</v>
      </c>
      <c r="FQ107" s="15">
        <v>0.0</v>
      </c>
      <c r="FR107" s="15">
        <v>0.0</v>
      </c>
      <c r="FT107" s="15">
        <v>0.0</v>
      </c>
      <c r="IL107" s="15" t="s">
        <v>1610</v>
      </c>
    </row>
    <row r="108" ht="15.75" customHeight="1">
      <c r="A108" s="14" t="s">
        <v>391</v>
      </c>
      <c r="B108" s="15" t="s">
        <v>1794</v>
      </c>
      <c r="C108" s="16"/>
      <c r="D108" s="15" t="s">
        <v>432</v>
      </c>
      <c r="G108" s="14" t="s">
        <v>393</v>
      </c>
      <c r="H108" s="14" t="s">
        <v>394</v>
      </c>
      <c r="I108" s="14" t="b">
        <v>1</v>
      </c>
      <c r="J108" s="14" t="s">
        <v>395</v>
      </c>
      <c r="L108" s="14" t="b">
        <v>0</v>
      </c>
      <c r="M108" s="15" t="s">
        <v>1832</v>
      </c>
      <c r="N108" s="14" t="s">
        <v>393</v>
      </c>
      <c r="O108" s="14" t="s">
        <v>393</v>
      </c>
      <c r="P108" s="15" t="s">
        <v>397</v>
      </c>
      <c r="Q108" s="15" t="s">
        <v>1833</v>
      </c>
      <c r="T108" s="14" t="b">
        <v>0</v>
      </c>
      <c r="U108" s="15" t="s">
        <v>1834</v>
      </c>
      <c r="V108" s="15" t="s">
        <v>1798</v>
      </c>
      <c r="W108" s="15" t="s">
        <v>401</v>
      </c>
      <c r="X108" s="15" t="s">
        <v>695</v>
      </c>
      <c r="Y108" s="15">
        <v>1157.0</v>
      </c>
      <c r="AA108" s="15" t="str">
        <f>"445"</f>
        <v>445</v>
      </c>
      <c r="AB108" s="14" t="b">
        <v>1</v>
      </c>
      <c r="AC108" s="14" t="b">
        <v>1</v>
      </c>
      <c r="AD108" s="15" t="str">
        <f>"801542022143"</f>
        <v>801542022143</v>
      </c>
      <c r="AE108" s="15" t="s">
        <v>1835</v>
      </c>
      <c r="AF108" s="14" t="s">
        <v>404</v>
      </c>
      <c r="AG108" s="14" t="s">
        <v>405</v>
      </c>
      <c r="AH108" s="14" t="s">
        <v>406</v>
      </c>
      <c r="AI108" s="15">
        <v>0.0</v>
      </c>
      <c r="AL108" s="15" t="s">
        <v>832</v>
      </c>
      <c r="AM108" s="15" t="s">
        <v>1175</v>
      </c>
      <c r="AN108" s="15" t="s">
        <v>1176</v>
      </c>
      <c r="AO108" s="15" t="s">
        <v>1801</v>
      </c>
      <c r="AP108" s="15" t="s">
        <v>1322</v>
      </c>
      <c r="AQ108" s="15" t="s">
        <v>1276</v>
      </c>
      <c r="AR108" s="15" t="s">
        <v>1277</v>
      </c>
      <c r="AS108" s="15" t="s">
        <v>1317</v>
      </c>
      <c r="AT108" s="15" t="s">
        <v>1833</v>
      </c>
      <c r="AU108" s="15" t="s">
        <v>1087</v>
      </c>
      <c r="AW108" s="15" t="s">
        <v>706</v>
      </c>
      <c r="AX108" s="15" t="s">
        <v>707</v>
      </c>
      <c r="AY108" s="15" t="s">
        <v>413</v>
      </c>
      <c r="AZ108" s="15" t="b">
        <v>0</v>
      </c>
      <c r="BA108" s="15" t="s">
        <v>413</v>
      </c>
      <c r="BB108" s="15" t="b">
        <v>0</v>
      </c>
      <c r="BC108" s="15" t="s">
        <v>1836</v>
      </c>
      <c r="BD108" s="15" t="s">
        <v>709</v>
      </c>
      <c r="BE108" s="15" t="str">
        <f t="shared" si="151"/>
        <v>1</v>
      </c>
      <c r="BF108" s="15" t="s">
        <v>1826</v>
      </c>
      <c r="BG108" s="15" t="str">
        <f t="shared" si="184"/>
        <v>27.17</v>
      </c>
      <c r="BH108" s="15" t="s">
        <v>1478</v>
      </c>
      <c r="BI108" s="15" t="str">
        <f t="shared" si="185"/>
        <v>31.3</v>
      </c>
      <c r="BJ108" s="15" t="s">
        <v>1182</v>
      </c>
      <c r="BK108" s="15" t="str">
        <f t="shared" si="186"/>
        <v>33.86</v>
      </c>
      <c r="BL108" s="15" t="s">
        <v>1209</v>
      </c>
      <c r="BM108" s="15" t="str">
        <f t="shared" si="187"/>
        <v>56.88</v>
      </c>
      <c r="BN108" s="15" t="s">
        <v>1282</v>
      </c>
      <c r="BQ108" s="15" t="s">
        <v>444</v>
      </c>
      <c r="BS108" s="15" t="s">
        <v>444</v>
      </c>
      <c r="BU108" s="15" t="s">
        <v>444</v>
      </c>
      <c r="BW108" s="15" t="s">
        <v>444</v>
      </c>
      <c r="BZ108" s="15" t="s">
        <v>444</v>
      </c>
      <c r="CB108" s="15" t="s">
        <v>444</v>
      </c>
      <c r="CD108" s="15" t="s">
        <v>444</v>
      </c>
      <c r="CF108" s="15" t="s">
        <v>444</v>
      </c>
      <c r="CI108" s="15" t="s">
        <v>444</v>
      </c>
      <c r="CK108" s="15" t="s">
        <v>444</v>
      </c>
      <c r="CM108" s="15" t="s">
        <v>444</v>
      </c>
      <c r="CO108" s="15" t="s">
        <v>444</v>
      </c>
      <c r="CP108" s="15" t="str">
        <f t="shared" si="188"/>
        <v>15.29</v>
      </c>
      <c r="CQ108" s="15" t="str">
        <f t="shared" si="189"/>
        <v>0.433</v>
      </c>
      <c r="CR108" s="15" t="s">
        <v>497</v>
      </c>
      <c r="DB108" s="15" t="s">
        <v>1072</v>
      </c>
      <c r="DC108" s="15" t="str">
        <f>IFERROR(__xludf.DUMMYFUNCTION("""COMPUTED_VALUE"""),"{""value"":22.00,""unit"":""in""}")</f>
        <v>{"value":22.00,"unit":"in"}</v>
      </c>
      <c r="DD108" s="15" t="s">
        <v>1804</v>
      </c>
      <c r="DE108" s="15" t="str">
        <f>IFERROR(__xludf.DUMMYFUNCTION("""COMPUTED_VALUE"""),"{""value"":17.50,""unit"":""in""}")</f>
        <v>{"value":17.50,"unit":"in"}</v>
      </c>
      <c r="DG108" s="15" t="str">
        <f>IFERROR(__xludf.DUMMYFUNCTION("""COMPUTED_VALUE"""),"")</f>
        <v/>
      </c>
      <c r="DH108" s="15">
        <v>0.0</v>
      </c>
      <c r="DI108" s="15">
        <v>0.0</v>
      </c>
      <c r="DJ108" s="15" t="s">
        <v>717</v>
      </c>
      <c r="DK108" s="15" t="s">
        <v>1837</v>
      </c>
      <c r="DL108" s="15" t="str">
        <f>IFERROR(__xludf.DUMMYFUNCTION("""COMPUTED_VALUE"""),"Dry clean only. Professional cleaning recommended.")</f>
        <v>Dry clean only. Professional cleaning recommended.</v>
      </c>
      <c r="DM108" s="15" t="s">
        <v>1838</v>
      </c>
      <c r="DT108" s="15" t="s">
        <v>721</v>
      </c>
      <c r="DU108" s="15" t="s">
        <v>1605</v>
      </c>
      <c r="DV108" s="15">
        <v>0.0</v>
      </c>
      <c r="DZ108" s="15">
        <v>100000.0</v>
      </c>
      <c r="EA108" s="15" t="s">
        <v>722</v>
      </c>
      <c r="ED108" s="15">
        <v>0.0</v>
      </c>
      <c r="EE108" s="15">
        <v>1.0</v>
      </c>
      <c r="EG108" s="15" t="s">
        <v>444</v>
      </c>
      <c r="EH108" s="15" t="s">
        <v>1805</v>
      </c>
      <c r="EI108" s="15">
        <v>0.0</v>
      </c>
      <c r="EJ108" s="15" t="s">
        <v>726</v>
      </c>
      <c r="EK108" s="15" t="s">
        <v>727</v>
      </c>
      <c r="EL108" s="15" t="s">
        <v>1806</v>
      </c>
      <c r="EM108" s="15" t="str">
        <f>IFERROR(__xludf.DUMMYFUNCTION("""COMPUTED_VALUE"""),"{""value"":26.00,""unit"":""in""}")</f>
        <v>{"value":26.00,"unit":"in"}</v>
      </c>
      <c r="EN108" s="15" t="s">
        <v>995</v>
      </c>
      <c r="EO108" s="15" t="s">
        <v>475</v>
      </c>
      <c r="ES108" s="15" t="s">
        <v>1807</v>
      </c>
      <c r="EW108" s="15" t="s">
        <v>672</v>
      </c>
      <c r="EX108" s="15" t="s">
        <v>1808</v>
      </c>
      <c r="EY108" s="15" t="s">
        <v>1808</v>
      </c>
      <c r="EZ108" s="15" t="s">
        <v>1238</v>
      </c>
      <c r="FF108" s="15" t="s">
        <v>1255</v>
      </c>
      <c r="FO108" s="15" t="s">
        <v>1213</v>
      </c>
      <c r="FP108" s="15" t="s">
        <v>1324</v>
      </c>
      <c r="FQ108" s="15">
        <v>0.0</v>
      </c>
      <c r="FR108" s="15">
        <v>0.0</v>
      </c>
      <c r="FT108" s="15">
        <v>0.0</v>
      </c>
      <c r="IL108" s="15" t="s">
        <v>1610</v>
      </c>
    </row>
    <row r="109" ht="15.75" customHeight="1">
      <c r="A109" s="14" t="s">
        <v>391</v>
      </c>
      <c r="B109" s="15" t="s">
        <v>1839</v>
      </c>
      <c r="C109" s="16"/>
      <c r="D109" s="15" t="s">
        <v>432</v>
      </c>
      <c r="G109" s="14" t="s">
        <v>393</v>
      </c>
      <c r="H109" s="14" t="s">
        <v>394</v>
      </c>
      <c r="I109" s="14" t="b">
        <v>1</v>
      </c>
      <c r="J109" s="14" t="s">
        <v>395</v>
      </c>
      <c r="L109" s="14" t="b">
        <v>0</v>
      </c>
      <c r="M109" s="15" t="s">
        <v>1840</v>
      </c>
      <c r="N109" s="14" t="s">
        <v>393</v>
      </c>
      <c r="O109" s="14" t="s">
        <v>393</v>
      </c>
      <c r="P109" s="15" t="s">
        <v>397</v>
      </c>
      <c r="Q109" s="15" t="s">
        <v>1841</v>
      </c>
      <c r="T109" s="14" t="b">
        <v>0</v>
      </c>
      <c r="U109" s="15" t="s">
        <v>1842</v>
      </c>
      <c r="V109" s="15" t="s">
        <v>1843</v>
      </c>
      <c r="W109" s="15" t="s">
        <v>401</v>
      </c>
      <c r="X109" s="15" t="s">
        <v>402</v>
      </c>
      <c r="Y109" s="15">
        <v>3614.0</v>
      </c>
      <c r="AA109" s="15" t="str">
        <f t="shared" ref="AA109:AA110" si="191">"1390"</f>
        <v>1390</v>
      </c>
      <c r="AB109" s="14" t="b">
        <v>1</v>
      </c>
      <c r="AC109" s="14" t="b">
        <v>1</v>
      </c>
      <c r="AD109" s="15" t="str">
        <f>"801542622688"</f>
        <v>801542622688</v>
      </c>
      <c r="AE109" s="15" t="s">
        <v>1844</v>
      </c>
      <c r="AF109" s="14" t="s">
        <v>404</v>
      </c>
      <c r="AG109" s="14" t="s">
        <v>405</v>
      </c>
      <c r="AH109" s="14" t="s">
        <v>406</v>
      </c>
      <c r="AI109" s="15">
        <v>0.0</v>
      </c>
      <c r="AL109" s="15" t="s">
        <v>1845</v>
      </c>
      <c r="AM109" s="15" t="s">
        <v>1846</v>
      </c>
      <c r="AN109" s="15" t="s">
        <v>1847</v>
      </c>
      <c r="AO109" s="15" t="s">
        <v>1177</v>
      </c>
      <c r="AP109" s="15" t="s">
        <v>1178</v>
      </c>
      <c r="AQ109" s="15" t="s">
        <v>1848</v>
      </c>
      <c r="AR109" s="15" t="s">
        <v>1849</v>
      </c>
      <c r="AS109" s="15" t="s">
        <v>411</v>
      </c>
      <c r="AT109" s="15" t="s">
        <v>1841</v>
      </c>
      <c r="AU109" s="15" t="s">
        <v>1850</v>
      </c>
      <c r="AW109" s="15" t="s">
        <v>491</v>
      </c>
      <c r="AY109" s="15" t="s">
        <v>413</v>
      </c>
      <c r="AZ109" s="15" t="b">
        <v>0</v>
      </c>
      <c r="BA109" s="15" t="s">
        <v>413</v>
      </c>
      <c r="BB109" s="15" t="b">
        <v>0</v>
      </c>
      <c r="BC109" s="15" t="s">
        <v>1851</v>
      </c>
      <c r="BD109" s="15" t="s">
        <v>415</v>
      </c>
      <c r="BE109" s="15" t="str">
        <f t="shared" ref="BE109:BE110" si="192">"2"</f>
        <v>2</v>
      </c>
      <c r="BF109" s="15" t="s">
        <v>1852</v>
      </c>
      <c r="BG109" s="15" t="str">
        <f t="shared" ref="BG109:BG110" si="193">"54.92"</f>
        <v>54.92</v>
      </c>
      <c r="BH109" s="15" t="s">
        <v>1853</v>
      </c>
      <c r="BI109" s="15" t="str">
        <f t="shared" ref="BI109:BI110" si="194">"29.13"</f>
        <v>29.13</v>
      </c>
      <c r="BJ109" s="15" t="s">
        <v>1566</v>
      </c>
      <c r="BK109" s="15" t="str">
        <f t="shared" ref="BK109:BK110" si="195">"23.39"</f>
        <v>23.39</v>
      </c>
      <c r="BL109" s="15" t="s">
        <v>1854</v>
      </c>
      <c r="BM109" s="15" t="str">
        <f t="shared" ref="BM109:BM110" si="196">"84.22"</f>
        <v>84.22</v>
      </c>
      <c r="BN109" s="15" t="s">
        <v>1855</v>
      </c>
      <c r="BO109" s="15" t="s">
        <v>1856</v>
      </c>
      <c r="BP109" s="15" t="str">
        <f t="shared" ref="BP109:BP110" si="197">"54.92"</f>
        <v>54.92</v>
      </c>
      <c r="BQ109" s="15" t="s">
        <v>1853</v>
      </c>
      <c r="BR109" s="15" t="str">
        <f t="shared" ref="BR109:BR110" si="198">"29.13"</f>
        <v>29.13</v>
      </c>
      <c r="BS109" s="15" t="s">
        <v>1566</v>
      </c>
      <c r="BT109" s="15" t="str">
        <f t="shared" ref="BT109:BT110" si="199">"23.39"</f>
        <v>23.39</v>
      </c>
      <c r="BU109" s="15" t="s">
        <v>1854</v>
      </c>
      <c r="BV109" s="15" t="str">
        <f t="shared" ref="BV109:BV110" si="200">"59.97"</f>
        <v>59.97</v>
      </c>
      <c r="BW109" s="15" t="s">
        <v>884</v>
      </c>
      <c r="BZ109" s="15" t="s">
        <v>444</v>
      </c>
      <c r="CB109" s="15" t="s">
        <v>444</v>
      </c>
      <c r="CD109" s="15" t="s">
        <v>444</v>
      </c>
      <c r="CF109" s="15" t="s">
        <v>444</v>
      </c>
      <c r="CI109" s="15" t="s">
        <v>444</v>
      </c>
      <c r="CK109" s="15" t="s">
        <v>444</v>
      </c>
      <c r="CM109" s="15" t="s">
        <v>444</v>
      </c>
      <c r="CO109" s="15" t="s">
        <v>444</v>
      </c>
      <c r="CP109" s="15" t="str">
        <f t="shared" ref="CP109:CP110" si="201">"43.3"</f>
        <v>43.3</v>
      </c>
      <c r="CQ109" s="15" t="str">
        <f t="shared" ref="CQ109:CQ110" si="202">"1.226"</f>
        <v>1.226</v>
      </c>
      <c r="CR109" s="15" t="s">
        <v>465</v>
      </c>
      <c r="DC109" s="15" t="str">
        <f>IFERROR(__xludf.DUMMYFUNCTION("""COMPUTED_VALUE"""),"")</f>
        <v/>
      </c>
      <c r="DE109" s="15" t="str">
        <f>IFERROR(__xludf.DUMMYFUNCTION("""COMPUTED_VALUE"""),"")</f>
        <v/>
      </c>
      <c r="DG109" s="15" t="str">
        <f>IFERROR(__xludf.DUMMYFUNCTION("""COMPUTED_VALUE"""),"")</f>
        <v/>
      </c>
      <c r="DL109" s="15" t="str">
        <f>IFERROR(__xludf.DUMMYFUNCTION("""COMPUTED_VALUE"""),"")</f>
        <v/>
      </c>
      <c r="DM109" s="15" t="s">
        <v>444</v>
      </c>
      <c r="DN109" s="15" t="s">
        <v>419</v>
      </c>
      <c r="DO109" s="15">
        <v>0.0</v>
      </c>
      <c r="DP109" s="15" t="s">
        <v>419</v>
      </c>
      <c r="DR109" s="15">
        <v>0.0</v>
      </c>
      <c r="DT109" s="15" t="s">
        <v>1388</v>
      </c>
      <c r="DU109" s="15" t="s">
        <v>419</v>
      </c>
      <c r="DY109" s="15">
        <v>0.0</v>
      </c>
      <c r="EF109" s="15" t="s">
        <v>1857</v>
      </c>
      <c r="EG109" s="15" t="s">
        <v>1858</v>
      </c>
      <c r="EH109" s="15" t="s">
        <v>1859</v>
      </c>
      <c r="EJ109" s="15" t="s">
        <v>500</v>
      </c>
      <c r="EK109" s="15" t="s">
        <v>501</v>
      </c>
      <c r="EM109" s="15" t="str">
        <f>IFERROR(__xludf.DUMMYFUNCTION("""COMPUTED_VALUE"""),"")</f>
        <v/>
      </c>
      <c r="FM109" s="15">
        <v>0.0</v>
      </c>
      <c r="FN109" s="15">
        <v>0.0</v>
      </c>
    </row>
    <row r="110" ht="15.75" customHeight="1">
      <c r="A110" s="14" t="s">
        <v>391</v>
      </c>
      <c r="B110" s="15" t="s">
        <v>1839</v>
      </c>
      <c r="C110" s="16"/>
      <c r="D110" s="15" t="s">
        <v>432</v>
      </c>
      <c r="G110" s="14" t="s">
        <v>393</v>
      </c>
      <c r="H110" s="14" t="s">
        <v>394</v>
      </c>
      <c r="I110" s="14" t="b">
        <v>1</v>
      </c>
      <c r="J110" s="14" t="s">
        <v>395</v>
      </c>
      <c r="L110" s="14" t="b">
        <v>0</v>
      </c>
      <c r="M110" s="15" t="s">
        <v>1860</v>
      </c>
      <c r="N110" s="14" t="s">
        <v>393</v>
      </c>
      <c r="O110" s="14" t="s">
        <v>393</v>
      </c>
      <c r="P110" s="15" t="s">
        <v>397</v>
      </c>
      <c r="Q110" s="15" t="s">
        <v>1861</v>
      </c>
      <c r="T110" s="14" t="b">
        <v>0</v>
      </c>
      <c r="U110" s="15" t="s">
        <v>1862</v>
      </c>
      <c r="V110" s="15" t="s">
        <v>1843</v>
      </c>
      <c r="W110" s="15" t="s">
        <v>401</v>
      </c>
      <c r="X110" s="15" t="s">
        <v>402</v>
      </c>
      <c r="Y110" s="15">
        <v>3614.0</v>
      </c>
      <c r="AA110" s="15" t="str">
        <f t="shared" si="191"/>
        <v>1390</v>
      </c>
      <c r="AB110" s="14" t="b">
        <v>1</v>
      </c>
      <c r="AC110" s="14" t="b">
        <v>1</v>
      </c>
      <c r="AD110" s="15" t="str">
        <f>"801542725471"</f>
        <v>801542725471</v>
      </c>
      <c r="AE110" s="15" t="s">
        <v>1863</v>
      </c>
      <c r="AF110" s="14" t="s">
        <v>404</v>
      </c>
      <c r="AG110" s="14" t="s">
        <v>405</v>
      </c>
      <c r="AH110" s="14" t="s">
        <v>406</v>
      </c>
      <c r="AI110" s="15">
        <v>0.0</v>
      </c>
      <c r="AL110" s="15" t="s">
        <v>1845</v>
      </c>
      <c r="AM110" s="15" t="s">
        <v>1846</v>
      </c>
      <c r="AN110" s="15" t="s">
        <v>1847</v>
      </c>
      <c r="AO110" s="15" t="s">
        <v>1177</v>
      </c>
      <c r="AP110" s="15" t="s">
        <v>1178</v>
      </c>
      <c r="AQ110" s="15" t="s">
        <v>1848</v>
      </c>
      <c r="AR110" s="15" t="s">
        <v>1849</v>
      </c>
      <c r="AS110" s="15" t="s">
        <v>411</v>
      </c>
      <c r="AT110" s="15" t="s">
        <v>1861</v>
      </c>
      <c r="AU110" s="15" t="s">
        <v>1850</v>
      </c>
      <c r="AW110" s="15" t="s">
        <v>491</v>
      </c>
      <c r="AY110" s="15" t="s">
        <v>413</v>
      </c>
      <c r="AZ110" s="15" t="b">
        <v>0</v>
      </c>
      <c r="BA110" s="15" t="s">
        <v>413</v>
      </c>
      <c r="BB110" s="15" t="b">
        <v>0</v>
      </c>
      <c r="BC110" s="15" t="s">
        <v>1864</v>
      </c>
      <c r="BD110" s="15" t="s">
        <v>415</v>
      </c>
      <c r="BE110" s="15" t="str">
        <f t="shared" si="192"/>
        <v>2</v>
      </c>
      <c r="BF110" s="15" t="s">
        <v>1852</v>
      </c>
      <c r="BG110" s="15" t="str">
        <f t="shared" si="193"/>
        <v>54.92</v>
      </c>
      <c r="BH110" s="15" t="s">
        <v>1853</v>
      </c>
      <c r="BI110" s="15" t="str">
        <f t="shared" si="194"/>
        <v>29.13</v>
      </c>
      <c r="BJ110" s="15" t="s">
        <v>1566</v>
      </c>
      <c r="BK110" s="15" t="str">
        <f t="shared" si="195"/>
        <v>23.39</v>
      </c>
      <c r="BL110" s="15" t="s">
        <v>1854</v>
      </c>
      <c r="BM110" s="15" t="str">
        <f t="shared" si="196"/>
        <v>84.22</v>
      </c>
      <c r="BN110" s="15" t="s">
        <v>1855</v>
      </c>
      <c r="BO110" s="15" t="s">
        <v>1856</v>
      </c>
      <c r="BP110" s="15" t="str">
        <f t="shared" si="197"/>
        <v>54.92</v>
      </c>
      <c r="BQ110" s="15" t="s">
        <v>1853</v>
      </c>
      <c r="BR110" s="15" t="str">
        <f t="shared" si="198"/>
        <v>29.13</v>
      </c>
      <c r="BS110" s="15" t="s">
        <v>1566</v>
      </c>
      <c r="BT110" s="15" t="str">
        <f t="shared" si="199"/>
        <v>23.39</v>
      </c>
      <c r="BU110" s="15" t="s">
        <v>1854</v>
      </c>
      <c r="BV110" s="15" t="str">
        <f t="shared" si="200"/>
        <v>59.97</v>
      </c>
      <c r="BW110" s="15" t="s">
        <v>884</v>
      </c>
      <c r="BZ110" s="15" t="s">
        <v>444</v>
      </c>
      <c r="CB110" s="15" t="s">
        <v>444</v>
      </c>
      <c r="CD110" s="15" t="s">
        <v>444</v>
      </c>
      <c r="CF110" s="15" t="s">
        <v>444</v>
      </c>
      <c r="CI110" s="15" t="s">
        <v>444</v>
      </c>
      <c r="CK110" s="15" t="s">
        <v>444</v>
      </c>
      <c r="CM110" s="15" t="s">
        <v>444</v>
      </c>
      <c r="CO110" s="15" t="s">
        <v>444</v>
      </c>
      <c r="CP110" s="15" t="str">
        <f t="shared" si="201"/>
        <v>43.3</v>
      </c>
      <c r="CQ110" s="15" t="str">
        <f t="shared" si="202"/>
        <v>1.226</v>
      </c>
      <c r="CR110" s="15" t="s">
        <v>465</v>
      </c>
      <c r="DC110" s="15" t="str">
        <f>IFERROR(__xludf.DUMMYFUNCTION("""COMPUTED_VALUE"""),"")</f>
        <v/>
      </c>
      <c r="DE110" s="15" t="str">
        <f>IFERROR(__xludf.DUMMYFUNCTION("""COMPUTED_VALUE"""),"")</f>
        <v/>
      </c>
      <c r="DG110" s="15" t="str">
        <f>IFERROR(__xludf.DUMMYFUNCTION("""COMPUTED_VALUE"""),"")</f>
        <v/>
      </c>
      <c r="DL110" s="15" t="str">
        <f>IFERROR(__xludf.DUMMYFUNCTION("""COMPUTED_VALUE"""),"")</f>
        <v/>
      </c>
      <c r="DM110" s="15" t="s">
        <v>444</v>
      </c>
      <c r="DN110" s="15" t="s">
        <v>419</v>
      </c>
      <c r="DO110" s="15">
        <v>0.0</v>
      </c>
      <c r="DP110" s="15" t="s">
        <v>419</v>
      </c>
      <c r="DR110" s="15">
        <v>0.0</v>
      </c>
      <c r="DT110" s="15" t="s">
        <v>1388</v>
      </c>
      <c r="DU110" s="15" t="s">
        <v>419</v>
      </c>
      <c r="DY110" s="15">
        <v>0.0</v>
      </c>
      <c r="EF110" s="15" t="s">
        <v>1857</v>
      </c>
      <c r="EG110" s="15" t="s">
        <v>1858</v>
      </c>
      <c r="EH110" s="15" t="s">
        <v>1859</v>
      </c>
      <c r="EJ110" s="15" t="s">
        <v>500</v>
      </c>
      <c r="EK110" s="15" t="s">
        <v>501</v>
      </c>
      <c r="EM110" s="15" t="str">
        <f>IFERROR(__xludf.DUMMYFUNCTION("""COMPUTED_VALUE"""),"")</f>
        <v/>
      </c>
      <c r="FM110" s="15">
        <v>0.0</v>
      </c>
      <c r="FN110" s="15">
        <v>0.0</v>
      </c>
    </row>
    <row r="111" ht="15.75" customHeight="1">
      <c r="A111" s="14" t="s">
        <v>391</v>
      </c>
      <c r="B111" s="15" t="s">
        <v>1865</v>
      </c>
      <c r="C111" s="16"/>
      <c r="D111" s="15" t="s">
        <v>432</v>
      </c>
      <c r="G111" s="14" t="s">
        <v>393</v>
      </c>
      <c r="H111" s="14" t="s">
        <v>394</v>
      </c>
      <c r="I111" s="14" t="b">
        <v>1</v>
      </c>
      <c r="J111" s="14" t="s">
        <v>395</v>
      </c>
      <c r="L111" s="14" t="b">
        <v>0</v>
      </c>
      <c r="M111" s="15" t="s">
        <v>1866</v>
      </c>
      <c r="N111" s="14" t="s">
        <v>393</v>
      </c>
      <c r="O111" s="14" t="s">
        <v>393</v>
      </c>
      <c r="P111" s="15" t="s">
        <v>397</v>
      </c>
      <c r="Q111" s="15" t="s">
        <v>1867</v>
      </c>
      <c r="T111" s="14" t="b">
        <v>0</v>
      </c>
      <c r="U111" s="15" t="s">
        <v>1868</v>
      </c>
      <c r="V111" s="15" t="s">
        <v>1869</v>
      </c>
      <c r="W111" s="15" t="s">
        <v>401</v>
      </c>
      <c r="X111" s="15" t="s">
        <v>402</v>
      </c>
      <c r="Y111" s="15">
        <v>5135.0</v>
      </c>
      <c r="AA111" s="15" t="str">
        <f>"1975"</f>
        <v>1975</v>
      </c>
      <c r="AB111" s="14" t="b">
        <v>1</v>
      </c>
      <c r="AC111" s="14" t="b">
        <v>1</v>
      </c>
      <c r="AD111" s="15" t="str">
        <f>"801542978914"</f>
        <v>801542978914</v>
      </c>
      <c r="AE111" s="15" t="s">
        <v>1870</v>
      </c>
      <c r="AF111" s="14" t="s">
        <v>404</v>
      </c>
      <c r="AG111" s="14" t="s">
        <v>405</v>
      </c>
      <c r="AH111" s="14" t="s">
        <v>406</v>
      </c>
      <c r="AI111" s="15">
        <v>0.0</v>
      </c>
      <c r="AL111" s="15" t="s">
        <v>1871</v>
      </c>
      <c r="AM111" s="15" t="s">
        <v>1872</v>
      </c>
      <c r="AN111" s="15" t="s">
        <v>1873</v>
      </c>
      <c r="AO111" s="15" t="s">
        <v>1874</v>
      </c>
      <c r="AP111" s="15" t="s">
        <v>1875</v>
      </c>
      <c r="AQ111" s="15" t="s">
        <v>410</v>
      </c>
      <c r="AR111" s="15" t="s">
        <v>439</v>
      </c>
      <c r="AS111" s="15" t="s">
        <v>411</v>
      </c>
      <c r="AT111" s="15" t="s">
        <v>1867</v>
      </c>
      <c r="AW111" s="15" t="s">
        <v>664</v>
      </c>
      <c r="AY111" s="15" t="s">
        <v>413</v>
      </c>
      <c r="AZ111" s="15" t="b">
        <v>0</v>
      </c>
      <c r="BA111" s="15" t="s">
        <v>413</v>
      </c>
      <c r="BB111" s="15" t="b">
        <v>0</v>
      </c>
      <c r="BC111" s="15" t="s">
        <v>1876</v>
      </c>
      <c r="BD111" s="15" t="s">
        <v>415</v>
      </c>
      <c r="BE111" s="15" t="str">
        <f>"1"</f>
        <v>1</v>
      </c>
      <c r="BF111" s="15" t="s">
        <v>416</v>
      </c>
      <c r="BG111" s="15" t="str">
        <f>"102.76"</f>
        <v>102.76</v>
      </c>
      <c r="BH111" s="15" t="s">
        <v>1877</v>
      </c>
      <c r="BI111" s="15" t="str">
        <f>"23.62"</f>
        <v>23.62</v>
      </c>
      <c r="BJ111" s="15" t="s">
        <v>1570</v>
      </c>
      <c r="BK111" s="15" t="str">
        <f>"38.58"</f>
        <v>38.58</v>
      </c>
      <c r="BL111" s="15" t="s">
        <v>442</v>
      </c>
      <c r="BM111" s="15" t="str">
        <f>"346.12"</f>
        <v>346.12</v>
      </c>
      <c r="BN111" s="15" t="s">
        <v>1878</v>
      </c>
      <c r="BQ111" s="15" t="s">
        <v>444</v>
      </c>
      <c r="BS111" s="15" t="s">
        <v>444</v>
      </c>
      <c r="BU111" s="15" t="s">
        <v>444</v>
      </c>
      <c r="BW111" s="15" t="s">
        <v>444</v>
      </c>
      <c r="BZ111" s="15" t="s">
        <v>444</v>
      </c>
      <c r="CB111" s="15" t="s">
        <v>444</v>
      </c>
      <c r="CD111" s="15" t="s">
        <v>444</v>
      </c>
      <c r="CF111" s="15" t="s">
        <v>444</v>
      </c>
      <c r="CI111" s="15" t="s">
        <v>444</v>
      </c>
      <c r="CK111" s="15" t="s">
        <v>444</v>
      </c>
      <c r="CM111" s="15" t="s">
        <v>444</v>
      </c>
      <c r="CO111" s="15" t="s">
        <v>444</v>
      </c>
      <c r="CP111" s="15" t="str">
        <f>"54.21"</f>
        <v>54.21</v>
      </c>
      <c r="CQ111" s="15" t="str">
        <f>"1.535"</f>
        <v>1.535</v>
      </c>
      <c r="CR111" s="15" t="s">
        <v>417</v>
      </c>
      <c r="CV111" s="15" t="s">
        <v>1879</v>
      </c>
      <c r="CW111" s="15" t="s">
        <v>1212</v>
      </c>
      <c r="CX111" s="15" t="s">
        <v>1880</v>
      </c>
      <c r="DC111" s="15" t="str">
        <f>IFERROR(__xludf.DUMMYFUNCTION("""COMPUTED_VALUE"""),"")</f>
        <v/>
      </c>
      <c r="DE111" s="15" t="str">
        <f>IFERROR(__xludf.DUMMYFUNCTION("""COMPUTED_VALUE"""),"")</f>
        <v/>
      </c>
      <c r="DG111" s="15" t="str">
        <f>IFERROR(__xludf.DUMMYFUNCTION("""COMPUTED_VALUE"""),"")</f>
        <v/>
      </c>
      <c r="DL111" s="15" t="str">
        <f>IFERROR(__xludf.DUMMYFUNCTION("""COMPUTED_VALUE"""),"")</f>
        <v/>
      </c>
      <c r="DM111" s="15" t="s">
        <v>444</v>
      </c>
      <c r="DN111" s="15" t="s">
        <v>419</v>
      </c>
      <c r="DO111" s="15">
        <v>0.0</v>
      </c>
      <c r="DP111" s="15" t="s">
        <v>419</v>
      </c>
      <c r="DR111" s="15">
        <v>0.0</v>
      </c>
      <c r="DT111" s="15" t="s">
        <v>420</v>
      </c>
      <c r="DU111" s="15" t="s">
        <v>610</v>
      </c>
      <c r="DW111" s="15">
        <v>18.14</v>
      </c>
      <c r="DX111" s="15">
        <v>40.0</v>
      </c>
      <c r="DY111" s="15">
        <v>3.0</v>
      </c>
      <c r="EG111" s="15" t="s">
        <v>444</v>
      </c>
      <c r="EH111" s="15" t="s">
        <v>1881</v>
      </c>
      <c r="EJ111" s="15" t="s">
        <v>424</v>
      </c>
      <c r="EK111" s="15" t="s">
        <v>446</v>
      </c>
      <c r="EM111" s="15" t="str">
        <f>IFERROR(__xludf.DUMMYFUNCTION("""COMPUTED_VALUE"""),"")</f>
        <v/>
      </c>
      <c r="EW111" s="15" t="s">
        <v>1236</v>
      </c>
      <c r="FL111" s="15" t="s">
        <v>426</v>
      </c>
      <c r="FM111" s="15">
        <v>3.0</v>
      </c>
      <c r="FY111" s="15" t="s">
        <v>1882</v>
      </c>
      <c r="FZ111" s="15" t="s">
        <v>1188</v>
      </c>
      <c r="GA111" s="15" t="s">
        <v>504</v>
      </c>
      <c r="GB111" s="15" t="s">
        <v>504</v>
      </c>
      <c r="GC111" s="15" t="s">
        <v>612</v>
      </c>
      <c r="GD111" s="15" t="s">
        <v>1880</v>
      </c>
      <c r="GE111" s="15">
        <v>0.0</v>
      </c>
      <c r="GF111" s="15" t="s">
        <v>426</v>
      </c>
      <c r="GG111" s="15" t="s">
        <v>1883</v>
      </c>
      <c r="GH111" s="15">
        <v>6.0</v>
      </c>
      <c r="GI111" s="15" t="s">
        <v>614</v>
      </c>
      <c r="GJ111" s="15" t="s">
        <v>615</v>
      </c>
      <c r="GK111" s="15">
        <v>0.0</v>
      </c>
      <c r="GL111" s="15" t="s">
        <v>426</v>
      </c>
      <c r="GN111" s="15" t="s">
        <v>616</v>
      </c>
      <c r="HA111" s="15" t="s">
        <v>1879</v>
      </c>
      <c r="HB111" s="15" t="s">
        <v>1212</v>
      </c>
      <c r="HC111" s="15" t="s">
        <v>1880</v>
      </c>
      <c r="HQ111" s="15" t="s">
        <v>1879</v>
      </c>
      <c r="HS111" s="15" t="s">
        <v>1212</v>
      </c>
      <c r="HU111" s="15" t="s">
        <v>1880</v>
      </c>
      <c r="HW111" s="15" t="s">
        <v>1807</v>
      </c>
      <c r="IH111" s="15" t="s">
        <v>426</v>
      </c>
    </row>
    <row r="112" ht="15.75" customHeight="1">
      <c r="A112" s="14" t="s">
        <v>391</v>
      </c>
      <c r="B112" s="15" t="s">
        <v>1884</v>
      </c>
      <c r="C112" s="16"/>
      <c r="D112" s="15" t="s">
        <v>432</v>
      </c>
      <c r="G112" s="14" t="s">
        <v>393</v>
      </c>
      <c r="H112" s="14" t="s">
        <v>394</v>
      </c>
      <c r="I112" s="14" t="b">
        <v>1</v>
      </c>
      <c r="J112" s="14" t="s">
        <v>395</v>
      </c>
      <c r="L112" s="14" t="b">
        <v>0</v>
      </c>
      <c r="M112" s="15" t="s">
        <v>1885</v>
      </c>
      <c r="N112" s="14" t="s">
        <v>393</v>
      </c>
      <c r="O112" s="14" t="s">
        <v>393</v>
      </c>
      <c r="P112" s="15" t="s">
        <v>397</v>
      </c>
      <c r="Q112" s="15" t="s">
        <v>1886</v>
      </c>
      <c r="R112" s="15" t="s">
        <v>265</v>
      </c>
      <c r="S112" s="15" t="s">
        <v>1887</v>
      </c>
      <c r="T112" s="14" t="b">
        <v>0</v>
      </c>
      <c r="U112" s="15" t="s">
        <v>1888</v>
      </c>
      <c r="V112" s="15" t="s">
        <v>1889</v>
      </c>
      <c r="W112" s="15" t="s">
        <v>401</v>
      </c>
      <c r="X112" s="15" t="s">
        <v>742</v>
      </c>
      <c r="Y112" s="15">
        <v>2626.0</v>
      </c>
      <c r="AA112" s="15" t="str">
        <f>"1010"</f>
        <v>1010</v>
      </c>
      <c r="AB112" s="14" t="b">
        <v>1</v>
      </c>
      <c r="AC112" s="14" t="b">
        <v>1</v>
      </c>
      <c r="AD112" s="15" t="str">
        <f>"801542561000"</f>
        <v>801542561000</v>
      </c>
      <c r="AE112" s="15" t="s">
        <v>1890</v>
      </c>
      <c r="AF112" s="14" t="s">
        <v>404</v>
      </c>
      <c r="AG112" s="14" t="s">
        <v>405</v>
      </c>
      <c r="AH112" s="14" t="s">
        <v>406</v>
      </c>
      <c r="AI112" s="15">
        <v>0.0</v>
      </c>
      <c r="AL112" s="15" t="s">
        <v>1891</v>
      </c>
      <c r="AM112" s="15" t="s">
        <v>645</v>
      </c>
      <c r="AN112" s="15" t="s">
        <v>646</v>
      </c>
      <c r="AO112" s="15" t="s">
        <v>1892</v>
      </c>
      <c r="AP112" s="15" t="s">
        <v>1893</v>
      </c>
      <c r="AQ112" s="15" t="s">
        <v>1894</v>
      </c>
      <c r="AR112" s="15" t="s">
        <v>1895</v>
      </c>
      <c r="AS112" s="15" t="s">
        <v>1896</v>
      </c>
      <c r="AT112" s="15" t="s">
        <v>1897</v>
      </c>
      <c r="AU112" s="15" t="s">
        <v>1898</v>
      </c>
      <c r="AW112" s="15" t="s">
        <v>1899</v>
      </c>
      <c r="AY112" s="15" t="s">
        <v>413</v>
      </c>
      <c r="AZ112" s="15" t="b">
        <v>0</v>
      </c>
      <c r="BA112" s="15" t="s">
        <v>413</v>
      </c>
      <c r="BB112" s="15" t="b">
        <v>0</v>
      </c>
      <c r="BC112" s="15" t="s">
        <v>1900</v>
      </c>
      <c r="BD112" s="15" t="s">
        <v>742</v>
      </c>
      <c r="BE112" s="15" t="str">
        <f t="shared" ref="BE112:BE114" si="203">"2"</f>
        <v>2</v>
      </c>
      <c r="BF112" s="15" t="s">
        <v>416</v>
      </c>
      <c r="BG112" s="15" t="str">
        <f t="shared" ref="BG112:BG115" si="204">"40.35"</f>
        <v>40.35</v>
      </c>
      <c r="BH112" s="15" t="s">
        <v>920</v>
      </c>
      <c r="BI112" s="15" t="str">
        <f t="shared" ref="BI112:BI115" si="205">"22.44"</f>
        <v>22.44</v>
      </c>
      <c r="BJ112" s="15" t="s">
        <v>1156</v>
      </c>
      <c r="BK112" s="15" t="str">
        <f t="shared" ref="BK112:BK115" si="206">"110.24"</f>
        <v>110.24</v>
      </c>
      <c r="BL112" s="15" t="s">
        <v>1901</v>
      </c>
      <c r="BM112" s="15" t="str">
        <f t="shared" ref="BM112:BM115" si="207">"189.6"</f>
        <v>189.6</v>
      </c>
      <c r="BN112" s="15" t="s">
        <v>1902</v>
      </c>
      <c r="BO112" s="15" t="s">
        <v>416</v>
      </c>
      <c r="BP112" s="15" t="str">
        <f t="shared" ref="BP112:BP114" si="208">"100.98"</f>
        <v>100.98</v>
      </c>
      <c r="BQ112" s="15" t="s">
        <v>1903</v>
      </c>
      <c r="BR112" s="15" t="str">
        <f t="shared" ref="BR112:BR114" si="209">"21.85"</f>
        <v>21.85</v>
      </c>
      <c r="BS112" s="15" t="s">
        <v>1405</v>
      </c>
      <c r="BT112" s="15" t="str">
        <f t="shared" ref="BT112:BT114" si="210">"4.92"</f>
        <v>4.92</v>
      </c>
      <c r="BU112" s="15" t="s">
        <v>1904</v>
      </c>
      <c r="BV112" s="15" t="str">
        <f t="shared" ref="BV112:BV114" si="211">"28.66"</f>
        <v>28.66</v>
      </c>
      <c r="BW112" s="15" t="s">
        <v>1905</v>
      </c>
      <c r="BZ112" s="15" t="s">
        <v>444</v>
      </c>
      <c r="CB112" s="15" t="s">
        <v>444</v>
      </c>
      <c r="CD112" s="15" t="s">
        <v>444</v>
      </c>
      <c r="CF112" s="15" t="s">
        <v>444</v>
      </c>
      <c r="CI112" s="15" t="s">
        <v>444</v>
      </c>
      <c r="CK112" s="15" t="s">
        <v>444</v>
      </c>
      <c r="CM112" s="15" t="s">
        <v>444</v>
      </c>
      <c r="CO112" s="15" t="s">
        <v>444</v>
      </c>
      <c r="CP112" s="15" t="str">
        <f>"64.06"</f>
        <v>64.06</v>
      </c>
      <c r="CQ112" s="15" t="str">
        <f>"1.814"</f>
        <v>1.814</v>
      </c>
      <c r="CR112" s="15" t="s">
        <v>417</v>
      </c>
      <c r="DC112" s="15" t="str">
        <f>IFERROR(__xludf.DUMMYFUNCTION("""COMPUTED_VALUE"""),"")</f>
        <v/>
      </c>
      <c r="DE112" s="15" t="str">
        <f>IFERROR(__xludf.DUMMYFUNCTION("""COMPUTED_VALUE"""),"")</f>
        <v/>
      </c>
      <c r="DG112" s="15" t="str">
        <f>IFERROR(__xludf.DUMMYFUNCTION("""COMPUTED_VALUE"""),"")</f>
        <v/>
      </c>
      <c r="DL112" s="15" t="str">
        <f>IFERROR(__xludf.DUMMYFUNCTION("""COMPUTED_VALUE"""),"")</f>
        <v/>
      </c>
      <c r="DM112" s="15" t="s">
        <v>444</v>
      </c>
      <c r="DN112" s="15" t="s">
        <v>419</v>
      </c>
      <c r="DO112" s="15">
        <v>0.0</v>
      </c>
      <c r="DP112" s="15" t="s">
        <v>419</v>
      </c>
      <c r="DR112" s="15">
        <v>4.0</v>
      </c>
      <c r="DS112" s="15" t="s">
        <v>426</v>
      </c>
      <c r="DT112" s="15" t="s">
        <v>420</v>
      </c>
      <c r="DU112" s="15" t="s">
        <v>610</v>
      </c>
      <c r="DW112" s="15">
        <v>18.14</v>
      </c>
      <c r="DX112" s="15">
        <v>40.0</v>
      </c>
      <c r="DY112" s="15">
        <v>0.0</v>
      </c>
      <c r="EF112" s="15" t="s">
        <v>1906</v>
      </c>
      <c r="EG112" s="15" t="s">
        <v>1907</v>
      </c>
      <c r="EH112" s="15" t="s">
        <v>1908</v>
      </c>
      <c r="EK112" s="15" t="s">
        <v>444</v>
      </c>
      <c r="EM112" s="15" t="str">
        <f>IFERROR(__xludf.DUMMYFUNCTION("""COMPUTED_VALUE"""),"")</f>
        <v/>
      </c>
      <c r="FL112" s="15" t="s">
        <v>426</v>
      </c>
      <c r="FM112" s="15">
        <v>6.0</v>
      </c>
      <c r="GG112" s="15" t="s">
        <v>785</v>
      </c>
      <c r="GH112" s="15">
        <v>2.0</v>
      </c>
      <c r="GI112" s="15" t="s">
        <v>614</v>
      </c>
      <c r="GJ112" s="15" t="s">
        <v>615</v>
      </c>
      <c r="GN112" s="15" t="s">
        <v>616</v>
      </c>
      <c r="KW112" s="15" t="s">
        <v>426</v>
      </c>
    </row>
    <row r="113" ht="15.75" customHeight="1">
      <c r="A113" s="14" t="s">
        <v>391</v>
      </c>
      <c r="B113" s="15" t="s">
        <v>1884</v>
      </c>
      <c r="C113" s="16"/>
      <c r="D113" s="15" t="s">
        <v>432</v>
      </c>
      <c r="G113" s="14" t="s">
        <v>393</v>
      </c>
      <c r="H113" s="14" t="s">
        <v>394</v>
      </c>
      <c r="I113" s="14" t="b">
        <v>1</v>
      </c>
      <c r="J113" s="14" t="s">
        <v>395</v>
      </c>
      <c r="L113" s="14" t="b">
        <v>0</v>
      </c>
      <c r="M113" s="15" t="s">
        <v>1909</v>
      </c>
      <c r="N113" s="14" t="s">
        <v>393</v>
      </c>
      <c r="O113" s="14" t="s">
        <v>393</v>
      </c>
      <c r="P113" s="15" t="s">
        <v>397</v>
      </c>
      <c r="Q113" s="15" t="s">
        <v>1897</v>
      </c>
      <c r="R113" s="15" t="s">
        <v>265</v>
      </c>
      <c r="S113" s="15">
        <v>70.0</v>
      </c>
      <c r="T113" s="14" t="b">
        <v>0</v>
      </c>
      <c r="U113" s="15" t="s">
        <v>1910</v>
      </c>
      <c r="V113" s="15" t="s">
        <v>1911</v>
      </c>
      <c r="W113" s="15" t="s">
        <v>401</v>
      </c>
      <c r="X113" s="15" t="s">
        <v>742</v>
      </c>
      <c r="Y113" s="15">
        <v>4914.0</v>
      </c>
      <c r="AA113" s="15" t="str">
        <f>"1890"</f>
        <v>1890</v>
      </c>
      <c r="AB113" s="14" t="b">
        <v>1</v>
      </c>
      <c r="AC113" s="14" t="b">
        <v>1</v>
      </c>
      <c r="AD113" s="15" t="str">
        <f>"801542568078"</f>
        <v>801542568078</v>
      </c>
      <c r="AE113" s="15" t="s">
        <v>1912</v>
      </c>
      <c r="AF113" s="14" t="s">
        <v>404</v>
      </c>
      <c r="AG113" s="14" t="s">
        <v>405</v>
      </c>
      <c r="AH113" s="14" t="s">
        <v>406</v>
      </c>
      <c r="AI113" s="15">
        <v>0.0</v>
      </c>
      <c r="AL113" s="15" t="s">
        <v>1891</v>
      </c>
      <c r="AM113" s="15" t="s">
        <v>452</v>
      </c>
      <c r="AN113" s="15" t="s">
        <v>453</v>
      </c>
      <c r="AO113" s="15" t="s">
        <v>1892</v>
      </c>
      <c r="AP113" s="15" t="s">
        <v>1893</v>
      </c>
      <c r="AQ113" s="15" t="s">
        <v>1894</v>
      </c>
      <c r="AR113" s="15" t="s">
        <v>1895</v>
      </c>
      <c r="AS113" s="15" t="s">
        <v>1896</v>
      </c>
      <c r="AT113" s="15" t="s">
        <v>1897</v>
      </c>
      <c r="AU113" s="15" t="s">
        <v>1898</v>
      </c>
      <c r="AW113" s="15" t="s">
        <v>1899</v>
      </c>
      <c r="AY113" s="15" t="s">
        <v>413</v>
      </c>
      <c r="AZ113" s="15" t="b">
        <v>0</v>
      </c>
      <c r="BA113" s="15" t="s">
        <v>413</v>
      </c>
      <c r="BB113" s="15" t="b">
        <v>0</v>
      </c>
      <c r="BC113" s="15" t="s">
        <v>1913</v>
      </c>
      <c r="BD113" s="15" t="s">
        <v>742</v>
      </c>
      <c r="BE113" s="15" t="str">
        <f t="shared" si="203"/>
        <v>2</v>
      </c>
      <c r="BF113" s="15" t="s">
        <v>416</v>
      </c>
      <c r="BG113" s="15" t="str">
        <f t="shared" si="204"/>
        <v>40.35</v>
      </c>
      <c r="BH113" s="15" t="s">
        <v>920</v>
      </c>
      <c r="BI113" s="15" t="str">
        <f t="shared" si="205"/>
        <v>22.44</v>
      </c>
      <c r="BJ113" s="15" t="s">
        <v>1156</v>
      </c>
      <c r="BK113" s="15" t="str">
        <f t="shared" si="206"/>
        <v>110.24</v>
      </c>
      <c r="BL113" s="15" t="s">
        <v>1901</v>
      </c>
      <c r="BM113" s="15" t="str">
        <f t="shared" si="207"/>
        <v>189.6</v>
      </c>
      <c r="BN113" s="15" t="s">
        <v>1902</v>
      </c>
      <c r="BO113" s="15" t="s">
        <v>416</v>
      </c>
      <c r="BP113" s="15" t="str">
        <f t="shared" si="208"/>
        <v>100.98</v>
      </c>
      <c r="BQ113" s="15" t="s">
        <v>1903</v>
      </c>
      <c r="BR113" s="15" t="str">
        <f t="shared" si="209"/>
        <v>21.85</v>
      </c>
      <c r="BS113" s="15" t="s">
        <v>1405</v>
      </c>
      <c r="BT113" s="15" t="str">
        <f t="shared" si="210"/>
        <v>4.92</v>
      </c>
      <c r="BU113" s="15" t="s">
        <v>1904</v>
      </c>
      <c r="BV113" s="15" t="str">
        <f t="shared" si="211"/>
        <v>28.66</v>
      </c>
      <c r="BW113" s="15" t="s">
        <v>1905</v>
      </c>
      <c r="BZ113" s="15" t="s">
        <v>444</v>
      </c>
      <c r="CB113" s="15" t="s">
        <v>444</v>
      </c>
      <c r="CD113" s="15" t="s">
        <v>444</v>
      </c>
      <c r="CF113" s="15" t="s">
        <v>444</v>
      </c>
      <c r="CI113" s="15" t="s">
        <v>444</v>
      </c>
      <c r="CK113" s="15" t="s">
        <v>444</v>
      </c>
      <c r="CM113" s="15" t="s">
        <v>444</v>
      </c>
      <c r="CO113" s="15" t="s">
        <v>444</v>
      </c>
      <c r="CP113" s="15" t="str">
        <f>"121.84"</f>
        <v>121.84</v>
      </c>
      <c r="CQ113" s="15" t="str">
        <f>"3.45"</f>
        <v>3.45</v>
      </c>
      <c r="CR113" s="15" t="s">
        <v>417</v>
      </c>
      <c r="DC113" s="15" t="str">
        <f>IFERROR(__xludf.DUMMYFUNCTION("""COMPUTED_VALUE"""),"")</f>
        <v/>
      </c>
      <c r="DE113" s="15" t="str">
        <f>IFERROR(__xludf.DUMMYFUNCTION("""COMPUTED_VALUE"""),"")</f>
        <v/>
      </c>
      <c r="DG113" s="15" t="str">
        <f>IFERROR(__xludf.DUMMYFUNCTION("""COMPUTED_VALUE"""),"")</f>
        <v/>
      </c>
      <c r="DL113" s="15" t="str">
        <f>IFERROR(__xludf.DUMMYFUNCTION("""COMPUTED_VALUE"""),"")</f>
        <v/>
      </c>
      <c r="DM113" s="15" t="s">
        <v>444</v>
      </c>
      <c r="DN113" s="15" t="s">
        <v>419</v>
      </c>
      <c r="DO113" s="15">
        <v>0.0</v>
      </c>
      <c r="DP113" s="15" t="s">
        <v>419</v>
      </c>
      <c r="DR113" s="15">
        <v>8.0</v>
      </c>
      <c r="DS113" s="15" t="s">
        <v>426</v>
      </c>
      <c r="DT113" s="15" t="s">
        <v>1186</v>
      </c>
      <c r="DU113" s="15" t="s">
        <v>1914</v>
      </c>
      <c r="DW113" s="15">
        <v>18.14</v>
      </c>
      <c r="DX113" s="15">
        <v>40.0</v>
      </c>
      <c r="DY113" s="15">
        <v>0.0</v>
      </c>
      <c r="EF113" s="15" t="s">
        <v>1915</v>
      </c>
      <c r="EG113" s="15" t="s">
        <v>1916</v>
      </c>
      <c r="EH113" s="15" t="s">
        <v>1908</v>
      </c>
      <c r="EK113" s="15" t="s">
        <v>444</v>
      </c>
      <c r="EM113" s="15" t="str">
        <f>IFERROR(__xludf.DUMMYFUNCTION("""COMPUTED_VALUE"""),"")</f>
        <v/>
      </c>
      <c r="FL113" s="15" t="s">
        <v>426</v>
      </c>
      <c r="FM113" s="15">
        <v>12.0</v>
      </c>
      <c r="GG113" s="15" t="s">
        <v>785</v>
      </c>
      <c r="GH113" s="15">
        <v>4.0</v>
      </c>
      <c r="GI113" s="15" t="s">
        <v>614</v>
      </c>
      <c r="GJ113" s="15" t="s">
        <v>615</v>
      </c>
      <c r="GN113" s="15" t="s">
        <v>616</v>
      </c>
      <c r="KW113" s="15" t="s">
        <v>426</v>
      </c>
    </row>
    <row r="114" ht="15.75" customHeight="1">
      <c r="A114" s="14" t="s">
        <v>391</v>
      </c>
      <c r="B114" s="15" t="s">
        <v>1884</v>
      </c>
      <c r="C114" s="16"/>
      <c r="D114" s="15" t="s">
        <v>432</v>
      </c>
      <c r="G114" s="14" t="s">
        <v>393</v>
      </c>
      <c r="H114" s="14" t="s">
        <v>394</v>
      </c>
      <c r="I114" s="14" t="b">
        <v>1</v>
      </c>
      <c r="J114" s="14" t="s">
        <v>395</v>
      </c>
      <c r="L114" s="14" t="b">
        <v>0</v>
      </c>
      <c r="M114" s="15" t="s">
        <v>1917</v>
      </c>
      <c r="N114" s="14" t="s">
        <v>393</v>
      </c>
      <c r="O114" s="14" t="s">
        <v>393</v>
      </c>
      <c r="P114" s="15" t="s">
        <v>397</v>
      </c>
      <c r="Q114" s="15" t="s">
        <v>1897</v>
      </c>
      <c r="R114" s="15" t="s">
        <v>265</v>
      </c>
      <c r="S114" s="15">
        <v>105.0</v>
      </c>
      <c r="T114" s="14" t="b">
        <v>0</v>
      </c>
      <c r="U114" s="15" t="s">
        <v>1918</v>
      </c>
      <c r="V114" s="15" t="s">
        <v>1919</v>
      </c>
      <c r="W114" s="15" t="s">
        <v>401</v>
      </c>
      <c r="X114" s="15" t="s">
        <v>742</v>
      </c>
      <c r="Y114" s="15">
        <v>7215.0</v>
      </c>
      <c r="AA114" s="15" t="str">
        <f>"2775"</f>
        <v>2775</v>
      </c>
      <c r="AB114" s="14" t="b">
        <v>1</v>
      </c>
      <c r="AC114" s="14" t="b">
        <v>1</v>
      </c>
      <c r="AD114" s="15" t="str">
        <f>"801542568085"</f>
        <v>801542568085</v>
      </c>
      <c r="AE114" s="15" t="s">
        <v>1920</v>
      </c>
      <c r="AF114" s="14" t="s">
        <v>404</v>
      </c>
      <c r="AG114" s="14" t="s">
        <v>405</v>
      </c>
      <c r="AH114" s="14" t="s">
        <v>406</v>
      </c>
      <c r="AI114" s="15">
        <v>0.0</v>
      </c>
      <c r="AL114" s="15" t="s">
        <v>1891</v>
      </c>
      <c r="AM114" s="15" t="s">
        <v>1921</v>
      </c>
      <c r="AN114" s="15" t="s">
        <v>1922</v>
      </c>
      <c r="AO114" s="15" t="s">
        <v>1892</v>
      </c>
      <c r="AP114" s="15" t="s">
        <v>1893</v>
      </c>
      <c r="AQ114" s="15" t="s">
        <v>1894</v>
      </c>
      <c r="AR114" s="15" t="s">
        <v>1895</v>
      </c>
      <c r="AS114" s="15" t="s">
        <v>1896</v>
      </c>
      <c r="AT114" s="15" t="s">
        <v>1897</v>
      </c>
      <c r="AU114" s="15" t="s">
        <v>1898</v>
      </c>
      <c r="AW114" s="15" t="s">
        <v>1899</v>
      </c>
      <c r="AY114" s="15" t="s">
        <v>413</v>
      </c>
      <c r="AZ114" s="15" t="b">
        <v>0</v>
      </c>
      <c r="BA114" s="15" t="s">
        <v>413</v>
      </c>
      <c r="BB114" s="15" t="b">
        <v>0</v>
      </c>
      <c r="BC114" s="15" t="s">
        <v>1923</v>
      </c>
      <c r="BD114" s="15" t="s">
        <v>742</v>
      </c>
      <c r="BE114" s="15" t="str">
        <f t="shared" si="203"/>
        <v>2</v>
      </c>
      <c r="BF114" s="15" t="s">
        <v>416</v>
      </c>
      <c r="BG114" s="15" t="str">
        <f t="shared" si="204"/>
        <v>40.35</v>
      </c>
      <c r="BH114" s="15" t="s">
        <v>920</v>
      </c>
      <c r="BI114" s="15" t="str">
        <f t="shared" si="205"/>
        <v>22.44</v>
      </c>
      <c r="BJ114" s="15" t="s">
        <v>1156</v>
      </c>
      <c r="BK114" s="15" t="str">
        <f t="shared" si="206"/>
        <v>110.24</v>
      </c>
      <c r="BL114" s="15" t="s">
        <v>1901</v>
      </c>
      <c r="BM114" s="15" t="str">
        <f t="shared" si="207"/>
        <v>189.6</v>
      </c>
      <c r="BN114" s="15" t="s">
        <v>1902</v>
      </c>
      <c r="BO114" s="15" t="s">
        <v>416</v>
      </c>
      <c r="BP114" s="15" t="str">
        <f t="shared" si="208"/>
        <v>100.98</v>
      </c>
      <c r="BQ114" s="15" t="s">
        <v>1903</v>
      </c>
      <c r="BR114" s="15" t="str">
        <f t="shared" si="209"/>
        <v>21.85</v>
      </c>
      <c r="BS114" s="15" t="s">
        <v>1405</v>
      </c>
      <c r="BT114" s="15" t="str">
        <f t="shared" si="210"/>
        <v>4.92</v>
      </c>
      <c r="BU114" s="15" t="s">
        <v>1904</v>
      </c>
      <c r="BV114" s="15" t="str">
        <f t="shared" si="211"/>
        <v>28.66</v>
      </c>
      <c r="BW114" s="15" t="s">
        <v>1905</v>
      </c>
      <c r="BZ114" s="15" t="s">
        <v>444</v>
      </c>
      <c r="CB114" s="15" t="s">
        <v>444</v>
      </c>
      <c r="CD114" s="15" t="s">
        <v>444</v>
      </c>
      <c r="CF114" s="15" t="s">
        <v>444</v>
      </c>
      <c r="CI114" s="15" t="s">
        <v>444</v>
      </c>
      <c r="CK114" s="15" t="s">
        <v>444</v>
      </c>
      <c r="CM114" s="15" t="s">
        <v>444</v>
      </c>
      <c r="CO114" s="15" t="s">
        <v>444</v>
      </c>
      <c r="CP114" s="15" t="str">
        <f>"179.61"</f>
        <v>179.61</v>
      </c>
      <c r="CQ114" s="15" t="str">
        <f>"5.086"</f>
        <v>5.086</v>
      </c>
      <c r="CR114" s="15" t="s">
        <v>417</v>
      </c>
      <c r="DC114" s="15" t="str">
        <f>IFERROR(__xludf.DUMMYFUNCTION("""COMPUTED_VALUE"""),"")</f>
        <v/>
      </c>
      <c r="DE114" s="15" t="str">
        <f>IFERROR(__xludf.DUMMYFUNCTION("""COMPUTED_VALUE"""),"")</f>
        <v/>
      </c>
      <c r="DG114" s="15" t="str">
        <f>IFERROR(__xludf.DUMMYFUNCTION("""COMPUTED_VALUE"""),"")</f>
        <v/>
      </c>
      <c r="DL114" s="15" t="str">
        <f>IFERROR(__xludf.DUMMYFUNCTION("""COMPUTED_VALUE"""),"")</f>
        <v/>
      </c>
      <c r="DM114" s="15" t="s">
        <v>444</v>
      </c>
      <c r="DN114" s="15" t="s">
        <v>419</v>
      </c>
      <c r="DO114" s="15">
        <v>0.0</v>
      </c>
      <c r="DP114" s="15" t="s">
        <v>419</v>
      </c>
      <c r="DR114" s="15">
        <v>12.0</v>
      </c>
      <c r="DS114" s="15" t="s">
        <v>426</v>
      </c>
      <c r="DT114" s="15" t="s">
        <v>420</v>
      </c>
      <c r="DU114" s="15" t="s">
        <v>1914</v>
      </c>
      <c r="DW114" s="15">
        <v>18.14</v>
      </c>
      <c r="DX114" s="15">
        <v>40.0</v>
      </c>
      <c r="DY114" s="15">
        <v>0.0</v>
      </c>
      <c r="EF114" s="15" t="s">
        <v>1915</v>
      </c>
      <c r="EG114" s="15" t="s">
        <v>1916</v>
      </c>
      <c r="EH114" s="15" t="s">
        <v>1908</v>
      </c>
      <c r="EK114" s="15" t="s">
        <v>444</v>
      </c>
      <c r="EM114" s="15" t="str">
        <f>IFERROR(__xludf.DUMMYFUNCTION("""COMPUTED_VALUE"""),"")</f>
        <v/>
      </c>
      <c r="FL114" s="15" t="s">
        <v>426</v>
      </c>
      <c r="FM114" s="15">
        <v>18.0</v>
      </c>
      <c r="GG114" s="15" t="s">
        <v>785</v>
      </c>
      <c r="GH114" s="15">
        <v>6.0</v>
      </c>
      <c r="GI114" s="15" t="s">
        <v>614</v>
      </c>
      <c r="GJ114" s="15" t="s">
        <v>615</v>
      </c>
      <c r="GN114" s="15" t="s">
        <v>616</v>
      </c>
      <c r="KW114" s="15" t="s">
        <v>426</v>
      </c>
    </row>
    <row r="115" ht="15.75" customHeight="1">
      <c r="A115" s="14" t="s">
        <v>391</v>
      </c>
      <c r="B115" s="15" t="s">
        <v>1884</v>
      </c>
      <c r="C115" s="16"/>
      <c r="D115" s="15" t="s">
        <v>432</v>
      </c>
      <c r="G115" s="14" t="s">
        <v>393</v>
      </c>
      <c r="H115" s="14" t="s">
        <v>394</v>
      </c>
      <c r="I115" s="14" t="b">
        <v>1</v>
      </c>
      <c r="J115" s="14" t="s">
        <v>395</v>
      </c>
      <c r="L115" s="14" t="b">
        <v>0</v>
      </c>
      <c r="M115" s="15" t="s">
        <v>1924</v>
      </c>
      <c r="N115" s="14" t="s">
        <v>393</v>
      </c>
      <c r="O115" s="14" t="s">
        <v>393</v>
      </c>
      <c r="P115" s="15" t="s">
        <v>397</v>
      </c>
      <c r="Q115" s="15" t="s">
        <v>1898</v>
      </c>
      <c r="R115" s="15" t="s">
        <v>265</v>
      </c>
      <c r="S115" s="15">
        <v>35.0</v>
      </c>
      <c r="T115" s="14" t="b">
        <v>0</v>
      </c>
      <c r="U115" s="15" t="s">
        <v>1925</v>
      </c>
      <c r="V115" s="15" t="s">
        <v>1926</v>
      </c>
      <c r="W115" s="15" t="s">
        <v>401</v>
      </c>
      <c r="X115" s="15" t="s">
        <v>742</v>
      </c>
      <c r="Y115" s="15">
        <v>2301.0</v>
      </c>
      <c r="AA115" s="15" t="str">
        <f>"885"</f>
        <v>885</v>
      </c>
      <c r="AB115" s="14" t="b">
        <v>1</v>
      </c>
      <c r="AC115" s="14" t="b">
        <v>1</v>
      </c>
      <c r="AD115" s="15" t="str">
        <f>"801542510305"</f>
        <v>801542510305</v>
      </c>
      <c r="AE115" s="15" t="s">
        <v>1927</v>
      </c>
      <c r="AF115" s="14" t="s">
        <v>404</v>
      </c>
      <c r="AG115" s="14" t="s">
        <v>405</v>
      </c>
      <c r="AH115" s="14" t="s">
        <v>406</v>
      </c>
      <c r="AI115" s="15">
        <v>0.0</v>
      </c>
      <c r="AL115" s="15" t="s">
        <v>1891</v>
      </c>
      <c r="AM115" s="15" t="s">
        <v>645</v>
      </c>
      <c r="AN115" s="15" t="s">
        <v>646</v>
      </c>
      <c r="AO115" s="15" t="s">
        <v>1874</v>
      </c>
      <c r="AP115" s="15" t="s">
        <v>1875</v>
      </c>
      <c r="AQ115" s="15" t="s">
        <v>1928</v>
      </c>
      <c r="AR115" s="15" t="s">
        <v>1929</v>
      </c>
      <c r="AS115" s="15" t="s">
        <v>1896</v>
      </c>
      <c r="AT115" s="15" t="s">
        <v>1897</v>
      </c>
      <c r="AU115" s="15" t="s">
        <v>1898</v>
      </c>
      <c r="AW115" s="15" t="s">
        <v>1899</v>
      </c>
      <c r="AY115" s="15" t="s">
        <v>413</v>
      </c>
      <c r="AZ115" s="15" t="b">
        <v>0</v>
      </c>
      <c r="BA115" s="15" t="s">
        <v>413</v>
      </c>
      <c r="BB115" s="15" t="b">
        <v>0</v>
      </c>
      <c r="BC115" s="15" t="s">
        <v>1930</v>
      </c>
      <c r="BD115" s="15" t="s">
        <v>742</v>
      </c>
      <c r="BE115" s="15" t="str">
        <f t="shared" ref="BE115:BE131" si="212">"1"</f>
        <v>1</v>
      </c>
      <c r="BF115" s="15" t="s">
        <v>416</v>
      </c>
      <c r="BG115" s="15" t="str">
        <f t="shared" si="204"/>
        <v>40.35</v>
      </c>
      <c r="BH115" s="15" t="s">
        <v>920</v>
      </c>
      <c r="BI115" s="15" t="str">
        <f t="shared" si="205"/>
        <v>22.44</v>
      </c>
      <c r="BJ115" s="15" t="s">
        <v>1156</v>
      </c>
      <c r="BK115" s="15" t="str">
        <f t="shared" si="206"/>
        <v>110.24</v>
      </c>
      <c r="BL115" s="15" t="s">
        <v>1901</v>
      </c>
      <c r="BM115" s="15" t="str">
        <f t="shared" si="207"/>
        <v>189.6</v>
      </c>
      <c r="BN115" s="15" t="s">
        <v>1902</v>
      </c>
      <c r="BQ115" s="15" t="s">
        <v>444</v>
      </c>
      <c r="BS115" s="15" t="s">
        <v>444</v>
      </c>
      <c r="BU115" s="15" t="s">
        <v>444</v>
      </c>
      <c r="BW115" s="15" t="s">
        <v>444</v>
      </c>
      <c r="BZ115" s="15" t="s">
        <v>444</v>
      </c>
      <c r="CB115" s="15" t="s">
        <v>444</v>
      </c>
      <c r="CD115" s="15" t="s">
        <v>444</v>
      </c>
      <c r="CF115" s="15" t="s">
        <v>444</v>
      </c>
      <c r="CI115" s="15" t="s">
        <v>444</v>
      </c>
      <c r="CK115" s="15" t="s">
        <v>444</v>
      </c>
      <c r="CM115" s="15" t="s">
        <v>444</v>
      </c>
      <c r="CO115" s="15" t="s">
        <v>444</v>
      </c>
      <c r="CP115" s="15" t="str">
        <f>"57.77"</f>
        <v>57.77</v>
      </c>
      <c r="CQ115" s="15" t="str">
        <f>"1.636"</f>
        <v>1.636</v>
      </c>
      <c r="CR115" s="15" t="s">
        <v>497</v>
      </c>
      <c r="CS115" s="15" t="s">
        <v>1931</v>
      </c>
      <c r="CT115" s="15" t="s">
        <v>782</v>
      </c>
      <c r="CU115" s="15" t="s">
        <v>1932</v>
      </c>
      <c r="CV115" s="15" t="s">
        <v>1931</v>
      </c>
      <c r="CW115" s="15" t="s">
        <v>1933</v>
      </c>
      <c r="CX115" s="15" t="s">
        <v>1934</v>
      </c>
      <c r="DC115" s="15" t="str">
        <f>IFERROR(__xludf.DUMMYFUNCTION("""COMPUTED_VALUE"""),"")</f>
        <v/>
      </c>
      <c r="DE115" s="15" t="str">
        <f>IFERROR(__xludf.DUMMYFUNCTION("""COMPUTED_VALUE"""),"")</f>
        <v/>
      </c>
      <c r="DG115" s="15" t="str">
        <f>IFERROR(__xludf.DUMMYFUNCTION("""COMPUTED_VALUE"""),"")</f>
        <v/>
      </c>
      <c r="DL115" s="15" t="str">
        <f>IFERROR(__xludf.DUMMYFUNCTION("""COMPUTED_VALUE"""),"")</f>
        <v/>
      </c>
      <c r="DM115" s="15" t="s">
        <v>444</v>
      </c>
      <c r="DN115" s="15" t="s">
        <v>419</v>
      </c>
      <c r="DO115" s="15">
        <v>0.0</v>
      </c>
      <c r="DP115" s="15" t="s">
        <v>419</v>
      </c>
      <c r="DR115" s="15">
        <v>4.0</v>
      </c>
      <c r="DS115" s="15" t="s">
        <v>426</v>
      </c>
      <c r="DT115" s="15" t="s">
        <v>420</v>
      </c>
      <c r="DU115" s="15" t="s">
        <v>610</v>
      </c>
      <c r="DW115" s="15">
        <v>18.14</v>
      </c>
      <c r="DX115" s="15">
        <v>40.0</v>
      </c>
      <c r="DY115" s="15">
        <v>0.0</v>
      </c>
      <c r="EF115" s="15" t="s">
        <v>1906</v>
      </c>
      <c r="EG115" s="15" t="s">
        <v>1907</v>
      </c>
      <c r="EH115" s="15" t="s">
        <v>1908</v>
      </c>
      <c r="EK115" s="15" t="s">
        <v>444</v>
      </c>
      <c r="EM115" s="15" t="str">
        <f>IFERROR(__xludf.DUMMYFUNCTION("""COMPUTED_VALUE"""),"")</f>
        <v/>
      </c>
      <c r="FL115" s="15" t="s">
        <v>426</v>
      </c>
      <c r="FM115" s="15">
        <v>6.0</v>
      </c>
      <c r="FY115" s="15" t="s">
        <v>1935</v>
      </c>
      <c r="FZ115" s="15" t="s">
        <v>782</v>
      </c>
      <c r="GA115" s="15" t="s">
        <v>1936</v>
      </c>
      <c r="GG115" s="15" t="s">
        <v>1883</v>
      </c>
      <c r="GH115" s="15">
        <v>2.0</v>
      </c>
      <c r="GI115" s="15" t="s">
        <v>614</v>
      </c>
      <c r="GJ115" s="15" t="s">
        <v>1045</v>
      </c>
      <c r="GN115" s="15" t="s">
        <v>616</v>
      </c>
    </row>
    <row r="116" ht="15.75" customHeight="1">
      <c r="A116" s="14" t="s">
        <v>391</v>
      </c>
      <c r="B116" s="15" t="s">
        <v>1937</v>
      </c>
      <c r="C116" s="16"/>
      <c r="D116" s="15" t="s">
        <v>432</v>
      </c>
      <c r="G116" s="14" t="s">
        <v>393</v>
      </c>
      <c r="H116" s="14" t="s">
        <v>394</v>
      </c>
      <c r="I116" s="14" t="b">
        <v>1</v>
      </c>
      <c r="J116" s="14" t="s">
        <v>395</v>
      </c>
      <c r="L116" s="14" t="b">
        <v>0</v>
      </c>
      <c r="M116" s="15" t="s">
        <v>1938</v>
      </c>
      <c r="N116" s="14" t="s">
        <v>393</v>
      </c>
      <c r="O116" s="14" t="s">
        <v>393</v>
      </c>
      <c r="P116" s="15" t="s">
        <v>397</v>
      </c>
      <c r="Q116" s="15" t="s">
        <v>1939</v>
      </c>
      <c r="T116" s="14" t="b">
        <v>0</v>
      </c>
      <c r="U116" s="15" t="s">
        <v>1940</v>
      </c>
      <c r="V116" s="15" t="s">
        <v>1941</v>
      </c>
      <c r="W116" s="15" t="s">
        <v>401</v>
      </c>
      <c r="X116" s="15" t="s">
        <v>742</v>
      </c>
      <c r="Y116" s="15">
        <v>1040.0</v>
      </c>
      <c r="AA116" s="15" t="str">
        <f>"400"</f>
        <v>400</v>
      </c>
      <c r="AB116" s="14" t="b">
        <v>1</v>
      </c>
      <c r="AC116" s="14" t="b">
        <v>1</v>
      </c>
      <c r="AD116" s="15" t="str">
        <f>"801542035365"</f>
        <v>801542035365</v>
      </c>
      <c r="AE116" s="15" t="s">
        <v>1942</v>
      </c>
      <c r="AF116" s="14" t="s">
        <v>404</v>
      </c>
      <c r="AG116" s="14" t="s">
        <v>405</v>
      </c>
      <c r="AH116" s="14" t="s">
        <v>406</v>
      </c>
      <c r="AI116" s="15">
        <v>0.0</v>
      </c>
      <c r="AL116" s="15" t="s">
        <v>1943</v>
      </c>
      <c r="AM116" s="15" t="s">
        <v>600</v>
      </c>
      <c r="AN116" s="15" t="s">
        <v>601</v>
      </c>
      <c r="AO116" s="15" t="s">
        <v>913</v>
      </c>
      <c r="AP116" s="15" t="s">
        <v>914</v>
      </c>
      <c r="AQ116" s="15" t="s">
        <v>1944</v>
      </c>
      <c r="AR116" s="15" t="s">
        <v>1945</v>
      </c>
      <c r="AS116" s="15" t="s">
        <v>837</v>
      </c>
      <c r="AT116" s="15" t="s">
        <v>1939</v>
      </c>
      <c r="AW116" s="15" t="s">
        <v>706</v>
      </c>
      <c r="AX116" s="15" t="s">
        <v>707</v>
      </c>
      <c r="AY116" s="15" t="s">
        <v>413</v>
      </c>
      <c r="AZ116" s="15" t="b">
        <v>0</v>
      </c>
      <c r="BA116" s="15" t="s">
        <v>426</v>
      </c>
      <c r="BB116" s="15" t="b">
        <v>1</v>
      </c>
      <c r="BC116" s="15" t="s">
        <v>1946</v>
      </c>
      <c r="BD116" s="15" t="s">
        <v>742</v>
      </c>
      <c r="BE116" s="15" t="str">
        <f t="shared" si="212"/>
        <v>1</v>
      </c>
      <c r="BF116" s="15" t="s">
        <v>1947</v>
      </c>
      <c r="BG116" s="15" t="str">
        <f t="shared" ref="BG116:BG118" si="213">"27.17"</f>
        <v>27.17</v>
      </c>
      <c r="BH116" s="15" t="s">
        <v>1478</v>
      </c>
      <c r="BI116" s="15" t="str">
        <f t="shared" ref="BI116:BI118" si="214">"35.63"</f>
        <v>35.63</v>
      </c>
      <c r="BJ116" s="15" t="s">
        <v>710</v>
      </c>
      <c r="BK116" s="15" t="str">
        <f t="shared" ref="BK116:BK118" si="215">"32.28"</f>
        <v>32.28</v>
      </c>
      <c r="BL116" s="15" t="s">
        <v>954</v>
      </c>
      <c r="BM116" s="15" t="str">
        <f t="shared" ref="BM116:BM118" si="216">"61.73"</f>
        <v>61.73</v>
      </c>
      <c r="BN116" s="15" t="s">
        <v>1948</v>
      </c>
      <c r="BQ116" s="15" t="s">
        <v>444</v>
      </c>
      <c r="BS116" s="15" t="s">
        <v>444</v>
      </c>
      <c r="BU116" s="15" t="s">
        <v>444</v>
      </c>
      <c r="BW116" s="15" t="s">
        <v>444</v>
      </c>
      <c r="BZ116" s="15" t="s">
        <v>444</v>
      </c>
      <c r="CB116" s="15" t="s">
        <v>444</v>
      </c>
      <c r="CD116" s="15" t="s">
        <v>444</v>
      </c>
      <c r="CF116" s="15" t="s">
        <v>444</v>
      </c>
      <c r="CI116" s="15" t="s">
        <v>444</v>
      </c>
      <c r="CK116" s="15" t="s">
        <v>444</v>
      </c>
      <c r="CM116" s="15" t="s">
        <v>444</v>
      </c>
      <c r="CO116" s="15" t="s">
        <v>444</v>
      </c>
      <c r="CP116" s="15" t="str">
        <f t="shared" ref="CP116:CP118" si="217">"16.21"</f>
        <v>16.21</v>
      </c>
      <c r="CQ116" s="15" t="str">
        <f t="shared" ref="CQ116:CQ118" si="218">"0.459"</f>
        <v>0.459</v>
      </c>
      <c r="CR116" s="15" t="s">
        <v>465</v>
      </c>
      <c r="CY116" s="15" t="s">
        <v>1949</v>
      </c>
      <c r="CZ116" s="15" t="s">
        <v>1950</v>
      </c>
      <c r="DA116" s="15" t="s">
        <v>1951</v>
      </c>
      <c r="DB116" s="15" t="s">
        <v>1324</v>
      </c>
      <c r="DC116" s="15" t="str">
        <f>IFERROR(__xludf.DUMMYFUNCTION("""COMPUTED_VALUE"""),"{""value"":20.00,""unit"":""in""}")</f>
        <v>{"value":20.00,"unit":"in"}</v>
      </c>
      <c r="DD116" s="15" t="s">
        <v>1014</v>
      </c>
      <c r="DE116" s="15" t="str">
        <f>IFERROR(__xludf.DUMMYFUNCTION("""COMPUTED_VALUE"""),"{""value"":17.99,""unit"":""in""}")</f>
        <v>{"value":17.99,"unit":"in"}</v>
      </c>
      <c r="DF116" s="15" t="s">
        <v>1324</v>
      </c>
      <c r="DG116" s="15" t="str">
        <f>IFERROR(__xludf.DUMMYFUNCTION("""COMPUTED_VALUE"""),"{""value"":20.00,""unit"":""in""}")</f>
        <v>{"value":20.00,"unit":"in"}</v>
      </c>
      <c r="DH116" s="15">
        <v>0.0</v>
      </c>
      <c r="DI116" s="15">
        <v>1.0</v>
      </c>
      <c r="DJ116" s="15" t="s">
        <v>717</v>
      </c>
      <c r="DK116" s="15" t="s">
        <v>855</v>
      </c>
      <c r="DL116" s="15" t="str">
        <f>IFERROR(__xludf.DUMMYFUNCTION("""COMPUTED_VALUE"""),"Clean with solvent-based (dry clean only) products. Do not use water.")</f>
        <v>Clean with solvent-based (dry clean only) products. Do not use water.</v>
      </c>
      <c r="DM116" s="15" t="s">
        <v>856</v>
      </c>
      <c r="DQ116" s="15" t="s">
        <v>1952</v>
      </c>
      <c r="DT116" s="15" t="s">
        <v>989</v>
      </c>
      <c r="DU116" s="15" t="s">
        <v>1605</v>
      </c>
      <c r="DV116" s="15">
        <v>0.0</v>
      </c>
      <c r="DZ116" s="15">
        <v>25000.0</v>
      </c>
      <c r="EA116" s="15" t="s">
        <v>990</v>
      </c>
      <c r="EB116" s="15" t="s">
        <v>723</v>
      </c>
      <c r="EC116" s="15" t="s">
        <v>724</v>
      </c>
      <c r="ED116" s="15">
        <v>1.0</v>
      </c>
      <c r="EE116" s="15">
        <v>1.0</v>
      </c>
      <c r="EG116" s="15" t="s">
        <v>444</v>
      </c>
      <c r="EH116" s="15" t="s">
        <v>1953</v>
      </c>
      <c r="EI116" s="15">
        <v>0.0</v>
      </c>
      <c r="EJ116" s="15" t="s">
        <v>726</v>
      </c>
      <c r="EK116" s="15" t="s">
        <v>727</v>
      </c>
      <c r="EL116" s="15" t="s">
        <v>1954</v>
      </c>
      <c r="EM116" s="15" t="str">
        <f>IFERROR(__xludf.DUMMYFUNCTION("""COMPUTED_VALUE"""),"{""value"":23.98,""unit"":""in""}")</f>
        <v>{"value":23.98,"unit":"in"}</v>
      </c>
      <c r="EN116" s="15" t="s">
        <v>1955</v>
      </c>
      <c r="EO116" s="15" t="s">
        <v>1445</v>
      </c>
      <c r="ES116" s="15" t="s">
        <v>635</v>
      </c>
      <c r="ET116" s="15" t="s">
        <v>995</v>
      </c>
      <c r="EU116" s="15" t="s">
        <v>1956</v>
      </c>
      <c r="EV116" s="15" t="s">
        <v>1954</v>
      </c>
      <c r="EW116" s="15" t="s">
        <v>1957</v>
      </c>
      <c r="EZ116" s="15" t="s">
        <v>1958</v>
      </c>
      <c r="FC116" s="15" t="s">
        <v>723</v>
      </c>
      <c r="FD116" s="15" t="s">
        <v>1076</v>
      </c>
      <c r="FE116" s="15" t="s">
        <v>1959</v>
      </c>
      <c r="FF116" s="15" t="s">
        <v>1290</v>
      </c>
      <c r="FQ116" s="15">
        <v>0.0</v>
      </c>
      <c r="FR116" s="15">
        <v>0.0</v>
      </c>
      <c r="FS116" s="15" t="s">
        <v>938</v>
      </c>
      <c r="FT116" s="15">
        <v>0.0</v>
      </c>
      <c r="IL116" s="15" t="s">
        <v>1610</v>
      </c>
    </row>
    <row r="117" ht="15.75" customHeight="1">
      <c r="A117" s="14" t="s">
        <v>391</v>
      </c>
      <c r="B117" s="15" t="s">
        <v>1937</v>
      </c>
      <c r="C117" s="16"/>
      <c r="D117" s="15" t="s">
        <v>432</v>
      </c>
      <c r="G117" s="14" t="s">
        <v>393</v>
      </c>
      <c r="H117" s="14" t="s">
        <v>394</v>
      </c>
      <c r="I117" s="14" t="b">
        <v>1</v>
      </c>
      <c r="J117" s="14" t="s">
        <v>395</v>
      </c>
      <c r="L117" s="14" t="b">
        <v>0</v>
      </c>
      <c r="M117" s="15" t="s">
        <v>1960</v>
      </c>
      <c r="N117" s="14" t="s">
        <v>393</v>
      </c>
      <c r="O117" s="14" t="s">
        <v>393</v>
      </c>
      <c r="P117" s="15" t="s">
        <v>397</v>
      </c>
      <c r="Q117" s="15" t="s">
        <v>1961</v>
      </c>
      <c r="T117" s="14" t="b">
        <v>0</v>
      </c>
      <c r="U117" s="15" t="s">
        <v>1962</v>
      </c>
      <c r="V117" s="15" t="s">
        <v>1941</v>
      </c>
      <c r="W117" s="15" t="s">
        <v>401</v>
      </c>
      <c r="X117" s="15" t="s">
        <v>742</v>
      </c>
      <c r="Y117" s="15">
        <v>936.0</v>
      </c>
      <c r="AA117" s="15" t="str">
        <f>"360"</f>
        <v>360</v>
      </c>
      <c r="AB117" s="14" t="b">
        <v>1</v>
      </c>
      <c r="AC117" s="14" t="b">
        <v>1</v>
      </c>
      <c r="AD117" s="15" t="str">
        <f>"801542658373"</f>
        <v>801542658373</v>
      </c>
      <c r="AE117" s="15" t="s">
        <v>1963</v>
      </c>
      <c r="AF117" s="14" t="s">
        <v>404</v>
      </c>
      <c r="AG117" s="14" t="s">
        <v>405</v>
      </c>
      <c r="AH117" s="14" t="s">
        <v>406</v>
      </c>
      <c r="AI117" s="15">
        <v>0.0</v>
      </c>
      <c r="AL117" s="15" t="s">
        <v>1964</v>
      </c>
      <c r="AM117" s="15" t="s">
        <v>600</v>
      </c>
      <c r="AN117" s="15" t="s">
        <v>601</v>
      </c>
      <c r="AO117" s="15" t="s">
        <v>913</v>
      </c>
      <c r="AP117" s="15" t="s">
        <v>914</v>
      </c>
      <c r="AQ117" s="15" t="s">
        <v>1944</v>
      </c>
      <c r="AR117" s="15" t="s">
        <v>1945</v>
      </c>
      <c r="AS117" s="15" t="s">
        <v>837</v>
      </c>
      <c r="AT117" s="15" t="s">
        <v>1961</v>
      </c>
      <c r="AW117" s="15" t="s">
        <v>706</v>
      </c>
      <c r="AX117" s="15" t="s">
        <v>707</v>
      </c>
      <c r="AY117" s="15" t="s">
        <v>413</v>
      </c>
      <c r="AZ117" s="15" t="b">
        <v>0</v>
      </c>
      <c r="BA117" s="15" t="s">
        <v>426</v>
      </c>
      <c r="BB117" s="15" t="b">
        <v>1</v>
      </c>
      <c r="BC117" s="15" t="s">
        <v>1965</v>
      </c>
      <c r="BD117" s="15" t="s">
        <v>742</v>
      </c>
      <c r="BE117" s="15" t="str">
        <f t="shared" si="212"/>
        <v>1</v>
      </c>
      <c r="BF117" s="15" t="s">
        <v>1966</v>
      </c>
      <c r="BG117" s="15" t="str">
        <f t="shared" si="213"/>
        <v>27.17</v>
      </c>
      <c r="BH117" s="15" t="s">
        <v>1478</v>
      </c>
      <c r="BI117" s="15" t="str">
        <f t="shared" si="214"/>
        <v>35.63</v>
      </c>
      <c r="BJ117" s="15" t="s">
        <v>710</v>
      </c>
      <c r="BK117" s="15" t="str">
        <f t="shared" si="215"/>
        <v>32.28</v>
      </c>
      <c r="BL117" s="15" t="s">
        <v>954</v>
      </c>
      <c r="BM117" s="15" t="str">
        <f t="shared" si="216"/>
        <v>61.73</v>
      </c>
      <c r="BN117" s="15" t="s">
        <v>1948</v>
      </c>
      <c r="BQ117" s="15" t="s">
        <v>444</v>
      </c>
      <c r="BS117" s="15" t="s">
        <v>444</v>
      </c>
      <c r="BU117" s="15" t="s">
        <v>444</v>
      </c>
      <c r="BW117" s="15" t="s">
        <v>444</v>
      </c>
      <c r="BZ117" s="15" t="s">
        <v>444</v>
      </c>
      <c r="CB117" s="15" t="s">
        <v>444</v>
      </c>
      <c r="CD117" s="15" t="s">
        <v>444</v>
      </c>
      <c r="CF117" s="15" t="s">
        <v>444</v>
      </c>
      <c r="CI117" s="15" t="s">
        <v>444</v>
      </c>
      <c r="CK117" s="15" t="s">
        <v>444</v>
      </c>
      <c r="CM117" s="15" t="s">
        <v>444</v>
      </c>
      <c r="CO117" s="15" t="s">
        <v>444</v>
      </c>
      <c r="CP117" s="15" t="str">
        <f t="shared" si="217"/>
        <v>16.21</v>
      </c>
      <c r="CQ117" s="15" t="str">
        <f t="shared" si="218"/>
        <v>0.459</v>
      </c>
      <c r="CR117" s="15" t="s">
        <v>497</v>
      </c>
      <c r="CY117" s="15" t="s">
        <v>1949</v>
      </c>
      <c r="CZ117" s="15" t="s">
        <v>1950</v>
      </c>
      <c r="DA117" s="15" t="s">
        <v>1951</v>
      </c>
      <c r="DB117" s="15" t="s">
        <v>1324</v>
      </c>
      <c r="DC117" s="15" t="str">
        <f>IFERROR(__xludf.DUMMYFUNCTION("""COMPUTED_VALUE"""),"{""value"":20.00,""unit"":""in""}")</f>
        <v>{"value":20.00,"unit":"in"}</v>
      </c>
      <c r="DD117" s="15" t="s">
        <v>1014</v>
      </c>
      <c r="DE117" s="15" t="str">
        <f>IFERROR(__xludf.DUMMYFUNCTION("""COMPUTED_VALUE"""),"{""value"":17.99,""unit"":""in""}")</f>
        <v>{"value":17.99,"unit":"in"}</v>
      </c>
      <c r="DF117" s="15" t="s">
        <v>1324</v>
      </c>
      <c r="DG117" s="15" t="str">
        <f>IFERROR(__xludf.DUMMYFUNCTION("""COMPUTED_VALUE"""),"{""value"":20.00,""unit"":""in""}")</f>
        <v>{"value":20.00,"unit":"in"}</v>
      </c>
      <c r="DH117" s="15">
        <v>0.0</v>
      </c>
      <c r="DI117" s="15">
        <v>1.0</v>
      </c>
      <c r="DJ117" s="15" t="s">
        <v>717</v>
      </c>
      <c r="DK117" s="15" t="s">
        <v>855</v>
      </c>
      <c r="DL117" s="15" t="str">
        <f>IFERROR(__xludf.DUMMYFUNCTION("""COMPUTED_VALUE"""),"Clean with solvent-based (dry clean only) products. Do not use water.")</f>
        <v>Clean with solvent-based (dry clean only) products. Do not use water.</v>
      </c>
      <c r="DM117" s="15" t="s">
        <v>856</v>
      </c>
      <c r="DQ117" s="15" t="s">
        <v>1952</v>
      </c>
      <c r="DT117" s="15" t="s">
        <v>989</v>
      </c>
      <c r="DU117" s="15" t="s">
        <v>1605</v>
      </c>
      <c r="DV117" s="15">
        <v>0.0</v>
      </c>
      <c r="DZ117" s="15">
        <v>90000.0</v>
      </c>
      <c r="EA117" s="15" t="s">
        <v>990</v>
      </c>
      <c r="EB117" s="15" t="s">
        <v>723</v>
      </c>
      <c r="EC117" s="15" t="s">
        <v>724</v>
      </c>
      <c r="ED117" s="15">
        <v>1.0</v>
      </c>
      <c r="EE117" s="15">
        <v>1.0</v>
      </c>
      <c r="EG117" s="15" t="s">
        <v>444</v>
      </c>
      <c r="EH117" s="15" t="s">
        <v>1953</v>
      </c>
      <c r="EI117" s="15">
        <v>0.0</v>
      </c>
      <c r="EJ117" s="15" t="s">
        <v>726</v>
      </c>
      <c r="EK117" s="15" t="s">
        <v>727</v>
      </c>
      <c r="EL117" s="15" t="s">
        <v>1954</v>
      </c>
      <c r="EM117" s="15" t="str">
        <f>IFERROR(__xludf.DUMMYFUNCTION("""COMPUTED_VALUE"""),"{""value"":23.98,""unit"":""in""}")</f>
        <v>{"value":23.98,"unit":"in"}</v>
      </c>
      <c r="EN117" s="15" t="s">
        <v>1955</v>
      </c>
      <c r="EO117" s="15" t="s">
        <v>1445</v>
      </c>
      <c r="ES117" s="15" t="s">
        <v>635</v>
      </c>
      <c r="ET117" s="15" t="s">
        <v>995</v>
      </c>
      <c r="EU117" s="15" t="s">
        <v>1956</v>
      </c>
      <c r="EV117" s="15" t="s">
        <v>1954</v>
      </c>
      <c r="EW117" s="15" t="s">
        <v>1957</v>
      </c>
      <c r="EZ117" s="15" t="s">
        <v>1958</v>
      </c>
      <c r="FC117" s="15" t="s">
        <v>723</v>
      </c>
      <c r="FD117" s="15" t="s">
        <v>1076</v>
      </c>
      <c r="FE117" s="15" t="s">
        <v>1959</v>
      </c>
      <c r="FF117" s="15" t="s">
        <v>1290</v>
      </c>
      <c r="FQ117" s="15">
        <v>0.0</v>
      </c>
      <c r="FR117" s="15">
        <v>0.0</v>
      </c>
      <c r="FS117" s="15" t="s">
        <v>938</v>
      </c>
      <c r="FT117" s="15">
        <v>0.0</v>
      </c>
      <c r="IL117" s="15" t="s">
        <v>1610</v>
      </c>
    </row>
    <row r="118" ht="15.75" customHeight="1">
      <c r="A118" s="14" t="s">
        <v>391</v>
      </c>
      <c r="B118" s="15" t="s">
        <v>1937</v>
      </c>
      <c r="C118" s="16"/>
      <c r="D118" s="15" t="s">
        <v>432</v>
      </c>
      <c r="G118" s="14" t="s">
        <v>393</v>
      </c>
      <c r="H118" s="14" t="s">
        <v>394</v>
      </c>
      <c r="I118" s="14" t="b">
        <v>1</v>
      </c>
      <c r="J118" s="14" t="s">
        <v>395</v>
      </c>
      <c r="L118" s="14" t="b">
        <v>0</v>
      </c>
      <c r="M118" s="15" t="s">
        <v>1967</v>
      </c>
      <c r="N118" s="14" t="s">
        <v>393</v>
      </c>
      <c r="O118" s="14" t="s">
        <v>393</v>
      </c>
      <c r="P118" s="15" t="s">
        <v>397</v>
      </c>
      <c r="Q118" s="15" t="s">
        <v>1658</v>
      </c>
      <c r="T118" s="14" t="b">
        <v>0</v>
      </c>
      <c r="U118" s="15" t="s">
        <v>1968</v>
      </c>
      <c r="V118" s="15" t="s">
        <v>1941</v>
      </c>
      <c r="W118" s="15" t="s">
        <v>401</v>
      </c>
      <c r="X118" s="15" t="s">
        <v>742</v>
      </c>
      <c r="Y118" s="15">
        <v>1703.0</v>
      </c>
      <c r="AA118" s="15" t="str">
        <f>"655"</f>
        <v>655</v>
      </c>
      <c r="AB118" s="14" t="b">
        <v>1</v>
      </c>
      <c r="AC118" s="14" t="b">
        <v>1</v>
      </c>
      <c r="AD118" s="15" t="str">
        <f>"801542690571"</f>
        <v>801542690571</v>
      </c>
      <c r="AE118" s="15" t="s">
        <v>1969</v>
      </c>
      <c r="AF118" s="14" t="s">
        <v>404</v>
      </c>
      <c r="AG118" s="14" t="s">
        <v>405</v>
      </c>
      <c r="AH118" s="14" t="s">
        <v>406</v>
      </c>
      <c r="AI118" s="15">
        <v>0.0</v>
      </c>
      <c r="AL118" s="15" t="s">
        <v>1600</v>
      </c>
      <c r="AM118" s="15" t="s">
        <v>600</v>
      </c>
      <c r="AN118" s="15" t="s">
        <v>601</v>
      </c>
      <c r="AO118" s="15" t="s">
        <v>913</v>
      </c>
      <c r="AP118" s="15" t="s">
        <v>914</v>
      </c>
      <c r="AQ118" s="15" t="s">
        <v>1944</v>
      </c>
      <c r="AR118" s="15" t="s">
        <v>1945</v>
      </c>
      <c r="AS118" s="15" t="s">
        <v>837</v>
      </c>
      <c r="AT118" s="15" t="s">
        <v>1658</v>
      </c>
      <c r="AW118" s="15" t="s">
        <v>706</v>
      </c>
      <c r="AX118" s="15" t="s">
        <v>707</v>
      </c>
      <c r="AY118" s="15" t="s">
        <v>413</v>
      </c>
      <c r="AZ118" s="15" t="b">
        <v>0</v>
      </c>
      <c r="BA118" s="15" t="s">
        <v>413</v>
      </c>
      <c r="BB118" s="15" t="b">
        <v>0</v>
      </c>
      <c r="BC118" s="15" t="s">
        <v>1970</v>
      </c>
      <c r="BD118" s="15" t="s">
        <v>742</v>
      </c>
      <c r="BE118" s="15" t="str">
        <f t="shared" si="212"/>
        <v>1</v>
      </c>
      <c r="BF118" s="15" t="s">
        <v>1966</v>
      </c>
      <c r="BG118" s="15" t="str">
        <f t="shared" si="213"/>
        <v>27.17</v>
      </c>
      <c r="BH118" s="15" t="s">
        <v>1478</v>
      </c>
      <c r="BI118" s="15" t="str">
        <f t="shared" si="214"/>
        <v>35.63</v>
      </c>
      <c r="BJ118" s="15" t="s">
        <v>710</v>
      </c>
      <c r="BK118" s="15" t="str">
        <f t="shared" si="215"/>
        <v>32.28</v>
      </c>
      <c r="BL118" s="15" t="s">
        <v>954</v>
      </c>
      <c r="BM118" s="15" t="str">
        <f t="shared" si="216"/>
        <v>61.73</v>
      </c>
      <c r="BN118" s="15" t="s">
        <v>1948</v>
      </c>
      <c r="BQ118" s="15" t="s">
        <v>444</v>
      </c>
      <c r="BS118" s="15" t="s">
        <v>444</v>
      </c>
      <c r="BU118" s="15" t="s">
        <v>444</v>
      </c>
      <c r="BW118" s="15" t="s">
        <v>444</v>
      </c>
      <c r="BZ118" s="15" t="s">
        <v>444</v>
      </c>
      <c r="CB118" s="15" t="s">
        <v>444</v>
      </c>
      <c r="CD118" s="15" t="s">
        <v>444</v>
      </c>
      <c r="CF118" s="15" t="s">
        <v>444</v>
      </c>
      <c r="CI118" s="15" t="s">
        <v>444</v>
      </c>
      <c r="CK118" s="15" t="s">
        <v>444</v>
      </c>
      <c r="CM118" s="15" t="s">
        <v>444</v>
      </c>
      <c r="CO118" s="15" t="s">
        <v>444</v>
      </c>
      <c r="CP118" s="15" t="str">
        <f t="shared" si="217"/>
        <v>16.21</v>
      </c>
      <c r="CQ118" s="15" t="str">
        <f t="shared" si="218"/>
        <v>0.459</v>
      </c>
      <c r="CR118" s="15" t="s">
        <v>465</v>
      </c>
      <c r="CY118" s="15" t="s">
        <v>1949</v>
      </c>
      <c r="CZ118" s="15" t="s">
        <v>1950</v>
      </c>
      <c r="DA118" s="15" t="s">
        <v>1951</v>
      </c>
      <c r="DB118" s="15" t="s">
        <v>1324</v>
      </c>
      <c r="DC118" s="15" t="str">
        <f>IFERROR(__xludf.DUMMYFUNCTION("""COMPUTED_VALUE"""),"{""value"":20.00,""unit"":""in""}")</f>
        <v>{"value":20.00,"unit":"in"}</v>
      </c>
      <c r="DD118" s="15" t="s">
        <v>1014</v>
      </c>
      <c r="DE118" s="15" t="str">
        <f>IFERROR(__xludf.DUMMYFUNCTION("""COMPUTED_VALUE"""),"{""value"":17.99,""unit"":""in""}")</f>
        <v>{"value":17.99,"unit":"in"}</v>
      </c>
      <c r="DF118" s="15" t="s">
        <v>1324</v>
      </c>
      <c r="DG118" s="15" t="str">
        <f>IFERROR(__xludf.DUMMYFUNCTION("""COMPUTED_VALUE"""),"{""value"":20.00,""unit"":""in""}")</f>
        <v>{"value":20.00,"unit":"in"}</v>
      </c>
      <c r="DH118" s="15">
        <v>0.0</v>
      </c>
      <c r="DI118" s="15">
        <v>1.0</v>
      </c>
      <c r="DJ118" s="15" t="s">
        <v>717</v>
      </c>
      <c r="DK118" s="15" t="s">
        <v>718</v>
      </c>
      <c r="DL118" s="15" t="str">
        <f>IFERROR(__xludf.DUMMYFUNCTION("""COMPUTED_VALUE"""),"Vacuum or light brush only. Do not use water or any cleaning products.")</f>
        <v>Vacuum or light brush only. Do not use water or any cleaning products.</v>
      </c>
      <c r="DM118" s="15" t="s">
        <v>719</v>
      </c>
      <c r="DQ118" s="15" t="s">
        <v>1952</v>
      </c>
      <c r="DT118" s="15" t="s">
        <v>989</v>
      </c>
      <c r="DU118" s="15" t="s">
        <v>1605</v>
      </c>
      <c r="DV118" s="15">
        <v>0.0</v>
      </c>
      <c r="DZ118" s="15">
        <v>0.0</v>
      </c>
      <c r="EA118" s="15" t="s">
        <v>990</v>
      </c>
      <c r="EB118" s="15" t="s">
        <v>723</v>
      </c>
      <c r="EC118" s="15" t="s">
        <v>724</v>
      </c>
      <c r="ED118" s="15">
        <v>1.0</v>
      </c>
      <c r="EE118" s="15">
        <v>1.0</v>
      </c>
      <c r="EG118" s="15" t="s">
        <v>444</v>
      </c>
      <c r="EH118" s="15" t="s">
        <v>1953</v>
      </c>
      <c r="EI118" s="15">
        <v>0.0</v>
      </c>
      <c r="EJ118" s="15" t="s">
        <v>726</v>
      </c>
      <c r="EK118" s="15" t="s">
        <v>727</v>
      </c>
      <c r="EL118" s="15" t="s">
        <v>1954</v>
      </c>
      <c r="EM118" s="15" t="str">
        <f>IFERROR(__xludf.DUMMYFUNCTION("""COMPUTED_VALUE"""),"{""value"":23.98,""unit"":""in""}")</f>
        <v>{"value":23.98,"unit":"in"}</v>
      </c>
      <c r="EN118" s="15" t="s">
        <v>1955</v>
      </c>
      <c r="EO118" s="15" t="s">
        <v>1445</v>
      </c>
      <c r="ES118" s="15" t="s">
        <v>635</v>
      </c>
      <c r="ET118" s="15" t="s">
        <v>995</v>
      </c>
      <c r="EU118" s="15" t="s">
        <v>1956</v>
      </c>
      <c r="EV118" s="15" t="s">
        <v>1954</v>
      </c>
      <c r="EW118" s="15" t="s">
        <v>1957</v>
      </c>
      <c r="EZ118" s="15" t="s">
        <v>1958</v>
      </c>
      <c r="FC118" s="15" t="s">
        <v>723</v>
      </c>
      <c r="FD118" s="15" t="s">
        <v>1076</v>
      </c>
      <c r="FE118" s="15" t="s">
        <v>1959</v>
      </c>
      <c r="FF118" s="15" t="s">
        <v>1290</v>
      </c>
      <c r="FQ118" s="15">
        <v>0.0</v>
      </c>
      <c r="FR118" s="15">
        <v>0.0</v>
      </c>
      <c r="FS118" s="15" t="s">
        <v>938</v>
      </c>
      <c r="FT118" s="15">
        <v>0.0</v>
      </c>
      <c r="IL118" s="15" t="s">
        <v>1610</v>
      </c>
    </row>
    <row r="119" ht="15.75" customHeight="1">
      <c r="A119" s="14" t="s">
        <v>391</v>
      </c>
      <c r="B119" s="15" t="s">
        <v>1971</v>
      </c>
      <c r="C119" s="16"/>
      <c r="D119" s="15" t="s">
        <v>432</v>
      </c>
      <c r="G119" s="14" t="s">
        <v>393</v>
      </c>
      <c r="H119" s="14" t="s">
        <v>394</v>
      </c>
      <c r="I119" s="14" t="b">
        <v>1</v>
      </c>
      <c r="J119" s="14" t="s">
        <v>395</v>
      </c>
      <c r="L119" s="14" t="b">
        <v>0</v>
      </c>
      <c r="M119" s="15" t="s">
        <v>1972</v>
      </c>
      <c r="N119" s="14" t="s">
        <v>393</v>
      </c>
      <c r="O119" s="14" t="s">
        <v>393</v>
      </c>
      <c r="P119" s="15" t="s">
        <v>397</v>
      </c>
      <c r="Q119" s="15" t="s">
        <v>1973</v>
      </c>
      <c r="T119" s="14" t="b">
        <v>0</v>
      </c>
      <c r="U119" s="15" t="s">
        <v>1974</v>
      </c>
      <c r="V119" s="15" t="s">
        <v>1975</v>
      </c>
      <c r="W119" s="15" t="s">
        <v>401</v>
      </c>
      <c r="X119" s="15" t="s">
        <v>402</v>
      </c>
      <c r="Y119" s="15">
        <v>1638.0</v>
      </c>
      <c r="AA119" s="15" t="str">
        <f>"630"</f>
        <v>630</v>
      </c>
      <c r="AB119" s="14" t="b">
        <v>1</v>
      </c>
      <c r="AC119" s="14" t="b">
        <v>1</v>
      </c>
      <c r="AD119" s="15" t="str">
        <f>"801542571276"</f>
        <v>801542571276</v>
      </c>
      <c r="AE119" s="15" t="s">
        <v>1976</v>
      </c>
      <c r="AF119" s="14" t="s">
        <v>404</v>
      </c>
      <c r="AG119" s="14" t="s">
        <v>405</v>
      </c>
      <c r="AH119" s="14" t="s">
        <v>406</v>
      </c>
      <c r="AI119" s="15">
        <v>0.0</v>
      </c>
      <c r="AL119" s="15" t="s">
        <v>1977</v>
      </c>
      <c r="AM119" s="15" t="s">
        <v>1085</v>
      </c>
      <c r="AN119" s="15" t="s">
        <v>1086</v>
      </c>
      <c r="AO119" s="15" t="s">
        <v>1085</v>
      </c>
      <c r="AP119" s="15" t="s">
        <v>1086</v>
      </c>
      <c r="AQ119" s="15" t="s">
        <v>1848</v>
      </c>
      <c r="AR119" s="15" t="s">
        <v>1849</v>
      </c>
      <c r="AS119" s="15" t="s">
        <v>411</v>
      </c>
      <c r="AT119" s="15" t="s">
        <v>1973</v>
      </c>
      <c r="AU119" s="15" t="s">
        <v>1978</v>
      </c>
      <c r="AW119" s="15" t="s">
        <v>491</v>
      </c>
      <c r="AY119" s="15" t="s">
        <v>413</v>
      </c>
      <c r="AZ119" s="15" t="b">
        <v>0</v>
      </c>
      <c r="BA119" s="15" t="s">
        <v>413</v>
      </c>
      <c r="BB119" s="15" t="b">
        <v>0</v>
      </c>
      <c r="BC119" s="15" t="s">
        <v>1979</v>
      </c>
      <c r="BD119" s="15" t="s">
        <v>415</v>
      </c>
      <c r="BE119" s="15" t="str">
        <f t="shared" si="212"/>
        <v>1</v>
      </c>
      <c r="BF119" s="15" t="s">
        <v>416</v>
      </c>
      <c r="BG119" s="15" t="str">
        <f>"36.61"</f>
        <v>36.61</v>
      </c>
      <c r="BH119" s="15" t="s">
        <v>1734</v>
      </c>
      <c r="BI119" s="15" t="str">
        <f>"36.22"</f>
        <v>36.22</v>
      </c>
      <c r="BJ119" s="15" t="s">
        <v>1779</v>
      </c>
      <c r="BK119" s="15" t="str">
        <f>"22.44"</f>
        <v>22.44</v>
      </c>
      <c r="BL119" s="15" t="s">
        <v>1156</v>
      </c>
      <c r="BM119" s="15" t="str">
        <f>"47.51"</f>
        <v>47.51</v>
      </c>
      <c r="BN119" s="15" t="s">
        <v>1980</v>
      </c>
      <c r="BQ119" s="15" t="s">
        <v>444</v>
      </c>
      <c r="BS119" s="15" t="s">
        <v>444</v>
      </c>
      <c r="BU119" s="15" t="s">
        <v>444</v>
      </c>
      <c r="BW119" s="15" t="s">
        <v>444</v>
      </c>
      <c r="BZ119" s="15" t="s">
        <v>444</v>
      </c>
      <c r="CB119" s="15" t="s">
        <v>444</v>
      </c>
      <c r="CD119" s="15" t="s">
        <v>444</v>
      </c>
      <c r="CF119" s="15" t="s">
        <v>444</v>
      </c>
      <c r="CI119" s="15" t="s">
        <v>444</v>
      </c>
      <c r="CK119" s="15" t="s">
        <v>444</v>
      </c>
      <c r="CM119" s="15" t="s">
        <v>444</v>
      </c>
      <c r="CO119" s="15" t="s">
        <v>444</v>
      </c>
      <c r="CP119" s="15" t="str">
        <f>"17.23"</f>
        <v>17.23</v>
      </c>
      <c r="CQ119" s="15" t="str">
        <f>"0.488"</f>
        <v>0.488</v>
      </c>
      <c r="CR119" s="15" t="s">
        <v>465</v>
      </c>
      <c r="DC119" s="15" t="str">
        <f>IFERROR(__xludf.DUMMYFUNCTION("""COMPUTED_VALUE"""),"")</f>
        <v/>
      </c>
      <c r="DE119" s="15" t="str">
        <f>IFERROR(__xludf.DUMMYFUNCTION("""COMPUTED_VALUE"""),"")</f>
        <v/>
      </c>
      <c r="DG119" s="15" t="str">
        <f>IFERROR(__xludf.DUMMYFUNCTION("""COMPUTED_VALUE"""),"")</f>
        <v/>
      </c>
      <c r="DL119" s="15" t="str">
        <f>IFERROR(__xludf.DUMMYFUNCTION("""COMPUTED_VALUE"""),"")</f>
        <v/>
      </c>
      <c r="DM119" s="15" t="s">
        <v>444</v>
      </c>
      <c r="DN119" s="15" t="s">
        <v>419</v>
      </c>
      <c r="DO119" s="15">
        <v>0.0</v>
      </c>
      <c r="DP119" s="15" t="s">
        <v>419</v>
      </c>
      <c r="DR119" s="15">
        <v>0.0</v>
      </c>
      <c r="DT119" s="15" t="s">
        <v>420</v>
      </c>
      <c r="DU119" s="15" t="s">
        <v>419</v>
      </c>
      <c r="DY119" s="15">
        <v>0.0</v>
      </c>
      <c r="EF119" s="15" t="s">
        <v>1157</v>
      </c>
      <c r="EG119" s="15" t="s">
        <v>1158</v>
      </c>
      <c r="EH119" s="15" t="s">
        <v>1981</v>
      </c>
      <c r="EJ119" s="15" t="s">
        <v>500</v>
      </c>
      <c r="EK119" s="15" t="s">
        <v>501</v>
      </c>
      <c r="EM119" s="15" t="str">
        <f>IFERROR(__xludf.DUMMYFUNCTION("""COMPUTED_VALUE"""),"")</f>
        <v/>
      </c>
      <c r="EX119" s="15" t="s">
        <v>1574</v>
      </c>
      <c r="EY119" s="15" t="s">
        <v>1574</v>
      </c>
      <c r="FH119" s="15" t="s">
        <v>1574</v>
      </c>
      <c r="FI119" s="15" t="s">
        <v>1982</v>
      </c>
      <c r="FJ119" s="15" t="s">
        <v>1574</v>
      </c>
      <c r="FK119" s="15" t="s">
        <v>1982</v>
      </c>
      <c r="FL119" s="15" t="s">
        <v>426</v>
      </c>
      <c r="FM119" s="15">
        <v>0.0</v>
      </c>
      <c r="FN119" s="15">
        <v>0.0</v>
      </c>
    </row>
    <row r="120" ht="15.75" customHeight="1">
      <c r="A120" s="14" t="s">
        <v>391</v>
      </c>
      <c r="B120" s="15" t="s">
        <v>1983</v>
      </c>
      <c r="C120" s="16"/>
      <c r="D120" s="15" t="s">
        <v>432</v>
      </c>
      <c r="G120" s="14" t="s">
        <v>393</v>
      </c>
      <c r="H120" s="14" t="s">
        <v>394</v>
      </c>
      <c r="I120" s="14" t="b">
        <v>1</v>
      </c>
      <c r="J120" s="14" t="s">
        <v>395</v>
      </c>
      <c r="L120" s="14" t="b">
        <v>0</v>
      </c>
      <c r="M120" s="15" t="s">
        <v>1984</v>
      </c>
      <c r="N120" s="14" t="s">
        <v>393</v>
      </c>
      <c r="O120" s="14" t="s">
        <v>393</v>
      </c>
      <c r="P120" s="15" t="s">
        <v>397</v>
      </c>
      <c r="Q120" s="15" t="s">
        <v>1985</v>
      </c>
      <c r="T120" s="14" t="b">
        <v>0</v>
      </c>
      <c r="U120" s="15" t="s">
        <v>1986</v>
      </c>
      <c r="V120" s="15" t="s">
        <v>1987</v>
      </c>
      <c r="W120" s="15" t="s">
        <v>401</v>
      </c>
      <c r="X120" s="15" t="s">
        <v>695</v>
      </c>
      <c r="Y120" s="15">
        <v>2405.0</v>
      </c>
      <c r="AA120" s="15" t="str">
        <f>"925"</f>
        <v>925</v>
      </c>
      <c r="AB120" s="14" t="b">
        <v>1</v>
      </c>
      <c r="AC120" s="14" t="b">
        <v>1</v>
      </c>
      <c r="AD120" s="15" t="str">
        <f>"801542025090"</f>
        <v>801542025090</v>
      </c>
      <c r="AE120" s="15" t="s">
        <v>1988</v>
      </c>
      <c r="AF120" s="14" t="s">
        <v>404</v>
      </c>
      <c r="AG120" s="14" t="s">
        <v>405</v>
      </c>
      <c r="AH120" s="14" t="s">
        <v>406</v>
      </c>
      <c r="AI120" s="15">
        <v>0.0</v>
      </c>
      <c r="AL120" s="15" t="s">
        <v>975</v>
      </c>
      <c r="AM120" s="15" t="s">
        <v>600</v>
      </c>
      <c r="AN120" s="15" t="s">
        <v>601</v>
      </c>
      <c r="AO120" s="15" t="s">
        <v>645</v>
      </c>
      <c r="AP120" s="15" t="s">
        <v>646</v>
      </c>
      <c r="AQ120" s="15" t="s">
        <v>1274</v>
      </c>
      <c r="AR120" s="15" t="s">
        <v>1275</v>
      </c>
      <c r="AS120" s="15" t="s">
        <v>725</v>
      </c>
      <c r="AT120" s="15" t="s">
        <v>1985</v>
      </c>
      <c r="AU120" s="15" t="s">
        <v>978</v>
      </c>
      <c r="AW120" s="15" t="s">
        <v>706</v>
      </c>
      <c r="AX120" s="15" t="s">
        <v>707</v>
      </c>
      <c r="AY120" s="15" t="s">
        <v>413</v>
      </c>
      <c r="AZ120" s="15" t="b">
        <v>0</v>
      </c>
      <c r="BA120" s="15" t="s">
        <v>413</v>
      </c>
      <c r="BB120" s="15" t="b">
        <v>0</v>
      </c>
      <c r="BC120" s="15" t="s">
        <v>1989</v>
      </c>
      <c r="BD120" s="15" t="s">
        <v>709</v>
      </c>
      <c r="BE120" s="15" t="str">
        <f t="shared" si="212"/>
        <v>1</v>
      </c>
      <c r="BF120" s="15" t="s">
        <v>416</v>
      </c>
      <c r="BG120" s="15" t="str">
        <f t="shared" ref="BG120:BG121" si="219">"37.01"</f>
        <v>37.01</v>
      </c>
      <c r="BH120" s="15" t="s">
        <v>1990</v>
      </c>
      <c r="BI120" s="15" t="str">
        <f t="shared" ref="BI120:BI121" si="220">"29.92"</f>
        <v>29.92</v>
      </c>
      <c r="BJ120" s="15" t="s">
        <v>1321</v>
      </c>
      <c r="BK120" s="15" t="str">
        <f t="shared" ref="BK120:BK121" si="221">"31.5"</f>
        <v>31.5</v>
      </c>
      <c r="BL120" s="15" t="s">
        <v>1322</v>
      </c>
      <c r="BM120" s="15" t="str">
        <f t="shared" ref="BM120:BM121" si="222">"57.32"</f>
        <v>57.32</v>
      </c>
      <c r="BN120" s="15" t="s">
        <v>1991</v>
      </c>
      <c r="BQ120" s="15" t="s">
        <v>444</v>
      </c>
      <c r="BS120" s="15" t="s">
        <v>444</v>
      </c>
      <c r="BU120" s="15" t="s">
        <v>444</v>
      </c>
      <c r="BW120" s="15" t="s">
        <v>444</v>
      </c>
      <c r="BZ120" s="15" t="s">
        <v>444</v>
      </c>
      <c r="CB120" s="15" t="s">
        <v>444</v>
      </c>
      <c r="CD120" s="15" t="s">
        <v>444</v>
      </c>
      <c r="CF120" s="15" t="s">
        <v>444</v>
      </c>
      <c r="CI120" s="15" t="s">
        <v>444</v>
      </c>
      <c r="CK120" s="15" t="s">
        <v>444</v>
      </c>
      <c r="CM120" s="15" t="s">
        <v>444</v>
      </c>
      <c r="CO120" s="15" t="s">
        <v>444</v>
      </c>
      <c r="CP120" s="15" t="str">
        <f t="shared" ref="CP120:CP121" si="223">"20.2"</f>
        <v>20.2</v>
      </c>
      <c r="CQ120" s="15" t="str">
        <f t="shared" ref="CQ120:CQ121" si="224">"0.572"</f>
        <v>0.572</v>
      </c>
      <c r="CR120" s="15" t="s">
        <v>465</v>
      </c>
      <c r="DB120" s="15" t="s">
        <v>1331</v>
      </c>
      <c r="DC120" s="15" t="str">
        <f>IFERROR(__xludf.DUMMYFUNCTION("""COMPUTED_VALUE"""),"{""value"":21.00,""unit"":""in""}")</f>
        <v>{"value":21.00,"unit":"in"}</v>
      </c>
      <c r="DD120" s="15" t="s">
        <v>1161</v>
      </c>
      <c r="DE120" s="15" t="str">
        <f>IFERROR(__xludf.DUMMYFUNCTION("""COMPUTED_VALUE"""),"{""value"":17.00,""unit"":""in""}")</f>
        <v>{"value":17.00,"unit":"in"}</v>
      </c>
      <c r="DG120" s="15" t="str">
        <f>IFERROR(__xludf.DUMMYFUNCTION("""COMPUTED_VALUE"""),"")</f>
        <v/>
      </c>
      <c r="DH120" s="15">
        <v>0.0</v>
      </c>
      <c r="DI120" s="15">
        <v>1.0</v>
      </c>
      <c r="DJ120" s="15" t="s">
        <v>717</v>
      </c>
      <c r="DK120" s="15" t="s">
        <v>718</v>
      </c>
      <c r="DL120" s="15" t="str">
        <f>IFERROR(__xludf.DUMMYFUNCTION("""COMPUTED_VALUE"""),"Vacuum or light brush only. Do not use water or any cleaning products.")</f>
        <v>Vacuum or light brush only. Do not use water or any cleaning products.</v>
      </c>
      <c r="DM120" s="15" t="s">
        <v>719</v>
      </c>
      <c r="DT120" s="15" t="s">
        <v>721</v>
      </c>
      <c r="DU120" s="15" t="s">
        <v>419</v>
      </c>
      <c r="DV120" s="15">
        <v>0.0</v>
      </c>
      <c r="DZ120" s="15">
        <v>0.0</v>
      </c>
      <c r="EA120" s="15" t="s">
        <v>990</v>
      </c>
      <c r="EB120" s="15" t="s">
        <v>1016</v>
      </c>
      <c r="ED120" s="15">
        <v>1.0</v>
      </c>
      <c r="EE120" s="15">
        <v>1.0</v>
      </c>
      <c r="EG120" s="15" t="s">
        <v>444</v>
      </c>
      <c r="EH120" s="15" t="s">
        <v>1992</v>
      </c>
      <c r="EI120" s="15">
        <v>0.0</v>
      </c>
      <c r="EJ120" s="15" t="s">
        <v>726</v>
      </c>
      <c r="EK120" s="15" t="s">
        <v>727</v>
      </c>
      <c r="EL120" s="15" t="s">
        <v>525</v>
      </c>
      <c r="EM120" s="15" t="str">
        <f>IFERROR(__xludf.DUMMYFUNCTION("""COMPUTED_VALUE"""),"{""value"":23.00,""unit"":""in""}")</f>
        <v>{"value":23.00,"unit":"in"}</v>
      </c>
      <c r="EN120" s="15" t="s">
        <v>505</v>
      </c>
      <c r="EO120" s="15" t="s">
        <v>1993</v>
      </c>
      <c r="ES120" s="15" t="s">
        <v>672</v>
      </c>
      <c r="EW120" s="15" t="s">
        <v>943</v>
      </c>
      <c r="EX120" s="15" t="s">
        <v>1994</v>
      </c>
      <c r="EY120" s="15" t="s">
        <v>1995</v>
      </c>
      <c r="EZ120" s="15" t="s">
        <v>1996</v>
      </c>
      <c r="FC120" s="15" t="s">
        <v>1016</v>
      </c>
      <c r="FF120" s="15" t="s">
        <v>860</v>
      </c>
      <c r="FO120" s="15" t="s">
        <v>1997</v>
      </c>
      <c r="FP120" s="15" t="s">
        <v>1998</v>
      </c>
      <c r="FQ120" s="15">
        <v>0.0</v>
      </c>
      <c r="FR120" s="15">
        <v>0.0</v>
      </c>
      <c r="FT120" s="15">
        <v>0.0</v>
      </c>
    </row>
    <row r="121" ht="15.75" customHeight="1">
      <c r="A121" s="14" t="s">
        <v>391</v>
      </c>
      <c r="B121" s="15" t="s">
        <v>1983</v>
      </c>
      <c r="C121" s="16"/>
      <c r="D121" s="15" t="s">
        <v>432</v>
      </c>
      <c r="G121" s="14" t="s">
        <v>393</v>
      </c>
      <c r="H121" s="14" t="s">
        <v>394</v>
      </c>
      <c r="I121" s="14" t="b">
        <v>1</v>
      </c>
      <c r="J121" s="14" t="s">
        <v>395</v>
      </c>
      <c r="L121" s="14" t="b">
        <v>0</v>
      </c>
      <c r="M121" s="15" t="s">
        <v>1999</v>
      </c>
      <c r="N121" s="14" t="s">
        <v>393</v>
      </c>
      <c r="O121" s="14" t="s">
        <v>393</v>
      </c>
      <c r="P121" s="15" t="s">
        <v>397</v>
      </c>
      <c r="Q121" s="15" t="s">
        <v>2000</v>
      </c>
      <c r="T121" s="14" t="b">
        <v>0</v>
      </c>
      <c r="U121" s="15" t="s">
        <v>2001</v>
      </c>
      <c r="V121" s="15" t="s">
        <v>1987</v>
      </c>
      <c r="W121" s="15" t="s">
        <v>401</v>
      </c>
      <c r="X121" s="15" t="s">
        <v>695</v>
      </c>
      <c r="Y121" s="15">
        <v>1313.0</v>
      </c>
      <c r="AA121" s="15" t="str">
        <f>"505"</f>
        <v>505</v>
      </c>
      <c r="AB121" s="14" t="b">
        <v>1</v>
      </c>
      <c r="AC121" s="14" t="b">
        <v>1</v>
      </c>
      <c r="AD121" s="15" t="str">
        <f>"801542563479"</f>
        <v>801542563479</v>
      </c>
      <c r="AE121" s="15" t="s">
        <v>2002</v>
      </c>
      <c r="AF121" s="14" t="s">
        <v>404</v>
      </c>
      <c r="AG121" s="14" t="s">
        <v>405</v>
      </c>
      <c r="AH121" s="14" t="s">
        <v>406</v>
      </c>
      <c r="AI121" s="15">
        <v>0.0</v>
      </c>
      <c r="AL121" s="15" t="s">
        <v>2003</v>
      </c>
      <c r="AM121" s="15" t="s">
        <v>600</v>
      </c>
      <c r="AN121" s="15" t="s">
        <v>601</v>
      </c>
      <c r="AO121" s="15" t="s">
        <v>645</v>
      </c>
      <c r="AP121" s="15" t="s">
        <v>646</v>
      </c>
      <c r="AQ121" s="15" t="s">
        <v>1274</v>
      </c>
      <c r="AR121" s="15" t="s">
        <v>1275</v>
      </c>
      <c r="AS121" s="15" t="s">
        <v>725</v>
      </c>
      <c r="AT121" s="15" t="s">
        <v>2000</v>
      </c>
      <c r="AU121" s="15" t="s">
        <v>1087</v>
      </c>
      <c r="AV121" s="15" t="s">
        <v>2004</v>
      </c>
      <c r="AW121" s="15" t="s">
        <v>706</v>
      </c>
      <c r="AX121" s="15" t="s">
        <v>707</v>
      </c>
      <c r="AY121" s="15" t="s">
        <v>413</v>
      </c>
      <c r="AZ121" s="15" t="b">
        <v>0</v>
      </c>
      <c r="BA121" s="15" t="s">
        <v>426</v>
      </c>
      <c r="BB121" s="15" t="b">
        <v>1</v>
      </c>
      <c r="BC121" s="15" t="s">
        <v>2005</v>
      </c>
      <c r="BD121" s="15" t="s">
        <v>709</v>
      </c>
      <c r="BE121" s="15" t="str">
        <f t="shared" si="212"/>
        <v>1</v>
      </c>
      <c r="BF121" s="15" t="s">
        <v>416</v>
      </c>
      <c r="BG121" s="15" t="str">
        <f t="shared" si="219"/>
        <v>37.01</v>
      </c>
      <c r="BH121" s="15" t="s">
        <v>1990</v>
      </c>
      <c r="BI121" s="15" t="str">
        <f t="shared" si="220"/>
        <v>29.92</v>
      </c>
      <c r="BJ121" s="15" t="s">
        <v>1321</v>
      </c>
      <c r="BK121" s="15" t="str">
        <f t="shared" si="221"/>
        <v>31.5</v>
      </c>
      <c r="BL121" s="15" t="s">
        <v>1322</v>
      </c>
      <c r="BM121" s="15" t="str">
        <f t="shared" si="222"/>
        <v>57.32</v>
      </c>
      <c r="BN121" s="15" t="s">
        <v>1991</v>
      </c>
      <c r="BQ121" s="15" t="s">
        <v>444</v>
      </c>
      <c r="BS121" s="15" t="s">
        <v>444</v>
      </c>
      <c r="BU121" s="15" t="s">
        <v>444</v>
      </c>
      <c r="BW121" s="15" t="s">
        <v>444</v>
      </c>
      <c r="BZ121" s="15" t="s">
        <v>444</v>
      </c>
      <c r="CB121" s="15" t="s">
        <v>444</v>
      </c>
      <c r="CD121" s="15" t="s">
        <v>444</v>
      </c>
      <c r="CF121" s="15" t="s">
        <v>444</v>
      </c>
      <c r="CI121" s="15" t="s">
        <v>444</v>
      </c>
      <c r="CK121" s="15" t="s">
        <v>444</v>
      </c>
      <c r="CM121" s="15" t="s">
        <v>444</v>
      </c>
      <c r="CO121" s="15" t="s">
        <v>444</v>
      </c>
      <c r="CP121" s="15" t="str">
        <f t="shared" si="223"/>
        <v>20.2</v>
      </c>
      <c r="CQ121" s="15" t="str">
        <f t="shared" si="224"/>
        <v>0.572</v>
      </c>
      <c r="CR121" s="15" t="s">
        <v>497</v>
      </c>
      <c r="DB121" s="15" t="s">
        <v>1331</v>
      </c>
      <c r="DC121" s="15" t="str">
        <f>IFERROR(__xludf.DUMMYFUNCTION("""COMPUTED_VALUE"""),"{""value"":21.00,""unit"":""in""}")</f>
        <v>{"value":21.00,"unit":"in"}</v>
      </c>
      <c r="DD121" s="15" t="s">
        <v>1161</v>
      </c>
      <c r="DE121" s="15" t="str">
        <f>IFERROR(__xludf.DUMMYFUNCTION("""COMPUTED_VALUE"""),"{""value"":17.00,""unit"":""in""}")</f>
        <v>{"value":17.00,"unit":"in"}</v>
      </c>
      <c r="DG121" s="15" t="str">
        <f>IFERROR(__xludf.DUMMYFUNCTION("""COMPUTED_VALUE"""),"")</f>
        <v/>
      </c>
      <c r="DH121" s="15">
        <v>0.0</v>
      </c>
      <c r="DI121" s="15">
        <v>1.0</v>
      </c>
      <c r="DJ121" s="15" t="s">
        <v>717</v>
      </c>
      <c r="DK121" s="15" t="s">
        <v>855</v>
      </c>
      <c r="DL121" s="15" t="str">
        <f>IFERROR(__xludf.DUMMYFUNCTION("""COMPUTED_VALUE"""),"Clean with solvent-based (dry clean only) products. Do not use water.")</f>
        <v>Clean with solvent-based (dry clean only) products. Do not use water.</v>
      </c>
      <c r="DM121" s="15" t="s">
        <v>856</v>
      </c>
      <c r="DT121" s="15" t="s">
        <v>721</v>
      </c>
      <c r="DU121" s="15" t="s">
        <v>419</v>
      </c>
      <c r="DV121" s="15">
        <v>0.0</v>
      </c>
      <c r="DZ121" s="15">
        <v>25000.0</v>
      </c>
      <c r="EA121" s="15" t="s">
        <v>990</v>
      </c>
      <c r="EB121" s="15" t="s">
        <v>1016</v>
      </c>
      <c r="ED121" s="15">
        <v>1.0</v>
      </c>
      <c r="EE121" s="15">
        <v>1.0</v>
      </c>
      <c r="EG121" s="15" t="s">
        <v>444</v>
      </c>
      <c r="EH121" s="15" t="s">
        <v>1992</v>
      </c>
      <c r="EI121" s="15">
        <v>0.0</v>
      </c>
      <c r="EJ121" s="15" t="s">
        <v>726</v>
      </c>
      <c r="EK121" s="15" t="s">
        <v>727</v>
      </c>
      <c r="EL121" s="15" t="s">
        <v>525</v>
      </c>
      <c r="EM121" s="15" t="str">
        <f>IFERROR(__xludf.DUMMYFUNCTION("""COMPUTED_VALUE"""),"{""value"":23.00,""unit"":""in""}")</f>
        <v>{"value":23.00,"unit":"in"}</v>
      </c>
      <c r="EN121" s="15" t="s">
        <v>505</v>
      </c>
      <c r="EO121" s="15" t="s">
        <v>1993</v>
      </c>
      <c r="ES121" s="15" t="s">
        <v>672</v>
      </c>
      <c r="EW121" s="15" t="s">
        <v>943</v>
      </c>
      <c r="EX121" s="15" t="s">
        <v>1994</v>
      </c>
      <c r="EY121" s="15" t="s">
        <v>1995</v>
      </c>
      <c r="EZ121" s="15" t="s">
        <v>1996</v>
      </c>
      <c r="FC121" s="15" t="s">
        <v>1016</v>
      </c>
      <c r="FF121" s="15" t="s">
        <v>860</v>
      </c>
      <c r="FO121" s="15" t="s">
        <v>1997</v>
      </c>
      <c r="FP121" s="15" t="s">
        <v>1998</v>
      </c>
      <c r="FQ121" s="15">
        <v>0.0</v>
      </c>
      <c r="FR121" s="15">
        <v>0.0</v>
      </c>
      <c r="FT121" s="15">
        <v>0.0</v>
      </c>
    </row>
    <row r="122" ht="15.75" customHeight="1">
      <c r="A122" s="14" t="s">
        <v>391</v>
      </c>
      <c r="B122" s="15" t="s">
        <v>2006</v>
      </c>
      <c r="C122" s="16"/>
      <c r="D122" s="15" t="s">
        <v>432</v>
      </c>
      <c r="G122" s="14" t="s">
        <v>393</v>
      </c>
      <c r="H122" s="14" t="s">
        <v>394</v>
      </c>
      <c r="I122" s="14" t="b">
        <v>1</v>
      </c>
      <c r="J122" s="14" t="s">
        <v>395</v>
      </c>
      <c r="L122" s="14" t="b">
        <v>0</v>
      </c>
      <c r="M122" s="15" t="s">
        <v>2007</v>
      </c>
      <c r="N122" s="14" t="s">
        <v>393</v>
      </c>
      <c r="O122" s="14" t="s">
        <v>393</v>
      </c>
      <c r="P122" s="15" t="s">
        <v>397</v>
      </c>
      <c r="Q122" s="15" t="s">
        <v>2008</v>
      </c>
      <c r="T122" s="14" t="b">
        <v>0</v>
      </c>
      <c r="U122" s="15" t="s">
        <v>2009</v>
      </c>
      <c r="V122" s="15" t="s">
        <v>2010</v>
      </c>
      <c r="W122" s="15" t="s">
        <v>401</v>
      </c>
      <c r="X122" s="15" t="s">
        <v>695</v>
      </c>
      <c r="Y122" s="15">
        <v>6890.0</v>
      </c>
      <c r="AA122" s="15" t="str">
        <f>"2650"</f>
        <v>2650</v>
      </c>
      <c r="AB122" s="14" t="b">
        <v>1</v>
      </c>
      <c r="AC122" s="14" t="b">
        <v>1</v>
      </c>
      <c r="AD122" s="15" t="str">
        <f>"801542691714"</f>
        <v>801542691714</v>
      </c>
      <c r="AE122" s="15" t="s">
        <v>2011</v>
      </c>
      <c r="AF122" s="14" t="s">
        <v>404</v>
      </c>
      <c r="AG122" s="14" t="s">
        <v>405</v>
      </c>
      <c r="AH122" s="14" t="s">
        <v>406</v>
      </c>
      <c r="AI122" s="15">
        <v>0.0</v>
      </c>
      <c r="AL122" s="15" t="s">
        <v>1341</v>
      </c>
      <c r="AM122" s="15" t="s">
        <v>770</v>
      </c>
      <c r="AN122" s="15" t="s">
        <v>771</v>
      </c>
      <c r="AO122" s="15" t="s">
        <v>1222</v>
      </c>
      <c r="AP122" s="15" t="s">
        <v>1223</v>
      </c>
      <c r="AQ122" s="15" t="s">
        <v>2012</v>
      </c>
      <c r="AR122" s="15" t="s">
        <v>2013</v>
      </c>
      <c r="AS122" s="15" t="s">
        <v>703</v>
      </c>
      <c r="AT122" s="15" t="s">
        <v>2008</v>
      </c>
      <c r="AU122" s="15" t="s">
        <v>2014</v>
      </c>
      <c r="AW122" s="15" t="s">
        <v>1732</v>
      </c>
      <c r="AY122" s="15" t="s">
        <v>413</v>
      </c>
      <c r="AZ122" s="15" t="b">
        <v>0</v>
      </c>
      <c r="BA122" s="15" t="s">
        <v>413</v>
      </c>
      <c r="BB122" s="15" t="b">
        <v>0</v>
      </c>
      <c r="BC122" s="15" t="s">
        <v>2015</v>
      </c>
      <c r="BD122" s="15" t="s">
        <v>709</v>
      </c>
      <c r="BE122" s="15" t="str">
        <f t="shared" si="212"/>
        <v>1</v>
      </c>
      <c r="BF122" s="15" t="s">
        <v>416</v>
      </c>
      <c r="BG122" s="15" t="str">
        <f>"97"</f>
        <v>97</v>
      </c>
      <c r="BH122" s="15" t="s">
        <v>1731</v>
      </c>
      <c r="BI122" s="15" t="str">
        <f>"36"</f>
        <v>36</v>
      </c>
      <c r="BJ122" s="15" t="s">
        <v>623</v>
      </c>
      <c r="BK122" s="15" t="str">
        <f>"33.5"</f>
        <v>33.5</v>
      </c>
      <c r="BL122" s="15" t="s">
        <v>1223</v>
      </c>
      <c r="BM122" s="15" t="str">
        <f>"194"</f>
        <v>194</v>
      </c>
      <c r="BN122" s="15" t="s">
        <v>2016</v>
      </c>
      <c r="BQ122" s="15" t="s">
        <v>444</v>
      </c>
      <c r="BS122" s="15" t="s">
        <v>444</v>
      </c>
      <c r="BU122" s="15" t="s">
        <v>444</v>
      </c>
      <c r="BW122" s="15" t="s">
        <v>444</v>
      </c>
      <c r="BZ122" s="15" t="s">
        <v>444</v>
      </c>
      <c r="CB122" s="15" t="s">
        <v>444</v>
      </c>
      <c r="CD122" s="15" t="s">
        <v>444</v>
      </c>
      <c r="CF122" s="15" t="s">
        <v>444</v>
      </c>
      <c r="CI122" s="15" t="s">
        <v>444</v>
      </c>
      <c r="CK122" s="15" t="s">
        <v>444</v>
      </c>
      <c r="CM122" s="15" t="s">
        <v>444</v>
      </c>
      <c r="CO122" s="15" t="s">
        <v>444</v>
      </c>
      <c r="CP122" s="15" t="str">
        <f>"67.7"</f>
        <v>67.7</v>
      </c>
      <c r="CQ122" s="15" t="str">
        <f>"1.917"</f>
        <v>1.917</v>
      </c>
      <c r="CR122" s="15" t="s">
        <v>497</v>
      </c>
      <c r="CY122" s="15" t="s">
        <v>2017</v>
      </c>
      <c r="CZ122" s="15" t="s">
        <v>732</v>
      </c>
      <c r="DA122" s="15" t="s">
        <v>2018</v>
      </c>
      <c r="DB122" s="15" t="s">
        <v>2019</v>
      </c>
      <c r="DC122" s="15" t="str">
        <f>IFERROR(__xludf.DUMMYFUNCTION("""COMPUTED_VALUE"""),"{""value"":21.65,""unit"":""in""}")</f>
        <v>{"value":21.65,"unit":"in"}</v>
      </c>
      <c r="DD122" s="15" t="s">
        <v>2020</v>
      </c>
      <c r="DE122" s="15" t="str">
        <f>IFERROR(__xludf.DUMMYFUNCTION("""COMPUTED_VALUE"""),"{""value"":15.75,""unit"":""in""}")</f>
        <v>{"value":15.75,"unit":"in"}</v>
      </c>
      <c r="DF122" s="15" t="s">
        <v>2021</v>
      </c>
      <c r="DG122" s="15" t="str">
        <f>IFERROR(__xludf.DUMMYFUNCTION("""COMPUTED_VALUE"""),"{""value"":68.90,""unit"":""in""}")</f>
        <v>{"value":68.90,"unit":"in"}</v>
      </c>
      <c r="DH122" s="15">
        <v>2.0</v>
      </c>
      <c r="DI122" s="15">
        <v>2.0</v>
      </c>
      <c r="DJ122" s="15" t="s">
        <v>717</v>
      </c>
      <c r="DK122" s="15" t="s">
        <v>718</v>
      </c>
      <c r="DL122" s="15" t="str">
        <f>IFERROR(__xludf.DUMMYFUNCTION("""COMPUTED_VALUE"""),"Vacuum or light brush only. Do not use water or any cleaning products.")</f>
        <v>Vacuum or light brush only. Do not use water or any cleaning products.</v>
      </c>
      <c r="DM122" s="15" t="s">
        <v>719</v>
      </c>
      <c r="DQ122" s="15" t="s">
        <v>2022</v>
      </c>
      <c r="DT122" s="15" t="s">
        <v>721</v>
      </c>
      <c r="DU122" s="15" t="s">
        <v>419</v>
      </c>
      <c r="DV122" s="15">
        <v>0.0</v>
      </c>
      <c r="DZ122" s="15">
        <v>0.0</v>
      </c>
      <c r="EA122" s="15" t="s">
        <v>990</v>
      </c>
      <c r="EB122" s="15" t="s">
        <v>723</v>
      </c>
      <c r="EC122" s="15" t="s">
        <v>724</v>
      </c>
      <c r="ED122" s="15">
        <v>2.0</v>
      </c>
      <c r="EE122" s="15">
        <v>2.0</v>
      </c>
      <c r="EG122" s="15" t="s">
        <v>444</v>
      </c>
      <c r="EH122" s="15" t="s">
        <v>2023</v>
      </c>
      <c r="EI122" s="15">
        <v>0.0</v>
      </c>
      <c r="EJ122" s="15" t="s">
        <v>1545</v>
      </c>
      <c r="EK122" s="15" t="s">
        <v>1546</v>
      </c>
      <c r="EL122" s="15" t="s">
        <v>2017</v>
      </c>
      <c r="EM122" s="15" t="str">
        <f>IFERROR(__xludf.DUMMYFUNCTION("""COMPUTED_VALUE"""),"{""value"":27.56,""unit"":""in""}")</f>
        <v>{"value":27.56,"unit":"in"}</v>
      </c>
      <c r="EN122" s="15" t="s">
        <v>822</v>
      </c>
      <c r="EO122" s="15" t="s">
        <v>2024</v>
      </c>
      <c r="EP122" s="15" t="s">
        <v>1374</v>
      </c>
      <c r="EQ122" s="15" t="s">
        <v>714</v>
      </c>
      <c r="ER122" s="15" t="s">
        <v>2017</v>
      </c>
      <c r="ES122" s="15" t="s">
        <v>732</v>
      </c>
      <c r="ET122" s="15" t="s">
        <v>1374</v>
      </c>
      <c r="EU122" s="15" t="s">
        <v>714</v>
      </c>
      <c r="EV122" s="15" t="s">
        <v>2025</v>
      </c>
      <c r="EW122" s="15" t="s">
        <v>2026</v>
      </c>
      <c r="EX122" s="15" t="s">
        <v>2017</v>
      </c>
      <c r="EY122" s="15" t="s">
        <v>2027</v>
      </c>
      <c r="EZ122" s="15" t="s">
        <v>822</v>
      </c>
      <c r="FA122" s="15" t="s">
        <v>724</v>
      </c>
      <c r="FB122" s="15" t="s">
        <v>426</v>
      </c>
      <c r="FC122" s="15" t="s">
        <v>723</v>
      </c>
      <c r="FD122" s="15" t="s">
        <v>724</v>
      </c>
      <c r="FE122" s="15" t="s">
        <v>2028</v>
      </c>
      <c r="FF122" s="15" t="s">
        <v>2029</v>
      </c>
      <c r="FL122" s="15" t="s">
        <v>426</v>
      </c>
    </row>
    <row r="123" ht="15.75" customHeight="1">
      <c r="A123" s="14" t="s">
        <v>391</v>
      </c>
      <c r="B123" s="15" t="s">
        <v>2030</v>
      </c>
      <c r="C123" s="16"/>
      <c r="D123" s="15" t="s">
        <v>432</v>
      </c>
      <c r="G123" s="14" t="s">
        <v>393</v>
      </c>
      <c r="H123" s="14" t="s">
        <v>394</v>
      </c>
      <c r="I123" s="14" t="b">
        <v>1</v>
      </c>
      <c r="J123" s="14" t="s">
        <v>395</v>
      </c>
      <c r="L123" s="14" t="b">
        <v>0</v>
      </c>
      <c r="M123" s="15" t="s">
        <v>2031</v>
      </c>
      <c r="N123" s="14" t="s">
        <v>393</v>
      </c>
      <c r="O123" s="14" t="s">
        <v>393</v>
      </c>
      <c r="P123" s="15" t="s">
        <v>397</v>
      </c>
      <c r="Q123" s="15" t="s">
        <v>2032</v>
      </c>
      <c r="T123" s="14" t="b">
        <v>0</v>
      </c>
      <c r="U123" s="15" t="s">
        <v>2033</v>
      </c>
      <c r="V123" s="15" t="s">
        <v>2034</v>
      </c>
      <c r="W123" s="15" t="s">
        <v>401</v>
      </c>
      <c r="X123" s="15" t="s">
        <v>742</v>
      </c>
      <c r="Y123" s="15">
        <v>1092.0</v>
      </c>
      <c r="AA123" s="15" t="str">
        <f>"420"</f>
        <v>420</v>
      </c>
      <c r="AB123" s="14" t="b">
        <v>1</v>
      </c>
      <c r="AC123" s="14" t="b">
        <v>1</v>
      </c>
      <c r="AD123" s="15" t="str">
        <f>"801542640606"</f>
        <v>801542640606</v>
      </c>
      <c r="AE123" s="15" t="s">
        <v>2035</v>
      </c>
      <c r="AF123" s="14" t="s">
        <v>404</v>
      </c>
      <c r="AG123" s="14" t="s">
        <v>405</v>
      </c>
      <c r="AH123" s="14" t="s">
        <v>406</v>
      </c>
      <c r="AI123" s="15">
        <v>0.0</v>
      </c>
      <c r="AL123" s="15" t="s">
        <v>2036</v>
      </c>
      <c r="AM123" s="15" t="s">
        <v>2037</v>
      </c>
      <c r="AN123" s="15" t="s">
        <v>2038</v>
      </c>
      <c r="AO123" s="15" t="s">
        <v>1175</v>
      </c>
      <c r="AP123" s="15" t="s">
        <v>1176</v>
      </c>
      <c r="AQ123" s="15" t="s">
        <v>2039</v>
      </c>
      <c r="AR123" s="15" t="s">
        <v>2040</v>
      </c>
      <c r="AS123" s="15" t="s">
        <v>2041</v>
      </c>
      <c r="AT123" s="15" t="s">
        <v>2032</v>
      </c>
      <c r="AW123" s="15" t="s">
        <v>491</v>
      </c>
      <c r="AY123" s="15" t="s">
        <v>413</v>
      </c>
      <c r="AZ123" s="15" t="b">
        <v>0</v>
      </c>
      <c r="BA123" s="15" t="s">
        <v>413</v>
      </c>
      <c r="BB123" s="15" t="b">
        <v>0</v>
      </c>
      <c r="BC123" s="15" t="s">
        <v>2042</v>
      </c>
      <c r="BD123" s="15" t="s">
        <v>742</v>
      </c>
      <c r="BE123" s="15" t="str">
        <f t="shared" si="212"/>
        <v>1</v>
      </c>
      <c r="BF123" s="15" t="s">
        <v>2043</v>
      </c>
      <c r="BG123" s="15" t="str">
        <f>"64.17"</f>
        <v>64.17</v>
      </c>
      <c r="BH123" s="15" t="s">
        <v>2044</v>
      </c>
      <c r="BI123" s="15" t="str">
        <f>"29.53"</f>
        <v>29.53</v>
      </c>
      <c r="BJ123" s="15" t="s">
        <v>1062</v>
      </c>
      <c r="BK123" s="15" t="str">
        <f>"21.85"</f>
        <v>21.85</v>
      </c>
      <c r="BL123" s="15" t="s">
        <v>1405</v>
      </c>
      <c r="BM123" s="15" t="str">
        <f t="shared" ref="BM123:BM124" si="225">"103.62"</f>
        <v>103.62</v>
      </c>
      <c r="BN123" s="15" t="s">
        <v>2045</v>
      </c>
      <c r="BQ123" s="15" t="s">
        <v>444</v>
      </c>
      <c r="BS123" s="15" t="s">
        <v>444</v>
      </c>
      <c r="BU123" s="15" t="s">
        <v>444</v>
      </c>
      <c r="BW123" s="15" t="s">
        <v>444</v>
      </c>
      <c r="BZ123" s="15" t="s">
        <v>444</v>
      </c>
      <c r="CB123" s="15" t="s">
        <v>444</v>
      </c>
      <c r="CD123" s="15" t="s">
        <v>444</v>
      </c>
      <c r="CF123" s="15" t="s">
        <v>444</v>
      </c>
      <c r="CI123" s="15" t="s">
        <v>444</v>
      </c>
      <c r="CK123" s="15" t="s">
        <v>444</v>
      </c>
      <c r="CM123" s="15" t="s">
        <v>444</v>
      </c>
      <c r="CO123" s="15" t="s">
        <v>444</v>
      </c>
      <c r="CP123" s="15" t="str">
        <f>"23.94"</f>
        <v>23.94</v>
      </c>
      <c r="CQ123" s="15" t="str">
        <f>"0.678"</f>
        <v>0.678</v>
      </c>
      <c r="CR123" s="15" t="s">
        <v>497</v>
      </c>
      <c r="CS123" s="15" t="s">
        <v>1116</v>
      </c>
      <c r="CT123" s="15" t="s">
        <v>2046</v>
      </c>
      <c r="CU123" s="15" t="s">
        <v>2047</v>
      </c>
      <c r="CV123" s="15" t="s">
        <v>1116</v>
      </c>
      <c r="CW123" s="15" t="s">
        <v>995</v>
      </c>
      <c r="CX123" s="15" t="s">
        <v>2047</v>
      </c>
      <c r="DC123" s="15" t="str">
        <f>IFERROR(__xludf.DUMMYFUNCTION("""COMPUTED_VALUE"""),"")</f>
        <v/>
      </c>
      <c r="DE123" s="15" t="str">
        <f>IFERROR(__xludf.DUMMYFUNCTION("""COMPUTED_VALUE"""),"")</f>
        <v/>
      </c>
      <c r="DG123" s="15" t="str">
        <f>IFERROR(__xludf.DUMMYFUNCTION("""COMPUTED_VALUE"""),"")</f>
        <v/>
      </c>
      <c r="DL123" s="15" t="str">
        <f>IFERROR(__xludf.DUMMYFUNCTION("""COMPUTED_VALUE"""),"")</f>
        <v/>
      </c>
      <c r="DM123" s="15" t="s">
        <v>444</v>
      </c>
      <c r="DN123" s="15" t="s">
        <v>419</v>
      </c>
      <c r="DO123" s="15">
        <v>0.0</v>
      </c>
      <c r="DP123" s="15" t="s">
        <v>419</v>
      </c>
      <c r="DR123" s="15">
        <v>1.0</v>
      </c>
      <c r="DS123" s="15" t="s">
        <v>426</v>
      </c>
      <c r="DT123" s="15" t="s">
        <v>2048</v>
      </c>
      <c r="DU123" s="15" t="s">
        <v>1914</v>
      </c>
      <c r="DY123" s="15">
        <v>0.0</v>
      </c>
      <c r="EF123" s="15" t="s">
        <v>471</v>
      </c>
      <c r="EG123" s="15" t="s">
        <v>472</v>
      </c>
      <c r="EH123" s="15" t="s">
        <v>2049</v>
      </c>
      <c r="EJ123" s="15" t="s">
        <v>500</v>
      </c>
      <c r="EK123" s="15" t="s">
        <v>501</v>
      </c>
      <c r="EM123" s="15" t="str">
        <f>IFERROR(__xludf.DUMMYFUNCTION("""COMPUTED_VALUE"""),"")</f>
        <v/>
      </c>
      <c r="EW123" s="15" t="s">
        <v>2050</v>
      </c>
      <c r="EY123" s="15" t="s">
        <v>2047</v>
      </c>
      <c r="FH123" s="15" t="s">
        <v>1116</v>
      </c>
      <c r="FI123" s="15" t="s">
        <v>2051</v>
      </c>
      <c r="FJ123" s="15" t="s">
        <v>2052</v>
      </c>
      <c r="FK123" s="15" t="s">
        <v>759</v>
      </c>
      <c r="FL123" s="15" t="s">
        <v>426</v>
      </c>
      <c r="FM123" s="15">
        <v>0.0</v>
      </c>
      <c r="FN123" s="15">
        <v>0.0</v>
      </c>
    </row>
    <row r="124" ht="15.75" customHeight="1">
      <c r="A124" s="14" t="s">
        <v>391</v>
      </c>
      <c r="B124" s="15" t="s">
        <v>2053</v>
      </c>
      <c r="C124" s="16"/>
      <c r="D124" s="15" t="s">
        <v>432</v>
      </c>
      <c r="G124" s="14" t="s">
        <v>393</v>
      </c>
      <c r="H124" s="14" t="s">
        <v>394</v>
      </c>
      <c r="I124" s="14" t="b">
        <v>1</v>
      </c>
      <c r="J124" s="14" t="s">
        <v>395</v>
      </c>
      <c r="L124" s="14" t="b">
        <v>0</v>
      </c>
      <c r="M124" s="15" t="s">
        <v>2054</v>
      </c>
      <c r="N124" s="14" t="s">
        <v>393</v>
      </c>
      <c r="O124" s="14" t="s">
        <v>393</v>
      </c>
      <c r="P124" s="15" t="s">
        <v>397</v>
      </c>
      <c r="Q124" s="15" t="s">
        <v>838</v>
      </c>
      <c r="T124" s="14" t="b">
        <v>0</v>
      </c>
      <c r="U124" s="15" t="s">
        <v>2055</v>
      </c>
      <c r="V124" s="15" t="s">
        <v>2056</v>
      </c>
      <c r="W124" s="15" t="s">
        <v>401</v>
      </c>
      <c r="X124" s="15" t="s">
        <v>742</v>
      </c>
      <c r="Y124" s="15">
        <v>936.0</v>
      </c>
      <c r="AA124" s="15" t="str">
        <f>"360"</f>
        <v>360</v>
      </c>
      <c r="AB124" s="14" t="b">
        <v>1</v>
      </c>
      <c r="AC124" s="14" t="b">
        <v>1</v>
      </c>
      <c r="AD124" s="15" t="str">
        <f>"801542702830"</f>
        <v>801542702830</v>
      </c>
      <c r="AE124" s="15" t="s">
        <v>2057</v>
      </c>
      <c r="AF124" s="14" t="s">
        <v>404</v>
      </c>
      <c r="AG124" s="14" t="s">
        <v>405</v>
      </c>
      <c r="AH124" s="14" t="s">
        <v>406</v>
      </c>
      <c r="AI124" s="15">
        <v>0.0</v>
      </c>
      <c r="AL124" s="15" t="s">
        <v>2058</v>
      </c>
      <c r="AM124" s="15" t="s">
        <v>2059</v>
      </c>
      <c r="AN124" s="15" t="s">
        <v>2060</v>
      </c>
      <c r="AO124" s="15" t="s">
        <v>1874</v>
      </c>
      <c r="AP124" s="15" t="s">
        <v>1875</v>
      </c>
      <c r="AQ124" s="15" t="s">
        <v>2061</v>
      </c>
      <c r="AR124" s="15" t="s">
        <v>2062</v>
      </c>
      <c r="AS124" s="15" t="s">
        <v>2063</v>
      </c>
      <c r="AT124" s="15" t="s">
        <v>838</v>
      </c>
      <c r="AU124" s="15" t="s">
        <v>2064</v>
      </c>
      <c r="AW124" s="15" t="s">
        <v>628</v>
      </c>
      <c r="AY124" s="15" t="s">
        <v>413</v>
      </c>
      <c r="AZ124" s="15" t="b">
        <v>0</v>
      </c>
      <c r="BA124" s="15" t="s">
        <v>413</v>
      </c>
      <c r="BB124" s="15" t="b">
        <v>0</v>
      </c>
      <c r="BD124" s="15" t="s">
        <v>742</v>
      </c>
      <c r="BE124" s="15" t="str">
        <f t="shared" si="212"/>
        <v>1</v>
      </c>
      <c r="BF124" s="15" t="s">
        <v>2043</v>
      </c>
      <c r="BG124" s="15" t="str">
        <f>"27.36"</f>
        <v>27.36</v>
      </c>
      <c r="BH124" s="15" t="s">
        <v>2065</v>
      </c>
      <c r="BI124" s="15" t="str">
        <f>"21.65"</f>
        <v>21.65</v>
      </c>
      <c r="BJ124" s="15" t="s">
        <v>1506</v>
      </c>
      <c r="BK124" s="15" t="str">
        <f>"32.68"</f>
        <v>32.68</v>
      </c>
      <c r="BL124" s="15" t="s">
        <v>2066</v>
      </c>
      <c r="BM124" s="15" t="str">
        <f t="shared" si="225"/>
        <v>103.62</v>
      </c>
      <c r="BN124" s="15" t="s">
        <v>2045</v>
      </c>
      <c r="BQ124" s="15" t="s">
        <v>444</v>
      </c>
      <c r="BS124" s="15" t="s">
        <v>444</v>
      </c>
      <c r="BU124" s="15" t="s">
        <v>444</v>
      </c>
      <c r="BW124" s="15" t="s">
        <v>444</v>
      </c>
      <c r="BZ124" s="15" t="s">
        <v>444</v>
      </c>
      <c r="CB124" s="15" t="s">
        <v>444</v>
      </c>
      <c r="CD124" s="15" t="s">
        <v>444</v>
      </c>
      <c r="CF124" s="15" t="s">
        <v>444</v>
      </c>
      <c r="CI124" s="15" t="s">
        <v>444</v>
      </c>
      <c r="CK124" s="15" t="s">
        <v>444</v>
      </c>
      <c r="CM124" s="15" t="s">
        <v>444</v>
      </c>
      <c r="CO124" s="15" t="s">
        <v>444</v>
      </c>
      <c r="CP124" s="15" t="str">
        <f>"11.19"</f>
        <v>11.19</v>
      </c>
      <c r="CQ124" s="15" t="str">
        <f>"0.317"</f>
        <v>0.317</v>
      </c>
      <c r="CR124" s="15" t="s">
        <v>465</v>
      </c>
      <c r="CV124" s="15" t="s">
        <v>2067</v>
      </c>
      <c r="CW124" s="15" t="s">
        <v>2050</v>
      </c>
      <c r="CX124" s="15" t="s">
        <v>1074</v>
      </c>
      <c r="DC124" s="15" t="str">
        <f>IFERROR(__xludf.DUMMYFUNCTION("""COMPUTED_VALUE"""),"")</f>
        <v/>
      </c>
      <c r="DE124" s="15" t="str">
        <f>IFERROR(__xludf.DUMMYFUNCTION("""COMPUTED_VALUE"""),"")</f>
        <v/>
      </c>
      <c r="DG124" s="15" t="str">
        <f>IFERROR(__xludf.DUMMYFUNCTION("""COMPUTED_VALUE"""),"")</f>
        <v/>
      </c>
      <c r="DL124" s="15" t="str">
        <f>IFERROR(__xludf.DUMMYFUNCTION("""COMPUTED_VALUE"""),"")</f>
        <v/>
      </c>
      <c r="DM124" s="15" t="s">
        <v>444</v>
      </c>
      <c r="DN124" s="15" t="s">
        <v>1371</v>
      </c>
      <c r="DO124" s="15">
        <v>2.0</v>
      </c>
      <c r="DP124" s="15" t="s">
        <v>419</v>
      </c>
      <c r="DR124" s="15">
        <v>0.0</v>
      </c>
      <c r="DU124" s="15" t="s">
        <v>421</v>
      </c>
      <c r="DY124" s="15">
        <v>0.0</v>
      </c>
      <c r="EF124" s="15" t="s">
        <v>471</v>
      </c>
      <c r="EG124" s="15" t="s">
        <v>472</v>
      </c>
      <c r="EH124" s="15" t="s">
        <v>2068</v>
      </c>
      <c r="EJ124" s="15" t="s">
        <v>500</v>
      </c>
      <c r="EK124" s="15" t="s">
        <v>501</v>
      </c>
      <c r="EM124" s="15" t="str">
        <f>IFERROR(__xludf.DUMMYFUNCTION("""COMPUTED_VALUE"""),"")</f>
        <v/>
      </c>
      <c r="EW124" s="15" t="s">
        <v>1444</v>
      </c>
      <c r="FM124" s="15">
        <v>1.0</v>
      </c>
      <c r="GH124" s="15">
        <v>0.0</v>
      </c>
      <c r="GI124" s="15" t="s">
        <v>427</v>
      </c>
      <c r="GQ124" s="15" t="s">
        <v>2069</v>
      </c>
      <c r="GS124" s="15" t="s">
        <v>2070</v>
      </c>
      <c r="GU124" s="15" t="s">
        <v>2071</v>
      </c>
      <c r="GW124" s="15" t="s">
        <v>838</v>
      </c>
    </row>
    <row r="125" ht="15.75" customHeight="1">
      <c r="A125" s="14" t="s">
        <v>391</v>
      </c>
      <c r="B125" s="15" t="s">
        <v>2072</v>
      </c>
      <c r="C125" s="16"/>
      <c r="D125" s="15" t="s">
        <v>432</v>
      </c>
      <c r="G125" s="14" t="s">
        <v>393</v>
      </c>
      <c r="H125" s="14" t="s">
        <v>394</v>
      </c>
      <c r="I125" s="14" t="b">
        <v>1</v>
      </c>
      <c r="J125" s="14" t="s">
        <v>395</v>
      </c>
      <c r="L125" s="14" t="b">
        <v>0</v>
      </c>
      <c r="M125" s="15" t="s">
        <v>2073</v>
      </c>
      <c r="N125" s="14" t="s">
        <v>393</v>
      </c>
      <c r="O125" s="14" t="s">
        <v>393</v>
      </c>
      <c r="P125" s="15" t="s">
        <v>397</v>
      </c>
      <c r="Q125" s="15" t="s">
        <v>838</v>
      </c>
      <c r="T125" s="14" t="b">
        <v>0</v>
      </c>
      <c r="U125" s="15" t="s">
        <v>2074</v>
      </c>
      <c r="V125" s="15" t="s">
        <v>2075</v>
      </c>
      <c r="W125" s="15" t="s">
        <v>401</v>
      </c>
      <c r="X125" s="15" t="s">
        <v>742</v>
      </c>
      <c r="Y125" s="15">
        <v>3172.0</v>
      </c>
      <c r="AA125" s="15" t="str">
        <f>"1220"</f>
        <v>1220</v>
      </c>
      <c r="AB125" s="14" t="b">
        <v>1</v>
      </c>
      <c r="AC125" s="14" t="b">
        <v>1</v>
      </c>
      <c r="AD125" s="15" t="str">
        <f>"801542616236"</f>
        <v>801542616236</v>
      </c>
      <c r="AE125" s="15" t="s">
        <v>2076</v>
      </c>
      <c r="AF125" s="14" t="s">
        <v>404</v>
      </c>
      <c r="AG125" s="14" t="s">
        <v>405</v>
      </c>
      <c r="AH125" s="14" t="s">
        <v>406</v>
      </c>
      <c r="AI125" s="15">
        <v>0.0</v>
      </c>
      <c r="AL125" s="15" t="s">
        <v>2058</v>
      </c>
      <c r="AM125" s="15" t="s">
        <v>452</v>
      </c>
      <c r="AN125" s="15" t="s">
        <v>453</v>
      </c>
      <c r="AO125" s="15" t="s">
        <v>809</v>
      </c>
      <c r="AP125" s="15" t="s">
        <v>810</v>
      </c>
      <c r="AQ125" s="15" t="s">
        <v>1205</v>
      </c>
      <c r="AR125" s="15" t="s">
        <v>1206</v>
      </c>
      <c r="AS125" s="15" t="s">
        <v>2068</v>
      </c>
      <c r="AT125" s="15" t="s">
        <v>838</v>
      </c>
      <c r="AU125" s="15" t="s">
        <v>2064</v>
      </c>
      <c r="AW125" s="15" t="s">
        <v>412</v>
      </c>
      <c r="AY125" s="15" t="s">
        <v>426</v>
      </c>
      <c r="AZ125" s="15" t="b">
        <v>1</v>
      </c>
      <c r="BA125" s="15" t="s">
        <v>413</v>
      </c>
      <c r="BB125" s="15" t="b">
        <v>0</v>
      </c>
      <c r="BC125" s="15" t="s">
        <v>2077</v>
      </c>
      <c r="BD125" s="15" t="s">
        <v>742</v>
      </c>
      <c r="BE125" s="15" t="str">
        <f t="shared" si="212"/>
        <v>1</v>
      </c>
      <c r="BF125" s="15" t="s">
        <v>2043</v>
      </c>
      <c r="BG125" s="15" t="str">
        <f>"73.62"</f>
        <v>73.62</v>
      </c>
      <c r="BH125" s="15" t="s">
        <v>2078</v>
      </c>
      <c r="BI125" s="15" t="str">
        <f>"22.44"</f>
        <v>22.44</v>
      </c>
      <c r="BJ125" s="15" t="s">
        <v>1156</v>
      </c>
      <c r="BK125" s="15" t="str">
        <f>"45.28"</f>
        <v>45.28</v>
      </c>
      <c r="BL125" s="15" t="s">
        <v>682</v>
      </c>
      <c r="BM125" s="15" t="str">
        <f>"368.17"</f>
        <v>368.17</v>
      </c>
      <c r="BN125" s="15" t="s">
        <v>2079</v>
      </c>
      <c r="BQ125" s="15" t="s">
        <v>444</v>
      </c>
      <c r="BS125" s="15" t="s">
        <v>444</v>
      </c>
      <c r="BU125" s="15" t="s">
        <v>444</v>
      </c>
      <c r="BW125" s="15" t="s">
        <v>444</v>
      </c>
      <c r="BZ125" s="15" t="s">
        <v>444</v>
      </c>
      <c r="CB125" s="15" t="s">
        <v>444</v>
      </c>
      <c r="CD125" s="15" t="s">
        <v>444</v>
      </c>
      <c r="CF125" s="15" t="s">
        <v>444</v>
      </c>
      <c r="CI125" s="15" t="s">
        <v>444</v>
      </c>
      <c r="CK125" s="15" t="s">
        <v>444</v>
      </c>
      <c r="CM125" s="15" t="s">
        <v>444</v>
      </c>
      <c r="CO125" s="15" t="s">
        <v>444</v>
      </c>
      <c r="CP125" s="15" t="str">
        <f>"43.3"</f>
        <v>43.3</v>
      </c>
      <c r="CQ125" s="15" t="str">
        <f>"1.226"</f>
        <v>1.226</v>
      </c>
      <c r="CR125" s="15" t="s">
        <v>465</v>
      </c>
      <c r="DC125" s="15" t="str">
        <f>IFERROR(__xludf.DUMMYFUNCTION("""COMPUTED_VALUE"""),"")</f>
        <v/>
      </c>
      <c r="DE125" s="15" t="str">
        <f>IFERROR(__xludf.DUMMYFUNCTION("""COMPUTED_VALUE"""),"")</f>
        <v/>
      </c>
      <c r="DG125" s="15" t="str">
        <f>IFERROR(__xludf.DUMMYFUNCTION("""COMPUTED_VALUE"""),"")</f>
        <v/>
      </c>
      <c r="DL125" s="15" t="str">
        <f>IFERROR(__xludf.DUMMYFUNCTION("""COMPUTED_VALUE"""),"")</f>
        <v/>
      </c>
      <c r="DM125" s="15" t="s">
        <v>444</v>
      </c>
      <c r="DN125" s="15" t="s">
        <v>1371</v>
      </c>
      <c r="DO125" s="15">
        <v>8.0</v>
      </c>
      <c r="DP125" s="15" t="s">
        <v>1185</v>
      </c>
      <c r="DR125" s="15">
        <v>0.0</v>
      </c>
      <c r="DU125" s="15" t="s">
        <v>421</v>
      </c>
      <c r="DY125" s="15">
        <v>0.0</v>
      </c>
      <c r="EF125" s="15" t="s">
        <v>422</v>
      </c>
      <c r="EG125" s="15" t="s">
        <v>445</v>
      </c>
      <c r="EH125" s="15" t="s">
        <v>2068</v>
      </c>
      <c r="EJ125" s="15" t="s">
        <v>500</v>
      </c>
      <c r="EK125" s="15" t="s">
        <v>501</v>
      </c>
      <c r="EM125" s="15" t="str">
        <f>IFERROR(__xludf.DUMMYFUNCTION("""COMPUTED_VALUE"""),"")</f>
        <v/>
      </c>
      <c r="EW125" s="15" t="s">
        <v>1444</v>
      </c>
      <c r="FL125" s="15" t="s">
        <v>426</v>
      </c>
      <c r="FM125" s="15">
        <v>0.0</v>
      </c>
      <c r="GH125" s="15">
        <v>0.0</v>
      </c>
      <c r="GI125" s="15" t="s">
        <v>427</v>
      </c>
      <c r="GQ125" s="15" t="s">
        <v>2080</v>
      </c>
      <c r="GS125" s="15" t="s">
        <v>2081</v>
      </c>
      <c r="GU125" s="15" t="s">
        <v>2082</v>
      </c>
      <c r="GW125" s="15" t="s">
        <v>838</v>
      </c>
    </row>
    <row r="126" ht="15.75" customHeight="1">
      <c r="A126" s="14" t="s">
        <v>391</v>
      </c>
      <c r="B126" s="15" t="s">
        <v>2083</v>
      </c>
      <c r="C126" s="16"/>
      <c r="D126" s="15" t="s">
        <v>432</v>
      </c>
      <c r="G126" s="14" t="s">
        <v>393</v>
      </c>
      <c r="H126" s="14" t="s">
        <v>394</v>
      </c>
      <c r="I126" s="14" t="b">
        <v>1</v>
      </c>
      <c r="J126" s="14" t="s">
        <v>395</v>
      </c>
      <c r="L126" s="14" t="b">
        <v>0</v>
      </c>
      <c r="M126" s="15" t="s">
        <v>2084</v>
      </c>
      <c r="N126" s="14" t="s">
        <v>393</v>
      </c>
      <c r="O126" s="14" t="s">
        <v>393</v>
      </c>
      <c r="P126" s="15" t="s">
        <v>397</v>
      </c>
      <c r="Q126" s="15" t="s">
        <v>838</v>
      </c>
      <c r="T126" s="14" t="b">
        <v>0</v>
      </c>
      <c r="U126" s="15" t="s">
        <v>2085</v>
      </c>
      <c r="V126" s="15" t="s">
        <v>2086</v>
      </c>
      <c r="W126" s="15" t="s">
        <v>401</v>
      </c>
      <c r="X126" s="15" t="s">
        <v>742</v>
      </c>
      <c r="Y126" s="15">
        <v>2301.0</v>
      </c>
      <c r="AA126" s="15" t="str">
        <f>"885"</f>
        <v>885</v>
      </c>
      <c r="AB126" s="14" t="b">
        <v>1</v>
      </c>
      <c r="AC126" s="14" t="b">
        <v>1</v>
      </c>
      <c r="AD126" s="15" t="str">
        <f>"801542618049"</f>
        <v>801542618049</v>
      </c>
      <c r="AE126" s="15" t="s">
        <v>2087</v>
      </c>
      <c r="AF126" s="14" t="s">
        <v>404</v>
      </c>
      <c r="AG126" s="14" t="s">
        <v>405</v>
      </c>
      <c r="AH126" s="14" t="s">
        <v>406</v>
      </c>
      <c r="AI126" s="15">
        <v>0.0</v>
      </c>
      <c r="AL126" s="15" t="s">
        <v>2058</v>
      </c>
      <c r="AM126" s="15" t="s">
        <v>913</v>
      </c>
      <c r="AN126" s="15" t="s">
        <v>914</v>
      </c>
      <c r="AO126" s="15" t="s">
        <v>598</v>
      </c>
      <c r="AP126" s="15" t="s">
        <v>599</v>
      </c>
      <c r="AQ126" s="15" t="s">
        <v>2088</v>
      </c>
      <c r="AR126" s="15" t="s">
        <v>2089</v>
      </c>
      <c r="AS126" s="15" t="s">
        <v>2068</v>
      </c>
      <c r="AT126" s="15" t="s">
        <v>838</v>
      </c>
      <c r="AW126" s="15" t="s">
        <v>412</v>
      </c>
      <c r="AY126" s="15" t="s">
        <v>413</v>
      </c>
      <c r="AZ126" s="15" t="b">
        <v>0</v>
      </c>
      <c r="BA126" s="15" t="s">
        <v>413</v>
      </c>
      <c r="BB126" s="15" t="b">
        <v>0</v>
      </c>
      <c r="BC126" s="15" t="s">
        <v>2090</v>
      </c>
      <c r="BD126" s="15" t="s">
        <v>742</v>
      </c>
      <c r="BE126" s="15" t="str">
        <f t="shared" si="212"/>
        <v>1</v>
      </c>
      <c r="BF126" s="15" t="s">
        <v>2043</v>
      </c>
      <c r="BG126" s="15" t="str">
        <f>"39.37"</f>
        <v>39.37</v>
      </c>
      <c r="BH126" s="15" t="s">
        <v>523</v>
      </c>
      <c r="BI126" s="15" t="str">
        <f>"23.43"</f>
        <v>23.43</v>
      </c>
      <c r="BJ126" s="15" t="s">
        <v>2091</v>
      </c>
      <c r="BK126" s="15" t="str">
        <f>"54.13"</f>
        <v>54.13</v>
      </c>
      <c r="BL126" s="15" t="s">
        <v>2092</v>
      </c>
      <c r="BM126" s="15" t="str">
        <f>"273.37"</f>
        <v>273.37</v>
      </c>
      <c r="BN126" s="15" t="s">
        <v>2093</v>
      </c>
      <c r="BQ126" s="15" t="s">
        <v>444</v>
      </c>
      <c r="BS126" s="15" t="s">
        <v>444</v>
      </c>
      <c r="BU126" s="15" t="s">
        <v>444</v>
      </c>
      <c r="BW126" s="15" t="s">
        <v>444</v>
      </c>
      <c r="BZ126" s="15" t="s">
        <v>444</v>
      </c>
      <c r="CB126" s="15" t="s">
        <v>444</v>
      </c>
      <c r="CD126" s="15" t="s">
        <v>444</v>
      </c>
      <c r="CF126" s="15" t="s">
        <v>444</v>
      </c>
      <c r="CI126" s="15" t="s">
        <v>444</v>
      </c>
      <c r="CK126" s="15" t="s">
        <v>444</v>
      </c>
      <c r="CM126" s="15" t="s">
        <v>444</v>
      </c>
      <c r="CO126" s="15" t="s">
        <v>444</v>
      </c>
      <c r="CP126" s="15" t="str">
        <f>"28.89"</f>
        <v>28.89</v>
      </c>
      <c r="CQ126" s="15" t="str">
        <f>"0.818"</f>
        <v>0.818</v>
      </c>
      <c r="CR126" s="15" t="s">
        <v>497</v>
      </c>
      <c r="DC126" s="15" t="str">
        <f>IFERROR(__xludf.DUMMYFUNCTION("""COMPUTED_VALUE"""),"")</f>
        <v/>
      </c>
      <c r="DE126" s="15" t="str">
        <f>IFERROR(__xludf.DUMMYFUNCTION("""COMPUTED_VALUE"""),"")</f>
        <v/>
      </c>
      <c r="DG126" s="15" t="str">
        <f>IFERROR(__xludf.DUMMYFUNCTION("""COMPUTED_VALUE"""),"")</f>
        <v/>
      </c>
      <c r="DL126" s="15" t="str">
        <f>IFERROR(__xludf.DUMMYFUNCTION("""COMPUTED_VALUE"""),"")</f>
        <v/>
      </c>
      <c r="DM126" s="15" t="s">
        <v>444</v>
      </c>
      <c r="DN126" s="15" t="s">
        <v>1371</v>
      </c>
      <c r="DO126" s="15">
        <v>8.0</v>
      </c>
      <c r="DP126" s="15" t="s">
        <v>419</v>
      </c>
      <c r="DR126" s="15">
        <v>0.0</v>
      </c>
      <c r="DU126" s="15" t="s">
        <v>421</v>
      </c>
      <c r="DY126" s="15">
        <v>0.0</v>
      </c>
      <c r="EF126" s="15" t="s">
        <v>2094</v>
      </c>
      <c r="EG126" s="15" t="s">
        <v>2095</v>
      </c>
      <c r="EH126" s="15" t="s">
        <v>2068</v>
      </c>
      <c r="EJ126" s="15" t="s">
        <v>500</v>
      </c>
      <c r="EK126" s="15" t="s">
        <v>501</v>
      </c>
      <c r="EM126" s="15" t="str">
        <f>IFERROR(__xludf.DUMMYFUNCTION("""COMPUTED_VALUE"""),"")</f>
        <v/>
      </c>
      <c r="EW126" s="15" t="s">
        <v>2096</v>
      </c>
      <c r="FL126" s="15" t="s">
        <v>426</v>
      </c>
      <c r="FM126" s="15">
        <v>0.0</v>
      </c>
      <c r="GH126" s="15">
        <v>0.0</v>
      </c>
      <c r="GI126" s="15" t="s">
        <v>427</v>
      </c>
      <c r="GQ126" s="15" t="s">
        <v>2097</v>
      </c>
      <c r="GR126" s="15" t="s">
        <v>2097</v>
      </c>
      <c r="GS126" s="15" t="s">
        <v>2098</v>
      </c>
      <c r="GT126" s="15" t="s">
        <v>2099</v>
      </c>
      <c r="GU126" s="15" t="s">
        <v>2100</v>
      </c>
      <c r="GV126" s="15" t="s">
        <v>2101</v>
      </c>
      <c r="GW126" s="15" t="s">
        <v>838</v>
      </c>
    </row>
    <row r="127" ht="15.75" customHeight="1">
      <c r="A127" s="14" t="s">
        <v>391</v>
      </c>
      <c r="B127" s="15" t="s">
        <v>2102</v>
      </c>
      <c r="C127" s="16"/>
      <c r="D127" s="15" t="s">
        <v>432</v>
      </c>
      <c r="G127" s="14" t="s">
        <v>393</v>
      </c>
      <c r="H127" s="14" t="s">
        <v>394</v>
      </c>
      <c r="I127" s="14" t="b">
        <v>1</v>
      </c>
      <c r="J127" s="14" t="s">
        <v>395</v>
      </c>
      <c r="L127" s="14" t="b">
        <v>0</v>
      </c>
      <c r="M127" s="15" t="s">
        <v>2103</v>
      </c>
      <c r="N127" s="14" t="s">
        <v>393</v>
      </c>
      <c r="O127" s="14" t="s">
        <v>393</v>
      </c>
      <c r="P127" s="15" t="s">
        <v>397</v>
      </c>
      <c r="Q127" s="15" t="s">
        <v>827</v>
      </c>
      <c r="T127" s="14" t="b">
        <v>0</v>
      </c>
      <c r="U127" s="15" t="s">
        <v>2104</v>
      </c>
      <c r="V127" s="15" t="s">
        <v>2105</v>
      </c>
      <c r="W127" s="15" t="s">
        <v>401</v>
      </c>
      <c r="X127" s="15" t="s">
        <v>402</v>
      </c>
      <c r="Y127" s="15">
        <v>2626.0</v>
      </c>
      <c r="AA127" s="15" t="str">
        <f>"1010"</f>
        <v>1010</v>
      </c>
      <c r="AB127" s="14" t="b">
        <v>1</v>
      </c>
      <c r="AC127" s="14" t="b">
        <v>1</v>
      </c>
      <c r="AD127" s="15" t="str">
        <f>"801542587253"</f>
        <v>801542587253</v>
      </c>
      <c r="AE127" s="15" t="s">
        <v>2106</v>
      </c>
      <c r="AF127" s="14" t="s">
        <v>404</v>
      </c>
      <c r="AG127" s="14" t="s">
        <v>405</v>
      </c>
      <c r="AH127" s="14" t="s">
        <v>406</v>
      </c>
      <c r="AI127" s="15">
        <v>0.0</v>
      </c>
      <c r="AL127" s="15" t="s">
        <v>2107</v>
      </c>
      <c r="AM127" s="15" t="s">
        <v>582</v>
      </c>
      <c r="AN127" s="15" t="s">
        <v>583</v>
      </c>
      <c r="AO127" s="15" t="s">
        <v>679</v>
      </c>
      <c r="AP127" s="15" t="s">
        <v>680</v>
      </c>
      <c r="AQ127" s="15" t="s">
        <v>517</v>
      </c>
      <c r="AR127" s="15" t="s">
        <v>518</v>
      </c>
      <c r="AS127" s="15" t="s">
        <v>2108</v>
      </c>
      <c r="AT127" s="15" t="s">
        <v>827</v>
      </c>
      <c r="AU127" s="15" t="s">
        <v>2109</v>
      </c>
      <c r="AW127" s="15" t="s">
        <v>1732</v>
      </c>
      <c r="AY127" s="15" t="s">
        <v>413</v>
      </c>
      <c r="AZ127" s="15" t="b">
        <v>0</v>
      </c>
      <c r="BA127" s="15" t="s">
        <v>426</v>
      </c>
      <c r="BB127" s="15" t="b">
        <v>1</v>
      </c>
      <c r="BC127" s="15" t="s">
        <v>2110</v>
      </c>
      <c r="BD127" s="15" t="s">
        <v>415</v>
      </c>
      <c r="BE127" s="15" t="str">
        <f t="shared" si="212"/>
        <v>1</v>
      </c>
      <c r="BF127" s="15" t="s">
        <v>416</v>
      </c>
      <c r="BG127" s="15" t="str">
        <f t="shared" ref="BG127:BG129" si="226">"91.97"</f>
        <v>91.97</v>
      </c>
      <c r="BH127" s="15" t="s">
        <v>2111</v>
      </c>
      <c r="BI127" s="15" t="str">
        <f t="shared" ref="BI127:BI129" si="227">"44.09"</f>
        <v>44.09</v>
      </c>
      <c r="BJ127" s="15" t="s">
        <v>2112</v>
      </c>
      <c r="BK127" s="15" t="str">
        <f t="shared" ref="BK127:BK129" si="228">"28.74"</f>
        <v>28.74</v>
      </c>
      <c r="BL127" s="15" t="s">
        <v>2113</v>
      </c>
      <c r="BM127" s="15" t="str">
        <f t="shared" ref="BM127:BM129" si="229">"208.33"</f>
        <v>208.33</v>
      </c>
      <c r="BN127" s="15" t="s">
        <v>2114</v>
      </c>
      <c r="BQ127" s="15" t="s">
        <v>444</v>
      </c>
      <c r="BS127" s="15" t="s">
        <v>444</v>
      </c>
      <c r="BU127" s="15" t="s">
        <v>444</v>
      </c>
      <c r="BW127" s="15" t="s">
        <v>444</v>
      </c>
      <c r="BZ127" s="15" t="s">
        <v>444</v>
      </c>
      <c r="CB127" s="15" t="s">
        <v>444</v>
      </c>
      <c r="CD127" s="15" t="s">
        <v>444</v>
      </c>
      <c r="CF127" s="15" t="s">
        <v>444</v>
      </c>
      <c r="CI127" s="15" t="s">
        <v>444</v>
      </c>
      <c r="CK127" s="15" t="s">
        <v>444</v>
      </c>
      <c r="CM127" s="15" t="s">
        <v>444</v>
      </c>
      <c r="CO127" s="15" t="s">
        <v>444</v>
      </c>
      <c r="CP127" s="15" t="str">
        <f t="shared" ref="CP127:CP129" si="230">"67.45"</f>
        <v>67.45</v>
      </c>
      <c r="CQ127" s="15" t="str">
        <f t="shared" ref="CQ127:CQ129" si="231">"1.91"</f>
        <v>1.91</v>
      </c>
      <c r="CR127" s="15" t="s">
        <v>465</v>
      </c>
      <c r="CY127" s="15" t="s">
        <v>1808</v>
      </c>
      <c r="CZ127" s="15" t="s">
        <v>1808</v>
      </c>
      <c r="DA127" s="15" t="s">
        <v>1808</v>
      </c>
      <c r="DB127" s="15" t="s">
        <v>1211</v>
      </c>
      <c r="DC127" s="15" t="str">
        <f>IFERROR(__xludf.DUMMYFUNCTION("""COMPUTED_VALUE"""),"{""value"":24.00,""unit"":""in""}")</f>
        <v>{"value":24.00,"unit":"in"}</v>
      </c>
      <c r="DD127" s="15" t="s">
        <v>1804</v>
      </c>
      <c r="DE127" s="15" t="str">
        <f>IFERROR(__xludf.DUMMYFUNCTION("""COMPUTED_VALUE"""),"{""value"":17.50,""unit"":""in""}")</f>
        <v>{"value":17.50,"unit":"in"}</v>
      </c>
      <c r="DF127" s="15" t="s">
        <v>960</v>
      </c>
      <c r="DG127" s="15" t="str">
        <f>IFERROR(__xludf.DUMMYFUNCTION("""COMPUTED_VALUE"""),"{""value"":68.00,""unit"":""in""}")</f>
        <v>{"value":68.00,"unit":"in"}</v>
      </c>
      <c r="DH127" s="15">
        <v>0.0</v>
      </c>
      <c r="DI127" s="15">
        <v>2.0</v>
      </c>
      <c r="DJ127" s="15" t="s">
        <v>717</v>
      </c>
      <c r="DK127" s="15" t="s">
        <v>855</v>
      </c>
      <c r="DL127" s="15" t="str">
        <f>IFERROR(__xludf.DUMMYFUNCTION("""COMPUTED_VALUE"""),"Clean with solvent-based (dry clean only) products. Do not use water.")</f>
        <v>Clean with solvent-based (dry clean only) products. Do not use water.</v>
      </c>
      <c r="DM127" s="15" t="s">
        <v>856</v>
      </c>
      <c r="DT127" s="15" t="s">
        <v>721</v>
      </c>
      <c r="DU127" s="15" t="s">
        <v>419</v>
      </c>
      <c r="DV127" s="15">
        <v>0.0</v>
      </c>
      <c r="DZ127" s="15">
        <v>15000.0</v>
      </c>
      <c r="EA127" s="15" t="s">
        <v>990</v>
      </c>
      <c r="EB127" s="15" t="s">
        <v>1016</v>
      </c>
      <c r="EC127" s="15" t="s">
        <v>1701</v>
      </c>
      <c r="ED127" s="15">
        <v>1.0</v>
      </c>
      <c r="EE127" s="15">
        <v>3.0</v>
      </c>
      <c r="EG127" s="15" t="s">
        <v>444</v>
      </c>
      <c r="EH127" s="15" t="s">
        <v>2115</v>
      </c>
      <c r="EI127" s="15">
        <v>0.0</v>
      </c>
      <c r="EJ127" s="15" t="s">
        <v>473</v>
      </c>
      <c r="EK127" s="15" t="s">
        <v>474</v>
      </c>
      <c r="EL127" s="15" t="s">
        <v>1212</v>
      </c>
      <c r="EM127" s="15" t="str">
        <f>IFERROR(__xludf.DUMMYFUNCTION("""COMPUTED_VALUE"""),"{""value"":25.50,""unit"":""in""}")</f>
        <v>{"value":25.50,"unit":"in"}</v>
      </c>
      <c r="EN127" s="15" t="s">
        <v>475</v>
      </c>
      <c r="EO127" s="15" t="s">
        <v>558</v>
      </c>
      <c r="ES127" s="15" t="s">
        <v>1576</v>
      </c>
      <c r="ET127" s="15" t="s">
        <v>2116</v>
      </c>
      <c r="EU127" s="15" t="s">
        <v>1213</v>
      </c>
      <c r="EV127" s="15" t="s">
        <v>1994</v>
      </c>
      <c r="EW127" s="15" t="s">
        <v>1807</v>
      </c>
      <c r="EX127" s="15" t="s">
        <v>824</v>
      </c>
      <c r="EY127" s="15" t="s">
        <v>960</v>
      </c>
      <c r="EZ127" s="15" t="s">
        <v>504</v>
      </c>
      <c r="FC127" s="15" t="s">
        <v>723</v>
      </c>
      <c r="FD127" s="15" t="s">
        <v>724</v>
      </c>
      <c r="FE127" s="15" t="s">
        <v>2117</v>
      </c>
      <c r="FF127" s="15" t="s">
        <v>2118</v>
      </c>
      <c r="FG127" s="15" t="s">
        <v>735</v>
      </c>
      <c r="FM127" s="15" t="s">
        <v>426</v>
      </c>
      <c r="FP127" s="15" t="s">
        <v>960</v>
      </c>
      <c r="FQ127" s="15" t="s">
        <v>587</v>
      </c>
    </row>
    <row r="128" ht="15.75" customHeight="1">
      <c r="A128" s="14" t="s">
        <v>391</v>
      </c>
      <c r="B128" s="15" t="s">
        <v>2102</v>
      </c>
      <c r="C128" s="16"/>
      <c r="D128" s="15" t="s">
        <v>432</v>
      </c>
      <c r="G128" s="14" t="s">
        <v>393</v>
      </c>
      <c r="H128" s="14" t="s">
        <v>394</v>
      </c>
      <c r="I128" s="14" t="b">
        <v>1</v>
      </c>
      <c r="J128" s="14" t="s">
        <v>395</v>
      </c>
      <c r="L128" s="14" t="b">
        <v>0</v>
      </c>
      <c r="M128" s="15" t="s">
        <v>2119</v>
      </c>
      <c r="N128" s="14" t="s">
        <v>393</v>
      </c>
      <c r="O128" s="14" t="s">
        <v>393</v>
      </c>
      <c r="P128" s="15" t="s">
        <v>397</v>
      </c>
      <c r="Q128" s="15" t="s">
        <v>2120</v>
      </c>
      <c r="T128" s="14" t="b">
        <v>0</v>
      </c>
      <c r="U128" s="15" t="s">
        <v>2121</v>
      </c>
      <c r="V128" s="15" t="s">
        <v>2105</v>
      </c>
      <c r="W128" s="15" t="s">
        <v>401</v>
      </c>
      <c r="X128" s="15" t="s">
        <v>402</v>
      </c>
      <c r="Y128" s="15">
        <v>2847.0</v>
      </c>
      <c r="AA128" s="15" t="str">
        <f t="shared" ref="AA128:AA129" si="232">"1095"</f>
        <v>1095</v>
      </c>
      <c r="AB128" s="14" t="b">
        <v>1</v>
      </c>
      <c r="AC128" s="14" t="b">
        <v>1</v>
      </c>
      <c r="AD128" s="15" t="str">
        <f>"198394102889"</f>
        <v>198394102889</v>
      </c>
      <c r="AE128" s="15" t="s">
        <v>2122</v>
      </c>
      <c r="AF128" s="14" t="s">
        <v>404</v>
      </c>
      <c r="AG128" s="14" t="s">
        <v>405</v>
      </c>
      <c r="AH128" s="14" t="s">
        <v>406</v>
      </c>
      <c r="AI128" s="15">
        <v>0.0</v>
      </c>
      <c r="AL128" s="15" t="s">
        <v>2123</v>
      </c>
      <c r="AM128" s="15" t="s">
        <v>582</v>
      </c>
      <c r="AN128" s="15" t="s">
        <v>583</v>
      </c>
      <c r="AO128" s="15" t="s">
        <v>679</v>
      </c>
      <c r="AP128" s="15" t="s">
        <v>680</v>
      </c>
      <c r="AQ128" s="15" t="s">
        <v>517</v>
      </c>
      <c r="AR128" s="15" t="s">
        <v>518</v>
      </c>
      <c r="AS128" s="15" t="s">
        <v>2108</v>
      </c>
      <c r="AT128" s="15" t="s">
        <v>2120</v>
      </c>
      <c r="AU128" s="15" t="s">
        <v>2109</v>
      </c>
      <c r="AW128" s="15" t="s">
        <v>1732</v>
      </c>
      <c r="AY128" s="15" t="s">
        <v>413</v>
      </c>
      <c r="AZ128" s="15" t="b">
        <v>0</v>
      </c>
      <c r="BA128" s="15" t="s">
        <v>413</v>
      </c>
      <c r="BB128" s="15" t="b">
        <v>0</v>
      </c>
      <c r="BC128" s="15" t="s">
        <v>2124</v>
      </c>
      <c r="BD128" s="15" t="s">
        <v>415</v>
      </c>
      <c r="BE128" s="15" t="str">
        <f t="shared" si="212"/>
        <v>1</v>
      </c>
      <c r="BF128" s="15" t="s">
        <v>416</v>
      </c>
      <c r="BG128" s="15" t="str">
        <f t="shared" si="226"/>
        <v>91.97</v>
      </c>
      <c r="BH128" s="15" t="s">
        <v>2111</v>
      </c>
      <c r="BI128" s="15" t="str">
        <f t="shared" si="227"/>
        <v>44.09</v>
      </c>
      <c r="BJ128" s="15" t="s">
        <v>2112</v>
      </c>
      <c r="BK128" s="15" t="str">
        <f t="shared" si="228"/>
        <v>28.74</v>
      </c>
      <c r="BL128" s="15" t="s">
        <v>2113</v>
      </c>
      <c r="BM128" s="15" t="str">
        <f t="shared" si="229"/>
        <v>208.33</v>
      </c>
      <c r="BN128" s="15" t="s">
        <v>2114</v>
      </c>
      <c r="BQ128" s="15" t="s">
        <v>444</v>
      </c>
      <c r="BS128" s="15" t="s">
        <v>444</v>
      </c>
      <c r="BU128" s="15" t="s">
        <v>444</v>
      </c>
      <c r="BW128" s="15" t="s">
        <v>444</v>
      </c>
      <c r="BZ128" s="15" t="s">
        <v>444</v>
      </c>
      <c r="CB128" s="15" t="s">
        <v>444</v>
      </c>
      <c r="CD128" s="15" t="s">
        <v>444</v>
      </c>
      <c r="CF128" s="15" t="s">
        <v>444</v>
      </c>
      <c r="CI128" s="15" t="s">
        <v>444</v>
      </c>
      <c r="CK128" s="15" t="s">
        <v>444</v>
      </c>
      <c r="CM128" s="15" t="s">
        <v>444</v>
      </c>
      <c r="CO128" s="15" t="s">
        <v>444</v>
      </c>
      <c r="CP128" s="15" t="str">
        <f t="shared" si="230"/>
        <v>67.45</v>
      </c>
      <c r="CQ128" s="15" t="str">
        <f t="shared" si="231"/>
        <v>1.91</v>
      </c>
      <c r="CR128" s="15" t="s">
        <v>497</v>
      </c>
      <c r="CY128" s="15" t="s">
        <v>1808</v>
      </c>
      <c r="CZ128" s="15" t="s">
        <v>1808</v>
      </c>
      <c r="DA128" s="15" t="s">
        <v>1808</v>
      </c>
      <c r="DB128" s="15" t="s">
        <v>1211</v>
      </c>
      <c r="DC128" s="15" t="str">
        <f>IFERROR(__xludf.DUMMYFUNCTION("""COMPUTED_VALUE"""),"{""value"":24.00,""unit"":""in""}")</f>
        <v>{"value":24.00,"unit":"in"}</v>
      </c>
      <c r="DD128" s="15" t="s">
        <v>1804</v>
      </c>
      <c r="DE128" s="15" t="str">
        <f>IFERROR(__xludf.DUMMYFUNCTION("""COMPUTED_VALUE"""),"{""value"":17.50,""unit"":""in""}")</f>
        <v>{"value":17.50,"unit":"in"}</v>
      </c>
      <c r="DF128" s="15" t="s">
        <v>960</v>
      </c>
      <c r="DG128" s="15" t="str">
        <f>IFERROR(__xludf.DUMMYFUNCTION("""COMPUTED_VALUE"""),"{""value"":68.00,""unit"":""in""}")</f>
        <v>{"value":68.00,"unit":"in"}</v>
      </c>
      <c r="DH128" s="15">
        <v>0.0</v>
      </c>
      <c r="DI128" s="15">
        <v>2.0</v>
      </c>
      <c r="DJ128" s="15" t="s">
        <v>717</v>
      </c>
      <c r="DK128" s="15" t="s">
        <v>718</v>
      </c>
      <c r="DL128" s="15" t="str">
        <f>IFERROR(__xludf.DUMMYFUNCTION("""COMPUTED_VALUE"""),"Vacuum or light brush only. Do not use water or any cleaning products.")</f>
        <v>Vacuum or light brush only. Do not use water or any cleaning products.</v>
      </c>
      <c r="DM128" s="15" t="s">
        <v>719</v>
      </c>
      <c r="DT128" s="15" t="s">
        <v>721</v>
      </c>
      <c r="DU128" s="15" t="s">
        <v>419</v>
      </c>
      <c r="DV128" s="15">
        <v>0.0</v>
      </c>
      <c r="DZ128" s="15">
        <v>30000.0</v>
      </c>
      <c r="EA128" s="15" t="s">
        <v>990</v>
      </c>
      <c r="EB128" s="15" t="s">
        <v>1016</v>
      </c>
      <c r="EC128" s="15" t="s">
        <v>1701</v>
      </c>
      <c r="ED128" s="15">
        <v>1.0</v>
      </c>
      <c r="EE128" s="15">
        <v>3.0</v>
      </c>
      <c r="EG128" s="15" t="s">
        <v>444</v>
      </c>
      <c r="EH128" s="15" t="s">
        <v>2115</v>
      </c>
      <c r="EI128" s="15">
        <v>0.0</v>
      </c>
      <c r="EJ128" s="15" t="s">
        <v>473</v>
      </c>
      <c r="EK128" s="15" t="s">
        <v>474</v>
      </c>
      <c r="EL128" s="15" t="s">
        <v>1212</v>
      </c>
      <c r="EM128" s="15" t="str">
        <f>IFERROR(__xludf.DUMMYFUNCTION("""COMPUTED_VALUE"""),"{""value"":25.50,""unit"":""in""}")</f>
        <v>{"value":25.50,"unit":"in"}</v>
      </c>
      <c r="EN128" s="15" t="s">
        <v>475</v>
      </c>
      <c r="EO128" s="15" t="s">
        <v>558</v>
      </c>
      <c r="ES128" s="15" t="s">
        <v>1576</v>
      </c>
      <c r="ET128" s="15" t="s">
        <v>2116</v>
      </c>
      <c r="EU128" s="15" t="s">
        <v>1213</v>
      </c>
      <c r="EV128" s="15" t="s">
        <v>1994</v>
      </c>
      <c r="EW128" s="15" t="s">
        <v>1807</v>
      </c>
      <c r="EX128" s="15" t="s">
        <v>824</v>
      </c>
      <c r="EY128" s="15" t="s">
        <v>960</v>
      </c>
      <c r="EZ128" s="15" t="s">
        <v>504</v>
      </c>
      <c r="FC128" s="15" t="s">
        <v>723</v>
      </c>
      <c r="FD128" s="15" t="s">
        <v>724</v>
      </c>
      <c r="FE128" s="15" t="s">
        <v>2117</v>
      </c>
      <c r="FF128" s="15" t="s">
        <v>2118</v>
      </c>
      <c r="FG128" s="15" t="s">
        <v>735</v>
      </c>
      <c r="FM128" s="15" t="s">
        <v>426</v>
      </c>
      <c r="FP128" s="15" t="s">
        <v>960</v>
      </c>
      <c r="FQ128" s="15" t="s">
        <v>587</v>
      </c>
    </row>
    <row r="129" ht="15.75" customHeight="1">
      <c r="A129" s="14" t="s">
        <v>391</v>
      </c>
      <c r="B129" s="15" t="s">
        <v>2102</v>
      </c>
      <c r="C129" s="16"/>
      <c r="D129" s="15" t="s">
        <v>432</v>
      </c>
      <c r="G129" s="14" t="s">
        <v>393</v>
      </c>
      <c r="H129" s="14" t="s">
        <v>394</v>
      </c>
      <c r="I129" s="14" t="b">
        <v>1</v>
      </c>
      <c r="J129" s="14" t="s">
        <v>395</v>
      </c>
      <c r="L129" s="14" t="b">
        <v>0</v>
      </c>
      <c r="M129" s="15" t="s">
        <v>2125</v>
      </c>
      <c r="N129" s="14" t="s">
        <v>393</v>
      </c>
      <c r="O129" s="14" t="s">
        <v>393</v>
      </c>
      <c r="P129" s="15" t="s">
        <v>397</v>
      </c>
      <c r="Q129" s="15" t="s">
        <v>1612</v>
      </c>
      <c r="T129" s="14" t="b">
        <v>0</v>
      </c>
      <c r="U129" s="15" t="s">
        <v>2126</v>
      </c>
      <c r="V129" s="15" t="s">
        <v>2105</v>
      </c>
      <c r="W129" s="15" t="s">
        <v>401</v>
      </c>
      <c r="X129" s="15" t="s">
        <v>402</v>
      </c>
      <c r="Y129" s="15">
        <v>2847.0</v>
      </c>
      <c r="AA129" s="15" t="str">
        <f t="shared" si="232"/>
        <v>1095</v>
      </c>
      <c r="AB129" s="14" t="b">
        <v>1</v>
      </c>
      <c r="AC129" s="14" t="b">
        <v>1</v>
      </c>
      <c r="AD129" s="15" t="str">
        <f>"801542133313"</f>
        <v>801542133313</v>
      </c>
      <c r="AE129" s="15" t="s">
        <v>2127</v>
      </c>
      <c r="AF129" s="14" t="s">
        <v>404</v>
      </c>
      <c r="AG129" s="14" t="s">
        <v>405</v>
      </c>
      <c r="AH129" s="14" t="s">
        <v>406</v>
      </c>
      <c r="AI129" s="15">
        <v>0.0</v>
      </c>
      <c r="AL129" s="15" t="s">
        <v>2123</v>
      </c>
      <c r="AM129" s="15" t="s">
        <v>582</v>
      </c>
      <c r="AN129" s="15" t="s">
        <v>583</v>
      </c>
      <c r="AO129" s="15" t="s">
        <v>679</v>
      </c>
      <c r="AP129" s="15" t="s">
        <v>680</v>
      </c>
      <c r="AQ129" s="15" t="s">
        <v>517</v>
      </c>
      <c r="AR129" s="15" t="s">
        <v>518</v>
      </c>
      <c r="AS129" s="15" t="s">
        <v>2108</v>
      </c>
      <c r="AT129" s="15" t="s">
        <v>1612</v>
      </c>
      <c r="AU129" s="15" t="s">
        <v>2109</v>
      </c>
      <c r="AW129" s="15" t="s">
        <v>1732</v>
      </c>
      <c r="AY129" s="15" t="s">
        <v>413</v>
      </c>
      <c r="AZ129" s="15" t="b">
        <v>0</v>
      </c>
      <c r="BA129" s="15" t="s">
        <v>413</v>
      </c>
      <c r="BB129" s="15" t="b">
        <v>0</v>
      </c>
      <c r="BC129" s="15" t="s">
        <v>2124</v>
      </c>
      <c r="BD129" s="15" t="s">
        <v>415</v>
      </c>
      <c r="BE129" s="15" t="str">
        <f t="shared" si="212"/>
        <v>1</v>
      </c>
      <c r="BF129" s="15" t="s">
        <v>416</v>
      </c>
      <c r="BG129" s="15" t="str">
        <f t="shared" si="226"/>
        <v>91.97</v>
      </c>
      <c r="BH129" s="15" t="s">
        <v>2111</v>
      </c>
      <c r="BI129" s="15" t="str">
        <f t="shared" si="227"/>
        <v>44.09</v>
      </c>
      <c r="BJ129" s="15" t="s">
        <v>2112</v>
      </c>
      <c r="BK129" s="15" t="str">
        <f t="shared" si="228"/>
        <v>28.74</v>
      </c>
      <c r="BL129" s="15" t="s">
        <v>2113</v>
      </c>
      <c r="BM129" s="15" t="str">
        <f t="shared" si="229"/>
        <v>208.33</v>
      </c>
      <c r="BN129" s="15" t="s">
        <v>2114</v>
      </c>
      <c r="BQ129" s="15" t="s">
        <v>444</v>
      </c>
      <c r="BS129" s="15" t="s">
        <v>444</v>
      </c>
      <c r="BU129" s="15" t="s">
        <v>444</v>
      </c>
      <c r="BW129" s="15" t="s">
        <v>444</v>
      </c>
      <c r="BZ129" s="15" t="s">
        <v>444</v>
      </c>
      <c r="CB129" s="15" t="s">
        <v>444</v>
      </c>
      <c r="CD129" s="15" t="s">
        <v>444</v>
      </c>
      <c r="CF129" s="15" t="s">
        <v>444</v>
      </c>
      <c r="CI129" s="15" t="s">
        <v>444</v>
      </c>
      <c r="CK129" s="15" t="s">
        <v>444</v>
      </c>
      <c r="CM129" s="15" t="s">
        <v>444</v>
      </c>
      <c r="CO129" s="15" t="s">
        <v>444</v>
      </c>
      <c r="CP129" s="15" t="str">
        <f t="shared" si="230"/>
        <v>67.45</v>
      </c>
      <c r="CQ129" s="15" t="str">
        <f t="shared" si="231"/>
        <v>1.91</v>
      </c>
      <c r="CR129" s="15" t="s">
        <v>497</v>
      </c>
      <c r="CY129" s="15" t="s">
        <v>1808</v>
      </c>
      <c r="CZ129" s="15" t="s">
        <v>1808</v>
      </c>
      <c r="DA129" s="15" t="s">
        <v>1808</v>
      </c>
      <c r="DB129" s="15" t="s">
        <v>1211</v>
      </c>
      <c r="DC129" s="15" t="str">
        <f>IFERROR(__xludf.DUMMYFUNCTION("""COMPUTED_VALUE"""),"{""value"":24.00,""unit"":""in""}")</f>
        <v>{"value":24.00,"unit":"in"}</v>
      </c>
      <c r="DD129" s="15" t="s">
        <v>1804</v>
      </c>
      <c r="DE129" s="15" t="str">
        <f>IFERROR(__xludf.DUMMYFUNCTION("""COMPUTED_VALUE"""),"{""value"":17.50,""unit"":""in""}")</f>
        <v>{"value":17.50,"unit":"in"}</v>
      </c>
      <c r="DF129" s="15" t="s">
        <v>960</v>
      </c>
      <c r="DG129" s="15" t="str">
        <f>IFERROR(__xludf.DUMMYFUNCTION("""COMPUTED_VALUE"""),"{""value"":68.00,""unit"":""in""}")</f>
        <v>{"value":68.00,"unit":"in"}</v>
      </c>
      <c r="DH129" s="15">
        <v>0.0</v>
      </c>
      <c r="DI129" s="15">
        <v>2.0</v>
      </c>
      <c r="DJ129" s="15" t="s">
        <v>717</v>
      </c>
      <c r="DK129" s="15" t="s">
        <v>718</v>
      </c>
      <c r="DL129" s="15" t="str">
        <f>IFERROR(__xludf.DUMMYFUNCTION("""COMPUTED_VALUE"""),"Vacuum or light brush only. Do not use water or any cleaning products.")</f>
        <v>Vacuum or light brush only. Do not use water or any cleaning products.</v>
      </c>
      <c r="DM129" s="15" t="s">
        <v>719</v>
      </c>
      <c r="DT129" s="15" t="s">
        <v>721</v>
      </c>
      <c r="DU129" s="15" t="s">
        <v>419</v>
      </c>
      <c r="DV129" s="15">
        <v>0.0</v>
      </c>
      <c r="DZ129" s="15">
        <v>30000.0</v>
      </c>
      <c r="EA129" s="15" t="s">
        <v>990</v>
      </c>
      <c r="EB129" s="15" t="s">
        <v>1016</v>
      </c>
      <c r="EC129" s="15" t="s">
        <v>1701</v>
      </c>
      <c r="ED129" s="15">
        <v>1.0</v>
      </c>
      <c r="EE129" s="15">
        <v>3.0</v>
      </c>
      <c r="EG129" s="15" t="s">
        <v>444</v>
      </c>
      <c r="EH129" s="15" t="s">
        <v>2115</v>
      </c>
      <c r="EI129" s="15">
        <v>0.0</v>
      </c>
      <c r="EJ129" s="15" t="s">
        <v>473</v>
      </c>
      <c r="EK129" s="15" t="s">
        <v>474</v>
      </c>
      <c r="EL129" s="15" t="s">
        <v>1212</v>
      </c>
      <c r="EM129" s="15" t="str">
        <f>IFERROR(__xludf.DUMMYFUNCTION("""COMPUTED_VALUE"""),"{""value"":25.50,""unit"":""in""}")</f>
        <v>{"value":25.50,"unit":"in"}</v>
      </c>
      <c r="EN129" s="15" t="s">
        <v>475</v>
      </c>
      <c r="EO129" s="15" t="s">
        <v>558</v>
      </c>
      <c r="ES129" s="15" t="s">
        <v>1576</v>
      </c>
      <c r="ET129" s="15" t="s">
        <v>2116</v>
      </c>
      <c r="EU129" s="15" t="s">
        <v>1213</v>
      </c>
      <c r="EV129" s="15" t="s">
        <v>1994</v>
      </c>
      <c r="EW129" s="15" t="s">
        <v>1807</v>
      </c>
      <c r="EX129" s="15" t="s">
        <v>824</v>
      </c>
      <c r="EY129" s="15" t="s">
        <v>960</v>
      </c>
      <c r="EZ129" s="15" t="s">
        <v>504</v>
      </c>
      <c r="FC129" s="15" t="s">
        <v>723</v>
      </c>
      <c r="FD129" s="15" t="s">
        <v>724</v>
      </c>
      <c r="FE129" s="15" t="s">
        <v>2117</v>
      </c>
      <c r="FF129" s="15" t="s">
        <v>2118</v>
      </c>
      <c r="FG129" s="15" t="s">
        <v>735</v>
      </c>
      <c r="FM129" s="15" t="s">
        <v>426</v>
      </c>
      <c r="FP129" s="15" t="s">
        <v>960</v>
      </c>
      <c r="FQ129" s="15" t="s">
        <v>587</v>
      </c>
    </row>
    <row r="130" ht="15.75" customHeight="1">
      <c r="A130" s="14" t="s">
        <v>391</v>
      </c>
      <c r="B130" s="15" t="s">
        <v>2128</v>
      </c>
      <c r="C130" s="16"/>
      <c r="D130" s="15" t="s">
        <v>432</v>
      </c>
      <c r="G130" s="14" t="s">
        <v>393</v>
      </c>
      <c r="H130" s="14" t="s">
        <v>394</v>
      </c>
      <c r="I130" s="14" t="b">
        <v>1</v>
      </c>
      <c r="J130" s="14" t="s">
        <v>395</v>
      </c>
      <c r="L130" s="14" t="b">
        <v>0</v>
      </c>
      <c r="M130" s="15" t="s">
        <v>2129</v>
      </c>
      <c r="N130" s="14" t="s">
        <v>393</v>
      </c>
      <c r="O130" s="14" t="s">
        <v>393</v>
      </c>
      <c r="P130" s="15" t="s">
        <v>397</v>
      </c>
      <c r="Q130" s="15" t="s">
        <v>2130</v>
      </c>
      <c r="T130" s="14" t="b">
        <v>0</v>
      </c>
      <c r="U130" s="15" t="s">
        <v>2131</v>
      </c>
      <c r="V130" s="15" t="s">
        <v>2132</v>
      </c>
      <c r="W130" s="15" t="s">
        <v>401</v>
      </c>
      <c r="X130" s="15" t="s">
        <v>742</v>
      </c>
      <c r="Y130" s="15">
        <v>2730.0</v>
      </c>
      <c r="AA130" s="15" t="str">
        <f t="shared" ref="AA130:AA131" si="233">"1050"</f>
        <v>1050</v>
      </c>
      <c r="AB130" s="14" t="b">
        <v>1</v>
      </c>
      <c r="AC130" s="14" t="b">
        <v>1</v>
      </c>
      <c r="AD130" s="15" t="str">
        <f>"801542991159"</f>
        <v>801542991159</v>
      </c>
      <c r="AE130" s="15" t="s">
        <v>2133</v>
      </c>
      <c r="AF130" s="14" t="s">
        <v>404</v>
      </c>
      <c r="AG130" s="14" t="s">
        <v>405</v>
      </c>
      <c r="AH130" s="14" t="s">
        <v>406</v>
      </c>
      <c r="AI130" s="15">
        <v>0.0</v>
      </c>
      <c r="AL130" s="15" t="s">
        <v>1025</v>
      </c>
      <c r="AM130" s="15" t="s">
        <v>452</v>
      </c>
      <c r="AN130" s="15" t="s">
        <v>453</v>
      </c>
      <c r="AO130" s="15" t="s">
        <v>546</v>
      </c>
      <c r="AP130" s="15" t="s">
        <v>547</v>
      </c>
      <c r="AQ130" s="15" t="s">
        <v>1276</v>
      </c>
      <c r="AR130" s="15" t="s">
        <v>1277</v>
      </c>
      <c r="AS130" s="15" t="s">
        <v>1030</v>
      </c>
      <c r="AT130" s="15" t="s">
        <v>2130</v>
      </c>
      <c r="AW130" s="15" t="s">
        <v>2134</v>
      </c>
      <c r="AX130" s="15" t="s">
        <v>2135</v>
      </c>
      <c r="AY130" s="15" t="s">
        <v>413</v>
      </c>
      <c r="AZ130" s="15" t="b">
        <v>0</v>
      </c>
      <c r="BA130" s="15" t="s">
        <v>413</v>
      </c>
      <c r="BB130" s="15" t="b">
        <v>0</v>
      </c>
      <c r="BC130" s="15" t="s">
        <v>2136</v>
      </c>
      <c r="BD130" s="15" t="s">
        <v>742</v>
      </c>
      <c r="BE130" s="15" t="str">
        <f t="shared" si="212"/>
        <v>1</v>
      </c>
      <c r="BF130" s="15" t="s">
        <v>980</v>
      </c>
      <c r="BG130" s="15" t="str">
        <f>"77.76"</f>
        <v>77.76</v>
      </c>
      <c r="BH130" s="15" t="s">
        <v>754</v>
      </c>
      <c r="BI130" s="15" t="str">
        <f>"18.9"</f>
        <v>18.9</v>
      </c>
      <c r="BJ130" s="15" t="s">
        <v>552</v>
      </c>
      <c r="BK130" s="15" t="str">
        <f>"37.01"</f>
        <v>37.01</v>
      </c>
      <c r="BL130" s="15" t="s">
        <v>1990</v>
      </c>
      <c r="BM130" s="15" t="str">
        <f>"224.87"</f>
        <v>224.87</v>
      </c>
      <c r="BN130" s="15" t="s">
        <v>1424</v>
      </c>
      <c r="BQ130" s="15" t="s">
        <v>444</v>
      </c>
      <c r="BS130" s="15" t="s">
        <v>444</v>
      </c>
      <c r="BU130" s="15" t="s">
        <v>444</v>
      </c>
      <c r="BW130" s="15" t="s">
        <v>444</v>
      </c>
      <c r="BZ130" s="15" t="s">
        <v>444</v>
      </c>
      <c r="CB130" s="15" t="s">
        <v>444</v>
      </c>
      <c r="CD130" s="15" t="s">
        <v>444</v>
      </c>
      <c r="CF130" s="15" t="s">
        <v>444</v>
      </c>
      <c r="CI130" s="15" t="s">
        <v>444</v>
      </c>
      <c r="CK130" s="15" t="s">
        <v>444</v>
      </c>
      <c r="CM130" s="15" t="s">
        <v>444</v>
      </c>
      <c r="CO130" s="15" t="s">
        <v>444</v>
      </c>
      <c r="CP130" s="15" t="str">
        <f>"31.47"</f>
        <v>31.47</v>
      </c>
      <c r="CQ130" s="15" t="str">
        <f>"0.891"</f>
        <v>0.891</v>
      </c>
      <c r="CR130" s="15" t="s">
        <v>465</v>
      </c>
      <c r="DC130" s="15" t="str">
        <f>IFERROR(__xludf.DUMMYFUNCTION("""COMPUTED_VALUE"""),"")</f>
        <v/>
      </c>
      <c r="DE130" s="15" t="str">
        <f>IFERROR(__xludf.DUMMYFUNCTION("""COMPUTED_VALUE"""),"")</f>
        <v/>
      </c>
      <c r="DG130" s="15" t="str">
        <f>IFERROR(__xludf.DUMMYFUNCTION("""COMPUTED_VALUE"""),"")</f>
        <v/>
      </c>
      <c r="DL130" s="15" t="str">
        <f>IFERROR(__xludf.DUMMYFUNCTION("""COMPUTED_VALUE"""),"")</f>
        <v/>
      </c>
      <c r="DM130" s="15" t="s">
        <v>444</v>
      </c>
      <c r="DN130" s="15" t="s">
        <v>1371</v>
      </c>
      <c r="DO130" s="15">
        <v>4.0</v>
      </c>
      <c r="DP130" s="15" t="s">
        <v>1185</v>
      </c>
      <c r="DR130" s="15">
        <v>0.0</v>
      </c>
      <c r="DT130" s="15" t="s">
        <v>1186</v>
      </c>
      <c r="DU130" s="15" t="s">
        <v>421</v>
      </c>
      <c r="DY130" s="15">
        <v>0.0</v>
      </c>
      <c r="EF130" s="15" t="s">
        <v>2137</v>
      </c>
      <c r="EG130" s="15" t="s">
        <v>2138</v>
      </c>
      <c r="EH130" s="15" t="s">
        <v>2139</v>
      </c>
      <c r="EJ130" s="15" t="s">
        <v>500</v>
      </c>
      <c r="EK130" s="15" t="s">
        <v>501</v>
      </c>
      <c r="EM130" s="15" t="str">
        <f>IFERROR(__xludf.DUMMYFUNCTION("""COMPUTED_VALUE"""),"")</f>
        <v/>
      </c>
      <c r="EW130" s="15" t="s">
        <v>2140</v>
      </c>
      <c r="EX130" s="15" t="s">
        <v>2141</v>
      </c>
      <c r="EY130" s="15" t="s">
        <v>2142</v>
      </c>
      <c r="FK130" s="15" t="s">
        <v>784</v>
      </c>
      <c r="FL130" s="15" t="s">
        <v>426</v>
      </c>
      <c r="FM130" s="15">
        <v>0.0</v>
      </c>
      <c r="FV130" s="15" t="s">
        <v>2140</v>
      </c>
      <c r="GH130" s="15">
        <v>0.0</v>
      </c>
      <c r="GI130" s="15" t="s">
        <v>427</v>
      </c>
      <c r="GO130" s="15" t="s">
        <v>426</v>
      </c>
      <c r="GQ130" s="15" t="s">
        <v>2143</v>
      </c>
      <c r="GS130" s="15" t="s">
        <v>2144</v>
      </c>
      <c r="GU130" s="15" t="s">
        <v>2145</v>
      </c>
      <c r="GW130" s="15" t="s">
        <v>838</v>
      </c>
      <c r="GY130" s="15" t="s">
        <v>1190</v>
      </c>
      <c r="GZ130" s="15" t="s">
        <v>426</v>
      </c>
      <c r="HD130" s="15">
        <v>0.0</v>
      </c>
    </row>
    <row r="131" ht="15.75" customHeight="1">
      <c r="A131" s="14" t="s">
        <v>391</v>
      </c>
      <c r="B131" s="15" t="s">
        <v>2146</v>
      </c>
      <c r="C131" s="16"/>
      <c r="D131" s="15" t="s">
        <v>432</v>
      </c>
      <c r="G131" s="14" t="s">
        <v>393</v>
      </c>
      <c r="H131" s="14" t="s">
        <v>394</v>
      </c>
      <c r="I131" s="14" t="b">
        <v>1</v>
      </c>
      <c r="J131" s="14" t="s">
        <v>395</v>
      </c>
      <c r="L131" s="14" t="b">
        <v>0</v>
      </c>
      <c r="M131" s="15" t="s">
        <v>2147</v>
      </c>
      <c r="N131" s="14" t="s">
        <v>393</v>
      </c>
      <c r="O131" s="14" t="s">
        <v>393</v>
      </c>
      <c r="P131" s="15" t="s">
        <v>397</v>
      </c>
      <c r="Q131" s="15" t="s">
        <v>2130</v>
      </c>
      <c r="T131" s="14" t="b">
        <v>0</v>
      </c>
      <c r="U131" s="15" t="s">
        <v>2148</v>
      </c>
      <c r="V131" s="15" t="s">
        <v>2149</v>
      </c>
      <c r="W131" s="15" t="s">
        <v>401</v>
      </c>
      <c r="X131" s="15" t="s">
        <v>742</v>
      </c>
      <c r="Y131" s="15">
        <v>2730.0</v>
      </c>
      <c r="AA131" s="15" t="str">
        <f t="shared" si="233"/>
        <v>1050</v>
      </c>
      <c r="AB131" s="14" t="b">
        <v>1</v>
      </c>
      <c r="AC131" s="14" t="b">
        <v>1</v>
      </c>
      <c r="AD131" s="15" t="str">
        <f>"801542988296"</f>
        <v>801542988296</v>
      </c>
      <c r="AE131" s="15" t="s">
        <v>2150</v>
      </c>
      <c r="AF131" s="14" t="s">
        <v>404</v>
      </c>
      <c r="AG131" s="14" t="s">
        <v>405</v>
      </c>
      <c r="AH131" s="14" t="s">
        <v>406</v>
      </c>
      <c r="AI131" s="15">
        <v>0.0</v>
      </c>
      <c r="AL131" s="15" t="s">
        <v>1025</v>
      </c>
      <c r="AM131" s="15" t="s">
        <v>2151</v>
      </c>
      <c r="AN131" s="15" t="s">
        <v>2152</v>
      </c>
      <c r="AO131" s="15" t="s">
        <v>1007</v>
      </c>
      <c r="AP131" s="15" t="s">
        <v>1008</v>
      </c>
      <c r="AQ131" s="15" t="s">
        <v>1085</v>
      </c>
      <c r="AR131" s="15" t="s">
        <v>1086</v>
      </c>
      <c r="AS131" s="15" t="s">
        <v>1030</v>
      </c>
      <c r="AT131" s="15" t="s">
        <v>2130</v>
      </c>
      <c r="AW131" s="15" t="s">
        <v>602</v>
      </c>
      <c r="AY131" s="15" t="s">
        <v>413</v>
      </c>
      <c r="AZ131" s="15" t="b">
        <v>0</v>
      </c>
      <c r="BA131" s="15" t="s">
        <v>413</v>
      </c>
      <c r="BB131" s="15" t="b">
        <v>0</v>
      </c>
      <c r="BC131" s="15" t="s">
        <v>2153</v>
      </c>
      <c r="BD131" s="15" t="s">
        <v>742</v>
      </c>
      <c r="BE131" s="15" t="str">
        <f t="shared" si="212"/>
        <v>1</v>
      </c>
      <c r="BF131" s="15" t="s">
        <v>980</v>
      </c>
      <c r="BG131" s="15" t="str">
        <f>"89.17"</f>
        <v>89.17</v>
      </c>
      <c r="BH131" s="15" t="s">
        <v>1456</v>
      </c>
      <c r="BI131" s="15" t="str">
        <f>"23.03"</f>
        <v>23.03</v>
      </c>
      <c r="BJ131" s="15" t="s">
        <v>2154</v>
      </c>
      <c r="BK131" s="15" t="str">
        <f>"24.21"</f>
        <v>24.21</v>
      </c>
      <c r="BL131" s="15" t="s">
        <v>463</v>
      </c>
      <c r="BM131" s="15" t="str">
        <f>"255.74"</f>
        <v>255.74</v>
      </c>
      <c r="BN131" s="15" t="s">
        <v>2155</v>
      </c>
      <c r="BQ131" s="15" t="s">
        <v>444</v>
      </c>
      <c r="BS131" s="15" t="s">
        <v>444</v>
      </c>
      <c r="BU131" s="15" t="s">
        <v>444</v>
      </c>
      <c r="BW131" s="15" t="s">
        <v>444</v>
      </c>
      <c r="BZ131" s="15" t="s">
        <v>444</v>
      </c>
      <c r="CB131" s="15" t="s">
        <v>444</v>
      </c>
      <c r="CD131" s="15" t="s">
        <v>444</v>
      </c>
      <c r="CF131" s="15" t="s">
        <v>444</v>
      </c>
      <c r="CI131" s="15" t="s">
        <v>444</v>
      </c>
      <c r="CK131" s="15" t="s">
        <v>444</v>
      </c>
      <c r="CM131" s="15" t="s">
        <v>444</v>
      </c>
      <c r="CO131" s="15" t="s">
        <v>444</v>
      </c>
      <c r="CP131" s="15" t="str">
        <f>"28.78"</f>
        <v>28.78</v>
      </c>
      <c r="CQ131" s="15" t="str">
        <f>"0.815"</f>
        <v>0.815</v>
      </c>
      <c r="CR131" s="15" t="s">
        <v>465</v>
      </c>
      <c r="CV131" s="15" t="s">
        <v>2156</v>
      </c>
      <c r="CW131" s="15" t="s">
        <v>1430</v>
      </c>
      <c r="CX131" s="15" t="s">
        <v>2157</v>
      </c>
      <c r="DC131" s="15" t="str">
        <f>IFERROR(__xludf.DUMMYFUNCTION("""COMPUTED_VALUE"""),"")</f>
        <v/>
      </c>
      <c r="DE131" s="15" t="str">
        <f>IFERROR(__xludf.DUMMYFUNCTION("""COMPUTED_VALUE"""),"")</f>
        <v/>
      </c>
      <c r="DG131" s="15" t="str">
        <f>IFERROR(__xludf.DUMMYFUNCTION("""COMPUTED_VALUE"""),"")</f>
        <v/>
      </c>
      <c r="DL131" s="15" t="str">
        <f>IFERROR(__xludf.DUMMYFUNCTION("""COMPUTED_VALUE"""),"")</f>
        <v/>
      </c>
      <c r="DM131" s="15" t="s">
        <v>444</v>
      </c>
      <c r="DN131" s="15" t="s">
        <v>1371</v>
      </c>
      <c r="DO131" s="15">
        <v>8.0</v>
      </c>
      <c r="DP131" s="15" t="s">
        <v>1185</v>
      </c>
      <c r="DR131" s="15">
        <v>0.0</v>
      </c>
      <c r="DT131" s="15" t="s">
        <v>1186</v>
      </c>
      <c r="DU131" s="15" t="s">
        <v>610</v>
      </c>
      <c r="DW131" s="15">
        <v>18.14</v>
      </c>
      <c r="DX131" s="15">
        <v>40.0</v>
      </c>
      <c r="DY131" s="15">
        <v>1.0</v>
      </c>
      <c r="EG131" s="15" t="s">
        <v>444</v>
      </c>
      <c r="EH131" s="15" t="s">
        <v>2139</v>
      </c>
      <c r="EK131" s="15" t="s">
        <v>444</v>
      </c>
      <c r="EM131" s="15" t="str">
        <f>IFERROR(__xludf.DUMMYFUNCTION("""COMPUTED_VALUE"""),"")</f>
        <v/>
      </c>
      <c r="EW131" s="15" t="s">
        <v>2158</v>
      </c>
      <c r="FL131" s="15" t="s">
        <v>426</v>
      </c>
      <c r="FM131" s="15">
        <v>1.0</v>
      </c>
      <c r="FY131" s="15" t="s">
        <v>2159</v>
      </c>
      <c r="FZ131" s="15" t="s">
        <v>2046</v>
      </c>
      <c r="GA131" s="15" t="s">
        <v>2160</v>
      </c>
      <c r="GB131" s="15" t="s">
        <v>2156</v>
      </c>
      <c r="GC131" s="15" t="s">
        <v>612</v>
      </c>
      <c r="GD131" s="15" t="s">
        <v>2157</v>
      </c>
      <c r="GF131" s="15" t="s">
        <v>426</v>
      </c>
      <c r="GG131" s="15" t="s">
        <v>1044</v>
      </c>
      <c r="GH131" s="15">
        <v>2.0</v>
      </c>
      <c r="GI131" s="15" t="s">
        <v>614</v>
      </c>
      <c r="GJ131" s="15" t="s">
        <v>1045</v>
      </c>
      <c r="GL131" s="15" t="s">
        <v>426</v>
      </c>
      <c r="GO131" s="15" t="s">
        <v>426</v>
      </c>
      <c r="GQ131" s="15" t="s">
        <v>2161</v>
      </c>
      <c r="GR131" s="15" t="s">
        <v>2161</v>
      </c>
      <c r="GS131" s="15" t="s">
        <v>2162</v>
      </c>
      <c r="GT131" s="15" t="s">
        <v>2163</v>
      </c>
      <c r="GU131" s="15" t="s">
        <v>2164</v>
      </c>
      <c r="GV131" s="15" t="s">
        <v>2165</v>
      </c>
      <c r="GW131" s="15" t="s">
        <v>838</v>
      </c>
      <c r="GY131" s="15" t="s">
        <v>1190</v>
      </c>
      <c r="GZ131" s="15" t="s">
        <v>426</v>
      </c>
      <c r="HD131" s="15">
        <v>0.0</v>
      </c>
      <c r="HW131" s="15" t="s">
        <v>1957</v>
      </c>
      <c r="IH131" s="15" t="s">
        <v>426</v>
      </c>
    </row>
    <row r="132" ht="15.75" customHeight="1">
      <c r="A132" s="14" t="s">
        <v>391</v>
      </c>
      <c r="B132" s="15" t="s">
        <v>2166</v>
      </c>
      <c r="C132" s="16"/>
      <c r="D132" s="15" t="s">
        <v>432</v>
      </c>
      <c r="G132" s="14" t="s">
        <v>393</v>
      </c>
      <c r="H132" s="14" t="s">
        <v>394</v>
      </c>
      <c r="I132" s="14" t="b">
        <v>1</v>
      </c>
      <c r="J132" s="14" t="s">
        <v>395</v>
      </c>
      <c r="L132" s="14" t="b">
        <v>0</v>
      </c>
      <c r="M132" s="15" t="s">
        <v>2167</v>
      </c>
      <c r="N132" s="14" t="s">
        <v>393</v>
      </c>
      <c r="O132" s="14" t="s">
        <v>393</v>
      </c>
      <c r="P132" s="15" t="s">
        <v>397</v>
      </c>
      <c r="Q132" s="15" t="s">
        <v>2130</v>
      </c>
      <c r="T132" s="14" t="b">
        <v>0</v>
      </c>
      <c r="U132" s="15" t="s">
        <v>2168</v>
      </c>
      <c r="V132" s="15" t="s">
        <v>2169</v>
      </c>
      <c r="W132" s="15" t="s">
        <v>401</v>
      </c>
      <c r="X132" s="15" t="s">
        <v>742</v>
      </c>
      <c r="Y132" s="15">
        <v>1976.0</v>
      </c>
      <c r="AA132" s="15" t="str">
        <f>"760"</f>
        <v>760</v>
      </c>
      <c r="AB132" s="14" t="b">
        <v>1</v>
      </c>
      <c r="AC132" s="14" t="b">
        <v>1</v>
      </c>
      <c r="AD132" s="15" t="str">
        <f>"801542988302"</f>
        <v>801542988302</v>
      </c>
      <c r="AE132" s="15" t="s">
        <v>2170</v>
      </c>
      <c r="AF132" s="14" t="s">
        <v>404</v>
      </c>
      <c r="AG132" s="14" t="s">
        <v>405</v>
      </c>
      <c r="AH132" s="14" t="s">
        <v>406</v>
      </c>
      <c r="AI132" s="15">
        <v>0.0</v>
      </c>
      <c r="AL132" s="15" t="s">
        <v>1025</v>
      </c>
      <c r="AM132" s="15" t="s">
        <v>645</v>
      </c>
      <c r="AN132" s="15" t="s">
        <v>646</v>
      </c>
      <c r="AO132" s="15" t="s">
        <v>1007</v>
      </c>
      <c r="AP132" s="15" t="s">
        <v>1008</v>
      </c>
      <c r="AQ132" s="15" t="s">
        <v>2088</v>
      </c>
      <c r="AR132" s="15" t="s">
        <v>2089</v>
      </c>
      <c r="AS132" s="15" t="s">
        <v>1030</v>
      </c>
      <c r="AT132" s="15" t="s">
        <v>2130</v>
      </c>
      <c r="AW132" s="15" t="s">
        <v>2134</v>
      </c>
      <c r="AX132" s="15" t="s">
        <v>2171</v>
      </c>
      <c r="AY132" s="15" t="s">
        <v>413</v>
      </c>
      <c r="AZ132" s="15" t="b">
        <v>0</v>
      </c>
      <c r="BA132" s="15" t="s">
        <v>413</v>
      </c>
      <c r="BB132" s="15" t="b">
        <v>0</v>
      </c>
      <c r="BC132" s="15" t="s">
        <v>2172</v>
      </c>
      <c r="BD132" s="15" t="s">
        <v>742</v>
      </c>
      <c r="BE132" s="15" t="str">
        <f>"2"</f>
        <v>2</v>
      </c>
      <c r="BF132" s="15" t="s">
        <v>2173</v>
      </c>
      <c r="BG132" s="15" t="str">
        <f>"39.37"</f>
        <v>39.37</v>
      </c>
      <c r="BH132" s="15" t="s">
        <v>523</v>
      </c>
      <c r="BI132" s="15" t="str">
        <f>"22.83"</f>
        <v>22.83</v>
      </c>
      <c r="BJ132" s="15" t="s">
        <v>1543</v>
      </c>
      <c r="BK132" s="15" t="str">
        <f>"32.09"</f>
        <v>32.09</v>
      </c>
      <c r="BL132" s="15" t="s">
        <v>2174</v>
      </c>
      <c r="BM132" s="15" t="str">
        <f>"132.28"</f>
        <v>132.28</v>
      </c>
      <c r="BN132" s="15" t="s">
        <v>2175</v>
      </c>
      <c r="BO132" s="15" t="s">
        <v>2176</v>
      </c>
      <c r="BP132" s="15" t="str">
        <f>"40.16"</f>
        <v>40.16</v>
      </c>
      <c r="BQ132" s="15" t="s">
        <v>667</v>
      </c>
      <c r="BR132" s="15" t="str">
        <f>"23.03"</f>
        <v>23.03</v>
      </c>
      <c r="BS132" s="15" t="s">
        <v>2154</v>
      </c>
      <c r="BT132" s="15" t="str">
        <f>"28.35"</f>
        <v>28.35</v>
      </c>
      <c r="BU132" s="15" t="s">
        <v>924</v>
      </c>
      <c r="BV132" s="15" t="str">
        <f>"42.99"</f>
        <v>42.99</v>
      </c>
      <c r="BW132" s="15" t="s">
        <v>2177</v>
      </c>
      <c r="BZ132" s="15" t="s">
        <v>444</v>
      </c>
      <c r="CB132" s="15" t="s">
        <v>444</v>
      </c>
      <c r="CD132" s="15" t="s">
        <v>444</v>
      </c>
      <c r="CF132" s="15" t="s">
        <v>444</v>
      </c>
      <c r="CI132" s="15" t="s">
        <v>444</v>
      </c>
      <c r="CK132" s="15" t="s">
        <v>444</v>
      </c>
      <c r="CM132" s="15" t="s">
        <v>444</v>
      </c>
      <c r="CO132" s="15" t="s">
        <v>444</v>
      </c>
      <c r="CP132" s="15" t="str">
        <f>"31.89"</f>
        <v>31.89</v>
      </c>
      <c r="CQ132" s="15" t="str">
        <f>"0.903"</f>
        <v>0.903</v>
      </c>
      <c r="CR132" s="15" t="s">
        <v>417</v>
      </c>
      <c r="CV132" s="15" t="s">
        <v>2178</v>
      </c>
      <c r="CW132" s="15" t="s">
        <v>2179</v>
      </c>
      <c r="CX132" s="15" t="s">
        <v>2180</v>
      </c>
      <c r="DC132" s="15" t="str">
        <f>IFERROR(__xludf.DUMMYFUNCTION("""COMPUTED_VALUE"""),"")</f>
        <v/>
      </c>
      <c r="DE132" s="15" t="str">
        <f>IFERROR(__xludf.DUMMYFUNCTION("""COMPUTED_VALUE"""),"")</f>
        <v/>
      </c>
      <c r="DG132" s="15" t="str">
        <f>IFERROR(__xludf.DUMMYFUNCTION("""COMPUTED_VALUE"""),"")</f>
        <v/>
      </c>
      <c r="DL132" s="15" t="str">
        <f>IFERROR(__xludf.DUMMYFUNCTION("""COMPUTED_VALUE"""),"")</f>
        <v/>
      </c>
      <c r="DM132" s="15" t="s">
        <v>444</v>
      </c>
      <c r="DN132" s="15" t="s">
        <v>1371</v>
      </c>
      <c r="DO132" s="15">
        <v>4.0</v>
      </c>
      <c r="DP132" s="15" t="s">
        <v>1185</v>
      </c>
      <c r="DR132" s="15">
        <v>0.0</v>
      </c>
      <c r="DT132" s="15" t="s">
        <v>1186</v>
      </c>
      <c r="DU132" s="15" t="s">
        <v>610</v>
      </c>
      <c r="DY132" s="15">
        <v>0.0</v>
      </c>
      <c r="EF132" s="15" t="s">
        <v>2181</v>
      </c>
      <c r="EG132" s="15" t="s">
        <v>2182</v>
      </c>
      <c r="EH132" s="15" t="s">
        <v>2139</v>
      </c>
      <c r="EJ132" s="15" t="s">
        <v>500</v>
      </c>
      <c r="EK132" s="15" t="s">
        <v>501</v>
      </c>
      <c r="EM132" s="15" t="str">
        <f>IFERROR(__xludf.DUMMYFUNCTION("""COMPUTED_VALUE"""),"")</f>
        <v/>
      </c>
      <c r="EW132" s="15" t="s">
        <v>429</v>
      </c>
      <c r="EX132" s="15" t="s">
        <v>2183</v>
      </c>
      <c r="EY132" s="15" t="s">
        <v>2184</v>
      </c>
      <c r="FK132" s="15" t="s">
        <v>1042</v>
      </c>
      <c r="FL132" s="15" t="s">
        <v>426</v>
      </c>
      <c r="FM132" s="15">
        <v>1.0</v>
      </c>
      <c r="GF132" s="15" t="s">
        <v>426</v>
      </c>
      <c r="GH132" s="15">
        <v>1.0</v>
      </c>
      <c r="GI132" s="15" t="s">
        <v>614</v>
      </c>
      <c r="GJ132" s="15" t="s">
        <v>1045</v>
      </c>
      <c r="GO132" s="15" t="s">
        <v>426</v>
      </c>
      <c r="GQ132" s="15" t="s">
        <v>2161</v>
      </c>
      <c r="GS132" s="15" t="s">
        <v>1607</v>
      </c>
      <c r="GU132" s="15" t="s">
        <v>2185</v>
      </c>
      <c r="GW132" s="15" t="s">
        <v>838</v>
      </c>
      <c r="GY132" s="15" t="s">
        <v>1190</v>
      </c>
      <c r="GZ132" s="15" t="s">
        <v>426</v>
      </c>
      <c r="HD132" s="15">
        <v>0.0</v>
      </c>
    </row>
    <row r="133" ht="15.75" customHeight="1">
      <c r="A133" s="14" t="s">
        <v>391</v>
      </c>
      <c r="B133" s="15" t="s">
        <v>2186</v>
      </c>
      <c r="C133" s="16"/>
      <c r="D133" s="15" t="s">
        <v>432</v>
      </c>
      <c r="G133" s="14" t="s">
        <v>393</v>
      </c>
      <c r="H133" s="14" t="s">
        <v>394</v>
      </c>
      <c r="I133" s="14" t="b">
        <v>1</v>
      </c>
      <c r="J133" s="14" t="s">
        <v>395</v>
      </c>
      <c r="L133" s="14" t="b">
        <v>0</v>
      </c>
      <c r="M133" s="15" t="s">
        <v>2187</v>
      </c>
      <c r="N133" s="14" t="s">
        <v>393</v>
      </c>
      <c r="O133" s="14" t="s">
        <v>393</v>
      </c>
      <c r="P133" s="15" t="s">
        <v>397</v>
      </c>
      <c r="Q133" s="15" t="s">
        <v>2188</v>
      </c>
      <c r="T133" s="14" t="b">
        <v>0</v>
      </c>
      <c r="U133" s="15" t="s">
        <v>2189</v>
      </c>
      <c r="V133" s="15" t="s">
        <v>2190</v>
      </c>
      <c r="W133" s="15" t="s">
        <v>401</v>
      </c>
      <c r="X133" s="15" t="s">
        <v>695</v>
      </c>
      <c r="Y133" s="15">
        <v>1261.0</v>
      </c>
      <c r="AA133" s="15" t="str">
        <f>"485"</f>
        <v>485</v>
      </c>
      <c r="AB133" s="14" t="b">
        <v>1</v>
      </c>
      <c r="AC133" s="14" t="b">
        <v>1</v>
      </c>
      <c r="AD133" s="15" t="str">
        <f>"198394057707"</f>
        <v>198394057707</v>
      </c>
      <c r="AE133" s="15" t="s">
        <v>2191</v>
      </c>
      <c r="AF133" s="14" t="s">
        <v>404</v>
      </c>
      <c r="AG133" s="14" t="s">
        <v>405</v>
      </c>
      <c r="AH133" s="14" t="s">
        <v>406</v>
      </c>
      <c r="AI133" s="15">
        <v>0.0</v>
      </c>
      <c r="AL133" s="15" t="s">
        <v>2192</v>
      </c>
      <c r="AM133" s="15" t="s">
        <v>2012</v>
      </c>
      <c r="AN133" s="15" t="s">
        <v>2013</v>
      </c>
      <c r="AO133" s="15" t="s">
        <v>546</v>
      </c>
      <c r="AP133" s="15" t="s">
        <v>547</v>
      </c>
      <c r="AQ133" s="15" t="s">
        <v>1276</v>
      </c>
      <c r="AR133" s="15" t="s">
        <v>1277</v>
      </c>
      <c r="AS133" s="15" t="s">
        <v>2193</v>
      </c>
      <c r="AT133" s="15" t="s">
        <v>2188</v>
      </c>
      <c r="AU133" s="15" t="s">
        <v>2194</v>
      </c>
      <c r="AV133" s="15" t="s">
        <v>2195</v>
      </c>
      <c r="AW133" s="15" t="s">
        <v>706</v>
      </c>
      <c r="AX133" s="15" t="s">
        <v>707</v>
      </c>
      <c r="AY133" s="15" t="s">
        <v>413</v>
      </c>
      <c r="AZ133" s="15" t="b">
        <v>0</v>
      </c>
      <c r="BA133" s="15" t="s">
        <v>426</v>
      </c>
      <c r="BB133" s="15" t="b">
        <v>1</v>
      </c>
      <c r="BC133" s="15" t="s">
        <v>2196</v>
      </c>
      <c r="BD133" s="15" t="s">
        <v>709</v>
      </c>
      <c r="BE133" s="15" t="str">
        <f t="shared" ref="BE133:BE134" si="234">"1"</f>
        <v>1</v>
      </c>
      <c r="BF133" s="15" t="s">
        <v>416</v>
      </c>
      <c r="BG133" s="15" t="str">
        <f>"32.68"</f>
        <v>32.68</v>
      </c>
      <c r="BH133" s="15" t="s">
        <v>2066</v>
      </c>
      <c r="BI133" s="15" t="str">
        <f>"31.1"</f>
        <v>31.1</v>
      </c>
      <c r="BJ133" s="15" t="s">
        <v>1386</v>
      </c>
      <c r="BK133" s="15" t="str">
        <f>"32.28"</f>
        <v>32.28</v>
      </c>
      <c r="BL133" s="15" t="s">
        <v>954</v>
      </c>
      <c r="BM133" s="15" t="str">
        <f>"58.42"</f>
        <v>58.42</v>
      </c>
      <c r="BN133" s="15" t="s">
        <v>2197</v>
      </c>
      <c r="BQ133" s="15" t="s">
        <v>444</v>
      </c>
      <c r="BS133" s="15" t="s">
        <v>444</v>
      </c>
      <c r="BU133" s="15" t="s">
        <v>444</v>
      </c>
      <c r="BW133" s="15" t="s">
        <v>444</v>
      </c>
      <c r="BZ133" s="15" t="s">
        <v>444</v>
      </c>
      <c r="CB133" s="15" t="s">
        <v>444</v>
      </c>
      <c r="CD133" s="15" t="s">
        <v>444</v>
      </c>
      <c r="CF133" s="15" t="s">
        <v>444</v>
      </c>
      <c r="CI133" s="15" t="s">
        <v>444</v>
      </c>
      <c r="CK133" s="15" t="s">
        <v>444</v>
      </c>
      <c r="CM133" s="15" t="s">
        <v>444</v>
      </c>
      <c r="CO133" s="15" t="s">
        <v>444</v>
      </c>
      <c r="CP133" s="15" t="str">
        <f>"19"</f>
        <v>19</v>
      </c>
      <c r="CQ133" s="15" t="str">
        <f>"0.538"</f>
        <v>0.538</v>
      </c>
      <c r="CR133" s="15" t="s">
        <v>465</v>
      </c>
      <c r="CY133" s="15" t="s">
        <v>525</v>
      </c>
      <c r="CZ133" s="15" t="s">
        <v>429</v>
      </c>
      <c r="DA133" s="15" t="s">
        <v>525</v>
      </c>
      <c r="DB133" s="15" t="s">
        <v>2198</v>
      </c>
      <c r="DC133" s="15" t="str">
        <f>IFERROR(__xludf.DUMMYFUNCTION("""COMPUTED_VALUE"""),"{""value"":21.25,""unit"":""in""}")</f>
        <v>{"value":21.25,"unit":"in"}</v>
      </c>
      <c r="DD133" s="15" t="s">
        <v>1804</v>
      </c>
      <c r="DE133" s="15" t="str">
        <f>IFERROR(__xludf.DUMMYFUNCTION("""COMPUTED_VALUE"""),"{""value"":17.50,""unit"":""in""}")</f>
        <v>{"value":17.50,"unit":"in"}</v>
      </c>
      <c r="DG133" s="15" t="str">
        <f>IFERROR(__xludf.DUMMYFUNCTION("""COMPUTED_VALUE"""),"")</f>
        <v/>
      </c>
      <c r="DH133" s="15">
        <v>0.0</v>
      </c>
      <c r="DI133" s="15">
        <v>1.0</v>
      </c>
      <c r="DJ133" s="15" t="s">
        <v>717</v>
      </c>
      <c r="DK133" s="15" t="s">
        <v>855</v>
      </c>
      <c r="DL133" s="15" t="str">
        <f>IFERROR(__xludf.DUMMYFUNCTION("""COMPUTED_VALUE"""),"Clean with solvent-based (dry clean only) products. Do not use water.")</f>
        <v>Clean with solvent-based (dry clean only) products. Do not use water.</v>
      </c>
      <c r="DM133" s="15" t="s">
        <v>856</v>
      </c>
      <c r="DQ133" s="15" t="s">
        <v>2199</v>
      </c>
      <c r="DT133" s="15" t="s">
        <v>1111</v>
      </c>
      <c r="DU133" s="15" t="s">
        <v>419</v>
      </c>
      <c r="DV133" s="15">
        <v>0.0</v>
      </c>
      <c r="DZ133" s="15">
        <v>25000.0</v>
      </c>
      <c r="EA133" s="15" t="s">
        <v>470</v>
      </c>
      <c r="EB133" s="15" t="s">
        <v>723</v>
      </c>
      <c r="EC133" s="15" t="s">
        <v>2200</v>
      </c>
      <c r="ED133" s="15">
        <v>1.0</v>
      </c>
      <c r="EE133" s="15">
        <v>1.0</v>
      </c>
      <c r="EG133" s="15" t="s">
        <v>444</v>
      </c>
      <c r="EH133" s="15" t="s">
        <v>2201</v>
      </c>
      <c r="EI133" s="15">
        <v>0.0</v>
      </c>
      <c r="EJ133" s="15" t="s">
        <v>726</v>
      </c>
      <c r="EK133" s="15" t="s">
        <v>727</v>
      </c>
      <c r="EL133" s="15" t="s">
        <v>1211</v>
      </c>
      <c r="EM133" s="15" t="str">
        <f>IFERROR(__xludf.DUMMYFUNCTION("""COMPUTED_VALUE"""),"{""value"":24.00,""unit"":""in""}")</f>
        <v>{"value":24.00,"unit":"in"}</v>
      </c>
      <c r="EN133" s="15" t="s">
        <v>762</v>
      </c>
      <c r="EO133" s="15" t="s">
        <v>2202</v>
      </c>
      <c r="ES133" s="15" t="s">
        <v>477</v>
      </c>
      <c r="ET133" s="15" t="s">
        <v>1069</v>
      </c>
      <c r="EU133" s="15" t="s">
        <v>504</v>
      </c>
      <c r="EV133" s="15" t="s">
        <v>1331</v>
      </c>
      <c r="EW133" s="15" t="s">
        <v>635</v>
      </c>
      <c r="EX133" s="15" t="s">
        <v>1283</v>
      </c>
      <c r="EY133" s="15" t="s">
        <v>1998</v>
      </c>
      <c r="EZ133" s="15" t="s">
        <v>1996</v>
      </c>
      <c r="FC133" s="15" t="s">
        <v>723</v>
      </c>
      <c r="FD133" s="15" t="s">
        <v>724</v>
      </c>
      <c r="FE133" s="15" t="s">
        <v>2203</v>
      </c>
      <c r="FO133" s="15" t="s">
        <v>1998</v>
      </c>
      <c r="FP133" s="15" t="s">
        <v>525</v>
      </c>
      <c r="FQ133" s="15">
        <v>0.0</v>
      </c>
      <c r="FR133" s="15">
        <v>0.0</v>
      </c>
      <c r="FT133" s="15">
        <v>0.0</v>
      </c>
      <c r="IL133" s="15" t="s">
        <v>1215</v>
      </c>
    </row>
    <row r="134" ht="15.75" customHeight="1">
      <c r="A134" s="14" t="s">
        <v>391</v>
      </c>
      <c r="B134" s="15" t="s">
        <v>2204</v>
      </c>
      <c r="C134" s="16"/>
      <c r="D134" s="15" t="s">
        <v>432</v>
      </c>
      <c r="G134" s="14" t="s">
        <v>393</v>
      </c>
      <c r="H134" s="14" t="s">
        <v>394</v>
      </c>
      <c r="I134" s="14" t="b">
        <v>1</v>
      </c>
      <c r="J134" s="14" t="s">
        <v>395</v>
      </c>
      <c r="L134" s="14" t="b">
        <v>0</v>
      </c>
      <c r="M134" s="15" t="s">
        <v>2205</v>
      </c>
      <c r="N134" s="14" t="s">
        <v>393</v>
      </c>
      <c r="O134" s="14" t="s">
        <v>393</v>
      </c>
      <c r="P134" s="15" t="s">
        <v>397</v>
      </c>
      <c r="Q134" s="15" t="s">
        <v>2206</v>
      </c>
      <c r="T134" s="14" t="b">
        <v>0</v>
      </c>
      <c r="U134" s="15" t="s">
        <v>2207</v>
      </c>
      <c r="V134" s="15" t="s">
        <v>2208</v>
      </c>
      <c r="W134" s="15" t="s">
        <v>401</v>
      </c>
      <c r="X134" s="15" t="s">
        <v>1172</v>
      </c>
      <c r="Y134" s="15">
        <v>442.0</v>
      </c>
      <c r="AA134" s="15" t="str">
        <f>"170"</f>
        <v>170</v>
      </c>
      <c r="AB134" s="14" t="b">
        <v>1</v>
      </c>
      <c r="AC134" s="14" t="b">
        <v>1</v>
      </c>
      <c r="AD134" s="15" t="str">
        <f>"801542723316"</f>
        <v>801542723316</v>
      </c>
      <c r="AE134" s="15" t="s">
        <v>2209</v>
      </c>
      <c r="AF134" s="14" t="s">
        <v>404</v>
      </c>
      <c r="AG134" s="14" t="s">
        <v>405</v>
      </c>
      <c r="AH134" s="14" t="s">
        <v>406</v>
      </c>
      <c r="AI134" s="15">
        <v>0.0</v>
      </c>
      <c r="AL134" s="15" t="s">
        <v>2210</v>
      </c>
      <c r="AM134" s="15" t="s">
        <v>2211</v>
      </c>
      <c r="AN134" s="15" t="s">
        <v>2212</v>
      </c>
      <c r="AO134" s="15" t="s">
        <v>2211</v>
      </c>
      <c r="AP134" s="15" t="s">
        <v>2212</v>
      </c>
      <c r="AQ134" s="15" t="s">
        <v>2213</v>
      </c>
      <c r="AR134" s="15" t="s">
        <v>2214</v>
      </c>
      <c r="AS134" s="15" t="s">
        <v>2215</v>
      </c>
      <c r="AT134" s="15" t="s">
        <v>2206</v>
      </c>
      <c r="AU134" s="15" t="s">
        <v>2216</v>
      </c>
      <c r="AW134" s="15" t="s">
        <v>1154</v>
      </c>
      <c r="AY134" s="15" t="s">
        <v>413</v>
      </c>
      <c r="AZ134" s="15" t="b">
        <v>0</v>
      </c>
      <c r="BA134" s="15" t="s">
        <v>413</v>
      </c>
      <c r="BB134" s="15" t="b">
        <v>0</v>
      </c>
      <c r="BC134" s="15" t="s">
        <v>2217</v>
      </c>
      <c r="BD134" s="15" t="s">
        <v>1181</v>
      </c>
      <c r="BE134" s="15" t="str">
        <f t="shared" si="234"/>
        <v>1</v>
      </c>
      <c r="BF134" s="15" t="s">
        <v>416</v>
      </c>
      <c r="BG134" s="15" t="str">
        <f>"11.81"</f>
        <v>11.81</v>
      </c>
      <c r="BH134" s="15" t="s">
        <v>2218</v>
      </c>
      <c r="BI134" s="15" t="str">
        <f>"11.81"</f>
        <v>11.81</v>
      </c>
      <c r="BJ134" s="15" t="s">
        <v>2218</v>
      </c>
      <c r="BK134" s="15" t="str">
        <f>"29.92"</f>
        <v>29.92</v>
      </c>
      <c r="BL134" s="15" t="s">
        <v>1321</v>
      </c>
      <c r="BM134" s="15" t="str">
        <f>"30.86"</f>
        <v>30.86</v>
      </c>
      <c r="BN134" s="15" t="s">
        <v>1699</v>
      </c>
      <c r="BQ134" s="15" t="s">
        <v>444</v>
      </c>
      <c r="BS134" s="15" t="s">
        <v>444</v>
      </c>
      <c r="BU134" s="15" t="s">
        <v>444</v>
      </c>
      <c r="BW134" s="15" t="s">
        <v>444</v>
      </c>
      <c r="BZ134" s="15" t="s">
        <v>444</v>
      </c>
      <c r="CB134" s="15" t="s">
        <v>444</v>
      </c>
      <c r="CD134" s="15" t="s">
        <v>444</v>
      </c>
      <c r="CF134" s="15" t="s">
        <v>444</v>
      </c>
      <c r="CI134" s="15" t="s">
        <v>444</v>
      </c>
      <c r="CK134" s="15" t="s">
        <v>444</v>
      </c>
      <c r="CM134" s="15" t="s">
        <v>444</v>
      </c>
      <c r="CO134" s="15" t="s">
        <v>444</v>
      </c>
      <c r="CP134" s="15" t="str">
        <f>"2.4"</f>
        <v>2.4</v>
      </c>
      <c r="CQ134" s="15" t="str">
        <f>"0.068"</f>
        <v>0.068</v>
      </c>
      <c r="CR134" s="15" t="s">
        <v>497</v>
      </c>
      <c r="DC134" s="15" t="str">
        <f>IFERROR(__xludf.DUMMYFUNCTION("""COMPUTED_VALUE"""),"")</f>
        <v/>
      </c>
      <c r="DE134" s="15" t="str">
        <f>IFERROR(__xludf.DUMMYFUNCTION("""COMPUTED_VALUE"""),"")</f>
        <v/>
      </c>
      <c r="DG134" s="15" t="str">
        <f>IFERROR(__xludf.DUMMYFUNCTION("""COMPUTED_VALUE"""),"")</f>
        <v/>
      </c>
      <c r="DL134" s="15" t="str">
        <f>IFERROR(__xludf.DUMMYFUNCTION("""COMPUTED_VALUE"""),"")</f>
        <v/>
      </c>
      <c r="DM134" s="15" t="s">
        <v>444</v>
      </c>
      <c r="DN134" s="15" t="s">
        <v>419</v>
      </c>
      <c r="DO134" s="15">
        <v>0.0</v>
      </c>
      <c r="DP134" s="15" t="s">
        <v>419</v>
      </c>
      <c r="DR134" s="15">
        <v>0.0</v>
      </c>
      <c r="DU134" s="15" t="s">
        <v>419</v>
      </c>
      <c r="DY134" s="15">
        <v>0.0</v>
      </c>
      <c r="EF134" s="15" t="s">
        <v>1157</v>
      </c>
      <c r="EG134" s="15" t="s">
        <v>1158</v>
      </c>
      <c r="EH134" s="15" t="s">
        <v>2219</v>
      </c>
      <c r="EJ134" s="15" t="s">
        <v>500</v>
      </c>
      <c r="EK134" s="15" t="s">
        <v>501</v>
      </c>
      <c r="EM134" s="15" t="str">
        <f>IFERROR(__xludf.DUMMYFUNCTION("""COMPUTED_VALUE"""),"")</f>
        <v/>
      </c>
      <c r="EW134" s="15" t="s">
        <v>2220</v>
      </c>
      <c r="FH134" s="15" t="s">
        <v>2221</v>
      </c>
      <c r="FI134" s="15" t="s">
        <v>714</v>
      </c>
      <c r="FJ134" s="15" t="s">
        <v>2221</v>
      </c>
      <c r="FK134" s="15" t="s">
        <v>1607</v>
      </c>
      <c r="FM134" s="15">
        <v>0.0</v>
      </c>
      <c r="FN134" s="15">
        <v>0.0</v>
      </c>
      <c r="FW134" s="15" t="s">
        <v>787</v>
      </c>
    </row>
    <row r="135" ht="15.75" customHeight="1">
      <c r="A135" s="14" t="s">
        <v>391</v>
      </c>
      <c r="B135" s="15" t="s">
        <v>2222</v>
      </c>
      <c r="C135" s="16"/>
      <c r="D135" s="15" t="s">
        <v>432</v>
      </c>
      <c r="G135" s="14" t="s">
        <v>393</v>
      </c>
      <c r="H135" s="14" t="s">
        <v>394</v>
      </c>
      <c r="I135" s="14" t="b">
        <v>1</v>
      </c>
      <c r="J135" s="14" t="s">
        <v>395</v>
      </c>
      <c r="L135" s="14" t="b">
        <v>0</v>
      </c>
      <c r="M135" s="15" t="s">
        <v>2223</v>
      </c>
      <c r="N135" s="14" t="s">
        <v>393</v>
      </c>
      <c r="O135" s="14" t="s">
        <v>393</v>
      </c>
      <c r="P135" s="15" t="s">
        <v>397</v>
      </c>
      <c r="Q135" s="15" t="s">
        <v>2224</v>
      </c>
      <c r="T135" s="14" t="b">
        <v>0</v>
      </c>
      <c r="U135" s="15" t="s">
        <v>2225</v>
      </c>
      <c r="V135" s="15" t="s">
        <v>2226</v>
      </c>
      <c r="W135" s="15" t="s">
        <v>401</v>
      </c>
      <c r="X135" s="15" t="s">
        <v>1296</v>
      </c>
      <c r="Y135" s="15">
        <v>2522.0</v>
      </c>
      <c r="AA135" s="15" t="str">
        <f t="shared" ref="AA135:AA137" si="235">"970"</f>
        <v>970</v>
      </c>
      <c r="AB135" s="14" t="b">
        <v>1</v>
      </c>
      <c r="AC135" s="14" t="b">
        <v>1</v>
      </c>
      <c r="AD135" s="15" t="str">
        <f>"801542689865"</f>
        <v>801542689865</v>
      </c>
      <c r="AE135" s="15" t="s">
        <v>2227</v>
      </c>
      <c r="AF135" s="14" t="s">
        <v>404</v>
      </c>
      <c r="AG135" s="14" t="s">
        <v>405</v>
      </c>
      <c r="AH135" s="14" t="s">
        <v>406</v>
      </c>
      <c r="AI135" s="15">
        <v>0.0</v>
      </c>
      <c r="AL135" s="15" t="s">
        <v>2228</v>
      </c>
      <c r="AM135" s="15" t="s">
        <v>2037</v>
      </c>
      <c r="AN135" s="15" t="s">
        <v>2038</v>
      </c>
      <c r="AO135" s="15" t="s">
        <v>2037</v>
      </c>
      <c r="AP135" s="15" t="s">
        <v>2038</v>
      </c>
      <c r="AQ135" s="15" t="s">
        <v>2229</v>
      </c>
      <c r="AR135" s="15" t="s">
        <v>2230</v>
      </c>
      <c r="AS135" s="15" t="s">
        <v>2231</v>
      </c>
      <c r="AT135" s="15" t="s">
        <v>2232</v>
      </c>
      <c r="AU135" s="15" t="s">
        <v>2224</v>
      </c>
      <c r="AW135" s="15" t="s">
        <v>548</v>
      </c>
      <c r="AX135" s="15" t="s">
        <v>549</v>
      </c>
      <c r="AY135" s="15" t="s">
        <v>413</v>
      </c>
      <c r="AZ135" s="15" t="b">
        <v>0</v>
      </c>
      <c r="BA135" s="15" t="s">
        <v>413</v>
      </c>
      <c r="BB135" s="15" t="b">
        <v>0</v>
      </c>
      <c r="BC135" s="15" t="s">
        <v>2233</v>
      </c>
      <c r="BD135" s="15" t="s">
        <v>1303</v>
      </c>
      <c r="BE135" s="15" t="str">
        <f t="shared" ref="BE135:BE137" si="236">"3"</f>
        <v>3</v>
      </c>
      <c r="BF135" s="15" t="s">
        <v>1564</v>
      </c>
      <c r="BG135" s="15" t="str">
        <f t="shared" ref="BG135:BG137" si="237">"63.5"</f>
        <v>63.5</v>
      </c>
      <c r="BH135" s="15" t="s">
        <v>2234</v>
      </c>
      <c r="BI135" s="15" t="str">
        <f t="shared" ref="BI135:BI137" si="238">"64"</f>
        <v>64</v>
      </c>
      <c r="BJ135" s="15" t="s">
        <v>2235</v>
      </c>
      <c r="BK135" s="15" t="str">
        <f t="shared" ref="BK135:BK137" si="239">"5"</f>
        <v>5</v>
      </c>
      <c r="BL135" s="15" t="s">
        <v>2236</v>
      </c>
      <c r="BM135" s="15" t="str">
        <f t="shared" ref="BM135:BM136" si="240">"135.36"</f>
        <v>135.36</v>
      </c>
      <c r="BN135" s="15" t="s">
        <v>2237</v>
      </c>
      <c r="BO135" s="15" t="s">
        <v>2238</v>
      </c>
      <c r="BP135" s="15" t="str">
        <f t="shared" ref="BP135:BP137" si="241">"34"</f>
        <v>34</v>
      </c>
      <c r="BQ135" s="15" t="s">
        <v>1365</v>
      </c>
      <c r="BR135" s="15" t="str">
        <f t="shared" ref="BR135:BR137" si="242">"35.25"</f>
        <v>35.25</v>
      </c>
      <c r="BS135" s="15" t="s">
        <v>836</v>
      </c>
      <c r="BT135" s="15" t="str">
        <f t="shared" ref="BT135:BT137" si="243">"34.5"</f>
        <v>34.5</v>
      </c>
      <c r="BU135" s="15" t="s">
        <v>2239</v>
      </c>
      <c r="BV135" s="15" t="str">
        <f t="shared" ref="BV135:BV137" si="244">"134.48"</f>
        <v>134.48</v>
      </c>
      <c r="BW135" s="15" t="s">
        <v>983</v>
      </c>
      <c r="BX135" s="15" t="s">
        <v>2240</v>
      </c>
      <c r="BY135" s="15" t="str">
        <f t="shared" ref="BY135:BY137" si="245">"17.25"</f>
        <v>17.25</v>
      </c>
      <c r="BZ135" s="15" t="s">
        <v>2241</v>
      </c>
      <c r="CA135" s="15" t="str">
        <f t="shared" ref="CA135:CA137" si="246">"17.25"</f>
        <v>17.25</v>
      </c>
      <c r="CB135" s="15" t="s">
        <v>2241</v>
      </c>
      <c r="CC135" s="15" t="str">
        <f t="shared" ref="CC135:CC137" si="247">"15"</f>
        <v>15</v>
      </c>
      <c r="CD135" s="15" t="s">
        <v>490</v>
      </c>
      <c r="CE135" s="15" t="str">
        <f t="shared" ref="CE135:CE137" si="248">"66.13"</f>
        <v>66.13</v>
      </c>
      <c r="CF135" s="15" t="s">
        <v>2242</v>
      </c>
      <c r="CI135" s="15" t="s">
        <v>444</v>
      </c>
      <c r="CK135" s="15" t="s">
        <v>444</v>
      </c>
      <c r="CM135" s="15" t="s">
        <v>444</v>
      </c>
      <c r="CO135" s="15" t="s">
        <v>444</v>
      </c>
      <c r="CP135" s="15" t="str">
        <f t="shared" ref="CP135:CP137" si="249">"38.28"</f>
        <v>38.28</v>
      </c>
      <c r="CQ135" s="15" t="str">
        <f t="shared" ref="CQ135:CQ137" si="250">"1.084"</f>
        <v>1.084</v>
      </c>
      <c r="CR135" s="15" t="s">
        <v>497</v>
      </c>
      <c r="DC135" s="15" t="str">
        <f>IFERROR(__xludf.DUMMYFUNCTION("""COMPUTED_VALUE"""),"")</f>
        <v/>
      </c>
      <c r="DE135" s="15" t="str">
        <f>IFERROR(__xludf.DUMMYFUNCTION("""COMPUTED_VALUE"""),"")</f>
        <v/>
      </c>
      <c r="DG135" s="15" t="str">
        <f>IFERROR(__xludf.DUMMYFUNCTION("""COMPUTED_VALUE"""),"")</f>
        <v/>
      </c>
      <c r="DL135" s="15" t="str">
        <f>IFERROR(__xludf.DUMMYFUNCTION("""COMPUTED_VALUE"""),"")</f>
        <v/>
      </c>
      <c r="DM135" s="15" t="s">
        <v>444</v>
      </c>
      <c r="DN135" s="15" t="s">
        <v>419</v>
      </c>
      <c r="DO135" s="15">
        <v>0.0</v>
      </c>
      <c r="DP135" s="15" t="s">
        <v>419</v>
      </c>
      <c r="DR135" s="15">
        <v>0.0</v>
      </c>
      <c r="DU135" s="15" t="s">
        <v>419</v>
      </c>
      <c r="DW135" s="15">
        <v>0.0</v>
      </c>
      <c r="DX135" s="15">
        <v>0.0</v>
      </c>
      <c r="DY135" s="15">
        <v>0.0</v>
      </c>
      <c r="EE135" s="15">
        <v>6.0</v>
      </c>
      <c r="EF135" s="15" t="s">
        <v>1157</v>
      </c>
      <c r="EG135" s="15" t="s">
        <v>1158</v>
      </c>
      <c r="EH135" s="15" t="s">
        <v>2243</v>
      </c>
      <c r="EJ135" s="15" t="s">
        <v>500</v>
      </c>
      <c r="EK135" s="15" t="s">
        <v>501</v>
      </c>
      <c r="EM135" s="15" t="str">
        <f>IFERROR(__xludf.DUMMYFUNCTION("""COMPUTED_VALUE"""),"")</f>
        <v/>
      </c>
      <c r="EW135" s="15" t="s">
        <v>1574</v>
      </c>
      <c r="FH135" s="15" t="s">
        <v>558</v>
      </c>
      <c r="FI135" s="15" t="s">
        <v>1574</v>
      </c>
      <c r="FJ135" s="15" t="s">
        <v>558</v>
      </c>
      <c r="FK135" s="15" t="s">
        <v>1807</v>
      </c>
      <c r="FL135" s="15" t="s">
        <v>426</v>
      </c>
      <c r="FM135" s="15">
        <v>0.0</v>
      </c>
      <c r="FN135" s="15">
        <v>0.0</v>
      </c>
      <c r="FV135" s="15" t="s">
        <v>1574</v>
      </c>
      <c r="FW135" s="15" t="s">
        <v>504</v>
      </c>
      <c r="FX135" s="15" t="s">
        <v>2244</v>
      </c>
    </row>
    <row r="136" ht="15.75" customHeight="1">
      <c r="A136" s="14" t="s">
        <v>391</v>
      </c>
      <c r="B136" s="15" t="s">
        <v>2222</v>
      </c>
      <c r="C136" s="16"/>
      <c r="D136" s="15" t="s">
        <v>432</v>
      </c>
      <c r="G136" s="14" t="s">
        <v>393</v>
      </c>
      <c r="H136" s="14" t="s">
        <v>394</v>
      </c>
      <c r="I136" s="14" t="b">
        <v>1</v>
      </c>
      <c r="J136" s="14" t="s">
        <v>395</v>
      </c>
      <c r="L136" s="14" t="b">
        <v>0</v>
      </c>
      <c r="M136" s="15" t="s">
        <v>2245</v>
      </c>
      <c r="N136" s="14" t="s">
        <v>393</v>
      </c>
      <c r="O136" s="14" t="s">
        <v>393</v>
      </c>
      <c r="P136" s="15" t="s">
        <v>397</v>
      </c>
      <c r="Q136" s="15" t="s">
        <v>2246</v>
      </c>
      <c r="T136" s="14" t="b">
        <v>0</v>
      </c>
      <c r="U136" s="15" t="s">
        <v>2247</v>
      </c>
      <c r="V136" s="15" t="s">
        <v>2226</v>
      </c>
      <c r="W136" s="15" t="s">
        <v>401</v>
      </c>
      <c r="X136" s="15" t="s">
        <v>1296</v>
      </c>
      <c r="Y136" s="15">
        <v>2522.0</v>
      </c>
      <c r="AA136" s="15" t="str">
        <f t="shared" si="235"/>
        <v>970</v>
      </c>
      <c r="AB136" s="14" t="b">
        <v>1</v>
      </c>
      <c r="AC136" s="14" t="b">
        <v>1</v>
      </c>
      <c r="AD136" s="15" t="str">
        <f>"801542753528"</f>
        <v>801542753528</v>
      </c>
      <c r="AE136" s="15" t="s">
        <v>2248</v>
      </c>
      <c r="AF136" s="14" t="s">
        <v>404</v>
      </c>
      <c r="AG136" s="14" t="s">
        <v>405</v>
      </c>
      <c r="AH136" s="14" t="s">
        <v>406</v>
      </c>
      <c r="AI136" s="15">
        <v>0.0</v>
      </c>
      <c r="AL136" s="15" t="s">
        <v>2228</v>
      </c>
      <c r="AM136" s="15" t="s">
        <v>2037</v>
      </c>
      <c r="AN136" s="15" t="s">
        <v>2038</v>
      </c>
      <c r="AO136" s="15" t="s">
        <v>2037</v>
      </c>
      <c r="AP136" s="15" t="s">
        <v>2038</v>
      </c>
      <c r="AQ136" s="15" t="s">
        <v>2229</v>
      </c>
      <c r="AR136" s="15" t="s">
        <v>2230</v>
      </c>
      <c r="AS136" s="15" t="s">
        <v>2231</v>
      </c>
      <c r="AT136" s="15" t="s">
        <v>2232</v>
      </c>
      <c r="AU136" s="15" t="s">
        <v>2246</v>
      </c>
      <c r="AW136" s="15" t="s">
        <v>548</v>
      </c>
      <c r="AX136" s="15" t="s">
        <v>549</v>
      </c>
      <c r="AY136" s="15" t="s">
        <v>413</v>
      </c>
      <c r="AZ136" s="15" t="b">
        <v>0</v>
      </c>
      <c r="BA136" s="15" t="s">
        <v>413</v>
      </c>
      <c r="BB136" s="15" t="b">
        <v>0</v>
      </c>
      <c r="BC136" s="15" t="s">
        <v>2249</v>
      </c>
      <c r="BD136" s="15" t="s">
        <v>1303</v>
      </c>
      <c r="BE136" s="15" t="str">
        <f t="shared" si="236"/>
        <v>3</v>
      </c>
      <c r="BF136" s="15" t="s">
        <v>1564</v>
      </c>
      <c r="BG136" s="15" t="str">
        <f t="shared" si="237"/>
        <v>63.5</v>
      </c>
      <c r="BH136" s="15" t="s">
        <v>2234</v>
      </c>
      <c r="BI136" s="15" t="str">
        <f t="shared" si="238"/>
        <v>64</v>
      </c>
      <c r="BJ136" s="15" t="s">
        <v>2235</v>
      </c>
      <c r="BK136" s="15" t="str">
        <f t="shared" si="239"/>
        <v>5</v>
      </c>
      <c r="BL136" s="15" t="s">
        <v>2236</v>
      </c>
      <c r="BM136" s="15" t="str">
        <f t="shared" si="240"/>
        <v>135.36</v>
      </c>
      <c r="BN136" s="15" t="s">
        <v>2237</v>
      </c>
      <c r="BO136" s="15" t="s">
        <v>2238</v>
      </c>
      <c r="BP136" s="15" t="str">
        <f t="shared" si="241"/>
        <v>34</v>
      </c>
      <c r="BQ136" s="15" t="s">
        <v>1365</v>
      </c>
      <c r="BR136" s="15" t="str">
        <f t="shared" si="242"/>
        <v>35.25</v>
      </c>
      <c r="BS136" s="15" t="s">
        <v>836</v>
      </c>
      <c r="BT136" s="15" t="str">
        <f t="shared" si="243"/>
        <v>34.5</v>
      </c>
      <c r="BU136" s="15" t="s">
        <v>2239</v>
      </c>
      <c r="BV136" s="15" t="str">
        <f t="shared" si="244"/>
        <v>134.48</v>
      </c>
      <c r="BW136" s="15" t="s">
        <v>983</v>
      </c>
      <c r="BX136" s="15" t="s">
        <v>2240</v>
      </c>
      <c r="BY136" s="15" t="str">
        <f t="shared" si="245"/>
        <v>17.25</v>
      </c>
      <c r="BZ136" s="15" t="s">
        <v>2241</v>
      </c>
      <c r="CA136" s="15" t="str">
        <f t="shared" si="246"/>
        <v>17.25</v>
      </c>
      <c r="CB136" s="15" t="s">
        <v>2241</v>
      </c>
      <c r="CC136" s="15" t="str">
        <f t="shared" si="247"/>
        <v>15</v>
      </c>
      <c r="CD136" s="15" t="s">
        <v>490</v>
      </c>
      <c r="CE136" s="15" t="str">
        <f t="shared" si="248"/>
        <v>66.13</v>
      </c>
      <c r="CF136" s="15" t="s">
        <v>2242</v>
      </c>
      <c r="CI136" s="15" t="s">
        <v>444</v>
      </c>
      <c r="CK136" s="15" t="s">
        <v>444</v>
      </c>
      <c r="CM136" s="15" t="s">
        <v>444</v>
      </c>
      <c r="CO136" s="15" t="s">
        <v>444</v>
      </c>
      <c r="CP136" s="15" t="str">
        <f t="shared" si="249"/>
        <v>38.28</v>
      </c>
      <c r="CQ136" s="15" t="str">
        <f t="shared" si="250"/>
        <v>1.084</v>
      </c>
      <c r="CR136" s="15" t="s">
        <v>497</v>
      </c>
      <c r="DC136" s="15" t="str">
        <f>IFERROR(__xludf.DUMMYFUNCTION("""COMPUTED_VALUE"""),"")</f>
        <v/>
      </c>
      <c r="DE136" s="15" t="str">
        <f>IFERROR(__xludf.DUMMYFUNCTION("""COMPUTED_VALUE"""),"")</f>
        <v/>
      </c>
      <c r="DG136" s="15" t="str">
        <f>IFERROR(__xludf.DUMMYFUNCTION("""COMPUTED_VALUE"""),"")</f>
        <v/>
      </c>
      <c r="DL136" s="15" t="str">
        <f>IFERROR(__xludf.DUMMYFUNCTION("""COMPUTED_VALUE"""),"")</f>
        <v/>
      </c>
      <c r="DM136" s="15" t="s">
        <v>444</v>
      </c>
      <c r="DN136" s="15" t="s">
        <v>419</v>
      </c>
      <c r="DO136" s="15">
        <v>0.0</v>
      </c>
      <c r="DP136" s="15" t="s">
        <v>419</v>
      </c>
      <c r="DR136" s="15">
        <v>0.0</v>
      </c>
      <c r="DU136" s="15" t="s">
        <v>419</v>
      </c>
      <c r="DW136" s="15">
        <v>0.0</v>
      </c>
      <c r="DX136" s="15">
        <v>0.0</v>
      </c>
      <c r="DY136" s="15">
        <v>0.0</v>
      </c>
      <c r="EE136" s="15">
        <v>6.0</v>
      </c>
      <c r="EF136" s="15" t="s">
        <v>1157</v>
      </c>
      <c r="EG136" s="15" t="s">
        <v>1158</v>
      </c>
      <c r="EH136" s="15" t="s">
        <v>2243</v>
      </c>
      <c r="EJ136" s="15" t="s">
        <v>500</v>
      </c>
      <c r="EK136" s="15" t="s">
        <v>501</v>
      </c>
      <c r="EM136" s="15" t="str">
        <f>IFERROR(__xludf.DUMMYFUNCTION("""COMPUTED_VALUE"""),"")</f>
        <v/>
      </c>
      <c r="EW136" s="15" t="s">
        <v>1574</v>
      </c>
      <c r="FH136" s="15" t="s">
        <v>558</v>
      </c>
      <c r="FI136" s="15" t="s">
        <v>1574</v>
      </c>
      <c r="FJ136" s="15" t="s">
        <v>558</v>
      </c>
      <c r="FK136" s="15" t="s">
        <v>1807</v>
      </c>
      <c r="FL136" s="15" t="s">
        <v>426</v>
      </c>
      <c r="FM136" s="15">
        <v>0.0</v>
      </c>
      <c r="FN136" s="15">
        <v>0.0</v>
      </c>
      <c r="FV136" s="15" t="s">
        <v>1574</v>
      </c>
      <c r="FW136" s="15" t="s">
        <v>504</v>
      </c>
      <c r="FX136" s="15" t="s">
        <v>2244</v>
      </c>
    </row>
    <row r="137" ht="15.75" customHeight="1">
      <c r="A137" s="14" t="s">
        <v>391</v>
      </c>
      <c r="B137" s="15" t="s">
        <v>2222</v>
      </c>
      <c r="C137" s="16"/>
      <c r="D137" s="15" t="s">
        <v>432</v>
      </c>
      <c r="G137" s="14" t="s">
        <v>393</v>
      </c>
      <c r="H137" s="14" t="s">
        <v>394</v>
      </c>
      <c r="I137" s="14" t="b">
        <v>1</v>
      </c>
      <c r="J137" s="14" t="s">
        <v>395</v>
      </c>
      <c r="L137" s="14" t="b">
        <v>0</v>
      </c>
      <c r="M137" s="15" t="s">
        <v>2250</v>
      </c>
      <c r="N137" s="14" t="s">
        <v>393</v>
      </c>
      <c r="O137" s="14" t="s">
        <v>393</v>
      </c>
      <c r="P137" s="15" t="s">
        <v>397</v>
      </c>
      <c r="Q137" s="15" t="s">
        <v>2251</v>
      </c>
      <c r="T137" s="14" t="b">
        <v>0</v>
      </c>
      <c r="U137" s="15" t="s">
        <v>2252</v>
      </c>
      <c r="V137" s="15" t="s">
        <v>2226</v>
      </c>
      <c r="W137" s="15" t="s">
        <v>401</v>
      </c>
      <c r="X137" s="15" t="s">
        <v>1296</v>
      </c>
      <c r="Y137" s="15">
        <v>2522.0</v>
      </c>
      <c r="AA137" s="15" t="str">
        <f t="shared" si="235"/>
        <v>970</v>
      </c>
      <c r="AB137" s="14" t="b">
        <v>1</v>
      </c>
      <c r="AC137" s="14" t="b">
        <v>1</v>
      </c>
      <c r="AD137" s="15" t="str">
        <f>"801542165475"</f>
        <v>801542165475</v>
      </c>
      <c r="AE137" s="15" t="s">
        <v>2253</v>
      </c>
      <c r="AF137" s="14" t="s">
        <v>404</v>
      </c>
      <c r="AG137" s="14" t="s">
        <v>405</v>
      </c>
      <c r="AH137" s="14" t="s">
        <v>406</v>
      </c>
      <c r="AI137" s="15">
        <v>0.0</v>
      </c>
      <c r="AL137" s="15" t="s">
        <v>2228</v>
      </c>
      <c r="AM137" s="15" t="s">
        <v>2037</v>
      </c>
      <c r="AN137" s="15" t="s">
        <v>2038</v>
      </c>
      <c r="AO137" s="15" t="s">
        <v>2037</v>
      </c>
      <c r="AP137" s="15" t="s">
        <v>2038</v>
      </c>
      <c r="AQ137" s="15" t="s">
        <v>2229</v>
      </c>
      <c r="AR137" s="15" t="s">
        <v>2230</v>
      </c>
      <c r="AS137" s="15" t="s">
        <v>2231</v>
      </c>
      <c r="AT137" s="15" t="s">
        <v>2251</v>
      </c>
      <c r="AU137" s="15" t="s">
        <v>2254</v>
      </c>
      <c r="AW137" s="15" t="s">
        <v>548</v>
      </c>
      <c r="AX137" s="15" t="s">
        <v>549</v>
      </c>
      <c r="AY137" s="15" t="s">
        <v>413</v>
      </c>
      <c r="AZ137" s="15" t="b">
        <v>0</v>
      </c>
      <c r="BA137" s="15" t="s">
        <v>413</v>
      </c>
      <c r="BB137" s="15" t="b">
        <v>0</v>
      </c>
      <c r="BC137" s="15" t="s">
        <v>2255</v>
      </c>
      <c r="BD137" s="15" t="s">
        <v>1303</v>
      </c>
      <c r="BE137" s="15" t="str">
        <f t="shared" si="236"/>
        <v>3</v>
      </c>
      <c r="BF137" s="15" t="s">
        <v>1564</v>
      </c>
      <c r="BG137" s="15" t="str">
        <f t="shared" si="237"/>
        <v>63.5</v>
      </c>
      <c r="BH137" s="15" t="s">
        <v>2234</v>
      </c>
      <c r="BI137" s="15" t="str">
        <f t="shared" si="238"/>
        <v>64</v>
      </c>
      <c r="BJ137" s="15" t="s">
        <v>2235</v>
      </c>
      <c r="BK137" s="15" t="str">
        <f t="shared" si="239"/>
        <v>5</v>
      </c>
      <c r="BL137" s="15" t="s">
        <v>2236</v>
      </c>
      <c r="BM137" s="15" t="str">
        <f>"135.47"</f>
        <v>135.47</v>
      </c>
      <c r="BN137" s="15" t="s">
        <v>2256</v>
      </c>
      <c r="BO137" s="15" t="s">
        <v>2238</v>
      </c>
      <c r="BP137" s="15" t="str">
        <f t="shared" si="241"/>
        <v>34</v>
      </c>
      <c r="BQ137" s="15" t="s">
        <v>1365</v>
      </c>
      <c r="BR137" s="15" t="str">
        <f t="shared" si="242"/>
        <v>35.25</v>
      </c>
      <c r="BS137" s="15" t="s">
        <v>836</v>
      </c>
      <c r="BT137" s="15" t="str">
        <f t="shared" si="243"/>
        <v>34.5</v>
      </c>
      <c r="BU137" s="15" t="s">
        <v>2239</v>
      </c>
      <c r="BV137" s="15" t="str">
        <f t="shared" si="244"/>
        <v>134.48</v>
      </c>
      <c r="BW137" s="15" t="s">
        <v>983</v>
      </c>
      <c r="BX137" s="15" t="s">
        <v>2240</v>
      </c>
      <c r="BY137" s="15" t="str">
        <f t="shared" si="245"/>
        <v>17.25</v>
      </c>
      <c r="BZ137" s="15" t="s">
        <v>2241</v>
      </c>
      <c r="CA137" s="15" t="str">
        <f t="shared" si="246"/>
        <v>17.25</v>
      </c>
      <c r="CB137" s="15" t="s">
        <v>2241</v>
      </c>
      <c r="CC137" s="15" t="str">
        <f t="shared" si="247"/>
        <v>15</v>
      </c>
      <c r="CD137" s="15" t="s">
        <v>490</v>
      </c>
      <c r="CE137" s="15" t="str">
        <f t="shared" si="248"/>
        <v>66.13</v>
      </c>
      <c r="CF137" s="15" t="s">
        <v>2242</v>
      </c>
      <c r="CI137" s="15" t="s">
        <v>444</v>
      </c>
      <c r="CK137" s="15" t="s">
        <v>444</v>
      </c>
      <c r="CM137" s="15" t="s">
        <v>444</v>
      </c>
      <c r="CO137" s="15" t="s">
        <v>444</v>
      </c>
      <c r="CP137" s="15" t="str">
        <f t="shared" si="249"/>
        <v>38.28</v>
      </c>
      <c r="CQ137" s="15" t="str">
        <f t="shared" si="250"/>
        <v>1.084</v>
      </c>
      <c r="CR137" s="15" t="s">
        <v>497</v>
      </c>
      <c r="DC137" s="15" t="str">
        <f>IFERROR(__xludf.DUMMYFUNCTION("""COMPUTED_VALUE"""),"")</f>
        <v/>
      </c>
      <c r="DE137" s="15" t="str">
        <f>IFERROR(__xludf.DUMMYFUNCTION("""COMPUTED_VALUE"""),"")</f>
        <v/>
      </c>
      <c r="DG137" s="15" t="str">
        <f>IFERROR(__xludf.DUMMYFUNCTION("""COMPUTED_VALUE"""),"")</f>
        <v/>
      </c>
      <c r="DL137" s="15" t="str">
        <f>IFERROR(__xludf.DUMMYFUNCTION("""COMPUTED_VALUE"""),"")</f>
        <v/>
      </c>
      <c r="DM137" s="15" t="s">
        <v>444</v>
      </c>
      <c r="DN137" s="15" t="s">
        <v>419</v>
      </c>
      <c r="DO137" s="15">
        <v>0.0</v>
      </c>
      <c r="DP137" s="15" t="s">
        <v>419</v>
      </c>
      <c r="DR137" s="15">
        <v>0.0</v>
      </c>
      <c r="DU137" s="15" t="s">
        <v>419</v>
      </c>
      <c r="DW137" s="15">
        <v>0.0</v>
      </c>
      <c r="DX137" s="15">
        <v>0.0</v>
      </c>
      <c r="DY137" s="15">
        <v>0.0</v>
      </c>
      <c r="EE137" s="15">
        <v>6.0</v>
      </c>
      <c r="EF137" s="15" t="s">
        <v>1157</v>
      </c>
      <c r="EG137" s="15" t="s">
        <v>1158</v>
      </c>
      <c r="EH137" s="15" t="s">
        <v>2243</v>
      </c>
      <c r="EJ137" s="15" t="s">
        <v>500</v>
      </c>
      <c r="EK137" s="15" t="s">
        <v>501</v>
      </c>
      <c r="EM137" s="15" t="str">
        <f>IFERROR(__xludf.DUMMYFUNCTION("""COMPUTED_VALUE"""),"")</f>
        <v/>
      </c>
      <c r="EW137" s="15" t="s">
        <v>1574</v>
      </c>
      <c r="FH137" s="15" t="s">
        <v>558</v>
      </c>
      <c r="FI137" s="15" t="s">
        <v>1574</v>
      </c>
      <c r="FJ137" s="15" t="s">
        <v>558</v>
      </c>
      <c r="FK137" s="15" t="s">
        <v>1807</v>
      </c>
      <c r="FL137" s="15" t="s">
        <v>426</v>
      </c>
      <c r="FM137" s="15">
        <v>0.0</v>
      </c>
      <c r="FN137" s="15">
        <v>0.0</v>
      </c>
      <c r="FV137" s="15" t="s">
        <v>1574</v>
      </c>
      <c r="FW137" s="15" t="s">
        <v>504</v>
      </c>
      <c r="FX137" s="15" t="s">
        <v>2244</v>
      </c>
    </row>
    <row r="138" ht="15.75" customHeight="1">
      <c r="A138" s="14" t="s">
        <v>391</v>
      </c>
      <c r="B138" s="15" t="s">
        <v>2257</v>
      </c>
      <c r="C138" s="16"/>
      <c r="D138" s="15" t="s">
        <v>432</v>
      </c>
      <c r="G138" s="14" t="s">
        <v>393</v>
      </c>
      <c r="H138" s="14" t="s">
        <v>394</v>
      </c>
      <c r="I138" s="14" t="b">
        <v>1</v>
      </c>
      <c r="J138" s="14" t="s">
        <v>395</v>
      </c>
      <c r="L138" s="14" t="b">
        <v>0</v>
      </c>
      <c r="M138" s="15" t="s">
        <v>2258</v>
      </c>
      <c r="N138" s="14" t="s">
        <v>393</v>
      </c>
      <c r="O138" s="14" t="s">
        <v>393</v>
      </c>
      <c r="P138" s="15" t="s">
        <v>397</v>
      </c>
      <c r="Q138" s="15" t="s">
        <v>2259</v>
      </c>
      <c r="T138" s="14" t="b">
        <v>0</v>
      </c>
      <c r="U138" s="15" t="s">
        <v>2260</v>
      </c>
      <c r="V138" s="15" t="s">
        <v>2261</v>
      </c>
      <c r="W138" s="15" t="s">
        <v>401</v>
      </c>
      <c r="X138" s="15" t="s">
        <v>742</v>
      </c>
      <c r="Y138" s="15">
        <v>2730.0</v>
      </c>
      <c r="AA138" s="15" t="str">
        <f>"1050"</f>
        <v>1050</v>
      </c>
      <c r="AB138" s="14" t="b">
        <v>1</v>
      </c>
      <c r="AC138" s="14" t="b">
        <v>1</v>
      </c>
      <c r="AD138" s="15" t="str">
        <f>"801542970765"</f>
        <v>801542970765</v>
      </c>
      <c r="AE138" s="15" t="s">
        <v>2262</v>
      </c>
      <c r="AF138" s="14" t="s">
        <v>404</v>
      </c>
      <c r="AG138" s="14" t="s">
        <v>405</v>
      </c>
      <c r="AH138" s="14" t="s">
        <v>406</v>
      </c>
      <c r="AI138" s="15">
        <v>0.0</v>
      </c>
      <c r="AL138" s="15" t="s">
        <v>2263</v>
      </c>
      <c r="AM138" s="15" t="s">
        <v>1026</v>
      </c>
      <c r="AN138" s="15" t="s">
        <v>1027</v>
      </c>
      <c r="AO138" s="15" t="s">
        <v>456</v>
      </c>
      <c r="AP138" s="15" t="s">
        <v>457</v>
      </c>
      <c r="AQ138" s="15" t="s">
        <v>1028</v>
      </c>
      <c r="AR138" s="15" t="s">
        <v>1029</v>
      </c>
      <c r="AS138" s="15" t="s">
        <v>1502</v>
      </c>
      <c r="AT138" s="15" t="s">
        <v>2259</v>
      </c>
      <c r="AU138" s="15" t="s">
        <v>2264</v>
      </c>
      <c r="AW138" s="15" t="s">
        <v>664</v>
      </c>
      <c r="AY138" s="15" t="s">
        <v>413</v>
      </c>
      <c r="AZ138" s="15" t="b">
        <v>0</v>
      </c>
      <c r="BA138" s="15" t="s">
        <v>413</v>
      </c>
      <c r="BB138" s="15" t="b">
        <v>0</v>
      </c>
      <c r="BC138" s="15" t="s">
        <v>2265</v>
      </c>
      <c r="BD138" s="15" t="s">
        <v>742</v>
      </c>
      <c r="BE138" s="15" t="str">
        <f t="shared" ref="BE138:BE152" si="251">"1"</f>
        <v>1</v>
      </c>
      <c r="BF138" s="15" t="s">
        <v>416</v>
      </c>
      <c r="BG138" s="15" t="str">
        <f>"87.99"</f>
        <v>87.99</v>
      </c>
      <c r="BH138" s="15" t="s">
        <v>2266</v>
      </c>
      <c r="BI138" s="15" t="str">
        <f>"25"</f>
        <v>25</v>
      </c>
      <c r="BJ138" s="15" t="s">
        <v>2214</v>
      </c>
      <c r="BK138" s="15" t="str">
        <f>"40.94"</f>
        <v>40.94</v>
      </c>
      <c r="BL138" s="15" t="s">
        <v>648</v>
      </c>
      <c r="BM138" s="15" t="str">
        <f>"297.62"</f>
        <v>297.62</v>
      </c>
      <c r="BN138" s="15" t="s">
        <v>2267</v>
      </c>
      <c r="BQ138" s="15" t="s">
        <v>444</v>
      </c>
      <c r="BS138" s="15" t="s">
        <v>444</v>
      </c>
      <c r="BU138" s="15" t="s">
        <v>444</v>
      </c>
      <c r="BW138" s="15" t="s">
        <v>444</v>
      </c>
      <c r="BZ138" s="15" t="s">
        <v>444</v>
      </c>
      <c r="CB138" s="15" t="s">
        <v>444</v>
      </c>
      <c r="CD138" s="15" t="s">
        <v>444</v>
      </c>
      <c r="CF138" s="15" t="s">
        <v>444</v>
      </c>
      <c r="CI138" s="15" t="s">
        <v>444</v>
      </c>
      <c r="CK138" s="15" t="s">
        <v>444</v>
      </c>
      <c r="CM138" s="15" t="s">
        <v>444</v>
      </c>
      <c r="CO138" s="15" t="s">
        <v>444</v>
      </c>
      <c r="CP138" s="15" t="str">
        <f>"52.12"</f>
        <v>52.12</v>
      </c>
      <c r="CQ138" s="15" t="str">
        <f>"1.476"</f>
        <v>1.476</v>
      </c>
      <c r="CR138" s="15" t="s">
        <v>465</v>
      </c>
      <c r="CV138" s="15" t="s">
        <v>2268</v>
      </c>
      <c r="CW138" s="15" t="s">
        <v>2269</v>
      </c>
      <c r="CX138" s="15" t="s">
        <v>2270</v>
      </c>
      <c r="DC138" s="15" t="str">
        <f>IFERROR(__xludf.DUMMYFUNCTION("""COMPUTED_VALUE"""),"")</f>
        <v/>
      </c>
      <c r="DE138" s="15" t="str">
        <f>IFERROR(__xludf.DUMMYFUNCTION("""COMPUTED_VALUE"""),"")</f>
        <v/>
      </c>
      <c r="DG138" s="15" t="str">
        <f>IFERROR(__xludf.DUMMYFUNCTION("""COMPUTED_VALUE"""),"")</f>
        <v/>
      </c>
      <c r="DL138" s="15" t="str">
        <f>IFERROR(__xludf.DUMMYFUNCTION("""COMPUTED_VALUE"""),"")</f>
        <v/>
      </c>
      <c r="DM138" s="15" t="s">
        <v>444</v>
      </c>
      <c r="DN138" s="15" t="s">
        <v>418</v>
      </c>
      <c r="DO138" s="15">
        <v>4.0</v>
      </c>
      <c r="DP138" s="15" t="s">
        <v>419</v>
      </c>
      <c r="DR138" s="15">
        <v>0.0</v>
      </c>
      <c r="DT138" s="15" t="s">
        <v>1284</v>
      </c>
      <c r="DU138" s="15" t="s">
        <v>610</v>
      </c>
      <c r="DW138" s="15">
        <v>18.14</v>
      </c>
      <c r="DX138" s="15">
        <v>40.0</v>
      </c>
      <c r="DY138" s="15">
        <v>2.0</v>
      </c>
      <c r="EG138" s="15" t="s">
        <v>444</v>
      </c>
      <c r="EH138" s="15" t="s">
        <v>2271</v>
      </c>
      <c r="EJ138" s="15" t="s">
        <v>424</v>
      </c>
      <c r="EK138" s="15" t="s">
        <v>446</v>
      </c>
      <c r="EM138" s="15" t="str">
        <f>IFERROR(__xludf.DUMMYFUNCTION("""COMPUTED_VALUE"""),"")</f>
        <v/>
      </c>
      <c r="EW138" s="15" t="s">
        <v>2272</v>
      </c>
      <c r="FL138" s="15" t="s">
        <v>426</v>
      </c>
      <c r="FM138" s="15">
        <v>2.0</v>
      </c>
      <c r="FY138" s="15" t="s">
        <v>2273</v>
      </c>
      <c r="FZ138" s="15" t="s">
        <v>612</v>
      </c>
      <c r="GA138" s="15" t="s">
        <v>2274</v>
      </c>
      <c r="GB138" s="15" t="s">
        <v>2268</v>
      </c>
      <c r="GC138" s="15" t="s">
        <v>612</v>
      </c>
      <c r="GD138" s="15" t="s">
        <v>2270</v>
      </c>
      <c r="GE138" s="15">
        <v>0.0</v>
      </c>
      <c r="GF138" s="15" t="s">
        <v>426</v>
      </c>
      <c r="GG138" s="15" t="s">
        <v>785</v>
      </c>
      <c r="GH138" s="15">
        <v>4.0</v>
      </c>
      <c r="GI138" s="15" t="s">
        <v>614</v>
      </c>
      <c r="GJ138" s="15" t="s">
        <v>615</v>
      </c>
      <c r="GK138" s="15">
        <v>0.0</v>
      </c>
      <c r="GL138" s="15" t="s">
        <v>426</v>
      </c>
      <c r="GN138" s="15" t="s">
        <v>616</v>
      </c>
      <c r="GO138" s="15" t="s">
        <v>426</v>
      </c>
      <c r="GQ138" s="15" t="s">
        <v>2156</v>
      </c>
      <c r="GS138" s="15" t="s">
        <v>2275</v>
      </c>
      <c r="GU138" s="15" t="s">
        <v>2276</v>
      </c>
      <c r="GW138" s="15" t="s">
        <v>431</v>
      </c>
      <c r="GY138" s="15" t="s">
        <v>420</v>
      </c>
      <c r="HA138" s="15" t="s">
        <v>2268</v>
      </c>
      <c r="HB138" s="15" t="s">
        <v>2269</v>
      </c>
      <c r="HC138" s="15" t="s">
        <v>2270</v>
      </c>
      <c r="HW138" s="15" t="s">
        <v>1957</v>
      </c>
      <c r="IH138" s="15" t="s">
        <v>426</v>
      </c>
    </row>
    <row r="139" ht="15.75" customHeight="1">
      <c r="A139" s="14" t="s">
        <v>391</v>
      </c>
      <c r="B139" s="15" t="s">
        <v>2277</v>
      </c>
      <c r="C139" s="16"/>
      <c r="D139" s="15" t="s">
        <v>432</v>
      </c>
      <c r="G139" s="14" t="s">
        <v>393</v>
      </c>
      <c r="H139" s="14" t="s">
        <v>394</v>
      </c>
      <c r="I139" s="14" t="b">
        <v>1</v>
      </c>
      <c r="J139" s="14" t="s">
        <v>395</v>
      </c>
      <c r="L139" s="14" t="b">
        <v>0</v>
      </c>
      <c r="M139" s="15" t="s">
        <v>2278</v>
      </c>
      <c r="N139" s="14" t="s">
        <v>393</v>
      </c>
      <c r="O139" s="14" t="s">
        <v>393</v>
      </c>
      <c r="P139" s="15" t="s">
        <v>397</v>
      </c>
      <c r="Q139" s="15" t="s">
        <v>2279</v>
      </c>
      <c r="T139" s="14" t="b">
        <v>0</v>
      </c>
      <c r="U139" s="15" t="s">
        <v>2280</v>
      </c>
      <c r="V139" s="15" t="s">
        <v>2281</v>
      </c>
      <c r="W139" s="15" t="s">
        <v>401</v>
      </c>
      <c r="X139" s="15" t="s">
        <v>402</v>
      </c>
      <c r="Y139" s="15">
        <v>2405.0</v>
      </c>
      <c r="AA139" s="15" t="str">
        <f t="shared" ref="AA139:AA140" si="252">"925"</f>
        <v>925</v>
      </c>
      <c r="AB139" s="14" t="b">
        <v>1</v>
      </c>
      <c r="AC139" s="14" t="b">
        <v>1</v>
      </c>
      <c r="AD139" s="15" t="str">
        <f>"801542572969"</f>
        <v>801542572969</v>
      </c>
      <c r="AE139" s="15" t="s">
        <v>2282</v>
      </c>
      <c r="AF139" s="14" t="s">
        <v>404</v>
      </c>
      <c r="AG139" s="14" t="s">
        <v>405</v>
      </c>
      <c r="AH139" s="14" t="s">
        <v>406</v>
      </c>
      <c r="AI139" s="15">
        <v>0.0</v>
      </c>
      <c r="AL139" s="15" t="s">
        <v>2283</v>
      </c>
      <c r="AM139" s="15" t="s">
        <v>1401</v>
      </c>
      <c r="AN139" s="15" t="s">
        <v>1402</v>
      </c>
      <c r="AO139" s="15" t="s">
        <v>1401</v>
      </c>
      <c r="AP139" s="15" t="s">
        <v>1402</v>
      </c>
      <c r="AQ139" s="15" t="s">
        <v>1874</v>
      </c>
      <c r="AR139" s="15" t="s">
        <v>1875</v>
      </c>
      <c r="AS139" s="15" t="s">
        <v>411</v>
      </c>
      <c r="AT139" s="15" t="s">
        <v>2284</v>
      </c>
      <c r="AU139" s="15" t="s">
        <v>2279</v>
      </c>
      <c r="AW139" s="15" t="s">
        <v>491</v>
      </c>
      <c r="AY139" s="15" t="s">
        <v>426</v>
      </c>
      <c r="AZ139" s="15" t="b">
        <v>1</v>
      </c>
      <c r="BA139" s="15" t="s">
        <v>413</v>
      </c>
      <c r="BB139" s="15" t="b">
        <v>0</v>
      </c>
      <c r="BC139" s="15" t="s">
        <v>2285</v>
      </c>
      <c r="BD139" s="15" t="s">
        <v>415</v>
      </c>
      <c r="BE139" s="15" t="str">
        <f t="shared" si="251"/>
        <v>1</v>
      </c>
      <c r="BF139" s="15" t="s">
        <v>416</v>
      </c>
      <c r="BG139" s="15" t="str">
        <f t="shared" ref="BG139:BG140" si="253">"46.85"</f>
        <v>46.85</v>
      </c>
      <c r="BH139" s="15" t="s">
        <v>2286</v>
      </c>
      <c r="BI139" s="15" t="str">
        <f t="shared" ref="BI139:BI140" si="254">"47.24"</f>
        <v>47.24</v>
      </c>
      <c r="BJ139" s="15" t="s">
        <v>2287</v>
      </c>
      <c r="BK139" s="15" t="str">
        <f t="shared" ref="BK139:BK140" si="255">"24.41"</f>
        <v>24.41</v>
      </c>
      <c r="BL139" s="15" t="s">
        <v>796</v>
      </c>
      <c r="BM139" s="15" t="str">
        <f t="shared" ref="BM139:BM140" si="256">"147.05"</f>
        <v>147.05</v>
      </c>
      <c r="BN139" s="15" t="s">
        <v>2288</v>
      </c>
      <c r="BQ139" s="15" t="s">
        <v>444</v>
      </c>
      <c r="BS139" s="15" t="s">
        <v>444</v>
      </c>
      <c r="BU139" s="15" t="s">
        <v>444</v>
      </c>
      <c r="BW139" s="15" t="s">
        <v>444</v>
      </c>
      <c r="BZ139" s="15" t="s">
        <v>444</v>
      </c>
      <c r="CB139" s="15" t="s">
        <v>444</v>
      </c>
      <c r="CD139" s="15" t="s">
        <v>444</v>
      </c>
      <c r="CF139" s="15" t="s">
        <v>444</v>
      </c>
      <c r="CI139" s="15" t="s">
        <v>444</v>
      </c>
      <c r="CK139" s="15" t="s">
        <v>444</v>
      </c>
      <c r="CM139" s="15" t="s">
        <v>444</v>
      </c>
      <c r="CO139" s="15" t="s">
        <v>444</v>
      </c>
      <c r="CP139" s="15" t="str">
        <f t="shared" ref="CP139:CP140" si="257">"31.25"</f>
        <v>31.25</v>
      </c>
      <c r="CQ139" s="15" t="str">
        <f t="shared" ref="CQ139:CQ140" si="258">"0.885"</f>
        <v>0.885</v>
      </c>
      <c r="CR139" s="15" t="s">
        <v>1793</v>
      </c>
      <c r="DC139" s="15" t="str">
        <f>IFERROR(__xludf.DUMMYFUNCTION("""COMPUTED_VALUE"""),"")</f>
        <v/>
      </c>
      <c r="DE139" s="15" t="str">
        <f>IFERROR(__xludf.DUMMYFUNCTION("""COMPUTED_VALUE"""),"")</f>
        <v/>
      </c>
      <c r="DG139" s="15" t="str">
        <f>IFERROR(__xludf.DUMMYFUNCTION("""COMPUTED_VALUE"""),"")</f>
        <v/>
      </c>
      <c r="DL139" s="15" t="str">
        <f>IFERROR(__xludf.DUMMYFUNCTION("""COMPUTED_VALUE"""),"")</f>
        <v/>
      </c>
      <c r="DM139" s="15" t="s">
        <v>444</v>
      </c>
      <c r="DN139" s="15" t="s">
        <v>419</v>
      </c>
      <c r="DO139" s="15">
        <v>0.0</v>
      </c>
      <c r="DP139" s="15" t="s">
        <v>419</v>
      </c>
      <c r="DR139" s="15">
        <v>0.0</v>
      </c>
      <c r="DT139" s="15" t="s">
        <v>420</v>
      </c>
      <c r="DU139" s="15" t="s">
        <v>419</v>
      </c>
      <c r="DY139" s="15">
        <v>0.0</v>
      </c>
      <c r="EF139" s="15" t="s">
        <v>1157</v>
      </c>
      <c r="EG139" s="15" t="s">
        <v>1158</v>
      </c>
      <c r="EH139" s="15" t="s">
        <v>2289</v>
      </c>
      <c r="EJ139" s="15" t="s">
        <v>500</v>
      </c>
      <c r="EK139" s="15" t="s">
        <v>501</v>
      </c>
      <c r="EM139" s="15" t="str">
        <f>IFERROR(__xludf.DUMMYFUNCTION("""COMPUTED_VALUE"""),"")</f>
        <v/>
      </c>
      <c r="EW139" s="15" t="s">
        <v>2290</v>
      </c>
      <c r="EX139" s="15" t="s">
        <v>2291</v>
      </c>
      <c r="EY139" s="15" t="s">
        <v>2291</v>
      </c>
      <c r="FH139" s="15" t="s">
        <v>2291</v>
      </c>
      <c r="FI139" s="15" t="s">
        <v>2292</v>
      </c>
      <c r="FJ139" s="15" t="s">
        <v>2293</v>
      </c>
      <c r="FK139" s="15" t="s">
        <v>2294</v>
      </c>
      <c r="FL139" s="15" t="s">
        <v>426</v>
      </c>
      <c r="FM139" s="15">
        <v>0.0</v>
      </c>
      <c r="FN139" s="15">
        <v>0.0</v>
      </c>
    </row>
    <row r="140" ht="15.75" customHeight="1">
      <c r="A140" s="14" t="s">
        <v>391</v>
      </c>
      <c r="B140" s="15" t="s">
        <v>2277</v>
      </c>
      <c r="C140" s="16"/>
      <c r="D140" s="15" t="s">
        <v>432</v>
      </c>
      <c r="G140" s="14" t="s">
        <v>393</v>
      </c>
      <c r="H140" s="14" t="s">
        <v>394</v>
      </c>
      <c r="I140" s="14" t="b">
        <v>1</v>
      </c>
      <c r="J140" s="14" t="s">
        <v>395</v>
      </c>
      <c r="L140" s="14" t="b">
        <v>0</v>
      </c>
      <c r="M140" s="15" t="s">
        <v>2295</v>
      </c>
      <c r="N140" s="14" t="s">
        <v>393</v>
      </c>
      <c r="O140" s="14" t="s">
        <v>393</v>
      </c>
      <c r="P140" s="15" t="s">
        <v>397</v>
      </c>
      <c r="Q140" s="15" t="s">
        <v>2284</v>
      </c>
      <c r="T140" s="14" t="b">
        <v>0</v>
      </c>
      <c r="U140" s="15" t="s">
        <v>2296</v>
      </c>
      <c r="V140" s="15" t="s">
        <v>2281</v>
      </c>
      <c r="W140" s="15" t="s">
        <v>401</v>
      </c>
      <c r="X140" s="15" t="s">
        <v>402</v>
      </c>
      <c r="Y140" s="15">
        <v>2405.0</v>
      </c>
      <c r="AA140" s="15" t="str">
        <f t="shared" si="252"/>
        <v>925</v>
      </c>
      <c r="AB140" s="14" t="b">
        <v>1</v>
      </c>
      <c r="AC140" s="14" t="b">
        <v>1</v>
      </c>
      <c r="AD140" s="15" t="str">
        <f>"801542688011"</f>
        <v>801542688011</v>
      </c>
      <c r="AE140" s="15" t="s">
        <v>2297</v>
      </c>
      <c r="AF140" s="14" t="s">
        <v>404</v>
      </c>
      <c r="AG140" s="14" t="s">
        <v>405</v>
      </c>
      <c r="AH140" s="14" t="s">
        <v>406</v>
      </c>
      <c r="AI140" s="15">
        <v>0.0</v>
      </c>
      <c r="AL140" s="15" t="s">
        <v>407</v>
      </c>
      <c r="AM140" s="15" t="s">
        <v>1401</v>
      </c>
      <c r="AN140" s="15" t="s">
        <v>1402</v>
      </c>
      <c r="AO140" s="15" t="s">
        <v>1401</v>
      </c>
      <c r="AP140" s="15" t="s">
        <v>1402</v>
      </c>
      <c r="AQ140" s="15" t="s">
        <v>1874</v>
      </c>
      <c r="AR140" s="15" t="s">
        <v>1875</v>
      </c>
      <c r="AS140" s="15" t="s">
        <v>411</v>
      </c>
      <c r="AT140" s="15" t="s">
        <v>2284</v>
      </c>
      <c r="AW140" s="15" t="s">
        <v>491</v>
      </c>
      <c r="AY140" s="15" t="s">
        <v>426</v>
      </c>
      <c r="AZ140" s="15" t="b">
        <v>1</v>
      </c>
      <c r="BA140" s="15" t="s">
        <v>413</v>
      </c>
      <c r="BB140" s="15" t="b">
        <v>0</v>
      </c>
      <c r="BC140" s="15" t="s">
        <v>2298</v>
      </c>
      <c r="BD140" s="15" t="s">
        <v>415</v>
      </c>
      <c r="BE140" s="15" t="str">
        <f t="shared" si="251"/>
        <v>1</v>
      </c>
      <c r="BF140" s="15" t="s">
        <v>416</v>
      </c>
      <c r="BG140" s="15" t="str">
        <f t="shared" si="253"/>
        <v>46.85</v>
      </c>
      <c r="BH140" s="15" t="s">
        <v>2286</v>
      </c>
      <c r="BI140" s="15" t="str">
        <f t="shared" si="254"/>
        <v>47.24</v>
      </c>
      <c r="BJ140" s="15" t="s">
        <v>2287</v>
      </c>
      <c r="BK140" s="15" t="str">
        <f t="shared" si="255"/>
        <v>24.41</v>
      </c>
      <c r="BL140" s="15" t="s">
        <v>796</v>
      </c>
      <c r="BM140" s="15" t="str">
        <f t="shared" si="256"/>
        <v>147.05</v>
      </c>
      <c r="BN140" s="15" t="s">
        <v>2288</v>
      </c>
      <c r="BQ140" s="15" t="s">
        <v>444</v>
      </c>
      <c r="BS140" s="15" t="s">
        <v>444</v>
      </c>
      <c r="BU140" s="15" t="s">
        <v>444</v>
      </c>
      <c r="BW140" s="15" t="s">
        <v>444</v>
      </c>
      <c r="BZ140" s="15" t="s">
        <v>444</v>
      </c>
      <c r="CB140" s="15" t="s">
        <v>444</v>
      </c>
      <c r="CD140" s="15" t="s">
        <v>444</v>
      </c>
      <c r="CF140" s="15" t="s">
        <v>444</v>
      </c>
      <c r="CI140" s="15" t="s">
        <v>444</v>
      </c>
      <c r="CK140" s="15" t="s">
        <v>444</v>
      </c>
      <c r="CM140" s="15" t="s">
        <v>444</v>
      </c>
      <c r="CO140" s="15" t="s">
        <v>444</v>
      </c>
      <c r="CP140" s="15" t="str">
        <f t="shared" si="257"/>
        <v>31.25</v>
      </c>
      <c r="CQ140" s="15" t="str">
        <f t="shared" si="258"/>
        <v>0.885</v>
      </c>
      <c r="CR140" s="15" t="s">
        <v>497</v>
      </c>
      <c r="DC140" s="15" t="str">
        <f>IFERROR(__xludf.DUMMYFUNCTION("""COMPUTED_VALUE"""),"")</f>
        <v/>
      </c>
      <c r="DE140" s="15" t="str">
        <f>IFERROR(__xludf.DUMMYFUNCTION("""COMPUTED_VALUE"""),"")</f>
        <v/>
      </c>
      <c r="DG140" s="15" t="str">
        <f>IFERROR(__xludf.DUMMYFUNCTION("""COMPUTED_VALUE"""),"")</f>
        <v/>
      </c>
      <c r="DL140" s="15" t="str">
        <f>IFERROR(__xludf.DUMMYFUNCTION("""COMPUTED_VALUE"""),"")</f>
        <v/>
      </c>
      <c r="DM140" s="15" t="s">
        <v>444</v>
      </c>
      <c r="DN140" s="15" t="s">
        <v>419</v>
      </c>
      <c r="DO140" s="15">
        <v>0.0</v>
      </c>
      <c r="DP140" s="15" t="s">
        <v>419</v>
      </c>
      <c r="DR140" s="15">
        <v>0.0</v>
      </c>
      <c r="DT140" s="15" t="s">
        <v>420</v>
      </c>
      <c r="DU140" s="15" t="s">
        <v>419</v>
      </c>
      <c r="DY140" s="15">
        <v>0.0</v>
      </c>
      <c r="EF140" s="15" t="s">
        <v>1157</v>
      </c>
      <c r="EG140" s="15" t="s">
        <v>1158</v>
      </c>
      <c r="EH140" s="15" t="s">
        <v>2289</v>
      </c>
      <c r="EJ140" s="15" t="s">
        <v>500</v>
      </c>
      <c r="EK140" s="15" t="s">
        <v>501</v>
      </c>
      <c r="EM140" s="15" t="str">
        <f>IFERROR(__xludf.DUMMYFUNCTION("""COMPUTED_VALUE"""),"")</f>
        <v/>
      </c>
      <c r="EW140" s="15" t="s">
        <v>2290</v>
      </c>
      <c r="EX140" s="15" t="s">
        <v>2291</v>
      </c>
      <c r="EY140" s="15" t="s">
        <v>2291</v>
      </c>
      <c r="FH140" s="15" t="s">
        <v>2291</v>
      </c>
      <c r="FI140" s="15" t="s">
        <v>2292</v>
      </c>
      <c r="FJ140" s="15" t="s">
        <v>2293</v>
      </c>
      <c r="FK140" s="15" t="s">
        <v>2294</v>
      </c>
      <c r="FL140" s="15" t="s">
        <v>426</v>
      </c>
      <c r="FM140" s="15">
        <v>0.0</v>
      </c>
      <c r="FN140" s="15">
        <v>0.0</v>
      </c>
    </row>
    <row r="141" ht="15.75" customHeight="1">
      <c r="A141" s="14" t="s">
        <v>391</v>
      </c>
      <c r="B141" s="15" t="s">
        <v>2299</v>
      </c>
      <c r="C141" s="16"/>
      <c r="D141" s="15" t="s">
        <v>432</v>
      </c>
      <c r="G141" s="14" t="s">
        <v>393</v>
      </c>
      <c r="H141" s="14" t="s">
        <v>394</v>
      </c>
      <c r="I141" s="14" t="b">
        <v>1</v>
      </c>
      <c r="J141" s="14" t="s">
        <v>395</v>
      </c>
      <c r="L141" s="14" t="b">
        <v>0</v>
      </c>
      <c r="M141" s="15" t="s">
        <v>2300</v>
      </c>
      <c r="N141" s="14" t="s">
        <v>393</v>
      </c>
      <c r="O141" s="14" t="s">
        <v>393</v>
      </c>
      <c r="P141" s="15" t="s">
        <v>397</v>
      </c>
      <c r="Q141" s="15" t="s">
        <v>2284</v>
      </c>
      <c r="T141" s="14" t="b">
        <v>0</v>
      </c>
      <c r="U141" s="15" t="s">
        <v>2301</v>
      </c>
      <c r="V141" s="15" t="s">
        <v>2302</v>
      </c>
      <c r="W141" s="15" t="s">
        <v>401</v>
      </c>
      <c r="X141" s="15" t="s">
        <v>402</v>
      </c>
      <c r="Y141" s="15">
        <v>2626.0</v>
      </c>
      <c r="AA141" s="15" t="str">
        <f>"1010"</f>
        <v>1010</v>
      </c>
      <c r="AB141" s="14" t="b">
        <v>1</v>
      </c>
      <c r="AC141" s="14" t="b">
        <v>1</v>
      </c>
      <c r="AD141" s="15" t="str">
        <f>"801542570514"</f>
        <v>801542570514</v>
      </c>
      <c r="AE141" s="15" t="s">
        <v>2303</v>
      </c>
      <c r="AF141" s="14" t="s">
        <v>404</v>
      </c>
      <c r="AG141" s="14" t="s">
        <v>405</v>
      </c>
      <c r="AH141" s="14" t="s">
        <v>406</v>
      </c>
      <c r="AI141" s="15">
        <v>0.0</v>
      </c>
      <c r="AL141" s="15" t="s">
        <v>2283</v>
      </c>
      <c r="AM141" s="15" t="s">
        <v>2304</v>
      </c>
      <c r="AN141" s="15" t="s">
        <v>2305</v>
      </c>
      <c r="AO141" s="15" t="s">
        <v>1848</v>
      </c>
      <c r="AP141" s="15" t="s">
        <v>1849</v>
      </c>
      <c r="AQ141" s="15" t="s">
        <v>2306</v>
      </c>
      <c r="AR141" s="15" t="s">
        <v>2307</v>
      </c>
      <c r="AS141" s="15" t="s">
        <v>411</v>
      </c>
      <c r="AT141" s="15" t="s">
        <v>2284</v>
      </c>
      <c r="AU141" s="15" t="s">
        <v>2279</v>
      </c>
      <c r="AW141" s="15" t="s">
        <v>519</v>
      </c>
      <c r="AY141" s="15" t="s">
        <v>413</v>
      </c>
      <c r="AZ141" s="15" t="b">
        <v>0</v>
      </c>
      <c r="BA141" s="15" t="s">
        <v>413</v>
      </c>
      <c r="BB141" s="15" t="b">
        <v>0</v>
      </c>
      <c r="BC141" s="15" t="s">
        <v>2308</v>
      </c>
      <c r="BD141" s="15" t="s">
        <v>415</v>
      </c>
      <c r="BE141" s="15" t="str">
        <f t="shared" si="251"/>
        <v>1</v>
      </c>
      <c r="BF141" s="15" t="s">
        <v>416</v>
      </c>
      <c r="BG141" s="15" t="str">
        <f>"86.61"</f>
        <v>86.61</v>
      </c>
      <c r="BH141" s="15" t="s">
        <v>2309</v>
      </c>
      <c r="BI141" s="15" t="str">
        <f>"22.05"</f>
        <v>22.05</v>
      </c>
      <c r="BJ141" s="15" t="s">
        <v>2310</v>
      </c>
      <c r="BK141" s="15" t="str">
        <f>"36.22"</f>
        <v>36.22</v>
      </c>
      <c r="BL141" s="15" t="s">
        <v>1779</v>
      </c>
      <c r="BM141" s="15" t="str">
        <f>"227.74"</f>
        <v>227.74</v>
      </c>
      <c r="BN141" s="15" t="s">
        <v>2311</v>
      </c>
      <c r="BQ141" s="15" t="s">
        <v>444</v>
      </c>
      <c r="BS141" s="15" t="s">
        <v>444</v>
      </c>
      <c r="BU141" s="15" t="s">
        <v>444</v>
      </c>
      <c r="BW141" s="15" t="s">
        <v>444</v>
      </c>
      <c r="BZ141" s="15" t="s">
        <v>444</v>
      </c>
      <c r="CB141" s="15" t="s">
        <v>444</v>
      </c>
      <c r="CD141" s="15" t="s">
        <v>444</v>
      </c>
      <c r="CF141" s="15" t="s">
        <v>444</v>
      </c>
      <c r="CI141" s="15" t="s">
        <v>444</v>
      </c>
      <c r="CK141" s="15" t="s">
        <v>444</v>
      </c>
      <c r="CM141" s="15" t="s">
        <v>444</v>
      </c>
      <c r="CO141" s="15" t="s">
        <v>444</v>
      </c>
      <c r="CP141" s="15" t="str">
        <f>"40.01"</f>
        <v>40.01</v>
      </c>
      <c r="CQ141" s="15" t="str">
        <f>"1.133"</f>
        <v>1.133</v>
      </c>
      <c r="CR141" s="15" t="s">
        <v>497</v>
      </c>
      <c r="DC141" s="15" t="str">
        <f>IFERROR(__xludf.DUMMYFUNCTION("""COMPUTED_VALUE"""),"")</f>
        <v/>
      </c>
      <c r="DE141" s="15" t="str">
        <f>IFERROR(__xludf.DUMMYFUNCTION("""COMPUTED_VALUE"""),"")</f>
        <v/>
      </c>
      <c r="DG141" s="15" t="str">
        <f>IFERROR(__xludf.DUMMYFUNCTION("""COMPUTED_VALUE"""),"")</f>
        <v/>
      </c>
      <c r="DL141" s="15" t="str">
        <f>IFERROR(__xludf.DUMMYFUNCTION("""COMPUTED_VALUE"""),"")</f>
        <v/>
      </c>
      <c r="DM141" s="15" t="s">
        <v>444</v>
      </c>
      <c r="DN141" s="15" t="s">
        <v>419</v>
      </c>
      <c r="DO141" s="15">
        <v>0.0</v>
      </c>
      <c r="DP141" s="15" t="s">
        <v>419</v>
      </c>
      <c r="DR141" s="15">
        <v>0.0</v>
      </c>
      <c r="DT141" s="15" t="s">
        <v>420</v>
      </c>
      <c r="DU141" s="15" t="s">
        <v>419</v>
      </c>
      <c r="DY141" s="15">
        <v>0.0</v>
      </c>
      <c r="EF141" s="15" t="s">
        <v>471</v>
      </c>
      <c r="EG141" s="15" t="s">
        <v>472</v>
      </c>
      <c r="EH141" s="15" t="s">
        <v>2289</v>
      </c>
      <c r="EJ141" s="15" t="s">
        <v>424</v>
      </c>
      <c r="EK141" s="15" t="s">
        <v>446</v>
      </c>
      <c r="EM141" s="15" t="str">
        <f>IFERROR(__xludf.DUMMYFUNCTION("""COMPUTED_VALUE"""),"")</f>
        <v/>
      </c>
      <c r="EW141" s="15" t="s">
        <v>2312</v>
      </c>
      <c r="EX141" s="15" t="s">
        <v>943</v>
      </c>
      <c r="EY141" s="15" t="s">
        <v>2313</v>
      </c>
      <c r="FH141" s="15" t="s">
        <v>2020</v>
      </c>
      <c r="FI141" s="15" t="s">
        <v>2314</v>
      </c>
      <c r="FJ141" s="15" t="s">
        <v>2315</v>
      </c>
      <c r="FK141" s="15" t="s">
        <v>2294</v>
      </c>
      <c r="FL141" s="15" t="s">
        <v>426</v>
      </c>
      <c r="FM141" s="15">
        <v>0.0</v>
      </c>
      <c r="FN141" s="15">
        <v>0.0</v>
      </c>
      <c r="FW141" s="15" t="s">
        <v>939</v>
      </c>
      <c r="GH141" s="15">
        <v>0.0</v>
      </c>
      <c r="GI141" s="15" t="s">
        <v>427</v>
      </c>
    </row>
    <row r="142" ht="15.75" customHeight="1">
      <c r="A142" s="14" t="s">
        <v>391</v>
      </c>
      <c r="B142" s="15" t="s">
        <v>2316</v>
      </c>
      <c r="C142" s="16"/>
      <c r="D142" s="15" t="s">
        <v>432</v>
      </c>
      <c r="G142" s="14" t="s">
        <v>393</v>
      </c>
      <c r="H142" s="14" t="s">
        <v>394</v>
      </c>
      <c r="I142" s="14" t="b">
        <v>1</v>
      </c>
      <c r="J142" s="14" t="s">
        <v>395</v>
      </c>
      <c r="L142" s="14" t="b">
        <v>0</v>
      </c>
      <c r="M142" s="15" t="s">
        <v>2317</v>
      </c>
      <c r="N142" s="14" t="s">
        <v>393</v>
      </c>
      <c r="O142" s="14" t="s">
        <v>393</v>
      </c>
      <c r="P142" s="15" t="s">
        <v>397</v>
      </c>
      <c r="Q142" s="15" t="s">
        <v>2279</v>
      </c>
      <c r="T142" s="14" t="b">
        <v>0</v>
      </c>
      <c r="U142" s="15" t="s">
        <v>2318</v>
      </c>
      <c r="V142" s="15" t="s">
        <v>2319</v>
      </c>
      <c r="W142" s="15" t="s">
        <v>401</v>
      </c>
      <c r="X142" s="15" t="s">
        <v>402</v>
      </c>
      <c r="Y142" s="15">
        <v>1586.0</v>
      </c>
      <c r="AA142" s="15" t="str">
        <f t="shared" ref="AA142:AA143" si="259">"610"</f>
        <v>610</v>
      </c>
      <c r="AB142" s="14" t="b">
        <v>1</v>
      </c>
      <c r="AC142" s="14" t="b">
        <v>1</v>
      </c>
      <c r="AD142" s="15" t="str">
        <f>"801542572976"</f>
        <v>801542572976</v>
      </c>
      <c r="AE142" s="15" t="s">
        <v>2320</v>
      </c>
      <c r="AF142" s="14" t="s">
        <v>404</v>
      </c>
      <c r="AG142" s="14" t="s">
        <v>405</v>
      </c>
      <c r="AH142" s="14" t="s">
        <v>406</v>
      </c>
      <c r="AI142" s="15">
        <v>0.0</v>
      </c>
      <c r="AL142" s="15" t="s">
        <v>2283</v>
      </c>
      <c r="AM142" s="15" t="s">
        <v>1175</v>
      </c>
      <c r="AN142" s="15" t="s">
        <v>1176</v>
      </c>
      <c r="AO142" s="15" t="s">
        <v>1175</v>
      </c>
      <c r="AP142" s="15" t="s">
        <v>1176</v>
      </c>
      <c r="AQ142" s="15" t="s">
        <v>1874</v>
      </c>
      <c r="AR142" s="15" t="s">
        <v>1875</v>
      </c>
      <c r="AS142" s="15" t="s">
        <v>411</v>
      </c>
      <c r="AT142" s="15" t="s">
        <v>2284</v>
      </c>
      <c r="AU142" s="15" t="s">
        <v>2279</v>
      </c>
      <c r="AW142" s="15" t="s">
        <v>1154</v>
      </c>
      <c r="AY142" s="15" t="s">
        <v>413</v>
      </c>
      <c r="AZ142" s="15" t="b">
        <v>0</v>
      </c>
      <c r="BA142" s="15" t="s">
        <v>413</v>
      </c>
      <c r="BB142" s="15" t="b">
        <v>0</v>
      </c>
      <c r="BC142" s="15" t="s">
        <v>2321</v>
      </c>
      <c r="BD142" s="15" t="s">
        <v>415</v>
      </c>
      <c r="BE142" s="15" t="str">
        <f t="shared" si="251"/>
        <v>1</v>
      </c>
      <c r="BF142" s="15" t="s">
        <v>416</v>
      </c>
      <c r="BG142" s="15" t="str">
        <f t="shared" ref="BG142:BG143" si="260">"32.28"</f>
        <v>32.28</v>
      </c>
      <c r="BH142" s="15" t="s">
        <v>954</v>
      </c>
      <c r="BI142" s="15" t="str">
        <f t="shared" ref="BI142:BI143" si="261">"31.89"</f>
        <v>31.89</v>
      </c>
      <c r="BJ142" s="15" t="s">
        <v>1183</v>
      </c>
      <c r="BK142" s="15" t="str">
        <f t="shared" ref="BK142:BK143" si="262">"26.77"</f>
        <v>26.77</v>
      </c>
      <c r="BL142" s="15" t="s">
        <v>2322</v>
      </c>
      <c r="BM142" s="15" t="str">
        <f t="shared" ref="BM142:BM143" si="263">"74.56"</f>
        <v>74.56</v>
      </c>
      <c r="BN142" s="15" t="s">
        <v>2323</v>
      </c>
      <c r="BQ142" s="15" t="s">
        <v>444</v>
      </c>
      <c r="BS142" s="15" t="s">
        <v>444</v>
      </c>
      <c r="BU142" s="15" t="s">
        <v>444</v>
      </c>
      <c r="BW142" s="15" t="s">
        <v>444</v>
      </c>
      <c r="BZ142" s="15" t="s">
        <v>444</v>
      </c>
      <c r="CB142" s="15" t="s">
        <v>444</v>
      </c>
      <c r="CD142" s="15" t="s">
        <v>444</v>
      </c>
      <c r="CF142" s="15" t="s">
        <v>444</v>
      </c>
      <c r="CI142" s="15" t="s">
        <v>444</v>
      </c>
      <c r="CK142" s="15" t="s">
        <v>444</v>
      </c>
      <c r="CM142" s="15" t="s">
        <v>444</v>
      </c>
      <c r="CO142" s="15" t="s">
        <v>444</v>
      </c>
      <c r="CP142" s="15" t="str">
        <f t="shared" ref="CP142:CP143" si="264">"15.96"</f>
        <v>15.96</v>
      </c>
      <c r="CQ142" s="15" t="str">
        <f t="shared" ref="CQ142:CQ143" si="265">"0.452"</f>
        <v>0.452</v>
      </c>
      <c r="CR142" s="15" t="s">
        <v>497</v>
      </c>
      <c r="DC142" s="15" t="str">
        <f>IFERROR(__xludf.DUMMYFUNCTION("""COMPUTED_VALUE"""),"")</f>
        <v/>
      </c>
      <c r="DE142" s="15" t="str">
        <f>IFERROR(__xludf.DUMMYFUNCTION("""COMPUTED_VALUE"""),"")</f>
        <v/>
      </c>
      <c r="DG142" s="15" t="str">
        <f>IFERROR(__xludf.DUMMYFUNCTION("""COMPUTED_VALUE"""),"")</f>
        <v/>
      </c>
      <c r="DL142" s="15" t="str">
        <f>IFERROR(__xludf.DUMMYFUNCTION("""COMPUTED_VALUE"""),"")</f>
        <v/>
      </c>
      <c r="DM142" s="15" t="s">
        <v>444</v>
      </c>
      <c r="DN142" s="15" t="s">
        <v>419</v>
      </c>
      <c r="DO142" s="15">
        <v>0.0</v>
      </c>
      <c r="DP142" s="15" t="s">
        <v>419</v>
      </c>
      <c r="DR142" s="15">
        <v>0.0</v>
      </c>
      <c r="DT142" s="15" t="s">
        <v>420</v>
      </c>
      <c r="DU142" s="15" t="s">
        <v>419</v>
      </c>
      <c r="DY142" s="15">
        <v>0.0</v>
      </c>
      <c r="EF142" s="15" t="s">
        <v>1157</v>
      </c>
      <c r="EG142" s="15" t="s">
        <v>1158</v>
      </c>
      <c r="EH142" s="15" t="s">
        <v>2289</v>
      </c>
      <c r="EJ142" s="15" t="s">
        <v>500</v>
      </c>
      <c r="EK142" s="15" t="s">
        <v>501</v>
      </c>
      <c r="EM142" s="15" t="str">
        <f>IFERROR(__xludf.DUMMYFUNCTION("""COMPUTED_VALUE"""),"")</f>
        <v/>
      </c>
      <c r="EW142" s="15" t="s">
        <v>428</v>
      </c>
      <c r="EX142" s="15" t="s">
        <v>2324</v>
      </c>
      <c r="EY142" s="15" t="s">
        <v>2324</v>
      </c>
      <c r="FH142" s="15" t="s">
        <v>1806</v>
      </c>
      <c r="FI142" s="15" t="s">
        <v>2292</v>
      </c>
      <c r="FJ142" s="15" t="s">
        <v>1806</v>
      </c>
      <c r="FK142" s="15" t="s">
        <v>1236</v>
      </c>
      <c r="FL142" s="15" t="s">
        <v>426</v>
      </c>
      <c r="FM142" s="15">
        <v>0.0</v>
      </c>
      <c r="FN142" s="15">
        <v>0.0</v>
      </c>
    </row>
    <row r="143" ht="15.75" customHeight="1">
      <c r="A143" s="14" t="s">
        <v>391</v>
      </c>
      <c r="B143" s="15" t="s">
        <v>2316</v>
      </c>
      <c r="C143" s="16"/>
      <c r="D143" s="15" t="s">
        <v>432</v>
      </c>
      <c r="G143" s="14" t="s">
        <v>393</v>
      </c>
      <c r="H143" s="14" t="s">
        <v>394</v>
      </c>
      <c r="I143" s="14" t="b">
        <v>1</v>
      </c>
      <c r="J143" s="14" t="s">
        <v>395</v>
      </c>
      <c r="L143" s="14" t="b">
        <v>0</v>
      </c>
      <c r="M143" s="15" t="s">
        <v>2325</v>
      </c>
      <c r="N143" s="14" t="s">
        <v>393</v>
      </c>
      <c r="O143" s="14" t="s">
        <v>393</v>
      </c>
      <c r="P143" s="15" t="s">
        <v>397</v>
      </c>
      <c r="Q143" s="15" t="s">
        <v>2284</v>
      </c>
      <c r="T143" s="14" t="b">
        <v>0</v>
      </c>
      <c r="U143" s="15" t="s">
        <v>2326</v>
      </c>
      <c r="V143" s="15" t="s">
        <v>2319</v>
      </c>
      <c r="W143" s="15" t="s">
        <v>401</v>
      </c>
      <c r="X143" s="15" t="s">
        <v>402</v>
      </c>
      <c r="Y143" s="15">
        <v>1586.0</v>
      </c>
      <c r="AA143" s="15" t="str">
        <f t="shared" si="259"/>
        <v>610</v>
      </c>
      <c r="AB143" s="14" t="b">
        <v>1</v>
      </c>
      <c r="AC143" s="14" t="b">
        <v>1</v>
      </c>
      <c r="AD143" s="15" t="str">
        <f>"801542688035"</f>
        <v>801542688035</v>
      </c>
      <c r="AE143" s="15" t="s">
        <v>2320</v>
      </c>
      <c r="AF143" s="14" t="s">
        <v>404</v>
      </c>
      <c r="AG143" s="14" t="s">
        <v>405</v>
      </c>
      <c r="AH143" s="14" t="s">
        <v>406</v>
      </c>
      <c r="AI143" s="15">
        <v>0.0</v>
      </c>
      <c r="AL143" s="15" t="s">
        <v>407</v>
      </c>
      <c r="AM143" s="15" t="s">
        <v>1175</v>
      </c>
      <c r="AN143" s="15" t="s">
        <v>1176</v>
      </c>
      <c r="AO143" s="15" t="s">
        <v>1175</v>
      </c>
      <c r="AP143" s="15" t="s">
        <v>1176</v>
      </c>
      <c r="AQ143" s="15" t="s">
        <v>1874</v>
      </c>
      <c r="AR143" s="15" t="s">
        <v>1875</v>
      </c>
      <c r="AS143" s="15" t="s">
        <v>411</v>
      </c>
      <c r="AT143" s="15" t="s">
        <v>2284</v>
      </c>
      <c r="AW143" s="15" t="s">
        <v>1154</v>
      </c>
      <c r="AY143" s="15" t="s">
        <v>413</v>
      </c>
      <c r="AZ143" s="15" t="b">
        <v>0</v>
      </c>
      <c r="BA143" s="15" t="s">
        <v>413</v>
      </c>
      <c r="BB143" s="15" t="b">
        <v>0</v>
      </c>
      <c r="BD143" s="15" t="s">
        <v>415</v>
      </c>
      <c r="BE143" s="15" t="str">
        <f t="shared" si="251"/>
        <v>1</v>
      </c>
      <c r="BF143" s="15" t="s">
        <v>416</v>
      </c>
      <c r="BG143" s="15" t="str">
        <f t="shared" si="260"/>
        <v>32.28</v>
      </c>
      <c r="BH143" s="15" t="s">
        <v>954</v>
      </c>
      <c r="BI143" s="15" t="str">
        <f t="shared" si="261"/>
        <v>31.89</v>
      </c>
      <c r="BJ143" s="15" t="s">
        <v>1183</v>
      </c>
      <c r="BK143" s="15" t="str">
        <f t="shared" si="262"/>
        <v>26.77</v>
      </c>
      <c r="BL143" s="15" t="s">
        <v>2322</v>
      </c>
      <c r="BM143" s="15" t="str">
        <f t="shared" si="263"/>
        <v>74.56</v>
      </c>
      <c r="BN143" s="15" t="s">
        <v>2323</v>
      </c>
      <c r="BQ143" s="15" t="s">
        <v>444</v>
      </c>
      <c r="BS143" s="15" t="s">
        <v>444</v>
      </c>
      <c r="BU143" s="15" t="s">
        <v>444</v>
      </c>
      <c r="BW143" s="15" t="s">
        <v>444</v>
      </c>
      <c r="BZ143" s="15" t="s">
        <v>444</v>
      </c>
      <c r="CB143" s="15" t="s">
        <v>444</v>
      </c>
      <c r="CD143" s="15" t="s">
        <v>444</v>
      </c>
      <c r="CF143" s="15" t="s">
        <v>444</v>
      </c>
      <c r="CI143" s="15" t="s">
        <v>444</v>
      </c>
      <c r="CK143" s="15" t="s">
        <v>444</v>
      </c>
      <c r="CM143" s="15" t="s">
        <v>444</v>
      </c>
      <c r="CO143" s="15" t="s">
        <v>444</v>
      </c>
      <c r="CP143" s="15" t="str">
        <f t="shared" si="264"/>
        <v>15.96</v>
      </c>
      <c r="CQ143" s="15" t="str">
        <f t="shared" si="265"/>
        <v>0.452</v>
      </c>
      <c r="CR143" s="15" t="s">
        <v>417</v>
      </c>
      <c r="DC143" s="15" t="str">
        <f>IFERROR(__xludf.DUMMYFUNCTION("""COMPUTED_VALUE"""),"")</f>
        <v/>
      </c>
      <c r="DE143" s="15" t="str">
        <f>IFERROR(__xludf.DUMMYFUNCTION("""COMPUTED_VALUE"""),"")</f>
        <v/>
      </c>
      <c r="DG143" s="15" t="str">
        <f>IFERROR(__xludf.DUMMYFUNCTION("""COMPUTED_VALUE"""),"")</f>
        <v/>
      </c>
      <c r="DL143" s="15" t="str">
        <f>IFERROR(__xludf.DUMMYFUNCTION("""COMPUTED_VALUE"""),"")</f>
        <v/>
      </c>
      <c r="DM143" s="15" t="s">
        <v>444</v>
      </c>
      <c r="DN143" s="15" t="s">
        <v>419</v>
      </c>
      <c r="DO143" s="15">
        <v>0.0</v>
      </c>
      <c r="DP143" s="15" t="s">
        <v>419</v>
      </c>
      <c r="DR143" s="15">
        <v>0.0</v>
      </c>
      <c r="DT143" s="15" t="s">
        <v>420</v>
      </c>
      <c r="DU143" s="15" t="s">
        <v>419</v>
      </c>
      <c r="DY143" s="15">
        <v>0.0</v>
      </c>
      <c r="EF143" s="15" t="s">
        <v>1157</v>
      </c>
      <c r="EG143" s="15" t="s">
        <v>1158</v>
      </c>
      <c r="EH143" s="15" t="s">
        <v>2289</v>
      </c>
      <c r="EJ143" s="15" t="s">
        <v>500</v>
      </c>
      <c r="EK143" s="15" t="s">
        <v>501</v>
      </c>
      <c r="EM143" s="15" t="str">
        <f>IFERROR(__xludf.DUMMYFUNCTION("""COMPUTED_VALUE"""),"")</f>
        <v/>
      </c>
      <c r="EW143" s="15" t="s">
        <v>428</v>
      </c>
      <c r="EX143" s="15" t="s">
        <v>2324</v>
      </c>
      <c r="EY143" s="15" t="s">
        <v>2324</v>
      </c>
      <c r="FH143" s="15" t="s">
        <v>1806</v>
      </c>
      <c r="FI143" s="15" t="s">
        <v>2292</v>
      </c>
      <c r="FJ143" s="15" t="s">
        <v>1806</v>
      </c>
      <c r="FK143" s="15" t="s">
        <v>1236</v>
      </c>
      <c r="FL143" s="15" t="s">
        <v>426</v>
      </c>
      <c r="FM143" s="15">
        <v>0.0</v>
      </c>
      <c r="FN143" s="15">
        <v>0.0</v>
      </c>
    </row>
    <row r="144" ht="15.75" customHeight="1">
      <c r="A144" s="14" t="s">
        <v>391</v>
      </c>
      <c r="B144" s="15" t="s">
        <v>2327</v>
      </c>
      <c r="C144" s="16"/>
      <c r="D144" s="15" t="s">
        <v>432</v>
      </c>
      <c r="G144" s="14" t="s">
        <v>393</v>
      </c>
      <c r="H144" s="14" t="s">
        <v>394</v>
      </c>
      <c r="I144" s="14" t="b">
        <v>1</v>
      </c>
      <c r="J144" s="14" t="s">
        <v>395</v>
      </c>
      <c r="L144" s="14" t="b">
        <v>0</v>
      </c>
      <c r="M144" s="15" t="s">
        <v>2328</v>
      </c>
      <c r="N144" s="14" t="s">
        <v>393</v>
      </c>
      <c r="O144" s="14" t="s">
        <v>393</v>
      </c>
      <c r="P144" s="15" t="s">
        <v>397</v>
      </c>
      <c r="Q144" s="15" t="s">
        <v>2279</v>
      </c>
      <c r="T144" s="14" t="b">
        <v>0</v>
      </c>
      <c r="U144" s="15" t="s">
        <v>2329</v>
      </c>
      <c r="V144" s="15" t="s">
        <v>2330</v>
      </c>
      <c r="W144" s="15" t="s">
        <v>401</v>
      </c>
      <c r="X144" s="15" t="s">
        <v>402</v>
      </c>
      <c r="Y144" s="15">
        <v>2847.0</v>
      </c>
      <c r="AA144" s="15" t="str">
        <f>"1095"</f>
        <v>1095</v>
      </c>
      <c r="AB144" s="14" t="b">
        <v>1</v>
      </c>
      <c r="AC144" s="14" t="b">
        <v>1</v>
      </c>
      <c r="AD144" s="15" t="str">
        <f>"801542236953"</f>
        <v>801542236953</v>
      </c>
      <c r="AE144" s="15" t="s">
        <v>2331</v>
      </c>
      <c r="AF144" s="14" t="s">
        <v>404</v>
      </c>
      <c r="AG144" s="14" t="s">
        <v>405</v>
      </c>
      <c r="AH144" s="14" t="s">
        <v>406</v>
      </c>
      <c r="AI144" s="15">
        <v>0.0</v>
      </c>
      <c r="AL144" s="15" t="s">
        <v>2332</v>
      </c>
      <c r="AM144" s="15" t="s">
        <v>487</v>
      </c>
      <c r="AN144" s="15" t="s">
        <v>488</v>
      </c>
      <c r="AO144" s="15" t="s">
        <v>487</v>
      </c>
      <c r="AP144" s="15" t="s">
        <v>488</v>
      </c>
      <c r="AQ144" s="15" t="s">
        <v>1874</v>
      </c>
      <c r="AR144" s="15" t="s">
        <v>1875</v>
      </c>
      <c r="AS144" s="15" t="s">
        <v>411</v>
      </c>
      <c r="AT144" s="15" t="s">
        <v>2279</v>
      </c>
      <c r="AU144" s="15" t="s">
        <v>2284</v>
      </c>
      <c r="AW144" s="15" t="s">
        <v>491</v>
      </c>
      <c r="AY144" s="15" t="s">
        <v>413</v>
      </c>
      <c r="AZ144" s="15" t="b">
        <v>0</v>
      </c>
      <c r="BA144" s="15" t="s">
        <v>413</v>
      </c>
      <c r="BB144" s="15" t="b">
        <v>0</v>
      </c>
      <c r="BC144" s="15" t="s">
        <v>2333</v>
      </c>
      <c r="BD144" s="15" t="s">
        <v>415</v>
      </c>
      <c r="BE144" s="15" t="str">
        <f t="shared" si="251"/>
        <v>1</v>
      </c>
      <c r="BF144" s="15" t="s">
        <v>416</v>
      </c>
      <c r="BG144" s="15" t="str">
        <f>"62.99"</f>
        <v>62.99</v>
      </c>
      <c r="BH144" s="15" t="s">
        <v>2334</v>
      </c>
      <c r="BI144" s="15" t="str">
        <f>"63.39"</f>
        <v>63.39</v>
      </c>
      <c r="BJ144" s="15" t="s">
        <v>2335</v>
      </c>
      <c r="BK144" s="15" t="str">
        <f>"23.62"</f>
        <v>23.62</v>
      </c>
      <c r="BL144" s="15" t="s">
        <v>1570</v>
      </c>
      <c r="BM144" s="15" t="str">
        <f>"214.18"</f>
        <v>214.18</v>
      </c>
      <c r="BN144" s="15" t="s">
        <v>2336</v>
      </c>
      <c r="BQ144" s="15" t="s">
        <v>444</v>
      </c>
      <c r="BS144" s="15" t="s">
        <v>444</v>
      </c>
      <c r="BU144" s="15" t="s">
        <v>444</v>
      </c>
      <c r="BW144" s="15" t="s">
        <v>444</v>
      </c>
      <c r="BZ144" s="15" t="s">
        <v>444</v>
      </c>
      <c r="CB144" s="15" t="s">
        <v>444</v>
      </c>
      <c r="CD144" s="15" t="s">
        <v>444</v>
      </c>
      <c r="CF144" s="15" t="s">
        <v>444</v>
      </c>
      <c r="CI144" s="15" t="s">
        <v>444</v>
      </c>
      <c r="CK144" s="15" t="s">
        <v>444</v>
      </c>
      <c r="CM144" s="15" t="s">
        <v>444</v>
      </c>
      <c r="CO144" s="15" t="s">
        <v>444</v>
      </c>
      <c r="CP144" s="15" t="str">
        <f>"54.6"</f>
        <v>54.6</v>
      </c>
      <c r="CQ144" s="15" t="str">
        <f>"1.546"</f>
        <v>1.546</v>
      </c>
      <c r="CR144" s="15" t="s">
        <v>497</v>
      </c>
      <c r="DC144" s="15" t="str">
        <f>IFERROR(__xludf.DUMMYFUNCTION("""COMPUTED_VALUE"""),"")</f>
        <v/>
      </c>
      <c r="DE144" s="15" t="str">
        <f>IFERROR(__xludf.DUMMYFUNCTION("""COMPUTED_VALUE"""),"")</f>
        <v/>
      </c>
      <c r="DG144" s="15" t="str">
        <f>IFERROR(__xludf.DUMMYFUNCTION("""COMPUTED_VALUE"""),"")</f>
        <v/>
      </c>
      <c r="DL144" s="15" t="str">
        <f>IFERROR(__xludf.DUMMYFUNCTION("""COMPUTED_VALUE"""),"")</f>
        <v/>
      </c>
      <c r="DM144" s="15" t="s">
        <v>444</v>
      </c>
      <c r="DN144" s="15" t="s">
        <v>419</v>
      </c>
      <c r="DO144" s="15">
        <v>0.0</v>
      </c>
      <c r="DP144" s="15" t="s">
        <v>419</v>
      </c>
      <c r="DR144" s="15">
        <v>0.0</v>
      </c>
      <c r="DT144" s="15" t="s">
        <v>420</v>
      </c>
      <c r="DU144" s="15" t="s">
        <v>419</v>
      </c>
      <c r="DY144" s="15">
        <v>0.0</v>
      </c>
      <c r="EF144" s="15" t="s">
        <v>1157</v>
      </c>
      <c r="EG144" s="15" t="s">
        <v>1158</v>
      </c>
      <c r="EH144" s="15" t="s">
        <v>2289</v>
      </c>
      <c r="EJ144" s="15" t="s">
        <v>500</v>
      </c>
      <c r="EK144" s="15" t="s">
        <v>501</v>
      </c>
      <c r="EM144" s="15" t="str">
        <f>IFERROR(__xludf.DUMMYFUNCTION("""COMPUTED_VALUE"""),"")</f>
        <v/>
      </c>
      <c r="EW144" s="15" t="s">
        <v>2290</v>
      </c>
      <c r="FH144" s="15" t="s">
        <v>2293</v>
      </c>
      <c r="FI144" s="15" t="s">
        <v>2292</v>
      </c>
      <c r="FJ144" s="15" t="s">
        <v>2337</v>
      </c>
      <c r="FK144" s="15" t="s">
        <v>2294</v>
      </c>
      <c r="FL144" s="15" t="s">
        <v>426</v>
      </c>
      <c r="FM144" s="15">
        <v>0.0</v>
      </c>
      <c r="FN144" s="15">
        <v>0.0</v>
      </c>
    </row>
    <row r="145" ht="15.75" customHeight="1">
      <c r="A145" s="14" t="s">
        <v>391</v>
      </c>
      <c r="B145" s="15" t="s">
        <v>2338</v>
      </c>
      <c r="C145" s="16"/>
      <c r="D145" s="15" t="s">
        <v>432</v>
      </c>
      <c r="G145" s="14" t="s">
        <v>393</v>
      </c>
      <c r="H145" s="14" t="s">
        <v>394</v>
      </c>
      <c r="I145" s="14" t="b">
        <v>1</v>
      </c>
      <c r="J145" s="14" t="s">
        <v>395</v>
      </c>
      <c r="L145" s="14" t="b">
        <v>0</v>
      </c>
      <c r="M145" s="15" t="s">
        <v>2339</v>
      </c>
      <c r="N145" s="14" t="s">
        <v>393</v>
      </c>
      <c r="O145" s="14" t="s">
        <v>393</v>
      </c>
      <c r="P145" s="15" t="s">
        <v>397</v>
      </c>
      <c r="Q145" s="15" t="s">
        <v>1596</v>
      </c>
      <c r="T145" s="14" t="b">
        <v>0</v>
      </c>
      <c r="U145" s="15" t="s">
        <v>2340</v>
      </c>
      <c r="V145" s="15" t="s">
        <v>2341</v>
      </c>
      <c r="W145" s="15" t="s">
        <v>401</v>
      </c>
      <c r="X145" s="15" t="s">
        <v>695</v>
      </c>
      <c r="Y145" s="15">
        <v>2080.0</v>
      </c>
      <c r="AA145" s="15" t="str">
        <f>"800"</f>
        <v>800</v>
      </c>
      <c r="AB145" s="14" t="b">
        <v>1</v>
      </c>
      <c r="AC145" s="14" t="b">
        <v>1</v>
      </c>
      <c r="AD145" s="15" t="str">
        <f>"801542769635"</f>
        <v>801542769635</v>
      </c>
      <c r="AE145" s="15" t="s">
        <v>2342</v>
      </c>
      <c r="AF145" s="14" t="s">
        <v>404</v>
      </c>
      <c r="AG145" s="14" t="s">
        <v>405</v>
      </c>
      <c r="AH145" s="14" t="s">
        <v>406</v>
      </c>
      <c r="AI145" s="15">
        <v>0.0</v>
      </c>
      <c r="AL145" s="15" t="s">
        <v>975</v>
      </c>
      <c r="AM145" s="15" t="s">
        <v>1364</v>
      </c>
      <c r="AN145" s="15" t="s">
        <v>1365</v>
      </c>
      <c r="AO145" s="15" t="s">
        <v>698</v>
      </c>
      <c r="AP145" s="15" t="s">
        <v>699</v>
      </c>
      <c r="AQ145" s="15" t="s">
        <v>1801</v>
      </c>
      <c r="AR145" s="15" t="s">
        <v>1322</v>
      </c>
      <c r="AS145" s="15" t="s">
        <v>2343</v>
      </c>
      <c r="AT145" s="15" t="s">
        <v>1596</v>
      </c>
      <c r="AU145" s="15" t="s">
        <v>978</v>
      </c>
      <c r="AW145" s="15" t="s">
        <v>706</v>
      </c>
      <c r="AX145" s="15" t="s">
        <v>707</v>
      </c>
      <c r="AY145" s="15" t="s">
        <v>413</v>
      </c>
      <c r="AZ145" s="15" t="b">
        <v>0</v>
      </c>
      <c r="BA145" s="15" t="s">
        <v>413</v>
      </c>
      <c r="BB145" s="15" t="b">
        <v>0</v>
      </c>
      <c r="BC145" s="15" t="s">
        <v>2344</v>
      </c>
      <c r="BD145" s="15" t="s">
        <v>709</v>
      </c>
      <c r="BE145" s="15" t="str">
        <f t="shared" si="251"/>
        <v>1</v>
      </c>
      <c r="BF145" s="15" t="s">
        <v>1477</v>
      </c>
      <c r="BG145" s="15" t="str">
        <f>"35.04"</f>
        <v>35.04</v>
      </c>
      <c r="BH145" s="15" t="s">
        <v>1404</v>
      </c>
      <c r="BI145" s="15" t="str">
        <f>"38.39"</f>
        <v>38.39</v>
      </c>
      <c r="BJ145" s="15" t="s">
        <v>1602</v>
      </c>
      <c r="BK145" s="15" t="str">
        <f>"32.68"</f>
        <v>32.68</v>
      </c>
      <c r="BL145" s="15" t="s">
        <v>2066</v>
      </c>
      <c r="BM145" s="15" t="str">
        <f>"94.8"</f>
        <v>94.8</v>
      </c>
      <c r="BN145" s="15" t="s">
        <v>1231</v>
      </c>
      <c r="BQ145" s="15" t="s">
        <v>444</v>
      </c>
      <c r="BS145" s="15" t="s">
        <v>444</v>
      </c>
      <c r="BU145" s="15" t="s">
        <v>444</v>
      </c>
      <c r="BW145" s="15" t="s">
        <v>444</v>
      </c>
      <c r="BZ145" s="15" t="s">
        <v>444</v>
      </c>
      <c r="CB145" s="15" t="s">
        <v>444</v>
      </c>
      <c r="CD145" s="15" t="s">
        <v>444</v>
      </c>
      <c r="CF145" s="15" t="s">
        <v>444</v>
      </c>
      <c r="CI145" s="15" t="s">
        <v>444</v>
      </c>
      <c r="CK145" s="15" t="s">
        <v>444</v>
      </c>
      <c r="CM145" s="15" t="s">
        <v>444</v>
      </c>
      <c r="CO145" s="15" t="s">
        <v>444</v>
      </c>
      <c r="CP145" s="15" t="str">
        <f>"21.44"</f>
        <v>21.44</v>
      </c>
      <c r="CQ145" s="15" t="str">
        <f>"0.607"</f>
        <v>0.607</v>
      </c>
      <c r="CR145" s="15" t="s">
        <v>465</v>
      </c>
      <c r="DB145" s="15" t="s">
        <v>2019</v>
      </c>
      <c r="DC145" s="15" t="str">
        <f>IFERROR(__xludf.DUMMYFUNCTION("""COMPUTED_VALUE"""),"{""value"":21.65,""unit"":""in""}")</f>
        <v>{"value":21.65,"unit":"in"}</v>
      </c>
      <c r="DD145" s="15" t="s">
        <v>716</v>
      </c>
      <c r="DE145" s="15" t="str">
        <f>IFERROR(__xludf.DUMMYFUNCTION("""COMPUTED_VALUE"""),"{""value"":18.11,""unit"":""in""}")</f>
        <v>{"value":18.11,"unit":"in"}</v>
      </c>
      <c r="DG145" s="15" t="str">
        <f>IFERROR(__xludf.DUMMYFUNCTION("""COMPUTED_VALUE"""),"")</f>
        <v/>
      </c>
      <c r="DH145" s="15">
        <v>0.0</v>
      </c>
      <c r="DI145" s="15">
        <v>0.0</v>
      </c>
      <c r="DJ145" s="15" t="s">
        <v>469</v>
      </c>
      <c r="DK145" s="15" t="s">
        <v>718</v>
      </c>
      <c r="DL145" s="15" t="str">
        <f>IFERROR(__xludf.DUMMYFUNCTION("""COMPUTED_VALUE"""),"Vacuum or light brush only. Do not use water or any cleaning products.")</f>
        <v>Vacuum or light brush only. Do not use water or any cleaning products.</v>
      </c>
      <c r="DM145" s="15" t="s">
        <v>719</v>
      </c>
      <c r="DT145" s="15" t="s">
        <v>721</v>
      </c>
      <c r="DU145" s="15" t="s">
        <v>1605</v>
      </c>
      <c r="DV145" s="15">
        <v>0.0</v>
      </c>
      <c r="DZ145" s="15">
        <v>0.0</v>
      </c>
      <c r="EA145" s="15" t="s">
        <v>990</v>
      </c>
      <c r="ED145" s="15">
        <v>0.0</v>
      </c>
      <c r="EE145" s="15">
        <v>1.0</v>
      </c>
      <c r="EG145" s="15" t="s">
        <v>444</v>
      </c>
      <c r="EH145" s="15" t="s">
        <v>2345</v>
      </c>
      <c r="EI145" s="15">
        <v>0.0</v>
      </c>
      <c r="EJ145" s="15" t="s">
        <v>726</v>
      </c>
      <c r="EK145" s="15" t="s">
        <v>727</v>
      </c>
      <c r="EL145" s="15" t="s">
        <v>779</v>
      </c>
      <c r="EM145" s="15" t="str">
        <f>IFERROR(__xludf.DUMMYFUNCTION("""COMPUTED_VALUE"""),"{""value"":20.47,""unit"":""in""}")</f>
        <v>{"value":20.47,"unit":"in"}</v>
      </c>
      <c r="EN145" s="15" t="s">
        <v>1444</v>
      </c>
      <c r="EO145" s="15" t="s">
        <v>2346</v>
      </c>
      <c r="ES145" s="15" t="s">
        <v>2347</v>
      </c>
      <c r="EW145" s="15" t="s">
        <v>1957</v>
      </c>
      <c r="EZ145" s="15" t="s">
        <v>2156</v>
      </c>
      <c r="FF145" s="15" t="s">
        <v>860</v>
      </c>
      <c r="FO145" s="15" t="s">
        <v>2348</v>
      </c>
      <c r="FP145" s="15" t="s">
        <v>1604</v>
      </c>
      <c r="FQ145" s="15">
        <v>0.0</v>
      </c>
      <c r="FR145" s="15">
        <v>0.0</v>
      </c>
      <c r="FS145" s="15" t="s">
        <v>1609</v>
      </c>
      <c r="FT145" s="15">
        <v>0.0</v>
      </c>
      <c r="IL145" s="15" t="s">
        <v>1610</v>
      </c>
    </row>
    <row r="146" ht="15.75" customHeight="1">
      <c r="A146" s="14" t="s">
        <v>391</v>
      </c>
      <c r="B146" s="15" t="s">
        <v>2349</v>
      </c>
      <c r="C146" s="16"/>
      <c r="D146" s="15" t="s">
        <v>432</v>
      </c>
      <c r="G146" s="14" t="s">
        <v>393</v>
      </c>
      <c r="H146" s="14" t="s">
        <v>394</v>
      </c>
      <c r="I146" s="14" t="b">
        <v>1</v>
      </c>
      <c r="J146" s="14" t="s">
        <v>395</v>
      </c>
      <c r="L146" s="14" t="b">
        <v>0</v>
      </c>
      <c r="M146" s="15" t="s">
        <v>2350</v>
      </c>
      <c r="N146" s="14" t="s">
        <v>393</v>
      </c>
      <c r="O146" s="14" t="s">
        <v>393</v>
      </c>
      <c r="P146" s="15" t="s">
        <v>397</v>
      </c>
      <c r="Q146" s="15" t="s">
        <v>2351</v>
      </c>
      <c r="T146" s="14" t="b">
        <v>0</v>
      </c>
      <c r="U146" s="15" t="s">
        <v>2352</v>
      </c>
      <c r="V146" s="15" t="s">
        <v>2105</v>
      </c>
      <c r="W146" s="15" t="s">
        <v>401</v>
      </c>
      <c r="X146" s="15" t="s">
        <v>742</v>
      </c>
      <c r="Y146" s="15">
        <v>2405.0</v>
      </c>
      <c r="AA146" s="15" t="str">
        <f>"925"</f>
        <v>925</v>
      </c>
      <c r="AB146" s="14" t="b">
        <v>1</v>
      </c>
      <c r="AC146" s="14" t="b">
        <v>1</v>
      </c>
      <c r="AD146" s="15" t="str">
        <f>"198394052641"</f>
        <v>198394052641</v>
      </c>
      <c r="AE146" s="15" t="s">
        <v>2353</v>
      </c>
      <c r="AF146" s="14" t="s">
        <v>404</v>
      </c>
      <c r="AG146" s="14" t="s">
        <v>405</v>
      </c>
      <c r="AH146" s="14" t="s">
        <v>406</v>
      </c>
      <c r="AI146" s="15">
        <v>0.0</v>
      </c>
      <c r="AL146" s="15" t="s">
        <v>2354</v>
      </c>
      <c r="AM146" s="15" t="s">
        <v>2355</v>
      </c>
      <c r="AN146" s="15" t="s">
        <v>2356</v>
      </c>
      <c r="AO146" s="15" t="s">
        <v>409</v>
      </c>
      <c r="AP146" s="15" t="s">
        <v>438</v>
      </c>
      <c r="AQ146" s="15" t="s">
        <v>1085</v>
      </c>
      <c r="AR146" s="15" t="s">
        <v>1086</v>
      </c>
      <c r="AS146" s="15" t="s">
        <v>2063</v>
      </c>
      <c r="AT146" s="15" t="s">
        <v>2351</v>
      </c>
      <c r="AW146" s="15" t="s">
        <v>602</v>
      </c>
      <c r="AY146" s="15" t="s">
        <v>413</v>
      </c>
      <c r="AZ146" s="15" t="b">
        <v>0</v>
      </c>
      <c r="BA146" s="15" t="s">
        <v>413</v>
      </c>
      <c r="BB146" s="15" t="b">
        <v>0</v>
      </c>
      <c r="BC146" s="15" t="s">
        <v>2357</v>
      </c>
      <c r="BD146" s="15" t="s">
        <v>742</v>
      </c>
      <c r="BE146" s="15" t="str">
        <f t="shared" si="251"/>
        <v>1</v>
      </c>
      <c r="BF146" s="15" t="s">
        <v>416</v>
      </c>
      <c r="BG146" s="15" t="str">
        <f>"81.89"</f>
        <v>81.89</v>
      </c>
      <c r="BH146" s="15" t="s">
        <v>2358</v>
      </c>
      <c r="BI146" s="15" t="str">
        <f>"24.41"</f>
        <v>24.41</v>
      </c>
      <c r="BJ146" s="15" t="s">
        <v>796</v>
      </c>
      <c r="BK146" s="15" t="str">
        <f>"35.63"</f>
        <v>35.63</v>
      </c>
      <c r="BL146" s="15" t="s">
        <v>710</v>
      </c>
      <c r="BM146" s="15" t="str">
        <f>"250.22"</f>
        <v>250.22</v>
      </c>
      <c r="BN146" s="15" t="s">
        <v>2359</v>
      </c>
      <c r="BQ146" s="15" t="s">
        <v>444</v>
      </c>
      <c r="BS146" s="15" t="s">
        <v>444</v>
      </c>
      <c r="BU146" s="15" t="s">
        <v>444</v>
      </c>
      <c r="BW146" s="15" t="s">
        <v>444</v>
      </c>
      <c r="BZ146" s="15" t="s">
        <v>444</v>
      </c>
      <c r="CB146" s="15" t="s">
        <v>444</v>
      </c>
      <c r="CD146" s="15" t="s">
        <v>444</v>
      </c>
      <c r="CF146" s="15" t="s">
        <v>444</v>
      </c>
      <c r="CI146" s="15" t="s">
        <v>444</v>
      </c>
      <c r="CK146" s="15" t="s">
        <v>444</v>
      </c>
      <c r="CM146" s="15" t="s">
        <v>444</v>
      </c>
      <c r="CO146" s="15" t="s">
        <v>444</v>
      </c>
      <c r="CP146" s="15" t="str">
        <f>"41.21"</f>
        <v>41.21</v>
      </c>
      <c r="CQ146" s="15" t="str">
        <f>"1.167"</f>
        <v>1.167</v>
      </c>
      <c r="CR146" s="15" t="s">
        <v>497</v>
      </c>
      <c r="CV146" s="15" t="s">
        <v>1429</v>
      </c>
      <c r="CW146" s="15" t="s">
        <v>824</v>
      </c>
      <c r="CX146" s="15" t="s">
        <v>2360</v>
      </c>
      <c r="DC146" s="15" t="str">
        <f>IFERROR(__xludf.DUMMYFUNCTION("""COMPUTED_VALUE"""),"")</f>
        <v/>
      </c>
      <c r="DE146" s="15" t="str">
        <f>IFERROR(__xludf.DUMMYFUNCTION("""COMPUTED_VALUE"""),"")</f>
        <v/>
      </c>
      <c r="DG146" s="15" t="str">
        <f>IFERROR(__xludf.DUMMYFUNCTION("""COMPUTED_VALUE"""),"")</f>
        <v/>
      </c>
      <c r="DL146" s="15" t="str">
        <f>IFERROR(__xludf.DUMMYFUNCTION("""COMPUTED_VALUE"""),"")</f>
        <v/>
      </c>
      <c r="DM146" s="15" t="s">
        <v>444</v>
      </c>
      <c r="DN146" s="15" t="s">
        <v>419</v>
      </c>
      <c r="DO146" s="15">
        <v>0.0</v>
      </c>
      <c r="DP146" s="15" t="s">
        <v>419</v>
      </c>
      <c r="DR146" s="15">
        <v>0.0</v>
      </c>
      <c r="DT146" s="15" t="s">
        <v>420</v>
      </c>
      <c r="DU146" s="15" t="s">
        <v>610</v>
      </c>
      <c r="DW146" s="15">
        <v>18.14</v>
      </c>
      <c r="DX146" s="15">
        <v>40.0</v>
      </c>
      <c r="DY146" s="15">
        <v>2.0</v>
      </c>
      <c r="EG146" s="15" t="s">
        <v>444</v>
      </c>
      <c r="EH146" s="15" t="s">
        <v>2361</v>
      </c>
      <c r="EK146" s="15" t="s">
        <v>444</v>
      </c>
      <c r="EM146" s="15" t="str">
        <f>IFERROR(__xludf.DUMMYFUNCTION("""COMPUTED_VALUE"""),"")</f>
        <v/>
      </c>
      <c r="EW146" s="15" t="s">
        <v>1955</v>
      </c>
      <c r="FL146" s="15" t="s">
        <v>426</v>
      </c>
      <c r="FM146" s="15">
        <v>2.0</v>
      </c>
      <c r="FY146" s="15" t="s">
        <v>1324</v>
      </c>
      <c r="FZ146" s="15" t="s">
        <v>1042</v>
      </c>
      <c r="GA146" s="15" t="s">
        <v>2362</v>
      </c>
      <c r="GB146" s="15" t="s">
        <v>1429</v>
      </c>
      <c r="GC146" s="15" t="s">
        <v>782</v>
      </c>
      <c r="GD146" s="15" t="s">
        <v>2360</v>
      </c>
      <c r="GF146" s="15" t="s">
        <v>426</v>
      </c>
      <c r="GG146" s="15" t="s">
        <v>1044</v>
      </c>
      <c r="GH146" s="15">
        <v>4.0</v>
      </c>
      <c r="GI146" s="15" t="s">
        <v>614</v>
      </c>
      <c r="GJ146" s="15" t="s">
        <v>1045</v>
      </c>
      <c r="GL146" s="15" t="s">
        <v>426</v>
      </c>
      <c r="GN146" s="15" t="s">
        <v>616</v>
      </c>
      <c r="HA146" s="15" t="s">
        <v>1429</v>
      </c>
      <c r="HB146" s="15" t="s">
        <v>824</v>
      </c>
      <c r="HC146" s="15" t="s">
        <v>2360</v>
      </c>
      <c r="HD146" s="15">
        <v>0.0</v>
      </c>
      <c r="HW146" s="15" t="s">
        <v>1957</v>
      </c>
      <c r="IH146" s="15" t="s">
        <v>426</v>
      </c>
    </row>
    <row r="147" ht="15.75" customHeight="1">
      <c r="A147" s="14" t="s">
        <v>391</v>
      </c>
      <c r="B147" s="15" t="s">
        <v>2363</v>
      </c>
      <c r="C147" s="16"/>
      <c r="D147" s="15" t="s">
        <v>432</v>
      </c>
      <c r="G147" s="14" t="s">
        <v>393</v>
      </c>
      <c r="H147" s="14" t="s">
        <v>394</v>
      </c>
      <c r="I147" s="14" t="b">
        <v>1</v>
      </c>
      <c r="J147" s="14" t="s">
        <v>395</v>
      </c>
      <c r="L147" s="14" t="b">
        <v>0</v>
      </c>
      <c r="M147" s="15" t="s">
        <v>2364</v>
      </c>
      <c r="N147" s="14" t="s">
        <v>393</v>
      </c>
      <c r="O147" s="14" t="s">
        <v>393</v>
      </c>
      <c r="P147" s="15" t="s">
        <v>397</v>
      </c>
      <c r="Q147" s="15" t="s">
        <v>2365</v>
      </c>
      <c r="T147" s="14" t="b">
        <v>0</v>
      </c>
      <c r="U147" s="15" t="s">
        <v>2366</v>
      </c>
      <c r="V147" s="15" t="s">
        <v>2367</v>
      </c>
      <c r="W147" s="15" t="s">
        <v>401</v>
      </c>
      <c r="X147" s="15" t="s">
        <v>402</v>
      </c>
      <c r="Y147" s="15">
        <v>3497.0</v>
      </c>
      <c r="AA147" s="15" t="str">
        <f>"1345"</f>
        <v>1345</v>
      </c>
      <c r="AB147" s="14" t="b">
        <v>1</v>
      </c>
      <c r="AC147" s="14" t="b">
        <v>1</v>
      </c>
      <c r="AD147" s="15" t="str">
        <f>"801542702861"</f>
        <v>801542702861</v>
      </c>
      <c r="AE147" s="15" t="s">
        <v>2368</v>
      </c>
      <c r="AF147" s="14" t="s">
        <v>404</v>
      </c>
      <c r="AG147" s="14" t="s">
        <v>405</v>
      </c>
      <c r="AH147" s="14" t="s">
        <v>406</v>
      </c>
      <c r="AI147" s="15">
        <v>0.0</v>
      </c>
      <c r="AL147" s="15" t="s">
        <v>2369</v>
      </c>
      <c r="AM147" s="15" t="s">
        <v>2370</v>
      </c>
      <c r="AN147" s="15" t="s">
        <v>2371</v>
      </c>
      <c r="AO147" s="15" t="s">
        <v>2372</v>
      </c>
      <c r="AP147" s="15" t="s">
        <v>2373</v>
      </c>
      <c r="AQ147" s="15" t="s">
        <v>1222</v>
      </c>
      <c r="AR147" s="15" t="s">
        <v>1223</v>
      </c>
      <c r="AS147" s="15" t="s">
        <v>2374</v>
      </c>
      <c r="AT147" s="15" t="s">
        <v>2365</v>
      </c>
      <c r="AW147" s="15" t="s">
        <v>1732</v>
      </c>
      <c r="AY147" s="15" t="s">
        <v>413</v>
      </c>
      <c r="AZ147" s="15" t="b">
        <v>0</v>
      </c>
      <c r="BA147" s="15" t="s">
        <v>413</v>
      </c>
      <c r="BB147" s="15" t="b">
        <v>0</v>
      </c>
      <c r="BC147" s="15" t="s">
        <v>2375</v>
      </c>
      <c r="BD147" s="15" t="s">
        <v>415</v>
      </c>
      <c r="BE147" s="15" t="str">
        <f t="shared" si="251"/>
        <v>1</v>
      </c>
      <c r="BF147" s="15" t="s">
        <v>416</v>
      </c>
      <c r="BG147" s="15" t="str">
        <f t="shared" ref="BG147:BG149" si="266">"101"</f>
        <v>101</v>
      </c>
      <c r="BH147" s="15" t="s">
        <v>2376</v>
      </c>
      <c r="BI147" s="15" t="str">
        <f>"41"</f>
        <v>41</v>
      </c>
      <c r="BJ147" s="15" t="s">
        <v>2377</v>
      </c>
      <c r="BK147" s="15" t="str">
        <f>"26.97"</f>
        <v>26.97</v>
      </c>
      <c r="BL147" s="15" t="s">
        <v>1457</v>
      </c>
      <c r="BM147" s="15" t="str">
        <f>"213.85"</f>
        <v>213.85</v>
      </c>
      <c r="BN147" s="15" t="s">
        <v>2378</v>
      </c>
      <c r="BQ147" s="15" t="s">
        <v>444</v>
      </c>
      <c r="BS147" s="15" t="s">
        <v>444</v>
      </c>
      <c r="BU147" s="15" t="s">
        <v>444</v>
      </c>
      <c r="BW147" s="15" t="s">
        <v>444</v>
      </c>
      <c r="BZ147" s="15" t="s">
        <v>444</v>
      </c>
      <c r="CB147" s="15" t="s">
        <v>444</v>
      </c>
      <c r="CD147" s="15" t="s">
        <v>444</v>
      </c>
      <c r="CF147" s="15" t="s">
        <v>444</v>
      </c>
      <c r="CI147" s="15" t="s">
        <v>444</v>
      </c>
      <c r="CK147" s="15" t="s">
        <v>444</v>
      </c>
      <c r="CM147" s="15" t="s">
        <v>444</v>
      </c>
      <c r="CO147" s="15" t="s">
        <v>444</v>
      </c>
      <c r="CP147" s="15" t="str">
        <f>"64.63"</f>
        <v>64.63</v>
      </c>
      <c r="CQ147" s="15" t="str">
        <f>"1.83"</f>
        <v>1.83</v>
      </c>
      <c r="CR147" s="15" t="s">
        <v>465</v>
      </c>
      <c r="CY147" s="15" t="s">
        <v>1064</v>
      </c>
      <c r="CZ147" s="15" t="s">
        <v>2116</v>
      </c>
      <c r="DA147" s="15" t="s">
        <v>1575</v>
      </c>
      <c r="DB147" s="15" t="s">
        <v>525</v>
      </c>
      <c r="DC147" s="15" t="str">
        <f>IFERROR(__xludf.DUMMYFUNCTION("""COMPUTED_VALUE"""),"{""value"":23.00,""unit"":""in""}")</f>
        <v>{"value":23.00,"unit":"in"}</v>
      </c>
      <c r="DD147" s="15" t="s">
        <v>650</v>
      </c>
      <c r="DE147" s="15" t="str">
        <f>IFERROR(__xludf.DUMMYFUNCTION("""COMPUTED_VALUE"""),"{""value"":19.50,""unit"":""in""}")</f>
        <v>{"value":19.50,"unit":"in"}</v>
      </c>
      <c r="DF147" s="15" t="s">
        <v>2379</v>
      </c>
      <c r="DG147" s="15" t="str">
        <f>IFERROR(__xludf.DUMMYFUNCTION("""COMPUTED_VALUE"""),"{""value"":79.00,""unit"":""in""}")</f>
        <v>{"value":79.00,"unit":"in"}</v>
      </c>
      <c r="DH147" s="15">
        <v>0.0</v>
      </c>
      <c r="DI147" s="15">
        <v>2.0</v>
      </c>
      <c r="DJ147" s="15" t="s">
        <v>717</v>
      </c>
      <c r="DK147" s="15" t="s">
        <v>897</v>
      </c>
      <c r="DL147" s="15" t="str">
        <f>IFERROR(__xludf.DUMMYFUNCTION("""COMPUTED_VALUE"""),"Clean with water-based products only. Use mild detergent or upholstery shampoo.")</f>
        <v>Clean with water-based products only. Use mild detergent or upholstery shampoo.</v>
      </c>
      <c r="DM147" s="15" t="s">
        <v>898</v>
      </c>
      <c r="DQ147" s="15" t="s">
        <v>2380</v>
      </c>
      <c r="DT147" s="15" t="s">
        <v>721</v>
      </c>
      <c r="DU147" s="15" t="s">
        <v>2381</v>
      </c>
      <c r="DV147" s="15">
        <v>2.0</v>
      </c>
      <c r="DZ147" s="15">
        <v>27000.0</v>
      </c>
      <c r="EA147" s="15" t="s">
        <v>2382</v>
      </c>
      <c r="EB147" s="15" t="s">
        <v>723</v>
      </c>
      <c r="EC147" s="15" t="s">
        <v>724</v>
      </c>
      <c r="ED147" s="15">
        <v>2.0</v>
      </c>
      <c r="EE147" s="15">
        <v>3.0</v>
      </c>
      <c r="EG147" s="15" t="s">
        <v>444</v>
      </c>
      <c r="EH147" s="15" t="s">
        <v>2383</v>
      </c>
      <c r="EI147" s="15">
        <v>0.0</v>
      </c>
      <c r="EJ147" s="15" t="s">
        <v>473</v>
      </c>
      <c r="EK147" s="15" t="s">
        <v>474</v>
      </c>
      <c r="EL147" s="15" t="s">
        <v>2384</v>
      </c>
      <c r="EM147" s="15" t="str">
        <f>IFERROR(__xludf.DUMMYFUNCTION("""COMPUTED_VALUE"""),"{""value"":24.50,""unit"":""in""}")</f>
        <v>{"value":24.50,"unit":"in"}</v>
      </c>
      <c r="EN147" s="15" t="s">
        <v>429</v>
      </c>
      <c r="EO147" s="15" t="s">
        <v>2385</v>
      </c>
      <c r="ES147" s="15" t="s">
        <v>995</v>
      </c>
      <c r="ET147" s="15" t="s">
        <v>2116</v>
      </c>
      <c r="EU147" s="15" t="s">
        <v>1161</v>
      </c>
      <c r="EV147" s="15" t="s">
        <v>1575</v>
      </c>
      <c r="EW147" s="15" t="s">
        <v>1188</v>
      </c>
      <c r="EX147" s="15" t="s">
        <v>1330</v>
      </c>
      <c r="EY147" s="15" t="s">
        <v>2386</v>
      </c>
      <c r="EZ147" s="15" t="s">
        <v>429</v>
      </c>
      <c r="FC147" s="15" t="s">
        <v>723</v>
      </c>
      <c r="FD147" s="15" t="s">
        <v>724</v>
      </c>
      <c r="FE147" s="15" t="s">
        <v>1289</v>
      </c>
      <c r="FF147" s="15" t="s">
        <v>2387</v>
      </c>
      <c r="FO147" s="15" t="s">
        <v>2379</v>
      </c>
      <c r="FP147" s="15" t="s">
        <v>2379</v>
      </c>
      <c r="JF147" s="15" t="s">
        <v>877</v>
      </c>
      <c r="JJ147" s="15" t="s">
        <v>724</v>
      </c>
      <c r="JK147" s="15" t="s">
        <v>426</v>
      </c>
      <c r="KC147" s="15" t="s">
        <v>1065</v>
      </c>
      <c r="KD147" s="15" t="s">
        <v>468</v>
      </c>
      <c r="KE147" s="15" t="s">
        <v>2388</v>
      </c>
      <c r="KO147" s="15" t="s">
        <v>2389</v>
      </c>
    </row>
    <row r="148" ht="15.75" customHeight="1">
      <c r="A148" s="14" t="s">
        <v>391</v>
      </c>
      <c r="B148" s="15" t="s">
        <v>2390</v>
      </c>
      <c r="C148" s="16"/>
      <c r="D148" s="15" t="s">
        <v>432</v>
      </c>
      <c r="G148" s="14" t="s">
        <v>393</v>
      </c>
      <c r="H148" s="14" t="s">
        <v>394</v>
      </c>
      <c r="I148" s="14" t="b">
        <v>1</v>
      </c>
      <c r="J148" s="14" t="s">
        <v>395</v>
      </c>
      <c r="L148" s="14" t="b">
        <v>0</v>
      </c>
      <c r="M148" s="15" t="s">
        <v>2391</v>
      </c>
      <c r="N148" s="14" t="s">
        <v>393</v>
      </c>
      <c r="O148" s="14" t="s">
        <v>393</v>
      </c>
      <c r="P148" s="15" t="s">
        <v>397</v>
      </c>
      <c r="Q148" s="15" t="s">
        <v>2365</v>
      </c>
      <c r="T148" s="14" t="b">
        <v>0</v>
      </c>
      <c r="U148" s="15" t="s">
        <v>2392</v>
      </c>
      <c r="V148" s="15" t="s">
        <v>906</v>
      </c>
      <c r="W148" s="15" t="s">
        <v>401</v>
      </c>
      <c r="X148" s="15" t="s">
        <v>402</v>
      </c>
      <c r="Y148" s="15">
        <v>2730.0</v>
      </c>
      <c r="AA148" s="15" t="str">
        <f>"1050"</f>
        <v>1050</v>
      </c>
      <c r="AB148" s="14" t="b">
        <v>1</v>
      </c>
      <c r="AC148" s="14" t="b">
        <v>1</v>
      </c>
      <c r="AD148" s="15" t="str">
        <f>"801542450427"</f>
        <v>801542450427</v>
      </c>
      <c r="AE148" s="15" t="s">
        <v>2393</v>
      </c>
      <c r="AF148" s="14" t="s">
        <v>404</v>
      </c>
      <c r="AG148" s="14" t="s">
        <v>405</v>
      </c>
      <c r="AH148" s="14" t="s">
        <v>406</v>
      </c>
      <c r="AI148" s="15">
        <v>0.0</v>
      </c>
      <c r="AL148" s="15" t="s">
        <v>2369</v>
      </c>
      <c r="AM148" s="15" t="s">
        <v>1872</v>
      </c>
      <c r="AN148" s="15" t="s">
        <v>1873</v>
      </c>
      <c r="AO148" s="15" t="s">
        <v>2394</v>
      </c>
      <c r="AP148" s="15" t="s">
        <v>2395</v>
      </c>
      <c r="AQ148" s="15" t="s">
        <v>1276</v>
      </c>
      <c r="AR148" s="15" t="s">
        <v>1277</v>
      </c>
      <c r="AS148" s="15" t="s">
        <v>2374</v>
      </c>
      <c r="AT148" s="15" t="s">
        <v>2365</v>
      </c>
      <c r="AW148" s="15" t="s">
        <v>1732</v>
      </c>
      <c r="AY148" s="15" t="s">
        <v>413</v>
      </c>
      <c r="AZ148" s="15" t="b">
        <v>0</v>
      </c>
      <c r="BA148" s="15" t="s">
        <v>413</v>
      </c>
      <c r="BB148" s="15" t="b">
        <v>0</v>
      </c>
      <c r="BC148" s="15" t="s">
        <v>2396</v>
      </c>
      <c r="BD148" s="15" t="s">
        <v>415</v>
      </c>
      <c r="BE148" s="15" t="str">
        <f t="shared" si="251"/>
        <v>1</v>
      </c>
      <c r="BF148" s="15" t="s">
        <v>416</v>
      </c>
      <c r="BG148" s="15" t="str">
        <f t="shared" si="266"/>
        <v>101</v>
      </c>
      <c r="BH148" s="15" t="s">
        <v>2376</v>
      </c>
      <c r="BI148" s="15" t="str">
        <f t="shared" ref="BI148:BI149" si="267">"49"</f>
        <v>49</v>
      </c>
      <c r="BJ148" s="15" t="s">
        <v>2397</v>
      </c>
      <c r="BK148" s="15" t="str">
        <f t="shared" ref="BK148:BK149" si="268">"25.5"</f>
        <v>25.5</v>
      </c>
      <c r="BL148" s="15" t="s">
        <v>2062</v>
      </c>
      <c r="BM148" s="15" t="str">
        <f t="shared" ref="BM148:BM149" si="269">"165.35"</f>
        <v>165.35</v>
      </c>
      <c r="BN148" s="15" t="s">
        <v>2398</v>
      </c>
      <c r="BQ148" s="15" t="s">
        <v>444</v>
      </c>
      <c r="BS148" s="15" t="s">
        <v>444</v>
      </c>
      <c r="BU148" s="15" t="s">
        <v>444</v>
      </c>
      <c r="BW148" s="15" t="s">
        <v>444</v>
      </c>
      <c r="BZ148" s="15" t="s">
        <v>444</v>
      </c>
      <c r="CB148" s="15" t="s">
        <v>444</v>
      </c>
      <c r="CD148" s="15" t="s">
        <v>444</v>
      </c>
      <c r="CF148" s="15" t="s">
        <v>444</v>
      </c>
      <c r="CI148" s="15" t="s">
        <v>444</v>
      </c>
      <c r="CK148" s="15" t="s">
        <v>444</v>
      </c>
      <c r="CM148" s="15" t="s">
        <v>444</v>
      </c>
      <c r="CO148" s="15" t="s">
        <v>444</v>
      </c>
      <c r="CP148" s="15" t="str">
        <f t="shared" ref="CP148:CP149" si="270">"73.03"</f>
        <v>73.03</v>
      </c>
      <c r="CQ148" s="15" t="str">
        <f t="shared" ref="CQ148:CQ149" si="271">"2.068"</f>
        <v>2.068</v>
      </c>
      <c r="CR148" s="15" t="s">
        <v>497</v>
      </c>
      <c r="CY148" s="15" t="s">
        <v>2385</v>
      </c>
      <c r="CZ148" s="15" t="s">
        <v>2116</v>
      </c>
      <c r="DA148" s="15" t="s">
        <v>2399</v>
      </c>
      <c r="DB148" s="15" t="s">
        <v>525</v>
      </c>
      <c r="DC148" s="15" t="str">
        <f>IFERROR(__xludf.DUMMYFUNCTION("""COMPUTED_VALUE"""),"{""value"":23.00,""unit"":""in""}")</f>
        <v>{"value":23.00,"unit":"in"}</v>
      </c>
      <c r="DD148" s="15" t="s">
        <v>1213</v>
      </c>
      <c r="DE148" s="15" t="str">
        <f>IFERROR(__xludf.DUMMYFUNCTION("""COMPUTED_VALUE"""),"{""value"":16.00,""unit"":""in""}")</f>
        <v>{"value":16.00,"unit":"in"}</v>
      </c>
      <c r="DF148" s="15" t="s">
        <v>2400</v>
      </c>
      <c r="DG148" s="15" t="str">
        <f>IFERROR(__xludf.DUMMYFUNCTION("""COMPUTED_VALUE"""),"{""value"":82.00,""unit"":""in""}")</f>
        <v>{"value":82.00,"unit":"in"}</v>
      </c>
      <c r="DH148" s="15">
        <v>0.0</v>
      </c>
      <c r="DI148" s="15">
        <v>2.0</v>
      </c>
      <c r="DJ148" s="15" t="s">
        <v>717</v>
      </c>
      <c r="DK148" s="15" t="s">
        <v>897</v>
      </c>
      <c r="DL148" s="15" t="str">
        <f>IFERROR(__xludf.DUMMYFUNCTION("""COMPUTED_VALUE"""),"Clean with water-based products only. Use mild detergent or upholstery shampoo.")</f>
        <v>Clean with water-based products only. Use mild detergent or upholstery shampoo.</v>
      </c>
      <c r="DM148" s="15" t="s">
        <v>898</v>
      </c>
      <c r="DQ148" s="15" t="s">
        <v>2380</v>
      </c>
      <c r="DT148" s="15" t="s">
        <v>721</v>
      </c>
      <c r="DU148" s="15" t="s">
        <v>419</v>
      </c>
      <c r="DV148" s="15">
        <v>2.0</v>
      </c>
      <c r="DZ148" s="15">
        <v>27000.0</v>
      </c>
      <c r="EA148" s="15" t="s">
        <v>990</v>
      </c>
      <c r="EB148" s="15" t="s">
        <v>723</v>
      </c>
      <c r="EC148" s="15" t="s">
        <v>724</v>
      </c>
      <c r="ED148" s="15">
        <v>2.0</v>
      </c>
      <c r="EE148" s="15">
        <v>3.0</v>
      </c>
      <c r="EG148" s="15" t="s">
        <v>444</v>
      </c>
      <c r="EH148" s="15" t="s">
        <v>2383</v>
      </c>
      <c r="EI148" s="15">
        <v>0.0</v>
      </c>
      <c r="EJ148" s="15" t="s">
        <v>473</v>
      </c>
      <c r="EK148" s="15" t="s">
        <v>474</v>
      </c>
      <c r="EL148" s="15" t="s">
        <v>1324</v>
      </c>
      <c r="EM148" s="15" t="str">
        <f>IFERROR(__xludf.DUMMYFUNCTION("""COMPUTED_VALUE"""),"{""value"":20.00,""unit"":""in""}")</f>
        <v>{"value":20.00,"unit":"in"}</v>
      </c>
      <c r="EN148" s="15" t="s">
        <v>429</v>
      </c>
      <c r="EO148" s="15" t="s">
        <v>2401</v>
      </c>
      <c r="ES148" s="15" t="s">
        <v>2402</v>
      </c>
      <c r="ET148" s="15" t="s">
        <v>475</v>
      </c>
      <c r="EU148" s="15" t="s">
        <v>1161</v>
      </c>
      <c r="EV148" s="15" t="s">
        <v>2399</v>
      </c>
      <c r="EW148" s="15" t="s">
        <v>612</v>
      </c>
      <c r="EX148" s="15" t="s">
        <v>2403</v>
      </c>
      <c r="EY148" s="15" t="s">
        <v>2404</v>
      </c>
      <c r="EZ148" s="15" t="s">
        <v>429</v>
      </c>
      <c r="FC148" s="15" t="s">
        <v>723</v>
      </c>
      <c r="FD148" s="15" t="s">
        <v>724</v>
      </c>
      <c r="FE148" s="15" t="s">
        <v>1289</v>
      </c>
      <c r="FF148" s="15" t="s">
        <v>2387</v>
      </c>
      <c r="FO148" s="15" t="s">
        <v>2400</v>
      </c>
      <c r="FP148" s="15" t="s">
        <v>2400</v>
      </c>
      <c r="JG148" s="15" t="s">
        <v>505</v>
      </c>
      <c r="JH148" s="15" t="s">
        <v>504</v>
      </c>
      <c r="JI148" s="15" t="s">
        <v>529</v>
      </c>
      <c r="JJ148" s="15" t="s">
        <v>724</v>
      </c>
      <c r="JK148" s="15" t="s">
        <v>426</v>
      </c>
    </row>
    <row r="149" ht="15.75" customHeight="1">
      <c r="A149" s="14" t="s">
        <v>391</v>
      </c>
      <c r="B149" s="15" t="s">
        <v>2390</v>
      </c>
      <c r="C149" s="16"/>
      <c r="D149" s="15" t="s">
        <v>432</v>
      </c>
      <c r="G149" s="14" t="s">
        <v>393</v>
      </c>
      <c r="H149" s="14" t="s">
        <v>394</v>
      </c>
      <c r="I149" s="14" t="b">
        <v>1</v>
      </c>
      <c r="J149" s="14" t="s">
        <v>395</v>
      </c>
      <c r="L149" s="14" t="b">
        <v>0</v>
      </c>
      <c r="M149" s="15" t="s">
        <v>2405</v>
      </c>
      <c r="N149" s="14" t="s">
        <v>393</v>
      </c>
      <c r="O149" s="14" t="s">
        <v>393</v>
      </c>
      <c r="P149" s="15" t="s">
        <v>397</v>
      </c>
      <c r="Q149" s="15" t="s">
        <v>2406</v>
      </c>
      <c r="T149" s="14" t="b">
        <v>0</v>
      </c>
      <c r="U149" s="15" t="s">
        <v>2407</v>
      </c>
      <c r="V149" s="15" t="s">
        <v>906</v>
      </c>
      <c r="W149" s="15" t="s">
        <v>401</v>
      </c>
      <c r="X149" s="15" t="s">
        <v>402</v>
      </c>
      <c r="Y149" s="15">
        <v>3068.0</v>
      </c>
      <c r="AA149" s="15" t="str">
        <f>"1180"</f>
        <v>1180</v>
      </c>
      <c r="AB149" s="14" t="b">
        <v>1</v>
      </c>
      <c r="AC149" s="14" t="b">
        <v>1</v>
      </c>
      <c r="AD149" s="15" t="str">
        <f>"198394059916"</f>
        <v>198394059916</v>
      </c>
      <c r="AE149" s="15" t="s">
        <v>2408</v>
      </c>
      <c r="AF149" s="14" t="s">
        <v>404</v>
      </c>
      <c r="AG149" s="14" t="s">
        <v>405</v>
      </c>
      <c r="AH149" s="14" t="s">
        <v>406</v>
      </c>
      <c r="AI149" s="15">
        <v>0.0</v>
      </c>
      <c r="AL149" s="15" t="s">
        <v>1655</v>
      </c>
      <c r="AM149" s="15" t="s">
        <v>1872</v>
      </c>
      <c r="AN149" s="15" t="s">
        <v>1873</v>
      </c>
      <c r="AO149" s="15" t="s">
        <v>2394</v>
      </c>
      <c r="AP149" s="15" t="s">
        <v>2395</v>
      </c>
      <c r="AQ149" s="15" t="s">
        <v>1276</v>
      </c>
      <c r="AR149" s="15" t="s">
        <v>1277</v>
      </c>
      <c r="AS149" s="15" t="s">
        <v>2374</v>
      </c>
      <c r="AT149" s="15" t="s">
        <v>2406</v>
      </c>
      <c r="AW149" s="15" t="s">
        <v>1732</v>
      </c>
      <c r="AY149" s="15" t="s">
        <v>413</v>
      </c>
      <c r="AZ149" s="15" t="b">
        <v>0</v>
      </c>
      <c r="BA149" s="15" t="s">
        <v>413</v>
      </c>
      <c r="BB149" s="15" t="b">
        <v>0</v>
      </c>
      <c r="BC149" s="15" t="s">
        <v>2409</v>
      </c>
      <c r="BD149" s="15" t="s">
        <v>415</v>
      </c>
      <c r="BE149" s="15" t="str">
        <f t="shared" si="251"/>
        <v>1</v>
      </c>
      <c r="BF149" s="15" t="s">
        <v>416</v>
      </c>
      <c r="BG149" s="15" t="str">
        <f t="shared" si="266"/>
        <v>101</v>
      </c>
      <c r="BH149" s="15" t="s">
        <v>2376</v>
      </c>
      <c r="BI149" s="15" t="str">
        <f t="shared" si="267"/>
        <v>49</v>
      </c>
      <c r="BJ149" s="15" t="s">
        <v>2397</v>
      </c>
      <c r="BK149" s="15" t="str">
        <f t="shared" si="268"/>
        <v>25.5</v>
      </c>
      <c r="BL149" s="15" t="s">
        <v>2062</v>
      </c>
      <c r="BM149" s="15" t="str">
        <f t="shared" si="269"/>
        <v>165.35</v>
      </c>
      <c r="BN149" s="15" t="s">
        <v>2398</v>
      </c>
      <c r="BQ149" s="15" t="s">
        <v>444</v>
      </c>
      <c r="BS149" s="15" t="s">
        <v>444</v>
      </c>
      <c r="BU149" s="15" t="s">
        <v>444</v>
      </c>
      <c r="BW149" s="15" t="s">
        <v>444</v>
      </c>
      <c r="BZ149" s="15" t="s">
        <v>444</v>
      </c>
      <c r="CB149" s="15" t="s">
        <v>444</v>
      </c>
      <c r="CD149" s="15" t="s">
        <v>444</v>
      </c>
      <c r="CF149" s="15" t="s">
        <v>444</v>
      </c>
      <c r="CI149" s="15" t="s">
        <v>444</v>
      </c>
      <c r="CK149" s="15" t="s">
        <v>444</v>
      </c>
      <c r="CM149" s="15" t="s">
        <v>444</v>
      </c>
      <c r="CO149" s="15" t="s">
        <v>444</v>
      </c>
      <c r="CP149" s="15" t="str">
        <f t="shared" si="270"/>
        <v>73.03</v>
      </c>
      <c r="CQ149" s="15" t="str">
        <f t="shared" si="271"/>
        <v>2.068</v>
      </c>
      <c r="CR149" s="15" t="s">
        <v>465</v>
      </c>
      <c r="CY149" s="15" t="s">
        <v>2385</v>
      </c>
      <c r="CZ149" s="15" t="s">
        <v>2116</v>
      </c>
      <c r="DA149" s="15" t="s">
        <v>2399</v>
      </c>
      <c r="DB149" s="15" t="s">
        <v>525</v>
      </c>
      <c r="DC149" s="15" t="str">
        <f>IFERROR(__xludf.DUMMYFUNCTION("""COMPUTED_VALUE"""),"{""value"":23.00,""unit"":""in""}")</f>
        <v>{"value":23.00,"unit":"in"}</v>
      </c>
      <c r="DD149" s="15" t="s">
        <v>1213</v>
      </c>
      <c r="DE149" s="15" t="str">
        <f>IFERROR(__xludf.DUMMYFUNCTION("""COMPUTED_VALUE"""),"{""value"":16.00,""unit"":""in""}")</f>
        <v>{"value":16.00,"unit":"in"}</v>
      </c>
      <c r="DF149" s="15" t="s">
        <v>2400</v>
      </c>
      <c r="DG149" s="15" t="str">
        <f>IFERROR(__xludf.DUMMYFUNCTION("""COMPUTED_VALUE"""),"{""value"":82.00,""unit"":""in""}")</f>
        <v>{"value":82.00,"unit":"in"}</v>
      </c>
      <c r="DH149" s="15">
        <v>0.0</v>
      </c>
      <c r="DI149" s="15">
        <v>2.0</v>
      </c>
      <c r="DJ149" s="15" t="s">
        <v>717</v>
      </c>
      <c r="DK149" s="15" t="s">
        <v>934</v>
      </c>
      <c r="DL149" s="15" t="str">
        <f>IFERROR(__xludf.DUMMYFUNCTION("""COMPUTED_VALUE"""),"Spot clean with water-based or solvent-based cleaner. Use mild detergent or upholstery shampoo.")</f>
        <v>Spot clean with water-based or solvent-based cleaner. Use mild detergent or upholstery shampoo.</v>
      </c>
      <c r="DM149" s="15" t="s">
        <v>935</v>
      </c>
      <c r="DQ149" s="15" t="s">
        <v>2380</v>
      </c>
      <c r="DT149" s="15" t="s">
        <v>721</v>
      </c>
      <c r="DU149" s="15" t="s">
        <v>419</v>
      </c>
      <c r="DV149" s="15">
        <v>2.0</v>
      </c>
      <c r="DZ149" s="15">
        <v>50000.0</v>
      </c>
      <c r="EA149" s="15" t="s">
        <v>990</v>
      </c>
      <c r="EB149" s="15" t="s">
        <v>723</v>
      </c>
      <c r="EC149" s="15" t="s">
        <v>724</v>
      </c>
      <c r="ED149" s="15">
        <v>2.0</v>
      </c>
      <c r="EE149" s="15">
        <v>3.0</v>
      </c>
      <c r="EG149" s="15" t="s">
        <v>444</v>
      </c>
      <c r="EH149" s="15" t="s">
        <v>2383</v>
      </c>
      <c r="EI149" s="15">
        <v>0.0</v>
      </c>
      <c r="EJ149" s="15" t="s">
        <v>473</v>
      </c>
      <c r="EK149" s="15" t="s">
        <v>474</v>
      </c>
      <c r="EL149" s="15" t="s">
        <v>1324</v>
      </c>
      <c r="EM149" s="15" t="str">
        <f>IFERROR(__xludf.DUMMYFUNCTION("""COMPUTED_VALUE"""),"{""value"":20.00,""unit"":""in""}")</f>
        <v>{"value":20.00,"unit":"in"}</v>
      </c>
      <c r="EN149" s="15" t="s">
        <v>429</v>
      </c>
      <c r="EO149" s="15" t="s">
        <v>2401</v>
      </c>
      <c r="ES149" s="15" t="s">
        <v>2402</v>
      </c>
      <c r="ET149" s="15" t="s">
        <v>475</v>
      </c>
      <c r="EU149" s="15" t="s">
        <v>1161</v>
      </c>
      <c r="EV149" s="15" t="s">
        <v>2399</v>
      </c>
      <c r="EW149" s="15" t="s">
        <v>612</v>
      </c>
      <c r="EX149" s="15" t="s">
        <v>2403</v>
      </c>
      <c r="EY149" s="15" t="s">
        <v>2404</v>
      </c>
      <c r="EZ149" s="15" t="s">
        <v>429</v>
      </c>
      <c r="FC149" s="15" t="s">
        <v>723</v>
      </c>
      <c r="FD149" s="15" t="s">
        <v>724</v>
      </c>
      <c r="FE149" s="15" t="s">
        <v>1289</v>
      </c>
      <c r="FF149" s="15" t="s">
        <v>2387</v>
      </c>
      <c r="FO149" s="15" t="s">
        <v>2400</v>
      </c>
      <c r="FP149" s="15" t="s">
        <v>2400</v>
      </c>
      <c r="JG149" s="15" t="s">
        <v>505</v>
      </c>
      <c r="JH149" s="15" t="s">
        <v>504</v>
      </c>
      <c r="JI149" s="15" t="s">
        <v>529</v>
      </c>
      <c r="JJ149" s="15" t="s">
        <v>724</v>
      </c>
      <c r="JK149" s="15" t="s">
        <v>426</v>
      </c>
    </row>
    <row r="150" ht="15.75" customHeight="1">
      <c r="A150" s="14" t="s">
        <v>391</v>
      </c>
      <c r="B150" s="15" t="s">
        <v>2410</v>
      </c>
      <c r="C150" s="16"/>
      <c r="D150" s="15" t="s">
        <v>432</v>
      </c>
      <c r="G150" s="14" t="s">
        <v>393</v>
      </c>
      <c r="H150" s="14" t="s">
        <v>394</v>
      </c>
      <c r="I150" s="14" t="b">
        <v>1</v>
      </c>
      <c r="J150" s="14" t="s">
        <v>395</v>
      </c>
      <c r="L150" s="14" t="b">
        <v>0</v>
      </c>
      <c r="M150" s="15" t="s">
        <v>2411</v>
      </c>
      <c r="N150" s="14" t="s">
        <v>393</v>
      </c>
      <c r="O150" s="14" t="s">
        <v>393</v>
      </c>
      <c r="P150" s="15" t="s">
        <v>397</v>
      </c>
      <c r="Q150" s="15" t="s">
        <v>2412</v>
      </c>
      <c r="T150" s="14" t="b">
        <v>0</v>
      </c>
      <c r="U150" s="15" t="s">
        <v>2413</v>
      </c>
      <c r="V150" s="15" t="s">
        <v>2414</v>
      </c>
      <c r="W150" s="15" t="s">
        <v>401</v>
      </c>
      <c r="X150" s="15" t="s">
        <v>695</v>
      </c>
      <c r="Y150" s="15">
        <v>2405.0</v>
      </c>
      <c r="AA150" s="15" t="str">
        <f t="shared" ref="AA150:AA152" si="272">"925"</f>
        <v>925</v>
      </c>
      <c r="AB150" s="14" t="b">
        <v>1</v>
      </c>
      <c r="AC150" s="14" t="b">
        <v>1</v>
      </c>
      <c r="AD150" s="15" t="str">
        <f>"801542293512"</f>
        <v>801542293512</v>
      </c>
      <c r="AE150" s="15" t="s">
        <v>2415</v>
      </c>
      <c r="AF150" s="14" t="s">
        <v>404</v>
      </c>
      <c r="AG150" s="14" t="s">
        <v>405</v>
      </c>
      <c r="AH150" s="14" t="s">
        <v>406</v>
      </c>
      <c r="AI150" s="15">
        <v>0.0</v>
      </c>
      <c r="AL150" s="15" t="s">
        <v>975</v>
      </c>
      <c r="AM150" s="15" t="s">
        <v>622</v>
      </c>
      <c r="AN150" s="15" t="s">
        <v>623</v>
      </c>
      <c r="AO150" s="15" t="s">
        <v>2416</v>
      </c>
      <c r="AP150" s="15" t="s">
        <v>2417</v>
      </c>
      <c r="AQ150" s="15" t="s">
        <v>546</v>
      </c>
      <c r="AR150" s="15" t="s">
        <v>547</v>
      </c>
      <c r="AS150" s="15" t="s">
        <v>915</v>
      </c>
      <c r="AT150" s="15" t="s">
        <v>2412</v>
      </c>
      <c r="AU150" s="15" t="s">
        <v>2418</v>
      </c>
      <c r="AW150" s="15" t="s">
        <v>706</v>
      </c>
      <c r="AX150" s="15" t="s">
        <v>707</v>
      </c>
      <c r="AY150" s="15" t="s">
        <v>413</v>
      </c>
      <c r="AZ150" s="15" t="b">
        <v>0</v>
      </c>
      <c r="BA150" s="15" t="s">
        <v>413</v>
      </c>
      <c r="BB150" s="15" t="b">
        <v>0</v>
      </c>
      <c r="BC150" s="15" t="s">
        <v>2419</v>
      </c>
      <c r="BD150" s="15" t="s">
        <v>709</v>
      </c>
      <c r="BE150" s="15" t="str">
        <f t="shared" si="251"/>
        <v>1</v>
      </c>
      <c r="BF150" s="15" t="s">
        <v>416</v>
      </c>
      <c r="BG150" s="15" t="str">
        <f>"40.94"</f>
        <v>40.94</v>
      </c>
      <c r="BH150" s="15" t="s">
        <v>648</v>
      </c>
      <c r="BI150" s="15" t="str">
        <f>"40.16"</f>
        <v>40.16</v>
      </c>
      <c r="BJ150" s="15" t="s">
        <v>667</v>
      </c>
      <c r="BK150" s="15" t="str">
        <f>"32.28"</f>
        <v>32.28</v>
      </c>
      <c r="BL150" s="15" t="s">
        <v>954</v>
      </c>
      <c r="BM150" s="15" t="str">
        <f>"100.31"</f>
        <v>100.31</v>
      </c>
      <c r="BN150" s="15" t="s">
        <v>2420</v>
      </c>
      <c r="BQ150" s="15" t="s">
        <v>444</v>
      </c>
      <c r="BS150" s="15" t="s">
        <v>444</v>
      </c>
      <c r="BU150" s="15" t="s">
        <v>444</v>
      </c>
      <c r="BW150" s="15" t="s">
        <v>444</v>
      </c>
      <c r="BZ150" s="15" t="s">
        <v>444</v>
      </c>
      <c r="CB150" s="15" t="s">
        <v>444</v>
      </c>
      <c r="CD150" s="15" t="s">
        <v>444</v>
      </c>
      <c r="CF150" s="15" t="s">
        <v>444</v>
      </c>
      <c r="CI150" s="15" t="s">
        <v>444</v>
      </c>
      <c r="CK150" s="15" t="s">
        <v>444</v>
      </c>
      <c r="CM150" s="15" t="s">
        <v>444</v>
      </c>
      <c r="CO150" s="15" t="s">
        <v>444</v>
      </c>
      <c r="CP150" s="15" t="str">
        <f>"30.72"</f>
        <v>30.72</v>
      </c>
      <c r="CQ150" s="15" t="str">
        <f>"0.87"</f>
        <v>0.87</v>
      </c>
      <c r="CR150" s="15" t="s">
        <v>417</v>
      </c>
      <c r="DB150" s="15" t="s">
        <v>555</v>
      </c>
      <c r="DC150" s="15" t="str">
        <f>IFERROR(__xludf.DUMMYFUNCTION("""COMPUTED_VALUE"""),"{""value"":25.00,""unit"":""in""}")</f>
        <v>{"value":25.00,"unit":"in"}</v>
      </c>
      <c r="DD150" s="15" t="s">
        <v>824</v>
      </c>
      <c r="DE150" s="15" t="str">
        <f>IFERROR(__xludf.DUMMYFUNCTION("""COMPUTED_VALUE"""),"{""value"":18.50,""unit"":""in""}")</f>
        <v>{"value":18.50,"unit":"in"}</v>
      </c>
      <c r="DG150" s="15" t="str">
        <f>IFERROR(__xludf.DUMMYFUNCTION("""COMPUTED_VALUE"""),"")</f>
        <v/>
      </c>
      <c r="DH150" s="15">
        <v>0.0</v>
      </c>
      <c r="DI150" s="15">
        <v>1.0</v>
      </c>
      <c r="DJ150" s="15" t="s">
        <v>717</v>
      </c>
      <c r="DK150" s="15" t="s">
        <v>718</v>
      </c>
      <c r="DL150" s="15" t="str">
        <f>IFERROR(__xludf.DUMMYFUNCTION("""COMPUTED_VALUE"""),"Vacuum or light brush only. Do not use water or any cleaning products.")</f>
        <v>Vacuum or light brush only. Do not use water or any cleaning products.</v>
      </c>
      <c r="DM150" s="15" t="s">
        <v>719</v>
      </c>
      <c r="DT150" s="15" t="s">
        <v>721</v>
      </c>
      <c r="DU150" s="15" t="s">
        <v>419</v>
      </c>
      <c r="DV150" s="15">
        <v>0.0</v>
      </c>
      <c r="DZ150" s="15">
        <v>0.0</v>
      </c>
      <c r="EA150" s="15" t="s">
        <v>990</v>
      </c>
      <c r="EB150" s="15" t="s">
        <v>1016</v>
      </c>
      <c r="ED150" s="15">
        <v>1.0</v>
      </c>
      <c r="EE150" s="15">
        <v>1.0</v>
      </c>
      <c r="EG150" s="15" t="s">
        <v>444</v>
      </c>
      <c r="EH150" s="15" t="s">
        <v>2421</v>
      </c>
      <c r="EI150" s="15">
        <v>0.0</v>
      </c>
      <c r="EJ150" s="15" t="s">
        <v>726</v>
      </c>
      <c r="EK150" s="15" t="s">
        <v>727</v>
      </c>
      <c r="EL150" s="15" t="s">
        <v>1211</v>
      </c>
      <c r="EM150" s="15" t="str">
        <f>IFERROR(__xludf.DUMMYFUNCTION("""COMPUTED_VALUE"""),"{""value"":24.00,""unit"":""in""}")</f>
        <v>{"value":24.00,"unit":"in"}</v>
      </c>
      <c r="EN150" s="15" t="s">
        <v>2116</v>
      </c>
      <c r="EO150" s="15" t="s">
        <v>558</v>
      </c>
      <c r="ES150" s="15" t="s">
        <v>1069</v>
      </c>
      <c r="EW150" s="15" t="s">
        <v>762</v>
      </c>
      <c r="EX150" s="15" t="s">
        <v>2422</v>
      </c>
      <c r="EY150" s="15" t="s">
        <v>1806</v>
      </c>
      <c r="EZ150" s="15" t="s">
        <v>1593</v>
      </c>
      <c r="FC150" s="15" t="s">
        <v>1016</v>
      </c>
      <c r="FF150" s="15" t="s">
        <v>860</v>
      </c>
      <c r="FO150" s="15" t="s">
        <v>525</v>
      </c>
      <c r="FP150" s="15" t="s">
        <v>1806</v>
      </c>
      <c r="FQ150" s="15">
        <v>0.0</v>
      </c>
      <c r="FR150" s="15">
        <v>0.0</v>
      </c>
      <c r="FT150" s="15">
        <v>0.0</v>
      </c>
    </row>
    <row r="151" ht="15.75" customHeight="1">
      <c r="A151" s="14" t="s">
        <v>391</v>
      </c>
      <c r="B151" s="15" t="s">
        <v>2423</v>
      </c>
      <c r="C151" s="16"/>
      <c r="D151" s="15" t="s">
        <v>432</v>
      </c>
      <c r="G151" s="14" t="s">
        <v>393</v>
      </c>
      <c r="H151" s="14" t="s">
        <v>394</v>
      </c>
      <c r="I151" s="14" t="b">
        <v>1</v>
      </c>
      <c r="J151" s="14" t="s">
        <v>395</v>
      </c>
      <c r="L151" s="14" t="b">
        <v>0</v>
      </c>
      <c r="M151" s="15" t="s">
        <v>2424</v>
      </c>
      <c r="N151" s="14" t="s">
        <v>393</v>
      </c>
      <c r="O151" s="14" t="s">
        <v>393</v>
      </c>
      <c r="P151" s="15" t="s">
        <v>397</v>
      </c>
      <c r="Q151" s="15" t="s">
        <v>1269</v>
      </c>
      <c r="T151" s="14" t="b">
        <v>0</v>
      </c>
      <c r="U151" s="15" t="s">
        <v>2425</v>
      </c>
      <c r="V151" s="15" t="s">
        <v>2426</v>
      </c>
      <c r="W151" s="15" t="s">
        <v>401</v>
      </c>
      <c r="X151" s="15" t="s">
        <v>695</v>
      </c>
      <c r="Y151" s="15">
        <v>2405.0</v>
      </c>
      <c r="AA151" s="15" t="str">
        <f t="shared" si="272"/>
        <v>925</v>
      </c>
      <c r="AB151" s="14" t="b">
        <v>1</v>
      </c>
      <c r="AC151" s="14" t="b">
        <v>1</v>
      </c>
      <c r="AD151" s="15" t="str">
        <f>"801542460433"</f>
        <v>801542460433</v>
      </c>
      <c r="AE151" s="15" t="s">
        <v>2427</v>
      </c>
      <c r="AF151" s="14" t="s">
        <v>404</v>
      </c>
      <c r="AG151" s="14" t="s">
        <v>405</v>
      </c>
      <c r="AH151" s="14" t="s">
        <v>406</v>
      </c>
      <c r="AI151" s="15">
        <v>0.0</v>
      </c>
      <c r="AL151" s="15" t="s">
        <v>1273</v>
      </c>
      <c r="AM151" s="15" t="s">
        <v>513</v>
      </c>
      <c r="AN151" s="15" t="s">
        <v>514</v>
      </c>
      <c r="AO151" s="15" t="s">
        <v>679</v>
      </c>
      <c r="AP151" s="15" t="s">
        <v>680</v>
      </c>
      <c r="AQ151" s="15" t="s">
        <v>410</v>
      </c>
      <c r="AR151" s="15" t="s">
        <v>439</v>
      </c>
      <c r="AS151" s="15" t="s">
        <v>915</v>
      </c>
      <c r="AT151" s="15" t="s">
        <v>1269</v>
      </c>
      <c r="AU151" s="15" t="s">
        <v>2428</v>
      </c>
      <c r="AW151" s="15" t="s">
        <v>1732</v>
      </c>
      <c r="AY151" s="15" t="s">
        <v>413</v>
      </c>
      <c r="AZ151" s="15" t="b">
        <v>0</v>
      </c>
      <c r="BA151" s="15" t="s">
        <v>426</v>
      </c>
      <c r="BB151" s="15" t="b">
        <v>1</v>
      </c>
      <c r="BC151" s="15" t="s">
        <v>2429</v>
      </c>
      <c r="BD151" s="15" t="s">
        <v>709</v>
      </c>
      <c r="BE151" s="15" t="str">
        <f t="shared" si="251"/>
        <v>1</v>
      </c>
      <c r="BF151" s="15" t="s">
        <v>416</v>
      </c>
      <c r="BG151" s="15" t="str">
        <f t="shared" ref="BG151:BG152" si="273">"86.61"</f>
        <v>86.61</v>
      </c>
      <c r="BH151" s="15" t="s">
        <v>2309</v>
      </c>
      <c r="BI151" s="15" t="str">
        <f t="shared" ref="BI151:BI152" si="274">"41.34"</f>
        <v>41.34</v>
      </c>
      <c r="BJ151" s="15" t="s">
        <v>630</v>
      </c>
      <c r="BK151" s="15" t="str">
        <f t="shared" ref="BK151:BK152" si="275">"29.92"</f>
        <v>29.92</v>
      </c>
      <c r="BL151" s="15" t="s">
        <v>1321</v>
      </c>
      <c r="BM151" s="15" t="str">
        <f t="shared" ref="BM151:BM152" si="276">"158.95"</f>
        <v>158.95</v>
      </c>
      <c r="BN151" s="15" t="s">
        <v>2430</v>
      </c>
      <c r="BQ151" s="15" t="s">
        <v>444</v>
      </c>
      <c r="BS151" s="15" t="s">
        <v>444</v>
      </c>
      <c r="BU151" s="15" t="s">
        <v>444</v>
      </c>
      <c r="BW151" s="15" t="s">
        <v>444</v>
      </c>
      <c r="BZ151" s="15" t="s">
        <v>444</v>
      </c>
      <c r="CB151" s="15" t="s">
        <v>444</v>
      </c>
      <c r="CD151" s="15" t="s">
        <v>444</v>
      </c>
      <c r="CF151" s="15" t="s">
        <v>444</v>
      </c>
      <c r="CI151" s="15" t="s">
        <v>444</v>
      </c>
      <c r="CK151" s="15" t="s">
        <v>444</v>
      </c>
      <c r="CM151" s="15" t="s">
        <v>444</v>
      </c>
      <c r="CO151" s="15" t="s">
        <v>444</v>
      </c>
      <c r="CP151" s="15" t="str">
        <f t="shared" ref="CP151:CP152" si="277">"62.01"</f>
        <v>62.01</v>
      </c>
      <c r="CQ151" s="15" t="str">
        <f t="shared" ref="CQ151:CQ152" si="278">"1.756"</f>
        <v>1.756</v>
      </c>
      <c r="CR151" s="15" t="s">
        <v>497</v>
      </c>
      <c r="CY151" s="15" t="s">
        <v>1994</v>
      </c>
      <c r="CZ151" s="15" t="s">
        <v>2116</v>
      </c>
      <c r="DA151" s="15" t="s">
        <v>468</v>
      </c>
      <c r="DB151" s="15" t="s">
        <v>1211</v>
      </c>
      <c r="DC151" s="15" t="str">
        <f>IFERROR(__xludf.DUMMYFUNCTION("""COMPUTED_VALUE"""),"{""value"":24.00,""unit"":""in""}")</f>
        <v>{"value":24.00,"unit":"in"}</v>
      </c>
      <c r="DD151" s="15" t="s">
        <v>467</v>
      </c>
      <c r="DE151" s="15" t="str">
        <f>IFERROR(__xludf.DUMMYFUNCTION("""COMPUTED_VALUE"""),"{""value"":19.00,""unit"":""in""}")</f>
        <v>{"value":19.00,"unit":"in"}</v>
      </c>
      <c r="DF151" s="15" t="s">
        <v>468</v>
      </c>
      <c r="DG151" s="15" t="str">
        <f>IFERROR(__xludf.DUMMYFUNCTION("""COMPUTED_VALUE"""),"{""value"":70.00,""unit"":""in""}")</f>
        <v>{"value":70.00,"unit":"in"}</v>
      </c>
      <c r="DH151" s="15">
        <v>0.0</v>
      </c>
      <c r="DI151" s="15">
        <v>2.0</v>
      </c>
      <c r="DJ151" s="15" t="s">
        <v>717</v>
      </c>
      <c r="DK151" s="15" t="s">
        <v>855</v>
      </c>
      <c r="DL151" s="15" t="str">
        <f>IFERROR(__xludf.DUMMYFUNCTION("""COMPUTED_VALUE"""),"Clean with solvent-based (dry clean only) products. Do not use water.")</f>
        <v>Clean with solvent-based (dry clean only) products. Do not use water.</v>
      </c>
      <c r="DM151" s="15" t="s">
        <v>856</v>
      </c>
      <c r="DQ151" s="15" t="s">
        <v>2431</v>
      </c>
      <c r="DT151" s="15" t="s">
        <v>721</v>
      </c>
      <c r="DU151" s="15" t="s">
        <v>419</v>
      </c>
      <c r="DV151" s="15">
        <v>0.0</v>
      </c>
      <c r="DZ151" s="15">
        <v>25000.0</v>
      </c>
      <c r="EA151" s="15" t="s">
        <v>722</v>
      </c>
      <c r="EB151" s="15" t="s">
        <v>723</v>
      </c>
      <c r="EC151" s="15" t="s">
        <v>724</v>
      </c>
      <c r="ED151" s="15">
        <v>1.0</v>
      </c>
      <c r="EE151" s="15">
        <v>4.0</v>
      </c>
      <c r="EG151" s="15" t="s">
        <v>444</v>
      </c>
      <c r="EH151" s="15" t="s">
        <v>2432</v>
      </c>
      <c r="EI151" s="15">
        <v>0.0</v>
      </c>
      <c r="EJ151" s="15" t="s">
        <v>588</v>
      </c>
      <c r="EK151" s="15" t="s">
        <v>589</v>
      </c>
      <c r="EL151" s="15" t="s">
        <v>1211</v>
      </c>
      <c r="EM151" s="15" t="str">
        <f>IFERROR(__xludf.DUMMYFUNCTION("""COMPUTED_VALUE"""),"{""value"":24.00,""unit"":""in""}")</f>
        <v>{"value":24.00,"unit":"in"}</v>
      </c>
      <c r="EN151" s="15" t="s">
        <v>429</v>
      </c>
      <c r="EO151" s="15" t="s">
        <v>2433</v>
      </c>
      <c r="ES151" s="15" t="s">
        <v>2402</v>
      </c>
      <c r="ET151" s="15" t="s">
        <v>2402</v>
      </c>
      <c r="EU151" s="15" t="s">
        <v>1213</v>
      </c>
      <c r="EV151" s="15" t="s">
        <v>2434</v>
      </c>
      <c r="EW151" s="15" t="s">
        <v>672</v>
      </c>
      <c r="EX151" s="15" t="s">
        <v>1995</v>
      </c>
      <c r="EY151" s="15" t="s">
        <v>2435</v>
      </c>
      <c r="EZ151" s="15" t="s">
        <v>475</v>
      </c>
      <c r="FC151" s="15" t="s">
        <v>723</v>
      </c>
      <c r="FD151" s="15" t="s">
        <v>724</v>
      </c>
      <c r="FE151" s="15" t="s">
        <v>1289</v>
      </c>
      <c r="FF151" s="15" t="s">
        <v>997</v>
      </c>
      <c r="FS151" s="15" t="s">
        <v>2436</v>
      </c>
    </row>
    <row r="152" ht="15.75" customHeight="1">
      <c r="A152" s="14" t="s">
        <v>391</v>
      </c>
      <c r="B152" s="15" t="s">
        <v>2423</v>
      </c>
      <c r="C152" s="16"/>
      <c r="D152" s="15" t="s">
        <v>432</v>
      </c>
      <c r="G152" s="14" t="s">
        <v>393</v>
      </c>
      <c r="H152" s="14" t="s">
        <v>394</v>
      </c>
      <c r="I152" s="14" t="b">
        <v>1</v>
      </c>
      <c r="J152" s="14" t="s">
        <v>395</v>
      </c>
      <c r="L152" s="14" t="b">
        <v>0</v>
      </c>
      <c r="M152" s="15" t="s">
        <v>2437</v>
      </c>
      <c r="N152" s="14" t="s">
        <v>393</v>
      </c>
      <c r="O152" s="14" t="s">
        <v>393</v>
      </c>
      <c r="P152" s="15" t="s">
        <v>397</v>
      </c>
      <c r="Q152" s="15" t="s">
        <v>2000</v>
      </c>
      <c r="T152" s="14" t="b">
        <v>0</v>
      </c>
      <c r="U152" s="15" t="s">
        <v>2438</v>
      </c>
      <c r="V152" s="15" t="s">
        <v>2426</v>
      </c>
      <c r="W152" s="15" t="s">
        <v>401</v>
      </c>
      <c r="X152" s="15" t="s">
        <v>695</v>
      </c>
      <c r="Y152" s="15">
        <v>2405.0</v>
      </c>
      <c r="AA152" s="15" t="str">
        <f t="shared" si="272"/>
        <v>925</v>
      </c>
      <c r="AB152" s="14" t="b">
        <v>1</v>
      </c>
      <c r="AC152" s="14" t="b">
        <v>1</v>
      </c>
      <c r="AD152" s="15" t="str">
        <f>"801542759636"</f>
        <v>801542759636</v>
      </c>
      <c r="AE152" s="15" t="s">
        <v>2439</v>
      </c>
      <c r="AF152" s="14" t="s">
        <v>404</v>
      </c>
      <c r="AG152" s="14" t="s">
        <v>405</v>
      </c>
      <c r="AH152" s="14" t="s">
        <v>406</v>
      </c>
      <c r="AI152" s="15">
        <v>0.0</v>
      </c>
      <c r="AL152" s="15" t="s">
        <v>1273</v>
      </c>
      <c r="AM152" s="15" t="s">
        <v>513</v>
      </c>
      <c r="AN152" s="15" t="s">
        <v>514</v>
      </c>
      <c r="AO152" s="15" t="s">
        <v>679</v>
      </c>
      <c r="AP152" s="15" t="s">
        <v>680</v>
      </c>
      <c r="AQ152" s="15" t="s">
        <v>410</v>
      </c>
      <c r="AR152" s="15" t="s">
        <v>439</v>
      </c>
      <c r="AS152" s="15" t="s">
        <v>915</v>
      </c>
      <c r="AT152" s="15" t="s">
        <v>2000</v>
      </c>
      <c r="AU152" s="15" t="s">
        <v>2428</v>
      </c>
      <c r="AW152" s="15" t="s">
        <v>1732</v>
      </c>
      <c r="AY152" s="15" t="s">
        <v>413</v>
      </c>
      <c r="AZ152" s="15" t="b">
        <v>0</v>
      </c>
      <c r="BA152" s="15" t="s">
        <v>426</v>
      </c>
      <c r="BB152" s="15" t="b">
        <v>1</v>
      </c>
      <c r="BC152" s="15" t="s">
        <v>2440</v>
      </c>
      <c r="BD152" s="15" t="s">
        <v>709</v>
      </c>
      <c r="BE152" s="15" t="str">
        <f t="shared" si="251"/>
        <v>1</v>
      </c>
      <c r="BF152" s="15" t="s">
        <v>416</v>
      </c>
      <c r="BG152" s="15" t="str">
        <f t="shared" si="273"/>
        <v>86.61</v>
      </c>
      <c r="BH152" s="15" t="s">
        <v>2309</v>
      </c>
      <c r="BI152" s="15" t="str">
        <f t="shared" si="274"/>
        <v>41.34</v>
      </c>
      <c r="BJ152" s="15" t="s">
        <v>630</v>
      </c>
      <c r="BK152" s="15" t="str">
        <f t="shared" si="275"/>
        <v>29.92</v>
      </c>
      <c r="BL152" s="15" t="s">
        <v>1321</v>
      </c>
      <c r="BM152" s="15" t="str">
        <f t="shared" si="276"/>
        <v>158.95</v>
      </c>
      <c r="BN152" s="15" t="s">
        <v>2430</v>
      </c>
      <c r="BQ152" s="15" t="s">
        <v>444</v>
      </c>
      <c r="BS152" s="15" t="s">
        <v>444</v>
      </c>
      <c r="BU152" s="15" t="s">
        <v>444</v>
      </c>
      <c r="BW152" s="15" t="s">
        <v>444</v>
      </c>
      <c r="BZ152" s="15" t="s">
        <v>444</v>
      </c>
      <c r="CB152" s="15" t="s">
        <v>444</v>
      </c>
      <c r="CD152" s="15" t="s">
        <v>444</v>
      </c>
      <c r="CF152" s="15" t="s">
        <v>444</v>
      </c>
      <c r="CI152" s="15" t="s">
        <v>444</v>
      </c>
      <c r="CK152" s="15" t="s">
        <v>444</v>
      </c>
      <c r="CM152" s="15" t="s">
        <v>444</v>
      </c>
      <c r="CO152" s="15" t="s">
        <v>444</v>
      </c>
      <c r="CP152" s="15" t="str">
        <f t="shared" si="277"/>
        <v>62.01</v>
      </c>
      <c r="CQ152" s="15" t="str">
        <f t="shared" si="278"/>
        <v>1.756</v>
      </c>
      <c r="CR152" s="15" t="s">
        <v>497</v>
      </c>
      <c r="CY152" s="15" t="s">
        <v>1994</v>
      </c>
      <c r="CZ152" s="15" t="s">
        <v>2116</v>
      </c>
      <c r="DA152" s="15" t="s">
        <v>468</v>
      </c>
      <c r="DB152" s="15" t="s">
        <v>1211</v>
      </c>
      <c r="DC152" s="15" t="str">
        <f>IFERROR(__xludf.DUMMYFUNCTION("""COMPUTED_VALUE"""),"{""value"":24.00,""unit"":""in""}")</f>
        <v>{"value":24.00,"unit":"in"}</v>
      </c>
      <c r="DD152" s="15" t="s">
        <v>467</v>
      </c>
      <c r="DE152" s="15" t="str">
        <f>IFERROR(__xludf.DUMMYFUNCTION("""COMPUTED_VALUE"""),"{""value"":19.00,""unit"":""in""}")</f>
        <v>{"value":19.00,"unit":"in"}</v>
      </c>
      <c r="DF152" s="15" t="s">
        <v>468</v>
      </c>
      <c r="DG152" s="15" t="str">
        <f>IFERROR(__xludf.DUMMYFUNCTION("""COMPUTED_VALUE"""),"{""value"":70.00,""unit"":""in""}")</f>
        <v>{"value":70.00,"unit":"in"}</v>
      </c>
      <c r="DH152" s="15">
        <v>0.0</v>
      </c>
      <c r="DI152" s="15">
        <v>2.0</v>
      </c>
      <c r="DJ152" s="15" t="s">
        <v>717</v>
      </c>
      <c r="DK152" s="15" t="s">
        <v>855</v>
      </c>
      <c r="DL152" s="15" t="str">
        <f>IFERROR(__xludf.DUMMYFUNCTION("""COMPUTED_VALUE"""),"Clean with solvent-based (dry clean only) products. Do not use water.")</f>
        <v>Clean with solvent-based (dry clean only) products. Do not use water.</v>
      </c>
      <c r="DM152" s="15" t="s">
        <v>856</v>
      </c>
      <c r="DQ152" s="15" t="s">
        <v>2431</v>
      </c>
      <c r="DT152" s="15" t="s">
        <v>721</v>
      </c>
      <c r="DU152" s="15" t="s">
        <v>419</v>
      </c>
      <c r="DV152" s="15">
        <v>0.0</v>
      </c>
      <c r="DZ152" s="15">
        <v>25000.0</v>
      </c>
      <c r="EA152" s="15" t="s">
        <v>722</v>
      </c>
      <c r="EB152" s="15" t="s">
        <v>723</v>
      </c>
      <c r="EC152" s="15" t="s">
        <v>724</v>
      </c>
      <c r="ED152" s="15">
        <v>1.0</v>
      </c>
      <c r="EE152" s="15">
        <v>4.0</v>
      </c>
      <c r="EG152" s="15" t="s">
        <v>444</v>
      </c>
      <c r="EH152" s="15" t="s">
        <v>2432</v>
      </c>
      <c r="EI152" s="15">
        <v>0.0</v>
      </c>
      <c r="EJ152" s="15" t="s">
        <v>588</v>
      </c>
      <c r="EK152" s="15" t="s">
        <v>589</v>
      </c>
      <c r="EL152" s="15" t="s">
        <v>1211</v>
      </c>
      <c r="EM152" s="15" t="str">
        <f>IFERROR(__xludf.DUMMYFUNCTION("""COMPUTED_VALUE"""),"{""value"":24.00,""unit"":""in""}")</f>
        <v>{"value":24.00,"unit":"in"}</v>
      </c>
      <c r="EN152" s="15" t="s">
        <v>429</v>
      </c>
      <c r="EO152" s="15" t="s">
        <v>2433</v>
      </c>
      <c r="ES152" s="15" t="s">
        <v>2402</v>
      </c>
      <c r="ET152" s="15" t="s">
        <v>2402</v>
      </c>
      <c r="EU152" s="15" t="s">
        <v>1213</v>
      </c>
      <c r="EV152" s="15" t="s">
        <v>2434</v>
      </c>
      <c r="EW152" s="15" t="s">
        <v>672</v>
      </c>
      <c r="EX152" s="15" t="s">
        <v>1995</v>
      </c>
      <c r="EY152" s="15" t="s">
        <v>2435</v>
      </c>
      <c r="EZ152" s="15" t="s">
        <v>475</v>
      </c>
      <c r="FC152" s="15" t="s">
        <v>723</v>
      </c>
      <c r="FD152" s="15" t="s">
        <v>724</v>
      </c>
      <c r="FE152" s="15" t="s">
        <v>1289</v>
      </c>
      <c r="FF152" s="15" t="s">
        <v>997</v>
      </c>
      <c r="FS152" s="15" t="s">
        <v>2436</v>
      </c>
    </row>
    <row r="153" ht="15.75" customHeight="1">
      <c r="A153" s="14" t="s">
        <v>391</v>
      </c>
      <c r="B153" s="15" t="s">
        <v>2441</v>
      </c>
      <c r="C153" s="16"/>
      <c r="D153" s="15" t="s">
        <v>432</v>
      </c>
      <c r="G153" s="14" t="s">
        <v>393</v>
      </c>
      <c r="H153" s="14" t="s">
        <v>394</v>
      </c>
      <c r="I153" s="14" t="b">
        <v>1</v>
      </c>
      <c r="J153" s="14" t="s">
        <v>395</v>
      </c>
      <c r="L153" s="14" t="b">
        <v>0</v>
      </c>
      <c r="M153" s="15" t="s">
        <v>2442</v>
      </c>
      <c r="N153" s="14" t="s">
        <v>393</v>
      </c>
      <c r="O153" s="14" t="s">
        <v>393</v>
      </c>
      <c r="P153" s="15" t="s">
        <v>397</v>
      </c>
      <c r="Q153" s="15" t="s">
        <v>2443</v>
      </c>
      <c r="R153" s="15" t="s">
        <v>265</v>
      </c>
      <c r="S153" s="15" t="s">
        <v>828</v>
      </c>
      <c r="T153" s="14" t="b">
        <v>0</v>
      </c>
      <c r="U153" s="15" t="s">
        <v>2444</v>
      </c>
      <c r="V153" s="15" t="s">
        <v>2445</v>
      </c>
      <c r="W153" s="15" t="s">
        <v>401</v>
      </c>
      <c r="X153" s="15" t="s">
        <v>742</v>
      </c>
      <c r="Y153" s="15">
        <v>2522.0</v>
      </c>
      <c r="AA153" s="15" t="str">
        <f>"970"</f>
        <v>970</v>
      </c>
      <c r="AB153" s="14" t="b">
        <v>1</v>
      </c>
      <c r="AC153" s="14" t="b">
        <v>1</v>
      </c>
      <c r="AD153" s="15" t="str">
        <f>"801542126711"</f>
        <v>801542126711</v>
      </c>
      <c r="AE153" s="15" t="s">
        <v>2446</v>
      </c>
      <c r="AF153" s="14" t="s">
        <v>404</v>
      </c>
      <c r="AG153" s="14" t="s">
        <v>405</v>
      </c>
      <c r="AH153" s="14" t="s">
        <v>406</v>
      </c>
      <c r="AI153" s="15">
        <v>0.0</v>
      </c>
      <c r="AL153" s="15" t="s">
        <v>2447</v>
      </c>
      <c r="AM153" s="15" t="s">
        <v>2448</v>
      </c>
      <c r="AN153" s="15" t="s">
        <v>2449</v>
      </c>
      <c r="AO153" s="15" t="s">
        <v>2450</v>
      </c>
      <c r="AP153" s="15" t="s">
        <v>2451</v>
      </c>
      <c r="AQ153" s="15" t="s">
        <v>2088</v>
      </c>
      <c r="AR153" s="15" t="s">
        <v>2089</v>
      </c>
      <c r="AS153" s="15" t="s">
        <v>1030</v>
      </c>
      <c r="AT153" s="15" t="s">
        <v>2443</v>
      </c>
      <c r="AU153" s="15" t="s">
        <v>2452</v>
      </c>
      <c r="AV153" s="15" t="s">
        <v>2453</v>
      </c>
      <c r="AW153" s="15" t="s">
        <v>839</v>
      </c>
      <c r="AX153" s="15" t="s">
        <v>828</v>
      </c>
      <c r="AY153" s="15" t="s">
        <v>413</v>
      </c>
      <c r="AZ153" s="15" t="b">
        <v>0</v>
      </c>
      <c r="BA153" s="15" t="s">
        <v>413</v>
      </c>
      <c r="BB153" s="15" t="b">
        <v>0</v>
      </c>
      <c r="BC153" s="15" t="s">
        <v>2454</v>
      </c>
      <c r="BD153" s="15" t="s">
        <v>742</v>
      </c>
      <c r="BE153" s="15" t="str">
        <f t="shared" ref="BE153:BE154" si="279">"2"</f>
        <v>2</v>
      </c>
      <c r="BF153" s="15" t="s">
        <v>2455</v>
      </c>
      <c r="BG153" s="15" t="str">
        <f>"83.46"</f>
        <v>83.46</v>
      </c>
      <c r="BH153" s="15" t="s">
        <v>2456</v>
      </c>
      <c r="BI153" s="15" t="str">
        <f>"9.25"</f>
        <v>9.25</v>
      </c>
      <c r="BJ153" s="15" t="s">
        <v>2457</v>
      </c>
      <c r="BK153" s="15" t="str">
        <f>"51.38"</f>
        <v>51.38</v>
      </c>
      <c r="BL153" s="15" t="s">
        <v>2458</v>
      </c>
      <c r="BM153" s="15" t="str">
        <f>"154.32"</f>
        <v>154.32</v>
      </c>
      <c r="BN153" s="15" t="s">
        <v>2459</v>
      </c>
      <c r="BO153" s="15" t="s">
        <v>2460</v>
      </c>
      <c r="BP153" s="15" t="str">
        <f t="shared" ref="BP153:BP154" si="280">"86.61"</f>
        <v>86.61</v>
      </c>
      <c r="BQ153" s="15" t="s">
        <v>2309</v>
      </c>
      <c r="BR153" s="15" t="str">
        <f t="shared" ref="BR153:BR154" si="281">"6.69"</f>
        <v>6.69</v>
      </c>
      <c r="BS153" s="15" t="s">
        <v>2461</v>
      </c>
      <c r="BT153" s="15" t="str">
        <f t="shared" ref="BT153:BT154" si="282">"18.5"</f>
        <v>18.5</v>
      </c>
      <c r="BU153" s="15" t="s">
        <v>810</v>
      </c>
      <c r="BV153" s="15" t="str">
        <f>"112.44"</f>
        <v>112.44</v>
      </c>
      <c r="BW153" s="15" t="s">
        <v>2462</v>
      </c>
      <c r="BZ153" s="15" t="s">
        <v>444</v>
      </c>
      <c r="CB153" s="15" t="s">
        <v>444</v>
      </c>
      <c r="CD153" s="15" t="s">
        <v>444</v>
      </c>
      <c r="CF153" s="15" t="s">
        <v>444</v>
      </c>
      <c r="CI153" s="15" t="s">
        <v>444</v>
      </c>
      <c r="CK153" s="15" t="s">
        <v>444</v>
      </c>
      <c r="CM153" s="15" t="s">
        <v>444</v>
      </c>
      <c r="CO153" s="15" t="s">
        <v>444</v>
      </c>
      <c r="CP153" s="15" t="str">
        <f>"29.17"</f>
        <v>29.17</v>
      </c>
      <c r="CQ153" s="15" t="str">
        <f>"0.826"</f>
        <v>0.826</v>
      </c>
      <c r="CR153" s="15" t="s">
        <v>465</v>
      </c>
      <c r="DC153" s="15" t="str">
        <f>IFERROR(__xludf.DUMMYFUNCTION("""COMPUTED_VALUE"""),"")</f>
        <v/>
      </c>
      <c r="DE153" s="15" t="str">
        <f>IFERROR(__xludf.DUMMYFUNCTION("""COMPUTED_VALUE"""),"")</f>
        <v/>
      </c>
      <c r="DG153" s="15" t="str">
        <f>IFERROR(__xludf.DUMMYFUNCTION("""COMPUTED_VALUE"""),"")</f>
        <v/>
      </c>
      <c r="DK153" s="15" t="s">
        <v>897</v>
      </c>
      <c r="DL153" s="15" t="str">
        <f>IFERROR(__xludf.DUMMYFUNCTION("""COMPUTED_VALUE"""),"Clean with water-based products only. Use mild detergent or upholstery shampoo.")</f>
        <v>Clean with water-based products only. Use mild detergent or upholstery shampoo.</v>
      </c>
      <c r="DM153" s="15" t="s">
        <v>898</v>
      </c>
      <c r="DN153" s="15" t="s">
        <v>419</v>
      </c>
      <c r="DO153" s="15">
        <v>0.0</v>
      </c>
      <c r="DP153" s="15" t="s">
        <v>419</v>
      </c>
      <c r="DR153" s="15">
        <v>0.0</v>
      </c>
      <c r="DT153" s="15" t="s">
        <v>721</v>
      </c>
      <c r="DU153" s="15" t="s">
        <v>419</v>
      </c>
      <c r="DW153" s="15">
        <v>0.0</v>
      </c>
      <c r="DX153" s="15">
        <v>0.0</v>
      </c>
      <c r="DY153" s="15">
        <v>0.0</v>
      </c>
      <c r="DZ153" s="15">
        <v>100000.0</v>
      </c>
      <c r="EG153" s="15" t="s">
        <v>444</v>
      </c>
      <c r="EH153" s="15" t="s">
        <v>2463</v>
      </c>
      <c r="EJ153" s="15" t="s">
        <v>858</v>
      </c>
      <c r="EK153" s="15" t="s">
        <v>859</v>
      </c>
      <c r="EM153" s="15" t="str">
        <f>IFERROR(__xludf.DUMMYFUNCTION("""COMPUTED_VALUE"""),"")</f>
        <v/>
      </c>
      <c r="FF153" s="15" t="s">
        <v>1255</v>
      </c>
      <c r="FM153" s="15">
        <v>0.0</v>
      </c>
      <c r="IM153" s="15" t="s">
        <v>2464</v>
      </c>
      <c r="IN153" s="15" t="s">
        <v>2464</v>
      </c>
      <c r="IO153" s="15" t="s">
        <v>2464</v>
      </c>
      <c r="IP153" s="15" t="s">
        <v>2017</v>
      </c>
      <c r="IQ153" s="15" t="s">
        <v>2465</v>
      </c>
      <c r="IR153" s="15" t="s">
        <v>2466</v>
      </c>
      <c r="IS153" s="15" t="s">
        <v>2467</v>
      </c>
      <c r="IT153" s="15" t="s">
        <v>2468</v>
      </c>
      <c r="IU153" s="15" t="s">
        <v>2466</v>
      </c>
      <c r="IV153" s="15" t="s">
        <v>2469</v>
      </c>
      <c r="IW153" s="15" t="s">
        <v>1957</v>
      </c>
      <c r="IX153" s="15" t="s">
        <v>869</v>
      </c>
      <c r="IY153" s="15" t="s">
        <v>762</v>
      </c>
      <c r="IZ153" s="15" t="s">
        <v>2470</v>
      </c>
      <c r="JA153" s="15" t="s">
        <v>1121</v>
      </c>
      <c r="JB153" s="15" t="s">
        <v>426</v>
      </c>
      <c r="JC153" s="15" t="s">
        <v>2471</v>
      </c>
      <c r="JD153" s="15" t="s">
        <v>872</v>
      </c>
      <c r="JE153" s="15" t="s">
        <v>873</v>
      </c>
      <c r="JF153" s="15" t="s">
        <v>828</v>
      </c>
      <c r="JL153" s="15" t="s">
        <v>2472</v>
      </c>
      <c r="JM153" s="15" t="s">
        <v>2473</v>
      </c>
      <c r="JN153" s="15" t="s">
        <v>759</v>
      </c>
      <c r="JO153" s="15" t="s">
        <v>426</v>
      </c>
      <c r="JP153" s="15" t="s">
        <v>2474</v>
      </c>
    </row>
    <row r="154" ht="15.75" customHeight="1">
      <c r="A154" s="14" t="s">
        <v>391</v>
      </c>
      <c r="B154" s="15" t="s">
        <v>2441</v>
      </c>
      <c r="C154" s="16"/>
      <c r="D154" s="15" t="s">
        <v>432</v>
      </c>
      <c r="G154" s="14" t="s">
        <v>393</v>
      </c>
      <c r="H154" s="14" t="s">
        <v>394</v>
      </c>
      <c r="I154" s="14" t="b">
        <v>1</v>
      </c>
      <c r="J154" s="14" t="s">
        <v>395</v>
      </c>
      <c r="L154" s="14" t="b">
        <v>0</v>
      </c>
      <c r="M154" s="15" t="s">
        <v>2475</v>
      </c>
      <c r="N154" s="14" t="s">
        <v>393</v>
      </c>
      <c r="O154" s="14" t="s">
        <v>393</v>
      </c>
      <c r="P154" s="15" t="s">
        <v>397</v>
      </c>
      <c r="Q154" s="15" t="s">
        <v>2443</v>
      </c>
      <c r="R154" s="15" t="s">
        <v>265</v>
      </c>
      <c r="S154" s="15" t="s">
        <v>877</v>
      </c>
      <c r="T154" s="14" t="b">
        <v>0</v>
      </c>
      <c r="U154" s="15" t="s">
        <v>2476</v>
      </c>
      <c r="V154" s="15" t="s">
        <v>2477</v>
      </c>
      <c r="W154" s="15" t="s">
        <v>401</v>
      </c>
      <c r="X154" s="15" t="s">
        <v>742</v>
      </c>
      <c r="Y154" s="15">
        <v>2184.0</v>
      </c>
      <c r="AA154" s="15" t="str">
        <f>"840"</f>
        <v>840</v>
      </c>
      <c r="AB154" s="14" t="b">
        <v>1</v>
      </c>
      <c r="AC154" s="14" t="b">
        <v>1</v>
      </c>
      <c r="AD154" s="15" t="str">
        <f>"801542126728"</f>
        <v>801542126728</v>
      </c>
      <c r="AE154" s="15" t="s">
        <v>2478</v>
      </c>
      <c r="AF154" s="14" t="s">
        <v>404</v>
      </c>
      <c r="AG154" s="14" t="s">
        <v>405</v>
      </c>
      <c r="AH154" s="14" t="s">
        <v>406</v>
      </c>
      <c r="AI154" s="15">
        <v>0.0</v>
      </c>
      <c r="AL154" s="15" t="s">
        <v>2447</v>
      </c>
      <c r="AM154" s="15" t="s">
        <v>2479</v>
      </c>
      <c r="AN154" s="15" t="s">
        <v>2480</v>
      </c>
      <c r="AO154" s="15" t="s">
        <v>2450</v>
      </c>
      <c r="AP154" s="15" t="s">
        <v>2451</v>
      </c>
      <c r="AQ154" s="15" t="s">
        <v>2088</v>
      </c>
      <c r="AR154" s="15" t="s">
        <v>2089</v>
      </c>
      <c r="AS154" s="15" t="s">
        <v>1030</v>
      </c>
      <c r="AT154" s="15" t="s">
        <v>2443</v>
      </c>
      <c r="AU154" s="15" t="s">
        <v>2452</v>
      </c>
      <c r="AV154" s="15" t="s">
        <v>2453</v>
      </c>
      <c r="AW154" s="15" t="s">
        <v>839</v>
      </c>
      <c r="AX154" s="15" t="s">
        <v>877</v>
      </c>
      <c r="AY154" s="15" t="s">
        <v>413</v>
      </c>
      <c r="AZ154" s="15" t="b">
        <v>0</v>
      </c>
      <c r="BA154" s="15" t="s">
        <v>413</v>
      </c>
      <c r="BB154" s="15" t="b">
        <v>0</v>
      </c>
      <c r="BC154" s="15" t="s">
        <v>2454</v>
      </c>
      <c r="BD154" s="15" t="s">
        <v>742</v>
      </c>
      <c r="BE154" s="15" t="str">
        <f t="shared" si="279"/>
        <v>2</v>
      </c>
      <c r="BF154" s="15" t="s">
        <v>2455</v>
      </c>
      <c r="BG154" s="15" t="str">
        <f>"66.93"</f>
        <v>66.93</v>
      </c>
      <c r="BH154" s="15" t="s">
        <v>1230</v>
      </c>
      <c r="BI154" s="15" t="str">
        <f>"9.06"</f>
        <v>9.06</v>
      </c>
      <c r="BJ154" s="15" t="s">
        <v>2481</v>
      </c>
      <c r="BK154" s="15" t="str">
        <f>"51.57"</f>
        <v>51.57</v>
      </c>
      <c r="BL154" s="15" t="s">
        <v>567</v>
      </c>
      <c r="BM154" s="15" t="str">
        <f>"124.34"</f>
        <v>124.34</v>
      </c>
      <c r="BN154" s="15" t="s">
        <v>2482</v>
      </c>
      <c r="BO154" s="15" t="s">
        <v>2460</v>
      </c>
      <c r="BP154" s="15" t="str">
        <f t="shared" si="280"/>
        <v>86.61</v>
      </c>
      <c r="BQ154" s="15" t="s">
        <v>2309</v>
      </c>
      <c r="BR154" s="15" t="str">
        <f t="shared" si="281"/>
        <v>6.69</v>
      </c>
      <c r="BS154" s="15" t="s">
        <v>2461</v>
      </c>
      <c r="BT154" s="15" t="str">
        <f t="shared" si="282"/>
        <v>18.5</v>
      </c>
      <c r="BU154" s="15" t="s">
        <v>810</v>
      </c>
      <c r="BV154" s="15" t="str">
        <f>"94.58"</f>
        <v>94.58</v>
      </c>
      <c r="BW154" s="15" t="s">
        <v>2483</v>
      </c>
      <c r="BZ154" s="15" t="s">
        <v>444</v>
      </c>
      <c r="CB154" s="15" t="s">
        <v>444</v>
      </c>
      <c r="CD154" s="15" t="s">
        <v>444</v>
      </c>
      <c r="CF154" s="15" t="s">
        <v>444</v>
      </c>
      <c r="CI154" s="15" t="s">
        <v>444</v>
      </c>
      <c r="CK154" s="15" t="s">
        <v>444</v>
      </c>
      <c r="CM154" s="15" t="s">
        <v>444</v>
      </c>
      <c r="CO154" s="15" t="s">
        <v>444</v>
      </c>
      <c r="CP154" s="15" t="str">
        <f>"24.3"</f>
        <v>24.3</v>
      </c>
      <c r="CQ154" s="15" t="str">
        <f>"0.688"</f>
        <v>0.688</v>
      </c>
      <c r="CR154" s="15" t="s">
        <v>465</v>
      </c>
      <c r="DC154" s="15" t="str">
        <f>IFERROR(__xludf.DUMMYFUNCTION("""COMPUTED_VALUE"""),"")</f>
        <v/>
      </c>
      <c r="DE154" s="15" t="str">
        <f>IFERROR(__xludf.DUMMYFUNCTION("""COMPUTED_VALUE"""),"")</f>
        <v/>
      </c>
      <c r="DG154" s="15" t="str">
        <f>IFERROR(__xludf.DUMMYFUNCTION("""COMPUTED_VALUE"""),"")</f>
        <v/>
      </c>
      <c r="DK154" s="15" t="s">
        <v>897</v>
      </c>
      <c r="DL154" s="15" t="str">
        <f>IFERROR(__xludf.DUMMYFUNCTION("""COMPUTED_VALUE"""),"Clean with water-based products only. Use mild detergent or upholstery shampoo.")</f>
        <v>Clean with water-based products only. Use mild detergent or upholstery shampoo.</v>
      </c>
      <c r="DM154" s="15" t="s">
        <v>898</v>
      </c>
      <c r="DN154" s="15" t="s">
        <v>419</v>
      </c>
      <c r="DO154" s="15">
        <v>0.0</v>
      </c>
      <c r="DP154" s="15" t="s">
        <v>419</v>
      </c>
      <c r="DR154" s="15">
        <v>0.0</v>
      </c>
      <c r="DT154" s="15" t="s">
        <v>721</v>
      </c>
      <c r="DU154" s="15" t="s">
        <v>419</v>
      </c>
      <c r="DW154" s="15">
        <v>0.0</v>
      </c>
      <c r="DX154" s="15">
        <v>0.0</v>
      </c>
      <c r="DY154" s="15">
        <v>0.0</v>
      </c>
      <c r="DZ154" s="15">
        <v>100000.0</v>
      </c>
      <c r="EG154" s="15" t="s">
        <v>444</v>
      </c>
      <c r="EH154" s="15" t="s">
        <v>2463</v>
      </c>
      <c r="EJ154" s="15" t="s">
        <v>858</v>
      </c>
      <c r="EK154" s="15" t="s">
        <v>859</v>
      </c>
      <c r="EM154" s="15" t="str">
        <f>IFERROR(__xludf.DUMMYFUNCTION("""COMPUTED_VALUE"""),"")</f>
        <v/>
      </c>
      <c r="FF154" s="15" t="s">
        <v>1255</v>
      </c>
      <c r="FM154" s="15">
        <v>0.0</v>
      </c>
      <c r="IM154" s="15" t="s">
        <v>2464</v>
      </c>
      <c r="IN154" s="15" t="s">
        <v>2464</v>
      </c>
      <c r="IO154" s="15" t="s">
        <v>2464</v>
      </c>
      <c r="IP154" s="15" t="s">
        <v>2017</v>
      </c>
      <c r="IQ154" s="15" t="s">
        <v>2465</v>
      </c>
      <c r="IR154" s="15" t="s">
        <v>2484</v>
      </c>
      <c r="IS154" s="15" t="s">
        <v>2467</v>
      </c>
      <c r="IT154" s="15" t="s">
        <v>2468</v>
      </c>
      <c r="IU154" s="15" t="s">
        <v>2484</v>
      </c>
      <c r="IV154" s="15" t="s">
        <v>2469</v>
      </c>
      <c r="IW154" s="15" t="s">
        <v>1957</v>
      </c>
      <c r="IX154" s="15" t="s">
        <v>890</v>
      </c>
      <c r="IY154" s="15" t="s">
        <v>762</v>
      </c>
      <c r="IZ154" s="15" t="s">
        <v>2470</v>
      </c>
      <c r="JA154" s="15" t="s">
        <v>1121</v>
      </c>
      <c r="JB154" s="15" t="s">
        <v>426</v>
      </c>
      <c r="JC154" s="15" t="s">
        <v>2471</v>
      </c>
      <c r="JD154" s="15" t="s">
        <v>872</v>
      </c>
      <c r="JE154" s="15" t="s">
        <v>873</v>
      </c>
      <c r="JF154" s="15" t="s">
        <v>877</v>
      </c>
      <c r="JL154" s="15" t="s">
        <v>2472</v>
      </c>
      <c r="JM154" s="15" t="s">
        <v>2473</v>
      </c>
      <c r="JN154" s="15" t="s">
        <v>759</v>
      </c>
      <c r="JO154" s="15" t="s">
        <v>426</v>
      </c>
      <c r="JP154" s="15" t="s">
        <v>2474</v>
      </c>
    </row>
    <row r="155" ht="15.75" customHeight="1">
      <c r="A155" s="14" t="s">
        <v>391</v>
      </c>
      <c r="B155" s="15" t="s">
        <v>2485</v>
      </c>
      <c r="C155" s="16"/>
      <c r="D155" s="15" t="s">
        <v>432</v>
      </c>
      <c r="G155" s="14" t="s">
        <v>393</v>
      </c>
      <c r="H155" s="14" t="s">
        <v>394</v>
      </c>
      <c r="I155" s="14" t="b">
        <v>1</v>
      </c>
      <c r="J155" s="14" t="s">
        <v>395</v>
      </c>
      <c r="L155" s="14" t="b">
        <v>0</v>
      </c>
      <c r="M155" s="15" t="s">
        <v>2486</v>
      </c>
      <c r="N155" s="14" t="s">
        <v>393</v>
      </c>
      <c r="O155" s="14" t="s">
        <v>393</v>
      </c>
      <c r="P155" s="15" t="s">
        <v>397</v>
      </c>
      <c r="Q155" s="15" t="s">
        <v>2487</v>
      </c>
      <c r="T155" s="14" t="b">
        <v>0</v>
      </c>
      <c r="U155" s="15" t="s">
        <v>2488</v>
      </c>
      <c r="V155" s="15" t="s">
        <v>2489</v>
      </c>
      <c r="W155" s="15" t="s">
        <v>401</v>
      </c>
      <c r="X155" s="15" t="s">
        <v>695</v>
      </c>
      <c r="Y155" s="15">
        <v>1482.0</v>
      </c>
      <c r="AA155" s="15" t="str">
        <f t="shared" ref="AA155:AA157" si="283">"570"</f>
        <v>570</v>
      </c>
      <c r="AB155" s="14" t="b">
        <v>1</v>
      </c>
      <c r="AC155" s="14" t="b">
        <v>1</v>
      </c>
      <c r="AD155" s="15" t="str">
        <f>"801542132187"</f>
        <v>801542132187</v>
      </c>
      <c r="AE155" s="15" t="s">
        <v>2490</v>
      </c>
      <c r="AF155" s="14" t="s">
        <v>404</v>
      </c>
      <c r="AG155" s="14" t="s">
        <v>405</v>
      </c>
      <c r="AH155" s="14" t="s">
        <v>406</v>
      </c>
      <c r="AI155" s="15">
        <v>0.0</v>
      </c>
      <c r="AL155" s="15" t="s">
        <v>2491</v>
      </c>
      <c r="AM155" s="15" t="s">
        <v>772</v>
      </c>
      <c r="AN155" s="15" t="s">
        <v>773</v>
      </c>
      <c r="AO155" s="15" t="s">
        <v>1057</v>
      </c>
      <c r="AP155" s="15" t="s">
        <v>1058</v>
      </c>
      <c r="AQ155" s="15" t="s">
        <v>749</v>
      </c>
      <c r="AR155" s="15" t="s">
        <v>750</v>
      </c>
      <c r="AS155" s="15" t="s">
        <v>2492</v>
      </c>
      <c r="AT155" s="15" t="s">
        <v>2487</v>
      </c>
      <c r="AU155" s="15" t="s">
        <v>2493</v>
      </c>
      <c r="AW155" s="15" t="s">
        <v>706</v>
      </c>
      <c r="AX155" s="15" t="s">
        <v>707</v>
      </c>
      <c r="AY155" s="15" t="s">
        <v>413</v>
      </c>
      <c r="AZ155" s="15" t="b">
        <v>0</v>
      </c>
      <c r="BA155" s="15" t="s">
        <v>413</v>
      </c>
      <c r="BB155" s="15" t="b">
        <v>0</v>
      </c>
      <c r="BC155" s="15" t="s">
        <v>2494</v>
      </c>
      <c r="BD155" s="15" t="s">
        <v>709</v>
      </c>
      <c r="BE155" s="15" t="str">
        <f t="shared" ref="BE155:BE160" si="284">"1"</f>
        <v>1</v>
      </c>
      <c r="BF155" s="15" t="s">
        <v>2495</v>
      </c>
      <c r="BG155" s="15" t="str">
        <f>"28.94"</f>
        <v>28.94</v>
      </c>
      <c r="BH155" s="15" t="s">
        <v>632</v>
      </c>
      <c r="BI155" s="15" t="str">
        <f>"31.5"</f>
        <v>31.5</v>
      </c>
      <c r="BJ155" s="15" t="s">
        <v>1322</v>
      </c>
      <c r="BK155" s="15" t="str">
        <f>"35.43"</f>
        <v>35.43</v>
      </c>
      <c r="BL155" s="15" t="s">
        <v>1034</v>
      </c>
      <c r="BM155" s="15" t="str">
        <f>"47.84"</f>
        <v>47.84</v>
      </c>
      <c r="BN155" s="15" t="s">
        <v>2496</v>
      </c>
      <c r="BQ155" s="15" t="s">
        <v>444</v>
      </c>
      <c r="BS155" s="15" t="s">
        <v>444</v>
      </c>
      <c r="BU155" s="15" t="s">
        <v>444</v>
      </c>
      <c r="BW155" s="15" t="s">
        <v>444</v>
      </c>
      <c r="BZ155" s="15" t="s">
        <v>444</v>
      </c>
      <c r="CB155" s="15" t="s">
        <v>444</v>
      </c>
      <c r="CD155" s="15" t="s">
        <v>444</v>
      </c>
      <c r="CF155" s="15" t="s">
        <v>444</v>
      </c>
      <c r="CI155" s="15" t="s">
        <v>444</v>
      </c>
      <c r="CK155" s="15" t="s">
        <v>444</v>
      </c>
      <c r="CM155" s="15" t="s">
        <v>444</v>
      </c>
      <c r="CO155" s="15" t="s">
        <v>444</v>
      </c>
      <c r="CP155" s="15" t="str">
        <f>"16.7"</f>
        <v>16.7</v>
      </c>
      <c r="CQ155" s="15" t="str">
        <f>"0.473"</f>
        <v>0.473</v>
      </c>
      <c r="CR155" s="15" t="s">
        <v>465</v>
      </c>
      <c r="CY155" s="15" t="s">
        <v>2497</v>
      </c>
      <c r="CZ155" s="15" t="s">
        <v>2498</v>
      </c>
      <c r="DA155" s="15" t="s">
        <v>2499</v>
      </c>
      <c r="DB155" s="15" t="s">
        <v>2500</v>
      </c>
      <c r="DC155" s="15" t="str">
        <f>IFERROR(__xludf.DUMMYFUNCTION("""COMPUTED_VALUE"""),"{""value"":22.52,""unit"":""in""}")</f>
        <v>{"value":22.52,"unit":"in"}</v>
      </c>
      <c r="DD155" s="15" t="s">
        <v>2501</v>
      </c>
      <c r="DE155" s="15" t="str">
        <f>IFERROR(__xludf.DUMMYFUNCTION("""COMPUTED_VALUE"""),"{""value"":18.15,""unit"":""in""}")</f>
        <v>{"value":18.15,"unit":"in"}</v>
      </c>
      <c r="DG155" s="15" t="str">
        <f>IFERROR(__xludf.DUMMYFUNCTION("""COMPUTED_VALUE"""),"")</f>
        <v/>
      </c>
      <c r="DH155" s="15">
        <v>0.0</v>
      </c>
      <c r="DI155" s="15">
        <v>0.0</v>
      </c>
      <c r="DJ155" s="15" t="s">
        <v>717</v>
      </c>
      <c r="DK155" s="15" t="s">
        <v>718</v>
      </c>
      <c r="DL155" s="15" t="str">
        <f>IFERROR(__xludf.DUMMYFUNCTION("""COMPUTED_VALUE"""),"Vacuum or light brush only. Do not use water or any cleaning products.")</f>
        <v>Vacuum or light brush only. Do not use water or any cleaning products.</v>
      </c>
      <c r="DM155" s="15" t="s">
        <v>719</v>
      </c>
      <c r="DQ155" s="15" t="s">
        <v>2502</v>
      </c>
      <c r="DT155" s="15" t="s">
        <v>721</v>
      </c>
      <c r="DU155" s="15" t="s">
        <v>419</v>
      </c>
      <c r="DV155" s="15">
        <v>0.0</v>
      </c>
      <c r="DZ155" s="15">
        <v>0.0</v>
      </c>
      <c r="EA155" s="15" t="s">
        <v>470</v>
      </c>
      <c r="EB155" s="15" t="s">
        <v>723</v>
      </c>
      <c r="EC155" s="15" t="s">
        <v>724</v>
      </c>
      <c r="ED155" s="15">
        <v>1.0</v>
      </c>
      <c r="EE155" s="15">
        <v>1.0</v>
      </c>
      <c r="EG155" s="15" t="s">
        <v>444</v>
      </c>
      <c r="EH155" s="15" t="s">
        <v>2503</v>
      </c>
      <c r="EI155" s="15">
        <v>0.0</v>
      </c>
      <c r="EJ155" s="15" t="s">
        <v>726</v>
      </c>
      <c r="EK155" s="15" t="s">
        <v>727</v>
      </c>
      <c r="EL155" s="15" t="s">
        <v>1482</v>
      </c>
      <c r="EM155" s="15" t="str">
        <f>IFERROR(__xludf.DUMMYFUNCTION("""COMPUTED_VALUE"""),"{""value"":24.41,""unit"":""in""}")</f>
        <v>{"value":24.41,"unit":"in"}</v>
      </c>
      <c r="EN155" s="15" t="s">
        <v>2272</v>
      </c>
      <c r="EO155" s="15" t="s">
        <v>2504</v>
      </c>
      <c r="ES155" s="15" t="s">
        <v>2505</v>
      </c>
      <c r="EW155" s="15" t="s">
        <v>2158</v>
      </c>
      <c r="EX155" s="15" t="s">
        <v>1283</v>
      </c>
      <c r="EY155" s="15" t="s">
        <v>1286</v>
      </c>
      <c r="EZ155" s="15" t="s">
        <v>2506</v>
      </c>
      <c r="FF155" s="15" t="s">
        <v>2502</v>
      </c>
      <c r="FO155" s="15" t="s">
        <v>2507</v>
      </c>
      <c r="FP155" s="15" t="s">
        <v>2508</v>
      </c>
      <c r="FQ155" s="15">
        <v>0.0</v>
      </c>
      <c r="FR155" s="15">
        <v>0.0</v>
      </c>
      <c r="FT155" s="15">
        <v>0.0</v>
      </c>
    </row>
    <row r="156" ht="15.75" customHeight="1">
      <c r="A156" s="14" t="s">
        <v>391</v>
      </c>
      <c r="B156" s="15" t="s">
        <v>2485</v>
      </c>
      <c r="C156" s="16"/>
      <c r="D156" s="15" t="s">
        <v>432</v>
      </c>
      <c r="G156" s="14" t="s">
        <v>393</v>
      </c>
      <c r="H156" s="14" t="s">
        <v>394</v>
      </c>
      <c r="I156" s="14" t="b">
        <v>1</v>
      </c>
      <c r="J156" s="14" t="s">
        <v>395</v>
      </c>
      <c r="L156" s="14" t="b">
        <v>0</v>
      </c>
      <c r="M156" s="15" t="s">
        <v>2509</v>
      </c>
      <c r="N156" s="14" t="s">
        <v>393</v>
      </c>
      <c r="O156" s="14" t="s">
        <v>393</v>
      </c>
      <c r="P156" s="15" t="s">
        <v>397</v>
      </c>
      <c r="Q156" s="15" t="s">
        <v>2510</v>
      </c>
      <c r="T156" s="14" t="b">
        <v>0</v>
      </c>
      <c r="U156" s="15" t="s">
        <v>2511</v>
      </c>
      <c r="V156" s="15" t="s">
        <v>2512</v>
      </c>
      <c r="W156" s="15" t="s">
        <v>401</v>
      </c>
      <c r="X156" s="15" t="s">
        <v>695</v>
      </c>
      <c r="Y156" s="15">
        <v>1482.0</v>
      </c>
      <c r="AA156" s="15" t="str">
        <f t="shared" si="283"/>
        <v>570</v>
      </c>
      <c r="AB156" s="14" t="b">
        <v>1</v>
      </c>
      <c r="AC156" s="14" t="b">
        <v>1</v>
      </c>
      <c r="AD156" s="15" t="str">
        <f>"801542132200"</f>
        <v>801542132200</v>
      </c>
      <c r="AE156" s="15" t="s">
        <v>2513</v>
      </c>
      <c r="AF156" s="14" t="s">
        <v>404</v>
      </c>
      <c r="AG156" s="14" t="s">
        <v>405</v>
      </c>
      <c r="AH156" s="14" t="s">
        <v>406</v>
      </c>
      <c r="AI156" s="15">
        <v>0.0</v>
      </c>
      <c r="AL156" s="15" t="s">
        <v>2491</v>
      </c>
      <c r="AM156" s="15" t="s">
        <v>772</v>
      </c>
      <c r="AN156" s="15" t="s">
        <v>773</v>
      </c>
      <c r="AO156" s="15" t="s">
        <v>1057</v>
      </c>
      <c r="AP156" s="15" t="s">
        <v>1058</v>
      </c>
      <c r="AQ156" s="15" t="s">
        <v>749</v>
      </c>
      <c r="AR156" s="15" t="s">
        <v>750</v>
      </c>
      <c r="AS156" s="15" t="s">
        <v>2492</v>
      </c>
      <c r="AT156" s="15" t="s">
        <v>2510</v>
      </c>
      <c r="AU156" s="15" t="s">
        <v>2493</v>
      </c>
      <c r="AW156" s="15" t="s">
        <v>706</v>
      </c>
      <c r="AX156" s="15" t="s">
        <v>707</v>
      </c>
      <c r="AY156" s="15" t="s">
        <v>413</v>
      </c>
      <c r="AZ156" s="15" t="b">
        <v>0</v>
      </c>
      <c r="BA156" s="15" t="s">
        <v>413</v>
      </c>
      <c r="BB156" s="15" t="b">
        <v>0</v>
      </c>
      <c r="BC156" s="15" t="s">
        <v>2514</v>
      </c>
      <c r="BD156" s="15" t="s">
        <v>709</v>
      </c>
      <c r="BE156" s="15" t="str">
        <f t="shared" si="284"/>
        <v>1</v>
      </c>
      <c r="BF156" s="15" t="s">
        <v>1208</v>
      </c>
      <c r="BG156" s="15" t="str">
        <f t="shared" ref="BG156:BG159" si="285">"28.74"</f>
        <v>28.74</v>
      </c>
      <c r="BH156" s="15" t="s">
        <v>2113</v>
      </c>
      <c r="BI156" s="15" t="str">
        <f t="shared" ref="BI156:BI159" si="286">"32.09"</f>
        <v>32.09</v>
      </c>
      <c r="BJ156" s="15" t="s">
        <v>2174</v>
      </c>
      <c r="BK156" s="15" t="str">
        <f t="shared" ref="BK156:BK159" si="287">"35.83"</f>
        <v>35.83</v>
      </c>
      <c r="BL156" s="15" t="s">
        <v>1505</v>
      </c>
      <c r="BM156" s="15" t="str">
        <f t="shared" ref="BM156:BM159" si="288">"42.11"</f>
        <v>42.11</v>
      </c>
      <c r="BN156" s="15" t="s">
        <v>2515</v>
      </c>
      <c r="BQ156" s="15" t="s">
        <v>444</v>
      </c>
      <c r="BS156" s="15" t="s">
        <v>444</v>
      </c>
      <c r="BU156" s="15" t="s">
        <v>444</v>
      </c>
      <c r="BW156" s="15" t="s">
        <v>444</v>
      </c>
      <c r="BZ156" s="15" t="s">
        <v>444</v>
      </c>
      <c r="CB156" s="15" t="s">
        <v>444</v>
      </c>
      <c r="CD156" s="15" t="s">
        <v>444</v>
      </c>
      <c r="CF156" s="15" t="s">
        <v>444</v>
      </c>
      <c r="CI156" s="15" t="s">
        <v>444</v>
      </c>
      <c r="CK156" s="15" t="s">
        <v>444</v>
      </c>
      <c r="CM156" s="15" t="s">
        <v>444</v>
      </c>
      <c r="CO156" s="15" t="s">
        <v>444</v>
      </c>
      <c r="CP156" s="15" t="str">
        <f t="shared" ref="CP156:CP159" si="289">"17.02"</f>
        <v>17.02</v>
      </c>
      <c r="CQ156" s="15" t="str">
        <f t="shared" ref="CQ156:CQ159" si="290">"0.482"</f>
        <v>0.482</v>
      </c>
      <c r="CR156" s="15" t="s">
        <v>497</v>
      </c>
      <c r="CY156" s="15" t="s">
        <v>2497</v>
      </c>
      <c r="CZ156" s="15" t="s">
        <v>2498</v>
      </c>
      <c r="DA156" s="15" t="s">
        <v>2499</v>
      </c>
      <c r="DB156" s="15" t="s">
        <v>2500</v>
      </c>
      <c r="DC156" s="15" t="str">
        <f>IFERROR(__xludf.DUMMYFUNCTION("""COMPUTED_VALUE"""),"{""value"":22.52,""unit"":""in""}")</f>
        <v>{"value":22.52,"unit":"in"}</v>
      </c>
      <c r="DD156" s="15" t="s">
        <v>2501</v>
      </c>
      <c r="DE156" s="15" t="str">
        <f>IFERROR(__xludf.DUMMYFUNCTION("""COMPUTED_VALUE"""),"{""value"":18.15,""unit"":""in""}")</f>
        <v>{"value":18.15,"unit":"in"}</v>
      </c>
      <c r="DG156" s="15" t="str">
        <f>IFERROR(__xludf.DUMMYFUNCTION("""COMPUTED_VALUE"""),"")</f>
        <v/>
      </c>
      <c r="DH156" s="15">
        <v>0.0</v>
      </c>
      <c r="DI156" s="15">
        <v>0.0</v>
      </c>
      <c r="DJ156" s="15" t="s">
        <v>717</v>
      </c>
      <c r="DK156" s="15" t="s">
        <v>718</v>
      </c>
      <c r="DL156" s="15" t="str">
        <f>IFERROR(__xludf.DUMMYFUNCTION("""COMPUTED_VALUE"""),"Vacuum or light brush only. Do not use water or any cleaning products.")</f>
        <v>Vacuum or light brush only. Do not use water or any cleaning products.</v>
      </c>
      <c r="DM156" s="15" t="s">
        <v>719</v>
      </c>
      <c r="DQ156" s="15" t="s">
        <v>2502</v>
      </c>
      <c r="DT156" s="15" t="s">
        <v>721</v>
      </c>
      <c r="DU156" s="15" t="s">
        <v>419</v>
      </c>
      <c r="DV156" s="15">
        <v>0.0</v>
      </c>
      <c r="DZ156" s="15">
        <v>0.0</v>
      </c>
      <c r="EA156" s="15" t="s">
        <v>470</v>
      </c>
      <c r="EB156" s="15" t="s">
        <v>723</v>
      </c>
      <c r="EC156" s="15" t="s">
        <v>724</v>
      </c>
      <c r="ED156" s="15">
        <v>1.0</v>
      </c>
      <c r="EE156" s="15">
        <v>1.0</v>
      </c>
      <c r="EG156" s="15" t="s">
        <v>444</v>
      </c>
      <c r="EH156" s="15" t="s">
        <v>2503</v>
      </c>
      <c r="EI156" s="15">
        <v>0.0</v>
      </c>
      <c r="EJ156" s="15" t="s">
        <v>726</v>
      </c>
      <c r="EK156" s="15" t="s">
        <v>727</v>
      </c>
      <c r="EL156" s="15" t="s">
        <v>1482</v>
      </c>
      <c r="EM156" s="15" t="str">
        <f>IFERROR(__xludf.DUMMYFUNCTION("""COMPUTED_VALUE"""),"{""value"":24.41,""unit"":""in""}")</f>
        <v>{"value":24.41,"unit":"in"}</v>
      </c>
      <c r="EN156" s="15" t="s">
        <v>2272</v>
      </c>
      <c r="EO156" s="15" t="s">
        <v>2504</v>
      </c>
      <c r="ES156" s="15" t="s">
        <v>2505</v>
      </c>
      <c r="EW156" s="15" t="s">
        <v>2158</v>
      </c>
      <c r="EX156" s="15" t="s">
        <v>1283</v>
      </c>
      <c r="EY156" s="15" t="s">
        <v>1286</v>
      </c>
      <c r="EZ156" s="15" t="s">
        <v>2506</v>
      </c>
      <c r="FF156" s="15" t="s">
        <v>2502</v>
      </c>
      <c r="FO156" s="15" t="s">
        <v>2507</v>
      </c>
      <c r="FP156" s="15" t="s">
        <v>2508</v>
      </c>
      <c r="FQ156" s="15">
        <v>0.0</v>
      </c>
      <c r="FR156" s="15">
        <v>0.0</v>
      </c>
      <c r="FT156" s="15">
        <v>0.0</v>
      </c>
    </row>
    <row r="157" ht="15.75" customHeight="1">
      <c r="A157" s="14" t="s">
        <v>391</v>
      </c>
      <c r="B157" s="15" t="s">
        <v>2485</v>
      </c>
      <c r="C157" s="16"/>
      <c r="D157" s="15" t="s">
        <v>432</v>
      </c>
      <c r="G157" s="14" t="s">
        <v>393</v>
      </c>
      <c r="H157" s="14" t="s">
        <v>394</v>
      </c>
      <c r="I157" s="14" t="b">
        <v>1</v>
      </c>
      <c r="J157" s="14" t="s">
        <v>395</v>
      </c>
      <c r="L157" s="14" t="b">
        <v>0</v>
      </c>
      <c r="M157" s="15" t="s">
        <v>2516</v>
      </c>
      <c r="N157" s="14" t="s">
        <v>393</v>
      </c>
      <c r="O157" s="14" t="s">
        <v>393</v>
      </c>
      <c r="P157" s="15" t="s">
        <v>397</v>
      </c>
      <c r="Q157" s="15" t="s">
        <v>2517</v>
      </c>
      <c r="T157" s="14" t="b">
        <v>0</v>
      </c>
      <c r="U157" s="15" t="s">
        <v>2518</v>
      </c>
      <c r="V157" s="15" t="s">
        <v>2512</v>
      </c>
      <c r="W157" s="15" t="s">
        <v>401</v>
      </c>
      <c r="X157" s="15" t="s">
        <v>695</v>
      </c>
      <c r="Y157" s="15">
        <v>1482.0</v>
      </c>
      <c r="AA157" s="15" t="str">
        <f t="shared" si="283"/>
        <v>570</v>
      </c>
      <c r="AB157" s="14" t="b">
        <v>1</v>
      </c>
      <c r="AC157" s="14" t="b">
        <v>1</v>
      </c>
      <c r="AD157" s="15" t="str">
        <f>"801542479749"</f>
        <v>801542479749</v>
      </c>
      <c r="AE157" s="15" t="s">
        <v>2519</v>
      </c>
      <c r="AF157" s="14" t="s">
        <v>404</v>
      </c>
      <c r="AG157" s="14" t="s">
        <v>405</v>
      </c>
      <c r="AH157" s="14" t="s">
        <v>406</v>
      </c>
      <c r="AI157" s="15">
        <v>0.0</v>
      </c>
      <c r="AL157" s="15" t="s">
        <v>2491</v>
      </c>
      <c r="AM157" s="15" t="s">
        <v>772</v>
      </c>
      <c r="AN157" s="15" t="s">
        <v>773</v>
      </c>
      <c r="AO157" s="15" t="s">
        <v>1057</v>
      </c>
      <c r="AP157" s="15" t="s">
        <v>1058</v>
      </c>
      <c r="AQ157" s="15" t="s">
        <v>749</v>
      </c>
      <c r="AR157" s="15" t="s">
        <v>750</v>
      </c>
      <c r="AS157" s="15" t="s">
        <v>2492</v>
      </c>
      <c r="AT157" s="15" t="s">
        <v>2517</v>
      </c>
      <c r="AU157" s="15" t="s">
        <v>2520</v>
      </c>
      <c r="AW157" s="15" t="s">
        <v>706</v>
      </c>
      <c r="AX157" s="15" t="s">
        <v>707</v>
      </c>
      <c r="AY157" s="15" t="s">
        <v>413</v>
      </c>
      <c r="AZ157" s="15" t="b">
        <v>0</v>
      </c>
      <c r="BA157" s="15" t="s">
        <v>413</v>
      </c>
      <c r="BB157" s="15" t="b">
        <v>0</v>
      </c>
      <c r="BC157" s="15" t="s">
        <v>2521</v>
      </c>
      <c r="BD157" s="15" t="s">
        <v>709</v>
      </c>
      <c r="BE157" s="15" t="str">
        <f t="shared" si="284"/>
        <v>1</v>
      </c>
      <c r="BF157" s="15" t="s">
        <v>2522</v>
      </c>
      <c r="BG157" s="15" t="str">
        <f t="shared" si="285"/>
        <v>28.74</v>
      </c>
      <c r="BH157" s="15" t="s">
        <v>2113</v>
      </c>
      <c r="BI157" s="15" t="str">
        <f t="shared" si="286"/>
        <v>32.09</v>
      </c>
      <c r="BJ157" s="15" t="s">
        <v>2174</v>
      </c>
      <c r="BK157" s="15" t="str">
        <f t="shared" si="287"/>
        <v>35.83</v>
      </c>
      <c r="BL157" s="15" t="s">
        <v>1505</v>
      </c>
      <c r="BM157" s="15" t="str">
        <f t="shared" si="288"/>
        <v>42.11</v>
      </c>
      <c r="BN157" s="15" t="s">
        <v>2515</v>
      </c>
      <c r="BQ157" s="15" t="s">
        <v>444</v>
      </c>
      <c r="BS157" s="15" t="s">
        <v>444</v>
      </c>
      <c r="BU157" s="15" t="s">
        <v>444</v>
      </c>
      <c r="BW157" s="15" t="s">
        <v>444</v>
      </c>
      <c r="BZ157" s="15" t="s">
        <v>444</v>
      </c>
      <c r="CB157" s="15" t="s">
        <v>444</v>
      </c>
      <c r="CD157" s="15" t="s">
        <v>444</v>
      </c>
      <c r="CF157" s="15" t="s">
        <v>444</v>
      </c>
      <c r="CI157" s="15" t="s">
        <v>444</v>
      </c>
      <c r="CK157" s="15" t="s">
        <v>444</v>
      </c>
      <c r="CM157" s="15" t="s">
        <v>444</v>
      </c>
      <c r="CO157" s="15" t="s">
        <v>444</v>
      </c>
      <c r="CP157" s="15" t="str">
        <f t="shared" si="289"/>
        <v>17.02</v>
      </c>
      <c r="CQ157" s="15" t="str">
        <f t="shared" si="290"/>
        <v>0.482</v>
      </c>
      <c r="CR157" s="15" t="s">
        <v>465</v>
      </c>
      <c r="CY157" s="15" t="s">
        <v>2497</v>
      </c>
      <c r="CZ157" s="15" t="s">
        <v>2498</v>
      </c>
      <c r="DA157" s="15" t="s">
        <v>2499</v>
      </c>
      <c r="DB157" s="15" t="s">
        <v>2500</v>
      </c>
      <c r="DC157" s="15" t="str">
        <f>IFERROR(__xludf.DUMMYFUNCTION("""COMPUTED_VALUE"""),"{""value"":22.52,""unit"":""in""}")</f>
        <v>{"value":22.52,"unit":"in"}</v>
      </c>
      <c r="DD157" s="15" t="s">
        <v>2501</v>
      </c>
      <c r="DE157" s="15" t="str">
        <f>IFERROR(__xludf.DUMMYFUNCTION("""COMPUTED_VALUE"""),"{""value"":18.15,""unit"":""in""}")</f>
        <v>{"value":18.15,"unit":"in"}</v>
      </c>
      <c r="DG157" s="15" t="str">
        <f>IFERROR(__xludf.DUMMYFUNCTION("""COMPUTED_VALUE"""),"")</f>
        <v/>
      </c>
      <c r="DH157" s="15">
        <v>0.0</v>
      </c>
      <c r="DI157" s="15">
        <v>0.0</v>
      </c>
      <c r="DJ157" s="15" t="s">
        <v>717</v>
      </c>
      <c r="DK157" s="15" t="s">
        <v>718</v>
      </c>
      <c r="DL157" s="15" t="str">
        <f>IFERROR(__xludf.DUMMYFUNCTION("""COMPUTED_VALUE"""),"Vacuum or light brush only. Do not use water or any cleaning products.")</f>
        <v>Vacuum or light brush only. Do not use water or any cleaning products.</v>
      </c>
      <c r="DM157" s="15" t="s">
        <v>719</v>
      </c>
      <c r="DQ157" s="15" t="s">
        <v>2502</v>
      </c>
      <c r="DT157" s="15" t="s">
        <v>721</v>
      </c>
      <c r="DU157" s="15" t="s">
        <v>419</v>
      </c>
      <c r="DV157" s="15">
        <v>0.0</v>
      </c>
      <c r="DZ157" s="15">
        <v>0.0</v>
      </c>
      <c r="EA157" s="15" t="s">
        <v>470</v>
      </c>
      <c r="EB157" s="15" t="s">
        <v>723</v>
      </c>
      <c r="EC157" s="15" t="s">
        <v>724</v>
      </c>
      <c r="ED157" s="15">
        <v>1.0</v>
      </c>
      <c r="EE157" s="15">
        <v>1.0</v>
      </c>
      <c r="EG157" s="15" t="s">
        <v>444</v>
      </c>
      <c r="EH157" s="15" t="s">
        <v>2503</v>
      </c>
      <c r="EI157" s="15">
        <v>0.0</v>
      </c>
      <c r="EJ157" s="15" t="s">
        <v>726</v>
      </c>
      <c r="EK157" s="15" t="s">
        <v>727</v>
      </c>
      <c r="EL157" s="15" t="s">
        <v>1482</v>
      </c>
      <c r="EM157" s="15" t="str">
        <f>IFERROR(__xludf.DUMMYFUNCTION("""COMPUTED_VALUE"""),"{""value"":24.41,""unit"":""in""}")</f>
        <v>{"value":24.41,"unit":"in"}</v>
      </c>
      <c r="EN157" s="15" t="s">
        <v>2272</v>
      </c>
      <c r="EO157" s="15" t="s">
        <v>2504</v>
      </c>
      <c r="ES157" s="15" t="s">
        <v>2505</v>
      </c>
      <c r="EW157" s="15" t="s">
        <v>2158</v>
      </c>
      <c r="EX157" s="15" t="s">
        <v>1283</v>
      </c>
      <c r="EY157" s="15" t="s">
        <v>1286</v>
      </c>
      <c r="EZ157" s="15" t="s">
        <v>2506</v>
      </c>
      <c r="FF157" s="15" t="s">
        <v>2502</v>
      </c>
      <c r="FO157" s="15" t="s">
        <v>2507</v>
      </c>
      <c r="FP157" s="15" t="s">
        <v>2508</v>
      </c>
      <c r="FQ157" s="15">
        <v>0.0</v>
      </c>
      <c r="FR157" s="15">
        <v>0.0</v>
      </c>
      <c r="FT157" s="15">
        <v>0.0</v>
      </c>
    </row>
    <row r="158" ht="15.75" customHeight="1">
      <c r="A158" s="14" t="s">
        <v>391</v>
      </c>
      <c r="B158" s="15" t="s">
        <v>2485</v>
      </c>
      <c r="C158" s="16"/>
      <c r="D158" s="15" t="s">
        <v>432</v>
      </c>
      <c r="G158" s="14" t="s">
        <v>393</v>
      </c>
      <c r="H158" s="14" t="s">
        <v>394</v>
      </c>
      <c r="I158" s="14" t="b">
        <v>1</v>
      </c>
      <c r="J158" s="14" t="s">
        <v>395</v>
      </c>
      <c r="L158" s="14" t="b">
        <v>0</v>
      </c>
      <c r="M158" s="15" t="s">
        <v>2523</v>
      </c>
      <c r="N158" s="14" t="s">
        <v>393</v>
      </c>
      <c r="O158" s="14" t="s">
        <v>393</v>
      </c>
      <c r="P158" s="15" t="s">
        <v>397</v>
      </c>
      <c r="Q158" s="15" t="s">
        <v>2524</v>
      </c>
      <c r="T158" s="14" t="b">
        <v>0</v>
      </c>
      <c r="U158" s="15" t="s">
        <v>2525</v>
      </c>
      <c r="V158" s="15" t="s">
        <v>2512</v>
      </c>
      <c r="W158" s="15" t="s">
        <v>401</v>
      </c>
      <c r="X158" s="15" t="s">
        <v>695</v>
      </c>
      <c r="Y158" s="15">
        <v>936.0</v>
      </c>
      <c r="AA158" s="15" t="str">
        <f>"360"</f>
        <v>360</v>
      </c>
      <c r="AB158" s="14" t="b">
        <v>1</v>
      </c>
      <c r="AC158" s="14" t="b">
        <v>1</v>
      </c>
      <c r="AD158" s="15" t="str">
        <f>"801542132217"</f>
        <v>801542132217</v>
      </c>
      <c r="AE158" s="15" t="s">
        <v>2526</v>
      </c>
      <c r="AF158" s="14" t="s">
        <v>404</v>
      </c>
      <c r="AG158" s="14" t="s">
        <v>405</v>
      </c>
      <c r="AH158" s="14" t="s">
        <v>406</v>
      </c>
      <c r="AI158" s="15">
        <v>0.0</v>
      </c>
      <c r="AL158" s="15" t="s">
        <v>2527</v>
      </c>
      <c r="AM158" s="15" t="s">
        <v>772</v>
      </c>
      <c r="AN158" s="15" t="s">
        <v>773</v>
      </c>
      <c r="AO158" s="15" t="s">
        <v>1057</v>
      </c>
      <c r="AP158" s="15" t="s">
        <v>1058</v>
      </c>
      <c r="AQ158" s="15" t="s">
        <v>749</v>
      </c>
      <c r="AR158" s="15" t="s">
        <v>750</v>
      </c>
      <c r="AS158" s="15" t="s">
        <v>2492</v>
      </c>
      <c r="AT158" s="15" t="s">
        <v>2524</v>
      </c>
      <c r="AU158" s="15" t="s">
        <v>2493</v>
      </c>
      <c r="AW158" s="15" t="s">
        <v>706</v>
      </c>
      <c r="AX158" s="15" t="s">
        <v>707</v>
      </c>
      <c r="AY158" s="15" t="s">
        <v>413</v>
      </c>
      <c r="AZ158" s="15" t="b">
        <v>0</v>
      </c>
      <c r="BA158" s="15" t="s">
        <v>413</v>
      </c>
      <c r="BB158" s="15" t="b">
        <v>0</v>
      </c>
      <c r="BC158" s="15" t="s">
        <v>2528</v>
      </c>
      <c r="BD158" s="15" t="s">
        <v>709</v>
      </c>
      <c r="BE158" s="15" t="str">
        <f t="shared" si="284"/>
        <v>1</v>
      </c>
      <c r="BF158" s="15" t="s">
        <v>1208</v>
      </c>
      <c r="BG158" s="15" t="str">
        <f t="shared" si="285"/>
        <v>28.74</v>
      </c>
      <c r="BH158" s="15" t="s">
        <v>2113</v>
      </c>
      <c r="BI158" s="15" t="str">
        <f t="shared" si="286"/>
        <v>32.09</v>
      </c>
      <c r="BJ158" s="15" t="s">
        <v>2174</v>
      </c>
      <c r="BK158" s="15" t="str">
        <f t="shared" si="287"/>
        <v>35.83</v>
      </c>
      <c r="BL158" s="15" t="s">
        <v>1505</v>
      </c>
      <c r="BM158" s="15" t="str">
        <f t="shared" si="288"/>
        <v>42.11</v>
      </c>
      <c r="BN158" s="15" t="s">
        <v>2515</v>
      </c>
      <c r="BQ158" s="15" t="s">
        <v>444</v>
      </c>
      <c r="BS158" s="15" t="s">
        <v>444</v>
      </c>
      <c r="BU158" s="15" t="s">
        <v>444</v>
      </c>
      <c r="BW158" s="15" t="s">
        <v>444</v>
      </c>
      <c r="BZ158" s="15" t="s">
        <v>444</v>
      </c>
      <c r="CB158" s="15" t="s">
        <v>444</v>
      </c>
      <c r="CD158" s="15" t="s">
        <v>444</v>
      </c>
      <c r="CF158" s="15" t="s">
        <v>444</v>
      </c>
      <c r="CI158" s="15" t="s">
        <v>444</v>
      </c>
      <c r="CK158" s="15" t="s">
        <v>444</v>
      </c>
      <c r="CM158" s="15" t="s">
        <v>444</v>
      </c>
      <c r="CO158" s="15" t="s">
        <v>444</v>
      </c>
      <c r="CP158" s="15" t="str">
        <f t="shared" si="289"/>
        <v>17.02</v>
      </c>
      <c r="CQ158" s="15" t="str">
        <f t="shared" si="290"/>
        <v>0.482</v>
      </c>
      <c r="CR158" s="15" t="s">
        <v>497</v>
      </c>
      <c r="CY158" s="15" t="s">
        <v>2497</v>
      </c>
      <c r="CZ158" s="15" t="s">
        <v>2498</v>
      </c>
      <c r="DA158" s="15" t="s">
        <v>2499</v>
      </c>
      <c r="DB158" s="15" t="s">
        <v>2500</v>
      </c>
      <c r="DC158" s="15" t="str">
        <f>IFERROR(__xludf.DUMMYFUNCTION("""COMPUTED_VALUE"""),"{""value"":22.52,""unit"":""in""}")</f>
        <v>{"value":22.52,"unit":"in"}</v>
      </c>
      <c r="DD158" s="15" t="s">
        <v>2501</v>
      </c>
      <c r="DE158" s="15" t="str">
        <f>IFERROR(__xludf.DUMMYFUNCTION("""COMPUTED_VALUE"""),"{""value"":18.15,""unit"":""in""}")</f>
        <v>{"value":18.15,"unit":"in"}</v>
      </c>
      <c r="DG158" s="15" t="str">
        <f>IFERROR(__xludf.DUMMYFUNCTION("""COMPUTED_VALUE"""),"")</f>
        <v/>
      </c>
      <c r="DH158" s="15">
        <v>0.0</v>
      </c>
      <c r="DI158" s="15">
        <v>0.0</v>
      </c>
      <c r="DJ158" s="15" t="s">
        <v>717</v>
      </c>
      <c r="DK158" s="15" t="s">
        <v>897</v>
      </c>
      <c r="DL158" s="15" t="str">
        <f>IFERROR(__xludf.DUMMYFUNCTION("""COMPUTED_VALUE"""),"Clean with water-based products only. Use mild detergent or upholstery shampoo.")</f>
        <v>Clean with water-based products only. Use mild detergent or upholstery shampoo.</v>
      </c>
      <c r="DM158" s="15" t="s">
        <v>898</v>
      </c>
      <c r="DQ158" s="15" t="s">
        <v>2502</v>
      </c>
      <c r="DT158" s="15" t="s">
        <v>721</v>
      </c>
      <c r="DU158" s="15" t="s">
        <v>419</v>
      </c>
      <c r="DV158" s="15">
        <v>0.0</v>
      </c>
      <c r="DZ158" s="15">
        <v>15000.0</v>
      </c>
      <c r="EA158" s="15" t="s">
        <v>470</v>
      </c>
      <c r="EB158" s="15" t="s">
        <v>723</v>
      </c>
      <c r="EC158" s="15" t="s">
        <v>724</v>
      </c>
      <c r="ED158" s="15">
        <v>1.0</v>
      </c>
      <c r="EE158" s="15">
        <v>1.0</v>
      </c>
      <c r="EG158" s="15" t="s">
        <v>444</v>
      </c>
      <c r="EH158" s="15" t="s">
        <v>2503</v>
      </c>
      <c r="EI158" s="15">
        <v>0.0</v>
      </c>
      <c r="EJ158" s="15" t="s">
        <v>726</v>
      </c>
      <c r="EK158" s="15" t="s">
        <v>727</v>
      </c>
      <c r="EL158" s="15" t="s">
        <v>1482</v>
      </c>
      <c r="EM158" s="15" t="str">
        <f>IFERROR(__xludf.DUMMYFUNCTION("""COMPUTED_VALUE"""),"{""value"":24.41,""unit"":""in""}")</f>
        <v>{"value":24.41,"unit":"in"}</v>
      </c>
      <c r="EN158" s="15" t="s">
        <v>2272</v>
      </c>
      <c r="EO158" s="15" t="s">
        <v>2504</v>
      </c>
      <c r="ES158" s="15" t="s">
        <v>2505</v>
      </c>
      <c r="EW158" s="15" t="s">
        <v>2158</v>
      </c>
      <c r="EX158" s="15" t="s">
        <v>1283</v>
      </c>
      <c r="EY158" s="15" t="s">
        <v>1286</v>
      </c>
      <c r="EZ158" s="15" t="s">
        <v>2506</v>
      </c>
      <c r="FF158" s="15" t="s">
        <v>2502</v>
      </c>
      <c r="FO158" s="15" t="s">
        <v>2507</v>
      </c>
      <c r="FP158" s="15" t="s">
        <v>2508</v>
      </c>
      <c r="FQ158" s="15">
        <v>0.0</v>
      </c>
      <c r="FR158" s="15">
        <v>0.0</v>
      </c>
      <c r="FT158" s="15">
        <v>0.0</v>
      </c>
    </row>
    <row r="159" ht="15.75" customHeight="1">
      <c r="A159" s="14" t="s">
        <v>391</v>
      </c>
      <c r="B159" s="15" t="s">
        <v>2485</v>
      </c>
      <c r="C159" s="16"/>
      <c r="D159" s="15" t="s">
        <v>432</v>
      </c>
      <c r="G159" s="14" t="s">
        <v>393</v>
      </c>
      <c r="H159" s="14" t="s">
        <v>394</v>
      </c>
      <c r="I159" s="14" t="b">
        <v>1</v>
      </c>
      <c r="J159" s="14" t="s">
        <v>395</v>
      </c>
      <c r="L159" s="14" t="b">
        <v>0</v>
      </c>
      <c r="M159" s="15" t="s">
        <v>2529</v>
      </c>
      <c r="N159" s="14" t="s">
        <v>393</v>
      </c>
      <c r="O159" s="14" t="s">
        <v>393</v>
      </c>
      <c r="P159" s="15" t="s">
        <v>397</v>
      </c>
      <c r="Q159" s="15" t="s">
        <v>2530</v>
      </c>
      <c r="T159" s="14" t="b">
        <v>0</v>
      </c>
      <c r="U159" s="15" t="s">
        <v>2531</v>
      </c>
      <c r="V159" s="15" t="s">
        <v>2512</v>
      </c>
      <c r="W159" s="15" t="s">
        <v>401</v>
      </c>
      <c r="X159" s="15" t="s">
        <v>695</v>
      </c>
      <c r="Y159" s="15">
        <v>884.0</v>
      </c>
      <c r="AA159" s="15" t="str">
        <f>"340"</f>
        <v>340</v>
      </c>
      <c r="AB159" s="14" t="b">
        <v>1</v>
      </c>
      <c r="AC159" s="14" t="b">
        <v>1</v>
      </c>
      <c r="AD159" s="15" t="str">
        <f>"801542132231"</f>
        <v>801542132231</v>
      </c>
      <c r="AE159" s="15" t="s">
        <v>2532</v>
      </c>
      <c r="AF159" s="14" t="s">
        <v>404</v>
      </c>
      <c r="AG159" s="14" t="s">
        <v>405</v>
      </c>
      <c r="AH159" s="14" t="s">
        <v>406</v>
      </c>
      <c r="AI159" s="15">
        <v>0.0</v>
      </c>
      <c r="AL159" s="15" t="s">
        <v>2527</v>
      </c>
      <c r="AM159" s="15" t="s">
        <v>772</v>
      </c>
      <c r="AN159" s="15" t="s">
        <v>773</v>
      </c>
      <c r="AO159" s="15" t="s">
        <v>1057</v>
      </c>
      <c r="AP159" s="15" t="s">
        <v>1058</v>
      </c>
      <c r="AQ159" s="15" t="s">
        <v>749</v>
      </c>
      <c r="AR159" s="15" t="s">
        <v>750</v>
      </c>
      <c r="AS159" s="15" t="s">
        <v>2492</v>
      </c>
      <c r="AT159" s="15" t="s">
        <v>2530</v>
      </c>
      <c r="AU159" s="15" t="s">
        <v>2493</v>
      </c>
      <c r="AW159" s="15" t="s">
        <v>706</v>
      </c>
      <c r="AX159" s="15" t="s">
        <v>707</v>
      </c>
      <c r="AY159" s="15" t="s">
        <v>413</v>
      </c>
      <c r="AZ159" s="15" t="b">
        <v>0</v>
      </c>
      <c r="BA159" s="15" t="s">
        <v>413</v>
      </c>
      <c r="BB159" s="15" t="b">
        <v>0</v>
      </c>
      <c r="BC159" s="15" t="s">
        <v>2533</v>
      </c>
      <c r="BD159" s="15" t="s">
        <v>709</v>
      </c>
      <c r="BE159" s="15" t="str">
        <f t="shared" si="284"/>
        <v>1</v>
      </c>
      <c r="BF159" s="15" t="s">
        <v>1208</v>
      </c>
      <c r="BG159" s="15" t="str">
        <f t="shared" si="285"/>
        <v>28.74</v>
      </c>
      <c r="BH159" s="15" t="s">
        <v>2113</v>
      </c>
      <c r="BI159" s="15" t="str">
        <f t="shared" si="286"/>
        <v>32.09</v>
      </c>
      <c r="BJ159" s="15" t="s">
        <v>2174</v>
      </c>
      <c r="BK159" s="15" t="str">
        <f t="shared" si="287"/>
        <v>35.83</v>
      </c>
      <c r="BL159" s="15" t="s">
        <v>1505</v>
      </c>
      <c r="BM159" s="15" t="str">
        <f t="shared" si="288"/>
        <v>42.11</v>
      </c>
      <c r="BN159" s="15" t="s">
        <v>2515</v>
      </c>
      <c r="BQ159" s="15" t="s">
        <v>444</v>
      </c>
      <c r="BS159" s="15" t="s">
        <v>444</v>
      </c>
      <c r="BU159" s="15" t="s">
        <v>444</v>
      </c>
      <c r="BW159" s="15" t="s">
        <v>444</v>
      </c>
      <c r="BZ159" s="15" t="s">
        <v>444</v>
      </c>
      <c r="CB159" s="15" t="s">
        <v>444</v>
      </c>
      <c r="CD159" s="15" t="s">
        <v>444</v>
      </c>
      <c r="CF159" s="15" t="s">
        <v>444</v>
      </c>
      <c r="CI159" s="15" t="s">
        <v>444</v>
      </c>
      <c r="CK159" s="15" t="s">
        <v>444</v>
      </c>
      <c r="CM159" s="15" t="s">
        <v>444</v>
      </c>
      <c r="CO159" s="15" t="s">
        <v>444</v>
      </c>
      <c r="CP159" s="15" t="str">
        <f t="shared" si="289"/>
        <v>17.02</v>
      </c>
      <c r="CQ159" s="15" t="str">
        <f t="shared" si="290"/>
        <v>0.482</v>
      </c>
      <c r="CR159" s="15" t="s">
        <v>465</v>
      </c>
      <c r="CY159" s="15" t="s">
        <v>2497</v>
      </c>
      <c r="CZ159" s="15" t="s">
        <v>2498</v>
      </c>
      <c r="DA159" s="15" t="s">
        <v>2499</v>
      </c>
      <c r="DB159" s="15" t="s">
        <v>2500</v>
      </c>
      <c r="DC159" s="15" t="str">
        <f>IFERROR(__xludf.DUMMYFUNCTION("""COMPUTED_VALUE"""),"{""value"":22.52,""unit"":""in""}")</f>
        <v>{"value":22.52,"unit":"in"}</v>
      </c>
      <c r="DD159" s="15" t="s">
        <v>2501</v>
      </c>
      <c r="DE159" s="15" t="str">
        <f>IFERROR(__xludf.DUMMYFUNCTION("""COMPUTED_VALUE"""),"{""value"":18.15,""unit"":""in""}")</f>
        <v>{"value":18.15,"unit":"in"}</v>
      </c>
      <c r="DG159" s="15" t="str">
        <f>IFERROR(__xludf.DUMMYFUNCTION("""COMPUTED_VALUE"""),"")</f>
        <v/>
      </c>
      <c r="DH159" s="15">
        <v>0.0</v>
      </c>
      <c r="DI159" s="15">
        <v>0.0</v>
      </c>
      <c r="DJ159" s="15" t="s">
        <v>717</v>
      </c>
      <c r="DK159" s="15" t="s">
        <v>897</v>
      </c>
      <c r="DL159" s="15" t="str">
        <f>IFERROR(__xludf.DUMMYFUNCTION("""COMPUTED_VALUE"""),"Clean with water-based products only. Use mild detergent or upholstery shampoo.")</f>
        <v>Clean with water-based products only. Use mild detergent or upholstery shampoo.</v>
      </c>
      <c r="DM159" s="15" t="s">
        <v>898</v>
      </c>
      <c r="DQ159" s="15" t="s">
        <v>2502</v>
      </c>
      <c r="DT159" s="15" t="s">
        <v>721</v>
      </c>
      <c r="DU159" s="15" t="s">
        <v>419</v>
      </c>
      <c r="DV159" s="15">
        <v>0.0</v>
      </c>
      <c r="DZ159" s="15">
        <v>100000.0</v>
      </c>
      <c r="EA159" s="15" t="s">
        <v>470</v>
      </c>
      <c r="EB159" s="15" t="s">
        <v>723</v>
      </c>
      <c r="EC159" s="15" t="s">
        <v>724</v>
      </c>
      <c r="ED159" s="15">
        <v>1.0</v>
      </c>
      <c r="EE159" s="15">
        <v>1.0</v>
      </c>
      <c r="EG159" s="15" t="s">
        <v>444</v>
      </c>
      <c r="EH159" s="15" t="s">
        <v>2503</v>
      </c>
      <c r="EI159" s="15">
        <v>0.0</v>
      </c>
      <c r="EJ159" s="15" t="s">
        <v>726</v>
      </c>
      <c r="EK159" s="15" t="s">
        <v>727</v>
      </c>
      <c r="EL159" s="15" t="s">
        <v>1482</v>
      </c>
      <c r="EM159" s="15" t="str">
        <f>IFERROR(__xludf.DUMMYFUNCTION("""COMPUTED_VALUE"""),"{""value"":24.41,""unit"":""in""}")</f>
        <v>{"value":24.41,"unit":"in"}</v>
      </c>
      <c r="EN159" s="15" t="s">
        <v>2272</v>
      </c>
      <c r="EO159" s="15" t="s">
        <v>2504</v>
      </c>
      <c r="ES159" s="15" t="s">
        <v>2505</v>
      </c>
      <c r="EW159" s="15" t="s">
        <v>2158</v>
      </c>
      <c r="EX159" s="15" t="s">
        <v>1283</v>
      </c>
      <c r="EY159" s="15" t="s">
        <v>1286</v>
      </c>
      <c r="EZ159" s="15" t="s">
        <v>2506</v>
      </c>
      <c r="FF159" s="15" t="s">
        <v>2502</v>
      </c>
      <c r="FO159" s="15" t="s">
        <v>2507</v>
      </c>
      <c r="FP159" s="15" t="s">
        <v>2508</v>
      </c>
      <c r="FQ159" s="15">
        <v>0.0</v>
      </c>
      <c r="FR159" s="15">
        <v>0.0</v>
      </c>
      <c r="FT159" s="15">
        <v>0.0</v>
      </c>
    </row>
    <row r="160" ht="15.75" customHeight="1">
      <c r="A160" s="14" t="s">
        <v>391</v>
      </c>
      <c r="B160" s="15" t="s">
        <v>2534</v>
      </c>
      <c r="C160" s="16"/>
      <c r="D160" s="15" t="s">
        <v>432</v>
      </c>
      <c r="G160" s="14" t="s">
        <v>393</v>
      </c>
      <c r="H160" s="14" t="s">
        <v>394</v>
      </c>
      <c r="I160" s="14" t="b">
        <v>1</v>
      </c>
      <c r="J160" s="14" t="s">
        <v>395</v>
      </c>
      <c r="L160" s="14" t="b">
        <v>0</v>
      </c>
      <c r="M160" s="15" t="s">
        <v>2535</v>
      </c>
      <c r="N160" s="14" t="s">
        <v>393</v>
      </c>
      <c r="O160" s="14" t="s">
        <v>393</v>
      </c>
      <c r="P160" s="15" t="s">
        <v>397</v>
      </c>
      <c r="Q160" s="15" t="s">
        <v>2536</v>
      </c>
      <c r="T160" s="14" t="b">
        <v>0</v>
      </c>
      <c r="U160" s="15" t="s">
        <v>2537</v>
      </c>
      <c r="V160" s="15" t="s">
        <v>2538</v>
      </c>
      <c r="W160" s="15" t="s">
        <v>401</v>
      </c>
      <c r="X160" s="15" t="s">
        <v>695</v>
      </c>
      <c r="Y160" s="15">
        <v>1365.0</v>
      </c>
      <c r="AA160" s="15" t="str">
        <f>"525"</f>
        <v>525</v>
      </c>
      <c r="AB160" s="14" t="b">
        <v>1</v>
      </c>
      <c r="AC160" s="14" t="b">
        <v>1</v>
      </c>
      <c r="AD160" s="15" t="str">
        <f>"801542248970"</f>
        <v>801542248970</v>
      </c>
      <c r="AE160" s="15" t="s">
        <v>2539</v>
      </c>
      <c r="AF160" s="14" t="s">
        <v>404</v>
      </c>
      <c r="AG160" s="14" t="s">
        <v>405</v>
      </c>
      <c r="AH160" s="14" t="s">
        <v>406</v>
      </c>
      <c r="AI160" s="15">
        <v>0.0</v>
      </c>
      <c r="AL160" s="15" t="s">
        <v>2540</v>
      </c>
      <c r="AM160" s="15" t="s">
        <v>1274</v>
      </c>
      <c r="AN160" s="15" t="s">
        <v>1275</v>
      </c>
      <c r="AO160" s="15" t="s">
        <v>698</v>
      </c>
      <c r="AP160" s="15" t="s">
        <v>699</v>
      </c>
      <c r="AQ160" s="15" t="s">
        <v>976</v>
      </c>
      <c r="AR160" s="15" t="s">
        <v>977</v>
      </c>
      <c r="AS160" s="15" t="s">
        <v>915</v>
      </c>
      <c r="AT160" s="15" t="s">
        <v>2536</v>
      </c>
      <c r="AU160" s="15" t="s">
        <v>2541</v>
      </c>
      <c r="AW160" s="15" t="s">
        <v>706</v>
      </c>
      <c r="AX160" s="15" t="s">
        <v>707</v>
      </c>
      <c r="AY160" s="15" t="s">
        <v>413</v>
      </c>
      <c r="AZ160" s="15" t="b">
        <v>0</v>
      </c>
      <c r="BA160" s="15" t="s">
        <v>426</v>
      </c>
      <c r="BB160" s="15" t="b">
        <v>1</v>
      </c>
      <c r="BD160" s="15" t="s">
        <v>709</v>
      </c>
      <c r="BE160" s="15" t="str">
        <f t="shared" si="284"/>
        <v>1</v>
      </c>
      <c r="BF160" s="15" t="s">
        <v>2542</v>
      </c>
      <c r="BG160" s="15" t="str">
        <f>"40.5"</f>
        <v>40.5</v>
      </c>
      <c r="BH160" s="15" t="s">
        <v>2417</v>
      </c>
      <c r="BI160" s="15" t="str">
        <f>"31.13"</f>
        <v>31.13</v>
      </c>
      <c r="BJ160" s="15" t="s">
        <v>2543</v>
      </c>
      <c r="BK160" s="15" t="str">
        <f>"38.25"</f>
        <v>38.25</v>
      </c>
      <c r="BL160" s="15" t="s">
        <v>2544</v>
      </c>
      <c r="BM160" s="15" t="str">
        <f>"73.9"</f>
        <v>73.9</v>
      </c>
      <c r="BN160" s="15" t="s">
        <v>2545</v>
      </c>
      <c r="BQ160" s="15" t="s">
        <v>444</v>
      </c>
      <c r="BS160" s="15" t="s">
        <v>444</v>
      </c>
      <c r="BU160" s="15" t="s">
        <v>444</v>
      </c>
      <c r="BW160" s="15" t="s">
        <v>444</v>
      </c>
      <c r="BZ160" s="15" t="s">
        <v>444</v>
      </c>
      <c r="CB160" s="15" t="s">
        <v>444</v>
      </c>
      <c r="CD160" s="15" t="s">
        <v>444</v>
      </c>
      <c r="CF160" s="15" t="s">
        <v>444</v>
      </c>
      <c r="CI160" s="15" t="s">
        <v>444</v>
      </c>
      <c r="CK160" s="15" t="s">
        <v>444</v>
      </c>
      <c r="CM160" s="15" t="s">
        <v>444</v>
      </c>
      <c r="CO160" s="15" t="s">
        <v>444</v>
      </c>
      <c r="CP160" s="15" t="str">
        <f>"23.98"</f>
        <v>23.98</v>
      </c>
      <c r="CQ160" s="15" t="str">
        <f>"0.679"</f>
        <v>0.679</v>
      </c>
      <c r="CR160" s="15" t="s">
        <v>465</v>
      </c>
      <c r="DB160" s="15" t="s">
        <v>1072</v>
      </c>
      <c r="DC160" s="15" t="str">
        <f>IFERROR(__xludf.DUMMYFUNCTION("""COMPUTED_VALUE"""),"{""value"":22.00,""unit"":""in""}")</f>
        <v>{"value":22.00,"unit":"in"}</v>
      </c>
      <c r="DD160" s="15" t="s">
        <v>1804</v>
      </c>
      <c r="DE160" s="15" t="str">
        <f>IFERROR(__xludf.DUMMYFUNCTION("""COMPUTED_VALUE"""),"{""value"":17.50,""unit"":""in""}")</f>
        <v>{"value":17.50,"unit":"in"}</v>
      </c>
      <c r="DG160" s="15" t="str">
        <f>IFERROR(__xludf.DUMMYFUNCTION("""COMPUTED_VALUE"""),"")</f>
        <v/>
      </c>
      <c r="DH160" s="15">
        <v>0.0</v>
      </c>
      <c r="DI160" s="15">
        <v>1.0</v>
      </c>
      <c r="DJ160" s="15" t="s">
        <v>717</v>
      </c>
      <c r="DK160" s="15" t="s">
        <v>855</v>
      </c>
      <c r="DL160" s="15" t="str">
        <f>IFERROR(__xludf.DUMMYFUNCTION("""COMPUTED_VALUE"""),"Clean with solvent-based (dry clean only) products. Do not use water.")</f>
        <v>Clean with solvent-based (dry clean only) products. Do not use water.</v>
      </c>
      <c r="DM160" s="15" t="s">
        <v>856</v>
      </c>
      <c r="DT160" s="15" t="s">
        <v>721</v>
      </c>
      <c r="DU160" s="15" t="s">
        <v>2546</v>
      </c>
      <c r="DV160" s="15">
        <v>0.0</v>
      </c>
      <c r="DZ160" s="15">
        <v>25000.0</v>
      </c>
      <c r="EA160" s="15" t="s">
        <v>990</v>
      </c>
      <c r="EB160" s="15" t="s">
        <v>1016</v>
      </c>
      <c r="EC160" s="15" t="s">
        <v>1701</v>
      </c>
      <c r="ED160" s="15">
        <v>1.0</v>
      </c>
      <c r="EE160" s="15">
        <v>1.0</v>
      </c>
      <c r="EG160" s="15" t="s">
        <v>444</v>
      </c>
      <c r="EH160" s="15" t="s">
        <v>2503</v>
      </c>
      <c r="EI160" s="15">
        <v>0.0</v>
      </c>
      <c r="EJ160" s="15" t="s">
        <v>726</v>
      </c>
      <c r="EK160" s="15" t="s">
        <v>727</v>
      </c>
      <c r="EL160" s="15" t="s">
        <v>555</v>
      </c>
      <c r="EM160" s="15" t="str">
        <f>IFERROR(__xludf.DUMMYFUNCTION("""COMPUTED_VALUE"""),"{""value"":25.00,""unit"":""in""}")</f>
        <v>{"value":25.00,"unit":"in"}</v>
      </c>
      <c r="EN160" s="15" t="s">
        <v>2547</v>
      </c>
      <c r="EO160" s="15" t="s">
        <v>555</v>
      </c>
      <c r="ES160" s="15" t="s">
        <v>1807</v>
      </c>
      <c r="EW160" s="15" t="s">
        <v>2548</v>
      </c>
      <c r="EX160" s="15" t="s">
        <v>2314</v>
      </c>
      <c r="EY160" s="15" t="s">
        <v>1211</v>
      </c>
      <c r="EZ160" s="15" t="s">
        <v>467</v>
      </c>
      <c r="FC160" s="15" t="s">
        <v>1016</v>
      </c>
      <c r="FD160" s="15" t="s">
        <v>1701</v>
      </c>
      <c r="FF160" s="15" t="s">
        <v>1239</v>
      </c>
      <c r="FO160" s="15" t="s">
        <v>525</v>
      </c>
      <c r="FP160" s="15" t="s">
        <v>1211</v>
      </c>
      <c r="FQ160" s="15">
        <v>0.0</v>
      </c>
      <c r="FR160" s="15">
        <v>0.0</v>
      </c>
      <c r="FT160" s="15" t="s">
        <v>1213</v>
      </c>
      <c r="JQ160" s="15" t="s">
        <v>2549</v>
      </c>
      <c r="JR160" s="15" t="s">
        <v>1994</v>
      </c>
    </row>
    <row r="161" ht="15.75" customHeight="1">
      <c r="A161" s="14" t="s">
        <v>391</v>
      </c>
      <c r="B161" s="15" t="s">
        <v>2550</v>
      </c>
      <c r="C161" s="16"/>
      <c r="D161" s="15" t="s">
        <v>432</v>
      </c>
      <c r="G161" s="14" t="s">
        <v>393</v>
      </c>
      <c r="H161" s="14" t="s">
        <v>394</v>
      </c>
      <c r="I161" s="14" t="b">
        <v>1</v>
      </c>
      <c r="J161" s="14" t="s">
        <v>395</v>
      </c>
      <c r="L161" s="14" t="b">
        <v>0</v>
      </c>
      <c r="M161" s="15" t="s">
        <v>2551</v>
      </c>
      <c r="N161" s="14" t="s">
        <v>393</v>
      </c>
      <c r="O161" s="14" t="s">
        <v>393</v>
      </c>
      <c r="P161" s="15" t="s">
        <v>397</v>
      </c>
      <c r="Q161" s="15" t="s">
        <v>2552</v>
      </c>
      <c r="T161" s="14" t="b">
        <v>0</v>
      </c>
      <c r="U161" s="15" t="s">
        <v>2553</v>
      </c>
      <c r="V161" s="15" t="s">
        <v>2554</v>
      </c>
      <c r="W161" s="15" t="s">
        <v>401</v>
      </c>
      <c r="X161" s="15" t="s">
        <v>1296</v>
      </c>
      <c r="Y161" s="15">
        <v>2626.0</v>
      </c>
      <c r="AA161" s="15" t="str">
        <f>"1010"</f>
        <v>1010</v>
      </c>
      <c r="AB161" s="14" t="b">
        <v>1</v>
      </c>
      <c r="AC161" s="14" t="b">
        <v>1</v>
      </c>
      <c r="AD161" s="15" t="str">
        <f>"801542777265"</f>
        <v>801542777265</v>
      </c>
      <c r="AE161" s="15" t="s">
        <v>2555</v>
      </c>
      <c r="AF161" s="14" t="s">
        <v>404</v>
      </c>
      <c r="AG161" s="14" t="s">
        <v>405</v>
      </c>
      <c r="AH161" s="14" t="s">
        <v>406</v>
      </c>
      <c r="AI161" s="15">
        <v>0.0</v>
      </c>
      <c r="AL161" s="15" t="s">
        <v>2556</v>
      </c>
      <c r="AM161" s="15" t="s">
        <v>770</v>
      </c>
      <c r="AN161" s="15" t="s">
        <v>771</v>
      </c>
      <c r="AO161" s="15" t="s">
        <v>2557</v>
      </c>
      <c r="AP161" s="15" t="s">
        <v>2558</v>
      </c>
      <c r="AQ161" s="15" t="s">
        <v>546</v>
      </c>
      <c r="AR161" s="15" t="s">
        <v>547</v>
      </c>
      <c r="AS161" s="15" t="s">
        <v>2231</v>
      </c>
      <c r="AT161" s="15" t="s">
        <v>2552</v>
      </c>
      <c r="AU161" s="15" t="s">
        <v>2559</v>
      </c>
      <c r="AW161" s="15" t="s">
        <v>548</v>
      </c>
      <c r="AX161" s="15" t="s">
        <v>549</v>
      </c>
      <c r="AY161" s="15" t="s">
        <v>413</v>
      </c>
      <c r="AZ161" s="15" t="b">
        <v>0</v>
      </c>
      <c r="BA161" s="15" t="s">
        <v>413</v>
      </c>
      <c r="BB161" s="15" t="b">
        <v>0</v>
      </c>
      <c r="BC161" s="15" t="s">
        <v>2560</v>
      </c>
      <c r="BD161" s="15" t="s">
        <v>1303</v>
      </c>
      <c r="BE161" s="15" t="str">
        <f>"3"</f>
        <v>3</v>
      </c>
      <c r="BF161" s="15" t="s">
        <v>1564</v>
      </c>
      <c r="BG161" s="15" t="str">
        <f>"97"</f>
        <v>97</v>
      </c>
      <c r="BH161" s="15" t="s">
        <v>1731</v>
      </c>
      <c r="BI161" s="15" t="str">
        <f>"5.5"</f>
        <v>5.5</v>
      </c>
      <c r="BJ161" s="15" t="s">
        <v>2561</v>
      </c>
      <c r="BK161" s="15" t="str">
        <f>"45.75"</f>
        <v>45.75</v>
      </c>
      <c r="BL161" s="15" t="s">
        <v>2562</v>
      </c>
      <c r="BM161" s="15" t="str">
        <f>"166.77"</f>
        <v>166.77</v>
      </c>
      <c r="BN161" s="15" t="s">
        <v>2563</v>
      </c>
      <c r="BO161" s="15" t="s">
        <v>2564</v>
      </c>
      <c r="BP161" s="15" t="str">
        <f>"80"</f>
        <v>80</v>
      </c>
      <c r="BQ161" s="15" t="s">
        <v>437</v>
      </c>
      <c r="BR161" s="15" t="str">
        <f>"7"</f>
        <v>7</v>
      </c>
      <c r="BS161" s="15" t="s">
        <v>2565</v>
      </c>
      <c r="BT161" s="15" t="str">
        <f>"7.5"</f>
        <v>7.5</v>
      </c>
      <c r="BU161" s="15" t="s">
        <v>2566</v>
      </c>
      <c r="BV161" s="15" t="str">
        <f>"32.4"</f>
        <v>32.4</v>
      </c>
      <c r="BW161" s="15" t="s">
        <v>2567</v>
      </c>
      <c r="BX161" s="15" t="s">
        <v>2238</v>
      </c>
      <c r="BY161" s="15" t="str">
        <f>"28"</f>
        <v>28</v>
      </c>
      <c r="BZ161" s="15" t="s">
        <v>1086</v>
      </c>
      <c r="CA161" s="15" t="str">
        <f>"17.5"</f>
        <v>17.5</v>
      </c>
      <c r="CB161" s="15" t="s">
        <v>1453</v>
      </c>
      <c r="CC161" s="15" t="str">
        <f>"35"</f>
        <v>35</v>
      </c>
      <c r="CD161" s="15" t="s">
        <v>646</v>
      </c>
      <c r="CE161" s="15" t="str">
        <f>"83.2"</f>
        <v>83.2</v>
      </c>
      <c r="CF161" s="15" t="s">
        <v>2568</v>
      </c>
      <c r="CI161" s="15" t="s">
        <v>444</v>
      </c>
      <c r="CK161" s="15" t="s">
        <v>444</v>
      </c>
      <c r="CM161" s="15" t="s">
        <v>444</v>
      </c>
      <c r="CO161" s="15" t="s">
        <v>444</v>
      </c>
      <c r="CP161" s="15" t="str">
        <f>"26.49"</f>
        <v>26.49</v>
      </c>
      <c r="CQ161" s="15" t="str">
        <f>"0.75"</f>
        <v>0.75</v>
      </c>
      <c r="CR161" s="15" t="s">
        <v>417</v>
      </c>
      <c r="DC161" s="15" t="str">
        <f>IFERROR(__xludf.DUMMYFUNCTION("""COMPUTED_VALUE"""),"")</f>
        <v/>
      </c>
      <c r="DE161" s="15" t="str">
        <f>IFERROR(__xludf.DUMMYFUNCTION("""COMPUTED_VALUE"""),"")</f>
        <v/>
      </c>
      <c r="DG161" s="15" t="str">
        <f>IFERROR(__xludf.DUMMYFUNCTION("""COMPUTED_VALUE"""),"")</f>
        <v/>
      </c>
      <c r="DL161" s="15" t="str">
        <f>IFERROR(__xludf.DUMMYFUNCTION("""COMPUTED_VALUE"""),"")</f>
        <v/>
      </c>
      <c r="DM161" s="15" t="s">
        <v>444</v>
      </c>
      <c r="DN161" s="15" t="s">
        <v>419</v>
      </c>
      <c r="DO161" s="15">
        <v>0.0</v>
      </c>
      <c r="DP161" s="15" t="s">
        <v>419</v>
      </c>
      <c r="DR161" s="15">
        <v>0.0</v>
      </c>
      <c r="DU161" s="15" t="s">
        <v>419</v>
      </c>
      <c r="DW161" s="15">
        <v>0.0</v>
      </c>
      <c r="DX161" s="15">
        <v>0.0</v>
      </c>
      <c r="DY161" s="15">
        <v>0.0</v>
      </c>
      <c r="EE161" s="15">
        <v>10.0</v>
      </c>
      <c r="EF161" s="15" t="s">
        <v>471</v>
      </c>
      <c r="EG161" s="15" t="s">
        <v>472</v>
      </c>
      <c r="EH161" s="15" t="s">
        <v>2569</v>
      </c>
      <c r="EJ161" s="15" t="s">
        <v>424</v>
      </c>
      <c r="EK161" s="15" t="s">
        <v>446</v>
      </c>
      <c r="EM161" s="15" t="str">
        <f>IFERROR(__xludf.DUMMYFUNCTION("""COMPUTED_VALUE"""),"")</f>
        <v/>
      </c>
      <c r="EW161" s="15" t="s">
        <v>1065</v>
      </c>
      <c r="EY161" s="15" t="s">
        <v>2570</v>
      </c>
      <c r="FH161" s="15" t="s">
        <v>1072</v>
      </c>
      <c r="FI161" s="15" t="s">
        <v>2571</v>
      </c>
      <c r="FJ161" s="15" t="s">
        <v>505</v>
      </c>
      <c r="FK161" s="15" t="s">
        <v>425</v>
      </c>
      <c r="FL161" s="15" t="s">
        <v>426</v>
      </c>
      <c r="FM161" s="15">
        <v>0.0</v>
      </c>
      <c r="FN161" s="15">
        <v>0.0</v>
      </c>
      <c r="FV161" s="15" t="s">
        <v>2572</v>
      </c>
      <c r="FW161" s="15" t="s">
        <v>1996</v>
      </c>
      <c r="FX161" s="15" t="s">
        <v>1123</v>
      </c>
    </row>
    <row r="162" ht="15.75" customHeight="1">
      <c r="A162" s="14" t="s">
        <v>391</v>
      </c>
      <c r="B162" s="15" t="s">
        <v>2573</v>
      </c>
      <c r="C162" s="16"/>
      <c r="D162" s="15" t="s">
        <v>432</v>
      </c>
      <c r="G162" s="14" t="s">
        <v>393</v>
      </c>
      <c r="H162" s="14" t="s">
        <v>394</v>
      </c>
      <c r="I162" s="14" t="b">
        <v>1</v>
      </c>
      <c r="J162" s="14" t="s">
        <v>395</v>
      </c>
      <c r="L162" s="14" t="b">
        <v>0</v>
      </c>
      <c r="M162" s="15" t="s">
        <v>2574</v>
      </c>
      <c r="N162" s="14" t="s">
        <v>393</v>
      </c>
      <c r="O162" s="14" t="s">
        <v>393</v>
      </c>
      <c r="P162" s="15" t="s">
        <v>397</v>
      </c>
      <c r="Q162" s="15" t="s">
        <v>2575</v>
      </c>
      <c r="T162" s="14" t="b">
        <v>0</v>
      </c>
      <c r="U162" s="15" t="s">
        <v>2576</v>
      </c>
      <c r="V162" s="15" t="s">
        <v>2208</v>
      </c>
      <c r="W162" s="15" t="s">
        <v>401</v>
      </c>
      <c r="X162" s="15" t="s">
        <v>695</v>
      </c>
      <c r="Y162" s="15">
        <v>936.0</v>
      </c>
      <c r="AA162" s="15" t="str">
        <f>"360"</f>
        <v>360</v>
      </c>
      <c r="AB162" s="14" t="b">
        <v>1</v>
      </c>
      <c r="AC162" s="14" t="b">
        <v>1</v>
      </c>
      <c r="AD162" s="15" t="str">
        <f>"801542094034"</f>
        <v>801542094034</v>
      </c>
      <c r="AE162" s="15" t="s">
        <v>2577</v>
      </c>
      <c r="AF162" s="14" t="s">
        <v>404</v>
      </c>
      <c r="AG162" s="14" t="s">
        <v>405</v>
      </c>
      <c r="AH162" s="14" t="s">
        <v>406</v>
      </c>
      <c r="AI162" s="15">
        <v>0.0</v>
      </c>
      <c r="AL162" s="15" t="s">
        <v>2578</v>
      </c>
      <c r="AM162" s="15" t="s">
        <v>2061</v>
      </c>
      <c r="AN162" s="15" t="s">
        <v>2062</v>
      </c>
      <c r="AO162" s="15" t="s">
        <v>546</v>
      </c>
      <c r="AP162" s="15" t="s">
        <v>547</v>
      </c>
      <c r="AQ162" s="15" t="s">
        <v>1276</v>
      </c>
      <c r="AR162" s="15" t="s">
        <v>1277</v>
      </c>
      <c r="AS162" s="15" t="s">
        <v>1317</v>
      </c>
      <c r="AT162" s="15" t="s">
        <v>2575</v>
      </c>
      <c r="AU162" s="15" t="s">
        <v>1318</v>
      </c>
      <c r="AV162" s="15" t="s">
        <v>2579</v>
      </c>
      <c r="AW162" s="15" t="s">
        <v>706</v>
      </c>
      <c r="AX162" s="15" t="s">
        <v>707</v>
      </c>
      <c r="AY162" s="15" t="s">
        <v>413</v>
      </c>
      <c r="AZ162" s="15" t="b">
        <v>0</v>
      </c>
      <c r="BA162" s="15" t="s">
        <v>413</v>
      </c>
      <c r="BB162" s="15" t="b">
        <v>0</v>
      </c>
      <c r="BC162" s="15" t="s">
        <v>2580</v>
      </c>
      <c r="BD162" s="15" t="s">
        <v>709</v>
      </c>
      <c r="BE162" s="15" t="str">
        <f t="shared" ref="BE162:BE165" si="291">"1"</f>
        <v>1</v>
      </c>
      <c r="BF162" s="15" t="s">
        <v>1208</v>
      </c>
      <c r="BG162" s="15" t="str">
        <f t="shared" ref="BG162:BG163" si="292">"30.71"</f>
        <v>30.71</v>
      </c>
      <c r="BH162" s="15" t="s">
        <v>1281</v>
      </c>
      <c r="BI162" s="15" t="str">
        <f t="shared" ref="BI162:BI163" si="293">"34.65"</f>
        <v>34.65</v>
      </c>
      <c r="BJ162" s="15" t="s">
        <v>1229</v>
      </c>
      <c r="BK162" s="15" t="str">
        <f t="shared" ref="BK162:BK163" si="294">"36.61"</f>
        <v>36.61</v>
      </c>
      <c r="BL162" s="15" t="s">
        <v>1734</v>
      </c>
      <c r="BM162" s="15" t="str">
        <f t="shared" ref="BM162:BM163" si="295">"46.08"</f>
        <v>46.08</v>
      </c>
      <c r="BN162" s="15" t="s">
        <v>2581</v>
      </c>
      <c r="BQ162" s="15" t="s">
        <v>444</v>
      </c>
      <c r="BS162" s="15" t="s">
        <v>444</v>
      </c>
      <c r="BU162" s="15" t="s">
        <v>444</v>
      </c>
      <c r="BW162" s="15" t="s">
        <v>444</v>
      </c>
      <c r="BZ162" s="15" t="s">
        <v>444</v>
      </c>
      <c r="CB162" s="15" t="s">
        <v>444</v>
      </c>
      <c r="CD162" s="15" t="s">
        <v>444</v>
      </c>
      <c r="CF162" s="15" t="s">
        <v>444</v>
      </c>
      <c r="CI162" s="15" t="s">
        <v>444</v>
      </c>
      <c r="CK162" s="15" t="s">
        <v>444</v>
      </c>
      <c r="CM162" s="15" t="s">
        <v>444</v>
      </c>
      <c r="CO162" s="15" t="s">
        <v>444</v>
      </c>
      <c r="CP162" s="15" t="str">
        <f t="shared" ref="CP162:CP163" si="296">"19.63"</f>
        <v>19.63</v>
      </c>
      <c r="CQ162" s="15" t="str">
        <f t="shared" ref="CQ162:CQ163" si="297">"0.556"</f>
        <v>0.556</v>
      </c>
      <c r="CR162" s="15" t="s">
        <v>465</v>
      </c>
      <c r="DB162" s="15" t="s">
        <v>1331</v>
      </c>
      <c r="DC162" s="15" t="str">
        <f>IFERROR(__xludf.DUMMYFUNCTION("""COMPUTED_VALUE"""),"{""value"":21.00,""unit"":""in""}")</f>
        <v>{"value":21.00,"unit":"in"}</v>
      </c>
      <c r="DD162" s="15" t="s">
        <v>1161</v>
      </c>
      <c r="DE162" s="15" t="str">
        <f>IFERROR(__xludf.DUMMYFUNCTION("""COMPUTED_VALUE"""),"{""value"":17.00,""unit"":""in""}")</f>
        <v>{"value":17.00,"unit":"in"}</v>
      </c>
      <c r="DF162" s="15" t="s">
        <v>1072</v>
      </c>
      <c r="DG162" s="15" t="str">
        <f>IFERROR(__xludf.DUMMYFUNCTION("""COMPUTED_VALUE"""),"{""value"":22.00,""unit"":""in""}")</f>
        <v>{"value":22.00,"unit":"in"}</v>
      </c>
      <c r="DH162" s="15">
        <v>0.0</v>
      </c>
      <c r="DI162" s="15">
        <v>1.0</v>
      </c>
      <c r="DJ162" s="15" t="s">
        <v>717</v>
      </c>
      <c r="DK162" s="15" t="s">
        <v>718</v>
      </c>
      <c r="DL162" s="15" t="str">
        <f>IFERROR(__xludf.DUMMYFUNCTION("""COMPUTED_VALUE"""),"Vacuum or light brush only. Do not use water or any cleaning products.")</f>
        <v>Vacuum or light brush only. Do not use water or any cleaning products.</v>
      </c>
      <c r="DM162" s="15" t="s">
        <v>719</v>
      </c>
      <c r="DT162" s="15" t="s">
        <v>1111</v>
      </c>
      <c r="DU162" s="15" t="s">
        <v>419</v>
      </c>
      <c r="DV162" s="15">
        <v>0.0</v>
      </c>
      <c r="DZ162" s="15">
        <v>0.0</v>
      </c>
      <c r="EA162" s="15" t="s">
        <v>470</v>
      </c>
      <c r="EB162" s="15" t="s">
        <v>1016</v>
      </c>
      <c r="EC162" s="15" t="s">
        <v>1701</v>
      </c>
      <c r="ED162" s="15">
        <v>1.0</v>
      </c>
      <c r="EE162" s="15">
        <v>1.0</v>
      </c>
      <c r="EG162" s="15" t="s">
        <v>444</v>
      </c>
      <c r="EH162" s="15" t="s">
        <v>2582</v>
      </c>
      <c r="EI162" s="15">
        <v>0.0</v>
      </c>
      <c r="EJ162" s="15" t="s">
        <v>726</v>
      </c>
      <c r="EK162" s="15" t="s">
        <v>727</v>
      </c>
      <c r="EL162" s="15" t="s">
        <v>1211</v>
      </c>
      <c r="EM162" s="15" t="str">
        <f>IFERROR(__xludf.DUMMYFUNCTION("""COMPUTED_VALUE"""),"{""value"":24.00,""unit"":""in""}")</f>
        <v>{"value":24.00,"unit":"in"}</v>
      </c>
      <c r="EN162" s="15" t="s">
        <v>2116</v>
      </c>
      <c r="EO162" s="15" t="s">
        <v>1211</v>
      </c>
      <c r="ES162" s="15" t="s">
        <v>672</v>
      </c>
      <c r="EW162" s="15" t="s">
        <v>1593</v>
      </c>
      <c r="EX162" s="15" t="s">
        <v>1212</v>
      </c>
      <c r="EY162" s="15" t="s">
        <v>1700</v>
      </c>
      <c r="EZ162" s="15" t="s">
        <v>1592</v>
      </c>
      <c r="FC162" s="15" t="s">
        <v>1016</v>
      </c>
      <c r="FD162" s="15" t="s">
        <v>1701</v>
      </c>
      <c r="FF162" s="15" t="s">
        <v>1255</v>
      </c>
      <c r="FQ162" s="15">
        <v>0.0</v>
      </c>
      <c r="FR162" s="15">
        <v>0.0</v>
      </c>
      <c r="FT162" s="15">
        <v>0.0</v>
      </c>
    </row>
    <row r="163" ht="15.75" customHeight="1">
      <c r="A163" s="14" t="s">
        <v>391</v>
      </c>
      <c r="B163" s="15" t="s">
        <v>2573</v>
      </c>
      <c r="C163" s="16"/>
      <c r="D163" s="15" t="s">
        <v>432</v>
      </c>
      <c r="G163" s="14" t="s">
        <v>393</v>
      </c>
      <c r="H163" s="14" t="s">
        <v>394</v>
      </c>
      <c r="I163" s="14" t="b">
        <v>1</v>
      </c>
      <c r="J163" s="14" t="s">
        <v>395</v>
      </c>
      <c r="L163" s="14" t="b">
        <v>0</v>
      </c>
      <c r="M163" s="15" t="s">
        <v>2583</v>
      </c>
      <c r="N163" s="14" t="s">
        <v>393</v>
      </c>
      <c r="O163" s="14" t="s">
        <v>393</v>
      </c>
      <c r="P163" s="15" t="s">
        <v>397</v>
      </c>
      <c r="Q163" s="15" t="s">
        <v>1612</v>
      </c>
      <c r="T163" s="14" t="b">
        <v>0</v>
      </c>
      <c r="U163" s="15" t="s">
        <v>2584</v>
      </c>
      <c r="V163" s="15" t="s">
        <v>2208</v>
      </c>
      <c r="W163" s="15" t="s">
        <v>401</v>
      </c>
      <c r="X163" s="15" t="s">
        <v>695</v>
      </c>
      <c r="Y163" s="15">
        <v>819.0</v>
      </c>
      <c r="AA163" s="15" t="str">
        <f>"315"</f>
        <v>315</v>
      </c>
      <c r="AB163" s="14" t="b">
        <v>1</v>
      </c>
      <c r="AC163" s="14" t="b">
        <v>1</v>
      </c>
      <c r="AD163" s="15" t="str">
        <f>"801542094041"</f>
        <v>801542094041</v>
      </c>
      <c r="AE163" s="15" t="s">
        <v>2585</v>
      </c>
      <c r="AF163" s="14" t="s">
        <v>404</v>
      </c>
      <c r="AG163" s="14" t="s">
        <v>405</v>
      </c>
      <c r="AH163" s="14" t="s">
        <v>406</v>
      </c>
      <c r="AI163" s="15">
        <v>0.0</v>
      </c>
      <c r="AL163" s="15" t="s">
        <v>2586</v>
      </c>
      <c r="AM163" s="15" t="s">
        <v>2061</v>
      </c>
      <c r="AN163" s="15" t="s">
        <v>2062</v>
      </c>
      <c r="AO163" s="15" t="s">
        <v>546</v>
      </c>
      <c r="AP163" s="15" t="s">
        <v>547</v>
      </c>
      <c r="AQ163" s="15" t="s">
        <v>1276</v>
      </c>
      <c r="AR163" s="15" t="s">
        <v>1277</v>
      </c>
      <c r="AS163" s="15" t="s">
        <v>1317</v>
      </c>
      <c r="AT163" s="15" t="s">
        <v>1612</v>
      </c>
      <c r="AU163" s="15" t="s">
        <v>1318</v>
      </c>
      <c r="AV163" s="15" t="s">
        <v>2579</v>
      </c>
      <c r="AW163" s="15" t="s">
        <v>706</v>
      </c>
      <c r="AX163" s="15" t="s">
        <v>707</v>
      </c>
      <c r="AY163" s="15" t="s">
        <v>413</v>
      </c>
      <c r="AZ163" s="15" t="b">
        <v>0</v>
      </c>
      <c r="BA163" s="15" t="s">
        <v>413</v>
      </c>
      <c r="BB163" s="15" t="b">
        <v>0</v>
      </c>
      <c r="BC163" s="15" t="s">
        <v>2587</v>
      </c>
      <c r="BD163" s="15" t="s">
        <v>709</v>
      </c>
      <c r="BE163" s="15" t="str">
        <f t="shared" si="291"/>
        <v>1</v>
      </c>
      <c r="BF163" s="15" t="s">
        <v>1208</v>
      </c>
      <c r="BG163" s="15" t="str">
        <f t="shared" si="292"/>
        <v>30.71</v>
      </c>
      <c r="BH163" s="15" t="s">
        <v>1281</v>
      </c>
      <c r="BI163" s="15" t="str">
        <f t="shared" si="293"/>
        <v>34.65</v>
      </c>
      <c r="BJ163" s="15" t="s">
        <v>1229</v>
      </c>
      <c r="BK163" s="15" t="str">
        <f t="shared" si="294"/>
        <v>36.61</v>
      </c>
      <c r="BL163" s="15" t="s">
        <v>1734</v>
      </c>
      <c r="BM163" s="15" t="str">
        <f t="shared" si="295"/>
        <v>46.08</v>
      </c>
      <c r="BN163" s="15" t="s">
        <v>2581</v>
      </c>
      <c r="BQ163" s="15" t="s">
        <v>444</v>
      </c>
      <c r="BS163" s="15" t="s">
        <v>444</v>
      </c>
      <c r="BU163" s="15" t="s">
        <v>444</v>
      </c>
      <c r="BW163" s="15" t="s">
        <v>444</v>
      </c>
      <c r="BZ163" s="15" t="s">
        <v>444</v>
      </c>
      <c r="CB163" s="15" t="s">
        <v>444</v>
      </c>
      <c r="CD163" s="15" t="s">
        <v>444</v>
      </c>
      <c r="CF163" s="15" t="s">
        <v>444</v>
      </c>
      <c r="CI163" s="15" t="s">
        <v>444</v>
      </c>
      <c r="CK163" s="15" t="s">
        <v>444</v>
      </c>
      <c r="CM163" s="15" t="s">
        <v>444</v>
      </c>
      <c r="CO163" s="15" t="s">
        <v>444</v>
      </c>
      <c r="CP163" s="15" t="str">
        <f t="shared" si="296"/>
        <v>19.63</v>
      </c>
      <c r="CQ163" s="15" t="str">
        <f t="shared" si="297"/>
        <v>0.556</v>
      </c>
      <c r="CR163" s="15" t="s">
        <v>497</v>
      </c>
      <c r="DB163" s="15" t="s">
        <v>1331</v>
      </c>
      <c r="DC163" s="15" t="str">
        <f>IFERROR(__xludf.DUMMYFUNCTION("""COMPUTED_VALUE"""),"{""value"":21.00,""unit"":""in""}")</f>
        <v>{"value":21.00,"unit":"in"}</v>
      </c>
      <c r="DD163" s="15" t="s">
        <v>1161</v>
      </c>
      <c r="DE163" s="15" t="str">
        <f>IFERROR(__xludf.DUMMYFUNCTION("""COMPUTED_VALUE"""),"{""value"":17.00,""unit"":""in""}")</f>
        <v>{"value":17.00,"unit":"in"}</v>
      </c>
      <c r="DF163" s="15" t="s">
        <v>1072</v>
      </c>
      <c r="DG163" s="15" t="str">
        <f>IFERROR(__xludf.DUMMYFUNCTION("""COMPUTED_VALUE"""),"{""value"":22.00,""unit"":""in""}")</f>
        <v>{"value":22.00,"unit":"in"}</v>
      </c>
      <c r="DH163" s="15">
        <v>0.0</v>
      </c>
      <c r="DI163" s="15">
        <v>1.0</v>
      </c>
      <c r="DJ163" s="15" t="s">
        <v>717</v>
      </c>
      <c r="DK163" s="15" t="s">
        <v>718</v>
      </c>
      <c r="DL163" s="15" t="str">
        <f>IFERROR(__xludf.DUMMYFUNCTION("""COMPUTED_VALUE"""),"Vacuum or light brush only. Do not use water or any cleaning products.")</f>
        <v>Vacuum or light brush only. Do not use water or any cleaning products.</v>
      </c>
      <c r="DM163" s="15" t="s">
        <v>719</v>
      </c>
      <c r="DT163" s="15" t="s">
        <v>1111</v>
      </c>
      <c r="DU163" s="15" t="s">
        <v>419</v>
      </c>
      <c r="DV163" s="15">
        <v>0.0</v>
      </c>
      <c r="DZ163" s="15">
        <v>30000.0</v>
      </c>
      <c r="EA163" s="15" t="s">
        <v>470</v>
      </c>
      <c r="EB163" s="15" t="s">
        <v>1016</v>
      </c>
      <c r="EC163" s="15" t="s">
        <v>1701</v>
      </c>
      <c r="ED163" s="15">
        <v>1.0</v>
      </c>
      <c r="EE163" s="15">
        <v>1.0</v>
      </c>
      <c r="EG163" s="15" t="s">
        <v>444</v>
      </c>
      <c r="EH163" s="15" t="s">
        <v>2582</v>
      </c>
      <c r="EI163" s="15">
        <v>0.0</v>
      </c>
      <c r="EJ163" s="15" t="s">
        <v>726</v>
      </c>
      <c r="EK163" s="15" t="s">
        <v>727</v>
      </c>
      <c r="EL163" s="15" t="s">
        <v>1211</v>
      </c>
      <c r="EM163" s="15" t="str">
        <f>IFERROR(__xludf.DUMMYFUNCTION("""COMPUTED_VALUE"""),"{""value"":24.00,""unit"":""in""}")</f>
        <v>{"value":24.00,"unit":"in"}</v>
      </c>
      <c r="EN163" s="15" t="s">
        <v>2116</v>
      </c>
      <c r="EO163" s="15" t="s">
        <v>1211</v>
      </c>
      <c r="ES163" s="15" t="s">
        <v>672</v>
      </c>
      <c r="EW163" s="15" t="s">
        <v>1593</v>
      </c>
      <c r="EX163" s="15" t="s">
        <v>1212</v>
      </c>
      <c r="EY163" s="15" t="s">
        <v>1700</v>
      </c>
      <c r="EZ163" s="15" t="s">
        <v>1592</v>
      </c>
      <c r="FC163" s="15" t="s">
        <v>1016</v>
      </c>
      <c r="FD163" s="15" t="s">
        <v>1701</v>
      </c>
      <c r="FF163" s="15" t="s">
        <v>1255</v>
      </c>
      <c r="FQ163" s="15">
        <v>0.0</v>
      </c>
      <c r="FR163" s="15">
        <v>0.0</v>
      </c>
      <c r="FT163" s="15">
        <v>0.0</v>
      </c>
    </row>
    <row r="164" ht="15.75" customHeight="1">
      <c r="A164" s="14" t="s">
        <v>391</v>
      </c>
      <c r="B164" s="15" t="s">
        <v>2588</v>
      </c>
      <c r="C164" s="16"/>
      <c r="D164" s="15" t="s">
        <v>432</v>
      </c>
      <c r="G164" s="14" t="s">
        <v>393</v>
      </c>
      <c r="H164" s="14" t="s">
        <v>394</v>
      </c>
      <c r="I164" s="14" t="b">
        <v>1</v>
      </c>
      <c r="J164" s="14" t="s">
        <v>395</v>
      </c>
      <c r="L164" s="14" t="b">
        <v>0</v>
      </c>
      <c r="M164" s="15" t="s">
        <v>2589</v>
      </c>
      <c r="N164" s="14" t="s">
        <v>393</v>
      </c>
      <c r="O164" s="14" t="s">
        <v>393</v>
      </c>
      <c r="P164" s="15" t="s">
        <v>397</v>
      </c>
      <c r="Q164" s="15" t="s">
        <v>2590</v>
      </c>
      <c r="T164" s="14" t="b">
        <v>0</v>
      </c>
      <c r="U164" s="15" t="s">
        <v>2591</v>
      </c>
      <c r="V164" s="15" t="s">
        <v>2592</v>
      </c>
      <c r="W164" s="15" t="s">
        <v>401</v>
      </c>
      <c r="X164" s="15" t="s">
        <v>695</v>
      </c>
      <c r="Y164" s="15">
        <v>2730.0</v>
      </c>
      <c r="AA164" s="15" t="str">
        <f>"1050"</f>
        <v>1050</v>
      </c>
      <c r="AB164" s="14" t="b">
        <v>1</v>
      </c>
      <c r="AC164" s="14" t="b">
        <v>1</v>
      </c>
      <c r="AD164" s="15" t="str">
        <f>"801542126766"</f>
        <v>801542126766</v>
      </c>
      <c r="AE164" s="15" t="s">
        <v>2593</v>
      </c>
      <c r="AF164" s="14" t="s">
        <v>404</v>
      </c>
      <c r="AG164" s="14" t="s">
        <v>405</v>
      </c>
      <c r="AH164" s="14" t="s">
        <v>406</v>
      </c>
      <c r="AI164" s="15">
        <v>0.0</v>
      </c>
      <c r="AL164" s="15" t="s">
        <v>2036</v>
      </c>
      <c r="AM164" s="15" t="s">
        <v>770</v>
      </c>
      <c r="AN164" s="15" t="s">
        <v>771</v>
      </c>
      <c r="AO164" s="15" t="s">
        <v>1007</v>
      </c>
      <c r="AP164" s="15" t="s">
        <v>1008</v>
      </c>
      <c r="AQ164" s="15" t="s">
        <v>546</v>
      </c>
      <c r="AR164" s="15" t="s">
        <v>547</v>
      </c>
      <c r="AS164" s="15" t="s">
        <v>2594</v>
      </c>
      <c r="AT164" s="15" t="s">
        <v>2590</v>
      </c>
      <c r="AW164" s="15" t="s">
        <v>664</v>
      </c>
      <c r="AY164" s="15" t="s">
        <v>413</v>
      </c>
      <c r="AZ164" s="15" t="b">
        <v>0</v>
      </c>
      <c r="BA164" s="15" t="s">
        <v>413</v>
      </c>
      <c r="BB164" s="15" t="b">
        <v>0</v>
      </c>
      <c r="BC164" s="15" t="s">
        <v>2595</v>
      </c>
      <c r="BD164" s="15" t="s">
        <v>709</v>
      </c>
      <c r="BE164" s="15" t="str">
        <f t="shared" si="291"/>
        <v>1</v>
      </c>
      <c r="BF164" s="15" t="s">
        <v>416</v>
      </c>
      <c r="BG164" s="15" t="str">
        <f>"96.85"</f>
        <v>96.85</v>
      </c>
      <c r="BH164" s="15" t="s">
        <v>2596</v>
      </c>
      <c r="BI164" s="15" t="str">
        <f>"22.05"</f>
        <v>22.05</v>
      </c>
      <c r="BJ164" s="15" t="s">
        <v>2310</v>
      </c>
      <c r="BK164" s="15" t="str">
        <f>"33.86"</f>
        <v>33.86</v>
      </c>
      <c r="BL164" s="15" t="s">
        <v>1209</v>
      </c>
      <c r="BM164" s="15" t="str">
        <f>"270.95"</f>
        <v>270.95</v>
      </c>
      <c r="BN164" s="15" t="s">
        <v>2597</v>
      </c>
      <c r="BQ164" s="15" t="s">
        <v>444</v>
      </c>
      <c r="BS164" s="15" t="s">
        <v>444</v>
      </c>
      <c r="BU164" s="15" t="s">
        <v>444</v>
      </c>
      <c r="BW164" s="15" t="s">
        <v>444</v>
      </c>
      <c r="BZ164" s="15" t="s">
        <v>444</v>
      </c>
      <c r="CB164" s="15" t="s">
        <v>444</v>
      </c>
      <c r="CD164" s="15" t="s">
        <v>444</v>
      </c>
      <c r="CF164" s="15" t="s">
        <v>444</v>
      </c>
      <c r="CI164" s="15" t="s">
        <v>444</v>
      </c>
      <c r="CK164" s="15" t="s">
        <v>444</v>
      </c>
      <c r="CM164" s="15" t="s">
        <v>444</v>
      </c>
      <c r="CO164" s="15" t="s">
        <v>444</v>
      </c>
      <c r="CP164" s="15" t="str">
        <f>"41.85"</f>
        <v>41.85</v>
      </c>
      <c r="CQ164" s="15" t="str">
        <f>"1.185"</f>
        <v>1.185</v>
      </c>
      <c r="CR164" s="15" t="s">
        <v>497</v>
      </c>
      <c r="CV164" s="15" t="s">
        <v>2598</v>
      </c>
      <c r="CW164" s="15" t="s">
        <v>1074</v>
      </c>
      <c r="CX164" s="15" t="s">
        <v>2599</v>
      </c>
      <c r="DC164" s="15" t="str">
        <f>IFERROR(__xludf.DUMMYFUNCTION("""COMPUTED_VALUE"""),"")</f>
        <v/>
      </c>
      <c r="DE164" s="15" t="str">
        <f>IFERROR(__xludf.DUMMYFUNCTION("""COMPUTED_VALUE"""),"")</f>
        <v/>
      </c>
      <c r="DG164" s="15" t="str">
        <f>IFERROR(__xludf.DUMMYFUNCTION("""COMPUTED_VALUE"""),"")</f>
        <v/>
      </c>
      <c r="DL164" s="15" t="str">
        <f>IFERROR(__xludf.DUMMYFUNCTION("""COMPUTED_VALUE"""),"")</f>
        <v/>
      </c>
      <c r="DM164" s="15" t="s">
        <v>444</v>
      </c>
      <c r="DN164" s="15" t="s">
        <v>2600</v>
      </c>
      <c r="DO164" s="15">
        <v>3.0</v>
      </c>
      <c r="DP164" s="15" t="s">
        <v>2601</v>
      </c>
      <c r="DR164" s="15">
        <v>0.0</v>
      </c>
      <c r="DT164" s="15" t="s">
        <v>1388</v>
      </c>
      <c r="DU164" s="15" t="s">
        <v>610</v>
      </c>
      <c r="DW164" s="15">
        <v>18.14</v>
      </c>
      <c r="DX164" s="15">
        <v>40.0</v>
      </c>
      <c r="DY164" s="15">
        <v>2.0</v>
      </c>
      <c r="EG164" s="15" t="s">
        <v>444</v>
      </c>
      <c r="EH164" s="15" t="s">
        <v>2602</v>
      </c>
      <c r="EJ164" s="15" t="s">
        <v>424</v>
      </c>
      <c r="EK164" s="15" t="s">
        <v>446</v>
      </c>
      <c r="EM164" s="15" t="str">
        <f>IFERROR(__xludf.DUMMYFUNCTION("""COMPUTED_VALUE"""),"")</f>
        <v/>
      </c>
      <c r="EW164" s="15" t="s">
        <v>2603</v>
      </c>
      <c r="FL164" s="15" t="s">
        <v>426</v>
      </c>
      <c r="FM164" s="15">
        <v>2.0</v>
      </c>
      <c r="FY164" s="15" t="s">
        <v>1072</v>
      </c>
      <c r="FZ164" s="15" t="s">
        <v>1042</v>
      </c>
      <c r="GA164" s="15" t="s">
        <v>1287</v>
      </c>
      <c r="GB164" s="15" t="s">
        <v>2598</v>
      </c>
      <c r="GC164" s="15" t="s">
        <v>782</v>
      </c>
      <c r="GD164" s="15" t="s">
        <v>2599</v>
      </c>
      <c r="GE164" s="15">
        <v>0.0</v>
      </c>
      <c r="GF164" s="15" t="s">
        <v>426</v>
      </c>
      <c r="GG164" s="15" t="s">
        <v>785</v>
      </c>
      <c r="GH164" s="15">
        <v>4.0</v>
      </c>
      <c r="GI164" s="15" t="s">
        <v>614</v>
      </c>
      <c r="GJ164" s="15" t="s">
        <v>615</v>
      </c>
      <c r="GK164" s="15">
        <v>0.0</v>
      </c>
      <c r="GL164" s="15" t="s">
        <v>426</v>
      </c>
      <c r="GN164" s="15" t="s">
        <v>616</v>
      </c>
      <c r="GQ164" s="15" t="s">
        <v>1238</v>
      </c>
      <c r="GS164" s="15" t="s">
        <v>1069</v>
      </c>
      <c r="GU164" s="15" t="s">
        <v>467</v>
      </c>
      <c r="GW164" s="15" t="s">
        <v>2604</v>
      </c>
      <c r="GY164" s="15" t="s">
        <v>764</v>
      </c>
      <c r="GZ164" s="15" t="s">
        <v>426</v>
      </c>
      <c r="HW164" s="15" t="s">
        <v>789</v>
      </c>
      <c r="IH164" s="15" t="s">
        <v>426</v>
      </c>
    </row>
    <row r="165" ht="15.75" customHeight="1">
      <c r="A165" s="14" t="s">
        <v>391</v>
      </c>
      <c r="B165" s="15" t="s">
        <v>2605</v>
      </c>
      <c r="C165" s="16"/>
      <c r="D165" s="15" t="s">
        <v>432</v>
      </c>
      <c r="G165" s="14" t="s">
        <v>393</v>
      </c>
      <c r="H165" s="14" t="s">
        <v>394</v>
      </c>
      <c r="I165" s="14" t="b">
        <v>1</v>
      </c>
      <c r="J165" s="14" t="s">
        <v>395</v>
      </c>
      <c r="L165" s="14" t="b">
        <v>0</v>
      </c>
      <c r="M165" s="15" t="s">
        <v>2606</v>
      </c>
      <c r="N165" s="14" t="s">
        <v>393</v>
      </c>
      <c r="O165" s="14" t="s">
        <v>393</v>
      </c>
      <c r="P165" s="15" t="s">
        <v>397</v>
      </c>
      <c r="Q165" s="15" t="s">
        <v>2607</v>
      </c>
      <c r="T165" s="14" t="b">
        <v>0</v>
      </c>
      <c r="U165" s="15" t="s">
        <v>2608</v>
      </c>
      <c r="V165" s="15" t="s">
        <v>2609</v>
      </c>
      <c r="W165" s="15" t="s">
        <v>401</v>
      </c>
      <c r="X165" s="15" t="s">
        <v>695</v>
      </c>
      <c r="Y165" s="15">
        <v>3393.0</v>
      </c>
      <c r="AA165" s="15" t="str">
        <f>"1305"</f>
        <v>1305</v>
      </c>
      <c r="AB165" s="14" t="b">
        <v>1</v>
      </c>
      <c r="AC165" s="14" t="b">
        <v>1</v>
      </c>
      <c r="AD165" s="15" t="str">
        <f>"801542980290"</f>
        <v>801542980290</v>
      </c>
      <c r="AE165" s="15" t="s">
        <v>2610</v>
      </c>
      <c r="AF165" s="14" t="s">
        <v>404</v>
      </c>
      <c r="AG165" s="14" t="s">
        <v>405</v>
      </c>
      <c r="AH165" s="14" t="s">
        <v>406</v>
      </c>
      <c r="AI165" s="15">
        <v>0.0</v>
      </c>
      <c r="AL165" s="15" t="s">
        <v>2611</v>
      </c>
      <c r="AM165" s="15" t="s">
        <v>2151</v>
      </c>
      <c r="AN165" s="15" t="s">
        <v>2152</v>
      </c>
      <c r="AO165" s="15" t="s">
        <v>456</v>
      </c>
      <c r="AP165" s="15" t="s">
        <v>457</v>
      </c>
      <c r="AQ165" s="15" t="s">
        <v>645</v>
      </c>
      <c r="AR165" s="15" t="s">
        <v>646</v>
      </c>
      <c r="AS165" s="15" t="s">
        <v>2612</v>
      </c>
      <c r="AT165" s="15" t="s">
        <v>2607</v>
      </c>
      <c r="AU165" s="15" t="s">
        <v>2613</v>
      </c>
      <c r="AW165" s="15" t="s">
        <v>664</v>
      </c>
      <c r="AY165" s="15" t="s">
        <v>413</v>
      </c>
      <c r="AZ165" s="15" t="b">
        <v>0</v>
      </c>
      <c r="BA165" s="15" t="s">
        <v>413</v>
      </c>
      <c r="BB165" s="15" t="b">
        <v>0</v>
      </c>
      <c r="BC165" s="15" t="s">
        <v>2614</v>
      </c>
      <c r="BD165" s="15" t="s">
        <v>709</v>
      </c>
      <c r="BE165" s="15" t="str">
        <f t="shared" si="291"/>
        <v>1</v>
      </c>
      <c r="BF165" s="15" t="s">
        <v>416</v>
      </c>
      <c r="BG165" s="15" t="str">
        <f>"87.8"</f>
        <v>87.8</v>
      </c>
      <c r="BH165" s="15" t="s">
        <v>2615</v>
      </c>
      <c r="BI165" s="15" t="str">
        <f>"23.23"</f>
        <v>23.23</v>
      </c>
      <c r="BJ165" s="15" t="s">
        <v>2616</v>
      </c>
      <c r="BK165" s="15" t="str">
        <f>"39.37"</f>
        <v>39.37</v>
      </c>
      <c r="BL165" s="15" t="s">
        <v>523</v>
      </c>
      <c r="BM165" s="15" t="str">
        <f>"157.41"</f>
        <v>157.41</v>
      </c>
      <c r="BN165" s="15" t="s">
        <v>2617</v>
      </c>
      <c r="BQ165" s="15" t="s">
        <v>444</v>
      </c>
      <c r="BS165" s="15" t="s">
        <v>444</v>
      </c>
      <c r="BU165" s="15" t="s">
        <v>444</v>
      </c>
      <c r="BW165" s="15" t="s">
        <v>444</v>
      </c>
      <c r="BZ165" s="15" t="s">
        <v>444</v>
      </c>
      <c r="CB165" s="15" t="s">
        <v>444</v>
      </c>
      <c r="CD165" s="15" t="s">
        <v>444</v>
      </c>
      <c r="CF165" s="15" t="s">
        <v>444</v>
      </c>
      <c r="CI165" s="15" t="s">
        <v>444</v>
      </c>
      <c r="CK165" s="15" t="s">
        <v>444</v>
      </c>
      <c r="CM165" s="15" t="s">
        <v>444</v>
      </c>
      <c r="CO165" s="15" t="s">
        <v>444</v>
      </c>
      <c r="CP165" s="15" t="str">
        <f>"46.47"</f>
        <v>46.47</v>
      </c>
      <c r="CQ165" s="15" t="str">
        <f>"1.316"</f>
        <v>1.316</v>
      </c>
      <c r="CR165" s="15" t="s">
        <v>465</v>
      </c>
      <c r="CS165" s="15" t="s">
        <v>1036</v>
      </c>
      <c r="CT165" s="15" t="s">
        <v>612</v>
      </c>
      <c r="CU165" s="15" t="s">
        <v>867</v>
      </c>
      <c r="CV165" s="15" t="s">
        <v>2618</v>
      </c>
      <c r="CW165" s="15" t="s">
        <v>823</v>
      </c>
      <c r="CX165" s="15" t="s">
        <v>2619</v>
      </c>
      <c r="DC165" s="15" t="str">
        <f>IFERROR(__xludf.DUMMYFUNCTION("""COMPUTED_VALUE"""),"")</f>
        <v/>
      </c>
      <c r="DE165" s="15" t="str">
        <f>IFERROR(__xludf.DUMMYFUNCTION("""COMPUTED_VALUE"""),"")</f>
        <v/>
      </c>
      <c r="DG165" s="15" t="str">
        <f>IFERROR(__xludf.DUMMYFUNCTION("""COMPUTED_VALUE"""),"")</f>
        <v/>
      </c>
      <c r="DL165" s="15" t="str">
        <f>IFERROR(__xludf.DUMMYFUNCTION("""COMPUTED_VALUE"""),"")</f>
        <v/>
      </c>
      <c r="DM165" s="15" t="s">
        <v>444</v>
      </c>
      <c r="DN165" s="15" t="s">
        <v>419</v>
      </c>
      <c r="DO165" s="15">
        <v>0.0</v>
      </c>
      <c r="DP165" s="15" t="s">
        <v>419</v>
      </c>
      <c r="DR165" s="15">
        <v>1.0</v>
      </c>
      <c r="DS165" s="15" t="s">
        <v>426</v>
      </c>
      <c r="DT165" s="15" t="s">
        <v>721</v>
      </c>
      <c r="DU165" s="15" t="s">
        <v>610</v>
      </c>
      <c r="DW165" s="15">
        <v>18.14</v>
      </c>
      <c r="DX165" s="15">
        <v>40.0</v>
      </c>
      <c r="DY165" s="15">
        <v>2.0</v>
      </c>
      <c r="EG165" s="15" t="s">
        <v>444</v>
      </c>
      <c r="EH165" s="15" t="s">
        <v>2620</v>
      </c>
      <c r="EJ165" s="15" t="s">
        <v>424</v>
      </c>
      <c r="EK165" s="15" t="s">
        <v>446</v>
      </c>
      <c r="EM165" s="15" t="str">
        <f>IFERROR(__xludf.DUMMYFUNCTION("""COMPUTED_VALUE"""),"")</f>
        <v/>
      </c>
      <c r="EW165" s="15" t="s">
        <v>2162</v>
      </c>
      <c r="FL165" s="15" t="s">
        <v>426</v>
      </c>
      <c r="FM165" s="15">
        <v>3.0</v>
      </c>
      <c r="FY165" s="15" t="s">
        <v>823</v>
      </c>
      <c r="FZ165" s="15" t="s">
        <v>612</v>
      </c>
      <c r="GA165" s="15" t="s">
        <v>2621</v>
      </c>
      <c r="GB165" s="15" t="s">
        <v>2618</v>
      </c>
      <c r="GC165" s="15" t="s">
        <v>1188</v>
      </c>
      <c r="GD165" s="15" t="s">
        <v>2622</v>
      </c>
      <c r="GE165" s="15">
        <v>0.0</v>
      </c>
      <c r="GF165" s="15" t="s">
        <v>426</v>
      </c>
      <c r="GH165" s="15">
        <v>4.0</v>
      </c>
      <c r="GI165" s="15" t="s">
        <v>614</v>
      </c>
      <c r="GJ165" s="15" t="s">
        <v>615</v>
      </c>
      <c r="GK165" s="15">
        <v>0.0</v>
      </c>
      <c r="GL165" s="15" t="s">
        <v>426</v>
      </c>
      <c r="GN165" s="15" t="s">
        <v>616</v>
      </c>
      <c r="HA165" s="15" t="s">
        <v>2618</v>
      </c>
      <c r="HB165" s="15" t="s">
        <v>823</v>
      </c>
      <c r="HC165" s="15" t="s">
        <v>2619</v>
      </c>
      <c r="HQ165" s="15" t="s">
        <v>1036</v>
      </c>
      <c r="HS165" s="15" t="s">
        <v>1950</v>
      </c>
      <c r="HU165" s="15" t="s">
        <v>867</v>
      </c>
      <c r="HW165" s="15" t="s">
        <v>2505</v>
      </c>
      <c r="IH165" s="15" t="s">
        <v>426</v>
      </c>
    </row>
    <row r="166" ht="15.75" customHeight="1">
      <c r="A166" s="14" t="s">
        <v>391</v>
      </c>
      <c r="B166" s="15" t="s">
        <v>2623</v>
      </c>
      <c r="C166" s="16"/>
      <c r="D166" s="15" t="s">
        <v>432</v>
      </c>
      <c r="G166" s="14" t="s">
        <v>393</v>
      </c>
      <c r="H166" s="14" t="s">
        <v>394</v>
      </c>
      <c r="I166" s="14" t="b">
        <v>1</v>
      </c>
      <c r="J166" s="14" t="s">
        <v>395</v>
      </c>
      <c r="L166" s="14" t="b">
        <v>0</v>
      </c>
      <c r="M166" s="15" t="s">
        <v>2624</v>
      </c>
      <c r="N166" s="14" t="s">
        <v>393</v>
      </c>
      <c r="O166" s="14" t="s">
        <v>393</v>
      </c>
      <c r="P166" s="15" t="s">
        <v>397</v>
      </c>
      <c r="Q166" s="15" t="s">
        <v>2625</v>
      </c>
      <c r="T166" s="14" t="b">
        <v>0</v>
      </c>
      <c r="U166" s="15" t="s">
        <v>2626</v>
      </c>
      <c r="V166" s="15" t="s">
        <v>2627</v>
      </c>
      <c r="W166" s="15" t="s">
        <v>401</v>
      </c>
      <c r="X166" s="15" t="s">
        <v>1296</v>
      </c>
      <c r="Y166" s="15">
        <v>3822.0</v>
      </c>
      <c r="AA166" s="15" t="str">
        <f>"1470"</f>
        <v>1470</v>
      </c>
      <c r="AB166" s="14" t="b">
        <v>1</v>
      </c>
      <c r="AC166" s="14" t="b">
        <v>1</v>
      </c>
      <c r="AD166" s="15" t="str">
        <f>"801542139025"</f>
        <v>801542139025</v>
      </c>
      <c r="AE166" s="15" t="s">
        <v>2628</v>
      </c>
      <c r="AF166" s="14" t="s">
        <v>404</v>
      </c>
      <c r="AG166" s="14" t="s">
        <v>405</v>
      </c>
      <c r="AH166" s="14" t="s">
        <v>406</v>
      </c>
      <c r="AI166" s="15">
        <v>0.0</v>
      </c>
      <c r="AL166" s="15" t="s">
        <v>2629</v>
      </c>
      <c r="AM166" s="15" t="s">
        <v>487</v>
      </c>
      <c r="AN166" s="15" t="s">
        <v>488</v>
      </c>
      <c r="AO166" s="15" t="s">
        <v>487</v>
      </c>
      <c r="AP166" s="15" t="s">
        <v>488</v>
      </c>
      <c r="AQ166" s="15" t="s">
        <v>546</v>
      </c>
      <c r="AR166" s="15" t="s">
        <v>547</v>
      </c>
      <c r="AS166" s="15" t="s">
        <v>2630</v>
      </c>
      <c r="AT166" s="15" t="s">
        <v>2625</v>
      </c>
      <c r="AU166" s="15" t="s">
        <v>2631</v>
      </c>
      <c r="AW166" s="15" t="s">
        <v>548</v>
      </c>
      <c r="AX166" s="15" t="s">
        <v>549</v>
      </c>
      <c r="AY166" s="15" t="s">
        <v>413</v>
      </c>
      <c r="AZ166" s="15" t="b">
        <v>0</v>
      </c>
      <c r="BA166" s="15" t="s">
        <v>413</v>
      </c>
      <c r="BB166" s="15" t="b">
        <v>0</v>
      </c>
      <c r="BC166" s="15" t="s">
        <v>2632</v>
      </c>
      <c r="BD166" s="15" t="s">
        <v>1303</v>
      </c>
      <c r="BE166" s="15" t="str">
        <f>"2"</f>
        <v>2</v>
      </c>
      <c r="BF166" s="15" t="s">
        <v>1564</v>
      </c>
      <c r="BG166" s="15" t="str">
        <f>"63.5"</f>
        <v>63.5</v>
      </c>
      <c r="BH166" s="15" t="s">
        <v>2234</v>
      </c>
      <c r="BI166" s="15" t="str">
        <f>"11"</f>
        <v>11</v>
      </c>
      <c r="BJ166" s="15" t="s">
        <v>2633</v>
      </c>
      <c r="BK166" s="15" t="str">
        <f>"63.5"</f>
        <v>63.5</v>
      </c>
      <c r="BL166" s="15" t="s">
        <v>2234</v>
      </c>
      <c r="BM166" s="15" t="str">
        <f>"341.05"</f>
        <v>341.05</v>
      </c>
      <c r="BN166" s="15" t="s">
        <v>2634</v>
      </c>
      <c r="BO166" s="15" t="s">
        <v>2238</v>
      </c>
      <c r="BP166" s="15" t="str">
        <f>"25"</f>
        <v>25</v>
      </c>
      <c r="BQ166" s="15" t="s">
        <v>2214</v>
      </c>
      <c r="BR166" s="15" t="str">
        <f>"25.5"</f>
        <v>25.5</v>
      </c>
      <c r="BS166" s="15" t="s">
        <v>2062</v>
      </c>
      <c r="BT166" s="15" t="str">
        <f>"32"</f>
        <v>32</v>
      </c>
      <c r="BU166" s="15" t="s">
        <v>439</v>
      </c>
      <c r="BV166" s="15" t="str">
        <f>"78.81"</f>
        <v>78.81</v>
      </c>
      <c r="BW166" s="15" t="s">
        <v>2635</v>
      </c>
      <c r="BZ166" s="15" t="s">
        <v>444</v>
      </c>
      <c r="CB166" s="15" t="s">
        <v>444</v>
      </c>
      <c r="CD166" s="15" t="s">
        <v>444</v>
      </c>
      <c r="CF166" s="15" t="s">
        <v>444</v>
      </c>
      <c r="CI166" s="15" t="s">
        <v>444</v>
      </c>
      <c r="CK166" s="15" t="s">
        <v>444</v>
      </c>
      <c r="CM166" s="15" t="s">
        <v>444</v>
      </c>
      <c r="CO166" s="15" t="s">
        <v>444</v>
      </c>
      <c r="CP166" s="15" t="str">
        <f>"37.47"</f>
        <v>37.47</v>
      </c>
      <c r="CQ166" s="15" t="str">
        <f>"1.061"</f>
        <v>1.061</v>
      </c>
      <c r="CR166" s="15" t="s">
        <v>465</v>
      </c>
      <c r="DC166" s="15" t="str">
        <f>IFERROR(__xludf.DUMMYFUNCTION("""COMPUTED_VALUE"""),"")</f>
        <v/>
      </c>
      <c r="DE166" s="15" t="str">
        <f>IFERROR(__xludf.DUMMYFUNCTION("""COMPUTED_VALUE"""),"")</f>
        <v/>
      </c>
      <c r="DG166" s="15" t="str">
        <f>IFERROR(__xludf.DUMMYFUNCTION("""COMPUTED_VALUE"""),"")</f>
        <v/>
      </c>
      <c r="DL166" s="15" t="str">
        <f>IFERROR(__xludf.DUMMYFUNCTION("""COMPUTED_VALUE"""),"")</f>
        <v/>
      </c>
      <c r="DM166" s="15" t="s">
        <v>444</v>
      </c>
      <c r="DN166" s="15" t="s">
        <v>419</v>
      </c>
      <c r="DO166" s="15">
        <v>0.0</v>
      </c>
      <c r="DP166" s="15" t="s">
        <v>419</v>
      </c>
      <c r="DR166" s="15">
        <v>0.0</v>
      </c>
      <c r="DU166" s="15" t="s">
        <v>419</v>
      </c>
      <c r="DW166" s="15">
        <v>0.0</v>
      </c>
      <c r="DX166" s="15">
        <v>0.0</v>
      </c>
      <c r="DY166" s="15">
        <v>0.0</v>
      </c>
      <c r="EE166" s="15">
        <v>6.0</v>
      </c>
      <c r="EF166" s="15" t="s">
        <v>1157</v>
      </c>
      <c r="EG166" s="15" t="s">
        <v>1158</v>
      </c>
      <c r="EH166" s="15" t="s">
        <v>2636</v>
      </c>
      <c r="EJ166" s="15" t="s">
        <v>500</v>
      </c>
      <c r="EK166" s="15" t="s">
        <v>501</v>
      </c>
      <c r="EM166" s="15" t="str">
        <f>IFERROR(__xludf.DUMMYFUNCTION("""COMPUTED_VALUE"""),"")</f>
        <v/>
      </c>
      <c r="EW166" s="15" t="s">
        <v>2637</v>
      </c>
      <c r="FH166" s="15" t="s">
        <v>1072</v>
      </c>
      <c r="FI166" s="15" t="s">
        <v>2637</v>
      </c>
      <c r="FJ166" s="15" t="s">
        <v>1072</v>
      </c>
      <c r="FK166" s="15" t="s">
        <v>2638</v>
      </c>
      <c r="FL166" s="15" t="s">
        <v>426</v>
      </c>
      <c r="FM166" s="15">
        <v>0.0</v>
      </c>
      <c r="FN166" s="15">
        <v>0.0</v>
      </c>
      <c r="FV166" s="15" t="s">
        <v>2637</v>
      </c>
      <c r="FW166" s="15" t="s">
        <v>1237</v>
      </c>
      <c r="FX166" s="15" t="s">
        <v>2244</v>
      </c>
    </row>
    <row r="167" ht="15.75" customHeight="1">
      <c r="A167" s="14" t="s">
        <v>391</v>
      </c>
      <c r="B167" s="15" t="s">
        <v>2639</v>
      </c>
      <c r="C167" s="16"/>
      <c r="D167" s="15" t="s">
        <v>432</v>
      </c>
      <c r="G167" s="14" t="s">
        <v>393</v>
      </c>
      <c r="H167" s="14" t="s">
        <v>394</v>
      </c>
      <c r="I167" s="14" t="b">
        <v>1</v>
      </c>
      <c r="J167" s="14" t="s">
        <v>395</v>
      </c>
      <c r="L167" s="14" t="b">
        <v>0</v>
      </c>
      <c r="M167" s="15" t="s">
        <v>2640</v>
      </c>
      <c r="N167" s="14" t="s">
        <v>393</v>
      </c>
      <c r="O167" s="14" t="s">
        <v>393</v>
      </c>
      <c r="P167" s="15" t="s">
        <v>397</v>
      </c>
      <c r="Q167" s="15" t="s">
        <v>1257</v>
      </c>
      <c r="T167" s="14" t="b">
        <v>0</v>
      </c>
      <c r="U167" s="15" t="s">
        <v>2641</v>
      </c>
      <c r="V167" s="15" t="s">
        <v>2642</v>
      </c>
      <c r="W167" s="15" t="s">
        <v>401</v>
      </c>
      <c r="X167" s="15" t="s">
        <v>695</v>
      </c>
      <c r="Y167" s="15">
        <v>1209.0</v>
      </c>
      <c r="AA167" s="15" t="str">
        <f>"465"</f>
        <v>465</v>
      </c>
      <c r="AB167" s="14" t="b">
        <v>1</v>
      </c>
      <c r="AC167" s="14" t="b">
        <v>1</v>
      </c>
      <c r="AD167" s="15" t="str">
        <f>"801542064112"</f>
        <v>801542064112</v>
      </c>
      <c r="AE167" s="15" t="s">
        <v>2643</v>
      </c>
      <c r="AF167" s="14" t="s">
        <v>404</v>
      </c>
      <c r="AG167" s="14" t="s">
        <v>405</v>
      </c>
      <c r="AH167" s="14" t="s">
        <v>406</v>
      </c>
      <c r="AI167" s="15">
        <v>0.0</v>
      </c>
      <c r="AL167" s="15" t="s">
        <v>2527</v>
      </c>
      <c r="AM167" s="15" t="s">
        <v>1472</v>
      </c>
      <c r="AN167" s="15" t="s">
        <v>1473</v>
      </c>
      <c r="AO167" s="15" t="s">
        <v>1944</v>
      </c>
      <c r="AP167" s="15" t="s">
        <v>1945</v>
      </c>
      <c r="AQ167" s="15" t="s">
        <v>546</v>
      </c>
      <c r="AR167" s="15" t="s">
        <v>547</v>
      </c>
      <c r="AS167" s="15" t="s">
        <v>2492</v>
      </c>
      <c r="AT167" s="15" t="s">
        <v>1257</v>
      </c>
      <c r="AU167" s="15" t="s">
        <v>2644</v>
      </c>
      <c r="AW167" s="15" t="s">
        <v>706</v>
      </c>
      <c r="AX167" s="15" t="s">
        <v>707</v>
      </c>
      <c r="AY167" s="15" t="s">
        <v>413</v>
      </c>
      <c r="AZ167" s="15" t="b">
        <v>0</v>
      </c>
      <c r="BA167" s="15" t="s">
        <v>413</v>
      </c>
      <c r="BB167" s="15" t="b">
        <v>0</v>
      </c>
      <c r="BC167" s="15" t="s">
        <v>2645</v>
      </c>
      <c r="BD167" s="15" t="s">
        <v>709</v>
      </c>
      <c r="BE167" s="15" t="str">
        <f t="shared" ref="BE167:BE169" si="298">"1"</f>
        <v>1</v>
      </c>
      <c r="BF167" s="15" t="s">
        <v>416</v>
      </c>
      <c r="BG167" s="15" t="str">
        <f t="shared" ref="BG167:BG169" si="299">"34.25"</f>
        <v>34.25</v>
      </c>
      <c r="BH167" s="15" t="s">
        <v>605</v>
      </c>
      <c r="BI167" s="15" t="str">
        <f t="shared" ref="BI167:BI169" si="300">"30.71"</f>
        <v>30.71</v>
      </c>
      <c r="BJ167" s="15" t="s">
        <v>1281</v>
      </c>
      <c r="BK167" s="15" t="str">
        <f t="shared" ref="BK167:BK169" si="301">"31.89"</f>
        <v>31.89</v>
      </c>
      <c r="BL167" s="15" t="s">
        <v>1183</v>
      </c>
      <c r="BM167" s="15" t="str">
        <f t="shared" ref="BM167:BM169" si="302">"45.86"</f>
        <v>45.86</v>
      </c>
      <c r="BN167" s="15" t="s">
        <v>2646</v>
      </c>
      <c r="BQ167" s="15" t="s">
        <v>444</v>
      </c>
      <c r="BS167" s="15" t="s">
        <v>444</v>
      </c>
      <c r="BU167" s="15" t="s">
        <v>444</v>
      </c>
      <c r="BW167" s="15" t="s">
        <v>444</v>
      </c>
      <c r="BZ167" s="15" t="s">
        <v>444</v>
      </c>
      <c r="CB167" s="15" t="s">
        <v>444</v>
      </c>
      <c r="CD167" s="15" t="s">
        <v>444</v>
      </c>
      <c r="CF167" s="15" t="s">
        <v>444</v>
      </c>
      <c r="CI167" s="15" t="s">
        <v>444</v>
      </c>
      <c r="CK167" s="15" t="s">
        <v>444</v>
      </c>
      <c r="CM167" s="15" t="s">
        <v>444</v>
      </c>
      <c r="CO167" s="15" t="s">
        <v>444</v>
      </c>
      <c r="CP167" s="15" t="str">
        <f t="shared" ref="CP167:CP169" si="303">"19.42"</f>
        <v>19.42</v>
      </c>
      <c r="CQ167" s="15" t="str">
        <f t="shared" ref="CQ167:CQ169" si="304">"0.55"</f>
        <v>0.55</v>
      </c>
      <c r="CR167" s="15" t="s">
        <v>497</v>
      </c>
      <c r="DB167" s="15" t="s">
        <v>2647</v>
      </c>
      <c r="DC167" s="15" t="str">
        <f>IFERROR(__xludf.DUMMYFUNCTION("""COMPUTED_VALUE"""),"{""value"":25.20,""unit"":""in""}")</f>
        <v>{"value":25.20,"unit":"in"}</v>
      </c>
      <c r="DD167" s="15" t="s">
        <v>2648</v>
      </c>
      <c r="DE167" s="15" t="str">
        <f>IFERROR(__xludf.DUMMYFUNCTION("""COMPUTED_VALUE"""),"{""value"":16.97,""unit"":""in""}")</f>
        <v>{"value":16.97,"unit":"in"}</v>
      </c>
      <c r="DG167" s="15" t="str">
        <f>IFERROR(__xludf.DUMMYFUNCTION("""COMPUTED_VALUE"""),"")</f>
        <v/>
      </c>
      <c r="DH167" s="15">
        <v>0.0</v>
      </c>
      <c r="DI167" s="15">
        <v>1.0</v>
      </c>
      <c r="DJ167" s="15" t="s">
        <v>717</v>
      </c>
      <c r="DK167" s="15" t="s">
        <v>897</v>
      </c>
      <c r="DL167" s="15" t="str">
        <f>IFERROR(__xludf.DUMMYFUNCTION("""COMPUTED_VALUE"""),"Clean with water-based products only. Use mild detergent or upholstery shampoo.")</f>
        <v>Clean with water-based products only. Use mild detergent or upholstery shampoo.</v>
      </c>
      <c r="DM167" s="15" t="s">
        <v>898</v>
      </c>
      <c r="DT167" s="15" t="s">
        <v>420</v>
      </c>
      <c r="DU167" s="15" t="s">
        <v>419</v>
      </c>
      <c r="DV167" s="15">
        <v>0.0</v>
      </c>
      <c r="DZ167" s="15">
        <v>100000.0</v>
      </c>
      <c r="EA167" s="15" t="s">
        <v>990</v>
      </c>
      <c r="EB167" s="15" t="s">
        <v>1016</v>
      </c>
      <c r="ED167" s="15">
        <v>1.0</v>
      </c>
      <c r="EE167" s="15">
        <v>1.0</v>
      </c>
      <c r="EG167" s="15" t="s">
        <v>444</v>
      </c>
      <c r="EH167" s="15" t="s">
        <v>2649</v>
      </c>
      <c r="EI167" s="15">
        <v>0.0</v>
      </c>
      <c r="EJ167" s="15" t="s">
        <v>726</v>
      </c>
      <c r="EK167" s="15" t="s">
        <v>727</v>
      </c>
      <c r="EL167" s="15" t="s">
        <v>2650</v>
      </c>
      <c r="EM167" s="15" t="str">
        <f>IFERROR(__xludf.DUMMYFUNCTION("""COMPUTED_VALUE"""),"{""value"":25.63,""unit"":""in""}")</f>
        <v>{"value":25.63,"unit":"in"}</v>
      </c>
      <c r="EN167" s="15" t="s">
        <v>2347</v>
      </c>
      <c r="EO167" s="15" t="s">
        <v>2651</v>
      </c>
      <c r="ES167" s="15" t="s">
        <v>2144</v>
      </c>
      <c r="EW167" s="15" t="s">
        <v>714</v>
      </c>
      <c r="EX167" s="15" t="s">
        <v>1603</v>
      </c>
      <c r="EY167" s="15" t="s">
        <v>2652</v>
      </c>
      <c r="EZ167" s="15" t="s">
        <v>2653</v>
      </c>
      <c r="FC167" s="15" t="s">
        <v>1016</v>
      </c>
      <c r="FF167" s="15" t="s">
        <v>2502</v>
      </c>
      <c r="FO167" s="15" t="s">
        <v>2654</v>
      </c>
      <c r="FP167" s="15" t="s">
        <v>2655</v>
      </c>
      <c r="FQ167" s="15">
        <v>0.0</v>
      </c>
      <c r="FR167" s="15">
        <v>0.0</v>
      </c>
      <c r="FT167" s="15">
        <v>0.0</v>
      </c>
    </row>
    <row r="168" ht="15.75" customHeight="1">
      <c r="A168" s="14" t="s">
        <v>391</v>
      </c>
      <c r="B168" s="15" t="s">
        <v>2639</v>
      </c>
      <c r="C168" s="16"/>
      <c r="D168" s="15" t="s">
        <v>432</v>
      </c>
      <c r="G168" s="14" t="s">
        <v>393</v>
      </c>
      <c r="H168" s="14" t="s">
        <v>394</v>
      </c>
      <c r="I168" s="14" t="b">
        <v>1</v>
      </c>
      <c r="J168" s="14" t="s">
        <v>395</v>
      </c>
      <c r="L168" s="14" t="b">
        <v>0</v>
      </c>
      <c r="M168" s="15" t="s">
        <v>2656</v>
      </c>
      <c r="N168" s="14" t="s">
        <v>393</v>
      </c>
      <c r="O168" s="14" t="s">
        <v>393</v>
      </c>
      <c r="P168" s="15" t="s">
        <v>397</v>
      </c>
      <c r="Q168" s="15" t="s">
        <v>2657</v>
      </c>
      <c r="T168" s="14" t="b">
        <v>0</v>
      </c>
      <c r="U168" s="15" t="s">
        <v>2658</v>
      </c>
      <c r="V168" s="15" t="s">
        <v>2642</v>
      </c>
      <c r="W168" s="15" t="s">
        <v>401</v>
      </c>
      <c r="X168" s="15" t="s">
        <v>695</v>
      </c>
      <c r="Y168" s="15">
        <v>1482.0</v>
      </c>
      <c r="AA168" s="15" t="str">
        <f>"570"</f>
        <v>570</v>
      </c>
      <c r="AB168" s="14" t="b">
        <v>1</v>
      </c>
      <c r="AC168" s="14" t="b">
        <v>1</v>
      </c>
      <c r="AD168" s="15" t="str">
        <f>"198394064675"</f>
        <v>198394064675</v>
      </c>
      <c r="AE168" s="15" t="s">
        <v>2659</v>
      </c>
      <c r="AF168" s="14" t="s">
        <v>404</v>
      </c>
      <c r="AG168" s="14" t="s">
        <v>405</v>
      </c>
      <c r="AH168" s="14" t="s">
        <v>406</v>
      </c>
      <c r="AI168" s="15">
        <v>0.0</v>
      </c>
      <c r="AL168" s="15" t="s">
        <v>2660</v>
      </c>
      <c r="AM168" s="15" t="s">
        <v>1472</v>
      </c>
      <c r="AN168" s="15" t="s">
        <v>1473</v>
      </c>
      <c r="AO168" s="15" t="s">
        <v>1944</v>
      </c>
      <c r="AP168" s="15" t="s">
        <v>1945</v>
      </c>
      <c r="AQ168" s="15" t="s">
        <v>546</v>
      </c>
      <c r="AR168" s="15" t="s">
        <v>547</v>
      </c>
      <c r="AS168" s="15" t="s">
        <v>2492</v>
      </c>
      <c r="AT168" s="15" t="s">
        <v>2657</v>
      </c>
      <c r="AU168" s="15" t="s">
        <v>2661</v>
      </c>
      <c r="AW168" s="15" t="s">
        <v>706</v>
      </c>
      <c r="AX168" s="15" t="s">
        <v>707</v>
      </c>
      <c r="AY168" s="15" t="s">
        <v>413</v>
      </c>
      <c r="AZ168" s="15" t="b">
        <v>0</v>
      </c>
      <c r="BA168" s="15" t="s">
        <v>413</v>
      </c>
      <c r="BB168" s="15" t="b">
        <v>0</v>
      </c>
      <c r="BC168" s="15" t="s">
        <v>2645</v>
      </c>
      <c r="BD168" s="15" t="s">
        <v>709</v>
      </c>
      <c r="BE168" s="15" t="str">
        <f t="shared" si="298"/>
        <v>1</v>
      </c>
      <c r="BF168" s="15" t="s">
        <v>416</v>
      </c>
      <c r="BG168" s="15" t="str">
        <f t="shared" si="299"/>
        <v>34.25</v>
      </c>
      <c r="BH168" s="15" t="s">
        <v>605</v>
      </c>
      <c r="BI168" s="15" t="str">
        <f t="shared" si="300"/>
        <v>30.71</v>
      </c>
      <c r="BJ168" s="15" t="s">
        <v>1281</v>
      </c>
      <c r="BK168" s="15" t="str">
        <f t="shared" si="301"/>
        <v>31.89</v>
      </c>
      <c r="BL168" s="15" t="s">
        <v>1183</v>
      </c>
      <c r="BM168" s="15" t="str">
        <f t="shared" si="302"/>
        <v>45.86</v>
      </c>
      <c r="BN168" s="15" t="s">
        <v>2646</v>
      </c>
      <c r="BQ168" s="15" t="s">
        <v>444</v>
      </c>
      <c r="BS168" s="15" t="s">
        <v>444</v>
      </c>
      <c r="BU168" s="15" t="s">
        <v>444</v>
      </c>
      <c r="BW168" s="15" t="s">
        <v>444</v>
      </c>
      <c r="BZ168" s="15" t="s">
        <v>444</v>
      </c>
      <c r="CB168" s="15" t="s">
        <v>444</v>
      </c>
      <c r="CD168" s="15" t="s">
        <v>444</v>
      </c>
      <c r="CF168" s="15" t="s">
        <v>444</v>
      </c>
      <c r="CI168" s="15" t="s">
        <v>444</v>
      </c>
      <c r="CK168" s="15" t="s">
        <v>444</v>
      </c>
      <c r="CM168" s="15" t="s">
        <v>444</v>
      </c>
      <c r="CO168" s="15" t="s">
        <v>444</v>
      </c>
      <c r="CP168" s="15" t="str">
        <f t="shared" si="303"/>
        <v>19.42</v>
      </c>
      <c r="CQ168" s="15" t="str">
        <f t="shared" si="304"/>
        <v>0.55</v>
      </c>
      <c r="CR168" s="15" t="s">
        <v>465</v>
      </c>
      <c r="DB168" s="15" t="s">
        <v>2647</v>
      </c>
      <c r="DC168" s="15" t="str">
        <f>IFERROR(__xludf.DUMMYFUNCTION("""COMPUTED_VALUE"""),"{""value"":25.20,""unit"":""in""}")</f>
        <v>{"value":25.20,"unit":"in"}</v>
      </c>
      <c r="DD168" s="15" t="s">
        <v>2648</v>
      </c>
      <c r="DE168" s="15" t="str">
        <f>IFERROR(__xludf.DUMMYFUNCTION("""COMPUTED_VALUE"""),"{""value"":16.97,""unit"":""in""}")</f>
        <v>{"value":16.97,"unit":"in"}</v>
      </c>
      <c r="DG168" s="15" t="str">
        <f>IFERROR(__xludf.DUMMYFUNCTION("""COMPUTED_VALUE"""),"")</f>
        <v/>
      </c>
      <c r="DH168" s="15">
        <v>0.0</v>
      </c>
      <c r="DI168" s="15">
        <v>1.0</v>
      </c>
      <c r="DJ168" s="15" t="s">
        <v>717</v>
      </c>
      <c r="DK168" s="15" t="s">
        <v>934</v>
      </c>
      <c r="DL168" s="15" t="str">
        <f>IFERROR(__xludf.DUMMYFUNCTION("""COMPUTED_VALUE"""),"Spot clean with water-based or solvent-based cleaner. Use mild detergent or upholstery shampoo.")</f>
        <v>Spot clean with water-based or solvent-based cleaner. Use mild detergent or upholstery shampoo.</v>
      </c>
      <c r="DM168" s="15" t="s">
        <v>935</v>
      </c>
      <c r="DT168" s="15" t="s">
        <v>420</v>
      </c>
      <c r="DU168" s="15" t="s">
        <v>419</v>
      </c>
      <c r="DV168" s="15">
        <v>0.0</v>
      </c>
      <c r="DZ168" s="15">
        <v>50000.0</v>
      </c>
      <c r="EA168" s="15" t="s">
        <v>990</v>
      </c>
      <c r="EB168" s="15" t="s">
        <v>1016</v>
      </c>
      <c r="ED168" s="15">
        <v>1.0</v>
      </c>
      <c r="EE168" s="15">
        <v>1.0</v>
      </c>
      <c r="EG168" s="15" t="s">
        <v>444</v>
      </c>
      <c r="EH168" s="15" t="s">
        <v>2649</v>
      </c>
      <c r="EI168" s="15">
        <v>0.0</v>
      </c>
      <c r="EJ168" s="15" t="s">
        <v>726</v>
      </c>
      <c r="EK168" s="15" t="s">
        <v>727</v>
      </c>
      <c r="EL168" s="15" t="s">
        <v>2650</v>
      </c>
      <c r="EM168" s="15" t="str">
        <f>IFERROR(__xludf.DUMMYFUNCTION("""COMPUTED_VALUE"""),"{""value"":25.63,""unit"":""in""}")</f>
        <v>{"value":25.63,"unit":"in"}</v>
      </c>
      <c r="EN168" s="15" t="s">
        <v>2347</v>
      </c>
      <c r="EO168" s="15" t="s">
        <v>2651</v>
      </c>
      <c r="ES168" s="15" t="s">
        <v>2144</v>
      </c>
      <c r="EW168" s="15" t="s">
        <v>714</v>
      </c>
      <c r="EX168" s="15" t="s">
        <v>1603</v>
      </c>
      <c r="EY168" s="15" t="s">
        <v>2652</v>
      </c>
      <c r="EZ168" s="15" t="s">
        <v>2653</v>
      </c>
      <c r="FC168" s="15" t="s">
        <v>1016</v>
      </c>
      <c r="FF168" s="15" t="s">
        <v>2502</v>
      </c>
      <c r="FO168" s="15" t="s">
        <v>2654</v>
      </c>
      <c r="FP168" s="15" t="s">
        <v>2655</v>
      </c>
      <c r="FQ168" s="15">
        <v>0.0</v>
      </c>
      <c r="FR168" s="15">
        <v>0.0</v>
      </c>
      <c r="FT168" s="15">
        <v>0.0</v>
      </c>
    </row>
    <row r="169" ht="15.75" customHeight="1">
      <c r="A169" s="14" t="s">
        <v>391</v>
      </c>
      <c r="B169" s="15" t="s">
        <v>2639</v>
      </c>
      <c r="C169" s="16"/>
      <c r="D169" s="15" t="s">
        <v>432</v>
      </c>
      <c r="G169" s="14" t="s">
        <v>393</v>
      </c>
      <c r="H169" s="14" t="s">
        <v>394</v>
      </c>
      <c r="I169" s="14" t="b">
        <v>1</v>
      </c>
      <c r="J169" s="14" t="s">
        <v>395</v>
      </c>
      <c r="L169" s="14" t="b">
        <v>0</v>
      </c>
      <c r="M169" s="15" t="s">
        <v>2662</v>
      </c>
      <c r="N169" s="14" t="s">
        <v>393</v>
      </c>
      <c r="O169" s="14" t="s">
        <v>393</v>
      </c>
      <c r="P169" s="15" t="s">
        <v>397</v>
      </c>
      <c r="Q169" s="15" t="s">
        <v>2663</v>
      </c>
      <c r="T169" s="14" t="b">
        <v>0</v>
      </c>
      <c r="U169" s="15" t="s">
        <v>2664</v>
      </c>
      <c r="V169" s="15" t="s">
        <v>2642</v>
      </c>
      <c r="W169" s="15" t="s">
        <v>401</v>
      </c>
      <c r="X169" s="15" t="s">
        <v>695</v>
      </c>
      <c r="Y169" s="15">
        <v>1209.0</v>
      </c>
      <c r="AA169" s="15" t="str">
        <f>"465"</f>
        <v>465</v>
      </c>
      <c r="AB169" s="14" t="b">
        <v>1</v>
      </c>
      <c r="AC169" s="14" t="b">
        <v>1</v>
      </c>
      <c r="AD169" s="15" t="str">
        <f>"801542064129"</f>
        <v>801542064129</v>
      </c>
      <c r="AE169" s="15" t="s">
        <v>2665</v>
      </c>
      <c r="AF169" s="14" t="s">
        <v>404</v>
      </c>
      <c r="AG169" s="14" t="s">
        <v>405</v>
      </c>
      <c r="AH169" s="14" t="s">
        <v>406</v>
      </c>
      <c r="AI169" s="15">
        <v>0.0</v>
      </c>
      <c r="AL169" s="15" t="s">
        <v>2666</v>
      </c>
      <c r="AM169" s="15" t="s">
        <v>1472</v>
      </c>
      <c r="AN169" s="15" t="s">
        <v>1473</v>
      </c>
      <c r="AO169" s="15" t="s">
        <v>1944</v>
      </c>
      <c r="AP169" s="15" t="s">
        <v>1945</v>
      </c>
      <c r="AQ169" s="15" t="s">
        <v>546</v>
      </c>
      <c r="AR169" s="15" t="s">
        <v>547</v>
      </c>
      <c r="AS169" s="15" t="s">
        <v>2492</v>
      </c>
      <c r="AT169" s="15" t="s">
        <v>2663</v>
      </c>
      <c r="AU169" s="15" t="s">
        <v>2644</v>
      </c>
      <c r="AW169" s="15" t="s">
        <v>706</v>
      </c>
      <c r="AX169" s="15" t="s">
        <v>707</v>
      </c>
      <c r="AY169" s="15" t="s">
        <v>413</v>
      </c>
      <c r="AZ169" s="15" t="b">
        <v>0</v>
      </c>
      <c r="BA169" s="15" t="s">
        <v>413</v>
      </c>
      <c r="BB169" s="15" t="b">
        <v>0</v>
      </c>
      <c r="BC169" s="15" t="s">
        <v>2667</v>
      </c>
      <c r="BD169" s="15" t="s">
        <v>709</v>
      </c>
      <c r="BE169" s="15" t="str">
        <f t="shared" si="298"/>
        <v>1</v>
      </c>
      <c r="BF169" s="15" t="s">
        <v>416</v>
      </c>
      <c r="BG169" s="15" t="str">
        <f t="shared" si="299"/>
        <v>34.25</v>
      </c>
      <c r="BH169" s="15" t="s">
        <v>605</v>
      </c>
      <c r="BI169" s="15" t="str">
        <f t="shared" si="300"/>
        <v>30.71</v>
      </c>
      <c r="BJ169" s="15" t="s">
        <v>1281</v>
      </c>
      <c r="BK169" s="15" t="str">
        <f t="shared" si="301"/>
        <v>31.89</v>
      </c>
      <c r="BL169" s="15" t="s">
        <v>1183</v>
      </c>
      <c r="BM169" s="15" t="str">
        <f t="shared" si="302"/>
        <v>45.86</v>
      </c>
      <c r="BN169" s="15" t="s">
        <v>2646</v>
      </c>
      <c r="BQ169" s="15" t="s">
        <v>444</v>
      </c>
      <c r="BS169" s="15" t="s">
        <v>444</v>
      </c>
      <c r="BU169" s="15" t="s">
        <v>444</v>
      </c>
      <c r="BW169" s="15" t="s">
        <v>444</v>
      </c>
      <c r="BZ169" s="15" t="s">
        <v>444</v>
      </c>
      <c r="CB169" s="15" t="s">
        <v>444</v>
      </c>
      <c r="CD169" s="15" t="s">
        <v>444</v>
      </c>
      <c r="CF169" s="15" t="s">
        <v>444</v>
      </c>
      <c r="CI169" s="15" t="s">
        <v>444</v>
      </c>
      <c r="CK169" s="15" t="s">
        <v>444</v>
      </c>
      <c r="CM169" s="15" t="s">
        <v>444</v>
      </c>
      <c r="CO169" s="15" t="s">
        <v>444</v>
      </c>
      <c r="CP169" s="15" t="str">
        <f t="shared" si="303"/>
        <v>19.42</v>
      </c>
      <c r="CQ169" s="15" t="str">
        <f t="shared" si="304"/>
        <v>0.55</v>
      </c>
      <c r="CR169" s="15" t="s">
        <v>465</v>
      </c>
      <c r="DB169" s="15" t="s">
        <v>2647</v>
      </c>
      <c r="DC169" s="15" t="str">
        <f>IFERROR(__xludf.DUMMYFUNCTION("""COMPUTED_VALUE"""),"{""value"":25.20,""unit"":""in""}")</f>
        <v>{"value":25.20,"unit":"in"}</v>
      </c>
      <c r="DD169" s="15" t="s">
        <v>2648</v>
      </c>
      <c r="DE169" s="15" t="str">
        <f>IFERROR(__xludf.DUMMYFUNCTION("""COMPUTED_VALUE"""),"{""value"":16.97,""unit"":""in""}")</f>
        <v>{"value":16.97,"unit":"in"}</v>
      </c>
      <c r="DG169" s="15" t="str">
        <f>IFERROR(__xludf.DUMMYFUNCTION("""COMPUTED_VALUE"""),"")</f>
        <v/>
      </c>
      <c r="DH169" s="15">
        <v>0.0</v>
      </c>
      <c r="DI169" s="15">
        <v>1.0</v>
      </c>
      <c r="DJ169" s="15" t="s">
        <v>717</v>
      </c>
      <c r="DK169" s="15" t="s">
        <v>855</v>
      </c>
      <c r="DL169" s="15" t="str">
        <f>IFERROR(__xludf.DUMMYFUNCTION("""COMPUTED_VALUE"""),"Clean with solvent-based (dry clean only) products. Do not use water.")</f>
        <v>Clean with solvent-based (dry clean only) products. Do not use water.</v>
      </c>
      <c r="DM169" s="15" t="s">
        <v>856</v>
      </c>
      <c r="DT169" s="15" t="s">
        <v>420</v>
      </c>
      <c r="DU169" s="15" t="s">
        <v>419</v>
      </c>
      <c r="DV169" s="15">
        <v>0.0</v>
      </c>
      <c r="DZ169" s="15">
        <v>30000.0</v>
      </c>
      <c r="EA169" s="15" t="s">
        <v>990</v>
      </c>
      <c r="EB169" s="15" t="s">
        <v>1016</v>
      </c>
      <c r="ED169" s="15">
        <v>1.0</v>
      </c>
      <c r="EE169" s="15">
        <v>1.0</v>
      </c>
      <c r="EG169" s="15" t="s">
        <v>444</v>
      </c>
      <c r="EH169" s="15" t="s">
        <v>2649</v>
      </c>
      <c r="EI169" s="15">
        <v>0.0</v>
      </c>
      <c r="EJ169" s="15" t="s">
        <v>726</v>
      </c>
      <c r="EK169" s="15" t="s">
        <v>727</v>
      </c>
      <c r="EL169" s="15" t="s">
        <v>2650</v>
      </c>
      <c r="EM169" s="15" t="str">
        <f>IFERROR(__xludf.DUMMYFUNCTION("""COMPUTED_VALUE"""),"{""value"":25.63,""unit"":""in""}")</f>
        <v>{"value":25.63,"unit":"in"}</v>
      </c>
      <c r="EN169" s="15" t="s">
        <v>2347</v>
      </c>
      <c r="EO169" s="15" t="s">
        <v>2651</v>
      </c>
      <c r="ES169" s="15" t="s">
        <v>2144</v>
      </c>
      <c r="EW169" s="15" t="s">
        <v>714</v>
      </c>
      <c r="EX169" s="15" t="s">
        <v>1603</v>
      </c>
      <c r="EY169" s="15" t="s">
        <v>2652</v>
      </c>
      <c r="EZ169" s="15" t="s">
        <v>2653</v>
      </c>
      <c r="FC169" s="15" t="s">
        <v>1016</v>
      </c>
      <c r="FF169" s="15" t="s">
        <v>2502</v>
      </c>
      <c r="FO169" s="15" t="s">
        <v>2654</v>
      </c>
      <c r="FP169" s="15" t="s">
        <v>2655</v>
      </c>
      <c r="FQ169" s="15">
        <v>0.0</v>
      </c>
      <c r="FR169" s="15">
        <v>0.0</v>
      </c>
      <c r="FT169" s="15">
        <v>0.0</v>
      </c>
    </row>
    <row r="170" ht="15.75" customHeight="1">
      <c r="A170" s="14" t="s">
        <v>391</v>
      </c>
      <c r="B170" s="15" t="s">
        <v>2668</v>
      </c>
      <c r="C170" s="16"/>
      <c r="D170" s="15" t="s">
        <v>432</v>
      </c>
      <c r="G170" s="14" t="s">
        <v>393</v>
      </c>
      <c r="H170" s="14" t="s">
        <v>394</v>
      </c>
      <c r="I170" s="14" t="b">
        <v>1</v>
      </c>
      <c r="J170" s="14" t="s">
        <v>395</v>
      </c>
      <c r="L170" s="14" t="b">
        <v>0</v>
      </c>
      <c r="M170" s="15" t="s">
        <v>2669</v>
      </c>
      <c r="N170" s="14" t="s">
        <v>393</v>
      </c>
      <c r="O170" s="14" t="s">
        <v>393</v>
      </c>
      <c r="P170" s="15" t="s">
        <v>397</v>
      </c>
      <c r="Q170" s="15" t="s">
        <v>2670</v>
      </c>
      <c r="T170" s="14" t="b">
        <v>0</v>
      </c>
      <c r="U170" s="15" t="s">
        <v>2671</v>
      </c>
      <c r="V170" s="15" t="s">
        <v>2672</v>
      </c>
      <c r="W170" s="15" t="s">
        <v>401</v>
      </c>
      <c r="X170" s="15" t="s">
        <v>1296</v>
      </c>
      <c r="Y170" s="15">
        <v>1638.0</v>
      </c>
      <c r="AA170" s="15" t="str">
        <f t="shared" ref="AA170:AA171" si="305">"630"</f>
        <v>630</v>
      </c>
      <c r="AB170" s="14" t="b">
        <v>1</v>
      </c>
      <c r="AC170" s="14" t="b">
        <v>1</v>
      </c>
      <c r="AD170" s="15" t="str">
        <f>"801542579869"</f>
        <v>801542579869</v>
      </c>
      <c r="AE170" s="15" t="s">
        <v>2673</v>
      </c>
      <c r="AF170" s="14" t="s">
        <v>404</v>
      </c>
      <c r="AG170" s="14" t="s">
        <v>405</v>
      </c>
      <c r="AH170" s="14" t="s">
        <v>406</v>
      </c>
      <c r="AI170" s="15">
        <v>0.0</v>
      </c>
      <c r="AL170" s="15" t="s">
        <v>2674</v>
      </c>
      <c r="AM170" s="15" t="s">
        <v>2675</v>
      </c>
      <c r="AN170" s="15" t="s">
        <v>2676</v>
      </c>
      <c r="AO170" s="15" t="s">
        <v>2675</v>
      </c>
      <c r="AP170" s="15" t="s">
        <v>2676</v>
      </c>
      <c r="AQ170" s="15" t="s">
        <v>546</v>
      </c>
      <c r="AR170" s="15" t="s">
        <v>547</v>
      </c>
      <c r="AS170" s="15" t="s">
        <v>2677</v>
      </c>
      <c r="AT170" s="15" t="s">
        <v>2670</v>
      </c>
      <c r="AU170" s="15" t="s">
        <v>2678</v>
      </c>
      <c r="AW170" s="15" t="s">
        <v>548</v>
      </c>
      <c r="AX170" s="15" t="s">
        <v>549</v>
      </c>
      <c r="AY170" s="15" t="s">
        <v>413</v>
      </c>
      <c r="AZ170" s="15" t="b">
        <v>0</v>
      </c>
      <c r="BA170" s="15" t="s">
        <v>413</v>
      </c>
      <c r="BB170" s="15" t="b">
        <v>0</v>
      </c>
      <c r="BC170" s="15" t="s">
        <v>2679</v>
      </c>
      <c r="BD170" s="15" t="s">
        <v>1303</v>
      </c>
      <c r="BE170" s="15" t="str">
        <f t="shared" ref="BE170:BE173" si="306">"2"</f>
        <v>2</v>
      </c>
      <c r="BF170" s="15" t="s">
        <v>2238</v>
      </c>
      <c r="BG170" s="15" t="str">
        <f t="shared" ref="BG170:BG171" si="307">"27.5"</f>
        <v>27.5</v>
      </c>
      <c r="BH170" s="15" t="s">
        <v>1056</v>
      </c>
      <c r="BI170" s="15" t="str">
        <f t="shared" ref="BI170:BI171" si="308">"27.5"</f>
        <v>27.5</v>
      </c>
      <c r="BJ170" s="15" t="s">
        <v>1056</v>
      </c>
      <c r="BK170" s="15" t="str">
        <f>"29"</f>
        <v>29</v>
      </c>
      <c r="BL170" s="15" t="s">
        <v>1275</v>
      </c>
      <c r="BM170" s="15" t="str">
        <f>"47.62"</f>
        <v>47.62</v>
      </c>
      <c r="BN170" s="15" t="s">
        <v>2680</v>
      </c>
      <c r="BO170" s="15" t="s">
        <v>1564</v>
      </c>
      <c r="BP170" s="15" t="str">
        <f>"57.5"</f>
        <v>57.5</v>
      </c>
      <c r="BQ170" s="15" t="s">
        <v>2681</v>
      </c>
      <c r="BR170" s="15" t="str">
        <f>"7.5"</f>
        <v>7.5</v>
      </c>
      <c r="BS170" s="15" t="s">
        <v>2566</v>
      </c>
      <c r="BT170" s="15" t="str">
        <f t="shared" ref="BT170:BT171" si="309">"57.5"</f>
        <v>57.5</v>
      </c>
      <c r="BU170" s="15" t="s">
        <v>2681</v>
      </c>
      <c r="BV170" s="15" t="str">
        <f>"118.72"</f>
        <v>118.72</v>
      </c>
      <c r="BW170" s="15" t="s">
        <v>2682</v>
      </c>
      <c r="BZ170" s="15" t="s">
        <v>444</v>
      </c>
      <c r="CB170" s="15" t="s">
        <v>444</v>
      </c>
      <c r="CD170" s="15" t="s">
        <v>444</v>
      </c>
      <c r="CF170" s="15" t="s">
        <v>444</v>
      </c>
      <c r="CI170" s="15" t="s">
        <v>444</v>
      </c>
      <c r="CK170" s="15" t="s">
        <v>444</v>
      </c>
      <c r="CM170" s="15" t="s">
        <v>444</v>
      </c>
      <c r="CO170" s="15" t="s">
        <v>444</v>
      </c>
      <c r="CP170" s="15" t="str">
        <f>"27.02"</f>
        <v>27.02</v>
      </c>
      <c r="CQ170" s="15" t="str">
        <f>"0.765"</f>
        <v>0.765</v>
      </c>
      <c r="CR170" s="15" t="s">
        <v>465</v>
      </c>
      <c r="DC170" s="15" t="str">
        <f>IFERROR(__xludf.DUMMYFUNCTION("""COMPUTED_VALUE"""),"")</f>
        <v/>
      </c>
      <c r="DE170" s="15" t="str">
        <f>IFERROR(__xludf.DUMMYFUNCTION("""COMPUTED_VALUE"""),"")</f>
        <v/>
      </c>
      <c r="DG170" s="15" t="str">
        <f>IFERROR(__xludf.DUMMYFUNCTION("""COMPUTED_VALUE"""),"")</f>
        <v/>
      </c>
      <c r="DL170" s="15" t="str">
        <f>IFERROR(__xludf.DUMMYFUNCTION("""COMPUTED_VALUE"""),"")</f>
        <v/>
      </c>
      <c r="DM170" s="15" t="s">
        <v>444</v>
      </c>
      <c r="DN170" s="15" t="s">
        <v>419</v>
      </c>
      <c r="DO170" s="15">
        <v>0.0</v>
      </c>
      <c r="DP170" s="15" t="s">
        <v>419</v>
      </c>
      <c r="DR170" s="15">
        <v>0.0</v>
      </c>
      <c r="DU170" s="15" t="s">
        <v>419</v>
      </c>
      <c r="DW170" s="15">
        <v>0.0</v>
      </c>
      <c r="DX170" s="15">
        <v>0.0</v>
      </c>
      <c r="DY170" s="15">
        <v>0.0</v>
      </c>
      <c r="EE170" s="15">
        <v>6.0</v>
      </c>
      <c r="EF170" s="15" t="s">
        <v>1157</v>
      </c>
      <c r="EG170" s="15" t="s">
        <v>1158</v>
      </c>
      <c r="EH170" s="15" t="s">
        <v>2683</v>
      </c>
      <c r="EJ170" s="15" t="s">
        <v>500</v>
      </c>
      <c r="EK170" s="15" t="s">
        <v>501</v>
      </c>
      <c r="EM170" s="15" t="str">
        <f>IFERROR(__xludf.DUMMYFUNCTION("""COMPUTED_VALUE"""),"")</f>
        <v/>
      </c>
      <c r="EW170" s="15" t="s">
        <v>555</v>
      </c>
      <c r="FH170" s="15" t="s">
        <v>1211</v>
      </c>
      <c r="FI170" s="15" t="s">
        <v>555</v>
      </c>
      <c r="FJ170" s="15" t="s">
        <v>1211</v>
      </c>
      <c r="FK170" s="15" t="s">
        <v>1188</v>
      </c>
      <c r="FM170" s="15">
        <v>0.0</v>
      </c>
      <c r="FN170" s="15">
        <v>0.0</v>
      </c>
      <c r="FV170" s="15" t="s">
        <v>555</v>
      </c>
      <c r="FW170" s="15" t="s">
        <v>1287</v>
      </c>
      <c r="FX170" s="15" t="s">
        <v>2244</v>
      </c>
    </row>
    <row r="171" ht="15.75" customHeight="1">
      <c r="A171" s="14" t="s">
        <v>391</v>
      </c>
      <c r="B171" s="15" t="s">
        <v>2668</v>
      </c>
      <c r="C171" s="16"/>
      <c r="D171" s="15" t="s">
        <v>432</v>
      </c>
      <c r="G171" s="14" t="s">
        <v>393</v>
      </c>
      <c r="H171" s="14" t="s">
        <v>394</v>
      </c>
      <c r="I171" s="14" t="b">
        <v>1</v>
      </c>
      <c r="J171" s="14" t="s">
        <v>395</v>
      </c>
      <c r="L171" s="14" t="b">
        <v>0</v>
      </c>
      <c r="M171" s="15" t="s">
        <v>2684</v>
      </c>
      <c r="N171" s="14" t="s">
        <v>393</v>
      </c>
      <c r="O171" s="14" t="s">
        <v>393</v>
      </c>
      <c r="P171" s="15" t="s">
        <v>397</v>
      </c>
      <c r="Q171" s="15" t="s">
        <v>2685</v>
      </c>
      <c r="T171" s="14" t="b">
        <v>0</v>
      </c>
      <c r="U171" s="15" t="s">
        <v>2686</v>
      </c>
      <c r="V171" s="15" t="s">
        <v>2687</v>
      </c>
      <c r="W171" s="15" t="s">
        <v>401</v>
      </c>
      <c r="X171" s="15" t="s">
        <v>1296</v>
      </c>
      <c r="Y171" s="15">
        <v>1638.0</v>
      </c>
      <c r="AA171" s="15" t="str">
        <f t="shared" si="305"/>
        <v>630</v>
      </c>
      <c r="AB171" s="14" t="b">
        <v>1</v>
      </c>
      <c r="AC171" s="14" t="b">
        <v>1</v>
      </c>
      <c r="AD171" s="15" t="str">
        <f>"801542296889"</f>
        <v>801542296889</v>
      </c>
      <c r="AE171" s="15" t="s">
        <v>2688</v>
      </c>
      <c r="AF171" s="14" t="s">
        <v>404</v>
      </c>
      <c r="AG171" s="14" t="s">
        <v>405</v>
      </c>
      <c r="AH171" s="14" t="s">
        <v>406</v>
      </c>
      <c r="AI171" s="15">
        <v>0.0</v>
      </c>
      <c r="AL171" s="15" t="s">
        <v>2689</v>
      </c>
      <c r="AM171" s="15" t="s">
        <v>2675</v>
      </c>
      <c r="AN171" s="15" t="s">
        <v>2676</v>
      </c>
      <c r="AO171" s="15" t="s">
        <v>2675</v>
      </c>
      <c r="AP171" s="15" t="s">
        <v>2676</v>
      </c>
      <c r="AQ171" s="15" t="s">
        <v>546</v>
      </c>
      <c r="AR171" s="15" t="s">
        <v>547</v>
      </c>
      <c r="AS171" s="15" t="s">
        <v>2677</v>
      </c>
      <c r="AT171" s="15" t="s">
        <v>2685</v>
      </c>
      <c r="AW171" s="15" t="s">
        <v>548</v>
      </c>
      <c r="AX171" s="15" t="s">
        <v>549</v>
      </c>
      <c r="AY171" s="15" t="s">
        <v>413</v>
      </c>
      <c r="AZ171" s="15" t="b">
        <v>0</v>
      </c>
      <c r="BA171" s="15" t="s">
        <v>413</v>
      </c>
      <c r="BB171" s="15" t="b">
        <v>0</v>
      </c>
      <c r="BC171" s="15" t="s">
        <v>2690</v>
      </c>
      <c r="BD171" s="15" t="s">
        <v>1303</v>
      </c>
      <c r="BE171" s="15" t="str">
        <f t="shared" si="306"/>
        <v>2</v>
      </c>
      <c r="BF171" s="15" t="s">
        <v>2238</v>
      </c>
      <c r="BG171" s="15" t="str">
        <f t="shared" si="307"/>
        <v>27.5</v>
      </c>
      <c r="BH171" s="15" t="s">
        <v>1056</v>
      </c>
      <c r="BI171" s="15" t="str">
        <f t="shared" si="308"/>
        <v>27.5</v>
      </c>
      <c r="BJ171" s="15" t="s">
        <v>1056</v>
      </c>
      <c r="BK171" s="15" t="str">
        <f>"28.5"</f>
        <v>28.5</v>
      </c>
      <c r="BL171" s="15" t="s">
        <v>2013</v>
      </c>
      <c r="BM171" s="15" t="str">
        <f>"47.18"</f>
        <v>47.18</v>
      </c>
      <c r="BN171" s="15" t="s">
        <v>2691</v>
      </c>
      <c r="BO171" s="15" t="s">
        <v>1564</v>
      </c>
      <c r="BP171" s="15" t="str">
        <f>"57.25"</f>
        <v>57.25</v>
      </c>
      <c r="BQ171" s="15" t="s">
        <v>2692</v>
      </c>
      <c r="BR171" s="15" t="str">
        <f>"7.25"</f>
        <v>7.25</v>
      </c>
      <c r="BS171" s="15" t="s">
        <v>2693</v>
      </c>
      <c r="BT171" s="15" t="str">
        <f t="shared" si="309"/>
        <v>57.5</v>
      </c>
      <c r="BU171" s="15" t="s">
        <v>2681</v>
      </c>
      <c r="BV171" s="15" t="str">
        <f>"133.82"</f>
        <v>133.82</v>
      </c>
      <c r="BW171" s="15" t="s">
        <v>2694</v>
      </c>
      <c r="BZ171" s="15" t="s">
        <v>444</v>
      </c>
      <c r="CB171" s="15" t="s">
        <v>444</v>
      </c>
      <c r="CD171" s="15" t="s">
        <v>444</v>
      </c>
      <c r="CF171" s="15" t="s">
        <v>444</v>
      </c>
      <c r="CI171" s="15" t="s">
        <v>444</v>
      </c>
      <c r="CK171" s="15" t="s">
        <v>444</v>
      </c>
      <c r="CM171" s="15" t="s">
        <v>444</v>
      </c>
      <c r="CO171" s="15" t="s">
        <v>444</v>
      </c>
      <c r="CP171" s="15" t="str">
        <f>"26.27"</f>
        <v>26.27</v>
      </c>
      <c r="CQ171" s="15" t="str">
        <f>"0.744"</f>
        <v>0.744</v>
      </c>
      <c r="CR171" s="15" t="s">
        <v>465</v>
      </c>
      <c r="DC171" s="15" t="str">
        <f>IFERROR(__xludf.DUMMYFUNCTION("""COMPUTED_VALUE"""),"")</f>
        <v/>
      </c>
      <c r="DE171" s="15" t="str">
        <f>IFERROR(__xludf.DUMMYFUNCTION("""COMPUTED_VALUE"""),"")</f>
        <v/>
      </c>
      <c r="DG171" s="15" t="str">
        <f>IFERROR(__xludf.DUMMYFUNCTION("""COMPUTED_VALUE"""),"")</f>
        <v/>
      </c>
      <c r="DL171" s="15" t="str">
        <f>IFERROR(__xludf.DUMMYFUNCTION("""COMPUTED_VALUE"""),"")</f>
        <v/>
      </c>
      <c r="DM171" s="15" t="s">
        <v>444</v>
      </c>
      <c r="DN171" s="15" t="s">
        <v>419</v>
      </c>
      <c r="DO171" s="15">
        <v>0.0</v>
      </c>
      <c r="DP171" s="15" t="s">
        <v>419</v>
      </c>
      <c r="DR171" s="15">
        <v>0.0</v>
      </c>
      <c r="DU171" s="15" t="s">
        <v>419</v>
      </c>
      <c r="DW171" s="15">
        <v>0.0</v>
      </c>
      <c r="DX171" s="15">
        <v>0.0</v>
      </c>
      <c r="DY171" s="15">
        <v>0.0</v>
      </c>
      <c r="EE171" s="15">
        <v>6.0</v>
      </c>
      <c r="EF171" s="15" t="s">
        <v>1157</v>
      </c>
      <c r="EG171" s="15" t="s">
        <v>1158</v>
      </c>
      <c r="EH171" s="15" t="s">
        <v>2683</v>
      </c>
      <c r="EJ171" s="15" t="s">
        <v>500</v>
      </c>
      <c r="EK171" s="15" t="s">
        <v>501</v>
      </c>
      <c r="EM171" s="15" t="str">
        <f>IFERROR(__xludf.DUMMYFUNCTION("""COMPUTED_VALUE"""),"")</f>
        <v/>
      </c>
      <c r="EW171" s="15" t="s">
        <v>555</v>
      </c>
      <c r="FH171" s="15" t="s">
        <v>1211</v>
      </c>
      <c r="FI171" s="15" t="s">
        <v>555</v>
      </c>
      <c r="FJ171" s="15" t="s">
        <v>1211</v>
      </c>
      <c r="FK171" s="15" t="s">
        <v>1188</v>
      </c>
      <c r="FM171" s="15">
        <v>0.0</v>
      </c>
      <c r="FN171" s="15">
        <v>0.0</v>
      </c>
      <c r="FV171" s="15" t="s">
        <v>555</v>
      </c>
      <c r="FW171" s="15" t="s">
        <v>1287</v>
      </c>
      <c r="FX171" s="15" t="s">
        <v>2244</v>
      </c>
    </row>
    <row r="172" ht="15.75" customHeight="1">
      <c r="A172" s="14" t="s">
        <v>391</v>
      </c>
      <c r="B172" s="15" t="s">
        <v>2695</v>
      </c>
      <c r="C172" s="16"/>
      <c r="D172" s="15" t="s">
        <v>432</v>
      </c>
      <c r="G172" s="14" t="s">
        <v>393</v>
      </c>
      <c r="H172" s="14" t="s">
        <v>394</v>
      </c>
      <c r="I172" s="14" t="b">
        <v>1</v>
      </c>
      <c r="J172" s="14" t="s">
        <v>395</v>
      </c>
      <c r="L172" s="14" t="b">
        <v>0</v>
      </c>
      <c r="M172" s="15" t="s">
        <v>2696</v>
      </c>
      <c r="N172" s="14" t="s">
        <v>393</v>
      </c>
      <c r="O172" s="14" t="s">
        <v>393</v>
      </c>
      <c r="P172" s="15" t="s">
        <v>397</v>
      </c>
      <c r="Q172" s="15" t="s">
        <v>2697</v>
      </c>
      <c r="T172" s="14" t="b">
        <v>0</v>
      </c>
      <c r="U172" s="15" t="s">
        <v>2698</v>
      </c>
      <c r="V172" s="15" t="s">
        <v>1585</v>
      </c>
      <c r="W172" s="15" t="s">
        <v>401</v>
      </c>
      <c r="X172" s="15" t="s">
        <v>402</v>
      </c>
      <c r="Y172" s="15">
        <v>2405.0</v>
      </c>
      <c r="AA172" s="15" t="str">
        <f>"925"</f>
        <v>925</v>
      </c>
      <c r="AB172" s="14" t="b">
        <v>1</v>
      </c>
      <c r="AC172" s="14" t="b">
        <v>1</v>
      </c>
      <c r="AD172" s="15" t="str">
        <f>"801542605476"</f>
        <v>801542605476</v>
      </c>
      <c r="AE172" s="15" t="s">
        <v>2699</v>
      </c>
      <c r="AF172" s="14" t="s">
        <v>404</v>
      </c>
      <c r="AG172" s="14" t="s">
        <v>405</v>
      </c>
      <c r="AH172" s="14" t="s">
        <v>406</v>
      </c>
      <c r="AI172" s="15">
        <v>0.0</v>
      </c>
      <c r="AL172" s="15" t="s">
        <v>2700</v>
      </c>
      <c r="AM172" s="15" t="s">
        <v>1533</v>
      </c>
      <c r="AN172" s="15" t="s">
        <v>1534</v>
      </c>
      <c r="AO172" s="15" t="s">
        <v>2701</v>
      </c>
      <c r="AP172" s="15" t="s">
        <v>2702</v>
      </c>
      <c r="AQ172" s="15" t="s">
        <v>2703</v>
      </c>
      <c r="AR172" s="15" t="s">
        <v>2704</v>
      </c>
      <c r="AS172" s="15" t="s">
        <v>411</v>
      </c>
      <c r="AT172" s="15" t="s">
        <v>2697</v>
      </c>
      <c r="AW172" s="15" t="s">
        <v>491</v>
      </c>
      <c r="AY172" s="15" t="s">
        <v>413</v>
      </c>
      <c r="AZ172" s="15" t="b">
        <v>0</v>
      </c>
      <c r="BA172" s="15" t="s">
        <v>413</v>
      </c>
      <c r="BB172" s="15" t="b">
        <v>0</v>
      </c>
      <c r="BC172" s="15" t="s">
        <v>2705</v>
      </c>
      <c r="BD172" s="15" t="s">
        <v>415</v>
      </c>
      <c r="BE172" s="15" t="str">
        <f t="shared" si="306"/>
        <v>2</v>
      </c>
      <c r="BF172" s="15" t="s">
        <v>1564</v>
      </c>
      <c r="BG172" s="15" t="str">
        <f t="shared" ref="BG172:BG173" si="310">"59.45"</f>
        <v>59.45</v>
      </c>
      <c r="BH172" s="15" t="s">
        <v>2706</v>
      </c>
      <c r="BI172" s="15" t="str">
        <f t="shared" ref="BI172:BI173" si="311">"57.87"</f>
        <v>57.87</v>
      </c>
      <c r="BJ172" s="15" t="s">
        <v>2707</v>
      </c>
      <c r="BK172" s="15" t="str">
        <f t="shared" ref="BK172:BK173" si="312">"9.06"</f>
        <v>9.06</v>
      </c>
      <c r="BL172" s="15" t="s">
        <v>2481</v>
      </c>
      <c r="BM172" s="15" t="str">
        <f t="shared" ref="BM172:BM173" si="313">"101.85"</f>
        <v>101.85</v>
      </c>
      <c r="BN172" s="15" t="s">
        <v>2708</v>
      </c>
      <c r="BO172" s="15" t="s">
        <v>2709</v>
      </c>
      <c r="BP172" s="15" t="str">
        <f t="shared" ref="BP172:BP173" si="314">"33.46"</f>
        <v>33.46</v>
      </c>
      <c r="BQ172" s="15" t="s">
        <v>1109</v>
      </c>
      <c r="BR172" s="15" t="str">
        <f t="shared" ref="BR172:BR173" si="315">"37.8"</f>
        <v>37.8</v>
      </c>
      <c r="BS172" s="15" t="s">
        <v>756</v>
      </c>
      <c r="BT172" s="15" t="str">
        <f t="shared" ref="BT172:BT173" si="316">"20.87"</f>
        <v>20.87</v>
      </c>
      <c r="BU172" s="15" t="s">
        <v>495</v>
      </c>
      <c r="BV172" s="15" t="str">
        <f t="shared" ref="BV172:BV173" si="317">"43.47"</f>
        <v>43.47</v>
      </c>
      <c r="BW172" s="15" t="s">
        <v>2710</v>
      </c>
      <c r="BZ172" s="15" t="s">
        <v>444</v>
      </c>
      <c r="CB172" s="15" t="s">
        <v>444</v>
      </c>
      <c r="CD172" s="15" t="s">
        <v>444</v>
      </c>
      <c r="CF172" s="15" t="s">
        <v>444</v>
      </c>
      <c r="CI172" s="15" t="s">
        <v>444</v>
      </c>
      <c r="CK172" s="15" t="s">
        <v>444</v>
      </c>
      <c r="CM172" s="15" t="s">
        <v>444</v>
      </c>
      <c r="CO172" s="15" t="s">
        <v>444</v>
      </c>
      <c r="CP172" s="15" t="str">
        <f t="shared" ref="CP172:CP173" si="318">"33.3"</f>
        <v>33.3</v>
      </c>
      <c r="CQ172" s="15" t="str">
        <f t="shared" ref="CQ172:CQ173" si="319">"0.943"</f>
        <v>0.943</v>
      </c>
      <c r="CR172" s="15" t="s">
        <v>417</v>
      </c>
      <c r="DC172" s="15" t="str">
        <f>IFERROR(__xludf.DUMMYFUNCTION("""COMPUTED_VALUE"""),"")</f>
        <v/>
      </c>
      <c r="DE172" s="15" t="str">
        <f>IFERROR(__xludf.DUMMYFUNCTION("""COMPUTED_VALUE"""),"")</f>
        <v/>
      </c>
      <c r="DG172" s="15" t="str">
        <f>IFERROR(__xludf.DUMMYFUNCTION("""COMPUTED_VALUE"""),"")</f>
        <v/>
      </c>
      <c r="DL172" s="15" t="str">
        <f>IFERROR(__xludf.DUMMYFUNCTION("""COMPUTED_VALUE"""),"")</f>
        <v/>
      </c>
      <c r="DM172" s="15" t="s">
        <v>444</v>
      </c>
      <c r="DN172" s="15" t="s">
        <v>419</v>
      </c>
      <c r="DO172" s="15">
        <v>0.0</v>
      </c>
      <c r="DP172" s="15" t="s">
        <v>419</v>
      </c>
      <c r="DR172" s="15">
        <v>0.0</v>
      </c>
      <c r="DT172" s="15" t="s">
        <v>420</v>
      </c>
      <c r="DU172" s="15" t="s">
        <v>419</v>
      </c>
      <c r="DY172" s="15">
        <v>0.0</v>
      </c>
      <c r="EF172" s="15" t="s">
        <v>1857</v>
      </c>
      <c r="EG172" s="15" t="s">
        <v>1858</v>
      </c>
      <c r="EH172" s="15" t="s">
        <v>2711</v>
      </c>
      <c r="EJ172" s="15" t="s">
        <v>500</v>
      </c>
      <c r="EK172" s="15" t="s">
        <v>501</v>
      </c>
      <c r="EM172" s="15" t="str">
        <f>IFERROR(__xludf.DUMMYFUNCTION("""COMPUTED_VALUE"""),"")</f>
        <v/>
      </c>
      <c r="EW172" s="15" t="s">
        <v>1592</v>
      </c>
      <c r="FH172" s="15" t="s">
        <v>734</v>
      </c>
      <c r="FI172" s="15" t="s">
        <v>1592</v>
      </c>
      <c r="FJ172" s="15" t="s">
        <v>2712</v>
      </c>
      <c r="FK172" s="15" t="s">
        <v>2713</v>
      </c>
      <c r="FL172" s="15" t="s">
        <v>426</v>
      </c>
      <c r="FM172" s="15">
        <v>0.0</v>
      </c>
      <c r="FN172" s="15">
        <v>0.0</v>
      </c>
      <c r="FW172" s="15" t="s">
        <v>2714</v>
      </c>
    </row>
    <row r="173" ht="15.75" customHeight="1">
      <c r="A173" s="14" t="s">
        <v>391</v>
      </c>
      <c r="B173" s="15" t="s">
        <v>2695</v>
      </c>
      <c r="C173" s="16"/>
      <c r="D173" s="15" t="s">
        <v>432</v>
      </c>
      <c r="G173" s="14" t="s">
        <v>393</v>
      </c>
      <c r="H173" s="14" t="s">
        <v>394</v>
      </c>
      <c r="I173" s="14" t="b">
        <v>1</v>
      </c>
      <c r="J173" s="14" t="s">
        <v>395</v>
      </c>
      <c r="L173" s="14" t="b">
        <v>0</v>
      </c>
      <c r="M173" s="15" t="s">
        <v>2715</v>
      </c>
      <c r="N173" s="14" t="s">
        <v>393</v>
      </c>
      <c r="O173" s="14" t="s">
        <v>393</v>
      </c>
      <c r="P173" s="15" t="s">
        <v>397</v>
      </c>
      <c r="Q173" s="15" t="s">
        <v>2716</v>
      </c>
      <c r="T173" s="14" t="b">
        <v>0</v>
      </c>
      <c r="U173" s="15" t="s">
        <v>2717</v>
      </c>
      <c r="V173" s="15" t="s">
        <v>1585</v>
      </c>
      <c r="W173" s="15" t="s">
        <v>401</v>
      </c>
      <c r="X173" s="15" t="s">
        <v>402</v>
      </c>
      <c r="Y173" s="15">
        <v>2301.0</v>
      </c>
      <c r="AA173" s="15" t="str">
        <f>"885"</f>
        <v>885</v>
      </c>
      <c r="AB173" s="14" t="b">
        <v>1</v>
      </c>
      <c r="AC173" s="14" t="b">
        <v>1</v>
      </c>
      <c r="AD173" s="15" t="str">
        <f>"801542335014"</f>
        <v>801542335014</v>
      </c>
      <c r="AE173" s="15" t="s">
        <v>2718</v>
      </c>
      <c r="AF173" s="14" t="s">
        <v>404</v>
      </c>
      <c r="AG173" s="14" t="s">
        <v>405</v>
      </c>
      <c r="AH173" s="14" t="s">
        <v>406</v>
      </c>
      <c r="AI173" s="15">
        <v>0.0</v>
      </c>
      <c r="AL173" s="15" t="s">
        <v>2719</v>
      </c>
      <c r="AM173" s="15" t="s">
        <v>1533</v>
      </c>
      <c r="AN173" s="15" t="s">
        <v>1534</v>
      </c>
      <c r="AO173" s="15" t="s">
        <v>2701</v>
      </c>
      <c r="AP173" s="15" t="s">
        <v>2702</v>
      </c>
      <c r="AQ173" s="15" t="s">
        <v>2703</v>
      </c>
      <c r="AR173" s="15" t="s">
        <v>2704</v>
      </c>
      <c r="AS173" s="15" t="s">
        <v>411</v>
      </c>
      <c r="AT173" s="15" t="s">
        <v>2716</v>
      </c>
      <c r="AW173" s="15" t="s">
        <v>491</v>
      </c>
      <c r="AY173" s="15" t="s">
        <v>413</v>
      </c>
      <c r="AZ173" s="15" t="b">
        <v>0</v>
      </c>
      <c r="BA173" s="15" t="s">
        <v>413</v>
      </c>
      <c r="BB173" s="15" t="b">
        <v>0</v>
      </c>
      <c r="BC173" s="15" t="s">
        <v>2720</v>
      </c>
      <c r="BD173" s="15" t="s">
        <v>415</v>
      </c>
      <c r="BE173" s="15" t="str">
        <f t="shared" si="306"/>
        <v>2</v>
      </c>
      <c r="BF173" s="15" t="s">
        <v>1564</v>
      </c>
      <c r="BG173" s="15" t="str">
        <f t="shared" si="310"/>
        <v>59.45</v>
      </c>
      <c r="BH173" s="15" t="s">
        <v>2706</v>
      </c>
      <c r="BI173" s="15" t="str">
        <f t="shared" si="311"/>
        <v>57.87</v>
      </c>
      <c r="BJ173" s="15" t="s">
        <v>2707</v>
      </c>
      <c r="BK173" s="15" t="str">
        <f t="shared" si="312"/>
        <v>9.06</v>
      </c>
      <c r="BL173" s="15" t="s">
        <v>2481</v>
      </c>
      <c r="BM173" s="15" t="str">
        <f t="shared" si="313"/>
        <v>101.85</v>
      </c>
      <c r="BN173" s="15" t="s">
        <v>2708</v>
      </c>
      <c r="BO173" s="15" t="s">
        <v>2709</v>
      </c>
      <c r="BP173" s="15" t="str">
        <f t="shared" si="314"/>
        <v>33.46</v>
      </c>
      <c r="BQ173" s="15" t="s">
        <v>1109</v>
      </c>
      <c r="BR173" s="15" t="str">
        <f t="shared" si="315"/>
        <v>37.8</v>
      </c>
      <c r="BS173" s="15" t="s">
        <v>756</v>
      </c>
      <c r="BT173" s="15" t="str">
        <f t="shared" si="316"/>
        <v>20.87</v>
      </c>
      <c r="BU173" s="15" t="s">
        <v>495</v>
      </c>
      <c r="BV173" s="15" t="str">
        <f t="shared" si="317"/>
        <v>43.47</v>
      </c>
      <c r="BW173" s="15" t="s">
        <v>2710</v>
      </c>
      <c r="BZ173" s="15" t="s">
        <v>444</v>
      </c>
      <c r="CB173" s="15" t="s">
        <v>444</v>
      </c>
      <c r="CD173" s="15" t="s">
        <v>444</v>
      </c>
      <c r="CF173" s="15" t="s">
        <v>444</v>
      </c>
      <c r="CI173" s="15" t="s">
        <v>444</v>
      </c>
      <c r="CK173" s="15" t="s">
        <v>444</v>
      </c>
      <c r="CM173" s="15" t="s">
        <v>444</v>
      </c>
      <c r="CO173" s="15" t="s">
        <v>444</v>
      </c>
      <c r="CP173" s="15" t="str">
        <f t="shared" si="318"/>
        <v>33.3</v>
      </c>
      <c r="CQ173" s="15" t="str">
        <f t="shared" si="319"/>
        <v>0.943</v>
      </c>
      <c r="CR173" s="15" t="s">
        <v>497</v>
      </c>
      <c r="DC173" s="15" t="str">
        <f>IFERROR(__xludf.DUMMYFUNCTION("""COMPUTED_VALUE"""),"")</f>
        <v/>
      </c>
      <c r="DE173" s="15" t="str">
        <f>IFERROR(__xludf.DUMMYFUNCTION("""COMPUTED_VALUE"""),"")</f>
        <v/>
      </c>
      <c r="DG173" s="15" t="str">
        <f>IFERROR(__xludf.DUMMYFUNCTION("""COMPUTED_VALUE"""),"")</f>
        <v/>
      </c>
      <c r="DL173" s="15" t="str">
        <f>IFERROR(__xludf.DUMMYFUNCTION("""COMPUTED_VALUE"""),"")</f>
        <v/>
      </c>
      <c r="DM173" s="15" t="s">
        <v>444</v>
      </c>
      <c r="DN173" s="15" t="s">
        <v>419</v>
      </c>
      <c r="DO173" s="15">
        <v>0.0</v>
      </c>
      <c r="DP173" s="15" t="s">
        <v>419</v>
      </c>
      <c r="DR173" s="15">
        <v>0.0</v>
      </c>
      <c r="DT173" s="15" t="s">
        <v>420</v>
      </c>
      <c r="DU173" s="15" t="s">
        <v>419</v>
      </c>
      <c r="DY173" s="15">
        <v>0.0</v>
      </c>
      <c r="EF173" s="15" t="s">
        <v>1857</v>
      </c>
      <c r="EG173" s="15" t="s">
        <v>1858</v>
      </c>
      <c r="EH173" s="15" t="s">
        <v>2711</v>
      </c>
      <c r="EJ173" s="15" t="s">
        <v>500</v>
      </c>
      <c r="EK173" s="15" t="s">
        <v>501</v>
      </c>
      <c r="EM173" s="15" t="str">
        <f>IFERROR(__xludf.DUMMYFUNCTION("""COMPUTED_VALUE"""),"")</f>
        <v/>
      </c>
      <c r="EW173" s="15" t="s">
        <v>1592</v>
      </c>
      <c r="FH173" s="15" t="s">
        <v>734</v>
      </c>
      <c r="FI173" s="15" t="s">
        <v>1592</v>
      </c>
      <c r="FJ173" s="15" t="s">
        <v>2712</v>
      </c>
      <c r="FK173" s="15" t="s">
        <v>2713</v>
      </c>
      <c r="FL173" s="15" t="s">
        <v>426</v>
      </c>
      <c r="FM173" s="15">
        <v>0.0</v>
      </c>
      <c r="FN173" s="15">
        <v>0.0</v>
      </c>
      <c r="FW173" s="15" t="s">
        <v>2714</v>
      </c>
    </row>
    <row r="174" ht="15.75" customHeight="1">
      <c r="A174" s="14" t="s">
        <v>391</v>
      </c>
      <c r="B174" s="15" t="s">
        <v>2721</v>
      </c>
      <c r="C174" s="16"/>
      <c r="D174" s="15" t="s">
        <v>432</v>
      </c>
      <c r="G174" s="14" t="s">
        <v>393</v>
      </c>
      <c r="H174" s="14" t="s">
        <v>394</v>
      </c>
      <c r="I174" s="14" t="b">
        <v>1</v>
      </c>
      <c r="J174" s="14" t="s">
        <v>395</v>
      </c>
      <c r="L174" s="14" t="b">
        <v>0</v>
      </c>
      <c r="M174" s="15" t="s">
        <v>2722</v>
      </c>
      <c r="N174" s="14" t="s">
        <v>393</v>
      </c>
      <c r="O174" s="14" t="s">
        <v>393</v>
      </c>
      <c r="P174" s="15" t="s">
        <v>397</v>
      </c>
      <c r="Q174" s="15" t="s">
        <v>2723</v>
      </c>
      <c r="T174" s="14" t="b">
        <v>0</v>
      </c>
      <c r="U174" s="15" t="s">
        <v>2724</v>
      </c>
      <c r="V174" s="15" t="s">
        <v>2725</v>
      </c>
      <c r="W174" s="15" t="s">
        <v>401</v>
      </c>
      <c r="X174" s="15" t="s">
        <v>695</v>
      </c>
      <c r="Y174" s="15">
        <v>1209.0</v>
      </c>
      <c r="AA174" s="15" t="str">
        <f>"465"</f>
        <v>465</v>
      </c>
      <c r="AB174" s="14" t="b">
        <v>1</v>
      </c>
      <c r="AC174" s="14" t="b">
        <v>1</v>
      </c>
      <c r="AD174" s="15" t="str">
        <f>"801542686741"</f>
        <v>801542686741</v>
      </c>
      <c r="AE174" s="15" t="s">
        <v>2726</v>
      </c>
      <c r="AF174" s="14" t="s">
        <v>404</v>
      </c>
      <c r="AG174" s="14" t="s">
        <v>405</v>
      </c>
      <c r="AH174" s="14" t="s">
        <v>406</v>
      </c>
      <c r="AI174" s="15">
        <v>0.0</v>
      </c>
      <c r="AL174" s="15" t="s">
        <v>2727</v>
      </c>
      <c r="AM174" s="15" t="s">
        <v>701</v>
      </c>
      <c r="AN174" s="15" t="s">
        <v>702</v>
      </c>
      <c r="AO174" s="15" t="s">
        <v>913</v>
      </c>
      <c r="AP174" s="15" t="s">
        <v>914</v>
      </c>
      <c r="AQ174" s="15" t="s">
        <v>2012</v>
      </c>
      <c r="AR174" s="15" t="s">
        <v>2013</v>
      </c>
      <c r="AS174" s="15" t="s">
        <v>1474</v>
      </c>
      <c r="AT174" s="15" t="s">
        <v>2723</v>
      </c>
      <c r="AU174" s="15" t="s">
        <v>2728</v>
      </c>
      <c r="AV174" s="15" t="s">
        <v>2729</v>
      </c>
      <c r="AW174" s="15" t="s">
        <v>706</v>
      </c>
      <c r="AX174" s="15" t="s">
        <v>707</v>
      </c>
      <c r="AY174" s="15" t="s">
        <v>413</v>
      </c>
      <c r="AZ174" s="15" t="b">
        <v>0</v>
      </c>
      <c r="BA174" s="15" t="s">
        <v>413</v>
      </c>
      <c r="BB174" s="15" t="b">
        <v>0</v>
      </c>
      <c r="BC174" s="15" t="s">
        <v>2730</v>
      </c>
      <c r="BD174" s="15" t="s">
        <v>709</v>
      </c>
      <c r="BE174" s="15" t="str">
        <f t="shared" ref="BE174:BE194" si="320">"1"</f>
        <v>1</v>
      </c>
      <c r="BF174" s="15" t="s">
        <v>1208</v>
      </c>
      <c r="BG174" s="15" t="str">
        <f>"28.5"</f>
        <v>28.5</v>
      </c>
      <c r="BH174" s="15" t="s">
        <v>2013</v>
      </c>
      <c r="BI174" s="15" t="str">
        <f>"35.5"</f>
        <v>35.5</v>
      </c>
      <c r="BJ174" s="15" t="s">
        <v>914</v>
      </c>
      <c r="BK174" s="15" t="str">
        <f>"33"</f>
        <v>33</v>
      </c>
      <c r="BL174" s="15" t="s">
        <v>518</v>
      </c>
      <c r="BM174" s="15" t="str">
        <f>"59.8"</f>
        <v>59.8</v>
      </c>
      <c r="BN174" s="15" t="s">
        <v>2731</v>
      </c>
      <c r="BQ174" s="15" t="s">
        <v>444</v>
      </c>
      <c r="BS174" s="15" t="s">
        <v>444</v>
      </c>
      <c r="BU174" s="15" t="s">
        <v>444</v>
      </c>
      <c r="BW174" s="15" t="s">
        <v>444</v>
      </c>
      <c r="BZ174" s="15" t="s">
        <v>444</v>
      </c>
      <c r="CB174" s="15" t="s">
        <v>444</v>
      </c>
      <c r="CD174" s="15" t="s">
        <v>444</v>
      </c>
      <c r="CF174" s="15" t="s">
        <v>444</v>
      </c>
      <c r="CI174" s="15" t="s">
        <v>444</v>
      </c>
      <c r="CK174" s="15" t="s">
        <v>444</v>
      </c>
      <c r="CM174" s="15" t="s">
        <v>444</v>
      </c>
      <c r="CO174" s="15" t="s">
        <v>444</v>
      </c>
      <c r="CP174" s="15" t="str">
        <f>"17.41"</f>
        <v>17.41</v>
      </c>
      <c r="CQ174" s="15" t="str">
        <f>"0.493"</f>
        <v>0.493</v>
      </c>
      <c r="CR174" s="15" t="s">
        <v>417</v>
      </c>
      <c r="CY174" s="15" t="s">
        <v>2652</v>
      </c>
      <c r="CZ174" s="15" t="s">
        <v>761</v>
      </c>
      <c r="DA174" s="15" t="s">
        <v>1488</v>
      </c>
      <c r="DB174" s="15" t="s">
        <v>1331</v>
      </c>
      <c r="DC174" s="15" t="str">
        <f>IFERROR(__xludf.DUMMYFUNCTION("""COMPUTED_VALUE"""),"{""value"":21.00,""unit"":""in""}")</f>
        <v>{"value":21.00,"unit":"in"}</v>
      </c>
      <c r="DD174" s="15" t="s">
        <v>788</v>
      </c>
      <c r="DE174" s="15" t="str">
        <f>IFERROR(__xludf.DUMMYFUNCTION("""COMPUTED_VALUE"""),"{""value"":16.50,""unit"":""in""}")</f>
        <v>{"value":16.50,"unit":"in"}</v>
      </c>
      <c r="DF174" s="15" t="s">
        <v>2732</v>
      </c>
      <c r="DG174" s="15" t="str">
        <f>IFERROR(__xludf.DUMMYFUNCTION("""COMPUTED_VALUE"""),"{""value"":22.75,""unit"":""in""}")</f>
        <v>{"value":22.75,"unit":"in"}</v>
      </c>
      <c r="DH174" s="15">
        <v>0.0</v>
      </c>
      <c r="DI174" s="15">
        <v>1.0</v>
      </c>
      <c r="DJ174" s="15" t="s">
        <v>717</v>
      </c>
      <c r="DK174" s="15" t="s">
        <v>855</v>
      </c>
      <c r="DL174" s="15" t="str">
        <f>IFERROR(__xludf.DUMMYFUNCTION("""COMPUTED_VALUE"""),"Clean with solvent-based (dry clean only) products. Do not use water.")</f>
        <v>Clean with solvent-based (dry clean only) products. Do not use water.</v>
      </c>
      <c r="DM174" s="15" t="s">
        <v>856</v>
      </c>
      <c r="DQ174" s="15" t="s">
        <v>1239</v>
      </c>
      <c r="DT174" s="15" t="s">
        <v>1111</v>
      </c>
      <c r="DU174" s="15" t="s">
        <v>419</v>
      </c>
      <c r="DV174" s="15">
        <v>0.0</v>
      </c>
      <c r="DZ174" s="15">
        <v>25000.0</v>
      </c>
      <c r="EA174" s="15" t="s">
        <v>2733</v>
      </c>
      <c r="EB174" s="15" t="s">
        <v>723</v>
      </c>
      <c r="EC174" s="15" t="s">
        <v>724</v>
      </c>
      <c r="ED174" s="15">
        <v>1.0</v>
      </c>
      <c r="EE174" s="15">
        <v>1.0</v>
      </c>
      <c r="EG174" s="15" t="s">
        <v>444</v>
      </c>
      <c r="EH174" s="15" t="s">
        <v>2734</v>
      </c>
      <c r="EI174" s="15">
        <v>0.0</v>
      </c>
      <c r="EJ174" s="15" t="s">
        <v>726</v>
      </c>
      <c r="EK174" s="15" t="s">
        <v>727</v>
      </c>
      <c r="EL174" s="15" t="s">
        <v>2735</v>
      </c>
      <c r="EM174" s="15" t="str">
        <f>IFERROR(__xludf.DUMMYFUNCTION("""COMPUTED_VALUE"""),"{""value"":23.25,""unit"":""in""}")</f>
        <v>{"value":23.25,"unit":"in"}</v>
      </c>
      <c r="EN174" s="15" t="s">
        <v>2736</v>
      </c>
      <c r="EO174" s="15" t="s">
        <v>1328</v>
      </c>
      <c r="ES174" s="15" t="s">
        <v>2737</v>
      </c>
      <c r="ET174" s="15" t="s">
        <v>2468</v>
      </c>
      <c r="EU174" s="15" t="s">
        <v>2738</v>
      </c>
      <c r="EV174" s="15" t="s">
        <v>1488</v>
      </c>
      <c r="EW174" s="15" t="s">
        <v>2739</v>
      </c>
      <c r="EX174" s="15" t="s">
        <v>1212</v>
      </c>
      <c r="EY174" s="15" t="s">
        <v>1998</v>
      </c>
      <c r="EZ174" s="15" t="s">
        <v>1996</v>
      </c>
      <c r="FC174" s="15" t="s">
        <v>723</v>
      </c>
      <c r="FD174" s="15" t="s">
        <v>724</v>
      </c>
      <c r="FE174" s="15" t="s">
        <v>1077</v>
      </c>
      <c r="FF174" s="15" t="s">
        <v>1078</v>
      </c>
      <c r="FR174" s="15">
        <v>0.0</v>
      </c>
      <c r="FS174" s="15">
        <v>0.0</v>
      </c>
      <c r="FU174" s="15">
        <v>0.0</v>
      </c>
    </row>
    <row r="175" ht="15.75" customHeight="1">
      <c r="A175" s="14" t="s">
        <v>391</v>
      </c>
      <c r="B175" s="15" t="s">
        <v>2721</v>
      </c>
      <c r="C175" s="16"/>
      <c r="D175" s="15" t="s">
        <v>432</v>
      </c>
      <c r="G175" s="14" t="s">
        <v>393</v>
      </c>
      <c r="H175" s="14" t="s">
        <v>394</v>
      </c>
      <c r="I175" s="14" t="b">
        <v>1</v>
      </c>
      <c r="J175" s="14" t="s">
        <v>395</v>
      </c>
      <c r="L175" s="14" t="b">
        <v>0</v>
      </c>
      <c r="M175" s="15" t="s">
        <v>2740</v>
      </c>
      <c r="N175" s="14" t="s">
        <v>393</v>
      </c>
      <c r="O175" s="14" t="s">
        <v>393</v>
      </c>
      <c r="P175" s="15" t="s">
        <v>397</v>
      </c>
      <c r="Q175" s="15" t="s">
        <v>2741</v>
      </c>
      <c r="T175" s="14" t="b">
        <v>0</v>
      </c>
      <c r="U175" s="15" t="s">
        <v>2742</v>
      </c>
      <c r="V175" s="15" t="s">
        <v>2743</v>
      </c>
      <c r="W175" s="15" t="s">
        <v>401</v>
      </c>
      <c r="X175" s="15" t="s">
        <v>695</v>
      </c>
      <c r="Y175" s="15">
        <v>1911.0</v>
      </c>
      <c r="AA175" s="15" t="str">
        <f>"735"</f>
        <v>735</v>
      </c>
      <c r="AB175" s="14" t="b">
        <v>1</v>
      </c>
      <c r="AC175" s="14" t="b">
        <v>1</v>
      </c>
      <c r="AD175" s="15" t="str">
        <f>"801542686765"</f>
        <v>801542686765</v>
      </c>
      <c r="AE175" s="15" t="s">
        <v>2744</v>
      </c>
      <c r="AF175" s="14" t="s">
        <v>404</v>
      </c>
      <c r="AG175" s="14" t="s">
        <v>405</v>
      </c>
      <c r="AH175" s="14" t="s">
        <v>406</v>
      </c>
      <c r="AI175" s="15">
        <v>0.0</v>
      </c>
      <c r="AL175" s="15" t="s">
        <v>2745</v>
      </c>
      <c r="AM175" s="15" t="s">
        <v>701</v>
      </c>
      <c r="AN175" s="15" t="s">
        <v>702</v>
      </c>
      <c r="AO175" s="15" t="s">
        <v>913</v>
      </c>
      <c r="AP175" s="15" t="s">
        <v>914</v>
      </c>
      <c r="AQ175" s="15" t="s">
        <v>2012</v>
      </c>
      <c r="AR175" s="15" t="s">
        <v>2013</v>
      </c>
      <c r="AS175" s="15" t="s">
        <v>1474</v>
      </c>
      <c r="AT175" s="15" t="s">
        <v>2741</v>
      </c>
      <c r="AU175" s="15" t="s">
        <v>2746</v>
      </c>
      <c r="AV175" s="15" t="s">
        <v>2729</v>
      </c>
      <c r="AW175" s="15" t="s">
        <v>706</v>
      </c>
      <c r="AX175" s="15" t="s">
        <v>707</v>
      </c>
      <c r="AY175" s="15" t="s">
        <v>413</v>
      </c>
      <c r="AZ175" s="15" t="b">
        <v>0</v>
      </c>
      <c r="BA175" s="15" t="s">
        <v>413</v>
      </c>
      <c r="BB175" s="15" t="b">
        <v>0</v>
      </c>
      <c r="BC175" s="15" t="s">
        <v>2747</v>
      </c>
      <c r="BD175" s="15" t="s">
        <v>709</v>
      </c>
      <c r="BE175" s="15" t="str">
        <f t="shared" si="320"/>
        <v>1</v>
      </c>
      <c r="BF175" s="15" t="s">
        <v>1208</v>
      </c>
      <c r="BG175" s="15" t="str">
        <f>"28.35"</f>
        <v>28.35</v>
      </c>
      <c r="BH175" s="15" t="s">
        <v>924</v>
      </c>
      <c r="BI175" s="15" t="str">
        <f>"36.22"</f>
        <v>36.22</v>
      </c>
      <c r="BJ175" s="15" t="s">
        <v>1779</v>
      </c>
      <c r="BK175" s="15" t="str">
        <f>"33.46"</f>
        <v>33.46</v>
      </c>
      <c r="BL175" s="15" t="s">
        <v>1109</v>
      </c>
      <c r="BM175" s="15" t="str">
        <f>"55.51"</f>
        <v>55.51</v>
      </c>
      <c r="BN175" s="15" t="s">
        <v>2748</v>
      </c>
      <c r="BQ175" s="15" t="s">
        <v>444</v>
      </c>
      <c r="BS175" s="15" t="s">
        <v>444</v>
      </c>
      <c r="BU175" s="15" t="s">
        <v>444</v>
      </c>
      <c r="BW175" s="15" t="s">
        <v>444</v>
      </c>
      <c r="BZ175" s="15" t="s">
        <v>444</v>
      </c>
      <c r="CB175" s="15" t="s">
        <v>444</v>
      </c>
      <c r="CD175" s="15" t="s">
        <v>444</v>
      </c>
      <c r="CF175" s="15" t="s">
        <v>444</v>
      </c>
      <c r="CI175" s="15" t="s">
        <v>444</v>
      </c>
      <c r="CK175" s="15" t="s">
        <v>444</v>
      </c>
      <c r="CM175" s="15" t="s">
        <v>444</v>
      </c>
      <c r="CO175" s="15" t="s">
        <v>444</v>
      </c>
      <c r="CP175" s="15" t="str">
        <f>"18.01"</f>
        <v>18.01</v>
      </c>
      <c r="CQ175" s="15" t="str">
        <f>"0.51"</f>
        <v>0.51</v>
      </c>
      <c r="CR175" s="15" t="s">
        <v>417</v>
      </c>
      <c r="CY175" s="15" t="s">
        <v>2652</v>
      </c>
      <c r="CZ175" s="15" t="s">
        <v>761</v>
      </c>
      <c r="DA175" s="15" t="s">
        <v>1488</v>
      </c>
      <c r="DB175" s="15" t="s">
        <v>1331</v>
      </c>
      <c r="DC175" s="15" t="str">
        <f>IFERROR(__xludf.DUMMYFUNCTION("""COMPUTED_VALUE"""),"{""value"":21.00,""unit"":""in""}")</f>
        <v>{"value":21.00,"unit":"in"}</v>
      </c>
      <c r="DD175" s="15" t="s">
        <v>788</v>
      </c>
      <c r="DE175" s="15" t="str">
        <f>IFERROR(__xludf.DUMMYFUNCTION("""COMPUTED_VALUE"""),"{""value"":16.50,""unit"":""in""}")</f>
        <v>{"value":16.50,"unit":"in"}</v>
      </c>
      <c r="DF175" s="15" t="s">
        <v>2732</v>
      </c>
      <c r="DG175" s="15" t="str">
        <f>IFERROR(__xludf.DUMMYFUNCTION("""COMPUTED_VALUE"""),"{""value"":22.75,""unit"":""in""}")</f>
        <v>{"value":22.75,"unit":"in"}</v>
      </c>
      <c r="DH175" s="15">
        <v>0.0</v>
      </c>
      <c r="DI175" s="15">
        <v>1.0</v>
      </c>
      <c r="DJ175" s="15" t="s">
        <v>717</v>
      </c>
      <c r="DK175" s="15" t="s">
        <v>718</v>
      </c>
      <c r="DL175" s="15" t="str">
        <f>IFERROR(__xludf.DUMMYFUNCTION("""COMPUTED_VALUE"""),"Vacuum or light brush only. Do not use water or any cleaning products.")</f>
        <v>Vacuum or light brush only. Do not use water or any cleaning products.</v>
      </c>
      <c r="DM175" s="15" t="s">
        <v>719</v>
      </c>
      <c r="DQ175" s="15" t="s">
        <v>2749</v>
      </c>
      <c r="DT175" s="15" t="s">
        <v>1111</v>
      </c>
      <c r="DU175" s="15" t="s">
        <v>419</v>
      </c>
      <c r="DV175" s="15">
        <v>0.0</v>
      </c>
      <c r="DZ175" s="15">
        <v>0.0</v>
      </c>
      <c r="EA175" s="15" t="s">
        <v>2733</v>
      </c>
      <c r="EB175" s="15" t="s">
        <v>723</v>
      </c>
      <c r="EC175" s="15" t="s">
        <v>724</v>
      </c>
      <c r="ED175" s="15">
        <v>1.0</v>
      </c>
      <c r="EE175" s="15">
        <v>1.0</v>
      </c>
      <c r="EG175" s="15" t="s">
        <v>444</v>
      </c>
      <c r="EH175" s="15" t="s">
        <v>2734</v>
      </c>
      <c r="EI175" s="15">
        <v>0.0</v>
      </c>
      <c r="EJ175" s="15" t="s">
        <v>726</v>
      </c>
      <c r="EK175" s="15" t="s">
        <v>727</v>
      </c>
      <c r="EL175" s="15" t="s">
        <v>2735</v>
      </c>
      <c r="EM175" s="15" t="str">
        <f>IFERROR(__xludf.DUMMYFUNCTION("""COMPUTED_VALUE"""),"{""value"":23.25,""unit"":""in""}")</f>
        <v>{"value":23.25,"unit":"in"}</v>
      </c>
      <c r="EN175" s="15" t="s">
        <v>2736</v>
      </c>
      <c r="EO175" s="15" t="s">
        <v>1328</v>
      </c>
      <c r="ES175" s="15" t="s">
        <v>2737</v>
      </c>
      <c r="ET175" s="15" t="s">
        <v>2468</v>
      </c>
      <c r="EU175" s="15" t="s">
        <v>2738</v>
      </c>
      <c r="EV175" s="15" t="s">
        <v>1488</v>
      </c>
      <c r="EW175" s="15" t="s">
        <v>2739</v>
      </c>
      <c r="EX175" s="15" t="s">
        <v>1212</v>
      </c>
      <c r="EY175" s="15" t="s">
        <v>1998</v>
      </c>
      <c r="EZ175" s="15" t="s">
        <v>1996</v>
      </c>
      <c r="FC175" s="15" t="s">
        <v>723</v>
      </c>
      <c r="FD175" s="15" t="s">
        <v>724</v>
      </c>
      <c r="FE175" s="15" t="s">
        <v>1077</v>
      </c>
      <c r="FF175" s="15" t="s">
        <v>1078</v>
      </c>
      <c r="FR175" s="15">
        <v>0.0</v>
      </c>
      <c r="FS175" s="15">
        <v>0.0</v>
      </c>
      <c r="FU175" s="15">
        <v>0.0</v>
      </c>
    </row>
    <row r="176" ht="15.75" customHeight="1">
      <c r="A176" s="14" t="s">
        <v>391</v>
      </c>
      <c r="B176" s="15" t="s">
        <v>2750</v>
      </c>
      <c r="C176" s="16"/>
      <c r="D176" s="15" t="s">
        <v>432</v>
      </c>
      <c r="G176" s="14" t="s">
        <v>393</v>
      </c>
      <c r="H176" s="14" t="s">
        <v>394</v>
      </c>
      <c r="I176" s="14" t="b">
        <v>1</v>
      </c>
      <c r="J176" s="14" t="s">
        <v>395</v>
      </c>
      <c r="L176" s="14" t="b">
        <v>0</v>
      </c>
      <c r="M176" s="15" t="s">
        <v>2751</v>
      </c>
      <c r="N176" s="14" t="s">
        <v>393</v>
      </c>
      <c r="O176" s="14" t="s">
        <v>393</v>
      </c>
      <c r="P176" s="15" t="s">
        <v>397</v>
      </c>
      <c r="Q176" s="15" t="s">
        <v>2752</v>
      </c>
      <c r="T176" s="14" t="b">
        <v>0</v>
      </c>
      <c r="U176" s="15" t="s">
        <v>2753</v>
      </c>
      <c r="V176" s="15" t="s">
        <v>2754</v>
      </c>
      <c r="W176" s="15" t="s">
        <v>401</v>
      </c>
      <c r="X176" s="15" t="s">
        <v>742</v>
      </c>
      <c r="Y176" s="15">
        <v>3939.0</v>
      </c>
      <c r="AA176" s="15" t="str">
        <f>"1515"</f>
        <v>1515</v>
      </c>
      <c r="AB176" s="14" t="b">
        <v>1</v>
      </c>
      <c r="AC176" s="14" t="b">
        <v>1</v>
      </c>
      <c r="AD176" s="15" t="str">
        <f>"801542805142"</f>
        <v>801542805142</v>
      </c>
      <c r="AE176" s="15" t="s">
        <v>2755</v>
      </c>
      <c r="AF176" s="14" t="s">
        <v>404</v>
      </c>
      <c r="AG176" s="14" t="s">
        <v>405</v>
      </c>
      <c r="AH176" s="14" t="s">
        <v>406</v>
      </c>
      <c r="AI176" s="15">
        <v>0.0</v>
      </c>
      <c r="AL176" s="15" t="s">
        <v>2756</v>
      </c>
      <c r="AM176" s="15" t="s">
        <v>2757</v>
      </c>
      <c r="AN176" s="15" t="s">
        <v>2758</v>
      </c>
      <c r="AO176" s="15" t="s">
        <v>598</v>
      </c>
      <c r="AP176" s="15" t="s">
        <v>599</v>
      </c>
      <c r="AQ176" s="15" t="s">
        <v>546</v>
      </c>
      <c r="AR176" s="15" t="s">
        <v>547</v>
      </c>
      <c r="AS176" s="15" t="s">
        <v>2759</v>
      </c>
      <c r="AT176" s="15" t="s">
        <v>2752</v>
      </c>
      <c r="AU176" s="15" t="s">
        <v>2760</v>
      </c>
      <c r="AW176" s="15" t="s">
        <v>412</v>
      </c>
      <c r="AY176" s="15" t="s">
        <v>413</v>
      </c>
      <c r="AZ176" s="15" t="b">
        <v>0</v>
      </c>
      <c r="BA176" s="15" t="s">
        <v>413</v>
      </c>
      <c r="BB176" s="15" t="b">
        <v>0</v>
      </c>
      <c r="BC176" s="15" t="s">
        <v>2761</v>
      </c>
      <c r="BD176" s="15" t="s">
        <v>742</v>
      </c>
      <c r="BE176" s="15" t="str">
        <f t="shared" si="320"/>
        <v>1</v>
      </c>
      <c r="BF176" s="15" t="s">
        <v>416</v>
      </c>
      <c r="BG176" s="15" t="str">
        <f>"76.97"</f>
        <v>76.97</v>
      </c>
      <c r="BH176" s="15" t="s">
        <v>2762</v>
      </c>
      <c r="BI176" s="15" t="str">
        <f>"22.83"</f>
        <v>22.83</v>
      </c>
      <c r="BJ176" s="15" t="s">
        <v>1543</v>
      </c>
      <c r="BK176" s="15" t="str">
        <f>"37.99"</f>
        <v>37.99</v>
      </c>
      <c r="BL176" s="15" t="s">
        <v>2763</v>
      </c>
      <c r="BM176" s="15" t="str">
        <f>"343.04"</f>
        <v>343.04</v>
      </c>
      <c r="BN176" s="15" t="s">
        <v>2764</v>
      </c>
      <c r="BQ176" s="15" t="s">
        <v>444</v>
      </c>
      <c r="BS176" s="15" t="s">
        <v>444</v>
      </c>
      <c r="BU176" s="15" t="s">
        <v>444</v>
      </c>
      <c r="BW176" s="15" t="s">
        <v>444</v>
      </c>
      <c r="BZ176" s="15" t="s">
        <v>444</v>
      </c>
      <c r="CB176" s="15" t="s">
        <v>444</v>
      </c>
      <c r="CD176" s="15" t="s">
        <v>444</v>
      </c>
      <c r="CF176" s="15" t="s">
        <v>444</v>
      </c>
      <c r="CI176" s="15" t="s">
        <v>444</v>
      </c>
      <c r="CK176" s="15" t="s">
        <v>444</v>
      </c>
      <c r="CM176" s="15" t="s">
        <v>444</v>
      </c>
      <c r="CO176" s="15" t="s">
        <v>444</v>
      </c>
      <c r="CP176" s="15" t="str">
        <f>"38.63"</f>
        <v>38.63</v>
      </c>
      <c r="CQ176" s="15" t="str">
        <f>"1.094"</f>
        <v>1.094</v>
      </c>
      <c r="CR176" s="15" t="s">
        <v>417</v>
      </c>
      <c r="DC176" s="15" t="str">
        <f>IFERROR(__xludf.DUMMYFUNCTION("""COMPUTED_VALUE"""),"")</f>
        <v/>
      </c>
      <c r="DE176" s="15" t="str">
        <f>IFERROR(__xludf.DUMMYFUNCTION("""COMPUTED_VALUE"""),"")</f>
        <v/>
      </c>
      <c r="DG176" s="15" t="str">
        <f>IFERROR(__xludf.DUMMYFUNCTION("""COMPUTED_VALUE"""),"")</f>
        <v/>
      </c>
      <c r="DL176" s="15" t="str">
        <f>IFERROR(__xludf.DUMMYFUNCTION("""COMPUTED_VALUE"""),"")</f>
        <v/>
      </c>
      <c r="DM176" s="15" t="s">
        <v>444</v>
      </c>
      <c r="DN176" s="15" t="s">
        <v>418</v>
      </c>
      <c r="DO176" s="15">
        <v>6.0</v>
      </c>
      <c r="DP176" s="15" t="s">
        <v>1185</v>
      </c>
      <c r="DR176" s="15">
        <v>0.0</v>
      </c>
      <c r="DT176" s="15" t="s">
        <v>420</v>
      </c>
      <c r="DU176" s="15" t="s">
        <v>421</v>
      </c>
      <c r="DY176" s="15">
        <v>0.0</v>
      </c>
      <c r="EF176" s="15" t="s">
        <v>422</v>
      </c>
      <c r="EG176" s="15" t="s">
        <v>445</v>
      </c>
      <c r="EH176" s="15" t="s">
        <v>2765</v>
      </c>
      <c r="EJ176" s="15" t="s">
        <v>424</v>
      </c>
      <c r="EK176" s="15" t="s">
        <v>446</v>
      </c>
      <c r="EM176" s="15" t="str">
        <f>IFERROR(__xludf.DUMMYFUNCTION("""COMPUTED_VALUE"""),"")</f>
        <v/>
      </c>
      <c r="EW176" s="15" t="s">
        <v>1042</v>
      </c>
      <c r="FL176" s="15" t="s">
        <v>426</v>
      </c>
      <c r="FM176" s="15">
        <v>0.0</v>
      </c>
      <c r="GH176" s="15">
        <v>0.0</v>
      </c>
      <c r="GI176" s="15" t="s">
        <v>427</v>
      </c>
      <c r="GO176" s="15" t="s">
        <v>426</v>
      </c>
      <c r="GQ176" s="15" t="s">
        <v>2766</v>
      </c>
      <c r="GS176" s="15" t="s">
        <v>2767</v>
      </c>
      <c r="GU176" s="15" t="s">
        <v>2768</v>
      </c>
      <c r="GW176" s="15" t="s">
        <v>431</v>
      </c>
      <c r="GY176" s="15" t="s">
        <v>1190</v>
      </c>
      <c r="GZ176" s="15" t="s">
        <v>426</v>
      </c>
    </row>
    <row r="177" ht="15.75" customHeight="1">
      <c r="A177" s="14" t="s">
        <v>391</v>
      </c>
      <c r="B177" s="15" t="s">
        <v>2769</v>
      </c>
      <c r="C177" s="16"/>
      <c r="D177" s="15" t="s">
        <v>432</v>
      </c>
      <c r="G177" s="14" t="s">
        <v>393</v>
      </c>
      <c r="H177" s="14" t="s">
        <v>394</v>
      </c>
      <c r="I177" s="14" t="b">
        <v>1</v>
      </c>
      <c r="J177" s="14" t="s">
        <v>395</v>
      </c>
      <c r="L177" s="14" t="b">
        <v>0</v>
      </c>
      <c r="M177" s="15" t="s">
        <v>2770</v>
      </c>
      <c r="N177" s="14" t="s">
        <v>393</v>
      </c>
      <c r="O177" s="14" t="s">
        <v>393</v>
      </c>
      <c r="P177" s="15" t="s">
        <v>397</v>
      </c>
      <c r="Q177" s="15" t="s">
        <v>2206</v>
      </c>
      <c r="T177" s="14" t="b">
        <v>0</v>
      </c>
      <c r="U177" s="15" t="s">
        <v>2771</v>
      </c>
      <c r="V177" s="15" t="s">
        <v>2772</v>
      </c>
      <c r="W177" s="15" t="s">
        <v>401</v>
      </c>
      <c r="X177" s="15" t="s">
        <v>1172</v>
      </c>
      <c r="Y177" s="15">
        <v>936.0</v>
      </c>
      <c r="AA177" s="15" t="str">
        <f>"360"</f>
        <v>360</v>
      </c>
      <c r="AB177" s="14" t="b">
        <v>1</v>
      </c>
      <c r="AC177" s="14" t="b">
        <v>1</v>
      </c>
      <c r="AD177" s="15" t="str">
        <f>"801542723323"</f>
        <v>801542723323</v>
      </c>
      <c r="AE177" s="15" t="s">
        <v>2773</v>
      </c>
      <c r="AF177" s="14" t="s">
        <v>404</v>
      </c>
      <c r="AG177" s="14" t="s">
        <v>405</v>
      </c>
      <c r="AH177" s="14" t="s">
        <v>406</v>
      </c>
      <c r="AI177" s="15">
        <v>0.0</v>
      </c>
      <c r="AL177" s="15" t="s">
        <v>2774</v>
      </c>
      <c r="AM177" s="15" t="s">
        <v>811</v>
      </c>
      <c r="AN177" s="15" t="s">
        <v>812</v>
      </c>
      <c r="AO177" s="15" t="s">
        <v>811</v>
      </c>
      <c r="AP177" s="15" t="s">
        <v>812</v>
      </c>
      <c r="AQ177" s="15" t="s">
        <v>1848</v>
      </c>
      <c r="AR177" s="15" t="s">
        <v>1849</v>
      </c>
      <c r="AS177" s="15" t="s">
        <v>2215</v>
      </c>
      <c r="AT177" s="15" t="s">
        <v>2206</v>
      </c>
      <c r="AW177" s="15" t="s">
        <v>1154</v>
      </c>
      <c r="AY177" s="15" t="s">
        <v>413</v>
      </c>
      <c r="AZ177" s="15" t="b">
        <v>0</v>
      </c>
      <c r="BA177" s="15" t="s">
        <v>413</v>
      </c>
      <c r="BB177" s="15" t="b">
        <v>0</v>
      </c>
      <c r="BC177" s="15" t="s">
        <v>2775</v>
      </c>
      <c r="BD177" s="15" t="s">
        <v>1181</v>
      </c>
      <c r="BE177" s="15" t="str">
        <f t="shared" si="320"/>
        <v>1</v>
      </c>
      <c r="BF177" s="15" t="s">
        <v>416</v>
      </c>
      <c r="BG177" s="15" t="str">
        <f>"18.9"</f>
        <v>18.9</v>
      </c>
      <c r="BH177" s="15" t="s">
        <v>552</v>
      </c>
      <c r="BI177" s="15" t="str">
        <f>"17.32"</f>
        <v>17.32</v>
      </c>
      <c r="BJ177" s="15" t="s">
        <v>2776</v>
      </c>
      <c r="BK177" s="15" t="str">
        <f>"22.83"</f>
        <v>22.83</v>
      </c>
      <c r="BL177" s="15" t="s">
        <v>1543</v>
      </c>
      <c r="BM177" s="15" t="str">
        <f>"220.46"</f>
        <v>220.46</v>
      </c>
      <c r="BN177" s="15" t="s">
        <v>2777</v>
      </c>
      <c r="BQ177" s="15" t="s">
        <v>444</v>
      </c>
      <c r="BS177" s="15" t="s">
        <v>444</v>
      </c>
      <c r="BU177" s="15" t="s">
        <v>444</v>
      </c>
      <c r="BW177" s="15" t="s">
        <v>444</v>
      </c>
      <c r="BZ177" s="15" t="s">
        <v>444</v>
      </c>
      <c r="CB177" s="15" t="s">
        <v>444</v>
      </c>
      <c r="CD177" s="15" t="s">
        <v>444</v>
      </c>
      <c r="CF177" s="15" t="s">
        <v>444</v>
      </c>
      <c r="CI177" s="15" t="s">
        <v>444</v>
      </c>
      <c r="CK177" s="15" t="s">
        <v>444</v>
      </c>
      <c r="CM177" s="15" t="s">
        <v>444</v>
      </c>
      <c r="CO177" s="15" t="s">
        <v>444</v>
      </c>
      <c r="CP177" s="15" t="str">
        <f>"4.31"</f>
        <v>4.31</v>
      </c>
      <c r="CQ177" s="15" t="str">
        <f>"0.122"</f>
        <v>0.122</v>
      </c>
      <c r="CR177" s="15" t="s">
        <v>497</v>
      </c>
      <c r="DC177" s="15" t="str">
        <f>IFERROR(__xludf.DUMMYFUNCTION("""COMPUTED_VALUE"""),"")</f>
        <v/>
      </c>
      <c r="DE177" s="15" t="str">
        <f>IFERROR(__xludf.DUMMYFUNCTION("""COMPUTED_VALUE"""),"")</f>
        <v/>
      </c>
      <c r="DG177" s="15" t="str">
        <f>IFERROR(__xludf.DUMMYFUNCTION("""COMPUTED_VALUE"""),"")</f>
        <v/>
      </c>
      <c r="DL177" s="15" t="str">
        <f>IFERROR(__xludf.DUMMYFUNCTION("""COMPUTED_VALUE"""),"")</f>
        <v/>
      </c>
      <c r="DM177" s="15" t="s">
        <v>444</v>
      </c>
      <c r="DN177" s="15" t="s">
        <v>419</v>
      </c>
      <c r="DO177" s="15">
        <v>0.0</v>
      </c>
      <c r="DP177" s="15" t="s">
        <v>419</v>
      </c>
      <c r="DR177" s="15">
        <v>0.0</v>
      </c>
      <c r="DU177" s="15" t="s">
        <v>419</v>
      </c>
      <c r="DY177" s="15">
        <v>0.0</v>
      </c>
      <c r="EF177" s="15" t="s">
        <v>498</v>
      </c>
      <c r="EG177" s="15" t="s">
        <v>499</v>
      </c>
      <c r="EH177" s="15" t="s">
        <v>2778</v>
      </c>
      <c r="EJ177" s="15" t="s">
        <v>500</v>
      </c>
      <c r="EK177" s="15" t="s">
        <v>501</v>
      </c>
      <c r="EM177" s="15" t="str">
        <f>IFERROR(__xludf.DUMMYFUNCTION("""COMPUTED_VALUE"""),"")</f>
        <v/>
      </c>
      <c r="FH177" s="15" t="s">
        <v>822</v>
      </c>
      <c r="FI177" s="15" t="s">
        <v>2020</v>
      </c>
      <c r="FJ177" s="15" t="s">
        <v>822</v>
      </c>
      <c r="FM177" s="15">
        <v>0.0</v>
      </c>
      <c r="FN177" s="15">
        <v>0.0</v>
      </c>
    </row>
    <row r="178" ht="15.75" customHeight="1">
      <c r="A178" s="14" t="s">
        <v>391</v>
      </c>
      <c r="B178" s="15" t="s">
        <v>2779</v>
      </c>
      <c r="C178" s="16"/>
      <c r="D178" s="15" t="s">
        <v>432</v>
      </c>
      <c r="G178" s="14" t="s">
        <v>393</v>
      </c>
      <c r="H178" s="14" t="s">
        <v>394</v>
      </c>
      <c r="I178" s="14" t="b">
        <v>1</v>
      </c>
      <c r="J178" s="14" t="s">
        <v>395</v>
      </c>
      <c r="L178" s="14" t="b">
        <v>0</v>
      </c>
      <c r="M178" s="15" t="s">
        <v>2780</v>
      </c>
      <c r="N178" s="14" t="s">
        <v>393</v>
      </c>
      <c r="O178" s="14" t="s">
        <v>393</v>
      </c>
      <c r="P178" s="15" t="s">
        <v>397</v>
      </c>
      <c r="Q178" s="15" t="s">
        <v>2781</v>
      </c>
      <c r="T178" s="14" t="b">
        <v>0</v>
      </c>
      <c r="U178" s="15" t="s">
        <v>2782</v>
      </c>
      <c r="V178" s="15" t="s">
        <v>2783</v>
      </c>
      <c r="W178" s="15" t="s">
        <v>401</v>
      </c>
      <c r="X178" s="15" t="s">
        <v>402</v>
      </c>
      <c r="Y178" s="15">
        <v>260.0</v>
      </c>
      <c r="AA178" s="15" t="str">
        <f>"100"</f>
        <v>100</v>
      </c>
      <c r="AB178" s="14" t="b">
        <v>1</v>
      </c>
      <c r="AC178" s="14" t="b">
        <v>1</v>
      </c>
      <c r="AD178" s="15" t="str">
        <f>"801542686338"</f>
        <v>801542686338</v>
      </c>
      <c r="AE178" s="15" t="s">
        <v>2784</v>
      </c>
      <c r="AF178" s="14" t="s">
        <v>404</v>
      </c>
      <c r="AG178" s="14" t="s">
        <v>405</v>
      </c>
      <c r="AH178" s="14" t="s">
        <v>406</v>
      </c>
      <c r="AI178" s="15">
        <v>0.0</v>
      </c>
      <c r="AL178" s="15" t="s">
        <v>2785</v>
      </c>
      <c r="AM178" s="15" t="s">
        <v>2088</v>
      </c>
      <c r="AN178" s="15" t="s">
        <v>2089</v>
      </c>
      <c r="AO178" s="15" t="s">
        <v>2786</v>
      </c>
      <c r="AP178" s="15" t="s">
        <v>2787</v>
      </c>
      <c r="AQ178" s="15" t="s">
        <v>2788</v>
      </c>
      <c r="AR178" s="15" t="s">
        <v>2789</v>
      </c>
      <c r="AS178" s="15" t="s">
        <v>411</v>
      </c>
      <c r="AT178" s="15" t="s">
        <v>2781</v>
      </c>
      <c r="AW178" s="15" t="s">
        <v>1914</v>
      </c>
      <c r="AY178" s="15" t="s">
        <v>413</v>
      </c>
      <c r="AZ178" s="15" t="b">
        <v>0</v>
      </c>
      <c r="BA178" s="15" t="s">
        <v>413</v>
      </c>
      <c r="BB178" s="15" t="b">
        <v>0</v>
      </c>
      <c r="BD178" s="15" t="s">
        <v>415</v>
      </c>
      <c r="BE178" s="15" t="str">
        <f t="shared" si="320"/>
        <v>1</v>
      </c>
      <c r="BF178" s="15" t="s">
        <v>416</v>
      </c>
      <c r="BG178" s="15" t="str">
        <f>"51.18"</f>
        <v>51.18</v>
      </c>
      <c r="BH178" s="15" t="s">
        <v>553</v>
      </c>
      <c r="BI178" s="15" t="str">
        <f>"11.02"</f>
        <v>11.02</v>
      </c>
      <c r="BJ178" s="15" t="s">
        <v>932</v>
      </c>
      <c r="BK178" s="15" t="str">
        <f>"6.69"</f>
        <v>6.69</v>
      </c>
      <c r="BL178" s="15" t="s">
        <v>2461</v>
      </c>
      <c r="BM178" s="15" t="str">
        <f>"22.05"</f>
        <v>22.05</v>
      </c>
      <c r="BN178" s="15" t="s">
        <v>2790</v>
      </c>
      <c r="BQ178" s="15" t="s">
        <v>444</v>
      </c>
      <c r="BS178" s="15" t="s">
        <v>444</v>
      </c>
      <c r="BU178" s="15" t="s">
        <v>444</v>
      </c>
      <c r="BW178" s="15" t="s">
        <v>444</v>
      </c>
      <c r="BZ178" s="15" t="s">
        <v>444</v>
      </c>
      <c r="CB178" s="15" t="s">
        <v>444</v>
      </c>
      <c r="CD178" s="15" t="s">
        <v>444</v>
      </c>
      <c r="CF178" s="15" t="s">
        <v>444</v>
      </c>
      <c r="CI178" s="15" t="s">
        <v>444</v>
      </c>
      <c r="CK178" s="15" t="s">
        <v>444</v>
      </c>
      <c r="CM178" s="15" t="s">
        <v>444</v>
      </c>
      <c r="CO178" s="15" t="s">
        <v>444</v>
      </c>
      <c r="CP178" s="15" t="str">
        <f>"2.19"</f>
        <v>2.19</v>
      </c>
      <c r="CQ178" s="15" t="str">
        <f>"0.062"</f>
        <v>0.062</v>
      </c>
      <c r="CR178" s="15" t="s">
        <v>465</v>
      </c>
      <c r="DC178" s="15" t="str">
        <f>IFERROR(__xludf.DUMMYFUNCTION("""COMPUTED_VALUE"""),"")</f>
        <v/>
      </c>
      <c r="DE178" s="15" t="str">
        <f>IFERROR(__xludf.DUMMYFUNCTION("""COMPUTED_VALUE"""),"")</f>
        <v/>
      </c>
      <c r="DG178" s="15" t="str">
        <f>IFERROR(__xludf.DUMMYFUNCTION("""COMPUTED_VALUE"""),"")</f>
        <v/>
      </c>
      <c r="DL178" s="15" t="str">
        <f>IFERROR(__xludf.DUMMYFUNCTION("""COMPUTED_VALUE"""),"")</f>
        <v/>
      </c>
      <c r="DM178" s="15" t="s">
        <v>444</v>
      </c>
      <c r="EG178" s="15" t="s">
        <v>444</v>
      </c>
      <c r="EH178" s="15" t="s">
        <v>2791</v>
      </c>
      <c r="EK178" s="15" t="s">
        <v>444</v>
      </c>
      <c r="EM178" s="15" t="str">
        <f>IFERROR(__xludf.DUMMYFUNCTION("""COMPUTED_VALUE"""),"")</f>
        <v/>
      </c>
      <c r="LA178" s="15" t="s">
        <v>2402</v>
      </c>
      <c r="LB178" s="15" t="s">
        <v>1236</v>
      </c>
      <c r="LC178" s="15" t="s">
        <v>2792</v>
      </c>
      <c r="LD178" s="15">
        <v>1.0</v>
      </c>
    </row>
    <row r="179" ht="15.75" customHeight="1">
      <c r="A179" s="14" t="s">
        <v>391</v>
      </c>
      <c r="B179" s="15" t="s">
        <v>2793</v>
      </c>
      <c r="C179" s="16"/>
      <c r="D179" s="15" t="s">
        <v>432</v>
      </c>
      <c r="G179" s="14" t="s">
        <v>393</v>
      </c>
      <c r="H179" s="14" t="s">
        <v>394</v>
      </c>
      <c r="I179" s="14" t="b">
        <v>1</v>
      </c>
      <c r="J179" s="14" t="s">
        <v>395</v>
      </c>
      <c r="L179" s="14" t="b">
        <v>0</v>
      </c>
      <c r="M179" s="15" t="s">
        <v>2794</v>
      </c>
      <c r="N179" s="14" t="s">
        <v>393</v>
      </c>
      <c r="O179" s="14" t="s">
        <v>393</v>
      </c>
      <c r="P179" s="15" t="s">
        <v>397</v>
      </c>
      <c r="Q179" s="15" t="s">
        <v>2795</v>
      </c>
      <c r="T179" s="14" t="b">
        <v>0</v>
      </c>
      <c r="U179" s="15" t="s">
        <v>2796</v>
      </c>
      <c r="V179" s="15" t="s">
        <v>2797</v>
      </c>
      <c r="W179" s="15" t="s">
        <v>401</v>
      </c>
      <c r="X179" s="15" t="s">
        <v>695</v>
      </c>
      <c r="Y179" s="15">
        <v>3068.0</v>
      </c>
      <c r="AA179" s="15" t="str">
        <f>"1180"</f>
        <v>1180</v>
      </c>
      <c r="AB179" s="14" t="b">
        <v>1</v>
      </c>
      <c r="AC179" s="14" t="b">
        <v>1</v>
      </c>
      <c r="AD179" s="15" t="str">
        <f>"801542111823"</f>
        <v>801542111823</v>
      </c>
      <c r="AE179" s="15" t="s">
        <v>2798</v>
      </c>
      <c r="AF179" s="14" t="s">
        <v>404</v>
      </c>
      <c r="AG179" s="14" t="s">
        <v>405</v>
      </c>
      <c r="AH179" s="14" t="s">
        <v>406</v>
      </c>
      <c r="AI179" s="15">
        <v>0.0</v>
      </c>
      <c r="AL179" s="15" t="s">
        <v>2799</v>
      </c>
      <c r="AM179" s="15" t="s">
        <v>1028</v>
      </c>
      <c r="AN179" s="15" t="s">
        <v>1029</v>
      </c>
      <c r="AO179" s="15" t="s">
        <v>1203</v>
      </c>
      <c r="AP179" s="15" t="s">
        <v>1204</v>
      </c>
      <c r="AQ179" s="15" t="s">
        <v>1274</v>
      </c>
      <c r="AR179" s="15" t="s">
        <v>1275</v>
      </c>
      <c r="AS179" s="15" t="s">
        <v>2800</v>
      </c>
      <c r="AT179" s="15" t="s">
        <v>2795</v>
      </c>
      <c r="AU179" s="15" t="s">
        <v>2801</v>
      </c>
      <c r="AW179" s="15" t="s">
        <v>706</v>
      </c>
      <c r="AX179" s="15" t="s">
        <v>707</v>
      </c>
      <c r="AY179" s="15" t="s">
        <v>413</v>
      </c>
      <c r="AZ179" s="15" t="b">
        <v>0</v>
      </c>
      <c r="BA179" s="15" t="s">
        <v>413</v>
      </c>
      <c r="BB179" s="15" t="b">
        <v>0</v>
      </c>
      <c r="BC179" s="15" t="s">
        <v>2802</v>
      </c>
      <c r="BD179" s="15" t="s">
        <v>709</v>
      </c>
      <c r="BE179" s="15" t="str">
        <f t="shared" si="320"/>
        <v>1</v>
      </c>
      <c r="BF179" s="15" t="s">
        <v>2803</v>
      </c>
      <c r="BG179" s="15" t="str">
        <f t="shared" ref="BG179:BG182" si="321">"35.04"</f>
        <v>35.04</v>
      </c>
      <c r="BH179" s="15" t="s">
        <v>1404</v>
      </c>
      <c r="BI179" s="15" t="str">
        <f t="shared" ref="BI179:BI185" si="322">"35.43"</f>
        <v>35.43</v>
      </c>
      <c r="BJ179" s="15" t="s">
        <v>1034</v>
      </c>
      <c r="BK179" s="15" t="str">
        <f t="shared" ref="BK179:BK185" si="323">"31.1"</f>
        <v>31.1</v>
      </c>
      <c r="BL179" s="15" t="s">
        <v>1386</v>
      </c>
      <c r="BM179" s="15" t="str">
        <f>"98.11"</f>
        <v>98.11</v>
      </c>
      <c r="BN179" s="15" t="s">
        <v>2804</v>
      </c>
      <c r="BQ179" s="15" t="s">
        <v>444</v>
      </c>
      <c r="BS179" s="15" t="s">
        <v>444</v>
      </c>
      <c r="BU179" s="15" t="s">
        <v>444</v>
      </c>
      <c r="BW179" s="15" t="s">
        <v>444</v>
      </c>
      <c r="BZ179" s="15" t="s">
        <v>444</v>
      </c>
      <c r="CB179" s="15" t="s">
        <v>444</v>
      </c>
      <c r="CD179" s="15" t="s">
        <v>444</v>
      </c>
      <c r="CF179" s="15" t="s">
        <v>444</v>
      </c>
      <c r="CI179" s="15" t="s">
        <v>444</v>
      </c>
      <c r="CK179" s="15" t="s">
        <v>444</v>
      </c>
      <c r="CM179" s="15" t="s">
        <v>444</v>
      </c>
      <c r="CO179" s="15" t="s">
        <v>444</v>
      </c>
      <c r="CP179" s="15" t="str">
        <f t="shared" ref="CP179:CP182" si="324">"22.35"</f>
        <v>22.35</v>
      </c>
      <c r="CQ179" s="15" t="str">
        <f t="shared" ref="CQ179:CQ182" si="325">"0.633"</f>
        <v>0.633</v>
      </c>
      <c r="CR179" s="15" t="s">
        <v>465</v>
      </c>
      <c r="CY179" s="15" t="s">
        <v>2384</v>
      </c>
      <c r="CZ179" s="15" t="s">
        <v>2805</v>
      </c>
      <c r="DA179" s="15" t="s">
        <v>2384</v>
      </c>
      <c r="DB179" s="15" t="s">
        <v>2652</v>
      </c>
      <c r="DC179" s="15" t="str">
        <f>IFERROR(__xludf.DUMMYFUNCTION("""COMPUTED_VALUE"""),"{""value"":24.02,""unit"":""in""}")</f>
        <v>{"value":24.02,"unit":"in"}</v>
      </c>
      <c r="DD179" s="15" t="s">
        <v>824</v>
      </c>
      <c r="DE179" s="15" t="str">
        <f>IFERROR(__xludf.DUMMYFUNCTION("""COMPUTED_VALUE"""),"{""value"":18.50,""unit"":""in""}")</f>
        <v>{"value":18.50,"unit":"in"}</v>
      </c>
      <c r="DG179" s="15" t="str">
        <f>IFERROR(__xludf.DUMMYFUNCTION("""COMPUTED_VALUE"""),"")</f>
        <v/>
      </c>
      <c r="DH179" s="15">
        <v>0.0</v>
      </c>
      <c r="DI179" s="15">
        <v>1.0</v>
      </c>
      <c r="DJ179" s="15" t="s">
        <v>717</v>
      </c>
      <c r="DK179" s="15" t="s">
        <v>718</v>
      </c>
      <c r="DL179" s="15" t="str">
        <f>IFERROR(__xludf.DUMMYFUNCTION("""COMPUTED_VALUE"""),"Vacuum or light brush only. Do not use water or any cleaning products.")</f>
        <v>Vacuum or light brush only. Do not use water or any cleaning products.</v>
      </c>
      <c r="DM179" s="15" t="s">
        <v>719</v>
      </c>
      <c r="DQ179" s="15" t="s">
        <v>1066</v>
      </c>
      <c r="DT179" s="15" t="s">
        <v>721</v>
      </c>
      <c r="DU179" s="15" t="s">
        <v>419</v>
      </c>
      <c r="DV179" s="15">
        <v>0.0</v>
      </c>
      <c r="DZ179" s="15">
        <v>0.0</v>
      </c>
      <c r="EA179" s="15" t="s">
        <v>722</v>
      </c>
      <c r="EB179" s="15" t="s">
        <v>723</v>
      </c>
      <c r="EC179" s="15" t="s">
        <v>724</v>
      </c>
      <c r="ED179" s="15">
        <v>1.0</v>
      </c>
      <c r="EE179" s="15">
        <v>1.0</v>
      </c>
      <c r="EG179" s="15" t="s">
        <v>444</v>
      </c>
      <c r="EH179" s="15" t="s">
        <v>2806</v>
      </c>
      <c r="EI179" s="15">
        <v>0.0</v>
      </c>
      <c r="EJ179" s="15" t="s">
        <v>726</v>
      </c>
      <c r="EK179" s="15" t="s">
        <v>727</v>
      </c>
      <c r="EL179" s="15" t="s">
        <v>2807</v>
      </c>
      <c r="EM179" s="15" t="str">
        <f>IFERROR(__xludf.DUMMYFUNCTION("""COMPUTED_VALUE"""),"{""value"":26.75,""unit"":""in""}")</f>
        <v>{"value":26.75,"unit":"in"}</v>
      </c>
      <c r="EN179" s="15" t="s">
        <v>2402</v>
      </c>
      <c r="EO179" s="15" t="s">
        <v>1994</v>
      </c>
      <c r="ES179" s="15" t="s">
        <v>1069</v>
      </c>
      <c r="EW179" s="15" t="s">
        <v>475</v>
      </c>
      <c r="EX179" s="15" t="s">
        <v>2140</v>
      </c>
      <c r="EY179" s="15" t="s">
        <v>1119</v>
      </c>
      <c r="EZ179" s="15" t="s">
        <v>2808</v>
      </c>
      <c r="FC179" s="15" t="s">
        <v>1016</v>
      </c>
      <c r="FD179" s="15" t="s">
        <v>1076</v>
      </c>
      <c r="FF179" s="15" t="s">
        <v>1290</v>
      </c>
      <c r="FO179" s="15" t="s">
        <v>713</v>
      </c>
      <c r="FP179" s="15" t="s">
        <v>2652</v>
      </c>
      <c r="FQ179" s="15">
        <v>0.0</v>
      </c>
      <c r="FR179" s="15">
        <v>0.0</v>
      </c>
      <c r="FT179" s="15">
        <v>0.0</v>
      </c>
    </row>
    <row r="180" ht="15.75" customHeight="1">
      <c r="A180" s="14" t="s">
        <v>391</v>
      </c>
      <c r="B180" s="15" t="s">
        <v>2793</v>
      </c>
      <c r="C180" s="16"/>
      <c r="D180" s="15" t="s">
        <v>432</v>
      </c>
      <c r="G180" s="14" t="s">
        <v>393</v>
      </c>
      <c r="H180" s="14" t="s">
        <v>394</v>
      </c>
      <c r="I180" s="14" t="b">
        <v>1</v>
      </c>
      <c r="J180" s="14" t="s">
        <v>395</v>
      </c>
      <c r="L180" s="14" t="b">
        <v>0</v>
      </c>
      <c r="M180" s="15" t="s">
        <v>2809</v>
      </c>
      <c r="N180" s="14" t="s">
        <v>393</v>
      </c>
      <c r="O180" s="14" t="s">
        <v>393</v>
      </c>
      <c r="P180" s="15" t="s">
        <v>397</v>
      </c>
      <c r="Q180" s="15" t="s">
        <v>2810</v>
      </c>
      <c r="T180" s="14" t="b">
        <v>0</v>
      </c>
      <c r="U180" s="15" t="s">
        <v>2811</v>
      </c>
      <c r="V180" s="15" t="s">
        <v>2797</v>
      </c>
      <c r="W180" s="15" t="s">
        <v>401</v>
      </c>
      <c r="X180" s="15" t="s">
        <v>695</v>
      </c>
      <c r="Y180" s="15">
        <v>1482.0</v>
      </c>
      <c r="AA180" s="15" t="str">
        <f>"570"</f>
        <v>570</v>
      </c>
      <c r="AB180" s="14" t="b">
        <v>1</v>
      </c>
      <c r="AC180" s="14" t="b">
        <v>1</v>
      </c>
      <c r="AD180" s="15" t="str">
        <f>"801542750015"</f>
        <v>801542750015</v>
      </c>
      <c r="AE180" s="15" t="s">
        <v>2812</v>
      </c>
      <c r="AF180" s="14" t="s">
        <v>404</v>
      </c>
      <c r="AG180" s="14" t="s">
        <v>405</v>
      </c>
      <c r="AH180" s="14" t="s">
        <v>406</v>
      </c>
      <c r="AI180" s="15">
        <v>0.0</v>
      </c>
      <c r="AL180" s="15" t="s">
        <v>2813</v>
      </c>
      <c r="AM180" s="15" t="s">
        <v>1028</v>
      </c>
      <c r="AN180" s="15" t="s">
        <v>1029</v>
      </c>
      <c r="AO180" s="15" t="s">
        <v>1203</v>
      </c>
      <c r="AP180" s="15" t="s">
        <v>1204</v>
      </c>
      <c r="AQ180" s="15" t="s">
        <v>1274</v>
      </c>
      <c r="AR180" s="15" t="s">
        <v>1275</v>
      </c>
      <c r="AS180" s="15" t="s">
        <v>2800</v>
      </c>
      <c r="AT180" s="15" t="s">
        <v>2810</v>
      </c>
      <c r="AU180" s="15" t="s">
        <v>2801</v>
      </c>
      <c r="AW180" s="15" t="s">
        <v>706</v>
      </c>
      <c r="AX180" s="15" t="s">
        <v>707</v>
      </c>
      <c r="AY180" s="15" t="s">
        <v>426</v>
      </c>
      <c r="AZ180" s="15" t="b">
        <v>1</v>
      </c>
      <c r="BA180" s="15" t="s">
        <v>413</v>
      </c>
      <c r="BB180" s="15" t="b">
        <v>0</v>
      </c>
      <c r="BC180" s="15" t="s">
        <v>2814</v>
      </c>
      <c r="BD180" s="15" t="s">
        <v>709</v>
      </c>
      <c r="BE180" s="15" t="str">
        <f t="shared" si="320"/>
        <v>1</v>
      </c>
      <c r="BF180" s="15" t="s">
        <v>2815</v>
      </c>
      <c r="BG180" s="15" t="str">
        <f t="shared" si="321"/>
        <v>35.04</v>
      </c>
      <c r="BH180" s="15" t="s">
        <v>1404</v>
      </c>
      <c r="BI180" s="15" t="str">
        <f t="shared" si="322"/>
        <v>35.43</v>
      </c>
      <c r="BJ180" s="15" t="s">
        <v>1034</v>
      </c>
      <c r="BK180" s="15" t="str">
        <f t="shared" si="323"/>
        <v>31.1</v>
      </c>
      <c r="BL180" s="15" t="s">
        <v>1386</v>
      </c>
      <c r="BM180" s="15" t="str">
        <f t="shared" ref="BM180:BM182" si="326">"98.1"</f>
        <v>98.1</v>
      </c>
      <c r="BN180" s="15" t="s">
        <v>2816</v>
      </c>
      <c r="BQ180" s="15" t="s">
        <v>444</v>
      </c>
      <c r="BS180" s="15" t="s">
        <v>444</v>
      </c>
      <c r="BU180" s="15" t="s">
        <v>444</v>
      </c>
      <c r="BW180" s="15" t="s">
        <v>444</v>
      </c>
      <c r="BZ180" s="15" t="s">
        <v>444</v>
      </c>
      <c r="CB180" s="15" t="s">
        <v>444</v>
      </c>
      <c r="CD180" s="15" t="s">
        <v>444</v>
      </c>
      <c r="CF180" s="15" t="s">
        <v>444</v>
      </c>
      <c r="CI180" s="15" t="s">
        <v>444</v>
      </c>
      <c r="CK180" s="15" t="s">
        <v>444</v>
      </c>
      <c r="CM180" s="15" t="s">
        <v>444</v>
      </c>
      <c r="CO180" s="15" t="s">
        <v>444</v>
      </c>
      <c r="CP180" s="15" t="str">
        <f t="shared" si="324"/>
        <v>22.35</v>
      </c>
      <c r="CQ180" s="15" t="str">
        <f t="shared" si="325"/>
        <v>0.633</v>
      </c>
      <c r="CR180" s="15" t="s">
        <v>497</v>
      </c>
      <c r="CY180" s="15" t="s">
        <v>2384</v>
      </c>
      <c r="CZ180" s="15" t="s">
        <v>2805</v>
      </c>
      <c r="DA180" s="15" t="s">
        <v>2384</v>
      </c>
      <c r="DB180" s="15" t="s">
        <v>2652</v>
      </c>
      <c r="DC180" s="15" t="str">
        <f>IFERROR(__xludf.DUMMYFUNCTION("""COMPUTED_VALUE"""),"{""value"":24.02,""unit"":""in""}")</f>
        <v>{"value":24.02,"unit":"in"}</v>
      </c>
      <c r="DD180" s="15" t="s">
        <v>824</v>
      </c>
      <c r="DE180" s="15" t="str">
        <f>IFERROR(__xludf.DUMMYFUNCTION("""COMPUTED_VALUE"""),"{""value"":18.50,""unit"":""in""}")</f>
        <v>{"value":18.50,"unit":"in"}</v>
      </c>
      <c r="DG180" s="15" t="str">
        <f>IFERROR(__xludf.DUMMYFUNCTION("""COMPUTED_VALUE"""),"")</f>
        <v/>
      </c>
      <c r="DH180" s="15">
        <v>0.0</v>
      </c>
      <c r="DI180" s="15">
        <v>1.0</v>
      </c>
      <c r="DJ180" s="15" t="s">
        <v>717</v>
      </c>
      <c r="DK180" s="15" t="s">
        <v>897</v>
      </c>
      <c r="DL180" s="15" t="str">
        <f>IFERROR(__xludf.DUMMYFUNCTION("""COMPUTED_VALUE"""),"Clean with water-based products only. Use mild detergent or upholstery shampoo.")</f>
        <v>Clean with water-based products only. Use mild detergent or upholstery shampoo.</v>
      </c>
      <c r="DM180" s="15" t="s">
        <v>898</v>
      </c>
      <c r="DQ180" s="15" t="s">
        <v>1066</v>
      </c>
      <c r="DT180" s="15" t="s">
        <v>721</v>
      </c>
      <c r="DU180" s="15" t="s">
        <v>419</v>
      </c>
      <c r="DV180" s="15">
        <v>0.0</v>
      </c>
      <c r="DZ180" s="15">
        <v>100000.0</v>
      </c>
      <c r="EA180" s="15" t="s">
        <v>722</v>
      </c>
      <c r="EB180" s="15" t="s">
        <v>723</v>
      </c>
      <c r="EC180" s="15" t="s">
        <v>724</v>
      </c>
      <c r="ED180" s="15">
        <v>1.0</v>
      </c>
      <c r="EE180" s="15">
        <v>1.0</v>
      </c>
      <c r="EG180" s="15" t="s">
        <v>444</v>
      </c>
      <c r="EH180" s="15" t="s">
        <v>2806</v>
      </c>
      <c r="EI180" s="15">
        <v>0.0</v>
      </c>
      <c r="EJ180" s="15" t="s">
        <v>726</v>
      </c>
      <c r="EK180" s="15" t="s">
        <v>727</v>
      </c>
      <c r="EL180" s="15" t="s">
        <v>2807</v>
      </c>
      <c r="EM180" s="15" t="str">
        <f>IFERROR(__xludf.DUMMYFUNCTION("""COMPUTED_VALUE"""),"{""value"":26.75,""unit"":""in""}")</f>
        <v>{"value":26.75,"unit":"in"}</v>
      </c>
      <c r="EN180" s="15" t="s">
        <v>2402</v>
      </c>
      <c r="EO180" s="15" t="s">
        <v>1994</v>
      </c>
      <c r="ES180" s="15" t="s">
        <v>1069</v>
      </c>
      <c r="EW180" s="15" t="s">
        <v>475</v>
      </c>
      <c r="EX180" s="15" t="s">
        <v>2140</v>
      </c>
      <c r="EY180" s="15" t="s">
        <v>1119</v>
      </c>
      <c r="EZ180" s="15" t="s">
        <v>2808</v>
      </c>
      <c r="FC180" s="15" t="s">
        <v>1016</v>
      </c>
      <c r="FD180" s="15" t="s">
        <v>1076</v>
      </c>
      <c r="FF180" s="15" t="s">
        <v>1290</v>
      </c>
      <c r="FO180" s="15" t="s">
        <v>713</v>
      </c>
      <c r="FP180" s="15" t="s">
        <v>2652</v>
      </c>
      <c r="FQ180" s="15">
        <v>0.0</v>
      </c>
      <c r="FR180" s="15">
        <v>0.0</v>
      </c>
      <c r="FT180" s="15">
        <v>0.0</v>
      </c>
    </row>
    <row r="181" ht="15.75" customHeight="1">
      <c r="A181" s="14" t="s">
        <v>391</v>
      </c>
      <c r="B181" s="15" t="s">
        <v>2793</v>
      </c>
      <c r="C181" s="16"/>
      <c r="D181" s="15" t="s">
        <v>432</v>
      </c>
      <c r="G181" s="14" t="s">
        <v>393</v>
      </c>
      <c r="H181" s="14" t="s">
        <v>394</v>
      </c>
      <c r="I181" s="14" t="b">
        <v>1</v>
      </c>
      <c r="J181" s="14" t="s">
        <v>395</v>
      </c>
      <c r="L181" s="14" t="b">
        <v>0</v>
      </c>
      <c r="M181" s="15" t="s">
        <v>2817</v>
      </c>
      <c r="N181" s="14" t="s">
        <v>393</v>
      </c>
      <c r="O181" s="14" t="s">
        <v>393</v>
      </c>
      <c r="P181" s="15" t="s">
        <v>397</v>
      </c>
      <c r="Q181" s="15" t="s">
        <v>2818</v>
      </c>
      <c r="T181" s="14" t="b">
        <v>0</v>
      </c>
      <c r="U181" s="15" t="s">
        <v>2819</v>
      </c>
      <c r="V181" s="15" t="s">
        <v>2797</v>
      </c>
      <c r="W181" s="15" t="s">
        <v>401</v>
      </c>
      <c r="X181" s="15" t="s">
        <v>695</v>
      </c>
      <c r="Y181" s="15">
        <v>2626.0</v>
      </c>
      <c r="AA181" s="15" t="str">
        <f>"1010"</f>
        <v>1010</v>
      </c>
      <c r="AB181" s="14" t="b">
        <v>1</v>
      </c>
      <c r="AC181" s="14" t="b">
        <v>1</v>
      </c>
      <c r="AD181" s="15" t="str">
        <f>"801542745080"</f>
        <v>801542745080</v>
      </c>
      <c r="AE181" s="15" t="s">
        <v>2820</v>
      </c>
      <c r="AF181" s="14" t="s">
        <v>404</v>
      </c>
      <c r="AG181" s="14" t="s">
        <v>405</v>
      </c>
      <c r="AH181" s="14" t="s">
        <v>406</v>
      </c>
      <c r="AI181" s="15">
        <v>0.0</v>
      </c>
      <c r="AL181" s="15" t="s">
        <v>2799</v>
      </c>
      <c r="AM181" s="15" t="s">
        <v>1028</v>
      </c>
      <c r="AN181" s="15" t="s">
        <v>1029</v>
      </c>
      <c r="AO181" s="15" t="s">
        <v>1203</v>
      </c>
      <c r="AP181" s="15" t="s">
        <v>1204</v>
      </c>
      <c r="AQ181" s="15" t="s">
        <v>1274</v>
      </c>
      <c r="AR181" s="15" t="s">
        <v>1275</v>
      </c>
      <c r="AS181" s="15" t="s">
        <v>2800</v>
      </c>
      <c r="AT181" s="15" t="s">
        <v>2818</v>
      </c>
      <c r="AU181" s="15" t="s">
        <v>2801</v>
      </c>
      <c r="AW181" s="15" t="s">
        <v>706</v>
      </c>
      <c r="AX181" s="15" t="s">
        <v>707</v>
      </c>
      <c r="AY181" s="15" t="s">
        <v>413</v>
      </c>
      <c r="AZ181" s="15" t="b">
        <v>0</v>
      </c>
      <c r="BA181" s="15" t="s">
        <v>413</v>
      </c>
      <c r="BB181" s="15" t="b">
        <v>0</v>
      </c>
      <c r="BC181" s="15" t="s">
        <v>2821</v>
      </c>
      <c r="BD181" s="15" t="s">
        <v>709</v>
      </c>
      <c r="BE181" s="15" t="str">
        <f t="shared" si="320"/>
        <v>1</v>
      </c>
      <c r="BF181" s="15" t="s">
        <v>2815</v>
      </c>
      <c r="BG181" s="15" t="str">
        <f t="shared" si="321"/>
        <v>35.04</v>
      </c>
      <c r="BH181" s="15" t="s">
        <v>1404</v>
      </c>
      <c r="BI181" s="15" t="str">
        <f t="shared" si="322"/>
        <v>35.43</v>
      </c>
      <c r="BJ181" s="15" t="s">
        <v>1034</v>
      </c>
      <c r="BK181" s="15" t="str">
        <f t="shared" si="323"/>
        <v>31.1</v>
      </c>
      <c r="BL181" s="15" t="s">
        <v>1386</v>
      </c>
      <c r="BM181" s="15" t="str">
        <f t="shared" si="326"/>
        <v>98.1</v>
      </c>
      <c r="BN181" s="15" t="s">
        <v>2816</v>
      </c>
      <c r="BQ181" s="15" t="s">
        <v>444</v>
      </c>
      <c r="BS181" s="15" t="s">
        <v>444</v>
      </c>
      <c r="BU181" s="15" t="s">
        <v>444</v>
      </c>
      <c r="BW181" s="15" t="s">
        <v>444</v>
      </c>
      <c r="BZ181" s="15" t="s">
        <v>444</v>
      </c>
      <c r="CB181" s="15" t="s">
        <v>444</v>
      </c>
      <c r="CD181" s="15" t="s">
        <v>444</v>
      </c>
      <c r="CF181" s="15" t="s">
        <v>444</v>
      </c>
      <c r="CI181" s="15" t="s">
        <v>444</v>
      </c>
      <c r="CK181" s="15" t="s">
        <v>444</v>
      </c>
      <c r="CM181" s="15" t="s">
        <v>444</v>
      </c>
      <c r="CO181" s="15" t="s">
        <v>444</v>
      </c>
      <c r="CP181" s="15" t="str">
        <f t="shared" si="324"/>
        <v>22.35</v>
      </c>
      <c r="CQ181" s="15" t="str">
        <f t="shared" si="325"/>
        <v>0.633</v>
      </c>
      <c r="CR181" s="15" t="s">
        <v>497</v>
      </c>
      <c r="CY181" s="15" t="s">
        <v>2384</v>
      </c>
      <c r="CZ181" s="15" t="s">
        <v>2805</v>
      </c>
      <c r="DA181" s="15" t="s">
        <v>2384</v>
      </c>
      <c r="DB181" s="15" t="s">
        <v>2652</v>
      </c>
      <c r="DC181" s="15" t="str">
        <f>IFERROR(__xludf.DUMMYFUNCTION("""COMPUTED_VALUE"""),"{""value"":24.02,""unit"":""in""}")</f>
        <v>{"value":24.02,"unit":"in"}</v>
      </c>
      <c r="DD181" s="15" t="s">
        <v>824</v>
      </c>
      <c r="DE181" s="15" t="str">
        <f>IFERROR(__xludf.DUMMYFUNCTION("""COMPUTED_VALUE"""),"{""value"":18.50,""unit"":""in""}")</f>
        <v>{"value":18.50,"unit":"in"}</v>
      </c>
      <c r="DG181" s="15" t="str">
        <f>IFERROR(__xludf.DUMMYFUNCTION("""COMPUTED_VALUE"""),"")</f>
        <v/>
      </c>
      <c r="DH181" s="15">
        <v>0.0</v>
      </c>
      <c r="DI181" s="15">
        <v>1.0</v>
      </c>
      <c r="DJ181" s="15" t="s">
        <v>717</v>
      </c>
      <c r="DK181" s="15" t="s">
        <v>718</v>
      </c>
      <c r="DL181" s="15" t="str">
        <f>IFERROR(__xludf.DUMMYFUNCTION("""COMPUTED_VALUE"""),"Vacuum or light brush only. Do not use water or any cleaning products.")</f>
        <v>Vacuum or light brush only. Do not use water or any cleaning products.</v>
      </c>
      <c r="DM181" s="15" t="s">
        <v>719</v>
      </c>
      <c r="DQ181" s="15" t="s">
        <v>1066</v>
      </c>
      <c r="DT181" s="15" t="s">
        <v>721</v>
      </c>
      <c r="DU181" s="15" t="s">
        <v>419</v>
      </c>
      <c r="DV181" s="15">
        <v>0.0</v>
      </c>
      <c r="DZ181" s="15">
        <v>0.0</v>
      </c>
      <c r="EA181" s="15" t="s">
        <v>722</v>
      </c>
      <c r="EB181" s="15" t="s">
        <v>723</v>
      </c>
      <c r="EC181" s="15" t="s">
        <v>724</v>
      </c>
      <c r="ED181" s="15">
        <v>1.0</v>
      </c>
      <c r="EE181" s="15">
        <v>1.0</v>
      </c>
      <c r="EG181" s="15" t="s">
        <v>444</v>
      </c>
      <c r="EH181" s="15" t="s">
        <v>2806</v>
      </c>
      <c r="EI181" s="15">
        <v>0.0</v>
      </c>
      <c r="EJ181" s="15" t="s">
        <v>726</v>
      </c>
      <c r="EK181" s="15" t="s">
        <v>727</v>
      </c>
      <c r="EL181" s="15" t="s">
        <v>2807</v>
      </c>
      <c r="EM181" s="15" t="str">
        <f>IFERROR(__xludf.DUMMYFUNCTION("""COMPUTED_VALUE"""),"{""value"":26.75,""unit"":""in""}")</f>
        <v>{"value":26.75,"unit":"in"}</v>
      </c>
      <c r="EN181" s="15" t="s">
        <v>2402</v>
      </c>
      <c r="EO181" s="15" t="s">
        <v>1994</v>
      </c>
      <c r="ES181" s="15" t="s">
        <v>1069</v>
      </c>
      <c r="EW181" s="15" t="s">
        <v>475</v>
      </c>
      <c r="EX181" s="15" t="s">
        <v>2140</v>
      </c>
      <c r="EY181" s="15" t="s">
        <v>1119</v>
      </c>
      <c r="EZ181" s="15" t="s">
        <v>2808</v>
      </c>
      <c r="FC181" s="15" t="s">
        <v>1016</v>
      </c>
      <c r="FD181" s="15" t="s">
        <v>1076</v>
      </c>
      <c r="FF181" s="15" t="s">
        <v>1290</v>
      </c>
      <c r="FO181" s="15" t="s">
        <v>713</v>
      </c>
      <c r="FP181" s="15" t="s">
        <v>2652</v>
      </c>
      <c r="FQ181" s="15">
        <v>0.0</v>
      </c>
      <c r="FR181" s="15">
        <v>0.0</v>
      </c>
      <c r="FT181" s="15">
        <v>0.0</v>
      </c>
    </row>
    <row r="182" ht="15.75" customHeight="1">
      <c r="A182" s="14" t="s">
        <v>391</v>
      </c>
      <c r="B182" s="15" t="s">
        <v>2793</v>
      </c>
      <c r="C182" s="16"/>
      <c r="D182" s="15" t="s">
        <v>432</v>
      </c>
      <c r="G182" s="14" t="s">
        <v>393</v>
      </c>
      <c r="H182" s="14" t="s">
        <v>394</v>
      </c>
      <c r="I182" s="14" t="b">
        <v>1</v>
      </c>
      <c r="J182" s="14" t="s">
        <v>395</v>
      </c>
      <c r="L182" s="14" t="b">
        <v>0</v>
      </c>
      <c r="M182" s="15" t="s">
        <v>2822</v>
      </c>
      <c r="N182" s="14" t="s">
        <v>393</v>
      </c>
      <c r="O182" s="14" t="s">
        <v>393</v>
      </c>
      <c r="P182" s="15" t="s">
        <v>397</v>
      </c>
      <c r="Q182" s="15" t="s">
        <v>2000</v>
      </c>
      <c r="T182" s="14" t="b">
        <v>0</v>
      </c>
      <c r="U182" s="15" t="s">
        <v>2823</v>
      </c>
      <c r="V182" s="15" t="s">
        <v>2797</v>
      </c>
      <c r="W182" s="15" t="s">
        <v>401</v>
      </c>
      <c r="X182" s="15" t="s">
        <v>695</v>
      </c>
      <c r="Y182" s="15">
        <v>1586.0</v>
      </c>
      <c r="AA182" s="15" t="str">
        <f>"610"</f>
        <v>610</v>
      </c>
      <c r="AB182" s="14" t="b">
        <v>1</v>
      </c>
      <c r="AC182" s="14" t="b">
        <v>1</v>
      </c>
      <c r="AD182" s="15" t="str">
        <f>"801542035105"</f>
        <v>801542035105</v>
      </c>
      <c r="AE182" s="15" t="s">
        <v>2824</v>
      </c>
      <c r="AF182" s="14" t="s">
        <v>404</v>
      </c>
      <c r="AG182" s="14" t="s">
        <v>405</v>
      </c>
      <c r="AH182" s="14" t="s">
        <v>406</v>
      </c>
      <c r="AI182" s="15">
        <v>0.0</v>
      </c>
      <c r="AL182" s="15" t="s">
        <v>2825</v>
      </c>
      <c r="AM182" s="15" t="s">
        <v>1028</v>
      </c>
      <c r="AN182" s="15" t="s">
        <v>1029</v>
      </c>
      <c r="AO182" s="15" t="s">
        <v>1203</v>
      </c>
      <c r="AP182" s="15" t="s">
        <v>1204</v>
      </c>
      <c r="AQ182" s="15" t="s">
        <v>1274</v>
      </c>
      <c r="AR182" s="15" t="s">
        <v>1275</v>
      </c>
      <c r="AS182" s="15" t="s">
        <v>2800</v>
      </c>
      <c r="AT182" s="15" t="s">
        <v>2000</v>
      </c>
      <c r="AU182" s="15" t="s">
        <v>2801</v>
      </c>
      <c r="AW182" s="15" t="s">
        <v>706</v>
      </c>
      <c r="AX182" s="15" t="s">
        <v>707</v>
      </c>
      <c r="AY182" s="15" t="s">
        <v>426</v>
      </c>
      <c r="AZ182" s="15" t="b">
        <v>1</v>
      </c>
      <c r="BA182" s="15" t="s">
        <v>426</v>
      </c>
      <c r="BB182" s="15" t="b">
        <v>1</v>
      </c>
      <c r="BC182" s="15" t="s">
        <v>2826</v>
      </c>
      <c r="BD182" s="15" t="s">
        <v>709</v>
      </c>
      <c r="BE182" s="15" t="str">
        <f t="shared" si="320"/>
        <v>1</v>
      </c>
      <c r="BF182" s="15" t="s">
        <v>2803</v>
      </c>
      <c r="BG182" s="15" t="str">
        <f t="shared" si="321"/>
        <v>35.04</v>
      </c>
      <c r="BH182" s="15" t="s">
        <v>1404</v>
      </c>
      <c r="BI182" s="15" t="str">
        <f t="shared" si="322"/>
        <v>35.43</v>
      </c>
      <c r="BJ182" s="15" t="s">
        <v>1034</v>
      </c>
      <c r="BK182" s="15" t="str">
        <f t="shared" si="323"/>
        <v>31.1</v>
      </c>
      <c r="BL182" s="15" t="s">
        <v>1386</v>
      </c>
      <c r="BM182" s="15" t="str">
        <f t="shared" si="326"/>
        <v>98.1</v>
      </c>
      <c r="BN182" s="15" t="s">
        <v>2816</v>
      </c>
      <c r="BQ182" s="15" t="s">
        <v>444</v>
      </c>
      <c r="BS182" s="15" t="s">
        <v>444</v>
      </c>
      <c r="BU182" s="15" t="s">
        <v>444</v>
      </c>
      <c r="BW182" s="15" t="s">
        <v>444</v>
      </c>
      <c r="BZ182" s="15" t="s">
        <v>444</v>
      </c>
      <c r="CB182" s="15" t="s">
        <v>444</v>
      </c>
      <c r="CD182" s="15" t="s">
        <v>444</v>
      </c>
      <c r="CF182" s="15" t="s">
        <v>444</v>
      </c>
      <c r="CI182" s="15" t="s">
        <v>444</v>
      </c>
      <c r="CK182" s="15" t="s">
        <v>444</v>
      </c>
      <c r="CM182" s="15" t="s">
        <v>444</v>
      </c>
      <c r="CO182" s="15" t="s">
        <v>444</v>
      </c>
      <c r="CP182" s="15" t="str">
        <f t="shared" si="324"/>
        <v>22.35</v>
      </c>
      <c r="CQ182" s="15" t="str">
        <f t="shared" si="325"/>
        <v>0.633</v>
      </c>
      <c r="CR182" s="15" t="s">
        <v>417</v>
      </c>
      <c r="CY182" s="15" t="s">
        <v>2384</v>
      </c>
      <c r="CZ182" s="15" t="s">
        <v>2805</v>
      </c>
      <c r="DA182" s="15" t="s">
        <v>2384</v>
      </c>
      <c r="DB182" s="15" t="s">
        <v>2652</v>
      </c>
      <c r="DC182" s="15" t="str">
        <f>IFERROR(__xludf.DUMMYFUNCTION("""COMPUTED_VALUE"""),"{""value"":24.02,""unit"":""in""}")</f>
        <v>{"value":24.02,"unit":"in"}</v>
      </c>
      <c r="DD182" s="15" t="s">
        <v>824</v>
      </c>
      <c r="DE182" s="15" t="str">
        <f>IFERROR(__xludf.DUMMYFUNCTION("""COMPUTED_VALUE"""),"{""value"":18.50,""unit"":""in""}")</f>
        <v>{"value":18.50,"unit":"in"}</v>
      </c>
      <c r="DG182" s="15" t="str">
        <f>IFERROR(__xludf.DUMMYFUNCTION("""COMPUTED_VALUE"""),"")</f>
        <v/>
      </c>
      <c r="DH182" s="15">
        <v>0.0</v>
      </c>
      <c r="DI182" s="15">
        <v>1.0</v>
      </c>
      <c r="DJ182" s="15" t="s">
        <v>717</v>
      </c>
      <c r="DK182" s="15" t="s">
        <v>855</v>
      </c>
      <c r="DL182" s="15" t="str">
        <f>IFERROR(__xludf.DUMMYFUNCTION("""COMPUTED_VALUE"""),"Clean with solvent-based (dry clean only) products. Do not use water.")</f>
        <v>Clean with solvent-based (dry clean only) products. Do not use water.</v>
      </c>
      <c r="DM182" s="15" t="s">
        <v>856</v>
      </c>
      <c r="DQ182" s="15" t="s">
        <v>1066</v>
      </c>
      <c r="DT182" s="15" t="s">
        <v>721</v>
      </c>
      <c r="DU182" s="15" t="s">
        <v>419</v>
      </c>
      <c r="DV182" s="15">
        <v>0.0</v>
      </c>
      <c r="DZ182" s="15">
        <v>25000.0</v>
      </c>
      <c r="EA182" s="15" t="s">
        <v>722</v>
      </c>
      <c r="EB182" s="15" t="s">
        <v>723</v>
      </c>
      <c r="EC182" s="15" t="s">
        <v>724</v>
      </c>
      <c r="ED182" s="15">
        <v>1.0</v>
      </c>
      <c r="EE182" s="15">
        <v>1.0</v>
      </c>
      <c r="EG182" s="15" t="s">
        <v>444</v>
      </c>
      <c r="EH182" s="15" t="s">
        <v>2806</v>
      </c>
      <c r="EI182" s="15">
        <v>0.0</v>
      </c>
      <c r="EJ182" s="15" t="s">
        <v>726</v>
      </c>
      <c r="EK182" s="15" t="s">
        <v>727</v>
      </c>
      <c r="EL182" s="15" t="s">
        <v>2807</v>
      </c>
      <c r="EM182" s="15" t="str">
        <f>IFERROR(__xludf.DUMMYFUNCTION("""COMPUTED_VALUE"""),"{""value"":26.75,""unit"":""in""}")</f>
        <v>{"value":26.75,"unit":"in"}</v>
      </c>
      <c r="EN182" s="15" t="s">
        <v>2402</v>
      </c>
      <c r="EO182" s="15" t="s">
        <v>1994</v>
      </c>
      <c r="ES182" s="15" t="s">
        <v>1069</v>
      </c>
      <c r="EW182" s="15" t="s">
        <v>475</v>
      </c>
      <c r="EX182" s="15" t="s">
        <v>2140</v>
      </c>
      <c r="EY182" s="15" t="s">
        <v>1119</v>
      </c>
      <c r="EZ182" s="15" t="s">
        <v>2808</v>
      </c>
      <c r="FC182" s="15" t="s">
        <v>1016</v>
      </c>
      <c r="FD182" s="15" t="s">
        <v>1076</v>
      </c>
      <c r="FF182" s="15" t="s">
        <v>1290</v>
      </c>
      <c r="FO182" s="15" t="s">
        <v>713</v>
      </c>
      <c r="FP182" s="15" t="s">
        <v>2652</v>
      </c>
      <c r="FQ182" s="15">
        <v>0.0</v>
      </c>
      <c r="FR182" s="15">
        <v>0.0</v>
      </c>
      <c r="FT182" s="15">
        <v>0.0</v>
      </c>
    </row>
    <row r="183" ht="15.75" customHeight="1">
      <c r="A183" s="14" t="s">
        <v>391</v>
      </c>
      <c r="B183" s="15" t="s">
        <v>2827</v>
      </c>
      <c r="C183" s="16"/>
      <c r="D183" s="15" t="s">
        <v>432</v>
      </c>
      <c r="G183" s="14" t="s">
        <v>393</v>
      </c>
      <c r="H183" s="14" t="s">
        <v>394</v>
      </c>
      <c r="I183" s="14" t="b">
        <v>1</v>
      </c>
      <c r="J183" s="14" t="s">
        <v>395</v>
      </c>
      <c r="L183" s="14" t="b">
        <v>0</v>
      </c>
      <c r="M183" s="15" t="s">
        <v>2828</v>
      </c>
      <c r="N183" s="14" t="s">
        <v>393</v>
      </c>
      <c r="O183" s="14" t="s">
        <v>393</v>
      </c>
      <c r="P183" s="15" t="s">
        <v>397</v>
      </c>
      <c r="Q183" s="15" t="s">
        <v>2810</v>
      </c>
      <c r="T183" s="14" t="b">
        <v>0</v>
      </c>
      <c r="U183" s="15" t="s">
        <v>2829</v>
      </c>
      <c r="V183" s="15" t="s">
        <v>2830</v>
      </c>
      <c r="W183" s="15" t="s">
        <v>401</v>
      </c>
      <c r="X183" s="15" t="s">
        <v>695</v>
      </c>
      <c r="Y183" s="15">
        <v>2847.0</v>
      </c>
      <c r="AA183" s="15" t="str">
        <f>"1095"</f>
        <v>1095</v>
      </c>
      <c r="AB183" s="14" t="b">
        <v>1</v>
      </c>
      <c r="AC183" s="14" t="b">
        <v>1</v>
      </c>
      <c r="AD183" s="15" t="str">
        <f>"801542100711"</f>
        <v>801542100711</v>
      </c>
      <c r="AE183" s="15" t="s">
        <v>2831</v>
      </c>
      <c r="AF183" s="14" t="s">
        <v>404</v>
      </c>
      <c r="AG183" s="14" t="s">
        <v>405</v>
      </c>
      <c r="AH183" s="14" t="s">
        <v>406</v>
      </c>
      <c r="AI183" s="15">
        <v>0.0</v>
      </c>
      <c r="AL183" s="15" t="s">
        <v>2813</v>
      </c>
      <c r="AM183" s="15" t="s">
        <v>2832</v>
      </c>
      <c r="AN183" s="15" t="s">
        <v>2833</v>
      </c>
      <c r="AO183" s="15" t="s">
        <v>2834</v>
      </c>
      <c r="AP183" s="15" t="s">
        <v>2239</v>
      </c>
      <c r="AQ183" s="15" t="s">
        <v>2306</v>
      </c>
      <c r="AR183" s="15" t="s">
        <v>2307</v>
      </c>
      <c r="AS183" s="15" t="s">
        <v>2800</v>
      </c>
      <c r="AT183" s="15" t="s">
        <v>2810</v>
      </c>
      <c r="AU183" s="15" t="s">
        <v>2801</v>
      </c>
      <c r="AW183" s="15" t="s">
        <v>1732</v>
      </c>
      <c r="AY183" s="15" t="s">
        <v>413</v>
      </c>
      <c r="AZ183" s="15" t="b">
        <v>0</v>
      </c>
      <c r="BA183" s="15" t="s">
        <v>413</v>
      </c>
      <c r="BB183" s="15" t="b">
        <v>0</v>
      </c>
      <c r="BC183" s="15" t="s">
        <v>2835</v>
      </c>
      <c r="BD183" s="15" t="s">
        <v>709</v>
      </c>
      <c r="BE183" s="15" t="str">
        <f t="shared" si="320"/>
        <v>1</v>
      </c>
      <c r="BF183" s="15" t="s">
        <v>416</v>
      </c>
      <c r="BG183" s="15" t="str">
        <f t="shared" ref="BG183:BG185" si="327">"90.94"</f>
        <v>90.94</v>
      </c>
      <c r="BH183" s="15" t="s">
        <v>1130</v>
      </c>
      <c r="BI183" s="15" t="str">
        <f t="shared" si="322"/>
        <v>35.43</v>
      </c>
      <c r="BJ183" s="15" t="s">
        <v>1034</v>
      </c>
      <c r="BK183" s="15" t="str">
        <f t="shared" si="323"/>
        <v>31.1</v>
      </c>
      <c r="BL183" s="15" t="s">
        <v>1386</v>
      </c>
      <c r="BM183" s="15" t="str">
        <f t="shared" ref="BM183:BM185" si="328">"173.5"</f>
        <v>173.5</v>
      </c>
      <c r="BN183" s="15" t="s">
        <v>2836</v>
      </c>
      <c r="BQ183" s="15" t="s">
        <v>444</v>
      </c>
      <c r="BS183" s="15" t="s">
        <v>444</v>
      </c>
      <c r="BU183" s="15" t="s">
        <v>444</v>
      </c>
      <c r="BW183" s="15" t="s">
        <v>444</v>
      </c>
      <c r="BZ183" s="15" t="s">
        <v>444</v>
      </c>
      <c r="CB183" s="15" t="s">
        <v>444</v>
      </c>
      <c r="CD183" s="15" t="s">
        <v>444</v>
      </c>
      <c r="CF183" s="15" t="s">
        <v>444</v>
      </c>
      <c r="CI183" s="15" t="s">
        <v>444</v>
      </c>
      <c r="CK183" s="15" t="s">
        <v>444</v>
      </c>
      <c r="CM183" s="15" t="s">
        <v>444</v>
      </c>
      <c r="CO183" s="15" t="s">
        <v>444</v>
      </c>
      <c r="CP183" s="15" t="str">
        <f t="shared" ref="CP183:CP185" si="329">"57.99"</f>
        <v>57.99</v>
      </c>
      <c r="CQ183" s="15" t="str">
        <f t="shared" ref="CQ183:CQ185" si="330">"1.642"</f>
        <v>1.642</v>
      </c>
      <c r="CR183" s="15" t="s">
        <v>465</v>
      </c>
      <c r="CY183" s="15" t="s">
        <v>713</v>
      </c>
      <c r="CZ183" s="15" t="s">
        <v>475</v>
      </c>
      <c r="DA183" s="15" t="s">
        <v>2399</v>
      </c>
      <c r="DB183" s="15" t="s">
        <v>2837</v>
      </c>
      <c r="DC183" s="15" t="str">
        <f>IFERROR(__xludf.DUMMYFUNCTION("""COMPUTED_VALUE"""),"{""value"":24.21,""unit"":""in""}")</f>
        <v>{"value":24.21,"unit":"in"}</v>
      </c>
      <c r="DD183" s="15" t="s">
        <v>1460</v>
      </c>
      <c r="DE183" s="15" t="str">
        <f>IFERROR(__xludf.DUMMYFUNCTION("""COMPUTED_VALUE"""),"{""value"":19.49,""unit"":""in""}")</f>
        <v>{"value":19.49,"unit":"in"}</v>
      </c>
      <c r="DF183" s="15" t="s">
        <v>2838</v>
      </c>
      <c r="DG183" s="15" t="str">
        <f>IFERROR(__xludf.DUMMYFUNCTION("""COMPUTED_VALUE"""),"{""value"":79.72,""unit"":""in""}")</f>
        <v>{"value":79.72,"unit":"in"}</v>
      </c>
      <c r="DH183" s="15">
        <v>0.0</v>
      </c>
      <c r="DI183" s="15">
        <v>1.0</v>
      </c>
      <c r="DJ183" s="15" t="s">
        <v>717</v>
      </c>
      <c r="DK183" s="15" t="s">
        <v>897</v>
      </c>
      <c r="DL183" s="15" t="str">
        <f>IFERROR(__xludf.DUMMYFUNCTION("""COMPUTED_VALUE"""),"Clean with water-based products only. Use mild detergent or upholstery shampoo.")</f>
        <v>Clean with water-based products only. Use mild detergent or upholstery shampoo.</v>
      </c>
      <c r="DM183" s="15" t="s">
        <v>898</v>
      </c>
      <c r="DQ183" s="15" t="s">
        <v>1066</v>
      </c>
      <c r="DT183" s="15" t="s">
        <v>721</v>
      </c>
      <c r="DU183" s="15" t="s">
        <v>419</v>
      </c>
      <c r="DV183" s="15">
        <v>0.0</v>
      </c>
      <c r="DZ183" s="15">
        <v>100000.0</v>
      </c>
      <c r="EA183" s="15" t="s">
        <v>990</v>
      </c>
      <c r="EB183" s="15" t="s">
        <v>723</v>
      </c>
      <c r="EC183" s="15" t="s">
        <v>724</v>
      </c>
      <c r="ED183" s="15">
        <v>2.0</v>
      </c>
      <c r="EE183" s="15">
        <v>4.0</v>
      </c>
      <c r="EG183" s="15" t="s">
        <v>444</v>
      </c>
      <c r="EH183" s="15" t="s">
        <v>2806</v>
      </c>
      <c r="EI183" s="15">
        <v>0.0</v>
      </c>
      <c r="EJ183" s="15" t="s">
        <v>588</v>
      </c>
      <c r="EK183" s="15" t="s">
        <v>589</v>
      </c>
      <c r="EL183" s="15" t="s">
        <v>2839</v>
      </c>
      <c r="EM183" s="15" t="str">
        <f>IFERROR(__xludf.DUMMYFUNCTION("""COMPUTED_VALUE"""),"{""value"":29.00,""unit"":""in""}")</f>
        <v>{"value":29.00,"unit":"in"}</v>
      </c>
      <c r="EN183" s="15" t="s">
        <v>1738</v>
      </c>
      <c r="EO183" s="15" t="s">
        <v>2840</v>
      </c>
      <c r="ES183" s="15" t="s">
        <v>1069</v>
      </c>
      <c r="EW183" s="15" t="s">
        <v>2841</v>
      </c>
      <c r="EX183" s="15" t="s">
        <v>2842</v>
      </c>
      <c r="EY183" s="15" t="s">
        <v>2843</v>
      </c>
      <c r="EZ183" s="15" t="s">
        <v>729</v>
      </c>
      <c r="FC183" s="15" t="s">
        <v>1016</v>
      </c>
      <c r="FD183" s="15" t="s">
        <v>1076</v>
      </c>
      <c r="FF183" s="15" t="s">
        <v>1290</v>
      </c>
      <c r="FL183" s="15" t="s">
        <v>426</v>
      </c>
      <c r="FS183" s="15" t="s">
        <v>2436</v>
      </c>
    </row>
    <row r="184" ht="15.75" customHeight="1">
      <c r="A184" s="14" t="s">
        <v>391</v>
      </c>
      <c r="B184" s="15" t="s">
        <v>2827</v>
      </c>
      <c r="C184" s="16"/>
      <c r="D184" s="15" t="s">
        <v>432</v>
      </c>
      <c r="G184" s="14" t="s">
        <v>393</v>
      </c>
      <c r="H184" s="14" t="s">
        <v>394</v>
      </c>
      <c r="I184" s="14" t="b">
        <v>1</v>
      </c>
      <c r="J184" s="14" t="s">
        <v>395</v>
      </c>
      <c r="L184" s="14" t="b">
        <v>0</v>
      </c>
      <c r="M184" s="15" t="s">
        <v>2844</v>
      </c>
      <c r="N184" s="14" t="s">
        <v>393</v>
      </c>
      <c r="O184" s="14" t="s">
        <v>393</v>
      </c>
      <c r="P184" s="15" t="s">
        <v>397</v>
      </c>
      <c r="Q184" s="15" t="s">
        <v>2818</v>
      </c>
      <c r="T184" s="14" t="b">
        <v>0</v>
      </c>
      <c r="U184" s="15" t="s">
        <v>2845</v>
      </c>
      <c r="V184" s="15" t="s">
        <v>2830</v>
      </c>
      <c r="W184" s="15" t="s">
        <v>401</v>
      </c>
      <c r="X184" s="15" t="s">
        <v>695</v>
      </c>
      <c r="Y184" s="15">
        <v>5681.0</v>
      </c>
      <c r="AA184" s="15" t="str">
        <f>"2185"</f>
        <v>2185</v>
      </c>
      <c r="AB184" s="14" t="b">
        <v>1</v>
      </c>
      <c r="AC184" s="14" t="b">
        <v>1</v>
      </c>
      <c r="AD184" s="15" t="str">
        <f>"801542100728"</f>
        <v>801542100728</v>
      </c>
      <c r="AE184" s="15" t="s">
        <v>2846</v>
      </c>
      <c r="AF184" s="14" t="s">
        <v>404</v>
      </c>
      <c r="AG184" s="14" t="s">
        <v>405</v>
      </c>
      <c r="AH184" s="14" t="s">
        <v>406</v>
      </c>
      <c r="AI184" s="15">
        <v>0.0</v>
      </c>
      <c r="AL184" s="15" t="s">
        <v>2799</v>
      </c>
      <c r="AM184" s="15" t="s">
        <v>2832</v>
      </c>
      <c r="AN184" s="15" t="s">
        <v>2833</v>
      </c>
      <c r="AO184" s="15" t="s">
        <v>2834</v>
      </c>
      <c r="AP184" s="15" t="s">
        <v>2239</v>
      </c>
      <c r="AQ184" s="15" t="s">
        <v>2306</v>
      </c>
      <c r="AR184" s="15" t="s">
        <v>2307</v>
      </c>
      <c r="AS184" s="15" t="s">
        <v>2800</v>
      </c>
      <c r="AT184" s="15" t="s">
        <v>2818</v>
      </c>
      <c r="AU184" s="15" t="s">
        <v>2801</v>
      </c>
      <c r="AW184" s="15" t="s">
        <v>1732</v>
      </c>
      <c r="AY184" s="15" t="s">
        <v>413</v>
      </c>
      <c r="AZ184" s="15" t="b">
        <v>0</v>
      </c>
      <c r="BA184" s="15" t="s">
        <v>413</v>
      </c>
      <c r="BB184" s="15" t="b">
        <v>0</v>
      </c>
      <c r="BC184" s="15" t="s">
        <v>2835</v>
      </c>
      <c r="BD184" s="15" t="s">
        <v>709</v>
      </c>
      <c r="BE184" s="15" t="str">
        <f t="shared" si="320"/>
        <v>1</v>
      </c>
      <c r="BF184" s="15" t="s">
        <v>416</v>
      </c>
      <c r="BG184" s="15" t="str">
        <f t="shared" si="327"/>
        <v>90.94</v>
      </c>
      <c r="BH184" s="15" t="s">
        <v>1130</v>
      </c>
      <c r="BI184" s="15" t="str">
        <f t="shared" si="322"/>
        <v>35.43</v>
      </c>
      <c r="BJ184" s="15" t="s">
        <v>1034</v>
      </c>
      <c r="BK184" s="15" t="str">
        <f t="shared" si="323"/>
        <v>31.1</v>
      </c>
      <c r="BL184" s="15" t="s">
        <v>1386</v>
      </c>
      <c r="BM184" s="15" t="str">
        <f t="shared" si="328"/>
        <v>173.5</v>
      </c>
      <c r="BN184" s="15" t="s">
        <v>2836</v>
      </c>
      <c r="BQ184" s="15" t="s">
        <v>444</v>
      </c>
      <c r="BS184" s="15" t="s">
        <v>444</v>
      </c>
      <c r="BU184" s="15" t="s">
        <v>444</v>
      </c>
      <c r="BW184" s="15" t="s">
        <v>444</v>
      </c>
      <c r="BZ184" s="15" t="s">
        <v>444</v>
      </c>
      <c r="CB184" s="15" t="s">
        <v>444</v>
      </c>
      <c r="CD184" s="15" t="s">
        <v>444</v>
      </c>
      <c r="CF184" s="15" t="s">
        <v>444</v>
      </c>
      <c r="CI184" s="15" t="s">
        <v>444</v>
      </c>
      <c r="CK184" s="15" t="s">
        <v>444</v>
      </c>
      <c r="CM184" s="15" t="s">
        <v>444</v>
      </c>
      <c r="CO184" s="15" t="s">
        <v>444</v>
      </c>
      <c r="CP184" s="15" t="str">
        <f t="shared" si="329"/>
        <v>57.99</v>
      </c>
      <c r="CQ184" s="15" t="str">
        <f t="shared" si="330"/>
        <v>1.642</v>
      </c>
      <c r="CR184" s="15" t="s">
        <v>465</v>
      </c>
      <c r="CY184" s="15" t="s">
        <v>713</v>
      </c>
      <c r="CZ184" s="15" t="s">
        <v>475</v>
      </c>
      <c r="DA184" s="15" t="s">
        <v>2399</v>
      </c>
      <c r="DB184" s="15" t="s">
        <v>2837</v>
      </c>
      <c r="DC184" s="15" t="str">
        <f>IFERROR(__xludf.DUMMYFUNCTION("""COMPUTED_VALUE"""),"{""value"":24.21,""unit"":""in""}")</f>
        <v>{"value":24.21,"unit":"in"}</v>
      </c>
      <c r="DD184" s="15" t="s">
        <v>1460</v>
      </c>
      <c r="DE184" s="15" t="str">
        <f>IFERROR(__xludf.DUMMYFUNCTION("""COMPUTED_VALUE"""),"{""value"":19.49,""unit"":""in""}")</f>
        <v>{"value":19.49,"unit":"in"}</v>
      </c>
      <c r="DF184" s="15" t="s">
        <v>2838</v>
      </c>
      <c r="DG184" s="15" t="str">
        <f>IFERROR(__xludf.DUMMYFUNCTION("""COMPUTED_VALUE"""),"{""value"":79.72,""unit"":""in""}")</f>
        <v>{"value":79.72,"unit":"in"}</v>
      </c>
      <c r="DH184" s="15">
        <v>0.0</v>
      </c>
      <c r="DI184" s="15">
        <v>1.0</v>
      </c>
      <c r="DJ184" s="15" t="s">
        <v>717</v>
      </c>
      <c r="DK184" s="15" t="s">
        <v>718</v>
      </c>
      <c r="DL184" s="15" t="str">
        <f>IFERROR(__xludf.DUMMYFUNCTION("""COMPUTED_VALUE"""),"Vacuum or light brush only. Do not use water or any cleaning products.")</f>
        <v>Vacuum or light brush only. Do not use water or any cleaning products.</v>
      </c>
      <c r="DM184" s="15" t="s">
        <v>719</v>
      </c>
      <c r="DQ184" s="15" t="s">
        <v>1066</v>
      </c>
      <c r="DT184" s="15" t="s">
        <v>721</v>
      </c>
      <c r="DU184" s="15" t="s">
        <v>419</v>
      </c>
      <c r="DV184" s="15">
        <v>0.0</v>
      </c>
      <c r="DZ184" s="15">
        <v>0.0</v>
      </c>
      <c r="EA184" s="15" t="s">
        <v>990</v>
      </c>
      <c r="EB184" s="15" t="s">
        <v>723</v>
      </c>
      <c r="EC184" s="15" t="s">
        <v>724</v>
      </c>
      <c r="ED184" s="15">
        <v>2.0</v>
      </c>
      <c r="EE184" s="15">
        <v>4.0</v>
      </c>
      <c r="EG184" s="15" t="s">
        <v>444</v>
      </c>
      <c r="EH184" s="15" t="s">
        <v>2806</v>
      </c>
      <c r="EI184" s="15">
        <v>0.0</v>
      </c>
      <c r="EJ184" s="15" t="s">
        <v>588</v>
      </c>
      <c r="EK184" s="15" t="s">
        <v>589</v>
      </c>
      <c r="EL184" s="15" t="s">
        <v>2839</v>
      </c>
      <c r="EM184" s="15" t="str">
        <f>IFERROR(__xludf.DUMMYFUNCTION("""COMPUTED_VALUE"""),"{""value"":29.00,""unit"":""in""}")</f>
        <v>{"value":29.00,"unit":"in"}</v>
      </c>
      <c r="EN184" s="15" t="s">
        <v>1738</v>
      </c>
      <c r="EO184" s="15" t="s">
        <v>2840</v>
      </c>
      <c r="ES184" s="15" t="s">
        <v>1069</v>
      </c>
      <c r="EW184" s="15" t="s">
        <v>2841</v>
      </c>
      <c r="EX184" s="15" t="s">
        <v>2842</v>
      </c>
      <c r="EY184" s="15" t="s">
        <v>2843</v>
      </c>
      <c r="EZ184" s="15" t="s">
        <v>729</v>
      </c>
      <c r="FC184" s="15" t="s">
        <v>1016</v>
      </c>
      <c r="FD184" s="15" t="s">
        <v>1076</v>
      </c>
      <c r="FF184" s="15" t="s">
        <v>1290</v>
      </c>
      <c r="FL184" s="15" t="s">
        <v>426</v>
      </c>
      <c r="FS184" s="15" t="s">
        <v>2436</v>
      </c>
    </row>
    <row r="185" ht="15.75" customHeight="1">
      <c r="A185" s="14" t="s">
        <v>391</v>
      </c>
      <c r="B185" s="15" t="s">
        <v>2827</v>
      </c>
      <c r="C185" s="16"/>
      <c r="D185" s="15" t="s">
        <v>432</v>
      </c>
      <c r="G185" s="14" t="s">
        <v>393</v>
      </c>
      <c r="H185" s="14" t="s">
        <v>394</v>
      </c>
      <c r="I185" s="14" t="b">
        <v>1</v>
      </c>
      <c r="J185" s="14" t="s">
        <v>395</v>
      </c>
      <c r="L185" s="14" t="b">
        <v>0</v>
      </c>
      <c r="M185" s="15" t="s">
        <v>2847</v>
      </c>
      <c r="N185" s="14" t="s">
        <v>393</v>
      </c>
      <c r="O185" s="14" t="s">
        <v>393</v>
      </c>
      <c r="P185" s="15" t="s">
        <v>397</v>
      </c>
      <c r="Q185" s="15" t="s">
        <v>2000</v>
      </c>
      <c r="T185" s="14" t="b">
        <v>0</v>
      </c>
      <c r="U185" s="15" t="s">
        <v>2848</v>
      </c>
      <c r="V185" s="15" t="s">
        <v>2830</v>
      </c>
      <c r="W185" s="15" t="s">
        <v>401</v>
      </c>
      <c r="X185" s="15" t="s">
        <v>695</v>
      </c>
      <c r="Y185" s="15">
        <v>3068.0</v>
      </c>
      <c r="AA185" s="15" t="str">
        <f>"1180"</f>
        <v>1180</v>
      </c>
      <c r="AB185" s="14" t="b">
        <v>1</v>
      </c>
      <c r="AC185" s="14" t="b">
        <v>1</v>
      </c>
      <c r="AD185" s="15" t="str">
        <f>"801542156268"</f>
        <v>801542156268</v>
      </c>
      <c r="AE185" s="15" t="s">
        <v>2849</v>
      </c>
      <c r="AF185" s="14" t="s">
        <v>404</v>
      </c>
      <c r="AG185" s="14" t="s">
        <v>405</v>
      </c>
      <c r="AH185" s="14" t="s">
        <v>406</v>
      </c>
      <c r="AI185" s="15">
        <v>0.0</v>
      </c>
      <c r="AL185" s="15" t="s">
        <v>2825</v>
      </c>
      <c r="AM185" s="15" t="s">
        <v>2832</v>
      </c>
      <c r="AN185" s="15" t="s">
        <v>2833</v>
      </c>
      <c r="AO185" s="15" t="s">
        <v>2834</v>
      </c>
      <c r="AP185" s="15" t="s">
        <v>2239</v>
      </c>
      <c r="AQ185" s="15" t="s">
        <v>2306</v>
      </c>
      <c r="AR185" s="15" t="s">
        <v>2307</v>
      </c>
      <c r="AS185" s="15" t="s">
        <v>2800</v>
      </c>
      <c r="AT185" s="15" t="s">
        <v>2000</v>
      </c>
      <c r="AU185" s="15" t="s">
        <v>2801</v>
      </c>
      <c r="AW185" s="15" t="s">
        <v>1732</v>
      </c>
      <c r="AY185" s="15" t="s">
        <v>413</v>
      </c>
      <c r="AZ185" s="15" t="b">
        <v>0</v>
      </c>
      <c r="BA185" s="15" t="s">
        <v>426</v>
      </c>
      <c r="BB185" s="15" t="b">
        <v>1</v>
      </c>
      <c r="BC185" s="15" t="s">
        <v>2850</v>
      </c>
      <c r="BD185" s="15" t="s">
        <v>709</v>
      </c>
      <c r="BE185" s="15" t="str">
        <f t="shared" si="320"/>
        <v>1</v>
      </c>
      <c r="BF185" s="15" t="s">
        <v>416</v>
      </c>
      <c r="BG185" s="15" t="str">
        <f t="shared" si="327"/>
        <v>90.94</v>
      </c>
      <c r="BH185" s="15" t="s">
        <v>1130</v>
      </c>
      <c r="BI185" s="15" t="str">
        <f t="shared" si="322"/>
        <v>35.43</v>
      </c>
      <c r="BJ185" s="15" t="s">
        <v>1034</v>
      </c>
      <c r="BK185" s="15" t="str">
        <f t="shared" si="323"/>
        <v>31.1</v>
      </c>
      <c r="BL185" s="15" t="s">
        <v>1386</v>
      </c>
      <c r="BM185" s="15" t="str">
        <f t="shared" si="328"/>
        <v>173.5</v>
      </c>
      <c r="BN185" s="15" t="s">
        <v>2836</v>
      </c>
      <c r="BQ185" s="15" t="s">
        <v>444</v>
      </c>
      <c r="BS185" s="15" t="s">
        <v>444</v>
      </c>
      <c r="BU185" s="15" t="s">
        <v>444</v>
      </c>
      <c r="BW185" s="15" t="s">
        <v>444</v>
      </c>
      <c r="BZ185" s="15" t="s">
        <v>444</v>
      </c>
      <c r="CB185" s="15" t="s">
        <v>444</v>
      </c>
      <c r="CD185" s="15" t="s">
        <v>444</v>
      </c>
      <c r="CF185" s="15" t="s">
        <v>444</v>
      </c>
      <c r="CI185" s="15" t="s">
        <v>444</v>
      </c>
      <c r="CK185" s="15" t="s">
        <v>444</v>
      </c>
      <c r="CM185" s="15" t="s">
        <v>444</v>
      </c>
      <c r="CO185" s="15" t="s">
        <v>444</v>
      </c>
      <c r="CP185" s="15" t="str">
        <f t="shared" si="329"/>
        <v>57.99</v>
      </c>
      <c r="CQ185" s="15" t="str">
        <f t="shared" si="330"/>
        <v>1.642</v>
      </c>
      <c r="CR185" s="15" t="s">
        <v>417</v>
      </c>
      <c r="CY185" s="15" t="s">
        <v>713</v>
      </c>
      <c r="CZ185" s="15" t="s">
        <v>475</v>
      </c>
      <c r="DA185" s="15" t="s">
        <v>2399</v>
      </c>
      <c r="DB185" s="15" t="s">
        <v>2837</v>
      </c>
      <c r="DC185" s="15" t="str">
        <f>IFERROR(__xludf.DUMMYFUNCTION("""COMPUTED_VALUE"""),"{""value"":24.21,""unit"":""in""}")</f>
        <v>{"value":24.21,"unit":"in"}</v>
      </c>
      <c r="DD185" s="15" t="s">
        <v>1460</v>
      </c>
      <c r="DE185" s="15" t="str">
        <f>IFERROR(__xludf.DUMMYFUNCTION("""COMPUTED_VALUE"""),"{""value"":19.49,""unit"":""in""}")</f>
        <v>{"value":19.49,"unit":"in"}</v>
      </c>
      <c r="DF185" s="15" t="s">
        <v>2838</v>
      </c>
      <c r="DG185" s="15" t="str">
        <f>IFERROR(__xludf.DUMMYFUNCTION("""COMPUTED_VALUE"""),"{""value"":79.72,""unit"":""in""}")</f>
        <v>{"value":79.72,"unit":"in"}</v>
      </c>
      <c r="DH185" s="15">
        <v>0.0</v>
      </c>
      <c r="DI185" s="15">
        <v>1.0</v>
      </c>
      <c r="DJ185" s="15" t="s">
        <v>717</v>
      </c>
      <c r="DK185" s="15" t="s">
        <v>855</v>
      </c>
      <c r="DL185" s="15" t="str">
        <f>IFERROR(__xludf.DUMMYFUNCTION("""COMPUTED_VALUE"""),"Clean with solvent-based (dry clean only) products. Do not use water.")</f>
        <v>Clean with solvent-based (dry clean only) products. Do not use water.</v>
      </c>
      <c r="DM185" s="15" t="s">
        <v>856</v>
      </c>
      <c r="DQ185" s="15" t="s">
        <v>1066</v>
      </c>
      <c r="DT185" s="15" t="s">
        <v>721</v>
      </c>
      <c r="DU185" s="15" t="s">
        <v>419</v>
      </c>
      <c r="DV185" s="15">
        <v>0.0</v>
      </c>
      <c r="DZ185" s="15">
        <v>25000.0</v>
      </c>
      <c r="EA185" s="15" t="s">
        <v>990</v>
      </c>
      <c r="EB185" s="15" t="s">
        <v>723</v>
      </c>
      <c r="EC185" s="15" t="s">
        <v>724</v>
      </c>
      <c r="ED185" s="15">
        <v>2.0</v>
      </c>
      <c r="EE185" s="15">
        <v>4.0</v>
      </c>
      <c r="EG185" s="15" t="s">
        <v>444</v>
      </c>
      <c r="EH185" s="15" t="s">
        <v>2806</v>
      </c>
      <c r="EI185" s="15">
        <v>0.0</v>
      </c>
      <c r="EJ185" s="15" t="s">
        <v>588</v>
      </c>
      <c r="EK185" s="15" t="s">
        <v>589</v>
      </c>
      <c r="EL185" s="15" t="s">
        <v>2839</v>
      </c>
      <c r="EM185" s="15" t="str">
        <f>IFERROR(__xludf.DUMMYFUNCTION("""COMPUTED_VALUE"""),"{""value"":29.00,""unit"":""in""}")</f>
        <v>{"value":29.00,"unit":"in"}</v>
      </c>
      <c r="EN185" s="15" t="s">
        <v>1738</v>
      </c>
      <c r="EO185" s="15" t="s">
        <v>2840</v>
      </c>
      <c r="ES185" s="15" t="s">
        <v>1069</v>
      </c>
      <c r="EW185" s="15" t="s">
        <v>2841</v>
      </c>
      <c r="EX185" s="15" t="s">
        <v>2842</v>
      </c>
      <c r="EY185" s="15" t="s">
        <v>2843</v>
      </c>
      <c r="EZ185" s="15" t="s">
        <v>729</v>
      </c>
      <c r="FC185" s="15" t="s">
        <v>1016</v>
      </c>
      <c r="FD185" s="15" t="s">
        <v>1076</v>
      </c>
      <c r="FF185" s="15" t="s">
        <v>1290</v>
      </c>
      <c r="FL185" s="15" t="s">
        <v>426</v>
      </c>
      <c r="FS185" s="15" t="s">
        <v>2436</v>
      </c>
    </row>
    <row r="186" ht="15.75" customHeight="1">
      <c r="A186" s="14" t="s">
        <v>391</v>
      </c>
      <c r="B186" s="15" t="s">
        <v>2851</v>
      </c>
      <c r="C186" s="16"/>
      <c r="D186" s="15" t="s">
        <v>432</v>
      </c>
      <c r="G186" s="14" t="s">
        <v>393</v>
      </c>
      <c r="H186" s="14" t="s">
        <v>394</v>
      </c>
      <c r="I186" s="14" t="b">
        <v>1</v>
      </c>
      <c r="J186" s="14" t="s">
        <v>395</v>
      </c>
      <c r="L186" s="14" t="b">
        <v>0</v>
      </c>
      <c r="M186" s="15" t="s">
        <v>2852</v>
      </c>
      <c r="N186" s="14" t="s">
        <v>393</v>
      </c>
      <c r="O186" s="14" t="s">
        <v>393</v>
      </c>
      <c r="P186" s="15" t="s">
        <v>397</v>
      </c>
      <c r="Q186" s="15" t="s">
        <v>2853</v>
      </c>
      <c r="T186" s="14" t="b">
        <v>0</v>
      </c>
      <c r="U186" s="15" t="s">
        <v>2854</v>
      </c>
      <c r="V186" s="15" t="s">
        <v>2855</v>
      </c>
      <c r="W186" s="15" t="s">
        <v>401</v>
      </c>
      <c r="X186" s="15" t="s">
        <v>1296</v>
      </c>
      <c r="Y186" s="15">
        <v>494.0</v>
      </c>
      <c r="AA186" s="15" t="str">
        <f t="shared" ref="AA186:AA187" si="331">"190"</f>
        <v>190</v>
      </c>
      <c r="AB186" s="14" t="b">
        <v>1</v>
      </c>
      <c r="AC186" s="14" t="b">
        <v>1</v>
      </c>
      <c r="AD186" s="15" t="str">
        <f>"801542685898"</f>
        <v>801542685898</v>
      </c>
      <c r="AE186" s="15" t="s">
        <v>2856</v>
      </c>
      <c r="AF186" s="14" t="s">
        <v>404</v>
      </c>
      <c r="AG186" s="14" t="s">
        <v>405</v>
      </c>
      <c r="AH186" s="14" t="s">
        <v>406</v>
      </c>
      <c r="AI186" s="15">
        <v>0.0</v>
      </c>
      <c r="AL186" s="15" t="s">
        <v>2058</v>
      </c>
      <c r="AM186" s="15" t="s">
        <v>1007</v>
      </c>
      <c r="AN186" s="15" t="s">
        <v>1008</v>
      </c>
      <c r="AO186" s="15" t="s">
        <v>1007</v>
      </c>
      <c r="AP186" s="15" t="s">
        <v>1008</v>
      </c>
      <c r="AQ186" s="15" t="s">
        <v>409</v>
      </c>
      <c r="AR186" s="15" t="s">
        <v>438</v>
      </c>
      <c r="AS186" s="15" t="s">
        <v>2857</v>
      </c>
      <c r="AT186" s="15" t="s">
        <v>2853</v>
      </c>
      <c r="AW186" s="15" t="s">
        <v>1154</v>
      </c>
      <c r="AY186" s="15" t="s">
        <v>426</v>
      </c>
      <c r="AZ186" s="15" t="b">
        <v>1</v>
      </c>
      <c r="BA186" s="15" t="s">
        <v>413</v>
      </c>
      <c r="BB186" s="15" t="b">
        <v>0</v>
      </c>
      <c r="BC186" s="15" t="s">
        <v>2858</v>
      </c>
      <c r="BD186" s="15" t="s">
        <v>1303</v>
      </c>
      <c r="BE186" s="15" t="str">
        <f t="shared" si="320"/>
        <v>1</v>
      </c>
      <c r="BF186" s="15" t="s">
        <v>416</v>
      </c>
      <c r="BG186" s="15" t="str">
        <f t="shared" ref="BG186:BG187" si="332">"22.75"</f>
        <v>22.75</v>
      </c>
      <c r="BH186" s="15" t="s">
        <v>627</v>
      </c>
      <c r="BI186" s="15" t="str">
        <f t="shared" ref="BI186:BI187" si="333">"23.25"</f>
        <v>23.25</v>
      </c>
      <c r="BJ186" s="15" t="s">
        <v>2859</v>
      </c>
      <c r="BK186" s="15" t="str">
        <f t="shared" ref="BK186:BK187" si="334">"26.75"</f>
        <v>26.75</v>
      </c>
      <c r="BL186" s="15" t="s">
        <v>1054</v>
      </c>
      <c r="BM186" s="15" t="str">
        <f t="shared" ref="BM186:BM187" si="335">"36.38"</f>
        <v>36.38</v>
      </c>
      <c r="BN186" s="15" t="s">
        <v>2860</v>
      </c>
      <c r="BQ186" s="15" t="s">
        <v>444</v>
      </c>
      <c r="BS186" s="15" t="s">
        <v>444</v>
      </c>
      <c r="BU186" s="15" t="s">
        <v>444</v>
      </c>
      <c r="BW186" s="15" t="s">
        <v>444</v>
      </c>
      <c r="BZ186" s="15" t="s">
        <v>444</v>
      </c>
      <c r="CB186" s="15" t="s">
        <v>444</v>
      </c>
      <c r="CD186" s="15" t="s">
        <v>444</v>
      </c>
      <c r="CF186" s="15" t="s">
        <v>444</v>
      </c>
      <c r="CI186" s="15" t="s">
        <v>444</v>
      </c>
      <c r="CK186" s="15" t="s">
        <v>444</v>
      </c>
      <c r="CM186" s="15" t="s">
        <v>444</v>
      </c>
      <c r="CO186" s="15" t="s">
        <v>444</v>
      </c>
      <c r="CP186" s="15" t="str">
        <f t="shared" ref="CP186:CP187" si="336">"8.19"</f>
        <v>8.19</v>
      </c>
      <c r="CQ186" s="15" t="str">
        <f t="shared" ref="CQ186:CQ187" si="337">"0.232"</f>
        <v>0.232</v>
      </c>
      <c r="CR186" s="15" t="s">
        <v>497</v>
      </c>
      <c r="DC186" s="15" t="str">
        <f>IFERROR(__xludf.DUMMYFUNCTION("""COMPUTED_VALUE"""),"")</f>
        <v/>
      </c>
      <c r="DE186" s="15" t="str">
        <f>IFERROR(__xludf.DUMMYFUNCTION("""COMPUTED_VALUE"""),"")</f>
        <v/>
      </c>
      <c r="DG186" s="15" t="str">
        <f>IFERROR(__xludf.DUMMYFUNCTION("""COMPUTED_VALUE"""),"")</f>
        <v/>
      </c>
      <c r="DL186" s="15" t="str">
        <f>IFERROR(__xludf.DUMMYFUNCTION("""COMPUTED_VALUE"""),"")</f>
        <v/>
      </c>
      <c r="DM186" s="15" t="s">
        <v>444</v>
      </c>
      <c r="DN186" s="15" t="s">
        <v>419</v>
      </c>
      <c r="DO186" s="15">
        <v>0.0</v>
      </c>
      <c r="DP186" s="15" t="s">
        <v>419</v>
      </c>
      <c r="DR186" s="15">
        <v>0.0</v>
      </c>
      <c r="DU186" s="15" t="s">
        <v>419</v>
      </c>
      <c r="DY186" s="15">
        <v>0.0</v>
      </c>
      <c r="EF186" s="15" t="s">
        <v>1157</v>
      </c>
      <c r="EG186" s="15" t="s">
        <v>1158</v>
      </c>
      <c r="EH186" s="15" t="s">
        <v>2861</v>
      </c>
      <c r="EJ186" s="15" t="s">
        <v>500</v>
      </c>
      <c r="EK186" s="15" t="s">
        <v>501</v>
      </c>
      <c r="EM186" s="15" t="str">
        <f>IFERROR(__xludf.DUMMYFUNCTION("""COMPUTED_VALUE"""),"")</f>
        <v/>
      </c>
      <c r="FH186" s="15" t="s">
        <v>1065</v>
      </c>
      <c r="FI186" s="15" t="s">
        <v>1324</v>
      </c>
      <c r="FJ186" s="15" t="s">
        <v>1065</v>
      </c>
      <c r="FK186" s="15" t="s">
        <v>2046</v>
      </c>
      <c r="FL186" s="15" t="s">
        <v>426</v>
      </c>
      <c r="FM186" s="15">
        <v>0.0</v>
      </c>
      <c r="FN186" s="15">
        <v>0.0</v>
      </c>
    </row>
    <row r="187" ht="15.75" customHeight="1">
      <c r="A187" s="14" t="s">
        <v>391</v>
      </c>
      <c r="B187" s="15" t="s">
        <v>2851</v>
      </c>
      <c r="C187" s="16"/>
      <c r="D187" s="15" t="s">
        <v>432</v>
      </c>
      <c r="G187" s="14" t="s">
        <v>393</v>
      </c>
      <c r="H187" s="14" t="s">
        <v>394</v>
      </c>
      <c r="I187" s="14" t="b">
        <v>1</v>
      </c>
      <c r="J187" s="14" t="s">
        <v>395</v>
      </c>
      <c r="L187" s="14" t="b">
        <v>0</v>
      </c>
      <c r="M187" s="15" t="s">
        <v>2862</v>
      </c>
      <c r="N187" s="14" t="s">
        <v>393</v>
      </c>
      <c r="O187" s="14" t="s">
        <v>393</v>
      </c>
      <c r="P187" s="15" t="s">
        <v>397</v>
      </c>
      <c r="Q187" s="15" t="s">
        <v>2559</v>
      </c>
      <c r="T187" s="14" t="b">
        <v>0</v>
      </c>
      <c r="U187" s="15" t="s">
        <v>2863</v>
      </c>
      <c r="V187" s="15" t="s">
        <v>2855</v>
      </c>
      <c r="W187" s="15" t="s">
        <v>401</v>
      </c>
      <c r="X187" s="15" t="s">
        <v>1296</v>
      </c>
      <c r="Y187" s="15">
        <v>494.0</v>
      </c>
      <c r="AA187" s="15" t="str">
        <f t="shared" si="331"/>
        <v>190</v>
      </c>
      <c r="AB187" s="14" t="b">
        <v>1</v>
      </c>
      <c r="AC187" s="14" t="b">
        <v>1</v>
      </c>
      <c r="AD187" s="15" t="str">
        <f>"801542509125"</f>
        <v>801542509125</v>
      </c>
      <c r="AE187" s="15" t="s">
        <v>2864</v>
      </c>
      <c r="AF187" s="14" t="s">
        <v>404</v>
      </c>
      <c r="AG187" s="14" t="s">
        <v>405</v>
      </c>
      <c r="AH187" s="14" t="s">
        <v>406</v>
      </c>
      <c r="AI187" s="15">
        <v>0.0</v>
      </c>
      <c r="AL187" s="15" t="s">
        <v>2058</v>
      </c>
      <c r="AM187" s="15" t="s">
        <v>1007</v>
      </c>
      <c r="AN187" s="15" t="s">
        <v>1008</v>
      </c>
      <c r="AO187" s="15" t="s">
        <v>1007</v>
      </c>
      <c r="AP187" s="15" t="s">
        <v>1008</v>
      </c>
      <c r="AQ187" s="15" t="s">
        <v>409</v>
      </c>
      <c r="AR187" s="15" t="s">
        <v>438</v>
      </c>
      <c r="AS187" s="15" t="s">
        <v>2857</v>
      </c>
      <c r="AT187" s="15" t="s">
        <v>2559</v>
      </c>
      <c r="AW187" s="15" t="s">
        <v>1154</v>
      </c>
      <c r="AY187" s="15" t="s">
        <v>413</v>
      </c>
      <c r="AZ187" s="15" t="b">
        <v>0</v>
      </c>
      <c r="BA187" s="15" t="s">
        <v>413</v>
      </c>
      <c r="BB187" s="15" t="b">
        <v>0</v>
      </c>
      <c r="BC187" s="15" t="s">
        <v>2865</v>
      </c>
      <c r="BD187" s="15" t="s">
        <v>1303</v>
      </c>
      <c r="BE187" s="15" t="str">
        <f t="shared" si="320"/>
        <v>1</v>
      </c>
      <c r="BF187" s="15" t="s">
        <v>416</v>
      </c>
      <c r="BG187" s="15" t="str">
        <f t="shared" si="332"/>
        <v>22.75</v>
      </c>
      <c r="BH187" s="15" t="s">
        <v>627</v>
      </c>
      <c r="BI187" s="15" t="str">
        <f t="shared" si="333"/>
        <v>23.25</v>
      </c>
      <c r="BJ187" s="15" t="s">
        <v>2859</v>
      </c>
      <c r="BK187" s="15" t="str">
        <f t="shared" si="334"/>
        <v>26.75</v>
      </c>
      <c r="BL187" s="15" t="s">
        <v>1054</v>
      </c>
      <c r="BM187" s="15" t="str">
        <f t="shared" si="335"/>
        <v>36.38</v>
      </c>
      <c r="BN187" s="15" t="s">
        <v>2860</v>
      </c>
      <c r="BQ187" s="15" t="s">
        <v>444</v>
      </c>
      <c r="BS187" s="15" t="s">
        <v>444</v>
      </c>
      <c r="BU187" s="15" t="s">
        <v>444</v>
      </c>
      <c r="BW187" s="15" t="s">
        <v>444</v>
      </c>
      <c r="BZ187" s="15" t="s">
        <v>444</v>
      </c>
      <c r="CB187" s="15" t="s">
        <v>444</v>
      </c>
      <c r="CD187" s="15" t="s">
        <v>444</v>
      </c>
      <c r="CF187" s="15" t="s">
        <v>444</v>
      </c>
      <c r="CI187" s="15" t="s">
        <v>444</v>
      </c>
      <c r="CK187" s="15" t="s">
        <v>444</v>
      </c>
      <c r="CM187" s="15" t="s">
        <v>444</v>
      </c>
      <c r="CO187" s="15" t="s">
        <v>444</v>
      </c>
      <c r="CP187" s="15" t="str">
        <f t="shared" si="336"/>
        <v>8.19</v>
      </c>
      <c r="CQ187" s="15" t="str">
        <f t="shared" si="337"/>
        <v>0.232</v>
      </c>
      <c r="CR187" s="15" t="s">
        <v>465</v>
      </c>
      <c r="DC187" s="15" t="str">
        <f>IFERROR(__xludf.DUMMYFUNCTION("""COMPUTED_VALUE"""),"")</f>
        <v/>
      </c>
      <c r="DE187" s="15" t="str">
        <f>IFERROR(__xludf.DUMMYFUNCTION("""COMPUTED_VALUE"""),"")</f>
        <v/>
      </c>
      <c r="DG187" s="15" t="str">
        <f>IFERROR(__xludf.DUMMYFUNCTION("""COMPUTED_VALUE"""),"")</f>
        <v/>
      </c>
      <c r="DL187" s="15" t="str">
        <f>IFERROR(__xludf.DUMMYFUNCTION("""COMPUTED_VALUE"""),"")</f>
        <v/>
      </c>
      <c r="DM187" s="15" t="s">
        <v>444</v>
      </c>
      <c r="DN187" s="15" t="s">
        <v>419</v>
      </c>
      <c r="DO187" s="15">
        <v>0.0</v>
      </c>
      <c r="DP187" s="15" t="s">
        <v>419</v>
      </c>
      <c r="DR187" s="15">
        <v>0.0</v>
      </c>
      <c r="DU187" s="15" t="s">
        <v>419</v>
      </c>
      <c r="DY187" s="15">
        <v>0.0</v>
      </c>
      <c r="EF187" s="15" t="s">
        <v>1157</v>
      </c>
      <c r="EG187" s="15" t="s">
        <v>1158</v>
      </c>
      <c r="EH187" s="15" t="s">
        <v>2861</v>
      </c>
      <c r="EJ187" s="15" t="s">
        <v>500</v>
      </c>
      <c r="EK187" s="15" t="s">
        <v>501</v>
      </c>
      <c r="EM187" s="15" t="str">
        <f>IFERROR(__xludf.DUMMYFUNCTION("""COMPUTED_VALUE"""),"")</f>
        <v/>
      </c>
      <c r="FH187" s="15" t="s">
        <v>1065</v>
      </c>
      <c r="FI187" s="15" t="s">
        <v>1324</v>
      </c>
      <c r="FJ187" s="15" t="s">
        <v>1065</v>
      </c>
      <c r="FK187" s="15" t="s">
        <v>2046</v>
      </c>
      <c r="FL187" s="15" t="s">
        <v>426</v>
      </c>
      <c r="FM187" s="15">
        <v>0.0</v>
      </c>
      <c r="FN187" s="15">
        <v>0.0</v>
      </c>
    </row>
    <row r="188" ht="15.75" customHeight="1">
      <c r="A188" s="14" t="s">
        <v>391</v>
      </c>
      <c r="B188" s="15" t="s">
        <v>2866</v>
      </c>
      <c r="C188" s="16"/>
      <c r="D188" s="15" t="s">
        <v>432</v>
      </c>
      <c r="G188" s="14" t="s">
        <v>393</v>
      </c>
      <c r="H188" s="14" t="s">
        <v>394</v>
      </c>
      <c r="I188" s="14" t="b">
        <v>1</v>
      </c>
      <c r="J188" s="14" t="s">
        <v>395</v>
      </c>
      <c r="L188" s="14" t="b">
        <v>0</v>
      </c>
      <c r="M188" s="15" t="s">
        <v>2867</v>
      </c>
      <c r="N188" s="14" t="s">
        <v>393</v>
      </c>
      <c r="O188" s="14" t="s">
        <v>393</v>
      </c>
      <c r="P188" s="15" t="s">
        <v>397</v>
      </c>
      <c r="Q188" s="15" t="s">
        <v>2868</v>
      </c>
      <c r="T188" s="14" t="b">
        <v>0</v>
      </c>
      <c r="U188" s="15" t="s">
        <v>2869</v>
      </c>
      <c r="V188" s="15" t="s">
        <v>2870</v>
      </c>
      <c r="W188" s="15" t="s">
        <v>401</v>
      </c>
      <c r="X188" s="15" t="s">
        <v>1296</v>
      </c>
      <c r="Y188" s="15">
        <v>2184.0</v>
      </c>
      <c r="AA188" s="15" t="str">
        <f>"840"</f>
        <v>840</v>
      </c>
      <c r="AB188" s="14" t="b">
        <v>1</v>
      </c>
      <c r="AC188" s="14" t="b">
        <v>1</v>
      </c>
      <c r="AD188" s="15" t="str">
        <f>"801542954888"</f>
        <v>801542954888</v>
      </c>
      <c r="AE188" s="15" t="s">
        <v>2871</v>
      </c>
      <c r="AF188" s="14" t="s">
        <v>404</v>
      </c>
      <c r="AG188" s="14" t="s">
        <v>405</v>
      </c>
      <c r="AH188" s="14" t="s">
        <v>406</v>
      </c>
      <c r="AI188" s="15">
        <v>0.0</v>
      </c>
      <c r="AL188" s="15" t="s">
        <v>2872</v>
      </c>
      <c r="AM188" s="15" t="s">
        <v>2873</v>
      </c>
      <c r="AN188" s="15" t="s">
        <v>2874</v>
      </c>
      <c r="AO188" s="15" t="s">
        <v>1007</v>
      </c>
      <c r="AP188" s="15" t="s">
        <v>1008</v>
      </c>
      <c r="AQ188" s="15" t="s">
        <v>546</v>
      </c>
      <c r="AR188" s="15" t="s">
        <v>547</v>
      </c>
      <c r="AS188" s="15" t="s">
        <v>2875</v>
      </c>
      <c r="AT188" s="15" t="s">
        <v>2868</v>
      </c>
      <c r="AW188" s="15" t="s">
        <v>412</v>
      </c>
      <c r="AY188" s="15" t="s">
        <v>413</v>
      </c>
      <c r="AZ188" s="15" t="b">
        <v>0</v>
      </c>
      <c r="BA188" s="15" t="s">
        <v>413</v>
      </c>
      <c r="BB188" s="15" t="b">
        <v>0</v>
      </c>
      <c r="BC188" s="15" t="s">
        <v>2876</v>
      </c>
      <c r="BD188" s="15" t="s">
        <v>1303</v>
      </c>
      <c r="BE188" s="15" t="str">
        <f t="shared" si="320"/>
        <v>1</v>
      </c>
      <c r="BF188" s="15" t="s">
        <v>416</v>
      </c>
      <c r="BG188" s="15" t="str">
        <f>"65.25"</f>
        <v>65.25</v>
      </c>
      <c r="BH188" s="15" t="s">
        <v>2877</v>
      </c>
      <c r="BI188" s="15" t="str">
        <f>"21.75"</f>
        <v>21.75</v>
      </c>
      <c r="BJ188" s="15" t="s">
        <v>2878</v>
      </c>
      <c r="BK188" s="15" t="str">
        <f>"24.5"</f>
        <v>24.5</v>
      </c>
      <c r="BL188" s="15" t="s">
        <v>1471</v>
      </c>
      <c r="BM188" s="15" t="str">
        <f>"207.45"</f>
        <v>207.45</v>
      </c>
      <c r="BN188" s="15" t="s">
        <v>2879</v>
      </c>
      <c r="BQ188" s="15" t="s">
        <v>444</v>
      </c>
      <c r="BS188" s="15" t="s">
        <v>444</v>
      </c>
      <c r="BU188" s="15" t="s">
        <v>444</v>
      </c>
      <c r="BW188" s="15" t="s">
        <v>444</v>
      </c>
      <c r="BZ188" s="15" t="s">
        <v>444</v>
      </c>
      <c r="CB188" s="15" t="s">
        <v>444</v>
      </c>
      <c r="CD188" s="15" t="s">
        <v>444</v>
      </c>
      <c r="CF188" s="15" t="s">
        <v>444</v>
      </c>
      <c r="CI188" s="15" t="s">
        <v>444</v>
      </c>
      <c r="CK188" s="15" t="s">
        <v>444</v>
      </c>
      <c r="CM188" s="15" t="s">
        <v>444</v>
      </c>
      <c r="CO188" s="15" t="s">
        <v>444</v>
      </c>
      <c r="CP188" s="15" t="str">
        <f>"20.13"</f>
        <v>20.13</v>
      </c>
      <c r="CQ188" s="15" t="str">
        <f>"0.57"</f>
        <v>0.57</v>
      </c>
      <c r="CR188" s="15" t="s">
        <v>417</v>
      </c>
      <c r="DC188" s="15" t="str">
        <f>IFERROR(__xludf.DUMMYFUNCTION("""COMPUTED_VALUE"""),"")</f>
        <v/>
      </c>
      <c r="DE188" s="15" t="str">
        <f>IFERROR(__xludf.DUMMYFUNCTION("""COMPUTED_VALUE"""),"")</f>
        <v/>
      </c>
      <c r="DG188" s="15" t="str">
        <f>IFERROR(__xludf.DUMMYFUNCTION("""COMPUTED_VALUE"""),"")</f>
        <v/>
      </c>
      <c r="DL188" s="15" t="str">
        <f>IFERROR(__xludf.DUMMYFUNCTION("""COMPUTED_VALUE"""),"")</f>
        <v/>
      </c>
      <c r="DM188" s="15" t="s">
        <v>444</v>
      </c>
      <c r="DN188" s="15" t="s">
        <v>1371</v>
      </c>
      <c r="DO188" s="15">
        <v>6.0</v>
      </c>
      <c r="DP188" s="15" t="s">
        <v>2604</v>
      </c>
      <c r="DR188" s="15">
        <v>0.0</v>
      </c>
      <c r="DT188" s="15" t="s">
        <v>1111</v>
      </c>
      <c r="DU188" s="15" t="s">
        <v>421</v>
      </c>
      <c r="DY188" s="15">
        <v>0.0</v>
      </c>
      <c r="EF188" s="15" t="s">
        <v>422</v>
      </c>
      <c r="EG188" s="15" t="s">
        <v>445</v>
      </c>
      <c r="EH188" s="15" t="s">
        <v>2880</v>
      </c>
      <c r="EJ188" s="15" t="s">
        <v>500</v>
      </c>
      <c r="EK188" s="15" t="s">
        <v>501</v>
      </c>
      <c r="EM188" s="15" t="str">
        <f>IFERROR(__xludf.DUMMYFUNCTION("""COMPUTED_VALUE"""),"")</f>
        <v/>
      </c>
      <c r="EW188" s="15" t="s">
        <v>475</v>
      </c>
      <c r="FL188" s="15" t="s">
        <v>426</v>
      </c>
      <c r="FM188" s="15">
        <v>0.0</v>
      </c>
      <c r="GH188" s="15">
        <v>0.0</v>
      </c>
      <c r="GI188" s="15" t="s">
        <v>427</v>
      </c>
      <c r="GO188" s="15" t="s">
        <v>426</v>
      </c>
      <c r="GQ188" s="15" t="s">
        <v>1459</v>
      </c>
      <c r="GR188" s="15" t="s">
        <v>1459</v>
      </c>
      <c r="GS188" s="15" t="s">
        <v>2881</v>
      </c>
      <c r="GT188" s="15" t="s">
        <v>1132</v>
      </c>
      <c r="GU188" s="15" t="s">
        <v>2017</v>
      </c>
      <c r="GV188" s="15" t="s">
        <v>2017</v>
      </c>
      <c r="GW188" s="15" t="s">
        <v>838</v>
      </c>
      <c r="GX188" s="15" t="s">
        <v>426</v>
      </c>
      <c r="GY188" s="15" t="s">
        <v>764</v>
      </c>
      <c r="GZ188" s="15" t="s">
        <v>426</v>
      </c>
    </row>
    <row r="189" ht="15.75" customHeight="1">
      <c r="A189" s="14" t="s">
        <v>391</v>
      </c>
      <c r="B189" s="15" t="s">
        <v>2882</v>
      </c>
      <c r="C189" s="16"/>
      <c r="D189" s="15" t="s">
        <v>432</v>
      </c>
      <c r="G189" s="14" t="s">
        <v>393</v>
      </c>
      <c r="H189" s="14" t="s">
        <v>394</v>
      </c>
      <c r="I189" s="14" t="b">
        <v>1</v>
      </c>
      <c r="J189" s="14" t="s">
        <v>395</v>
      </c>
      <c r="L189" s="14" t="b">
        <v>0</v>
      </c>
      <c r="M189" s="15" t="s">
        <v>2883</v>
      </c>
      <c r="N189" s="14" t="s">
        <v>393</v>
      </c>
      <c r="O189" s="14" t="s">
        <v>393</v>
      </c>
      <c r="P189" s="15" t="s">
        <v>397</v>
      </c>
      <c r="Q189" s="15" t="s">
        <v>2746</v>
      </c>
      <c r="T189" s="14" t="b">
        <v>0</v>
      </c>
      <c r="U189" s="15" t="s">
        <v>2884</v>
      </c>
      <c r="V189" s="15" t="s">
        <v>2885</v>
      </c>
      <c r="W189" s="15" t="s">
        <v>401</v>
      </c>
      <c r="X189" s="15" t="s">
        <v>1296</v>
      </c>
      <c r="Y189" s="15">
        <v>1313.0</v>
      </c>
      <c r="AA189" s="15" t="str">
        <f t="shared" ref="AA189:AA191" si="338">"505"</f>
        <v>505</v>
      </c>
      <c r="AB189" s="14" t="b">
        <v>1</v>
      </c>
      <c r="AC189" s="14" t="b">
        <v>1</v>
      </c>
      <c r="AD189" s="15" t="str">
        <f>"801542811969"</f>
        <v>801542811969</v>
      </c>
      <c r="AE189" s="15" t="s">
        <v>2886</v>
      </c>
      <c r="AF189" s="14" t="s">
        <v>404</v>
      </c>
      <c r="AG189" s="14" t="s">
        <v>405</v>
      </c>
      <c r="AH189" s="14" t="s">
        <v>406</v>
      </c>
      <c r="AI189" s="15">
        <v>0.0</v>
      </c>
      <c r="AL189" s="15" t="s">
        <v>2887</v>
      </c>
      <c r="AM189" s="15" t="s">
        <v>645</v>
      </c>
      <c r="AN189" s="15" t="s">
        <v>646</v>
      </c>
      <c r="AO189" s="15" t="s">
        <v>1007</v>
      </c>
      <c r="AP189" s="15" t="s">
        <v>1008</v>
      </c>
      <c r="AQ189" s="15" t="s">
        <v>410</v>
      </c>
      <c r="AR189" s="15" t="s">
        <v>439</v>
      </c>
      <c r="AS189" s="15" t="s">
        <v>2888</v>
      </c>
      <c r="AT189" s="15" t="s">
        <v>2746</v>
      </c>
      <c r="AU189" s="15" t="s">
        <v>2889</v>
      </c>
      <c r="AV189" s="15" t="s">
        <v>2890</v>
      </c>
      <c r="AW189" s="15" t="s">
        <v>2891</v>
      </c>
      <c r="AY189" s="15" t="s">
        <v>413</v>
      </c>
      <c r="AZ189" s="15" t="b">
        <v>0</v>
      </c>
      <c r="BA189" s="15" t="s">
        <v>413</v>
      </c>
      <c r="BB189" s="15" t="b">
        <v>0</v>
      </c>
      <c r="BC189" s="15" t="s">
        <v>2892</v>
      </c>
      <c r="BD189" s="15" t="s">
        <v>1303</v>
      </c>
      <c r="BE189" s="15" t="str">
        <f t="shared" si="320"/>
        <v>1</v>
      </c>
      <c r="BF189" s="15" t="s">
        <v>416</v>
      </c>
      <c r="BG189" s="15" t="str">
        <f t="shared" ref="BG189:BG191" si="339">"38.5"</f>
        <v>38.5</v>
      </c>
      <c r="BH189" s="15" t="s">
        <v>1206</v>
      </c>
      <c r="BI189" s="15" t="str">
        <f t="shared" ref="BI189:BI191" si="340">"21.5"</f>
        <v>21.5</v>
      </c>
      <c r="BJ189" s="15" t="s">
        <v>748</v>
      </c>
      <c r="BK189" s="15" t="str">
        <f t="shared" ref="BK189:BK191" si="341">"32.5"</f>
        <v>32.5</v>
      </c>
      <c r="BL189" s="15" t="s">
        <v>2893</v>
      </c>
      <c r="BM189" s="15" t="str">
        <f t="shared" ref="BM189:BM191" si="342">"98.9"</f>
        <v>98.9</v>
      </c>
      <c r="BN189" s="15" t="s">
        <v>2894</v>
      </c>
      <c r="BQ189" s="15" t="s">
        <v>444</v>
      </c>
      <c r="BS189" s="15" t="s">
        <v>444</v>
      </c>
      <c r="BU189" s="15" t="s">
        <v>444</v>
      </c>
      <c r="BW189" s="15" t="s">
        <v>444</v>
      </c>
      <c r="BZ189" s="15" t="s">
        <v>444</v>
      </c>
      <c r="CB189" s="15" t="s">
        <v>444</v>
      </c>
      <c r="CD189" s="15" t="s">
        <v>444</v>
      </c>
      <c r="CF189" s="15" t="s">
        <v>444</v>
      </c>
      <c r="CI189" s="15" t="s">
        <v>444</v>
      </c>
      <c r="CK189" s="15" t="s">
        <v>444</v>
      </c>
      <c r="CM189" s="15" t="s">
        <v>444</v>
      </c>
      <c r="CO189" s="15" t="s">
        <v>444</v>
      </c>
      <c r="CP189" s="15" t="str">
        <f t="shared" ref="CP189:CP191" si="343">"15.57"</f>
        <v>15.57</v>
      </c>
      <c r="CQ189" s="15" t="str">
        <f t="shared" ref="CQ189:CQ191" si="344">"0.441"</f>
        <v>0.441</v>
      </c>
      <c r="CR189" s="15" t="s">
        <v>465</v>
      </c>
      <c r="CV189" s="15" t="s">
        <v>1161</v>
      </c>
      <c r="CW189" s="15" t="s">
        <v>2895</v>
      </c>
      <c r="CX189" s="15" t="s">
        <v>2896</v>
      </c>
      <c r="DC189" s="15" t="str">
        <f>IFERROR(__xludf.DUMMYFUNCTION("""COMPUTED_VALUE"""),"")</f>
        <v/>
      </c>
      <c r="DE189" s="15" t="str">
        <f>IFERROR(__xludf.DUMMYFUNCTION("""COMPUTED_VALUE"""),"")</f>
        <v/>
      </c>
      <c r="DG189" s="15" t="str">
        <f>IFERROR(__xludf.DUMMYFUNCTION("""COMPUTED_VALUE"""),"")</f>
        <v/>
      </c>
      <c r="DL189" s="15" t="str">
        <f>IFERROR(__xludf.DUMMYFUNCTION("""COMPUTED_VALUE"""),"")</f>
        <v/>
      </c>
      <c r="DM189" s="15" t="s">
        <v>444</v>
      </c>
      <c r="DN189" s="15" t="s">
        <v>419</v>
      </c>
      <c r="DO189" s="15">
        <v>0.0</v>
      </c>
      <c r="DP189" s="15" t="s">
        <v>419</v>
      </c>
      <c r="DR189" s="15">
        <v>0.0</v>
      </c>
      <c r="DT189" s="15" t="s">
        <v>1111</v>
      </c>
      <c r="DU189" s="15" t="s">
        <v>610</v>
      </c>
      <c r="DW189" s="15">
        <v>18.14</v>
      </c>
      <c r="DX189" s="15">
        <v>40.0</v>
      </c>
      <c r="DY189" s="15">
        <v>2.0</v>
      </c>
      <c r="EF189" s="15" t="s">
        <v>1906</v>
      </c>
      <c r="EG189" s="15" t="s">
        <v>1907</v>
      </c>
      <c r="EH189" s="15" t="s">
        <v>2897</v>
      </c>
      <c r="EK189" s="15" t="s">
        <v>444</v>
      </c>
      <c r="EM189" s="15" t="str">
        <f>IFERROR(__xludf.DUMMYFUNCTION("""COMPUTED_VALUE"""),"")</f>
        <v/>
      </c>
      <c r="EW189" s="15" t="s">
        <v>762</v>
      </c>
      <c r="FL189" s="15" t="s">
        <v>426</v>
      </c>
      <c r="FM189" s="15">
        <v>2.0</v>
      </c>
      <c r="FY189" s="15" t="s">
        <v>1234</v>
      </c>
      <c r="FZ189" s="15" t="s">
        <v>1188</v>
      </c>
      <c r="GA189" s="15" t="s">
        <v>2896</v>
      </c>
      <c r="GB189" s="15" t="s">
        <v>504</v>
      </c>
      <c r="GC189" s="15" t="s">
        <v>1512</v>
      </c>
      <c r="GD189" s="15" t="s">
        <v>669</v>
      </c>
      <c r="GE189" s="15">
        <v>0.0</v>
      </c>
      <c r="GF189" s="15" t="s">
        <v>426</v>
      </c>
      <c r="GG189" s="15" t="s">
        <v>785</v>
      </c>
      <c r="GH189" s="15">
        <v>2.0</v>
      </c>
      <c r="GI189" s="15" t="s">
        <v>614</v>
      </c>
      <c r="GJ189" s="15" t="s">
        <v>1045</v>
      </c>
      <c r="GK189" s="15">
        <v>0.0</v>
      </c>
      <c r="GL189" s="15" t="s">
        <v>426</v>
      </c>
      <c r="GM189" s="15" t="s">
        <v>2898</v>
      </c>
      <c r="GN189" s="15" t="s">
        <v>616</v>
      </c>
      <c r="GP189" s="15">
        <v>0.0</v>
      </c>
      <c r="HA189" s="15" t="s">
        <v>1161</v>
      </c>
      <c r="HB189" s="15" t="s">
        <v>2895</v>
      </c>
      <c r="HC189" s="15" t="s">
        <v>2896</v>
      </c>
      <c r="HW189" s="15" t="s">
        <v>2899</v>
      </c>
      <c r="IH189" s="15" t="s">
        <v>426</v>
      </c>
    </row>
    <row r="190" ht="15.75" customHeight="1">
      <c r="A190" s="14" t="s">
        <v>391</v>
      </c>
      <c r="B190" s="15" t="s">
        <v>2882</v>
      </c>
      <c r="C190" s="16"/>
      <c r="D190" s="15" t="s">
        <v>432</v>
      </c>
      <c r="G190" s="14" t="s">
        <v>393</v>
      </c>
      <c r="H190" s="14" t="s">
        <v>394</v>
      </c>
      <c r="I190" s="14" t="b">
        <v>1</v>
      </c>
      <c r="J190" s="14" t="s">
        <v>395</v>
      </c>
      <c r="L190" s="14" t="b">
        <v>0</v>
      </c>
      <c r="M190" s="15" t="s">
        <v>2900</v>
      </c>
      <c r="N190" s="14" t="s">
        <v>393</v>
      </c>
      <c r="O190" s="14" t="s">
        <v>393</v>
      </c>
      <c r="P190" s="15" t="s">
        <v>397</v>
      </c>
      <c r="Q190" s="15" t="s">
        <v>2901</v>
      </c>
      <c r="T190" s="14" t="b">
        <v>0</v>
      </c>
      <c r="U190" s="15" t="s">
        <v>2902</v>
      </c>
      <c r="V190" s="15" t="s">
        <v>2885</v>
      </c>
      <c r="W190" s="15" t="s">
        <v>401</v>
      </c>
      <c r="X190" s="15" t="s">
        <v>1296</v>
      </c>
      <c r="Y190" s="15">
        <v>1313.0</v>
      </c>
      <c r="AA190" s="15" t="str">
        <f t="shared" si="338"/>
        <v>505</v>
      </c>
      <c r="AB190" s="14" t="b">
        <v>1</v>
      </c>
      <c r="AC190" s="14" t="b">
        <v>1</v>
      </c>
      <c r="AD190" s="15" t="str">
        <f>"801542024284"</f>
        <v>801542024284</v>
      </c>
      <c r="AE190" s="15" t="s">
        <v>2903</v>
      </c>
      <c r="AF190" s="14" t="s">
        <v>404</v>
      </c>
      <c r="AG190" s="14" t="s">
        <v>405</v>
      </c>
      <c r="AH190" s="14" t="s">
        <v>406</v>
      </c>
      <c r="AI190" s="15">
        <v>0.0</v>
      </c>
      <c r="AL190" s="15" t="s">
        <v>2887</v>
      </c>
      <c r="AM190" s="15" t="s">
        <v>645</v>
      </c>
      <c r="AN190" s="15" t="s">
        <v>646</v>
      </c>
      <c r="AO190" s="15" t="s">
        <v>1007</v>
      </c>
      <c r="AP190" s="15" t="s">
        <v>1008</v>
      </c>
      <c r="AQ190" s="15" t="s">
        <v>410</v>
      </c>
      <c r="AR190" s="15" t="s">
        <v>439</v>
      </c>
      <c r="AS190" s="15" t="s">
        <v>2888</v>
      </c>
      <c r="AT190" s="15" t="s">
        <v>2901</v>
      </c>
      <c r="AU190" s="15" t="s">
        <v>2904</v>
      </c>
      <c r="AV190" s="15" t="s">
        <v>2890</v>
      </c>
      <c r="AW190" s="15" t="s">
        <v>2891</v>
      </c>
      <c r="AY190" s="15" t="s">
        <v>413</v>
      </c>
      <c r="AZ190" s="15" t="b">
        <v>0</v>
      </c>
      <c r="BA190" s="15" t="s">
        <v>413</v>
      </c>
      <c r="BB190" s="15" t="b">
        <v>0</v>
      </c>
      <c r="BC190" s="15" t="s">
        <v>2905</v>
      </c>
      <c r="BD190" s="15" t="s">
        <v>1303</v>
      </c>
      <c r="BE190" s="15" t="str">
        <f t="shared" si="320"/>
        <v>1</v>
      </c>
      <c r="BF190" s="15" t="s">
        <v>416</v>
      </c>
      <c r="BG190" s="15" t="str">
        <f t="shared" si="339"/>
        <v>38.5</v>
      </c>
      <c r="BH190" s="15" t="s">
        <v>1206</v>
      </c>
      <c r="BI190" s="15" t="str">
        <f t="shared" si="340"/>
        <v>21.5</v>
      </c>
      <c r="BJ190" s="15" t="s">
        <v>748</v>
      </c>
      <c r="BK190" s="15" t="str">
        <f t="shared" si="341"/>
        <v>32.5</v>
      </c>
      <c r="BL190" s="15" t="s">
        <v>2893</v>
      </c>
      <c r="BM190" s="15" t="str">
        <f t="shared" si="342"/>
        <v>98.9</v>
      </c>
      <c r="BN190" s="15" t="s">
        <v>2894</v>
      </c>
      <c r="BQ190" s="15" t="s">
        <v>444</v>
      </c>
      <c r="BS190" s="15" t="s">
        <v>444</v>
      </c>
      <c r="BU190" s="15" t="s">
        <v>444</v>
      </c>
      <c r="BW190" s="15" t="s">
        <v>444</v>
      </c>
      <c r="BZ190" s="15" t="s">
        <v>444</v>
      </c>
      <c r="CB190" s="15" t="s">
        <v>444</v>
      </c>
      <c r="CD190" s="15" t="s">
        <v>444</v>
      </c>
      <c r="CF190" s="15" t="s">
        <v>444</v>
      </c>
      <c r="CI190" s="15" t="s">
        <v>444</v>
      </c>
      <c r="CK190" s="15" t="s">
        <v>444</v>
      </c>
      <c r="CM190" s="15" t="s">
        <v>444</v>
      </c>
      <c r="CO190" s="15" t="s">
        <v>444</v>
      </c>
      <c r="CP190" s="15" t="str">
        <f t="shared" si="343"/>
        <v>15.57</v>
      </c>
      <c r="CQ190" s="15" t="str">
        <f t="shared" si="344"/>
        <v>0.441</v>
      </c>
      <c r="CR190" s="15" t="s">
        <v>465</v>
      </c>
      <c r="CV190" s="15" t="s">
        <v>1161</v>
      </c>
      <c r="CW190" s="15" t="s">
        <v>2895</v>
      </c>
      <c r="CX190" s="15" t="s">
        <v>2896</v>
      </c>
      <c r="DC190" s="15" t="str">
        <f>IFERROR(__xludf.DUMMYFUNCTION("""COMPUTED_VALUE"""),"")</f>
        <v/>
      </c>
      <c r="DE190" s="15" t="str">
        <f>IFERROR(__xludf.DUMMYFUNCTION("""COMPUTED_VALUE"""),"")</f>
        <v/>
      </c>
      <c r="DG190" s="15" t="str">
        <f>IFERROR(__xludf.DUMMYFUNCTION("""COMPUTED_VALUE"""),"")</f>
        <v/>
      </c>
      <c r="DL190" s="15" t="str">
        <f>IFERROR(__xludf.DUMMYFUNCTION("""COMPUTED_VALUE"""),"")</f>
        <v/>
      </c>
      <c r="DM190" s="15" t="s">
        <v>444</v>
      </c>
      <c r="DN190" s="15" t="s">
        <v>419</v>
      </c>
      <c r="DO190" s="15">
        <v>0.0</v>
      </c>
      <c r="DP190" s="15" t="s">
        <v>419</v>
      </c>
      <c r="DR190" s="15">
        <v>0.0</v>
      </c>
      <c r="DT190" s="15" t="s">
        <v>1111</v>
      </c>
      <c r="DU190" s="15" t="s">
        <v>610</v>
      </c>
      <c r="DW190" s="15">
        <v>18.14</v>
      </c>
      <c r="DX190" s="15">
        <v>40.0</v>
      </c>
      <c r="DY190" s="15">
        <v>2.0</v>
      </c>
      <c r="EF190" s="15" t="s">
        <v>1906</v>
      </c>
      <c r="EG190" s="15" t="s">
        <v>1907</v>
      </c>
      <c r="EH190" s="15" t="s">
        <v>2897</v>
      </c>
      <c r="EK190" s="15" t="s">
        <v>444</v>
      </c>
      <c r="EM190" s="15" t="str">
        <f>IFERROR(__xludf.DUMMYFUNCTION("""COMPUTED_VALUE"""),"")</f>
        <v/>
      </c>
      <c r="EW190" s="15" t="s">
        <v>762</v>
      </c>
      <c r="FL190" s="15" t="s">
        <v>426</v>
      </c>
      <c r="FM190" s="15">
        <v>2.0</v>
      </c>
      <c r="FY190" s="15" t="s">
        <v>1234</v>
      </c>
      <c r="FZ190" s="15" t="s">
        <v>1188</v>
      </c>
      <c r="GA190" s="15" t="s">
        <v>2896</v>
      </c>
      <c r="GB190" s="15" t="s">
        <v>504</v>
      </c>
      <c r="GC190" s="15" t="s">
        <v>1512</v>
      </c>
      <c r="GD190" s="15" t="s">
        <v>669</v>
      </c>
      <c r="GE190" s="15">
        <v>0.0</v>
      </c>
      <c r="GF190" s="15" t="s">
        <v>426</v>
      </c>
      <c r="GG190" s="15" t="s">
        <v>785</v>
      </c>
      <c r="GH190" s="15">
        <v>2.0</v>
      </c>
      <c r="GI190" s="15" t="s">
        <v>614</v>
      </c>
      <c r="GJ190" s="15" t="s">
        <v>1045</v>
      </c>
      <c r="GK190" s="15">
        <v>0.0</v>
      </c>
      <c r="GL190" s="15" t="s">
        <v>426</v>
      </c>
      <c r="GM190" s="15" t="s">
        <v>2898</v>
      </c>
      <c r="GN190" s="15" t="s">
        <v>616</v>
      </c>
      <c r="GP190" s="15">
        <v>0.0</v>
      </c>
      <c r="HA190" s="15" t="s">
        <v>1161</v>
      </c>
      <c r="HB190" s="15" t="s">
        <v>2895</v>
      </c>
      <c r="HC190" s="15" t="s">
        <v>2896</v>
      </c>
      <c r="HW190" s="15" t="s">
        <v>2899</v>
      </c>
      <c r="IH190" s="15" t="s">
        <v>426</v>
      </c>
    </row>
    <row r="191" ht="15.75" customHeight="1">
      <c r="A191" s="14" t="s">
        <v>391</v>
      </c>
      <c r="B191" s="15" t="s">
        <v>2882</v>
      </c>
      <c r="C191" s="16"/>
      <c r="D191" s="15" t="s">
        <v>432</v>
      </c>
      <c r="G191" s="14" t="s">
        <v>393</v>
      </c>
      <c r="H191" s="14" t="s">
        <v>394</v>
      </c>
      <c r="I191" s="14" t="b">
        <v>1</v>
      </c>
      <c r="J191" s="14" t="s">
        <v>395</v>
      </c>
      <c r="L191" s="14" t="b">
        <v>0</v>
      </c>
      <c r="M191" s="15" t="s">
        <v>2906</v>
      </c>
      <c r="N191" s="14" t="s">
        <v>393</v>
      </c>
      <c r="O191" s="14" t="s">
        <v>393</v>
      </c>
      <c r="P191" s="15" t="s">
        <v>397</v>
      </c>
      <c r="Q191" s="15" t="s">
        <v>2907</v>
      </c>
      <c r="T191" s="14" t="b">
        <v>0</v>
      </c>
      <c r="U191" s="15" t="s">
        <v>2908</v>
      </c>
      <c r="V191" s="15" t="s">
        <v>2885</v>
      </c>
      <c r="W191" s="15" t="s">
        <v>401</v>
      </c>
      <c r="X191" s="15" t="s">
        <v>1296</v>
      </c>
      <c r="Y191" s="15">
        <v>1313.0</v>
      </c>
      <c r="AA191" s="15" t="str">
        <f t="shared" si="338"/>
        <v>505</v>
      </c>
      <c r="AB191" s="14" t="b">
        <v>1</v>
      </c>
      <c r="AC191" s="14" t="b">
        <v>1</v>
      </c>
      <c r="AD191" s="15" t="str">
        <f>"801542441845"</f>
        <v>801542441845</v>
      </c>
      <c r="AE191" s="15" t="s">
        <v>2909</v>
      </c>
      <c r="AF191" s="14" t="s">
        <v>404</v>
      </c>
      <c r="AG191" s="14" t="s">
        <v>405</v>
      </c>
      <c r="AH191" s="14" t="s">
        <v>406</v>
      </c>
      <c r="AI191" s="15">
        <v>0.0</v>
      </c>
      <c r="AL191" s="15" t="s">
        <v>2887</v>
      </c>
      <c r="AM191" s="15" t="s">
        <v>645</v>
      </c>
      <c r="AN191" s="15" t="s">
        <v>646</v>
      </c>
      <c r="AO191" s="15" t="s">
        <v>1007</v>
      </c>
      <c r="AP191" s="15" t="s">
        <v>1008</v>
      </c>
      <c r="AQ191" s="15" t="s">
        <v>410</v>
      </c>
      <c r="AR191" s="15" t="s">
        <v>439</v>
      </c>
      <c r="AS191" s="15" t="s">
        <v>2888</v>
      </c>
      <c r="AT191" s="15" t="s">
        <v>2907</v>
      </c>
      <c r="AU191" s="15" t="s">
        <v>2910</v>
      </c>
      <c r="AV191" s="15" t="s">
        <v>2890</v>
      </c>
      <c r="AW191" s="15" t="s">
        <v>2891</v>
      </c>
      <c r="AY191" s="15" t="s">
        <v>413</v>
      </c>
      <c r="AZ191" s="15" t="b">
        <v>0</v>
      </c>
      <c r="BA191" s="15" t="s">
        <v>413</v>
      </c>
      <c r="BB191" s="15" t="b">
        <v>0</v>
      </c>
      <c r="BC191" s="15" t="s">
        <v>2911</v>
      </c>
      <c r="BD191" s="15" t="s">
        <v>1303</v>
      </c>
      <c r="BE191" s="15" t="str">
        <f t="shared" si="320"/>
        <v>1</v>
      </c>
      <c r="BF191" s="15" t="s">
        <v>416</v>
      </c>
      <c r="BG191" s="15" t="str">
        <f t="shared" si="339"/>
        <v>38.5</v>
      </c>
      <c r="BH191" s="15" t="s">
        <v>1206</v>
      </c>
      <c r="BI191" s="15" t="str">
        <f t="shared" si="340"/>
        <v>21.5</v>
      </c>
      <c r="BJ191" s="15" t="s">
        <v>748</v>
      </c>
      <c r="BK191" s="15" t="str">
        <f t="shared" si="341"/>
        <v>32.5</v>
      </c>
      <c r="BL191" s="15" t="s">
        <v>2893</v>
      </c>
      <c r="BM191" s="15" t="str">
        <f t="shared" si="342"/>
        <v>98.9</v>
      </c>
      <c r="BN191" s="15" t="s">
        <v>2894</v>
      </c>
      <c r="BQ191" s="15" t="s">
        <v>444</v>
      </c>
      <c r="BS191" s="15" t="s">
        <v>444</v>
      </c>
      <c r="BU191" s="15" t="s">
        <v>444</v>
      </c>
      <c r="BW191" s="15" t="s">
        <v>444</v>
      </c>
      <c r="BZ191" s="15" t="s">
        <v>444</v>
      </c>
      <c r="CB191" s="15" t="s">
        <v>444</v>
      </c>
      <c r="CD191" s="15" t="s">
        <v>444</v>
      </c>
      <c r="CF191" s="15" t="s">
        <v>444</v>
      </c>
      <c r="CI191" s="15" t="s">
        <v>444</v>
      </c>
      <c r="CK191" s="15" t="s">
        <v>444</v>
      </c>
      <c r="CM191" s="15" t="s">
        <v>444</v>
      </c>
      <c r="CO191" s="15" t="s">
        <v>444</v>
      </c>
      <c r="CP191" s="15" t="str">
        <f t="shared" si="343"/>
        <v>15.57</v>
      </c>
      <c r="CQ191" s="15" t="str">
        <f t="shared" si="344"/>
        <v>0.441</v>
      </c>
      <c r="CR191" s="15" t="s">
        <v>465</v>
      </c>
      <c r="CV191" s="15" t="s">
        <v>1161</v>
      </c>
      <c r="CW191" s="15" t="s">
        <v>2895</v>
      </c>
      <c r="CX191" s="15" t="s">
        <v>2896</v>
      </c>
      <c r="DC191" s="15" t="str">
        <f>IFERROR(__xludf.DUMMYFUNCTION("""COMPUTED_VALUE"""),"")</f>
        <v/>
      </c>
      <c r="DE191" s="15" t="str">
        <f>IFERROR(__xludf.DUMMYFUNCTION("""COMPUTED_VALUE"""),"")</f>
        <v/>
      </c>
      <c r="DG191" s="15" t="str">
        <f>IFERROR(__xludf.DUMMYFUNCTION("""COMPUTED_VALUE"""),"")</f>
        <v/>
      </c>
      <c r="DL191" s="15" t="str">
        <f>IFERROR(__xludf.DUMMYFUNCTION("""COMPUTED_VALUE"""),"")</f>
        <v/>
      </c>
      <c r="DM191" s="15" t="s">
        <v>444</v>
      </c>
      <c r="DN191" s="15" t="s">
        <v>419</v>
      </c>
      <c r="DO191" s="15">
        <v>0.0</v>
      </c>
      <c r="DP191" s="15" t="s">
        <v>419</v>
      </c>
      <c r="DR191" s="15">
        <v>0.0</v>
      </c>
      <c r="DT191" s="15" t="s">
        <v>1111</v>
      </c>
      <c r="DU191" s="15" t="s">
        <v>610</v>
      </c>
      <c r="DW191" s="15">
        <v>18.14</v>
      </c>
      <c r="DX191" s="15">
        <v>40.0</v>
      </c>
      <c r="DY191" s="15">
        <v>2.0</v>
      </c>
      <c r="EF191" s="15" t="s">
        <v>1906</v>
      </c>
      <c r="EG191" s="15" t="s">
        <v>1907</v>
      </c>
      <c r="EH191" s="15" t="s">
        <v>2897</v>
      </c>
      <c r="EK191" s="15" t="s">
        <v>444</v>
      </c>
      <c r="EM191" s="15" t="str">
        <f>IFERROR(__xludf.DUMMYFUNCTION("""COMPUTED_VALUE"""),"")</f>
        <v/>
      </c>
      <c r="EW191" s="15" t="s">
        <v>762</v>
      </c>
      <c r="FL191" s="15" t="s">
        <v>426</v>
      </c>
      <c r="FM191" s="15">
        <v>2.0</v>
      </c>
      <c r="FY191" s="15" t="s">
        <v>1234</v>
      </c>
      <c r="FZ191" s="15" t="s">
        <v>1188</v>
      </c>
      <c r="GA191" s="15" t="s">
        <v>2896</v>
      </c>
      <c r="GB191" s="15" t="s">
        <v>504</v>
      </c>
      <c r="GC191" s="15" t="s">
        <v>1512</v>
      </c>
      <c r="GD191" s="15" t="s">
        <v>669</v>
      </c>
      <c r="GE191" s="15">
        <v>0.0</v>
      </c>
      <c r="GF191" s="15" t="s">
        <v>426</v>
      </c>
      <c r="GG191" s="15" t="s">
        <v>785</v>
      </c>
      <c r="GH191" s="15">
        <v>2.0</v>
      </c>
      <c r="GI191" s="15" t="s">
        <v>614</v>
      </c>
      <c r="GJ191" s="15" t="s">
        <v>1045</v>
      </c>
      <c r="GK191" s="15">
        <v>0.0</v>
      </c>
      <c r="GL191" s="15" t="s">
        <v>426</v>
      </c>
      <c r="GM191" s="15" t="s">
        <v>2898</v>
      </c>
      <c r="GN191" s="15" t="s">
        <v>616</v>
      </c>
      <c r="GP191" s="15">
        <v>0.0</v>
      </c>
      <c r="HA191" s="15" t="s">
        <v>1161</v>
      </c>
      <c r="HB191" s="15" t="s">
        <v>2895</v>
      </c>
      <c r="HC191" s="15" t="s">
        <v>2896</v>
      </c>
      <c r="HW191" s="15" t="s">
        <v>2899</v>
      </c>
      <c r="IH191" s="15" t="s">
        <v>426</v>
      </c>
    </row>
    <row r="192" ht="15.75" customHeight="1">
      <c r="A192" s="14" t="s">
        <v>391</v>
      </c>
      <c r="B192" s="15" t="s">
        <v>2912</v>
      </c>
      <c r="C192" s="16"/>
      <c r="D192" s="15" t="s">
        <v>432</v>
      </c>
      <c r="G192" s="14" t="s">
        <v>393</v>
      </c>
      <c r="H192" s="14" t="s">
        <v>394</v>
      </c>
      <c r="I192" s="14" t="b">
        <v>1</v>
      </c>
      <c r="J192" s="14" t="s">
        <v>395</v>
      </c>
      <c r="L192" s="14" t="b">
        <v>0</v>
      </c>
      <c r="M192" s="15" t="s">
        <v>2913</v>
      </c>
      <c r="N192" s="14" t="s">
        <v>393</v>
      </c>
      <c r="O192" s="14" t="s">
        <v>393</v>
      </c>
      <c r="P192" s="15" t="s">
        <v>397</v>
      </c>
      <c r="Q192" s="15" t="s">
        <v>2914</v>
      </c>
      <c r="R192" s="15" t="s">
        <v>2915</v>
      </c>
      <c r="S192" s="15" t="s">
        <v>2916</v>
      </c>
      <c r="T192" s="14" t="b">
        <v>0</v>
      </c>
      <c r="U192" s="15" t="s">
        <v>2917</v>
      </c>
      <c r="V192" s="15" t="s">
        <v>2918</v>
      </c>
      <c r="W192" s="15" t="s">
        <v>401</v>
      </c>
      <c r="X192" s="15" t="s">
        <v>695</v>
      </c>
      <c r="Y192" s="15">
        <v>2184.0</v>
      </c>
      <c r="AA192" s="15" t="str">
        <f t="shared" ref="AA192:AA193" si="345">"840"</f>
        <v>840</v>
      </c>
      <c r="AB192" s="14" t="b">
        <v>1</v>
      </c>
      <c r="AC192" s="14" t="b">
        <v>1</v>
      </c>
      <c r="AD192" s="15" t="str">
        <f>"801542736668"</f>
        <v>801542736668</v>
      </c>
      <c r="AE192" s="15" t="s">
        <v>2919</v>
      </c>
      <c r="AF192" s="14" t="s">
        <v>404</v>
      </c>
      <c r="AG192" s="14" t="s">
        <v>405</v>
      </c>
      <c r="AH192" s="14" t="s">
        <v>406</v>
      </c>
      <c r="AI192" s="15">
        <v>0.0</v>
      </c>
      <c r="AL192" s="15" t="s">
        <v>2920</v>
      </c>
      <c r="AM192" s="15" t="s">
        <v>2921</v>
      </c>
      <c r="AN192" s="15" t="s">
        <v>2922</v>
      </c>
      <c r="AO192" s="15" t="s">
        <v>1364</v>
      </c>
      <c r="AP192" s="15" t="s">
        <v>1365</v>
      </c>
      <c r="AQ192" s="15" t="s">
        <v>600</v>
      </c>
      <c r="AR192" s="15" t="s">
        <v>601</v>
      </c>
      <c r="AS192" s="15" t="s">
        <v>1628</v>
      </c>
      <c r="AT192" s="15" t="s">
        <v>2923</v>
      </c>
      <c r="AU192" s="15" t="s">
        <v>2914</v>
      </c>
      <c r="AW192" s="15" t="s">
        <v>1226</v>
      </c>
      <c r="AY192" s="15" t="s">
        <v>413</v>
      </c>
      <c r="AZ192" s="15" t="b">
        <v>0</v>
      </c>
      <c r="BA192" s="15" t="s">
        <v>426</v>
      </c>
      <c r="BB192" s="15" t="b">
        <v>1</v>
      </c>
      <c r="BC192" s="15" t="s">
        <v>2924</v>
      </c>
      <c r="BD192" s="15" t="s">
        <v>709</v>
      </c>
      <c r="BE192" s="15" t="str">
        <f t="shared" si="320"/>
        <v>1</v>
      </c>
      <c r="BF192" s="15" t="s">
        <v>416</v>
      </c>
      <c r="BG192" s="15" t="str">
        <f t="shared" ref="BG192:BG193" si="346">"77.17"</f>
        <v>77.17</v>
      </c>
      <c r="BH192" s="15" t="s">
        <v>2925</v>
      </c>
      <c r="BI192" s="15" t="str">
        <f t="shared" ref="BI192:BI193" si="347">"33.86"</f>
        <v>33.86</v>
      </c>
      <c r="BJ192" s="15" t="s">
        <v>1209</v>
      </c>
      <c r="BK192" s="15" t="str">
        <f t="shared" ref="BK192:BK193" si="348">"29.13"</f>
        <v>29.13</v>
      </c>
      <c r="BL192" s="15" t="s">
        <v>1566</v>
      </c>
      <c r="BM192" s="15" t="str">
        <f t="shared" ref="BM192:BM193" si="349">"127.43"</f>
        <v>127.43</v>
      </c>
      <c r="BN192" s="15" t="s">
        <v>2926</v>
      </c>
      <c r="BQ192" s="15" t="s">
        <v>444</v>
      </c>
      <c r="BS192" s="15" t="s">
        <v>444</v>
      </c>
      <c r="BU192" s="15" t="s">
        <v>444</v>
      </c>
      <c r="BW192" s="15" t="s">
        <v>444</v>
      </c>
      <c r="BZ192" s="15" t="s">
        <v>444</v>
      </c>
      <c r="CB192" s="15" t="s">
        <v>444</v>
      </c>
      <c r="CD192" s="15" t="s">
        <v>444</v>
      </c>
      <c r="CF192" s="15" t="s">
        <v>444</v>
      </c>
      <c r="CI192" s="15" t="s">
        <v>444</v>
      </c>
      <c r="CK192" s="15" t="s">
        <v>444</v>
      </c>
      <c r="CM192" s="15" t="s">
        <v>444</v>
      </c>
      <c r="CO192" s="15" t="s">
        <v>444</v>
      </c>
      <c r="CP192" s="15" t="str">
        <f t="shared" ref="CP192:CP193" si="350">"44.04"</f>
        <v>44.04</v>
      </c>
      <c r="CQ192" s="15" t="str">
        <f t="shared" ref="CQ192:CQ193" si="351">"1.247"</f>
        <v>1.247</v>
      </c>
      <c r="CR192" s="15" t="s">
        <v>465</v>
      </c>
      <c r="CY192" s="15" t="s">
        <v>2384</v>
      </c>
      <c r="CZ192" s="15" t="s">
        <v>2116</v>
      </c>
      <c r="DA192" s="15" t="s">
        <v>2570</v>
      </c>
      <c r="DB192" s="15" t="s">
        <v>2384</v>
      </c>
      <c r="DC192" s="15" t="str">
        <f>IFERROR(__xludf.DUMMYFUNCTION("""COMPUTED_VALUE"""),"{""value"":24.50,""unit"":""in""}")</f>
        <v>{"value":24.50,"unit":"in"}</v>
      </c>
      <c r="DD192" s="15" t="s">
        <v>824</v>
      </c>
      <c r="DE192" s="15" t="str">
        <f>IFERROR(__xludf.DUMMYFUNCTION("""COMPUTED_VALUE"""),"{""value"":18.50,""unit"":""in""}")</f>
        <v>{"value":18.50,"unit":"in"}</v>
      </c>
      <c r="DG192" s="15" t="str">
        <f>IFERROR(__xludf.DUMMYFUNCTION("""COMPUTED_VALUE"""),"")</f>
        <v/>
      </c>
      <c r="DH192" s="15">
        <v>0.0</v>
      </c>
      <c r="DI192" s="15">
        <v>0.0</v>
      </c>
      <c r="DJ192" s="15" t="s">
        <v>717</v>
      </c>
      <c r="DK192" s="15" t="s">
        <v>855</v>
      </c>
      <c r="DL192" s="15" t="str">
        <f>IFERROR(__xludf.DUMMYFUNCTION("""COMPUTED_VALUE"""),"Clean with solvent-based (dry clean only) products. Do not use water.")</f>
        <v>Clean with solvent-based (dry clean only) products. Do not use water.</v>
      </c>
      <c r="DM192" s="15" t="s">
        <v>856</v>
      </c>
      <c r="DT192" s="15" t="s">
        <v>721</v>
      </c>
      <c r="DU192" s="15" t="s">
        <v>419</v>
      </c>
      <c r="DV192" s="15">
        <v>0.0</v>
      </c>
      <c r="DZ192" s="15">
        <v>25000.0</v>
      </c>
      <c r="EA192" s="15" t="s">
        <v>990</v>
      </c>
      <c r="EB192" s="15" t="s">
        <v>2927</v>
      </c>
      <c r="ED192" s="15">
        <v>1.0</v>
      </c>
      <c r="EE192" s="15">
        <v>3.0</v>
      </c>
      <c r="EG192" s="15" t="s">
        <v>444</v>
      </c>
      <c r="EH192" s="15" t="s">
        <v>2928</v>
      </c>
      <c r="EI192" s="15">
        <v>0.0</v>
      </c>
      <c r="EJ192" s="15" t="s">
        <v>473</v>
      </c>
      <c r="EK192" s="15" t="s">
        <v>474</v>
      </c>
      <c r="EL192" s="15" t="s">
        <v>1064</v>
      </c>
      <c r="EM192" s="15" t="str">
        <f>IFERROR(__xludf.DUMMYFUNCTION("""COMPUTED_VALUE"""),"{""value"":27.00,""unit"":""in""}")</f>
        <v>{"value":27.00,"unit":"in"}</v>
      </c>
      <c r="EN192" s="15" t="s">
        <v>995</v>
      </c>
      <c r="EO192" s="15" t="s">
        <v>1574</v>
      </c>
      <c r="ES192" s="15" t="s">
        <v>505</v>
      </c>
      <c r="EW192" s="15" t="s">
        <v>2402</v>
      </c>
      <c r="EX192" s="15" t="s">
        <v>1212</v>
      </c>
      <c r="EY192" s="15" t="s">
        <v>2929</v>
      </c>
      <c r="EZ192" s="15" t="s">
        <v>995</v>
      </c>
      <c r="FF192" s="15" t="s">
        <v>1079</v>
      </c>
      <c r="FO192" s="15" t="s">
        <v>2930</v>
      </c>
      <c r="FP192" s="15" t="s">
        <v>2931</v>
      </c>
    </row>
    <row r="193" ht="15.75" customHeight="1">
      <c r="A193" s="14" t="s">
        <v>391</v>
      </c>
      <c r="B193" s="15" t="s">
        <v>2912</v>
      </c>
      <c r="C193" s="16"/>
      <c r="D193" s="15" t="s">
        <v>432</v>
      </c>
      <c r="G193" s="14" t="s">
        <v>393</v>
      </c>
      <c r="H193" s="14" t="s">
        <v>394</v>
      </c>
      <c r="I193" s="14" t="b">
        <v>1</v>
      </c>
      <c r="J193" s="14" t="s">
        <v>395</v>
      </c>
      <c r="L193" s="14" t="b">
        <v>0</v>
      </c>
      <c r="M193" s="15" t="s">
        <v>2932</v>
      </c>
      <c r="N193" s="14" t="s">
        <v>393</v>
      </c>
      <c r="O193" s="14" t="s">
        <v>393</v>
      </c>
      <c r="P193" s="15" t="s">
        <v>397</v>
      </c>
      <c r="Q193" s="15" t="s">
        <v>2914</v>
      </c>
      <c r="R193" s="15" t="s">
        <v>2915</v>
      </c>
      <c r="S193" s="15" t="s">
        <v>2933</v>
      </c>
      <c r="T193" s="14" t="b">
        <v>0</v>
      </c>
      <c r="U193" s="15" t="s">
        <v>2934</v>
      </c>
      <c r="V193" s="15" t="s">
        <v>2918</v>
      </c>
      <c r="W193" s="15" t="s">
        <v>401</v>
      </c>
      <c r="X193" s="15" t="s">
        <v>695</v>
      </c>
      <c r="Y193" s="15">
        <v>2184.0</v>
      </c>
      <c r="AA193" s="15" t="str">
        <f t="shared" si="345"/>
        <v>840</v>
      </c>
      <c r="AB193" s="14" t="b">
        <v>1</v>
      </c>
      <c r="AC193" s="14" t="b">
        <v>1</v>
      </c>
      <c r="AD193" s="15" t="str">
        <f>"801542770945"</f>
        <v>801542770945</v>
      </c>
      <c r="AE193" s="15" t="s">
        <v>2935</v>
      </c>
      <c r="AF193" s="14" t="s">
        <v>404</v>
      </c>
      <c r="AG193" s="14" t="s">
        <v>405</v>
      </c>
      <c r="AH193" s="14" t="s">
        <v>406</v>
      </c>
      <c r="AI193" s="15">
        <v>0.0</v>
      </c>
      <c r="AL193" s="15" t="s">
        <v>2920</v>
      </c>
      <c r="AM193" s="15" t="s">
        <v>2921</v>
      </c>
      <c r="AN193" s="15" t="s">
        <v>2922</v>
      </c>
      <c r="AO193" s="15" t="s">
        <v>1364</v>
      </c>
      <c r="AP193" s="15" t="s">
        <v>1365</v>
      </c>
      <c r="AQ193" s="15" t="s">
        <v>600</v>
      </c>
      <c r="AR193" s="15" t="s">
        <v>601</v>
      </c>
      <c r="AS193" s="15" t="s">
        <v>1628</v>
      </c>
      <c r="AT193" s="15" t="s">
        <v>2923</v>
      </c>
      <c r="AU193" s="15" t="s">
        <v>2914</v>
      </c>
      <c r="AW193" s="15" t="s">
        <v>1226</v>
      </c>
      <c r="AY193" s="15" t="s">
        <v>413</v>
      </c>
      <c r="AZ193" s="15" t="b">
        <v>0</v>
      </c>
      <c r="BA193" s="15" t="s">
        <v>426</v>
      </c>
      <c r="BB193" s="15" t="b">
        <v>1</v>
      </c>
      <c r="BC193" s="15" t="s">
        <v>2924</v>
      </c>
      <c r="BD193" s="15" t="s">
        <v>709</v>
      </c>
      <c r="BE193" s="15" t="str">
        <f t="shared" si="320"/>
        <v>1</v>
      </c>
      <c r="BF193" s="15" t="s">
        <v>416</v>
      </c>
      <c r="BG193" s="15" t="str">
        <f t="shared" si="346"/>
        <v>77.17</v>
      </c>
      <c r="BH193" s="15" t="s">
        <v>2925</v>
      </c>
      <c r="BI193" s="15" t="str">
        <f t="shared" si="347"/>
        <v>33.86</v>
      </c>
      <c r="BJ193" s="15" t="s">
        <v>1209</v>
      </c>
      <c r="BK193" s="15" t="str">
        <f t="shared" si="348"/>
        <v>29.13</v>
      </c>
      <c r="BL193" s="15" t="s">
        <v>1566</v>
      </c>
      <c r="BM193" s="15" t="str">
        <f t="shared" si="349"/>
        <v>127.43</v>
      </c>
      <c r="BN193" s="15" t="s">
        <v>2926</v>
      </c>
      <c r="BQ193" s="15" t="s">
        <v>444</v>
      </c>
      <c r="BS193" s="15" t="s">
        <v>444</v>
      </c>
      <c r="BU193" s="15" t="s">
        <v>444</v>
      </c>
      <c r="BW193" s="15" t="s">
        <v>444</v>
      </c>
      <c r="BZ193" s="15" t="s">
        <v>444</v>
      </c>
      <c r="CB193" s="15" t="s">
        <v>444</v>
      </c>
      <c r="CD193" s="15" t="s">
        <v>444</v>
      </c>
      <c r="CF193" s="15" t="s">
        <v>444</v>
      </c>
      <c r="CI193" s="15" t="s">
        <v>444</v>
      </c>
      <c r="CK193" s="15" t="s">
        <v>444</v>
      </c>
      <c r="CM193" s="15" t="s">
        <v>444</v>
      </c>
      <c r="CO193" s="15" t="s">
        <v>444</v>
      </c>
      <c r="CP193" s="15" t="str">
        <f t="shared" si="350"/>
        <v>44.04</v>
      </c>
      <c r="CQ193" s="15" t="str">
        <f t="shared" si="351"/>
        <v>1.247</v>
      </c>
      <c r="CR193" s="15" t="s">
        <v>465</v>
      </c>
      <c r="CY193" s="15" t="s">
        <v>2384</v>
      </c>
      <c r="CZ193" s="15" t="s">
        <v>2116</v>
      </c>
      <c r="DA193" s="15" t="s">
        <v>2570</v>
      </c>
      <c r="DB193" s="15" t="s">
        <v>2384</v>
      </c>
      <c r="DC193" s="15" t="str">
        <f>IFERROR(__xludf.DUMMYFUNCTION("""COMPUTED_VALUE"""),"{""value"":24.50,""unit"":""in""}")</f>
        <v>{"value":24.50,"unit":"in"}</v>
      </c>
      <c r="DD193" s="15" t="s">
        <v>824</v>
      </c>
      <c r="DE193" s="15" t="str">
        <f>IFERROR(__xludf.DUMMYFUNCTION("""COMPUTED_VALUE"""),"{""value"":18.50,""unit"":""in""}")</f>
        <v>{"value":18.50,"unit":"in"}</v>
      </c>
      <c r="DG193" s="15" t="str">
        <f>IFERROR(__xludf.DUMMYFUNCTION("""COMPUTED_VALUE"""),"")</f>
        <v/>
      </c>
      <c r="DH193" s="15">
        <v>0.0</v>
      </c>
      <c r="DI193" s="15">
        <v>0.0</v>
      </c>
      <c r="DJ193" s="15" t="s">
        <v>717</v>
      </c>
      <c r="DK193" s="15" t="s">
        <v>855</v>
      </c>
      <c r="DL193" s="15" t="str">
        <f>IFERROR(__xludf.DUMMYFUNCTION("""COMPUTED_VALUE"""),"Clean with solvent-based (dry clean only) products. Do not use water.")</f>
        <v>Clean with solvent-based (dry clean only) products. Do not use water.</v>
      </c>
      <c r="DM193" s="15" t="s">
        <v>856</v>
      </c>
      <c r="DT193" s="15" t="s">
        <v>721</v>
      </c>
      <c r="DU193" s="15" t="s">
        <v>419</v>
      </c>
      <c r="DV193" s="15">
        <v>0.0</v>
      </c>
      <c r="DZ193" s="15">
        <v>25000.0</v>
      </c>
      <c r="EA193" s="15" t="s">
        <v>990</v>
      </c>
      <c r="EB193" s="15" t="s">
        <v>2927</v>
      </c>
      <c r="ED193" s="15">
        <v>1.0</v>
      </c>
      <c r="EE193" s="15">
        <v>1.0</v>
      </c>
      <c r="EG193" s="15" t="s">
        <v>444</v>
      </c>
      <c r="EH193" s="15" t="s">
        <v>2928</v>
      </c>
      <c r="EI193" s="15">
        <v>0.0</v>
      </c>
      <c r="EJ193" s="15" t="s">
        <v>726</v>
      </c>
      <c r="EK193" s="15" t="s">
        <v>727</v>
      </c>
      <c r="EL193" s="15" t="s">
        <v>1064</v>
      </c>
      <c r="EM193" s="15" t="str">
        <f>IFERROR(__xludf.DUMMYFUNCTION("""COMPUTED_VALUE"""),"{""value"":27.00,""unit"":""in""}")</f>
        <v>{"value":27.00,"unit":"in"}</v>
      </c>
      <c r="EN193" s="15" t="s">
        <v>995</v>
      </c>
      <c r="EO193" s="15" t="s">
        <v>1574</v>
      </c>
      <c r="ES193" s="15" t="s">
        <v>505</v>
      </c>
      <c r="EW193" s="15" t="s">
        <v>2402</v>
      </c>
      <c r="EX193" s="15" t="s">
        <v>1212</v>
      </c>
      <c r="EY193" s="15" t="s">
        <v>2929</v>
      </c>
      <c r="EZ193" s="15" t="s">
        <v>995</v>
      </c>
      <c r="FF193" s="15" t="s">
        <v>1079</v>
      </c>
      <c r="FO193" s="15" t="s">
        <v>2930</v>
      </c>
      <c r="FP193" s="15" t="s">
        <v>2931</v>
      </c>
    </row>
    <row r="194" ht="15.75" customHeight="1">
      <c r="A194" s="14" t="s">
        <v>391</v>
      </c>
      <c r="B194" s="15" t="s">
        <v>2936</v>
      </c>
      <c r="C194" s="16"/>
      <c r="D194" s="15" t="s">
        <v>432</v>
      </c>
      <c r="G194" s="14" t="s">
        <v>393</v>
      </c>
      <c r="H194" s="14" t="s">
        <v>394</v>
      </c>
      <c r="I194" s="14" t="b">
        <v>1</v>
      </c>
      <c r="J194" s="14" t="s">
        <v>395</v>
      </c>
      <c r="L194" s="14" t="b">
        <v>0</v>
      </c>
      <c r="M194" s="15" t="s">
        <v>2937</v>
      </c>
      <c r="N194" s="14" t="s">
        <v>393</v>
      </c>
      <c r="O194" s="14" t="s">
        <v>393</v>
      </c>
      <c r="P194" s="15" t="s">
        <v>397</v>
      </c>
      <c r="Q194" s="15" t="s">
        <v>2938</v>
      </c>
      <c r="T194" s="14" t="b">
        <v>0</v>
      </c>
      <c r="U194" s="15" t="s">
        <v>2939</v>
      </c>
      <c r="V194" s="15" t="s">
        <v>2940</v>
      </c>
      <c r="W194" s="15" t="s">
        <v>401</v>
      </c>
      <c r="X194" s="15" t="s">
        <v>742</v>
      </c>
      <c r="Y194" s="15">
        <v>2626.0</v>
      </c>
      <c r="AA194" s="15" t="str">
        <f>"1010"</f>
        <v>1010</v>
      </c>
      <c r="AB194" s="14" t="b">
        <v>1</v>
      </c>
      <c r="AC194" s="14" t="b">
        <v>1</v>
      </c>
      <c r="AD194" s="15" t="str">
        <f>"801542037185"</f>
        <v>801542037185</v>
      </c>
      <c r="AE194" s="15" t="s">
        <v>2941</v>
      </c>
      <c r="AF194" s="14" t="s">
        <v>404</v>
      </c>
      <c r="AG194" s="14" t="s">
        <v>405</v>
      </c>
      <c r="AH194" s="14" t="s">
        <v>406</v>
      </c>
      <c r="AI194" s="15">
        <v>0.0</v>
      </c>
      <c r="AL194" s="15" t="s">
        <v>2354</v>
      </c>
      <c r="AM194" s="15" t="s">
        <v>745</v>
      </c>
      <c r="AN194" s="15" t="s">
        <v>746</v>
      </c>
      <c r="AO194" s="15" t="s">
        <v>409</v>
      </c>
      <c r="AP194" s="15" t="s">
        <v>438</v>
      </c>
      <c r="AQ194" s="15" t="s">
        <v>1222</v>
      </c>
      <c r="AR194" s="15" t="s">
        <v>1223</v>
      </c>
      <c r="AS194" s="15" t="s">
        <v>2063</v>
      </c>
      <c r="AT194" s="15" t="s">
        <v>2938</v>
      </c>
      <c r="AW194" s="15" t="s">
        <v>412</v>
      </c>
      <c r="AY194" s="15" t="s">
        <v>413</v>
      </c>
      <c r="AZ194" s="15" t="b">
        <v>0</v>
      </c>
      <c r="BA194" s="15" t="s">
        <v>413</v>
      </c>
      <c r="BB194" s="15" t="b">
        <v>0</v>
      </c>
      <c r="BC194" s="15" t="s">
        <v>2942</v>
      </c>
      <c r="BD194" s="15" t="s">
        <v>742</v>
      </c>
      <c r="BE194" s="15" t="str">
        <f t="shared" si="320"/>
        <v>1</v>
      </c>
      <c r="BF194" s="15" t="s">
        <v>2943</v>
      </c>
      <c r="BG194" s="15" t="str">
        <f>"75.79"</f>
        <v>75.79</v>
      </c>
      <c r="BH194" s="15" t="s">
        <v>2944</v>
      </c>
      <c r="BI194" s="15" t="str">
        <f>"23.62"</f>
        <v>23.62</v>
      </c>
      <c r="BJ194" s="15" t="s">
        <v>1570</v>
      </c>
      <c r="BK194" s="15" t="str">
        <f>"40.16"</f>
        <v>40.16</v>
      </c>
      <c r="BL194" s="15" t="s">
        <v>667</v>
      </c>
      <c r="BM194" s="15" t="str">
        <f>"276.68"</f>
        <v>276.68</v>
      </c>
      <c r="BN194" s="15" t="s">
        <v>2945</v>
      </c>
      <c r="BQ194" s="15" t="s">
        <v>444</v>
      </c>
      <c r="BS194" s="15" t="s">
        <v>444</v>
      </c>
      <c r="BU194" s="15" t="s">
        <v>444</v>
      </c>
      <c r="BW194" s="15" t="s">
        <v>444</v>
      </c>
      <c r="BZ194" s="15" t="s">
        <v>444</v>
      </c>
      <c r="CB194" s="15" t="s">
        <v>444</v>
      </c>
      <c r="CD194" s="15" t="s">
        <v>444</v>
      </c>
      <c r="CF194" s="15" t="s">
        <v>444</v>
      </c>
      <c r="CI194" s="15" t="s">
        <v>444</v>
      </c>
      <c r="CK194" s="15" t="s">
        <v>444</v>
      </c>
      <c r="CM194" s="15" t="s">
        <v>444</v>
      </c>
      <c r="CO194" s="15" t="s">
        <v>444</v>
      </c>
      <c r="CP194" s="15" t="str">
        <f>"41.6"</f>
        <v>41.6</v>
      </c>
      <c r="CQ194" s="15" t="str">
        <f>"1.178"</f>
        <v>1.178</v>
      </c>
      <c r="CR194" s="15" t="s">
        <v>417</v>
      </c>
      <c r="DC194" s="15" t="str">
        <f>IFERROR(__xludf.DUMMYFUNCTION("""COMPUTED_VALUE"""),"")</f>
        <v/>
      </c>
      <c r="DE194" s="15" t="str">
        <f>IFERROR(__xludf.DUMMYFUNCTION("""COMPUTED_VALUE"""),"")</f>
        <v/>
      </c>
      <c r="DG194" s="15" t="str">
        <f>IFERROR(__xludf.DUMMYFUNCTION("""COMPUTED_VALUE"""),"")</f>
        <v/>
      </c>
      <c r="DL194" s="15" t="str">
        <f>IFERROR(__xludf.DUMMYFUNCTION("""COMPUTED_VALUE"""),"")</f>
        <v/>
      </c>
      <c r="DM194" s="15" t="s">
        <v>444</v>
      </c>
      <c r="DN194" s="15" t="s">
        <v>1371</v>
      </c>
      <c r="DO194" s="15">
        <v>6.0</v>
      </c>
      <c r="DP194" s="15" t="s">
        <v>419</v>
      </c>
      <c r="DR194" s="15">
        <v>0.0</v>
      </c>
      <c r="DT194" s="15" t="s">
        <v>1186</v>
      </c>
      <c r="DU194" s="15" t="s">
        <v>421</v>
      </c>
      <c r="DY194" s="15">
        <v>0.0</v>
      </c>
      <c r="EF194" s="15" t="s">
        <v>422</v>
      </c>
      <c r="EG194" s="15" t="s">
        <v>445</v>
      </c>
      <c r="EH194" s="15" t="s">
        <v>2946</v>
      </c>
      <c r="EJ194" s="15" t="s">
        <v>424</v>
      </c>
      <c r="EK194" s="15" t="s">
        <v>446</v>
      </c>
      <c r="EM194" s="15" t="str">
        <f>IFERROR(__xludf.DUMMYFUNCTION("""COMPUTED_VALUE"""),"")</f>
        <v/>
      </c>
      <c r="EW194" s="15" t="s">
        <v>2050</v>
      </c>
      <c r="FM194" s="15">
        <v>0.0</v>
      </c>
      <c r="GH194" s="15">
        <v>0.0</v>
      </c>
      <c r="GI194" s="15" t="s">
        <v>427</v>
      </c>
      <c r="GQ194" s="15" t="s">
        <v>2348</v>
      </c>
      <c r="GS194" s="15" t="s">
        <v>2947</v>
      </c>
      <c r="GU194" s="15" t="s">
        <v>2948</v>
      </c>
      <c r="GW194" s="15" t="s">
        <v>838</v>
      </c>
      <c r="GY194" s="15" t="s">
        <v>764</v>
      </c>
    </row>
    <row r="195" ht="15.75" customHeight="1">
      <c r="A195" s="14" t="s">
        <v>391</v>
      </c>
      <c r="B195" s="15" t="s">
        <v>2949</v>
      </c>
      <c r="C195" s="16"/>
      <c r="D195" s="15" t="s">
        <v>432</v>
      </c>
      <c r="G195" s="14" t="s">
        <v>393</v>
      </c>
      <c r="H195" s="14" t="s">
        <v>394</v>
      </c>
      <c r="I195" s="14" t="b">
        <v>1</v>
      </c>
      <c r="J195" s="14" t="s">
        <v>395</v>
      </c>
      <c r="L195" s="14" t="b">
        <v>0</v>
      </c>
      <c r="M195" s="15" t="s">
        <v>2950</v>
      </c>
      <c r="N195" s="14" t="s">
        <v>393</v>
      </c>
      <c r="O195" s="14" t="s">
        <v>393</v>
      </c>
      <c r="P195" s="15" t="s">
        <v>397</v>
      </c>
      <c r="Q195" s="15" t="s">
        <v>2951</v>
      </c>
      <c r="R195" s="15" t="s">
        <v>265</v>
      </c>
      <c r="S195" s="15" t="s">
        <v>828</v>
      </c>
      <c r="T195" s="14" t="b">
        <v>0</v>
      </c>
      <c r="U195" s="15" t="s">
        <v>2952</v>
      </c>
      <c r="V195" s="15" t="s">
        <v>2953</v>
      </c>
      <c r="W195" s="15" t="s">
        <v>401</v>
      </c>
      <c r="X195" s="15" t="s">
        <v>742</v>
      </c>
      <c r="Y195" s="15">
        <v>2301.0</v>
      </c>
      <c r="AA195" s="15" t="str">
        <f>"885"</f>
        <v>885</v>
      </c>
      <c r="AB195" s="14" t="b">
        <v>1</v>
      </c>
      <c r="AC195" s="14" t="b">
        <v>1</v>
      </c>
      <c r="AD195" s="15" t="str">
        <f>"801542056230"</f>
        <v>801542056230</v>
      </c>
      <c r="AE195" s="15" t="s">
        <v>2954</v>
      </c>
      <c r="AF195" s="14" t="s">
        <v>404</v>
      </c>
      <c r="AG195" s="14" t="s">
        <v>405</v>
      </c>
      <c r="AH195" s="14" t="s">
        <v>406</v>
      </c>
      <c r="AI195" s="15">
        <v>0.0</v>
      </c>
      <c r="AL195" s="15" t="s">
        <v>2955</v>
      </c>
      <c r="AM195" s="15" t="s">
        <v>408</v>
      </c>
      <c r="AN195" s="15" t="s">
        <v>437</v>
      </c>
      <c r="AO195" s="15" t="s">
        <v>513</v>
      </c>
      <c r="AP195" s="15" t="s">
        <v>514</v>
      </c>
      <c r="AQ195" s="15" t="s">
        <v>2956</v>
      </c>
      <c r="AR195" s="15" t="s">
        <v>2957</v>
      </c>
      <c r="AS195" s="15" t="s">
        <v>2063</v>
      </c>
      <c r="AT195" s="15" t="s">
        <v>2951</v>
      </c>
      <c r="AU195" s="15" t="s">
        <v>2958</v>
      </c>
      <c r="AV195" s="15" t="s">
        <v>2938</v>
      </c>
      <c r="AW195" s="15" t="s">
        <v>839</v>
      </c>
      <c r="AX195" s="15" t="s">
        <v>828</v>
      </c>
      <c r="AY195" s="15" t="s">
        <v>413</v>
      </c>
      <c r="AZ195" s="15" t="b">
        <v>0</v>
      </c>
      <c r="BA195" s="15" t="s">
        <v>426</v>
      </c>
      <c r="BB195" s="15" t="b">
        <v>1</v>
      </c>
      <c r="BC195" s="15" t="s">
        <v>2959</v>
      </c>
      <c r="BD195" s="15" t="s">
        <v>742</v>
      </c>
      <c r="BE195" s="15" t="str">
        <f t="shared" ref="BE195:BE196" si="352">"3"</f>
        <v>3</v>
      </c>
      <c r="BF195" s="15" t="s">
        <v>841</v>
      </c>
      <c r="BG195" s="15" t="str">
        <f>"84.65"</f>
        <v>84.65</v>
      </c>
      <c r="BH195" s="15" t="s">
        <v>852</v>
      </c>
      <c r="BI195" s="15" t="str">
        <f t="shared" ref="BI195:BI196" si="353">"51.57"</f>
        <v>51.57</v>
      </c>
      <c r="BJ195" s="15" t="s">
        <v>567</v>
      </c>
      <c r="BK195" s="15" t="str">
        <f t="shared" ref="BK195:BK196" si="354">"7.36"</f>
        <v>7.36</v>
      </c>
      <c r="BL195" s="15" t="s">
        <v>2960</v>
      </c>
      <c r="BM195" s="15" t="str">
        <f>"105.82"</f>
        <v>105.82</v>
      </c>
      <c r="BN195" s="15" t="s">
        <v>2961</v>
      </c>
      <c r="BO195" s="15" t="s">
        <v>2962</v>
      </c>
      <c r="BP195" s="15" t="str">
        <f>"84.65"</f>
        <v>84.65</v>
      </c>
      <c r="BQ195" s="15" t="s">
        <v>852</v>
      </c>
      <c r="BR195" s="15" t="str">
        <f t="shared" ref="BR195:BR196" si="355">"16.34"</f>
        <v>16.34</v>
      </c>
      <c r="BS195" s="15" t="s">
        <v>2963</v>
      </c>
      <c r="BT195" s="15" t="str">
        <f t="shared" ref="BT195:BT196" si="356">"9.84"</f>
        <v>9.84</v>
      </c>
      <c r="BU195" s="15" t="s">
        <v>2964</v>
      </c>
      <c r="BV195" s="15" t="str">
        <f>"63.93"</f>
        <v>63.93</v>
      </c>
      <c r="BW195" s="15" t="s">
        <v>2965</v>
      </c>
      <c r="BX195" s="15" t="s">
        <v>2966</v>
      </c>
      <c r="BY195" s="15" t="str">
        <f t="shared" ref="BY195:BY196" si="357">"86.02"</f>
        <v>86.02</v>
      </c>
      <c r="BZ195" s="15" t="s">
        <v>2967</v>
      </c>
      <c r="CA195" s="15" t="str">
        <f t="shared" ref="CA195:CA196" si="358">"9.06"</f>
        <v>9.06</v>
      </c>
      <c r="CB195" s="15" t="s">
        <v>2481</v>
      </c>
      <c r="CC195" s="15" t="str">
        <f t="shared" ref="CC195:CC196" si="359">"7.87"</f>
        <v>7.87</v>
      </c>
      <c r="CD195" s="15" t="s">
        <v>923</v>
      </c>
      <c r="CE195" s="15" t="str">
        <f>"38.58"</f>
        <v>38.58</v>
      </c>
      <c r="CF195" s="15" t="s">
        <v>1110</v>
      </c>
      <c r="CI195" s="15" t="s">
        <v>444</v>
      </c>
      <c r="CK195" s="15" t="s">
        <v>444</v>
      </c>
      <c r="CM195" s="15" t="s">
        <v>444</v>
      </c>
      <c r="CO195" s="15" t="s">
        <v>444</v>
      </c>
      <c r="CP195" s="15" t="str">
        <f>"30.05"</f>
        <v>30.05</v>
      </c>
      <c r="CQ195" s="15" t="str">
        <f>"0.851"</f>
        <v>0.851</v>
      </c>
      <c r="CR195" s="15" t="s">
        <v>417</v>
      </c>
      <c r="DC195" s="15" t="str">
        <f>IFERROR(__xludf.DUMMYFUNCTION("""COMPUTED_VALUE"""),"")</f>
        <v/>
      </c>
      <c r="DE195" s="15" t="str">
        <f>IFERROR(__xludf.DUMMYFUNCTION("""COMPUTED_VALUE"""),"")</f>
        <v/>
      </c>
      <c r="DG195" s="15" t="str">
        <f>IFERROR(__xludf.DUMMYFUNCTION("""COMPUTED_VALUE"""),"")</f>
        <v/>
      </c>
      <c r="DK195" s="15" t="s">
        <v>855</v>
      </c>
      <c r="DL195" s="15" t="str">
        <f>IFERROR(__xludf.DUMMYFUNCTION("""COMPUTED_VALUE"""),"Clean with solvent-based (dry clean only) products. Do not use water.")</f>
        <v>Clean with solvent-based (dry clean only) products. Do not use water.</v>
      </c>
      <c r="DM195" s="15" t="s">
        <v>856</v>
      </c>
      <c r="DN195" s="15" t="s">
        <v>419</v>
      </c>
      <c r="DO195" s="15">
        <v>0.0</v>
      </c>
      <c r="DP195" s="15" t="s">
        <v>419</v>
      </c>
      <c r="DR195" s="15">
        <v>0.0</v>
      </c>
      <c r="DT195" s="15" t="s">
        <v>1186</v>
      </c>
      <c r="DU195" s="15" t="s">
        <v>419</v>
      </c>
      <c r="DW195" s="15">
        <v>0.0</v>
      </c>
      <c r="DX195" s="15">
        <v>0.0</v>
      </c>
      <c r="DY195" s="15">
        <v>0.0</v>
      </c>
      <c r="DZ195" s="15">
        <v>25000.0</v>
      </c>
      <c r="EG195" s="15" t="s">
        <v>444</v>
      </c>
      <c r="EH195" s="15" t="s">
        <v>2946</v>
      </c>
      <c r="EJ195" s="15" t="s">
        <v>858</v>
      </c>
      <c r="EK195" s="15" t="s">
        <v>859</v>
      </c>
      <c r="EM195" s="15" t="str">
        <f>IFERROR(__xludf.DUMMYFUNCTION("""COMPUTED_VALUE"""),"")</f>
        <v/>
      </c>
      <c r="FM195" s="15">
        <v>0.0</v>
      </c>
      <c r="IM195" s="15" t="s">
        <v>2026</v>
      </c>
      <c r="IN195" s="15" t="s">
        <v>2026</v>
      </c>
      <c r="IO195" s="15" t="s">
        <v>2026</v>
      </c>
      <c r="IP195" s="15" t="s">
        <v>2968</v>
      </c>
      <c r="IQ195" s="15" t="s">
        <v>2969</v>
      </c>
      <c r="IR195" s="15" t="s">
        <v>2970</v>
      </c>
      <c r="IS195" s="15" t="s">
        <v>1552</v>
      </c>
      <c r="IT195" s="15" t="s">
        <v>787</v>
      </c>
      <c r="IU195" s="15" t="s">
        <v>2970</v>
      </c>
      <c r="IV195" s="15" t="s">
        <v>2971</v>
      </c>
      <c r="IW195" s="15" t="s">
        <v>1957</v>
      </c>
      <c r="IX195" s="15" t="s">
        <v>869</v>
      </c>
      <c r="IY195" s="15" t="s">
        <v>761</v>
      </c>
      <c r="IZ195" s="15" t="s">
        <v>2972</v>
      </c>
      <c r="JA195" s="15" t="s">
        <v>1042</v>
      </c>
      <c r="JB195" s="15" t="s">
        <v>426</v>
      </c>
      <c r="JC195" s="15" t="s">
        <v>2973</v>
      </c>
      <c r="JD195" s="15" t="s">
        <v>872</v>
      </c>
      <c r="JE195" s="15" t="s">
        <v>873</v>
      </c>
      <c r="JF195" s="15" t="s">
        <v>828</v>
      </c>
      <c r="JL195" s="15" t="s">
        <v>759</v>
      </c>
      <c r="JM195" s="15" t="s">
        <v>2974</v>
      </c>
      <c r="JN195" s="15" t="s">
        <v>759</v>
      </c>
      <c r="JO195" s="15" t="s">
        <v>426</v>
      </c>
      <c r="JP195" s="15" t="s">
        <v>2474</v>
      </c>
    </row>
    <row r="196" ht="15.75" customHeight="1">
      <c r="A196" s="14" t="s">
        <v>391</v>
      </c>
      <c r="B196" s="15" t="s">
        <v>2949</v>
      </c>
      <c r="C196" s="16"/>
      <c r="D196" s="15" t="s">
        <v>432</v>
      </c>
      <c r="G196" s="14" t="s">
        <v>393</v>
      </c>
      <c r="H196" s="14" t="s">
        <v>394</v>
      </c>
      <c r="I196" s="14" t="b">
        <v>1</v>
      </c>
      <c r="J196" s="14" t="s">
        <v>395</v>
      </c>
      <c r="L196" s="14" t="b">
        <v>0</v>
      </c>
      <c r="M196" s="15" t="s">
        <v>2975</v>
      </c>
      <c r="N196" s="14" t="s">
        <v>393</v>
      </c>
      <c r="O196" s="14" t="s">
        <v>393</v>
      </c>
      <c r="P196" s="15" t="s">
        <v>397</v>
      </c>
      <c r="Q196" s="15" t="s">
        <v>2951</v>
      </c>
      <c r="R196" s="15" t="s">
        <v>265</v>
      </c>
      <c r="S196" s="15" t="s">
        <v>877</v>
      </c>
      <c r="T196" s="14" t="b">
        <v>0</v>
      </c>
      <c r="U196" s="15" t="s">
        <v>2976</v>
      </c>
      <c r="V196" s="15" t="s">
        <v>2977</v>
      </c>
      <c r="W196" s="15" t="s">
        <v>401</v>
      </c>
      <c r="X196" s="15" t="s">
        <v>742</v>
      </c>
      <c r="Y196" s="15">
        <v>1976.0</v>
      </c>
      <c r="AA196" s="15" t="str">
        <f>"760"</f>
        <v>760</v>
      </c>
      <c r="AB196" s="14" t="b">
        <v>1</v>
      </c>
      <c r="AC196" s="14" t="b">
        <v>1</v>
      </c>
      <c r="AD196" s="15" t="str">
        <f>"801542056247"</f>
        <v>801542056247</v>
      </c>
      <c r="AE196" s="15" t="s">
        <v>2978</v>
      </c>
      <c r="AF196" s="14" t="s">
        <v>404</v>
      </c>
      <c r="AG196" s="14" t="s">
        <v>405</v>
      </c>
      <c r="AH196" s="14" t="s">
        <v>406</v>
      </c>
      <c r="AI196" s="15">
        <v>0.0</v>
      </c>
      <c r="AL196" s="15" t="s">
        <v>2955</v>
      </c>
      <c r="AM196" s="15" t="s">
        <v>2979</v>
      </c>
      <c r="AN196" s="15" t="s">
        <v>2235</v>
      </c>
      <c r="AO196" s="15" t="s">
        <v>513</v>
      </c>
      <c r="AP196" s="15" t="s">
        <v>514</v>
      </c>
      <c r="AQ196" s="15" t="s">
        <v>2956</v>
      </c>
      <c r="AR196" s="15" t="s">
        <v>2957</v>
      </c>
      <c r="AS196" s="15" t="s">
        <v>2063</v>
      </c>
      <c r="AT196" s="15" t="s">
        <v>2951</v>
      </c>
      <c r="AU196" s="15" t="s">
        <v>2958</v>
      </c>
      <c r="AV196" s="15" t="s">
        <v>2938</v>
      </c>
      <c r="AW196" s="15" t="s">
        <v>839</v>
      </c>
      <c r="AX196" s="15" t="s">
        <v>877</v>
      </c>
      <c r="AY196" s="15" t="s">
        <v>413</v>
      </c>
      <c r="AZ196" s="15" t="b">
        <v>0</v>
      </c>
      <c r="BA196" s="15" t="s">
        <v>426</v>
      </c>
      <c r="BB196" s="15" t="b">
        <v>1</v>
      </c>
      <c r="BC196" s="15" t="s">
        <v>2959</v>
      </c>
      <c r="BD196" s="15" t="s">
        <v>742</v>
      </c>
      <c r="BE196" s="15" t="str">
        <f t="shared" si="352"/>
        <v>3</v>
      </c>
      <c r="BF196" s="15" t="s">
        <v>841</v>
      </c>
      <c r="BG196" s="15" t="str">
        <f>"68.11"</f>
        <v>68.11</v>
      </c>
      <c r="BH196" s="15" t="s">
        <v>2980</v>
      </c>
      <c r="BI196" s="15" t="str">
        <f t="shared" si="353"/>
        <v>51.57</v>
      </c>
      <c r="BJ196" s="15" t="s">
        <v>567</v>
      </c>
      <c r="BK196" s="15" t="str">
        <f t="shared" si="354"/>
        <v>7.36</v>
      </c>
      <c r="BL196" s="15" t="s">
        <v>2960</v>
      </c>
      <c r="BM196" s="15" t="str">
        <f>"84.88"</f>
        <v>84.88</v>
      </c>
      <c r="BN196" s="15" t="s">
        <v>2981</v>
      </c>
      <c r="BO196" s="15" t="s">
        <v>2962</v>
      </c>
      <c r="BP196" s="15" t="str">
        <f>"68.11"</f>
        <v>68.11</v>
      </c>
      <c r="BQ196" s="15" t="s">
        <v>2980</v>
      </c>
      <c r="BR196" s="15" t="str">
        <f t="shared" si="355"/>
        <v>16.34</v>
      </c>
      <c r="BS196" s="15" t="s">
        <v>2963</v>
      </c>
      <c r="BT196" s="15" t="str">
        <f t="shared" si="356"/>
        <v>9.84</v>
      </c>
      <c r="BU196" s="15" t="s">
        <v>2964</v>
      </c>
      <c r="BV196" s="15" t="str">
        <f>"54.01"</f>
        <v>54.01</v>
      </c>
      <c r="BW196" s="15" t="s">
        <v>888</v>
      </c>
      <c r="BX196" s="15" t="s">
        <v>2966</v>
      </c>
      <c r="BY196" s="15" t="str">
        <f t="shared" si="357"/>
        <v>86.02</v>
      </c>
      <c r="BZ196" s="15" t="s">
        <v>2967</v>
      </c>
      <c r="CA196" s="15" t="str">
        <f t="shared" si="358"/>
        <v>9.06</v>
      </c>
      <c r="CB196" s="15" t="s">
        <v>2481</v>
      </c>
      <c r="CC196" s="15" t="str">
        <f t="shared" si="359"/>
        <v>7.87</v>
      </c>
      <c r="CD196" s="15" t="s">
        <v>923</v>
      </c>
      <c r="CE196" s="15" t="str">
        <f>"31.97"</f>
        <v>31.97</v>
      </c>
      <c r="CF196" s="15" t="s">
        <v>2982</v>
      </c>
      <c r="CI196" s="15" t="s">
        <v>444</v>
      </c>
      <c r="CK196" s="15" t="s">
        <v>444</v>
      </c>
      <c r="CM196" s="15" t="s">
        <v>444</v>
      </c>
      <c r="CO196" s="15" t="s">
        <v>444</v>
      </c>
      <c r="CP196" s="15" t="str">
        <f>"24.86"</f>
        <v>24.86</v>
      </c>
      <c r="CQ196" s="15" t="str">
        <f>"0.704"</f>
        <v>0.704</v>
      </c>
      <c r="CR196" s="15" t="s">
        <v>465</v>
      </c>
      <c r="DC196" s="15" t="str">
        <f>IFERROR(__xludf.DUMMYFUNCTION("""COMPUTED_VALUE"""),"")</f>
        <v/>
      </c>
      <c r="DE196" s="15" t="str">
        <f>IFERROR(__xludf.DUMMYFUNCTION("""COMPUTED_VALUE"""),"")</f>
        <v/>
      </c>
      <c r="DG196" s="15" t="str">
        <f>IFERROR(__xludf.DUMMYFUNCTION("""COMPUTED_VALUE"""),"")</f>
        <v/>
      </c>
      <c r="DK196" s="15" t="s">
        <v>855</v>
      </c>
      <c r="DL196" s="15" t="str">
        <f>IFERROR(__xludf.DUMMYFUNCTION("""COMPUTED_VALUE"""),"Clean with solvent-based (dry clean only) products. Do not use water.")</f>
        <v>Clean with solvent-based (dry clean only) products. Do not use water.</v>
      </c>
      <c r="DM196" s="15" t="s">
        <v>856</v>
      </c>
      <c r="DN196" s="15" t="s">
        <v>419</v>
      </c>
      <c r="DO196" s="15">
        <v>0.0</v>
      </c>
      <c r="DP196" s="15" t="s">
        <v>419</v>
      </c>
      <c r="DR196" s="15">
        <v>0.0</v>
      </c>
      <c r="DT196" s="15" t="s">
        <v>1186</v>
      </c>
      <c r="DU196" s="15" t="s">
        <v>419</v>
      </c>
      <c r="DW196" s="15">
        <v>0.0</v>
      </c>
      <c r="DX196" s="15">
        <v>0.0</v>
      </c>
      <c r="DY196" s="15">
        <v>0.0</v>
      </c>
      <c r="DZ196" s="15">
        <v>25000.0</v>
      </c>
      <c r="EG196" s="15" t="s">
        <v>444</v>
      </c>
      <c r="EH196" s="15" t="s">
        <v>2946</v>
      </c>
      <c r="EJ196" s="15" t="s">
        <v>858</v>
      </c>
      <c r="EK196" s="15" t="s">
        <v>859</v>
      </c>
      <c r="EM196" s="15" t="str">
        <f>IFERROR(__xludf.DUMMYFUNCTION("""COMPUTED_VALUE"""),"")</f>
        <v/>
      </c>
      <c r="FM196" s="15">
        <v>0.0</v>
      </c>
      <c r="IM196" s="15" t="s">
        <v>2026</v>
      </c>
      <c r="IN196" s="15" t="s">
        <v>2026</v>
      </c>
      <c r="IO196" s="15" t="s">
        <v>2026</v>
      </c>
      <c r="IP196" s="15" t="s">
        <v>2968</v>
      </c>
      <c r="IQ196" s="15" t="s">
        <v>2969</v>
      </c>
      <c r="IR196" s="15" t="s">
        <v>2983</v>
      </c>
      <c r="IS196" s="15" t="s">
        <v>1552</v>
      </c>
      <c r="IT196" s="15" t="s">
        <v>787</v>
      </c>
      <c r="IU196" s="15" t="s">
        <v>2983</v>
      </c>
      <c r="IV196" s="15" t="s">
        <v>2971</v>
      </c>
      <c r="IW196" s="15" t="s">
        <v>1957</v>
      </c>
      <c r="IX196" s="15" t="s">
        <v>890</v>
      </c>
      <c r="IY196" s="15" t="s">
        <v>761</v>
      </c>
      <c r="IZ196" s="15" t="s">
        <v>2972</v>
      </c>
      <c r="JA196" s="15" t="s">
        <v>1042</v>
      </c>
      <c r="JB196" s="15" t="s">
        <v>426</v>
      </c>
      <c r="JC196" s="15" t="s">
        <v>2973</v>
      </c>
      <c r="JD196" s="15" t="s">
        <v>872</v>
      </c>
      <c r="JE196" s="15" t="s">
        <v>873</v>
      </c>
      <c r="JF196" s="15" t="s">
        <v>877</v>
      </c>
      <c r="JL196" s="15" t="s">
        <v>759</v>
      </c>
      <c r="JM196" s="15" t="s">
        <v>2974</v>
      </c>
      <c r="JN196" s="15" t="s">
        <v>759</v>
      </c>
      <c r="JO196" s="15" t="s">
        <v>426</v>
      </c>
      <c r="JP196" s="15" t="s">
        <v>2474</v>
      </c>
    </row>
    <row r="197" ht="15.75" customHeight="1">
      <c r="A197" s="14" t="s">
        <v>391</v>
      </c>
      <c r="B197" s="15" t="s">
        <v>2984</v>
      </c>
      <c r="C197" s="16"/>
      <c r="D197" s="15" t="s">
        <v>432</v>
      </c>
      <c r="G197" s="14" t="s">
        <v>393</v>
      </c>
      <c r="H197" s="14" t="s">
        <v>394</v>
      </c>
      <c r="I197" s="14" t="b">
        <v>1</v>
      </c>
      <c r="J197" s="14" t="s">
        <v>395</v>
      </c>
      <c r="L197" s="14" t="b">
        <v>0</v>
      </c>
      <c r="M197" s="15" t="s">
        <v>2985</v>
      </c>
      <c r="N197" s="14" t="s">
        <v>393</v>
      </c>
      <c r="O197" s="14" t="s">
        <v>393</v>
      </c>
      <c r="P197" s="15" t="s">
        <v>397</v>
      </c>
      <c r="Q197" s="15" t="s">
        <v>2986</v>
      </c>
      <c r="R197" s="15" t="s">
        <v>265</v>
      </c>
      <c r="S197" s="15" t="s">
        <v>828</v>
      </c>
      <c r="T197" s="14" t="b">
        <v>0</v>
      </c>
      <c r="U197" s="15" t="s">
        <v>2987</v>
      </c>
      <c r="V197" s="15" t="s">
        <v>2988</v>
      </c>
      <c r="W197" s="15" t="s">
        <v>401</v>
      </c>
      <c r="X197" s="15" t="s">
        <v>1296</v>
      </c>
      <c r="Y197" s="15">
        <v>1313.0</v>
      </c>
      <c r="AA197" s="15" t="str">
        <f>"505"</f>
        <v>505</v>
      </c>
      <c r="AB197" s="14" t="b">
        <v>1</v>
      </c>
      <c r="AC197" s="14" t="b">
        <v>1</v>
      </c>
      <c r="AD197" s="15" t="str">
        <f>"801542260408"</f>
        <v>801542260408</v>
      </c>
      <c r="AE197" s="15" t="s">
        <v>2989</v>
      </c>
      <c r="AF197" s="14" t="s">
        <v>404</v>
      </c>
      <c r="AG197" s="14" t="s">
        <v>405</v>
      </c>
      <c r="AH197" s="14" t="s">
        <v>406</v>
      </c>
      <c r="AI197" s="15">
        <v>0.0</v>
      </c>
      <c r="AL197" s="15" t="s">
        <v>2058</v>
      </c>
      <c r="AM197" s="15" t="s">
        <v>2990</v>
      </c>
      <c r="AN197" s="15" t="s">
        <v>2991</v>
      </c>
      <c r="AO197" s="15" t="s">
        <v>2992</v>
      </c>
      <c r="AP197" s="15" t="s">
        <v>2993</v>
      </c>
      <c r="AQ197" s="15" t="s">
        <v>2994</v>
      </c>
      <c r="AR197" s="15" t="s">
        <v>2995</v>
      </c>
      <c r="AS197" s="15" t="s">
        <v>1301</v>
      </c>
      <c r="AT197" s="15" t="s">
        <v>2986</v>
      </c>
      <c r="AW197" s="15" t="s">
        <v>839</v>
      </c>
      <c r="AX197" s="15" t="s">
        <v>828</v>
      </c>
      <c r="AY197" s="15" t="s">
        <v>413</v>
      </c>
      <c r="AZ197" s="15" t="b">
        <v>0</v>
      </c>
      <c r="BA197" s="15" t="s">
        <v>413</v>
      </c>
      <c r="BB197" s="15" t="b">
        <v>0</v>
      </c>
      <c r="BC197" s="15" t="s">
        <v>2996</v>
      </c>
      <c r="BD197" s="15" t="s">
        <v>1303</v>
      </c>
      <c r="BE197" s="15" t="str">
        <f t="shared" ref="BE197:BE199" si="360">"2"</f>
        <v>2</v>
      </c>
      <c r="BF197" s="15" t="s">
        <v>2997</v>
      </c>
      <c r="BG197" s="15" t="str">
        <f>"81"</f>
        <v>81</v>
      </c>
      <c r="BH197" s="15" t="s">
        <v>2998</v>
      </c>
      <c r="BI197" s="15" t="str">
        <f t="shared" ref="BI197:BI199" si="361">"6"</f>
        <v>6</v>
      </c>
      <c r="BJ197" s="15" t="s">
        <v>2999</v>
      </c>
      <c r="BK197" s="15" t="str">
        <f>"52"</f>
        <v>52</v>
      </c>
      <c r="BL197" s="15" t="s">
        <v>3000</v>
      </c>
      <c r="BM197" s="15" t="str">
        <f>"77.16"</f>
        <v>77.16</v>
      </c>
      <c r="BN197" s="15" t="s">
        <v>3001</v>
      </c>
      <c r="BO197" s="15" t="s">
        <v>3002</v>
      </c>
      <c r="BP197" s="15" t="str">
        <f t="shared" ref="BP197:BP198" si="362">"83.25"</f>
        <v>83.25</v>
      </c>
      <c r="BQ197" s="15" t="s">
        <v>3003</v>
      </c>
      <c r="BR197" s="15" t="str">
        <f t="shared" ref="BR197:BR198" si="363">"5.25"</f>
        <v>5.25</v>
      </c>
      <c r="BS197" s="15" t="s">
        <v>3004</v>
      </c>
      <c r="BT197" s="15" t="str">
        <f t="shared" ref="BT197:BT198" si="364">"16.5"</f>
        <v>16.5</v>
      </c>
      <c r="BU197" s="15" t="s">
        <v>2704</v>
      </c>
      <c r="BV197" s="15" t="str">
        <f>"104.5"</f>
        <v>104.5</v>
      </c>
      <c r="BW197" s="15" t="s">
        <v>3005</v>
      </c>
      <c r="BZ197" s="15" t="s">
        <v>444</v>
      </c>
      <c r="CB197" s="15" t="s">
        <v>444</v>
      </c>
      <c r="CD197" s="15" t="s">
        <v>444</v>
      </c>
      <c r="CF197" s="15" t="s">
        <v>444</v>
      </c>
      <c r="CI197" s="15" t="s">
        <v>444</v>
      </c>
      <c r="CK197" s="15" t="s">
        <v>444</v>
      </c>
      <c r="CM197" s="15" t="s">
        <v>444</v>
      </c>
      <c r="CO197" s="15" t="s">
        <v>444</v>
      </c>
      <c r="CP197" s="15" t="str">
        <f>"18.79"</f>
        <v>18.79</v>
      </c>
      <c r="CQ197" s="15" t="str">
        <f>"0.532"</f>
        <v>0.532</v>
      </c>
      <c r="CR197" s="15" t="s">
        <v>465</v>
      </c>
      <c r="DC197" s="15" t="str">
        <f>IFERROR(__xludf.DUMMYFUNCTION("""COMPUTED_VALUE"""),"")</f>
        <v/>
      </c>
      <c r="DE197" s="15" t="str">
        <f>IFERROR(__xludf.DUMMYFUNCTION("""COMPUTED_VALUE"""),"")</f>
        <v/>
      </c>
      <c r="DG197" s="15" t="str">
        <f>IFERROR(__xludf.DUMMYFUNCTION("""COMPUTED_VALUE"""),"")</f>
        <v/>
      </c>
      <c r="DL197" s="15" t="str">
        <f>IFERROR(__xludf.DUMMYFUNCTION("""COMPUTED_VALUE"""),"")</f>
        <v/>
      </c>
      <c r="DM197" s="15" t="s">
        <v>444</v>
      </c>
      <c r="DN197" s="15" t="s">
        <v>419</v>
      </c>
      <c r="DO197" s="15">
        <v>0.0</v>
      </c>
      <c r="DP197" s="15" t="s">
        <v>419</v>
      </c>
      <c r="DR197" s="15">
        <v>0.0</v>
      </c>
      <c r="DU197" s="15" t="s">
        <v>419</v>
      </c>
      <c r="DW197" s="15">
        <v>0.0</v>
      </c>
      <c r="DX197" s="15">
        <v>0.0</v>
      </c>
      <c r="DY197" s="15">
        <v>0.0</v>
      </c>
      <c r="EG197" s="15" t="s">
        <v>444</v>
      </c>
      <c r="EH197" s="15" t="s">
        <v>3006</v>
      </c>
      <c r="EJ197" s="15" t="s">
        <v>858</v>
      </c>
      <c r="EK197" s="15" t="s">
        <v>859</v>
      </c>
      <c r="EM197" s="15" t="str">
        <f>IFERROR(__xludf.DUMMYFUNCTION("""COMPUTED_VALUE"""),"")</f>
        <v/>
      </c>
      <c r="FM197" s="15">
        <v>0.0</v>
      </c>
      <c r="IM197" s="15" t="s">
        <v>475</v>
      </c>
      <c r="IN197" s="15" t="s">
        <v>475</v>
      </c>
      <c r="IO197" s="15" t="s">
        <v>475</v>
      </c>
      <c r="IP197" s="15" t="s">
        <v>942</v>
      </c>
      <c r="IQ197" s="15" t="s">
        <v>2638</v>
      </c>
      <c r="IR197" s="15" t="s">
        <v>3007</v>
      </c>
      <c r="IS197" s="15" t="s">
        <v>2313</v>
      </c>
      <c r="IT197" s="15" t="s">
        <v>2638</v>
      </c>
      <c r="IU197" s="15" t="s">
        <v>3007</v>
      </c>
      <c r="IV197" s="15" t="s">
        <v>945</v>
      </c>
      <c r="IW197" s="15" t="s">
        <v>3008</v>
      </c>
      <c r="IX197" s="15" t="s">
        <v>1754</v>
      </c>
      <c r="IY197" s="15" t="s">
        <v>784</v>
      </c>
      <c r="IZ197" s="15" t="s">
        <v>945</v>
      </c>
      <c r="JA197" s="15" t="s">
        <v>784</v>
      </c>
      <c r="JB197" s="15" t="s">
        <v>426</v>
      </c>
      <c r="JC197" s="15" t="s">
        <v>871</v>
      </c>
      <c r="JD197" s="15" t="s">
        <v>1185</v>
      </c>
      <c r="JE197" s="15" t="s">
        <v>3009</v>
      </c>
      <c r="JF197" s="15" t="s">
        <v>828</v>
      </c>
      <c r="JL197" s="15" t="s">
        <v>3010</v>
      </c>
      <c r="JM197" s="15" t="s">
        <v>3011</v>
      </c>
      <c r="JN197" s="15" t="s">
        <v>672</v>
      </c>
      <c r="JO197" s="15" t="s">
        <v>426</v>
      </c>
    </row>
    <row r="198" ht="15.75" customHeight="1">
      <c r="A198" s="14" t="s">
        <v>391</v>
      </c>
      <c r="B198" s="15" t="s">
        <v>2984</v>
      </c>
      <c r="C198" s="16"/>
      <c r="D198" s="15" t="s">
        <v>432</v>
      </c>
      <c r="G198" s="14" t="s">
        <v>393</v>
      </c>
      <c r="H198" s="14" t="s">
        <v>394</v>
      </c>
      <c r="I198" s="14" t="b">
        <v>1</v>
      </c>
      <c r="J198" s="14" t="s">
        <v>395</v>
      </c>
      <c r="L198" s="14" t="b">
        <v>0</v>
      </c>
      <c r="M198" s="15" t="s">
        <v>3012</v>
      </c>
      <c r="N198" s="14" t="s">
        <v>393</v>
      </c>
      <c r="O198" s="14" t="s">
        <v>393</v>
      </c>
      <c r="P198" s="15" t="s">
        <v>397</v>
      </c>
      <c r="Q198" s="15" t="s">
        <v>2986</v>
      </c>
      <c r="R198" s="15" t="s">
        <v>265</v>
      </c>
      <c r="S198" s="15" t="s">
        <v>877</v>
      </c>
      <c r="T198" s="14" t="b">
        <v>0</v>
      </c>
      <c r="U198" s="15" t="s">
        <v>3013</v>
      </c>
      <c r="V198" s="15" t="s">
        <v>3014</v>
      </c>
      <c r="W198" s="15" t="s">
        <v>401</v>
      </c>
      <c r="X198" s="15" t="s">
        <v>1296</v>
      </c>
      <c r="Y198" s="15">
        <v>1092.0</v>
      </c>
      <c r="AA198" s="15" t="str">
        <f>"420"</f>
        <v>420</v>
      </c>
      <c r="AB198" s="14" t="b">
        <v>1</v>
      </c>
      <c r="AC198" s="14" t="b">
        <v>1</v>
      </c>
      <c r="AD198" s="15" t="str">
        <f>"801542248994"</f>
        <v>801542248994</v>
      </c>
      <c r="AE198" s="15" t="s">
        <v>3015</v>
      </c>
      <c r="AF198" s="14" t="s">
        <v>404</v>
      </c>
      <c r="AG198" s="14" t="s">
        <v>405</v>
      </c>
      <c r="AH198" s="14" t="s">
        <v>406</v>
      </c>
      <c r="AI198" s="15">
        <v>0.0</v>
      </c>
      <c r="AL198" s="15" t="s">
        <v>2058</v>
      </c>
      <c r="AM198" s="15" t="s">
        <v>3016</v>
      </c>
      <c r="AN198" s="15" t="s">
        <v>3017</v>
      </c>
      <c r="AO198" s="15" t="s">
        <v>2992</v>
      </c>
      <c r="AP198" s="15" t="s">
        <v>2993</v>
      </c>
      <c r="AQ198" s="15" t="s">
        <v>2994</v>
      </c>
      <c r="AR198" s="15" t="s">
        <v>2995</v>
      </c>
      <c r="AS198" s="15" t="s">
        <v>1301</v>
      </c>
      <c r="AT198" s="15" t="s">
        <v>2986</v>
      </c>
      <c r="AW198" s="15" t="s">
        <v>839</v>
      </c>
      <c r="AX198" s="15" t="s">
        <v>877</v>
      </c>
      <c r="AY198" s="15" t="s">
        <v>413</v>
      </c>
      <c r="AZ198" s="15" t="b">
        <v>0</v>
      </c>
      <c r="BA198" s="15" t="s">
        <v>413</v>
      </c>
      <c r="BB198" s="15" t="b">
        <v>0</v>
      </c>
      <c r="BC198" s="15" t="s">
        <v>2996</v>
      </c>
      <c r="BD198" s="15" t="s">
        <v>1303</v>
      </c>
      <c r="BE198" s="15" t="str">
        <f t="shared" si="360"/>
        <v>2</v>
      </c>
      <c r="BF198" s="15" t="s">
        <v>3018</v>
      </c>
      <c r="BG198" s="15" t="str">
        <f>"64"</f>
        <v>64</v>
      </c>
      <c r="BH198" s="15" t="s">
        <v>2235</v>
      </c>
      <c r="BI198" s="15" t="str">
        <f t="shared" si="361"/>
        <v>6</v>
      </c>
      <c r="BJ198" s="15" t="s">
        <v>2999</v>
      </c>
      <c r="BK198" s="15" t="str">
        <f t="shared" ref="BK198:BK199" si="365">"53"</f>
        <v>53</v>
      </c>
      <c r="BL198" s="15" t="s">
        <v>3019</v>
      </c>
      <c r="BM198" s="15" t="str">
        <f>"66.58"</f>
        <v>66.58</v>
      </c>
      <c r="BN198" s="15" t="s">
        <v>3020</v>
      </c>
      <c r="BO198" s="15" t="s">
        <v>3021</v>
      </c>
      <c r="BP198" s="15" t="str">
        <f t="shared" si="362"/>
        <v>83.25</v>
      </c>
      <c r="BQ198" s="15" t="s">
        <v>3003</v>
      </c>
      <c r="BR198" s="15" t="str">
        <f t="shared" si="363"/>
        <v>5.25</v>
      </c>
      <c r="BS198" s="15" t="s">
        <v>3004</v>
      </c>
      <c r="BT198" s="15" t="str">
        <f t="shared" si="364"/>
        <v>16.5</v>
      </c>
      <c r="BU198" s="15" t="s">
        <v>2704</v>
      </c>
      <c r="BV198" s="15" t="str">
        <f>"72.75"</f>
        <v>72.75</v>
      </c>
      <c r="BW198" s="15" t="s">
        <v>3022</v>
      </c>
      <c r="BZ198" s="15" t="s">
        <v>444</v>
      </c>
      <c r="CB198" s="15" t="s">
        <v>444</v>
      </c>
      <c r="CD198" s="15" t="s">
        <v>444</v>
      </c>
      <c r="CF198" s="15" t="s">
        <v>444</v>
      </c>
      <c r="CI198" s="15" t="s">
        <v>444</v>
      </c>
      <c r="CK198" s="15" t="s">
        <v>444</v>
      </c>
      <c r="CM198" s="15" t="s">
        <v>444</v>
      </c>
      <c r="CO198" s="15" t="s">
        <v>444</v>
      </c>
      <c r="CP198" s="15" t="str">
        <f>"15.96"</f>
        <v>15.96</v>
      </c>
      <c r="CQ198" s="15" t="str">
        <f>"0.452"</f>
        <v>0.452</v>
      </c>
      <c r="CR198" s="15" t="s">
        <v>497</v>
      </c>
      <c r="DC198" s="15" t="str">
        <f>IFERROR(__xludf.DUMMYFUNCTION("""COMPUTED_VALUE"""),"")</f>
        <v/>
      </c>
      <c r="DE198" s="15" t="str">
        <f>IFERROR(__xludf.DUMMYFUNCTION("""COMPUTED_VALUE"""),"")</f>
        <v/>
      </c>
      <c r="DG198" s="15" t="str">
        <f>IFERROR(__xludf.DUMMYFUNCTION("""COMPUTED_VALUE"""),"")</f>
        <v/>
      </c>
      <c r="DL198" s="15" t="str">
        <f>IFERROR(__xludf.DUMMYFUNCTION("""COMPUTED_VALUE"""),"")</f>
        <v/>
      </c>
      <c r="DM198" s="15" t="s">
        <v>444</v>
      </c>
      <c r="DN198" s="15" t="s">
        <v>419</v>
      </c>
      <c r="DO198" s="15">
        <v>0.0</v>
      </c>
      <c r="DP198" s="15" t="s">
        <v>419</v>
      </c>
      <c r="DR198" s="15">
        <v>0.0</v>
      </c>
      <c r="DU198" s="15" t="s">
        <v>419</v>
      </c>
      <c r="DW198" s="15">
        <v>0.0</v>
      </c>
      <c r="DX198" s="15">
        <v>0.0</v>
      </c>
      <c r="DY198" s="15">
        <v>0.0</v>
      </c>
      <c r="EG198" s="15" t="s">
        <v>444</v>
      </c>
      <c r="EH198" s="15" t="s">
        <v>3006</v>
      </c>
      <c r="EJ198" s="15" t="s">
        <v>858</v>
      </c>
      <c r="EK198" s="15" t="s">
        <v>859</v>
      </c>
      <c r="EM198" s="15" t="str">
        <f>IFERROR(__xludf.DUMMYFUNCTION("""COMPUTED_VALUE"""),"")</f>
        <v/>
      </c>
      <c r="FM198" s="15">
        <v>0.0</v>
      </c>
      <c r="IM198" s="15" t="s">
        <v>475</v>
      </c>
      <c r="IN198" s="15" t="s">
        <v>475</v>
      </c>
      <c r="IO198" s="15" t="s">
        <v>475</v>
      </c>
      <c r="IP198" s="15" t="s">
        <v>942</v>
      </c>
      <c r="IQ198" s="15" t="s">
        <v>2638</v>
      </c>
      <c r="IR198" s="15" t="s">
        <v>3023</v>
      </c>
      <c r="IS198" s="15" t="s">
        <v>2313</v>
      </c>
      <c r="IT198" s="15" t="s">
        <v>2638</v>
      </c>
      <c r="IU198" s="15" t="s">
        <v>3023</v>
      </c>
      <c r="IV198" s="15" t="s">
        <v>945</v>
      </c>
      <c r="IW198" s="15" t="s">
        <v>3008</v>
      </c>
      <c r="IX198" s="15" t="s">
        <v>1682</v>
      </c>
      <c r="IY198" s="15" t="s">
        <v>784</v>
      </c>
      <c r="IZ198" s="15" t="s">
        <v>945</v>
      </c>
      <c r="JA198" s="15" t="s">
        <v>784</v>
      </c>
      <c r="JB198" s="15" t="s">
        <v>426</v>
      </c>
      <c r="JC198" s="15" t="s">
        <v>871</v>
      </c>
      <c r="JD198" s="15" t="s">
        <v>1185</v>
      </c>
      <c r="JE198" s="15" t="s">
        <v>3009</v>
      </c>
      <c r="JF198" s="15" t="s">
        <v>877</v>
      </c>
      <c r="JL198" s="15" t="s">
        <v>3010</v>
      </c>
      <c r="JM198" s="15" t="s">
        <v>3011</v>
      </c>
      <c r="JN198" s="15" t="s">
        <v>672</v>
      </c>
      <c r="JO198" s="15" t="s">
        <v>426</v>
      </c>
    </row>
    <row r="199" ht="15.75" customHeight="1">
      <c r="A199" s="14" t="s">
        <v>391</v>
      </c>
      <c r="B199" s="15" t="s">
        <v>2984</v>
      </c>
      <c r="C199" s="16"/>
      <c r="D199" s="15" t="s">
        <v>432</v>
      </c>
      <c r="G199" s="14" t="s">
        <v>393</v>
      </c>
      <c r="H199" s="14" t="s">
        <v>394</v>
      </c>
      <c r="I199" s="14" t="b">
        <v>1</v>
      </c>
      <c r="J199" s="14" t="s">
        <v>395</v>
      </c>
      <c r="L199" s="14" t="b">
        <v>0</v>
      </c>
      <c r="M199" s="15" t="s">
        <v>3024</v>
      </c>
      <c r="N199" s="14" t="s">
        <v>393</v>
      </c>
      <c r="O199" s="14" t="s">
        <v>393</v>
      </c>
      <c r="P199" s="15" t="s">
        <v>397</v>
      </c>
      <c r="Q199" s="15" t="s">
        <v>2986</v>
      </c>
      <c r="R199" s="15" t="s">
        <v>265</v>
      </c>
      <c r="S199" s="15" t="s">
        <v>3025</v>
      </c>
      <c r="T199" s="14" t="b">
        <v>0</v>
      </c>
      <c r="U199" s="15" t="s">
        <v>3026</v>
      </c>
      <c r="V199" s="15" t="s">
        <v>3027</v>
      </c>
      <c r="W199" s="15" t="s">
        <v>401</v>
      </c>
      <c r="X199" s="15" t="s">
        <v>1296</v>
      </c>
      <c r="Y199" s="15">
        <v>884.0</v>
      </c>
      <c r="AA199" s="15" t="str">
        <f>"340"</f>
        <v>340</v>
      </c>
      <c r="AB199" s="14" t="b">
        <v>1</v>
      </c>
      <c r="AC199" s="14" t="b">
        <v>1</v>
      </c>
      <c r="AD199" s="15" t="str">
        <f>"801542266677"</f>
        <v>801542266677</v>
      </c>
      <c r="AE199" s="15" t="s">
        <v>3028</v>
      </c>
      <c r="AF199" s="14" t="s">
        <v>404</v>
      </c>
      <c r="AG199" s="14" t="s">
        <v>405</v>
      </c>
      <c r="AH199" s="14" t="s">
        <v>406</v>
      </c>
      <c r="AI199" s="15">
        <v>0.0</v>
      </c>
      <c r="AL199" s="15" t="s">
        <v>2058</v>
      </c>
      <c r="AM199" s="15" t="s">
        <v>2416</v>
      </c>
      <c r="AN199" s="15" t="s">
        <v>2417</v>
      </c>
      <c r="AO199" s="15" t="s">
        <v>3029</v>
      </c>
      <c r="AP199" s="15" t="s">
        <v>3030</v>
      </c>
      <c r="AQ199" s="15" t="s">
        <v>2994</v>
      </c>
      <c r="AR199" s="15" t="s">
        <v>2995</v>
      </c>
      <c r="AS199" s="15" t="s">
        <v>1301</v>
      </c>
      <c r="AT199" s="15" t="s">
        <v>2986</v>
      </c>
      <c r="AW199" s="15" t="s">
        <v>839</v>
      </c>
      <c r="AX199" s="15" t="s">
        <v>3025</v>
      </c>
      <c r="AY199" s="15" t="s">
        <v>413</v>
      </c>
      <c r="AZ199" s="15" t="b">
        <v>0</v>
      </c>
      <c r="BA199" s="15" t="s">
        <v>413</v>
      </c>
      <c r="BB199" s="15" t="b">
        <v>0</v>
      </c>
      <c r="BC199" s="15" t="s">
        <v>3031</v>
      </c>
      <c r="BD199" s="15" t="s">
        <v>1303</v>
      </c>
      <c r="BE199" s="15" t="str">
        <f t="shared" si="360"/>
        <v>2</v>
      </c>
      <c r="BF199" s="15" t="s">
        <v>3018</v>
      </c>
      <c r="BG199" s="15" t="str">
        <f>"43.5"</f>
        <v>43.5</v>
      </c>
      <c r="BH199" s="15" t="s">
        <v>3032</v>
      </c>
      <c r="BI199" s="15" t="str">
        <f t="shared" si="361"/>
        <v>6</v>
      </c>
      <c r="BJ199" s="15" t="s">
        <v>2999</v>
      </c>
      <c r="BK199" s="15" t="str">
        <f t="shared" si="365"/>
        <v>53</v>
      </c>
      <c r="BL199" s="15" t="s">
        <v>3019</v>
      </c>
      <c r="BM199" s="15" t="str">
        <f>"51.15"</f>
        <v>51.15</v>
      </c>
      <c r="BN199" s="15" t="s">
        <v>3033</v>
      </c>
      <c r="BO199" s="15" t="s">
        <v>3034</v>
      </c>
      <c r="BP199" s="15" t="str">
        <f>"78.5"</f>
        <v>78.5</v>
      </c>
      <c r="BQ199" s="15" t="s">
        <v>3030</v>
      </c>
      <c r="BR199" s="15" t="str">
        <f>"5.5"</f>
        <v>5.5</v>
      </c>
      <c r="BS199" s="15" t="s">
        <v>2561</v>
      </c>
      <c r="BT199" s="15" t="str">
        <f>"16"</f>
        <v>16</v>
      </c>
      <c r="BU199" s="15" t="s">
        <v>2040</v>
      </c>
      <c r="BV199" s="15" t="str">
        <f>"67.02"</f>
        <v>67.02</v>
      </c>
      <c r="BW199" s="15" t="s">
        <v>3035</v>
      </c>
      <c r="BZ199" s="15" t="s">
        <v>444</v>
      </c>
      <c r="CB199" s="15" t="s">
        <v>444</v>
      </c>
      <c r="CD199" s="15" t="s">
        <v>444</v>
      </c>
      <c r="CF199" s="15" t="s">
        <v>444</v>
      </c>
      <c r="CI199" s="15" t="s">
        <v>444</v>
      </c>
      <c r="CK199" s="15" t="s">
        <v>444</v>
      </c>
      <c r="CM199" s="15" t="s">
        <v>444</v>
      </c>
      <c r="CO199" s="15" t="s">
        <v>444</v>
      </c>
      <c r="CP199" s="15" t="str">
        <f>"12.01"</f>
        <v>12.01</v>
      </c>
      <c r="CQ199" s="15" t="str">
        <f>"0.34"</f>
        <v>0.34</v>
      </c>
      <c r="CR199" s="15" t="s">
        <v>465</v>
      </c>
      <c r="DC199" s="15" t="str">
        <f>IFERROR(__xludf.DUMMYFUNCTION("""COMPUTED_VALUE"""),"")</f>
        <v/>
      </c>
      <c r="DE199" s="15" t="str">
        <f>IFERROR(__xludf.DUMMYFUNCTION("""COMPUTED_VALUE"""),"")</f>
        <v/>
      </c>
      <c r="DG199" s="15" t="str">
        <f>IFERROR(__xludf.DUMMYFUNCTION("""COMPUTED_VALUE"""),"")</f>
        <v/>
      </c>
      <c r="DL199" s="15" t="str">
        <f>IFERROR(__xludf.DUMMYFUNCTION("""COMPUTED_VALUE"""),"")</f>
        <v/>
      </c>
      <c r="DM199" s="15" t="s">
        <v>444</v>
      </c>
      <c r="DN199" s="15" t="s">
        <v>419</v>
      </c>
      <c r="DO199" s="15">
        <v>0.0</v>
      </c>
      <c r="DP199" s="15" t="s">
        <v>419</v>
      </c>
      <c r="DR199" s="15">
        <v>0.0</v>
      </c>
      <c r="DU199" s="15" t="s">
        <v>419</v>
      </c>
      <c r="DW199" s="15">
        <v>0.0</v>
      </c>
      <c r="DX199" s="15">
        <v>0.0</v>
      </c>
      <c r="DY199" s="15">
        <v>0.0</v>
      </c>
      <c r="EG199" s="15" t="s">
        <v>444</v>
      </c>
      <c r="EH199" s="15" t="s">
        <v>3006</v>
      </c>
      <c r="EJ199" s="15" t="s">
        <v>858</v>
      </c>
      <c r="EK199" s="15" t="s">
        <v>859</v>
      </c>
      <c r="EM199" s="15" t="str">
        <f>IFERROR(__xludf.DUMMYFUNCTION("""COMPUTED_VALUE"""),"")</f>
        <v/>
      </c>
      <c r="FM199" s="15">
        <v>0.0</v>
      </c>
      <c r="IM199" s="15" t="s">
        <v>475</v>
      </c>
      <c r="IN199" s="15" t="s">
        <v>475</v>
      </c>
      <c r="IO199" s="15" t="s">
        <v>475</v>
      </c>
      <c r="IP199" s="15" t="s">
        <v>942</v>
      </c>
      <c r="IQ199" s="15" t="s">
        <v>2638</v>
      </c>
      <c r="IR199" s="15" t="s">
        <v>3036</v>
      </c>
      <c r="IS199" s="15" t="s">
        <v>2313</v>
      </c>
      <c r="IT199" s="15" t="s">
        <v>2638</v>
      </c>
      <c r="IU199" s="15" t="s">
        <v>3036</v>
      </c>
      <c r="IV199" s="15" t="s">
        <v>1755</v>
      </c>
      <c r="IW199" s="15" t="s">
        <v>3008</v>
      </c>
      <c r="IX199" s="15" t="s">
        <v>1575</v>
      </c>
      <c r="IY199" s="15" t="s">
        <v>784</v>
      </c>
      <c r="IZ199" s="15" t="s">
        <v>1755</v>
      </c>
      <c r="JA199" s="15" t="s">
        <v>784</v>
      </c>
      <c r="JB199" s="15" t="s">
        <v>426</v>
      </c>
      <c r="JC199" s="15" t="s">
        <v>871</v>
      </c>
      <c r="JD199" s="15" t="s">
        <v>1185</v>
      </c>
      <c r="JE199" s="15" t="s">
        <v>3009</v>
      </c>
      <c r="JF199" s="15" t="s">
        <v>3025</v>
      </c>
      <c r="JL199" s="15" t="s">
        <v>2737</v>
      </c>
      <c r="JM199" s="15" t="s">
        <v>3011</v>
      </c>
      <c r="JN199" s="15" t="s">
        <v>672</v>
      </c>
      <c r="JO199" s="15" t="s">
        <v>426</v>
      </c>
    </row>
    <row r="200" ht="15.75" customHeight="1">
      <c r="A200" s="14" t="s">
        <v>391</v>
      </c>
      <c r="B200" s="15" t="s">
        <v>3037</v>
      </c>
      <c r="C200" s="16"/>
      <c r="D200" s="15" t="s">
        <v>432</v>
      </c>
      <c r="G200" s="14" t="s">
        <v>393</v>
      </c>
      <c r="H200" s="14" t="s">
        <v>394</v>
      </c>
      <c r="I200" s="14" t="b">
        <v>1</v>
      </c>
      <c r="J200" s="14" t="s">
        <v>395</v>
      </c>
      <c r="L200" s="14" t="b">
        <v>0</v>
      </c>
      <c r="M200" s="15" t="s">
        <v>3038</v>
      </c>
      <c r="N200" s="14" t="s">
        <v>393</v>
      </c>
      <c r="O200" s="14" t="s">
        <v>393</v>
      </c>
      <c r="P200" s="15" t="s">
        <v>397</v>
      </c>
      <c r="Q200" s="15" t="s">
        <v>3039</v>
      </c>
      <c r="T200" s="14" t="b">
        <v>0</v>
      </c>
      <c r="U200" s="15" t="s">
        <v>3040</v>
      </c>
      <c r="V200" s="15" t="s">
        <v>2105</v>
      </c>
      <c r="W200" s="15" t="s">
        <v>401</v>
      </c>
      <c r="X200" s="15" t="s">
        <v>742</v>
      </c>
      <c r="Y200" s="15">
        <v>2301.0</v>
      </c>
      <c r="AA200" s="15" t="str">
        <f t="shared" ref="AA200:AA201" si="366">"885"</f>
        <v>885</v>
      </c>
      <c r="AB200" s="14" t="b">
        <v>1</v>
      </c>
      <c r="AC200" s="14" t="b">
        <v>1</v>
      </c>
      <c r="AD200" s="15" t="str">
        <f>"801542761295"</f>
        <v>801542761295</v>
      </c>
      <c r="AE200" s="15" t="s">
        <v>3041</v>
      </c>
      <c r="AF200" s="14" t="s">
        <v>404</v>
      </c>
      <c r="AG200" s="14" t="s">
        <v>405</v>
      </c>
      <c r="AH200" s="14" t="s">
        <v>406</v>
      </c>
      <c r="AI200" s="15">
        <v>0.0</v>
      </c>
      <c r="AL200" s="15" t="s">
        <v>3042</v>
      </c>
      <c r="AM200" s="15" t="s">
        <v>2037</v>
      </c>
      <c r="AN200" s="15" t="s">
        <v>2038</v>
      </c>
      <c r="AO200" s="15" t="s">
        <v>1007</v>
      </c>
      <c r="AP200" s="15" t="s">
        <v>1008</v>
      </c>
      <c r="AQ200" s="15" t="s">
        <v>546</v>
      </c>
      <c r="AR200" s="15" t="s">
        <v>547</v>
      </c>
      <c r="AS200" s="15" t="s">
        <v>2063</v>
      </c>
      <c r="AT200" s="15" t="s">
        <v>3039</v>
      </c>
      <c r="AU200" s="15" t="s">
        <v>3043</v>
      </c>
      <c r="AV200" s="15" t="s">
        <v>3044</v>
      </c>
      <c r="AW200" s="15" t="s">
        <v>412</v>
      </c>
      <c r="AY200" s="15" t="s">
        <v>413</v>
      </c>
      <c r="AZ200" s="15" t="b">
        <v>0</v>
      </c>
      <c r="BA200" s="15" t="s">
        <v>413</v>
      </c>
      <c r="BB200" s="15" t="b">
        <v>0</v>
      </c>
      <c r="BC200" s="15" t="s">
        <v>3045</v>
      </c>
      <c r="BD200" s="15" t="s">
        <v>742</v>
      </c>
      <c r="BE200" s="15" t="str">
        <f t="shared" ref="BE200:BE230" si="367">"1"</f>
        <v>1</v>
      </c>
      <c r="BF200" s="15" t="s">
        <v>2043</v>
      </c>
      <c r="BG200" s="15" t="str">
        <f t="shared" ref="BG200:BG201" si="368">"64.17"</f>
        <v>64.17</v>
      </c>
      <c r="BH200" s="15" t="s">
        <v>2044</v>
      </c>
      <c r="BI200" s="15" t="str">
        <f t="shared" ref="BI200:BI201" si="369">"22.44"</f>
        <v>22.44</v>
      </c>
      <c r="BJ200" s="15" t="s">
        <v>1156</v>
      </c>
      <c r="BK200" s="15" t="str">
        <f t="shared" ref="BK200:BK201" si="370">"36.42"</f>
        <v>36.42</v>
      </c>
      <c r="BL200" s="15" t="s">
        <v>3046</v>
      </c>
      <c r="BM200" s="15" t="str">
        <f t="shared" ref="BM200:BM201" si="371">"221.56"</f>
        <v>221.56</v>
      </c>
      <c r="BN200" s="15" t="s">
        <v>3047</v>
      </c>
      <c r="BQ200" s="15" t="s">
        <v>444</v>
      </c>
      <c r="BS200" s="15" t="s">
        <v>444</v>
      </c>
      <c r="BU200" s="15" t="s">
        <v>444</v>
      </c>
      <c r="BW200" s="15" t="s">
        <v>444</v>
      </c>
      <c r="BZ200" s="15" t="s">
        <v>444</v>
      </c>
      <c r="CB200" s="15" t="s">
        <v>444</v>
      </c>
      <c r="CD200" s="15" t="s">
        <v>444</v>
      </c>
      <c r="CF200" s="15" t="s">
        <v>444</v>
      </c>
      <c r="CI200" s="15" t="s">
        <v>444</v>
      </c>
      <c r="CK200" s="15" t="s">
        <v>444</v>
      </c>
      <c r="CM200" s="15" t="s">
        <v>444</v>
      </c>
      <c r="CO200" s="15" t="s">
        <v>444</v>
      </c>
      <c r="CP200" s="15" t="str">
        <f t="shared" ref="CP200:CP201" si="372">"30.34"</f>
        <v>30.34</v>
      </c>
      <c r="CQ200" s="15" t="str">
        <f t="shared" ref="CQ200:CQ201" si="373">"0.859"</f>
        <v>0.859</v>
      </c>
      <c r="CR200" s="15" t="s">
        <v>497</v>
      </c>
      <c r="CV200" s="15" t="s">
        <v>716</v>
      </c>
      <c r="CW200" s="15" t="s">
        <v>3048</v>
      </c>
      <c r="CX200" s="15" t="s">
        <v>3049</v>
      </c>
      <c r="DC200" s="15" t="str">
        <f>IFERROR(__xludf.DUMMYFUNCTION("""COMPUTED_VALUE"""),"")</f>
        <v/>
      </c>
      <c r="DE200" s="15" t="str">
        <f>IFERROR(__xludf.DUMMYFUNCTION("""COMPUTED_VALUE"""),"")</f>
        <v/>
      </c>
      <c r="DG200" s="15" t="str">
        <f>IFERROR(__xludf.DUMMYFUNCTION("""COMPUTED_VALUE"""),"")</f>
        <v/>
      </c>
      <c r="DL200" s="15" t="str">
        <f>IFERROR(__xludf.DUMMYFUNCTION("""COMPUTED_VALUE"""),"")</f>
        <v/>
      </c>
      <c r="DM200" s="15" t="s">
        <v>444</v>
      </c>
      <c r="DN200" s="15" t="s">
        <v>418</v>
      </c>
      <c r="DO200" s="15">
        <v>6.0</v>
      </c>
      <c r="DP200" s="15" t="s">
        <v>419</v>
      </c>
      <c r="DR200" s="15">
        <v>0.0</v>
      </c>
      <c r="DT200" s="15" t="s">
        <v>1186</v>
      </c>
      <c r="DU200" s="15" t="s">
        <v>421</v>
      </c>
      <c r="DY200" s="15">
        <v>0.0</v>
      </c>
      <c r="EF200" s="15" t="s">
        <v>422</v>
      </c>
      <c r="EG200" s="15" t="s">
        <v>445</v>
      </c>
      <c r="EH200" s="15" t="s">
        <v>3050</v>
      </c>
      <c r="EJ200" s="15" t="s">
        <v>500</v>
      </c>
      <c r="EK200" s="15" t="s">
        <v>501</v>
      </c>
      <c r="EM200" s="15" t="str">
        <f>IFERROR(__xludf.DUMMYFUNCTION("""COMPUTED_VALUE"""),"")</f>
        <v/>
      </c>
      <c r="FM200" s="15">
        <v>1.0</v>
      </c>
      <c r="GH200" s="15">
        <v>0.0</v>
      </c>
      <c r="GI200" s="15" t="s">
        <v>427</v>
      </c>
      <c r="GO200" s="15" t="s">
        <v>426</v>
      </c>
      <c r="GQ200" s="15" t="s">
        <v>3051</v>
      </c>
      <c r="GS200" s="15" t="s">
        <v>3052</v>
      </c>
      <c r="GU200" s="15" t="s">
        <v>3053</v>
      </c>
      <c r="GW200" s="15" t="s">
        <v>431</v>
      </c>
      <c r="GY200" s="15" t="s">
        <v>764</v>
      </c>
    </row>
    <row r="201" ht="15.75" customHeight="1">
      <c r="A201" s="14" t="s">
        <v>391</v>
      </c>
      <c r="B201" s="15" t="s">
        <v>3037</v>
      </c>
      <c r="C201" s="16"/>
      <c r="D201" s="15" t="s">
        <v>432</v>
      </c>
      <c r="G201" s="14" t="s">
        <v>393</v>
      </c>
      <c r="H201" s="14" t="s">
        <v>394</v>
      </c>
      <c r="I201" s="14" t="b">
        <v>1</v>
      </c>
      <c r="J201" s="14" t="s">
        <v>395</v>
      </c>
      <c r="L201" s="14" t="b">
        <v>0</v>
      </c>
      <c r="M201" s="15" t="s">
        <v>3054</v>
      </c>
      <c r="N201" s="14" t="s">
        <v>393</v>
      </c>
      <c r="O201" s="14" t="s">
        <v>393</v>
      </c>
      <c r="P201" s="15" t="s">
        <v>397</v>
      </c>
      <c r="Q201" s="15" t="s">
        <v>3055</v>
      </c>
      <c r="T201" s="14" t="b">
        <v>0</v>
      </c>
      <c r="U201" s="15" t="s">
        <v>3056</v>
      </c>
      <c r="V201" s="15" t="s">
        <v>2105</v>
      </c>
      <c r="W201" s="15" t="s">
        <v>401</v>
      </c>
      <c r="X201" s="15" t="s">
        <v>742</v>
      </c>
      <c r="Y201" s="15">
        <v>2301.0</v>
      </c>
      <c r="AA201" s="15" t="str">
        <f t="shared" si="366"/>
        <v>885</v>
      </c>
      <c r="AB201" s="14" t="b">
        <v>1</v>
      </c>
      <c r="AC201" s="14" t="b">
        <v>1</v>
      </c>
      <c r="AD201" s="15" t="str">
        <f>"801542745127"</f>
        <v>801542745127</v>
      </c>
      <c r="AE201" s="15" t="s">
        <v>3057</v>
      </c>
      <c r="AF201" s="14" t="s">
        <v>404</v>
      </c>
      <c r="AG201" s="14" t="s">
        <v>405</v>
      </c>
      <c r="AH201" s="14" t="s">
        <v>406</v>
      </c>
      <c r="AI201" s="15">
        <v>0.0</v>
      </c>
      <c r="AL201" s="15" t="s">
        <v>3042</v>
      </c>
      <c r="AM201" s="15" t="s">
        <v>2037</v>
      </c>
      <c r="AN201" s="15" t="s">
        <v>2038</v>
      </c>
      <c r="AO201" s="15" t="s">
        <v>1007</v>
      </c>
      <c r="AP201" s="15" t="s">
        <v>1008</v>
      </c>
      <c r="AQ201" s="15" t="s">
        <v>546</v>
      </c>
      <c r="AR201" s="15" t="s">
        <v>547</v>
      </c>
      <c r="AS201" s="15" t="s">
        <v>2063</v>
      </c>
      <c r="AT201" s="15" t="s">
        <v>3055</v>
      </c>
      <c r="AU201" s="15" t="s">
        <v>3058</v>
      </c>
      <c r="AV201" s="15" t="s">
        <v>3044</v>
      </c>
      <c r="AW201" s="15" t="s">
        <v>412</v>
      </c>
      <c r="AY201" s="15" t="s">
        <v>413</v>
      </c>
      <c r="AZ201" s="15" t="b">
        <v>0</v>
      </c>
      <c r="BA201" s="15" t="s">
        <v>413</v>
      </c>
      <c r="BB201" s="15" t="b">
        <v>0</v>
      </c>
      <c r="BC201" s="15" t="s">
        <v>3059</v>
      </c>
      <c r="BD201" s="15" t="s">
        <v>742</v>
      </c>
      <c r="BE201" s="15" t="str">
        <f t="shared" si="367"/>
        <v>1</v>
      </c>
      <c r="BF201" s="15" t="s">
        <v>2043</v>
      </c>
      <c r="BG201" s="15" t="str">
        <f t="shared" si="368"/>
        <v>64.17</v>
      </c>
      <c r="BH201" s="15" t="s">
        <v>2044</v>
      </c>
      <c r="BI201" s="15" t="str">
        <f t="shared" si="369"/>
        <v>22.44</v>
      </c>
      <c r="BJ201" s="15" t="s">
        <v>1156</v>
      </c>
      <c r="BK201" s="15" t="str">
        <f t="shared" si="370"/>
        <v>36.42</v>
      </c>
      <c r="BL201" s="15" t="s">
        <v>3046</v>
      </c>
      <c r="BM201" s="15" t="str">
        <f t="shared" si="371"/>
        <v>221.56</v>
      </c>
      <c r="BN201" s="15" t="s">
        <v>3047</v>
      </c>
      <c r="BQ201" s="15" t="s">
        <v>444</v>
      </c>
      <c r="BS201" s="15" t="s">
        <v>444</v>
      </c>
      <c r="BU201" s="15" t="s">
        <v>444</v>
      </c>
      <c r="BW201" s="15" t="s">
        <v>444</v>
      </c>
      <c r="BZ201" s="15" t="s">
        <v>444</v>
      </c>
      <c r="CB201" s="15" t="s">
        <v>444</v>
      </c>
      <c r="CD201" s="15" t="s">
        <v>444</v>
      </c>
      <c r="CF201" s="15" t="s">
        <v>444</v>
      </c>
      <c r="CI201" s="15" t="s">
        <v>444</v>
      </c>
      <c r="CK201" s="15" t="s">
        <v>444</v>
      </c>
      <c r="CM201" s="15" t="s">
        <v>444</v>
      </c>
      <c r="CO201" s="15" t="s">
        <v>444</v>
      </c>
      <c r="CP201" s="15" t="str">
        <f t="shared" si="372"/>
        <v>30.34</v>
      </c>
      <c r="CQ201" s="15" t="str">
        <f t="shared" si="373"/>
        <v>0.859</v>
      </c>
      <c r="CR201" s="15" t="s">
        <v>497</v>
      </c>
      <c r="CV201" s="15" t="s">
        <v>716</v>
      </c>
      <c r="CW201" s="15" t="s">
        <v>3048</v>
      </c>
      <c r="CX201" s="15" t="s">
        <v>3049</v>
      </c>
      <c r="DC201" s="15" t="str">
        <f>IFERROR(__xludf.DUMMYFUNCTION("""COMPUTED_VALUE"""),"")</f>
        <v/>
      </c>
      <c r="DE201" s="15" t="str">
        <f>IFERROR(__xludf.DUMMYFUNCTION("""COMPUTED_VALUE"""),"")</f>
        <v/>
      </c>
      <c r="DG201" s="15" t="str">
        <f>IFERROR(__xludf.DUMMYFUNCTION("""COMPUTED_VALUE"""),"")</f>
        <v/>
      </c>
      <c r="DL201" s="15" t="str">
        <f>IFERROR(__xludf.DUMMYFUNCTION("""COMPUTED_VALUE"""),"")</f>
        <v/>
      </c>
      <c r="DM201" s="15" t="s">
        <v>444</v>
      </c>
      <c r="DN201" s="15" t="s">
        <v>418</v>
      </c>
      <c r="DO201" s="15">
        <v>6.0</v>
      </c>
      <c r="DP201" s="15" t="s">
        <v>419</v>
      </c>
      <c r="DR201" s="15">
        <v>0.0</v>
      </c>
      <c r="DT201" s="15" t="s">
        <v>1186</v>
      </c>
      <c r="DU201" s="15" t="s">
        <v>421</v>
      </c>
      <c r="DY201" s="15">
        <v>0.0</v>
      </c>
      <c r="EF201" s="15" t="s">
        <v>422</v>
      </c>
      <c r="EG201" s="15" t="s">
        <v>445</v>
      </c>
      <c r="EH201" s="15" t="s">
        <v>3050</v>
      </c>
      <c r="EJ201" s="15" t="s">
        <v>500</v>
      </c>
      <c r="EK201" s="15" t="s">
        <v>501</v>
      </c>
      <c r="EM201" s="15" t="str">
        <f>IFERROR(__xludf.DUMMYFUNCTION("""COMPUTED_VALUE"""),"")</f>
        <v/>
      </c>
      <c r="FM201" s="15">
        <v>1.0</v>
      </c>
      <c r="GH201" s="15">
        <v>0.0</v>
      </c>
      <c r="GI201" s="15" t="s">
        <v>427</v>
      </c>
      <c r="GO201" s="15" t="s">
        <v>426</v>
      </c>
      <c r="GQ201" s="15" t="s">
        <v>3051</v>
      </c>
      <c r="GS201" s="15" t="s">
        <v>3052</v>
      </c>
      <c r="GU201" s="15" t="s">
        <v>3053</v>
      </c>
      <c r="GW201" s="15" t="s">
        <v>431</v>
      </c>
      <c r="GY201" s="15" t="s">
        <v>764</v>
      </c>
    </row>
    <row r="202" ht="15.75" customHeight="1">
      <c r="A202" s="14" t="s">
        <v>391</v>
      </c>
      <c r="B202" s="15" t="s">
        <v>3060</v>
      </c>
      <c r="C202" s="16"/>
      <c r="D202" s="15" t="s">
        <v>432</v>
      </c>
      <c r="G202" s="14" t="s">
        <v>393</v>
      </c>
      <c r="H202" s="14" t="s">
        <v>394</v>
      </c>
      <c r="I202" s="14" t="b">
        <v>1</v>
      </c>
      <c r="J202" s="14" t="s">
        <v>395</v>
      </c>
      <c r="L202" s="14" t="b">
        <v>0</v>
      </c>
      <c r="M202" s="15" t="s">
        <v>3061</v>
      </c>
      <c r="N202" s="14" t="s">
        <v>393</v>
      </c>
      <c r="O202" s="14" t="s">
        <v>393</v>
      </c>
      <c r="P202" s="15" t="s">
        <v>397</v>
      </c>
      <c r="Q202" s="15" t="s">
        <v>3039</v>
      </c>
      <c r="T202" s="14" t="b">
        <v>0</v>
      </c>
      <c r="U202" s="15" t="s">
        <v>3062</v>
      </c>
      <c r="V202" s="15" t="s">
        <v>3063</v>
      </c>
      <c r="W202" s="15" t="s">
        <v>401</v>
      </c>
      <c r="X202" s="15" t="s">
        <v>742</v>
      </c>
      <c r="Y202" s="15">
        <v>1638.0</v>
      </c>
      <c r="AA202" s="15" t="str">
        <f t="shared" ref="AA202:AA203" si="374">"630"</f>
        <v>630</v>
      </c>
      <c r="AB202" s="14" t="b">
        <v>1</v>
      </c>
      <c r="AC202" s="14" t="b">
        <v>1</v>
      </c>
      <c r="AD202" s="15" t="str">
        <f>"801542856540"</f>
        <v>801542856540</v>
      </c>
      <c r="AE202" s="15" t="s">
        <v>3064</v>
      </c>
      <c r="AF202" s="14" t="s">
        <v>404</v>
      </c>
      <c r="AG202" s="14" t="s">
        <v>405</v>
      </c>
      <c r="AH202" s="14" t="s">
        <v>406</v>
      </c>
      <c r="AI202" s="15">
        <v>0.0</v>
      </c>
      <c r="AL202" s="15" t="s">
        <v>3065</v>
      </c>
      <c r="AM202" s="15" t="s">
        <v>487</v>
      </c>
      <c r="AN202" s="15" t="s">
        <v>488</v>
      </c>
      <c r="AO202" s="15" t="s">
        <v>645</v>
      </c>
      <c r="AP202" s="15" t="s">
        <v>646</v>
      </c>
      <c r="AQ202" s="15" t="s">
        <v>489</v>
      </c>
      <c r="AR202" s="15" t="s">
        <v>490</v>
      </c>
      <c r="AS202" s="15" t="s">
        <v>2063</v>
      </c>
      <c r="AT202" s="15" t="s">
        <v>3039</v>
      </c>
      <c r="AU202" s="15" t="s">
        <v>3043</v>
      </c>
      <c r="AW202" s="15" t="s">
        <v>491</v>
      </c>
      <c r="AY202" s="15" t="s">
        <v>413</v>
      </c>
      <c r="AZ202" s="15" t="b">
        <v>0</v>
      </c>
      <c r="BA202" s="15" t="s">
        <v>413</v>
      </c>
      <c r="BB202" s="15" t="b">
        <v>0</v>
      </c>
      <c r="BC202" s="15" t="s">
        <v>3066</v>
      </c>
      <c r="BD202" s="15" t="s">
        <v>742</v>
      </c>
      <c r="BE202" s="15" t="str">
        <f t="shared" si="367"/>
        <v>1</v>
      </c>
      <c r="BF202" s="15" t="s">
        <v>416</v>
      </c>
      <c r="BG202" s="15" t="str">
        <f t="shared" ref="BG202:BG203" si="375">"59.25"</f>
        <v>59.25</v>
      </c>
      <c r="BH202" s="15" t="s">
        <v>1011</v>
      </c>
      <c r="BI202" s="15" t="str">
        <f t="shared" ref="BI202:BI203" si="376">"39.37"</f>
        <v>39.37</v>
      </c>
      <c r="BJ202" s="15" t="s">
        <v>523</v>
      </c>
      <c r="BK202" s="15" t="str">
        <f t="shared" ref="BK202:BK203" si="377">"22.05"</f>
        <v>22.05</v>
      </c>
      <c r="BL202" s="15" t="s">
        <v>2310</v>
      </c>
      <c r="BM202" s="15" t="str">
        <f t="shared" ref="BM202:BM203" si="378">"157.63"</f>
        <v>157.63</v>
      </c>
      <c r="BN202" s="15" t="s">
        <v>3067</v>
      </c>
      <c r="BQ202" s="15" t="s">
        <v>444</v>
      </c>
      <c r="BS202" s="15" t="s">
        <v>444</v>
      </c>
      <c r="BU202" s="15" t="s">
        <v>444</v>
      </c>
      <c r="BW202" s="15" t="s">
        <v>444</v>
      </c>
      <c r="BZ202" s="15" t="s">
        <v>444</v>
      </c>
      <c r="CB202" s="15" t="s">
        <v>444</v>
      </c>
      <c r="CD202" s="15" t="s">
        <v>444</v>
      </c>
      <c r="CF202" s="15" t="s">
        <v>444</v>
      </c>
      <c r="CI202" s="15" t="s">
        <v>444</v>
      </c>
      <c r="CK202" s="15" t="s">
        <v>444</v>
      </c>
      <c r="CM202" s="15" t="s">
        <v>444</v>
      </c>
      <c r="CO202" s="15" t="s">
        <v>444</v>
      </c>
      <c r="CP202" s="15" t="str">
        <f t="shared" ref="CP202:CP203" si="379">"29.77"</f>
        <v>29.77</v>
      </c>
      <c r="CQ202" s="15" t="str">
        <f t="shared" ref="CQ202:CQ203" si="380">"0.843"</f>
        <v>0.843</v>
      </c>
      <c r="CR202" s="15" t="s">
        <v>497</v>
      </c>
      <c r="CV202" s="15" t="s">
        <v>2434</v>
      </c>
      <c r="CW202" s="15" t="s">
        <v>3068</v>
      </c>
      <c r="CX202" s="15" t="s">
        <v>3069</v>
      </c>
      <c r="DC202" s="15" t="str">
        <f>IFERROR(__xludf.DUMMYFUNCTION("""COMPUTED_VALUE"""),"")</f>
        <v/>
      </c>
      <c r="DE202" s="15" t="str">
        <f>IFERROR(__xludf.DUMMYFUNCTION("""COMPUTED_VALUE"""),"")</f>
        <v/>
      </c>
      <c r="DG202" s="15" t="str">
        <f>IFERROR(__xludf.DUMMYFUNCTION("""COMPUTED_VALUE"""),"")</f>
        <v/>
      </c>
      <c r="DL202" s="15" t="str">
        <f>IFERROR(__xludf.DUMMYFUNCTION("""COMPUTED_VALUE"""),"")</f>
        <v/>
      </c>
      <c r="DM202" s="15" t="s">
        <v>444</v>
      </c>
      <c r="DN202" s="15" t="s">
        <v>419</v>
      </c>
      <c r="DO202" s="15">
        <v>0.0</v>
      </c>
      <c r="DP202" s="15" t="s">
        <v>419</v>
      </c>
      <c r="DR202" s="15">
        <v>0.0</v>
      </c>
      <c r="DT202" s="15" t="s">
        <v>1186</v>
      </c>
      <c r="DU202" s="15" t="s">
        <v>1914</v>
      </c>
      <c r="DY202" s="15">
        <v>0.0</v>
      </c>
      <c r="EF202" s="15" t="s">
        <v>471</v>
      </c>
      <c r="EG202" s="15" t="s">
        <v>472</v>
      </c>
      <c r="EH202" s="15" t="s">
        <v>3050</v>
      </c>
      <c r="EJ202" s="15" t="s">
        <v>500</v>
      </c>
      <c r="EK202" s="15" t="s">
        <v>501</v>
      </c>
      <c r="EM202" s="15" t="str">
        <f>IFERROR(__xludf.DUMMYFUNCTION("""COMPUTED_VALUE"""),"")</f>
        <v/>
      </c>
      <c r="FH202" s="15" t="s">
        <v>2434</v>
      </c>
      <c r="FI202" s="15" t="s">
        <v>504</v>
      </c>
      <c r="FJ202" s="15" t="s">
        <v>2337</v>
      </c>
      <c r="FK202" s="15" t="s">
        <v>1121</v>
      </c>
      <c r="FL202" s="15" t="s">
        <v>426</v>
      </c>
      <c r="FM202" s="15">
        <v>1.0</v>
      </c>
      <c r="FN202" s="15">
        <v>0.0</v>
      </c>
    </row>
    <row r="203" ht="15.75" customHeight="1">
      <c r="A203" s="14" t="s">
        <v>391</v>
      </c>
      <c r="B203" s="15" t="s">
        <v>3060</v>
      </c>
      <c r="C203" s="16"/>
      <c r="D203" s="15" t="s">
        <v>432</v>
      </c>
      <c r="G203" s="14" t="s">
        <v>393</v>
      </c>
      <c r="H203" s="14" t="s">
        <v>394</v>
      </c>
      <c r="I203" s="14" t="b">
        <v>1</v>
      </c>
      <c r="J203" s="14" t="s">
        <v>395</v>
      </c>
      <c r="L203" s="14" t="b">
        <v>0</v>
      </c>
      <c r="M203" s="15" t="s">
        <v>3070</v>
      </c>
      <c r="N203" s="14" t="s">
        <v>393</v>
      </c>
      <c r="O203" s="14" t="s">
        <v>393</v>
      </c>
      <c r="P203" s="15" t="s">
        <v>397</v>
      </c>
      <c r="Q203" s="15" t="s">
        <v>3055</v>
      </c>
      <c r="T203" s="14" t="b">
        <v>0</v>
      </c>
      <c r="U203" s="15" t="s">
        <v>3071</v>
      </c>
      <c r="V203" s="15" t="s">
        <v>3063</v>
      </c>
      <c r="W203" s="15" t="s">
        <v>401</v>
      </c>
      <c r="X203" s="15" t="s">
        <v>742</v>
      </c>
      <c r="Y203" s="15">
        <v>1638.0</v>
      </c>
      <c r="AA203" s="15" t="str">
        <f t="shared" si="374"/>
        <v>630</v>
      </c>
      <c r="AB203" s="14" t="b">
        <v>1</v>
      </c>
      <c r="AC203" s="14" t="b">
        <v>1</v>
      </c>
      <c r="AD203" s="15" t="str">
        <f>"801542921996"</f>
        <v>801542921996</v>
      </c>
      <c r="AE203" s="15" t="s">
        <v>3072</v>
      </c>
      <c r="AF203" s="14" t="s">
        <v>404</v>
      </c>
      <c r="AG203" s="14" t="s">
        <v>405</v>
      </c>
      <c r="AH203" s="14" t="s">
        <v>406</v>
      </c>
      <c r="AI203" s="15">
        <v>0.0</v>
      </c>
      <c r="AL203" s="15" t="s">
        <v>3065</v>
      </c>
      <c r="AM203" s="15" t="s">
        <v>487</v>
      </c>
      <c r="AN203" s="15" t="s">
        <v>488</v>
      </c>
      <c r="AO203" s="15" t="s">
        <v>645</v>
      </c>
      <c r="AP203" s="15" t="s">
        <v>646</v>
      </c>
      <c r="AQ203" s="15" t="s">
        <v>489</v>
      </c>
      <c r="AR203" s="15" t="s">
        <v>490</v>
      </c>
      <c r="AS203" s="15" t="s">
        <v>2063</v>
      </c>
      <c r="AT203" s="15" t="s">
        <v>3055</v>
      </c>
      <c r="AU203" s="15" t="s">
        <v>3058</v>
      </c>
      <c r="AW203" s="15" t="s">
        <v>491</v>
      </c>
      <c r="AY203" s="15" t="s">
        <v>413</v>
      </c>
      <c r="AZ203" s="15" t="b">
        <v>0</v>
      </c>
      <c r="BA203" s="15" t="s">
        <v>413</v>
      </c>
      <c r="BB203" s="15" t="b">
        <v>0</v>
      </c>
      <c r="BC203" s="15" t="s">
        <v>3073</v>
      </c>
      <c r="BD203" s="15" t="s">
        <v>742</v>
      </c>
      <c r="BE203" s="15" t="str">
        <f t="shared" si="367"/>
        <v>1</v>
      </c>
      <c r="BF203" s="15" t="s">
        <v>416</v>
      </c>
      <c r="BG203" s="15" t="str">
        <f t="shared" si="375"/>
        <v>59.25</v>
      </c>
      <c r="BH203" s="15" t="s">
        <v>1011</v>
      </c>
      <c r="BI203" s="15" t="str">
        <f t="shared" si="376"/>
        <v>39.37</v>
      </c>
      <c r="BJ203" s="15" t="s">
        <v>523</v>
      </c>
      <c r="BK203" s="15" t="str">
        <f t="shared" si="377"/>
        <v>22.05</v>
      </c>
      <c r="BL203" s="15" t="s">
        <v>2310</v>
      </c>
      <c r="BM203" s="15" t="str">
        <f t="shared" si="378"/>
        <v>157.63</v>
      </c>
      <c r="BN203" s="15" t="s">
        <v>3067</v>
      </c>
      <c r="BQ203" s="15" t="s">
        <v>444</v>
      </c>
      <c r="BS203" s="15" t="s">
        <v>444</v>
      </c>
      <c r="BU203" s="15" t="s">
        <v>444</v>
      </c>
      <c r="BW203" s="15" t="s">
        <v>444</v>
      </c>
      <c r="BZ203" s="15" t="s">
        <v>444</v>
      </c>
      <c r="CB203" s="15" t="s">
        <v>444</v>
      </c>
      <c r="CD203" s="15" t="s">
        <v>444</v>
      </c>
      <c r="CF203" s="15" t="s">
        <v>444</v>
      </c>
      <c r="CI203" s="15" t="s">
        <v>444</v>
      </c>
      <c r="CK203" s="15" t="s">
        <v>444</v>
      </c>
      <c r="CM203" s="15" t="s">
        <v>444</v>
      </c>
      <c r="CO203" s="15" t="s">
        <v>444</v>
      </c>
      <c r="CP203" s="15" t="str">
        <f t="shared" si="379"/>
        <v>29.77</v>
      </c>
      <c r="CQ203" s="15" t="str">
        <f t="shared" si="380"/>
        <v>0.843</v>
      </c>
      <c r="CR203" s="15" t="s">
        <v>497</v>
      </c>
      <c r="CV203" s="15" t="s">
        <v>2434</v>
      </c>
      <c r="CW203" s="15" t="s">
        <v>3068</v>
      </c>
      <c r="CX203" s="15" t="s">
        <v>3069</v>
      </c>
      <c r="DC203" s="15" t="str">
        <f>IFERROR(__xludf.DUMMYFUNCTION("""COMPUTED_VALUE"""),"")</f>
        <v/>
      </c>
      <c r="DE203" s="15" t="str">
        <f>IFERROR(__xludf.DUMMYFUNCTION("""COMPUTED_VALUE"""),"")</f>
        <v/>
      </c>
      <c r="DG203" s="15" t="str">
        <f>IFERROR(__xludf.DUMMYFUNCTION("""COMPUTED_VALUE"""),"")</f>
        <v/>
      </c>
      <c r="DL203" s="15" t="str">
        <f>IFERROR(__xludf.DUMMYFUNCTION("""COMPUTED_VALUE"""),"")</f>
        <v/>
      </c>
      <c r="DM203" s="15" t="s">
        <v>444</v>
      </c>
      <c r="DN203" s="15" t="s">
        <v>419</v>
      </c>
      <c r="DO203" s="15">
        <v>0.0</v>
      </c>
      <c r="DP203" s="15" t="s">
        <v>419</v>
      </c>
      <c r="DR203" s="15">
        <v>0.0</v>
      </c>
      <c r="DT203" s="15" t="s">
        <v>1186</v>
      </c>
      <c r="DU203" s="15" t="s">
        <v>1914</v>
      </c>
      <c r="DY203" s="15">
        <v>0.0</v>
      </c>
      <c r="EF203" s="15" t="s">
        <v>471</v>
      </c>
      <c r="EG203" s="15" t="s">
        <v>472</v>
      </c>
      <c r="EH203" s="15" t="s">
        <v>3050</v>
      </c>
      <c r="EJ203" s="15" t="s">
        <v>500</v>
      </c>
      <c r="EK203" s="15" t="s">
        <v>501</v>
      </c>
      <c r="EM203" s="15" t="str">
        <f>IFERROR(__xludf.DUMMYFUNCTION("""COMPUTED_VALUE"""),"")</f>
        <v/>
      </c>
      <c r="FH203" s="15" t="s">
        <v>2434</v>
      </c>
      <c r="FI203" s="15" t="s">
        <v>504</v>
      </c>
      <c r="FJ203" s="15" t="s">
        <v>2337</v>
      </c>
      <c r="FK203" s="15" t="s">
        <v>1121</v>
      </c>
      <c r="FL203" s="15" t="s">
        <v>426</v>
      </c>
      <c r="FM203" s="15">
        <v>1.0</v>
      </c>
      <c r="FN203" s="15">
        <v>0.0</v>
      </c>
    </row>
    <row r="204" ht="15.75" customHeight="1">
      <c r="A204" s="14" t="s">
        <v>391</v>
      </c>
      <c r="B204" s="15" t="s">
        <v>3074</v>
      </c>
      <c r="C204" s="16"/>
      <c r="D204" s="15" t="s">
        <v>432</v>
      </c>
      <c r="G204" s="14" t="s">
        <v>393</v>
      </c>
      <c r="H204" s="14" t="s">
        <v>394</v>
      </c>
      <c r="I204" s="14" t="b">
        <v>1</v>
      </c>
      <c r="J204" s="14" t="s">
        <v>395</v>
      </c>
      <c r="L204" s="14" t="b">
        <v>0</v>
      </c>
      <c r="M204" s="15" t="s">
        <v>3075</v>
      </c>
      <c r="N204" s="14" t="s">
        <v>393</v>
      </c>
      <c r="O204" s="14" t="s">
        <v>393</v>
      </c>
      <c r="P204" s="15" t="s">
        <v>397</v>
      </c>
      <c r="Q204" s="15" t="s">
        <v>3043</v>
      </c>
      <c r="T204" s="14" t="b">
        <v>0</v>
      </c>
      <c r="U204" s="15" t="s">
        <v>3076</v>
      </c>
      <c r="V204" s="15" t="s">
        <v>1762</v>
      </c>
      <c r="W204" s="15" t="s">
        <v>401</v>
      </c>
      <c r="X204" s="15" t="s">
        <v>742</v>
      </c>
      <c r="Y204" s="15">
        <v>1755.0</v>
      </c>
      <c r="AA204" s="15" t="str">
        <f t="shared" ref="AA204:AA205" si="381">"675"</f>
        <v>675</v>
      </c>
      <c r="AB204" s="14" t="b">
        <v>1</v>
      </c>
      <c r="AC204" s="14" t="b">
        <v>1</v>
      </c>
      <c r="AD204" s="15" t="str">
        <f>"801542907433"</f>
        <v>801542907433</v>
      </c>
      <c r="AE204" s="15" t="s">
        <v>3077</v>
      </c>
      <c r="AF204" s="14" t="s">
        <v>404</v>
      </c>
      <c r="AG204" s="14" t="s">
        <v>405</v>
      </c>
      <c r="AH204" s="14" t="s">
        <v>406</v>
      </c>
      <c r="AI204" s="15">
        <v>0.0</v>
      </c>
      <c r="AL204" s="15" t="s">
        <v>3078</v>
      </c>
      <c r="AM204" s="15" t="s">
        <v>2037</v>
      </c>
      <c r="AN204" s="15" t="s">
        <v>2038</v>
      </c>
      <c r="AO204" s="15" t="s">
        <v>456</v>
      </c>
      <c r="AP204" s="15" t="s">
        <v>457</v>
      </c>
      <c r="AQ204" s="15" t="s">
        <v>1053</v>
      </c>
      <c r="AR204" s="15" t="s">
        <v>1054</v>
      </c>
      <c r="AS204" s="15" t="s">
        <v>2063</v>
      </c>
      <c r="AT204" s="15" t="s">
        <v>3043</v>
      </c>
      <c r="AU204" s="15" t="s">
        <v>3044</v>
      </c>
      <c r="AW204" s="15" t="s">
        <v>519</v>
      </c>
      <c r="AY204" s="15" t="s">
        <v>413</v>
      </c>
      <c r="AZ204" s="15" t="b">
        <v>0</v>
      </c>
      <c r="BA204" s="15" t="s">
        <v>413</v>
      </c>
      <c r="BB204" s="15" t="b">
        <v>0</v>
      </c>
      <c r="BD204" s="15" t="s">
        <v>742</v>
      </c>
      <c r="BE204" s="15" t="str">
        <f t="shared" si="367"/>
        <v>1</v>
      </c>
      <c r="BF204" s="15" t="s">
        <v>2043</v>
      </c>
      <c r="BG204" s="15" t="str">
        <f t="shared" ref="BG204:BG205" si="382">"64.37"</f>
        <v>64.37</v>
      </c>
      <c r="BH204" s="15" t="s">
        <v>3079</v>
      </c>
      <c r="BI204" s="15" t="str">
        <f t="shared" ref="BI204:BI205" si="383">"22.83"</f>
        <v>22.83</v>
      </c>
      <c r="BJ204" s="15" t="s">
        <v>1543</v>
      </c>
      <c r="BK204" s="15" t="str">
        <f t="shared" ref="BK204:BK206" si="384">"33.86"</f>
        <v>33.86</v>
      </c>
      <c r="BL204" s="15" t="s">
        <v>1209</v>
      </c>
      <c r="BM204" s="15" t="str">
        <f t="shared" ref="BM204:BM205" si="385">"147.71"</f>
        <v>147.71</v>
      </c>
      <c r="BN204" s="15" t="s">
        <v>3080</v>
      </c>
      <c r="BQ204" s="15" t="s">
        <v>444</v>
      </c>
      <c r="BS204" s="15" t="s">
        <v>444</v>
      </c>
      <c r="BU204" s="15" t="s">
        <v>444</v>
      </c>
      <c r="BW204" s="15" t="s">
        <v>444</v>
      </c>
      <c r="BZ204" s="15" t="s">
        <v>444</v>
      </c>
      <c r="CB204" s="15" t="s">
        <v>444</v>
      </c>
      <c r="CD204" s="15" t="s">
        <v>444</v>
      </c>
      <c r="CF204" s="15" t="s">
        <v>444</v>
      </c>
      <c r="CI204" s="15" t="s">
        <v>444</v>
      </c>
      <c r="CK204" s="15" t="s">
        <v>444</v>
      </c>
      <c r="CM204" s="15" t="s">
        <v>444</v>
      </c>
      <c r="CO204" s="15" t="s">
        <v>444</v>
      </c>
      <c r="CP204" s="15" t="str">
        <f t="shared" ref="CP204:CP205" si="386">"28.82"</f>
        <v>28.82</v>
      </c>
      <c r="CQ204" s="15" t="str">
        <f t="shared" ref="CQ204:CQ205" si="387">"0.816"</f>
        <v>0.816</v>
      </c>
      <c r="CR204" s="15" t="s">
        <v>465</v>
      </c>
      <c r="CV204" s="15" t="s">
        <v>823</v>
      </c>
      <c r="CW204" s="15" t="s">
        <v>779</v>
      </c>
      <c r="CX204" s="15" t="s">
        <v>3081</v>
      </c>
      <c r="DC204" s="15" t="str">
        <f>IFERROR(__xludf.DUMMYFUNCTION("""COMPUTED_VALUE"""),"")</f>
        <v/>
      </c>
      <c r="DE204" s="15" t="str">
        <f>IFERROR(__xludf.DUMMYFUNCTION("""COMPUTED_VALUE"""),"")</f>
        <v/>
      </c>
      <c r="DG204" s="15" t="str">
        <f>IFERROR(__xludf.DUMMYFUNCTION("""COMPUTED_VALUE"""),"")</f>
        <v/>
      </c>
      <c r="DL204" s="15" t="str">
        <f>IFERROR(__xludf.DUMMYFUNCTION("""COMPUTED_VALUE"""),"")</f>
        <v/>
      </c>
      <c r="DM204" s="15" t="s">
        <v>444</v>
      </c>
      <c r="DN204" s="15" t="s">
        <v>418</v>
      </c>
      <c r="DO204" s="15">
        <v>2.0</v>
      </c>
      <c r="DP204" s="15" t="s">
        <v>419</v>
      </c>
      <c r="DR204" s="15">
        <v>0.0</v>
      </c>
      <c r="DT204" s="15" t="s">
        <v>1186</v>
      </c>
      <c r="DU204" s="15" t="s">
        <v>421</v>
      </c>
      <c r="DY204" s="15">
        <v>0.0</v>
      </c>
      <c r="EF204" s="15" t="s">
        <v>471</v>
      </c>
      <c r="EG204" s="15" t="s">
        <v>472</v>
      </c>
      <c r="EH204" s="15" t="s">
        <v>3050</v>
      </c>
      <c r="EJ204" s="15" t="s">
        <v>500</v>
      </c>
      <c r="EK204" s="15" t="s">
        <v>501</v>
      </c>
      <c r="EM204" s="15" t="str">
        <f>IFERROR(__xludf.DUMMYFUNCTION("""COMPUTED_VALUE"""),"")</f>
        <v/>
      </c>
      <c r="FK204" s="15" t="s">
        <v>612</v>
      </c>
      <c r="FL204" s="15" t="s">
        <v>426</v>
      </c>
      <c r="FM204" s="15">
        <v>1.0</v>
      </c>
      <c r="FN204" s="15">
        <v>0.0</v>
      </c>
      <c r="GH204" s="15">
        <v>0.0</v>
      </c>
      <c r="GI204" s="15" t="s">
        <v>427</v>
      </c>
      <c r="GO204" s="15" t="s">
        <v>426</v>
      </c>
      <c r="GQ204" s="15" t="s">
        <v>3082</v>
      </c>
      <c r="GS204" s="15" t="s">
        <v>3083</v>
      </c>
      <c r="GU204" s="15" t="s">
        <v>2650</v>
      </c>
      <c r="GW204" s="15" t="s">
        <v>838</v>
      </c>
      <c r="GY204" s="15" t="s">
        <v>764</v>
      </c>
    </row>
    <row r="205" ht="15.75" customHeight="1">
      <c r="A205" s="14" t="s">
        <v>391</v>
      </c>
      <c r="B205" s="15" t="s">
        <v>3074</v>
      </c>
      <c r="C205" s="16"/>
      <c r="D205" s="15" t="s">
        <v>432</v>
      </c>
      <c r="G205" s="14" t="s">
        <v>393</v>
      </c>
      <c r="H205" s="14" t="s">
        <v>394</v>
      </c>
      <c r="I205" s="14" t="b">
        <v>1</v>
      </c>
      <c r="J205" s="14" t="s">
        <v>395</v>
      </c>
      <c r="L205" s="14" t="b">
        <v>0</v>
      </c>
      <c r="M205" s="15" t="s">
        <v>3084</v>
      </c>
      <c r="N205" s="14" t="s">
        <v>393</v>
      </c>
      <c r="O205" s="14" t="s">
        <v>393</v>
      </c>
      <c r="P205" s="15" t="s">
        <v>397</v>
      </c>
      <c r="Q205" s="15" t="s">
        <v>3058</v>
      </c>
      <c r="T205" s="14" t="b">
        <v>0</v>
      </c>
      <c r="U205" s="15" t="s">
        <v>3085</v>
      </c>
      <c r="V205" s="15" t="s">
        <v>1762</v>
      </c>
      <c r="W205" s="15" t="s">
        <v>401</v>
      </c>
      <c r="X205" s="15" t="s">
        <v>742</v>
      </c>
      <c r="Y205" s="15">
        <v>1755.0</v>
      </c>
      <c r="AA205" s="15" t="str">
        <f t="shared" si="381"/>
        <v>675</v>
      </c>
      <c r="AB205" s="14" t="b">
        <v>1</v>
      </c>
      <c r="AC205" s="14" t="b">
        <v>1</v>
      </c>
      <c r="AD205" s="15" t="str">
        <f>"801542874551"</f>
        <v>801542874551</v>
      </c>
      <c r="AE205" s="15" t="s">
        <v>3086</v>
      </c>
      <c r="AF205" s="14" t="s">
        <v>404</v>
      </c>
      <c r="AG205" s="14" t="s">
        <v>405</v>
      </c>
      <c r="AH205" s="14" t="s">
        <v>406</v>
      </c>
      <c r="AI205" s="15">
        <v>0.0</v>
      </c>
      <c r="AL205" s="15" t="s">
        <v>3078</v>
      </c>
      <c r="AM205" s="15" t="s">
        <v>2037</v>
      </c>
      <c r="AN205" s="15" t="s">
        <v>2038</v>
      </c>
      <c r="AO205" s="15" t="s">
        <v>456</v>
      </c>
      <c r="AP205" s="15" t="s">
        <v>457</v>
      </c>
      <c r="AQ205" s="15" t="s">
        <v>1053</v>
      </c>
      <c r="AR205" s="15" t="s">
        <v>1054</v>
      </c>
      <c r="AS205" s="15" t="s">
        <v>2063</v>
      </c>
      <c r="AT205" s="15" t="s">
        <v>3058</v>
      </c>
      <c r="AU205" s="15" t="s">
        <v>3044</v>
      </c>
      <c r="AW205" s="15" t="s">
        <v>519</v>
      </c>
      <c r="AY205" s="15" t="s">
        <v>413</v>
      </c>
      <c r="AZ205" s="15" t="b">
        <v>0</v>
      </c>
      <c r="BA205" s="15" t="s">
        <v>413</v>
      </c>
      <c r="BB205" s="15" t="b">
        <v>0</v>
      </c>
      <c r="BD205" s="15" t="s">
        <v>742</v>
      </c>
      <c r="BE205" s="15" t="str">
        <f t="shared" si="367"/>
        <v>1</v>
      </c>
      <c r="BF205" s="15" t="s">
        <v>2043</v>
      </c>
      <c r="BG205" s="15" t="str">
        <f t="shared" si="382"/>
        <v>64.37</v>
      </c>
      <c r="BH205" s="15" t="s">
        <v>3079</v>
      </c>
      <c r="BI205" s="15" t="str">
        <f t="shared" si="383"/>
        <v>22.83</v>
      </c>
      <c r="BJ205" s="15" t="s">
        <v>1543</v>
      </c>
      <c r="BK205" s="15" t="str">
        <f t="shared" si="384"/>
        <v>33.86</v>
      </c>
      <c r="BL205" s="15" t="s">
        <v>1209</v>
      </c>
      <c r="BM205" s="15" t="str">
        <f t="shared" si="385"/>
        <v>147.71</v>
      </c>
      <c r="BN205" s="15" t="s">
        <v>3080</v>
      </c>
      <c r="BQ205" s="15" t="s">
        <v>444</v>
      </c>
      <c r="BS205" s="15" t="s">
        <v>444</v>
      </c>
      <c r="BU205" s="15" t="s">
        <v>444</v>
      </c>
      <c r="BW205" s="15" t="s">
        <v>444</v>
      </c>
      <c r="BZ205" s="15" t="s">
        <v>444</v>
      </c>
      <c r="CB205" s="15" t="s">
        <v>444</v>
      </c>
      <c r="CD205" s="15" t="s">
        <v>444</v>
      </c>
      <c r="CF205" s="15" t="s">
        <v>444</v>
      </c>
      <c r="CI205" s="15" t="s">
        <v>444</v>
      </c>
      <c r="CK205" s="15" t="s">
        <v>444</v>
      </c>
      <c r="CM205" s="15" t="s">
        <v>444</v>
      </c>
      <c r="CO205" s="15" t="s">
        <v>444</v>
      </c>
      <c r="CP205" s="15" t="str">
        <f t="shared" si="386"/>
        <v>28.82</v>
      </c>
      <c r="CQ205" s="15" t="str">
        <f t="shared" si="387"/>
        <v>0.816</v>
      </c>
      <c r="CR205" s="15" t="s">
        <v>417</v>
      </c>
      <c r="CV205" s="15" t="s">
        <v>823</v>
      </c>
      <c r="CW205" s="15" t="s">
        <v>779</v>
      </c>
      <c r="CX205" s="15" t="s">
        <v>3081</v>
      </c>
      <c r="DC205" s="15" t="str">
        <f>IFERROR(__xludf.DUMMYFUNCTION("""COMPUTED_VALUE"""),"")</f>
        <v/>
      </c>
      <c r="DE205" s="15" t="str">
        <f>IFERROR(__xludf.DUMMYFUNCTION("""COMPUTED_VALUE"""),"")</f>
        <v/>
      </c>
      <c r="DG205" s="15" t="str">
        <f>IFERROR(__xludf.DUMMYFUNCTION("""COMPUTED_VALUE"""),"")</f>
        <v/>
      </c>
      <c r="DL205" s="15" t="str">
        <f>IFERROR(__xludf.DUMMYFUNCTION("""COMPUTED_VALUE"""),"")</f>
        <v/>
      </c>
      <c r="DM205" s="15" t="s">
        <v>444</v>
      </c>
      <c r="DN205" s="15" t="s">
        <v>418</v>
      </c>
      <c r="DO205" s="15">
        <v>2.0</v>
      </c>
      <c r="DP205" s="15" t="s">
        <v>419</v>
      </c>
      <c r="DR205" s="15">
        <v>0.0</v>
      </c>
      <c r="DT205" s="15" t="s">
        <v>1186</v>
      </c>
      <c r="DU205" s="15" t="s">
        <v>421</v>
      </c>
      <c r="DY205" s="15">
        <v>0.0</v>
      </c>
      <c r="EF205" s="15" t="s">
        <v>471</v>
      </c>
      <c r="EG205" s="15" t="s">
        <v>472</v>
      </c>
      <c r="EH205" s="15" t="s">
        <v>3050</v>
      </c>
      <c r="EJ205" s="15" t="s">
        <v>500</v>
      </c>
      <c r="EK205" s="15" t="s">
        <v>501</v>
      </c>
      <c r="EM205" s="15" t="str">
        <f>IFERROR(__xludf.DUMMYFUNCTION("""COMPUTED_VALUE"""),"")</f>
        <v/>
      </c>
      <c r="FK205" s="15" t="s">
        <v>612</v>
      </c>
      <c r="FL205" s="15" t="s">
        <v>426</v>
      </c>
      <c r="FM205" s="15">
        <v>1.0</v>
      </c>
      <c r="FN205" s="15">
        <v>0.0</v>
      </c>
      <c r="GH205" s="15">
        <v>0.0</v>
      </c>
      <c r="GI205" s="15" t="s">
        <v>427</v>
      </c>
      <c r="GO205" s="15" t="s">
        <v>426</v>
      </c>
      <c r="GQ205" s="15" t="s">
        <v>3082</v>
      </c>
      <c r="GS205" s="15" t="s">
        <v>3083</v>
      </c>
      <c r="GU205" s="15" t="s">
        <v>2650</v>
      </c>
      <c r="GW205" s="15" t="s">
        <v>838</v>
      </c>
      <c r="GY205" s="15" t="s">
        <v>764</v>
      </c>
    </row>
    <row r="206" ht="15.75" customHeight="1">
      <c r="A206" s="14" t="s">
        <v>391</v>
      </c>
      <c r="B206" s="15" t="s">
        <v>3087</v>
      </c>
      <c r="C206" s="16"/>
      <c r="D206" s="15" t="s">
        <v>432</v>
      </c>
      <c r="G206" s="14" t="s">
        <v>393</v>
      </c>
      <c r="H206" s="14" t="s">
        <v>394</v>
      </c>
      <c r="I206" s="14" t="b">
        <v>1</v>
      </c>
      <c r="J206" s="14" t="s">
        <v>395</v>
      </c>
      <c r="L206" s="14" t="b">
        <v>0</v>
      </c>
      <c r="M206" s="15" t="s">
        <v>3088</v>
      </c>
      <c r="N206" s="14" t="s">
        <v>393</v>
      </c>
      <c r="O206" s="14" t="s">
        <v>393</v>
      </c>
      <c r="P206" s="15" t="s">
        <v>397</v>
      </c>
      <c r="Q206" s="15" t="s">
        <v>3055</v>
      </c>
      <c r="T206" s="14" t="b">
        <v>0</v>
      </c>
      <c r="U206" s="15" t="s">
        <v>3089</v>
      </c>
      <c r="V206" s="15" t="s">
        <v>3090</v>
      </c>
      <c r="W206" s="15" t="s">
        <v>401</v>
      </c>
      <c r="X206" s="15" t="s">
        <v>742</v>
      </c>
      <c r="Y206" s="15">
        <v>2730.0</v>
      </c>
      <c r="AA206" s="15" t="str">
        <f>"1050"</f>
        <v>1050</v>
      </c>
      <c r="AB206" s="14" t="b">
        <v>1</v>
      </c>
      <c r="AC206" s="14" t="b">
        <v>1</v>
      </c>
      <c r="AD206" s="15" t="str">
        <f>"801542745882"</f>
        <v>801542745882</v>
      </c>
      <c r="AE206" s="15" t="s">
        <v>3091</v>
      </c>
      <c r="AF206" s="14" t="s">
        <v>404</v>
      </c>
      <c r="AG206" s="14" t="s">
        <v>405</v>
      </c>
      <c r="AH206" s="14" t="s">
        <v>406</v>
      </c>
      <c r="AI206" s="15">
        <v>0.0</v>
      </c>
      <c r="AL206" s="15" t="s">
        <v>3042</v>
      </c>
      <c r="AM206" s="15" t="s">
        <v>3092</v>
      </c>
      <c r="AN206" s="15" t="s">
        <v>3093</v>
      </c>
      <c r="AO206" s="15" t="s">
        <v>456</v>
      </c>
      <c r="AP206" s="15" t="s">
        <v>457</v>
      </c>
      <c r="AQ206" s="15" t="s">
        <v>1053</v>
      </c>
      <c r="AR206" s="15" t="s">
        <v>1054</v>
      </c>
      <c r="AS206" s="15" t="s">
        <v>2063</v>
      </c>
      <c r="AT206" s="15" t="s">
        <v>3055</v>
      </c>
      <c r="AU206" s="15" t="s">
        <v>3058</v>
      </c>
      <c r="AV206" s="15" t="s">
        <v>3044</v>
      </c>
      <c r="AW206" s="15" t="s">
        <v>602</v>
      </c>
      <c r="AY206" s="15" t="s">
        <v>413</v>
      </c>
      <c r="AZ206" s="15" t="b">
        <v>0</v>
      </c>
      <c r="BA206" s="15" t="s">
        <v>413</v>
      </c>
      <c r="BB206" s="15" t="b">
        <v>0</v>
      </c>
      <c r="BC206" s="15" t="s">
        <v>3094</v>
      </c>
      <c r="BD206" s="15" t="s">
        <v>742</v>
      </c>
      <c r="BE206" s="15" t="str">
        <f t="shared" si="367"/>
        <v>1</v>
      </c>
      <c r="BF206" s="15" t="s">
        <v>416</v>
      </c>
      <c r="BG206" s="15" t="str">
        <f>"90.16"</f>
        <v>90.16</v>
      </c>
      <c r="BH206" s="15" t="s">
        <v>3095</v>
      </c>
      <c r="BI206" s="15" t="str">
        <f>"23.23"</f>
        <v>23.23</v>
      </c>
      <c r="BJ206" s="15" t="s">
        <v>2616</v>
      </c>
      <c r="BK206" s="15" t="str">
        <f t="shared" si="384"/>
        <v>33.86</v>
      </c>
      <c r="BL206" s="15" t="s">
        <v>1209</v>
      </c>
      <c r="BM206" s="15" t="str">
        <f>"265.66"</f>
        <v>265.66</v>
      </c>
      <c r="BN206" s="15" t="s">
        <v>3096</v>
      </c>
      <c r="BQ206" s="15" t="s">
        <v>444</v>
      </c>
      <c r="BS206" s="15" t="s">
        <v>444</v>
      </c>
      <c r="BU206" s="15" t="s">
        <v>444</v>
      </c>
      <c r="BW206" s="15" t="s">
        <v>444</v>
      </c>
      <c r="BZ206" s="15" t="s">
        <v>444</v>
      </c>
      <c r="CB206" s="15" t="s">
        <v>444</v>
      </c>
      <c r="CD206" s="15" t="s">
        <v>444</v>
      </c>
      <c r="CF206" s="15" t="s">
        <v>444</v>
      </c>
      <c r="CI206" s="15" t="s">
        <v>444</v>
      </c>
      <c r="CK206" s="15" t="s">
        <v>444</v>
      </c>
      <c r="CM206" s="15" t="s">
        <v>444</v>
      </c>
      <c r="CO206" s="15" t="s">
        <v>444</v>
      </c>
      <c r="CP206" s="15" t="str">
        <f>"41.04"</f>
        <v>41.04</v>
      </c>
      <c r="CQ206" s="15" t="str">
        <f>"1.162"</f>
        <v>1.162</v>
      </c>
      <c r="CR206" s="15" t="s">
        <v>465</v>
      </c>
      <c r="CV206" s="15" t="s">
        <v>778</v>
      </c>
      <c r="CW206" s="15" t="s">
        <v>3097</v>
      </c>
      <c r="CX206" s="15" t="s">
        <v>2141</v>
      </c>
      <c r="DC206" s="15" t="str">
        <f>IFERROR(__xludf.DUMMYFUNCTION("""COMPUTED_VALUE"""),"")</f>
        <v/>
      </c>
      <c r="DE206" s="15" t="str">
        <f>IFERROR(__xludf.DUMMYFUNCTION("""COMPUTED_VALUE"""),"")</f>
        <v/>
      </c>
      <c r="DG206" s="15" t="str">
        <f>IFERROR(__xludf.DUMMYFUNCTION("""COMPUTED_VALUE"""),"")</f>
        <v/>
      </c>
      <c r="DL206" s="15" t="str">
        <f>IFERROR(__xludf.DUMMYFUNCTION("""COMPUTED_VALUE"""),"")</f>
        <v/>
      </c>
      <c r="DM206" s="15" t="s">
        <v>444</v>
      </c>
      <c r="DN206" s="15" t="s">
        <v>418</v>
      </c>
      <c r="DO206" s="15">
        <v>2.0</v>
      </c>
      <c r="DP206" s="15" t="s">
        <v>419</v>
      </c>
      <c r="DR206" s="15">
        <v>0.0</v>
      </c>
      <c r="DT206" s="15" t="s">
        <v>1186</v>
      </c>
      <c r="DU206" s="15" t="s">
        <v>610</v>
      </c>
      <c r="DW206" s="15">
        <v>0.0</v>
      </c>
      <c r="DX206" s="15">
        <v>0.0</v>
      </c>
      <c r="DY206" s="15">
        <v>2.0</v>
      </c>
      <c r="EG206" s="15" t="s">
        <v>444</v>
      </c>
      <c r="EH206" s="15" t="s">
        <v>3050</v>
      </c>
      <c r="EK206" s="15" t="s">
        <v>444</v>
      </c>
      <c r="EM206" s="15" t="str">
        <f>IFERROR(__xludf.DUMMYFUNCTION("""COMPUTED_VALUE"""),"")</f>
        <v/>
      </c>
      <c r="FL206" s="15" t="s">
        <v>426</v>
      </c>
      <c r="FM206" s="15">
        <v>5.0</v>
      </c>
      <c r="FY206" s="15" t="s">
        <v>3098</v>
      </c>
      <c r="FZ206" s="15" t="s">
        <v>3099</v>
      </c>
      <c r="GA206" s="15" t="s">
        <v>3100</v>
      </c>
      <c r="GB206" s="15" t="s">
        <v>778</v>
      </c>
      <c r="GC206" s="15" t="s">
        <v>612</v>
      </c>
      <c r="GD206" s="15" t="s">
        <v>2141</v>
      </c>
      <c r="GF206" s="15" t="s">
        <v>426</v>
      </c>
      <c r="GG206" s="15" t="s">
        <v>785</v>
      </c>
      <c r="GH206" s="15">
        <v>2.0</v>
      </c>
      <c r="GI206" s="15" t="s">
        <v>614</v>
      </c>
      <c r="GJ206" s="15" t="s">
        <v>1045</v>
      </c>
      <c r="GL206" s="15" t="s">
        <v>426</v>
      </c>
      <c r="GN206" s="15" t="s">
        <v>616</v>
      </c>
      <c r="GO206" s="15" t="s">
        <v>426</v>
      </c>
      <c r="GQ206" s="15" t="s">
        <v>3082</v>
      </c>
      <c r="GS206" s="15" t="s">
        <v>3101</v>
      </c>
      <c r="GU206" s="15" t="s">
        <v>3102</v>
      </c>
      <c r="GW206" s="15" t="s">
        <v>431</v>
      </c>
      <c r="GY206" s="15" t="s">
        <v>764</v>
      </c>
      <c r="HA206" s="15" t="s">
        <v>778</v>
      </c>
      <c r="HB206" s="15" t="s">
        <v>3097</v>
      </c>
      <c r="HC206" s="15" t="s">
        <v>2141</v>
      </c>
      <c r="HD206" s="15">
        <v>0.0</v>
      </c>
      <c r="HQ206" s="15" t="s">
        <v>823</v>
      </c>
      <c r="HR206" s="15" t="s">
        <v>823</v>
      </c>
      <c r="HS206" s="15" t="s">
        <v>3048</v>
      </c>
      <c r="HT206" s="15" t="s">
        <v>3048</v>
      </c>
      <c r="HU206" s="15" t="s">
        <v>3103</v>
      </c>
      <c r="HV206" s="15" t="s">
        <v>3104</v>
      </c>
      <c r="HW206" s="15" t="s">
        <v>1957</v>
      </c>
      <c r="IH206" s="15" t="s">
        <v>426</v>
      </c>
      <c r="KX206" s="15" t="s">
        <v>823</v>
      </c>
      <c r="KY206" s="15" t="s">
        <v>3048</v>
      </c>
      <c r="KZ206" s="15" t="s">
        <v>3103</v>
      </c>
    </row>
    <row r="207" ht="15.75" customHeight="1">
      <c r="A207" s="14" t="s">
        <v>391</v>
      </c>
      <c r="B207" s="15" t="s">
        <v>3105</v>
      </c>
      <c r="C207" s="16"/>
      <c r="D207" s="15" t="s">
        <v>432</v>
      </c>
      <c r="G207" s="14" t="s">
        <v>393</v>
      </c>
      <c r="H207" s="14" t="s">
        <v>394</v>
      </c>
      <c r="I207" s="14" t="b">
        <v>1</v>
      </c>
      <c r="J207" s="14" t="s">
        <v>395</v>
      </c>
      <c r="L207" s="14" t="b">
        <v>0</v>
      </c>
      <c r="M207" s="15" t="s">
        <v>3106</v>
      </c>
      <c r="N207" s="14" t="s">
        <v>393</v>
      </c>
      <c r="O207" s="14" t="s">
        <v>393</v>
      </c>
      <c r="P207" s="15" t="s">
        <v>397</v>
      </c>
      <c r="Q207" s="15" t="s">
        <v>3043</v>
      </c>
      <c r="T207" s="14" t="b">
        <v>0</v>
      </c>
      <c r="U207" s="15" t="s">
        <v>3107</v>
      </c>
      <c r="V207" s="15" t="s">
        <v>3108</v>
      </c>
      <c r="W207" s="15" t="s">
        <v>401</v>
      </c>
      <c r="X207" s="15" t="s">
        <v>742</v>
      </c>
      <c r="Y207" s="15">
        <v>715.0</v>
      </c>
      <c r="AA207" s="15" t="str">
        <f t="shared" ref="AA207:AA208" si="388">"275"</f>
        <v>275</v>
      </c>
      <c r="AB207" s="14" t="b">
        <v>1</v>
      </c>
      <c r="AC207" s="14" t="b">
        <v>1</v>
      </c>
      <c r="AD207" s="15" t="str">
        <f>"801542761318"</f>
        <v>801542761318</v>
      </c>
      <c r="AE207" s="15" t="s">
        <v>3109</v>
      </c>
      <c r="AF207" s="14" t="s">
        <v>404</v>
      </c>
      <c r="AG207" s="14" t="s">
        <v>405</v>
      </c>
      <c r="AH207" s="14" t="s">
        <v>406</v>
      </c>
      <c r="AI207" s="15">
        <v>0.0</v>
      </c>
      <c r="AL207" s="15" t="s">
        <v>3078</v>
      </c>
      <c r="AM207" s="15" t="s">
        <v>1248</v>
      </c>
      <c r="AN207" s="15" t="s">
        <v>1249</v>
      </c>
      <c r="AO207" s="15" t="s">
        <v>454</v>
      </c>
      <c r="AP207" s="15" t="s">
        <v>455</v>
      </c>
      <c r="AQ207" s="15" t="s">
        <v>2213</v>
      </c>
      <c r="AR207" s="15" t="s">
        <v>2214</v>
      </c>
      <c r="AS207" s="15" t="s">
        <v>2063</v>
      </c>
      <c r="AT207" s="15" t="s">
        <v>3043</v>
      </c>
      <c r="AU207" s="15" t="s">
        <v>3044</v>
      </c>
      <c r="AW207" s="15" t="s">
        <v>628</v>
      </c>
      <c r="AY207" s="15" t="s">
        <v>413</v>
      </c>
      <c r="AZ207" s="15" t="b">
        <v>0</v>
      </c>
      <c r="BA207" s="15" t="s">
        <v>413</v>
      </c>
      <c r="BB207" s="15" t="b">
        <v>0</v>
      </c>
      <c r="BD207" s="15" t="s">
        <v>742</v>
      </c>
      <c r="BE207" s="15" t="str">
        <f t="shared" si="367"/>
        <v>1</v>
      </c>
      <c r="BF207" s="15" t="s">
        <v>416</v>
      </c>
      <c r="BG207" s="15" t="str">
        <f t="shared" ref="BG207:BG208" si="389">"24.61"</f>
        <v>24.61</v>
      </c>
      <c r="BH207" s="15" t="s">
        <v>1033</v>
      </c>
      <c r="BI207" s="15" t="str">
        <f t="shared" ref="BI207:BI208" si="390">"23.62"</f>
        <v>23.62</v>
      </c>
      <c r="BJ207" s="15" t="s">
        <v>1570</v>
      </c>
      <c r="BK207" s="15" t="str">
        <f t="shared" ref="BK207:BK208" si="391">"31.69"</f>
        <v>31.69</v>
      </c>
      <c r="BL207" s="15" t="s">
        <v>3110</v>
      </c>
      <c r="BM207" s="15" t="str">
        <f t="shared" ref="BM207:BM208" si="392">"79.37"</f>
        <v>79.37</v>
      </c>
      <c r="BN207" s="15" t="s">
        <v>1441</v>
      </c>
      <c r="BQ207" s="15" t="s">
        <v>444</v>
      </c>
      <c r="BS207" s="15" t="s">
        <v>444</v>
      </c>
      <c r="BU207" s="15" t="s">
        <v>444</v>
      </c>
      <c r="BW207" s="15" t="s">
        <v>444</v>
      </c>
      <c r="BZ207" s="15" t="s">
        <v>444</v>
      </c>
      <c r="CB207" s="15" t="s">
        <v>444</v>
      </c>
      <c r="CD207" s="15" t="s">
        <v>444</v>
      </c>
      <c r="CF207" s="15" t="s">
        <v>444</v>
      </c>
      <c r="CI207" s="15" t="s">
        <v>444</v>
      </c>
      <c r="CK207" s="15" t="s">
        <v>444</v>
      </c>
      <c r="CM207" s="15" t="s">
        <v>444</v>
      </c>
      <c r="CO207" s="15" t="s">
        <v>444</v>
      </c>
      <c r="CP207" s="15" t="str">
        <f t="shared" ref="CP207:CP208" si="393">"10.67"</f>
        <v>10.67</v>
      </c>
      <c r="CQ207" s="15" t="str">
        <f t="shared" ref="CQ207:CQ208" si="394">"0.302"</f>
        <v>0.302</v>
      </c>
      <c r="CR207" s="15" t="s">
        <v>497</v>
      </c>
      <c r="CV207" s="15" t="s">
        <v>2738</v>
      </c>
      <c r="CW207" s="15" t="s">
        <v>3098</v>
      </c>
      <c r="CX207" s="15" t="s">
        <v>3111</v>
      </c>
      <c r="DC207" s="15" t="str">
        <f>IFERROR(__xludf.DUMMYFUNCTION("""COMPUTED_VALUE"""),"")</f>
        <v/>
      </c>
      <c r="DE207" s="15" t="str">
        <f>IFERROR(__xludf.DUMMYFUNCTION("""COMPUTED_VALUE"""),"")</f>
        <v/>
      </c>
      <c r="DG207" s="15" t="str">
        <f>IFERROR(__xludf.DUMMYFUNCTION("""COMPUTED_VALUE"""),"")</f>
        <v/>
      </c>
      <c r="DL207" s="15" t="str">
        <f>IFERROR(__xludf.DUMMYFUNCTION("""COMPUTED_VALUE"""),"")</f>
        <v/>
      </c>
      <c r="DM207" s="15" t="s">
        <v>444</v>
      </c>
      <c r="DN207" s="15" t="s">
        <v>418</v>
      </c>
      <c r="DO207" s="15">
        <v>1.0</v>
      </c>
      <c r="DP207" s="15" t="s">
        <v>419</v>
      </c>
      <c r="DR207" s="15">
        <v>0.0</v>
      </c>
      <c r="DT207" s="15" t="s">
        <v>1186</v>
      </c>
      <c r="DU207" s="15" t="s">
        <v>421</v>
      </c>
      <c r="DY207" s="15">
        <v>0.0</v>
      </c>
      <c r="EF207" s="15" t="s">
        <v>471</v>
      </c>
      <c r="EG207" s="15" t="s">
        <v>472</v>
      </c>
      <c r="EH207" s="15" t="s">
        <v>3050</v>
      </c>
      <c r="EJ207" s="15" t="s">
        <v>500</v>
      </c>
      <c r="EK207" s="15" t="s">
        <v>501</v>
      </c>
      <c r="EM207" s="15" t="str">
        <f>IFERROR(__xludf.DUMMYFUNCTION("""COMPUTED_VALUE"""),"")</f>
        <v/>
      </c>
      <c r="FL207" s="15" t="s">
        <v>426</v>
      </c>
      <c r="FM207" s="15">
        <v>1.0</v>
      </c>
      <c r="GH207" s="15">
        <v>0.0</v>
      </c>
      <c r="GI207" s="15" t="s">
        <v>427</v>
      </c>
      <c r="GO207" s="15" t="s">
        <v>426</v>
      </c>
      <c r="GQ207" s="15" t="s">
        <v>2348</v>
      </c>
      <c r="GS207" s="15" t="s">
        <v>2468</v>
      </c>
      <c r="GU207" s="15" t="s">
        <v>3112</v>
      </c>
      <c r="GW207" s="15" t="s">
        <v>431</v>
      </c>
      <c r="GY207" s="15" t="s">
        <v>764</v>
      </c>
    </row>
    <row r="208" ht="15.75" customHeight="1">
      <c r="A208" s="14" t="s">
        <v>391</v>
      </c>
      <c r="B208" s="15" t="s">
        <v>3105</v>
      </c>
      <c r="C208" s="16"/>
      <c r="D208" s="15" t="s">
        <v>432</v>
      </c>
      <c r="G208" s="14" t="s">
        <v>393</v>
      </c>
      <c r="H208" s="14" t="s">
        <v>394</v>
      </c>
      <c r="I208" s="14" t="b">
        <v>1</v>
      </c>
      <c r="J208" s="14" t="s">
        <v>395</v>
      </c>
      <c r="L208" s="14" t="b">
        <v>0</v>
      </c>
      <c r="M208" s="15" t="s">
        <v>3113</v>
      </c>
      <c r="N208" s="14" t="s">
        <v>393</v>
      </c>
      <c r="O208" s="14" t="s">
        <v>393</v>
      </c>
      <c r="P208" s="15" t="s">
        <v>397</v>
      </c>
      <c r="Q208" s="15" t="s">
        <v>3058</v>
      </c>
      <c r="T208" s="14" t="b">
        <v>0</v>
      </c>
      <c r="U208" s="15" t="s">
        <v>3114</v>
      </c>
      <c r="V208" s="15" t="s">
        <v>3108</v>
      </c>
      <c r="W208" s="15" t="s">
        <v>401</v>
      </c>
      <c r="X208" s="15" t="s">
        <v>742</v>
      </c>
      <c r="Y208" s="15">
        <v>715.0</v>
      </c>
      <c r="AA208" s="15" t="str">
        <f t="shared" si="388"/>
        <v>275</v>
      </c>
      <c r="AB208" s="14" t="b">
        <v>1</v>
      </c>
      <c r="AC208" s="14" t="b">
        <v>1</v>
      </c>
      <c r="AD208" s="15" t="str">
        <f>"801542745134"</f>
        <v>801542745134</v>
      </c>
      <c r="AE208" s="15" t="s">
        <v>3115</v>
      </c>
      <c r="AF208" s="14" t="s">
        <v>404</v>
      </c>
      <c r="AG208" s="14" t="s">
        <v>405</v>
      </c>
      <c r="AH208" s="14" t="s">
        <v>406</v>
      </c>
      <c r="AI208" s="15">
        <v>0.0</v>
      </c>
      <c r="AL208" s="15" t="s">
        <v>3078</v>
      </c>
      <c r="AM208" s="15" t="s">
        <v>1248</v>
      </c>
      <c r="AN208" s="15" t="s">
        <v>1249</v>
      </c>
      <c r="AO208" s="15" t="s">
        <v>454</v>
      </c>
      <c r="AP208" s="15" t="s">
        <v>455</v>
      </c>
      <c r="AQ208" s="15" t="s">
        <v>2213</v>
      </c>
      <c r="AR208" s="15" t="s">
        <v>2214</v>
      </c>
      <c r="AS208" s="15" t="s">
        <v>2063</v>
      </c>
      <c r="AT208" s="15" t="s">
        <v>3058</v>
      </c>
      <c r="AU208" s="15" t="s">
        <v>3044</v>
      </c>
      <c r="AW208" s="15" t="s">
        <v>628</v>
      </c>
      <c r="AY208" s="15" t="s">
        <v>413</v>
      </c>
      <c r="AZ208" s="15" t="b">
        <v>0</v>
      </c>
      <c r="BA208" s="15" t="s">
        <v>413</v>
      </c>
      <c r="BB208" s="15" t="b">
        <v>0</v>
      </c>
      <c r="BD208" s="15" t="s">
        <v>742</v>
      </c>
      <c r="BE208" s="15" t="str">
        <f t="shared" si="367"/>
        <v>1</v>
      </c>
      <c r="BF208" s="15" t="s">
        <v>416</v>
      </c>
      <c r="BG208" s="15" t="str">
        <f t="shared" si="389"/>
        <v>24.61</v>
      </c>
      <c r="BH208" s="15" t="s">
        <v>1033</v>
      </c>
      <c r="BI208" s="15" t="str">
        <f t="shared" si="390"/>
        <v>23.62</v>
      </c>
      <c r="BJ208" s="15" t="s">
        <v>1570</v>
      </c>
      <c r="BK208" s="15" t="str">
        <f t="shared" si="391"/>
        <v>31.69</v>
      </c>
      <c r="BL208" s="15" t="s">
        <v>3110</v>
      </c>
      <c r="BM208" s="15" t="str">
        <f t="shared" si="392"/>
        <v>79.37</v>
      </c>
      <c r="BN208" s="15" t="s">
        <v>1441</v>
      </c>
      <c r="BQ208" s="15" t="s">
        <v>444</v>
      </c>
      <c r="BS208" s="15" t="s">
        <v>444</v>
      </c>
      <c r="BU208" s="15" t="s">
        <v>444</v>
      </c>
      <c r="BW208" s="15" t="s">
        <v>444</v>
      </c>
      <c r="BZ208" s="15" t="s">
        <v>444</v>
      </c>
      <c r="CB208" s="15" t="s">
        <v>444</v>
      </c>
      <c r="CD208" s="15" t="s">
        <v>444</v>
      </c>
      <c r="CF208" s="15" t="s">
        <v>444</v>
      </c>
      <c r="CI208" s="15" t="s">
        <v>444</v>
      </c>
      <c r="CK208" s="15" t="s">
        <v>444</v>
      </c>
      <c r="CM208" s="15" t="s">
        <v>444</v>
      </c>
      <c r="CO208" s="15" t="s">
        <v>444</v>
      </c>
      <c r="CP208" s="15" t="str">
        <f t="shared" si="393"/>
        <v>10.67</v>
      </c>
      <c r="CQ208" s="15" t="str">
        <f t="shared" si="394"/>
        <v>0.302</v>
      </c>
      <c r="CR208" s="15" t="s">
        <v>497</v>
      </c>
      <c r="CV208" s="15" t="s">
        <v>2738</v>
      </c>
      <c r="CW208" s="15" t="s">
        <v>3098</v>
      </c>
      <c r="CX208" s="15" t="s">
        <v>3111</v>
      </c>
      <c r="DC208" s="15" t="str">
        <f>IFERROR(__xludf.DUMMYFUNCTION("""COMPUTED_VALUE"""),"")</f>
        <v/>
      </c>
      <c r="DE208" s="15" t="str">
        <f>IFERROR(__xludf.DUMMYFUNCTION("""COMPUTED_VALUE"""),"")</f>
        <v/>
      </c>
      <c r="DG208" s="15" t="str">
        <f>IFERROR(__xludf.DUMMYFUNCTION("""COMPUTED_VALUE"""),"")</f>
        <v/>
      </c>
      <c r="DL208" s="15" t="str">
        <f>IFERROR(__xludf.DUMMYFUNCTION("""COMPUTED_VALUE"""),"")</f>
        <v/>
      </c>
      <c r="DM208" s="15" t="s">
        <v>444</v>
      </c>
      <c r="DN208" s="15" t="s">
        <v>418</v>
      </c>
      <c r="DO208" s="15">
        <v>1.0</v>
      </c>
      <c r="DP208" s="15" t="s">
        <v>419</v>
      </c>
      <c r="DR208" s="15">
        <v>0.0</v>
      </c>
      <c r="DT208" s="15" t="s">
        <v>1186</v>
      </c>
      <c r="DU208" s="15" t="s">
        <v>421</v>
      </c>
      <c r="DY208" s="15">
        <v>0.0</v>
      </c>
      <c r="EF208" s="15" t="s">
        <v>471</v>
      </c>
      <c r="EG208" s="15" t="s">
        <v>472</v>
      </c>
      <c r="EH208" s="15" t="s">
        <v>3050</v>
      </c>
      <c r="EJ208" s="15" t="s">
        <v>500</v>
      </c>
      <c r="EK208" s="15" t="s">
        <v>501</v>
      </c>
      <c r="EM208" s="15" t="str">
        <f>IFERROR(__xludf.DUMMYFUNCTION("""COMPUTED_VALUE"""),"")</f>
        <v/>
      </c>
      <c r="FL208" s="15" t="s">
        <v>426</v>
      </c>
      <c r="FM208" s="15">
        <v>1.0</v>
      </c>
      <c r="GH208" s="15">
        <v>0.0</v>
      </c>
      <c r="GI208" s="15" t="s">
        <v>427</v>
      </c>
      <c r="GO208" s="15" t="s">
        <v>426</v>
      </c>
      <c r="GQ208" s="15" t="s">
        <v>2348</v>
      </c>
      <c r="GS208" s="15" t="s">
        <v>2468</v>
      </c>
      <c r="GU208" s="15" t="s">
        <v>3112</v>
      </c>
      <c r="GW208" s="15" t="s">
        <v>431</v>
      </c>
      <c r="GY208" s="15" t="s">
        <v>764</v>
      </c>
    </row>
    <row r="209" ht="15.75" customHeight="1">
      <c r="A209" s="14" t="s">
        <v>391</v>
      </c>
      <c r="B209" s="15" t="s">
        <v>3116</v>
      </c>
      <c r="C209" s="16"/>
      <c r="D209" s="15" t="s">
        <v>432</v>
      </c>
      <c r="G209" s="14" t="s">
        <v>393</v>
      </c>
      <c r="H209" s="14" t="s">
        <v>394</v>
      </c>
      <c r="I209" s="14" t="b">
        <v>1</v>
      </c>
      <c r="J209" s="14" t="s">
        <v>395</v>
      </c>
      <c r="L209" s="14" t="b">
        <v>0</v>
      </c>
      <c r="M209" s="15" t="s">
        <v>3117</v>
      </c>
      <c r="N209" s="14" t="s">
        <v>393</v>
      </c>
      <c r="O209" s="14" t="s">
        <v>393</v>
      </c>
      <c r="P209" s="15" t="s">
        <v>397</v>
      </c>
      <c r="Q209" s="15" t="s">
        <v>3043</v>
      </c>
      <c r="T209" s="14" t="b">
        <v>0</v>
      </c>
      <c r="U209" s="15" t="s">
        <v>3118</v>
      </c>
      <c r="V209" s="15" t="s">
        <v>2132</v>
      </c>
      <c r="W209" s="15" t="s">
        <v>401</v>
      </c>
      <c r="X209" s="15" t="s">
        <v>742</v>
      </c>
      <c r="Y209" s="15">
        <v>2405.0</v>
      </c>
      <c r="AA209" s="15" t="str">
        <f t="shared" ref="AA209:AA210" si="395">"925"</f>
        <v>925</v>
      </c>
      <c r="AB209" s="14" t="b">
        <v>1</v>
      </c>
      <c r="AC209" s="14" t="b">
        <v>1</v>
      </c>
      <c r="AD209" s="15" t="str">
        <f>"801542761325"</f>
        <v>801542761325</v>
      </c>
      <c r="AE209" s="15" t="s">
        <v>3119</v>
      </c>
      <c r="AF209" s="14" t="s">
        <v>404</v>
      </c>
      <c r="AG209" s="14" t="s">
        <v>405</v>
      </c>
      <c r="AH209" s="14" t="s">
        <v>406</v>
      </c>
      <c r="AI209" s="15">
        <v>0.0</v>
      </c>
      <c r="AL209" s="15" t="s">
        <v>3078</v>
      </c>
      <c r="AM209" s="15" t="s">
        <v>3120</v>
      </c>
      <c r="AN209" s="15" t="s">
        <v>3121</v>
      </c>
      <c r="AO209" s="15" t="s">
        <v>456</v>
      </c>
      <c r="AP209" s="15" t="s">
        <v>457</v>
      </c>
      <c r="AQ209" s="15" t="s">
        <v>546</v>
      </c>
      <c r="AR209" s="15" t="s">
        <v>547</v>
      </c>
      <c r="AS209" s="15" t="s">
        <v>2063</v>
      </c>
      <c r="AT209" s="15" t="s">
        <v>3043</v>
      </c>
      <c r="AU209" s="15" t="s">
        <v>3044</v>
      </c>
      <c r="AW209" s="15" t="s">
        <v>664</v>
      </c>
      <c r="AY209" s="15" t="s">
        <v>413</v>
      </c>
      <c r="AZ209" s="15" t="b">
        <v>0</v>
      </c>
      <c r="BA209" s="15" t="s">
        <v>413</v>
      </c>
      <c r="BB209" s="15" t="b">
        <v>0</v>
      </c>
      <c r="BC209" s="15" t="s">
        <v>3122</v>
      </c>
      <c r="BD209" s="15" t="s">
        <v>742</v>
      </c>
      <c r="BE209" s="15" t="str">
        <f t="shared" si="367"/>
        <v>1</v>
      </c>
      <c r="BF209" s="15" t="s">
        <v>2043</v>
      </c>
      <c r="BG209" s="15" t="str">
        <f t="shared" ref="BG209:BG210" si="396">"72.24"</f>
        <v>72.24</v>
      </c>
      <c r="BH209" s="15" t="s">
        <v>3123</v>
      </c>
      <c r="BI209" s="15" t="str">
        <f t="shared" ref="BI209:BI210" si="397">"22.76"</f>
        <v>22.76</v>
      </c>
      <c r="BJ209" s="15" t="s">
        <v>3124</v>
      </c>
      <c r="BK209" s="15" t="str">
        <f t="shared" ref="BK209:BK210" si="398">"36.3"</f>
        <v>36.3</v>
      </c>
      <c r="BL209" s="15" t="s">
        <v>3125</v>
      </c>
      <c r="BM209" s="15" t="str">
        <f t="shared" ref="BM209:BM210" si="399">"218.26"</f>
        <v>218.26</v>
      </c>
      <c r="BN209" s="15" t="s">
        <v>3126</v>
      </c>
      <c r="BQ209" s="15" t="s">
        <v>444</v>
      </c>
      <c r="BS209" s="15" t="s">
        <v>444</v>
      </c>
      <c r="BU209" s="15" t="s">
        <v>444</v>
      </c>
      <c r="BW209" s="15" t="s">
        <v>444</v>
      </c>
      <c r="BZ209" s="15" t="s">
        <v>444</v>
      </c>
      <c r="CB209" s="15" t="s">
        <v>444</v>
      </c>
      <c r="CD209" s="15" t="s">
        <v>444</v>
      </c>
      <c r="CF209" s="15" t="s">
        <v>444</v>
      </c>
      <c r="CI209" s="15" t="s">
        <v>444</v>
      </c>
      <c r="CK209" s="15" t="s">
        <v>444</v>
      </c>
      <c r="CM209" s="15" t="s">
        <v>444</v>
      </c>
      <c r="CO209" s="15" t="s">
        <v>444</v>
      </c>
      <c r="CP209" s="15" t="str">
        <f t="shared" ref="CP209:CP210" si="400">"34.54"</f>
        <v>34.54</v>
      </c>
      <c r="CQ209" s="15" t="str">
        <f t="shared" ref="CQ209:CQ210" si="401">"0.978"</f>
        <v>0.978</v>
      </c>
      <c r="CR209" s="15" t="s">
        <v>497</v>
      </c>
      <c r="CV209" s="15" t="s">
        <v>607</v>
      </c>
      <c r="CW209" s="15" t="s">
        <v>3127</v>
      </c>
      <c r="CX209" s="15" t="s">
        <v>3128</v>
      </c>
      <c r="DC209" s="15" t="str">
        <f>IFERROR(__xludf.DUMMYFUNCTION("""COMPUTED_VALUE"""),"")</f>
        <v/>
      </c>
      <c r="DE209" s="15" t="str">
        <f>IFERROR(__xludf.DUMMYFUNCTION("""COMPUTED_VALUE"""),"")</f>
        <v/>
      </c>
      <c r="DG209" s="15" t="str">
        <f>IFERROR(__xludf.DUMMYFUNCTION("""COMPUTED_VALUE"""),"")</f>
        <v/>
      </c>
      <c r="DL209" s="15" t="str">
        <f>IFERROR(__xludf.DUMMYFUNCTION("""COMPUTED_VALUE"""),"")</f>
        <v/>
      </c>
      <c r="DM209" s="15" t="s">
        <v>444</v>
      </c>
      <c r="DN209" s="15" t="s">
        <v>419</v>
      </c>
      <c r="DO209" s="15">
        <v>0.0</v>
      </c>
      <c r="DP209" s="15" t="s">
        <v>419</v>
      </c>
      <c r="DR209" s="15">
        <v>0.0</v>
      </c>
      <c r="DT209" s="15" t="s">
        <v>1186</v>
      </c>
      <c r="DU209" s="15" t="s">
        <v>610</v>
      </c>
      <c r="DW209" s="15">
        <v>18.14</v>
      </c>
      <c r="DX209" s="15">
        <v>40.0</v>
      </c>
      <c r="DY209" s="15">
        <v>2.0</v>
      </c>
      <c r="EG209" s="15" t="s">
        <v>444</v>
      </c>
      <c r="EH209" s="15" t="s">
        <v>3050</v>
      </c>
      <c r="EJ209" s="15" t="s">
        <v>500</v>
      </c>
      <c r="EK209" s="15" t="s">
        <v>501</v>
      </c>
      <c r="EM209" s="15" t="str">
        <f>IFERROR(__xludf.DUMMYFUNCTION("""COMPUTED_VALUE"""),"")</f>
        <v/>
      </c>
      <c r="FL209" s="15" t="s">
        <v>426</v>
      </c>
      <c r="FM209" s="15">
        <v>3.0</v>
      </c>
      <c r="FY209" s="15" t="s">
        <v>3129</v>
      </c>
      <c r="FZ209" s="15" t="s">
        <v>3130</v>
      </c>
      <c r="GA209" s="15" t="s">
        <v>3131</v>
      </c>
      <c r="GB209" s="15" t="s">
        <v>607</v>
      </c>
      <c r="GC209" s="15" t="s">
        <v>3132</v>
      </c>
      <c r="GD209" s="15" t="s">
        <v>3128</v>
      </c>
      <c r="GE209" s="15">
        <v>0.0</v>
      </c>
      <c r="GG209" s="15" t="s">
        <v>785</v>
      </c>
      <c r="GH209" s="15">
        <v>4.0</v>
      </c>
      <c r="GI209" s="15" t="s">
        <v>3133</v>
      </c>
      <c r="GJ209" s="15" t="s">
        <v>786</v>
      </c>
      <c r="GK209" s="15">
        <v>0.0</v>
      </c>
      <c r="GL209" s="15" t="s">
        <v>426</v>
      </c>
      <c r="GN209" s="15" t="s">
        <v>616</v>
      </c>
      <c r="HA209" s="15" t="s">
        <v>607</v>
      </c>
      <c r="HB209" s="15" t="s">
        <v>3127</v>
      </c>
      <c r="HC209" s="15" t="s">
        <v>3128</v>
      </c>
      <c r="HQ209" s="15" t="s">
        <v>823</v>
      </c>
      <c r="HS209" s="15" t="s">
        <v>3134</v>
      </c>
      <c r="HU209" s="15" t="s">
        <v>3135</v>
      </c>
      <c r="HW209" s="15" t="s">
        <v>1957</v>
      </c>
      <c r="IH209" s="15" t="s">
        <v>426</v>
      </c>
    </row>
    <row r="210" ht="15.75" customHeight="1">
      <c r="A210" s="14" t="s">
        <v>391</v>
      </c>
      <c r="B210" s="15" t="s">
        <v>3116</v>
      </c>
      <c r="C210" s="16"/>
      <c r="D210" s="15" t="s">
        <v>432</v>
      </c>
      <c r="G210" s="14" t="s">
        <v>393</v>
      </c>
      <c r="H210" s="14" t="s">
        <v>394</v>
      </c>
      <c r="I210" s="14" t="b">
        <v>1</v>
      </c>
      <c r="J210" s="14" t="s">
        <v>395</v>
      </c>
      <c r="L210" s="14" t="b">
        <v>0</v>
      </c>
      <c r="M210" s="15" t="s">
        <v>3136</v>
      </c>
      <c r="N210" s="14" t="s">
        <v>393</v>
      </c>
      <c r="O210" s="14" t="s">
        <v>393</v>
      </c>
      <c r="P210" s="15" t="s">
        <v>397</v>
      </c>
      <c r="Q210" s="15" t="s">
        <v>3058</v>
      </c>
      <c r="T210" s="14" t="b">
        <v>0</v>
      </c>
      <c r="U210" s="15" t="s">
        <v>3137</v>
      </c>
      <c r="V210" s="15" t="s">
        <v>2132</v>
      </c>
      <c r="W210" s="15" t="s">
        <v>401</v>
      </c>
      <c r="X210" s="15" t="s">
        <v>742</v>
      </c>
      <c r="Y210" s="15">
        <v>2405.0</v>
      </c>
      <c r="AA210" s="15" t="str">
        <f t="shared" si="395"/>
        <v>925</v>
      </c>
      <c r="AB210" s="14" t="b">
        <v>1</v>
      </c>
      <c r="AC210" s="14" t="b">
        <v>1</v>
      </c>
      <c r="AD210" s="15" t="str">
        <f>"801542745875"</f>
        <v>801542745875</v>
      </c>
      <c r="AE210" s="15" t="s">
        <v>3138</v>
      </c>
      <c r="AF210" s="14" t="s">
        <v>404</v>
      </c>
      <c r="AG210" s="14" t="s">
        <v>405</v>
      </c>
      <c r="AH210" s="14" t="s">
        <v>406</v>
      </c>
      <c r="AI210" s="15">
        <v>0.0</v>
      </c>
      <c r="AL210" s="15" t="s">
        <v>3078</v>
      </c>
      <c r="AM210" s="15" t="s">
        <v>3120</v>
      </c>
      <c r="AN210" s="15" t="s">
        <v>3121</v>
      </c>
      <c r="AO210" s="15" t="s">
        <v>456</v>
      </c>
      <c r="AP210" s="15" t="s">
        <v>457</v>
      </c>
      <c r="AQ210" s="15" t="s">
        <v>546</v>
      </c>
      <c r="AR210" s="15" t="s">
        <v>547</v>
      </c>
      <c r="AS210" s="15" t="s">
        <v>2063</v>
      </c>
      <c r="AT210" s="15" t="s">
        <v>3058</v>
      </c>
      <c r="AU210" s="15" t="s">
        <v>3044</v>
      </c>
      <c r="AW210" s="15" t="s">
        <v>664</v>
      </c>
      <c r="AY210" s="15" t="s">
        <v>413</v>
      </c>
      <c r="AZ210" s="15" t="b">
        <v>0</v>
      </c>
      <c r="BA210" s="15" t="s">
        <v>413</v>
      </c>
      <c r="BB210" s="15" t="b">
        <v>0</v>
      </c>
      <c r="BC210" s="15" t="s">
        <v>3139</v>
      </c>
      <c r="BD210" s="15" t="s">
        <v>742</v>
      </c>
      <c r="BE210" s="15" t="str">
        <f t="shared" si="367"/>
        <v>1</v>
      </c>
      <c r="BF210" s="15" t="s">
        <v>2043</v>
      </c>
      <c r="BG210" s="15" t="str">
        <f t="shared" si="396"/>
        <v>72.24</v>
      </c>
      <c r="BH210" s="15" t="s">
        <v>3123</v>
      </c>
      <c r="BI210" s="15" t="str">
        <f t="shared" si="397"/>
        <v>22.76</v>
      </c>
      <c r="BJ210" s="15" t="s">
        <v>3124</v>
      </c>
      <c r="BK210" s="15" t="str">
        <f t="shared" si="398"/>
        <v>36.3</v>
      </c>
      <c r="BL210" s="15" t="s">
        <v>3125</v>
      </c>
      <c r="BM210" s="15" t="str">
        <f t="shared" si="399"/>
        <v>218.26</v>
      </c>
      <c r="BN210" s="15" t="s">
        <v>3126</v>
      </c>
      <c r="BQ210" s="15" t="s">
        <v>444</v>
      </c>
      <c r="BS210" s="15" t="s">
        <v>444</v>
      </c>
      <c r="BU210" s="15" t="s">
        <v>444</v>
      </c>
      <c r="BW210" s="15" t="s">
        <v>444</v>
      </c>
      <c r="BZ210" s="15" t="s">
        <v>444</v>
      </c>
      <c r="CB210" s="15" t="s">
        <v>444</v>
      </c>
      <c r="CD210" s="15" t="s">
        <v>444</v>
      </c>
      <c r="CF210" s="15" t="s">
        <v>444</v>
      </c>
      <c r="CI210" s="15" t="s">
        <v>444</v>
      </c>
      <c r="CK210" s="15" t="s">
        <v>444</v>
      </c>
      <c r="CM210" s="15" t="s">
        <v>444</v>
      </c>
      <c r="CO210" s="15" t="s">
        <v>444</v>
      </c>
      <c r="CP210" s="15" t="str">
        <f t="shared" si="400"/>
        <v>34.54</v>
      </c>
      <c r="CQ210" s="15" t="str">
        <f t="shared" si="401"/>
        <v>0.978</v>
      </c>
      <c r="CR210" s="15" t="s">
        <v>465</v>
      </c>
      <c r="CV210" s="15" t="s">
        <v>607</v>
      </c>
      <c r="CW210" s="15" t="s">
        <v>3127</v>
      </c>
      <c r="CX210" s="15" t="s">
        <v>3128</v>
      </c>
      <c r="DC210" s="15" t="str">
        <f>IFERROR(__xludf.DUMMYFUNCTION("""COMPUTED_VALUE"""),"")</f>
        <v/>
      </c>
      <c r="DE210" s="15" t="str">
        <f>IFERROR(__xludf.DUMMYFUNCTION("""COMPUTED_VALUE"""),"")</f>
        <v/>
      </c>
      <c r="DG210" s="15" t="str">
        <f>IFERROR(__xludf.DUMMYFUNCTION("""COMPUTED_VALUE"""),"")</f>
        <v/>
      </c>
      <c r="DL210" s="15" t="str">
        <f>IFERROR(__xludf.DUMMYFUNCTION("""COMPUTED_VALUE"""),"")</f>
        <v/>
      </c>
      <c r="DM210" s="15" t="s">
        <v>444</v>
      </c>
      <c r="DN210" s="15" t="s">
        <v>419</v>
      </c>
      <c r="DO210" s="15">
        <v>0.0</v>
      </c>
      <c r="DP210" s="15" t="s">
        <v>419</v>
      </c>
      <c r="DR210" s="15">
        <v>0.0</v>
      </c>
      <c r="DT210" s="15" t="s">
        <v>1186</v>
      </c>
      <c r="DU210" s="15" t="s">
        <v>610</v>
      </c>
      <c r="DW210" s="15">
        <v>18.14</v>
      </c>
      <c r="DX210" s="15">
        <v>40.0</v>
      </c>
      <c r="DY210" s="15">
        <v>2.0</v>
      </c>
      <c r="EG210" s="15" t="s">
        <v>444</v>
      </c>
      <c r="EH210" s="15" t="s">
        <v>3050</v>
      </c>
      <c r="EJ210" s="15" t="s">
        <v>500</v>
      </c>
      <c r="EK210" s="15" t="s">
        <v>501</v>
      </c>
      <c r="EM210" s="15" t="str">
        <f>IFERROR(__xludf.DUMMYFUNCTION("""COMPUTED_VALUE"""),"")</f>
        <v/>
      </c>
      <c r="FL210" s="15" t="s">
        <v>426</v>
      </c>
      <c r="FM210" s="15">
        <v>3.0</v>
      </c>
      <c r="FY210" s="15" t="s">
        <v>3129</v>
      </c>
      <c r="FZ210" s="15" t="s">
        <v>3130</v>
      </c>
      <c r="GA210" s="15" t="s">
        <v>3131</v>
      </c>
      <c r="GB210" s="15" t="s">
        <v>607</v>
      </c>
      <c r="GC210" s="15" t="s">
        <v>3132</v>
      </c>
      <c r="GD210" s="15" t="s">
        <v>3128</v>
      </c>
      <c r="GE210" s="15">
        <v>0.0</v>
      </c>
      <c r="GG210" s="15" t="s">
        <v>785</v>
      </c>
      <c r="GH210" s="15">
        <v>4.0</v>
      </c>
      <c r="GI210" s="15" t="s">
        <v>3133</v>
      </c>
      <c r="GJ210" s="15" t="s">
        <v>786</v>
      </c>
      <c r="GK210" s="15">
        <v>0.0</v>
      </c>
      <c r="GL210" s="15" t="s">
        <v>426</v>
      </c>
      <c r="GN210" s="15" t="s">
        <v>616</v>
      </c>
      <c r="HA210" s="15" t="s">
        <v>607</v>
      </c>
      <c r="HB210" s="15" t="s">
        <v>3127</v>
      </c>
      <c r="HC210" s="15" t="s">
        <v>3128</v>
      </c>
      <c r="HQ210" s="15" t="s">
        <v>823</v>
      </c>
      <c r="HS210" s="15" t="s">
        <v>3134</v>
      </c>
      <c r="HU210" s="15" t="s">
        <v>3135</v>
      </c>
      <c r="HW210" s="15" t="s">
        <v>1957</v>
      </c>
      <c r="IH210" s="15" t="s">
        <v>426</v>
      </c>
    </row>
    <row r="211" ht="15.75" customHeight="1">
      <c r="A211" s="14" t="s">
        <v>391</v>
      </c>
      <c r="B211" s="15" t="s">
        <v>3140</v>
      </c>
      <c r="C211" s="16"/>
      <c r="D211" s="15" t="s">
        <v>432</v>
      </c>
      <c r="G211" s="14" t="s">
        <v>393</v>
      </c>
      <c r="H211" s="14" t="s">
        <v>394</v>
      </c>
      <c r="I211" s="14" t="b">
        <v>1</v>
      </c>
      <c r="J211" s="14" t="s">
        <v>395</v>
      </c>
      <c r="L211" s="14" t="b">
        <v>0</v>
      </c>
      <c r="M211" s="15" t="s">
        <v>3141</v>
      </c>
      <c r="N211" s="14" t="s">
        <v>393</v>
      </c>
      <c r="O211" s="14" t="s">
        <v>393</v>
      </c>
      <c r="P211" s="15" t="s">
        <v>397</v>
      </c>
      <c r="Q211" s="15" t="s">
        <v>3142</v>
      </c>
      <c r="T211" s="14" t="b">
        <v>0</v>
      </c>
      <c r="U211" s="15" t="s">
        <v>3143</v>
      </c>
      <c r="V211" s="15" t="s">
        <v>3144</v>
      </c>
      <c r="W211" s="15" t="s">
        <v>401</v>
      </c>
      <c r="X211" s="15" t="s">
        <v>742</v>
      </c>
      <c r="Y211" s="15">
        <v>4914.0</v>
      </c>
      <c r="AA211" s="15" t="str">
        <f>"1890"</f>
        <v>1890</v>
      </c>
      <c r="AB211" s="14" t="b">
        <v>1</v>
      </c>
      <c r="AC211" s="14" t="b">
        <v>1</v>
      </c>
      <c r="AD211" s="15" t="str">
        <f>"801542805203"</f>
        <v>801542805203</v>
      </c>
      <c r="AE211" s="15" t="s">
        <v>3145</v>
      </c>
      <c r="AF211" s="14" t="s">
        <v>404</v>
      </c>
      <c r="AG211" s="14" t="s">
        <v>405</v>
      </c>
      <c r="AH211" s="14" t="s">
        <v>406</v>
      </c>
      <c r="AI211" s="15">
        <v>0.0</v>
      </c>
      <c r="AL211" s="15" t="s">
        <v>3146</v>
      </c>
      <c r="AM211" s="15" t="s">
        <v>3147</v>
      </c>
      <c r="AN211" s="15" t="s">
        <v>3148</v>
      </c>
      <c r="AO211" s="15" t="s">
        <v>747</v>
      </c>
      <c r="AP211" s="15" t="s">
        <v>748</v>
      </c>
      <c r="AQ211" s="15" t="s">
        <v>1801</v>
      </c>
      <c r="AR211" s="15" t="s">
        <v>1322</v>
      </c>
      <c r="AS211" s="15" t="s">
        <v>2759</v>
      </c>
      <c r="AT211" s="15" t="s">
        <v>3142</v>
      </c>
      <c r="AU211" s="15" t="s">
        <v>3149</v>
      </c>
      <c r="AW211" s="15" t="s">
        <v>412</v>
      </c>
      <c r="AY211" s="15" t="s">
        <v>413</v>
      </c>
      <c r="AZ211" s="15" t="b">
        <v>0</v>
      </c>
      <c r="BA211" s="15" t="s">
        <v>413</v>
      </c>
      <c r="BB211" s="15" t="b">
        <v>0</v>
      </c>
      <c r="BC211" s="15" t="s">
        <v>3150</v>
      </c>
      <c r="BD211" s="15" t="s">
        <v>742</v>
      </c>
      <c r="BE211" s="15" t="str">
        <f t="shared" si="367"/>
        <v>1</v>
      </c>
      <c r="BF211" s="15" t="s">
        <v>416</v>
      </c>
      <c r="BG211" s="15" t="str">
        <f>"91.34"</f>
        <v>91.34</v>
      </c>
      <c r="BH211" s="15" t="s">
        <v>3151</v>
      </c>
      <c r="BI211" s="15" t="str">
        <f>"24.61"</f>
        <v>24.61</v>
      </c>
      <c r="BJ211" s="15" t="s">
        <v>1033</v>
      </c>
      <c r="BK211" s="15" t="str">
        <f>"40.16"</f>
        <v>40.16</v>
      </c>
      <c r="BL211" s="15" t="s">
        <v>667</v>
      </c>
      <c r="BM211" s="15" t="str">
        <f>"341.28"</f>
        <v>341.28</v>
      </c>
      <c r="BN211" s="15" t="s">
        <v>3152</v>
      </c>
      <c r="BQ211" s="15" t="s">
        <v>444</v>
      </c>
      <c r="BS211" s="15" t="s">
        <v>444</v>
      </c>
      <c r="BU211" s="15" t="s">
        <v>444</v>
      </c>
      <c r="BW211" s="15" t="s">
        <v>444</v>
      </c>
      <c r="BZ211" s="15" t="s">
        <v>444</v>
      </c>
      <c r="CB211" s="15" t="s">
        <v>444</v>
      </c>
      <c r="CD211" s="15" t="s">
        <v>444</v>
      </c>
      <c r="CF211" s="15" t="s">
        <v>444</v>
      </c>
      <c r="CI211" s="15" t="s">
        <v>444</v>
      </c>
      <c r="CK211" s="15" t="s">
        <v>444</v>
      </c>
      <c r="CM211" s="15" t="s">
        <v>444</v>
      </c>
      <c r="CO211" s="15" t="s">
        <v>444</v>
      </c>
      <c r="CP211" s="15" t="str">
        <f>"52.23"</f>
        <v>52.23</v>
      </c>
      <c r="CQ211" s="15" t="str">
        <f>"1.479"</f>
        <v>1.479</v>
      </c>
      <c r="CR211" s="15" t="s">
        <v>465</v>
      </c>
      <c r="DC211" s="15" t="str">
        <f>IFERROR(__xludf.DUMMYFUNCTION("""COMPUTED_VALUE"""),"")</f>
        <v/>
      </c>
      <c r="DE211" s="15" t="str">
        <f>IFERROR(__xludf.DUMMYFUNCTION("""COMPUTED_VALUE"""),"")</f>
        <v/>
      </c>
      <c r="DG211" s="15" t="str">
        <f>IFERROR(__xludf.DUMMYFUNCTION("""COMPUTED_VALUE"""),"")</f>
        <v/>
      </c>
      <c r="DL211" s="15" t="str">
        <f>IFERROR(__xludf.DUMMYFUNCTION("""COMPUTED_VALUE"""),"")</f>
        <v/>
      </c>
      <c r="DM211" s="15" t="s">
        <v>444</v>
      </c>
      <c r="DN211" s="15" t="s">
        <v>1371</v>
      </c>
      <c r="DO211" s="15">
        <v>6.0</v>
      </c>
      <c r="DP211" s="15" t="s">
        <v>1185</v>
      </c>
      <c r="DR211" s="15">
        <v>0.0</v>
      </c>
      <c r="DT211" s="15" t="s">
        <v>420</v>
      </c>
      <c r="DU211" s="15" t="s">
        <v>421</v>
      </c>
      <c r="DY211" s="15">
        <v>0.0</v>
      </c>
      <c r="EF211" s="15" t="s">
        <v>422</v>
      </c>
      <c r="EG211" s="15" t="s">
        <v>445</v>
      </c>
      <c r="EH211" s="15" t="s">
        <v>3153</v>
      </c>
      <c r="EJ211" s="15" t="s">
        <v>424</v>
      </c>
      <c r="EK211" s="15" t="s">
        <v>446</v>
      </c>
      <c r="EM211" s="15" t="str">
        <f>IFERROR(__xludf.DUMMYFUNCTION("""COMPUTED_VALUE"""),"")</f>
        <v/>
      </c>
      <c r="EW211" s="15" t="s">
        <v>2162</v>
      </c>
      <c r="FL211" s="15" t="s">
        <v>426</v>
      </c>
      <c r="FM211" s="15">
        <v>0.0</v>
      </c>
      <c r="GH211" s="15">
        <v>0.0</v>
      </c>
      <c r="GI211" s="15" t="s">
        <v>427</v>
      </c>
      <c r="GO211" s="15" t="s">
        <v>426</v>
      </c>
      <c r="GQ211" s="15" t="s">
        <v>3154</v>
      </c>
      <c r="GS211" s="15" t="s">
        <v>3155</v>
      </c>
      <c r="GU211" s="15" t="s">
        <v>3156</v>
      </c>
      <c r="GW211" s="15" t="s">
        <v>431</v>
      </c>
      <c r="GY211" s="15" t="s">
        <v>1190</v>
      </c>
      <c r="GZ211" s="15" t="s">
        <v>426</v>
      </c>
    </row>
    <row r="212" ht="15.75" customHeight="1">
      <c r="A212" s="14" t="s">
        <v>391</v>
      </c>
      <c r="B212" s="15" t="s">
        <v>3157</v>
      </c>
      <c r="C212" s="16"/>
      <c r="D212" s="15" t="s">
        <v>432</v>
      </c>
      <c r="G212" s="14" t="s">
        <v>393</v>
      </c>
      <c r="H212" s="14" t="s">
        <v>394</v>
      </c>
      <c r="I212" s="14" t="b">
        <v>1</v>
      </c>
      <c r="J212" s="14" t="s">
        <v>395</v>
      </c>
      <c r="L212" s="14" t="b">
        <v>0</v>
      </c>
      <c r="M212" s="15" t="s">
        <v>3158</v>
      </c>
      <c r="N212" s="14" t="s">
        <v>393</v>
      </c>
      <c r="O212" s="14" t="s">
        <v>393</v>
      </c>
      <c r="P212" s="15" t="s">
        <v>397</v>
      </c>
      <c r="Q212" s="15" t="s">
        <v>3142</v>
      </c>
      <c r="T212" s="14" t="b">
        <v>0</v>
      </c>
      <c r="U212" s="15" t="s">
        <v>3159</v>
      </c>
      <c r="V212" s="15" t="s">
        <v>2341</v>
      </c>
      <c r="W212" s="15" t="s">
        <v>401</v>
      </c>
      <c r="X212" s="15" t="s">
        <v>742</v>
      </c>
      <c r="Y212" s="15">
        <v>1976.0</v>
      </c>
      <c r="AA212" s="15" t="str">
        <f>"760"</f>
        <v>760</v>
      </c>
      <c r="AB212" s="14" t="b">
        <v>1</v>
      </c>
      <c r="AC212" s="14" t="b">
        <v>1</v>
      </c>
      <c r="AD212" s="15" t="str">
        <f>"801542805210"</f>
        <v>801542805210</v>
      </c>
      <c r="AE212" s="15" t="s">
        <v>3160</v>
      </c>
      <c r="AF212" s="14" t="s">
        <v>404</v>
      </c>
      <c r="AG212" s="14" t="s">
        <v>405</v>
      </c>
      <c r="AH212" s="14" t="s">
        <v>406</v>
      </c>
      <c r="AI212" s="15">
        <v>0.0</v>
      </c>
      <c r="AL212" s="15" t="s">
        <v>3146</v>
      </c>
      <c r="AM212" s="15" t="s">
        <v>2306</v>
      </c>
      <c r="AN212" s="15" t="s">
        <v>2307</v>
      </c>
      <c r="AO212" s="15" t="s">
        <v>1007</v>
      </c>
      <c r="AP212" s="15" t="s">
        <v>1008</v>
      </c>
      <c r="AQ212" s="15" t="s">
        <v>626</v>
      </c>
      <c r="AR212" s="15" t="s">
        <v>627</v>
      </c>
      <c r="AS212" s="15" t="s">
        <v>2759</v>
      </c>
      <c r="AT212" s="15" t="s">
        <v>3142</v>
      </c>
      <c r="AU212" s="15" t="s">
        <v>3149</v>
      </c>
      <c r="AW212" s="15" t="s">
        <v>628</v>
      </c>
      <c r="AY212" s="15" t="s">
        <v>413</v>
      </c>
      <c r="AZ212" s="15" t="b">
        <v>0</v>
      </c>
      <c r="BA212" s="15" t="s">
        <v>413</v>
      </c>
      <c r="BB212" s="15" t="b">
        <v>0</v>
      </c>
      <c r="BC212" s="15" t="s">
        <v>3161</v>
      </c>
      <c r="BD212" s="15" t="s">
        <v>742</v>
      </c>
      <c r="BE212" s="15" t="str">
        <f t="shared" si="367"/>
        <v>1</v>
      </c>
      <c r="BF212" s="15" t="s">
        <v>416</v>
      </c>
      <c r="BG212" s="15" t="str">
        <f>"32.28"</f>
        <v>32.28</v>
      </c>
      <c r="BH212" s="15" t="s">
        <v>954</v>
      </c>
      <c r="BI212" s="15" t="str">
        <f>"21.46"</f>
        <v>21.46</v>
      </c>
      <c r="BJ212" s="15" t="s">
        <v>1385</v>
      </c>
      <c r="BK212" s="15" t="str">
        <f>"28.35"</f>
        <v>28.35</v>
      </c>
      <c r="BL212" s="15" t="s">
        <v>924</v>
      </c>
      <c r="BM212" s="15" t="str">
        <f>"93.26"</f>
        <v>93.26</v>
      </c>
      <c r="BN212" s="15" t="s">
        <v>3162</v>
      </c>
      <c r="BQ212" s="15" t="s">
        <v>444</v>
      </c>
      <c r="BS212" s="15" t="s">
        <v>444</v>
      </c>
      <c r="BU212" s="15" t="s">
        <v>444</v>
      </c>
      <c r="BW212" s="15" t="s">
        <v>444</v>
      </c>
      <c r="BZ212" s="15" t="s">
        <v>444</v>
      </c>
      <c r="CB212" s="15" t="s">
        <v>444</v>
      </c>
      <c r="CD212" s="15" t="s">
        <v>444</v>
      </c>
      <c r="CF212" s="15" t="s">
        <v>444</v>
      </c>
      <c r="CI212" s="15" t="s">
        <v>444</v>
      </c>
      <c r="CK212" s="15" t="s">
        <v>444</v>
      </c>
      <c r="CM212" s="15" t="s">
        <v>444</v>
      </c>
      <c r="CO212" s="15" t="s">
        <v>444</v>
      </c>
      <c r="CP212" s="15" t="str">
        <f>"11.37"</f>
        <v>11.37</v>
      </c>
      <c r="CQ212" s="15" t="str">
        <f>"0.322"</f>
        <v>0.322</v>
      </c>
      <c r="CR212" s="15" t="s">
        <v>465</v>
      </c>
      <c r="DC212" s="15" t="str">
        <f>IFERROR(__xludf.DUMMYFUNCTION("""COMPUTED_VALUE"""),"")</f>
        <v/>
      </c>
      <c r="DE212" s="15" t="str">
        <f>IFERROR(__xludf.DUMMYFUNCTION("""COMPUTED_VALUE"""),"")</f>
        <v/>
      </c>
      <c r="DG212" s="15" t="str">
        <f>IFERROR(__xludf.DUMMYFUNCTION("""COMPUTED_VALUE"""),"")</f>
        <v/>
      </c>
      <c r="DL212" s="15" t="str">
        <f>IFERROR(__xludf.DUMMYFUNCTION("""COMPUTED_VALUE"""),"")</f>
        <v/>
      </c>
      <c r="DM212" s="15" t="s">
        <v>444</v>
      </c>
      <c r="DN212" s="15" t="s">
        <v>418</v>
      </c>
      <c r="DO212" s="15">
        <v>3.0</v>
      </c>
      <c r="DP212" s="15" t="s">
        <v>1185</v>
      </c>
      <c r="DR212" s="15">
        <v>0.0</v>
      </c>
      <c r="DT212" s="15" t="s">
        <v>420</v>
      </c>
      <c r="DU212" s="15" t="s">
        <v>421</v>
      </c>
      <c r="DY212" s="15">
        <v>0.0</v>
      </c>
      <c r="EF212" s="15" t="s">
        <v>471</v>
      </c>
      <c r="EG212" s="15" t="s">
        <v>472</v>
      </c>
      <c r="EH212" s="15" t="s">
        <v>3153</v>
      </c>
      <c r="EJ212" s="15" t="s">
        <v>500</v>
      </c>
      <c r="EK212" s="15" t="s">
        <v>501</v>
      </c>
      <c r="EM212" s="15" t="str">
        <f>IFERROR(__xludf.DUMMYFUNCTION("""COMPUTED_VALUE"""),"")</f>
        <v/>
      </c>
      <c r="EW212" s="15" t="s">
        <v>2969</v>
      </c>
      <c r="FL212" s="15" t="s">
        <v>426</v>
      </c>
      <c r="FM212" s="15">
        <v>0.0</v>
      </c>
      <c r="GH212" s="15">
        <v>0.0</v>
      </c>
      <c r="GI212" s="15" t="s">
        <v>427</v>
      </c>
      <c r="GO212" s="15" t="s">
        <v>426</v>
      </c>
      <c r="GQ212" s="15" t="s">
        <v>3163</v>
      </c>
      <c r="GS212" s="15" t="s">
        <v>3164</v>
      </c>
      <c r="GU212" s="15" t="s">
        <v>3165</v>
      </c>
      <c r="GW212" s="15" t="s">
        <v>431</v>
      </c>
      <c r="GY212" s="15" t="s">
        <v>1190</v>
      </c>
      <c r="GZ212" s="15" t="s">
        <v>426</v>
      </c>
    </row>
    <row r="213" ht="15.75" customHeight="1">
      <c r="A213" s="14" t="s">
        <v>391</v>
      </c>
      <c r="B213" s="15" t="s">
        <v>3166</v>
      </c>
      <c r="C213" s="16"/>
      <c r="D213" s="15" t="s">
        <v>432</v>
      </c>
      <c r="G213" s="14" t="s">
        <v>393</v>
      </c>
      <c r="H213" s="14" t="s">
        <v>394</v>
      </c>
      <c r="I213" s="14" t="b">
        <v>1</v>
      </c>
      <c r="J213" s="14" t="s">
        <v>395</v>
      </c>
      <c r="L213" s="14" t="b">
        <v>0</v>
      </c>
      <c r="M213" s="15" t="s">
        <v>3167</v>
      </c>
      <c r="N213" s="14" t="s">
        <v>393</v>
      </c>
      <c r="O213" s="14" t="s">
        <v>393</v>
      </c>
      <c r="P213" s="15" t="s">
        <v>397</v>
      </c>
      <c r="Q213" s="15" t="s">
        <v>3168</v>
      </c>
      <c r="T213" s="14" t="b">
        <v>0</v>
      </c>
      <c r="U213" s="15" t="s">
        <v>3169</v>
      </c>
      <c r="V213" s="15" t="s">
        <v>3170</v>
      </c>
      <c r="W213" s="15" t="s">
        <v>401</v>
      </c>
      <c r="X213" s="15" t="s">
        <v>695</v>
      </c>
      <c r="Y213" s="15">
        <v>2301.0</v>
      </c>
      <c r="AA213" s="15" t="str">
        <f>"885"</f>
        <v>885</v>
      </c>
      <c r="AB213" s="14" t="b">
        <v>1</v>
      </c>
      <c r="AC213" s="14" t="b">
        <v>1</v>
      </c>
      <c r="AD213" s="15" t="str">
        <f>"801542032456"</f>
        <v>801542032456</v>
      </c>
      <c r="AE213" s="15" t="s">
        <v>3171</v>
      </c>
      <c r="AF213" s="14" t="s">
        <v>404</v>
      </c>
      <c r="AG213" s="14" t="s">
        <v>405</v>
      </c>
      <c r="AH213" s="14" t="s">
        <v>406</v>
      </c>
      <c r="AI213" s="15">
        <v>0.0</v>
      </c>
      <c r="AL213" s="15" t="s">
        <v>3172</v>
      </c>
      <c r="AM213" s="15" t="s">
        <v>2061</v>
      </c>
      <c r="AN213" s="15" t="s">
        <v>2062</v>
      </c>
      <c r="AO213" s="15" t="s">
        <v>2834</v>
      </c>
      <c r="AP213" s="15" t="s">
        <v>2239</v>
      </c>
      <c r="AQ213" s="15" t="s">
        <v>546</v>
      </c>
      <c r="AR213" s="15" t="s">
        <v>547</v>
      </c>
      <c r="AS213" s="15" t="s">
        <v>2343</v>
      </c>
      <c r="AT213" s="15" t="s">
        <v>3168</v>
      </c>
      <c r="AU213" s="15" t="s">
        <v>3173</v>
      </c>
      <c r="AV213" s="15" t="s">
        <v>978</v>
      </c>
      <c r="AW213" s="15" t="s">
        <v>706</v>
      </c>
      <c r="AX213" s="15" t="s">
        <v>707</v>
      </c>
      <c r="AY213" s="15" t="s">
        <v>413</v>
      </c>
      <c r="AZ213" s="15" t="b">
        <v>0</v>
      </c>
      <c r="BA213" s="15" t="s">
        <v>426</v>
      </c>
      <c r="BB213" s="15" t="b">
        <v>1</v>
      </c>
      <c r="BC213" s="15" t="s">
        <v>3174</v>
      </c>
      <c r="BD213" s="15" t="s">
        <v>709</v>
      </c>
      <c r="BE213" s="15" t="str">
        <f t="shared" si="367"/>
        <v>1</v>
      </c>
      <c r="BF213" s="15" t="s">
        <v>1477</v>
      </c>
      <c r="BG213" s="15" t="str">
        <f>"28.74"</f>
        <v>28.74</v>
      </c>
      <c r="BH213" s="15" t="s">
        <v>2113</v>
      </c>
      <c r="BI213" s="15" t="str">
        <f>"37.4"</f>
        <v>37.4</v>
      </c>
      <c r="BJ213" s="15" t="s">
        <v>3175</v>
      </c>
      <c r="BK213" s="15" t="str">
        <f>"32.68"</f>
        <v>32.68</v>
      </c>
      <c r="BL213" s="15" t="s">
        <v>2066</v>
      </c>
      <c r="BM213" s="15" t="str">
        <f>"100.09"</f>
        <v>100.09</v>
      </c>
      <c r="BN213" s="15" t="s">
        <v>3176</v>
      </c>
      <c r="BQ213" s="15" t="s">
        <v>444</v>
      </c>
      <c r="BS213" s="15" t="s">
        <v>444</v>
      </c>
      <c r="BU213" s="15" t="s">
        <v>444</v>
      </c>
      <c r="BW213" s="15" t="s">
        <v>444</v>
      </c>
      <c r="BZ213" s="15" t="s">
        <v>444</v>
      </c>
      <c r="CB213" s="15" t="s">
        <v>444</v>
      </c>
      <c r="CD213" s="15" t="s">
        <v>444</v>
      </c>
      <c r="CF213" s="15" t="s">
        <v>444</v>
      </c>
      <c r="CI213" s="15" t="s">
        <v>444</v>
      </c>
      <c r="CK213" s="15" t="s">
        <v>444</v>
      </c>
      <c r="CM213" s="15" t="s">
        <v>444</v>
      </c>
      <c r="CO213" s="15" t="s">
        <v>444</v>
      </c>
      <c r="CP213" s="15" t="str">
        <f>"18.5"</f>
        <v>18.5</v>
      </c>
      <c r="CQ213" s="15" t="str">
        <f>"0.524"</f>
        <v>0.524</v>
      </c>
      <c r="CR213" s="15" t="s">
        <v>417</v>
      </c>
      <c r="CY213" s="15" t="s">
        <v>525</v>
      </c>
      <c r="CZ213" s="15" t="s">
        <v>477</v>
      </c>
      <c r="DA213" s="15" t="s">
        <v>525</v>
      </c>
      <c r="DB213" s="15" t="s">
        <v>525</v>
      </c>
      <c r="DC213" s="15" t="str">
        <f>IFERROR(__xludf.DUMMYFUNCTION("""COMPUTED_VALUE"""),"{""value"":23.00,""unit"":""in""}")</f>
        <v>{"value":23.00,"unit":"in"}</v>
      </c>
      <c r="DD213" s="15" t="s">
        <v>467</v>
      </c>
      <c r="DE213" s="15" t="str">
        <f>IFERROR(__xludf.DUMMYFUNCTION("""COMPUTED_VALUE"""),"{""value"":19.00,""unit"":""in""}")</f>
        <v>{"value":19.00,"unit":"in"}</v>
      </c>
      <c r="DF213" s="15" t="s">
        <v>525</v>
      </c>
      <c r="DG213" s="15" t="str">
        <f>IFERROR(__xludf.DUMMYFUNCTION("""COMPUTED_VALUE"""),"{""value"":23.00,""unit"":""in""}")</f>
        <v>{"value":23.00,"unit":"in"}</v>
      </c>
      <c r="DH213" s="15">
        <v>0.0</v>
      </c>
      <c r="DI213" s="15">
        <v>1.0</v>
      </c>
      <c r="DJ213" s="15" t="s">
        <v>717</v>
      </c>
      <c r="DK213" s="15" t="s">
        <v>934</v>
      </c>
      <c r="DL213" s="15" t="str">
        <f>IFERROR(__xludf.DUMMYFUNCTION("""COMPUTED_VALUE"""),"Spot clean with water-based or solvent-based cleaner. Use mild detergent or upholstery shampoo.")</f>
        <v>Spot clean with water-based or solvent-based cleaner. Use mild detergent or upholstery shampoo.</v>
      </c>
      <c r="DM213" s="15" t="s">
        <v>935</v>
      </c>
      <c r="DT213" s="15" t="s">
        <v>721</v>
      </c>
      <c r="DU213" s="15" t="s">
        <v>419</v>
      </c>
      <c r="DV213" s="15">
        <v>0.0</v>
      </c>
      <c r="DZ213" s="15">
        <v>200000.0</v>
      </c>
      <c r="EA213" s="15" t="s">
        <v>2733</v>
      </c>
      <c r="EB213" s="15" t="s">
        <v>723</v>
      </c>
      <c r="EC213" s="15" t="s">
        <v>1076</v>
      </c>
      <c r="ED213" s="15">
        <v>1.0</v>
      </c>
      <c r="EE213" s="15">
        <v>1.0</v>
      </c>
      <c r="EG213" s="15" t="s">
        <v>444</v>
      </c>
      <c r="EH213" s="15" t="s">
        <v>3177</v>
      </c>
      <c r="EI213" s="15">
        <v>0.0</v>
      </c>
      <c r="EJ213" s="15" t="s">
        <v>726</v>
      </c>
      <c r="EK213" s="15" t="s">
        <v>727</v>
      </c>
      <c r="EL213" s="15" t="s">
        <v>1211</v>
      </c>
      <c r="EM213" s="15" t="str">
        <f>IFERROR(__xludf.DUMMYFUNCTION("""COMPUTED_VALUE"""),"{""value"":24.00,""unit"":""in""}")</f>
        <v>{"value":24.00,"unit":"in"}</v>
      </c>
      <c r="EN213" s="15" t="s">
        <v>477</v>
      </c>
      <c r="EO213" s="15" t="s">
        <v>1993</v>
      </c>
      <c r="ES213" s="15" t="s">
        <v>1188</v>
      </c>
      <c r="ET213" s="15" t="s">
        <v>429</v>
      </c>
      <c r="EU213" s="15" t="s">
        <v>1576</v>
      </c>
      <c r="EV213" s="15" t="s">
        <v>525</v>
      </c>
      <c r="EW213" s="15" t="s">
        <v>1592</v>
      </c>
      <c r="EY213" s="15" t="s">
        <v>525</v>
      </c>
      <c r="EZ213" s="15" t="s">
        <v>1576</v>
      </c>
      <c r="FC213" s="15" t="s">
        <v>723</v>
      </c>
      <c r="FD213" s="15" t="s">
        <v>1076</v>
      </c>
      <c r="FF213" s="15" t="s">
        <v>1255</v>
      </c>
      <c r="FQ213" s="15">
        <v>0.0</v>
      </c>
      <c r="FR213" s="15">
        <v>0.0</v>
      </c>
      <c r="FT213" s="15">
        <v>0.0</v>
      </c>
    </row>
    <row r="214" ht="15.75" customHeight="1">
      <c r="A214" s="14" t="s">
        <v>391</v>
      </c>
      <c r="B214" s="15" t="s">
        <v>3178</v>
      </c>
      <c r="C214" s="16"/>
      <c r="D214" s="15" t="s">
        <v>432</v>
      </c>
      <c r="G214" s="14" t="s">
        <v>393</v>
      </c>
      <c r="H214" s="14" t="s">
        <v>394</v>
      </c>
      <c r="I214" s="14" t="b">
        <v>1</v>
      </c>
      <c r="J214" s="14" t="s">
        <v>395</v>
      </c>
      <c r="L214" s="14" t="b">
        <v>0</v>
      </c>
      <c r="M214" s="15" t="s">
        <v>3179</v>
      </c>
      <c r="N214" s="14" t="s">
        <v>393</v>
      </c>
      <c r="O214" s="14" t="s">
        <v>393</v>
      </c>
      <c r="P214" s="15" t="s">
        <v>397</v>
      </c>
      <c r="Q214" s="15" t="s">
        <v>3180</v>
      </c>
      <c r="T214" s="14" t="b">
        <v>0</v>
      </c>
      <c r="U214" s="15" t="s">
        <v>3181</v>
      </c>
      <c r="V214" s="15" t="s">
        <v>3182</v>
      </c>
      <c r="W214" s="15" t="s">
        <v>401</v>
      </c>
      <c r="X214" s="15" t="s">
        <v>695</v>
      </c>
      <c r="Y214" s="15">
        <v>1040.0</v>
      </c>
      <c r="AA214" s="15" t="str">
        <f>"400"</f>
        <v>400</v>
      </c>
      <c r="AB214" s="14" t="b">
        <v>1</v>
      </c>
      <c r="AC214" s="14" t="b">
        <v>1</v>
      </c>
      <c r="AD214" s="15" t="str">
        <f>"801542811792"</f>
        <v>801542811792</v>
      </c>
      <c r="AE214" s="15" t="s">
        <v>3183</v>
      </c>
      <c r="AF214" s="14" t="s">
        <v>404</v>
      </c>
      <c r="AG214" s="14" t="s">
        <v>405</v>
      </c>
      <c r="AH214" s="14" t="s">
        <v>406</v>
      </c>
      <c r="AI214" s="15">
        <v>0.0</v>
      </c>
      <c r="AL214" s="15" t="s">
        <v>1523</v>
      </c>
      <c r="AM214" s="15" t="s">
        <v>1874</v>
      </c>
      <c r="AN214" s="15" t="s">
        <v>1875</v>
      </c>
      <c r="AO214" s="15" t="s">
        <v>1874</v>
      </c>
      <c r="AP214" s="15" t="s">
        <v>1875</v>
      </c>
      <c r="AQ214" s="15" t="s">
        <v>3184</v>
      </c>
      <c r="AR214" s="15" t="s">
        <v>2878</v>
      </c>
      <c r="AS214" s="15" t="s">
        <v>3185</v>
      </c>
      <c r="AT214" s="15" t="s">
        <v>3180</v>
      </c>
      <c r="AW214" s="15" t="s">
        <v>1154</v>
      </c>
      <c r="AY214" s="15" t="s">
        <v>413</v>
      </c>
      <c r="AZ214" s="15" t="b">
        <v>0</v>
      </c>
      <c r="BA214" s="15" t="s">
        <v>413</v>
      </c>
      <c r="BB214" s="15" t="b">
        <v>0</v>
      </c>
      <c r="BC214" s="15" t="s">
        <v>3186</v>
      </c>
      <c r="BD214" s="15" t="s">
        <v>709</v>
      </c>
      <c r="BE214" s="15" t="str">
        <f t="shared" si="367"/>
        <v>1</v>
      </c>
      <c r="BF214" s="15" t="s">
        <v>416</v>
      </c>
      <c r="BG214" s="15" t="str">
        <f>"21.06"</f>
        <v>21.06</v>
      </c>
      <c r="BH214" s="15" t="s">
        <v>3187</v>
      </c>
      <c r="BI214" s="15" t="str">
        <f>"21.06"</f>
        <v>21.06</v>
      </c>
      <c r="BJ214" s="15" t="s">
        <v>3187</v>
      </c>
      <c r="BK214" s="15" t="str">
        <f>"26.38"</f>
        <v>26.38</v>
      </c>
      <c r="BL214" s="15" t="s">
        <v>1735</v>
      </c>
      <c r="BM214" s="15" t="str">
        <f>"33.07"</f>
        <v>33.07</v>
      </c>
      <c r="BN214" s="15" t="s">
        <v>3188</v>
      </c>
      <c r="BQ214" s="15" t="s">
        <v>444</v>
      </c>
      <c r="BS214" s="15" t="s">
        <v>444</v>
      </c>
      <c r="BU214" s="15" t="s">
        <v>444</v>
      </c>
      <c r="BW214" s="15" t="s">
        <v>444</v>
      </c>
      <c r="BZ214" s="15" t="s">
        <v>444</v>
      </c>
      <c r="CB214" s="15" t="s">
        <v>444</v>
      </c>
      <c r="CD214" s="15" t="s">
        <v>444</v>
      </c>
      <c r="CF214" s="15" t="s">
        <v>444</v>
      </c>
      <c r="CI214" s="15" t="s">
        <v>444</v>
      </c>
      <c r="CK214" s="15" t="s">
        <v>444</v>
      </c>
      <c r="CM214" s="15" t="s">
        <v>444</v>
      </c>
      <c r="CO214" s="15" t="s">
        <v>444</v>
      </c>
      <c r="CP214" s="15" t="str">
        <f>"6.78"</f>
        <v>6.78</v>
      </c>
      <c r="CQ214" s="15" t="str">
        <f>"0.192"</f>
        <v>0.192</v>
      </c>
      <c r="CR214" s="15" t="s">
        <v>497</v>
      </c>
      <c r="DC214" s="15" t="str">
        <f>IFERROR(__xludf.DUMMYFUNCTION("""COMPUTED_VALUE"""),"")</f>
        <v/>
      </c>
      <c r="DE214" s="15" t="str">
        <f>IFERROR(__xludf.DUMMYFUNCTION("""COMPUTED_VALUE"""),"")</f>
        <v/>
      </c>
      <c r="DG214" s="15" t="str">
        <f>IFERROR(__xludf.DUMMYFUNCTION("""COMPUTED_VALUE"""),"")</f>
        <v/>
      </c>
      <c r="DL214" s="15" t="str">
        <f>IFERROR(__xludf.DUMMYFUNCTION("""COMPUTED_VALUE"""),"")</f>
        <v/>
      </c>
      <c r="DM214" s="15" t="s">
        <v>444</v>
      </c>
      <c r="DN214" s="15" t="s">
        <v>419</v>
      </c>
      <c r="DO214" s="15">
        <v>0.0</v>
      </c>
      <c r="DP214" s="15" t="s">
        <v>419</v>
      </c>
      <c r="DR214" s="15">
        <v>0.0</v>
      </c>
      <c r="DT214" s="15" t="s">
        <v>1186</v>
      </c>
      <c r="DU214" s="15" t="s">
        <v>419</v>
      </c>
      <c r="DY214" s="15">
        <v>0.0</v>
      </c>
      <c r="EF214" s="15" t="s">
        <v>1157</v>
      </c>
      <c r="EG214" s="15" t="s">
        <v>1158</v>
      </c>
      <c r="EH214" s="15" t="s">
        <v>3189</v>
      </c>
      <c r="EJ214" s="15" t="s">
        <v>500</v>
      </c>
      <c r="EK214" s="15" t="s">
        <v>501</v>
      </c>
      <c r="EM214" s="15" t="str">
        <f>IFERROR(__xludf.DUMMYFUNCTION("""COMPUTED_VALUE"""),"")</f>
        <v/>
      </c>
      <c r="EW214" s="15" t="s">
        <v>2046</v>
      </c>
      <c r="FH214" s="15" t="s">
        <v>2159</v>
      </c>
      <c r="FI214" s="15" t="s">
        <v>2046</v>
      </c>
      <c r="FJ214" s="15" t="s">
        <v>2159</v>
      </c>
      <c r="FK214" s="15" t="s">
        <v>1488</v>
      </c>
      <c r="FL214" s="15" t="s">
        <v>426</v>
      </c>
      <c r="FM214" s="15">
        <v>0.0</v>
      </c>
      <c r="FN214" s="15">
        <v>0.0</v>
      </c>
      <c r="FW214" s="15" t="s">
        <v>1957</v>
      </c>
    </row>
    <row r="215" ht="15.75" customHeight="1">
      <c r="A215" s="14" t="s">
        <v>391</v>
      </c>
      <c r="B215" s="15" t="s">
        <v>3190</v>
      </c>
      <c r="C215" s="16"/>
      <c r="D215" s="15" t="s">
        <v>432</v>
      </c>
      <c r="G215" s="14" t="s">
        <v>393</v>
      </c>
      <c r="H215" s="14" t="s">
        <v>394</v>
      </c>
      <c r="I215" s="14" t="b">
        <v>1</v>
      </c>
      <c r="J215" s="14" t="s">
        <v>395</v>
      </c>
      <c r="L215" s="14" t="b">
        <v>0</v>
      </c>
      <c r="M215" s="15" t="s">
        <v>3191</v>
      </c>
      <c r="N215" s="14" t="s">
        <v>393</v>
      </c>
      <c r="O215" s="14" t="s">
        <v>393</v>
      </c>
      <c r="P215" s="15" t="s">
        <v>397</v>
      </c>
      <c r="Q215" s="15" t="s">
        <v>3192</v>
      </c>
      <c r="T215" s="14" t="b">
        <v>0</v>
      </c>
      <c r="U215" s="15" t="s">
        <v>3193</v>
      </c>
      <c r="V215" s="15" t="s">
        <v>3194</v>
      </c>
      <c r="W215" s="15" t="s">
        <v>401</v>
      </c>
      <c r="X215" s="15" t="s">
        <v>695</v>
      </c>
      <c r="Y215" s="15">
        <v>1430.0</v>
      </c>
      <c r="AA215" s="15" t="str">
        <f t="shared" ref="AA215:AA216" si="402">"550"</f>
        <v>550</v>
      </c>
      <c r="AB215" s="14" t="b">
        <v>1</v>
      </c>
      <c r="AC215" s="14" t="b">
        <v>1</v>
      </c>
      <c r="AD215" s="15" t="str">
        <f>"198394053754"</f>
        <v>198394053754</v>
      </c>
      <c r="AE215" s="15" t="s">
        <v>3195</v>
      </c>
      <c r="AF215" s="14" t="s">
        <v>404</v>
      </c>
      <c r="AG215" s="14" t="s">
        <v>405</v>
      </c>
      <c r="AH215" s="14" t="s">
        <v>406</v>
      </c>
      <c r="AI215" s="15">
        <v>0.0</v>
      </c>
      <c r="AL215" s="15" t="s">
        <v>3196</v>
      </c>
      <c r="AM215" s="15" t="s">
        <v>3197</v>
      </c>
      <c r="AN215" s="15" t="s">
        <v>3198</v>
      </c>
      <c r="AO215" s="15" t="s">
        <v>1801</v>
      </c>
      <c r="AP215" s="15" t="s">
        <v>1322</v>
      </c>
      <c r="AQ215" s="15" t="s">
        <v>515</v>
      </c>
      <c r="AR215" s="15" t="s">
        <v>516</v>
      </c>
      <c r="AS215" s="15" t="s">
        <v>2193</v>
      </c>
      <c r="AT215" s="15" t="s">
        <v>3192</v>
      </c>
      <c r="AU215" s="15" t="s">
        <v>3199</v>
      </c>
      <c r="AW215" s="15" t="s">
        <v>458</v>
      </c>
      <c r="AX215" s="15" t="s">
        <v>459</v>
      </c>
      <c r="AY215" s="15" t="s">
        <v>413</v>
      </c>
      <c r="AZ215" s="15" t="b">
        <v>0</v>
      </c>
      <c r="BA215" s="15" t="s">
        <v>413</v>
      </c>
      <c r="BB215" s="15" t="b">
        <v>0</v>
      </c>
      <c r="BC215" s="15" t="s">
        <v>3200</v>
      </c>
      <c r="BD215" s="15" t="s">
        <v>709</v>
      </c>
      <c r="BE215" s="15" t="str">
        <f t="shared" si="367"/>
        <v>1</v>
      </c>
      <c r="BF215" s="15" t="s">
        <v>416</v>
      </c>
      <c r="BG215" s="15" t="str">
        <f>"74.02"</f>
        <v>74.02</v>
      </c>
      <c r="BH215" s="15" t="s">
        <v>3201</v>
      </c>
      <c r="BI215" s="15" t="str">
        <f>"33.07"</f>
        <v>33.07</v>
      </c>
      <c r="BJ215" s="15" t="s">
        <v>1091</v>
      </c>
      <c r="BK215" s="15" t="str">
        <f>"21.65"</f>
        <v>21.65</v>
      </c>
      <c r="BL215" s="15" t="s">
        <v>1506</v>
      </c>
      <c r="BM215" s="15" t="str">
        <f>"109.35"</f>
        <v>109.35</v>
      </c>
      <c r="BN215" s="15" t="s">
        <v>3202</v>
      </c>
      <c r="BQ215" s="15" t="s">
        <v>444</v>
      </c>
      <c r="BS215" s="15" t="s">
        <v>444</v>
      </c>
      <c r="BU215" s="15" t="s">
        <v>444</v>
      </c>
      <c r="BW215" s="15" t="s">
        <v>444</v>
      </c>
      <c r="BZ215" s="15" t="s">
        <v>444</v>
      </c>
      <c r="CB215" s="15" t="s">
        <v>444</v>
      </c>
      <c r="CD215" s="15" t="s">
        <v>444</v>
      </c>
      <c r="CF215" s="15" t="s">
        <v>444</v>
      </c>
      <c r="CI215" s="15" t="s">
        <v>444</v>
      </c>
      <c r="CK215" s="15" t="s">
        <v>444</v>
      </c>
      <c r="CM215" s="15" t="s">
        <v>444</v>
      </c>
      <c r="CO215" s="15" t="s">
        <v>444</v>
      </c>
      <c r="CP215" s="15" t="str">
        <f>"30.65"</f>
        <v>30.65</v>
      </c>
      <c r="CQ215" s="15" t="str">
        <f>"0.868"</f>
        <v>0.868</v>
      </c>
      <c r="CR215" s="15" t="s">
        <v>497</v>
      </c>
      <c r="DB215" s="15" t="s">
        <v>2735</v>
      </c>
      <c r="DC215" s="15" t="str">
        <f>IFERROR(__xludf.DUMMYFUNCTION("""COMPUTED_VALUE"""),"{""value"":23.25,""unit"":""in""}")</f>
        <v>{"value":23.25,"unit":"in"}</v>
      </c>
      <c r="DD215" s="15" t="s">
        <v>3203</v>
      </c>
      <c r="DE215" s="15" t="str">
        <f>IFERROR(__xludf.DUMMYFUNCTION("""COMPUTED_VALUE"""),"{""value"":20.25,""unit"":""in""}")</f>
        <v>{"value":20.25,"unit":"in"}</v>
      </c>
      <c r="DF215" s="15" t="s">
        <v>3204</v>
      </c>
      <c r="DG215" s="15" t="str">
        <f>IFERROR(__xludf.DUMMYFUNCTION("""COMPUTED_VALUE"""),"{""value"":73.00,""unit"":""in""}")</f>
        <v>{"value":73.00,"unit":"in"}</v>
      </c>
      <c r="DH215" s="15">
        <v>0.0</v>
      </c>
      <c r="DI215" s="15">
        <v>0.0</v>
      </c>
      <c r="DJ215" s="15" t="s">
        <v>469</v>
      </c>
      <c r="DK215" s="15" t="s">
        <v>934</v>
      </c>
      <c r="DL215" s="15" t="str">
        <f>IFERROR(__xludf.DUMMYFUNCTION("""COMPUTED_VALUE"""),"Spot clean with water-based or solvent-based cleaner. Use mild detergent or upholstery shampoo.")</f>
        <v>Spot clean with water-based or solvent-based cleaner. Use mild detergent or upholstery shampoo.</v>
      </c>
      <c r="DM215" s="15" t="s">
        <v>935</v>
      </c>
      <c r="DN215" s="15" t="s">
        <v>419</v>
      </c>
      <c r="DO215" s="15">
        <v>0.0</v>
      </c>
      <c r="DP215" s="15" t="s">
        <v>419</v>
      </c>
      <c r="DR215" s="15">
        <v>0.0</v>
      </c>
      <c r="DU215" s="15" t="s">
        <v>419</v>
      </c>
      <c r="DV215" s="15">
        <v>0.0</v>
      </c>
      <c r="DW215" s="15">
        <v>0.0</v>
      </c>
      <c r="DX215" s="15">
        <v>0.0</v>
      </c>
      <c r="DY215" s="15">
        <v>0.0</v>
      </c>
      <c r="DZ215" s="15">
        <v>50000.0</v>
      </c>
      <c r="EA215" s="15" t="s">
        <v>470</v>
      </c>
      <c r="ED215" s="15">
        <v>0.0</v>
      </c>
      <c r="EE215" s="15">
        <v>3.0</v>
      </c>
      <c r="EF215" s="15" t="s">
        <v>1112</v>
      </c>
      <c r="EG215" s="15" t="s">
        <v>1113</v>
      </c>
      <c r="EH215" s="15" t="s">
        <v>3205</v>
      </c>
      <c r="EI215" s="15">
        <v>0.0</v>
      </c>
      <c r="EJ215" s="15" t="s">
        <v>473</v>
      </c>
      <c r="EK215" s="15" t="s">
        <v>474</v>
      </c>
      <c r="EM215" s="15" t="str">
        <f>IFERROR(__xludf.DUMMYFUNCTION("""COMPUTED_VALUE"""),"")</f>
        <v/>
      </c>
      <c r="FF215" s="15" t="s">
        <v>1290</v>
      </c>
      <c r="FL215" s="15" t="s">
        <v>426</v>
      </c>
    </row>
    <row r="216" ht="15.75" customHeight="1">
      <c r="A216" s="14" t="s">
        <v>391</v>
      </c>
      <c r="B216" s="15" t="s">
        <v>3206</v>
      </c>
      <c r="C216" s="16"/>
      <c r="D216" s="15" t="s">
        <v>432</v>
      </c>
      <c r="G216" s="14" t="s">
        <v>393</v>
      </c>
      <c r="H216" s="14" t="s">
        <v>394</v>
      </c>
      <c r="I216" s="14" t="b">
        <v>1</v>
      </c>
      <c r="J216" s="14" t="s">
        <v>395</v>
      </c>
      <c r="L216" s="14" t="b">
        <v>0</v>
      </c>
      <c r="M216" s="15" t="s">
        <v>3207</v>
      </c>
      <c r="N216" s="14" t="s">
        <v>393</v>
      </c>
      <c r="O216" s="14" t="s">
        <v>393</v>
      </c>
      <c r="P216" s="15" t="s">
        <v>397</v>
      </c>
      <c r="Q216" s="15" t="s">
        <v>3208</v>
      </c>
      <c r="T216" s="14" t="b">
        <v>0</v>
      </c>
      <c r="U216" s="15" t="s">
        <v>3209</v>
      </c>
      <c r="V216" s="15" t="s">
        <v>1314</v>
      </c>
      <c r="W216" s="15" t="s">
        <v>401</v>
      </c>
      <c r="X216" s="15" t="s">
        <v>695</v>
      </c>
      <c r="Y216" s="15">
        <v>1430.0</v>
      </c>
      <c r="AA216" s="15" t="str">
        <f t="shared" si="402"/>
        <v>550</v>
      </c>
      <c r="AB216" s="14" t="b">
        <v>1</v>
      </c>
      <c r="AC216" s="14" t="b">
        <v>1</v>
      </c>
      <c r="AD216" s="15" t="str">
        <f>"801542432140"</f>
        <v>801542432140</v>
      </c>
      <c r="AE216" s="15" t="s">
        <v>3210</v>
      </c>
      <c r="AF216" s="14" t="s">
        <v>404</v>
      </c>
      <c r="AG216" s="14" t="s">
        <v>405</v>
      </c>
      <c r="AH216" s="14" t="s">
        <v>406</v>
      </c>
      <c r="AI216" s="15">
        <v>0.0</v>
      </c>
      <c r="AL216" s="15" t="s">
        <v>3211</v>
      </c>
      <c r="AM216" s="15" t="s">
        <v>1274</v>
      </c>
      <c r="AN216" s="15" t="s">
        <v>1275</v>
      </c>
      <c r="AO216" s="15" t="s">
        <v>1222</v>
      </c>
      <c r="AP216" s="15" t="s">
        <v>1223</v>
      </c>
      <c r="AQ216" s="15" t="s">
        <v>1274</v>
      </c>
      <c r="AR216" s="15" t="s">
        <v>1275</v>
      </c>
      <c r="AS216" s="15" t="s">
        <v>1628</v>
      </c>
      <c r="AT216" s="15" t="s">
        <v>3208</v>
      </c>
      <c r="AU216" s="15" t="s">
        <v>2801</v>
      </c>
      <c r="AW216" s="15" t="s">
        <v>706</v>
      </c>
      <c r="AX216" s="15" t="s">
        <v>707</v>
      </c>
      <c r="AY216" s="15" t="s">
        <v>413</v>
      </c>
      <c r="AZ216" s="15" t="b">
        <v>0</v>
      </c>
      <c r="BA216" s="15" t="s">
        <v>413</v>
      </c>
      <c r="BB216" s="15" t="b">
        <v>0</v>
      </c>
      <c r="BC216" s="15" t="s">
        <v>3212</v>
      </c>
      <c r="BD216" s="15" t="s">
        <v>709</v>
      </c>
      <c r="BE216" s="15" t="str">
        <f t="shared" si="367"/>
        <v>1</v>
      </c>
      <c r="BF216" s="15" t="s">
        <v>1208</v>
      </c>
      <c r="BG216" s="15" t="str">
        <f>"29.92"</f>
        <v>29.92</v>
      </c>
      <c r="BH216" s="15" t="s">
        <v>1321</v>
      </c>
      <c r="BI216" s="15" t="str">
        <f>"34.65"</f>
        <v>34.65</v>
      </c>
      <c r="BJ216" s="15" t="s">
        <v>1229</v>
      </c>
      <c r="BK216" s="15" t="str">
        <f>"31.1"</f>
        <v>31.1</v>
      </c>
      <c r="BL216" s="15" t="s">
        <v>1386</v>
      </c>
      <c r="BM216" s="15" t="str">
        <f>"48.72"</f>
        <v>48.72</v>
      </c>
      <c r="BN216" s="15" t="s">
        <v>3213</v>
      </c>
      <c r="BQ216" s="15" t="s">
        <v>444</v>
      </c>
      <c r="BS216" s="15" t="s">
        <v>444</v>
      </c>
      <c r="BU216" s="15" t="s">
        <v>444</v>
      </c>
      <c r="BW216" s="15" t="s">
        <v>444</v>
      </c>
      <c r="BZ216" s="15" t="s">
        <v>444</v>
      </c>
      <c r="CB216" s="15" t="s">
        <v>444</v>
      </c>
      <c r="CD216" s="15" t="s">
        <v>444</v>
      </c>
      <c r="CF216" s="15" t="s">
        <v>444</v>
      </c>
      <c r="CI216" s="15" t="s">
        <v>444</v>
      </c>
      <c r="CK216" s="15" t="s">
        <v>444</v>
      </c>
      <c r="CM216" s="15" t="s">
        <v>444</v>
      </c>
      <c r="CO216" s="15" t="s">
        <v>444</v>
      </c>
      <c r="CP216" s="15" t="str">
        <f>"15.82"</f>
        <v>15.82</v>
      </c>
      <c r="CQ216" s="15" t="str">
        <f>"0.448"</f>
        <v>0.448</v>
      </c>
      <c r="CR216" s="15" t="s">
        <v>465</v>
      </c>
      <c r="CY216" s="15" t="s">
        <v>555</v>
      </c>
      <c r="CZ216" s="15" t="s">
        <v>1069</v>
      </c>
      <c r="DA216" s="15" t="s">
        <v>2839</v>
      </c>
      <c r="DB216" s="15" t="s">
        <v>2384</v>
      </c>
      <c r="DC216" s="15" t="str">
        <f>IFERROR(__xludf.DUMMYFUNCTION("""COMPUTED_VALUE"""),"{""value"":24.50,""unit"":""in""}")</f>
        <v>{"value":24.50,"unit":"in"}</v>
      </c>
      <c r="DD216" s="15" t="s">
        <v>788</v>
      </c>
      <c r="DE216" s="15" t="str">
        <f>IFERROR(__xludf.DUMMYFUNCTION("""COMPUTED_VALUE"""),"{""value"":16.50,""unit"":""in""}")</f>
        <v>{"value":16.50,"unit":"in"}</v>
      </c>
      <c r="DG216" s="15" t="str">
        <f>IFERROR(__xludf.DUMMYFUNCTION("""COMPUTED_VALUE"""),"")</f>
        <v/>
      </c>
      <c r="DH216" s="15">
        <v>0.0</v>
      </c>
      <c r="DI216" s="15">
        <v>1.0</v>
      </c>
      <c r="DJ216" s="15" t="s">
        <v>469</v>
      </c>
      <c r="DK216" s="15" t="s">
        <v>855</v>
      </c>
      <c r="DL216" s="15" t="str">
        <f>IFERROR(__xludf.DUMMYFUNCTION("""COMPUTED_VALUE"""),"Clean with solvent-based (dry clean only) products. Do not use water.")</f>
        <v>Clean with solvent-based (dry clean only) products. Do not use water.</v>
      </c>
      <c r="DM216" s="15" t="s">
        <v>856</v>
      </c>
      <c r="DT216" s="15" t="s">
        <v>721</v>
      </c>
      <c r="DU216" s="15" t="s">
        <v>419</v>
      </c>
      <c r="DV216" s="15">
        <v>0.0</v>
      </c>
      <c r="DZ216" s="15">
        <v>25000.0</v>
      </c>
      <c r="EA216" s="15" t="s">
        <v>470</v>
      </c>
      <c r="EB216" s="15" t="s">
        <v>1016</v>
      </c>
      <c r="EC216" s="15" t="s">
        <v>1701</v>
      </c>
      <c r="ED216" s="15">
        <v>1.0</v>
      </c>
      <c r="EE216" s="15">
        <v>1.0</v>
      </c>
      <c r="EG216" s="15" t="s">
        <v>444</v>
      </c>
      <c r="EH216" s="15" t="s">
        <v>3214</v>
      </c>
      <c r="EI216" s="15">
        <v>0.0</v>
      </c>
      <c r="EJ216" s="15" t="s">
        <v>726</v>
      </c>
      <c r="EK216" s="15" t="s">
        <v>727</v>
      </c>
      <c r="EM216" s="15" t="str">
        <f>IFERROR(__xludf.DUMMYFUNCTION("""COMPUTED_VALUE"""),"")</f>
        <v/>
      </c>
      <c r="ET216" s="15" t="s">
        <v>429</v>
      </c>
      <c r="EU216" s="15" t="s">
        <v>1213</v>
      </c>
      <c r="EV216" s="15" t="s">
        <v>1283</v>
      </c>
      <c r="EW216" s="15" t="s">
        <v>2402</v>
      </c>
      <c r="EX216" s="15" t="s">
        <v>1211</v>
      </c>
      <c r="EY216" s="15" t="s">
        <v>1212</v>
      </c>
      <c r="EZ216" s="15" t="s">
        <v>1329</v>
      </c>
      <c r="FC216" s="15" t="s">
        <v>1016</v>
      </c>
      <c r="FD216" s="15" t="s">
        <v>1701</v>
      </c>
      <c r="FF216" s="15" t="s">
        <v>997</v>
      </c>
      <c r="FO216" s="15" t="s">
        <v>1806</v>
      </c>
      <c r="FP216" s="15" t="s">
        <v>2839</v>
      </c>
      <c r="FQ216" s="15">
        <v>0.0</v>
      </c>
      <c r="FR216" s="15">
        <v>0.0</v>
      </c>
      <c r="FT216" s="15">
        <v>0.0</v>
      </c>
    </row>
    <row r="217" ht="15.75" customHeight="1">
      <c r="A217" s="14" t="s">
        <v>391</v>
      </c>
      <c r="B217" s="15" t="s">
        <v>3215</v>
      </c>
      <c r="C217" s="16"/>
      <c r="D217" s="15" t="s">
        <v>432</v>
      </c>
      <c r="G217" s="14" t="s">
        <v>393</v>
      </c>
      <c r="H217" s="14" t="s">
        <v>394</v>
      </c>
      <c r="I217" s="14" t="b">
        <v>1</v>
      </c>
      <c r="J217" s="14" t="s">
        <v>395</v>
      </c>
      <c r="L217" s="14" t="b">
        <v>0</v>
      </c>
      <c r="M217" s="15" t="s">
        <v>3216</v>
      </c>
      <c r="N217" s="14" t="s">
        <v>393</v>
      </c>
      <c r="O217" s="14" t="s">
        <v>393</v>
      </c>
      <c r="P217" s="15" t="s">
        <v>397</v>
      </c>
      <c r="Q217" s="15" t="s">
        <v>3217</v>
      </c>
      <c r="T217" s="14" t="b">
        <v>0</v>
      </c>
      <c r="U217" s="15" t="s">
        <v>3218</v>
      </c>
      <c r="V217" s="15" t="s">
        <v>3219</v>
      </c>
      <c r="W217" s="15" t="s">
        <v>401</v>
      </c>
      <c r="X217" s="15" t="s">
        <v>742</v>
      </c>
      <c r="Y217" s="15">
        <v>2080.0</v>
      </c>
      <c r="AA217" s="15" t="str">
        <f>"800"</f>
        <v>800</v>
      </c>
      <c r="AB217" s="14" t="b">
        <v>1</v>
      </c>
      <c r="AC217" s="14" t="b">
        <v>1</v>
      </c>
      <c r="AD217" s="15" t="str">
        <f>"801542332655"</f>
        <v>801542332655</v>
      </c>
      <c r="AE217" s="15" t="s">
        <v>3220</v>
      </c>
      <c r="AF217" s="14" t="s">
        <v>404</v>
      </c>
      <c r="AG217" s="14" t="s">
        <v>405</v>
      </c>
      <c r="AH217" s="14" t="s">
        <v>406</v>
      </c>
      <c r="AI217" s="15">
        <v>0.0</v>
      </c>
      <c r="AL217" s="15" t="s">
        <v>1025</v>
      </c>
      <c r="AM217" s="15" t="s">
        <v>2151</v>
      </c>
      <c r="AN217" s="15" t="s">
        <v>2152</v>
      </c>
      <c r="AO217" s="15" t="s">
        <v>456</v>
      </c>
      <c r="AP217" s="15" t="s">
        <v>457</v>
      </c>
      <c r="AQ217" s="15" t="s">
        <v>1175</v>
      </c>
      <c r="AR217" s="15" t="s">
        <v>1176</v>
      </c>
      <c r="AS217" s="15" t="s">
        <v>2063</v>
      </c>
      <c r="AT217" s="15" t="s">
        <v>3217</v>
      </c>
      <c r="AW217" s="15" t="s">
        <v>602</v>
      </c>
      <c r="AY217" s="15" t="s">
        <v>413</v>
      </c>
      <c r="AZ217" s="15" t="b">
        <v>0</v>
      </c>
      <c r="BA217" s="15" t="s">
        <v>413</v>
      </c>
      <c r="BB217" s="15" t="b">
        <v>0</v>
      </c>
      <c r="BC217" s="15" t="s">
        <v>3221</v>
      </c>
      <c r="BD217" s="15" t="s">
        <v>742</v>
      </c>
      <c r="BE217" s="15" t="str">
        <f t="shared" si="367"/>
        <v>1</v>
      </c>
      <c r="BF217" s="15" t="s">
        <v>3215</v>
      </c>
      <c r="BG217" s="15" t="str">
        <f>"88.19"</f>
        <v>88.19</v>
      </c>
      <c r="BH217" s="15" t="s">
        <v>3222</v>
      </c>
      <c r="BI217" s="15" t="str">
        <f>"22.83"</f>
        <v>22.83</v>
      </c>
      <c r="BJ217" s="15" t="s">
        <v>1543</v>
      </c>
      <c r="BK217" s="15" t="str">
        <f>"33.27"</f>
        <v>33.27</v>
      </c>
      <c r="BL217" s="15" t="s">
        <v>3223</v>
      </c>
      <c r="BM217" s="15" t="str">
        <f>"248.02"</f>
        <v>248.02</v>
      </c>
      <c r="BN217" s="15" t="s">
        <v>3224</v>
      </c>
      <c r="BQ217" s="15" t="s">
        <v>444</v>
      </c>
      <c r="BS217" s="15" t="s">
        <v>444</v>
      </c>
      <c r="BU217" s="15" t="s">
        <v>444</v>
      </c>
      <c r="BW217" s="15" t="s">
        <v>444</v>
      </c>
      <c r="BZ217" s="15" t="s">
        <v>444</v>
      </c>
      <c r="CB217" s="15" t="s">
        <v>444</v>
      </c>
      <c r="CD217" s="15" t="s">
        <v>444</v>
      </c>
      <c r="CF217" s="15" t="s">
        <v>444</v>
      </c>
      <c r="CI217" s="15" t="s">
        <v>444</v>
      </c>
      <c r="CK217" s="15" t="s">
        <v>444</v>
      </c>
      <c r="CM217" s="15" t="s">
        <v>444</v>
      </c>
      <c r="CO217" s="15" t="s">
        <v>444</v>
      </c>
      <c r="CP217" s="15" t="str">
        <f>"38.78"</f>
        <v>38.78</v>
      </c>
      <c r="CQ217" s="15" t="str">
        <f>"1.098"</f>
        <v>1.098</v>
      </c>
      <c r="CR217" s="15" t="s">
        <v>497</v>
      </c>
      <c r="CV217" s="15" t="s">
        <v>3053</v>
      </c>
      <c r="CW217" s="15" t="s">
        <v>3225</v>
      </c>
      <c r="CX217" s="15" t="s">
        <v>3226</v>
      </c>
      <c r="DC217" s="15" t="str">
        <f>IFERROR(__xludf.DUMMYFUNCTION("""COMPUTED_VALUE"""),"")</f>
        <v/>
      </c>
      <c r="DE217" s="15" t="str">
        <f>IFERROR(__xludf.DUMMYFUNCTION("""COMPUTED_VALUE"""),"")</f>
        <v/>
      </c>
      <c r="DG217" s="15" t="str">
        <f>IFERROR(__xludf.DUMMYFUNCTION("""COMPUTED_VALUE"""),"")</f>
        <v/>
      </c>
      <c r="DL217" s="15" t="str">
        <f>IFERROR(__xludf.DUMMYFUNCTION("""COMPUTED_VALUE"""),"")</f>
        <v/>
      </c>
      <c r="DM217" s="15" t="s">
        <v>444</v>
      </c>
      <c r="DN217" s="15" t="s">
        <v>419</v>
      </c>
      <c r="DO217" s="15">
        <v>0.0</v>
      </c>
      <c r="DP217" s="15" t="s">
        <v>419</v>
      </c>
      <c r="DR217" s="15">
        <v>0.0</v>
      </c>
      <c r="DT217" s="15" t="s">
        <v>1186</v>
      </c>
      <c r="DU217" s="15" t="s">
        <v>610</v>
      </c>
      <c r="DW217" s="15">
        <v>18.14</v>
      </c>
      <c r="DX217" s="15">
        <v>40.0</v>
      </c>
      <c r="DY217" s="15">
        <v>2.0</v>
      </c>
      <c r="EG217" s="15" t="s">
        <v>444</v>
      </c>
      <c r="EH217" s="15" t="s">
        <v>3227</v>
      </c>
      <c r="EK217" s="15" t="s">
        <v>444</v>
      </c>
      <c r="EM217" s="15" t="str">
        <f>IFERROR(__xludf.DUMMYFUNCTION("""COMPUTED_VALUE"""),"")</f>
        <v/>
      </c>
      <c r="EW217" s="15" t="s">
        <v>2050</v>
      </c>
      <c r="FL217" s="15" t="s">
        <v>426</v>
      </c>
      <c r="FM217" s="15">
        <v>2.0</v>
      </c>
      <c r="FY217" s="15" t="s">
        <v>3111</v>
      </c>
      <c r="FZ217" s="15" t="s">
        <v>612</v>
      </c>
      <c r="GA217" s="15" t="s">
        <v>3228</v>
      </c>
      <c r="GB217" s="15" t="s">
        <v>3053</v>
      </c>
      <c r="GC217" s="15" t="s">
        <v>612</v>
      </c>
      <c r="GD217" s="15" t="s">
        <v>3226</v>
      </c>
      <c r="GF217" s="15" t="s">
        <v>426</v>
      </c>
      <c r="GG217" s="15" t="s">
        <v>1883</v>
      </c>
      <c r="GH217" s="15">
        <v>4.0</v>
      </c>
      <c r="GI217" s="15" t="s">
        <v>614</v>
      </c>
      <c r="GJ217" s="15" t="s">
        <v>615</v>
      </c>
      <c r="GL217" s="15" t="s">
        <v>426</v>
      </c>
      <c r="GN217" s="15" t="s">
        <v>616</v>
      </c>
      <c r="HD217" s="15">
        <v>0.0</v>
      </c>
      <c r="HW217" s="15" t="s">
        <v>1957</v>
      </c>
      <c r="IH217" s="15" t="s">
        <v>426</v>
      </c>
    </row>
    <row r="218" ht="15.75" customHeight="1">
      <c r="A218" s="14" t="s">
        <v>391</v>
      </c>
      <c r="B218" s="15" t="s">
        <v>3229</v>
      </c>
      <c r="C218" s="16"/>
      <c r="D218" s="15" t="s">
        <v>432</v>
      </c>
      <c r="G218" s="14" t="s">
        <v>393</v>
      </c>
      <c r="H218" s="14" t="s">
        <v>394</v>
      </c>
      <c r="I218" s="14" t="b">
        <v>1</v>
      </c>
      <c r="J218" s="14" t="s">
        <v>395</v>
      </c>
      <c r="L218" s="14" t="b">
        <v>0</v>
      </c>
      <c r="M218" s="15" t="s">
        <v>3230</v>
      </c>
      <c r="N218" s="14" t="s">
        <v>393</v>
      </c>
      <c r="O218" s="14" t="s">
        <v>393</v>
      </c>
      <c r="P218" s="15" t="s">
        <v>397</v>
      </c>
      <c r="Q218" s="15" t="s">
        <v>1985</v>
      </c>
      <c r="T218" s="14" t="b">
        <v>0</v>
      </c>
      <c r="U218" s="15" t="s">
        <v>3231</v>
      </c>
      <c r="V218" s="15" t="s">
        <v>3232</v>
      </c>
      <c r="W218" s="15" t="s">
        <v>401</v>
      </c>
      <c r="X218" s="15" t="s">
        <v>695</v>
      </c>
      <c r="Y218" s="15">
        <v>1911.0</v>
      </c>
      <c r="AA218" s="15" t="str">
        <f>"735"</f>
        <v>735</v>
      </c>
      <c r="AB218" s="14" t="b">
        <v>1</v>
      </c>
      <c r="AC218" s="14" t="b">
        <v>1</v>
      </c>
      <c r="AD218" s="15" t="str">
        <f>"801542279271"</f>
        <v>801542279271</v>
      </c>
      <c r="AE218" s="15" t="s">
        <v>3233</v>
      </c>
      <c r="AF218" s="14" t="s">
        <v>404</v>
      </c>
      <c r="AG218" s="14" t="s">
        <v>405</v>
      </c>
      <c r="AH218" s="14" t="s">
        <v>406</v>
      </c>
      <c r="AI218" s="15">
        <v>0.0</v>
      </c>
      <c r="AL218" s="15" t="s">
        <v>975</v>
      </c>
      <c r="AM218" s="15" t="s">
        <v>772</v>
      </c>
      <c r="AN218" s="15" t="s">
        <v>773</v>
      </c>
      <c r="AO218" s="15" t="s">
        <v>3234</v>
      </c>
      <c r="AP218" s="15" t="s">
        <v>3235</v>
      </c>
      <c r="AQ218" s="15" t="s">
        <v>1537</v>
      </c>
      <c r="AR218" s="15" t="s">
        <v>1538</v>
      </c>
      <c r="AS218" s="15" t="s">
        <v>915</v>
      </c>
      <c r="AT218" s="15" t="s">
        <v>1985</v>
      </c>
      <c r="AU218" s="15" t="s">
        <v>2541</v>
      </c>
      <c r="AW218" s="15" t="s">
        <v>706</v>
      </c>
      <c r="AX218" s="15" t="s">
        <v>707</v>
      </c>
      <c r="AY218" s="15" t="s">
        <v>413</v>
      </c>
      <c r="AZ218" s="15" t="b">
        <v>0</v>
      </c>
      <c r="BA218" s="15" t="s">
        <v>413</v>
      </c>
      <c r="BB218" s="15" t="b">
        <v>0</v>
      </c>
      <c r="BC218" s="15" t="s">
        <v>3236</v>
      </c>
      <c r="BD218" s="15" t="s">
        <v>709</v>
      </c>
      <c r="BE218" s="15" t="str">
        <f t="shared" si="367"/>
        <v>1</v>
      </c>
      <c r="BF218" s="15" t="s">
        <v>3237</v>
      </c>
      <c r="BG218" s="15" t="str">
        <f>"29.13"</f>
        <v>29.13</v>
      </c>
      <c r="BH218" s="15" t="s">
        <v>1566</v>
      </c>
      <c r="BI218" s="15" t="str">
        <f>"36.61"</f>
        <v>36.61</v>
      </c>
      <c r="BJ218" s="15" t="s">
        <v>1734</v>
      </c>
      <c r="BK218" s="15" t="str">
        <f>"37.8"</f>
        <v>37.8</v>
      </c>
      <c r="BL218" s="15" t="s">
        <v>756</v>
      </c>
      <c r="BM218" s="15" t="str">
        <f>"52.91"</f>
        <v>52.91</v>
      </c>
      <c r="BN218" s="15" t="s">
        <v>921</v>
      </c>
      <c r="BQ218" s="15" t="s">
        <v>444</v>
      </c>
      <c r="BS218" s="15" t="s">
        <v>444</v>
      </c>
      <c r="BU218" s="15" t="s">
        <v>444</v>
      </c>
      <c r="BW218" s="15" t="s">
        <v>444</v>
      </c>
      <c r="BZ218" s="15" t="s">
        <v>444</v>
      </c>
      <c r="CB218" s="15" t="s">
        <v>444</v>
      </c>
      <c r="CD218" s="15" t="s">
        <v>444</v>
      </c>
      <c r="CF218" s="15" t="s">
        <v>444</v>
      </c>
      <c r="CI218" s="15" t="s">
        <v>444</v>
      </c>
      <c r="CK218" s="15" t="s">
        <v>444</v>
      </c>
      <c r="CM218" s="15" t="s">
        <v>444</v>
      </c>
      <c r="CO218" s="15" t="s">
        <v>444</v>
      </c>
      <c r="CP218" s="15" t="str">
        <f>"19.92"</f>
        <v>19.92</v>
      </c>
      <c r="CQ218" s="15" t="str">
        <f>"0.564"</f>
        <v>0.564</v>
      </c>
      <c r="CR218" s="15" t="s">
        <v>417</v>
      </c>
      <c r="DB218" s="15" t="s">
        <v>2198</v>
      </c>
      <c r="DC218" s="15" t="str">
        <f>IFERROR(__xludf.DUMMYFUNCTION("""COMPUTED_VALUE"""),"{""value"":21.25,""unit"":""in""}")</f>
        <v>{"value":21.25,"unit":"in"}</v>
      </c>
      <c r="DD218" s="15" t="s">
        <v>3238</v>
      </c>
      <c r="DE218" s="15" t="str">
        <f>IFERROR(__xludf.DUMMYFUNCTION("""COMPUTED_VALUE"""),"{""value"":16.75,""unit"":""in""}")</f>
        <v>{"value":16.75,"unit":"in"}</v>
      </c>
      <c r="DF218" s="15" t="s">
        <v>1211</v>
      </c>
      <c r="DG218" s="15" t="str">
        <f>IFERROR(__xludf.DUMMYFUNCTION("""COMPUTED_VALUE"""),"{""value"":24.00,""unit"":""in""}")</f>
        <v>{"value":24.00,"unit":"in"}</v>
      </c>
      <c r="DH218" s="15">
        <v>0.0</v>
      </c>
      <c r="DI218" s="15">
        <v>0.0</v>
      </c>
      <c r="DJ218" s="15" t="s">
        <v>717</v>
      </c>
      <c r="DK218" s="15" t="s">
        <v>718</v>
      </c>
      <c r="DL218" s="15" t="str">
        <f>IFERROR(__xludf.DUMMYFUNCTION("""COMPUTED_VALUE"""),"Vacuum or light brush only. Do not use water or any cleaning products.")</f>
        <v>Vacuum or light brush only. Do not use water or any cleaning products.</v>
      </c>
      <c r="DM218" s="15" t="s">
        <v>719</v>
      </c>
      <c r="DT218" s="15" t="s">
        <v>721</v>
      </c>
      <c r="DU218" s="15" t="s">
        <v>419</v>
      </c>
      <c r="DV218" s="15">
        <v>0.0</v>
      </c>
      <c r="DZ218" s="15">
        <v>0.0</v>
      </c>
      <c r="EA218" s="15" t="s">
        <v>990</v>
      </c>
      <c r="ED218" s="15">
        <v>0.0</v>
      </c>
      <c r="EE218" s="15">
        <v>1.0</v>
      </c>
      <c r="EG218" s="15" t="s">
        <v>444</v>
      </c>
      <c r="EH218" s="15" t="s">
        <v>3239</v>
      </c>
      <c r="EI218" s="15">
        <v>0.0</v>
      </c>
      <c r="EJ218" s="15" t="s">
        <v>726</v>
      </c>
      <c r="EK218" s="15" t="s">
        <v>727</v>
      </c>
      <c r="EL218" s="15" t="s">
        <v>1211</v>
      </c>
      <c r="EM218" s="15" t="str">
        <f>IFERROR(__xludf.DUMMYFUNCTION("""COMPUTED_VALUE"""),"{""value"":24.00,""unit"":""in""}")</f>
        <v>{"value":24.00,"unit":"in"}</v>
      </c>
      <c r="EN218" s="15" t="s">
        <v>3240</v>
      </c>
      <c r="EO218" s="15" t="s">
        <v>1072</v>
      </c>
      <c r="ES218" s="15" t="s">
        <v>784</v>
      </c>
      <c r="EW218" s="15" t="s">
        <v>3241</v>
      </c>
      <c r="EX218" s="15" t="s">
        <v>1064</v>
      </c>
      <c r="EY218" s="15" t="s">
        <v>1234</v>
      </c>
      <c r="EZ218" s="15" t="s">
        <v>467</v>
      </c>
      <c r="FF218" s="15" t="s">
        <v>937</v>
      </c>
      <c r="FQ218" s="15">
        <v>0.0</v>
      </c>
      <c r="FR218" s="15">
        <v>0.0</v>
      </c>
      <c r="FS218" s="15" t="s">
        <v>1609</v>
      </c>
      <c r="FT218" s="15">
        <v>0.0</v>
      </c>
    </row>
    <row r="219" ht="15.75" customHeight="1">
      <c r="A219" s="14" t="s">
        <v>391</v>
      </c>
      <c r="B219" s="15" t="s">
        <v>3242</v>
      </c>
      <c r="C219" s="16"/>
      <c r="D219" s="15" t="s">
        <v>432</v>
      </c>
      <c r="G219" s="14" t="s">
        <v>393</v>
      </c>
      <c r="H219" s="14" t="s">
        <v>394</v>
      </c>
      <c r="I219" s="14" t="b">
        <v>1</v>
      </c>
      <c r="J219" s="14" t="s">
        <v>395</v>
      </c>
      <c r="L219" s="14" t="b">
        <v>0</v>
      </c>
      <c r="M219" s="15" t="s">
        <v>3243</v>
      </c>
      <c r="N219" s="14" t="s">
        <v>393</v>
      </c>
      <c r="O219" s="14" t="s">
        <v>393</v>
      </c>
      <c r="P219" s="15" t="s">
        <v>397</v>
      </c>
      <c r="Q219" s="15" t="s">
        <v>1333</v>
      </c>
      <c r="T219" s="14" t="b">
        <v>0</v>
      </c>
      <c r="U219" s="15" t="s">
        <v>3244</v>
      </c>
      <c r="V219" s="15" t="s">
        <v>3245</v>
      </c>
      <c r="W219" s="15" t="s">
        <v>401</v>
      </c>
      <c r="X219" s="15" t="s">
        <v>695</v>
      </c>
      <c r="Y219" s="15">
        <v>2184.0</v>
      </c>
      <c r="AA219" s="15" t="str">
        <f t="shared" ref="AA219:AA220" si="403">"840"</f>
        <v>840</v>
      </c>
      <c r="AB219" s="14" t="b">
        <v>1</v>
      </c>
      <c r="AC219" s="14" t="b">
        <v>1</v>
      </c>
      <c r="AD219" s="15" t="str">
        <f>"801542454449"</f>
        <v>801542454449</v>
      </c>
      <c r="AE219" s="15" t="s">
        <v>3246</v>
      </c>
      <c r="AF219" s="14" t="s">
        <v>404</v>
      </c>
      <c r="AG219" s="14" t="s">
        <v>405</v>
      </c>
      <c r="AH219" s="14" t="s">
        <v>406</v>
      </c>
      <c r="AI219" s="15">
        <v>0.0</v>
      </c>
      <c r="AL219" s="15" t="s">
        <v>975</v>
      </c>
      <c r="AM219" s="15" t="s">
        <v>1055</v>
      </c>
      <c r="AN219" s="15" t="s">
        <v>1056</v>
      </c>
      <c r="AO219" s="15" t="s">
        <v>622</v>
      </c>
      <c r="AP219" s="15" t="s">
        <v>623</v>
      </c>
      <c r="AQ219" s="15" t="s">
        <v>622</v>
      </c>
      <c r="AR219" s="15" t="s">
        <v>623</v>
      </c>
      <c r="AS219" s="15" t="s">
        <v>915</v>
      </c>
      <c r="AT219" s="15" t="s">
        <v>1333</v>
      </c>
      <c r="AU219" s="15" t="s">
        <v>1087</v>
      </c>
      <c r="AW219" s="15" t="s">
        <v>706</v>
      </c>
      <c r="AX219" s="15" t="s">
        <v>707</v>
      </c>
      <c r="AY219" s="15" t="s">
        <v>413</v>
      </c>
      <c r="AZ219" s="15" t="b">
        <v>0</v>
      </c>
      <c r="BA219" s="15" t="s">
        <v>413</v>
      </c>
      <c r="BB219" s="15" t="b">
        <v>0</v>
      </c>
      <c r="BC219" s="15" t="s">
        <v>3247</v>
      </c>
      <c r="BD219" s="15" t="s">
        <v>709</v>
      </c>
      <c r="BE219" s="15" t="str">
        <f t="shared" si="367"/>
        <v>1</v>
      </c>
      <c r="BF219" s="15" t="s">
        <v>3248</v>
      </c>
      <c r="BG219" s="15" t="str">
        <f t="shared" ref="BG219:BG222" si="404">"29.92"</f>
        <v>29.92</v>
      </c>
      <c r="BH219" s="15" t="s">
        <v>1321</v>
      </c>
      <c r="BI219" s="15" t="str">
        <f t="shared" ref="BI219:BI222" si="405">"38.98"</f>
        <v>38.98</v>
      </c>
      <c r="BJ219" s="15" t="s">
        <v>927</v>
      </c>
      <c r="BK219" s="15" t="str">
        <f t="shared" ref="BK219:BK222" si="406">"37.4"</f>
        <v>37.4</v>
      </c>
      <c r="BL219" s="15" t="s">
        <v>3175</v>
      </c>
      <c r="BM219" s="15" t="str">
        <f t="shared" ref="BM219:BM222" si="407">"80.47"</f>
        <v>80.47</v>
      </c>
      <c r="BN219" s="15" t="s">
        <v>3249</v>
      </c>
      <c r="BQ219" s="15" t="s">
        <v>444</v>
      </c>
      <c r="BS219" s="15" t="s">
        <v>444</v>
      </c>
      <c r="BU219" s="15" t="s">
        <v>444</v>
      </c>
      <c r="BW219" s="15" t="s">
        <v>444</v>
      </c>
      <c r="BZ219" s="15" t="s">
        <v>444</v>
      </c>
      <c r="CB219" s="15" t="s">
        <v>444</v>
      </c>
      <c r="CD219" s="15" t="s">
        <v>444</v>
      </c>
      <c r="CF219" s="15" t="s">
        <v>444</v>
      </c>
      <c r="CI219" s="15" t="s">
        <v>444</v>
      </c>
      <c r="CK219" s="15" t="s">
        <v>444</v>
      </c>
      <c r="CM219" s="15" t="s">
        <v>444</v>
      </c>
      <c r="CO219" s="15" t="s">
        <v>444</v>
      </c>
      <c r="CP219" s="15" t="str">
        <f t="shared" ref="CP219:CP222" si="408">"21.4"</f>
        <v>21.4</v>
      </c>
      <c r="CQ219" s="15" t="str">
        <f t="shared" ref="CQ219:CQ222" si="409">"0.606"</f>
        <v>0.606</v>
      </c>
      <c r="CR219" s="15" t="s">
        <v>497</v>
      </c>
      <c r="DB219" s="15" t="s">
        <v>2198</v>
      </c>
      <c r="DC219" s="15" t="str">
        <f>IFERROR(__xludf.DUMMYFUNCTION("""COMPUTED_VALUE"""),"{""value"":21.25,""unit"":""in""}")</f>
        <v>{"value":21.25,"unit":"in"}</v>
      </c>
      <c r="DD219" s="15" t="s">
        <v>1065</v>
      </c>
      <c r="DE219" s="15" t="str">
        <f>IFERROR(__xludf.DUMMYFUNCTION("""COMPUTED_VALUE"""),"{""value"":18.00,""unit"":""in""}")</f>
        <v>{"value":18.00,"unit":"in"}</v>
      </c>
      <c r="DG219" s="15" t="str">
        <f>IFERROR(__xludf.DUMMYFUNCTION("""COMPUTED_VALUE"""),"")</f>
        <v/>
      </c>
      <c r="DH219" s="15">
        <v>0.0</v>
      </c>
      <c r="DI219" s="15">
        <v>1.0</v>
      </c>
      <c r="DJ219" s="15" t="s">
        <v>717</v>
      </c>
      <c r="DK219" s="15" t="s">
        <v>718</v>
      </c>
      <c r="DL219" s="15" t="str">
        <f>IFERROR(__xludf.DUMMYFUNCTION("""COMPUTED_VALUE"""),"Vacuum or light brush only. Do not use water or any cleaning products.")</f>
        <v>Vacuum or light brush only. Do not use water or any cleaning products.</v>
      </c>
      <c r="DM219" s="15" t="s">
        <v>719</v>
      </c>
      <c r="DT219" s="15" t="s">
        <v>721</v>
      </c>
      <c r="DU219" s="15" t="s">
        <v>2546</v>
      </c>
      <c r="DV219" s="15">
        <v>0.0</v>
      </c>
      <c r="DZ219" s="15">
        <v>0.0</v>
      </c>
      <c r="EA219" s="15" t="s">
        <v>990</v>
      </c>
      <c r="EB219" s="15" t="s">
        <v>1016</v>
      </c>
      <c r="ED219" s="15">
        <v>1.0</v>
      </c>
      <c r="EE219" s="15">
        <v>1.0</v>
      </c>
      <c r="EG219" s="15" t="s">
        <v>444</v>
      </c>
      <c r="EH219" s="15" t="s">
        <v>3239</v>
      </c>
      <c r="EI219" s="15">
        <v>0.0</v>
      </c>
      <c r="EJ219" s="15" t="s">
        <v>726</v>
      </c>
      <c r="EK219" s="15" t="s">
        <v>727</v>
      </c>
      <c r="EL219" s="15" t="s">
        <v>1211</v>
      </c>
      <c r="EM219" s="15" t="str">
        <f>IFERROR(__xludf.DUMMYFUNCTION("""COMPUTED_VALUE"""),"{""value"":24.00,""unit"":""in""}")</f>
        <v>{"value":24.00,"unit":"in"}</v>
      </c>
      <c r="EN219" s="15" t="s">
        <v>505</v>
      </c>
      <c r="EO219" s="15" t="s">
        <v>1306</v>
      </c>
      <c r="ES219" s="15" t="s">
        <v>425</v>
      </c>
      <c r="EW219" s="15" t="s">
        <v>2548</v>
      </c>
      <c r="EX219" s="15" t="s">
        <v>1330</v>
      </c>
      <c r="EY219" s="15" t="s">
        <v>1995</v>
      </c>
      <c r="EZ219" s="15" t="s">
        <v>1065</v>
      </c>
      <c r="FC219" s="15" t="s">
        <v>1016</v>
      </c>
      <c r="FF219" s="15" t="s">
        <v>937</v>
      </c>
      <c r="FO219" s="15" t="s">
        <v>1286</v>
      </c>
      <c r="FP219" s="15" t="s">
        <v>1211</v>
      </c>
      <c r="FQ219" s="15">
        <v>0.0</v>
      </c>
      <c r="FR219" s="15">
        <v>0.0</v>
      </c>
      <c r="FS219" s="15" t="s">
        <v>1609</v>
      </c>
      <c r="FT219" s="15" t="s">
        <v>1213</v>
      </c>
      <c r="JQ219" s="15" t="s">
        <v>3250</v>
      </c>
      <c r="JR219" s="15" t="s">
        <v>734</v>
      </c>
    </row>
    <row r="220" ht="15.75" customHeight="1">
      <c r="A220" s="14" t="s">
        <v>391</v>
      </c>
      <c r="B220" s="15" t="s">
        <v>3242</v>
      </c>
      <c r="C220" s="16"/>
      <c r="D220" s="15" t="s">
        <v>432</v>
      </c>
      <c r="G220" s="14" t="s">
        <v>393</v>
      </c>
      <c r="H220" s="14" t="s">
        <v>394</v>
      </c>
      <c r="I220" s="14" t="b">
        <v>1</v>
      </c>
      <c r="J220" s="14" t="s">
        <v>395</v>
      </c>
      <c r="L220" s="14" t="b">
        <v>0</v>
      </c>
      <c r="M220" s="15" t="s">
        <v>3251</v>
      </c>
      <c r="N220" s="14" t="s">
        <v>393</v>
      </c>
      <c r="O220" s="14" t="s">
        <v>393</v>
      </c>
      <c r="P220" s="15" t="s">
        <v>397</v>
      </c>
      <c r="Q220" s="15" t="s">
        <v>1985</v>
      </c>
      <c r="T220" s="14" t="b">
        <v>0</v>
      </c>
      <c r="U220" s="15" t="s">
        <v>3252</v>
      </c>
      <c r="V220" s="15" t="s">
        <v>3245</v>
      </c>
      <c r="W220" s="15" t="s">
        <v>401</v>
      </c>
      <c r="X220" s="15" t="s">
        <v>695</v>
      </c>
      <c r="Y220" s="15">
        <v>2184.0</v>
      </c>
      <c r="AA220" s="15" t="str">
        <f t="shared" si="403"/>
        <v>840</v>
      </c>
      <c r="AB220" s="14" t="b">
        <v>1</v>
      </c>
      <c r="AC220" s="14" t="b">
        <v>1</v>
      </c>
      <c r="AD220" s="15" t="str">
        <f>"801542405083"</f>
        <v>801542405083</v>
      </c>
      <c r="AE220" s="15" t="s">
        <v>3253</v>
      </c>
      <c r="AF220" s="14" t="s">
        <v>404</v>
      </c>
      <c r="AG220" s="14" t="s">
        <v>405</v>
      </c>
      <c r="AH220" s="14" t="s">
        <v>406</v>
      </c>
      <c r="AI220" s="15">
        <v>0.0</v>
      </c>
      <c r="AL220" s="15" t="s">
        <v>975</v>
      </c>
      <c r="AM220" s="15" t="s">
        <v>1055</v>
      </c>
      <c r="AN220" s="15" t="s">
        <v>1056</v>
      </c>
      <c r="AO220" s="15" t="s">
        <v>622</v>
      </c>
      <c r="AP220" s="15" t="s">
        <v>623</v>
      </c>
      <c r="AQ220" s="15" t="s">
        <v>622</v>
      </c>
      <c r="AR220" s="15" t="s">
        <v>623</v>
      </c>
      <c r="AS220" s="15" t="s">
        <v>915</v>
      </c>
      <c r="AT220" s="15" t="s">
        <v>1985</v>
      </c>
      <c r="AU220" s="15" t="s">
        <v>2541</v>
      </c>
      <c r="AW220" s="15" t="s">
        <v>706</v>
      </c>
      <c r="AX220" s="15" t="s">
        <v>707</v>
      </c>
      <c r="AY220" s="15" t="s">
        <v>413</v>
      </c>
      <c r="AZ220" s="15" t="b">
        <v>0</v>
      </c>
      <c r="BA220" s="15" t="s">
        <v>413</v>
      </c>
      <c r="BB220" s="15" t="b">
        <v>0</v>
      </c>
      <c r="BC220" s="15" t="s">
        <v>3254</v>
      </c>
      <c r="BD220" s="15" t="s">
        <v>709</v>
      </c>
      <c r="BE220" s="15" t="str">
        <f t="shared" si="367"/>
        <v>1</v>
      </c>
      <c r="BF220" s="15" t="s">
        <v>3248</v>
      </c>
      <c r="BG220" s="15" t="str">
        <f t="shared" si="404"/>
        <v>29.92</v>
      </c>
      <c r="BH220" s="15" t="s">
        <v>1321</v>
      </c>
      <c r="BI220" s="15" t="str">
        <f t="shared" si="405"/>
        <v>38.98</v>
      </c>
      <c r="BJ220" s="15" t="s">
        <v>927</v>
      </c>
      <c r="BK220" s="15" t="str">
        <f t="shared" si="406"/>
        <v>37.4</v>
      </c>
      <c r="BL220" s="15" t="s">
        <v>3175</v>
      </c>
      <c r="BM220" s="15" t="str">
        <f t="shared" si="407"/>
        <v>80.47</v>
      </c>
      <c r="BN220" s="15" t="s">
        <v>3249</v>
      </c>
      <c r="BQ220" s="15" t="s">
        <v>444</v>
      </c>
      <c r="BS220" s="15" t="s">
        <v>444</v>
      </c>
      <c r="BU220" s="15" t="s">
        <v>444</v>
      </c>
      <c r="BW220" s="15" t="s">
        <v>444</v>
      </c>
      <c r="BZ220" s="15" t="s">
        <v>444</v>
      </c>
      <c r="CB220" s="15" t="s">
        <v>444</v>
      </c>
      <c r="CD220" s="15" t="s">
        <v>444</v>
      </c>
      <c r="CF220" s="15" t="s">
        <v>444</v>
      </c>
      <c r="CI220" s="15" t="s">
        <v>444</v>
      </c>
      <c r="CK220" s="15" t="s">
        <v>444</v>
      </c>
      <c r="CM220" s="15" t="s">
        <v>444</v>
      </c>
      <c r="CO220" s="15" t="s">
        <v>444</v>
      </c>
      <c r="CP220" s="15" t="str">
        <f t="shared" si="408"/>
        <v>21.4</v>
      </c>
      <c r="CQ220" s="15" t="str">
        <f t="shared" si="409"/>
        <v>0.606</v>
      </c>
      <c r="CR220" s="15" t="s">
        <v>497</v>
      </c>
      <c r="DB220" s="15" t="s">
        <v>2198</v>
      </c>
      <c r="DC220" s="15" t="str">
        <f>IFERROR(__xludf.DUMMYFUNCTION("""COMPUTED_VALUE"""),"{""value"":21.25,""unit"":""in""}")</f>
        <v>{"value":21.25,"unit":"in"}</v>
      </c>
      <c r="DD220" s="15" t="s">
        <v>1065</v>
      </c>
      <c r="DE220" s="15" t="str">
        <f>IFERROR(__xludf.DUMMYFUNCTION("""COMPUTED_VALUE"""),"{""value"":18.00,""unit"":""in""}")</f>
        <v>{"value":18.00,"unit":"in"}</v>
      </c>
      <c r="DG220" s="15" t="str">
        <f>IFERROR(__xludf.DUMMYFUNCTION("""COMPUTED_VALUE"""),"")</f>
        <v/>
      </c>
      <c r="DH220" s="15">
        <v>0.0</v>
      </c>
      <c r="DI220" s="15">
        <v>1.0</v>
      </c>
      <c r="DJ220" s="15" t="s">
        <v>717</v>
      </c>
      <c r="DK220" s="15" t="s">
        <v>718</v>
      </c>
      <c r="DL220" s="15" t="str">
        <f>IFERROR(__xludf.DUMMYFUNCTION("""COMPUTED_VALUE"""),"Vacuum or light brush only. Do not use water or any cleaning products.")</f>
        <v>Vacuum or light brush only. Do not use water or any cleaning products.</v>
      </c>
      <c r="DM220" s="15" t="s">
        <v>719</v>
      </c>
      <c r="DT220" s="15" t="s">
        <v>721</v>
      </c>
      <c r="DU220" s="15" t="s">
        <v>2546</v>
      </c>
      <c r="DV220" s="15">
        <v>0.0</v>
      </c>
      <c r="DZ220" s="15">
        <v>0.0</v>
      </c>
      <c r="EA220" s="15" t="s">
        <v>990</v>
      </c>
      <c r="EB220" s="15" t="s">
        <v>1016</v>
      </c>
      <c r="ED220" s="15">
        <v>1.0</v>
      </c>
      <c r="EE220" s="15">
        <v>1.0</v>
      </c>
      <c r="EG220" s="15" t="s">
        <v>444</v>
      </c>
      <c r="EH220" s="15" t="s">
        <v>3239</v>
      </c>
      <c r="EI220" s="15">
        <v>0.0</v>
      </c>
      <c r="EJ220" s="15" t="s">
        <v>726</v>
      </c>
      <c r="EK220" s="15" t="s">
        <v>727</v>
      </c>
      <c r="EL220" s="15" t="s">
        <v>1211</v>
      </c>
      <c r="EM220" s="15" t="str">
        <f>IFERROR(__xludf.DUMMYFUNCTION("""COMPUTED_VALUE"""),"{""value"":24.00,""unit"":""in""}")</f>
        <v>{"value":24.00,"unit":"in"}</v>
      </c>
      <c r="EN220" s="15" t="s">
        <v>505</v>
      </c>
      <c r="EO220" s="15" t="s">
        <v>1306</v>
      </c>
      <c r="ES220" s="15" t="s">
        <v>425</v>
      </c>
      <c r="EW220" s="15" t="s">
        <v>2548</v>
      </c>
      <c r="EX220" s="15" t="s">
        <v>1330</v>
      </c>
      <c r="EY220" s="15" t="s">
        <v>1995</v>
      </c>
      <c r="EZ220" s="15" t="s">
        <v>1065</v>
      </c>
      <c r="FC220" s="15" t="s">
        <v>1016</v>
      </c>
      <c r="FF220" s="15" t="s">
        <v>937</v>
      </c>
      <c r="FO220" s="15" t="s">
        <v>1286</v>
      </c>
      <c r="FP220" s="15" t="s">
        <v>1211</v>
      </c>
      <c r="FQ220" s="15">
        <v>0.0</v>
      </c>
      <c r="FR220" s="15">
        <v>0.0</v>
      </c>
      <c r="FS220" s="15" t="s">
        <v>1609</v>
      </c>
      <c r="FT220" s="15" t="s">
        <v>1213</v>
      </c>
      <c r="JQ220" s="15" t="s">
        <v>3250</v>
      </c>
      <c r="JR220" s="15" t="s">
        <v>734</v>
      </c>
    </row>
    <row r="221" ht="15.75" customHeight="1">
      <c r="A221" s="14" t="s">
        <v>391</v>
      </c>
      <c r="B221" s="15" t="s">
        <v>3242</v>
      </c>
      <c r="C221" s="16"/>
      <c r="D221" s="15" t="s">
        <v>432</v>
      </c>
      <c r="G221" s="14" t="s">
        <v>393</v>
      </c>
      <c r="H221" s="14" t="s">
        <v>394</v>
      </c>
      <c r="I221" s="14" t="b">
        <v>1</v>
      </c>
      <c r="J221" s="14" t="s">
        <v>395</v>
      </c>
      <c r="L221" s="14" t="b">
        <v>0</v>
      </c>
      <c r="M221" s="15" t="s">
        <v>3255</v>
      </c>
      <c r="N221" s="14" t="s">
        <v>393</v>
      </c>
      <c r="O221" s="14" t="s">
        <v>393</v>
      </c>
      <c r="P221" s="15" t="s">
        <v>397</v>
      </c>
      <c r="Q221" s="15" t="s">
        <v>3256</v>
      </c>
      <c r="T221" s="14" t="b">
        <v>0</v>
      </c>
      <c r="U221" s="15" t="s">
        <v>3257</v>
      </c>
      <c r="V221" s="15" t="s">
        <v>3245</v>
      </c>
      <c r="W221" s="15" t="s">
        <v>401</v>
      </c>
      <c r="X221" s="15" t="s">
        <v>695</v>
      </c>
      <c r="Y221" s="15">
        <v>1365.0</v>
      </c>
      <c r="AA221" s="15" t="str">
        <f>"525"</f>
        <v>525</v>
      </c>
      <c r="AB221" s="14" t="b">
        <v>1</v>
      </c>
      <c r="AC221" s="14" t="b">
        <v>1</v>
      </c>
      <c r="AD221" s="15" t="str">
        <f>"801542392246"</f>
        <v>801542392246</v>
      </c>
      <c r="AE221" s="15" t="s">
        <v>3258</v>
      </c>
      <c r="AF221" s="14" t="s">
        <v>404</v>
      </c>
      <c r="AG221" s="14" t="s">
        <v>405</v>
      </c>
      <c r="AH221" s="14" t="s">
        <v>406</v>
      </c>
      <c r="AI221" s="15">
        <v>0.0</v>
      </c>
      <c r="AL221" s="15" t="s">
        <v>3259</v>
      </c>
      <c r="AM221" s="15" t="s">
        <v>1055</v>
      </c>
      <c r="AN221" s="15" t="s">
        <v>1056</v>
      </c>
      <c r="AO221" s="15" t="s">
        <v>622</v>
      </c>
      <c r="AP221" s="15" t="s">
        <v>623</v>
      </c>
      <c r="AQ221" s="15" t="s">
        <v>622</v>
      </c>
      <c r="AR221" s="15" t="s">
        <v>623</v>
      </c>
      <c r="AS221" s="15" t="s">
        <v>915</v>
      </c>
      <c r="AT221" s="15" t="s">
        <v>3256</v>
      </c>
      <c r="AU221" s="15" t="s">
        <v>2541</v>
      </c>
      <c r="AW221" s="15" t="s">
        <v>706</v>
      </c>
      <c r="AX221" s="15" t="s">
        <v>707</v>
      </c>
      <c r="AY221" s="15" t="s">
        <v>413</v>
      </c>
      <c r="AZ221" s="15" t="b">
        <v>0</v>
      </c>
      <c r="BA221" s="15" t="s">
        <v>413</v>
      </c>
      <c r="BB221" s="15" t="b">
        <v>0</v>
      </c>
      <c r="BC221" s="15" t="s">
        <v>3260</v>
      </c>
      <c r="BD221" s="15" t="s">
        <v>709</v>
      </c>
      <c r="BE221" s="15" t="str">
        <f t="shared" si="367"/>
        <v>1</v>
      </c>
      <c r="BF221" s="15" t="s">
        <v>3248</v>
      </c>
      <c r="BG221" s="15" t="str">
        <f t="shared" si="404"/>
        <v>29.92</v>
      </c>
      <c r="BH221" s="15" t="s">
        <v>1321</v>
      </c>
      <c r="BI221" s="15" t="str">
        <f t="shared" si="405"/>
        <v>38.98</v>
      </c>
      <c r="BJ221" s="15" t="s">
        <v>927</v>
      </c>
      <c r="BK221" s="15" t="str">
        <f t="shared" si="406"/>
        <v>37.4</v>
      </c>
      <c r="BL221" s="15" t="s">
        <v>3175</v>
      </c>
      <c r="BM221" s="15" t="str">
        <f t="shared" si="407"/>
        <v>80.47</v>
      </c>
      <c r="BN221" s="15" t="s">
        <v>3249</v>
      </c>
      <c r="BQ221" s="15" t="s">
        <v>444</v>
      </c>
      <c r="BS221" s="15" t="s">
        <v>444</v>
      </c>
      <c r="BU221" s="15" t="s">
        <v>444</v>
      </c>
      <c r="BW221" s="15" t="s">
        <v>444</v>
      </c>
      <c r="BZ221" s="15" t="s">
        <v>444</v>
      </c>
      <c r="CB221" s="15" t="s">
        <v>444</v>
      </c>
      <c r="CD221" s="15" t="s">
        <v>444</v>
      </c>
      <c r="CF221" s="15" t="s">
        <v>444</v>
      </c>
      <c r="CI221" s="15" t="s">
        <v>444</v>
      </c>
      <c r="CK221" s="15" t="s">
        <v>444</v>
      </c>
      <c r="CM221" s="15" t="s">
        <v>444</v>
      </c>
      <c r="CO221" s="15" t="s">
        <v>444</v>
      </c>
      <c r="CP221" s="15" t="str">
        <f t="shared" si="408"/>
        <v>21.4</v>
      </c>
      <c r="CQ221" s="15" t="str">
        <f t="shared" si="409"/>
        <v>0.606</v>
      </c>
      <c r="CR221" s="15" t="s">
        <v>465</v>
      </c>
      <c r="DB221" s="15" t="s">
        <v>2198</v>
      </c>
      <c r="DC221" s="15" t="str">
        <f>IFERROR(__xludf.DUMMYFUNCTION("""COMPUTED_VALUE"""),"{""value"":21.25,""unit"":""in""}")</f>
        <v>{"value":21.25,"unit":"in"}</v>
      </c>
      <c r="DD221" s="15" t="s">
        <v>1065</v>
      </c>
      <c r="DE221" s="15" t="str">
        <f>IFERROR(__xludf.DUMMYFUNCTION("""COMPUTED_VALUE"""),"{""value"":18.00,""unit"":""in""}")</f>
        <v>{"value":18.00,"unit":"in"}</v>
      </c>
      <c r="DG221" s="15" t="str">
        <f>IFERROR(__xludf.DUMMYFUNCTION("""COMPUTED_VALUE"""),"")</f>
        <v/>
      </c>
      <c r="DH221" s="15">
        <v>0.0</v>
      </c>
      <c r="DI221" s="15">
        <v>1.0</v>
      </c>
      <c r="DJ221" s="15" t="s">
        <v>717</v>
      </c>
      <c r="DK221" s="15" t="s">
        <v>855</v>
      </c>
      <c r="DL221" s="15" t="str">
        <f>IFERROR(__xludf.DUMMYFUNCTION("""COMPUTED_VALUE"""),"Clean with solvent-based (dry clean only) products. Do not use water.")</f>
        <v>Clean with solvent-based (dry clean only) products. Do not use water.</v>
      </c>
      <c r="DM221" s="15" t="s">
        <v>856</v>
      </c>
      <c r="DT221" s="15" t="s">
        <v>721</v>
      </c>
      <c r="DU221" s="15" t="s">
        <v>2546</v>
      </c>
      <c r="DV221" s="15">
        <v>0.0</v>
      </c>
      <c r="DZ221" s="15">
        <v>25000.0</v>
      </c>
      <c r="EA221" s="15" t="s">
        <v>990</v>
      </c>
      <c r="EB221" s="15" t="s">
        <v>1016</v>
      </c>
      <c r="ED221" s="15">
        <v>1.0</v>
      </c>
      <c r="EE221" s="15">
        <v>1.0</v>
      </c>
      <c r="EG221" s="15" t="s">
        <v>444</v>
      </c>
      <c r="EH221" s="15" t="s">
        <v>3239</v>
      </c>
      <c r="EI221" s="15">
        <v>0.0</v>
      </c>
      <c r="EJ221" s="15" t="s">
        <v>726</v>
      </c>
      <c r="EK221" s="15" t="s">
        <v>727</v>
      </c>
      <c r="EL221" s="15" t="s">
        <v>1211</v>
      </c>
      <c r="EM221" s="15" t="str">
        <f>IFERROR(__xludf.DUMMYFUNCTION("""COMPUTED_VALUE"""),"{""value"":24.00,""unit"":""in""}")</f>
        <v>{"value":24.00,"unit":"in"}</v>
      </c>
      <c r="EN221" s="15" t="s">
        <v>505</v>
      </c>
      <c r="EO221" s="15" t="s">
        <v>1306</v>
      </c>
      <c r="ES221" s="15" t="s">
        <v>425</v>
      </c>
      <c r="EW221" s="15" t="s">
        <v>2548</v>
      </c>
      <c r="EX221" s="15" t="s">
        <v>1330</v>
      </c>
      <c r="EY221" s="15" t="s">
        <v>1995</v>
      </c>
      <c r="EZ221" s="15" t="s">
        <v>1065</v>
      </c>
      <c r="FC221" s="15" t="s">
        <v>1016</v>
      </c>
      <c r="FF221" s="15" t="s">
        <v>937</v>
      </c>
      <c r="FO221" s="15" t="s">
        <v>1286</v>
      </c>
      <c r="FP221" s="15" t="s">
        <v>1211</v>
      </c>
      <c r="FQ221" s="15">
        <v>0.0</v>
      </c>
      <c r="FR221" s="15">
        <v>0.0</v>
      </c>
      <c r="FS221" s="15" t="s">
        <v>1609</v>
      </c>
      <c r="FT221" s="15" t="s">
        <v>1213</v>
      </c>
      <c r="JQ221" s="15" t="s">
        <v>3250</v>
      </c>
      <c r="JR221" s="15" t="s">
        <v>734</v>
      </c>
    </row>
    <row r="222" ht="15.75" customHeight="1">
      <c r="A222" s="14" t="s">
        <v>391</v>
      </c>
      <c r="B222" s="15" t="s">
        <v>3242</v>
      </c>
      <c r="C222" s="16"/>
      <c r="D222" s="15" t="s">
        <v>432</v>
      </c>
      <c r="G222" s="14" t="s">
        <v>393</v>
      </c>
      <c r="H222" s="14" t="s">
        <v>394</v>
      </c>
      <c r="I222" s="14" t="b">
        <v>1</v>
      </c>
      <c r="J222" s="14" t="s">
        <v>395</v>
      </c>
      <c r="L222" s="14" t="b">
        <v>0</v>
      </c>
      <c r="M222" s="15" t="s">
        <v>3261</v>
      </c>
      <c r="N222" s="14" t="s">
        <v>393</v>
      </c>
      <c r="O222" s="14" t="s">
        <v>393</v>
      </c>
      <c r="P222" s="15" t="s">
        <v>397</v>
      </c>
      <c r="Q222" s="15" t="s">
        <v>3262</v>
      </c>
      <c r="T222" s="14" t="b">
        <v>0</v>
      </c>
      <c r="U222" s="15" t="s">
        <v>3263</v>
      </c>
      <c r="V222" s="15" t="s">
        <v>3245</v>
      </c>
      <c r="W222" s="15" t="s">
        <v>401</v>
      </c>
      <c r="X222" s="15" t="s">
        <v>695</v>
      </c>
      <c r="Y222" s="15">
        <v>2080.0</v>
      </c>
      <c r="AA222" s="15" t="str">
        <f>"800"</f>
        <v>800</v>
      </c>
      <c r="AB222" s="14" t="b">
        <v>1</v>
      </c>
      <c r="AC222" s="14" t="b">
        <v>1</v>
      </c>
      <c r="AD222" s="15" t="str">
        <f>"801542870171"</f>
        <v>801542870171</v>
      </c>
      <c r="AE222" s="15" t="s">
        <v>3264</v>
      </c>
      <c r="AF222" s="14" t="s">
        <v>404</v>
      </c>
      <c r="AG222" s="14" t="s">
        <v>405</v>
      </c>
      <c r="AH222" s="14" t="s">
        <v>406</v>
      </c>
      <c r="AI222" s="15">
        <v>0.0</v>
      </c>
      <c r="AL222" s="15" t="s">
        <v>1341</v>
      </c>
      <c r="AM222" s="15" t="s">
        <v>1055</v>
      </c>
      <c r="AN222" s="15" t="s">
        <v>1056</v>
      </c>
      <c r="AO222" s="15" t="s">
        <v>622</v>
      </c>
      <c r="AP222" s="15" t="s">
        <v>623</v>
      </c>
      <c r="AQ222" s="15" t="s">
        <v>622</v>
      </c>
      <c r="AR222" s="15" t="s">
        <v>623</v>
      </c>
      <c r="AS222" s="15" t="s">
        <v>915</v>
      </c>
      <c r="AT222" s="15" t="s">
        <v>3262</v>
      </c>
      <c r="AU222" s="15" t="s">
        <v>1342</v>
      </c>
      <c r="AW222" s="15" t="s">
        <v>706</v>
      </c>
      <c r="AX222" s="15" t="s">
        <v>707</v>
      </c>
      <c r="AY222" s="15" t="s">
        <v>413</v>
      </c>
      <c r="AZ222" s="15" t="b">
        <v>0</v>
      </c>
      <c r="BA222" s="15" t="s">
        <v>413</v>
      </c>
      <c r="BB222" s="15" t="b">
        <v>0</v>
      </c>
      <c r="BC222" s="15" t="s">
        <v>3265</v>
      </c>
      <c r="BD222" s="15" t="s">
        <v>709</v>
      </c>
      <c r="BE222" s="15" t="str">
        <f t="shared" si="367"/>
        <v>1</v>
      </c>
      <c r="BF222" s="15" t="s">
        <v>1803</v>
      </c>
      <c r="BG222" s="15" t="str">
        <f t="shared" si="404"/>
        <v>29.92</v>
      </c>
      <c r="BH222" s="15" t="s">
        <v>1321</v>
      </c>
      <c r="BI222" s="15" t="str">
        <f t="shared" si="405"/>
        <v>38.98</v>
      </c>
      <c r="BJ222" s="15" t="s">
        <v>927</v>
      </c>
      <c r="BK222" s="15" t="str">
        <f t="shared" si="406"/>
        <v>37.4</v>
      </c>
      <c r="BL222" s="15" t="s">
        <v>3175</v>
      </c>
      <c r="BM222" s="15" t="str">
        <f t="shared" si="407"/>
        <v>80.47</v>
      </c>
      <c r="BN222" s="15" t="s">
        <v>3249</v>
      </c>
      <c r="BQ222" s="15" t="s">
        <v>444</v>
      </c>
      <c r="BS222" s="15" t="s">
        <v>444</v>
      </c>
      <c r="BU222" s="15" t="s">
        <v>444</v>
      </c>
      <c r="BW222" s="15" t="s">
        <v>444</v>
      </c>
      <c r="BZ222" s="15" t="s">
        <v>444</v>
      </c>
      <c r="CB222" s="15" t="s">
        <v>444</v>
      </c>
      <c r="CD222" s="15" t="s">
        <v>444</v>
      </c>
      <c r="CF222" s="15" t="s">
        <v>444</v>
      </c>
      <c r="CI222" s="15" t="s">
        <v>444</v>
      </c>
      <c r="CK222" s="15" t="s">
        <v>444</v>
      </c>
      <c r="CM222" s="15" t="s">
        <v>444</v>
      </c>
      <c r="CO222" s="15" t="s">
        <v>444</v>
      </c>
      <c r="CP222" s="15" t="str">
        <f t="shared" si="408"/>
        <v>21.4</v>
      </c>
      <c r="CQ222" s="15" t="str">
        <f t="shared" si="409"/>
        <v>0.606</v>
      </c>
      <c r="CR222" s="15" t="s">
        <v>465</v>
      </c>
      <c r="DB222" s="15" t="s">
        <v>2198</v>
      </c>
      <c r="DC222" s="15" t="str">
        <f>IFERROR(__xludf.DUMMYFUNCTION("""COMPUTED_VALUE"""),"{""value"":21.25,""unit"":""in""}")</f>
        <v>{"value":21.25,"unit":"in"}</v>
      </c>
      <c r="DD222" s="15" t="s">
        <v>1065</v>
      </c>
      <c r="DE222" s="15" t="str">
        <f>IFERROR(__xludf.DUMMYFUNCTION("""COMPUTED_VALUE"""),"{""value"":18.00,""unit"":""in""}")</f>
        <v>{"value":18.00,"unit":"in"}</v>
      </c>
      <c r="DG222" s="15" t="str">
        <f>IFERROR(__xludf.DUMMYFUNCTION("""COMPUTED_VALUE"""),"")</f>
        <v/>
      </c>
      <c r="DH222" s="15">
        <v>0.0</v>
      </c>
      <c r="DI222" s="15">
        <v>1.0</v>
      </c>
      <c r="DJ222" s="15" t="s">
        <v>717</v>
      </c>
      <c r="DK222" s="15" t="s">
        <v>718</v>
      </c>
      <c r="DL222" s="15" t="str">
        <f>IFERROR(__xludf.DUMMYFUNCTION("""COMPUTED_VALUE"""),"Vacuum or light brush only. Do not use water or any cleaning products.")</f>
        <v>Vacuum or light brush only. Do not use water or any cleaning products.</v>
      </c>
      <c r="DM222" s="15" t="s">
        <v>719</v>
      </c>
      <c r="DT222" s="15" t="s">
        <v>721</v>
      </c>
      <c r="DU222" s="15" t="s">
        <v>2546</v>
      </c>
      <c r="DV222" s="15">
        <v>0.0</v>
      </c>
      <c r="DZ222" s="15">
        <v>0.0</v>
      </c>
      <c r="EA222" s="15" t="s">
        <v>990</v>
      </c>
      <c r="EB222" s="15" t="s">
        <v>1016</v>
      </c>
      <c r="ED222" s="15">
        <v>1.0</v>
      </c>
      <c r="EE222" s="15">
        <v>1.0</v>
      </c>
      <c r="EG222" s="15" t="s">
        <v>444</v>
      </c>
      <c r="EH222" s="15" t="s">
        <v>3239</v>
      </c>
      <c r="EI222" s="15">
        <v>0.0</v>
      </c>
      <c r="EJ222" s="15" t="s">
        <v>726</v>
      </c>
      <c r="EK222" s="15" t="s">
        <v>727</v>
      </c>
      <c r="EL222" s="15" t="s">
        <v>1211</v>
      </c>
      <c r="EM222" s="15" t="str">
        <f>IFERROR(__xludf.DUMMYFUNCTION("""COMPUTED_VALUE"""),"{""value"":24.00,""unit"":""in""}")</f>
        <v>{"value":24.00,"unit":"in"}</v>
      </c>
      <c r="EN222" s="15" t="s">
        <v>505</v>
      </c>
      <c r="EO222" s="15" t="s">
        <v>1306</v>
      </c>
      <c r="ES222" s="15" t="s">
        <v>425</v>
      </c>
      <c r="EW222" s="15" t="s">
        <v>2548</v>
      </c>
      <c r="EX222" s="15" t="s">
        <v>1330</v>
      </c>
      <c r="EY222" s="15" t="s">
        <v>1995</v>
      </c>
      <c r="EZ222" s="15" t="s">
        <v>1065</v>
      </c>
      <c r="FC222" s="15" t="s">
        <v>1016</v>
      </c>
      <c r="FF222" s="15" t="s">
        <v>937</v>
      </c>
      <c r="FO222" s="15" t="s">
        <v>1286</v>
      </c>
      <c r="FP222" s="15" t="s">
        <v>1211</v>
      </c>
      <c r="FQ222" s="15">
        <v>0.0</v>
      </c>
      <c r="FR222" s="15">
        <v>0.0</v>
      </c>
      <c r="FS222" s="15" t="s">
        <v>1609</v>
      </c>
      <c r="FT222" s="15" t="s">
        <v>1213</v>
      </c>
      <c r="JQ222" s="15" t="s">
        <v>3250</v>
      </c>
      <c r="JR222" s="15" t="s">
        <v>734</v>
      </c>
    </row>
    <row r="223" ht="15.75" customHeight="1">
      <c r="A223" s="14" t="s">
        <v>391</v>
      </c>
      <c r="B223" s="15" t="s">
        <v>3266</v>
      </c>
      <c r="C223" s="16"/>
      <c r="D223" s="15" t="s">
        <v>432</v>
      </c>
      <c r="G223" s="14" t="s">
        <v>393</v>
      </c>
      <c r="H223" s="14" t="s">
        <v>394</v>
      </c>
      <c r="I223" s="14" t="b">
        <v>1</v>
      </c>
      <c r="J223" s="14" t="s">
        <v>395</v>
      </c>
      <c r="L223" s="14" t="b">
        <v>0</v>
      </c>
      <c r="M223" s="15" t="s">
        <v>3267</v>
      </c>
      <c r="N223" s="14" t="s">
        <v>393</v>
      </c>
      <c r="O223" s="14" t="s">
        <v>393</v>
      </c>
      <c r="P223" s="15" t="s">
        <v>397</v>
      </c>
      <c r="Q223" s="15" t="s">
        <v>3268</v>
      </c>
      <c r="T223" s="14" t="b">
        <v>0</v>
      </c>
      <c r="U223" s="15" t="s">
        <v>3269</v>
      </c>
      <c r="V223" s="15" t="s">
        <v>3270</v>
      </c>
      <c r="W223" s="15" t="s">
        <v>401</v>
      </c>
      <c r="X223" s="15" t="s">
        <v>742</v>
      </c>
      <c r="Y223" s="15">
        <v>2899.0</v>
      </c>
      <c r="AA223" s="15" t="str">
        <f>"1115"</f>
        <v>1115</v>
      </c>
      <c r="AB223" s="14" t="b">
        <v>1</v>
      </c>
      <c r="AC223" s="14" t="b">
        <v>1</v>
      </c>
      <c r="AD223" s="15" t="str">
        <f>"198394124409"</f>
        <v>198394124409</v>
      </c>
      <c r="AE223" s="15" t="s">
        <v>3271</v>
      </c>
      <c r="AF223" s="14" t="s">
        <v>404</v>
      </c>
      <c r="AG223" s="14" t="s">
        <v>405</v>
      </c>
      <c r="AH223" s="14" t="s">
        <v>406</v>
      </c>
      <c r="AI223" s="15">
        <v>0.0</v>
      </c>
      <c r="AL223" s="15" t="s">
        <v>3272</v>
      </c>
      <c r="AM223" s="15" t="s">
        <v>1533</v>
      </c>
      <c r="AN223" s="15" t="s">
        <v>1534</v>
      </c>
      <c r="AO223" s="15" t="s">
        <v>3273</v>
      </c>
      <c r="AP223" s="15" t="s">
        <v>3274</v>
      </c>
      <c r="AQ223" s="15" t="s">
        <v>3275</v>
      </c>
      <c r="AR223" s="15" t="s">
        <v>3276</v>
      </c>
      <c r="AS223" s="15" t="s">
        <v>3277</v>
      </c>
      <c r="AT223" s="15" t="s">
        <v>3268</v>
      </c>
      <c r="AU223" s="15" t="s">
        <v>3278</v>
      </c>
      <c r="AW223" s="15" t="s">
        <v>1226</v>
      </c>
      <c r="AY223" s="15" t="s">
        <v>413</v>
      </c>
      <c r="AZ223" s="15" t="b">
        <v>0</v>
      </c>
      <c r="BA223" s="15" t="s">
        <v>426</v>
      </c>
      <c r="BB223" s="15" t="b">
        <v>1</v>
      </c>
      <c r="BC223" s="15" t="s">
        <v>3279</v>
      </c>
      <c r="BD223" s="15" t="s">
        <v>742</v>
      </c>
      <c r="BE223" s="15" t="str">
        <f t="shared" si="367"/>
        <v>1</v>
      </c>
      <c r="BF223" s="15" t="s">
        <v>416</v>
      </c>
      <c r="BG223" s="15" t="str">
        <f>"54.53"</f>
        <v>54.53</v>
      </c>
      <c r="BH223" s="15" t="s">
        <v>3280</v>
      </c>
      <c r="BI223" s="15" t="str">
        <f>"77.36"</f>
        <v>77.36</v>
      </c>
      <c r="BJ223" s="15" t="s">
        <v>3281</v>
      </c>
      <c r="BK223" s="15" t="str">
        <f>"31.38"</f>
        <v>31.38</v>
      </c>
      <c r="BL223" s="15" t="s">
        <v>3282</v>
      </c>
      <c r="BM223" s="15" t="str">
        <f>"205.03"</f>
        <v>205.03</v>
      </c>
      <c r="BN223" s="15" t="s">
        <v>3283</v>
      </c>
      <c r="BQ223" s="15" t="s">
        <v>444</v>
      </c>
      <c r="BS223" s="15" t="s">
        <v>444</v>
      </c>
      <c r="BU223" s="15" t="s">
        <v>444</v>
      </c>
      <c r="BW223" s="15" t="s">
        <v>444</v>
      </c>
      <c r="BZ223" s="15" t="s">
        <v>444</v>
      </c>
      <c r="CB223" s="15" t="s">
        <v>444</v>
      </c>
      <c r="CD223" s="15" t="s">
        <v>444</v>
      </c>
      <c r="CF223" s="15" t="s">
        <v>444</v>
      </c>
      <c r="CI223" s="15" t="s">
        <v>444</v>
      </c>
      <c r="CK223" s="15" t="s">
        <v>444</v>
      </c>
      <c r="CM223" s="15" t="s">
        <v>444</v>
      </c>
      <c r="CO223" s="15" t="s">
        <v>444</v>
      </c>
      <c r="CP223" s="15" t="str">
        <f>"76.6"</f>
        <v>76.6</v>
      </c>
      <c r="CQ223" s="15" t="str">
        <f>"2.169"</f>
        <v>2.169</v>
      </c>
      <c r="CR223" s="15" t="s">
        <v>465</v>
      </c>
      <c r="DB223" s="15" t="s">
        <v>3284</v>
      </c>
      <c r="DC223" s="15" t="str">
        <f>IFERROR(__xludf.DUMMYFUNCTION("""COMPUTED_VALUE"""),"{""value"":61.02,""unit"":""in""}")</f>
        <v>{"value":61.02,"unit":"in"}</v>
      </c>
      <c r="DD223" s="15" t="s">
        <v>1070</v>
      </c>
      <c r="DE223" s="15" t="str">
        <f>IFERROR(__xludf.DUMMYFUNCTION("""COMPUTED_VALUE"""),"{""value"":17.72,""unit"":""in""}")</f>
        <v>{"value":17.72,"unit":"in"}</v>
      </c>
      <c r="DF223" s="15" t="s">
        <v>3285</v>
      </c>
      <c r="DG223" s="15" t="str">
        <f>IFERROR(__xludf.DUMMYFUNCTION("""COMPUTED_VALUE"""),"{""value"":49.21,""unit"":""in""}")</f>
        <v>{"value":49.21,"unit":"in"}</v>
      </c>
      <c r="DH223" s="15">
        <v>0.0</v>
      </c>
      <c r="DI223" s="15">
        <v>0.0</v>
      </c>
      <c r="DJ223" s="15" t="s">
        <v>717</v>
      </c>
      <c r="DK223" s="15" t="s">
        <v>897</v>
      </c>
      <c r="DL223" s="15" t="str">
        <f>IFERROR(__xludf.DUMMYFUNCTION("""COMPUTED_VALUE"""),"Clean with water-based products only. Use mild detergent or upholstery shampoo.")</f>
        <v>Clean with water-based products only. Use mild detergent or upholstery shampoo.</v>
      </c>
      <c r="DM223" s="15" t="s">
        <v>898</v>
      </c>
      <c r="DT223" s="15" t="s">
        <v>1388</v>
      </c>
      <c r="DU223" s="15" t="s">
        <v>419</v>
      </c>
      <c r="DV223" s="15">
        <v>0.0</v>
      </c>
      <c r="DZ223" s="15">
        <v>50000.0</v>
      </c>
      <c r="EA223" s="15" t="s">
        <v>990</v>
      </c>
      <c r="EB223" s="15" t="s">
        <v>1016</v>
      </c>
      <c r="ED223" s="15">
        <v>1.0</v>
      </c>
      <c r="EE223" s="15">
        <v>1.0</v>
      </c>
      <c r="EG223" s="15" t="s">
        <v>444</v>
      </c>
      <c r="EH223" s="15" t="s">
        <v>3286</v>
      </c>
      <c r="EI223" s="15">
        <v>0.0</v>
      </c>
      <c r="EJ223" s="15" t="s">
        <v>726</v>
      </c>
      <c r="EK223" s="15" t="s">
        <v>727</v>
      </c>
      <c r="EL223" s="15" t="s">
        <v>3287</v>
      </c>
      <c r="EM223" s="15" t="str">
        <f>IFERROR(__xludf.DUMMYFUNCTION("""COMPUTED_VALUE"""),"{""value"":30.71,""unit"":""in""}")</f>
        <v>{"value":30.71,"unit":"in"}</v>
      </c>
      <c r="EN223" s="15" t="s">
        <v>2156</v>
      </c>
      <c r="EO223" s="15" t="s">
        <v>3288</v>
      </c>
      <c r="ES223" s="15" t="s">
        <v>2841</v>
      </c>
      <c r="EW223" s="15" t="s">
        <v>3289</v>
      </c>
      <c r="EX223" s="15" t="s">
        <v>3290</v>
      </c>
      <c r="EY223" s="15" t="s">
        <v>3291</v>
      </c>
      <c r="EZ223" s="15" t="s">
        <v>2156</v>
      </c>
      <c r="FF223" s="15" t="s">
        <v>3292</v>
      </c>
      <c r="FL223" s="15" t="s">
        <v>426</v>
      </c>
      <c r="FO223" s="15" t="s">
        <v>3293</v>
      </c>
      <c r="FP223" s="15" t="s">
        <v>3285</v>
      </c>
    </row>
    <row r="224" ht="15.75" customHeight="1">
      <c r="A224" s="14" t="s">
        <v>391</v>
      </c>
      <c r="B224" s="15" t="s">
        <v>3294</v>
      </c>
      <c r="C224" s="16"/>
      <c r="D224" s="15" t="s">
        <v>432</v>
      </c>
      <c r="G224" s="14" t="s">
        <v>393</v>
      </c>
      <c r="H224" s="14" t="s">
        <v>394</v>
      </c>
      <c r="I224" s="14" t="b">
        <v>1</v>
      </c>
      <c r="J224" s="14" t="s">
        <v>395</v>
      </c>
      <c r="L224" s="14" t="b">
        <v>0</v>
      </c>
      <c r="M224" s="15" t="s">
        <v>3295</v>
      </c>
      <c r="N224" s="14" t="s">
        <v>393</v>
      </c>
      <c r="O224" s="14" t="s">
        <v>393</v>
      </c>
      <c r="P224" s="15" t="s">
        <v>397</v>
      </c>
      <c r="Q224" s="15" t="s">
        <v>3296</v>
      </c>
      <c r="T224" s="14" t="b">
        <v>0</v>
      </c>
      <c r="U224" s="15" t="s">
        <v>3297</v>
      </c>
      <c r="V224" s="15" t="s">
        <v>3298</v>
      </c>
      <c r="W224" s="15" t="s">
        <v>401</v>
      </c>
      <c r="X224" s="15" t="s">
        <v>695</v>
      </c>
      <c r="Y224" s="15">
        <v>1313.0</v>
      </c>
      <c r="AA224" s="15" t="str">
        <f>"505"</f>
        <v>505</v>
      </c>
      <c r="AB224" s="14" t="b">
        <v>1</v>
      </c>
      <c r="AC224" s="14" t="b">
        <v>1</v>
      </c>
      <c r="AD224" s="15" t="str">
        <f>"801542708979"</f>
        <v>801542708979</v>
      </c>
      <c r="AE224" s="15" t="s">
        <v>3299</v>
      </c>
      <c r="AF224" s="14" t="s">
        <v>404</v>
      </c>
      <c r="AG224" s="14" t="s">
        <v>405</v>
      </c>
      <c r="AH224" s="14" t="s">
        <v>406</v>
      </c>
      <c r="AI224" s="15">
        <v>0.0</v>
      </c>
      <c r="AL224" s="15" t="s">
        <v>3300</v>
      </c>
      <c r="AM224" s="15" t="s">
        <v>3301</v>
      </c>
      <c r="AN224" s="15" t="s">
        <v>3302</v>
      </c>
      <c r="AO224" s="15" t="s">
        <v>456</v>
      </c>
      <c r="AP224" s="15" t="s">
        <v>457</v>
      </c>
      <c r="AQ224" s="15" t="s">
        <v>1561</v>
      </c>
      <c r="AR224" s="15" t="s">
        <v>1562</v>
      </c>
      <c r="AS224" s="15" t="s">
        <v>1628</v>
      </c>
      <c r="AT224" s="15" t="s">
        <v>3296</v>
      </c>
      <c r="AU224" s="15" t="s">
        <v>2914</v>
      </c>
      <c r="AV224" s="15" t="s">
        <v>2520</v>
      </c>
      <c r="AW224" s="15" t="s">
        <v>458</v>
      </c>
      <c r="AX224" s="15" t="s">
        <v>459</v>
      </c>
      <c r="AY224" s="15" t="s">
        <v>413</v>
      </c>
      <c r="AZ224" s="15" t="b">
        <v>0</v>
      </c>
      <c r="BA224" s="15" t="s">
        <v>413</v>
      </c>
      <c r="BB224" s="15" t="b">
        <v>0</v>
      </c>
      <c r="BC224" s="15" t="s">
        <v>3303</v>
      </c>
      <c r="BD224" s="15" t="s">
        <v>709</v>
      </c>
      <c r="BE224" s="15" t="str">
        <f t="shared" si="367"/>
        <v>1</v>
      </c>
      <c r="BF224" s="15" t="s">
        <v>416</v>
      </c>
      <c r="BG224" s="15" t="str">
        <f t="shared" ref="BG224:BG226" si="410">"61.42"</f>
        <v>61.42</v>
      </c>
      <c r="BH224" s="15" t="s">
        <v>3304</v>
      </c>
      <c r="BI224" s="15" t="str">
        <f t="shared" ref="BI224:BI226" si="411">"21.46"</f>
        <v>21.46</v>
      </c>
      <c r="BJ224" s="15" t="s">
        <v>1385</v>
      </c>
      <c r="BK224" s="15" t="str">
        <f t="shared" ref="BK224:BK226" si="412">"24.8"</f>
        <v>24.8</v>
      </c>
      <c r="BL224" s="15" t="s">
        <v>711</v>
      </c>
      <c r="BM224" s="15" t="str">
        <f t="shared" ref="BM224:BM226" si="413">"57.32"</f>
        <v>57.32</v>
      </c>
      <c r="BN224" s="15" t="s">
        <v>1991</v>
      </c>
      <c r="BQ224" s="15" t="s">
        <v>444</v>
      </c>
      <c r="BS224" s="15" t="s">
        <v>444</v>
      </c>
      <c r="BU224" s="15" t="s">
        <v>444</v>
      </c>
      <c r="BW224" s="15" t="s">
        <v>444</v>
      </c>
      <c r="BZ224" s="15" t="s">
        <v>444</v>
      </c>
      <c r="CB224" s="15" t="s">
        <v>444</v>
      </c>
      <c r="CD224" s="15" t="s">
        <v>444</v>
      </c>
      <c r="CF224" s="15" t="s">
        <v>444</v>
      </c>
      <c r="CI224" s="15" t="s">
        <v>444</v>
      </c>
      <c r="CK224" s="15" t="s">
        <v>444</v>
      </c>
      <c r="CM224" s="15" t="s">
        <v>444</v>
      </c>
      <c r="CO224" s="15" t="s">
        <v>444</v>
      </c>
      <c r="CP224" s="15" t="str">
        <f t="shared" ref="CP224:CP226" si="414">"18.93"</f>
        <v>18.93</v>
      </c>
      <c r="CQ224" s="15" t="str">
        <f t="shared" ref="CQ224:CQ226" si="415">"0.536"</f>
        <v>0.536</v>
      </c>
      <c r="CR224" s="15" t="s">
        <v>465</v>
      </c>
      <c r="CY224" s="15" t="s">
        <v>467</v>
      </c>
      <c r="CZ224" s="15" t="s">
        <v>3305</v>
      </c>
      <c r="DA224" s="15" t="s">
        <v>2337</v>
      </c>
      <c r="DB224" s="15" t="s">
        <v>467</v>
      </c>
      <c r="DC224" s="15" t="str">
        <f>IFERROR(__xludf.DUMMYFUNCTION("""COMPUTED_VALUE"""),"{""value"":19.00,""unit"":""in""}")</f>
        <v>{"value":19.00,"unit":"in"}</v>
      </c>
      <c r="DD224" s="15" t="s">
        <v>1324</v>
      </c>
      <c r="DE224" s="15" t="str">
        <f>IFERROR(__xludf.DUMMYFUNCTION("""COMPUTED_VALUE"""),"{""value"":20.00,""unit"":""in""}")</f>
        <v>{"value":20.00,"unit":"in"}</v>
      </c>
      <c r="DF224" s="15" t="s">
        <v>2337</v>
      </c>
      <c r="DG224" s="15" t="str">
        <f>IFERROR(__xludf.DUMMYFUNCTION("""COMPUTED_VALUE"""),"{""value"":55.00,""unit"":""in""}")</f>
        <v>{"value":55.00,"unit":"in"}</v>
      </c>
      <c r="DH224" s="15">
        <v>0.0</v>
      </c>
      <c r="DI224" s="15">
        <v>0.0</v>
      </c>
      <c r="DJ224" s="15" t="s">
        <v>469</v>
      </c>
      <c r="DK224" s="15" t="s">
        <v>897</v>
      </c>
      <c r="DL224" s="15" t="str">
        <f>IFERROR(__xludf.DUMMYFUNCTION("""COMPUTED_VALUE"""),"Clean with water-based products only. Use mild detergent or upholstery shampoo.")</f>
        <v>Clean with water-based products only. Use mild detergent or upholstery shampoo.</v>
      </c>
      <c r="DM224" s="15" t="s">
        <v>898</v>
      </c>
      <c r="DN224" s="15" t="s">
        <v>419</v>
      </c>
      <c r="DO224" s="15">
        <v>0.0</v>
      </c>
      <c r="DP224" s="15" t="s">
        <v>419</v>
      </c>
      <c r="DR224" s="15">
        <v>0.0</v>
      </c>
      <c r="DT224" s="15" t="s">
        <v>721</v>
      </c>
      <c r="DU224" s="15" t="s">
        <v>419</v>
      </c>
      <c r="DV224" s="15">
        <v>0.0</v>
      </c>
      <c r="DW224" s="15">
        <v>0.0</v>
      </c>
      <c r="DX224" s="15">
        <v>0.0</v>
      </c>
      <c r="DY224" s="15">
        <v>0.0</v>
      </c>
      <c r="DZ224" s="15">
        <v>10000.0</v>
      </c>
      <c r="EA224" s="15" t="s">
        <v>470</v>
      </c>
      <c r="EB224" s="15" t="s">
        <v>1016</v>
      </c>
      <c r="EC224" s="15" t="s">
        <v>3306</v>
      </c>
      <c r="ED224" s="15">
        <v>1.0</v>
      </c>
      <c r="EE224" s="15">
        <v>2.0</v>
      </c>
      <c r="EF224" s="15" t="s">
        <v>471</v>
      </c>
      <c r="EG224" s="15" t="s">
        <v>472</v>
      </c>
      <c r="EH224" s="15" t="s">
        <v>3307</v>
      </c>
      <c r="EI224" s="15">
        <v>0.0</v>
      </c>
      <c r="EJ224" s="15" t="s">
        <v>1545</v>
      </c>
      <c r="EK224" s="15" t="s">
        <v>1546</v>
      </c>
      <c r="EL224" s="15" t="s">
        <v>1072</v>
      </c>
      <c r="EM224" s="15" t="str">
        <f>IFERROR(__xludf.DUMMYFUNCTION("""COMPUTED_VALUE"""),"{""value"":22.00,""unit"":""in""}")</f>
        <v>{"value":22.00,"unit":"in"}</v>
      </c>
      <c r="EN224" s="15" t="s">
        <v>672</v>
      </c>
      <c r="EO224" s="15" t="s">
        <v>1804</v>
      </c>
      <c r="ES224" s="15" t="s">
        <v>1188</v>
      </c>
      <c r="EW224" s="15" t="s">
        <v>1238</v>
      </c>
      <c r="EX224" s="15" t="s">
        <v>3308</v>
      </c>
      <c r="EY224" s="15" t="s">
        <v>2930</v>
      </c>
      <c r="FF224" s="15" t="s">
        <v>997</v>
      </c>
      <c r="FO224" s="15" t="s">
        <v>2337</v>
      </c>
      <c r="FP224" s="15" t="s">
        <v>2337</v>
      </c>
    </row>
    <row r="225" ht="15.75" customHeight="1">
      <c r="A225" s="14" t="s">
        <v>391</v>
      </c>
      <c r="B225" s="15" t="s">
        <v>3294</v>
      </c>
      <c r="C225" s="16"/>
      <c r="D225" s="15" t="s">
        <v>432</v>
      </c>
      <c r="G225" s="14" t="s">
        <v>393</v>
      </c>
      <c r="H225" s="14" t="s">
        <v>394</v>
      </c>
      <c r="I225" s="14" t="b">
        <v>1</v>
      </c>
      <c r="J225" s="14" t="s">
        <v>395</v>
      </c>
      <c r="L225" s="14" t="b">
        <v>0</v>
      </c>
      <c r="M225" s="15" t="s">
        <v>3309</v>
      </c>
      <c r="N225" s="14" t="s">
        <v>393</v>
      </c>
      <c r="O225" s="14" t="s">
        <v>393</v>
      </c>
      <c r="P225" s="15" t="s">
        <v>397</v>
      </c>
      <c r="Q225" s="15" t="s">
        <v>1658</v>
      </c>
      <c r="T225" s="14" t="b">
        <v>0</v>
      </c>
      <c r="U225" s="15" t="s">
        <v>3310</v>
      </c>
      <c r="V225" s="15" t="s">
        <v>3298</v>
      </c>
      <c r="W225" s="15" t="s">
        <v>401</v>
      </c>
      <c r="X225" s="15" t="s">
        <v>695</v>
      </c>
      <c r="Y225" s="15">
        <v>1807.0</v>
      </c>
      <c r="AA225" s="15" t="str">
        <f>"695"</f>
        <v>695</v>
      </c>
      <c r="AB225" s="14" t="b">
        <v>1</v>
      </c>
      <c r="AC225" s="14" t="b">
        <v>1</v>
      </c>
      <c r="AD225" s="15" t="str">
        <f>"801542643317"</f>
        <v>801542643317</v>
      </c>
      <c r="AE225" s="15" t="s">
        <v>3311</v>
      </c>
      <c r="AF225" s="14" t="s">
        <v>404</v>
      </c>
      <c r="AG225" s="14" t="s">
        <v>405</v>
      </c>
      <c r="AH225" s="14" t="s">
        <v>406</v>
      </c>
      <c r="AI225" s="15">
        <v>0.0</v>
      </c>
      <c r="AL225" s="15" t="s">
        <v>3312</v>
      </c>
      <c r="AM225" s="15" t="s">
        <v>3301</v>
      </c>
      <c r="AN225" s="15" t="s">
        <v>3302</v>
      </c>
      <c r="AO225" s="15" t="s">
        <v>456</v>
      </c>
      <c r="AP225" s="15" t="s">
        <v>457</v>
      </c>
      <c r="AQ225" s="15" t="s">
        <v>1561</v>
      </c>
      <c r="AR225" s="15" t="s">
        <v>1562</v>
      </c>
      <c r="AS225" s="15" t="s">
        <v>1628</v>
      </c>
      <c r="AT225" s="15" t="s">
        <v>1658</v>
      </c>
      <c r="AU225" s="15" t="s">
        <v>2914</v>
      </c>
      <c r="AV225" s="15" t="s">
        <v>1342</v>
      </c>
      <c r="AW225" s="15" t="s">
        <v>458</v>
      </c>
      <c r="AX225" s="15" t="s">
        <v>459</v>
      </c>
      <c r="AY225" s="15" t="s">
        <v>413</v>
      </c>
      <c r="AZ225" s="15" t="b">
        <v>0</v>
      </c>
      <c r="BA225" s="15" t="s">
        <v>413</v>
      </c>
      <c r="BB225" s="15" t="b">
        <v>0</v>
      </c>
      <c r="BC225" s="15" t="s">
        <v>3313</v>
      </c>
      <c r="BD225" s="15" t="s">
        <v>709</v>
      </c>
      <c r="BE225" s="15" t="str">
        <f t="shared" si="367"/>
        <v>1</v>
      </c>
      <c r="BF225" s="15" t="s">
        <v>416</v>
      </c>
      <c r="BG225" s="15" t="str">
        <f t="shared" si="410"/>
        <v>61.42</v>
      </c>
      <c r="BH225" s="15" t="s">
        <v>3304</v>
      </c>
      <c r="BI225" s="15" t="str">
        <f t="shared" si="411"/>
        <v>21.46</v>
      </c>
      <c r="BJ225" s="15" t="s">
        <v>1385</v>
      </c>
      <c r="BK225" s="15" t="str">
        <f t="shared" si="412"/>
        <v>24.8</v>
      </c>
      <c r="BL225" s="15" t="s">
        <v>711</v>
      </c>
      <c r="BM225" s="15" t="str">
        <f t="shared" si="413"/>
        <v>57.32</v>
      </c>
      <c r="BN225" s="15" t="s">
        <v>1991</v>
      </c>
      <c r="BQ225" s="15" t="s">
        <v>444</v>
      </c>
      <c r="BS225" s="15" t="s">
        <v>444</v>
      </c>
      <c r="BU225" s="15" t="s">
        <v>444</v>
      </c>
      <c r="BW225" s="15" t="s">
        <v>444</v>
      </c>
      <c r="BZ225" s="15" t="s">
        <v>444</v>
      </c>
      <c r="CB225" s="15" t="s">
        <v>444</v>
      </c>
      <c r="CD225" s="15" t="s">
        <v>444</v>
      </c>
      <c r="CF225" s="15" t="s">
        <v>444</v>
      </c>
      <c r="CI225" s="15" t="s">
        <v>444</v>
      </c>
      <c r="CK225" s="15" t="s">
        <v>444</v>
      </c>
      <c r="CM225" s="15" t="s">
        <v>444</v>
      </c>
      <c r="CO225" s="15" t="s">
        <v>444</v>
      </c>
      <c r="CP225" s="15" t="str">
        <f t="shared" si="414"/>
        <v>18.93</v>
      </c>
      <c r="CQ225" s="15" t="str">
        <f t="shared" si="415"/>
        <v>0.536</v>
      </c>
      <c r="CR225" s="15" t="s">
        <v>465</v>
      </c>
      <c r="CY225" s="15" t="s">
        <v>467</v>
      </c>
      <c r="CZ225" s="15" t="s">
        <v>3305</v>
      </c>
      <c r="DA225" s="15" t="s">
        <v>2337</v>
      </c>
      <c r="DB225" s="15" t="s">
        <v>467</v>
      </c>
      <c r="DC225" s="15" t="str">
        <f>IFERROR(__xludf.DUMMYFUNCTION("""COMPUTED_VALUE"""),"{""value"":19.00,""unit"":""in""}")</f>
        <v>{"value":19.00,"unit":"in"}</v>
      </c>
      <c r="DD225" s="15" t="s">
        <v>1324</v>
      </c>
      <c r="DE225" s="15" t="str">
        <f>IFERROR(__xludf.DUMMYFUNCTION("""COMPUTED_VALUE"""),"{""value"":20.00,""unit"":""in""}")</f>
        <v>{"value":20.00,"unit":"in"}</v>
      </c>
      <c r="DF225" s="15" t="s">
        <v>2337</v>
      </c>
      <c r="DG225" s="15" t="str">
        <f>IFERROR(__xludf.DUMMYFUNCTION("""COMPUTED_VALUE"""),"{""value"":55.00,""unit"":""in""}")</f>
        <v>{"value":55.00,"unit":"in"}</v>
      </c>
      <c r="DH225" s="15">
        <v>0.0</v>
      </c>
      <c r="DI225" s="15">
        <v>0.0</v>
      </c>
      <c r="DJ225" s="15" t="s">
        <v>469</v>
      </c>
      <c r="DK225" s="15" t="s">
        <v>718</v>
      </c>
      <c r="DL225" s="15" t="str">
        <f>IFERROR(__xludf.DUMMYFUNCTION("""COMPUTED_VALUE"""),"Vacuum or light brush only. Do not use water or any cleaning products.")</f>
        <v>Vacuum or light brush only. Do not use water or any cleaning products.</v>
      </c>
      <c r="DM225" s="15" t="s">
        <v>719</v>
      </c>
      <c r="DN225" s="15" t="s">
        <v>419</v>
      </c>
      <c r="DO225" s="15">
        <v>0.0</v>
      </c>
      <c r="DP225" s="15" t="s">
        <v>419</v>
      </c>
      <c r="DR225" s="15">
        <v>0.0</v>
      </c>
      <c r="DT225" s="15" t="s">
        <v>721</v>
      </c>
      <c r="DU225" s="15" t="s">
        <v>419</v>
      </c>
      <c r="DV225" s="15">
        <v>0.0</v>
      </c>
      <c r="DW225" s="15">
        <v>0.0</v>
      </c>
      <c r="DX225" s="15">
        <v>0.0</v>
      </c>
      <c r="DY225" s="15">
        <v>0.0</v>
      </c>
      <c r="DZ225" s="15">
        <v>0.0</v>
      </c>
      <c r="EA225" s="15" t="s">
        <v>470</v>
      </c>
      <c r="EB225" s="15" t="s">
        <v>1016</v>
      </c>
      <c r="EC225" s="15" t="s">
        <v>3306</v>
      </c>
      <c r="ED225" s="15">
        <v>1.0</v>
      </c>
      <c r="EE225" s="15">
        <v>2.0</v>
      </c>
      <c r="EF225" s="15" t="s">
        <v>471</v>
      </c>
      <c r="EG225" s="15" t="s">
        <v>472</v>
      </c>
      <c r="EH225" s="15" t="s">
        <v>3307</v>
      </c>
      <c r="EI225" s="15">
        <v>0.0</v>
      </c>
      <c r="EJ225" s="15" t="s">
        <v>1545</v>
      </c>
      <c r="EK225" s="15" t="s">
        <v>1546</v>
      </c>
      <c r="EL225" s="15" t="s">
        <v>1072</v>
      </c>
      <c r="EM225" s="15" t="str">
        <f>IFERROR(__xludf.DUMMYFUNCTION("""COMPUTED_VALUE"""),"{""value"":22.00,""unit"":""in""}")</f>
        <v>{"value":22.00,"unit":"in"}</v>
      </c>
      <c r="EN225" s="15" t="s">
        <v>672</v>
      </c>
      <c r="EO225" s="15" t="s">
        <v>1804</v>
      </c>
      <c r="ES225" s="15" t="s">
        <v>1188</v>
      </c>
      <c r="EW225" s="15" t="s">
        <v>1238</v>
      </c>
      <c r="EX225" s="15" t="s">
        <v>3308</v>
      </c>
      <c r="EY225" s="15" t="s">
        <v>2930</v>
      </c>
      <c r="FF225" s="15" t="s">
        <v>997</v>
      </c>
      <c r="FO225" s="15" t="s">
        <v>2337</v>
      </c>
      <c r="FP225" s="15" t="s">
        <v>2337</v>
      </c>
    </row>
    <row r="226" ht="15.75" customHeight="1">
      <c r="A226" s="14" t="s">
        <v>391</v>
      </c>
      <c r="B226" s="15" t="s">
        <v>3294</v>
      </c>
      <c r="C226" s="16"/>
      <c r="D226" s="15" t="s">
        <v>432</v>
      </c>
      <c r="G226" s="14" t="s">
        <v>393</v>
      </c>
      <c r="H226" s="14" t="s">
        <v>394</v>
      </c>
      <c r="I226" s="14" t="b">
        <v>1</v>
      </c>
      <c r="J226" s="14" t="s">
        <v>395</v>
      </c>
      <c r="L226" s="14" t="b">
        <v>0</v>
      </c>
      <c r="M226" s="15" t="s">
        <v>3314</v>
      </c>
      <c r="N226" s="14" t="s">
        <v>393</v>
      </c>
      <c r="O226" s="14" t="s">
        <v>393</v>
      </c>
      <c r="P226" s="15" t="s">
        <v>397</v>
      </c>
      <c r="Q226" s="15" t="s">
        <v>3315</v>
      </c>
      <c r="T226" s="14" t="b">
        <v>0</v>
      </c>
      <c r="U226" s="15" t="s">
        <v>3316</v>
      </c>
      <c r="V226" s="15" t="s">
        <v>3317</v>
      </c>
      <c r="W226" s="15" t="s">
        <v>401</v>
      </c>
      <c r="X226" s="15" t="s">
        <v>695</v>
      </c>
      <c r="Y226" s="15">
        <v>1313.0</v>
      </c>
      <c r="AA226" s="15" t="str">
        <f>"505"</f>
        <v>505</v>
      </c>
      <c r="AB226" s="14" t="b">
        <v>1</v>
      </c>
      <c r="AC226" s="14" t="b">
        <v>1</v>
      </c>
      <c r="AD226" s="15" t="str">
        <f>"801542765644"</f>
        <v>801542765644</v>
      </c>
      <c r="AE226" s="15" t="s">
        <v>3318</v>
      </c>
      <c r="AF226" s="14" t="s">
        <v>404</v>
      </c>
      <c r="AG226" s="14" t="s">
        <v>405</v>
      </c>
      <c r="AH226" s="14" t="s">
        <v>406</v>
      </c>
      <c r="AI226" s="15">
        <v>0.0</v>
      </c>
      <c r="AL226" s="15" t="s">
        <v>3319</v>
      </c>
      <c r="AM226" s="15" t="s">
        <v>3301</v>
      </c>
      <c r="AN226" s="15" t="s">
        <v>3302</v>
      </c>
      <c r="AO226" s="15" t="s">
        <v>456</v>
      </c>
      <c r="AP226" s="15" t="s">
        <v>457</v>
      </c>
      <c r="AQ226" s="15" t="s">
        <v>1561</v>
      </c>
      <c r="AR226" s="15" t="s">
        <v>1562</v>
      </c>
      <c r="AS226" s="15" t="s">
        <v>1628</v>
      </c>
      <c r="AT226" s="15" t="s">
        <v>3315</v>
      </c>
      <c r="AU226" s="15" t="s">
        <v>2914</v>
      </c>
      <c r="AV226" s="15" t="s">
        <v>2520</v>
      </c>
      <c r="AW226" s="15" t="s">
        <v>458</v>
      </c>
      <c r="AX226" s="15" t="s">
        <v>459</v>
      </c>
      <c r="AY226" s="15" t="s">
        <v>413</v>
      </c>
      <c r="AZ226" s="15" t="b">
        <v>0</v>
      </c>
      <c r="BA226" s="15" t="s">
        <v>426</v>
      </c>
      <c r="BB226" s="15" t="b">
        <v>1</v>
      </c>
      <c r="BC226" s="15" t="s">
        <v>3320</v>
      </c>
      <c r="BD226" s="15" t="s">
        <v>709</v>
      </c>
      <c r="BE226" s="15" t="str">
        <f t="shared" si="367"/>
        <v>1</v>
      </c>
      <c r="BF226" s="15" t="s">
        <v>416</v>
      </c>
      <c r="BG226" s="15" t="str">
        <f t="shared" si="410"/>
        <v>61.42</v>
      </c>
      <c r="BH226" s="15" t="s">
        <v>3304</v>
      </c>
      <c r="BI226" s="15" t="str">
        <f t="shared" si="411"/>
        <v>21.46</v>
      </c>
      <c r="BJ226" s="15" t="s">
        <v>1385</v>
      </c>
      <c r="BK226" s="15" t="str">
        <f t="shared" si="412"/>
        <v>24.8</v>
      </c>
      <c r="BL226" s="15" t="s">
        <v>711</v>
      </c>
      <c r="BM226" s="15" t="str">
        <f t="shared" si="413"/>
        <v>57.32</v>
      </c>
      <c r="BN226" s="15" t="s">
        <v>1991</v>
      </c>
      <c r="BQ226" s="15" t="s">
        <v>444</v>
      </c>
      <c r="BS226" s="15" t="s">
        <v>444</v>
      </c>
      <c r="BU226" s="15" t="s">
        <v>444</v>
      </c>
      <c r="BW226" s="15" t="s">
        <v>444</v>
      </c>
      <c r="BZ226" s="15" t="s">
        <v>444</v>
      </c>
      <c r="CB226" s="15" t="s">
        <v>444</v>
      </c>
      <c r="CD226" s="15" t="s">
        <v>444</v>
      </c>
      <c r="CF226" s="15" t="s">
        <v>444</v>
      </c>
      <c r="CI226" s="15" t="s">
        <v>444</v>
      </c>
      <c r="CK226" s="15" t="s">
        <v>444</v>
      </c>
      <c r="CM226" s="15" t="s">
        <v>444</v>
      </c>
      <c r="CO226" s="15" t="s">
        <v>444</v>
      </c>
      <c r="CP226" s="15" t="str">
        <f t="shared" si="414"/>
        <v>18.93</v>
      </c>
      <c r="CQ226" s="15" t="str">
        <f t="shared" si="415"/>
        <v>0.536</v>
      </c>
      <c r="CR226" s="15" t="s">
        <v>465</v>
      </c>
      <c r="CY226" s="15" t="s">
        <v>467</v>
      </c>
      <c r="CZ226" s="15" t="s">
        <v>3305</v>
      </c>
      <c r="DA226" s="15" t="s">
        <v>2337</v>
      </c>
      <c r="DB226" s="15" t="s">
        <v>467</v>
      </c>
      <c r="DC226" s="15" t="str">
        <f>IFERROR(__xludf.DUMMYFUNCTION("""COMPUTED_VALUE"""),"{""value"":19.00,""unit"":""in""}")</f>
        <v>{"value":19.00,"unit":"in"}</v>
      </c>
      <c r="DD226" s="15" t="s">
        <v>1324</v>
      </c>
      <c r="DE226" s="15" t="str">
        <f>IFERROR(__xludf.DUMMYFUNCTION("""COMPUTED_VALUE"""),"{""value"":20.00,""unit"":""in""}")</f>
        <v>{"value":20.00,"unit":"in"}</v>
      </c>
      <c r="DF226" s="15" t="s">
        <v>2337</v>
      </c>
      <c r="DG226" s="15" t="str">
        <f>IFERROR(__xludf.DUMMYFUNCTION("""COMPUTED_VALUE"""),"{""value"":55.00,""unit"":""in""}")</f>
        <v>{"value":55.00,"unit":"in"}</v>
      </c>
      <c r="DH226" s="15">
        <v>0.0</v>
      </c>
      <c r="DI226" s="15">
        <v>0.0</v>
      </c>
      <c r="DJ226" s="15" t="s">
        <v>469</v>
      </c>
      <c r="DK226" s="15" t="s">
        <v>855</v>
      </c>
      <c r="DL226" s="15" t="str">
        <f>IFERROR(__xludf.DUMMYFUNCTION("""COMPUTED_VALUE"""),"Clean with solvent-based (dry clean only) products. Do not use water.")</f>
        <v>Clean with solvent-based (dry clean only) products. Do not use water.</v>
      </c>
      <c r="DM226" s="15" t="s">
        <v>856</v>
      </c>
      <c r="DN226" s="15" t="s">
        <v>419</v>
      </c>
      <c r="DO226" s="15">
        <v>0.0</v>
      </c>
      <c r="DP226" s="15" t="s">
        <v>419</v>
      </c>
      <c r="DR226" s="15">
        <v>0.0</v>
      </c>
      <c r="DT226" s="15" t="s">
        <v>721</v>
      </c>
      <c r="DU226" s="15" t="s">
        <v>419</v>
      </c>
      <c r="DV226" s="15">
        <v>0.0</v>
      </c>
      <c r="DW226" s="15">
        <v>0.0</v>
      </c>
      <c r="DX226" s="15">
        <v>0.0</v>
      </c>
      <c r="DY226" s="15">
        <v>0.0</v>
      </c>
      <c r="DZ226" s="15">
        <v>25000.0</v>
      </c>
      <c r="EA226" s="15" t="s">
        <v>470</v>
      </c>
      <c r="EB226" s="15" t="s">
        <v>1016</v>
      </c>
      <c r="EC226" s="15" t="s">
        <v>3306</v>
      </c>
      <c r="ED226" s="15">
        <v>1.0</v>
      </c>
      <c r="EE226" s="15">
        <v>2.0</v>
      </c>
      <c r="EF226" s="15" t="s">
        <v>471</v>
      </c>
      <c r="EG226" s="15" t="s">
        <v>472</v>
      </c>
      <c r="EH226" s="15" t="s">
        <v>3307</v>
      </c>
      <c r="EI226" s="15">
        <v>0.0</v>
      </c>
      <c r="EJ226" s="15" t="s">
        <v>1545</v>
      </c>
      <c r="EK226" s="15" t="s">
        <v>1546</v>
      </c>
      <c r="EL226" s="15" t="s">
        <v>1072</v>
      </c>
      <c r="EM226" s="15" t="str">
        <f>IFERROR(__xludf.DUMMYFUNCTION("""COMPUTED_VALUE"""),"{""value"":22.00,""unit"":""in""}")</f>
        <v>{"value":22.00,"unit":"in"}</v>
      </c>
      <c r="EN226" s="15" t="s">
        <v>672</v>
      </c>
      <c r="EO226" s="15" t="s">
        <v>1804</v>
      </c>
      <c r="ES226" s="15" t="s">
        <v>1188</v>
      </c>
      <c r="EW226" s="15" t="s">
        <v>1238</v>
      </c>
      <c r="EX226" s="15" t="s">
        <v>3308</v>
      </c>
      <c r="EY226" s="15" t="s">
        <v>2930</v>
      </c>
      <c r="FF226" s="15" t="s">
        <v>997</v>
      </c>
      <c r="FO226" s="15" t="s">
        <v>2337</v>
      </c>
      <c r="FP226" s="15" t="s">
        <v>2337</v>
      </c>
    </row>
    <row r="227" ht="15.75" customHeight="1">
      <c r="A227" s="14" t="s">
        <v>391</v>
      </c>
      <c r="B227" s="15" t="s">
        <v>3321</v>
      </c>
      <c r="C227" s="16"/>
      <c r="D227" s="15" t="s">
        <v>432</v>
      </c>
      <c r="G227" s="14" t="s">
        <v>393</v>
      </c>
      <c r="H227" s="14" t="s">
        <v>394</v>
      </c>
      <c r="I227" s="14" t="b">
        <v>1</v>
      </c>
      <c r="J227" s="14" t="s">
        <v>395</v>
      </c>
      <c r="L227" s="14" t="b">
        <v>0</v>
      </c>
      <c r="M227" s="15" t="s">
        <v>3322</v>
      </c>
      <c r="N227" s="14" t="s">
        <v>393</v>
      </c>
      <c r="O227" s="14" t="s">
        <v>393</v>
      </c>
      <c r="P227" s="15" t="s">
        <v>397</v>
      </c>
      <c r="Q227" s="15" t="s">
        <v>3323</v>
      </c>
      <c r="T227" s="14" t="b">
        <v>0</v>
      </c>
      <c r="U227" s="15" t="s">
        <v>3324</v>
      </c>
      <c r="V227" s="15" t="s">
        <v>3063</v>
      </c>
      <c r="W227" s="15" t="s">
        <v>401</v>
      </c>
      <c r="X227" s="15" t="s">
        <v>402</v>
      </c>
      <c r="Y227" s="15">
        <v>2730.0</v>
      </c>
      <c r="AA227" s="15" t="str">
        <f>"1050"</f>
        <v>1050</v>
      </c>
      <c r="AB227" s="14" t="b">
        <v>1</v>
      </c>
      <c r="AC227" s="14" t="b">
        <v>1</v>
      </c>
      <c r="AD227" s="15" t="str">
        <f>"198394123686"</f>
        <v>198394123686</v>
      </c>
      <c r="AE227" s="15" t="s">
        <v>3325</v>
      </c>
      <c r="AF227" s="14" t="s">
        <v>404</v>
      </c>
      <c r="AG227" s="14" t="s">
        <v>405</v>
      </c>
      <c r="AH227" s="14" t="s">
        <v>406</v>
      </c>
      <c r="AI227" s="15">
        <v>0.0</v>
      </c>
      <c r="AL227" s="15" t="s">
        <v>1655</v>
      </c>
      <c r="AM227" s="15" t="s">
        <v>2873</v>
      </c>
      <c r="AN227" s="15" t="s">
        <v>2874</v>
      </c>
      <c r="AO227" s="15" t="s">
        <v>3326</v>
      </c>
      <c r="AP227" s="15" t="s">
        <v>3327</v>
      </c>
      <c r="AQ227" s="15" t="s">
        <v>2416</v>
      </c>
      <c r="AR227" s="15" t="s">
        <v>2417</v>
      </c>
      <c r="AS227" s="15" t="s">
        <v>2374</v>
      </c>
      <c r="AT227" s="15" t="s">
        <v>3323</v>
      </c>
      <c r="AW227" s="15" t="s">
        <v>1732</v>
      </c>
      <c r="AY227" s="15" t="s">
        <v>413</v>
      </c>
      <c r="AZ227" s="15" t="b">
        <v>0</v>
      </c>
      <c r="BA227" s="15" t="s">
        <v>426</v>
      </c>
      <c r="BB227" s="15" t="b">
        <v>1</v>
      </c>
      <c r="BC227" s="15" t="s">
        <v>3328</v>
      </c>
      <c r="BD227" s="15" t="s">
        <v>415</v>
      </c>
      <c r="BE227" s="15" t="str">
        <f t="shared" si="367"/>
        <v>1</v>
      </c>
      <c r="BF227" s="15" t="s">
        <v>416</v>
      </c>
      <c r="BG227" s="15" t="str">
        <f>"63"</f>
        <v>63</v>
      </c>
      <c r="BH227" s="15" t="s">
        <v>3329</v>
      </c>
      <c r="BI227" s="15" t="str">
        <f>"67.5"</f>
        <v>67.5</v>
      </c>
      <c r="BJ227" s="15" t="s">
        <v>3330</v>
      </c>
      <c r="BK227" s="15" t="str">
        <f>"33.5"</f>
        <v>33.5</v>
      </c>
      <c r="BL227" s="15" t="s">
        <v>1223</v>
      </c>
      <c r="BM227" s="15" t="str">
        <f>"130.07"</f>
        <v>130.07</v>
      </c>
      <c r="BN227" s="15" t="s">
        <v>3331</v>
      </c>
      <c r="BQ227" s="15" t="s">
        <v>444</v>
      </c>
      <c r="BS227" s="15" t="s">
        <v>444</v>
      </c>
      <c r="BU227" s="15" t="s">
        <v>444</v>
      </c>
      <c r="BW227" s="15" t="s">
        <v>444</v>
      </c>
      <c r="BZ227" s="15" t="s">
        <v>444</v>
      </c>
      <c r="CB227" s="15" t="s">
        <v>444</v>
      </c>
      <c r="CD227" s="15" t="s">
        <v>444</v>
      </c>
      <c r="CF227" s="15" t="s">
        <v>444</v>
      </c>
      <c r="CI227" s="15" t="s">
        <v>444</v>
      </c>
      <c r="CK227" s="15" t="s">
        <v>444</v>
      </c>
      <c r="CM227" s="15" t="s">
        <v>444</v>
      </c>
      <c r="CO227" s="15" t="s">
        <v>444</v>
      </c>
      <c r="CP227" s="15" t="str">
        <f>"82.42"</f>
        <v>82.42</v>
      </c>
      <c r="CQ227" s="15" t="str">
        <f>"2.334"</f>
        <v>2.334</v>
      </c>
      <c r="CR227" s="15" t="s">
        <v>497</v>
      </c>
      <c r="DB227" s="15" t="s">
        <v>3332</v>
      </c>
      <c r="DC227" s="15" t="str">
        <f>IFERROR(__xludf.DUMMYFUNCTION("""COMPUTED_VALUE"""),"{""value"":42.00,""unit"":""in""}")</f>
        <v>{"value":42.00,"unit":"in"}</v>
      </c>
      <c r="DD227" s="15" t="s">
        <v>1331</v>
      </c>
      <c r="DE227" s="15" t="str">
        <f>IFERROR(__xludf.DUMMYFUNCTION("""COMPUTED_VALUE"""),"{""value"":21.00,""unit"":""in""}")</f>
        <v>{"value":21.00,"unit":"in"}</v>
      </c>
      <c r="DG227" s="15" t="str">
        <f>IFERROR(__xludf.DUMMYFUNCTION("""COMPUTED_VALUE"""),"")</f>
        <v/>
      </c>
      <c r="DH227" s="15">
        <v>0.0</v>
      </c>
      <c r="DI227" s="15">
        <v>5.0</v>
      </c>
      <c r="DJ227" s="15" t="s">
        <v>717</v>
      </c>
      <c r="DK227" s="15" t="s">
        <v>934</v>
      </c>
      <c r="DL227" s="15" t="str">
        <f>IFERROR(__xludf.DUMMYFUNCTION("""COMPUTED_VALUE"""),"Spot clean with water-based or solvent-based cleaner. Use mild detergent or upholstery shampoo.")</f>
        <v>Spot clean with water-based or solvent-based cleaner. Use mild detergent or upholstery shampoo.</v>
      </c>
      <c r="DM227" s="15" t="s">
        <v>935</v>
      </c>
      <c r="DQ227" s="15" t="s">
        <v>3333</v>
      </c>
      <c r="DT227" s="15" t="s">
        <v>721</v>
      </c>
      <c r="DV227" s="15">
        <v>0.0</v>
      </c>
      <c r="DZ227" s="15">
        <v>100000.0</v>
      </c>
      <c r="EA227" s="15" t="s">
        <v>990</v>
      </c>
      <c r="EB227" s="15" t="s">
        <v>1016</v>
      </c>
      <c r="EC227" s="15" t="s">
        <v>724</v>
      </c>
      <c r="ED227" s="15">
        <v>1.0</v>
      </c>
      <c r="EE227" s="15">
        <v>3.0</v>
      </c>
      <c r="EG227" s="15" t="s">
        <v>444</v>
      </c>
      <c r="EH227" s="15" t="s">
        <v>3334</v>
      </c>
      <c r="EI227" s="15">
        <v>0.0</v>
      </c>
      <c r="EJ227" s="15" t="s">
        <v>473</v>
      </c>
      <c r="EK227" s="15" t="s">
        <v>474</v>
      </c>
      <c r="EL227" s="15" t="s">
        <v>1806</v>
      </c>
      <c r="EM227" s="15" t="str">
        <f>IFERROR(__xludf.DUMMYFUNCTION("""COMPUTED_VALUE"""),"{""value"":26.00,""unit"":""in""}")</f>
        <v>{"value":26.00,"unit":"in"}</v>
      </c>
      <c r="EN227" s="15" t="s">
        <v>429</v>
      </c>
      <c r="EO227" s="15" t="s">
        <v>3335</v>
      </c>
      <c r="ES227" s="15" t="s">
        <v>635</v>
      </c>
      <c r="ET227" s="15" t="s">
        <v>2402</v>
      </c>
      <c r="EU227" s="15" t="s">
        <v>1211</v>
      </c>
      <c r="EV227" s="15" t="s">
        <v>1211</v>
      </c>
      <c r="EW227" s="15" t="s">
        <v>1188</v>
      </c>
      <c r="EX227" s="15" t="s">
        <v>3336</v>
      </c>
      <c r="EY227" s="15" t="s">
        <v>996</v>
      </c>
      <c r="EZ227" s="15" t="s">
        <v>2739</v>
      </c>
      <c r="FC227" s="15" t="s">
        <v>723</v>
      </c>
      <c r="FD227" s="15" t="s">
        <v>1076</v>
      </c>
      <c r="FE227" s="15" t="s">
        <v>1289</v>
      </c>
      <c r="FF227" s="15" t="s">
        <v>3337</v>
      </c>
      <c r="FO227" s="15" t="s">
        <v>3338</v>
      </c>
      <c r="FP227" s="15" t="s">
        <v>2931</v>
      </c>
      <c r="HK227" s="15" t="s">
        <v>2402</v>
      </c>
      <c r="HL227" s="15" t="s">
        <v>467</v>
      </c>
      <c r="HM227" s="15" t="s">
        <v>467</v>
      </c>
    </row>
    <row r="228" ht="15.75" customHeight="1">
      <c r="A228" s="14" t="s">
        <v>391</v>
      </c>
      <c r="B228" s="15" t="s">
        <v>3339</v>
      </c>
      <c r="C228" s="16"/>
      <c r="D228" s="15" t="s">
        <v>432</v>
      </c>
      <c r="G228" s="14" t="s">
        <v>393</v>
      </c>
      <c r="H228" s="14" t="s">
        <v>394</v>
      </c>
      <c r="I228" s="14" t="b">
        <v>1</v>
      </c>
      <c r="J228" s="14" t="s">
        <v>395</v>
      </c>
      <c r="L228" s="14" t="b">
        <v>0</v>
      </c>
      <c r="M228" s="15" t="s">
        <v>3340</v>
      </c>
      <c r="N228" s="14" t="s">
        <v>393</v>
      </c>
      <c r="O228" s="14" t="s">
        <v>393</v>
      </c>
      <c r="P228" s="15" t="s">
        <v>397</v>
      </c>
      <c r="Q228" s="15" t="s">
        <v>3341</v>
      </c>
      <c r="T228" s="14" t="b">
        <v>0</v>
      </c>
      <c r="U228" s="15" t="s">
        <v>3342</v>
      </c>
      <c r="V228" s="15" t="s">
        <v>1499</v>
      </c>
      <c r="W228" s="15" t="s">
        <v>401</v>
      </c>
      <c r="X228" s="15" t="s">
        <v>402</v>
      </c>
      <c r="Y228" s="15">
        <v>2080.0</v>
      </c>
      <c r="AA228" s="15" t="str">
        <f>"800"</f>
        <v>800</v>
      </c>
      <c r="AB228" s="14" t="b">
        <v>1</v>
      </c>
      <c r="AC228" s="14" t="b">
        <v>1</v>
      </c>
      <c r="AD228" s="15" t="str">
        <f>"801542003432"</f>
        <v>801542003432</v>
      </c>
      <c r="AE228" s="15" t="s">
        <v>3343</v>
      </c>
      <c r="AF228" s="14" t="s">
        <v>404</v>
      </c>
      <c r="AG228" s="14" t="s">
        <v>405</v>
      </c>
      <c r="AH228" s="14" t="s">
        <v>406</v>
      </c>
      <c r="AI228" s="15">
        <v>0.0</v>
      </c>
      <c r="AL228" s="15" t="s">
        <v>3344</v>
      </c>
      <c r="AM228" s="15" t="s">
        <v>2557</v>
      </c>
      <c r="AN228" s="15" t="s">
        <v>2558</v>
      </c>
      <c r="AO228" s="15" t="s">
        <v>3345</v>
      </c>
      <c r="AP228" s="15" t="s">
        <v>3346</v>
      </c>
      <c r="AQ228" s="15" t="s">
        <v>2834</v>
      </c>
      <c r="AR228" s="15" t="s">
        <v>2239</v>
      </c>
      <c r="AS228" s="15" t="s">
        <v>2374</v>
      </c>
      <c r="AT228" s="15" t="s">
        <v>3341</v>
      </c>
      <c r="AW228" s="15" t="s">
        <v>706</v>
      </c>
      <c r="AX228" s="15" t="s">
        <v>707</v>
      </c>
      <c r="AY228" s="15" t="s">
        <v>426</v>
      </c>
      <c r="AZ228" s="15" t="b">
        <v>1</v>
      </c>
      <c r="BA228" s="15" t="s">
        <v>426</v>
      </c>
      <c r="BB228" s="15" t="b">
        <v>1</v>
      </c>
      <c r="BC228" s="15" t="s">
        <v>3347</v>
      </c>
      <c r="BD228" s="15" t="s">
        <v>415</v>
      </c>
      <c r="BE228" s="15" t="str">
        <f t="shared" si="367"/>
        <v>1</v>
      </c>
      <c r="BF228" s="15" t="s">
        <v>416</v>
      </c>
      <c r="BG228" s="15" t="str">
        <f t="shared" ref="BG228:BG229" si="416">"43.5"</f>
        <v>43.5</v>
      </c>
      <c r="BH228" s="15" t="s">
        <v>3032</v>
      </c>
      <c r="BI228" s="15" t="str">
        <f t="shared" ref="BI228:BI229" si="417">"43"</f>
        <v>43</v>
      </c>
      <c r="BJ228" s="15" t="s">
        <v>545</v>
      </c>
      <c r="BK228" s="15" t="str">
        <f t="shared" ref="BK228:BK229" si="418">"29"</f>
        <v>29</v>
      </c>
      <c r="BL228" s="15" t="s">
        <v>1275</v>
      </c>
      <c r="BM228" s="15" t="str">
        <f t="shared" ref="BM228:BM229" si="419">"92.59"</f>
        <v>92.59</v>
      </c>
      <c r="BN228" s="15" t="s">
        <v>3348</v>
      </c>
      <c r="BQ228" s="15" t="s">
        <v>444</v>
      </c>
      <c r="BS228" s="15" t="s">
        <v>444</v>
      </c>
      <c r="BU228" s="15" t="s">
        <v>444</v>
      </c>
      <c r="BW228" s="15" t="s">
        <v>444</v>
      </c>
      <c r="BZ228" s="15" t="s">
        <v>444</v>
      </c>
      <c r="CB228" s="15" t="s">
        <v>444</v>
      </c>
      <c r="CD228" s="15" t="s">
        <v>444</v>
      </c>
      <c r="CF228" s="15" t="s">
        <v>444</v>
      </c>
      <c r="CI228" s="15" t="s">
        <v>444</v>
      </c>
      <c r="CK228" s="15" t="s">
        <v>444</v>
      </c>
      <c r="CM228" s="15" t="s">
        <v>444</v>
      </c>
      <c r="CO228" s="15" t="s">
        <v>444</v>
      </c>
      <c r="CP228" s="15" t="str">
        <f t="shared" ref="CP228:CP229" si="420">"31.39"</f>
        <v>31.39</v>
      </c>
      <c r="CQ228" s="15" t="str">
        <f t="shared" ref="CQ228:CQ229" si="421">"0.889"</f>
        <v>0.889</v>
      </c>
      <c r="CR228" s="15" t="s">
        <v>465</v>
      </c>
      <c r="DB228" s="15" t="s">
        <v>942</v>
      </c>
      <c r="DC228" s="15" t="str">
        <f>IFERROR(__xludf.DUMMYFUNCTION("""COMPUTED_VALUE"""),"{""value"":35.50,""unit"":""in""}")</f>
        <v>{"value":35.50,"unit":"in"}</v>
      </c>
      <c r="DD228" s="15" t="s">
        <v>467</v>
      </c>
      <c r="DE228" s="15" t="str">
        <f>IFERROR(__xludf.DUMMYFUNCTION("""COMPUTED_VALUE"""),"{""value"":19.00,""unit"":""in""}")</f>
        <v>{"value":19.00,"unit":"in"}</v>
      </c>
      <c r="DF228" s="15" t="s">
        <v>734</v>
      </c>
      <c r="DG228" s="15" t="str">
        <f>IFERROR(__xludf.DUMMYFUNCTION("""COMPUTED_VALUE"""),"{""value"":31.50,""unit"":""in""}")</f>
        <v>{"value":31.50,"unit":"in"}</v>
      </c>
      <c r="DH228" s="15">
        <v>0.0</v>
      </c>
      <c r="DI228" s="15">
        <v>2.0</v>
      </c>
      <c r="DJ228" s="15" t="s">
        <v>717</v>
      </c>
      <c r="DK228" s="15" t="s">
        <v>934</v>
      </c>
      <c r="DL228" s="15" t="str">
        <f>IFERROR(__xludf.DUMMYFUNCTION("""COMPUTED_VALUE"""),"Spot clean with water-based or solvent-based cleaner. Use mild detergent or upholstery shampoo.")</f>
        <v>Spot clean with water-based or solvent-based cleaner. Use mild detergent or upholstery shampoo.</v>
      </c>
      <c r="DM228" s="15" t="s">
        <v>935</v>
      </c>
      <c r="DQ228" s="15" t="s">
        <v>3333</v>
      </c>
      <c r="DT228" s="15" t="s">
        <v>721</v>
      </c>
      <c r="DU228" s="15" t="s">
        <v>1605</v>
      </c>
      <c r="DV228" s="15">
        <v>0.0</v>
      </c>
      <c r="DZ228" s="15">
        <v>33000.0</v>
      </c>
      <c r="EA228" s="15" t="s">
        <v>990</v>
      </c>
      <c r="ED228" s="15">
        <v>0.0</v>
      </c>
      <c r="EE228" s="15">
        <v>1.0</v>
      </c>
      <c r="EG228" s="15" t="s">
        <v>444</v>
      </c>
      <c r="EH228" s="15" t="s">
        <v>3334</v>
      </c>
      <c r="EI228" s="15">
        <v>0.0</v>
      </c>
      <c r="EJ228" s="15" t="s">
        <v>726</v>
      </c>
      <c r="EK228" s="15" t="s">
        <v>727</v>
      </c>
      <c r="EL228" s="15" t="s">
        <v>1253</v>
      </c>
      <c r="EM228" s="15" t="str">
        <f>IFERROR(__xludf.DUMMYFUNCTION("""COMPUTED_VALUE"""),"{""value"":22.50,""unit"":""in""}")</f>
        <v>{"value":22.50,"unit":"in"}</v>
      </c>
      <c r="EN228" s="15" t="s">
        <v>2116</v>
      </c>
      <c r="EO228" s="15" t="s">
        <v>2385</v>
      </c>
      <c r="ES228" s="15" t="s">
        <v>635</v>
      </c>
      <c r="ET228" s="15" t="s">
        <v>2402</v>
      </c>
      <c r="EU228" s="15" t="s">
        <v>1286</v>
      </c>
      <c r="EV228" s="15" t="s">
        <v>1286</v>
      </c>
      <c r="EW228" s="15" t="s">
        <v>672</v>
      </c>
      <c r="EZ228" s="15" t="s">
        <v>1738</v>
      </c>
      <c r="FC228" s="15" t="s">
        <v>723</v>
      </c>
      <c r="FD228" s="15" t="s">
        <v>1076</v>
      </c>
      <c r="FE228" s="15" t="s">
        <v>1289</v>
      </c>
      <c r="FF228" s="15" t="s">
        <v>3337</v>
      </c>
      <c r="FQ228" s="15">
        <v>0.0</v>
      </c>
      <c r="FR228" s="15">
        <v>0.0</v>
      </c>
      <c r="FS228" s="15" t="s">
        <v>2436</v>
      </c>
      <c r="FT228" s="15">
        <v>0.0</v>
      </c>
      <c r="IL228" s="15" t="s">
        <v>1610</v>
      </c>
    </row>
    <row r="229" ht="15.75" customHeight="1">
      <c r="A229" s="14" t="s">
        <v>391</v>
      </c>
      <c r="B229" s="15" t="s">
        <v>3339</v>
      </c>
      <c r="C229" s="16"/>
      <c r="D229" s="15" t="s">
        <v>432</v>
      </c>
      <c r="G229" s="14" t="s">
        <v>393</v>
      </c>
      <c r="H229" s="14" t="s">
        <v>394</v>
      </c>
      <c r="I229" s="14" t="b">
        <v>1</v>
      </c>
      <c r="J229" s="14" t="s">
        <v>395</v>
      </c>
      <c r="L229" s="14" t="b">
        <v>0</v>
      </c>
      <c r="M229" s="15" t="s">
        <v>3349</v>
      </c>
      <c r="N229" s="14" t="s">
        <v>393</v>
      </c>
      <c r="O229" s="14" t="s">
        <v>393</v>
      </c>
      <c r="P229" s="15" t="s">
        <v>397</v>
      </c>
      <c r="Q229" s="15" t="s">
        <v>2657</v>
      </c>
      <c r="T229" s="14" t="b">
        <v>0</v>
      </c>
      <c r="U229" s="15" t="s">
        <v>3350</v>
      </c>
      <c r="V229" s="15" t="s">
        <v>1499</v>
      </c>
      <c r="W229" s="15" t="s">
        <v>401</v>
      </c>
      <c r="X229" s="15" t="s">
        <v>402</v>
      </c>
      <c r="Y229" s="15">
        <v>2626.0</v>
      </c>
      <c r="AA229" s="15" t="str">
        <f>"1010"</f>
        <v>1010</v>
      </c>
      <c r="AB229" s="14" t="b">
        <v>1</v>
      </c>
      <c r="AC229" s="14" t="b">
        <v>1</v>
      </c>
      <c r="AD229" s="15" t="str">
        <f>"801542204792"</f>
        <v>801542204792</v>
      </c>
      <c r="AE229" s="15" t="s">
        <v>3351</v>
      </c>
      <c r="AF229" s="14" t="s">
        <v>404</v>
      </c>
      <c r="AG229" s="14" t="s">
        <v>405</v>
      </c>
      <c r="AH229" s="14" t="s">
        <v>406</v>
      </c>
      <c r="AI229" s="15">
        <v>0.0</v>
      </c>
      <c r="AL229" s="15" t="s">
        <v>3352</v>
      </c>
      <c r="AM229" s="15" t="s">
        <v>2557</v>
      </c>
      <c r="AN229" s="15" t="s">
        <v>2558</v>
      </c>
      <c r="AO229" s="15" t="s">
        <v>3345</v>
      </c>
      <c r="AP229" s="15" t="s">
        <v>3346</v>
      </c>
      <c r="AQ229" s="15" t="s">
        <v>2834</v>
      </c>
      <c r="AR229" s="15" t="s">
        <v>2239</v>
      </c>
      <c r="AS229" s="15" t="s">
        <v>2374</v>
      </c>
      <c r="AT229" s="15" t="s">
        <v>2657</v>
      </c>
      <c r="AW229" s="15" t="s">
        <v>706</v>
      </c>
      <c r="AX229" s="15" t="s">
        <v>707</v>
      </c>
      <c r="AY229" s="15" t="s">
        <v>413</v>
      </c>
      <c r="AZ229" s="15" t="b">
        <v>0</v>
      </c>
      <c r="BA229" s="15" t="s">
        <v>413</v>
      </c>
      <c r="BB229" s="15" t="b">
        <v>0</v>
      </c>
      <c r="BC229" s="15" t="s">
        <v>3353</v>
      </c>
      <c r="BD229" s="15" t="s">
        <v>415</v>
      </c>
      <c r="BE229" s="15" t="str">
        <f t="shared" si="367"/>
        <v>1</v>
      </c>
      <c r="BF229" s="15" t="s">
        <v>416</v>
      </c>
      <c r="BG229" s="15" t="str">
        <f t="shared" si="416"/>
        <v>43.5</v>
      </c>
      <c r="BH229" s="15" t="s">
        <v>3032</v>
      </c>
      <c r="BI229" s="15" t="str">
        <f t="shared" si="417"/>
        <v>43</v>
      </c>
      <c r="BJ229" s="15" t="s">
        <v>545</v>
      </c>
      <c r="BK229" s="15" t="str">
        <f t="shared" si="418"/>
        <v>29</v>
      </c>
      <c r="BL229" s="15" t="s">
        <v>1275</v>
      </c>
      <c r="BM229" s="15" t="str">
        <f t="shared" si="419"/>
        <v>92.59</v>
      </c>
      <c r="BN229" s="15" t="s">
        <v>3348</v>
      </c>
      <c r="BQ229" s="15" t="s">
        <v>444</v>
      </c>
      <c r="BS229" s="15" t="s">
        <v>444</v>
      </c>
      <c r="BU229" s="15" t="s">
        <v>444</v>
      </c>
      <c r="BW229" s="15" t="s">
        <v>444</v>
      </c>
      <c r="BZ229" s="15" t="s">
        <v>444</v>
      </c>
      <c r="CB229" s="15" t="s">
        <v>444</v>
      </c>
      <c r="CD229" s="15" t="s">
        <v>444</v>
      </c>
      <c r="CF229" s="15" t="s">
        <v>444</v>
      </c>
      <c r="CI229" s="15" t="s">
        <v>444</v>
      </c>
      <c r="CK229" s="15" t="s">
        <v>444</v>
      </c>
      <c r="CM229" s="15" t="s">
        <v>444</v>
      </c>
      <c r="CO229" s="15" t="s">
        <v>444</v>
      </c>
      <c r="CP229" s="15" t="str">
        <f t="shared" si="420"/>
        <v>31.39</v>
      </c>
      <c r="CQ229" s="15" t="str">
        <f t="shared" si="421"/>
        <v>0.889</v>
      </c>
      <c r="CR229" s="15" t="s">
        <v>465</v>
      </c>
      <c r="DB229" s="15" t="s">
        <v>942</v>
      </c>
      <c r="DC229" s="15" t="str">
        <f>IFERROR(__xludf.DUMMYFUNCTION("""COMPUTED_VALUE"""),"{""value"":35.50,""unit"":""in""}")</f>
        <v>{"value":35.50,"unit":"in"}</v>
      </c>
      <c r="DD229" s="15" t="s">
        <v>467</v>
      </c>
      <c r="DE229" s="15" t="str">
        <f>IFERROR(__xludf.DUMMYFUNCTION("""COMPUTED_VALUE"""),"{""value"":19.00,""unit"":""in""}")</f>
        <v>{"value":19.00,"unit":"in"}</v>
      </c>
      <c r="DF229" s="15" t="s">
        <v>734</v>
      </c>
      <c r="DG229" s="15" t="str">
        <f>IFERROR(__xludf.DUMMYFUNCTION("""COMPUTED_VALUE"""),"{""value"":31.50,""unit"":""in""}")</f>
        <v>{"value":31.50,"unit":"in"}</v>
      </c>
      <c r="DH229" s="15">
        <v>0.0</v>
      </c>
      <c r="DI229" s="15">
        <v>2.0</v>
      </c>
      <c r="DJ229" s="15" t="s">
        <v>717</v>
      </c>
      <c r="DK229" s="15" t="s">
        <v>934</v>
      </c>
      <c r="DL229" s="15" t="str">
        <f>IFERROR(__xludf.DUMMYFUNCTION("""COMPUTED_VALUE"""),"Spot clean with water-based or solvent-based cleaner. Use mild detergent or upholstery shampoo.")</f>
        <v>Spot clean with water-based or solvent-based cleaner. Use mild detergent or upholstery shampoo.</v>
      </c>
      <c r="DM229" s="15" t="s">
        <v>935</v>
      </c>
      <c r="DQ229" s="15" t="s">
        <v>3333</v>
      </c>
      <c r="DT229" s="15" t="s">
        <v>721</v>
      </c>
      <c r="DU229" s="15" t="s">
        <v>1605</v>
      </c>
      <c r="DV229" s="15">
        <v>0.0</v>
      </c>
      <c r="DZ229" s="15">
        <v>50000.0</v>
      </c>
      <c r="EA229" s="15" t="s">
        <v>990</v>
      </c>
      <c r="ED229" s="15">
        <v>0.0</v>
      </c>
      <c r="EE229" s="15">
        <v>1.0</v>
      </c>
      <c r="EG229" s="15" t="s">
        <v>444</v>
      </c>
      <c r="EH229" s="15" t="s">
        <v>3334</v>
      </c>
      <c r="EI229" s="15">
        <v>0.0</v>
      </c>
      <c r="EJ229" s="15" t="s">
        <v>726</v>
      </c>
      <c r="EK229" s="15" t="s">
        <v>727</v>
      </c>
      <c r="EL229" s="15" t="s">
        <v>1253</v>
      </c>
      <c r="EM229" s="15" t="str">
        <f>IFERROR(__xludf.DUMMYFUNCTION("""COMPUTED_VALUE"""),"{""value"":22.50,""unit"":""in""}")</f>
        <v>{"value":22.50,"unit":"in"}</v>
      </c>
      <c r="EN229" s="15" t="s">
        <v>2116</v>
      </c>
      <c r="EO229" s="15" t="s">
        <v>2385</v>
      </c>
      <c r="ES229" s="15" t="s">
        <v>635</v>
      </c>
      <c r="ET229" s="15" t="s">
        <v>2402</v>
      </c>
      <c r="EU229" s="15" t="s">
        <v>1286</v>
      </c>
      <c r="EV229" s="15" t="s">
        <v>1286</v>
      </c>
      <c r="EW229" s="15" t="s">
        <v>672</v>
      </c>
      <c r="EZ229" s="15" t="s">
        <v>1738</v>
      </c>
      <c r="FC229" s="15" t="s">
        <v>723</v>
      </c>
      <c r="FD229" s="15" t="s">
        <v>1076</v>
      </c>
      <c r="FE229" s="15" t="s">
        <v>1289</v>
      </c>
      <c r="FF229" s="15" t="s">
        <v>3337</v>
      </c>
      <c r="FQ229" s="15">
        <v>0.0</v>
      </c>
      <c r="FR229" s="15">
        <v>0.0</v>
      </c>
      <c r="FS229" s="15" t="s">
        <v>2436</v>
      </c>
      <c r="FT229" s="15">
        <v>0.0</v>
      </c>
      <c r="IL229" s="15" t="s">
        <v>1610</v>
      </c>
    </row>
    <row r="230" ht="15.75" customHeight="1">
      <c r="A230" s="14" t="s">
        <v>391</v>
      </c>
      <c r="B230" s="15" t="s">
        <v>3354</v>
      </c>
      <c r="C230" s="16"/>
      <c r="D230" s="15" t="s">
        <v>432</v>
      </c>
      <c r="G230" s="14" t="s">
        <v>393</v>
      </c>
      <c r="H230" s="14" t="s">
        <v>394</v>
      </c>
      <c r="I230" s="14" t="b">
        <v>1</v>
      </c>
      <c r="J230" s="14" t="s">
        <v>395</v>
      </c>
      <c r="L230" s="14" t="b">
        <v>0</v>
      </c>
      <c r="M230" s="15" t="s">
        <v>3355</v>
      </c>
      <c r="N230" s="14" t="s">
        <v>393</v>
      </c>
      <c r="O230" s="14" t="s">
        <v>393</v>
      </c>
      <c r="P230" s="15" t="s">
        <v>397</v>
      </c>
      <c r="Q230" s="15" t="s">
        <v>3356</v>
      </c>
      <c r="T230" s="14" t="b">
        <v>0</v>
      </c>
      <c r="U230" s="15" t="s">
        <v>3357</v>
      </c>
      <c r="V230" s="15" t="s">
        <v>1530</v>
      </c>
      <c r="W230" s="15" t="s">
        <v>401</v>
      </c>
      <c r="X230" s="15" t="s">
        <v>695</v>
      </c>
      <c r="Y230" s="15">
        <v>988.0</v>
      </c>
      <c r="AA230" s="15" t="str">
        <f>"380"</f>
        <v>380</v>
      </c>
      <c r="AB230" s="14" t="b">
        <v>1</v>
      </c>
      <c r="AC230" s="14" t="b">
        <v>1</v>
      </c>
      <c r="AD230" s="15" t="str">
        <f>"801542295851"</f>
        <v>801542295851</v>
      </c>
      <c r="AE230" s="15" t="s">
        <v>3358</v>
      </c>
      <c r="AF230" s="14" t="s">
        <v>404</v>
      </c>
      <c r="AG230" s="14" t="s">
        <v>405</v>
      </c>
      <c r="AH230" s="14" t="s">
        <v>406</v>
      </c>
      <c r="AI230" s="15">
        <v>0.0</v>
      </c>
      <c r="AL230" s="15" t="s">
        <v>832</v>
      </c>
      <c r="AM230" s="15" t="s">
        <v>3275</v>
      </c>
      <c r="AN230" s="15" t="s">
        <v>3276</v>
      </c>
      <c r="AO230" s="15" t="s">
        <v>1203</v>
      </c>
      <c r="AP230" s="15" t="s">
        <v>1204</v>
      </c>
      <c r="AQ230" s="15" t="s">
        <v>645</v>
      </c>
      <c r="AR230" s="15" t="s">
        <v>646</v>
      </c>
      <c r="AS230" s="15" t="s">
        <v>915</v>
      </c>
      <c r="AT230" s="15" t="s">
        <v>3356</v>
      </c>
      <c r="AU230" s="15" t="s">
        <v>978</v>
      </c>
      <c r="AW230" s="15" t="s">
        <v>706</v>
      </c>
      <c r="AX230" s="15" t="s">
        <v>707</v>
      </c>
      <c r="AY230" s="15" t="s">
        <v>413</v>
      </c>
      <c r="AZ230" s="15" t="b">
        <v>0</v>
      </c>
      <c r="BA230" s="15" t="s">
        <v>426</v>
      </c>
      <c r="BB230" s="15" t="b">
        <v>1</v>
      </c>
      <c r="BC230" s="15" t="s">
        <v>3359</v>
      </c>
      <c r="BD230" s="15" t="s">
        <v>709</v>
      </c>
      <c r="BE230" s="15" t="str">
        <f t="shared" si="367"/>
        <v>1</v>
      </c>
      <c r="BF230" s="15" t="s">
        <v>1477</v>
      </c>
      <c r="BG230" s="15" t="str">
        <f>"31.1"</f>
        <v>31.1</v>
      </c>
      <c r="BH230" s="15" t="s">
        <v>1386</v>
      </c>
      <c r="BI230" s="15" t="str">
        <f>"35.04"</f>
        <v>35.04</v>
      </c>
      <c r="BJ230" s="15" t="s">
        <v>1404</v>
      </c>
      <c r="BK230" s="15" t="str">
        <f>"36.61"</f>
        <v>36.61</v>
      </c>
      <c r="BL230" s="15" t="s">
        <v>1734</v>
      </c>
      <c r="BM230" s="15" t="str">
        <f>"52.91"</f>
        <v>52.91</v>
      </c>
      <c r="BN230" s="15" t="s">
        <v>921</v>
      </c>
      <c r="BQ230" s="15" t="s">
        <v>444</v>
      </c>
      <c r="BS230" s="15" t="s">
        <v>444</v>
      </c>
      <c r="BU230" s="15" t="s">
        <v>444</v>
      </c>
      <c r="BW230" s="15" t="s">
        <v>444</v>
      </c>
      <c r="BZ230" s="15" t="s">
        <v>444</v>
      </c>
      <c r="CB230" s="15" t="s">
        <v>444</v>
      </c>
      <c r="CD230" s="15" t="s">
        <v>444</v>
      </c>
      <c r="CF230" s="15" t="s">
        <v>444</v>
      </c>
      <c r="CI230" s="15" t="s">
        <v>444</v>
      </c>
      <c r="CK230" s="15" t="s">
        <v>444</v>
      </c>
      <c r="CM230" s="15" t="s">
        <v>444</v>
      </c>
      <c r="CO230" s="15" t="s">
        <v>444</v>
      </c>
      <c r="CP230" s="15" t="str">
        <f>"18.5"</f>
        <v>18.5</v>
      </c>
      <c r="CQ230" s="15" t="str">
        <f>"0.524"</f>
        <v>0.524</v>
      </c>
      <c r="CR230" s="15" t="s">
        <v>497</v>
      </c>
      <c r="DB230" s="15" t="s">
        <v>1700</v>
      </c>
      <c r="DC230" s="15" t="str">
        <f>IFERROR(__xludf.DUMMYFUNCTION("""COMPUTED_VALUE"""),"{""value"":21.50,""unit"":""in""}")</f>
        <v>{"value":21.50,"unit":"in"}</v>
      </c>
      <c r="DD230" s="15" t="s">
        <v>1161</v>
      </c>
      <c r="DE230" s="15" t="str">
        <f>IFERROR(__xludf.DUMMYFUNCTION("""COMPUTED_VALUE"""),"{""value"":17.00,""unit"":""in""}")</f>
        <v>{"value":17.00,"unit":"in"}</v>
      </c>
      <c r="DG230" s="15" t="str">
        <f>IFERROR(__xludf.DUMMYFUNCTION("""COMPUTED_VALUE"""),"")</f>
        <v/>
      </c>
      <c r="DH230" s="15">
        <v>0.0</v>
      </c>
      <c r="DI230" s="15">
        <v>1.0</v>
      </c>
      <c r="DJ230" s="15" t="s">
        <v>717</v>
      </c>
      <c r="DK230" s="15" t="s">
        <v>855</v>
      </c>
      <c r="DL230" s="15" t="str">
        <f>IFERROR(__xludf.DUMMYFUNCTION("""COMPUTED_VALUE"""),"Clean with solvent-based (dry clean only) products. Do not use water.")</f>
        <v>Clean with solvent-based (dry clean only) products. Do not use water.</v>
      </c>
      <c r="DM230" s="15" t="s">
        <v>856</v>
      </c>
      <c r="DT230" s="15" t="s">
        <v>721</v>
      </c>
      <c r="DU230" s="15" t="s">
        <v>419</v>
      </c>
      <c r="DV230" s="15">
        <v>0.0</v>
      </c>
      <c r="DZ230" s="15">
        <v>25000.0</v>
      </c>
      <c r="EA230" s="15" t="s">
        <v>990</v>
      </c>
      <c r="EB230" s="15" t="s">
        <v>1016</v>
      </c>
      <c r="EC230" s="15" t="s">
        <v>1701</v>
      </c>
      <c r="ED230" s="15">
        <v>1.0</v>
      </c>
      <c r="EE230" s="15">
        <v>1.0</v>
      </c>
      <c r="EG230" s="15" t="s">
        <v>444</v>
      </c>
      <c r="EH230" s="15" t="s">
        <v>3360</v>
      </c>
      <c r="EI230" s="15">
        <v>0.0</v>
      </c>
      <c r="EJ230" s="15" t="s">
        <v>726</v>
      </c>
      <c r="EK230" s="15" t="s">
        <v>727</v>
      </c>
      <c r="EL230" s="15" t="s">
        <v>1237</v>
      </c>
      <c r="EM230" s="15" t="str">
        <f>IFERROR(__xludf.DUMMYFUNCTION("""COMPUTED_VALUE"""),"{""value"":20.50,""unit"":""in""}")</f>
        <v>{"value":20.50,"unit":"in"}</v>
      </c>
      <c r="EN230" s="15" t="s">
        <v>635</v>
      </c>
      <c r="EO230" s="15" t="s">
        <v>2292</v>
      </c>
      <c r="ES230" s="15" t="s">
        <v>2465</v>
      </c>
      <c r="EW230" s="15" t="s">
        <v>2547</v>
      </c>
      <c r="EX230" s="15" t="s">
        <v>1482</v>
      </c>
      <c r="EY230" s="15" t="s">
        <v>3361</v>
      </c>
      <c r="EZ230" s="15" t="s">
        <v>1065</v>
      </c>
      <c r="FC230" s="15" t="s">
        <v>1016</v>
      </c>
      <c r="FF230" s="15" t="s">
        <v>1239</v>
      </c>
      <c r="FO230" s="15" t="s">
        <v>2738</v>
      </c>
      <c r="FP230" s="15" t="s">
        <v>2732</v>
      </c>
      <c r="FQ230" s="15">
        <v>0.0</v>
      </c>
      <c r="FR230" s="15">
        <v>0.0</v>
      </c>
      <c r="FS230" s="15" t="s">
        <v>3362</v>
      </c>
      <c r="FT230" s="15">
        <v>0.0</v>
      </c>
      <c r="LG230" s="15" t="s">
        <v>426</v>
      </c>
    </row>
    <row r="231" ht="15.75" customHeight="1">
      <c r="A231" s="14" t="s">
        <v>391</v>
      </c>
      <c r="B231" s="15" t="s">
        <v>3363</v>
      </c>
      <c r="C231" s="16"/>
      <c r="D231" s="15" t="s">
        <v>432</v>
      </c>
      <c r="G231" s="14" t="s">
        <v>393</v>
      </c>
      <c r="H231" s="14" t="s">
        <v>394</v>
      </c>
      <c r="I231" s="14" t="b">
        <v>1</v>
      </c>
      <c r="J231" s="14" t="s">
        <v>395</v>
      </c>
      <c r="L231" s="14" t="b">
        <v>0</v>
      </c>
      <c r="M231" s="15" t="s">
        <v>3364</v>
      </c>
      <c r="N231" s="14" t="s">
        <v>393</v>
      </c>
      <c r="O231" s="14" t="s">
        <v>393</v>
      </c>
      <c r="P231" s="15" t="s">
        <v>397</v>
      </c>
      <c r="Q231" s="15" t="s">
        <v>3365</v>
      </c>
      <c r="T231" s="14" t="b">
        <v>0</v>
      </c>
      <c r="U231" s="15" t="s">
        <v>3366</v>
      </c>
      <c r="V231" s="15" t="s">
        <v>3367</v>
      </c>
      <c r="W231" s="15" t="s">
        <v>401</v>
      </c>
      <c r="X231" s="15" t="s">
        <v>1296</v>
      </c>
      <c r="Y231" s="15">
        <v>2080.0</v>
      </c>
      <c r="AA231" s="15" t="str">
        <f t="shared" ref="AA231:AA232" si="422">"800"</f>
        <v>800</v>
      </c>
      <c r="AB231" s="14" t="b">
        <v>1</v>
      </c>
      <c r="AC231" s="14" t="b">
        <v>1</v>
      </c>
      <c r="AD231" s="15" t="str">
        <f>"801542268596"</f>
        <v>801542268596</v>
      </c>
      <c r="AE231" s="15" t="s">
        <v>3368</v>
      </c>
      <c r="AF231" s="14" t="s">
        <v>404</v>
      </c>
      <c r="AG231" s="14" t="s">
        <v>405</v>
      </c>
      <c r="AH231" s="14" t="s">
        <v>406</v>
      </c>
      <c r="AI231" s="15">
        <v>0.0</v>
      </c>
      <c r="AL231" s="15" t="s">
        <v>3369</v>
      </c>
      <c r="AM231" s="15" t="s">
        <v>745</v>
      </c>
      <c r="AN231" s="15" t="s">
        <v>746</v>
      </c>
      <c r="AO231" s="15" t="s">
        <v>745</v>
      </c>
      <c r="AP231" s="15" t="s">
        <v>746</v>
      </c>
      <c r="AQ231" s="15" t="s">
        <v>546</v>
      </c>
      <c r="AR231" s="15" t="s">
        <v>547</v>
      </c>
      <c r="AS231" s="15" t="s">
        <v>2677</v>
      </c>
      <c r="AT231" s="15" t="s">
        <v>3365</v>
      </c>
      <c r="AW231" s="15" t="s">
        <v>548</v>
      </c>
      <c r="AX231" s="15" t="s">
        <v>549</v>
      </c>
      <c r="AY231" s="15" t="s">
        <v>413</v>
      </c>
      <c r="AZ231" s="15" t="b">
        <v>0</v>
      </c>
      <c r="BA231" s="15" t="s">
        <v>413</v>
      </c>
      <c r="BB231" s="15" t="b">
        <v>0</v>
      </c>
      <c r="BC231" s="15" t="s">
        <v>3370</v>
      </c>
      <c r="BD231" s="15" t="s">
        <v>1303</v>
      </c>
      <c r="BE231" s="15" t="str">
        <f>"3"</f>
        <v>3</v>
      </c>
      <c r="BF231" s="15" t="s">
        <v>1564</v>
      </c>
      <c r="BG231" s="15" t="str">
        <f>"75.5"</f>
        <v>75.5</v>
      </c>
      <c r="BH231" s="15" t="s">
        <v>3371</v>
      </c>
      <c r="BI231" s="15" t="str">
        <f>"5"</f>
        <v>5</v>
      </c>
      <c r="BJ231" s="15" t="s">
        <v>2236</v>
      </c>
      <c r="BK231" s="15" t="str">
        <f>"75.5"</f>
        <v>75.5</v>
      </c>
      <c r="BL231" s="15" t="s">
        <v>3371</v>
      </c>
      <c r="BM231" s="15" t="str">
        <f>"199.07"</f>
        <v>199.07</v>
      </c>
      <c r="BN231" s="15" t="s">
        <v>3372</v>
      </c>
      <c r="BO231" s="15" t="s">
        <v>2238</v>
      </c>
      <c r="BP231" s="15" t="str">
        <f>"40"</f>
        <v>40</v>
      </c>
      <c r="BQ231" s="15" t="s">
        <v>680</v>
      </c>
      <c r="BR231" s="15" t="str">
        <f>"5"</f>
        <v>5</v>
      </c>
      <c r="BS231" s="15" t="s">
        <v>2236</v>
      </c>
      <c r="BT231" s="15" t="str">
        <f>"40"</f>
        <v>40</v>
      </c>
      <c r="BU231" s="15" t="s">
        <v>680</v>
      </c>
      <c r="BV231" s="15" t="str">
        <f>"30.64"</f>
        <v>30.64</v>
      </c>
      <c r="BW231" s="15" t="s">
        <v>3373</v>
      </c>
      <c r="BX231" s="15" t="s">
        <v>3374</v>
      </c>
      <c r="BY231" s="15" t="str">
        <f>"25.5"</f>
        <v>25.5</v>
      </c>
      <c r="BZ231" s="15" t="s">
        <v>2062</v>
      </c>
      <c r="CA231" s="15" t="str">
        <f>"25.5"</f>
        <v>25.5</v>
      </c>
      <c r="CB231" s="15" t="s">
        <v>2062</v>
      </c>
      <c r="CC231" s="15" t="str">
        <f>"27.5"</f>
        <v>27.5</v>
      </c>
      <c r="CD231" s="15" t="s">
        <v>1056</v>
      </c>
      <c r="CE231" s="15" t="str">
        <f>"45.19"</f>
        <v>45.19</v>
      </c>
      <c r="CF231" s="15" t="s">
        <v>3375</v>
      </c>
      <c r="CI231" s="15" t="s">
        <v>444</v>
      </c>
      <c r="CK231" s="15" t="s">
        <v>444</v>
      </c>
      <c r="CM231" s="15" t="s">
        <v>444</v>
      </c>
      <c r="CO231" s="15" t="s">
        <v>444</v>
      </c>
      <c r="CP231" s="15" t="str">
        <f>"31.47"</f>
        <v>31.47</v>
      </c>
      <c r="CQ231" s="15" t="str">
        <f>"0.891"</f>
        <v>0.891</v>
      </c>
      <c r="CR231" s="15" t="s">
        <v>417</v>
      </c>
      <c r="DC231" s="15" t="str">
        <f>IFERROR(__xludf.DUMMYFUNCTION("""COMPUTED_VALUE"""),"")</f>
        <v/>
      </c>
      <c r="DE231" s="15" t="str">
        <f>IFERROR(__xludf.DUMMYFUNCTION("""COMPUTED_VALUE"""),"")</f>
        <v/>
      </c>
      <c r="DG231" s="15" t="str">
        <f>IFERROR(__xludf.DUMMYFUNCTION("""COMPUTED_VALUE"""),"")</f>
        <v/>
      </c>
      <c r="DL231" s="15" t="str">
        <f>IFERROR(__xludf.DUMMYFUNCTION("""COMPUTED_VALUE"""),"")</f>
        <v/>
      </c>
      <c r="DM231" s="15" t="s">
        <v>444</v>
      </c>
      <c r="DN231" s="15" t="s">
        <v>419</v>
      </c>
      <c r="DO231" s="15">
        <v>0.0</v>
      </c>
      <c r="DP231" s="15" t="s">
        <v>419</v>
      </c>
      <c r="DR231" s="15">
        <v>0.0</v>
      </c>
      <c r="DU231" s="15" t="s">
        <v>419</v>
      </c>
      <c r="DW231" s="15">
        <v>0.0</v>
      </c>
      <c r="DX231" s="15">
        <v>0.0</v>
      </c>
      <c r="DY231" s="15">
        <v>0.0</v>
      </c>
      <c r="EE231" s="15">
        <v>8.0</v>
      </c>
      <c r="EF231" s="15" t="s">
        <v>1157</v>
      </c>
      <c r="EG231" s="15" t="s">
        <v>1158</v>
      </c>
      <c r="EH231" s="15" t="s">
        <v>3376</v>
      </c>
      <c r="EJ231" s="15" t="s">
        <v>424</v>
      </c>
      <c r="EK231" s="15" t="s">
        <v>446</v>
      </c>
      <c r="EM231" s="15" t="str">
        <f>IFERROR(__xludf.DUMMYFUNCTION("""COMPUTED_VALUE"""),"")</f>
        <v/>
      </c>
      <c r="EW231" s="15" t="s">
        <v>1330</v>
      </c>
      <c r="FH231" s="15" t="s">
        <v>2792</v>
      </c>
      <c r="FI231" s="15" t="s">
        <v>1807</v>
      </c>
      <c r="FJ231" s="15" t="s">
        <v>2792</v>
      </c>
      <c r="FK231" s="15" t="s">
        <v>784</v>
      </c>
      <c r="FL231" s="15" t="s">
        <v>426</v>
      </c>
      <c r="FM231" s="15">
        <v>0.0</v>
      </c>
      <c r="FN231" s="15">
        <v>0.0</v>
      </c>
      <c r="FV231" s="15" t="s">
        <v>1330</v>
      </c>
      <c r="FW231" s="15" t="s">
        <v>1996</v>
      </c>
      <c r="FX231" s="15" t="s">
        <v>1123</v>
      </c>
    </row>
    <row r="232" ht="15.75" customHeight="1">
      <c r="A232" s="14" t="s">
        <v>391</v>
      </c>
      <c r="B232" s="15" t="s">
        <v>3377</v>
      </c>
      <c r="C232" s="16"/>
      <c r="D232" s="15" t="s">
        <v>432</v>
      </c>
      <c r="G232" s="14" t="s">
        <v>393</v>
      </c>
      <c r="H232" s="14" t="s">
        <v>394</v>
      </c>
      <c r="I232" s="14" t="b">
        <v>1</v>
      </c>
      <c r="J232" s="14" t="s">
        <v>395</v>
      </c>
      <c r="L232" s="14" t="b">
        <v>0</v>
      </c>
      <c r="M232" s="15" t="s">
        <v>3378</v>
      </c>
      <c r="N232" s="14" t="s">
        <v>393</v>
      </c>
      <c r="O232" s="14" t="s">
        <v>393</v>
      </c>
      <c r="P232" s="15" t="s">
        <v>397</v>
      </c>
      <c r="Q232" s="15" t="s">
        <v>3379</v>
      </c>
      <c r="T232" s="14" t="b">
        <v>0</v>
      </c>
      <c r="U232" s="15" t="s">
        <v>3380</v>
      </c>
      <c r="V232" s="15" t="s">
        <v>3381</v>
      </c>
      <c r="W232" s="15" t="s">
        <v>401</v>
      </c>
      <c r="X232" s="15" t="s">
        <v>695</v>
      </c>
      <c r="Y232" s="15">
        <v>2080.0</v>
      </c>
      <c r="AA232" s="15" t="str">
        <f t="shared" si="422"/>
        <v>800</v>
      </c>
      <c r="AB232" s="14" t="b">
        <v>1</v>
      </c>
      <c r="AC232" s="14" t="b">
        <v>1</v>
      </c>
      <c r="AD232" s="15" t="str">
        <f>"801542034030"</f>
        <v>801542034030</v>
      </c>
      <c r="AE232" s="15" t="s">
        <v>3382</v>
      </c>
      <c r="AF232" s="14" t="s">
        <v>404</v>
      </c>
      <c r="AG232" s="14" t="s">
        <v>405</v>
      </c>
      <c r="AH232" s="14" t="s">
        <v>406</v>
      </c>
      <c r="AI232" s="15">
        <v>0.0</v>
      </c>
      <c r="AL232" s="15" t="s">
        <v>975</v>
      </c>
      <c r="AM232" s="15" t="s">
        <v>1274</v>
      </c>
      <c r="AN232" s="15" t="s">
        <v>1275</v>
      </c>
      <c r="AO232" s="15" t="s">
        <v>913</v>
      </c>
      <c r="AP232" s="15" t="s">
        <v>914</v>
      </c>
      <c r="AQ232" s="15" t="s">
        <v>1276</v>
      </c>
      <c r="AR232" s="15" t="s">
        <v>1277</v>
      </c>
      <c r="AS232" s="15" t="s">
        <v>1317</v>
      </c>
      <c r="AT232" s="15" t="s">
        <v>3379</v>
      </c>
      <c r="AU232" s="15" t="s">
        <v>1318</v>
      </c>
      <c r="AW232" s="15" t="s">
        <v>706</v>
      </c>
      <c r="AX232" s="15" t="s">
        <v>707</v>
      </c>
      <c r="AY232" s="15" t="s">
        <v>413</v>
      </c>
      <c r="AZ232" s="15" t="b">
        <v>0</v>
      </c>
      <c r="BA232" s="15" t="s">
        <v>413</v>
      </c>
      <c r="BB232" s="15" t="b">
        <v>0</v>
      </c>
      <c r="BC232" s="15" t="s">
        <v>3383</v>
      </c>
      <c r="BD232" s="15" t="s">
        <v>709</v>
      </c>
      <c r="BE232" s="15" t="str">
        <f>"1"</f>
        <v>1</v>
      </c>
      <c r="BF232" s="15" t="s">
        <v>416</v>
      </c>
      <c r="BG232" s="15" t="str">
        <f>"35.83"</f>
        <v>35.83</v>
      </c>
      <c r="BH232" s="15" t="s">
        <v>1505</v>
      </c>
      <c r="BI232" s="15" t="str">
        <f>"31.89"</f>
        <v>31.89</v>
      </c>
      <c r="BJ232" s="15" t="s">
        <v>1183</v>
      </c>
      <c r="BK232" s="15" t="str">
        <f>"31.1"</f>
        <v>31.1</v>
      </c>
      <c r="BL232" s="15" t="s">
        <v>1386</v>
      </c>
      <c r="BM232" s="15" t="str">
        <f>"70.55"</f>
        <v>70.55</v>
      </c>
      <c r="BN232" s="15" t="s">
        <v>845</v>
      </c>
      <c r="BQ232" s="15" t="s">
        <v>444</v>
      </c>
      <c r="BS232" s="15" t="s">
        <v>444</v>
      </c>
      <c r="BU232" s="15" t="s">
        <v>444</v>
      </c>
      <c r="BW232" s="15" t="s">
        <v>444</v>
      </c>
      <c r="BZ232" s="15" t="s">
        <v>444</v>
      </c>
      <c r="CB232" s="15" t="s">
        <v>444</v>
      </c>
      <c r="CD232" s="15" t="s">
        <v>444</v>
      </c>
      <c r="CF232" s="15" t="s">
        <v>444</v>
      </c>
      <c r="CI232" s="15" t="s">
        <v>444</v>
      </c>
      <c r="CK232" s="15" t="s">
        <v>444</v>
      </c>
      <c r="CM232" s="15" t="s">
        <v>444</v>
      </c>
      <c r="CO232" s="15" t="s">
        <v>444</v>
      </c>
      <c r="CP232" s="15" t="str">
        <f>"20.55"</f>
        <v>20.55</v>
      </c>
      <c r="CQ232" s="15" t="str">
        <f>"0.582"</f>
        <v>0.582</v>
      </c>
      <c r="CR232" s="15" t="s">
        <v>417</v>
      </c>
      <c r="CY232" s="15" t="s">
        <v>2314</v>
      </c>
      <c r="CZ232" s="15" t="s">
        <v>2547</v>
      </c>
      <c r="DA232" s="15" t="s">
        <v>1700</v>
      </c>
      <c r="DB232" s="15" t="s">
        <v>1072</v>
      </c>
      <c r="DC232" s="15" t="str">
        <f>IFERROR(__xludf.DUMMYFUNCTION("""COMPUTED_VALUE"""),"{""value"":22.00,""unit"":""in""}")</f>
        <v>{"value":22.00,"unit":"in"}</v>
      </c>
      <c r="DD232" s="15" t="s">
        <v>824</v>
      </c>
      <c r="DE232" s="15" t="str">
        <f>IFERROR(__xludf.DUMMYFUNCTION("""COMPUTED_VALUE"""),"{""value"":18.50,""unit"":""in""}")</f>
        <v>{"value":18.50,"unit":"in"}</v>
      </c>
      <c r="DF232" s="15" t="s">
        <v>1331</v>
      </c>
      <c r="DG232" s="15" t="str">
        <f>IFERROR(__xludf.DUMMYFUNCTION("""COMPUTED_VALUE"""),"{""value"":21.00,""unit"":""in""}")</f>
        <v>{"value":21.00,"unit":"in"}</v>
      </c>
      <c r="DH232" s="15">
        <v>0.0</v>
      </c>
      <c r="DI232" s="15">
        <v>1.0</v>
      </c>
      <c r="DJ232" s="15" t="s">
        <v>717</v>
      </c>
      <c r="DK232" s="15" t="s">
        <v>718</v>
      </c>
      <c r="DL232" s="15" t="str">
        <f>IFERROR(__xludf.DUMMYFUNCTION("""COMPUTED_VALUE"""),"Vacuum or light brush only. Do not use water or any cleaning products.")</f>
        <v>Vacuum or light brush only. Do not use water or any cleaning products.</v>
      </c>
      <c r="DM232" s="15" t="s">
        <v>719</v>
      </c>
      <c r="DQ232" s="15" t="s">
        <v>1066</v>
      </c>
      <c r="DT232" s="15" t="s">
        <v>1284</v>
      </c>
      <c r="DU232" s="15" t="s">
        <v>419</v>
      </c>
      <c r="DV232" s="15">
        <v>0.0</v>
      </c>
      <c r="DZ232" s="15">
        <v>0.0</v>
      </c>
      <c r="EA232" s="15" t="s">
        <v>3384</v>
      </c>
      <c r="EB232" s="15" t="s">
        <v>723</v>
      </c>
      <c r="EC232" s="15" t="s">
        <v>2200</v>
      </c>
      <c r="ED232" s="15">
        <v>1.0</v>
      </c>
      <c r="EE232" s="15">
        <v>1.0</v>
      </c>
      <c r="EG232" s="15" t="s">
        <v>444</v>
      </c>
      <c r="EH232" s="15" t="s">
        <v>3385</v>
      </c>
      <c r="EI232" s="15">
        <v>0.0</v>
      </c>
      <c r="EJ232" s="15" t="s">
        <v>726</v>
      </c>
      <c r="EK232" s="15" t="s">
        <v>727</v>
      </c>
      <c r="EL232" s="15" t="s">
        <v>1234</v>
      </c>
      <c r="EM232" s="15" t="str">
        <f>IFERROR(__xludf.DUMMYFUNCTION("""COMPUTED_VALUE"""),"{""value"":24.25,""unit"":""in""}")</f>
        <v>{"value":24.25,"unit":"in"}</v>
      </c>
      <c r="EN232" s="15" t="s">
        <v>1235</v>
      </c>
      <c r="EO232" s="15" t="s">
        <v>1739</v>
      </c>
      <c r="ES232" s="15" t="s">
        <v>477</v>
      </c>
      <c r="ET232" s="15" t="s">
        <v>995</v>
      </c>
      <c r="EU232" s="15" t="s">
        <v>504</v>
      </c>
      <c r="EV232" s="15" t="s">
        <v>1700</v>
      </c>
      <c r="EW232" s="15" t="s">
        <v>2498</v>
      </c>
      <c r="EX232" s="15" t="s">
        <v>558</v>
      </c>
      <c r="EY232" s="15" t="s">
        <v>1331</v>
      </c>
      <c r="EZ232" s="15" t="s">
        <v>1329</v>
      </c>
      <c r="FC232" s="15" t="s">
        <v>723</v>
      </c>
      <c r="FD232" s="15" t="s">
        <v>2200</v>
      </c>
      <c r="FE232" s="15" t="s">
        <v>3386</v>
      </c>
      <c r="FQ232" s="15">
        <v>0.0</v>
      </c>
      <c r="FR232" s="15">
        <v>0.0</v>
      </c>
      <c r="FT232" s="15">
        <v>0.0</v>
      </c>
    </row>
    <row r="233" ht="15.75" customHeight="1">
      <c r="A233" s="14" t="s">
        <v>391</v>
      </c>
      <c r="B233" s="15" t="s">
        <v>3387</v>
      </c>
      <c r="C233" s="16"/>
      <c r="D233" s="15" t="s">
        <v>432</v>
      </c>
      <c r="G233" s="14" t="s">
        <v>393</v>
      </c>
      <c r="H233" s="14" t="s">
        <v>394</v>
      </c>
      <c r="I233" s="14" t="b">
        <v>1</v>
      </c>
      <c r="J233" s="14" t="s">
        <v>395</v>
      </c>
      <c r="L233" s="14" t="b">
        <v>0</v>
      </c>
      <c r="M233" s="15" t="s">
        <v>3388</v>
      </c>
      <c r="N233" s="14" t="s">
        <v>393</v>
      </c>
      <c r="O233" s="14" t="s">
        <v>393</v>
      </c>
      <c r="P233" s="15" t="s">
        <v>397</v>
      </c>
      <c r="Q233" s="15" t="s">
        <v>3389</v>
      </c>
      <c r="R233" s="15" t="s">
        <v>265</v>
      </c>
      <c r="S233" s="15" t="s">
        <v>2916</v>
      </c>
      <c r="T233" s="14" t="b">
        <v>0</v>
      </c>
      <c r="U233" s="15" t="s">
        <v>3390</v>
      </c>
      <c r="V233" s="15" t="s">
        <v>3391</v>
      </c>
      <c r="W233" s="15" t="s">
        <v>401</v>
      </c>
      <c r="X233" s="15" t="s">
        <v>402</v>
      </c>
      <c r="Y233" s="15">
        <v>4368.0</v>
      </c>
      <c r="AA233" s="15" t="str">
        <f t="shared" ref="AA233:AA234" si="423">"1680"</f>
        <v>1680</v>
      </c>
      <c r="AB233" s="14" t="b">
        <v>1</v>
      </c>
      <c r="AC233" s="14" t="b">
        <v>1</v>
      </c>
      <c r="AD233" s="15" t="str">
        <f>"801542555986"</f>
        <v>801542555986</v>
      </c>
      <c r="AE233" s="15" t="s">
        <v>3392</v>
      </c>
      <c r="AF233" s="14" t="s">
        <v>404</v>
      </c>
      <c r="AG233" s="14" t="s">
        <v>405</v>
      </c>
      <c r="AH233" s="14" t="s">
        <v>406</v>
      </c>
      <c r="AI233" s="15">
        <v>0.0</v>
      </c>
      <c r="AL233" s="15" t="s">
        <v>3393</v>
      </c>
      <c r="AM233" s="15" t="s">
        <v>3394</v>
      </c>
      <c r="AN233" s="15" t="s">
        <v>3395</v>
      </c>
      <c r="AO233" s="15" t="s">
        <v>694</v>
      </c>
      <c r="AP233" s="15" t="s">
        <v>952</v>
      </c>
      <c r="AQ233" s="15" t="s">
        <v>3396</v>
      </c>
      <c r="AR233" s="15" t="s">
        <v>2893</v>
      </c>
      <c r="AS233" s="15" t="s">
        <v>2108</v>
      </c>
      <c r="AT233" s="15" t="s">
        <v>3389</v>
      </c>
      <c r="AU233" s="15" t="s">
        <v>3397</v>
      </c>
      <c r="AW233" s="15" t="s">
        <v>1629</v>
      </c>
      <c r="AX233" s="15" t="s">
        <v>2916</v>
      </c>
      <c r="AY233" s="15" t="s">
        <v>426</v>
      </c>
      <c r="AZ233" s="15" t="b">
        <v>1</v>
      </c>
      <c r="BA233" s="15" t="s">
        <v>413</v>
      </c>
      <c r="BB233" s="15" t="b">
        <v>0</v>
      </c>
      <c r="BC233" s="15" t="s">
        <v>3398</v>
      </c>
      <c r="BD233" s="15" t="s">
        <v>415</v>
      </c>
      <c r="BE233" s="15" t="str">
        <f t="shared" ref="BE233:BE238" si="424">"2"</f>
        <v>2</v>
      </c>
      <c r="BF233" s="15" t="s">
        <v>3399</v>
      </c>
      <c r="BG233" s="15" t="str">
        <f>"56.3"</f>
        <v>56.3</v>
      </c>
      <c r="BH233" s="15" t="s">
        <v>3400</v>
      </c>
      <c r="BI233" s="15" t="str">
        <f>"75.59"</f>
        <v>75.59</v>
      </c>
      <c r="BJ233" s="15" t="s">
        <v>3401</v>
      </c>
      <c r="BK233" s="15" t="str">
        <f>"30.31"</f>
        <v>30.31</v>
      </c>
      <c r="BL233" s="15" t="s">
        <v>982</v>
      </c>
      <c r="BM233" s="15" t="str">
        <f>"149.91"</f>
        <v>149.91</v>
      </c>
      <c r="BN233" s="15" t="s">
        <v>3402</v>
      </c>
      <c r="BO233" s="15" t="s">
        <v>416</v>
      </c>
      <c r="BP233" s="15" t="str">
        <f>"85.04"</f>
        <v>85.04</v>
      </c>
      <c r="BQ233" s="15" t="s">
        <v>440</v>
      </c>
      <c r="BR233" s="15" t="str">
        <f>"47.24"</f>
        <v>47.24</v>
      </c>
      <c r="BS233" s="15" t="s">
        <v>2287</v>
      </c>
      <c r="BT233" s="15" t="str">
        <f>"28.35"</f>
        <v>28.35</v>
      </c>
      <c r="BU233" s="15" t="s">
        <v>924</v>
      </c>
      <c r="BV233" s="15" t="str">
        <f>"152.12"</f>
        <v>152.12</v>
      </c>
      <c r="BW233" s="15" t="s">
        <v>3403</v>
      </c>
      <c r="BZ233" s="15" t="s">
        <v>444</v>
      </c>
      <c r="CB233" s="15" t="s">
        <v>444</v>
      </c>
      <c r="CD233" s="15" t="s">
        <v>444</v>
      </c>
      <c r="CF233" s="15" t="s">
        <v>444</v>
      </c>
      <c r="CI233" s="15" t="s">
        <v>444</v>
      </c>
      <c r="CK233" s="15" t="s">
        <v>444</v>
      </c>
      <c r="CM233" s="15" t="s">
        <v>444</v>
      </c>
      <c r="CO233" s="15" t="s">
        <v>444</v>
      </c>
      <c r="CP233" s="15" t="str">
        <f t="shared" ref="CP233:CP238" si="425">"140.55"</f>
        <v>140.55</v>
      </c>
      <c r="CQ233" s="15" t="str">
        <f t="shared" ref="CQ233:CQ238" si="426">"3.98"</f>
        <v>3.98</v>
      </c>
      <c r="CR233" s="15" t="s">
        <v>465</v>
      </c>
      <c r="DC233" s="15" t="str">
        <f>IFERROR(__xludf.DUMMYFUNCTION("""COMPUTED_VALUE"""),"")</f>
        <v/>
      </c>
      <c r="DE233" s="15" t="str">
        <f>IFERROR(__xludf.DUMMYFUNCTION("""COMPUTED_VALUE"""),"")</f>
        <v/>
      </c>
      <c r="DG233" s="15" t="str">
        <f>IFERROR(__xludf.DUMMYFUNCTION("""COMPUTED_VALUE"""),"")</f>
        <v/>
      </c>
      <c r="DJ233" s="15" t="s">
        <v>717</v>
      </c>
      <c r="DK233" s="15" t="s">
        <v>934</v>
      </c>
      <c r="DL233" s="15" t="str">
        <f>IFERROR(__xludf.DUMMYFUNCTION("""COMPUTED_VALUE"""),"Spot clean with water-based or solvent-based cleaner. Use mild detergent or upholstery shampoo.")</f>
        <v>Spot clean with water-based or solvent-based cleaner. Use mild detergent or upholstery shampoo.</v>
      </c>
      <c r="DM233" s="15" t="s">
        <v>935</v>
      </c>
      <c r="DQ233" s="15" t="s">
        <v>3404</v>
      </c>
      <c r="DU233" s="15" t="s">
        <v>419</v>
      </c>
      <c r="DZ233" s="15">
        <v>30000.0</v>
      </c>
      <c r="EA233" s="15" t="s">
        <v>990</v>
      </c>
      <c r="EB233" s="15" t="s">
        <v>723</v>
      </c>
      <c r="EC233" s="15" t="s">
        <v>724</v>
      </c>
      <c r="EE233" s="15">
        <v>3.0</v>
      </c>
      <c r="EF233" s="15" t="s">
        <v>3405</v>
      </c>
      <c r="EG233" s="15" t="s">
        <v>3406</v>
      </c>
      <c r="EH233" s="15" t="s">
        <v>3407</v>
      </c>
      <c r="EJ233" s="15" t="s">
        <v>473</v>
      </c>
      <c r="EK233" s="15" t="s">
        <v>474</v>
      </c>
      <c r="EM233" s="15" t="str">
        <f>IFERROR(__xludf.DUMMYFUNCTION("""COMPUTED_VALUE"""),"")</f>
        <v/>
      </c>
      <c r="FC233" s="15" t="s">
        <v>723</v>
      </c>
      <c r="FD233" s="15" t="s">
        <v>724</v>
      </c>
      <c r="FE233" s="15" t="s">
        <v>3408</v>
      </c>
      <c r="FF233" s="15" t="s">
        <v>1239</v>
      </c>
      <c r="HN233" s="15" t="s">
        <v>426</v>
      </c>
      <c r="HO233" s="15" t="s">
        <v>3409</v>
      </c>
      <c r="HP233" s="15" t="s">
        <v>3410</v>
      </c>
    </row>
    <row r="234" ht="15.75" customHeight="1">
      <c r="A234" s="14" t="s">
        <v>391</v>
      </c>
      <c r="B234" s="15" t="s">
        <v>3387</v>
      </c>
      <c r="C234" s="16"/>
      <c r="D234" s="15" t="s">
        <v>432</v>
      </c>
      <c r="G234" s="14" t="s">
        <v>393</v>
      </c>
      <c r="H234" s="14" t="s">
        <v>394</v>
      </c>
      <c r="I234" s="14" t="b">
        <v>1</v>
      </c>
      <c r="J234" s="14" t="s">
        <v>395</v>
      </c>
      <c r="L234" s="14" t="b">
        <v>0</v>
      </c>
      <c r="M234" s="15" t="s">
        <v>3411</v>
      </c>
      <c r="N234" s="14" t="s">
        <v>393</v>
      </c>
      <c r="O234" s="14" t="s">
        <v>393</v>
      </c>
      <c r="P234" s="15" t="s">
        <v>397</v>
      </c>
      <c r="Q234" s="15" t="s">
        <v>3389</v>
      </c>
      <c r="R234" s="15" t="s">
        <v>265</v>
      </c>
      <c r="S234" s="15" t="s">
        <v>2933</v>
      </c>
      <c r="T234" s="14" t="b">
        <v>0</v>
      </c>
      <c r="U234" s="15" t="s">
        <v>3412</v>
      </c>
      <c r="V234" s="15" t="s">
        <v>3391</v>
      </c>
      <c r="W234" s="15" t="s">
        <v>401</v>
      </c>
      <c r="X234" s="15" t="s">
        <v>402</v>
      </c>
      <c r="Y234" s="15">
        <v>4368.0</v>
      </c>
      <c r="AA234" s="15" t="str">
        <f t="shared" si="423"/>
        <v>1680</v>
      </c>
      <c r="AB234" s="14" t="b">
        <v>1</v>
      </c>
      <c r="AC234" s="14" t="b">
        <v>1</v>
      </c>
      <c r="AD234" s="15" t="str">
        <f>"801542535049"</f>
        <v>801542535049</v>
      </c>
      <c r="AE234" s="15" t="s">
        <v>3413</v>
      </c>
      <c r="AF234" s="14" t="s">
        <v>404</v>
      </c>
      <c r="AG234" s="14" t="s">
        <v>405</v>
      </c>
      <c r="AH234" s="14" t="s">
        <v>406</v>
      </c>
      <c r="AI234" s="15">
        <v>0.0</v>
      </c>
      <c r="AL234" s="15" t="s">
        <v>3393</v>
      </c>
      <c r="AM234" s="15" t="s">
        <v>3394</v>
      </c>
      <c r="AN234" s="15" t="s">
        <v>3395</v>
      </c>
      <c r="AO234" s="15" t="s">
        <v>694</v>
      </c>
      <c r="AP234" s="15" t="s">
        <v>952</v>
      </c>
      <c r="AQ234" s="15" t="s">
        <v>3396</v>
      </c>
      <c r="AR234" s="15" t="s">
        <v>2893</v>
      </c>
      <c r="AS234" s="15" t="s">
        <v>2108</v>
      </c>
      <c r="AT234" s="15" t="s">
        <v>3389</v>
      </c>
      <c r="AU234" s="15" t="s">
        <v>3397</v>
      </c>
      <c r="AW234" s="15" t="s">
        <v>1629</v>
      </c>
      <c r="AX234" s="15" t="s">
        <v>2933</v>
      </c>
      <c r="AY234" s="15" t="s">
        <v>413</v>
      </c>
      <c r="AZ234" s="15" t="b">
        <v>0</v>
      </c>
      <c r="BA234" s="15" t="s">
        <v>413</v>
      </c>
      <c r="BB234" s="15" t="b">
        <v>0</v>
      </c>
      <c r="BC234" s="15" t="s">
        <v>3414</v>
      </c>
      <c r="BD234" s="15" t="s">
        <v>415</v>
      </c>
      <c r="BE234" s="15" t="str">
        <f t="shared" si="424"/>
        <v>2</v>
      </c>
      <c r="BF234" s="15" t="s">
        <v>416</v>
      </c>
      <c r="BG234" s="15" t="str">
        <f>"85.04"</f>
        <v>85.04</v>
      </c>
      <c r="BH234" s="15" t="s">
        <v>440</v>
      </c>
      <c r="BI234" s="15" t="str">
        <f>"47.24"</f>
        <v>47.24</v>
      </c>
      <c r="BJ234" s="15" t="s">
        <v>2287</v>
      </c>
      <c r="BK234" s="15" t="str">
        <f>"28.35"</f>
        <v>28.35</v>
      </c>
      <c r="BL234" s="15" t="s">
        <v>924</v>
      </c>
      <c r="BM234" s="15" t="str">
        <f>"152.12"</f>
        <v>152.12</v>
      </c>
      <c r="BN234" s="15" t="s">
        <v>3403</v>
      </c>
      <c r="BO234" s="15" t="s">
        <v>3399</v>
      </c>
      <c r="BP234" s="15" t="str">
        <f>"56.3"</f>
        <v>56.3</v>
      </c>
      <c r="BQ234" s="15" t="s">
        <v>3400</v>
      </c>
      <c r="BR234" s="15" t="str">
        <f>"75.59"</f>
        <v>75.59</v>
      </c>
      <c r="BS234" s="15" t="s">
        <v>3401</v>
      </c>
      <c r="BT234" s="15" t="str">
        <f>"30.31"</f>
        <v>30.31</v>
      </c>
      <c r="BU234" s="15" t="s">
        <v>982</v>
      </c>
      <c r="BV234" s="15" t="str">
        <f>"149.91"</f>
        <v>149.91</v>
      </c>
      <c r="BW234" s="15" t="s">
        <v>3402</v>
      </c>
      <c r="BZ234" s="15" t="s">
        <v>444</v>
      </c>
      <c r="CB234" s="15" t="s">
        <v>444</v>
      </c>
      <c r="CD234" s="15" t="s">
        <v>444</v>
      </c>
      <c r="CF234" s="15" t="s">
        <v>444</v>
      </c>
      <c r="CI234" s="15" t="s">
        <v>444</v>
      </c>
      <c r="CK234" s="15" t="s">
        <v>444</v>
      </c>
      <c r="CM234" s="15" t="s">
        <v>444</v>
      </c>
      <c r="CO234" s="15" t="s">
        <v>444</v>
      </c>
      <c r="CP234" s="15" t="str">
        <f t="shared" si="425"/>
        <v>140.55</v>
      </c>
      <c r="CQ234" s="15" t="str">
        <f t="shared" si="426"/>
        <v>3.98</v>
      </c>
      <c r="CR234" s="15" t="s">
        <v>497</v>
      </c>
      <c r="DC234" s="15" t="str">
        <f>IFERROR(__xludf.DUMMYFUNCTION("""COMPUTED_VALUE"""),"")</f>
        <v/>
      </c>
      <c r="DE234" s="15" t="str">
        <f>IFERROR(__xludf.DUMMYFUNCTION("""COMPUTED_VALUE"""),"")</f>
        <v/>
      </c>
      <c r="DG234" s="15" t="str">
        <f>IFERROR(__xludf.DUMMYFUNCTION("""COMPUTED_VALUE"""),"")</f>
        <v/>
      </c>
      <c r="DJ234" s="15" t="s">
        <v>717</v>
      </c>
      <c r="DK234" s="15" t="s">
        <v>934</v>
      </c>
      <c r="DL234" s="15" t="str">
        <f>IFERROR(__xludf.DUMMYFUNCTION("""COMPUTED_VALUE"""),"Spot clean with water-based or solvent-based cleaner. Use mild detergent or upholstery shampoo.")</f>
        <v>Spot clean with water-based or solvent-based cleaner. Use mild detergent or upholstery shampoo.</v>
      </c>
      <c r="DM234" s="15" t="s">
        <v>935</v>
      </c>
      <c r="DQ234" s="15" t="s">
        <v>3404</v>
      </c>
      <c r="DU234" s="15" t="s">
        <v>419</v>
      </c>
      <c r="DZ234" s="15">
        <v>30000.0</v>
      </c>
      <c r="EA234" s="15" t="s">
        <v>990</v>
      </c>
      <c r="EB234" s="15" t="s">
        <v>723</v>
      </c>
      <c r="EC234" s="15" t="s">
        <v>724</v>
      </c>
      <c r="EE234" s="15">
        <v>3.0</v>
      </c>
      <c r="EF234" s="15" t="s">
        <v>3405</v>
      </c>
      <c r="EG234" s="15" t="s">
        <v>3406</v>
      </c>
      <c r="EH234" s="15" t="s">
        <v>3407</v>
      </c>
      <c r="EJ234" s="15" t="s">
        <v>473</v>
      </c>
      <c r="EK234" s="15" t="s">
        <v>474</v>
      </c>
      <c r="EM234" s="15" t="str">
        <f>IFERROR(__xludf.DUMMYFUNCTION("""COMPUTED_VALUE"""),"")</f>
        <v/>
      </c>
      <c r="FC234" s="15" t="s">
        <v>723</v>
      </c>
      <c r="FD234" s="15" t="s">
        <v>724</v>
      </c>
      <c r="FE234" s="15" t="s">
        <v>3408</v>
      </c>
      <c r="FF234" s="15" t="s">
        <v>1239</v>
      </c>
      <c r="HN234" s="15" t="s">
        <v>426</v>
      </c>
      <c r="HO234" s="15" t="s">
        <v>3409</v>
      </c>
      <c r="HP234" s="15" t="s">
        <v>3415</v>
      </c>
    </row>
    <row r="235" ht="15.75" customHeight="1">
      <c r="A235" s="14" t="s">
        <v>391</v>
      </c>
      <c r="B235" s="15" t="s">
        <v>3387</v>
      </c>
      <c r="C235" s="16"/>
      <c r="D235" s="15" t="s">
        <v>432</v>
      </c>
      <c r="G235" s="14" t="s">
        <v>393</v>
      </c>
      <c r="H235" s="14" t="s">
        <v>394</v>
      </c>
      <c r="I235" s="14" t="b">
        <v>1</v>
      </c>
      <c r="J235" s="14" t="s">
        <v>395</v>
      </c>
      <c r="L235" s="14" t="b">
        <v>0</v>
      </c>
      <c r="M235" s="15" t="s">
        <v>3416</v>
      </c>
      <c r="N235" s="14" t="s">
        <v>393</v>
      </c>
      <c r="O235" s="14" t="s">
        <v>393</v>
      </c>
      <c r="P235" s="15" t="s">
        <v>397</v>
      </c>
      <c r="Q235" s="15" t="s">
        <v>3417</v>
      </c>
      <c r="R235" s="15" t="s">
        <v>265</v>
      </c>
      <c r="S235" s="15" t="s">
        <v>2916</v>
      </c>
      <c r="T235" s="14" t="b">
        <v>0</v>
      </c>
      <c r="U235" s="15" t="s">
        <v>3418</v>
      </c>
      <c r="V235" s="15" t="s">
        <v>3391</v>
      </c>
      <c r="W235" s="15" t="s">
        <v>401</v>
      </c>
      <c r="X235" s="15" t="s">
        <v>402</v>
      </c>
      <c r="Y235" s="15">
        <v>6552.0</v>
      </c>
      <c r="AA235" s="15" t="str">
        <f t="shared" ref="AA235:AA236" si="427">"2520"</f>
        <v>2520</v>
      </c>
      <c r="AB235" s="14" t="b">
        <v>1</v>
      </c>
      <c r="AC235" s="14" t="b">
        <v>1</v>
      </c>
      <c r="AD235" s="15" t="str">
        <f>"801542031350"</f>
        <v>801542031350</v>
      </c>
      <c r="AE235" s="15" t="s">
        <v>3419</v>
      </c>
      <c r="AF235" s="14" t="s">
        <v>404</v>
      </c>
      <c r="AG235" s="14" t="s">
        <v>405</v>
      </c>
      <c r="AH235" s="14" t="s">
        <v>406</v>
      </c>
      <c r="AI235" s="15">
        <v>0.0</v>
      </c>
      <c r="AL235" s="15" t="s">
        <v>3420</v>
      </c>
      <c r="AM235" s="15" t="s">
        <v>3394</v>
      </c>
      <c r="AN235" s="15" t="s">
        <v>3395</v>
      </c>
      <c r="AO235" s="15" t="s">
        <v>694</v>
      </c>
      <c r="AP235" s="15" t="s">
        <v>952</v>
      </c>
      <c r="AQ235" s="15" t="s">
        <v>3396</v>
      </c>
      <c r="AR235" s="15" t="s">
        <v>2893</v>
      </c>
      <c r="AS235" s="15" t="s">
        <v>2108</v>
      </c>
      <c r="AT235" s="15" t="s">
        <v>3417</v>
      </c>
      <c r="AU235" s="15" t="s">
        <v>3397</v>
      </c>
      <c r="AW235" s="15" t="s">
        <v>1629</v>
      </c>
      <c r="AX235" s="15" t="s">
        <v>2916</v>
      </c>
      <c r="AY235" s="15" t="s">
        <v>413</v>
      </c>
      <c r="AZ235" s="15" t="b">
        <v>0</v>
      </c>
      <c r="BA235" s="15" t="s">
        <v>413</v>
      </c>
      <c r="BB235" s="15" t="b">
        <v>0</v>
      </c>
      <c r="BC235" s="15" t="s">
        <v>3421</v>
      </c>
      <c r="BD235" s="15" t="s">
        <v>415</v>
      </c>
      <c r="BE235" s="15" t="str">
        <f t="shared" si="424"/>
        <v>2</v>
      </c>
      <c r="BF235" s="15" t="s">
        <v>416</v>
      </c>
      <c r="BG235" s="15" t="str">
        <f>"56.3"</f>
        <v>56.3</v>
      </c>
      <c r="BH235" s="15" t="s">
        <v>3400</v>
      </c>
      <c r="BI235" s="15" t="str">
        <f>"75.59"</f>
        <v>75.59</v>
      </c>
      <c r="BJ235" s="15" t="s">
        <v>3401</v>
      </c>
      <c r="BK235" s="15" t="str">
        <f>"30.31"</f>
        <v>30.31</v>
      </c>
      <c r="BL235" s="15" t="s">
        <v>982</v>
      </c>
      <c r="BM235" s="15" t="str">
        <f>"149.91"</f>
        <v>149.91</v>
      </c>
      <c r="BN235" s="15" t="s">
        <v>3402</v>
      </c>
      <c r="BO235" s="15" t="s">
        <v>416</v>
      </c>
      <c r="BP235" s="15" t="str">
        <f>"85.04"</f>
        <v>85.04</v>
      </c>
      <c r="BQ235" s="15" t="s">
        <v>440</v>
      </c>
      <c r="BR235" s="15" t="str">
        <f>"47.24"</f>
        <v>47.24</v>
      </c>
      <c r="BS235" s="15" t="s">
        <v>2287</v>
      </c>
      <c r="BT235" s="15" t="str">
        <f>"28.35"</f>
        <v>28.35</v>
      </c>
      <c r="BU235" s="15" t="s">
        <v>924</v>
      </c>
      <c r="BV235" s="15" t="str">
        <f>"152.12"</f>
        <v>152.12</v>
      </c>
      <c r="BW235" s="15" t="s">
        <v>3403</v>
      </c>
      <c r="BZ235" s="15" t="s">
        <v>444</v>
      </c>
      <c r="CB235" s="15" t="s">
        <v>444</v>
      </c>
      <c r="CD235" s="15" t="s">
        <v>444</v>
      </c>
      <c r="CF235" s="15" t="s">
        <v>444</v>
      </c>
      <c r="CI235" s="15" t="s">
        <v>444</v>
      </c>
      <c r="CK235" s="15" t="s">
        <v>444</v>
      </c>
      <c r="CM235" s="15" t="s">
        <v>444</v>
      </c>
      <c r="CO235" s="15" t="s">
        <v>444</v>
      </c>
      <c r="CP235" s="15" t="str">
        <f t="shared" si="425"/>
        <v>140.55</v>
      </c>
      <c r="CQ235" s="15" t="str">
        <f t="shared" si="426"/>
        <v>3.98</v>
      </c>
      <c r="CR235" s="15" t="s">
        <v>417</v>
      </c>
      <c r="DC235" s="15" t="str">
        <f>IFERROR(__xludf.DUMMYFUNCTION("""COMPUTED_VALUE"""),"")</f>
        <v/>
      </c>
      <c r="DE235" s="15" t="str">
        <f>IFERROR(__xludf.DUMMYFUNCTION("""COMPUTED_VALUE"""),"")</f>
        <v/>
      </c>
      <c r="DG235" s="15" t="str">
        <f>IFERROR(__xludf.DUMMYFUNCTION("""COMPUTED_VALUE"""),"")</f>
        <v/>
      </c>
      <c r="DJ235" s="15" t="s">
        <v>717</v>
      </c>
      <c r="DK235" s="15" t="s">
        <v>718</v>
      </c>
      <c r="DL235" s="15" t="str">
        <f>IFERROR(__xludf.DUMMYFUNCTION("""COMPUTED_VALUE"""),"Vacuum or light brush only. Do not use water or any cleaning products.")</f>
        <v>Vacuum or light brush only. Do not use water or any cleaning products.</v>
      </c>
      <c r="DM235" s="15" t="s">
        <v>719</v>
      </c>
      <c r="DQ235" s="15" t="s">
        <v>3404</v>
      </c>
      <c r="DU235" s="15" t="s">
        <v>419</v>
      </c>
      <c r="DZ235" s="15">
        <v>0.0</v>
      </c>
      <c r="EA235" s="15" t="s">
        <v>990</v>
      </c>
      <c r="EB235" s="15" t="s">
        <v>723</v>
      </c>
      <c r="EC235" s="15" t="s">
        <v>724</v>
      </c>
      <c r="EE235" s="15">
        <v>3.0</v>
      </c>
      <c r="EF235" s="15" t="s">
        <v>3405</v>
      </c>
      <c r="EG235" s="15" t="s">
        <v>3406</v>
      </c>
      <c r="EH235" s="15" t="s">
        <v>3407</v>
      </c>
      <c r="EJ235" s="15" t="s">
        <v>473</v>
      </c>
      <c r="EK235" s="15" t="s">
        <v>474</v>
      </c>
      <c r="EM235" s="15" t="str">
        <f>IFERROR(__xludf.DUMMYFUNCTION("""COMPUTED_VALUE"""),"")</f>
        <v/>
      </c>
      <c r="FC235" s="15" t="s">
        <v>723</v>
      </c>
      <c r="FD235" s="15" t="s">
        <v>724</v>
      </c>
      <c r="FE235" s="15" t="s">
        <v>3408</v>
      </c>
      <c r="FF235" s="15" t="s">
        <v>1239</v>
      </c>
      <c r="HN235" s="15" t="s">
        <v>426</v>
      </c>
      <c r="HO235" s="15" t="s">
        <v>3409</v>
      </c>
      <c r="HP235" s="15" t="s">
        <v>3410</v>
      </c>
    </row>
    <row r="236" ht="15.75" customHeight="1">
      <c r="A236" s="14" t="s">
        <v>391</v>
      </c>
      <c r="B236" s="15" t="s">
        <v>3387</v>
      </c>
      <c r="C236" s="16"/>
      <c r="D236" s="15" t="s">
        <v>432</v>
      </c>
      <c r="G236" s="14" t="s">
        <v>393</v>
      </c>
      <c r="H236" s="14" t="s">
        <v>394</v>
      </c>
      <c r="I236" s="14" t="b">
        <v>1</v>
      </c>
      <c r="J236" s="14" t="s">
        <v>395</v>
      </c>
      <c r="L236" s="14" t="b">
        <v>0</v>
      </c>
      <c r="M236" s="15" t="s">
        <v>3422</v>
      </c>
      <c r="N236" s="14" t="s">
        <v>393</v>
      </c>
      <c r="O236" s="14" t="s">
        <v>393</v>
      </c>
      <c r="P236" s="15" t="s">
        <v>397</v>
      </c>
      <c r="Q236" s="15" t="s">
        <v>3417</v>
      </c>
      <c r="R236" s="15" t="s">
        <v>265</v>
      </c>
      <c r="S236" s="15" t="s">
        <v>2933</v>
      </c>
      <c r="T236" s="14" t="b">
        <v>0</v>
      </c>
      <c r="U236" s="15" t="s">
        <v>3423</v>
      </c>
      <c r="V236" s="15" t="s">
        <v>3391</v>
      </c>
      <c r="W236" s="15" t="s">
        <v>401</v>
      </c>
      <c r="X236" s="15" t="s">
        <v>402</v>
      </c>
      <c r="Y236" s="15">
        <v>6552.0</v>
      </c>
      <c r="AA236" s="15" t="str">
        <f t="shared" si="427"/>
        <v>2520</v>
      </c>
      <c r="AB236" s="14" t="b">
        <v>1</v>
      </c>
      <c r="AC236" s="14" t="b">
        <v>1</v>
      </c>
      <c r="AD236" s="15" t="str">
        <f>"801542031367"</f>
        <v>801542031367</v>
      </c>
      <c r="AE236" s="15" t="s">
        <v>3424</v>
      </c>
      <c r="AF236" s="14" t="s">
        <v>404</v>
      </c>
      <c r="AG236" s="14" t="s">
        <v>405</v>
      </c>
      <c r="AH236" s="14" t="s">
        <v>406</v>
      </c>
      <c r="AI236" s="15">
        <v>0.0</v>
      </c>
      <c r="AL236" s="15" t="s">
        <v>3420</v>
      </c>
      <c r="AM236" s="15" t="s">
        <v>3394</v>
      </c>
      <c r="AN236" s="15" t="s">
        <v>3395</v>
      </c>
      <c r="AO236" s="15" t="s">
        <v>694</v>
      </c>
      <c r="AP236" s="15" t="s">
        <v>952</v>
      </c>
      <c r="AQ236" s="15" t="s">
        <v>3396</v>
      </c>
      <c r="AR236" s="15" t="s">
        <v>2893</v>
      </c>
      <c r="AS236" s="15" t="s">
        <v>2108</v>
      </c>
      <c r="AT236" s="15" t="s">
        <v>3417</v>
      </c>
      <c r="AU236" s="15" t="s">
        <v>3397</v>
      </c>
      <c r="AW236" s="15" t="s">
        <v>1629</v>
      </c>
      <c r="AX236" s="15" t="s">
        <v>2933</v>
      </c>
      <c r="AY236" s="15" t="s">
        <v>413</v>
      </c>
      <c r="AZ236" s="15" t="b">
        <v>0</v>
      </c>
      <c r="BA236" s="15" t="s">
        <v>413</v>
      </c>
      <c r="BB236" s="15" t="b">
        <v>0</v>
      </c>
      <c r="BC236" s="15" t="s">
        <v>3425</v>
      </c>
      <c r="BD236" s="15" t="s">
        <v>415</v>
      </c>
      <c r="BE236" s="15" t="str">
        <f t="shared" si="424"/>
        <v>2</v>
      </c>
      <c r="BF236" s="15" t="s">
        <v>416</v>
      </c>
      <c r="BG236" s="15" t="str">
        <f>"85.04"</f>
        <v>85.04</v>
      </c>
      <c r="BH236" s="15" t="s">
        <v>440</v>
      </c>
      <c r="BI236" s="15" t="str">
        <f>"47.24"</f>
        <v>47.24</v>
      </c>
      <c r="BJ236" s="15" t="s">
        <v>2287</v>
      </c>
      <c r="BK236" s="15" t="str">
        <f>"28.35"</f>
        <v>28.35</v>
      </c>
      <c r="BL236" s="15" t="s">
        <v>924</v>
      </c>
      <c r="BM236" s="15" t="str">
        <f>"152.12"</f>
        <v>152.12</v>
      </c>
      <c r="BN236" s="15" t="s">
        <v>3403</v>
      </c>
      <c r="BO236" s="15" t="s">
        <v>416</v>
      </c>
      <c r="BP236" s="15" t="str">
        <f>"56.3"</f>
        <v>56.3</v>
      </c>
      <c r="BQ236" s="15" t="s">
        <v>3400</v>
      </c>
      <c r="BR236" s="15" t="str">
        <f>"75.59"</f>
        <v>75.59</v>
      </c>
      <c r="BS236" s="15" t="s">
        <v>3401</v>
      </c>
      <c r="BT236" s="15" t="str">
        <f>"30.31"</f>
        <v>30.31</v>
      </c>
      <c r="BU236" s="15" t="s">
        <v>982</v>
      </c>
      <c r="BV236" s="15" t="str">
        <f>"149.91"</f>
        <v>149.91</v>
      </c>
      <c r="BW236" s="15" t="s">
        <v>3402</v>
      </c>
      <c r="BZ236" s="15" t="s">
        <v>444</v>
      </c>
      <c r="CB236" s="15" t="s">
        <v>444</v>
      </c>
      <c r="CD236" s="15" t="s">
        <v>444</v>
      </c>
      <c r="CF236" s="15" t="s">
        <v>444</v>
      </c>
      <c r="CI236" s="15" t="s">
        <v>444</v>
      </c>
      <c r="CK236" s="15" t="s">
        <v>444</v>
      </c>
      <c r="CM236" s="15" t="s">
        <v>444</v>
      </c>
      <c r="CO236" s="15" t="s">
        <v>444</v>
      </c>
      <c r="CP236" s="15" t="str">
        <f t="shared" si="425"/>
        <v>140.55</v>
      </c>
      <c r="CQ236" s="15" t="str">
        <f t="shared" si="426"/>
        <v>3.98</v>
      </c>
      <c r="CR236" s="15" t="s">
        <v>465</v>
      </c>
      <c r="DC236" s="15" t="str">
        <f>IFERROR(__xludf.DUMMYFUNCTION("""COMPUTED_VALUE"""),"")</f>
        <v/>
      </c>
      <c r="DE236" s="15" t="str">
        <f>IFERROR(__xludf.DUMMYFUNCTION("""COMPUTED_VALUE"""),"")</f>
        <v/>
      </c>
      <c r="DG236" s="15" t="str">
        <f>IFERROR(__xludf.DUMMYFUNCTION("""COMPUTED_VALUE"""),"")</f>
        <v/>
      </c>
      <c r="DJ236" s="15" t="s">
        <v>717</v>
      </c>
      <c r="DK236" s="15" t="s">
        <v>718</v>
      </c>
      <c r="DL236" s="15" t="str">
        <f>IFERROR(__xludf.DUMMYFUNCTION("""COMPUTED_VALUE"""),"Vacuum or light brush only. Do not use water or any cleaning products.")</f>
        <v>Vacuum or light brush only. Do not use water or any cleaning products.</v>
      </c>
      <c r="DM236" s="15" t="s">
        <v>719</v>
      </c>
      <c r="DQ236" s="15" t="s">
        <v>3404</v>
      </c>
      <c r="DU236" s="15" t="s">
        <v>419</v>
      </c>
      <c r="DZ236" s="15">
        <v>0.0</v>
      </c>
      <c r="EA236" s="15" t="s">
        <v>990</v>
      </c>
      <c r="EB236" s="15" t="s">
        <v>723</v>
      </c>
      <c r="EC236" s="15" t="s">
        <v>724</v>
      </c>
      <c r="EE236" s="15">
        <v>3.0</v>
      </c>
      <c r="EF236" s="15" t="s">
        <v>3405</v>
      </c>
      <c r="EG236" s="15" t="s">
        <v>3406</v>
      </c>
      <c r="EH236" s="15" t="s">
        <v>3407</v>
      </c>
      <c r="EJ236" s="15" t="s">
        <v>473</v>
      </c>
      <c r="EK236" s="15" t="s">
        <v>474</v>
      </c>
      <c r="EM236" s="15" t="str">
        <f>IFERROR(__xludf.DUMMYFUNCTION("""COMPUTED_VALUE"""),"")</f>
        <v/>
      </c>
      <c r="FC236" s="15" t="s">
        <v>723</v>
      </c>
      <c r="FD236" s="15" t="s">
        <v>724</v>
      </c>
      <c r="FE236" s="15" t="s">
        <v>3408</v>
      </c>
      <c r="FF236" s="15" t="s">
        <v>1239</v>
      </c>
      <c r="HN236" s="15" t="s">
        <v>426</v>
      </c>
      <c r="HO236" s="15" t="s">
        <v>3409</v>
      </c>
      <c r="HP236" s="15" t="s">
        <v>3415</v>
      </c>
    </row>
    <row r="237" ht="15.75" customHeight="1">
      <c r="A237" s="14" t="s">
        <v>391</v>
      </c>
      <c r="B237" s="15" t="s">
        <v>3387</v>
      </c>
      <c r="C237" s="16"/>
      <c r="D237" s="15" t="s">
        <v>432</v>
      </c>
      <c r="G237" s="14" t="s">
        <v>393</v>
      </c>
      <c r="H237" s="14" t="s">
        <v>394</v>
      </c>
      <c r="I237" s="14" t="b">
        <v>1</v>
      </c>
      <c r="J237" s="14" t="s">
        <v>395</v>
      </c>
      <c r="L237" s="14" t="b">
        <v>0</v>
      </c>
      <c r="M237" s="15" t="s">
        <v>3426</v>
      </c>
      <c r="N237" s="14" t="s">
        <v>393</v>
      </c>
      <c r="O237" s="14" t="s">
        <v>393</v>
      </c>
      <c r="P237" s="15" t="s">
        <v>397</v>
      </c>
      <c r="Q237" s="15" t="s">
        <v>3427</v>
      </c>
      <c r="R237" s="15" t="s">
        <v>265</v>
      </c>
      <c r="S237" s="15" t="s">
        <v>2916</v>
      </c>
      <c r="T237" s="14" t="b">
        <v>0</v>
      </c>
      <c r="U237" s="15" t="s">
        <v>3428</v>
      </c>
      <c r="V237" s="15" t="s">
        <v>3391</v>
      </c>
      <c r="W237" s="15" t="s">
        <v>401</v>
      </c>
      <c r="X237" s="15" t="s">
        <v>402</v>
      </c>
      <c r="Y237" s="15">
        <v>4589.0</v>
      </c>
      <c r="AA237" s="15" t="str">
        <f t="shared" ref="AA237:AA238" si="428">"1765"</f>
        <v>1765</v>
      </c>
      <c r="AB237" s="14" t="b">
        <v>1</v>
      </c>
      <c r="AC237" s="14" t="b">
        <v>1</v>
      </c>
      <c r="AD237" s="15" t="str">
        <f>"801542699925"</f>
        <v>801542699925</v>
      </c>
      <c r="AE237" s="15" t="s">
        <v>3429</v>
      </c>
      <c r="AF237" s="14" t="s">
        <v>404</v>
      </c>
      <c r="AG237" s="14" t="s">
        <v>405</v>
      </c>
      <c r="AH237" s="14" t="s">
        <v>406</v>
      </c>
      <c r="AI237" s="15">
        <v>0.0</v>
      </c>
      <c r="AL237" s="15" t="s">
        <v>2107</v>
      </c>
      <c r="AM237" s="15" t="s">
        <v>3394</v>
      </c>
      <c r="AN237" s="15" t="s">
        <v>3395</v>
      </c>
      <c r="AO237" s="15" t="s">
        <v>694</v>
      </c>
      <c r="AP237" s="15" t="s">
        <v>952</v>
      </c>
      <c r="AQ237" s="15" t="s">
        <v>3396</v>
      </c>
      <c r="AR237" s="15" t="s">
        <v>2893</v>
      </c>
      <c r="AS237" s="15" t="s">
        <v>2108</v>
      </c>
      <c r="AT237" s="15" t="s">
        <v>3427</v>
      </c>
      <c r="AU237" s="15" t="s">
        <v>3397</v>
      </c>
      <c r="AW237" s="15" t="s">
        <v>1629</v>
      </c>
      <c r="AX237" s="15" t="s">
        <v>2916</v>
      </c>
      <c r="AY237" s="15" t="s">
        <v>413</v>
      </c>
      <c r="AZ237" s="15" t="b">
        <v>0</v>
      </c>
      <c r="BA237" s="15" t="s">
        <v>426</v>
      </c>
      <c r="BB237" s="15" t="b">
        <v>1</v>
      </c>
      <c r="BC237" s="15" t="s">
        <v>3430</v>
      </c>
      <c r="BD237" s="15" t="s">
        <v>415</v>
      </c>
      <c r="BE237" s="15" t="str">
        <f t="shared" si="424"/>
        <v>2</v>
      </c>
      <c r="BF237" s="15" t="s">
        <v>416</v>
      </c>
      <c r="BG237" s="15" t="str">
        <f>"56.3"</f>
        <v>56.3</v>
      </c>
      <c r="BH237" s="15" t="s">
        <v>3400</v>
      </c>
      <c r="BI237" s="15" t="str">
        <f>"75.59"</f>
        <v>75.59</v>
      </c>
      <c r="BJ237" s="15" t="s">
        <v>3401</v>
      </c>
      <c r="BK237" s="15" t="str">
        <f>"30.31"</f>
        <v>30.31</v>
      </c>
      <c r="BL237" s="15" t="s">
        <v>982</v>
      </c>
      <c r="BM237" s="15" t="str">
        <f>"149.91"</f>
        <v>149.91</v>
      </c>
      <c r="BN237" s="15" t="s">
        <v>3402</v>
      </c>
      <c r="BO237" s="15" t="s">
        <v>416</v>
      </c>
      <c r="BP237" s="15" t="str">
        <f>"85.04"</f>
        <v>85.04</v>
      </c>
      <c r="BQ237" s="15" t="s">
        <v>440</v>
      </c>
      <c r="BR237" s="15" t="str">
        <f>"47.24"</f>
        <v>47.24</v>
      </c>
      <c r="BS237" s="15" t="s">
        <v>2287</v>
      </c>
      <c r="BT237" s="15" t="str">
        <f>"28.35"</f>
        <v>28.35</v>
      </c>
      <c r="BU237" s="15" t="s">
        <v>924</v>
      </c>
      <c r="BV237" s="15" t="str">
        <f>"152.12"</f>
        <v>152.12</v>
      </c>
      <c r="BW237" s="15" t="s">
        <v>3403</v>
      </c>
      <c r="BZ237" s="15" t="s">
        <v>444</v>
      </c>
      <c r="CB237" s="15" t="s">
        <v>444</v>
      </c>
      <c r="CD237" s="15" t="s">
        <v>444</v>
      </c>
      <c r="CF237" s="15" t="s">
        <v>444</v>
      </c>
      <c r="CI237" s="15" t="s">
        <v>444</v>
      </c>
      <c r="CK237" s="15" t="s">
        <v>444</v>
      </c>
      <c r="CM237" s="15" t="s">
        <v>444</v>
      </c>
      <c r="CO237" s="15" t="s">
        <v>444</v>
      </c>
      <c r="CP237" s="15" t="str">
        <f t="shared" si="425"/>
        <v>140.55</v>
      </c>
      <c r="CQ237" s="15" t="str">
        <f t="shared" si="426"/>
        <v>3.98</v>
      </c>
      <c r="CR237" s="15" t="s">
        <v>465</v>
      </c>
      <c r="DC237" s="15" t="str">
        <f>IFERROR(__xludf.DUMMYFUNCTION("""COMPUTED_VALUE"""),"")</f>
        <v/>
      </c>
      <c r="DE237" s="15" t="str">
        <f>IFERROR(__xludf.DUMMYFUNCTION("""COMPUTED_VALUE"""),"")</f>
        <v/>
      </c>
      <c r="DG237" s="15" t="str">
        <f>IFERROR(__xludf.DUMMYFUNCTION("""COMPUTED_VALUE"""),"")</f>
        <v/>
      </c>
      <c r="DJ237" s="15" t="s">
        <v>717</v>
      </c>
      <c r="DK237" s="15" t="s">
        <v>934</v>
      </c>
      <c r="DL237" s="15" t="str">
        <f>IFERROR(__xludf.DUMMYFUNCTION("""COMPUTED_VALUE"""),"Spot clean with water-based or solvent-based cleaner. Use mild detergent or upholstery shampoo.")</f>
        <v>Spot clean with water-based or solvent-based cleaner. Use mild detergent or upholstery shampoo.</v>
      </c>
      <c r="DM237" s="15" t="s">
        <v>935</v>
      </c>
      <c r="DQ237" s="15" t="s">
        <v>3404</v>
      </c>
      <c r="DU237" s="15" t="s">
        <v>419</v>
      </c>
      <c r="DZ237" s="15">
        <v>15000.0</v>
      </c>
      <c r="EA237" s="15" t="s">
        <v>990</v>
      </c>
      <c r="EB237" s="15" t="s">
        <v>723</v>
      </c>
      <c r="EC237" s="15" t="s">
        <v>724</v>
      </c>
      <c r="EE237" s="15">
        <v>3.0</v>
      </c>
      <c r="EF237" s="15" t="s">
        <v>3405</v>
      </c>
      <c r="EG237" s="15" t="s">
        <v>3406</v>
      </c>
      <c r="EH237" s="15" t="s">
        <v>3407</v>
      </c>
      <c r="EJ237" s="15" t="s">
        <v>473</v>
      </c>
      <c r="EK237" s="15" t="s">
        <v>474</v>
      </c>
      <c r="EM237" s="15" t="str">
        <f>IFERROR(__xludf.DUMMYFUNCTION("""COMPUTED_VALUE"""),"")</f>
        <v/>
      </c>
      <c r="FC237" s="15" t="s">
        <v>723</v>
      </c>
      <c r="FD237" s="15" t="s">
        <v>724</v>
      </c>
      <c r="FE237" s="15" t="s">
        <v>3408</v>
      </c>
      <c r="FF237" s="15" t="s">
        <v>1239</v>
      </c>
      <c r="HN237" s="15" t="s">
        <v>426</v>
      </c>
      <c r="HO237" s="15" t="s">
        <v>3409</v>
      </c>
      <c r="HP237" s="15" t="s">
        <v>3410</v>
      </c>
    </row>
    <row r="238" ht="15.75" customHeight="1">
      <c r="A238" s="14" t="s">
        <v>391</v>
      </c>
      <c r="B238" s="15" t="s">
        <v>3387</v>
      </c>
      <c r="C238" s="16"/>
      <c r="D238" s="15" t="s">
        <v>432</v>
      </c>
      <c r="G238" s="14" t="s">
        <v>393</v>
      </c>
      <c r="H238" s="14" t="s">
        <v>394</v>
      </c>
      <c r="I238" s="14" t="b">
        <v>1</v>
      </c>
      <c r="J238" s="14" t="s">
        <v>395</v>
      </c>
      <c r="L238" s="14" t="b">
        <v>0</v>
      </c>
      <c r="M238" s="15" t="s">
        <v>3431</v>
      </c>
      <c r="N238" s="14" t="s">
        <v>393</v>
      </c>
      <c r="O238" s="14" t="s">
        <v>393</v>
      </c>
      <c r="P238" s="15" t="s">
        <v>397</v>
      </c>
      <c r="Q238" s="15" t="s">
        <v>3427</v>
      </c>
      <c r="R238" s="15" t="s">
        <v>265</v>
      </c>
      <c r="S238" s="15" t="s">
        <v>2933</v>
      </c>
      <c r="T238" s="14" t="b">
        <v>0</v>
      </c>
      <c r="U238" s="15" t="s">
        <v>3432</v>
      </c>
      <c r="V238" s="15" t="s">
        <v>3391</v>
      </c>
      <c r="W238" s="15" t="s">
        <v>401</v>
      </c>
      <c r="X238" s="15" t="s">
        <v>402</v>
      </c>
      <c r="Y238" s="15">
        <v>4589.0</v>
      </c>
      <c r="AA238" s="15" t="str">
        <f t="shared" si="428"/>
        <v>1765</v>
      </c>
      <c r="AB238" s="14" t="b">
        <v>1</v>
      </c>
      <c r="AC238" s="14" t="b">
        <v>1</v>
      </c>
      <c r="AD238" s="15" t="str">
        <f>"801542699932"</f>
        <v>801542699932</v>
      </c>
      <c r="AE238" s="15" t="s">
        <v>3433</v>
      </c>
      <c r="AF238" s="14" t="s">
        <v>404</v>
      </c>
      <c r="AG238" s="14" t="s">
        <v>405</v>
      </c>
      <c r="AH238" s="14" t="s">
        <v>406</v>
      </c>
      <c r="AI238" s="15">
        <v>0.0</v>
      </c>
      <c r="AL238" s="15" t="s">
        <v>2107</v>
      </c>
      <c r="AM238" s="15" t="s">
        <v>3394</v>
      </c>
      <c r="AN238" s="15" t="s">
        <v>3395</v>
      </c>
      <c r="AO238" s="15" t="s">
        <v>694</v>
      </c>
      <c r="AP238" s="15" t="s">
        <v>952</v>
      </c>
      <c r="AQ238" s="15" t="s">
        <v>3396</v>
      </c>
      <c r="AR238" s="15" t="s">
        <v>2893</v>
      </c>
      <c r="AS238" s="15" t="s">
        <v>2108</v>
      </c>
      <c r="AT238" s="15" t="s">
        <v>3427</v>
      </c>
      <c r="AU238" s="15" t="s">
        <v>3397</v>
      </c>
      <c r="AW238" s="15" t="s">
        <v>1629</v>
      </c>
      <c r="AX238" s="15" t="s">
        <v>2933</v>
      </c>
      <c r="AY238" s="15" t="s">
        <v>413</v>
      </c>
      <c r="AZ238" s="15" t="b">
        <v>0</v>
      </c>
      <c r="BA238" s="15" t="s">
        <v>426</v>
      </c>
      <c r="BB238" s="15" t="b">
        <v>1</v>
      </c>
      <c r="BC238" s="15" t="s">
        <v>3434</v>
      </c>
      <c r="BD238" s="15" t="s">
        <v>415</v>
      </c>
      <c r="BE238" s="15" t="str">
        <f t="shared" si="424"/>
        <v>2</v>
      </c>
      <c r="BF238" s="15" t="s">
        <v>416</v>
      </c>
      <c r="BG238" s="15" t="str">
        <f>"85.04"</f>
        <v>85.04</v>
      </c>
      <c r="BH238" s="15" t="s">
        <v>440</v>
      </c>
      <c r="BI238" s="15" t="str">
        <f>"47.24"</f>
        <v>47.24</v>
      </c>
      <c r="BJ238" s="15" t="s">
        <v>2287</v>
      </c>
      <c r="BK238" s="15" t="str">
        <f t="shared" ref="BK238:BK241" si="429">"28.35"</f>
        <v>28.35</v>
      </c>
      <c r="BL238" s="15" t="s">
        <v>924</v>
      </c>
      <c r="BM238" s="15" t="str">
        <f>"152.12"</f>
        <v>152.12</v>
      </c>
      <c r="BN238" s="15" t="s">
        <v>3403</v>
      </c>
      <c r="BO238" s="15" t="s">
        <v>416</v>
      </c>
      <c r="BP238" s="15" t="str">
        <f>"56.3"</f>
        <v>56.3</v>
      </c>
      <c r="BQ238" s="15" t="s">
        <v>3400</v>
      </c>
      <c r="BR238" s="15" t="str">
        <f>"75.59"</f>
        <v>75.59</v>
      </c>
      <c r="BS238" s="15" t="s">
        <v>3401</v>
      </c>
      <c r="BT238" s="15" t="str">
        <f>"30.31"</f>
        <v>30.31</v>
      </c>
      <c r="BU238" s="15" t="s">
        <v>982</v>
      </c>
      <c r="BV238" s="15" t="str">
        <f>"149.91"</f>
        <v>149.91</v>
      </c>
      <c r="BW238" s="15" t="s">
        <v>3402</v>
      </c>
      <c r="BZ238" s="15" t="s">
        <v>444</v>
      </c>
      <c r="CB238" s="15" t="s">
        <v>444</v>
      </c>
      <c r="CD238" s="15" t="s">
        <v>444</v>
      </c>
      <c r="CF238" s="15" t="s">
        <v>444</v>
      </c>
      <c r="CI238" s="15" t="s">
        <v>444</v>
      </c>
      <c r="CK238" s="15" t="s">
        <v>444</v>
      </c>
      <c r="CM238" s="15" t="s">
        <v>444</v>
      </c>
      <c r="CO238" s="15" t="s">
        <v>444</v>
      </c>
      <c r="CP238" s="15" t="str">
        <f t="shared" si="425"/>
        <v>140.55</v>
      </c>
      <c r="CQ238" s="15" t="str">
        <f t="shared" si="426"/>
        <v>3.98</v>
      </c>
      <c r="CR238" s="15" t="s">
        <v>497</v>
      </c>
      <c r="DC238" s="15" t="str">
        <f>IFERROR(__xludf.DUMMYFUNCTION("""COMPUTED_VALUE"""),"")</f>
        <v/>
      </c>
      <c r="DE238" s="15" t="str">
        <f>IFERROR(__xludf.DUMMYFUNCTION("""COMPUTED_VALUE"""),"")</f>
        <v/>
      </c>
      <c r="DG238" s="15" t="str">
        <f>IFERROR(__xludf.DUMMYFUNCTION("""COMPUTED_VALUE"""),"")</f>
        <v/>
      </c>
      <c r="DJ238" s="15" t="s">
        <v>717</v>
      </c>
      <c r="DK238" s="15" t="s">
        <v>934</v>
      </c>
      <c r="DL238" s="15" t="str">
        <f>IFERROR(__xludf.DUMMYFUNCTION("""COMPUTED_VALUE"""),"Spot clean with water-based or solvent-based cleaner. Use mild detergent or upholstery shampoo.")</f>
        <v>Spot clean with water-based or solvent-based cleaner. Use mild detergent or upholstery shampoo.</v>
      </c>
      <c r="DM238" s="15" t="s">
        <v>935</v>
      </c>
      <c r="DQ238" s="15" t="s">
        <v>3404</v>
      </c>
      <c r="DU238" s="15" t="s">
        <v>419</v>
      </c>
      <c r="DZ238" s="15">
        <v>15000.0</v>
      </c>
      <c r="EA238" s="15" t="s">
        <v>990</v>
      </c>
      <c r="EB238" s="15" t="s">
        <v>723</v>
      </c>
      <c r="EC238" s="15" t="s">
        <v>724</v>
      </c>
      <c r="EE238" s="15">
        <v>3.0</v>
      </c>
      <c r="EF238" s="15" t="s">
        <v>3405</v>
      </c>
      <c r="EG238" s="15" t="s">
        <v>3406</v>
      </c>
      <c r="EH238" s="15" t="s">
        <v>3407</v>
      </c>
      <c r="EJ238" s="15" t="s">
        <v>473</v>
      </c>
      <c r="EK238" s="15" t="s">
        <v>474</v>
      </c>
      <c r="EM238" s="15" t="str">
        <f>IFERROR(__xludf.DUMMYFUNCTION("""COMPUTED_VALUE"""),"")</f>
        <v/>
      </c>
      <c r="FC238" s="15" t="s">
        <v>723</v>
      </c>
      <c r="FD238" s="15" t="s">
        <v>724</v>
      </c>
      <c r="FE238" s="15" t="s">
        <v>3408</v>
      </c>
      <c r="FF238" s="15" t="s">
        <v>1239</v>
      </c>
      <c r="HN238" s="15" t="s">
        <v>426</v>
      </c>
      <c r="HO238" s="15" t="s">
        <v>3409</v>
      </c>
      <c r="HP238" s="15" t="s">
        <v>3415</v>
      </c>
    </row>
    <row r="239" ht="15.75" customHeight="1">
      <c r="A239" s="14" t="s">
        <v>391</v>
      </c>
      <c r="B239" s="15" t="s">
        <v>3435</v>
      </c>
      <c r="C239" s="16"/>
      <c r="D239" s="15" t="s">
        <v>432</v>
      </c>
      <c r="G239" s="14" t="s">
        <v>393</v>
      </c>
      <c r="H239" s="14" t="s">
        <v>394</v>
      </c>
      <c r="I239" s="14" t="b">
        <v>1</v>
      </c>
      <c r="J239" s="14" t="s">
        <v>395</v>
      </c>
      <c r="L239" s="14" t="b">
        <v>0</v>
      </c>
      <c r="M239" s="15" t="s">
        <v>3436</v>
      </c>
      <c r="N239" s="14" t="s">
        <v>393</v>
      </c>
      <c r="O239" s="14" t="s">
        <v>393</v>
      </c>
      <c r="P239" s="15" t="s">
        <v>397</v>
      </c>
      <c r="Q239" s="15" t="s">
        <v>3389</v>
      </c>
      <c r="T239" s="14" t="b">
        <v>0</v>
      </c>
      <c r="U239" s="15" t="s">
        <v>3437</v>
      </c>
      <c r="V239" s="15" t="s">
        <v>3438</v>
      </c>
      <c r="W239" s="15" t="s">
        <v>401</v>
      </c>
      <c r="X239" s="15" t="s">
        <v>402</v>
      </c>
      <c r="Y239" s="15">
        <v>5577.0</v>
      </c>
      <c r="AA239" s="15" t="str">
        <f>"2145"</f>
        <v>2145</v>
      </c>
      <c r="AB239" s="14" t="b">
        <v>1</v>
      </c>
      <c r="AC239" s="14" t="b">
        <v>1</v>
      </c>
      <c r="AD239" s="15" t="str">
        <f>"801542437282"</f>
        <v>801542437282</v>
      </c>
      <c r="AE239" s="15" t="s">
        <v>3439</v>
      </c>
      <c r="AF239" s="14" t="s">
        <v>404</v>
      </c>
      <c r="AG239" s="14" t="s">
        <v>405</v>
      </c>
      <c r="AH239" s="14" t="s">
        <v>406</v>
      </c>
      <c r="AI239" s="15">
        <v>0.0</v>
      </c>
      <c r="AL239" s="15" t="s">
        <v>3393</v>
      </c>
      <c r="AM239" s="15" t="s">
        <v>3440</v>
      </c>
      <c r="AN239" s="15" t="s">
        <v>3441</v>
      </c>
      <c r="AO239" s="15" t="s">
        <v>3442</v>
      </c>
      <c r="AP239" s="15" t="s">
        <v>3443</v>
      </c>
      <c r="AQ239" s="15" t="s">
        <v>3396</v>
      </c>
      <c r="AR239" s="15" t="s">
        <v>2893</v>
      </c>
      <c r="AS239" s="15" t="s">
        <v>2108</v>
      </c>
      <c r="AT239" s="15" t="s">
        <v>3389</v>
      </c>
      <c r="AU239" s="15" t="s">
        <v>3397</v>
      </c>
      <c r="AW239" s="15" t="s">
        <v>1629</v>
      </c>
      <c r="AX239" s="15" t="s">
        <v>1630</v>
      </c>
      <c r="AY239" s="15" t="s">
        <v>413</v>
      </c>
      <c r="AZ239" s="15" t="b">
        <v>0</v>
      </c>
      <c r="BA239" s="15" t="s">
        <v>413</v>
      </c>
      <c r="BB239" s="15" t="b">
        <v>0</v>
      </c>
      <c r="BC239" s="15" t="s">
        <v>3444</v>
      </c>
      <c r="BD239" s="15" t="s">
        <v>415</v>
      </c>
      <c r="BE239" s="15" t="str">
        <f t="shared" ref="BE239:BE241" si="430">"3"</f>
        <v>3</v>
      </c>
      <c r="BF239" s="15" t="s">
        <v>416</v>
      </c>
      <c r="BG239" s="15" t="str">
        <f t="shared" ref="BG239:BG241" si="431">"44.88"</f>
        <v>44.88</v>
      </c>
      <c r="BH239" s="15" t="s">
        <v>3445</v>
      </c>
      <c r="BI239" s="15" t="str">
        <f t="shared" ref="BI239:BI243" si="432">"43.31"</f>
        <v>43.31</v>
      </c>
      <c r="BJ239" s="15" t="s">
        <v>3446</v>
      </c>
      <c r="BK239" s="15" t="str">
        <f t="shared" si="429"/>
        <v>28.35</v>
      </c>
      <c r="BL239" s="15" t="s">
        <v>924</v>
      </c>
      <c r="BM239" s="15" t="str">
        <f t="shared" ref="BM239:BM241" si="433">"87.52"</f>
        <v>87.52</v>
      </c>
      <c r="BN239" s="15" t="s">
        <v>3447</v>
      </c>
      <c r="BO239" s="15" t="s">
        <v>416</v>
      </c>
      <c r="BP239" s="15" t="str">
        <f t="shared" ref="BP239:BP241" si="434">"85.04"</f>
        <v>85.04</v>
      </c>
      <c r="BQ239" s="15" t="s">
        <v>440</v>
      </c>
      <c r="BR239" s="15" t="str">
        <f t="shared" ref="BR239:BR241" si="435">"47.24"</f>
        <v>47.24</v>
      </c>
      <c r="BS239" s="15" t="s">
        <v>2287</v>
      </c>
      <c r="BT239" s="15" t="str">
        <f t="shared" ref="BT239:BT241" si="436">"28.35"</f>
        <v>28.35</v>
      </c>
      <c r="BU239" s="15" t="s">
        <v>924</v>
      </c>
      <c r="BV239" s="15" t="str">
        <f t="shared" ref="BV239:BV241" si="437">"152.12"</f>
        <v>152.12</v>
      </c>
      <c r="BW239" s="15" t="s">
        <v>3403</v>
      </c>
      <c r="BX239" s="15" t="s">
        <v>416</v>
      </c>
      <c r="BY239" s="15" t="str">
        <f t="shared" ref="BY239:BY241" si="438">"85.04"</f>
        <v>85.04</v>
      </c>
      <c r="BZ239" s="15" t="s">
        <v>440</v>
      </c>
      <c r="CA239" s="15" t="str">
        <f t="shared" ref="CA239:CA241" si="439">"47.24"</f>
        <v>47.24</v>
      </c>
      <c r="CB239" s="15" t="s">
        <v>2287</v>
      </c>
      <c r="CC239" s="15" t="str">
        <f t="shared" ref="CC239:CC241" si="440">"28.35"</f>
        <v>28.35</v>
      </c>
      <c r="CD239" s="15" t="s">
        <v>924</v>
      </c>
      <c r="CE239" s="15" t="str">
        <f t="shared" ref="CE239:CE241" si="441">"152.12"</f>
        <v>152.12</v>
      </c>
      <c r="CF239" s="15" t="s">
        <v>3403</v>
      </c>
      <c r="CI239" s="15" t="s">
        <v>444</v>
      </c>
      <c r="CK239" s="15" t="s">
        <v>444</v>
      </c>
      <c r="CM239" s="15" t="s">
        <v>444</v>
      </c>
      <c r="CO239" s="15" t="s">
        <v>444</v>
      </c>
      <c r="CP239" s="15" t="str">
        <f t="shared" ref="CP239:CP241" si="442">"163.68"</f>
        <v>163.68</v>
      </c>
      <c r="CQ239" s="15" t="str">
        <f t="shared" ref="CQ239:CQ241" si="443">"4.635"</f>
        <v>4.635</v>
      </c>
      <c r="CR239" s="15" t="s">
        <v>497</v>
      </c>
      <c r="DC239" s="15" t="str">
        <f>IFERROR(__xludf.DUMMYFUNCTION("""COMPUTED_VALUE"""),"")</f>
        <v/>
      </c>
      <c r="DE239" s="15" t="str">
        <f>IFERROR(__xludf.DUMMYFUNCTION("""COMPUTED_VALUE"""),"")</f>
        <v/>
      </c>
      <c r="DG239" s="15" t="str">
        <f>IFERROR(__xludf.DUMMYFUNCTION("""COMPUTED_VALUE"""),"")</f>
        <v/>
      </c>
      <c r="DJ239" s="15" t="s">
        <v>717</v>
      </c>
      <c r="DK239" s="15" t="s">
        <v>934</v>
      </c>
      <c r="DL239" s="15" t="str">
        <f>IFERROR(__xludf.DUMMYFUNCTION("""COMPUTED_VALUE"""),"Spot clean with water-based or solvent-based cleaner. Use mild detergent or upholstery shampoo.")</f>
        <v>Spot clean with water-based or solvent-based cleaner. Use mild detergent or upholstery shampoo.</v>
      </c>
      <c r="DM239" s="15" t="s">
        <v>935</v>
      </c>
      <c r="DQ239" s="15" t="s">
        <v>3404</v>
      </c>
      <c r="DU239" s="15" t="s">
        <v>419</v>
      </c>
      <c r="DZ239" s="15">
        <v>30000.0</v>
      </c>
      <c r="EA239" s="15" t="s">
        <v>990</v>
      </c>
      <c r="EB239" s="15" t="s">
        <v>723</v>
      </c>
      <c r="EC239" s="15" t="s">
        <v>724</v>
      </c>
      <c r="EE239" s="15">
        <v>5.0</v>
      </c>
      <c r="EF239" s="15" t="s">
        <v>1633</v>
      </c>
      <c r="EG239" s="15" t="s">
        <v>1634</v>
      </c>
      <c r="EH239" s="15" t="s">
        <v>3407</v>
      </c>
      <c r="EJ239" s="15" t="s">
        <v>1636</v>
      </c>
      <c r="EK239" s="15" t="s">
        <v>1637</v>
      </c>
      <c r="EM239" s="15" t="str">
        <f>IFERROR(__xludf.DUMMYFUNCTION("""COMPUTED_VALUE"""),"")</f>
        <v/>
      </c>
      <c r="FC239" s="15" t="s">
        <v>723</v>
      </c>
      <c r="FD239" s="15" t="s">
        <v>724</v>
      </c>
      <c r="FE239" s="15" t="s">
        <v>3408</v>
      </c>
      <c r="FF239" s="15" t="s">
        <v>1239</v>
      </c>
      <c r="FL239" s="15" t="s">
        <v>426</v>
      </c>
      <c r="HN239" s="15" t="s">
        <v>426</v>
      </c>
      <c r="HO239" s="15" t="s">
        <v>3409</v>
      </c>
      <c r="HP239" s="15" t="s">
        <v>1639</v>
      </c>
    </row>
    <row r="240" ht="15.75" customHeight="1">
      <c r="A240" s="14" t="s">
        <v>391</v>
      </c>
      <c r="B240" s="15" t="s">
        <v>3435</v>
      </c>
      <c r="C240" s="16"/>
      <c r="D240" s="15" t="s">
        <v>432</v>
      </c>
      <c r="G240" s="14" t="s">
        <v>393</v>
      </c>
      <c r="H240" s="14" t="s">
        <v>394</v>
      </c>
      <c r="I240" s="14" t="b">
        <v>1</v>
      </c>
      <c r="J240" s="14" t="s">
        <v>395</v>
      </c>
      <c r="L240" s="14" t="b">
        <v>0</v>
      </c>
      <c r="M240" s="15" t="s">
        <v>3448</v>
      </c>
      <c r="N240" s="14" t="s">
        <v>393</v>
      </c>
      <c r="O240" s="14" t="s">
        <v>393</v>
      </c>
      <c r="P240" s="15" t="s">
        <v>397</v>
      </c>
      <c r="Q240" s="15" t="s">
        <v>3417</v>
      </c>
      <c r="T240" s="14" t="b">
        <v>0</v>
      </c>
      <c r="U240" s="15" t="s">
        <v>3449</v>
      </c>
      <c r="V240" s="15" t="s">
        <v>3450</v>
      </c>
      <c r="W240" s="15" t="s">
        <v>401</v>
      </c>
      <c r="X240" s="15" t="s">
        <v>402</v>
      </c>
      <c r="Y240" s="15">
        <v>8528.0</v>
      </c>
      <c r="AA240" s="15" t="str">
        <f>"3280"</f>
        <v>3280</v>
      </c>
      <c r="AB240" s="14" t="b">
        <v>1</v>
      </c>
      <c r="AC240" s="14" t="b">
        <v>1</v>
      </c>
      <c r="AD240" s="15" t="str">
        <f>"801542031374"</f>
        <v>801542031374</v>
      </c>
      <c r="AE240" s="15" t="s">
        <v>3451</v>
      </c>
      <c r="AF240" s="14" t="s">
        <v>404</v>
      </c>
      <c r="AG240" s="14" t="s">
        <v>405</v>
      </c>
      <c r="AH240" s="14" t="s">
        <v>406</v>
      </c>
      <c r="AI240" s="15">
        <v>0.0</v>
      </c>
      <c r="AL240" s="15" t="s">
        <v>3420</v>
      </c>
      <c r="AM240" s="15" t="s">
        <v>3440</v>
      </c>
      <c r="AN240" s="15" t="s">
        <v>3441</v>
      </c>
      <c r="AO240" s="15" t="s">
        <v>3442</v>
      </c>
      <c r="AP240" s="15" t="s">
        <v>3443</v>
      </c>
      <c r="AQ240" s="15" t="s">
        <v>3396</v>
      </c>
      <c r="AR240" s="15" t="s">
        <v>2893</v>
      </c>
      <c r="AS240" s="15" t="s">
        <v>2108</v>
      </c>
      <c r="AT240" s="15" t="s">
        <v>3417</v>
      </c>
      <c r="AU240" s="15" t="s">
        <v>3397</v>
      </c>
      <c r="AW240" s="15" t="s">
        <v>1629</v>
      </c>
      <c r="AX240" s="15" t="s">
        <v>1630</v>
      </c>
      <c r="AY240" s="15" t="s">
        <v>413</v>
      </c>
      <c r="AZ240" s="15" t="b">
        <v>0</v>
      </c>
      <c r="BA240" s="15" t="s">
        <v>413</v>
      </c>
      <c r="BB240" s="15" t="b">
        <v>0</v>
      </c>
      <c r="BC240" s="15" t="s">
        <v>3452</v>
      </c>
      <c r="BD240" s="15" t="s">
        <v>415</v>
      </c>
      <c r="BE240" s="15" t="str">
        <f t="shared" si="430"/>
        <v>3</v>
      </c>
      <c r="BF240" s="15" t="s">
        <v>416</v>
      </c>
      <c r="BG240" s="15" t="str">
        <f t="shared" si="431"/>
        <v>44.88</v>
      </c>
      <c r="BH240" s="15" t="s">
        <v>3445</v>
      </c>
      <c r="BI240" s="15" t="str">
        <f t="shared" si="432"/>
        <v>43.31</v>
      </c>
      <c r="BJ240" s="15" t="s">
        <v>3446</v>
      </c>
      <c r="BK240" s="15" t="str">
        <f t="shared" si="429"/>
        <v>28.35</v>
      </c>
      <c r="BL240" s="15" t="s">
        <v>924</v>
      </c>
      <c r="BM240" s="15" t="str">
        <f t="shared" si="433"/>
        <v>87.52</v>
      </c>
      <c r="BN240" s="15" t="s">
        <v>3447</v>
      </c>
      <c r="BO240" s="15" t="s">
        <v>416</v>
      </c>
      <c r="BP240" s="15" t="str">
        <f t="shared" si="434"/>
        <v>85.04</v>
      </c>
      <c r="BQ240" s="15" t="s">
        <v>440</v>
      </c>
      <c r="BR240" s="15" t="str">
        <f t="shared" si="435"/>
        <v>47.24</v>
      </c>
      <c r="BS240" s="15" t="s">
        <v>2287</v>
      </c>
      <c r="BT240" s="15" t="str">
        <f t="shared" si="436"/>
        <v>28.35</v>
      </c>
      <c r="BU240" s="15" t="s">
        <v>924</v>
      </c>
      <c r="BV240" s="15" t="str">
        <f t="shared" si="437"/>
        <v>152.12</v>
      </c>
      <c r="BW240" s="15" t="s">
        <v>3403</v>
      </c>
      <c r="BX240" s="15" t="s">
        <v>416</v>
      </c>
      <c r="BY240" s="15" t="str">
        <f t="shared" si="438"/>
        <v>85.04</v>
      </c>
      <c r="BZ240" s="15" t="s">
        <v>440</v>
      </c>
      <c r="CA240" s="15" t="str">
        <f t="shared" si="439"/>
        <v>47.24</v>
      </c>
      <c r="CB240" s="15" t="s">
        <v>2287</v>
      </c>
      <c r="CC240" s="15" t="str">
        <f t="shared" si="440"/>
        <v>28.35</v>
      </c>
      <c r="CD240" s="15" t="s">
        <v>924</v>
      </c>
      <c r="CE240" s="15" t="str">
        <f t="shared" si="441"/>
        <v>152.12</v>
      </c>
      <c r="CF240" s="15" t="s">
        <v>3403</v>
      </c>
      <c r="CI240" s="15" t="s">
        <v>444</v>
      </c>
      <c r="CK240" s="15" t="s">
        <v>444</v>
      </c>
      <c r="CM240" s="15" t="s">
        <v>444</v>
      </c>
      <c r="CO240" s="15" t="s">
        <v>444</v>
      </c>
      <c r="CP240" s="15" t="str">
        <f t="shared" si="442"/>
        <v>163.68</v>
      </c>
      <c r="CQ240" s="15" t="str">
        <f t="shared" si="443"/>
        <v>4.635</v>
      </c>
      <c r="CR240" s="15" t="s">
        <v>497</v>
      </c>
      <c r="DC240" s="15" t="str">
        <f>IFERROR(__xludf.DUMMYFUNCTION("""COMPUTED_VALUE"""),"")</f>
        <v/>
      </c>
      <c r="DE240" s="15" t="str">
        <f>IFERROR(__xludf.DUMMYFUNCTION("""COMPUTED_VALUE"""),"")</f>
        <v/>
      </c>
      <c r="DG240" s="15" t="str">
        <f>IFERROR(__xludf.DUMMYFUNCTION("""COMPUTED_VALUE"""),"")</f>
        <v/>
      </c>
      <c r="DJ240" s="15" t="s">
        <v>717</v>
      </c>
      <c r="DK240" s="15" t="s">
        <v>718</v>
      </c>
      <c r="DL240" s="15" t="str">
        <f>IFERROR(__xludf.DUMMYFUNCTION("""COMPUTED_VALUE"""),"Vacuum or light brush only. Do not use water or any cleaning products.")</f>
        <v>Vacuum or light brush only. Do not use water or any cleaning products.</v>
      </c>
      <c r="DM240" s="15" t="s">
        <v>719</v>
      </c>
      <c r="DQ240" s="15" t="s">
        <v>3404</v>
      </c>
      <c r="DU240" s="15" t="s">
        <v>419</v>
      </c>
      <c r="DZ240" s="15">
        <v>0.0</v>
      </c>
      <c r="EA240" s="15" t="s">
        <v>990</v>
      </c>
      <c r="EB240" s="15" t="s">
        <v>723</v>
      </c>
      <c r="EC240" s="15" t="s">
        <v>724</v>
      </c>
      <c r="EE240" s="15">
        <v>5.0</v>
      </c>
      <c r="EF240" s="15" t="s">
        <v>1633</v>
      </c>
      <c r="EG240" s="15" t="s">
        <v>1634</v>
      </c>
      <c r="EH240" s="15" t="s">
        <v>3407</v>
      </c>
      <c r="EJ240" s="15" t="s">
        <v>1636</v>
      </c>
      <c r="EK240" s="15" t="s">
        <v>1637</v>
      </c>
      <c r="EM240" s="15" t="str">
        <f>IFERROR(__xludf.DUMMYFUNCTION("""COMPUTED_VALUE"""),"")</f>
        <v/>
      </c>
      <c r="FC240" s="15" t="s">
        <v>723</v>
      </c>
      <c r="FD240" s="15" t="s">
        <v>724</v>
      </c>
      <c r="FE240" s="15" t="s">
        <v>3408</v>
      </c>
      <c r="FF240" s="15" t="s">
        <v>1239</v>
      </c>
      <c r="FL240" s="15" t="s">
        <v>426</v>
      </c>
      <c r="HN240" s="15" t="s">
        <v>426</v>
      </c>
      <c r="HO240" s="15" t="s">
        <v>3409</v>
      </c>
      <c r="HP240" s="15" t="s">
        <v>1639</v>
      </c>
    </row>
    <row r="241" ht="15.75" customHeight="1">
      <c r="A241" s="14" t="s">
        <v>391</v>
      </c>
      <c r="B241" s="15" t="s">
        <v>3435</v>
      </c>
      <c r="C241" s="16"/>
      <c r="D241" s="15" t="s">
        <v>432</v>
      </c>
      <c r="G241" s="14" t="s">
        <v>393</v>
      </c>
      <c r="H241" s="14" t="s">
        <v>394</v>
      </c>
      <c r="I241" s="14" t="b">
        <v>1</v>
      </c>
      <c r="J241" s="14" t="s">
        <v>395</v>
      </c>
      <c r="L241" s="14" t="b">
        <v>0</v>
      </c>
      <c r="M241" s="15" t="s">
        <v>3453</v>
      </c>
      <c r="N241" s="14" t="s">
        <v>393</v>
      </c>
      <c r="O241" s="14" t="s">
        <v>393</v>
      </c>
      <c r="P241" s="15" t="s">
        <v>397</v>
      </c>
      <c r="Q241" s="15" t="s">
        <v>3427</v>
      </c>
      <c r="T241" s="14" t="b">
        <v>0</v>
      </c>
      <c r="U241" s="15" t="s">
        <v>3454</v>
      </c>
      <c r="V241" s="15" t="s">
        <v>3438</v>
      </c>
      <c r="W241" s="15" t="s">
        <v>401</v>
      </c>
      <c r="X241" s="15" t="s">
        <v>402</v>
      </c>
      <c r="Y241" s="15">
        <v>5902.0</v>
      </c>
      <c r="AA241" s="15" t="str">
        <f>"2270"</f>
        <v>2270</v>
      </c>
      <c r="AB241" s="14" t="b">
        <v>1</v>
      </c>
      <c r="AC241" s="14" t="b">
        <v>1</v>
      </c>
      <c r="AD241" s="15" t="str">
        <f>"801542699956"</f>
        <v>801542699956</v>
      </c>
      <c r="AE241" s="15" t="s">
        <v>3455</v>
      </c>
      <c r="AF241" s="14" t="s">
        <v>404</v>
      </c>
      <c r="AG241" s="14" t="s">
        <v>405</v>
      </c>
      <c r="AH241" s="14" t="s">
        <v>406</v>
      </c>
      <c r="AI241" s="15">
        <v>0.0</v>
      </c>
      <c r="AL241" s="15" t="s">
        <v>2107</v>
      </c>
      <c r="AM241" s="15" t="s">
        <v>3440</v>
      </c>
      <c r="AN241" s="15" t="s">
        <v>3441</v>
      </c>
      <c r="AO241" s="15" t="s">
        <v>3442</v>
      </c>
      <c r="AP241" s="15" t="s">
        <v>3443</v>
      </c>
      <c r="AQ241" s="15" t="s">
        <v>3396</v>
      </c>
      <c r="AR241" s="15" t="s">
        <v>2893</v>
      </c>
      <c r="AS241" s="15" t="s">
        <v>2108</v>
      </c>
      <c r="AT241" s="15" t="s">
        <v>3427</v>
      </c>
      <c r="AU241" s="15" t="s">
        <v>3397</v>
      </c>
      <c r="AW241" s="15" t="s">
        <v>1629</v>
      </c>
      <c r="AX241" s="15" t="s">
        <v>1630</v>
      </c>
      <c r="AY241" s="15" t="s">
        <v>426</v>
      </c>
      <c r="AZ241" s="15" t="b">
        <v>1</v>
      </c>
      <c r="BA241" s="15" t="s">
        <v>426</v>
      </c>
      <c r="BB241" s="15" t="b">
        <v>1</v>
      </c>
      <c r="BC241" s="15" t="s">
        <v>3456</v>
      </c>
      <c r="BD241" s="15" t="s">
        <v>415</v>
      </c>
      <c r="BE241" s="15" t="str">
        <f t="shared" si="430"/>
        <v>3</v>
      </c>
      <c r="BF241" s="15" t="s">
        <v>416</v>
      </c>
      <c r="BG241" s="15" t="str">
        <f t="shared" si="431"/>
        <v>44.88</v>
      </c>
      <c r="BH241" s="15" t="s">
        <v>3445</v>
      </c>
      <c r="BI241" s="15" t="str">
        <f t="shared" si="432"/>
        <v>43.31</v>
      </c>
      <c r="BJ241" s="15" t="s">
        <v>3446</v>
      </c>
      <c r="BK241" s="15" t="str">
        <f t="shared" si="429"/>
        <v>28.35</v>
      </c>
      <c r="BL241" s="15" t="s">
        <v>924</v>
      </c>
      <c r="BM241" s="15" t="str">
        <f t="shared" si="433"/>
        <v>87.52</v>
      </c>
      <c r="BN241" s="15" t="s">
        <v>3447</v>
      </c>
      <c r="BO241" s="15" t="s">
        <v>416</v>
      </c>
      <c r="BP241" s="15" t="str">
        <f t="shared" si="434"/>
        <v>85.04</v>
      </c>
      <c r="BQ241" s="15" t="s">
        <v>440</v>
      </c>
      <c r="BR241" s="15" t="str">
        <f t="shared" si="435"/>
        <v>47.24</v>
      </c>
      <c r="BS241" s="15" t="s">
        <v>2287</v>
      </c>
      <c r="BT241" s="15" t="str">
        <f t="shared" si="436"/>
        <v>28.35</v>
      </c>
      <c r="BU241" s="15" t="s">
        <v>924</v>
      </c>
      <c r="BV241" s="15" t="str">
        <f t="shared" si="437"/>
        <v>152.12</v>
      </c>
      <c r="BW241" s="15" t="s">
        <v>3403</v>
      </c>
      <c r="BX241" s="15" t="s">
        <v>416</v>
      </c>
      <c r="BY241" s="15" t="str">
        <f t="shared" si="438"/>
        <v>85.04</v>
      </c>
      <c r="BZ241" s="15" t="s">
        <v>440</v>
      </c>
      <c r="CA241" s="15" t="str">
        <f t="shared" si="439"/>
        <v>47.24</v>
      </c>
      <c r="CB241" s="15" t="s">
        <v>2287</v>
      </c>
      <c r="CC241" s="15" t="str">
        <f t="shared" si="440"/>
        <v>28.35</v>
      </c>
      <c r="CD241" s="15" t="s">
        <v>924</v>
      </c>
      <c r="CE241" s="15" t="str">
        <f t="shared" si="441"/>
        <v>152.12</v>
      </c>
      <c r="CF241" s="15" t="s">
        <v>3403</v>
      </c>
      <c r="CI241" s="15" t="s">
        <v>444</v>
      </c>
      <c r="CK241" s="15" t="s">
        <v>444</v>
      </c>
      <c r="CM241" s="15" t="s">
        <v>444</v>
      </c>
      <c r="CO241" s="15" t="s">
        <v>444</v>
      </c>
      <c r="CP241" s="15" t="str">
        <f t="shared" si="442"/>
        <v>163.68</v>
      </c>
      <c r="CQ241" s="15" t="str">
        <f t="shared" si="443"/>
        <v>4.635</v>
      </c>
      <c r="CR241" s="15" t="s">
        <v>497</v>
      </c>
      <c r="DC241" s="15" t="str">
        <f>IFERROR(__xludf.DUMMYFUNCTION("""COMPUTED_VALUE"""),"")</f>
        <v/>
      </c>
      <c r="DE241" s="15" t="str">
        <f>IFERROR(__xludf.DUMMYFUNCTION("""COMPUTED_VALUE"""),"")</f>
        <v/>
      </c>
      <c r="DG241" s="15" t="str">
        <f>IFERROR(__xludf.DUMMYFUNCTION("""COMPUTED_VALUE"""),"")</f>
        <v/>
      </c>
      <c r="DJ241" s="15" t="s">
        <v>717</v>
      </c>
      <c r="DK241" s="15" t="s">
        <v>934</v>
      </c>
      <c r="DL241" s="15" t="str">
        <f>IFERROR(__xludf.DUMMYFUNCTION("""COMPUTED_VALUE"""),"Spot clean with water-based or solvent-based cleaner. Use mild detergent or upholstery shampoo.")</f>
        <v>Spot clean with water-based or solvent-based cleaner. Use mild detergent or upholstery shampoo.</v>
      </c>
      <c r="DM241" s="15" t="s">
        <v>935</v>
      </c>
      <c r="DQ241" s="15" t="s">
        <v>3404</v>
      </c>
      <c r="DU241" s="15" t="s">
        <v>419</v>
      </c>
      <c r="DZ241" s="15">
        <v>15000.0</v>
      </c>
      <c r="EA241" s="15" t="s">
        <v>990</v>
      </c>
      <c r="EB241" s="15" t="s">
        <v>723</v>
      </c>
      <c r="EC241" s="15" t="s">
        <v>724</v>
      </c>
      <c r="EE241" s="15">
        <v>5.0</v>
      </c>
      <c r="EF241" s="15" t="s">
        <v>1633</v>
      </c>
      <c r="EG241" s="15" t="s">
        <v>1634</v>
      </c>
      <c r="EH241" s="15" t="s">
        <v>3407</v>
      </c>
      <c r="EJ241" s="15" t="s">
        <v>1636</v>
      </c>
      <c r="EK241" s="15" t="s">
        <v>1637</v>
      </c>
      <c r="EM241" s="15" t="str">
        <f>IFERROR(__xludf.DUMMYFUNCTION("""COMPUTED_VALUE"""),"")</f>
        <v/>
      </c>
      <c r="FC241" s="15" t="s">
        <v>723</v>
      </c>
      <c r="FD241" s="15" t="s">
        <v>724</v>
      </c>
      <c r="FE241" s="15" t="s">
        <v>3408</v>
      </c>
      <c r="FF241" s="15" t="s">
        <v>1239</v>
      </c>
      <c r="FL241" s="15" t="s">
        <v>426</v>
      </c>
      <c r="HN241" s="15" t="s">
        <v>426</v>
      </c>
      <c r="HO241" s="15" t="s">
        <v>3409</v>
      </c>
      <c r="HP241" s="15" t="s">
        <v>1639</v>
      </c>
    </row>
    <row r="242" ht="15.75" customHeight="1">
      <c r="A242" s="14" t="s">
        <v>391</v>
      </c>
      <c r="B242" s="15" t="s">
        <v>3457</v>
      </c>
      <c r="C242" s="16"/>
      <c r="D242" s="15" t="s">
        <v>432</v>
      </c>
      <c r="G242" s="14" t="s">
        <v>393</v>
      </c>
      <c r="H242" s="14" t="s">
        <v>394</v>
      </c>
      <c r="I242" s="14" t="b">
        <v>1</v>
      </c>
      <c r="J242" s="14" t="s">
        <v>395</v>
      </c>
      <c r="L242" s="14" t="b">
        <v>0</v>
      </c>
      <c r="M242" s="15" t="s">
        <v>3458</v>
      </c>
      <c r="N242" s="14" t="s">
        <v>393</v>
      </c>
      <c r="O242" s="14" t="s">
        <v>393</v>
      </c>
      <c r="P242" s="15" t="s">
        <v>397</v>
      </c>
      <c r="Q242" s="15" t="s">
        <v>3389</v>
      </c>
      <c r="T242" s="14" t="b">
        <v>0</v>
      </c>
      <c r="U242" s="15" t="s">
        <v>3459</v>
      </c>
      <c r="V242" s="15" t="s">
        <v>3460</v>
      </c>
      <c r="W242" s="15" t="s">
        <v>401</v>
      </c>
      <c r="X242" s="15" t="s">
        <v>402</v>
      </c>
      <c r="Y242" s="15">
        <v>3718.0</v>
      </c>
      <c r="AA242" s="15" t="str">
        <f>"1430"</f>
        <v>1430</v>
      </c>
      <c r="AB242" s="14" t="b">
        <v>1</v>
      </c>
      <c r="AC242" s="14" t="b">
        <v>1</v>
      </c>
      <c r="AD242" s="15" t="str">
        <f>"801542871963"</f>
        <v>801542871963</v>
      </c>
      <c r="AE242" s="15" t="s">
        <v>3461</v>
      </c>
      <c r="AF242" s="14" t="s">
        <v>404</v>
      </c>
      <c r="AG242" s="14" t="s">
        <v>405</v>
      </c>
      <c r="AH242" s="14" t="s">
        <v>406</v>
      </c>
      <c r="AI242" s="15">
        <v>0.0</v>
      </c>
      <c r="AL242" s="15" t="s">
        <v>3393</v>
      </c>
      <c r="AM242" s="15" t="s">
        <v>3147</v>
      </c>
      <c r="AN242" s="15" t="s">
        <v>3148</v>
      </c>
      <c r="AO242" s="15" t="s">
        <v>3442</v>
      </c>
      <c r="AP242" s="15" t="s">
        <v>3443</v>
      </c>
      <c r="AQ242" s="15" t="s">
        <v>3396</v>
      </c>
      <c r="AR242" s="15" t="s">
        <v>2893</v>
      </c>
      <c r="AS242" s="15" t="s">
        <v>2108</v>
      </c>
      <c r="AT242" s="15" t="s">
        <v>3389</v>
      </c>
      <c r="AU242" s="15" t="s">
        <v>3397</v>
      </c>
      <c r="AW242" s="15" t="s">
        <v>1732</v>
      </c>
      <c r="AY242" s="15" t="s">
        <v>413</v>
      </c>
      <c r="AZ242" s="15" t="b">
        <v>0</v>
      </c>
      <c r="BA242" s="15" t="s">
        <v>413</v>
      </c>
      <c r="BB242" s="15" t="b">
        <v>0</v>
      </c>
      <c r="BC242" s="15" t="s">
        <v>3462</v>
      </c>
      <c r="BD242" s="15" t="s">
        <v>415</v>
      </c>
      <c r="BE242" s="15" t="str">
        <f t="shared" ref="BE242:BE253" si="444">"1"</f>
        <v>1</v>
      </c>
      <c r="BF242" s="15" t="s">
        <v>416</v>
      </c>
      <c r="BG242" s="15" t="str">
        <f t="shared" ref="BG242:BG243" si="445">"94.09"</f>
        <v>94.09</v>
      </c>
      <c r="BH242" s="15" t="s">
        <v>3463</v>
      </c>
      <c r="BI242" s="15" t="str">
        <f t="shared" si="432"/>
        <v>43.31</v>
      </c>
      <c r="BJ242" s="15" t="s">
        <v>3446</v>
      </c>
      <c r="BK242" s="15" t="str">
        <f t="shared" ref="BK242:BK243" si="446">"27.56"</f>
        <v>27.56</v>
      </c>
      <c r="BL242" s="15" t="s">
        <v>1780</v>
      </c>
      <c r="BM242" s="15" t="str">
        <f>"248.15"</f>
        <v>248.15</v>
      </c>
      <c r="BN242" s="15" t="s">
        <v>3464</v>
      </c>
      <c r="BQ242" s="15" t="s">
        <v>444</v>
      </c>
      <c r="BS242" s="15" t="s">
        <v>444</v>
      </c>
      <c r="BU242" s="15" t="s">
        <v>444</v>
      </c>
      <c r="BW242" s="15" t="s">
        <v>444</v>
      </c>
      <c r="BZ242" s="15" t="s">
        <v>444</v>
      </c>
      <c r="CB242" s="15" t="s">
        <v>444</v>
      </c>
      <c r="CD242" s="15" t="s">
        <v>444</v>
      </c>
      <c r="CF242" s="15" t="s">
        <v>444</v>
      </c>
      <c r="CI242" s="15" t="s">
        <v>444</v>
      </c>
      <c r="CK242" s="15" t="s">
        <v>444</v>
      </c>
      <c r="CM242" s="15" t="s">
        <v>444</v>
      </c>
      <c r="CO242" s="15" t="s">
        <v>444</v>
      </c>
      <c r="CP242" s="15" t="str">
        <f t="shared" ref="CP242:CP243" si="447">"64.98"</f>
        <v>64.98</v>
      </c>
      <c r="CQ242" s="15" t="str">
        <f t="shared" ref="CQ242:CQ243" si="448">"1.84"</f>
        <v>1.84</v>
      </c>
      <c r="CR242" s="15" t="s">
        <v>497</v>
      </c>
      <c r="CY242" s="15" t="s">
        <v>2637</v>
      </c>
      <c r="CZ242" s="15" t="s">
        <v>652</v>
      </c>
      <c r="DA242" s="15" t="s">
        <v>3465</v>
      </c>
      <c r="DB242" s="15" t="s">
        <v>525</v>
      </c>
      <c r="DC242" s="15" t="str">
        <f>IFERROR(__xludf.DUMMYFUNCTION("""COMPUTED_VALUE"""),"{""value"":23.00,""unit"":""in""}")</f>
        <v>{"value":23.00,"unit":"in"}</v>
      </c>
      <c r="DD242" s="15" t="s">
        <v>467</v>
      </c>
      <c r="DE242" s="15" t="str">
        <f>IFERROR(__xludf.DUMMYFUNCTION("""COMPUTED_VALUE"""),"{""value"":19.00,""unit"":""in""}")</f>
        <v>{"value":19.00,"unit":"in"}</v>
      </c>
      <c r="DF242" s="15" t="s">
        <v>3466</v>
      </c>
      <c r="DG242" s="15" t="str">
        <f>IFERROR(__xludf.DUMMYFUNCTION("""COMPUTED_VALUE"""),"{""value"":68.50,""unit"":""in""}")</f>
        <v>{"value":68.50,"unit":"in"}</v>
      </c>
      <c r="DH242" s="15">
        <v>0.0</v>
      </c>
      <c r="DI242" s="15">
        <v>2.0</v>
      </c>
      <c r="DJ242" s="15" t="s">
        <v>717</v>
      </c>
      <c r="DK242" s="15" t="s">
        <v>934</v>
      </c>
      <c r="DL242" s="15" t="str">
        <f>IFERROR(__xludf.DUMMYFUNCTION("""COMPUTED_VALUE"""),"Spot clean with water-based or solvent-based cleaner. Use mild detergent or upholstery shampoo.")</f>
        <v>Spot clean with water-based or solvent-based cleaner. Use mild detergent or upholstery shampoo.</v>
      </c>
      <c r="DM242" s="15" t="s">
        <v>935</v>
      </c>
      <c r="DQ242" s="15" t="s">
        <v>3404</v>
      </c>
      <c r="DT242" s="15" t="s">
        <v>721</v>
      </c>
      <c r="DU242" s="15" t="s">
        <v>2381</v>
      </c>
      <c r="DV242" s="15">
        <v>0.0</v>
      </c>
      <c r="DZ242" s="15">
        <v>30000.0</v>
      </c>
      <c r="EA242" s="15" t="s">
        <v>2382</v>
      </c>
      <c r="EB242" s="15" t="s">
        <v>723</v>
      </c>
      <c r="EC242" s="15" t="s">
        <v>724</v>
      </c>
      <c r="ED242" s="15">
        <v>2.0</v>
      </c>
      <c r="EE242" s="15">
        <v>4.0</v>
      </c>
      <c r="EG242" s="15" t="s">
        <v>444</v>
      </c>
      <c r="EH242" s="15" t="s">
        <v>3407</v>
      </c>
      <c r="EI242" s="15">
        <v>0.0</v>
      </c>
      <c r="EJ242" s="15" t="s">
        <v>588</v>
      </c>
      <c r="EK242" s="15" t="s">
        <v>589</v>
      </c>
      <c r="EL242" s="15" t="s">
        <v>1211</v>
      </c>
      <c r="EM242" s="15" t="str">
        <f>IFERROR(__xludf.DUMMYFUNCTION("""COMPUTED_VALUE"""),"{""value"":24.00,""unit"":""in""}")</f>
        <v>{"value":24.00,"unit":"in"}</v>
      </c>
      <c r="EN242" s="15" t="s">
        <v>429</v>
      </c>
      <c r="EO242" s="15" t="s">
        <v>671</v>
      </c>
      <c r="ES242" s="15" t="s">
        <v>1069</v>
      </c>
      <c r="ET242" s="15" t="s">
        <v>3241</v>
      </c>
      <c r="EU242" s="15" t="s">
        <v>1065</v>
      </c>
      <c r="EV242" s="15" t="s">
        <v>3465</v>
      </c>
      <c r="EW242" s="15" t="s">
        <v>672</v>
      </c>
      <c r="EX242" s="15" t="s">
        <v>734</v>
      </c>
      <c r="EY242" s="15" t="s">
        <v>867</v>
      </c>
      <c r="EZ242" s="15" t="s">
        <v>429</v>
      </c>
      <c r="FC242" s="15" t="s">
        <v>723</v>
      </c>
      <c r="FD242" s="15" t="s">
        <v>724</v>
      </c>
      <c r="FE242" s="15" t="s">
        <v>3408</v>
      </c>
      <c r="FF242" s="15" t="s">
        <v>1239</v>
      </c>
      <c r="FS242" s="15" t="s">
        <v>2436</v>
      </c>
      <c r="JF242" s="15" t="s">
        <v>877</v>
      </c>
      <c r="KC242" s="15" t="s">
        <v>1237</v>
      </c>
      <c r="KD242" s="15" t="s">
        <v>3204</v>
      </c>
      <c r="KE242" s="15" t="s">
        <v>3023</v>
      </c>
    </row>
    <row r="243" ht="15.75" customHeight="1">
      <c r="A243" s="14" t="s">
        <v>391</v>
      </c>
      <c r="B243" s="15" t="s">
        <v>3457</v>
      </c>
      <c r="C243" s="16"/>
      <c r="D243" s="15" t="s">
        <v>432</v>
      </c>
      <c r="G243" s="14" t="s">
        <v>393</v>
      </c>
      <c r="H243" s="14" t="s">
        <v>394</v>
      </c>
      <c r="I243" s="14" t="b">
        <v>1</v>
      </c>
      <c r="J243" s="14" t="s">
        <v>395</v>
      </c>
      <c r="L243" s="14" t="b">
        <v>0</v>
      </c>
      <c r="M243" s="15" t="s">
        <v>3467</v>
      </c>
      <c r="N243" s="14" t="s">
        <v>393</v>
      </c>
      <c r="O243" s="14" t="s">
        <v>393</v>
      </c>
      <c r="P243" s="15" t="s">
        <v>397</v>
      </c>
      <c r="Q243" s="15" t="s">
        <v>3427</v>
      </c>
      <c r="T243" s="14" t="b">
        <v>0</v>
      </c>
      <c r="U243" s="15" t="s">
        <v>3468</v>
      </c>
      <c r="V243" s="15" t="s">
        <v>3460</v>
      </c>
      <c r="W243" s="15" t="s">
        <v>401</v>
      </c>
      <c r="X243" s="15" t="s">
        <v>402</v>
      </c>
      <c r="Y243" s="15">
        <v>3822.0</v>
      </c>
      <c r="AA243" s="15" t="str">
        <f>"1470"</f>
        <v>1470</v>
      </c>
      <c r="AB243" s="14" t="b">
        <v>1</v>
      </c>
      <c r="AC243" s="14" t="b">
        <v>1</v>
      </c>
      <c r="AD243" s="15" t="str">
        <f>"801542908218"</f>
        <v>801542908218</v>
      </c>
      <c r="AE243" s="15" t="s">
        <v>3469</v>
      </c>
      <c r="AF243" s="14" t="s">
        <v>404</v>
      </c>
      <c r="AG243" s="14" t="s">
        <v>405</v>
      </c>
      <c r="AH243" s="14" t="s">
        <v>406</v>
      </c>
      <c r="AI243" s="15">
        <v>0.0</v>
      </c>
      <c r="AL243" s="15" t="s">
        <v>2107</v>
      </c>
      <c r="AM243" s="15" t="s">
        <v>3147</v>
      </c>
      <c r="AN243" s="15" t="s">
        <v>3148</v>
      </c>
      <c r="AO243" s="15" t="s">
        <v>3442</v>
      </c>
      <c r="AP243" s="15" t="s">
        <v>3443</v>
      </c>
      <c r="AQ243" s="15" t="s">
        <v>3396</v>
      </c>
      <c r="AR243" s="15" t="s">
        <v>2893</v>
      </c>
      <c r="AS243" s="15" t="s">
        <v>2108</v>
      </c>
      <c r="AT243" s="15" t="s">
        <v>3427</v>
      </c>
      <c r="AU243" s="15" t="s">
        <v>3397</v>
      </c>
      <c r="AW243" s="15" t="s">
        <v>1732</v>
      </c>
      <c r="AY243" s="15" t="s">
        <v>413</v>
      </c>
      <c r="AZ243" s="15" t="b">
        <v>0</v>
      </c>
      <c r="BA243" s="15" t="s">
        <v>426</v>
      </c>
      <c r="BB243" s="15" t="b">
        <v>1</v>
      </c>
      <c r="BC243" s="15" t="s">
        <v>3470</v>
      </c>
      <c r="BD243" s="15" t="s">
        <v>415</v>
      </c>
      <c r="BE243" s="15" t="str">
        <f t="shared" si="444"/>
        <v>1</v>
      </c>
      <c r="BF243" s="15" t="s">
        <v>416</v>
      </c>
      <c r="BG243" s="15" t="str">
        <f t="shared" si="445"/>
        <v>94.09</v>
      </c>
      <c r="BH243" s="15" t="s">
        <v>3463</v>
      </c>
      <c r="BI243" s="15" t="str">
        <f t="shared" si="432"/>
        <v>43.31</v>
      </c>
      <c r="BJ243" s="15" t="s">
        <v>3446</v>
      </c>
      <c r="BK243" s="15" t="str">
        <f t="shared" si="446"/>
        <v>27.56</v>
      </c>
      <c r="BL243" s="15" t="s">
        <v>1780</v>
      </c>
      <c r="BM243" s="15" t="str">
        <f>"248.24"</f>
        <v>248.24</v>
      </c>
      <c r="BN243" s="15" t="s">
        <v>3471</v>
      </c>
      <c r="BQ243" s="15" t="s">
        <v>444</v>
      </c>
      <c r="BS243" s="15" t="s">
        <v>444</v>
      </c>
      <c r="BU243" s="15" t="s">
        <v>444</v>
      </c>
      <c r="BW243" s="15" t="s">
        <v>444</v>
      </c>
      <c r="BZ243" s="15" t="s">
        <v>444</v>
      </c>
      <c r="CB243" s="15" t="s">
        <v>444</v>
      </c>
      <c r="CD243" s="15" t="s">
        <v>444</v>
      </c>
      <c r="CF243" s="15" t="s">
        <v>444</v>
      </c>
      <c r="CI243" s="15" t="s">
        <v>444</v>
      </c>
      <c r="CK243" s="15" t="s">
        <v>444</v>
      </c>
      <c r="CM243" s="15" t="s">
        <v>444</v>
      </c>
      <c r="CO243" s="15" t="s">
        <v>444</v>
      </c>
      <c r="CP243" s="15" t="str">
        <f t="shared" si="447"/>
        <v>64.98</v>
      </c>
      <c r="CQ243" s="15" t="str">
        <f t="shared" si="448"/>
        <v>1.84</v>
      </c>
      <c r="CR243" s="15" t="s">
        <v>497</v>
      </c>
      <c r="CY243" s="15" t="s">
        <v>2637</v>
      </c>
      <c r="CZ243" s="15" t="s">
        <v>652</v>
      </c>
      <c r="DA243" s="15" t="s">
        <v>3465</v>
      </c>
      <c r="DB243" s="15" t="s">
        <v>525</v>
      </c>
      <c r="DC243" s="15" t="str">
        <f>IFERROR(__xludf.DUMMYFUNCTION("""COMPUTED_VALUE"""),"{""value"":23.00,""unit"":""in""}")</f>
        <v>{"value":23.00,"unit":"in"}</v>
      </c>
      <c r="DD243" s="15" t="s">
        <v>467</v>
      </c>
      <c r="DE243" s="15" t="str">
        <f>IFERROR(__xludf.DUMMYFUNCTION("""COMPUTED_VALUE"""),"{""value"":19.00,""unit"":""in""}")</f>
        <v>{"value":19.00,"unit":"in"}</v>
      </c>
      <c r="DF243" s="15" t="s">
        <v>3466</v>
      </c>
      <c r="DG243" s="15" t="str">
        <f>IFERROR(__xludf.DUMMYFUNCTION("""COMPUTED_VALUE"""),"{""value"":68.50,""unit"":""in""}")</f>
        <v>{"value":68.50,"unit":"in"}</v>
      </c>
      <c r="DH243" s="15">
        <v>0.0</v>
      </c>
      <c r="DI243" s="15">
        <v>2.0</v>
      </c>
      <c r="DJ243" s="15" t="s">
        <v>717</v>
      </c>
      <c r="DK243" s="15" t="s">
        <v>934</v>
      </c>
      <c r="DL243" s="15" t="str">
        <f>IFERROR(__xludf.DUMMYFUNCTION("""COMPUTED_VALUE"""),"Spot clean with water-based or solvent-based cleaner. Use mild detergent or upholstery shampoo.")</f>
        <v>Spot clean with water-based or solvent-based cleaner. Use mild detergent or upholstery shampoo.</v>
      </c>
      <c r="DM243" s="15" t="s">
        <v>935</v>
      </c>
      <c r="DQ243" s="15" t="s">
        <v>3404</v>
      </c>
      <c r="DT243" s="15" t="s">
        <v>721</v>
      </c>
      <c r="DU243" s="15" t="s">
        <v>2381</v>
      </c>
      <c r="DV243" s="15">
        <v>0.0</v>
      </c>
      <c r="DZ243" s="15">
        <v>15000.0</v>
      </c>
      <c r="EA243" s="15" t="s">
        <v>2382</v>
      </c>
      <c r="EB243" s="15" t="s">
        <v>723</v>
      </c>
      <c r="EC243" s="15" t="s">
        <v>724</v>
      </c>
      <c r="ED243" s="15">
        <v>2.0</v>
      </c>
      <c r="EE243" s="15">
        <v>4.0</v>
      </c>
      <c r="EG243" s="15" t="s">
        <v>444</v>
      </c>
      <c r="EH243" s="15" t="s">
        <v>3407</v>
      </c>
      <c r="EI243" s="15">
        <v>0.0</v>
      </c>
      <c r="EJ243" s="15" t="s">
        <v>588</v>
      </c>
      <c r="EK243" s="15" t="s">
        <v>589</v>
      </c>
      <c r="EL243" s="15" t="s">
        <v>1211</v>
      </c>
      <c r="EM243" s="15" t="str">
        <f>IFERROR(__xludf.DUMMYFUNCTION("""COMPUTED_VALUE"""),"{""value"":24.00,""unit"":""in""}")</f>
        <v>{"value":24.00,"unit":"in"}</v>
      </c>
      <c r="EN243" s="15" t="s">
        <v>429</v>
      </c>
      <c r="EO243" s="15" t="s">
        <v>671</v>
      </c>
      <c r="ES243" s="15" t="s">
        <v>1069</v>
      </c>
      <c r="ET243" s="15" t="s">
        <v>3241</v>
      </c>
      <c r="EU243" s="15" t="s">
        <v>1065</v>
      </c>
      <c r="EV243" s="15" t="s">
        <v>3465</v>
      </c>
      <c r="EW243" s="15" t="s">
        <v>672</v>
      </c>
      <c r="EX243" s="15" t="s">
        <v>734</v>
      </c>
      <c r="EY243" s="15" t="s">
        <v>867</v>
      </c>
      <c r="EZ243" s="15" t="s">
        <v>429</v>
      </c>
      <c r="FC243" s="15" t="s">
        <v>723</v>
      </c>
      <c r="FD243" s="15" t="s">
        <v>724</v>
      </c>
      <c r="FE243" s="15" t="s">
        <v>3408</v>
      </c>
      <c r="FF243" s="15" t="s">
        <v>1239</v>
      </c>
      <c r="FS243" s="15" t="s">
        <v>2436</v>
      </c>
      <c r="JF243" s="15" t="s">
        <v>877</v>
      </c>
      <c r="KC243" s="15" t="s">
        <v>1237</v>
      </c>
      <c r="KD243" s="15" t="s">
        <v>3204</v>
      </c>
      <c r="KE243" s="15" t="s">
        <v>3023</v>
      </c>
    </row>
    <row r="244" ht="15.75" customHeight="1">
      <c r="A244" s="14" t="s">
        <v>391</v>
      </c>
      <c r="B244" s="15" t="s">
        <v>3472</v>
      </c>
      <c r="C244" s="16"/>
      <c r="D244" s="15" t="s">
        <v>432</v>
      </c>
      <c r="G244" s="14" t="s">
        <v>393</v>
      </c>
      <c r="H244" s="14" t="s">
        <v>394</v>
      </c>
      <c r="I244" s="14" t="b">
        <v>1</v>
      </c>
      <c r="J244" s="14" t="s">
        <v>395</v>
      </c>
      <c r="L244" s="14" t="b">
        <v>0</v>
      </c>
      <c r="M244" s="15" t="s">
        <v>3473</v>
      </c>
      <c r="N244" s="14" t="s">
        <v>393</v>
      </c>
      <c r="O244" s="14" t="s">
        <v>393</v>
      </c>
      <c r="P244" s="15" t="s">
        <v>397</v>
      </c>
      <c r="Q244" s="15" t="s">
        <v>3474</v>
      </c>
      <c r="T244" s="14" t="b">
        <v>0</v>
      </c>
      <c r="U244" s="15" t="s">
        <v>3475</v>
      </c>
      <c r="V244" s="15" t="s">
        <v>3476</v>
      </c>
      <c r="W244" s="15" t="s">
        <v>401</v>
      </c>
      <c r="X244" s="15" t="s">
        <v>402</v>
      </c>
      <c r="Y244" s="15">
        <v>2951.0</v>
      </c>
      <c r="AA244" s="15" t="str">
        <f>"1135"</f>
        <v>1135</v>
      </c>
      <c r="AB244" s="14" t="b">
        <v>1</v>
      </c>
      <c r="AC244" s="14" t="b">
        <v>1</v>
      </c>
      <c r="AD244" s="15" t="str">
        <f>"801542919498"</f>
        <v>801542919498</v>
      </c>
      <c r="AE244" s="15" t="s">
        <v>3477</v>
      </c>
      <c r="AF244" s="14" t="s">
        <v>404</v>
      </c>
      <c r="AG244" s="14" t="s">
        <v>405</v>
      </c>
      <c r="AH244" s="14" t="s">
        <v>406</v>
      </c>
      <c r="AI244" s="15">
        <v>0.0</v>
      </c>
      <c r="AL244" s="15" t="s">
        <v>2107</v>
      </c>
      <c r="AM244" s="15" t="s">
        <v>1872</v>
      </c>
      <c r="AN244" s="15" t="s">
        <v>1873</v>
      </c>
      <c r="AO244" s="15" t="s">
        <v>3442</v>
      </c>
      <c r="AP244" s="15" t="s">
        <v>3443</v>
      </c>
      <c r="AQ244" s="15" t="s">
        <v>3396</v>
      </c>
      <c r="AR244" s="15" t="s">
        <v>2893</v>
      </c>
      <c r="AS244" s="15" t="s">
        <v>2108</v>
      </c>
      <c r="AT244" s="15" t="s">
        <v>3474</v>
      </c>
      <c r="AU244" s="15" t="s">
        <v>3397</v>
      </c>
      <c r="AW244" s="15" t="s">
        <v>1732</v>
      </c>
      <c r="AY244" s="15" t="s">
        <v>413</v>
      </c>
      <c r="AZ244" s="15" t="b">
        <v>0</v>
      </c>
      <c r="BA244" s="15" t="s">
        <v>426</v>
      </c>
      <c r="BB244" s="15" t="b">
        <v>1</v>
      </c>
      <c r="BD244" s="15" t="s">
        <v>415</v>
      </c>
      <c r="BE244" s="15" t="str">
        <f t="shared" si="444"/>
        <v>1</v>
      </c>
      <c r="BF244" s="15" t="s">
        <v>416</v>
      </c>
      <c r="BG244" s="15" t="str">
        <f t="shared" ref="BG244:BG245" si="449">"101.97"</f>
        <v>101.97</v>
      </c>
      <c r="BH244" s="15" t="s">
        <v>3478</v>
      </c>
      <c r="BI244" s="15" t="str">
        <f t="shared" ref="BI244:BI245" si="450">"43.3"</f>
        <v>43.3</v>
      </c>
      <c r="BJ244" s="15" t="s">
        <v>3479</v>
      </c>
      <c r="BK244" s="15" t="str">
        <f t="shared" ref="BK244:BK245" si="451">"26.38"</f>
        <v>26.38</v>
      </c>
      <c r="BL244" s="15" t="s">
        <v>1735</v>
      </c>
      <c r="BM244" s="15" t="str">
        <f t="shared" ref="BM244:BM245" si="452">"182.54"</f>
        <v>182.54</v>
      </c>
      <c r="BN244" s="15" t="s">
        <v>3480</v>
      </c>
      <c r="BQ244" s="15" t="s">
        <v>444</v>
      </c>
      <c r="BS244" s="15" t="s">
        <v>444</v>
      </c>
      <c r="BU244" s="15" t="s">
        <v>444</v>
      </c>
      <c r="BW244" s="15" t="s">
        <v>444</v>
      </c>
      <c r="BZ244" s="15" t="s">
        <v>444</v>
      </c>
      <c r="CB244" s="15" t="s">
        <v>444</v>
      </c>
      <c r="CD244" s="15" t="s">
        <v>444</v>
      </c>
      <c r="CF244" s="15" t="s">
        <v>444</v>
      </c>
      <c r="CI244" s="15" t="s">
        <v>444</v>
      </c>
      <c r="CK244" s="15" t="s">
        <v>444</v>
      </c>
      <c r="CM244" s="15" t="s">
        <v>444</v>
      </c>
      <c r="CO244" s="15" t="s">
        <v>444</v>
      </c>
      <c r="CP244" s="15" t="str">
        <f t="shared" ref="CP244:CP245" si="453">"67.42"</f>
        <v>67.42</v>
      </c>
      <c r="CQ244" s="15" t="str">
        <f t="shared" ref="CQ244:CQ245" si="454">"1.909"</f>
        <v>1.909</v>
      </c>
      <c r="CR244" s="15" t="s">
        <v>465</v>
      </c>
      <c r="CY244" s="15" t="s">
        <v>2839</v>
      </c>
      <c r="CZ244" s="15" t="s">
        <v>505</v>
      </c>
      <c r="DA244" s="15" t="s">
        <v>671</v>
      </c>
      <c r="DB244" s="15" t="s">
        <v>525</v>
      </c>
      <c r="DC244" s="15" t="str">
        <f>IFERROR(__xludf.DUMMYFUNCTION("""COMPUTED_VALUE"""),"{""value"":23.00,""unit"":""in""}")</f>
        <v>{"value":23.00,"unit":"in"}</v>
      </c>
      <c r="DD244" s="15" t="s">
        <v>1065</v>
      </c>
      <c r="DE244" s="15" t="str">
        <f>IFERROR(__xludf.DUMMYFUNCTION("""COMPUTED_VALUE"""),"{""value"":18.00,""unit"":""in""}")</f>
        <v>{"value":18.00,"unit":"in"}</v>
      </c>
      <c r="DF244" s="15" t="s">
        <v>3481</v>
      </c>
      <c r="DG244" s="15" t="str">
        <f>IFERROR(__xludf.DUMMYFUNCTION("""COMPUTED_VALUE"""),"{""value"":78.00,""unit"":""in""}")</f>
        <v>{"value":78.00,"unit":"in"}</v>
      </c>
      <c r="DH244" s="15">
        <v>0.0</v>
      </c>
      <c r="DI244" s="15">
        <v>2.0</v>
      </c>
      <c r="DJ244" s="15" t="s">
        <v>717</v>
      </c>
      <c r="DK244" s="15" t="s">
        <v>855</v>
      </c>
      <c r="DL244" s="15" t="str">
        <f>IFERROR(__xludf.DUMMYFUNCTION("""COMPUTED_VALUE"""),"Clean with solvent-based (dry clean only) products. Do not use water.")</f>
        <v>Clean with solvent-based (dry clean only) products. Do not use water.</v>
      </c>
      <c r="DM244" s="15" t="s">
        <v>856</v>
      </c>
      <c r="DQ244" s="15" t="s">
        <v>3404</v>
      </c>
      <c r="DT244" s="15" t="s">
        <v>721</v>
      </c>
      <c r="DU244" s="15" t="s">
        <v>419</v>
      </c>
      <c r="DV244" s="15">
        <v>0.0</v>
      </c>
      <c r="DZ244" s="15">
        <v>15000.0</v>
      </c>
      <c r="EA244" s="15" t="s">
        <v>990</v>
      </c>
      <c r="EB244" s="15" t="s">
        <v>723</v>
      </c>
      <c r="EC244" s="15" t="s">
        <v>724</v>
      </c>
      <c r="ED244" s="15">
        <v>2.0</v>
      </c>
      <c r="EE244" s="15">
        <v>3.0</v>
      </c>
      <c r="EG244" s="15" t="s">
        <v>444</v>
      </c>
      <c r="EH244" s="15" t="s">
        <v>3407</v>
      </c>
      <c r="EI244" s="15">
        <v>0.0</v>
      </c>
      <c r="EJ244" s="15" t="s">
        <v>473</v>
      </c>
      <c r="EK244" s="15" t="s">
        <v>474</v>
      </c>
      <c r="EL244" s="15" t="s">
        <v>3482</v>
      </c>
      <c r="EM244" s="15" t="str">
        <f>IFERROR(__xludf.DUMMYFUNCTION("""COMPUTED_VALUE"""),"{""value"":24.40,""unit"":""in""}")</f>
        <v>{"value":24.40,"unit":"in"}</v>
      </c>
      <c r="EN244" s="15" t="s">
        <v>2116</v>
      </c>
      <c r="EO244" s="15" t="s">
        <v>671</v>
      </c>
      <c r="ES244" s="15" t="s">
        <v>1069</v>
      </c>
      <c r="ET244" s="15" t="s">
        <v>2402</v>
      </c>
      <c r="EU244" s="15" t="s">
        <v>1804</v>
      </c>
      <c r="EV244" s="15" t="s">
        <v>1575</v>
      </c>
      <c r="EW244" s="15" t="s">
        <v>1309</v>
      </c>
      <c r="EX244" s="15" t="s">
        <v>734</v>
      </c>
      <c r="EY244" s="15" t="s">
        <v>3483</v>
      </c>
      <c r="EZ244" s="15" t="s">
        <v>762</v>
      </c>
      <c r="FC244" s="15" t="s">
        <v>723</v>
      </c>
      <c r="FD244" s="15" t="s">
        <v>724</v>
      </c>
      <c r="FE244" s="15" t="s">
        <v>3408</v>
      </c>
      <c r="FF244" s="15" t="s">
        <v>1239</v>
      </c>
    </row>
    <row r="245" ht="15.75" customHeight="1">
      <c r="A245" s="14" t="s">
        <v>391</v>
      </c>
      <c r="B245" s="15" t="s">
        <v>3472</v>
      </c>
      <c r="C245" s="16"/>
      <c r="D245" s="15" t="s">
        <v>432</v>
      </c>
      <c r="G245" s="14" t="s">
        <v>393</v>
      </c>
      <c r="H245" s="14" t="s">
        <v>394</v>
      </c>
      <c r="I245" s="14" t="b">
        <v>1</v>
      </c>
      <c r="J245" s="14" t="s">
        <v>395</v>
      </c>
      <c r="L245" s="14" t="b">
        <v>0</v>
      </c>
      <c r="M245" s="15" t="s">
        <v>3484</v>
      </c>
      <c r="N245" s="14" t="s">
        <v>393</v>
      </c>
      <c r="O245" s="14" t="s">
        <v>393</v>
      </c>
      <c r="P245" s="15" t="s">
        <v>397</v>
      </c>
      <c r="Q245" s="15" t="s">
        <v>3427</v>
      </c>
      <c r="T245" s="14" t="b">
        <v>0</v>
      </c>
      <c r="U245" s="15" t="s">
        <v>3485</v>
      </c>
      <c r="V245" s="15" t="s">
        <v>3476</v>
      </c>
      <c r="W245" s="15" t="s">
        <v>401</v>
      </c>
      <c r="X245" s="15" t="s">
        <v>402</v>
      </c>
      <c r="Y245" s="15">
        <v>2730.0</v>
      </c>
      <c r="AA245" s="15" t="str">
        <f>"1050"</f>
        <v>1050</v>
      </c>
      <c r="AB245" s="14" t="b">
        <v>1</v>
      </c>
      <c r="AC245" s="14" t="b">
        <v>1</v>
      </c>
      <c r="AD245" s="15" t="str">
        <f>"801542689346"</f>
        <v>801542689346</v>
      </c>
      <c r="AE245" s="15" t="s">
        <v>3486</v>
      </c>
      <c r="AF245" s="14" t="s">
        <v>404</v>
      </c>
      <c r="AG245" s="14" t="s">
        <v>405</v>
      </c>
      <c r="AH245" s="14" t="s">
        <v>406</v>
      </c>
      <c r="AI245" s="15">
        <v>0.0</v>
      </c>
      <c r="AL245" s="15" t="s">
        <v>2107</v>
      </c>
      <c r="AM245" s="15" t="s">
        <v>1872</v>
      </c>
      <c r="AN245" s="15" t="s">
        <v>1873</v>
      </c>
      <c r="AO245" s="15" t="s">
        <v>3442</v>
      </c>
      <c r="AP245" s="15" t="s">
        <v>3443</v>
      </c>
      <c r="AQ245" s="15" t="s">
        <v>3396</v>
      </c>
      <c r="AR245" s="15" t="s">
        <v>2893</v>
      </c>
      <c r="AS245" s="15" t="s">
        <v>2108</v>
      </c>
      <c r="AT245" s="15" t="s">
        <v>3427</v>
      </c>
      <c r="AU245" s="15" t="s">
        <v>3397</v>
      </c>
      <c r="AW245" s="15" t="s">
        <v>1732</v>
      </c>
      <c r="AY245" s="15" t="s">
        <v>426</v>
      </c>
      <c r="AZ245" s="15" t="b">
        <v>1</v>
      </c>
      <c r="BA245" s="15" t="s">
        <v>426</v>
      </c>
      <c r="BB245" s="15" t="b">
        <v>1</v>
      </c>
      <c r="BC245" s="15" t="s">
        <v>3456</v>
      </c>
      <c r="BD245" s="15" t="s">
        <v>415</v>
      </c>
      <c r="BE245" s="15" t="str">
        <f t="shared" si="444"/>
        <v>1</v>
      </c>
      <c r="BF245" s="15" t="s">
        <v>416</v>
      </c>
      <c r="BG245" s="15" t="str">
        <f t="shared" si="449"/>
        <v>101.97</v>
      </c>
      <c r="BH245" s="15" t="s">
        <v>3478</v>
      </c>
      <c r="BI245" s="15" t="str">
        <f t="shared" si="450"/>
        <v>43.3</v>
      </c>
      <c r="BJ245" s="15" t="s">
        <v>3479</v>
      </c>
      <c r="BK245" s="15" t="str">
        <f t="shared" si="451"/>
        <v>26.38</v>
      </c>
      <c r="BL245" s="15" t="s">
        <v>1735</v>
      </c>
      <c r="BM245" s="15" t="str">
        <f t="shared" si="452"/>
        <v>182.54</v>
      </c>
      <c r="BN245" s="15" t="s">
        <v>3480</v>
      </c>
      <c r="BQ245" s="15" t="s">
        <v>444</v>
      </c>
      <c r="BS245" s="15" t="s">
        <v>444</v>
      </c>
      <c r="BU245" s="15" t="s">
        <v>444</v>
      </c>
      <c r="BW245" s="15" t="s">
        <v>444</v>
      </c>
      <c r="BZ245" s="15" t="s">
        <v>444</v>
      </c>
      <c r="CB245" s="15" t="s">
        <v>444</v>
      </c>
      <c r="CD245" s="15" t="s">
        <v>444</v>
      </c>
      <c r="CF245" s="15" t="s">
        <v>444</v>
      </c>
      <c r="CI245" s="15" t="s">
        <v>444</v>
      </c>
      <c r="CK245" s="15" t="s">
        <v>444</v>
      </c>
      <c r="CM245" s="15" t="s">
        <v>444</v>
      </c>
      <c r="CO245" s="15" t="s">
        <v>444</v>
      </c>
      <c r="CP245" s="15" t="str">
        <f t="shared" si="453"/>
        <v>67.42</v>
      </c>
      <c r="CQ245" s="15" t="str">
        <f t="shared" si="454"/>
        <v>1.909</v>
      </c>
      <c r="CR245" s="15" t="s">
        <v>465</v>
      </c>
      <c r="CY245" s="15" t="s">
        <v>2839</v>
      </c>
      <c r="CZ245" s="15" t="s">
        <v>505</v>
      </c>
      <c r="DA245" s="15" t="s">
        <v>671</v>
      </c>
      <c r="DB245" s="15" t="s">
        <v>525</v>
      </c>
      <c r="DC245" s="15" t="str">
        <f>IFERROR(__xludf.DUMMYFUNCTION("""COMPUTED_VALUE"""),"{""value"":23.00,""unit"":""in""}")</f>
        <v>{"value":23.00,"unit":"in"}</v>
      </c>
      <c r="DD245" s="15" t="s">
        <v>1065</v>
      </c>
      <c r="DE245" s="15" t="str">
        <f>IFERROR(__xludf.DUMMYFUNCTION("""COMPUTED_VALUE"""),"{""value"":18.00,""unit"":""in""}")</f>
        <v>{"value":18.00,"unit":"in"}</v>
      </c>
      <c r="DF245" s="15" t="s">
        <v>3481</v>
      </c>
      <c r="DG245" s="15" t="str">
        <f>IFERROR(__xludf.DUMMYFUNCTION("""COMPUTED_VALUE"""),"{""value"":78.00,""unit"":""in""}")</f>
        <v>{"value":78.00,"unit":"in"}</v>
      </c>
      <c r="DH245" s="15">
        <v>0.0</v>
      </c>
      <c r="DI245" s="15">
        <v>2.0</v>
      </c>
      <c r="DJ245" s="15" t="s">
        <v>717</v>
      </c>
      <c r="DK245" s="15" t="s">
        <v>934</v>
      </c>
      <c r="DL245" s="15" t="str">
        <f>IFERROR(__xludf.DUMMYFUNCTION("""COMPUTED_VALUE"""),"Spot clean with water-based or solvent-based cleaner. Use mild detergent or upholstery shampoo.")</f>
        <v>Spot clean with water-based or solvent-based cleaner. Use mild detergent or upholstery shampoo.</v>
      </c>
      <c r="DM245" s="15" t="s">
        <v>935</v>
      </c>
      <c r="DQ245" s="15" t="s">
        <v>3404</v>
      </c>
      <c r="DT245" s="15" t="s">
        <v>721</v>
      </c>
      <c r="DU245" s="15" t="s">
        <v>419</v>
      </c>
      <c r="DV245" s="15">
        <v>0.0</v>
      </c>
      <c r="DZ245" s="15">
        <v>15000.0</v>
      </c>
      <c r="EA245" s="15" t="s">
        <v>990</v>
      </c>
      <c r="EB245" s="15" t="s">
        <v>723</v>
      </c>
      <c r="EC245" s="15" t="s">
        <v>724</v>
      </c>
      <c r="ED245" s="15">
        <v>2.0</v>
      </c>
      <c r="EE245" s="15">
        <v>3.0</v>
      </c>
      <c r="EG245" s="15" t="s">
        <v>444</v>
      </c>
      <c r="EH245" s="15" t="s">
        <v>3407</v>
      </c>
      <c r="EI245" s="15">
        <v>0.0</v>
      </c>
      <c r="EJ245" s="15" t="s">
        <v>473</v>
      </c>
      <c r="EK245" s="15" t="s">
        <v>474</v>
      </c>
      <c r="EL245" s="15" t="s">
        <v>3482</v>
      </c>
      <c r="EM245" s="15" t="str">
        <f>IFERROR(__xludf.DUMMYFUNCTION("""COMPUTED_VALUE"""),"{""value"":24.40,""unit"":""in""}")</f>
        <v>{"value":24.40,"unit":"in"}</v>
      </c>
      <c r="EN245" s="15" t="s">
        <v>2116</v>
      </c>
      <c r="EO245" s="15" t="s">
        <v>671</v>
      </c>
      <c r="ES245" s="15" t="s">
        <v>1069</v>
      </c>
      <c r="ET245" s="15" t="s">
        <v>2402</v>
      </c>
      <c r="EU245" s="15" t="s">
        <v>1804</v>
      </c>
      <c r="EV245" s="15" t="s">
        <v>1575</v>
      </c>
      <c r="EW245" s="15" t="s">
        <v>1309</v>
      </c>
      <c r="EX245" s="15" t="s">
        <v>734</v>
      </c>
      <c r="EY245" s="15" t="s">
        <v>3483</v>
      </c>
      <c r="EZ245" s="15" t="s">
        <v>762</v>
      </c>
      <c r="FC245" s="15" t="s">
        <v>723</v>
      </c>
      <c r="FD245" s="15" t="s">
        <v>724</v>
      </c>
      <c r="FE245" s="15" t="s">
        <v>3408</v>
      </c>
      <c r="FF245" s="15" t="s">
        <v>1239</v>
      </c>
    </row>
    <row r="246" ht="15.75" customHeight="1">
      <c r="A246" s="14" t="s">
        <v>391</v>
      </c>
      <c r="B246" s="15" t="s">
        <v>3487</v>
      </c>
      <c r="C246" s="16"/>
      <c r="D246" s="15" t="s">
        <v>432</v>
      </c>
      <c r="G246" s="14" t="s">
        <v>393</v>
      </c>
      <c r="H246" s="14" t="s">
        <v>394</v>
      </c>
      <c r="I246" s="14" t="b">
        <v>1</v>
      </c>
      <c r="J246" s="14" t="s">
        <v>395</v>
      </c>
      <c r="L246" s="14" t="b">
        <v>0</v>
      </c>
      <c r="M246" s="15" t="s">
        <v>3488</v>
      </c>
      <c r="N246" s="14" t="s">
        <v>393</v>
      </c>
      <c r="O246" s="14" t="s">
        <v>393</v>
      </c>
      <c r="P246" s="15" t="s">
        <v>397</v>
      </c>
      <c r="Q246" s="15" t="s">
        <v>3489</v>
      </c>
      <c r="T246" s="14" t="b">
        <v>0</v>
      </c>
      <c r="U246" s="15" t="s">
        <v>3490</v>
      </c>
      <c r="V246" s="15" t="s">
        <v>3491</v>
      </c>
      <c r="W246" s="15" t="s">
        <v>401</v>
      </c>
      <c r="X246" s="15" t="s">
        <v>1296</v>
      </c>
      <c r="Y246" s="15">
        <v>1092.0</v>
      </c>
      <c r="AA246" s="15" t="str">
        <f>"420"</f>
        <v>420</v>
      </c>
      <c r="AB246" s="14" t="b">
        <v>1</v>
      </c>
      <c r="AC246" s="14" t="b">
        <v>1</v>
      </c>
      <c r="AD246" s="15" t="str">
        <f>"801542306588"</f>
        <v>801542306588</v>
      </c>
      <c r="AE246" s="15" t="s">
        <v>3492</v>
      </c>
      <c r="AF246" s="14" t="s">
        <v>404</v>
      </c>
      <c r="AG246" s="14" t="s">
        <v>405</v>
      </c>
      <c r="AH246" s="14" t="s">
        <v>406</v>
      </c>
      <c r="AI246" s="15">
        <v>0.0</v>
      </c>
      <c r="AL246" s="15" t="s">
        <v>2689</v>
      </c>
      <c r="AM246" s="15" t="s">
        <v>3493</v>
      </c>
      <c r="AN246" s="15" t="s">
        <v>2397</v>
      </c>
      <c r="AO246" s="15" t="s">
        <v>489</v>
      </c>
      <c r="AP246" s="15" t="s">
        <v>490</v>
      </c>
      <c r="AQ246" s="15" t="s">
        <v>1276</v>
      </c>
      <c r="AR246" s="15" t="s">
        <v>1277</v>
      </c>
      <c r="AS246" s="15" t="s">
        <v>3494</v>
      </c>
      <c r="AT246" s="15" t="s">
        <v>3489</v>
      </c>
      <c r="AW246" s="15" t="s">
        <v>519</v>
      </c>
      <c r="AY246" s="15" t="s">
        <v>413</v>
      </c>
      <c r="AZ246" s="15" t="b">
        <v>0</v>
      </c>
      <c r="BA246" s="15" t="s">
        <v>413</v>
      </c>
      <c r="BB246" s="15" t="b">
        <v>0</v>
      </c>
      <c r="BC246" s="15" t="s">
        <v>3495</v>
      </c>
      <c r="BD246" s="15" t="s">
        <v>1303</v>
      </c>
      <c r="BE246" s="15" t="str">
        <f t="shared" si="444"/>
        <v>1</v>
      </c>
      <c r="BF246" s="15" t="s">
        <v>416</v>
      </c>
      <c r="BG246" s="15" t="str">
        <f>"57.25"</f>
        <v>57.25</v>
      </c>
      <c r="BH246" s="15" t="s">
        <v>2692</v>
      </c>
      <c r="BI246" s="15" t="str">
        <f>"18.75"</f>
        <v>18.75</v>
      </c>
      <c r="BJ246" s="15" t="s">
        <v>3496</v>
      </c>
      <c r="BK246" s="15" t="str">
        <f>"34.5"</f>
        <v>34.5</v>
      </c>
      <c r="BL246" s="15" t="s">
        <v>2239</v>
      </c>
      <c r="BM246" s="15" t="str">
        <f>"144.51"</f>
        <v>144.51</v>
      </c>
      <c r="BN246" s="15" t="s">
        <v>3497</v>
      </c>
      <c r="BQ246" s="15" t="s">
        <v>444</v>
      </c>
      <c r="BS246" s="15" t="s">
        <v>444</v>
      </c>
      <c r="BU246" s="15" t="s">
        <v>444</v>
      </c>
      <c r="BW246" s="15" t="s">
        <v>444</v>
      </c>
      <c r="BZ246" s="15" t="s">
        <v>444</v>
      </c>
      <c r="CB246" s="15" t="s">
        <v>444</v>
      </c>
      <c r="CD246" s="15" t="s">
        <v>444</v>
      </c>
      <c r="CF246" s="15" t="s">
        <v>444</v>
      </c>
      <c r="CI246" s="15" t="s">
        <v>444</v>
      </c>
      <c r="CK246" s="15" t="s">
        <v>444</v>
      </c>
      <c r="CM246" s="15" t="s">
        <v>444</v>
      </c>
      <c r="CO246" s="15" t="s">
        <v>444</v>
      </c>
      <c r="CP246" s="15" t="str">
        <f>"21.44"</f>
        <v>21.44</v>
      </c>
      <c r="CQ246" s="15" t="str">
        <f>"0.607"</f>
        <v>0.607</v>
      </c>
      <c r="CR246" s="15" t="s">
        <v>417</v>
      </c>
      <c r="CV246" s="15" t="s">
        <v>3498</v>
      </c>
      <c r="CW246" s="15" t="s">
        <v>1324</v>
      </c>
      <c r="CX246" s="15" t="s">
        <v>1575</v>
      </c>
      <c r="DC246" s="15" t="str">
        <f>IFERROR(__xludf.DUMMYFUNCTION("""COMPUTED_VALUE"""),"")</f>
        <v/>
      </c>
      <c r="DE246" s="15" t="str">
        <f>IFERROR(__xludf.DUMMYFUNCTION("""COMPUTED_VALUE"""),"")</f>
        <v/>
      </c>
      <c r="DG246" s="15" t="str">
        <f>IFERROR(__xludf.DUMMYFUNCTION("""COMPUTED_VALUE"""),"")</f>
        <v/>
      </c>
      <c r="DL246" s="15" t="str">
        <f>IFERROR(__xludf.DUMMYFUNCTION("""COMPUTED_VALUE"""),"")</f>
        <v/>
      </c>
      <c r="DM246" s="15" t="s">
        <v>444</v>
      </c>
      <c r="DN246" s="15" t="s">
        <v>419</v>
      </c>
      <c r="DO246" s="15">
        <v>0.0</v>
      </c>
      <c r="DP246" s="15" t="s">
        <v>419</v>
      </c>
      <c r="DR246" s="15">
        <v>0.0</v>
      </c>
      <c r="DT246" s="15" t="s">
        <v>1111</v>
      </c>
      <c r="DU246" s="15" t="s">
        <v>419</v>
      </c>
      <c r="DY246" s="15">
        <v>0.0</v>
      </c>
      <c r="EF246" s="15" t="s">
        <v>471</v>
      </c>
      <c r="EG246" s="15" t="s">
        <v>472</v>
      </c>
      <c r="EH246" s="15" t="s">
        <v>3499</v>
      </c>
      <c r="EJ246" s="15" t="s">
        <v>500</v>
      </c>
      <c r="EK246" s="15" t="s">
        <v>501</v>
      </c>
      <c r="EM246" s="15" t="str">
        <f>IFERROR(__xludf.DUMMYFUNCTION("""COMPUTED_VALUE"""),"")</f>
        <v/>
      </c>
      <c r="EW246" s="15" t="s">
        <v>429</v>
      </c>
      <c r="EY246" s="15" t="s">
        <v>996</v>
      </c>
      <c r="FH246" s="15" t="s">
        <v>504</v>
      </c>
      <c r="FI246" s="15" t="s">
        <v>3500</v>
      </c>
      <c r="FJ246" s="15" t="s">
        <v>672</v>
      </c>
      <c r="FK246" s="15" t="s">
        <v>1188</v>
      </c>
      <c r="FM246" s="15">
        <v>1.0</v>
      </c>
      <c r="FN246" s="15">
        <v>0.0</v>
      </c>
      <c r="FY246" s="15" t="s">
        <v>1188</v>
      </c>
      <c r="FZ246" s="15" t="s">
        <v>1329</v>
      </c>
      <c r="GA246" s="15" t="s">
        <v>996</v>
      </c>
      <c r="GG246" s="15" t="s">
        <v>1883</v>
      </c>
      <c r="GH246" s="15">
        <v>1.0</v>
      </c>
      <c r="GI246" s="15" t="s">
        <v>3501</v>
      </c>
      <c r="GN246" s="15" t="s">
        <v>616</v>
      </c>
    </row>
    <row r="247" ht="15.75" customHeight="1">
      <c r="A247" s="14" t="s">
        <v>391</v>
      </c>
      <c r="B247" s="15" t="s">
        <v>3502</v>
      </c>
      <c r="C247" s="16"/>
      <c r="D247" s="15" t="s">
        <v>432</v>
      </c>
      <c r="G247" s="14" t="s">
        <v>393</v>
      </c>
      <c r="H247" s="14" t="s">
        <v>394</v>
      </c>
      <c r="I247" s="14" t="b">
        <v>1</v>
      </c>
      <c r="J247" s="14" t="s">
        <v>395</v>
      </c>
      <c r="L247" s="14" t="b">
        <v>0</v>
      </c>
      <c r="M247" s="15" t="s">
        <v>3503</v>
      </c>
      <c r="N247" s="14" t="s">
        <v>393</v>
      </c>
      <c r="O247" s="14" t="s">
        <v>393</v>
      </c>
      <c r="P247" s="15" t="s">
        <v>397</v>
      </c>
      <c r="Q247" s="15" t="s">
        <v>692</v>
      </c>
      <c r="T247" s="14" t="b">
        <v>0</v>
      </c>
      <c r="U247" s="15" t="s">
        <v>3504</v>
      </c>
      <c r="V247" s="15" t="s">
        <v>3505</v>
      </c>
      <c r="W247" s="15" t="s">
        <v>401</v>
      </c>
      <c r="X247" s="15" t="s">
        <v>695</v>
      </c>
      <c r="Y247" s="15">
        <v>7098.0</v>
      </c>
      <c r="AA247" s="15" t="str">
        <f t="shared" ref="AA247:AA248" si="455">"2730"</f>
        <v>2730</v>
      </c>
      <c r="AB247" s="14" t="b">
        <v>1</v>
      </c>
      <c r="AC247" s="14" t="b">
        <v>1</v>
      </c>
      <c r="AD247" s="15" t="str">
        <f>"801542870089"</f>
        <v>801542870089</v>
      </c>
      <c r="AE247" s="15" t="s">
        <v>3506</v>
      </c>
      <c r="AF247" s="14" t="s">
        <v>404</v>
      </c>
      <c r="AG247" s="14" t="s">
        <v>405</v>
      </c>
      <c r="AH247" s="14" t="s">
        <v>406</v>
      </c>
      <c r="AI247" s="15">
        <v>0.0</v>
      </c>
      <c r="AL247" s="15" t="s">
        <v>697</v>
      </c>
      <c r="AM247" s="15" t="s">
        <v>596</v>
      </c>
      <c r="AN247" s="15" t="s">
        <v>597</v>
      </c>
      <c r="AO247" s="15" t="s">
        <v>1205</v>
      </c>
      <c r="AP247" s="15" t="s">
        <v>1206</v>
      </c>
      <c r="AQ247" s="15" t="s">
        <v>3275</v>
      </c>
      <c r="AR247" s="15" t="s">
        <v>3276</v>
      </c>
      <c r="AS247" s="15" t="s">
        <v>703</v>
      </c>
      <c r="AT247" s="15" t="s">
        <v>692</v>
      </c>
      <c r="AU247" s="15" t="s">
        <v>704</v>
      </c>
      <c r="AV247" s="15" t="s">
        <v>705</v>
      </c>
      <c r="AW247" s="15" t="s">
        <v>1732</v>
      </c>
      <c r="AY247" s="15" t="s">
        <v>413</v>
      </c>
      <c r="AZ247" s="15" t="b">
        <v>0</v>
      </c>
      <c r="BA247" s="15" t="s">
        <v>413</v>
      </c>
      <c r="BB247" s="15" t="b">
        <v>0</v>
      </c>
      <c r="BC247" s="15" t="s">
        <v>3507</v>
      </c>
      <c r="BD247" s="15" t="s">
        <v>709</v>
      </c>
      <c r="BE247" s="15" t="str">
        <f t="shared" si="444"/>
        <v>1</v>
      </c>
      <c r="BF247" s="15" t="s">
        <v>416</v>
      </c>
      <c r="BG247" s="15" t="str">
        <f t="shared" ref="BG247:BG248" si="456">"97"</f>
        <v>97</v>
      </c>
      <c r="BH247" s="15" t="s">
        <v>1731</v>
      </c>
      <c r="BI247" s="15" t="str">
        <f t="shared" ref="BI247:BI248" si="457">"40"</f>
        <v>40</v>
      </c>
      <c r="BJ247" s="15" t="s">
        <v>680</v>
      </c>
      <c r="BK247" s="15" t="str">
        <f t="shared" ref="BK247:BK248" si="458">"28"</f>
        <v>28</v>
      </c>
      <c r="BL247" s="15" t="s">
        <v>1086</v>
      </c>
      <c r="BM247" s="15" t="str">
        <f t="shared" ref="BM247:BM248" si="459">"204"</f>
        <v>204</v>
      </c>
      <c r="BN247" s="15" t="s">
        <v>3508</v>
      </c>
      <c r="BQ247" s="15" t="s">
        <v>444</v>
      </c>
      <c r="BS247" s="15" t="s">
        <v>444</v>
      </c>
      <c r="BU247" s="15" t="s">
        <v>444</v>
      </c>
      <c r="BW247" s="15" t="s">
        <v>444</v>
      </c>
      <c r="BZ247" s="15" t="s">
        <v>444</v>
      </c>
      <c r="CB247" s="15" t="s">
        <v>444</v>
      </c>
      <c r="CD247" s="15" t="s">
        <v>444</v>
      </c>
      <c r="CF247" s="15" t="s">
        <v>444</v>
      </c>
      <c r="CI247" s="15" t="s">
        <v>444</v>
      </c>
      <c r="CK247" s="15" t="s">
        <v>444</v>
      </c>
      <c r="CM247" s="15" t="s">
        <v>444</v>
      </c>
      <c r="CO247" s="15" t="s">
        <v>444</v>
      </c>
      <c r="CP247" s="15" t="str">
        <f t="shared" ref="CP247:CP248" si="460">"62.86"</f>
        <v>62.86</v>
      </c>
      <c r="CQ247" s="15" t="str">
        <f t="shared" ref="CQ247:CQ248" si="461">"1.78"</f>
        <v>1.78</v>
      </c>
      <c r="CR247" s="15" t="s">
        <v>465</v>
      </c>
      <c r="CY247" s="15" t="s">
        <v>1482</v>
      </c>
      <c r="CZ247" s="15" t="s">
        <v>714</v>
      </c>
      <c r="DA247" s="15" t="s">
        <v>730</v>
      </c>
      <c r="DB247" s="15" t="s">
        <v>1482</v>
      </c>
      <c r="DC247" s="15" t="str">
        <f>IFERROR(__xludf.DUMMYFUNCTION("""COMPUTED_VALUE"""),"{""value"":24.41,""unit"":""in""}")</f>
        <v>{"value":24.41,"unit":"in"}</v>
      </c>
      <c r="DD247" s="15" t="s">
        <v>2160</v>
      </c>
      <c r="DE247" s="15" t="str">
        <f>IFERROR(__xludf.DUMMYFUNCTION("""COMPUTED_VALUE"""),"{""value"":20.08,""unit"":""in""}")</f>
        <v>{"value":20.08,"unit":"in"}</v>
      </c>
      <c r="DF247" s="15" t="s">
        <v>3466</v>
      </c>
      <c r="DG247" s="15" t="str">
        <f>IFERROR(__xludf.DUMMYFUNCTION("""COMPUTED_VALUE"""),"{""value"":68.50,""unit"":""in""}")</f>
        <v>{"value":68.50,"unit":"in"}</v>
      </c>
      <c r="DH247" s="15">
        <v>0.0</v>
      </c>
      <c r="DI247" s="15">
        <v>1.0</v>
      </c>
      <c r="DJ247" s="15" t="s">
        <v>717</v>
      </c>
      <c r="DK247" s="15" t="s">
        <v>718</v>
      </c>
      <c r="DL247" s="15" t="str">
        <f>IFERROR(__xludf.DUMMYFUNCTION("""COMPUTED_VALUE"""),"Vacuum or light brush only. Do not use water or any cleaning products.")</f>
        <v>Vacuum or light brush only. Do not use water or any cleaning products.</v>
      </c>
      <c r="DM247" s="15" t="s">
        <v>719</v>
      </c>
      <c r="DQ247" s="15" t="s">
        <v>3509</v>
      </c>
      <c r="DT247" s="15" t="s">
        <v>721</v>
      </c>
      <c r="DU247" s="15" t="s">
        <v>419</v>
      </c>
      <c r="DV247" s="15">
        <v>0.0</v>
      </c>
      <c r="DZ247" s="15">
        <v>0.0</v>
      </c>
      <c r="EA247" s="15" t="s">
        <v>722</v>
      </c>
      <c r="EB247" s="15" t="s">
        <v>723</v>
      </c>
      <c r="EC247" s="15" t="s">
        <v>724</v>
      </c>
      <c r="ED247" s="15">
        <v>2.0</v>
      </c>
      <c r="EE247" s="15">
        <v>3.0</v>
      </c>
      <c r="EG247" s="15" t="s">
        <v>444</v>
      </c>
      <c r="EH247" s="15" t="s">
        <v>3510</v>
      </c>
      <c r="EI247" s="15">
        <v>0.0</v>
      </c>
      <c r="EJ247" s="15" t="s">
        <v>473</v>
      </c>
      <c r="EK247" s="15" t="s">
        <v>474</v>
      </c>
      <c r="EL247" s="15" t="s">
        <v>3287</v>
      </c>
      <c r="EM247" s="15" t="str">
        <f>IFERROR(__xludf.DUMMYFUNCTION("""COMPUTED_VALUE"""),"{""value"":30.71,""unit"":""in""}")</f>
        <v>{"value":30.71,"unit":"in"}</v>
      </c>
      <c r="EN247" s="15" t="s">
        <v>670</v>
      </c>
      <c r="EO247" s="15" t="s">
        <v>3511</v>
      </c>
      <c r="ES247" s="15" t="s">
        <v>2156</v>
      </c>
      <c r="EW247" s="15" t="s">
        <v>2468</v>
      </c>
      <c r="EX247" s="15" t="s">
        <v>3512</v>
      </c>
      <c r="EY247" s="15" t="s">
        <v>3513</v>
      </c>
      <c r="EZ247" s="15" t="s">
        <v>670</v>
      </c>
      <c r="FC247" s="15" t="s">
        <v>1016</v>
      </c>
      <c r="FD247" s="15" t="s">
        <v>3514</v>
      </c>
      <c r="FF247" s="15" t="s">
        <v>3515</v>
      </c>
      <c r="FS247" s="15" t="s">
        <v>736</v>
      </c>
      <c r="KO247" s="15" t="s">
        <v>3516</v>
      </c>
    </row>
    <row r="248" ht="15.75" customHeight="1">
      <c r="A248" s="14" t="s">
        <v>391</v>
      </c>
      <c r="B248" s="15" t="s">
        <v>3502</v>
      </c>
      <c r="C248" s="16"/>
      <c r="D248" s="15" t="s">
        <v>432</v>
      </c>
      <c r="G248" s="14" t="s">
        <v>393</v>
      </c>
      <c r="H248" s="14" t="s">
        <v>394</v>
      </c>
      <c r="I248" s="14" t="b">
        <v>1</v>
      </c>
      <c r="J248" s="14" t="s">
        <v>395</v>
      </c>
      <c r="L248" s="14" t="b">
        <v>0</v>
      </c>
      <c r="M248" s="15" t="s">
        <v>3517</v>
      </c>
      <c r="N248" s="14" t="s">
        <v>393</v>
      </c>
      <c r="O248" s="14" t="s">
        <v>393</v>
      </c>
      <c r="P248" s="15" t="s">
        <v>397</v>
      </c>
      <c r="Q248" s="15" t="s">
        <v>3518</v>
      </c>
      <c r="T248" s="14" t="b">
        <v>0</v>
      </c>
      <c r="U248" s="15" t="s">
        <v>3519</v>
      </c>
      <c r="V248" s="15" t="s">
        <v>3505</v>
      </c>
      <c r="W248" s="15" t="s">
        <v>401</v>
      </c>
      <c r="X248" s="15" t="s">
        <v>695</v>
      </c>
      <c r="Y248" s="15">
        <v>7098.0</v>
      </c>
      <c r="AA248" s="15" t="str">
        <f t="shared" si="455"/>
        <v>2730</v>
      </c>
      <c r="AB248" s="14" t="b">
        <v>1</v>
      </c>
      <c r="AC248" s="14" t="b">
        <v>1</v>
      </c>
      <c r="AD248" s="15" t="str">
        <f>"801542041229"</f>
        <v>801542041229</v>
      </c>
      <c r="AE248" s="15" t="s">
        <v>3520</v>
      </c>
      <c r="AF248" s="14" t="s">
        <v>404</v>
      </c>
      <c r="AG248" s="14" t="s">
        <v>405</v>
      </c>
      <c r="AH248" s="14" t="s">
        <v>406</v>
      </c>
      <c r="AI248" s="15">
        <v>0.0</v>
      </c>
      <c r="AL248" s="15" t="s">
        <v>697</v>
      </c>
      <c r="AM248" s="15" t="s">
        <v>596</v>
      </c>
      <c r="AN248" s="15" t="s">
        <v>597</v>
      </c>
      <c r="AO248" s="15" t="s">
        <v>1205</v>
      </c>
      <c r="AP248" s="15" t="s">
        <v>1206</v>
      </c>
      <c r="AQ248" s="15" t="s">
        <v>3275</v>
      </c>
      <c r="AR248" s="15" t="s">
        <v>3276</v>
      </c>
      <c r="AS248" s="15" t="s">
        <v>703</v>
      </c>
      <c r="AT248" s="15" t="s">
        <v>3518</v>
      </c>
      <c r="AU248" s="15" t="s">
        <v>704</v>
      </c>
      <c r="AV248" s="15" t="s">
        <v>705</v>
      </c>
      <c r="AW248" s="15" t="s">
        <v>1732</v>
      </c>
      <c r="AY248" s="15" t="s">
        <v>413</v>
      </c>
      <c r="AZ248" s="15" t="b">
        <v>0</v>
      </c>
      <c r="BA248" s="15" t="s">
        <v>413</v>
      </c>
      <c r="BB248" s="15" t="b">
        <v>0</v>
      </c>
      <c r="BC248" s="15" t="s">
        <v>3521</v>
      </c>
      <c r="BD248" s="15" t="s">
        <v>709</v>
      </c>
      <c r="BE248" s="15" t="str">
        <f t="shared" si="444"/>
        <v>1</v>
      </c>
      <c r="BF248" s="15" t="s">
        <v>416</v>
      </c>
      <c r="BG248" s="15" t="str">
        <f t="shared" si="456"/>
        <v>97</v>
      </c>
      <c r="BH248" s="15" t="s">
        <v>1731</v>
      </c>
      <c r="BI248" s="15" t="str">
        <f t="shared" si="457"/>
        <v>40</v>
      </c>
      <c r="BJ248" s="15" t="s">
        <v>680</v>
      </c>
      <c r="BK248" s="15" t="str">
        <f t="shared" si="458"/>
        <v>28</v>
      </c>
      <c r="BL248" s="15" t="s">
        <v>1086</v>
      </c>
      <c r="BM248" s="15" t="str">
        <f t="shared" si="459"/>
        <v>204</v>
      </c>
      <c r="BN248" s="15" t="s">
        <v>3508</v>
      </c>
      <c r="BQ248" s="15" t="s">
        <v>444</v>
      </c>
      <c r="BS248" s="15" t="s">
        <v>444</v>
      </c>
      <c r="BU248" s="15" t="s">
        <v>444</v>
      </c>
      <c r="BW248" s="15" t="s">
        <v>444</v>
      </c>
      <c r="BZ248" s="15" t="s">
        <v>444</v>
      </c>
      <c r="CB248" s="15" t="s">
        <v>444</v>
      </c>
      <c r="CD248" s="15" t="s">
        <v>444</v>
      </c>
      <c r="CF248" s="15" t="s">
        <v>444</v>
      </c>
      <c r="CI248" s="15" t="s">
        <v>444</v>
      </c>
      <c r="CK248" s="15" t="s">
        <v>444</v>
      </c>
      <c r="CM248" s="15" t="s">
        <v>444</v>
      </c>
      <c r="CO248" s="15" t="s">
        <v>444</v>
      </c>
      <c r="CP248" s="15" t="str">
        <f t="shared" si="460"/>
        <v>62.86</v>
      </c>
      <c r="CQ248" s="15" t="str">
        <f t="shared" si="461"/>
        <v>1.78</v>
      </c>
      <c r="CR248" s="15" t="s">
        <v>417</v>
      </c>
      <c r="CY248" s="15" t="s">
        <v>1482</v>
      </c>
      <c r="CZ248" s="15" t="s">
        <v>714</v>
      </c>
      <c r="DA248" s="15" t="s">
        <v>730</v>
      </c>
      <c r="DB248" s="15" t="s">
        <v>1482</v>
      </c>
      <c r="DC248" s="15" t="str">
        <f>IFERROR(__xludf.DUMMYFUNCTION("""COMPUTED_VALUE"""),"{""value"":24.41,""unit"":""in""}")</f>
        <v>{"value":24.41,"unit":"in"}</v>
      </c>
      <c r="DD248" s="15" t="s">
        <v>2160</v>
      </c>
      <c r="DE248" s="15" t="str">
        <f>IFERROR(__xludf.DUMMYFUNCTION("""COMPUTED_VALUE"""),"{""value"":20.08,""unit"":""in""}")</f>
        <v>{"value":20.08,"unit":"in"}</v>
      </c>
      <c r="DF248" s="15" t="s">
        <v>3466</v>
      </c>
      <c r="DG248" s="15" t="str">
        <f>IFERROR(__xludf.DUMMYFUNCTION("""COMPUTED_VALUE"""),"{""value"":68.50,""unit"":""in""}")</f>
        <v>{"value":68.50,"unit":"in"}</v>
      </c>
      <c r="DH248" s="15">
        <v>0.0</v>
      </c>
      <c r="DI248" s="15">
        <v>1.0</v>
      </c>
      <c r="DJ248" s="15" t="s">
        <v>717</v>
      </c>
      <c r="DK248" s="15" t="s">
        <v>718</v>
      </c>
      <c r="DL248" s="15" t="str">
        <f>IFERROR(__xludf.DUMMYFUNCTION("""COMPUTED_VALUE"""),"Vacuum or light brush only. Do not use water or any cleaning products.")</f>
        <v>Vacuum or light brush only. Do not use water or any cleaning products.</v>
      </c>
      <c r="DM248" s="15" t="s">
        <v>719</v>
      </c>
      <c r="DQ248" s="15" t="s">
        <v>3509</v>
      </c>
      <c r="DT248" s="15" t="s">
        <v>721</v>
      </c>
      <c r="DU248" s="15" t="s">
        <v>419</v>
      </c>
      <c r="DV248" s="15">
        <v>0.0</v>
      </c>
      <c r="DZ248" s="15">
        <v>0.0</v>
      </c>
      <c r="EA248" s="15" t="s">
        <v>722</v>
      </c>
      <c r="EB248" s="15" t="s">
        <v>723</v>
      </c>
      <c r="EC248" s="15" t="s">
        <v>724</v>
      </c>
      <c r="ED248" s="15">
        <v>2.0</v>
      </c>
      <c r="EE248" s="15">
        <v>3.0</v>
      </c>
      <c r="EG248" s="15" t="s">
        <v>444</v>
      </c>
      <c r="EH248" s="15" t="s">
        <v>3510</v>
      </c>
      <c r="EI248" s="15">
        <v>0.0</v>
      </c>
      <c r="EJ248" s="15" t="s">
        <v>473</v>
      </c>
      <c r="EK248" s="15" t="s">
        <v>474</v>
      </c>
      <c r="EL248" s="15" t="s">
        <v>3287</v>
      </c>
      <c r="EM248" s="15" t="str">
        <f>IFERROR(__xludf.DUMMYFUNCTION("""COMPUTED_VALUE"""),"{""value"":30.71,""unit"":""in""}")</f>
        <v>{"value":30.71,"unit":"in"}</v>
      </c>
      <c r="EN248" s="15" t="s">
        <v>670</v>
      </c>
      <c r="EO248" s="15" t="s">
        <v>3511</v>
      </c>
      <c r="ES248" s="15" t="s">
        <v>2156</v>
      </c>
      <c r="EW248" s="15" t="s">
        <v>2468</v>
      </c>
      <c r="EX248" s="15" t="s">
        <v>3512</v>
      </c>
      <c r="EY248" s="15" t="s">
        <v>3513</v>
      </c>
      <c r="EZ248" s="15" t="s">
        <v>670</v>
      </c>
      <c r="FC248" s="15" t="s">
        <v>1016</v>
      </c>
      <c r="FD248" s="15" t="s">
        <v>3514</v>
      </c>
      <c r="FF248" s="15" t="s">
        <v>3515</v>
      </c>
      <c r="FS248" s="15" t="s">
        <v>736</v>
      </c>
      <c r="KO248" s="15" t="s">
        <v>3516</v>
      </c>
    </row>
    <row r="249" ht="15.75" customHeight="1">
      <c r="A249" s="14" t="s">
        <v>391</v>
      </c>
      <c r="B249" s="15" t="s">
        <v>3522</v>
      </c>
      <c r="C249" s="16"/>
      <c r="D249" s="15" t="s">
        <v>432</v>
      </c>
      <c r="G249" s="14" t="s">
        <v>393</v>
      </c>
      <c r="H249" s="14" t="s">
        <v>394</v>
      </c>
      <c r="I249" s="14" t="b">
        <v>1</v>
      </c>
      <c r="J249" s="14" t="s">
        <v>395</v>
      </c>
      <c r="L249" s="14" t="b">
        <v>0</v>
      </c>
      <c r="M249" s="15" t="s">
        <v>3523</v>
      </c>
      <c r="N249" s="14" t="s">
        <v>393</v>
      </c>
      <c r="O249" s="14" t="s">
        <v>393</v>
      </c>
      <c r="P249" s="15" t="s">
        <v>397</v>
      </c>
      <c r="Q249" s="15" t="s">
        <v>1578</v>
      </c>
      <c r="T249" s="14" t="b">
        <v>0</v>
      </c>
      <c r="U249" s="15" t="s">
        <v>3524</v>
      </c>
      <c r="V249" s="15" t="s">
        <v>3525</v>
      </c>
      <c r="W249" s="15" t="s">
        <v>401</v>
      </c>
      <c r="X249" s="15" t="s">
        <v>402</v>
      </c>
      <c r="Y249" s="15">
        <v>2951.0</v>
      </c>
      <c r="AA249" s="15" t="str">
        <f>"1135"</f>
        <v>1135</v>
      </c>
      <c r="AB249" s="14" t="b">
        <v>1</v>
      </c>
      <c r="AC249" s="14" t="b">
        <v>1</v>
      </c>
      <c r="AD249" s="15" t="str">
        <f>"198394001175"</f>
        <v>198394001175</v>
      </c>
      <c r="AE249" s="15" t="s">
        <v>3526</v>
      </c>
      <c r="AF249" s="14" t="s">
        <v>404</v>
      </c>
      <c r="AG249" s="14" t="s">
        <v>405</v>
      </c>
      <c r="AH249" s="14" t="s">
        <v>406</v>
      </c>
      <c r="AI249" s="15">
        <v>0.0</v>
      </c>
      <c r="AL249" s="15" t="s">
        <v>3527</v>
      </c>
      <c r="AM249" s="15" t="s">
        <v>2355</v>
      </c>
      <c r="AN249" s="15" t="s">
        <v>2356</v>
      </c>
      <c r="AO249" s="15" t="s">
        <v>1874</v>
      </c>
      <c r="AP249" s="15" t="s">
        <v>1875</v>
      </c>
      <c r="AQ249" s="15" t="s">
        <v>1801</v>
      </c>
      <c r="AR249" s="15" t="s">
        <v>1322</v>
      </c>
      <c r="AS249" s="15" t="s">
        <v>411</v>
      </c>
      <c r="AT249" s="15" t="s">
        <v>1578</v>
      </c>
      <c r="AU249" s="15" t="s">
        <v>3528</v>
      </c>
      <c r="AW249" s="15" t="s">
        <v>519</v>
      </c>
      <c r="AY249" s="15" t="s">
        <v>413</v>
      </c>
      <c r="AZ249" s="15" t="b">
        <v>0</v>
      </c>
      <c r="BA249" s="15" t="s">
        <v>413</v>
      </c>
      <c r="BB249" s="15" t="b">
        <v>0</v>
      </c>
      <c r="BC249" s="15" t="s">
        <v>3529</v>
      </c>
      <c r="BD249" s="15" t="s">
        <v>415</v>
      </c>
      <c r="BE249" s="15" t="str">
        <f t="shared" si="444"/>
        <v>1</v>
      </c>
      <c r="BF249" s="15" t="s">
        <v>3530</v>
      </c>
      <c r="BG249" s="15" t="str">
        <f>"88.39"</f>
        <v>88.39</v>
      </c>
      <c r="BH249" s="15" t="s">
        <v>1384</v>
      </c>
      <c r="BI249" s="15" t="str">
        <f>"28.35"</f>
        <v>28.35</v>
      </c>
      <c r="BJ249" s="15" t="s">
        <v>924</v>
      </c>
      <c r="BK249" s="15" t="str">
        <f>"38.19"</f>
        <v>38.19</v>
      </c>
      <c r="BL249" s="15" t="s">
        <v>3531</v>
      </c>
      <c r="BM249" s="15" t="str">
        <f>"201.06"</f>
        <v>201.06</v>
      </c>
      <c r="BN249" s="15" t="s">
        <v>3532</v>
      </c>
      <c r="BQ249" s="15" t="s">
        <v>444</v>
      </c>
      <c r="BS249" s="15" t="s">
        <v>444</v>
      </c>
      <c r="BU249" s="15" t="s">
        <v>444</v>
      </c>
      <c r="BW249" s="15" t="s">
        <v>444</v>
      </c>
      <c r="BZ249" s="15" t="s">
        <v>444</v>
      </c>
      <c r="CB249" s="15" t="s">
        <v>444</v>
      </c>
      <c r="CD249" s="15" t="s">
        <v>444</v>
      </c>
      <c r="CF249" s="15" t="s">
        <v>444</v>
      </c>
      <c r="CI249" s="15" t="s">
        <v>444</v>
      </c>
      <c r="CK249" s="15" t="s">
        <v>444</v>
      </c>
      <c r="CM249" s="15" t="s">
        <v>444</v>
      </c>
      <c r="CO249" s="15" t="s">
        <v>444</v>
      </c>
      <c r="CP249" s="15" t="str">
        <f>"55.37"</f>
        <v>55.37</v>
      </c>
      <c r="CQ249" s="15" t="str">
        <f>"1.568"</f>
        <v>1.568</v>
      </c>
      <c r="CR249" s="15" t="s">
        <v>465</v>
      </c>
      <c r="CS249" s="15" t="s">
        <v>2402</v>
      </c>
      <c r="CT249" s="15" t="s">
        <v>635</v>
      </c>
      <c r="CU249" s="15" t="s">
        <v>3533</v>
      </c>
      <c r="CV249" s="15" t="s">
        <v>2402</v>
      </c>
      <c r="CW249" s="15" t="s">
        <v>2547</v>
      </c>
      <c r="CX249" s="15" t="s">
        <v>3533</v>
      </c>
      <c r="DC249" s="15" t="str">
        <f>IFERROR(__xludf.DUMMYFUNCTION("""COMPUTED_VALUE"""),"")</f>
        <v/>
      </c>
      <c r="DE249" s="15" t="str">
        <f>IFERROR(__xludf.DUMMYFUNCTION("""COMPUTED_VALUE"""),"")</f>
        <v/>
      </c>
      <c r="DG249" s="15" t="str">
        <f>IFERROR(__xludf.DUMMYFUNCTION("""COMPUTED_VALUE"""),"")</f>
        <v/>
      </c>
      <c r="DL249" s="15" t="str">
        <f>IFERROR(__xludf.DUMMYFUNCTION("""COMPUTED_VALUE"""),"")</f>
        <v/>
      </c>
      <c r="DM249" s="15" t="s">
        <v>444</v>
      </c>
      <c r="DN249" s="15" t="s">
        <v>419</v>
      </c>
      <c r="DO249" s="15">
        <v>0.0</v>
      </c>
      <c r="DP249" s="15" t="s">
        <v>419</v>
      </c>
      <c r="DR249" s="15">
        <v>1.0</v>
      </c>
      <c r="DS249" s="15" t="s">
        <v>426</v>
      </c>
      <c r="DT249" s="15" t="s">
        <v>420</v>
      </c>
      <c r="DU249" s="15" t="s">
        <v>419</v>
      </c>
      <c r="DY249" s="15">
        <v>0.0</v>
      </c>
      <c r="EF249" s="15" t="s">
        <v>471</v>
      </c>
      <c r="EG249" s="15" t="s">
        <v>472</v>
      </c>
      <c r="EH249" s="15" t="s">
        <v>3534</v>
      </c>
      <c r="EJ249" s="15" t="s">
        <v>424</v>
      </c>
      <c r="EK249" s="15" t="s">
        <v>446</v>
      </c>
      <c r="EM249" s="15" t="str">
        <f>IFERROR(__xludf.DUMMYFUNCTION("""COMPUTED_VALUE"""),"")</f>
        <v/>
      </c>
      <c r="EW249" s="15" t="s">
        <v>3535</v>
      </c>
      <c r="EX249" s="15" t="s">
        <v>762</v>
      </c>
      <c r="EY249" s="15" t="s">
        <v>1211</v>
      </c>
      <c r="FH249" s="15" t="s">
        <v>1238</v>
      </c>
      <c r="FI249" s="15" t="s">
        <v>2839</v>
      </c>
      <c r="FJ249" s="15" t="s">
        <v>3049</v>
      </c>
      <c r="FK249" s="15" t="s">
        <v>1807</v>
      </c>
      <c r="FL249" s="15" t="s">
        <v>426</v>
      </c>
      <c r="FM249" s="15">
        <v>1.0</v>
      </c>
      <c r="FN249" s="15">
        <v>0.0</v>
      </c>
      <c r="FW249" s="15" t="s">
        <v>3011</v>
      </c>
      <c r="GH249" s="15">
        <v>0.0</v>
      </c>
      <c r="GI249" s="15" t="s">
        <v>427</v>
      </c>
    </row>
    <row r="250" ht="15.75" customHeight="1">
      <c r="A250" s="14" t="s">
        <v>391</v>
      </c>
      <c r="B250" s="15" t="s">
        <v>3536</v>
      </c>
      <c r="C250" s="16"/>
      <c r="D250" s="15" t="s">
        <v>432</v>
      </c>
      <c r="G250" s="14" t="s">
        <v>393</v>
      </c>
      <c r="H250" s="14" t="s">
        <v>394</v>
      </c>
      <c r="I250" s="14" t="b">
        <v>1</v>
      </c>
      <c r="J250" s="14" t="s">
        <v>395</v>
      </c>
      <c r="L250" s="14" t="b">
        <v>0</v>
      </c>
      <c r="M250" s="15" t="s">
        <v>3537</v>
      </c>
      <c r="N250" s="14" t="s">
        <v>393</v>
      </c>
      <c r="O250" s="14" t="s">
        <v>393</v>
      </c>
      <c r="P250" s="15" t="s">
        <v>397</v>
      </c>
      <c r="Q250" s="15" t="s">
        <v>1652</v>
      </c>
      <c r="T250" s="14" t="b">
        <v>0</v>
      </c>
      <c r="U250" s="15" t="s">
        <v>3538</v>
      </c>
      <c r="V250" s="15" t="s">
        <v>3539</v>
      </c>
      <c r="W250" s="15" t="s">
        <v>401</v>
      </c>
      <c r="X250" s="15" t="s">
        <v>695</v>
      </c>
      <c r="Y250" s="15">
        <v>1365.0</v>
      </c>
      <c r="AA250" s="15" t="str">
        <f>"525"</f>
        <v>525</v>
      </c>
      <c r="AB250" s="14" t="b">
        <v>1</v>
      </c>
      <c r="AC250" s="14" t="b">
        <v>1</v>
      </c>
      <c r="AD250" s="15" t="str">
        <f>"801542328184"</f>
        <v>801542328184</v>
      </c>
      <c r="AE250" s="15" t="s">
        <v>3540</v>
      </c>
      <c r="AF250" s="14" t="s">
        <v>404</v>
      </c>
      <c r="AG250" s="14" t="s">
        <v>405</v>
      </c>
      <c r="AH250" s="14" t="s">
        <v>406</v>
      </c>
      <c r="AI250" s="15">
        <v>0.0</v>
      </c>
      <c r="AL250" s="15" t="s">
        <v>2527</v>
      </c>
      <c r="AM250" s="15" t="s">
        <v>410</v>
      </c>
      <c r="AN250" s="15" t="s">
        <v>439</v>
      </c>
      <c r="AO250" s="15" t="s">
        <v>1222</v>
      </c>
      <c r="AP250" s="15" t="s">
        <v>1223</v>
      </c>
      <c r="AQ250" s="15" t="s">
        <v>913</v>
      </c>
      <c r="AR250" s="15" t="s">
        <v>914</v>
      </c>
      <c r="AS250" s="15" t="s">
        <v>725</v>
      </c>
      <c r="AT250" s="15" t="s">
        <v>1652</v>
      </c>
      <c r="AU250" s="15" t="s">
        <v>3541</v>
      </c>
      <c r="AW250" s="15" t="s">
        <v>706</v>
      </c>
      <c r="AX250" s="15" t="s">
        <v>707</v>
      </c>
      <c r="AY250" s="15" t="s">
        <v>413</v>
      </c>
      <c r="AZ250" s="15" t="b">
        <v>0</v>
      </c>
      <c r="BA250" s="15" t="s">
        <v>413</v>
      </c>
      <c r="BB250" s="15" t="b">
        <v>0</v>
      </c>
      <c r="BC250" s="15" t="s">
        <v>3542</v>
      </c>
      <c r="BD250" s="15" t="s">
        <v>709</v>
      </c>
      <c r="BE250" s="15" t="str">
        <f t="shared" si="444"/>
        <v>1</v>
      </c>
      <c r="BF250" s="15" t="s">
        <v>416</v>
      </c>
      <c r="BG250" s="15" t="str">
        <f t="shared" ref="BG250:BG251" si="462">"34.25"</f>
        <v>34.25</v>
      </c>
      <c r="BH250" s="15" t="s">
        <v>605</v>
      </c>
      <c r="BI250" s="15" t="str">
        <f t="shared" ref="BI250:BI251" si="463">"33.07"</f>
        <v>33.07</v>
      </c>
      <c r="BJ250" s="15" t="s">
        <v>1091</v>
      </c>
      <c r="BK250" s="15" t="str">
        <f t="shared" ref="BK250:BK251" si="464">"32.68"</f>
        <v>32.68</v>
      </c>
      <c r="BL250" s="15" t="s">
        <v>2066</v>
      </c>
      <c r="BM250" s="15" t="str">
        <f t="shared" ref="BM250:BM251" si="465">"63.93"</f>
        <v>63.93</v>
      </c>
      <c r="BN250" s="15" t="s">
        <v>2965</v>
      </c>
      <c r="BQ250" s="15" t="s">
        <v>444</v>
      </c>
      <c r="BS250" s="15" t="s">
        <v>444</v>
      </c>
      <c r="BU250" s="15" t="s">
        <v>444</v>
      </c>
      <c r="BW250" s="15" t="s">
        <v>444</v>
      </c>
      <c r="BZ250" s="15" t="s">
        <v>444</v>
      </c>
      <c r="CB250" s="15" t="s">
        <v>444</v>
      </c>
      <c r="CD250" s="15" t="s">
        <v>444</v>
      </c>
      <c r="CF250" s="15" t="s">
        <v>444</v>
      </c>
      <c r="CI250" s="15" t="s">
        <v>444</v>
      </c>
      <c r="CK250" s="15" t="s">
        <v>444</v>
      </c>
      <c r="CM250" s="15" t="s">
        <v>444</v>
      </c>
      <c r="CO250" s="15" t="s">
        <v>444</v>
      </c>
      <c r="CP250" s="15" t="str">
        <f t="shared" ref="CP250:CP251" si="466">"21.44"</f>
        <v>21.44</v>
      </c>
      <c r="CQ250" s="15" t="str">
        <f t="shared" ref="CQ250:CQ251" si="467">"0.607"</f>
        <v>0.607</v>
      </c>
      <c r="CR250" s="15" t="s">
        <v>465</v>
      </c>
      <c r="CY250" s="15" t="s">
        <v>1806</v>
      </c>
      <c r="CZ250" s="15" t="s">
        <v>505</v>
      </c>
      <c r="DA250" s="15" t="s">
        <v>555</v>
      </c>
      <c r="DB250" s="15" t="s">
        <v>1324</v>
      </c>
      <c r="DC250" s="15" t="str">
        <f>IFERROR(__xludf.DUMMYFUNCTION("""COMPUTED_VALUE"""),"{""value"":20.00,""unit"":""in""}")</f>
        <v>{"value":20.00,"unit":"in"}</v>
      </c>
      <c r="DD250" s="15" t="s">
        <v>1237</v>
      </c>
      <c r="DE250" s="15" t="str">
        <f>IFERROR(__xludf.DUMMYFUNCTION("""COMPUTED_VALUE"""),"{""value"":20.50,""unit"":""in""}")</f>
        <v>{"value":20.50,"unit":"in"}</v>
      </c>
      <c r="DG250" s="15" t="str">
        <f>IFERROR(__xludf.DUMMYFUNCTION("""COMPUTED_VALUE"""),"")</f>
        <v/>
      </c>
      <c r="DH250" s="15">
        <v>0.0</v>
      </c>
      <c r="DI250" s="15">
        <v>1.0</v>
      </c>
      <c r="DJ250" s="15" t="s">
        <v>717</v>
      </c>
      <c r="DK250" s="15" t="s">
        <v>855</v>
      </c>
      <c r="DL250" s="15" t="str">
        <f>IFERROR(__xludf.DUMMYFUNCTION("""COMPUTED_VALUE"""),"Clean with solvent-based (dry clean only) products. Do not use water.")</f>
        <v>Clean with solvent-based (dry clean only) products. Do not use water.</v>
      </c>
      <c r="DM250" s="15" t="s">
        <v>856</v>
      </c>
      <c r="DQ250" s="15" t="s">
        <v>3543</v>
      </c>
      <c r="DT250" s="15" t="s">
        <v>721</v>
      </c>
      <c r="DU250" s="15" t="s">
        <v>419</v>
      </c>
      <c r="DV250" s="15">
        <v>0.0</v>
      </c>
      <c r="DZ250" s="15">
        <v>25000.0</v>
      </c>
      <c r="EA250" s="15" t="s">
        <v>990</v>
      </c>
      <c r="EB250" s="15" t="s">
        <v>723</v>
      </c>
      <c r="EC250" s="15" t="s">
        <v>724</v>
      </c>
      <c r="ED250" s="15">
        <v>1.0</v>
      </c>
      <c r="EE250" s="15">
        <v>1.0</v>
      </c>
      <c r="EG250" s="15" t="s">
        <v>444</v>
      </c>
      <c r="EH250" s="15" t="s">
        <v>3544</v>
      </c>
      <c r="EI250" s="15">
        <v>0.0</v>
      </c>
      <c r="EJ250" s="15" t="s">
        <v>726</v>
      </c>
      <c r="EK250" s="15" t="s">
        <v>727</v>
      </c>
      <c r="EL250" s="15" t="s">
        <v>1882</v>
      </c>
      <c r="EM250" s="15" t="str">
        <f>IFERROR(__xludf.DUMMYFUNCTION("""COMPUTED_VALUE"""),"{""value"":25.75,""unit"":""in""}")</f>
        <v>{"value":25.75,"unit":"in"}</v>
      </c>
      <c r="EN250" s="15" t="s">
        <v>1327</v>
      </c>
      <c r="EO250" s="15" t="s">
        <v>555</v>
      </c>
      <c r="ES250" s="15" t="s">
        <v>3545</v>
      </c>
      <c r="ET250" s="15" t="s">
        <v>505</v>
      </c>
      <c r="EU250" s="15" t="s">
        <v>467</v>
      </c>
      <c r="EV250" s="15" t="s">
        <v>1072</v>
      </c>
      <c r="EW250" s="15" t="s">
        <v>1738</v>
      </c>
      <c r="EX250" s="15" t="s">
        <v>1700</v>
      </c>
      <c r="EY250" s="15" t="s">
        <v>3546</v>
      </c>
      <c r="EZ250" s="15" t="s">
        <v>467</v>
      </c>
      <c r="FC250" s="15" t="s">
        <v>723</v>
      </c>
      <c r="FD250" s="15" t="s">
        <v>1076</v>
      </c>
      <c r="FE250" s="15" t="s">
        <v>2028</v>
      </c>
      <c r="FF250" s="15" t="s">
        <v>1290</v>
      </c>
      <c r="FO250" s="15" t="s">
        <v>1331</v>
      </c>
      <c r="FP250" s="15" t="s">
        <v>1234</v>
      </c>
      <c r="FQ250" s="15">
        <v>0.0</v>
      </c>
      <c r="FR250" s="15">
        <v>0.0</v>
      </c>
      <c r="FS250" s="15" t="s">
        <v>2436</v>
      </c>
      <c r="FT250" s="15">
        <v>0.0</v>
      </c>
    </row>
    <row r="251" ht="15.75" customHeight="1">
      <c r="A251" s="14" t="s">
        <v>391</v>
      </c>
      <c r="B251" s="15" t="s">
        <v>3536</v>
      </c>
      <c r="C251" s="16"/>
      <c r="D251" s="15" t="s">
        <v>432</v>
      </c>
      <c r="G251" s="14" t="s">
        <v>393</v>
      </c>
      <c r="H251" s="14" t="s">
        <v>394</v>
      </c>
      <c r="I251" s="14" t="b">
        <v>1</v>
      </c>
      <c r="J251" s="14" t="s">
        <v>395</v>
      </c>
      <c r="L251" s="14" t="b">
        <v>0</v>
      </c>
      <c r="M251" s="15" t="s">
        <v>3547</v>
      </c>
      <c r="N251" s="14" t="s">
        <v>393</v>
      </c>
      <c r="O251" s="14" t="s">
        <v>393</v>
      </c>
      <c r="P251" s="15" t="s">
        <v>397</v>
      </c>
      <c r="Q251" s="15" t="s">
        <v>2000</v>
      </c>
      <c r="T251" s="14" t="b">
        <v>0</v>
      </c>
      <c r="U251" s="15" t="s">
        <v>3548</v>
      </c>
      <c r="V251" s="15" t="s">
        <v>3539</v>
      </c>
      <c r="W251" s="15" t="s">
        <v>401</v>
      </c>
      <c r="X251" s="15" t="s">
        <v>695</v>
      </c>
      <c r="Y251" s="15">
        <v>1482.0</v>
      </c>
      <c r="AA251" s="15" t="str">
        <f>"570"</f>
        <v>570</v>
      </c>
      <c r="AB251" s="14" t="b">
        <v>1</v>
      </c>
      <c r="AC251" s="14" t="b">
        <v>1</v>
      </c>
      <c r="AD251" s="15" t="str">
        <f>"801542670696"</f>
        <v>801542670696</v>
      </c>
      <c r="AE251" s="15" t="s">
        <v>3549</v>
      </c>
      <c r="AF251" s="14" t="s">
        <v>404</v>
      </c>
      <c r="AG251" s="14" t="s">
        <v>405</v>
      </c>
      <c r="AH251" s="14" t="s">
        <v>406</v>
      </c>
      <c r="AI251" s="15">
        <v>0.0</v>
      </c>
      <c r="AL251" s="15" t="s">
        <v>3550</v>
      </c>
      <c r="AM251" s="15" t="s">
        <v>410</v>
      </c>
      <c r="AN251" s="15" t="s">
        <v>439</v>
      </c>
      <c r="AO251" s="15" t="s">
        <v>1222</v>
      </c>
      <c r="AP251" s="15" t="s">
        <v>1223</v>
      </c>
      <c r="AQ251" s="15" t="s">
        <v>913</v>
      </c>
      <c r="AR251" s="15" t="s">
        <v>914</v>
      </c>
      <c r="AS251" s="15" t="s">
        <v>725</v>
      </c>
      <c r="AT251" s="15" t="s">
        <v>2000</v>
      </c>
      <c r="AU251" s="15" t="s">
        <v>2520</v>
      </c>
      <c r="AW251" s="15" t="s">
        <v>706</v>
      </c>
      <c r="AX251" s="15" t="s">
        <v>707</v>
      </c>
      <c r="AY251" s="15" t="s">
        <v>413</v>
      </c>
      <c r="AZ251" s="15" t="b">
        <v>0</v>
      </c>
      <c r="BA251" s="15" t="s">
        <v>426</v>
      </c>
      <c r="BB251" s="15" t="b">
        <v>1</v>
      </c>
      <c r="BC251" s="15" t="s">
        <v>3551</v>
      </c>
      <c r="BD251" s="15" t="s">
        <v>709</v>
      </c>
      <c r="BE251" s="15" t="str">
        <f t="shared" si="444"/>
        <v>1</v>
      </c>
      <c r="BF251" s="15" t="s">
        <v>416</v>
      </c>
      <c r="BG251" s="15" t="str">
        <f t="shared" si="462"/>
        <v>34.25</v>
      </c>
      <c r="BH251" s="15" t="s">
        <v>605</v>
      </c>
      <c r="BI251" s="15" t="str">
        <f t="shared" si="463"/>
        <v>33.07</v>
      </c>
      <c r="BJ251" s="15" t="s">
        <v>1091</v>
      </c>
      <c r="BK251" s="15" t="str">
        <f t="shared" si="464"/>
        <v>32.68</v>
      </c>
      <c r="BL251" s="15" t="s">
        <v>2066</v>
      </c>
      <c r="BM251" s="15" t="str">
        <f t="shared" si="465"/>
        <v>63.93</v>
      </c>
      <c r="BN251" s="15" t="s">
        <v>2965</v>
      </c>
      <c r="BQ251" s="15" t="s">
        <v>444</v>
      </c>
      <c r="BS251" s="15" t="s">
        <v>444</v>
      </c>
      <c r="BU251" s="15" t="s">
        <v>444</v>
      </c>
      <c r="BW251" s="15" t="s">
        <v>444</v>
      </c>
      <c r="BZ251" s="15" t="s">
        <v>444</v>
      </c>
      <c r="CB251" s="15" t="s">
        <v>444</v>
      </c>
      <c r="CD251" s="15" t="s">
        <v>444</v>
      </c>
      <c r="CF251" s="15" t="s">
        <v>444</v>
      </c>
      <c r="CI251" s="15" t="s">
        <v>444</v>
      </c>
      <c r="CK251" s="15" t="s">
        <v>444</v>
      </c>
      <c r="CM251" s="15" t="s">
        <v>444</v>
      </c>
      <c r="CO251" s="15" t="s">
        <v>444</v>
      </c>
      <c r="CP251" s="15" t="str">
        <f t="shared" si="466"/>
        <v>21.44</v>
      </c>
      <c r="CQ251" s="15" t="str">
        <f t="shared" si="467"/>
        <v>0.607</v>
      </c>
      <c r="CR251" s="15" t="s">
        <v>417</v>
      </c>
      <c r="CY251" s="15" t="s">
        <v>1806</v>
      </c>
      <c r="CZ251" s="15" t="s">
        <v>505</v>
      </c>
      <c r="DA251" s="15" t="s">
        <v>555</v>
      </c>
      <c r="DB251" s="15" t="s">
        <v>1324</v>
      </c>
      <c r="DC251" s="15" t="str">
        <f>IFERROR(__xludf.DUMMYFUNCTION("""COMPUTED_VALUE"""),"{""value"":20.00,""unit"":""in""}")</f>
        <v>{"value":20.00,"unit":"in"}</v>
      </c>
      <c r="DD251" s="15" t="s">
        <v>1237</v>
      </c>
      <c r="DE251" s="15" t="str">
        <f>IFERROR(__xludf.DUMMYFUNCTION("""COMPUTED_VALUE"""),"{""value"":20.50,""unit"":""in""}")</f>
        <v>{"value":20.50,"unit":"in"}</v>
      </c>
      <c r="DG251" s="15" t="str">
        <f>IFERROR(__xludf.DUMMYFUNCTION("""COMPUTED_VALUE"""),"")</f>
        <v/>
      </c>
      <c r="DH251" s="15">
        <v>0.0</v>
      </c>
      <c r="DI251" s="15">
        <v>1.0</v>
      </c>
      <c r="DJ251" s="15" t="s">
        <v>717</v>
      </c>
      <c r="DK251" s="15" t="s">
        <v>855</v>
      </c>
      <c r="DL251" s="15" t="str">
        <f>IFERROR(__xludf.DUMMYFUNCTION("""COMPUTED_VALUE"""),"Clean with solvent-based (dry clean only) products. Do not use water.")</f>
        <v>Clean with solvent-based (dry clean only) products. Do not use water.</v>
      </c>
      <c r="DM251" s="15" t="s">
        <v>856</v>
      </c>
      <c r="DQ251" s="15" t="s">
        <v>3543</v>
      </c>
      <c r="DT251" s="15" t="s">
        <v>721</v>
      </c>
      <c r="DU251" s="15" t="s">
        <v>419</v>
      </c>
      <c r="DV251" s="15">
        <v>0.0</v>
      </c>
      <c r="DZ251" s="15">
        <v>25000.0</v>
      </c>
      <c r="EA251" s="15" t="s">
        <v>990</v>
      </c>
      <c r="EB251" s="15" t="s">
        <v>723</v>
      </c>
      <c r="EC251" s="15" t="s">
        <v>724</v>
      </c>
      <c r="ED251" s="15">
        <v>1.0</v>
      </c>
      <c r="EE251" s="15">
        <v>1.0</v>
      </c>
      <c r="EG251" s="15" t="s">
        <v>444</v>
      </c>
      <c r="EH251" s="15" t="s">
        <v>3544</v>
      </c>
      <c r="EI251" s="15">
        <v>0.0</v>
      </c>
      <c r="EJ251" s="15" t="s">
        <v>726</v>
      </c>
      <c r="EK251" s="15" t="s">
        <v>727</v>
      </c>
      <c r="EL251" s="15" t="s">
        <v>1882</v>
      </c>
      <c r="EM251" s="15" t="str">
        <f>IFERROR(__xludf.DUMMYFUNCTION("""COMPUTED_VALUE"""),"{""value"":25.75,""unit"":""in""}")</f>
        <v>{"value":25.75,"unit":"in"}</v>
      </c>
      <c r="EN251" s="15" t="s">
        <v>1327</v>
      </c>
      <c r="EO251" s="15" t="s">
        <v>555</v>
      </c>
      <c r="ES251" s="15" t="s">
        <v>3545</v>
      </c>
      <c r="ET251" s="15" t="s">
        <v>505</v>
      </c>
      <c r="EU251" s="15" t="s">
        <v>467</v>
      </c>
      <c r="EV251" s="15" t="s">
        <v>1072</v>
      </c>
      <c r="EW251" s="15" t="s">
        <v>1738</v>
      </c>
      <c r="EX251" s="15" t="s">
        <v>1700</v>
      </c>
      <c r="EY251" s="15" t="s">
        <v>3546</v>
      </c>
      <c r="EZ251" s="15" t="s">
        <v>467</v>
      </c>
      <c r="FC251" s="15" t="s">
        <v>723</v>
      </c>
      <c r="FD251" s="15" t="s">
        <v>1076</v>
      </c>
      <c r="FE251" s="15" t="s">
        <v>2028</v>
      </c>
      <c r="FF251" s="15" t="s">
        <v>1290</v>
      </c>
      <c r="FO251" s="15" t="s">
        <v>1331</v>
      </c>
      <c r="FP251" s="15" t="s">
        <v>1234</v>
      </c>
      <c r="FQ251" s="15">
        <v>0.0</v>
      </c>
      <c r="FR251" s="15">
        <v>0.0</v>
      </c>
      <c r="FS251" s="15" t="s">
        <v>2436</v>
      </c>
      <c r="FT251" s="15">
        <v>0.0</v>
      </c>
    </row>
    <row r="252" ht="15.75" customHeight="1">
      <c r="A252" s="14" t="s">
        <v>391</v>
      </c>
      <c r="B252" s="15" t="s">
        <v>3552</v>
      </c>
      <c r="C252" s="16"/>
      <c r="D252" s="15" t="s">
        <v>432</v>
      </c>
      <c r="G252" s="14" t="s">
        <v>393</v>
      </c>
      <c r="H252" s="14" t="s">
        <v>394</v>
      </c>
      <c r="I252" s="14" t="b">
        <v>1</v>
      </c>
      <c r="J252" s="14" t="s">
        <v>395</v>
      </c>
      <c r="L252" s="14" t="b">
        <v>0</v>
      </c>
      <c r="M252" s="15" t="s">
        <v>3553</v>
      </c>
      <c r="N252" s="14" t="s">
        <v>393</v>
      </c>
      <c r="O252" s="14" t="s">
        <v>393</v>
      </c>
      <c r="P252" s="15" t="s">
        <v>397</v>
      </c>
      <c r="Q252" s="15" t="s">
        <v>3554</v>
      </c>
      <c r="T252" s="14" t="b">
        <v>0</v>
      </c>
      <c r="U252" s="15" t="s">
        <v>3555</v>
      </c>
      <c r="V252" s="15" t="s">
        <v>3539</v>
      </c>
      <c r="W252" s="15" t="s">
        <v>401</v>
      </c>
      <c r="X252" s="15" t="s">
        <v>695</v>
      </c>
      <c r="Y252" s="15">
        <v>1703.0</v>
      </c>
      <c r="AA252" s="15" t="str">
        <f>"655"</f>
        <v>655</v>
      </c>
      <c r="AB252" s="14" t="b">
        <v>1</v>
      </c>
      <c r="AC252" s="14" t="b">
        <v>1</v>
      </c>
      <c r="AD252" s="15" t="str">
        <f>"801542187750"</f>
        <v>801542187750</v>
      </c>
      <c r="AE252" s="15" t="s">
        <v>3556</v>
      </c>
      <c r="AF252" s="14" t="s">
        <v>404</v>
      </c>
      <c r="AG252" s="14" t="s">
        <v>405</v>
      </c>
      <c r="AH252" s="14" t="s">
        <v>406</v>
      </c>
      <c r="AI252" s="15">
        <v>0.0</v>
      </c>
      <c r="AL252" s="15" t="s">
        <v>1341</v>
      </c>
      <c r="AM252" s="15" t="s">
        <v>2834</v>
      </c>
      <c r="AN252" s="15" t="s">
        <v>2239</v>
      </c>
      <c r="AO252" s="15" t="s">
        <v>913</v>
      </c>
      <c r="AP252" s="15" t="s">
        <v>914</v>
      </c>
      <c r="AQ252" s="15" t="s">
        <v>2229</v>
      </c>
      <c r="AR252" s="15" t="s">
        <v>2230</v>
      </c>
      <c r="AS252" s="15" t="s">
        <v>915</v>
      </c>
      <c r="AT252" s="15" t="s">
        <v>3554</v>
      </c>
      <c r="AU252" s="15" t="s">
        <v>3557</v>
      </c>
      <c r="AW252" s="15" t="s">
        <v>706</v>
      </c>
      <c r="AX252" s="15" t="s">
        <v>707</v>
      </c>
      <c r="AY252" s="15" t="s">
        <v>413</v>
      </c>
      <c r="AZ252" s="15" t="b">
        <v>0</v>
      </c>
      <c r="BA252" s="15" t="s">
        <v>413</v>
      </c>
      <c r="BB252" s="15" t="b">
        <v>0</v>
      </c>
      <c r="BC252" s="15" t="s">
        <v>3558</v>
      </c>
      <c r="BD252" s="15" t="s">
        <v>709</v>
      </c>
      <c r="BE252" s="15" t="str">
        <f t="shared" si="444"/>
        <v>1</v>
      </c>
      <c r="BF252" s="15" t="s">
        <v>1477</v>
      </c>
      <c r="BG252" s="15" t="str">
        <f t="shared" ref="BG252:BG253" si="468">"34.65"</f>
        <v>34.65</v>
      </c>
      <c r="BH252" s="15" t="s">
        <v>1229</v>
      </c>
      <c r="BI252" s="15" t="str">
        <f t="shared" ref="BI252:BI253" si="469">"37.4"</f>
        <v>37.4</v>
      </c>
      <c r="BJ252" s="15" t="s">
        <v>3175</v>
      </c>
      <c r="BK252" s="15" t="str">
        <f t="shared" ref="BK252:BK253" si="470">"33.46"</f>
        <v>33.46</v>
      </c>
      <c r="BL252" s="15" t="s">
        <v>1109</v>
      </c>
      <c r="BM252" s="15" t="str">
        <f t="shared" ref="BM252:BM253" si="471">"74.96"</f>
        <v>74.96</v>
      </c>
      <c r="BN252" s="15" t="s">
        <v>3559</v>
      </c>
      <c r="BQ252" s="15" t="s">
        <v>444</v>
      </c>
      <c r="BS252" s="15" t="s">
        <v>444</v>
      </c>
      <c r="BU252" s="15" t="s">
        <v>444</v>
      </c>
      <c r="BW252" s="15" t="s">
        <v>444</v>
      </c>
      <c r="BZ252" s="15" t="s">
        <v>444</v>
      </c>
      <c r="CB252" s="15" t="s">
        <v>444</v>
      </c>
      <c r="CD252" s="15" t="s">
        <v>444</v>
      </c>
      <c r="CF252" s="15" t="s">
        <v>444</v>
      </c>
      <c r="CI252" s="15" t="s">
        <v>444</v>
      </c>
      <c r="CK252" s="15" t="s">
        <v>444</v>
      </c>
      <c r="CM252" s="15" t="s">
        <v>444</v>
      </c>
      <c r="CO252" s="15" t="s">
        <v>444</v>
      </c>
      <c r="CP252" s="15" t="str">
        <f t="shared" ref="CP252:CP253" si="472">"22.6"</f>
        <v>22.6</v>
      </c>
      <c r="CQ252" s="15" t="str">
        <f t="shared" ref="CQ252:CQ253" si="473">"0.64"</f>
        <v>0.64</v>
      </c>
      <c r="CR252" s="15" t="s">
        <v>465</v>
      </c>
      <c r="DB252" s="15" t="s">
        <v>1253</v>
      </c>
      <c r="DC252" s="15" t="str">
        <f>IFERROR(__xludf.DUMMYFUNCTION("""COMPUTED_VALUE"""),"{""value"":22.50,""unit"":""in""}")</f>
        <v>{"value":22.50,"unit":"in"}</v>
      </c>
      <c r="DD252" s="15" t="s">
        <v>824</v>
      </c>
      <c r="DE252" s="15" t="str">
        <f>IFERROR(__xludf.DUMMYFUNCTION("""COMPUTED_VALUE"""),"{""value"":18.50,""unit"":""in""}")</f>
        <v>{"value":18.50,"unit":"in"}</v>
      </c>
      <c r="DF252" s="15" t="s">
        <v>525</v>
      </c>
      <c r="DG252" s="15" t="str">
        <f>IFERROR(__xludf.DUMMYFUNCTION("""COMPUTED_VALUE"""),"{""value"":23.00,""unit"":""in""}")</f>
        <v>{"value":23.00,"unit":"in"}</v>
      </c>
      <c r="DH252" s="15">
        <v>2.0</v>
      </c>
      <c r="DI252" s="15">
        <v>1.0</v>
      </c>
      <c r="DJ252" s="15" t="s">
        <v>717</v>
      </c>
      <c r="DK252" s="15" t="s">
        <v>718</v>
      </c>
      <c r="DL252" s="15" t="str">
        <f>IFERROR(__xludf.DUMMYFUNCTION("""COMPUTED_VALUE"""),"Vacuum or light brush only. Do not use water or any cleaning products.")</f>
        <v>Vacuum or light brush only. Do not use water or any cleaning products.</v>
      </c>
      <c r="DM252" s="15" t="s">
        <v>719</v>
      </c>
      <c r="DT252" s="15" t="s">
        <v>721</v>
      </c>
      <c r="DU252" s="15" t="s">
        <v>419</v>
      </c>
      <c r="DV252" s="15">
        <v>0.0</v>
      </c>
      <c r="DZ252" s="15">
        <v>0.0</v>
      </c>
      <c r="EA252" s="15" t="s">
        <v>990</v>
      </c>
      <c r="EB252" s="15" t="s">
        <v>1016</v>
      </c>
      <c r="ED252" s="15">
        <v>1.0</v>
      </c>
      <c r="EE252" s="15">
        <v>1.0</v>
      </c>
      <c r="EG252" s="15" t="s">
        <v>444</v>
      </c>
      <c r="EH252" s="15" t="s">
        <v>3560</v>
      </c>
      <c r="EI252" s="15">
        <v>0.0</v>
      </c>
      <c r="EJ252" s="15" t="s">
        <v>726</v>
      </c>
      <c r="EK252" s="15" t="s">
        <v>727</v>
      </c>
      <c r="EL252" s="15" t="s">
        <v>525</v>
      </c>
      <c r="EM252" s="15" t="str">
        <f>IFERROR(__xludf.DUMMYFUNCTION("""COMPUTED_VALUE"""),"{""value"":23.00,""unit"":""in""}")</f>
        <v>{"value":23.00,"unit":"in"}</v>
      </c>
      <c r="EN252" s="15" t="s">
        <v>3305</v>
      </c>
      <c r="EO252" s="15" t="s">
        <v>1237</v>
      </c>
      <c r="ES252" s="15" t="s">
        <v>505</v>
      </c>
      <c r="EW252" s="15" t="s">
        <v>2547</v>
      </c>
      <c r="EX252" s="15" t="s">
        <v>1211</v>
      </c>
      <c r="EY252" s="15" t="s">
        <v>2712</v>
      </c>
      <c r="EZ252" s="15" t="s">
        <v>1996</v>
      </c>
      <c r="FA252" s="15" t="s">
        <v>1076</v>
      </c>
      <c r="FB252" s="15" t="s">
        <v>426</v>
      </c>
      <c r="FC252" s="15" t="s">
        <v>1016</v>
      </c>
      <c r="FF252" s="15" t="s">
        <v>860</v>
      </c>
      <c r="FQ252" s="15">
        <v>0.0</v>
      </c>
      <c r="FR252" s="15">
        <v>0.0</v>
      </c>
      <c r="FS252" s="15" t="s">
        <v>3561</v>
      </c>
      <c r="FT252" s="15">
        <v>0.0</v>
      </c>
    </row>
    <row r="253" ht="15.75" customHeight="1">
      <c r="A253" s="14" t="s">
        <v>391</v>
      </c>
      <c r="B253" s="15" t="s">
        <v>3552</v>
      </c>
      <c r="C253" s="16"/>
      <c r="D253" s="15" t="s">
        <v>432</v>
      </c>
      <c r="G253" s="14" t="s">
        <v>393</v>
      </c>
      <c r="H253" s="14" t="s">
        <v>394</v>
      </c>
      <c r="I253" s="14" t="b">
        <v>1</v>
      </c>
      <c r="J253" s="14" t="s">
        <v>395</v>
      </c>
      <c r="L253" s="14" t="b">
        <v>0</v>
      </c>
      <c r="M253" s="15" t="s">
        <v>3562</v>
      </c>
      <c r="N253" s="14" t="s">
        <v>393</v>
      </c>
      <c r="O253" s="14" t="s">
        <v>393</v>
      </c>
      <c r="P253" s="15" t="s">
        <v>397</v>
      </c>
      <c r="Q253" s="15" t="s">
        <v>3563</v>
      </c>
      <c r="T253" s="14" t="b">
        <v>0</v>
      </c>
      <c r="U253" s="15" t="s">
        <v>3564</v>
      </c>
      <c r="V253" s="15" t="s">
        <v>3539</v>
      </c>
      <c r="W253" s="15" t="s">
        <v>401</v>
      </c>
      <c r="X253" s="15" t="s">
        <v>695</v>
      </c>
      <c r="Y253" s="15">
        <v>2405.0</v>
      </c>
      <c r="AA253" s="15" t="str">
        <f>"925"</f>
        <v>925</v>
      </c>
      <c r="AB253" s="14" t="b">
        <v>1</v>
      </c>
      <c r="AC253" s="14" t="b">
        <v>1</v>
      </c>
      <c r="AD253" s="15" t="str">
        <f>"801542187767"</f>
        <v>801542187767</v>
      </c>
      <c r="AE253" s="15" t="s">
        <v>3565</v>
      </c>
      <c r="AF253" s="14" t="s">
        <v>404</v>
      </c>
      <c r="AG253" s="14" t="s">
        <v>405</v>
      </c>
      <c r="AH253" s="14" t="s">
        <v>406</v>
      </c>
      <c r="AI253" s="15">
        <v>0.0</v>
      </c>
      <c r="AL253" s="15" t="s">
        <v>3566</v>
      </c>
      <c r="AM253" s="15" t="s">
        <v>2834</v>
      </c>
      <c r="AN253" s="15" t="s">
        <v>2239</v>
      </c>
      <c r="AO253" s="15" t="s">
        <v>913</v>
      </c>
      <c r="AP253" s="15" t="s">
        <v>914</v>
      </c>
      <c r="AQ253" s="15" t="s">
        <v>2229</v>
      </c>
      <c r="AR253" s="15" t="s">
        <v>2230</v>
      </c>
      <c r="AS253" s="15" t="s">
        <v>915</v>
      </c>
      <c r="AT253" s="15" t="s">
        <v>3563</v>
      </c>
      <c r="AU253" s="15" t="s">
        <v>3557</v>
      </c>
      <c r="AW253" s="15" t="s">
        <v>706</v>
      </c>
      <c r="AX253" s="15" t="s">
        <v>707</v>
      </c>
      <c r="AY253" s="15" t="s">
        <v>413</v>
      </c>
      <c r="AZ253" s="15" t="b">
        <v>0</v>
      </c>
      <c r="BA253" s="15" t="s">
        <v>413</v>
      </c>
      <c r="BB253" s="15" t="b">
        <v>0</v>
      </c>
      <c r="BC253" s="15" t="s">
        <v>3558</v>
      </c>
      <c r="BD253" s="15" t="s">
        <v>709</v>
      </c>
      <c r="BE253" s="15" t="str">
        <f t="shared" si="444"/>
        <v>1</v>
      </c>
      <c r="BF253" s="15" t="s">
        <v>1477</v>
      </c>
      <c r="BG253" s="15" t="str">
        <f t="shared" si="468"/>
        <v>34.65</v>
      </c>
      <c r="BH253" s="15" t="s">
        <v>1229</v>
      </c>
      <c r="BI253" s="15" t="str">
        <f t="shared" si="469"/>
        <v>37.4</v>
      </c>
      <c r="BJ253" s="15" t="s">
        <v>3175</v>
      </c>
      <c r="BK253" s="15" t="str">
        <f t="shared" si="470"/>
        <v>33.46</v>
      </c>
      <c r="BL253" s="15" t="s">
        <v>1109</v>
      </c>
      <c r="BM253" s="15" t="str">
        <f t="shared" si="471"/>
        <v>74.96</v>
      </c>
      <c r="BN253" s="15" t="s">
        <v>3559</v>
      </c>
      <c r="BQ253" s="15" t="s">
        <v>444</v>
      </c>
      <c r="BS253" s="15" t="s">
        <v>444</v>
      </c>
      <c r="BU253" s="15" t="s">
        <v>444</v>
      </c>
      <c r="BW253" s="15" t="s">
        <v>444</v>
      </c>
      <c r="BZ253" s="15" t="s">
        <v>444</v>
      </c>
      <c r="CB253" s="15" t="s">
        <v>444</v>
      </c>
      <c r="CD253" s="15" t="s">
        <v>444</v>
      </c>
      <c r="CF253" s="15" t="s">
        <v>444</v>
      </c>
      <c r="CI253" s="15" t="s">
        <v>444</v>
      </c>
      <c r="CK253" s="15" t="s">
        <v>444</v>
      </c>
      <c r="CM253" s="15" t="s">
        <v>444</v>
      </c>
      <c r="CO253" s="15" t="s">
        <v>444</v>
      </c>
      <c r="CP253" s="15" t="str">
        <f t="shared" si="472"/>
        <v>22.6</v>
      </c>
      <c r="CQ253" s="15" t="str">
        <f t="shared" si="473"/>
        <v>0.64</v>
      </c>
      <c r="CR253" s="15" t="s">
        <v>417</v>
      </c>
      <c r="DB253" s="15" t="s">
        <v>1253</v>
      </c>
      <c r="DC253" s="15" t="str">
        <f>IFERROR(__xludf.DUMMYFUNCTION("""COMPUTED_VALUE"""),"{""value"":22.50,""unit"":""in""}")</f>
        <v>{"value":22.50,"unit":"in"}</v>
      </c>
      <c r="DD253" s="15" t="s">
        <v>824</v>
      </c>
      <c r="DE253" s="15" t="str">
        <f>IFERROR(__xludf.DUMMYFUNCTION("""COMPUTED_VALUE"""),"{""value"":18.50,""unit"":""in""}")</f>
        <v>{"value":18.50,"unit":"in"}</v>
      </c>
      <c r="DF253" s="15" t="s">
        <v>525</v>
      </c>
      <c r="DG253" s="15" t="str">
        <f>IFERROR(__xludf.DUMMYFUNCTION("""COMPUTED_VALUE"""),"{""value"":23.00,""unit"":""in""}")</f>
        <v>{"value":23.00,"unit":"in"}</v>
      </c>
      <c r="DH253" s="15">
        <v>2.0</v>
      </c>
      <c r="DI253" s="15">
        <v>1.0</v>
      </c>
      <c r="DJ253" s="15" t="s">
        <v>717</v>
      </c>
      <c r="DK253" s="15" t="s">
        <v>855</v>
      </c>
      <c r="DL253" s="15" t="str">
        <f>IFERROR(__xludf.DUMMYFUNCTION("""COMPUTED_VALUE"""),"Clean with solvent-based (dry clean only) products. Do not use water.")</f>
        <v>Clean with solvent-based (dry clean only) products. Do not use water.</v>
      </c>
      <c r="DM253" s="15" t="s">
        <v>856</v>
      </c>
      <c r="DT253" s="15" t="s">
        <v>721</v>
      </c>
      <c r="DU253" s="15" t="s">
        <v>419</v>
      </c>
      <c r="DV253" s="15">
        <v>0.0</v>
      </c>
      <c r="DZ253" s="15">
        <v>50000.0</v>
      </c>
      <c r="EA253" s="15" t="s">
        <v>990</v>
      </c>
      <c r="EB253" s="15" t="s">
        <v>1016</v>
      </c>
      <c r="ED253" s="15">
        <v>1.0</v>
      </c>
      <c r="EE253" s="15">
        <v>1.0</v>
      </c>
      <c r="EG253" s="15" t="s">
        <v>444</v>
      </c>
      <c r="EH253" s="15" t="s">
        <v>3560</v>
      </c>
      <c r="EI253" s="15">
        <v>0.0</v>
      </c>
      <c r="EJ253" s="15" t="s">
        <v>726</v>
      </c>
      <c r="EK253" s="15" t="s">
        <v>727</v>
      </c>
      <c r="EL253" s="15" t="s">
        <v>525</v>
      </c>
      <c r="EM253" s="15" t="str">
        <f>IFERROR(__xludf.DUMMYFUNCTION("""COMPUTED_VALUE"""),"{""value"":23.00,""unit"":""in""}")</f>
        <v>{"value":23.00,"unit":"in"}</v>
      </c>
      <c r="EN253" s="15" t="s">
        <v>3305</v>
      </c>
      <c r="EO253" s="15" t="s">
        <v>1237</v>
      </c>
      <c r="ES253" s="15" t="s">
        <v>505</v>
      </c>
      <c r="EW253" s="15" t="s">
        <v>2547</v>
      </c>
      <c r="EX253" s="15" t="s">
        <v>1211</v>
      </c>
      <c r="EY253" s="15" t="s">
        <v>2712</v>
      </c>
      <c r="EZ253" s="15" t="s">
        <v>1996</v>
      </c>
      <c r="FA253" s="15" t="s">
        <v>1076</v>
      </c>
      <c r="FB253" s="15" t="s">
        <v>426</v>
      </c>
      <c r="FC253" s="15" t="s">
        <v>1016</v>
      </c>
      <c r="FF253" s="15" t="s">
        <v>860</v>
      </c>
      <c r="FQ253" s="15">
        <v>0.0</v>
      </c>
      <c r="FR253" s="15">
        <v>0.0</v>
      </c>
      <c r="FS253" s="15" t="s">
        <v>3561</v>
      </c>
      <c r="FT253" s="15">
        <v>0.0</v>
      </c>
    </row>
    <row r="254" ht="15.75" customHeight="1">
      <c r="A254" s="14" t="s">
        <v>391</v>
      </c>
      <c r="B254" s="15" t="s">
        <v>3567</v>
      </c>
      <c r="C254" s="16"/>
      <c r="D254" s="15" t="s">
        <v>432</v>
      </c>
      <c r="G254" s="14" t="s">
        <v>393</v>
      </c>
      <c r="H254" s="14" t="s">
        <v>394</v>
      </c>
      <c r="I254" s="14" t="b">
        <v>1</v>
      </c>
      <c r="J254" s="14" t="s">
        <v>395</v>
      </c>
      <c r="L254" s="14" t="b">
        <v>0</v>
      </c>
      <c r="M254" s="15" t="s">
        <v>3568</v>
      </c>
      <c r="N254" s="14" t="s">
        <v>393</v>
      </c>
      <c r="O254" s="14" t="s">
        <v>393</v>
      </c>
      <c r="P254" s="15" t="s">
        <v>397</v>
      </c>
      <c r="Q254" s="15" t="s">
        <v>3569</v>
      </c>
      <c r="T254" s="14" t="b">
        <v>0</v>
      </c>
      <c r="U254" s="15" t="s">
        <v>3570</v>
      </c>
      <c r="V254" s="15" t="s">
        <v>3571</v>
      </c>
      <c r="W254" s="15" t="s">
        <v>401</v>
      </c>
      <c r="X254" s="15" t="s">
        <v>742</v>
      </c>
      <c r="Y254" s="15">
        <v>715.0</v>
      </c>
      <c r="AA254" s="15" t="str">
        <f>"275"</f>
        <v>275</v>
      </c>
      <c r="AB254" s="14" t="b">
        <v>1</v>
      </c>
      <c r="AC254" s="14" t="b">
        <v>1</v>
      </c>
      <c r="AD254" s="15" t="str">
        <f>"198394053815"</f>
        <v>198394053815</v>
      </c>
      <c r="AE254" s="15" t="s">
        <v>3572</v>
      </c>
      <c r="AF254" s="14" t="s">
        <v>404</v>
      </c>
      <c r="AG254" s="14" t="s">
        <v>405</v>
      </c>
      <c r="AH254" s="14" t="s">
        <v>406</v>
      </c>
      <c r="AI254" s="15">
        <v>0.0</v>
      </c>
      <c r="AL254" s="15" t="s">
        <v>3573</v>
      </c>
      <c r="AM254" s="15" t="s">
        <v>3574</v>
      </c>
      <c r="AN254" s="15" t="s">
        <v>3575</v>
      </c>
      <c r="AO254" s="15" t="s">
        <v>3574</v>
      </c>
      <c r="AP254" s="15" t="s">
        <v>3575</v>
      </c>
      <c r="AQ254" s="15" t="s">
        <v>409</v>
      </c>
      <c r="AR254" s="15" t="s">
        <v>438</v>
      </c>
      <c r="AS254" s="15" t="s">
        <v>3576</v>
      </c>
      <c r="AT254" s="15" t="s">
        <v>3569</v>
      </c>
      <c r="AW254" s="15" t="s">
        <v>1154</v>
      </c>
      <c r="AY254" s="15" t="s">
        <v>413</v>
      </c>
      <c r="AZ254" s="15" t="b">
        <v>0</v>
      </c>
      <c r="BA254" s="15" t="s">
        <v>413</v>
      </c>
      <c r="BB254" s="15" t="b">
        <v>0</v>
      </c>
      <c r="BC254" s="15" t="s">
        <v>3577</v>
      </c>
      <c r="BD254" s="15" t="s">
        <v>742</v>
      </c>
      <c r="BE254" s="15" t="str">
        <f t="shared" ref="BE254:BE259" si="474">"2"</f>
        <v>2</v>
      </c>
      <c r="BF254" s="15" t="s">
        <v>416</v>
      </c>
      <c r="BG254" s="15" t="str">
        <f>"16.14"</f>
        <v>16.14</v>
      </c>
      <c r="BH254" s="15" t="s">
        <v>1251</v>
      </c>
      <c r="BI254" s="15" t="str">
        <f>"16.14"</f>
        <v>16.14</v>
      </c>
      <c r="BJ254" s="15" t="s">
        <v>1251</v>
      </c>
      <c r="BK254" s="15" t="str">
        <f>"25.79"</f>
        <v>25.79</v>
      </c>
      <c r="BL254" s="15" t="s">
        <v>631</v>
      </c>
      <c r="BM254" s="15" t="str">
        <f>"48.5"</f>
        <v>48.5</v>
      </c>
      <c r="BN254" s="15" t="s">
        <v>3578</v>
      </c>
      <c r="BO254" s="15" t="s">
        <v>416</v>
      </c>
      <c r="BP254" s="15" t="str">
        <f>"19.29"</f>
        <v>19.29</v>
      </c>
      <c r="BQ254" s="15" t="s">
        <v>566</v>
      </c>
      <c r="BR254" s="15" t="str">
        <f>"19.29"</f>
        <v>19.29</v>
      </c>
      <c r="BS254" s="15" t="s">
        <v>566</v>
      </c>
      <c r="BT254" s="15" t="str">
        <f>"24.61"</f>
        <v>24.61</v>
      </c>
      <c r="BU254" s="15" t="s">
        <v>1033</v>
      </c>
      <c r="BV254" s="15" t="str">
        <f>"63.93"</f>
        <v>63.93</v>
      </c>
      <c r="BW254" s="15" t="s">
        <v>2965</v>
      </c>
      <c r="BZ254" s="15" t="s">
        <v>444</v>
      </c>
      <c r="CB254" s="15" t="s">
        <v>444</v>
      </c>
      <c r="CD254" s="15" t="s">
        <v>444</v>
      </c>
      <c r="CF254" s="15" t="s">
        <v>444</v>
      </c>
      <c r="CI254" s="15" t="s">
        <v>444</v>
      </c>
      <c r="CK254" s="15" t="s">
        <v>444</v>
      </c>
      <c r="CM254" s="15" t="s">
        <v>444</v>
      </c>
      <c r="CO254" s="15" t="s">
        <v>444</v>
      </c>
      <c r="CP254" s="15" t="str">
        <f>"9.18"</f>
        <v>9.18</v>
      </c>
      <c r="CQ254" s="15" t="str">
        <f>"0.26"</f>
        <v>0.26</v>
      </c>
      <c r="CR254" s="15" t="s">
        <v>497</v>
      </c>
      <c r="DC254" s="15" t="str">
        <f>IFERROR(__xludf.DUMMYFUNCTION("""COMPUTED_VALUE"""),"")</f>
        <v/>
      </c>
      <c r="DE254" s="15" t="str">
        <f>IFERROR(__xludf.DUMMYFUNCTION("""COMPUTED_VALUE"""),"")</f>
        <v/>
      </c>
      <c r="DG254" s="15" t="str">
        <f>IFERROR(__xludf.DUMMYFUNCTION("""COMPUTED_VALUE"""),"")</f>
        <v/>
      </c>
      <c r="DL254" s="15" t="str">
        <f>IFERROR(__xludf.DUMMYFUNCTION("""COMPUTED_VALUE"""),"")</f>
        <v/>
      </c>
      <c r="DM254" s="15" t="s">
        <v>444</v>
      </c>
      <c r="DN254" s="15" t="s">
        <v>419</v>
      </c>
      <c r="DP254" s="15" t="s">
        <v>419</v>
      </c>
      <c r="DU254" s="15" t="s">
        <v>419</v>
      </c>
      <c r="EF254" s="15" t="s">
        <v>1157</v>
      </c>
      <c r="EG254" s="15" t="s">
        <v>1158</v>
      </c>
      <c r="EH254" s="15" t="s">
        <v>3560</v>
      </c>
      <c r="EJ254" s="15" t="s">
        <v>500</v>
      </c>
      <c r="EK254" s="15" t="s">
        <v>501</v>
      </c>
      <c r="EM254" s="15" t="str">
        <f>IFERROR(__xludf.DUMMYFUNCTION("""COMPUTED_VALUE"""),"")</f>
        <v/>
      </c>
    </row>
    <row r="255" ht="15.75" customHeight="1">
      <c r="A255" s="14" t="s">
        <v>391</v>
      </c>
      <c r="B255" s="15" t="s">
        <v>3579</v>
      </c>
      <c r="C255" s="16"/>
      <c r="D255" s="15" t="s">
        <v>432</v>
      </c>
      <c r="G255" s="14" t="s">
        <v>393</v>
      </c>
      <c r="H255" s="14" t="s">
        <v>394</v>
      </c>
      <c r="I255" s="14" t="b">
        <v>1</v>
      </c>
      <c r="J255" s="14" t="s">
        <v>395</v>
      </c>
      <c r="L255" s="14" t="b">
        <v>0</v>
      </c>
      <c r="M255" s="15" t="s">
        <v>3580</v>
      </c>
      <c r="N255" s="14" t="s">
        <v>393</v>
      </c>
      <c r="O255" s="14" t="s">
        <v>393</v>
      </c>
      <c r="P255" s="15" t="s">
        <v>397</v>
      </c>
      <c r="Q255" s="15" t="s">
        <v>3581</v>
      </c>
      <c r="T255" s="14" t="b">
        <v>0</v>
      </c>
      <c r="U255" s="15" t="s">
        <v>3582</v>
      </c>
      <c r="V255" s="15" t="s">
        <v>3583</v>
      </c>
      <c r="W255" s="15" t="s">
        <v>401</v>
      </c>
      <c r="X255" s="15" t="s">
        <v>1296</v>
      </c>
      <c r="Y255" s="15">
        <v>1209.0</v>
      </c>
      <c r="AA255" s="15" t="str">
        <f t="shared" ref="AA255:AA258" si="475">"465"</f>
        <v>465</v>
      </c>
      <c r="AB255" s="14" t="b">
        <v>1</v>
      </c>
      <c r="AC255" s="14" t="b">
        <v>1</v>
      </c>
      <c r="AD255" s="15" t="str">
        <f>"801542579388"</f>
        <v>801542579388</v>
      </c>
      <c r="AE255" s="15" t="s">
        <v>3584</v>
      </c>
      <c r="AF255" s="14" t="s">
        <v>404</v>
      </c>
      <c r="AG255" s="14" t="s">
        <v>405</v>
      </c>
      <c r="AH255" s="14" t="s">
        <v>406</v>
      </c>
      <c r="AI255" s="15">
        <v>0.0</v>
      </c>
      <c r="AL255" s="15" t="s">
        <v>3585</v>
      </c>
      <c r="AM255" s="15" t="s">
        <v>835</v>
      </c>
      <c r="AN255" s="15" t="s">
        <v>836</v>
      </c>
      <c r="AO255" s="15" t="s">
        <v>835</v>
      </c>
      <c r="AP255" s="15" t="s">
        <v>836</v>
      </c>
      <c r="AQ255" s="15" t="s">
        <v>1848</v>
      </c>
      <c r="AR255" s="15" t="s">
        <v>1849</v>
      </c>
      <c r="AS255" s="15" t="s">
        <v>3586</v>
      </c>
      <c r="AT255" s="15" t="s">
        <v>3587</v>
      </c>
      <c r="AU255" s="15" t="s">
        <v>3581</v>
      </c>
      <c r="AW255" s="15" t="s">
        <v>491</v>
      </c>
      <c r="AY255" s="15" t="s">
        <v>413</v>
      </c>
      <c r="AZ255" s="15" t="b">
        <v>0</v>
      </c>
      <c r="BA255" s="15" t="s">
        <v>413</v>
      </c>
      <c r="BB255" s="15" t="b">
        <v>0</v>
      </c>
      <c r="BC255" s="15" t="s">
        <v>3588</v>
      </c>
      <c r="BD255" s="15" t="s">
        <v>1303</v>
      </c>
      <c r="BE255" s="15" t="str">
        <f t="shared" si="474"/>
        <v>2</v>
      </c>
      <c r="BF255" s="15" t="s">
        <v>2238</v>
      </c>
      <c r="BG255" s="15" t="str">
        <f t="shared" ref="BG255:BG258" si="476">"41"</f>
        <v>41</v>
      </c>
      <c r="BH255" s="15" t="s">
        <v>2377</v>
      </c>
      <c r="BI255" s="15" t="str">
        <f t="shared" ref="BI255:BI258" si="477">"41"</f>
        <v>41</v>
      </c>
      <c r="BJ255" s="15" t="s">
        <v>2377</v>
      </c>
      <c r="BK255" s="15" t="str">
        <f t="shared" ref="BK255:BK258" si="478">"20.5"</f>
        <v>20.5</v>
      </c>
      <c r="BL255" s="15" t="s">
        <v>1249</v>
      </c>
      <c r="BM255" s="15" t="str">
        <f t="shared" ref="BM255:BM258" si="479">"67.24"</f>
        <v>67.24</v>
      </c>
      <c r="BN255" s="15" t="s">
        <v>3589</v>
      </c>
      <c r="BO255" s="15" t="s">
        <v>1564</v>
      </c>
      <c r="BP255" s="15" t="str">
        <f t="shared" ref="BP255:BP258" si="480">"42.25"</f>
        <v>42.25</v>
      </c>
      <c r="BQ255" s="15" t="s">
        <v>3590</v>
      </c>
      <c r="BR255" s="15" t="str">
        <f t="shared" ref="BR255:BR258" si="481">"6"</f>
        <v>6</v>
      </c>
      <c r="BS255" s="15" t="s">
        <v>2999</v>
      </c>
      <c r="BT255" s="15" t="str">
        <f t="shared" ref="BT255:BT258" si="482">"41.75"</f>
        <v>41.75</v>
      </c>
      <c r="BU255" s="15" t="s">
        <v>3591</v>
      </c>
      <c r="BV255" s="15" t="str">
        <f t="shared" ref="BV255:BV258" si="483">"97.66"</f>
        <v>97.66</v>
      </c>
      <c r="BW255" s="15" t="s">
        <v>3592</v>
      </c>
      <c r="BZ255" s="15" t="s">
        <v>444</v>
      </c>
      <c r="CB255" s="15" t="s">
        <v>444</v>
      </c>
      <c r="CD255" s="15" t="s">
        <v>444</v>
      </c>
      <c r="CF255" s="15" t="s">
        <v>444</v>
      </c>
      <c r="CI255" s="15" t="s">
        <v>444</v>
      </c>
      <c r="CK255" s="15" t="s">
        <v>444</v>
      </c>
      <c r="CM255" s="15" t="s">
        <v>444</v>
      </c>
      <c r="CO255" s="15" t="s">
        <v>444</v>
      </c>
      <c r="CP255" s="15" t="str">
        <f t="shared" ref="CP255:CP258" si="484">"26.06"</f>
        <v>26.06</v>
      </c>
      <c r="CQ255" s="15" t="str">
        <f t="shared" ref="CQ255:CQ258" si="485">"0.738"</f>
        <v>0.738</v>
      </c>
      <c r="CR255" s="15" t="s">
        <v>497</v>
      </c>
      <c r="DC255" s="15" t="str">
        <f>IFERROR(__xludf.DUMMYFUNCTION("""COMPUTED_VALUE"""),"")</f>
        <v/>
      </c>
      <c r="DE255" s="15" t="str">
        <f>IFERROR(__xludf.DUMMYFUNCTION("""COMPUTED_VALUE"""),"")</f>
        <v/>
      </c>
      <c r="DG255" s="15" t="str">
        <f>IFERROR(__xludf.DUMMYFUNCTION("""COMPUTED_VALUE"""),"")</f>
        <v/>
      </c>
      <c r="DL255" s="15" t="str">
        <f>IFERROR(__xludf.DUMMYFUNCTION("""COMPUTED_VALUE"""),"")</f>
        <v/>
      </c>
      <c r="DM255" s="15" t="s">
        <v>444</v>
      </c>
      <c r="DN255" s="15" t="s">
        <v>419</v>
      </c>
      <c r="DO255" s="15">
        <v>0.0</v>
      </c>
      <c r="DP255" s="15" t="s">
        <v>419</v>
      </c>
      <c r="DR255" s="15">
        <v>0.0</v>
      </c>
      <c r="DU255" s="15" t="s">
        <v>419</v>
      </c>
      <c r="DY255" s="15">
        <v>0.0</v>
      </c>
      <c r="EF255" s="15" t="s">
        <v>1157</v>
      </c>
      <c r="EG255" s="15" t="s">
        <v>1158</v>
      </c>
      <c r="EH255" s="15" t="s">
        <v>3593</v>
      </c>
      <c r="EJ255" s="15" t="s">
        <v>500</v>
      </c>
      <c r="EK255" s="15" t="s">
        <v>501</v>
      </c>
      <c r="EM255" s="15" t="str">
        <f>IFERROR(__xludf.DUMMYFUNCTION("""COMPUTED_VALUE"""),"")</f>
        <v/>
      </c>
      <c r="EW255" s="15" t="s">
        <v>428</v>
      </c>
      <c r="EX255" s="15" t="s">
        <v>1808</v>
      </c>
      <c r="EY255" s="15" t="s">
        <v>1808</v>
      </c>
      <c r="FH255" s="15" t="s">
        <v>1065</v>
      </c>
      <c r="FI255" s="15" t="s">
        <v>2739</v>
      </c>
      <c r="FJ255" s="15" t="s">
        <v>1065</v>
      </c>
      <c r="FK255" s="15" t="s">
        <v>1188</v>
      </c>
      <c r="FL255" s="15" t="s">
        <v>426</v>
      </c>
      <c r="FM255" s="15">
        <v>0.0</v>
      </c>
      <c r="FN255" s="15">
        <v>0.0</v>
      </c>
      <c r="FW255" s="15" t="s">
        <v>1808</v>
      </c>
    </row>
    <row r="256" ht="15.75" customHeight="1">
      <c r="A256" s="14" t="s">
        <v>391</v>
      </c>
      <c r="B256" s="15" t="s">
        <v>3579</v>
      </c>
      <c r="C256" s="16"/>
      <c r="D256" s="15" t="s">
        <v>432</v>
      </c>
      <c r="G256" s="14" t="s">
        <v>393</v>
      </c>
      <c r="H256" s="14" t="s">
        <v>394</v>
      </c>
      <c r="I256" s="14" t="b">
        <v>1</v>
      </c>
      <c r="J256" s="14" t="s">
        <v>395</v>
      </c>
      <c r="L256" s="14" t="b">
        <v>0</v>
      </c>
      <c r="M256" s="15" t="s">
        <v>3594</v>
      </c>
      <c r="N256" s="14" t="s">
        <v>393</v>
      </c>
      <c r="O256" s="14" t="s">
        <v>393</v>
      </c>
      <c r="P256" s="15" t="s">
        <v>397</v>
      </c>
      <c r="Q256" s="15" t="s">
        <v>3595</v>
      </c>
      <c r="T256" s="14" t="b">
        <v>0</v>
      </c>
      <c r="U256" s="15" t="s">
        <v>3596</v>
      </c>
      <c r="V256" s="15" t="s">
        <v>3583</v>
      </c>
      <c r="W256" s="15" t="s">
        <v>401</v>
      </c>
      <c r="X256" s="15" t="s">
        <v>1296</v>
      </c>
      <c r="Y256" s="15">
        <v>1209.0</v>
      </c>
      <c r="AA256" s="15" t="str">
        <f t="shared" si="475"/>
        <v>465</v>
      </c>
      <c r="AB256" s="14" t="b">
        <v>1</v>
      </c>
      <c r="AC256" s="14" t="b">
        <v>1</v>
      </c>
      <c r="AD256" s="15" t="str">
        <f>"801542048297"</f>
        <v>801542048297</v>
      </c>
      <c r="AE256" s="15" t="s">
        <v>3597</v>
      </c>
      <c r="AF256" s="14" t="s">
        <v>404</v>
      </c>
      <c r="AG256" s="14" t="s">
        <v>405</v>
      </c>
      <c r="AH256" s="14" t="s">
        <v>406</v>
      </c>
      <c r="AI256" s="15">
        <v>0.0</v>
      </c>
      <c r="AL256" s="15" t="s">
        <v>3585</v>
      </c>
      <c r="AM256" s="15" t="s">
        <v>835</v>
      </c>
      <c r="AN256" s="15" t="s">
        <v>836</v>
      </c>
      <c r="AO256" s="15" t="s">
        <v>835</v>
      </c>
      <c r="AP256" s="15" t="s">
        <v>836</v>
      </c>
      <c r="AQ256" s="15" t="s">
        <v>1848</v>
      </c>
      <c r="AR256" s="15" t="s">
        <v>1849</v>
      </c>
      <c r="AS256" s="15" t="s">
        <v>3586</v>
      </c>
      <c r="AT256" s="15" t="s">
        <v>3587</v>
      </c>
      <c r="AU256" s="15" t="s">
        <v>3595</v>
      </c>
      <c r="AW256" s="15" t="s">
        <v>491</v>
      </c>
      <c r="AY256" s="15" t="s">
        <v>413</v>
      </c>
      <c r="AZ256" s="15" t="b">
        <v>0</v>
      </c>
      <c r="BA256" s="15" t="s">
        <v>413</v>
      </c>
      <c r="BB256" s="15" t="b">
        <v>0</v>
      </c>
      <c r="BC256" s="15" t="s">
        <v>3598</v>
      </c>
      <c r="BD256" s="15" t="s">
        <v>1303</v>
      </c>
      <c r="BE256" s="15" t="str">
        <f t="shared" si="474"/>
        <v>2</v>
      </c>
      <c r="BF256" s="15" t="s">
        <v>2238</v>
      </c>
      <c r="BG256" s="15" t="str">
        <f t="shared" si="476"/>
        <v>41</v>
      </c>
      <c r="BH256" s="15" t="s">
        <v>2377</v>
      </c>
      <c r="BI256" s="15" t="str">
        <f t="shared" si="477"/>
        <v>41</v>
      </c>
      <c r="BJ256" s="15" t="s">
        <v>2377</v>
      </c>
      <c r="BK256" s="15" t="str">
        <f t="shared" si="478"/>
        <v>20.5</v>
      </c>
      <c r="BL256" s="15" t="s">
        <v>1249</v>
      </c>
      <c r="BM256" s="15" t="str">
        <f t="shared" si="479"/>
        <v>67.24</v>
      </c>
      <c r="BN256" s="15" t="s">
        <v>3589</v>
      </c>
      <c r="BO256" s="15" t="s">
        <v>1564</v>
      </c>
      <c r="BP256" s="15" t="str">
        <f t="shared" si="480"/>
        <v>42.25</v>
      </c>
      <c r="BQ256" s="15" t="s">
        <v>3590</v>
      </c>
      <c r="BR256" s="15" t="str">
        <f t="shared" si="481"/>
        <v>6</v>
      </c>
      <c r="BS256" s="15" t="s">
        <v>2999</v>
      </c>
      <c r="BT256" s="15" t="str">
        <f t="shared" si="482"/>
        <v>41.75</v>
      </c>
      <c r="BU256" s="15" t="s">
        <v>3591</v>
      </c>
      <c r="BV256" s="15" t="str">
        <f t="shared" si="483"/>
        <v>97.66</v>
      </c>
      <c r="BW256" s="15" t="s">
        <v>3592</v>
      </c>
      <c r="BZ256" s="15" t="s">
        <v>444</v>
      </c>
      <c r="CB256" s="15" t="s">
        <v>444</v>
      </c>
      <c r="CD256" s="15" t="s">
        <v>444</v>
      </c>
      <c r="CF256" s="15" t="s">
        <v>444</v>
      </c>
      <c r="CI256" s="15" t="s">
        <v>444</v>
      </c>
      <c r="CK256" s="15" t="s">
        <v>444</v>
      </c>
      <c r="CM256" s="15" t="s">
        <v>444</v>
      </c>
      <c r="CO256" s="15" t="s">
        <v>444</v>
      </c>
      <c r="CP256" s="15" t="str">
        <f t="shared" si="484"/>
        <v>26.06</v>
      </c>
      <c r="CQ256" s="15" t="str">
        <f t="shared" si="485"/>
        <v>0.738</v>
      </c>
      <c r="CR256" s="15" t="s">
        <v>497</v>
      </c>
      <c r="DC256" s="15" t="str">
        <f>IFERROR(__xludf.DUMMYFUNCTION("""COMPUTED_VALUE"""),"")</f>
        <v/>
      </c>
      <c r="DE256" s="15" t="str">
        <f>IFERROR(__xludf.DUMMYFUNCTION("""COMPUTED_VALUE"""),"")</f>
        <v/>
      </c>
      <c r="DG256" s="15" t="str">
        <f>IFERROR(__xludf.DUMMYFUNCTION("""COMPUTED_VALUE"""),"")</f>
        <v/>
      </c>
      <c r="DL256" s="15" t="str">
        <f>IFERROR(__xludf.DUMMYFUNCTION("""COMPUTED_VALUE"""),"")</f>
        <v/>
      </c>
      <c r="DM256" s="15" t="s">
        <v>444</v>
      </c>
      <c r="DN256" s="15" t="s">
        <v>419</v>
      </c>
      <c r="DO256" s="15">
        <v>0.0</v>
      </c>
      <c r="DP256" s="15" t="s">
        <v>419</v>
      </c>
      <c r="DR256" s="15">
        <v>0.0</v>
      </c>
      <c r="DU256" s="15" t="s">
        <v>419</v>
      </c>
      <c r="DY256" s="15">
        <v>0.0</v>
      </c>
      <c r="EF256" s="15" t="s">
        <v>1157</v>
      </c>
      <c r="EG256" s="15" t="s">
        <v>1158</v>
      </c>
      <c r="EH256" s="15" t="s">
        <v>3593</v>
      </c>
      <c r="EJ256" s="15" t="s">
        <v>500</v>
      </c>
      <c r="EK256" s="15" t="s">
        <v>501</v>
      </c>
      <c r="EM256" s="15" t="str">
        <f>IFERROR(__xludf.DUMMYFUNCTION("""COMPUTED_VALUE"""),"")</f>
        <v/>
      </c>
      <c r="EW256" s="15" t="s">
        <v>428</v>
      </c>
      <c r="EX256" s="15" t="s">
        <v>1808</v>
      </c>
      <c r="EY256" s="15" t="s">
        <v>1808</v>
      </c>
      <c r="FH256" s="15" t="s">
        <v>1065</v>
      </c>
      <c r="FI256" s="15" t="s">
        <v>2739</v>
      </c>
      <c r="FJ256" s="15" t="s">
        <v>1065</v>
      </c>
      <c r="FK256" s="15" t="s">
        <v>1188</v>
      </c>
      <c r="FL256" s="15" t="s">
        <v>426</v>
      </c>
      <c r="FM256" s="15">
        <v>0.0</v>
      </c>
      <c r="FN256" s="15">
        <v>0.0</v>
      </c>
      <c r="FW256" s="15" t="s">
        <v>1808</v>
      </c>
    </row>
    <row r="257" ht="15.75" customHeight="1">
      <c r="A257" s="14" t="s">
        <v>391</v>
      </c>
      <c r="B257" s="15" t="s">
        <v>3579</v>
      </c>
      <c r="C257" s="16"/>
      <c r="D257" s="15" t="s">
        <v>432</v>
      </c>
      <c r="G257" s="14" t="s">
        <v>393</v>
      </c>
      <c r="H257" s="14" t="s">
        <v>394</v>
      </c>
      <c r="I257" s="14" t="b">
        <v>1</v>
      </c>
      <c r="J257" s="14" t="s">
        <v>395</v>
      </c>
      <c r="L257" s="14" t="b">
        <v>0</v>
      </c>
      <c r="M257" s="15" t="s">
        <v>3599</v>
      </c>
      <c r="N257" s="14" t="s">
        <v>393</v>
      </c>
      <c r="O257" s="14" t="s">
        <v>393</v>
      </c>
      <c r="P257" s="15" t="s">
        <v>397</v>
      </c>
      <c r="Q257" s="15" t="s">
        <v>3600</v>
      </c>
      <c r="T257" s="14" t="b">
        <v>0</v>
      </c>
      <c r="U257" s="15" t="s">
        <v>3601</v>
      </c>
      <c r="V257" s="15" t="s">
        <v>3583</v>
      </c>
      <c r="W257" s="15" t="s">
        <v>401</v>
      </c>
      <c r="X257" s="15" t="s">
        <v>1296</v>
      </c>
      <c r="Y257" s="15">
        <v>1209.0</v>
      </c>
      <c r="AA257" s="15" t="str">
        <f t="shared" si="475"/>
        <v>465</v>
      </c>
      <c r="AB257" s="14" t="b">
        <v>1</v>
      </c>
      <c r="AC257" s="14" t="b">
        <v>1</v>
      </c>
      <c r="AD257" s="15" t="str">
        <f>"198394055444"</f>
        <v>198394055444</v>
      </c>
      <c r="AE257" s="15" t="s">
        <v>3602</v>
      </c>
      <c r="AF257" s="14" t="s">
        <v>404</v>
      </c>
      <c r="AG257" s="14" t="s">
        <v>405</v>
      </c>
      <c r="AH257" s="14" t="s">
        <v>406</v>
      </c>
      <c r="AI257" s="15">
        <v>0.0</v>
      </c>
      <c r="AL257" s="15" t="s">
        <v>3585</v>
      </c>
      <c r="AM257" s="15" t="s">
        <v>835</v>
      </c>
      <c r="AN257" s="15" t="s">
        <v>836</v>
      </c>
      <c r="AO257" s="15" t="s">
        <v>835</v>
      </c>
      <c r="AP257" s="15" t="s">
        <v>836</v>
      </c>
      <c r="AQ257" s="15" t="s">
        <v>1848</v>
      </c>
      <c r="AR257" s="15" t="s">
        <v>1849</v>
      </c>
      <c r="AS257" s="15" t="s">
        <v>3586</v>
      </c>
      <c r="AT257" s="15" t="s">
        <v>3600</v>
      </c>
      <c r="AU257" s="15" t="s">
        <v>3581</v>
      </c>
      <c r="AW257" s="15" t="s">
        <v>491</v>
      </c>
      <c r="AY257" s="15" t="s">
        <v>413</v>
      </c>
      <c r="AZ257" s="15" t="b">
        <v>0</v>
      </c>
      <c r="BA257" s="15" t="s">
        <v>413</v>
      </c>
      <c r="BB257" s="15" t="b">
        <v>0</v>
      </c>
      <c r="BC257" s="15" t="s">
        <v>3603</v>
      </c>
      <c r="BD257" s="15" t="s">
        <v>1303</v>
      </c>
      <c r="BE257" s="15" t="str">
        <f t="shared" si="474"/>
        <v>2</v>
      </c>
      <c r="BF257" s="15" t="s">
        <v>2238</v>
      </c>
      <c r="BG257" s="15" t="str">
        <f t="shared" si="476"/>
        <v>41</v>
      </c>
      <c r="BH257" s="15" t="s">
        <v>2377</v>
      </c>
      <c r="BI257" s="15" t="str">
        <f t="shared" si="477"/>
        <v>41</v>
      </c>
      <c r="BJ257" s="15" t="s">
        <v>2377</v>
      </c>
      <c r="BK257" s="15" t="str">
        <f t="shared" si="478"/>
        <v>20.5</v>
      </c>
      <c r="BL257" s="15" t="s">
        <v>1249</v>
      </c>
      <c r="BM257" s="15" t="str">
        <f t="shared" si="479"/>
        <v>67.24</v>
      </c>
      <c r="BN257" s="15" t="s">
        <v>3589</v>
      </c>
      <c r="BO257" s="15" t="s">
        <v>1564</v>
      </c>
      <c r="BP257" s="15" t="str">
        <f t="shared" si="480"/>
        <v>42.25</v>
      </c>
      <c r="BQ257" s="15" t="s">
        <v>3590</v>
      </c>
      <c r="BR257" s="15" t="str">
        <f t="shared" si="481"/>
        <v>6</v>
      </c>
      <c r="BS257" s="15" t="s">
        <v>2999</v>
      </c>
      <c r="BT257" s="15" t="str">
        <f t="shared" si="482"/>
        <v>41.75</v>
      </c>
      <c r="BU257" s="15" t="s">
        <v>3591</v>
      </c>
      <c r="BV257" s="15" t="str">
        <f t="shared" si="483"/>
        <v>97.66</v>
      </c>
      <c r="BW257" s="15" t="s">
        <v>3592</v>
      </c>
      <c r="BZ257" s="15" t="s">
        <v>444</v>
      </c>
      <c r="CB257" s="15" t="s">
        <v>444</v>
      </c>
      <c r="CD257" s="15" t="s">
        <v>444</v>
      </c>
      <c r="CF257" s="15" t="s">
        <v>444</v>
      </c>
      <c r="CI257" s="15" t="s">
        <v>444</v>
      </c>
      <c r="CK257" s="15" t="s">
        <v>444</v>
      </c>
      <c r="CM257" s="15" t="s">
        <v>444</v>
      </c>
      <c r="CO257" s="15" t="s">
        <v>444</v>
      </c>
      <c r="CP257" s="15" t="str">
        <f t="shared" si="484"/>
        <v>26.06</v>
      </c>
      <c r="CQ257" s="15" t="str">
        <f t="shared" si="485"/>
        <v>0.738</v>
      </c>
      <c r="CR257" s="15" t="s">
        <v>497</v>
      </c>
      <c r="DC257" s="15" t="str">
        <f>IFERROR(__xludf.DUMMYFUNCTION("""COMPUTED_VALUE"""),"")</f>
        <v/>
      </c>
      <c r="DE257" s="15" t="str">
        <f>IFERROR(__xludf.DUMMYFUNCTION("""COMPUTED_VALUE"""),"")</f>
        <v/>
      </c>
      <c r="DG257" s="15" t="str">
        <f>IFERROR(__xludf.DUMMYFUNCTION("""COMPUTED_VALUE"""),"")</f>
        <v/>
      </c>
      <c r="DL257" s="15" t="str">
        <f>IFERROR(__xludf.DUMMYFUNCTION("""COMPUTED_VALUE"""),"")</f>
        <v/>
      </c>
      <c r="DM257" s="15" t="s">
        <v>444</v>
      </c>
      <c r="DN257" s="15" t="s">
        <v>419</v>
      </c>
      <c r="DO257" s="15">
        <v>0.0</v>
      </c>
      <c r="DP257" s="15" t="s">
        <v>419</v>
      </c>
      <c r="DR257" s="15">
        <v>0.0</v>
      </c>
      <c r="DU257" s="15" t="s">
        <v>419</v>
      </c>
      <c r="DY257" s="15">
        <v>0.0</v>
      </c>
      <c r="EF257" s="15" t="s">
        <v>1157</v>
      </c>
      <c r="EG257" s="15" t="s">
        <v>1158</v>
      </c>
      <c r="EH257" s="15" t="s">
        <v>3593</v>
      </c>
      <c r="EJ257" s="15" t="s">
        <v>500</v>
      </c>
      <c r="EK257" s="15" t="s">
        <v>501</v>
      </c>
      <c r="EM257" s="15" t="str">
        <f>IFERROR(__xludf.DUMMYFUNCTION("""COMPUTED_VALUE"""),"")</f>
        <v/>
      </c>
      <c r="EW257" s="15" t="s">
        <v>428</v>
      </c>
      <c r="EX257" s="15" t="s">
        <v>1808</v>
      </c>
      <c r="EY257" s="15" t="s">
        <v>1808</v>
      </c>
      <c r="FH257" s="15" t="s">
        <v>1065</v>
      </c>
      <c r="FI257" s="15" t="s">
        <v>2739</v>
      </c>
      <c r="FJ257" s="15" t="s">
        <v>1065</v>
      </c>
      <c r="FK257" s="15" t="s">
        <v>1188</v>
      </c>
      <c r="FL257" s="15" t="s">
        <v>426</v>
      </c>
      <c r="FM257" s="15">
        <v>0.0</v>
      </c>
      <c r="FN257" s="15">
        <v>0.0</v>
      </c>
      <c r="FW257" s="15" t="s">
        <v>1808</v>
      </c>
    </row>
    <row r="258" ht="15.75" customHeight="1">
      <c r="A258" s="14" t="s">
        <v>391</v>
      </c>
      <c r="B258" s="15" t="s">
        <v>3579</v>
      </c>
      <c r="C258" s="16"/>
      <c r="D258" s="15" t="s">
        <v>432</v>
      </c>
      <c r="G258" s="14" t="s">
        <v>393</v>
      </c>
      <c r="H258" s="14" t="s">
        <v>394</v>
      </c>
      <c r="I258" s="14" t="b">
        <v>1</v>
      </c>
      <c r="J258" s="14" t="s">
        <v>395</v>
      </c>
      <c r="L258" s="14" t="b">
        <v>0</v>
      </c>
      <c r="M258" s="15" t="s">
        <v>3604</v>
      </c>
      <c r="N258" s="14" t="s">
        <v>393</v>
      </c>
      <c r="O258" s="14" t="s">
        <v>393</v>
      </c>
      <c r="P258" s="15" t="s">
        <v>397</v>
      </c>
      <c r="Q258" s="15" t="s">
        <v>3605</v>
      </c>
      <c r="T258" s="14" t="b">
        <v>0</v>
      </c>
      <c r="U258" s="15" t="s">
        <v>3606</v>
      </c>
      <c r="V258" s="15" t="s">
        <v>3583</v>
      </c>
      <c r="W258" s="15" t="s">
        <v>401</v>
      </c>
      <c r="X258" s="15" t="s">
        <v>1296</v>
      </c>
      <c r="Y258" s="15">
        <v>1209.0</v>
      </c>
      <c r="AA258" s="15" t="str">
        <f t="shared" si="475"/>
        <v>465</v>
      </c>
      <c r="AB258" s="14" t="b">
        <v>1</v>
      </c>
      <c r="AC258" s="14" t="b">
        <v>1</v>
      </c>
      <c r="AD258" s="15" t="str">
        <f>"801542048303"</f>
        <v>801542048303</v>
      </c>
      <c r="AE258" s="15" t="s">
        <v>3607</v>
      </c>
      <c r="AF258" s="14" t="s">
        <v>404</v>
      </c>
      <c r="AG258" s="14" t="s">
        <v>405</v>
      </c>
      <c r="AH258" s="14" t="s">
        <v>406</v>
      </c>
      <c r="AI258" s="15">
        <v>0.0</v>
      </c>
      <c r="AL258" s="15" t="s">
        <v>3585</v>
      </c>
      <c r="AM258" s="15" t="s">
        <v>835</v>
      </c>
      <c r="AN258" s="15" t="s">
        <v>836</v>
      </c>
      <c r="AO258" s="15" t="s">
        <v>835</v>
      </c>
      <c r="AP258" s="15" t="s">
        <v>836</v>
      </c>
      <c r="AQ258" s="15" t="s">
        <v>1848</v>
      </c>
      <c r="AR258" s="15" t="s">
        <v>1849</v>
      </c>
      <c r="AS258" s="15" t="s">
        <v>3586</v>
      </c>
      <c r="AT258" s="15" t="s">
        <v>3605</v>
      </c>
      <c r="AU258" s="15" t="s">
        <v>3581</v>
      </c>
      <c r="AW258" s="15" t="s">
        <v>491</v>
      </c>
      <c r="AY258" s="15" t="s">
        <v>413</v>
      </c>
      <c r="AZ258" s="15" t="b">
        <v>0</v>
      </c>
      <c r="BA258" s="15" t="s">
        <v>413</v>
      </c>
      <c r="BB258" s="15" t="b">
        <v>0</v>
      </c>
      <c r="BC258" s="15" t="s">
        <v>3608</v>
      </c>
      <c r="BD258" s="15" t="s">
        <v>1303</v>
      </c>
      <c r="BE258" s="15" t="str">
        <f t="shared" si="474"/>
        <v>2</v>
      </c>
      <c r="BF258" s="15" t="s">
        <v>2238</v>
      </c>
      <c r="BG258" s="15" t="str">
        <f t="shared" si="476"/>
        <v>41</v>
      </c>
      <c r="BH258" s="15" t="s">
        <v>2377</v>
      </c>
      <c r="BI258" s="15" t="str">
        <f t="shared" si="477"/>
        <v>41</v>
      </c>
      <c r="BJ258" s="15" t="s">
        <v>2377</v>
      </c>
      <c r="BK258" s="15" t="str">
        <f t="shared" si="478"/>
        <v>20.5</v>
      </c>
      <c r="BL258" s="15" t="s">
        <v>1249</v>
      </c>
      <c r="BM258" s="15" t="str">
        <f t="shared" si="479"/>
        <v>67.24</v>
      </c>
      <c r="BN258" s="15" t="s">
        <v>3589</v>
      </c>
      <c r="BO258" s="15" t="s">
        <v>1564</v>
      </c>
      <c r="BP258" s="15" t="str">
        <f t="shared" si="480"/>
        <v>42.25</v>
      </c>
      <c r="BQ258" s="15" t="s">
        <v>3590</v>
      </c>
      <c r="BR258" s="15" t="str">
        <f t="shared" si="481"/>
        <v>6</v>
      </c>
      <c r="BS258" s="15" t="s">
        <v>2999</v>
      </c>
      <c r="BT258" s="15" t="str">
        <f t="shared" si="482"/>
        <v>41.75</v>
      </c>
      <c r="BU258" s="15" t="s">
        <v>3591</v>
      </c>
      <c r="BV258" s="15" t="str">
        <f t="shared" si="483"/>
        <v>97.66</v>
      </c>
      <c r="BW258" s="15" t="s">
        <v>3592</v>
      </c>
      <c r="BZ258" s="15" t="s">
        <v>444</v>
      </c>
      <c r="CB258" s="15" t="s">
        <v>444</v>
      </c>
      <c r="CD258" s="15" t="s">
        <v>444</v>
      </c>
      <c r="CF258" s="15" t="s">
        <v>444</v>
      </c>
      <c r="CI258" s="15" t="s">
        <v>444</v>
      </c>
      <c r="CK258" s="15" t="s">
        <v>444</v>
      </c>
      <c r="CM258" s="15" t="s">
        <v>444</v>
      </c>
      <c r="CO258" s="15" t="s">
        <v>444</v>
      </c>
      <c r="CP258" s="15" t="str">
        <f t="shared" si="484"/>
        <v>26.06</v>
      </c>
      <c r="CQ258" s="15" t="str">
        <f t="shared" si="485"/>
        <v>0.738</v>
      </c>
      <c r="CR258" s="15" t="s">
        <v>497</v>
      </c>
      <c r="DC258" s="15" t="str">
        <f>IFERROR(__xludf.DUMMYFUNCTION("""COMPUTED_VALUE"""),"")</f>
        <v/>
      </c>
      <c r="DE258" s="15" t="str">
        <f>IFERROR(__xludf.DUMMYFUNCTION("""COMPUTED_VALUE"""),"")</f>
        <v/>
      </c>
      <c r="DG258" s="15" t="str">
        <f>IFERROR(__xludf.DUMMYFUNCTION("""COMPUTED_VALUE"""),"")</f>
        <v/>
      </c>
      <c r="DL258" s="15" t="str">
        <f>IFERROR(__xludf.DUMMYFUNCTION("""COMPUTED_VALUE"""),"")</f>
        <v/>
      </c>
      <c r="DM258" s="15" t="s">
        <v>444</v>
      </c>
      <c r="DN258" s="15" t="s">
        <v>419</v>
      </c>
      <c r="DO258" s="15">
        <v>0.0</v>
      </c>
      <c r="DP258" s="15" t="s">
        <v>419</v>
      </c>
      <c r="DR258" s="15">
        <v>0.0</v>
      </c>
      <c r="DU258" s="15" t="s">
        <v>419</v>
      </c>
      <c r="DY258" s="15">
        <v>0.0</v>
      </c>
      <c r="EF258" s="15" t="s">
        <v>1157</v>
      </c>
      <c r="EG258" s="15" t="s">
        <v>1158</v>
      </c>
      <c r="EH258" s="15" t="s">
        <v>3593</v>
      </c>
      <c r="EJ258" s="15" t="s">
        <v>500</v>
      </c>
      <c r="EK258" s="15" t="s">
        <v>501</v>
      </c>
      <c r="EM258" s="15" t="str">
        <f>IFERROR(__xludf.DUMMYFUNCTION("""COMPUTED_VALUE"""),"")</f>
        <v/>
      </c>
      <c r="EW258" s="15" t="s">
        <v>428</v>
      </c>
      <c r="EX258" s="15" t="s">
        <v>1808</v>
      </c>
      <c r="EY258" s="15" t="s">
        <v>1808</v>
      </c>
      <c r="FH258" s="15" t="s">
        <v>1065</v>
      </c>
      <c r="FI258" s="15" t="s">
        <v>2739</v>
      </c>
      <c r="FJ258" s="15" t="s">
        <v>1065</v>
      </c>
      <c r="FK258" s="15" t="s">
        <v>1188</v>
      </c>
      <c r="FL258" s="15" t="s">
        <v>426</v>
      </c>
      <c r="FM258" s="15">
        <v>0.0</v>
      </c>
      <c r="FN258" s="15">
        <v>0.0</v>
      </c>
      <c r="FW258" s="15" t="s">
        <v>1808</v>
      </c>
    </row>
    <row r="259" ht="15.75" customHeight="1">
      <c r="A259" s="14" t="s">
        <v>391</v>
      </c>
      <c r="B259" s="15" t="s">
        <v>3609</v>
      </c>
      <c r="C259" s="16"/>
      <c r="D259" s="15" t="s">
        <v>432</v>
      </c>
      <c r="G259" s="14" t="s">
        <v>393</v>
      </c>
      <c r="H259" s="14" t="s">
        <v>394</v>
      </c>
      <c r="I259" s="14" t="b">
        <v>1</v>
      </c>
      <c r="J259" s="14" t="s">
        <v>395</v>
      </c>
      <c r="L259" s="14" t="b">
        <v>0</v>
      </c>
      <c r="M259" s="15" t="s">
        <v>3610</v>
      </c>
      <c r="N259" s="14" t="s">
        <v>393</v>
      </c>
      <c r="O259" s="14" t="s">
        <v>393</v>
      </c>
      <c r="P259" s="15" t="s">
        <v>397</v>
      </c>
      <c r="Q259" s="15" t="s">
        <v>3587</v>
      </c>
      <c r="T259" s="14" t="b">
        <v>0</v>
      </c>
      <c r="U259" s="15" t="s">
        <v>3611</v>
      </c>
      <c r="V259" s="15" t="s">
        <v>3612</v>
      </c>
      <c r="W259" s="15" t="s">
        <v>401</v>
      </c>
      <c r="X259" s="15" t="s">
        <v>1296</v>
      </c>
      <c r="Y259" s="15">
        <v>2522.0</v>
      </c>
      <c r="AA259" s="15" t="str">
        <f>"970"</f>
        <v>970</v>
      </c>
      <c r="AB259" s="14" t="b">
        <v>1</v>
      </c>
      <c r="AC259" s="14" t="b">
        <v>1</v>
      </c>
      <c r="AD259" s="15" t="str">
        <f>"801542123611"</f>
        <v>801542123611</v>
      </c>
      <c r="AE259" s="15" t="s">
        <v>3613</v>
      </c>
      <c r="AF259" s="14" t="s">
        <v>404</v>
      </c>
      <c r="AG259" s="14" t="s">
        <v>405</v>
      </c>
      <c r="AH259" s="14" t="s">
        <v>406</v>
      </c>
      <c r="AI259" s="15">
        <v>0.0</v>
      </c>
      <c r="AL259" s="15" t="s">
        <v>3585</v>
      </c>
      <c r="AM259" s="15" t="s">
        <v>3614</v>
      </c>
      <c r="AN259" s="15" t="s">
        <v>3615</v>
      </c>
      <c r="AO259" s="15" t="s">
        <v>3614</v>
      </c>
      <c r="AP259" s="15" t="s">
        <v>3615</v>
      </c>
      <c r="AQ259" s="15" t="s">
        <v>1152</v>
      </c>
      <c r="AR259" s="15" t="s">
        <v>1153</v>
      </c>
      <c r="AS259" s="15" t="s">
        <v>3586</v>
      </c>
      <c r="AT259" s="15" t="s">
        <v>3587</v>
      </c>
      <c r="AU259" s="15" t="s">
        <v>3581</v>
      </c>
      <c r="AW259" s="15" t="s">
        <v>491</v>
      </c>
      <c r="AY259" s="15" t="s">
        <v>413</v>
      </c>
      <c r="AZ259" s="15" t="b">
        <v>0</v>
      </c>
      <c r="BA259" s="15" t="s">
        <v>413</v>
      </c>
      <c r="BB259" s="15" t="b">
        <v>0</v>
      </c>
      <c r="BC259" s="15" t="s">
        <v>3616</v>
      </c>
      <c r="BD259" s="15" t="s">
        <v>1303</v>
      </c>
      <c r="BE259" s="15" t="str">
        <f t="shared" si="474"/>
        <v>2</v>
      </c>
      <c r="BF259" s="15" t="s">
        <v>1564</v>
      </c>
      <c r="BG259" s="15" t="str">
        <f>"55.25"</f>
        <v>55.25</v>
      </c>
      <c r="BH259" s="15" t="s">
        <v>3617</v>
      </c>
      <c r="BI259" s="15" t="str">
        <f>"9"</f>
        <v>9</v>
      </c>
      <c r="BJ259" s="15" t="s">
        <v>3618</v>
      </c>
      <c r="BK259" s="15" t="str">
        <f>"56"</f>
        <v>56</v>
      </c>
      <c r="BL259" s="15" t="s">
        <v>1004</v>
      </c>
      <c r="BM259" s="15" t="str">
        <f>"182.94"</f>
        <v>182.94</v>
      </c>
      <c r="BN259" s="15" t="s">
        <v>3619</v>
      </c>
      <c r="BO259" s="15" t="s">
        <v>2238</v>
      </c>
      <c r="BP259" s="15" t="str">
        <f>"50.75"</f>
        <v>50.75</v>
      </c>
      <c r="BQ259" s="15" t="s">
        <v>2702</v>
      </c>
      <c r="BR259" s="15" t="str">
        <f>"51"</f>
        <v>51</v>
      </c>
      <c r="BS259" s="15" t="s">
        <v>3620</v>
      </c>
      <c r="BT259" s="15" t="str">
        <f>"20.5"</f>
        <v>20.5</v>
      </c>
      <c r="BU259" s="15" t="s">
        <v>1249</v>
      </c>
      <c r="BV259" s="15" t="str">
        <f>"125.27"</f>
        <v>125.27</v>
      </c>
      <c r="BW259" s="15" t="s">
        <v>3621</v>
      </c>
      <c r="BZ259" s="15" t="s">
        <v>444</v>
      </c>
      <c r="CB259" s="15" t="s">
        <v>444</v>
      </c>
      <c r="CD259" s="15" t="s">
        <v>444</v>
      </c>
      <c r="CF259" s="15" t="s">
        <v>444</v>
      </c>
      <c r="CI259" s="15" t="s">
        <v>444</v>
      </c>
      <c r="CK259" s="15" t="s">
        <v>444</v>
      </c>
      <c r="CM259" s="15" t="s">
        <v>444</v>
      </c>
      <c r="CO259" s="15" t="s">
        <v>444</v>
      </c>
      <c r="CP259" s="15" t="str">
        <f>"46.79"</f>
        <v>46.79</v>
      </c>
      <c r="CQ259" s="15" t="str">
        <f>"1.325"</f>
        <v>1.325</v>
      </c>
      <c r="CR259" s="15" t="s">
        <v>497</v>
      </c>
      <c r="DC259" s="15" t="str">
        <f>IFERROR(__xludf.DUMMYFUNCTION("""COMPUTED_VALUE"""),"")</f>
        <v/>
      </c>
      <c r="DE259" s="15" t="str">
        <f>IFERROR(__xludf.DUMMYFUNCTION("""COMPUTED_VALUE"""),"")</f>
        <v/>
      </c>
      <c r="DG259" s="15" t="str">
        <f>IFERROR(__xludf.DUMMYFUNCTION("""COMPUTED_VALUE"""),"")</f>
        <v/>
      </c>
      <c r="DL259" s="15" t="str">
        <f>IFERROR(__xludf.DUMMYFUNCTION("""COMPUTED_VALUE"""),"")</f>
        <v/>
      </c>
      <c r="DM259" s="15" t="s">
        <v>444</v>
      </c>
      <c r="DN259" s="15" t="s">
        <v>419</v>
      </c>
      <c r="DO259" s="15">
        <v>0.0</v>
      </c>
      <c r="DP259" s="15" t="s">
        <v>419</v>
      </c>
      <c r="DR259" s="15">
        <v>0.0</v>
      </c>
      <c r="DU259" s="15" t="s">
        <v>419</v>
      </c>
      <c r="DY259" s="15">
        <v>0.0</v>
      </c>
      <c r="EF259" s="15" t="s">
        <v>1157</v>
      </c>
      <c r="EG259" s="15" t="s">
        <v>1158</v>
      </c>
      <c r="EH259" s="15" t="s">
        <v>3593</v>
      </c>
      <c r="EJ259" s="15" t="s">
        <v>500</v>
      </c>
      <c r="EK259" s="15" t="s">
        <v>501</v>
      </c>
      <c r="EM259" s="15" t="str">
        <f>IFERROR(__xludf.DUMMYFUNCTION("""COMPUTED_VALUE"""),"")</f>
        <v/>
      </c>
      <c r="EW259" s="15" t="s">
        <v>788</v>
      </c>
      <c r="FH259" s="15" t="s">
        <v>2732</v>
      </c>
      <c r="FI259" s="15" t="s">
        <v>1996</v>
      </c>
      <c r="FJ259" s="15" t="s">
        <v>2732</v>
      </c>
      <c r="FK259" s="15" t="s">
        <v>1309</v>
      </c>
      <c r="FL259" s="15" t="s">
        <v>426</v>
      </c>
      <c r="FM259" s="15">
        <v>0.0</v>
      </c>
      <c r="FN259" s="15">
        <v>0.0</v>
      </c>
      <c r="FW259" s="15" t="s">
        <v>3622</v>
      </c>
    </row>
    <row r="260" ht="15.75" customHeight="1">
      <c r="A260" s="14" t="s">
        <v>391</v>
      </c>
      <c r="B260" s="15" t="s">
        <v>3623</v>
      </c>
      <c r="C260" s="16"/>
      <c r="D260" s="15" t="s">
        <v>432</v>
      </c>
      <c r="G260" s="14" t="s">
        <v>393</v>
      </c>
      <c r="H260" s="14" t="s">
        <v>394</v>
      </c>
      <c r="I260" s="14" t="b">
        <v>1</v>
      </c>
      <c r="J260" s="14" t="s">
        <v>395</v>
      </c>
      <c r="L260" s="14" t="b">
        <v>0</v>
      </c>
      <c r="M260" s="15" t="s">
        <v>3624</v>
      </c>
      <c r="N260" s="14" t="s">
        <v>393</v>
      </c>
      <c r="O260" s="14" t="s">
        <v>393</v>
      </c>
      <c r="P260" s="15" t="s">
        <v>397</v>
      </c>
      <c r="Q260" s="15" t="s">
        <v>3625</v>
      </c>
      <c r="T260" s="14" t="b">
        <v>0</v>
      </c>
      <c r="U260" s="15" t="s">
        <v>3626</v>
      </c>
      <c r="V260" s="15" t="s">
        <v>2783</v>
      </c>
      <c r="W260" s="15" t="s">
        <v>401</v>
      </c>
      <c r="X260" s="15" t="s">
        <v>695</v>
      </c>
      <c r="Y260" s="15">
        <v>390.0</v>
      </c>
      <c r="AA260" s="15" t="str">
        <f>"150"</f>
        <v>150</v>
      </c>
      <c r="AB260" s="14" t="b">
        <v>1</v>
      </c>
      <c r="AC260" s="14" t="b">
        <v>1</v>
      </c>
      <c r="AD260" s="15" t="str">
        <f>"801542321666"</f>
        <v>801542321666</v>
      </c>
      <c r="AE260" s="15" t="s">
        <v>3627</v>
      </c>
      <c r="AF260" s="14" t="s">
        <v>404</v>
      </c>
      <c r="AG260" s="14" t="s">
        <v>405</v>
      </c>
      <c r="AH260" s="14" t="s">
        <v>406</v>
      </c>
      <c r="AI260" s="15">
        <v>0.0</v>
      </c>
      <c r="AL260" s="15" t="s">
        <v>3628</v>
      </c>
      <c r="AM260" s="15" t="s">
        <v>3629</v>
      </c>
      <c r="AN260" s="15" t="s">
        <v>3630</v>
      </c>
      <c r="AO260" s="15" t="s">
        <v>3629</v>
      </c>
      <c r="AP260" s="15" t="s">
        <v>3630</v>
      </c>
      <c r="AQ260" s="15" t="s">
        <v>3184</v>
      </c>
      <c r="AR260" s="15" t="s">
        <v>2878</v>
      </c>
      <c r="AS260" s="15" t="s">
        <v>3185</v>
      </c>
      <c r="AT260" s="15" t="s">
        <v>3625</v>
      </c>
      <c r="AU260" s="15" t="s">
        <v>3631</v>
      </c>
      <c r="AW260" s="15" t="s">
        <v>1154</v>
      </c>
      <c r="AY260" s="15" t="s">
        <v>413</v>
      </c>
      <c r="AZ260" s="15" t="b">
        <v>0</v>
      </c>
      <c r="BA260" s="15" t="s">
        <v>413</v>
      </c>
      <c r="BB260" s="15" t="b">
        <v>0</v>
      </c>
      <c r="BC260" s="15" t="s">
        <v>3632</v>
      </c>
      <c r="BD260" s="15" t="s">
        <v>709</v>
      </c>
      <c r="BE260" s="15" t="str">
        <f t="shared" ref="BE260:BE264" si="486">"1"</f>
        <v>1</v>
      </c>
      <c r="BF260" s="15" t="s">
        <v>416</v>
      </c>
      <c r="BG260" s="15" t="str">
        <f>"17.72"</f>
        <v>17.72</v>
      </c>
      <c r="BH260" s="15" t="s">
        <v>3633</v>
      </c>
      <c r="BI260" s="15" t="str">
        <f>"17.72"</f>
        <v>17.72</v>
      </c>
      <c r="BJ260" s="15" t="s">
        <v>3633</v>
      </c>
      <c r="BK260" s="15" t="str">
        <f>"25.59"</f>
        <v>25.59</v>
      </c>
      <c r="BL260" s="15" t="s">
        <v>441</v>
      </c>
      <c r="BM260" s="15" t="str">
        <f>"22.05"</f>
        <v>22.05</v>
      </c>
      <c r="BN260" s="15" t="s">
        <v>2790</v>
      </c>
      <c r="BQ260" s="15" t="s">
        <v>444</v>
      </c>
      <c r="BS260" s="15" t="s">
        <v>444</v>
      </c>
      <c r="BU260" s="15" t="s">
        <v>444</v>
      </c>
      <c r="BW260" s="15" t="s">
        <v>444</v>
      </c>
      <c r="BZ260" s="15" t="s">
        <v>444</v>
      </c>
      <c r="CB260" s="15" t="s">
        <v>444</v>
      </c>
      <c r="CD260" s="15" t="s">
        <v>444</v>
      </c>
      <c r="CF260" s="15" t="s">
        <v>444</v>
      </c>
      <c r="CI260" s="15" t="s">
        <v>444</v>
      </c>
      <c r="CK260" s="15" t="s">
        <v>444</v>
      </c>
      <c r="CM260" s="15" t="s">
        <v>444</v>
      </c>
      <c r="CO260" s="15" t="s">
        <v>444</v>
      </c>
      <c r="CP260" s="15" t="str">
        <f>"4.66"</f>
        <v>4.66</v>
      </c>
      <c r="CQ260" s="15" t="str">
        <f>"0.132"</f>
        <v>0.132</v>
      </c>
      <c r="CR260" s="15" t="s">
        <v>497</v>
      </c>
      <c r="DC260" s="15" t="str">
        <f>IFERROR(__xludf.DUMMYFUNCTION("""COMPUTED_VALUE"""),"")</f>
        <v/>
      </c>
      <c r="DE260" s="15" t="str">
        <f>IFERROR(__xludf.DUMMYFUNCTION("""COMPUTED_VALUE"""),"")</f>
        <v/>
      </c>
      <c r="DG260" s="15" t="str">
        <f>IFERROR(__xludf.DUMMYFUNCTION("""COMPUTED_VALUE"""),"")</f>
        <v/>
      </c>
      <c r="DL260" s="15" t="str">
        <f>IFERROR(__xludf.DUMMYFUNCTION("""COMPUTED_VALUE"""),"")</f>
        <v/>
      </c>
      <c r="DM260" s="15" t="s">
        <v>444</v>
      </c>
      <c r="DN260" s="15" t="s">
        <v>419</v>
      </c>
      <c r="DO260" s="15">
        <v>0.0</v>
      </c>
      <c r="DP260" s="15" t="s">
        <v>419</v>
      </c>
      <c r="DR260" s="15">
        <v>0.0</v>
      </c>
      <c r="DT260" s="15" t="s">
        <v>989</v>
      </c>
      <c r="DU260" s="15" t="s">
        <v>419</v>
      </c>
      <c r="DY260" s="15">
        <v>0.0</v>
      </c>
      <c r="EF260" s="15" t="s">
        <v>1157</v>
      </c>
      <c r="EG260" s="15" t="s">
        <v>1158</v>
      </c>
      <c r="EH260" s="15" t="s">
        <v>3634</v>
      </c>
      <c r="EJ260" s="15" t="s">
        <v>500</v>
      </c>
      <c r="EK260" s="15" t="s">
        <v>501</v>
      </c>
      <c r="EM260" s="15" t="str">
        <f>IFERROR(__xludf.DUMMYFUNCTION("""COMPUTED_VALUE"""),"")</f>
        <v/>
      </c>
      <c r="EW260" s="15" t="s">
        <v>1608</v>
      </c>
      <c r="EX260" s="15" t="s">
        <v>2547</v>
      </c>
      <c r="EY260" s="15" t="s">
        <v>3241</v>
      </c>
      <c r="FH260" s="15" t="s">
        <v>475</v>
      </c>
      <c r="FI260" s="15" t="s">
        <v>2312</v>
      </c>
      <c r="FJ260" s="15" t="s">
        <v>3635</v>
      </c>
      <c r="FK260" s="15" t="s">
        <v>1188</v>
      </c>
      <c r="FM260" s="15">
        <v>0.0</v>
      </c>
      <c r="FN260" s="15">
        <v>0.0</v>
      </c>
      <c r="FW260" s="15" t="s">
        <v>425</v>
      </c>
    </row>
    <row r="261" ht="15.75" customHeight="1">
      <c r="A261" s="14" t="s">
        <v>391</v>
      </c>
      <c r="B261" s="15" t="s">
        <v>3636</v>
      </c>
      <c r="C261" s="16"/>
      <c r="D261" s="15" t="s">
        <v>432</v>
      </c>
      <c r="G261" s="14" t="s">
        <v>393</v>
      </c>
      <c r="H261" s="14" t="s">
        <v>394</v>
      </c>
      <c r="I261" s="14" t="b">
        <v>1</v>
      </c>
      <c r="J261" s="14" t="s">
        <v>395</v>
      </c>
      <c r="L261" s="14" t="b">
        <v>0</v>
      </c>
      <c r="M261" s="15" t="s">
        <v>3637</v>
      </c>
      <c r="N261" s="14" t="s">
        <v>393</v>
      </c>
      <c r="O261" s="14" t="s">
        <v>393</v>
      </c>
      <c r="P261" s="15" t="s">
        <v>397</v>
      </c>
      <c r="Q261" s="15" t="s">
        <v>3638</v>
      </c>
      <c r="T261" s="14" t="b">
        <v>0</v>
      </c>
      <c r="U261" s="15" t="s">
        <v>3639</v>
      </c>
      <c r="V261" s="15" t="s">
        <v>2772</v>
      </c>
      <c r="W261" s="15" t="s">
        <v>401</v>
      </c>
      <c r="X261" s="15" t="s">
        <v>742</v>
      </c>
      <c r="Y261" s="15">
        <v>3068.0</v>
      </c>
      <c r="AA261" s="15" t="str">
        <f>"1180"</f>
        <v>1180</v>
      </c>
      <c r="AB261" s="14" t="b">
        <v>1</v>
      </c>
      <c r="AC261" s="14" t="b">
        <v>1</v>
      </c>
      <c r="AD261" s="15" t="str">
        <f>"801542207038"</f>
        <v>801542207038</v>
      </c>
      <c r="AE261" s="15" t="s">
        <v>3640</v>
      </c>
      <c r="AF261" s="14" t="s">
        <v>404</v>
      </c>
      <c r="AG261" s="14" t="s">
        <v>405</v>
      </c>
      <c r="AH261" s="14" t="s">
        <v>406</v>
      </c>
      <c r="AI261" s="15">
        <v>0.0</v>
      </c>
      <c r="AL261" s="15" t="s">
        <v>2283</v>
      </c>
      <c r="AM261" s="15" t="s">
        <v>2151</v>
      </c>
      <c r="AN261" s="15" t="s">
        <v>2152</v>
      </c>
      <c r="AO261" s="15" t="s">
        <v>1007</v>
      </c>
      <c r="AP261" s="15" t="s">
        <v>1008</v>
      </c>
      <c r="AQ261" s="15" t="s">
        <v>749</v>
      </c>
      <c r="AR261" s="15" t="s">
        <v>750</v>
      </c>
      <c r="AS261" s="15" t="s">
        <v>1896</v>
      </c>
      <c r="AT261" s="15" t="s">
        <v>3638</v>
      </c>
      <c r="AU261" s="15" t="s">
        <v>3641</v>
      </c>
      <c r="AW261" s="15" t="s">
        <v>664</v>
      </c>
      <c r="AY261" s="15" t="s">
        <v>413</v>
      </c>
      <c r="AZ261" s="15" t="b">
        <v>0</v>
      </c>
      <c r="BA261" s="15" t="s">
        <v>413</v>
      </c>
      <c r="BB261" s="15" t="b">
        <v>0</v>
      </c>
      <c r="BC261" s="15" t="s">
        <v>3642</v>
      </c>
      <c r="BD261" s="15" t="s">
        <v>742</v>
      </c>
      <c r="BE261" s="15" t="str">
        <f t="shared" si="486"/>
        <v>1</v>
      </c>
      <c r="BF261" s="15" t="s">
        <v>1455</v>
      </c>
      <c r="BG261" s="15" t="str">
        <f>"87.8"</f>
        <v>87.8</v>
      </c>
      <c r="BH261" s="15" t="s">
        <v>2615</v>
      </c>
      <c r="BI261" s="15" t="str">
        <f>"22.05"</f>
        <v>22.05</v>
      </c>
      <c r="BJ261" s="15" t="s">
        <v>2310</v>
      </c>
      <c r="BK261" s="15" t="str">
        <f>"37.8"</f>
        <v>37.8</v>
      </c>
      <c r="BL261" s="15" t="s">
        <v>756</v>
      </c>
      <c r="BM261" s="15" t="str">
        <f>"235.89"</f>
        <v>235.89</v>
      </c>
      <c r="BN261" s="15" t="s">
        <v>3643</v>
      </c>
      <c r="BQ261" s="15" t="s">
        <v>444</v>
      </c>
      <c r="BS261" s="15" t="s">
        <v>444</v>
      </c>
      <c r="BU261" s="15" t="s">
        <v>444</v>
      </c>
      <c r="BW261" s="15" t="s">
        <v>444</v>
      </c>
      <c r="BZ261" s="15" t="s">
        <v>444</v>
      </c>
      <c r="CB261" s="15" t="s">
        <v>444</v>
      </c>
      <c r="CD261" s="15" t="s">
        <v>444</v>
      </c>
      <c r="CF261" s="15" t="s">
        <v>444</v>
      </c>
      <c r="CI261" s="15" t="s">
        <v>444</v>
      </c>
      <c r="CK261" s="15" t="s">
        <v>444</v>
      </c>
      <c r="CM261" s="15" t="s">
        <v>444</v>
      </c>
      <c r="CO261" s="15" t="s">
        <v>444</v>
      </c>
      <c r="CP261" s="15" t="str">
        <f>"42.34"</f>
        <v>42.34</v>
      </c>
      <c r="CQ261" s="15" t="str">
        <f>"1.199"</f>
        <v>1.199</v>
      </c>
      <c r="CR261" s="15" t="s">
        <v>417</v>
      </c>
      <c r="CV261" s="15" t="s">
        <v>2178</v>
      </c>
      <c r="CW261" s="15" t="s">
        <v>984</v>
      </c>
      <c r="CX261" s="15" t="s">
        <v>3644</v>
      </c>
      <c r="DC261" s="15" t="str">
        <f>IFERROR(__xludf.DUMMYFUNCTION("""COMPUTED_VALUE"""),"")</f>
        <v/>
      </c>
      <c r="DE261" s="15" t="str">
        <f>IFERROR(__xludf.DUMMYFUNCTION("""COMPUTED_VALUE"""),"")</f>
        <v/>
      </c>
      <c r="DG261" s="15" t="str">
        <f>IFERROR(__xludf.DUMMYFUNCTION("""COMPUTED_VALUE"""),"")</f>
        <v/>
      </c>
      <c r="DL261" s="15" t="str">
        <f>IFERROR(__xludf.DUMMYFUNCTION("""COMPUTED_VALUE"""),"")</f>
        <v/>
      </c>
      <c r="DM261" s="15" t="s">
        <v>444</v>
      </c>
      <c r="DN261" s="15" t="s">
        <v>419</v>
      </c>
      <c r="DO261" s="15">
        <v>0.0</v>
      </c>
      <c r="DP261" s="15" t="s">
        <v>419</v>
      </c>
      <c r="DR261" s="15">
        <v>0.0</v>
      </c>
      <c r="DT261" s="15" t="s">
        <v>1388</v>
      </c>
      <c r="DU261" s="15" t="s">
        <v>610</v>
      </c>
      <c r="DW261" s="15">
        <v>18.14</v>
      </c>
      <c r="DX261" s="15">
        <v>40.0</v>
      </c>
      <c r="DY261" s="15">
        <v>2.0</v>
      </c>
      <c r="EG261" s="15" t="s">
        <v>444</v>
      </c>
      <c r="EH261" s="15" t="s">
        <v>3645</v>
      </c>
      <c r="EJ261" s="15" t="s">
        <v>424</v>
      </c>
      <c r="EK261" s="15" t="s">
        <v>446</v>
      </c>
      <c r="EM261" s="15" t="str">
        <f>IFERROR(__xludf.DUMMYFUNCTION("""COMPUTED_VALUE"""),"")</f>
        <v/>
      </c>
      <c r="EW261" s="15" t="s">
        <v>732</v>
      </c>
      <c r="FL261" s="15" t="s">
        <v>426</v>
      </c>
      <c r="FM261" s="15">
        <v>2.0</v>
      </c>
      <c r="FY261" s="15" t="s">
        <v>3646</v>
      </c>
      <c r="FZ261" s="15" t="s">
        <v>782</v>
      </c>
      <c r="GA261" s="15" t="s">
        <v>2179</v>
      </c>
      <c r="GB261" s="15" t="s">
        <v>2178</v>
      </c>
      <c r="GC261" s="15" t="s">
        <v>782</v>
      </c>
      <c r="GD261" s="15" t="s">
        <v>3644</v>
      </c>
      <c r="GE261" s="15">
        <v>0.0</v>
      </c>
      <c r="GF261" s="15" t="s">
        <v>426</v>
      </c>
      <c r="GG261" s="15" t="s">
        <v>1044</v>
      </c>
      <c r="GH261" s="15">
        <v>4.0</v>
      </c>
      <c r="GI261" s="15" t="s">
        <v>614</v>
      </c>
      <c r="GJ261" s="15" t="s">
        <v>1045</v>
      </c>
      <c r="GK261" s="15">
        <v>0.0</v>
      </c>
      <c r="GL261" s="15" t="s">
        <v>426</v>
      </c>
      <c r="GN261" s="15" t="s">
        <v>616</v>
      </c>
      <c r="HA261" s="15" t="s">
        <v>2178</v>
      </c>
      <c r="HB261" s="15" t="s">
        <v>984</v>
      </c>
      <c r="HC261" s="15" t="s">
        <v>3644</v>
      </c>
      <c r="HW261" s="15" t="s">
        <v>1957</v>
      </c>
      <c r="IH261" s="15" t="s">
        <v>426</v>
      </c>
    </row>
    <row r="262" ht="15.75" customHeight="1">
      <c r="A262" s="14" t="s">
        <v>391</v>
      </c>
      <c r="B262" s="15" t="s">
        <v>3647</v>
      </c>
      <c r="C262" s="16"/>
      <c r="D262" s="15" t="s">
        <v>432</v>
      </c>
      <c r="G262" s="14" t="s">
        <v>393</v>
      </c>
      <c r="H262" s="14" t="s">
        <v>394</v>
      </c>
      <c r="I262" s="14" t="b">
        <v>1</v>
      </c>
      <c r="J262" s="14" t="s">
        <v>395</v>
      </c>
      <c r="L262" s="14" t="b">
        <v>0</v>
      </c>
      <c r="M262" s="15" t="s">
        <v>3648</v>
      </c>
      <c r="N262" s="14" t="s">
        <v>393</v>
      </c>
      <c r="O262" s="14" t="s">
        <v>393</v>
      </c>
      <c r="P262" s="15" t="s">
        <v>397</v>
      </c>
      <c r="Q262" s="15" t="s">
        <v>3649</v>
      </c>
      <c r="T262" s="14" t="b">
        <v>0</v>
      </c>
      <c r="U262" s="15" t="s">
        <v>3650</v>
      </c>
      <c r="V262" s="15" t="s">
        <v>3583</v>
      </c>
      <c r="W262" s="15" t="s">
        <v>401</v>
      </c>
      <c r="X262" s="15" t="s">
        <v>742</v>
      </c>
      <c r="Y262" s="15">
        <v>1976.0</v>
      </c>
      <c r="AA262" s="15" t="str">
        <f>"760"</f>
        <v>760</v>
      </c>
      <c r="AB262" s="14" t="b">
        <v>1</v>
      </c>
      <c r="AC262" s="14" t="b">
        <v>1</v>
      </c>
      <c r="AD262" s="15" t="str">
        <f>"801542090654"</f>
        <v>801542090654</v>
      </c>
      <c r="AE262" s="15" t="s">
        <v>3651</v>
      </c>
      <c r="AF262" s="14" t="s">
        <v>404</v>
      </c>
      <c r="AG262" s="14" t="s">
        <v>405</v>
      </c>
      <c r="AH262" s="14" t="s">
        <v>406</v>
      </c>
      <c r="AI262" s="15">
        <v>0.0</v>
      </c>
      <c r="AL262" s="15" t="s">
        <v>3652</v>
      </c>
      <c r="AM262" s="15" t="s">
        <v>2372</v>
      </c>
      <c r="AN262" s="15" t="s">
        <v>2373</v>
      </c>
      <c r="AO262" s="15" t="s">
        <v>2372</v>
      </c>
      <c r="AP262" s="15" t="s">
        <v>2373</v>
      </c>
      <c r="AQ262" s="15" t="s">
        <v>1874</v>
      </c>
      <c r="AR262" s="15" t="s">
        <v>1875</v>
      </c>
      <c r="AS262" s="15" t="s">
        <v>2759</v>
      </c>
      <c r="AT262" s="15" t="s">
        <v>3649</v>
      </c>
      <c r="AU262" s="15" t="s">
        <v>3653</v>
      </c>
      <c r="AV262" s="15" t="s">
        <v>3654</v>
      </c>
      <c r="AW262" s="15" t="s">
        <v>491</v>
      </c>
      <c r="AY262" s="15" t="s">
        <v>413</v>
      </c>
      <c r="AZ262" s="15" t="b">
        <v>0</v>
      </c>
      <c r="BA262" s="15" t="s">
        <v>413</v>
      </c>
      <c r="BB262" s="15" t="b">
        <v>0</v>
      </c>
      <c r="BC262" s="15" t="s">
        <v>3655</v>
      </c>
      <c r="BD262" s="15" t="s">
        <v>742</v>
      </c>
      <c r="BE262" s="15" t="str">
        <f t="shared" si="486"/>
        <v>1</v>
      </c>
      <c r="BF262" s="15" t="s">
        <v>416</v>
      </c>
      <c r="BG262" s="15" t="str">
        <f>"41.5"</f>
        <v>41.5</v>
      </c>
      <c r="BH262" s="15" t="s">
        <v>1402</v>
      </c>
      <c r="BI262" s="15" t="str">
        <f>"41.5"</f>
        <v>41.5</v>
      </c>
      <c r="BJ262" s="15" t="s">
        <v>1402</v>
      </c>
      <c r="BK262" s="15" t="str">
        <f>"22.99"</f>
        <v>22.99</v>
      </c>
      <c r="BL262" s="15" t="s">
        <v>3656</v>
      </c>
      <c r="BM262" s="15" t="str">
        <f>"132.28"</f>
        <v>132.28</v>
      </c>
      <c r="BN262" s="15" t="s">
        <v>2175</v>
      </c>
      <c r="BQ262" s="15" t="s">
        <v>444</v>
      </c>
      <c r="BS262" s="15" t="s">
        <v>444</v>
      </c>
      <c r="BU262" s="15" t="s">
        <v>444</v>
      </c>
      <c r="BW262" s="15" t="s">
        <v>444</v>
      </c>
      <c r="BZ262" s="15" t="s">
        <v>444</v>
      </c>
      <c r="CB262" s="15" t="s">
        <v>444</v>
      </c>
      <c r="CD262" s="15" t="s">
        <v>444</v>
      </c>
      <c r="CF262" s="15" t="s">
        <v>444</v>
      </c>
      <c r="CI262" s="15" t="s">
        <v>444</v>
      </c>
      <c r="CK262" s="15" t="s">
        <v>444</v>
      </c>
      <c r="CM262" s="15" t="s">
        <v>444</v>
      </c>
      <c r="CO262" s="15" t="s">
        <v>444</v>
      </c>
      <c r="CP262" s="15" t="str">
        <f>"22.92"</f>
        <v>22.92</v>
      </c>
      <c r="CQ262" s="15" t="str">
        <f>"0.649"</f>
        <v>0.649</v>
      </c>
      <c r="CR262" s="15" t="s">
        <v>465</v>
      </c>
      <c r="DC262" s="15" t="str">
        <f>IFERROR(__xludf.DUMMYFUNCTION("""COMPUTED_VALUE"""),"")</f>
        <v/>
      </c>
      <c r="DE262" s="15" t="str">
        <f>IFERROR(__xludf.DUMMYFUNCTION("""COMPUTED_VALUE"""),"")</f>
        <v/>
      </c>
      <c r="DG262" s="15" t="str">
        <f>IFERROR(__xludf.DUMMYFUNCTION("""COMPUTED_VALUE"""),"")</f>
        <v/>
      </c>
      <c r="DL262" s="15" t="str">
        <f>IFERROR(__xludf.DUMMYFUNCTION("""COMPUTED_VALUE"""),"")</f>
        <v/>
      </c>
      <c r="DM262" s="15" t="s">
        <v>444</v>
      </c>
      <c r="DN262" s="15" t="s">
        <v>419</v>
      </c>
      <c r="DO262" s="15">
        <v>0.0</v>
      </c>
      <c r="DP262" s="15" t="s">
        <v>419</v>
      </c>
      <c r="DR262" s="15">
        <v>0.0</v>
      </c>
      <c r="DT262" s="15" t="s">
        <v>420</v>
      </c>
      <c r="DU262" s="15" t="s">
        <v>419</v>
      </c>
      <c r="DY262" s="15">
        <v>0.0</v>
      </c>
      <c r="EF262" s="15" t="s">
        <v>1157</v>
      </c>
      <c r="EG262" s="15" t="s">
        <v>1158</v>
      </c>
      <c r="EH262" s="15" t="s">
        <v>3657</v>
      </c>
      <c r="EJ262" s="15" t="s">
        <v>500</v>
      </c>
      <c r="EK262" s="15" t="s">
        <v>501</v>
      </c>
      <c r="EM262" s="15" t="str">
        <f>IFERROR(__xludf.DUMMYFUNCTION("""COMPUTED_VALUE"""),"")</f>
        <v/>
      </c>
      <c r="EW262" s="15" t="s">
        <v>3658</v>
      </c>
      <c r="FH262" s="15" t="s">
        <v>3659</v>
      </c>
      <c r="FI262" s="15" t="s">
        <v>3658</v>
      </c>
      <c r="FJ262" s="15" t="s">
        <v>3659</v>
      </c>
      <c r="FK262" s="15" t="s">
        <v>3660</v>
      </c>
      <c r="FM262" s="15">
        <v>0.0</v>
      </c>
      <c r="FN262" s="15">
        <v>0.0</v>
      </c>
      <c r="FW262" s="15" t="s">
        <v>1483</v>
      </c>
    </row>
    <row r="263" ht="15.75" customHeight="1">
      <c r="A263" s="14" t="s">
        <v>391</v>
      </c>
      <c r="B263" s="15" t="s">
        <v>3661</v>
      </c>
      <c r="C263" s="16"/>
      <c r="D263" s="15" t="s">
        <v>432</v>
      </c>
      <c r="G263" s="14" t="s">
        <v>393</v>
      </c>
      <c r="H263" s="14" t="s">
        <v>394</v>
      </c>
      <c r="I263" s="14" t="b">
        <v>1</v>
      </c>
      <c r="J263" s="14" t="s">
        <v>395</v>
      </c>
      <c r="L263" s="14" t="b">
        <v>0</v>
      </c>
      <c r="M263" s="15" t="s">
        <v>3662</v>
      </c>
      <c r="N263" s="14" t="s">
        <v>393</v>
      </c>
      <c r="O263" s="14" t="s">
        <v>393</v>
      </c>
      <c r="P263" s="15" t="s">
        <v>397</v>
      </c>
      <c r="Q263" s="15" t="s">
        <v>3649</v>
      </c>
      <c r="T263" s="14" t="b">
        <v>0</v>
      </c>
      <c r="U263" s="15" t="s">
        <v>3663</v>
      </c>
      <c r="V263" s="15" t="s">
        <v>1148</v>
      </c>
      <c r="W263" s="15" t="s">
        <v>401</v>
      </c>
      <c r="X263" s="15" t="s">
        <v>742</v>
      </c>
      <c r="Y263" s="15">
        <v>1040.0</v>
      </c>
      <c r="AA263" s="15" t="str">
        <f>"400"</f>
        <v>400</v>
      </c>
      <c r="AB263" s="14" t="b">
        <v>1</v>
      </c>
      <c r="AC263" s="14" t="b">
        <v>1</v>
      </c>
      <c r="AD263" s="15" t="str">
        <f>"801542151249"</f>
        <v>801542151249</v>
      </c>
      <c r="AE263" s="15" t="s">
        <v>3664</v>
      </c>
      <c r="AF263" s="14" t="s">
        <v>404</v>
      </c>
      <c r="AG263" s="14" t="s">
        <v>405</v>
      </c>
      <c r="AH263" s="14" t="s">
        <v>406</v>
      </c>
      <c r="AI263" s="15">
        <v>0.0</v>
      </c>
      <c r="AL263" s="15" t="s">
        <v>3652</v>
      </c>
      <c r="AM263" s="15" t="s">
        <v>1152</v>
      </c>
      <c r="AN263" s="15" t="s">
        <v>1153</v>
      </c>
      <c r="AO263" s="15" t="s">
        <v>1152</v>
      </c>
      <c r="AP263" s="15" t="s">
        <v>1153</v>
      </c>
      <c r="AQ263" s="15" t="s">
        <v>3665</v>
      </c>
      <c r="AR263" s="15" t="s">
        <v>462</v>
      </c>
      <c r="AS263" s="15" t="s">
        <v>2759</v>
      </c>
      <c r="AT263" s="15" t="s">
        <v>3649</v>
      </c>
      <c r="AU263" s="15" t="s">
        <v>3653</v>
      </c>
      <c r="AV263" s="15" t="s">
        <v>3654</v>
      </c>
      <c r="AW263" s="15" t="s">
        <v>1154</v>
      </c>
      <c r="AY263" s="15" t="s">
        <v>413</v>
      </c>
      <c r="AZ263" s="15" t="b">
        <v>0</v>
      </c>
      <c r="BA263" s="15" t="s">
        <v>413</v>
      </c>
      <c r="BB263" s="15" t="b">
        <v>0</v>
      </c>
      <c r="BC263" s="15" t="s">
        <v>3666</v>
      </c>
      <c r="BD263" s="15" t="s">
        <v>742</v>
      </c>
      <c r="BE263" s="15" t="str">
        <f t="shared" si="486"/>
        <v>1</v>
      </c>
      <c r="BF263" s="15" t="s">
        <v>416</v>
      </c>
      <c r="BG263" s="15" t="str">
        <f t="shared" ref="BG263:BG264" si="487">"20.28"</f>
        <v>20.28</v>
      </c>
      <c r="BH263" s="15" t="s">
        <v>3667</v>
      </c>
      <c r="BI263" s="15" t="str">
        <f t="shared" ref="BI263:BI264" si="488">"20.47"</f>
        <v>20.47</v>
      </c>
      <c r="BJ263" s="15" t="s">
        <v>818</v>
      </c>
      <c r="BK263" s="15" t="str">
        <f t="shared" ref="BK263:BK264" si="489">"30"</f>
        <v>30</v>
      </c>
      <c r="BL263" s="15" t="s">
        <v>547</v>
      </c>
      <c r="BM263" s="15" t="str">
        <f t="shared" ref="BM263:BM264" si="490">"52.91"</f>
        <v>52.91</v>
      </c>
      <c r="BN263" s="15" t="s">
        <v>921</v>
      </c>
      <c r="BQ263" s="15" t="s">
        <v>444</v>
      </c>
      <c r="BS263" s="15" t="s">
        <v>444</v>
      </c>
      <c r="BU263" s="15" t="s">
        <v>444</v>
      </c>
      <c r="BW263" s="15" t="s">
        <v>444</v>
      </c>
      <c r="BZ263" s="15" t="s">
        <v>444</v>
      </c>
      <c r="CB263" s="15" t="s">
        <v>444</v>
      </c>
      <c r="CD263" s="15" t="s">
        <v>444</v>
      </c>
      <c r="CF263" s="15" t="s">
        <v>444</v>
      </c>
      <c r="CI263" s="15" t="s">
        <v>444</v>
      </c>
      <c r="CK263" s="15" t="s">
        <v>444</v>
      </c>
      <c r="CM263" s="15" t="s">
        <v>444</v>
      </c>
      <c r="CO263" s="15" t="s">
        <v>444</v>
      </c>
      <c r="CP263" s="15" t="str">
        <f t="shared" ref="CP263:CP264" si="491">"7.2"</f>
        <v>7.2</v>
      </c>
      <c r="CQ263" s="15" t="str">
        <f t="shared" ref="CQ263:CQ264" si="492">"0.204"</f>
        <v>0.204</v>
      </c>
      <c r="CR263" s="15" t="s">
        <v>465</v>
      </c>
      <c r="DC263" s="15" t="str">
        <f>IFERROR(__xludf.DUMMYFUNCTION("""COMPUTED_VALUE"""),"")</f>
        <v/>
      </c>
      <c r="DE263" s="15" t="str">
        <f>IFERROR(__xludf.DUMMYFUNCTION("""COMPUTED_VALUE"""),"")</f>
        <v/>
      </c>
      <c r="DG263" s="15" t="str">
        <f>IFERROR(__xludf.DUMMYFUNCTION("""COMPUTED_VALUE"""),"")</f>
        <v/>
      </c>
      <c r="DL263" s="15" t="str">
        <f>IFERROR(__xludf.DUMMYFUNCTION("""COMPUTED_VALUE"""),"")</f>
        <v/>
      </c>
      <c r="DM263" s="15" t="s">
        <v>444</v>
      </c>
      <c r="DN263" s="15" t="s">
        <v>419</v>
      </c>
      <c r="DO263" s="15">
        <v>0.0</v>
      </c>
      <c r="DP263" s="15" t="s">
        <v>419</v>
      </c>
      <c r="DR263" s="15">
        <v>0.0</v>
      </c>
      <c r="DT263" s="15" t="s">
        <v>420</v>
      </c>
      <c r="DU263" s="15" t="s">
        <v>419</v>
      </c>
      <c r="DY263" s="15">
        <v>0.0</v>
      </c>
      <c r="EF263" s="15" t="s">
        <v>1157</v>
      </c>
      <c r="EG263" s="15" t="s">
        <v>1158</v>
      </c>
      <c r="EH263" s="15" t="s">
        <v>3657</v>
      </c>
      <c r="EJ263" s="15" t="s">
        <v>500</v>
      </c>
      <c r="EK263" s="15" t="s">
        <v>501</v>
      </c>
      <c r="EM263" s="15" t="str">
        <f>IFERROR(__xludf.DUMMYFUNCTION("""COMPUTED_VALUE"""),"")</f>
        <v/>
      </c>
      <c r="EW263" s="15" t="s">
        <v>3658</v>
      </c>
      <c r="FH263" s="15" t="s">
        <v>2156</v>
      </c>
      <c r="FI263" s="15" t="s">
        <v>3658</v>
      </c>
      <c r="FJ263" s="15" t="s">
        <v>2156</v>
      </c>
      <c r="FK263" s="15" t="s">
        <v>3668</v>
      </c>
      <c r="FM263" s="15">
        <v>0.0</v>
      </c>
      <c r="FN263" s="15">
        <v>0.0</v>
      </c>
      <c r="FW263" s="15" t="s">
        <v>1957</v>
      </c>
    </row>
    <row r="264" ht="15.75" customHeight="1">
      <c r="A264" s="14" t="s">
        <v>391</v>
      </c>
      <c r="B264" s="15" t="s">
        <v>3661</v>
      </c>
      <c r="C264" s="16"/>
      <c r="D264" s="15" t="s">
        <v>432</v>
      </c>
      <c r="G264" s="14" t="s">
        <v>393</v>
      </c>
      <c r="H264" s="14" t="s">
        <v>394</v>
      </c>
      <c r="I264" s="14" t="b">
        <v>1</v>
      </c>
      <c r="J264" s="14" t="s">
        <v>395</v>
      </c>
      <c r="L264" s="14" t="b">
        <v>0</v>
      </c>
      <c r="M264" s="15" t="s">
        <v>3669</v>
      </c>
      <c r="N264" s="14" t="s">
        <v>393</v>
      </c>
      <c r="O264" s="14" t="s">
        <v>393</v>
      </c>
      <c r="P264" s="15" t="s">
        <v>397</v>
      </c>
      <c r="Q264" s="15" t="s">
        <v>3670</v>
      </c>
      <c r="T264" s="14" t="b">
        <v>0</v>
      </c>
      <c r="U264" s="15" t="s">
        <v>3671</v>
      </c>
      <c r="V264" s="15" t="s">
        <v>1148</v>
      </c>
      <c r="W264" s="15" t="s">
        <v>401</v>
      </c>
      <c r="X264" s="15" t="s">
        <v>742</v>
      </c>
      <c r="Y264" s="15">
        <v>988.0</v>
      </c>
      <c r="AA264" s="15" t="str">
        <f>"380"</f>
        <v>380</v>
      </c>
      <c r="AB264" s="14" t="b">
        <v>1</v>
      </c>
      <c r="AC264" s="14" t="b">
        <v>1</v>
      </c>
      <c r="AD264" s="15" t="str">
        <f>"801542760991"</f>
        <v>801542760991</v>
      </c>
      <c r="AE264" s="15" t="s">
        <v>3672</v>
      </c>
      <c r="AF264" s="14" t="s">
        <v>404</v>
      </c>
      <c r="AG264" s="14" t="s">
        <v>405</v>
      </c>
      <c r="AH264" s="14" t="s">
        <v>406</v>
      </c>
      <c r="AI264" s="15">
        <v>0.0</v>
      </c>
      <c r="AL264" s="15" t="s">
        <v>3673</v>
      </c>
      <c r="AM264" s="15" t="s">
        <v>1152</v>
      </c>
      <c r="AN264" s="15" t="s">
        <v>1153</v>
      </c>
      <c r="AO264" s="15" t="s">
        <v>1152</v>
      </c>
      <c r="AP264" s="15" t="s">
        <v>1153</v>
      </c>
      <c r="AQ264" s="15" t="s">
        <v>3665</v>
      </c>
      <c r="AR264" s="15" t="s">
        <v>462</v>
      </c>
      <c r="AS264" s="15" t="s">
        <v>2759</v>
      </c>
      <c r="AT264" s="15" t="s">
        <v>3670</v>
      </c>
      <c r="AU264" s="15" t="s">
        <v>3674</v>
      </c>
      <c r="AV264" s="15" t="s">
        <v>3675</v>
      </c>
      <c r="AW264" s="15" t="s">
        <v>1154</v>
      </c>
      <c r="AY264" s="15" t="s">
        <v>413</v>
      </c>
      <c r="AZ264" s="15" t="b">
        <v>0</v>
      </c>
      <c r="BA264" s="15" t="s">
        <v>413</v>
      </c>
      <c r="BB264" s="15" t="b">
        <v>0</v>
      </c>
      <c r="BC264" s="15" t="s">
        <v>3676</v>
      </c>
      <c r="BD264" s="15" t="s">
        <v>742</v>
      </c>
      <c r="BE264" s="15" t="str">
        <f t="shared" si="486"/>
        <v>1</v>
      </c>
      <c r="BF264" s="15" t="s">
        <v>416</v>
      </c>
      <c r="BG264" s="15" t="str">
        <f t="shared" si="487"/>
        <v>20.28</v>
      </c>
      <c r="BH264" s="15" t="s">
        <v>3667</v>
      </c>
      <c r="BI264" s="15" t="str">
        <f t="shared" si="488"/>
        <v>20.47</v>
      </c>
      <c r="BJ264" s="15" t="s">
        <v>818</v>
      </c>
      <c r="BK264" s="15" t="str">
        <f t="shared" si="489"/>
        <v>30</v>
      </c>
      <c r="BL264" s="15" t="s">
        <v>547</v>
      </c>
      <c r="BM264" s="15" t="str">
        <f t="shared" si="490"/>
        <v>52.91</v>
      </c>
      <c r="BN264" s="15" t="s">
        <v>921</v>
      </c>
      <c r="BQ264" s="15" t="s">
        <v>444</v>
      </c>
      <c r="BS264" s="15" t="s">
        <v>444</v>
      </c>
      <c r="BU264" s="15" t="s">
        <v>444</v>
      </c>
      <c r="BW264" s="15" t="s">
        <v>444</v>
      </c>
      <c r="BZ264" s="15" t="s">
        <v>444</v>
      </c>
      <c r="CB264" s="15" t="s">
        <v>444</v>
      </c>
      <c r="CD264" s="15" t="s">
        <v>444</v>
      </c>
      <c r="CF264" s="15" t="s">
        <v>444</v>
      </c>
      <c r="CI264" s="15" t="s">
        <v>444</v>
      </c>
      <c r="CK264" s="15" t="s">
        <v>444</v>
      </c>
      <c r="CM264" s="15" t="s">
        <v>444</v>
      </c>
      <c r="CO264" s="15" t="s">
        <v>444</v>
      </c>
      <c r="CP264" s="15" t="str">
        <f t="shared" si="491"/>
        <v>7.2</v>
      </c>
      <c r="CQ264" s="15" t="str">
        <f t="shared" si="492"/>
        <v>0.204</v>
      </c>
      <c r="CR264" s="15" t="s">
        <v>497</v>
      </c>
      <c r="DC264" s="15" t="str">
        <f>IFERROR(__xludf.DUMMYFUNCTION("""COMPUTED_VALUE"""),"")</f>
        <v/>
      </c>
      <c r="DE264" s="15" t="str">
        <f>IFERROR(__xludf.DUMMYFUNCTION("""COMPUTED_VALUE"""),"")</f>
        <v/>
      </c>
      <c r="DG264" s="15" t="str">
        <f>IFERROR(__xludf.DUMMYFUNCTION("""COMPUTED_VALUE"""),"")</f>
        <v/>
      </c>
      <c r="DL264" s="15" t="str">
        <f>IFERROR(__xludf.DUMMYFUNCTION("""COMPUTED_VALUE"""),"")</f>
        <v/>
      </c>
      <c r="DM264" s="15" t="s">
        <v>444</v>
      </c>
      <c r="DN264" s="15" t="s">
        <v>419</v>
      </c>
      <c r="DO264" s="15">
        <v>0.0</v>
      </c>
      <c r="DP264" s="15" t="s">
        <v>419</v>
      </c>
      <c r="DR264" s="15">
        <v>0.0</v>
      </c>
      <c r="DT264" s="15" t="s">
        <v>420</v>
      </c>
      <c r="DU264" s="15" t="s">
        <v>419</v>
      </c>
      <c r="DY264" s="15">
        <v>0.0</v>
      </c>
      <c r="EF264" s="15" t="s">
        <v>1157</v>
      </c>
      <c r="EG264" s="15" t="s">
        <v>1158</v>
      </c>
      <c r="EH264" s="15" t="s">
        <v>3657</v>
      </c>
      <c r="EJ264" s="15" t="s">
        <v>500</v>
      </c>
      <c r="EK264" s="15" t="s">
        <v>501</v>
      </c>
      <c r="EM264" s="15" t="str">
        <f>IFERROR(__xludf.DUMMYFUNCTION("""COMPUTED_VALUE"""),"")</f>
        <v/>
      </c>
      <c r="EW264" s="15" t="s">
        <v>3658</v>
      </c>
      <c r="FH264" s="15" t="s">
        <v>2156</v>
      </c>
      <c r="FI264" s="15" t="s">
        <v>3658</v>
      </c>
      <c r="FJ264" s="15" t="s">
        <v>2156</v>
      </c>
      <c r="FK264" s="15" t="s">
        <v>3668</v>
      </c>
      <c r="FM264" s="15">
        <v>0.0</v>
      </c>
      <c r="FN264" s="15">
        <v>0.0</v>
      </c>
      <c r="FW264" s="15" t="s">
        <v>1957</v>
      </c>
    </row>
    <row r="265" ht="15.75" customHeight="1">
      <c r="A265" s="14" t="s">
        <v>391</v>
      </c>
      <c r="B265" s="15" t="s">
        <v>3677</v>
      </c>
      <c r="C265" s="16"/>
      <c r="D265" s="15" t="s">
        <v>432</v>
      </c>
      <c r="G265" s="14" t="s">
        <v>393</v>
      </c>
      <c r="H265" s="14" t="s">
        <v>394</v>
      </c>
      <c r="I265" s="14" t="b">
        <v>1</v>
      </c>
      <c r="J265" s="14" t="s">
        <v>395</v>
      </c>
      <c r="L265" s="14" t="b">
        <v>0</v>
      </c>
      <c r="M265" s="15" t="s">
        <v>3678</v>
      </c>
      <c r="N265" s="14" t="s">
        <v>393</v>
      </c>
      <c r="O265" s="14" t="s">
        <v>393</v>
      </c>
      <c r="P265" s="15" t="s">
        <v>397</v>
      </c>
      <c r="Q265" s="15" t="s">
        <v>3679</v>
      </c>
      <c r="T265" s="14" t="b">
        <v>0</v>
      </c>
      <c r="U265" s="15" t="s">
        <v>3680</v>
      </c>
      <c r="V265" s="15" t="s">
        <v>3681</v>
      </c>
      <c r="W265" s="15" t="s">
        <v>401</v>
      </c>
      <c r="X265" s="15" t="s">
        <v>402</v>
      </c>
      <c r="Y265" s="15">
        <v>4043.0</v>
      </c>
      <c r="AA265" s="15" t="str">
        <f>"1555"</f>
        <v>1555</v>
      </c>
      <c r="AB265" s="14" t="b">
        <v>1</v>
      </c>
      <c r="AC265" s="14" t="b">
        <v>1</v>
      </c>
      <c r="AD265" s="15" t="str">
        <f>"801542287801"</f>
        <v>801542287801</v>
      </c>
      <c r="AE265" s="15" t="s">
        <v>3682</v>
      </c>
      <c r="AF265" s="14" t="s">
        <v>404</v>
      </c>
      <c r="AG265" s="14" t="s">
        <v>405</v>
      </c>
      <c r="AH265" s="14" t="s">
        <v>406</v>
      </c>
      <c r="AI265" s="15">
        <v>0.0</v>
      </c>
      <c r="AL265" s="15" t="s">
        <v>3683</v>
      </c>
      <c r="AM265" s="15" t="s">
        <v>770</v>
      </c>
      <c r="AN265" s="15" t="s">
        <v>771</v>
      </c>
      <c r="AO265" s="15" t="s">
        <v>2557</v>
      </c>
      <c r="AP265" s="15" t="s">
        <v>2558</v>
      </c>
      <c r="AQ265" s="15" t="s">
        <v>546</v>
      </c>
      <c r="AR265" s="15" t="s">
        <v>547</v>
      </c>
      <c r="AS265" s="15" t="s">
        <v>411</v>
      </c>
      <c r="AT265" s="15" t="s">
        <v>3679</v>
      </c>
      <c r="AU265" s="15" t="s">
        <v>3684</v>
      </c>
      <c r="AW265" s="15" t="s">
        <v>548</v>
      </c>
      <c r="AX265" s="15" t="s">
        <v>549</v>
      </c>
      <c r="AY265" s="15" t="s">
        <v>413</v>
      </c>
      <c r="AZ265" s="15" t="b">
        <v>0</v>
      </c>
      <c r="BA265" s="15" t="s">
        <v>413</v>
      </c>
      <c r="BB265" s="15" t="b">
        <v>0</v>
      </c>
      <c r="BC265" s="15" t="s">
        <v>3685</v>
      </c>
      <c r="BD265" s="15" t="s">
        <v>415</v>
      </c>
      <c r="BE265" s="15" t="str">
        <f>"2"</f>
        <v>2</v>
      </c>
      <c r="BF265" s="15" t="s">
        <v>2709</v>
      </c>
      <c r="BG265" s="15" t="str">
        <f>"31.1"</f>
        <v>31.1</v>
      </c>
      <c r="BH265" s="15" t="s">
        <v>1386</v>
      </c>
      <c r="BI265" s="15" t="str">
        <f>"22.44"</f>
        <v>22.44</v>
      </c>
      <c r="BJ265" s="15" t="s">
        <v>1156</v>
      </c>
      <c r="BK265" s="15" t="str">
        <f>"35.04"</f>
        <v>35.04</v>
      </c>
      <c r="BL265" s="15" t="s">
        <v>1404</v>
      </c>
      <c r="BM265" s="15" t="str">
        <f>"72.53"</f>
        <v>72.53</v>
      </c>
      <c r="BN265" s="15" t="s">
        <v>3686</v>
      </c>
      <c r="BO265" s="15" t="s">
        <v>1564</v>
      </c>
      <c r="BP265" s="15" t="str">
        <f>"100.79"</f>
        <v>100.79</v>
      </c>
      <c r="BQ265" s="15" t="s">
        <v>666</v>
      </c>
      <c r="BR265" s="15" t="str">
        <f>"48.82"</f>
        <v>48.82</v>
      </c>
      <c r="BS265" s="15" t="s">
        <v>3687</v>
      </c>
      <c r="BT265" s="15" t="str">
        <f>"7.87"</f>
        <v>7.87</v>
      </c>
      <c r="BU265" s="15" t="s">
        <v>923</v>
      </c>
      <c r="BV265" s="15" t="str">
        <f>"191.8"</f>
        <v>191.8</v>
      </c>
      <c r="BW265" s="15" t="s">
        <v>3688</v>
      </c>
      <c r="BZ265" s="15" t="s">
        <v>444</v>
      </c>
      <c r="CB265" s="15" t="s">
        <v>444</v>
      </c>
      <c r="CD265" s="15" t="s">
        <v>444</v>
      </c>
      <c r="CF265" s="15" t="s">
        <v>444</v>
      </c>
      <c r="CI265" s="15" t="s">
        <v>444</v>
      </c>
      <c r="CK265" s="15" t="s">
        <v>444</v>
      </c>
      <c r="CM265" s="15" t="s">
        <v>444</v>
      </c>
      <c r="CO265" s="15" t="s">
        <v>444</v>
      </c>
      <c r="CP265" s="15" t="str">
        <f>"36.59"</f>
        <v>36.59</v>
      </c>
      <c r="CQ265" s="15" t="str">
        <f>"1.036"</f>
        <v>1.036</v>
      </c>
      <c r="CR265" s="15" t="s">
        <v>417</v>
      </c>
      <c r="DC265" s="15" t="str">
        <f>IFERROR(__xludf.DUMMYFUNCTION("""COMPUTED_VALUE"""),"")</f>
        <v/>
      </c>
      <c r="DE265" s="15" t="str">
        <f>IFERROR(__xludf.DUMMYFUNCTION("""COMPUTED_VALUE"""),"")</f>
        <v/>
      </c>
      <c r="DG265" s="15" t="str">
        <f>IFERROR(__xludf.DUMMYFUNCTION("""COMPUTED_VALUE"""),"")</f>
        <v/>
      </c>
      <c r="DL265" s="15" t="str">
        <f>IFERROR(__xludf.DUMMYFUNCTION("""COMPUTED_VALUE"""),"")</f>
        <v/>
      </c>
      <c r="DM265" s="15" t="s">
        <v>444</v>
      </c>
      <c r="DN265" s="15" t="s">
        <v>419</v>
      </c>
      <c r="DO265" s="15">
        <v>0.0</v>
      </c>
      <c r="DP265" s="15" t="s">
        <v>419</v>
      </c>
      <c r="DR265" s="15">
        <v>0.0</v>
      </c>
      <c r="DT265" s="15" t="s">
        <v>420</v>
      </c>
      <c r="DU265" s="15" t="s">
        <v>419</v>
      </c>
      <c r="DW265" s="15">
        <v>0.0</v>
      </c>
      <c r="DX265" s="15">
        <v>0.0</v>
      </c>
      <c r="DY265" s="15">
        <v>0.0</v>
      </c>
      <c r="EE265" s="15">
        <v>10.0</v>
      </c>
      <c r="EF265" s="15" t="s">
        <v>471</v>
      </c>
      <c r="EG265" s="15" t="s">
        <v>472</v>
      </c>
      <c r="EH265" s="15" t="s">
        <v>3689</v>
      </c>
      <c r="EJ265" s="15" t="s">
        <v>424</v>
      </c>
      <c r="EK265" s="15" t="s">
        <v>446</v>
      </c>
      <c r="EM265" s="15" t="str">
        <f>IFERROR(__xludf.DUMMYFUNCTION("""COMPUTED_VALUE"""),"")</f>
        <v/>
      </c>
      <c r="EW265" s="15" t="s">
        <v>3690</v>
      </c>
      <c r="EY265" s="15" t="s">
        <v>3691</v>
      </c>
      <c r="FH265" s="15" t="s">
        <v>1072</v>
      </c>
      <c r="FI265" s="15" t="s">
        <v>3692</v>
      </c>
      <c r="FJ265" s="15" t="s">
        <v>866</v>
      </c>
      <c r="FK265" s="15" t="s">
        <v>3693</v>
      </c>
      <c r="FM265" s="15">
        <v>0.0</v>
      </c>
      <c r="FN265" s="15">
        <v>0.0</v>
      </c>
      <c r="FV265" s="15" t="s">
        <v>2572</v>
      </c>
      <c r="FW265" s="15" t="s">
        <v>1996</v>
      </c>
      <c r="FX265" s="15" t="s">
        <v>3694</v>
      </c>
    </row>
    <row r="266" ht="15.75" customHeight="1">
      <c r="A266" s="14" t="s">
        <v>391</v>
      </c>
      <c r="B266" s="15" t="s">
        <v>3695</v>
      </c>
      <c r="C266" s="16"/>
      <c r="D266" s="15" t="s">
        <v>432</v>
      </c>
      <c r="G266" s="14" t="s">
        <v>393</v>
      </c>
      <c r="H266" s="14" t="s">
        <v>394</v>
      </c>
      <c r="I266" s="14" t="b">
        <v>1</v>
      </c>
      <c r="J266" s="14" t="s">
        <v>395</v>
      </c>
      <c r="L266" s="14" t="b">
        <v>0</v>
      </c>
      <c r="M266" s="15" t="s">
        <v>3696</v>
      </c>
      <c r="N266" s="14" t="s">
        <v>393</v>
      </c>
      <c r="O266" s="14" t="s">
        <v>393</v>
      </c>
      <c r="P266" s="15" t="s">
        <v>397</v>
      </c>
      <c r="Q266" s="15" t="s">
        <v>3697</v>
      </c>
      <c r="T266" s="14" t="b">
        <v>0</v>
      </c>
      <c r="U266" s="15" t="s">
        <v>3698</v>
      </c>
      <c r="V266" s="15" t="s">
        <v>3699</v>
      </c>
      <c r="W266" s="15" t="s">
        <v>401</v>
      </c>
      <c r="X266" s="15" t="s">
        <v>1296</v>
      </c>
      <c r="Y266" s="15">
        <v>312.0</v>
      </c>
      <c r="AA266" s="15" t="str">
        <f>"120"</f>
        <v>120</v>
      </c>
      <c r="AB266" s="14" t="b">
        <v>1</v>
      </c>
      <c r="AC266" s="14" t="b">
        <v>1</v>
      </c>
      <c r="AD266" s="15" t="str">
        <f>"801542685935"</f>
        <v>801542685935</v>
      </c>
      <c r="AE266" s="15" t="s">
        <v>3700</v>
      </c>
      <c r="AF266" s="14" t="s">
        <v>404</v>
      </c>
      <c r="AG266" s="14" t="s">
        <v>405</v>
      </c>
      <c r="AH266" s="14" t="s">
        <v>406</v>
      </c>
      <c r="AI266" s="15">
        <v>0.0</v>
      </c>
      <c r="AL266" s="15" t="s">
        <v>3701</v>
      </c>
      <c r="AM266" s="15" t="s">
        <v>3702</v>
      </c>
      <c r="AN266" s="15" t="s">
        <v>3703</v>
      </c>
      <c r="AO266" s="15" t="s">
        <v>3702</v>
      </c>
      <c r="AP266" s="15" t="s">
        <v>3703</v>
      </c>
      <c r="AQ266" s="15" t="s">
        <v>1007</v>
      </c>
      <c r="AR266" s="15" t="s">
        <v>1008</v>
      </c>
      <c r="AS266" s="15" t="s">
        <v>3586</v>
      </c>
      <c r="AT266" s="15" t="s">
        <v>3697</v>
      </c>
      <c r="AW266" s="15" t="s">
        <v>1154</v>
      </c>
      <c r="AY266" s="15" t="s">
        <v>413</v>
      </c>
      <c r="AZ266" s="15" t="b">
        <v>0</v>
      </c>
      <c r="BA266" s="15" t="s">
        <v>413</v>
      </c>
      <c r="BB266" s="15" t="b">
        <v>0</v>
      </c>
      <c r="BC266" s="15" t="s">
        <v>3704</v>
      </c>
      <c r="BD266" s="15" t="s">
        <v>1303</v>
      </c>
      <c r="BE266" s="15" t="str">
        <f t="shared" ref="BE266:BE285" si="493">"1"</f>
        <v>1</v>
      </c>
      <c r="BF266" s="15" t="s">
        <v>416</v>
      </c>
      <c r="BG266" s="15" t="str">
        <f>"16.75"</f>
        <v>16.75</v>
      </c>
      <c r="BH266" s="15" t="s">
        <v>3705</v>
      </c>
      <c r="BI266" s="15" t="str">
        <f>"16"</f>
        <v>16</v>
      </c>
      <c r="BJ266" s="15" t="s">
        <v>2040</v>
      </c>
      <c r="BK266" s="15" t="str">
        <f>"20.5"</f>
        <v>20.5</v>
      </c>
      <c r="BL266" s="15" t="s">
        <v>1249</v>
      </c>
      <c r="BM266" s="15" t="str">
        <f>"16.71"</f>
        <v>16.71</v>
      </c>
      <c r="BN266" s="15" t="s">
        <v>3706</v>
      </c>
      <c r="BQ266" s="15" t="s">
        <v>444</v>
      </c>
      <c r="BS266" s="15" t="s">
        <v>444</v>
      </c>
      <c r="BU266" s="15" t="s">
        <v>444</v>
      </c>
      <c r="BW266" s="15" t="s">
        <v>444</v>
      </c>
      <c r="BZ266" s="15" t="s">
        <v>444</v>
      </c>
      <c r="CB266" s="15" t="s">
        <v>444</v>
      </c>
      <c r="CD266" s="15" t="s">
        <v>444</v>
      </c>
      <c r="CF266" s="15" t="s">
        <v>444</v>
      </c>
      <c r="CI266" s="15" t="s">
        <v>444</v>
      </c>
      <c r="CK266" s="15" t="s">
        <v>444</v>
      </c>
      <c r="CM266" s="15" t="s">
        <v>444</v>
      </c>
      <c r="CO266" s="15" t="s">
        <v>444</v>
      </c>
      <c r="CP266" s="15" t="str">
        <f>"3.18"</f>
        <v>3.18</v>
      </c>
      <c r="CQ266" s="15" t="str">
        <f>"0.09"</f>
        <v>0.09</v>
      </c>
      <c r="CR266" s="15" t="s">
        <v>497</v>
      </c>
      <c r="DC266" s="15" t="str">
        <f>IFERROR(__xludf.DUMMYFUNCTION("""COMPUTED_VALUE"""),"")</f>
        <v/>
      </c>
      <c r="DE266" s="15" t="str">
        <f>IFERROR(__xludf.DUMMYFUNCTION("""COMPUTED_VALUE"""),"")</f>
        <v/>
      </c>
      <c r="DG266" s="15" t="str">
        <f>IFERROR(__xludf.DUMMYFUNCTION("""COMPUTED_VALUE"""),"")</f>
        <v/>
      </c>
      <c r="DL266" s="15" t="str">
        <f>IFERROR(__xludf.DUMMYFUNCTION("""COMPUTED_VALUE"""),"")</f>
        <v/>
      </c>
      <c r="DM266" s="15" t="s">
        <v>444</v>
      </c>
      <c r="DN266" s="15" t="s">
        <v>419</v>
      </c>
      <c r="DO266" s="15">
        <v>0.0</v>
      </c>
      <c r="DP266" s="15" t="s">
        <v>419</v>
      </c>
      <c r="DR266" s="15">
        <v>0.0</v>
      </c>
      <c r="DU266" s="15" t="s">
        <v>419</v>
      </c>
      <c r="DY266" s="15">
        <v>0.0</v>
      </c>
      <c r="EF266" s="15" t="s">
        <v>1157</v>
      </c>
      <c r="EG266" s="15" t="s">
        <v>1158</v>
      </c>
      <c r="EH266" s="15" t="s">
        <v>3707</v>
      </c>
      <c r="EJ266" s="15" t="s">
        <v>500</v>
      </c>
      <c r="EK266" s="15" t="s">
        <v>501</v>
      </c>
      <c r="EM266" s="15" t="str">
        <f>IFERROR(__xludf.DUMMYFUNCTION("""COMPUTED_VALUE"""),"")</f>
        <v/>
      </c>
      <c r="EW266" s="15" t="s">
        <v>1996</v>
      </c>
      <c r="FH266" s="15" t="s">
        <v>1576</v>
      </c>
      <c r="FI266" s="15" t="s">
        <v>1996</v>
      </c>
      <c r="FJ266" s="15" t="s">
        <v>1576</v>
      </c>
      <c r="FK266" s="15" t="s">
        <v>1236</v>
      </c>
      <c r="FM266" s="15">
        <v>0.0</v>
      </c>
      <c r="FN266" s="15">
        <v>0.0</v>
      </c>
      <c r="FW266" s="15" t="s">
        <v>784</v>
      </c>
    </row>
    <row r="267" ht="15.75" customHeight="1">
      <c r="A267" s="14" t="s">
        <v>391</v>
      </c>
      <c r="B267" s="15" t="s">
        <v>3708</v>
      </c>
      <c r="C267" s="16"/>
      <c r="D267" s="15" t="s">
        <v>432</v>
      </c>
      <c r="G267" s="14" t="s">
        <v>393</v>
      </c>
      <c r="H267" s="14" t="s">
        <v>394</v>
      </c>
      <c r="I267" s="14" t="b">
        <v>1</v>
      </c>
      <c r="J267" s="14" t="s">
        <v>395</v>
      </c>
      <c r="L267" s="14" t="b">
        <v>0</v>
      </c>
      <c r="M267" s="15" t="s">
        <v>3709</v>
      </c>
      <c r="N267" s="14" t="s">
        <v>393</v>
      </c>
      <c r="O267" s="14" t="s">
        <v>393</v>
      </c>
      <c r="P267" s="15" t="s">
        <v>397</v>
      </c>
      <c r="Q267" s="15" t="s">
        <v>3710</v>
      </c>
      <c r="T267" s="14" t="b">
        <v>0</v>
      </c>
      <c r="U267" s="15" t="s">
        <v>3711</v>
      </c>
      <c r="V267" s="15" t="s">
        <v>3712</v>
      </c>
      <c r="W267" s="15" t="s">
        <v>401</v>
      </c>
      <c r="X267" s="15" t="s">
        <v>695</v>
      </c>
      <c r="Y267" s="15">
        <v>5135.0</v>
      </c>
      <c r="AA267" s="15" t="str">
        <f>"1975"</f>
        <v>1975</v>
      </c>
      <c r="AB267" s="14" t="b">
        <v>1</v>
      </c>
      <c r="AC267" s="14" t="b">
        <v>1</v>
      </c>
      <c r="AD267" s="15" t="str">
        <f>"801542327583"</f>
        <v>801542327583</v>
      </c>
      <c r="AE267" s="15" t="s">
        <v>3713</v>
      </c>
      <c r="AF267" s="14" t="s">
        <v>404</v>
      </c>
      <c r="AG267" s="14" t="s">
        <v>405</v>
      </c>
      <c r="AH267" s="14" t="s">
        <v>406</v>
      </c>
      <c r="AI267" s="15">
        <v>0.0</v>
      </c>
      <c r="AL267" s="15" t="s">
        <v>3714</v>
      </c>
      <c r="AM267" s="15" t="s">
        <v>2304</v>
      </c>
      <c r="AN267" s="15" t="s">
        <v>2305</v>
      </c>
      <c r="AO267" s="15" t="s">
        <v>598</v>
      </c>
      <c r="AP267" s="15" t="s">
        <v>599</v>
      </c>
      <c r="AQ267" s="15" t="s">
        <v>1801</v>
      </c>
      <c r="AR267" s="15" t="s">
        <v>1322</v>
      </c>
      <c r="AS267" s="15" t="s">
        <v>3185</v>
      </c>
      <c r="AT267" s="15" t="s">
        <v>3710</v>
      </c>
      <c r="AU267" s="15" t="s">
        <v>3715</v>
      </c>
      <c r="AV267" s="15" t="s">
        <v>3716</v>
      </c>
      <c r="AW267" s="15" t="s">
        <v>664</v>
      </c>
      <c r="AY267" s="15" t="s">
        <v>413</v>
      </c>
      <c r="AZ267" s="15" t="b">
        <v>0</v>
      </c>
      <c r="BA267" s="15" t="s">
        <v>413</v>
      </c>
      <c r="BB267" s="15" t="b">
        <v>0</v>
      </c>
      <c r="BC267" s="15" t="s">
        <v>3717</v>
      </c>
      <c r="BD267" s="15" t="s">
        <v>709</v>
      </c>
      <c r="BE267" s="15" t="str">
        <f t="shared" si="493"/>
        <v>1</v>
      </c>
      <c r="BF267" s="15" t="s">
        <v>416</v>
      </c>
      <c r="BG267" s="15" t="str">
        <f>"84.25"</f>
        <v>84.25</v>
      </c>
      <c r="BH267" s="15" t="s">
        <v>910</v>
      </c>
      <c r="BI267" s="15" t="str">
        <f>"26.57"</f>
        <v>26.57</v>
      </c>
      <c r="BJ267" s="15" t="s">
        <v>3718</v>
      </c>
      <c r="BK267" s="15" t="str">
        <f>"38.58"</f>
        <v>38.58</v>
      </c>
      <c r="BL267" s="15" t="s">
        <v>442</v>
      </c>
      <c r="BM267" s="15" t="str">
        <f>"310.85"</f>
        <v>310.85</v>
      </c>
      <c r="BN267" s="15" t="s">
        <v>3719</v>
      </c>
      <c r="BQ267" s="15" t="s">
        <v>444</v>
      </c>
      <c r="BS267" s="15" t="s">
        <v>444</v>
      </c>
      <c r="BU267" s="15" t="s">
        <v>444</v>
      </c>
      <c r="BW267" s="15" t="s">
        <v>444</v>
      </c>
      <c r="BZ267" s="15" t="s">
        <v>444</v>
      </c>
      <c r="CB267" s="15" t="s">
        <v>444</v>
      </c>
      <c r="CD267" s="15" t="s">
        <v>444</v>
      </c>
      <c r="CF267" s="15" t="s">
        <v>444</v>
      </c>
      <c r="CI267" s="15" t="s">
        <v>444</v>
      </c>
      <c r="CK267" s="15" t="s">
        <v>444</v>
      </c>
      <c r="CM267" s="15" t="s">
        <v>444</v>
      </c>
      <c r="CO267" s="15" t="s">
        <v>444</v>
      </c>
      <c r="CP267" s="15" t="str">
        <f>"50.01"</f>
        <v>50.01</v>
      </c>
      <c r="CQ267" s="15" t="str">
        <f>"1.416"</f>
        <v>1.416</v>
      </c>
      <c r="CR267" s="15" t="s">
        <v>417</v>
      </c>
      <c r="CV267" s="15" t="s">
        <v>1804</v>
      </c>
      <c r="CW267" s="15" t="s">
        <v>3720</v>
      </c>
      <c r="CX267" s="15" t="s">
        <v>467</v>
      </c>
      <c r="DC267" s="15" t="str">
        <f>IFERROR(__xludf.DUMMYFUNCTION("""COMPUTED_VALUE"""),"")</f>
        <v/>
      </c>
      <c r="DE267" s="15" t="str">
        <f>IFERROR(__xludf.DUMMYFUNCTION("""COMPUTED_VALUE"""),"")</f>
        <v/>
      </c>
      <c r="DG267" s="15" t="str">
        <f>IFERROR(__xludf.DUMMYFUNCTION("""COMPUTED_VALUE"""),"")</f>
        <v/>
      </c>
      <c r="DL267" s="15" t="str">
        <f>IFERROR(__xludf.DUMMYFUNCTION("""COMPUTED_VALUE"""),"")</f>
        <v/>
      </c>
      <c r="DM267" s="15" t="s">
        <v>444</v>
      </c>
      <c r="DN267" s="15" t="s">
        <v>419</v>
      </c>
      <c r="DO267" s="15">
        <v>0.0</v>
      </c>
      <c r="DP267" s="15" t="s">
        <v>419</v>
      </c>
      <c r="DR267" s="15">
        <v>0.0</v>
      </c>
      <c r="DT267" s="15" t="s">
        <v>721</v>
      </c>
      <c r="DU267" s="15" t="s">
        <v>610</v>
      </c>
      <c r="DW267" s="15">
        <v>18.14</v>
      </c>
      <c r="DX267" s="15">
        <v>40.0</v>
      </c>
      <c r="DY267" s="15">
        <v>4.0</v>
      </c>
      <c r="EG267" s="15" t="s">
        <v>444</v>
      </c>
      <c r="EH267" s="15" t="s">
        <v>3721</v>
      </c>
      <c r="EJ267" s="15" t="s">
        <v>424</v>
      </c>
      <c r="EK267" s="15" t="s">
        <v>446</v>
      </c>
      <c r="EM267" s="15" t="str">
        <f>IFERROR(__xludf.DUMMYFUNCTION("""COMPUTED_VALUE"""),"")</f>
        <v/>
      </c>
      <c r="FL267" s="15" t="s">
        <v>426</v>
      </c>
      <c r="FM267" s="15">
        <v>4.0</v>
      </c>
      <c r="FY267" s="15" t="s">
        <v>2422</v>
      </c>
      <c r="FZ267" s="15" t="s">
        <v>1188</v>
      </c>
      <c r="GA267" s="15" t="s">
        <v>466</v>
      </c>
      <c r="GB267" s="15" t="s">
        <v>1804</v>
      </c>
      <c r="GC267" s="15" t="s">
        <v>612</v>
      </c>
      <c r="GD267" s="15" t="s">
        <v>467</v>
      </c>
      <c r="GE267" s="15">
        <v>0.0</v>
      </c>
      <c r="GF267" s="15" t="s">
        <v>426</v>
      </c>
      <c r="GH267" s="15">
        <v>4.0</v>
      </c>
      <c r="GI267" s="15" t="s">
        <v>614</v>
      </c>
      <c r="GJ267" s="15" t="s">
        <v>1045</v>
      </c>
      <c r="GK267" s="15">
        <v>0.0</v>
      </c>
      <c r="GL267" s="15" t="s">
        <v>426</v>
      </c>
      <c r="GN267" s="15" t="s">
        <v>3722</v>
      </c>
      <c r="HA267" s="15" t="s">
        <v>1804</v>
      </c>
      <c r="HB267" s="15" t="s">
        <v>3720</v>
      </c>
      <c r="HC267" s="15" t="s">
        <v>467</v>
      </c>
      <c r="HQ267" s="15" t="s">
        <v>1804</v>
      </c>
      <c r="HR267" s="15" t="s">
        <v>1804</v>
      </c>
      <c r="HS267" s="15" t="s">
        <v>3720</v>
      </c>
      <c r="HT267" s="15" t="s">
        <v>3720</v>
      </c>
      <c r="HU267" s="15" t="s">
        <v>467</v>
      </c>
      <c r="HV267" s="15" t="s">
        <v>467</v>
      </c>
      <c r="HW267" s="15" t="s">
        <v>1957</v>
      </c>
      <c r="IH267" s="15" t="s">
        <v>426</v>
      </c>
    </row>
    <row r="268" ht="15.75" customHeight="1">
      <c r="A268" s="14" t="s">
        <v>391</v>
      </c>
      <c r="B268" s="15" t="s">
        <v>3723</v>
      </c>
      <c r="C268" s="16"/>
      <c r="D268" s="15" t="s">
        <v>432</v>
      </c>
      <c r="G268" s="14" t="s">
        <v>393</v>
      </c>
      <c r="H268" s="14" t="s">
        <v>394</v>
      </c>
      <c r="I268" s="14" t="b">
        <v>1</v>
      </c>
      <c r="J268" s="14" t="s">
        <v>395</v>
      </c>
      <c r="L268" s="14" t="b">
        <v>0</v>
      </c>
      <c r="M268" s="15" t="s">
        <v>3724</v>
      </c>
      <c r="N268" s="14" t="s">
        <v>393</v>
      </c>
      <c r="O268" s="14" t="s">
        <v>393</v>
      </c>
      <c r="P268" s="15" t="s">
        <v>397</v>
      </c>
      <c r="Q268" s="15" t="s">
        <v>3725</v>
      </c>
      <c r="T268" s="14" t="b">
        <v>0</v>
      </c>
      <c r="U268" s="15" t="s">
        <v>3726</v>
      </c>
      <c r="V268" s="15" t="s">
        <v>3727</v>
      </c>
      <c r="W268" s="15" t="s">
        <v>401</v>
      </c>
      <c r="X268" s="15" t="s">
        <v>1296</v>
      </c>
      <c r="Y268" s="15">
        <v>494.0</v>
      </c>
      <c r="AA268" s="15" t="str">
        <f>"190"</f>
        <v>190</v>
      </c>
      <c r="AB268" s="14" t="b">
        <v>1</v>
      </c>
      <c r="AC268" s="14" t="b">
        <v>1</v>
      </c>
      <c r="AD268" s="15" t="str">
        <f>"801542709099"</f>
        <v>801542709099</v>
      </c>
      <c r="AE268" s="15" t="s">
        <v>3728</v>
      </c>
      <c r="AF268" s="14" t="s">
        <v>404</v>
      </c>
      <c r="AG268" s="14" t="s">
        <v>405</v>
      </c>
      <c r="AH268" s="14" t="s">
        <v>406</v>
      </c>
      <c r="AI268" s="15">
        <v>0.0</v>
      </c>
      <c r="AL268" s="15" t="s">
        <v>3729</v>
      </c>
      <c r="AM268" s="15" t="s">
        <v>1848</v>
      </c>
      <c r="AN268" s="15" t="s">
        <v>1849</v>
      </c>
      <c r="AO268" s="15" t="s">
        <v>1848</v>
      </c>
      <c r="AP268" s="15" t="s">
        <v>1849</v>
      </c>
      <c r="AQ268" s="15" t="s">
        <v>1535</v>
      </c>
      <c r="AR268" s="15" t="s">
        <v>1536</v>
      </c>
      <c r="AS268" s="15" t="s">
        <v>3586</v>
      </c>
      <c r="AT268" s="15" t="s">
        <v>3725</v>
      </c>
      <c r="AU268" s="15" t="s">
        <v>3730</v>
      </c>
      <c r="AW268" s="15" t="s">
        <v>1154</v>
      </c>
      <c r="AY268" s="15" t="s">
        <v>413</v>
      </c>
      <c r="AZ268" s="15" t="b">
        <v>0</v>
      </c>
      <c r="BA268" s="15" t="s">
        <v>413</v>
      </c>
      <c r="BB268" s="15" t="b">
        <v>0</v>
      </c>
      <c r="BC268" s="15" t="s">
        <v>3731</v>
      </c>
      <c r="BD268" s="15" t="s">
        <v>1303</v>
      </c>
      <c r="BE268" s="15" t="str">
        <f t="shared" si="493"/>
        <v>1</v>
      </c>
      <c r="BF268" s="15" t="s">
        <v>416</v>
      </c>
      <c r="BG268" s="15" t="str">
        <f>"19.5"</f>
        <v>19.5</v>
      </c>
      <c r="BH268" s="15" t="s">
        <v>3732</v>
      </c>
      <c r="BI268" s="15" t="str">
        <f>"19.5"</f>
        <v>19.5</v>
      </c>
      <c r="BJ268" s="15" t="s">
        <v>3732</v>
      </c>
      <c r="BK268" s="15" t="str">
        <f>"25"</f>
        <v>25</v>
      </c>
      <c r="BL268" s="15" t="s">
        <v>2214</v>
      </c>
      <c r="BM268" s="15" t="str">
        <f>"44.67"</f>
        <v>44.67</v>
      </c>
      <c r="BN268" s="15" t="s">
        <v>3733</v>
      </c>
      <c r="BQ268" s="15" t="s">
        <v>444</v>
      </c>
      <c r="BS268" s="15" t="s">
        <v>444</v>
      </c>
      <c r="BU268" s="15" t="s">
        <v>444</v>
      </c>
      <c r="BW268" s="15" t="s">
        <v>444</v>
      </c>
      <c r="BZ268" s="15" t="s">
        <v>444</v>
      </c>
      <c r="CB268" s="15" t="s">
        <v>444</v>
      </c>
      <c r="CD268" s="15" t="s">
        <v>444</v>
      </c>
      <c r="CF268" s="15" t="s">
        <v>444</v>
      </c>
      <c r="CI268" s="15" t="s">
        <v>444</v>
      </c>
      <c r="CK268" s="15" t="s">
        <v>444</v>
      </c>
      <c r="CM268" s="15" t="s">
        <v>444</v>
      </c>
      <c r="CO268" s="15" t="s">
        <v>444</v>
      </c>
      <c r="CP268" s="15" t="str">
        <f>"5.51"</f>
        <v>5.51</v>
      </c>
      <c r="CQ268" s="15" t="str">
        <f>"0.156"</f>
        <v>0.156</v>
      </c>
      <c r="CR268" s="15" t="s">
        <v>497</v>
      </c>
      <c r="DC268" s="15" t="str">
        <f>IFERROR(__xludf.DUMMYFUNCTION("""COMPUTED_VALUE"""),"")</f>
        <v/>
      </c>
      <c r="DE268" s="15" t="str">
        <f>IFERROR(__xludf.DUMMYFUNCTION("""COMPUTED_VALUE"""),"")</f>
        <v/>
      </c>
      <c r="DG268" s="15" t="str">
        <f>IFERROR(__xludf.DUMMYFUNCTION("""COMPUTED_VALUE"""),"")</f>
        <v/>
      </c>
      <c r="DL268" s="15" t="str">
        <f>IFERROR(__xludf.DUMMYFUNCTION("""COMPUTED_VALUE"""),"")</f>
        <v/>
      </c>
      <c r="DM268" s="15" t="s">
        <v>444</v>
      </c>
      <c r="DN268" s="15" t="s">
        <v>419</v>
      </c>
      <c r="DO268" s="15">
        <v>0.0</v>
      </c>
      <c r="DP268" s="15" t="s">
        <v>419</v>
      </c>
      <c r="DR268" s="15">
        <v>0.0</v>
      </c>
      <c r="DU268" s="15" t="s">
        <v>419</v>
      </c>
      <c r="DY268" s="15">
        <v>0.0</v>
      </c>
      <c r="EF268" s="15" t="s">
        <v>498</v>
      </c>
      <c r="EG268" s="15" t="s">
        <v>499</v>
      </c>
      <c r="EH268" s="15" t="s">
        <v>3734</v>
      </c>
      <c r="EJ268" s="15" t="s">
        <v>500</v>
      </c>
      <c r="EK268" s="15" t="s">
        <v>501</v>
      </c>
      <c r="EM268" s="15" t="str">
        <f>IFERROR(__xludf.DUMMYFUNCTION("""COMPUTED_VALUE"""),"")</f>
        <v/>
      </c>
      <c r="EW268" s="15" t="s">
        <v>1237</v>
      </c>
      <c r="EX268" s="15" t="s">
        <v>3735</v>
      </c>
      <c r="EY268" s="15" t="s">
        <v>3735</v>
      </c>
      <c r="FH268" s="15" t="s">
        <v>612</v>
      </c>
      <c r="FI268" s="15" t="s">
        <v>1237</v>
      </c>
      <c r="FJ268" s="15" t="s">
        <v>612</v>
      </c>
      <c r="FK268" s="15" t="s">
        <v>612</v>
      </c>
      <c r="FM268" s="15">
        <v>0.0</v>
      </c>
      <c r="FN268" s="15">
        <v>0.0</v>
      </c>
      <c r="HE268" s="15" t="s">
        <v>2020</v>
      </c>
      <c r="HF268" s="15" t="s">
        <v>2198</v>
      </c>
      <c r="HG268" s="15" t="s">
        <v>2020</v>
      </c>
      <c r="HH268" s="15" t="s">
        <v>1073</v>
      </c>
      <c r="HI268" s="15" t="s">
        <v>1325</v>
      </c>
      <c r="HJ268" s="15" t="s">
        <v>1073</v>
      </c>
    </row>
    <row r="269" ht="15.75" customHeight="1">
      <c r="A269" s="14" t="s">
        <v>391</v>
      </c>
      <c r="B269" s="15" t="s">
        <v>3736</v>
      </c>
      <c r="C269" s="16"/>
      <c r="D269" s="15" t="s">
        <v>432</v>
      </c>
      <c r="G269" s="14" t="s">
        <v>393</v>
      </c>
      <c r="H269" s="14" t="s">
        <v>394</v>
      </c>
      <c r="I269" s="14" t="b">
        <v>1</v>
      </c>
      <c r="J269" s="14" t="s">
        <v>395</v>
      </c>
      <c r="L269" s="14" t="b">
        <v>0</v>
      </c>
      <c r="M269" s="15" t="s">
        <v>3737</v>
      </c>
      <c r="N269" s="14" t="s">
        <v>393</v>
      </c>
      <c r="O269" s="14" t="s">
        <v>393</v>
      </c>
      <c r="P269" s="15" t="s">
        <v>397</v>
      </c>
      <c r="Q269" s="15" t="s">
        <v>1985</v>
      </c>
      <c r="T269" s="14" t="b">
        <v>0</v>
      </c>
      <c r="U269" s="15" t="s">
        <v>3738</v>
      </c>
      <c r="V269" s="15" t="s">
        <v>1530</v>
      </c>
      <c r="W269" s="15" t="s">
        <v>401</v>
      </c>
      <c r="X269" s="15" t="s">
        <v>742</v>
      </c>
      <c r="Y269" s="15">
        <v>1755.0</v>
      </c>
      <c r="AA269" s="15" t="str">
        <f>"675"</f>
        <v>675</v>
      </c>
      <c r="AB269" s="14" t="b">
        <v>1</v>
      </c>
      <c r="AC269" s="14" t="b">
        <v>1</v>
      </c>
      <c r="AD269" s="15" t="str">
        <f>"801542614492"</f>
        <v>801542614492</v>
      </c>
      <c r="AE269" s="15" t="s">
        <v>3739</v>
      </c>
      <c r="AF269" s="14" t="s">
        <v>404</v>
      </c>
      <c r="AG269" s="14" t="s">
        <v>405</v>
      </c>
      <c r="AH269" s="14" t="s">
        <v>406</v>
      </c>
      <c r="AI269" s="15">
        <v>0.0</v>
      </c>
      <c r="AL269" s="15" t="s">
        <v>975</v>
      </c>
      <c r="AM269" s="15" t="s">
        <v>1057</v>
      </c>
      <c r="AN269" s="15" t="s">
        <v>1058</v>
      </c>
      <c r="AO269" s="15" t="s">
        <v>1028</v>
      </c>
      <c r="AP269" s="15" t="s">
        <v>1029</v>
      </c>
      <c r="AQ269" s="15" t="s">
        <v>662</v>
      </c>
      <c r="AR269" s="15" t="s">
        <v>663</v>
      </c>
      <c r="AS269" s="15" t="s">
        <v>1539</v>
      </c>
      <c r="AT269" s="15" t="s">
        <v>1985</v>
      </c>
      <c r="AU269" s="15" t="s">
        <v>978</v>
      </c>
      <c r="AW269" s="15" t="s">
        <v>706</v>
      </c>
      <c r="AX269" s="15" t="s">
        <v>707</v>
      </c>
      <c r="AY269" s="15" t="s">
        <v>413</v>
      </c>
      <c r="AZ269" s="15" t="b">
        <v>0</v>
      </c>
      <c r="BA269" s="15" t="s">
        <v>413</v>
      </c>
      <c r="BB269" s="15" t="b">
        <v>0</v>
      </c>
      <c r="BC269" s="15" t="s">
        <v>3740</v>
      </c>
      <c r="BD269" s="15" t="s">
        <v>742</v>
      </c>
      <c r="BE269" s="15" t="str">
        <f t="shared" si="493"/>
        <v>1</v>
      </c>
      <c r="BF269" s="15" t="s">
        <v>3741</v>
      </c>
      <c r="BG269" s="15" t="str">
        <f>"36.81"</f>
        <v>36.81</v>
      </c>
      <c r="BH269" s="15" t="s">
        <v>3742</v>
      </c>
      <c r="BI269" s="15" t="str">
        <f>"32.48"</f>
        <v>32.48</v>
      </c>
      <c r="BJ269" s="15" t="s">
        <v>3743</v>
      </c>
      <c r="BK269" s="15" t="str">
        <f>"36.81"</f>
        <v>36.81</v>
      </c>
      <c r="BL269" s="15" t="s">
        <v>3742</v>
      </c>
      <c r="BM269" s="15" t="str">
        <f>"68.34"</f>
        <v>68.34</v>
      </c>
      <c r="BN269" s="15" t="s">
        <v>3744</v>
      </c>
      <c r="BQ269" s="15" t="s">
        <v>444</v>
      </c>
      <c r="BS269" s="15" t="s">
        <v>444</v>
      </c>
      <c r="BU269" s="15" t="s">
        <v>444</v>
      </c>
      <c r="BW269" s="15" t="s">
        <v>444</v>
      </c>
      <c r="BZ269" s="15" t="s">
        <v>444</v>
      </c>
      <c r="CB269" s="15" t="s">
        <v>444</v>
      </c>
      <c r="CD269" s="15" t="s">
        <v>444</v>
      </c>
      <c r="CF269" s="15" t="s">
        <v>444</v>
      </c>
      <c r="CI269" s="15" t="s">
        <v>444</v>
      </c>
      <c r="CK269" s="15" t="s">
        <v>444</v>
      </c>
      <c r="CM269" s="15" t="s">
        <v>444</v>
      </c>
      <c r="CO269" s="15" t="s">
        <v>444</v>
      </c>
      <c r="CP269" s="15" t="str">
        <f>"20.62"</f>
        <v>20.62</v>
      </c>
      <c r="CQ269" s="15" t="str">
        <f>"0.584"</f>
        <v>0.584</v>
      </c>
      <c r="CR269" s="15" t="s">
        <v>465</v>
      </c>
      <c r="DB269" s="15" t="s">
        <v>1074</v>
      </c>
      <c r="DC269" s="15" t="str">
        <f>IFERROR(__xludf.DUMMYFUNCTION("""COMPUTED_VALUE"""),"{""value"":22.05,""unit"":""in""}")</f>
        <v>{"value":22.05,"unit":"in"}</v>
      </c>
      <c r="DD269" s="15" t="s">
        <v>1036</v>
      </c>
      <c r="DE269" s="15" t="str">
        <f>IFERROR(__xludf.DUMMYFUNCTION("""COMPUTED_VALUE"""),"{""value"":16.73,""unit"":""in""}")</f>
        <v>{"value":16.73,"unit":"in"}</v>
      </c>
      <c r="DF269" s="15" t="s">
        <v>1074</v>
      </c>
      <c r="DG269" s="15" t="str">
        <f>IFERROR(__xludf.DUMMYFUNCTION("""COMPUTED_VALUE"""),"{""value"":22.05,""unit"":""in""}")</f>
        <v>{"value":22.05,"unit":"in"}</v>
      </c>
      <c r="DH269" s="15">
        <v>0.0</v>
      </c>
      <c r="DI269" s="15">
        <v>1.0</v>
      </c>
      <c r="DJ269" s="15" t="s">
        <v>717</v>
      </c>
      <c r="DK269" s="15" t="s">
        <v>718</v>
      </c>
      <c r="DL269" s="15" t="str">
        <f>IFERROR(__xludf.DUMMYFUNCTION("""COMPUTED_VALUE"""),"Vacuum or light brush only. Do not use water or any cleaning products.")</f>
        <v>Vacuum or light brush only. Do not use water or any cleaning products.</v>
      </c>
      <c r="DM269" s="15" t="s">
        <v>719</v>
      </c>
      <c r="DT269" s="15" t="s">
        <v>721</v>
      </c>
      <c r="DU269" s="15" t="s">
        <v>419</v>
      </c>
      <c r="DV269" s="15">
        <v>0.0</v>
      </c>
      <c r="DZ269" s="15">
        <v>0.0</v>
      </c>
      <c r="EA269" s="15" t="s">
        <v>990</v>
      </c>
      <c r="EB269" s="15" t="s">
        <v>1016</v>
      </c>
      <c r="EC269" s="15" t="s">
        <v>1701</v>
      </c>
      <c r="ED269" s="15">
        <v>1.0</v>
      </c>
      <c r="EE269" s="15">
        <v>1.0</v>
      </c>
      <c r="EG269" s="15" t="s">
        <v>444</v>
      </c>
      <c r="EH269" s="15" t="s">
        <v>3745</v>
      </c>
      <c r="EI269" s="15">
        <v>0.0</v>
      </c>
      <c r="EJ269" s="15" t="s">
        <v>726</v>
      </c>
      <c r="EK269" s="15" t="s">
        <v>727</v>
      </c>
      <c r="EL269" s="15" t="s">
        <v>779</v>
      </c>
      <c r="EM269" s="15" t="str">
        <f>IFERROR(__xludf.DUMMYFUNCTION("""COMPUTED_VALUE"""),"{""value"":20.47,""unit"":""in""}")</f>
        <v>{"value":20.47,"unit":"in"}</v>
      </c>
      <c r="EN269" s="15" t="s">
        <v>787</v>
      </c>
      <c r="EO269" s="15" t="s">
        <v>824</v>
      </c>
      <c r="ES269" s="15" t="s">
        <v>2881</v>
      </c>
      <c r="EW269" s="15" t="s">
        <v>714</v>
      </c>
      <c r="EX269" s="15" t="s">
        <v>3746</v>
      </c>
      <c r="EY269" s="15" t="s">
        <v>2647</v>
      </c>
      <c r="EZ269" s="15" t="s">
        <v>1036</v>
      </c>
      <c r="FC269" s="15" t="s">
        <v>1016</v>
      </c>
      <c r="FD269" s="15" t="s">
        <v>1701</v>
      </c>
      <c r="FF269" s="15" t="s">
        <v>3747</v>
      </c>
      <c r="FO269" s="15" t="s">
        <v>3748</v>
      </c>
      <c r="FP269" s="15" t="s">
        <v>3749</v>
      </c>
      <c r="FQ269" s="15">
        <v>0.0</v>
      </c>
      <c r="FR269" s="15">
        <v>0.0</v>
      </c>
      <c r="FT269" s="15">
        <v>0.0</v>
      </c>
    </row>
    <row r="270" ht="15.75" customHeight="1">
      <c r="A270" s="14" t="s">
        <v>391</v>
      </c>
      <c r="B270" s="15" t="s">
        <v>3750</v>
      </c>
      <c r="C270" s="16"/>
      <c r="D270" s="15" t="s">
        <v>432</v>
      </c>
      <c r="G270" s="14" t="s">
        <v>393</v>
      </c>
      <c r="H270" s="14" t="s">
        <v>394</v>
      </c>
      <c r="I270" s="14" t="b">
        <v>1</v>
      </c>
      <c r="J270" s="14" t="s">
        <v>395</v>
      </c>
      <c r="L270" s="14" t="b">
        <v>0</v>
      </c>
      <c r="M270" s="15" t="s">
        <v>3751</v>
      </c>
      <c r="N270" s="14" t="s">
        <v>393</v>
      </c>
      <c r="O270" s="14" t="s">
        <v>393</v>
      </c>
      <c r="P270" s="15" t="s">
        <v>397</v>
      </c>
      <c r="Q270" s="15" t="s">
        <v>3752</v>
      </c>
      <c r="T270" s="14" t="b">
        <v>0</v>
      </c>
      <c r="U270" s="15" t="s">
        <v>3753</v>
      </c>
      <c r="V270" s="15" t="s">
        <v>3754</v>
      </c>
      <c r="W270" s="15" t="s">
        <v>401</v>
      </c>
      <c r="X270" s="15" t="s">
        <v>402</v>
      </c>
      <c r="Y270" s="15">
        <v>2730.0</v>
      </c>
      <c r="AA270" s="15" t="str">
        <f>"1050"</f>
        <v>1050</v>
      </c>
      <c r="AB270" s="14" t="b">
        <v>1</v>
      </c>
      <c r="AC270" s="14" t="b">
        <v>1</v>
      </c>
      <c r="AD270" s="15" t="str">
        <f>"801542715434"</f>
        <v>801542715434</v>
      </c>
      <c r="AE270" s="15" t="s">
        <v>3755</v>
      </c>
      <c r="AF270" s="14" t="s">
        <v>404</v>
      </c>
      <c r="AG270" s="14" t="s">
        <v>405</v>
      </c>
      <c r="AH270" s="14" t="s">
        <v>406</v>
      </c>
      <c r="AI270" s="15">
        <v>0.0</v>
      </c>
      <c r="AL270" s="15" t="s">
        <v>3756</v>
      </c>
      <c r="AM270" s="15" t="s">
        <v>1224</v>
      </c>
      <c r="AN270" s="15" t="s">
        <v>1225</v>
      </c>
      <c r="AO270" s="15" t="s">
        <v>1007</v>
      </c>
      <c r="AP270" s="15" t="s">
        <v>1008</v>
      </c>
      <c r="AQ270" s="15" t="s">
        <v>1801</v>
      </c>
      <c r="AR270" s="15" t="s">
        <v>1322</v>
      </c>
      <c r="AS270" s="15" t="s">
        <v>411</v>
      </c>
      <c r="AT270" s="15" t="s">
        <v>3752</v>
      </c>
      <c r="AU270" s="15" t="s">
        <v>3757</v>
      </c>
      <c r="AW270" s="15" t="s">
        <v>519</v>
      </c>
      <c r="AY270" s="15" t="s">
        <v>413</v>
      </c>
      <c r="AZ270" s="15" t="b">
        <v>0</v>
      </c>
      <c r="BA270" s="15" t="s">
        <v>413</v>
      </c>
      <c r="BB270" s="15" t="b">
        <v>0</v>
      </c>
      <c r="BC270" s="15" t="s">
        <v>3758</v>
      </c>
      <c r="BD270" s="15" t="s">
        <v>415</v>
      </c>
      <c r="BE270" s="15" t="str">
        <f t="shared" si="493"/>
        <v>1</v>
      </c>
      <c r="BF270" s="15" t="s">
        <v>416</v>
      </c>
      <c r="BG270" s="15" t="str">
        <f>"73.23"</f>
        <v>73.23</v>
      </c>
      <c r="BH270" s="15" t="s">
        <v>3759</v>
      </c>
      <c r="BI270" s="15" t="str">
        <f>"23.62"</f>
        <v>23.62</v>
      </c>
      <c r="BJ270" s="15" t="s">
        <v>1570</v>
      </c>
      <c r="BK270" s="15" t="str">
        <f>"38.19"</f>
        <v>38.19</v>
      </c>
      <c r="BL270" s="15" t="s">
        <v>3531</v>
      </c>
      <c r="BM270" s="15" t="str">
        <f>"159.61"</f>
        <v>159.61</v>
      </c>
      <c r="BN270" s="15" t="s">
        <v>3760</v>
      </c>
      <c r="BQ270" s="15" t="s">
        <v>444</v>
      </c>
      <c r="BS270" s="15" t="s">
        <v>444</v>
      </c>
      <c r="BU270" s="15" t="s">
        <v>444</v>
      </c>
      <c r="BW270" s="15" t="s">
        <v>444</v>
      </c>
      <c r="BZ270" s="15" t="s">
        <v>444</v>
      </c>
      <c r="CB270" s="15" t="s">
        <v>444</v>
      </c>
      <c r="CD270" s="15" t="s">
        <v>444</v>
      </c>
      <c r="CF270" s="15" t="s">
        <v>444</v>
      </c>
      <c r="CI270" s="15" t="s">
        <v>444</v>
      </c>
      <c r="CK270" s="15" t="s">
        <v>444</v>
      </c>
      <c r="CM270" s="15" t="s">
        <v>444</v>
      </c>
      <c r="CO270" s="15" t="s">
        <v>444</v>
      </c>
      <c r="CP270" s="15" t="str">
        <f>"38.25"</f>
        <v>38.25</v>
      </c>
      <c r="CQ270" s="15" t="str">
        <f>"1.083"</f>
        <v>1.083</v>
      </c>
      <c r="CR270" s="15" t="s">
        <v>417</v>
      </c>
      <c r="CV270" s="15" t="s">
        <v>1065</v>
      </c>
      <c r="CW270" s="15" t="s">
        <v>1283</v>
      </c>
      <c r="CX270" s="15" t="s">
        <v>2931</v>
      </c>
      <c r="DC270" s="15" t="str">
        <f>IFERROR(__xludf.DUMMYFUNCTION("""COMPUTED_VALUE"""),"")</f>
        <v/>
      </c>
      <c r="DE270" s="15" t="str">
        <f>IFERROR(__xludf.DUMMYFUNCTION("""COMPUTED_VALUE"""),"")</f>
        <v/>
      </c>
      <c r="DG270" s="15" t="str">
        <f>IFERROR(__xludf.DUMMYFUNCTION("""COMPUTED_VALUE"""),"")</f>
        <v/>
      </c>
      <c r="DL270" s="15" t="str">
        <f>IFERROR(__xludf.DUMMYFUNCTION("""COMPUTED_VALUE"""),"")</f>
        <v/>
      </c>
      <c r="DM270" s="15" t="s">
        <v>444</v>
      </c>
      <c r="DN270" s="15" t="s">
        <v>419</v>
      </c>
      <c r="DO270" s="15">
        <v>0.0</v>
      </c>
      <c r="DP270" s="15" t="s">
        <v>419</v>
      </c>
      <c r="DR270" s="15">
        <v>0.0</v>
      </c>
      <c r="DT270" s="15" t="s">
        <v>1388</v>
      </c>
      <c r="DU270" s="15" t="s">
        <v>419</v>
      </c>
      <c r="DY270" s="15">
        <v>0.0</v>
      </c>
      <c r="EF270" s="15" t="s">
        <v>471</v>
      </c>
      <c r="EG270" s="15" t="s">
        <v>472</v>
      </c>
      <c r="EH270" s="15" t="s">
        <v>3761</v>
      </c>
      <c r="EJ270" s="15" t="s">
        <v>500</v>
      </c>
      <c r="EK270" s="15" t="s">
        <v>501</v>
      </c>
      <c r="EM270" s="15" t="str">
        <f>IFERROR(__xludf.DUMMYFUNCTION("""COMPUTED_VALUE"""),"")</f>
        <v/>
      </c>
      <c r="EW270" s="15" t="s">
        <v>3762</v>
      </c>
      <c r="EX270" s="15" t="s">
        <v>1065</v>
      </c>
      <c r="EY270" s="15" t="s">
        <v>3763</v>
      </c>
      <c r="FH270" s="15" t="s">
        <v>1065</v>
      </c>
      <c r="FI270" s="15" t="s">
        <v>612</v>
      </c>
      <c r="FJ270" s="15" t="s">
        <v>3763</v>
      </c>
      <c r="FK270" s="15" t="s">
        <v>672</v>
      </c>
      <c r="FL270" s="15" t="s">
        <v>426</v>
      </c>
      <c r="FM270" s="15">
        <v>1.0</v>
      </c>
      <c r="FN270" s="15">
        <v>0.0</v>
      </c>
      <c r="GH270" s="15">
        <v>0.0</v>
      </c>
      <c r="GI270" s="15" t="s">
        <v>427</v>
      </c>
    </row>
    <row r="271" ht="15.75" customHeight="1">
      <c r="A271" s="14" t="s">
        <v>391</v>
      </c>
      <c r="B271" s="15" t="s">
        <v>3764</v>
      </c>
      <c r="C271" s="16"/>
      <c r="D271" s="15" t="s">
        <v>432</v>
      </c>
      <c r="G271" s="14" t="s">
        <v>393</v>
      </c>
      <c r="H271" s="14" t="s">
        <v>394</v>
      </c>
      <c r="I271" s="14" t="b">
        <v>1</v>
      </c>
      <c r="J271" s="14" t="s">
        <v>395</v>
      </c>
      <c r="L271" s="14" t="b">
        <v>0</v>
      </c>
      <c r="M271" s="15" t="s">
        <v>3765</v>
      </c>
      <c r="N271" s="14" t="s">
        <v>393</v>
      </c>
      <c r="O271" s="14" t="s">
        <v>393</v>
      </c>
      <c r="P271" s="15" t="s">
        <v>397</v>
      </c>
      <c r="Q271" s="15" t="s">
        <v>2818</v>
      </c>
      <c r="T271" s="14" t="b">
        <v>0</v>
      </c>
      <c r="U271" s="15" t="s">
        <v>3766</v>
      </c>
      <c r="V271" s="15" t="s">
        <v>3767</v>
      </c>
      <c r="W271" s="15" t="s">
        <v>401</v>
      </c>
      <c r="X271" s="15" t="s">
        <v>742</v>
      </c>
      <c r="Y271" s="15">
        <v>1092.0</v>
      </c>
      <c r="AA271" s="15" t="str">
        <f>"420"</f>
        <v>420</v>
      </c>
      <c r="AB271" s="14" t="b">
        <v>1</v>
      </c>
      <c r="AC271" s="14" t="b">
        <v>1</v>
      </c>
      <c r="AD271" s="15" t="str">
        <f>"801542688363"</f>
        <v>801542688363</v>
      </c>
      <c r="AE271" s="15" t="s">
        <v>3768</v>
      </c>
      <c r="AF271" s="14" t="s">
        <v>404</v>
      </c>
      <c r="AG271" s="14" t="s">
        <v>405</v>
      </c>
      <c r="AH271" s="14" t="s">
        <v>406</v>
      </c>
      <c r="AI271" s="15">
        <v>0.0</v>
      </c>
      <c r="AL271" s="15" t="s">
        <v>808</v>
      </c>
      <c r="AM271" s="15" t="s">
        <v>3769</v>
      </c>
      <c r="AN271" s="15" t="s">
        <v>2234</v>
      </c>
      <c r="AO271" s="15" t="s">
        <v>1452</v>
      </c>
      <c r="AP271" s="15" t="s">
        <v>1453</v>
      </c>
      <c r="AQ271" s="15" t="s">
        <v>1874</v>
      </c>
      <c r="AR271" s="15" t="s">
        <v>1875</v>
      </c>
      <c r="AS271" s="15" t="s">
        <v>837</v>
      </c>
      <c r="AT271" s="15" t="s">
        <v>2818</v>
      </c>
      <c r="AU271" s="15" t="s">
        <v>3770</v>
      </c>
      <c r="AW271" s="15" t="s">
        <v>458</v>
      </c>
      <c r="AX271" s="15" t="s">
        <v>459</v>
      </c>
      <c r="AY271" s="15" t="s">
        <v>413</v>
      </c>
      <c r="AZ271" s="15" t="b">
        <v>0</v>
      </c>
      <c r="BA271" s="15" t="s">
        <v>413</v>
      </c>
      <c r="BB271" s="15" t="b">
        <v>0</v>
      </c>
      <c r="BC271" s="15" t="s">
        <v>3771</v>
      </c>
      <c r="BD271" s="15" t="s">
        <v>742</v>
      </c>
      <c r="BE271" s="15" t="str">
        <f t="shared" si="493"/>
        <v>1</v>
      </c>
      <c r="BF271" s="15" t="s">
        <v>2043</v>
      </c>
      <c r="BG271" s="15" t="str">
        <f>"63.78"</f>
        <v>63.78</v>
      </c>
      <c r="BH271" s="15" t="s">
        <v>3772</v>
      </c>
      <c r="BI271" s="15" t="str">
        <f>"18.11"</f>
        <v>18.11</v>
      </c>
      <c r="BJ271" s="15" t="s">
        <v>3773</v>
      </c>
      <c r="BK271" s="15" t="str">
        <f>"21.65"</f>
        <v>21.65</v>
      </c>
      <c r="BL271" s="15" t="s">
        <v>1506</v>
      </c>
      <c r="BM271" s="15" t="str">
        <f>"60.19"</f>
        <v>60.19</v>
      </c>
      <c r="BN271" s="15" t="s">
        <v>3774</v>
      </c>
      <c r="BQ271" s="15" t="s">
        <v>444</v>
      </c>
      <c r="BS271" s="15" t="s">
        <v>444</v>
      </c>
      <c r="BU271" s="15" t="s">
        <v>444</v>
      </c>
      <c r="BW271" s="15" t="s">
        <v>444</v>
      </c>
      <c r="BZ271" s="15" t="s">
        <v>444</v>
      </c>
      <c r="CB271" s="15" t="s">
        <v>444</v>
      </c>
      <c r="CD271" s="15" t="s">
        <v>444</v>
      </c>
      <c r="CF271" s="15" t="s">
        <v>444</v>
      </c>
      <c r="CI271" s="15" t="s">
        <v>444</v>
      </c>
      <c r="CK271" s="15" t="s">
        <v>444</v>
      </c>
      <c r="CM271" s="15" t="s">
        <v>444</v>
      </c>
      <c r="CO271" s="15" t="s">
        <v>444</v>
      </c>
      <c r="CP271" s="15" t="str">
        <f>"14.48"</f>
        <v>14.48</v>
      </c>
      <c r="CQ271" s="15" t="str">
        <f>"0.41"</f>
        <v>0.41</v>
      </c>
      <c r="CR271" s="15" t="s">
        <v>497</v>
      </c>
      <c r="CY271" s="15" t="s">
        <v>3775</v>
      </c>
      <c r="CZ271" s="15" t="s">
        <v>787</v>
      </c>
      <c r="DA271" s="15" t="s">
        <v>3776</v>
      </c>
      <c r="DB271" s="15" t="s">
        <v>3775</v>
      </c>
      <c r="DC271" s="15" t="str">
        <f>IFERROR(__xludf.DUMMYFUNCTION("""COMPUTED_VALUE"""),"{""value"":17.60,""unit"":""in""}")</f>
        <v>{"value":17.60,"unit":"in"}</v>
      </c>
      <c r="DD271" s="15" t="s">
        <v>3777</v>
      </c>
      <c r="DE271" s="15" t="str">
        <f>IFERROR(__xludf.DUMMYFUNCTION("""COMPUTED_VALUE"""),"{""value"":17.83,""unit"":""in""}")</f>
        <v>{"value":17.83,"unit":"in"}</v>
      </c>
      <c r="DF271" s="15" t="s">
        <v>3776</v>
      </c>
      <c r="DG271" s="15" t="str">
        <f>IFERROR(__xludf.DUMMYFUNCTION("""COMPUTED_VALUE"""),"{""value"":63.46,""unit"":""in""}")</f>
        <v>{"value":63.46,"unit":"in"}</v>
      </c>
      <c r="DH271" s="15">
        <v>0.0</v>
      </c>
      <c r="DI271" s="15">
        <v>0.0</v>
      </c>
      <c r="DJ271" s="15" t="s">
        <v>469</v>
      </c>
      <c r="DK271" s="15" t="s">
        <v>718</v>
      </c>
      <c r="DL271" s="15" t="str">
        <f>IFERROR(__xludf.DUMMYFUNCTION("""COMPUTED_VALUE"""),"Vacuum or light brush only. Do not use water or any cleaning products.")</f>
        <v>Vacuum or light brush only. Do not use water or any cleaning products.</v>
      </c>
      <c r="DM271" s="15" t="s">
        <v>719</v>
      </c>
      <c r="DN271" s="15" t="s">
        <v>419</v>
      </c>
      <c r="DO271" s="15">
        <v>0.0</v>
      </c>
      <c r="DP271" s="15" t="s">
        <v>419</v>
      </c>
      <c r="DQ271" s="15" t="s">
        <v>3778</v>
      </c>
      <c r="DR271" s="15">
        <v>0.0</v>
      </c>
      <c r="DT271" s="15" t="s">
        <v>989</v>
      </c>
      <c r="DU271" s="15" t="s">
        <v>419</v>
      </c>
      <c r="DV271" s="15">
        <v>0.0</v>
      </c>
      <c r="DW271" s="15">
        <v>0.0</v>
      </c>
      <c r="DX271" s="15">
        <v>0.0</v>
      </c>
      <c r="DY271" s="15">
        <v>0.0</v>
      </c>
      <c r="DZ271" s="15">
        <v>0.0</v>
      </c>
      <c r="EA271" s="15" t="s">
        <v>3779</v>
      </c>
      <c r="EB271" s="15" t="s">
        <v>723</v>
      </c>
      <c r="EC271" s="15" t="s">
        <v>1076</v>
      </c>
      <c r="ED271" s="15">
        <v>1.0</v>
      </c>
      <c r="EE271" s="15">
        <v>2.0</v>
      </c>
      <c r="EF271" s="15" t="s">
        <v>471</v>
      </c>
      <c r="EG271" s="15" t="s">
        <v>472</v>
      </c>
      <c r="EH271" s="15" t="s">
        <v>3780</v>
      </c>
      <c r="EI271" s="15">
        <v>0.0</v>
      </c>
      <c r="EJ271" s="15" t="s">
        <v>1545</v>
      </c>
      <c r="EK271" s="15" t="s">
        <v>1546</v>
      </c>
      <c r="EM271" s="15" t="str">
        <f>IFERROR(__xludf.DUMMYFUNCTION("""COMPUTED_VALUE"""),"")</f>
        <v/>
      </c>
      <c r="EW271" s="15" t="s">
        <v>2156</v>
      </c>
      <c r="EX271" s="15" t="s">
        <v>3781</v>
      </c>
      <c r="EY271" s="15" t="s">
        <v>3782</v>
      </c>
      <c r="FS271" s="15" t="s">
        <v>938</v>
      </c>
    </row>
    <row r="272" ht="15.75" customHeight="1">
      <c r="A272" s="14" t="s">
        <v>391</v>
      </c>
      <c r="B272" s="15" t="s">
        <v>3783</v>
      </c>
      <c r="C272" s="16"/>
      <c r="D272" s="15" t="s">
        <v>432</v>
      </c>
      <c r="G272" s="14" t="s">
        <v>393</v>
      </c>
      <c r="H272" s="14" t="s">
        <v>394</v>
      </c>
      <c r="I272" s="14" t="b">
        <v>1</v>
      </c>
      <c r="J272" s="14" t="s">
        <v>395</v>
      </c>
      <c r="L272" s="14" t="b">
        <v>0</v>
      </c>
      <c r="M272" s="15" t="s">
        <v>3784</v>
      </c>
      <c r="N272" s="14" t="s">
        <v>393</v>
      </c>
      <c r="O272" s="14" t="s">
        <v>393</v>
      </c>
      <c r="P272" s="15" t="s">
        <v>397</v>
      </c>
      <c r="Q272" s="15" t="s">
        <v>3785</v>
      </c>
      <c r="T272" s="14" t="b">
        <v>0</v>
      </c>
      <c r="U272" s="15" t="s">
        <v>3786</v>
      </c>
      <c r="V272" s="15" t="s">
        <v>3787</v>
      </c>
      <c r="W272" s="15" t="s">
        <v>401</v>
      </c>
      <c r="X272" s="15" t="s">
        <v>695</v>
      </c>
      <c r="Y272" s="15">
        <v>4368.0</v>
      </c>
      <c r="AA272" s="15" t="str">
        <f>"1680"</f>
        <v>1680</v>
      </c>
      <c r="AB272" s="14" t="b">
        <v>1</v>
      </c>
      <c r="AC272" s="14" t="b">
        <v>1</v>
      </c>
      <c r="AD272" s="15" t="str">
        <f>"801542992996"</f>
        <v>801542992996</v>
      </c>
      <c r="AE272" s="15" t="s">
        <v>3788</v>
      </c>
      <c r="AF272" s="14" t="s">
        <v>404</v>
      </c>
      <c r="AG272" s="14" t="s">
        <v>405</v>
      </c>
      <c r="AH272" s="14" t="s">
        <v>406</v>
      </c>
      <c r="AI272" s="15">
        <v>0.0</v>
      </c>
      <c r="AL272" s="15" t="s">
        <v>3789</v>
      </c>
      <c r="AM272" s="15" t="s">
        <v>2372</v>
      </c>
      <c r="AN272" s="15" t="s">
        <v>2373</v>
      </c>
      <c r="AO272" s="15" t="s">
        <v>1007</v>
      </c>
      <c r="AP272" s="15" t="s">
        <v>1008</v>
      </c>
      <c r="AQ272" s="15" t="s">
        <v>1746</v>
      </c>
      <c r="AR272" s="15" t="s">
        <v>1750</v>
      </c>
      <c r="AS272" s="15" t="s">
        <v>2193</v>
      </c>
      <c r="AT272" s="15" t="s">
        <v>3785</v>
      </c>
      <c r="AU272" s="15" t="s">
        <v>3790</v>
      </c>
      <c r="AV272" s="15" t="s">
        <v>3791</v>
      </c>
      <c r="AW272" s="15" t="s">
        <v>3792</v>
      </c>
      <c r="AY272" s="15" t="s">
        <v>413</v>
      </c>
      <c r="AZ272" s="15" t="b">
        <v>0</v>
      </c>
      <c r="BA272" s="15" t="s">
        <v>413</v>
      </c>
      <c r="BB272" s="15" t="b">
        <v>0</v>
      </c>
      <c r="BC272" s="15" t="s">
        <v>3793</v>
      </c>
      <c r="BD272" s="15" t="s">
        <v>709</v>
      </c>
      <c r="BE272" s="15" t="str">
        <f t="shared" si="493"/>
        <v>1</v>
      </c>
      <c r="BF272" s="15" t="s">
        <v>416</v>
      </c>
      <c r="BG272" s="15" t="str">
        <f>"42.13"</f>
        <v>42.13</v>
      </c>
      <c r="BH272" s="15" t="s">
        <v>3794</v>
      </c>
      <c r="BI272" s="15" t="str">
        <f>"22.05"</f>
        <v>22.05</v>
      </c>
      <c r="BJ272" s="15" t="s">
        <v>2310</v>
      </c>
      <c r="BK272" s="15" t="str">
        <f>"93.7"</f>
        <v>93.7</v>
      </c>
      <c r="BL272" s="15" t="s">
        <v>3795</v>
      </c>
      <c r="BM272" s="15" t="str">
        <f>"294.31"</f>
        <v>294.31</v>
      </c>
      <c r="BN272" s="15" t="s">
        <v>3796</v>
      </c>
      <c r="BQ272" s="15" t="s">
        <v>444</v>
      </c>
      <c r="BS272" s="15" t="s">
        <v>444</v>
      </c>
      <c r="BU272" s="15" t="s">
        <v>444</v>
      </c>
      <c r="BW272" s="15" t="s">
        <v>444</v>
      </c>
      <c r="BZ272" s="15" t="s">
        <v>444</v>
      </c>
      <c r="CB272" s="15" t="s">
        <v>444</v>
      </c>
      <c r="CD272" s="15" t="s">
        <v>444</v>
      </c>
      <c r="CF272" s="15" t="s">
        <v>444</v>
      </c>
      <c r="CI272" s="15" t="s">
        <v>444</v>
      </c>
      <c r="CK272" s="15" t="s">
        <v>444</v>
      </c>
      <c r="CM272" s="15" t="s">
        <v>444</v>
      </c>
      <c r="CO272" s="15" t="s">
        <v>444</v>
      </c>
      <c r="CP272" s="15" t="str">
        <f>"50.36"</f>
        <v>50.36</v>
      </c>
      <c r="CQ272" s="15" t="str">
        <f>"1.426"</f>
        <v>1.426</v>
      </c>
      <c r="CR272" s="15" t="s">
        <v>497</v>
      </c>
      <c r="DC272" s="15" t="str">
        <f>IFERROR(__xludf.DUMMYFUNCTION("""COMPUTED_VALUE"""),"")</f>
        <v/>
      </c>
      <c r="DE272" s="15" t="str">
        <f>IFERROR(__xludf.DUMMYFUNCTION("""COMPUTED_VALUE"""),"")</f>
        <v/>
      </c>
      <c r="DG272" s="15" t="str">
        <f>IFERROR(__xludf.DUMMYFUNCTION("""COMPUTED_VALUE"""),"")</f>
        <v/>
      </c>
      <c r="DL272" s="15" t="str">
        <f>IFERROR(__xludf.DUMMYFUNCTION("""COMPUTED_VALUE"""),"")</f>
        <v/>
      </c>
      <c r="DM272" s="15" t="s">
        <v>444</v>
      </c>
      <c r="EG272" s="15" t="s">
        <v>444</v>
      </c>
      <c r="EH272" s="15" t="s">
        <v>3797</v>
      </c>
      <c r="EK272" s="15" t="s">
        <v>444</v>
      </c>
      <c r="EM272" s="15" t="str">
        <f>IFERROR(__xludf.DUMMYFUNCTION("""COMPUTED_VALUE"""),"")</f>
        <v/>
      </c>
      <c r="EW272" s="15" t="s">
        <v>477</v>
      </c>
      <c r="EX272" s="15" t="s">
        <v>1287</v>
      </c>
      <c r="EY272" s="15" t="s">
        <v>3798</v>
      </c>
      <c r="FH272" s="15" t="s">
        <v>425</v>
      </c>
      <c r="FI272" s="15" t="s">
        <v>3799</v>
      </c>
      <c r="FJ272" s="15" t="s">
        <v>425</v>
      </c>
      <c r="FL272" s="15" t="s">
        <v>426</v>
      </c>
      <c r="MO272" s="15" t="s">
        <v>1065</v>
      </c>
      <c r="MP272" s="15" t="s">
        <v>1238</v>
      </c>
      <c r="MQ272" s="15" t="s">
        <v>995</v>
      </c>
      <c r="MR272" s="15" t="s">
        <v>3800</v>
      </c>
      <c r="MS272" s="15" t="s">
        <v>1069</v>
      </c>
      <c r="MT272" s="15" t="s">
        <v>3800</v>
      </c>
      <c r="MU272" s="15">
        <v>0.0</v>
      </c>
      <c r="MV272" s="15">
        <v>0.0</v>
      </c>
      <c r="MW272" s="15" t="s">
        <v>3801</v>
      </c>
      <c r="MX272" s="15">
        <v>6.0</v>
      </c>
      <c r="MY272" s="15">
        <v>0.0</v>
      </c>
      <c r="MZ272" s="15">
        <v>0.0</v>
      </c>
      <c r="NA272" s="15" t="s">
        <v>3802</v>
      </c>
      <c r="NB272" s="15">
        <v>0.0</v>
      </c>
      <c r="NC272" s="15">
        <v>0.0</v>
      </c>
      <c r="ND272" s="15">
        <v>0.0</v>
      </c>
      <c r="NE272" s="15">
        <v>0.0</v>
      </c>
      <c r="NF272" s="15">
        <v>0.0</v>
      </c>
    </row>
    <row r="273" ht="15.75" customHeight="1">
      <c r="A273" s="14" t="s">
        <v>391</v>
      </c>
      <c r="B273" s="15" t="s">
        <v>3803</v>
      </c>
      <c r="C273" s="16"/>
      <c r="D273" s="15" t="s">
        <v>432</v>
      </c>
      <c r="G273" s="14" t="s">
        <v>393</v>
      </c>
      <c r="H273" s="14" t="s">
        <v>394</v>
      </c>
      <c r="I273" s="14" t="b">
        <v>1</v>
      </c>
      <c r="J273" s="14" t="s">
        <v>395</v>
      </c>
      <c r="L273" s="14" t="b">
        <v>0</v>
      </c>
      <c r="M273" s="15" t="s">
        <v>3804</v>
      </c>
      <c r="N273" s="14" t="s">
        <v>393</v>
      </c>
      <c r="O273" s="14" t="s">
        <v>393</v>
      </c>
      <c r="P273" s="15" t="s">
        <v>397</v>
      </c>
      <c r="Q273" s="15" t="s">
        <v>1658</v>
      </c>
      <c r="T273" s="14" t="b">
        <v>0</v>
      </c>
      <c r="U273" s="15" t="s">
        <v>3805</v>
      </c>
      <c r="V273" s="15" t="s">
        <v>3806</v>
      </c>
      <c r="W273" s="15" t="s">
        <v>401</v>
      </c>
      <c r="X273" s="15" t="s">
        <v>695</v>
      </c>
      <c r="Y273" s="15">
        <v>2522.0</v>
      </c>
      <c r="AA273" s="15" t="str">
        <f>"970"</f>
        <v>970</v>
      </c>
      <c r="AB273" s="14" t="b">
        <v>1</v>
      </c>
      <c r="AC273" s="14" t="b">
        <v>1</v>
      </c>
      <c r="AD273" s="15" t="str">
        <f>"801542863593"</f>
        <v>801542863593</v>
      </c>
      <c r="AE273" s="15" t="s">
        <v>3807</v>
      </c>
      <c r="AF273" s="14" t="s">
        <v>404</v>
      </c>
      <c r="AG273" s="14" t="s">
        <v>405</v>
      </c>
      <c r="AH273" s="14" t="s">
        <v>406</v>
      </c>
      <c r="AI273" s="15">
        <v>0.0</v>
      </c>
      <c r="AL273" s="15" t="s">
        <v>2491</v>
      </c>
      <c r="AM273" s="15" t="s">
        <v>3396</v>
      </c>
      <c r="AN273" s="15" t="s">
        <v>2893</v>
      </c>
      <c r="AO273" s="15" t="s">
        <v>622</v>
      </c>
      <c r="AP273" s="15" t="s">
        <v>623</v>
      </c>
      <c r="AQ273" s="15" t="s">
        <v>517</v>
      </c>
      <c r="AR273" s="15" t="s">
        <v>518</v>
      </c>
      <c r="AS273" s="15" t="s">
        <v>1628</v>
      </c>
      <c r="AT273" s="15" t="s">
        <v>1658</v>
      </c>
      <c r="AU273" s="15" t="s">
        <v>1087</v>
      </c>
      <c r="AW273" s="15" t="s">
        <v>706</v>
      </c>
      <c r="AX273" s="15" t="s">
        <v>707</v>
      </c>
      <c r="AY273" s="15" t="s">
        <v>413</v>
      </c>
      <c r="AZ273" s="15" t="b">
        <v>0</v>
      </c>
      <c r="BA273" s="15" t="s">
        <v>413</v>
      </c>
      <c r="BB273" s="15" t="b">
        <v>0</v>
      </c>
      <c r="BC273" s="15" t="s">
        <v>3808</v>
      </c>
      <c r="BD273" s="15" t="s">
        <v>709</v>
      </c>
      <c r="BE273" s="15" t="str">
        <f t="shared" si="493"/>
        <v>1</v>
      </c>
      <c r="BF273" s="15" t="s">
        <v>416</v>
      </c>
      <c r="BG273" s="15" t="str">
        <f>"38.19"</f>
        <v>38.19</v>
      </c>
      <c r="BH273" s="15" t="s">
        <v>3531</v>
      </c>
      <c r="BI273" s="15" t="str">
        <f>"36.61"</f>
        <v>36.61</v>
      </c>
      <c r="BJ273" s="15" t="s">
        <v>1734</v>
      </c>
      <c r="BK273" s="15" t="str">
        <f>"29.53"</f>
        <v>29.53</v>
      </c>
      <c r="BL273" s="15" t="s">
        <v>1062</v>
      </c>
      <c r="BM273" s="15" t="str">
        <f>"76.06"</f>
        <v>76.06</v>
      </c>
      <c r="BN273" s="15" t="s">
        <v>3809</v>
      </c>
      <c r="BQ273" s="15" t="s">
        <v>444</v>
      </c>
      <c r="BS273" s="15" t="s">
        <v>444</v>
      </c>
      <c r="BU273" s="15" t="s">
        <v>444</v>
      </c>
      <c r="BW273" s="15" t="s">
        <v>444</v>
      </c>
      <c r="BZ273" s="15" t="s">
        <v>444</v>
      </c>
      <c r="CB273" s="15" t="s">
        <v>444</v>
      </c>
      <c r="CD273" s="15" t="s">
        <v>444</v>
      </c>
      <c r="CF273" s="15" t="s">
        <v>444</v>
      </c>
      <c r="CI273" s="15" t="s">
        <v>444</v>
      </c>
      <c r="CK273" s="15" t="s">
        <v>444</v>
      </c>
      <c r="CM273" s="15" t="s">
        <v>444</v>
      </c>
      <c r="CO273" s="15" t="s">
        <v>444</v>
      </c>
      <c r="CP273" s="15" t="str">
        <f>"23.91"</f>
        <v>23.91</v>
      </c>
      <c r="CQ273" s="15" t="str">
        <f>"0.677"</f>
        <v>0.677</v>
      </c>
      <c r="CR273" s="15" t="s">
        <v>417</v>
      </c>
      <c r="CY273" s="15" t="s">
        <v>1064</v>
      </c>
      <c r="CZ273" s="15" t="s">
        <v>505</v>
      </c>
      <c r="DA273" s="15" t="s">
        <v>1211</v>
      </c>
      <c r="DB273" s="15" t="s">
        <v>1072</v>
      </c>
      <c r="DC273" s="15" t="str">
        <f>IFERROR(__xludf.DUMMYFUNCTION("""COMPUTED_VALUE"""),"{""value"":22.00,""unit"":""in""}")</f>
        <v>{"value":22.00,"unit":"in"}</v>
      </c>
      <c r="DD273" s="15" t="s">
        <v>1324</v>
      </c>
      <c r="DE273" s="15" t="str">
        <f>IFERROR(__xludf.DUMMYFUNCTION("""COMPUTED_VALUE"""),"{""value"":20.00,""unit"":""in""}")</f>
        <v>{"value":20.00,"unit":"in"}</v>
      </c>
      <c r="DF273" s="15" t="s">
        <v>1286</v>
      </c>
      <c r="DG273" s="15" t="str">
        <f>IFERROR(__xludf.DUMMYFUNCTION("""COMPUTED_VALUE"""),"{""value"":23.50,""unit"":""in""}")</f>
        <v>{"value":23.50,"unit":"in"}</v>
      </c>
      <c r="DH273" s="15">
        <v>0.0</v>
      </c>
      <c r="DI273" s="15">
        <v>1.0</v>
      </c>
      <c r="DJ273" s="15" t="s">
        <v>717</v>
      </c>
      <c r="DK273" s="15" t="s">
        <v>718</v>
      </c>
      <c r="DL273" s="15" t="str">
        <f>IFERROR(__xludf.DUMMYFUNCTION("""COMPUTED_VALUE"""),"Vacuum or light brush only. Do not use water or any cleaning products.")</f>
        <v>Vacuum or light brush only. Do not use water or any cleaning products.</v>
      </c>
      <c r="DM273" s="15" t="s">
        <v>719</v>
      </c>
      <c r="DQ273" s="15" t="s">
        <v>3543</v>
      </c>
      <c r="DT273" s="15" t="s">
        <v>721</v>
      </c>
      <c r="DU273" s="15" t="s">
        <v>419</v>
      </c>
      <c r="DV273" s="15">
        <v>0.0</v>
      </c>
      <c r="DZ273" s="15">
        <v>0.0</v>
      </c>
      <c r="EA273" s="15" t="s">
        <v>990</v>
      </c>
      <c r="EB273" s="15" t="s">
        <v>723</v>
      </c>
      <c r="EC273" s="15" t="s">
        <v>724</v>
      </c>
      <c r="ED273" s="15">
        <v>1.0</v>
      </c>
      <c r="EE273" s="15">
        <v>1.0</v>
      </c>
      <c r="EG273" s="15" t="s">
        <v>444</v>
      </c>
      <c r="EH273" s="15" t="s">
        <v>3810</v>
      </c>
      <c r="EI273" s="15">
        <v>0.0</v>
      </c>
      <c r="EJ273" s="15" t="s">
        <v>726</v>
      </c>
      <c r="EK273" s="15" t="s">
        <v>727</v>
      </c>
      <c r="EL273" s="15" t="s">
        <v>2807</v>
      </c>
      <c r="EM273" s="15" t="str">
        <f>IFERROR(__xludf.DUMMYFUNCTION("""COMPUTED_VALUE"""),"{""value"":26.75,""unit"":""in""}")</f>
        <v>{"value":26.75,"unit":"in"}</v>
      </c>
      <c r="EN273" s="15" t="s">
        <v>2736</v>
      </c>
      <c r="EO273" s="15" t="s">
        <v>942</v>
      </c>
      <c r="ES273" s="15" t="s">
        <v>1807</v>
      </c>
      <c r="ET273" s="15" t="s">
        <v>2402</v>
      </c>
      <c r="EU273" s="15" t="s">
        <v>1213</v>
      </c>
      <c r="EV273" s="15" t="s">
        <v>1574</v>
      </c>
      <c r="EW273" s="15" t="s">
        <v>2547</v>
      </c>
      <c r="EX273" s="15" t="s">
        <v>3811</v>
      </c>
      <c r="EY273" s="15" t="s">
        <v>2637</v>
      </c>
      <c r="EZ273" s="15" t="s">
        <v>1288</v>
      </c>
      <c r="FC273" s="15" t="s">
        <v>723</v>
      </c>
      <c r="FD273" s="15" t="s">
        <v>724</v>
      </c>
      <c r="FE273" s="15" t="s">
        <v>2028</v>
      </c>
      <c r="FF273" s="15" t="s">
        <v>1290</v>
      </c>
      <c r="FQ273" s="15">
        <v>0.0</v>
      </c>
      <c r="FR273" s="15">
        <v>0.0</v>
      </c>
      <c r="FT273" s="15">
        <v>0.0</v>
      </c>
    </row>
    <row r="274" ht="15.75" customHeight="1">
      <c r="A274" s="14" t="s">
        <v>391</v>
      </c>
      <c r="B274" s="15" t="s">
        <v>3812</v>
      </c>
      <c r="C274" s="16"/>
      <c r="D274" s="15" t="s">
        <v>432</v>
      </c>
      <c r="G274" s="14" t="s">
        <v>393</v>
      </c>
      <c r="H274" s="14" t="s">
        <v>394</v>
      </c>
      <c r="I274" s="14" t="b">
        <v>1</v>
      </c>
      <c r="J274" s="14" t="s">
        <v>395</v>
      </c>
      <c r="L274" s="14" t="b">
        <v>0</v>
      </c>
      <c r="M274" s="15" t="s">
        <v>3813</v>
      </c>
      <c r="N274" s="14" t="s">
        <v>393</v>
      </c>
      <c r="O274" s="14" t="s">
        <v>393</v>
      </c>
      <c r="P274" s="15" t="s">
        <v>397</v>
      </c>
      <c r="Q274" s="15" t="s">
        <v>3814</v>
      </c>
      <c r="T274" s="14" t="b">
        <v>0</v>
      </c>
      <c r="U274" s="15" t="s">
        <v>3815</v>
      </c>
      <c r="V274" s="15" t="s">
        <v>3816</v>
      </c>
      <c r="W274" s="15" t="s">
        <v>401</v>
      </c>
      <c r="X274" s="15" t="s">
        <v>695</v>
      </c>
      <c r="Y274" s="15">
        <v>663.0</v>
      </c>
      <c r="AA274" s="15" t="str">
        <f>"255"</f>
        <v>255</v>
      </c>
      <c r="AB274" s="14" t="b">
        <v>1</v>
      </c>
      <c r="AC274" s="14" t="b">
        <v>1</v>
      </c>
      <c r="AD274" s="15" t="str">
        <f>"801542773229"</f>
        <v>801542773229</v>
      </c>
      <c r="AE274" s="15" t="s">
        <v>3817</v>
      </c>
      <c r="AF274" s="14" t="s">
        <v>404</v>
      </c>
      <c r="AG274" s="14" t="s">
        <v>405</v>
      </c>
      <c r="AH274" s="14" t="s">
        <v>406</v>
      </c>
      <c r="AI274" s="15">
        <v>0.0</v>
      </c>
      <c r="AL274" s="15" t="s">
        <v>3818</v>
      </c>
      <c r="AM274" s="15" t="s">
        <v>1007</v>
      </c>
      <c r="AN274" s="15" t="s">
        <v>1008</v>
      </c>
      <c r="AO274" s="15" t="s">
        <v>1007</v>
      </c>
      <c r="AP274" s="15" t="s">
        <v>1008</v>
      </c>
      <c r="AQ274" s="15" t="s">
        <v>809</v>
      </c>
      <c r="AR274" s="15" t="s">
        <v>810</v>
      </c>
      <c r="AS274" s="15" t="s">
        <v>1317</v>
      </c>
      <c r="AT274" s="15" t="s">
        <v>3814</v>
      </c>
      <c r="AU274" s="15" t="s">
        <v>3819</v>
      </c>
      <c r="AW274" s="15" t="s">
        <v>1009</v>
      </c>
      <c r="AY274" s="15" t="s">
        <v>413</v>
      </c>
      <c r="AZ274" s="15" t="b">
        <v>0</v>
      </c>
      <c r="BA274" s="15" t="s">
        <v>426</v>
      </c>
      <c r="BB274" s="15" t="b">
        <v>1</v>
      </c>
      <c r="BC274" s="15" t="s">
        <v>3820</v>
      </c>
      <c r="BD274" s="15" t="s">
        <v>709</v>
      </c>
      <c r="BE274" s="15" t="str">
        <f t="shared" si="493"/>
        <v>1</v>
      </c>
      <c r="BF274" s="15" t="s">
        <v>416</v>
      </c>
      <c r="BG274" s="15" t="str">
        <f>"20.87"</f>
        <v>20.87</v>
      </c>
      <c r="BH274" s="15" t="s">
        <v>495</v>
      </c>
      <c r="BI274" s="15" t="str">
        <f>"20.87"</f>
        <v>20.87</v>
      </c>
      <c r="BJ274" s="15" t="s">
        <v>495</v>
      </c>
      <c r="BK274" s="15" t="str">
        <f>"20.87"</f>
        <v>20.87</v>
      </c>
      <c r="BL274" s="15" t="s">
        <v>495</v>
      </c>
      <c r="BM274" s="15" t="str">
        <f>"28.66"</f>
        <v>28.66</v>
      </c>
      <c r="BN274" s="15" t="s">
        <v>1905</v>
      </c>
      <c r="BQ274" s="15" t="s">
        <v>444</v>
      </c>
      <c r="BS274" s="15" t="s">
        <v>444</v>
      </c>
      <c r="BU274" s="15" t="s">
        <v>444</v>
      </c>
      <c r="BW274" s="15" t="s">
        <v>444</v>
      </c>
      <c r="BZ274" s="15" t="s">
        <v>444</v>
      </c>
      <c r="CB274" s="15" t="s">
        <v>444</v>
      </c>
      <c r="CD274" s="15" t="s">
        <v>444</v>
      </c>
      <c r="CF274" s="15" t="s">
        <v>444</v>
      </c>
      <c r="CI274" s="15" t="s">
        <v>444</v>
      </c>
      <c r="CK274" s="15" t="s">
        <v>444</v>
      </c>
      <c r="CM274" s="15" t="s">
        <v>444</v>
      </c>
      <c r="CO274" s="15" t="s">
        <v>444</v>
      </c>
      <c r="CP274" s="15" t="str">
        <f>"5.26"</f>
        <v>5.26</v>
      </c>
      <c r="CQ274" s="15" t="str">
        <f>"0.149"</f>
        <v>0.149</v>
      </c>
      <c r="CR274" s="15" t="s">
        <v>497</v>
      </c>
      <c r="DB274" s="15" t="s">
        <v>1065</v>
      </c>
      <c r="DC274" s="15" t="str">
        <f>IFERROR(__xludf.DUMMYFUNCTION("""COMPUTED_VALUE"""),"{""value"":18.00,""unit"":""in""}")</f>
        <v>{"value":18.00,"unit":"in"}</v>
      </c>
      <c r="DD274" s="15" t="s">
        <v>824</v>
      </c>
      <c r="DE274" s="15" t="str">
        <f>IFERROR(__xludf.DUMMYFUNCTION("""COMPUTED_VALUE"""),"{""value"":18.50,""unit"":""in""}")</f>
        <v>{"value":18.50,"unit":"in"}</v>
      </c>
      <c r="DF274" s="15" t="s">
        <v>1065</v>
      </c>
      <c r="DG274" s="15" t="str">
        <f>IFERROR(__xludf.DUMMYFUNCTION("""COMPUTED_VALUE"""),"{""value"":18.00,""unit"":""in""}")</f>
        <v>{"value":18.00,"unit":"in"}</v>
      </c>
      <c r="DH274" s="15">
        <v>0.0</v>
      </c>
      <c r="DI274" s="15">
        <v>0.0</v>
      </c>
      <c r="DK274" s="15" t="s">
        <v>855</v>
      </c>
      <c r="DL274" s="15" t="str">
        <f>IFERROR(__xludf.DUMMYFUNCTION("""COMPUTED_VALUE"""),"Clean with solvent-based (dry clean only) products. Do not use water.")</f>
        <v>Clean with solvent-based (dry clean only) products. Do not use water.</v>
      </c>
      <c r="DM274" s="15" t="s">
        <v>856</v>
      </c>
      <c r="DN274" s="15" t="s">
        <v>419</v>
      </c>
      <c r="DO274" s="15">
        <v>0.0</v>
      </c>
      <c r="DP274" s="15" t="s">
        <v>419</v>
      </c>
      <c r="DR274" s="15">
        <v>0.0</v>
      </c>
      <c r="DT274" s="15" t="s">
        <v>721</v>
      </c>
      <c r="DU274" s="15" t="s">
        <v>419</v>
      </c>
      <c r="DV274" s="15">
        <v>0.0</v>
      </c>
      <c r="DW274" s="15">
        <v>0.0</v>
      </c>
      <c r="DX274" s="15">
        <v>0.0</v>
      </c>
      <c r="DY274" s="15">
        <v>0.0</v>
      </c>
      <c r="DZ274" s="15">
        <v>25000.0</v>
      </c>
      <c r="EA274" s="15" t="s">
        <v>470</v>
      </c>
      <c r="EB274" s="15" t="s">
        <v>1016</v>
      </c>
      <c r="ED274" s="15">
        <v>1.0</v>
      </c>
      <c r="EE274" s="15">
        <v>1.0</v>
      </c>
      <c r="EF274" s="15" t="s">
        <v>1157</v>
      </c>
      <c r="EG274" s="15" t="s">
        <v>1158</v>
      </c>
      <c r="EH274" s="15" t="s">
        <v>3821</v>
      </c>
      <c r="EI274" s="15">
        <v>0.0</v>
      </c>
      <c r="EJ274" s="15" t="s">
        <v>726</v>
      </c>
      <c r="EK274" s="15" t="s">
        <v>727</v>
      </c>
      <c r="EM274" s="15" t="str">
        <f>IFERROR(__xludf.DUMMYFUNCTION("""COMPUTED_VALUE"""),"")</f>
        <v/>
      </c>
      <c r="EW274" s="15" t="s">
        <v>1738</v>
      </c>
      <c r="EX274" s="15" t="s">
        <v>2739</v>
      </c>
      <c r="EY274" s="15" t="s">
        <v>2739</v>
      </c>
      <c r="FF274" s="15" t="s">
        <v>1255</v>
      </c>
    </row>
    <row r="275" ht="15.75" customHeight="1">
      <c r="A275" s="14" t="s">
        <v>391</v>
      </c>
      <c r="B275" s="15" t="s">
        <v>3822</v>
      </c>
      <c r="C275" s="16"/>
      <c r="D275" s="15" t="s">
        <v>432</v>
      </c>
      <c r="G275" s="14" t="s">
        <v>393</v>
      </c>
      <c r="H275" s="14" t="s">
        <v>394</v>
      </c>
      <c r="I275" s="14" t="b">
        <v>1</v>
      </c>
      <c r="J275" s="14" t="s">
        <v>395</v>
      </c>
      <c r="L275" s="14" t="b">
        <v>0</v>
      </c>
      <c r="M275" s="15" t="s">
        <v>3823</v>
      </c>
      <c r="N275" s="14" t="s">
        <v>393</v>
      </c>
      <c r="O275" s="14" t="s">
        <v>393</v>
      </c>
      <c r="P275" s="15" t="s">
        <v>397</v>
      </c>
      <c r="Q275" s="15" t="s">
        <v>3824</v>
      </c>
      <c r="T275" s="14" t="b">
        <v>0</v>
      </c>
      <c r="U275" s="15" t="s">
        <v>3825</v>
      </c>
      <c r="V275" s="15" t="s">
        <v>3826</v>
      </c>
      <c r="W275" s="15" t="s">
        <v>401</v>
      </c>
      <c r="X275" s="15" t="s">
        <v>3827</v>
      </c>
      <c r="Y275" s="15">
        <v>4160.0</v>
      </c>
      <c r="AA275" s="15" t="str">
        <f>"1600"</f>
        <v>1600</v>
      </c>
      <c r="AB275" s="14" t="b">
        <v>1</v>
      </c>
      <c r="AC275" s="14" t="b">
        <v>1</v>
      </c>
      <c r="AD275" s="15" t="str">
        <f>"801542162665"</f>
        <v>801542162665</v>
      </c>
      <c r="AE275" s="15" t="s">
        <v>3828</v>
      </c>
      <c r="AF275" s="14" t="s">
        <v>404</v>
      </c>
      <c r="AG275" s="14" t="s">
        <v>405</v>
      </c>
      <c r="AH275" s="14" t="s">
        <v>406</v>
      </c>
      <c r="AI275" s="15">
        <v>0.0</v>
      </c>
      <c r="AL275" s="15" t="s">
        <v>3829</v>
      </c>
      <c r="AM275" s="15" t="s">
        <v>1001</v>
      </c>
      <c r="AN275" s="15" t="s">
        <v>1731</v>
      </c>
      <c r="AO275" s="15" t="s">
        <v>3830</v>
      </c>
      <c r="AP275" s="15" t="s">
        <v>3831</v>
      </c>
      <c r="AQ275" s="15" t="s">
        <v>645</v>
      </c>
      <c r="AR275" s="15" t="s">
        <v>646</v>
      </c>
      <c r="AS275" s="15" t="s">
        <v>3832</v>
      </c>
      <c r="AT275" s="15" t="s">
        <v>3824</v>
      </c>
      <c r="AU275" s="15" t="s">
        <v>3833</v>
      </c>
      <c r="AW275" s="15" t="s">
        <v>1732</v>
      </c>
      <c r="AY275" s="15" t="s">
        <v>413</v>
      </c>
      <c r="AZ275" s="15" t="b">
        <v>0</v>
      </c>
      <c r="BA275" s="15" t="s">
        <v>426</v>
      </c>
      <c r="BB275" s="15" t="b">
        <v>1</v>
      </c>
      <c r="BC275" s="15" t="s">
        <v>3834</v>
      </c>
      <c r="BD275" s="15" t="s">
        <v>3835</v>
      </c>
      <c r="BE275" s="15" t="str">
        <f t="shared" si="493"/>
        <v>1</v>
      </c>
      <c r="BF275" s="15" t="s">
        <v>3836</v>
      </c>
      <c r="BG275" s="15" t="str">
        <f>"98.5"</f>
        <v>98.5</v>
      </c>
      <c r="BH275" s="15" t="s">
        <v>1929</v>
      </c>
      <c r="BI275" s="15" t="str">
        <f>"45.5"</f>
        <v>45.5</v>
      </c>
      <c r="BJ275" s="15" t="s">
        <v>3837</v>
      </c>
      <c r="BK275" s="15" t="str">
        <f>"34.5"</f>
        <v>34.5</v>
      </c>
      <c r="BL275" s="15" t="s">
        <v>2239</v>
      </c>
      <c r="BM275" s="15" t="str">
        <f>"188.93"</f>
        <v>188.93</v>
      </c>
      <c r="BN275" s="15" t="s">
        <v>3838</v>
      </c>
      <c r="BQ275" s="15" t="s">
        <v>444</v>
      </c>
      <c r="BS275" s="15" t="s">
        <v>444</v>
      </c>
      <c r="BU275" s="15" t="s">
        <v>444</v>
      </c>
      <c r="BW275" s="15" t="s">
        <v>444</v>
      </c>
      <c r="BZ275" s="15" t="s">
        <v>444</v>
      </c>
      <c r="CB275" s="15" t="s">
        <v>444</v>
      </c>
      <c r="CD275" s="15" t="s">
        <v>444</v>
      </c>
      <c r="CF275" s="15" t="s">
        <v>444</v>
      </c>
      <c r="CI275" s="15" t="s">
        <v>444</v>
      </c>
      <c r="CK275" s="15" t="s">
        <v>444</v>
      </c>
      <c r="CM275" s="15" t="s">
        <v>444</v>
      </c>
      <c r="CO275" s="15" t="s">
        <v>444</v>
      </c>
      <c r="CP275" s="15" t="str">
        <f>"89.49"</f>
        <v>89.49</v>
      </c>
      <c r="CQ275" s="15" t="str">
        <f>"2.534"</f>
        <v>2.534</v>
      </c>
      <c r="CR275" s="15" t="s">
        <v>465</v>
      </c>
      <c r="CY275" s="15" t="s">
        <v>1240</v>
      </c>
      <c r="CZ275" s="15" t="s">
        <v>2116</v>
      </c>
      <c r="DA275" s="15" t="s">
        <v>3332</v>
      </c>
      <c r="DB275" s="15" t="s">
        <v>1064</v>
      </c>
      <c r="DC275" s="15" t="str">
        <f>IFERROR(__xludf.DUMMYFUNCTION("""COMPUTED_VALUE"""),"{""value"":27.00,""unit"":""in""}")</f>
        <v>{"value":27.00,"unit":"in"}</v>
      </c>
      <c r="DD275" s="15" t="s">
        <v>1065</v>
      </c>
      <c r="DE275" s="15" t="str">
        <f>IFERROR(__xludf.DUMMYFUNCTION("""COMPUTED_VALUE"""),"{""value"":18.00,""unit"":""in""}")</f>
        <v>{"value":18.00,"unit":"in"}</v>
      </c>
      <c r="DF275" s="15" t="s">
        <v>3839</v>
      </c>
      <c r="DG275" s="15" t="str">
        <f>IFERROR(__xludf.DUMMYFUNCTION("""COMPUTED_VALUE"""),"{""value"":84.00,""unit"":""in""}")</f>
        <v>{"value":84.00,"unit":"in"}</v>
      </c>
      <c r="DH275" s="15">
        <v>2.0</v>
      </c>
      <c r="DI275" s="15">
        <v>2.0</v>
      </c>
      <c r="DJ275" s="15" t="s">
        <v>717</v>
      </c>
      <c r="DK275" s="15" t="s">
        <v>855</v>
      </c>
      <c r="DL275" s="15" t="str">
        <f>IFERROR(__xludf.DUMMYFUNCTION("""COMPUTED_VALUE"""),"Clean with solvent-based (dry clean only) products. Do not use water.")</f>
        <v>Clean with solvent-based (dry clean only) products. Do not use water.</v>
      </c>
      <c r="DM275" s="15" t="s">
        <v>856</v>
      </c>
      <c r="DQ275" s="15" t="s">
        <v>1066</v>
      </c>
      <c r="DT275" s="15" t="s">
        <v>420</v>
      </c>
      <c r="DU275" s="15" t="s">
        <v>936</v>
      </c>
      <c r="DV275" s="15">
        <v>0.0</v>
      </c>
      <c r="DZ275" s="15">
        <v>18000.0</v>
      </c>
      <c r="EA275" s="15" t="s">
        <v>470</v>
      </c>
      <c r="EB275" s="15" t="s">
        <v>723</v>
      </c>
      <c r="EC275" s="15" t="s">
        <v>724</v>
      </c>
      <c r="ED275" s="15">
        <v>2.0</v>
      </c>
      <c r="EE275" s="15">
        <v>4.0</v>
      </c>
      <c r="EG275" s="15" t="s">
        <v>444</v>
      </c>
      <c r="EH275" s="15" t="s">
        <v>3840</v>
      </c>
      <c r="EI275" s="15">
        <v>0.0</v>
      </c>
      <c r="EJ275" s="15" t="s">
        <v>588</v>
      </c>
      <c r="EK275" s="15" t="s">
        <v>589</v>
      </c>
      <c r="EL275" s="15" t="s">
        <v>1211</v>
      </c>
      <c r="EM275" s="15" t="str">
        <f>IFERROR(__xludf.DUMMYFUNCTION("""COMPUTED_VALUE"""),"{""value"":24.00,""unit"":""in""}")</f>
        <v>{"value":24.00,"unit":"in"}</v>
      </c>
      <c r="EN275" s="15" t="s">
        <v>505</v>
      </c>
      <c r="EO275" s="15" t="s">
        <v>3841</v>
      </c>
      <c r="EP275" s="15" t="s">
        <v>429</v>
      </c>
      <c r="EQ275" s="15" t="s">
        <v>1738</v>
      </c>
      <c r="ER275" s="15" t="s">
        <v>555</v>
      </c>
      <c r="ES275" s="15" t="s">
        <v>429</v>
      </c>
      <c r="ET275" s="15" t="s">
        <v>2402</v>
      </c>
      <c r="EU275" s="15" t="s">
        <v>1237</v>
      </c>
      <c r="EV275" s="15" t="s">
        <v>3332</v>
      </c>
      <c r="EW275" s="15" t="s">
        <v>1236</v>
      </c>
      <c r="EX275" s="15" t="s">
        <v>3336</v>
      </c>
      <c r="EY275" s="15" t="s">
        <v>3842</v>
      </c>
      <c r="EZ275" s="15" t="s">
        <v>1288</v>
      </c>
      <c r="FA275" s="15" t="s">
        <v>724</v>
      </c>
      <c r="FB275" s="15" t="s">
        <v>426</v>
      </c>
      <c r="FC275" s="15" t="s">
        <v>723</v>
      </c>
      <c r="FD275" s="15" t="s">
        <v>724</v>
      </c>
      <c r="FE275" s="15" t="s">
        <v>3843</v>
      </c>
      <c r="FF275" s="15" t="s">
        <v>3844</v>
      </c>
      <c r="FL275" s="15" t="s">
        <v>426</v>
      </c>
      <c r="FS275" s="15" t="s">
        <v>2436</v>
      </c>
      <c r="HK275" s="15" t="s">
        <v>2402</v>
      </c>
      <c r="HL275" s="15" t="s">
        <v>1237</v>
      </c>
      <c r="HM275" s="15" t="s">
        <v>3332</v>
      </c>
    </row>
    <row r="276" ht="15.75" customHeight="1">
      <c r="A276" s="14" t="s">
        <v>391</v>
      </c>
      <c r="B276" s="15" t="s">
        <v>3845</v>
      </c>
      <c r="C276" s="16"/>
      <c r="D276" s="15" t="s">
        <v>432</v>
      </c>
      <c r="G276" s="14" t="s">
        <v>393</v>
      </c>
      <c r="H276" s="14" t="s">
        <v>394</v>
      </c>
      <c r="I276" s="14" t="b">
        <v>1</v>
      </c>
      <c r="J276" s="14" t="s">
        <v>395</v>
      </c>
      <c r="L276" s="14" t="b">
        <v>0</v>
      </c>
      <c r="M276" s="15" t="s">
        <v>3846</v>
      </c>
      <c r="N276" s="14" t="s">
        <v>393</v>
      </c>
      <c r="O276" s="14" t="s">
        <v>393</v>
      </c>
      <c r="P276" s="15" t="s">
        <v>397</v>
      </c>
      <c r="Q276" s="15" t="s">
        <v>1821</v>
      </c>
      <c r="T276" s="14" t="b">
        <v>0</v>
      </c>
      <c r="U276" s="15" t="s">
        <v>3847</v>
      </c>
      <c r="V276" s="15" t="s">
        <v>3848</v>
      </c>
      <c r="W276" s="15" t="s">
        <v>401</v>
      </c>
      <c r="X276" s="15" t="s">
        <v>695</v>
      </c>
      <c r="Y276" s="15">
        <v>988.0</v>
      </c>
      <c r="AA276" s="15" t="str">
        <f t="shared" ref="AA276:AA277" si="494">"380"</f>
        <v>380</v>
      </c>
      <c r="AB276" s="14" t="b">
        <v>1</v>
      </c>
      <c r="AC276" s="14" t="b">
        <v>1</v>
      </c>
      <c r="AD276" s="15" t="str">
        <f>"801542044749"</f>
        <v>801542044749</v>
      </c>
      <c r="AE276" s="15" t="s">
        <v>3849</v>
      </c>
      <c r="AF276" s="14" t="s">
        <v>404</v>
      </c>
      <c r="AG276" s="14" t="s">
        <v>405</v>
      </c>
      <c r="AH276" s="14" t="s">
        <v>406</v>
      </c>
      <c r="AI276" s="15">
        <v>0.0</v>
      </c>
      <c r="AL276" s="15" t="s">
        <v>3850</v>
      </c>
      <c r="AM276" s="15" t="s">
        <v>1472</v>
      </c>
      <c r="AN276" s="15" t="s">
        <v>1473</v>
      </c>
      <c r="AO276" s="15" t="s">
        <v>3275</v>
      </c>
      <c r="AP276" s="15" t="s">
        <v>3276</v>
      </c>
      <c r="AQ276" s="15" t="s">
        <v>3851</v>
      </c>
      <c r="AR276" s="15" t="s">
        <v>3852</v>
      </c>
      <c r="AS276" s="15" t="s">
        <v>2800</v>
      </c>
      <c r="AT276" s="15" t="s">
        <v>1821</v>
      </c>
      <c r="AU276" s="15" t="s">
        <v>3853</v>
      </c>
      <c r="AW276" s="15" t="s">
        <v>706</v>
      </c>
      <c r="AX276" s="15" t="s">
        <v>707</v>
      </c>
      <c r="AY276" s="15" t="s">
        <v>413</v>
      </c>
      <c r="AZ276" s="15" t="b">
        <v>0</v>
      </c>
      <c r="BA276" s="15" t="s">
        <v>426</v>
      </c>
      <c r="BB276" s="15" t="b">
        <v>1</v>
      </c>
      <c r="BD276" s="15" t="s">
        <v>709</v>
      </c>
      <c r="BE276" s="15" t="str">
        <f t="shared" si="493"/>
        <v>1</v>
      </c>
      <c r="BF276" s="15" t="s">
        <v>416</v>
      </c>
      <c r="BG276" s="15" t="str">
        <f t="shared" ref="BG276:BG277" si="495">"31.89"</f>
        <v>31.89</v>
      </c>
      <c r="BH276" s="15" t="s">
        <v>1183</v>
      </c>
      <c r="BI276" s="15" t="str">
        <f t="shared" ref="BI276:BI277" si="496">"30.71"</f>
        <v>30.71</v>
      </c>
      <c r="BJ276" s="15" t="s">
        <v>1281</v>
      </c>
      <c r="BK276" s="15" t="str">
        <f t="shared" ref="BK276:BK277" si="497">"31.5"</f>
        <v>31.5</v>
      </c>
      <c r="BL276" s="15" t="s">
        <v>1322</v>
      </c>
      <c r="BM276" s="15" t="str">
        <f t="shared" ref="BM276:BM277" si="498">"52.69"</f>
        <v>52.69</v>
      </c>
      <c r="BN276" s="15" t="s">
        <v>3854</v>
      </c>
      <c r="BQ276" s="15" t="s">
        <v>444</v>
      </c>
      <c r="BS276" s="15" t="s">
        <v>444</v>
      </c>
      <c r="BU276" s="15" t="s">
        <v>444</v>
      </c>
      <c r="BW276" s="15" t="s">
        <v>444</v>
      </c>
      <c r="BZ276" s="15" t="s">
        <v>444</v>
      </c>
      <c r="CB276" s="15" t="s">
        <v>444</v>
      </c>
      <c r="CD276" s="15" t="s">
        <v>444</v>
      </c>
      <c r="CF276" s="15" t="s">
        <v>444</v>
      </c>
      <c r="CI276" s="15" t="s">
        <v>444</v>
      </c>
      <c r="CK276" s="15" t="s">
        <v>444</v>
      </c>
      <c r="CM276" s="15" t="s">
        <v>444</v>
      </c>
      <c r="CO276" s="15" t="s">
        <v>444</v>
      </c>
      <c r="CP276" s="15" t="str">
        <f t="shared" ref="CP276:CP277" si="499">"17.83"</f>
        <v>17.83</v>
      </c>
      <c r="CQ276" s="15" t="str">
        <f t="shared" ref="CQ276:CQ277" si="500">"0.505"</f>
        <v>0.505</v>
      </c>
      <c r="CR276" s="15" t="s">
        <v>465</v>
      </c>
      <c r="DB276" s="15" t="s">
        <v>1068</v>
      </c>
      <c r="DC276" s="15" t="str">
        <f>IFERROR(__xludf.DUMMYFUNCTION("""COMPUTED_VALUE"""),"{""value"":24.80,""unit"":""in""}")</f>
        <v>{"value":24.80,"unit":"in"}</v>
      </c>
      <c r="DD276" s="15" t="s">
        <v>716</v>
      </c>
      <c r="DE276" s="15" t="str">
        <f>IFERROR(__xludf.DUMMYFUNCTION("""COMPUTED_VALUE"""),"{""value"":18.11,""unit"":""in""}")</f>
        <v>{"value":18.11,"unit":"in"}</v>
      </c>
      <c r="DG276" s="15" t="str">
        <f>IFERROR(__xludf.DUMMYFUNCTION("""COMPUTED_VALUE"""),"")</f>
        <v/>
      </c>
      <c r="DH276" s="15">
        <v>0.0</v>
      </c>
      <c r="DI276" s="15">
        <v>1.0</v>
      </c>
      <c r="DJ276" s="15" t="s">
        <v>717</v>
      </c>
      <c r="DK276" s="15" t="s">
        <v>855</v>
      </c>
      <c r="DL276" s="15" t="str">
        <f>IFERROR(__xludf.DUMMYFUNCTION("""COMPUTED_VALUE"""),"Clean with solvent-based (dry clean only) products. Do not use water.")</f>
        <v>Clean with solvent-based (dry clean only) products. Do not use water.</v>
      </c>
      <c r="DM276" s="15" t="s">
        <v>856</v>
      </c>
      <c r="DT276" s="15" t="s">
        <v>721</v>
      </c>
      <c r="DU276" s="15" t="s">
        <v>419</v>
      </c>
      <c r="DV276" s="15">
        <v>0.0</v>
      </c>
      <c r="DZ276" s="15">
        <v>25000.0</v>
      </c>
      <c r="EA276" s="15" t="s">
        <v>990</v>
      </c>
      <c r="EB276" s="15" t="s">
        <v>1016</v>
      </c>
      <c r="EC276" s="15" t="s">
        <v>724</v>
      </c>
      <c r="ED276" s="15">
        <v>1.0</v>
      </c>
      <c r="EE276" s="15">
        <v>1.0</v>
      </c>
      <c r="EG276" s="15" t="s">
        <v>444</v>
      </c>
      <c r="EH276" s="15" t="s">
        <v>3855</v>
      </c>
      <c r="EI276" s="15">
        <v>0.0</v>
      </c>
      <c r="EJ276" s="15" t="s">
        <v>726</v>
      </c>
      <c r="EK276" s="15" t="s">
        <v>727</v>
      </c>
      <c r="EL276" s="15" t="s">
        <v>1068</v>
      </c>
      <c r="EM276" s="15" t="str">
        <f>IFERROR(__xludf.DUMMYFUNCTION("""COMPUTED_VALUE"""),"{""value"":24.80,""unit"":""in""}")</f>
        <v>{"value":24.80,"unit":"in"}</v>
      </c>
      <c r="EN276" s="15" t="s">
        <v>3856</v>
      </c>
      <c r="EO276" s="15" t="s">
        <v>1116</v>
      </c>
      <c r="ES276" s="15" t="s">
        <v>759</v>
      </c>
      <c r="EW276" s="15" t="s">
        <v>3857</v>
      </c>
      <c r="EX276" s="15" t="s">
        <v>1700</v>
      </c>
      <c r="EY276" s="15" t="s">
        <v>3858</v>
      </c>
      <c r="EZ276" s="15" t="s">
        <v>670</v>
      </c>
      <c r="FC276" s="15" t="s">
        <v>1016</v>
      </c>
      <c r="FD276" s="15" t="s">
        <v>1076</v>
      </c>
      <c r="FF276" s="15" t="s">
        <v>1239</v>
      </c>
      <c r="FO276" s="15" t="s">
        <v>779</v>
      </c>
      <c r="FP276" s="15" t="s">
        <v>673</v>
      </c>
      <c r="FQ276" s="15">
        <v>0.0</v>
      </c>
      <c r="FR276" s="15">
        <v>0.0</v>
      </c>
      <c r="FT276" s="15">
        <v>0.0</v>
      </c>
    </row>
    <row r="277" ht="15.75" customHeight="1">
      <c r="A277" s="14" t="s">
        <v>391</v>
      </c>
      <c r="B277" s="15" t="s">
        <v>3845</v>
      </c>
      <c r="C277" s="16"/>
      <c r="D277" s="15" t="s">
        <v>432</v>
      </c>
      <c r="G277" s="14" t="s">
        <v>393</v>
      </c>
      <c r="H277" s="14" t="s">
        <v>394</v>
      </c>
      <c r="I277" s="14" t="b">
        <v>1</v>
      </c>
      <c r="J277" s="14" t="s">
        <v>395</v>
      </c>
      <c r="L277" s="14" t="b">
        <v>0</v>
      </c>
      <c r="M277" s="15" t="s">
        <v>3859</v>
      </c>
      <c r="N277" s="14" t="s">
        <v>393</v>
      </c>
      <c r="O277" s="14" t="s">
        <v>393</v>
      </c>
      <c r="P277" s="15" t="s">
        <v>397</v>
      </c>
      <c r="Q277" s="15" t="s">
        <v>3860</v>
      </c>
      <c r="T277" s="14" t="b">
        <v>0</v>
      </c>
      <c r="U277" s="15" t="s">
        <v>3861</v>
      </c>
      <c r="V277" s="15" t="s">
        <v>3848</v>
      </c>
      <c r="W277" s="15" t="s">
        <v>401</v>
      </c>
      <c r="X277" s="15" t="s">
        <v>695</v>
      </c>
      <c r="Y277" s="15">
        <v>988.0</v>
      </c>
      <c r="AA277" s="15" t="str">
        <f t="shared" si="494"/>
        <v>380</v>
      </c>
      <c r="AB277" s="14" t="b">
        <v>1</v>
      </c>
      <c r="AC277" s="14" t="b">
        <v>1</v>
      </c>
      <c r="AD277" s="15" t="str">
        <f>"801542044756"</f>
        <v>801542044756</v>
      </c>
      <c r="AE277" s="15" t="s">
        <v>3862</v>
      </c>
      <c r="AF277" s="14" t="s">
        <v>404</v>
      </c>
      <c r="AG277" s="14" t="s">
        <v>405</v>
      </c>
      <c r="AH277" s="14" t="s">
        <v>406</v>
      </c>
      <c r="AI277" s="15">
        <v>0.0</v>
      </c>
      <c r="AL277" s="15" t="s">
        <v>3850</v>
      </c>
      <c r="AM277" s="15" t="s">
        <v>1472</v>
      </c>
      <c r="AN277" s="15" t="s">
        <v>1473</v>
      </c>
      <c r="AO277" s="15" t="s">
        <v>3275</v>
      </c>
      <c r="AP277" s="15" t="s">
        <v>3276</v>
      </c>
      <c r="AQ277" s="15" t="s">
        <v>3851</v>
      </c>
      <c r="AR277" s="15" t="s">
        <v>3852</v>
      </c>
      <c r="AS277" s="15" t="s">
        <v>2800</v>
      </c>
      <c r="AT277" s="15" t="s">
        <v>3860</v>
      </c>
      <c r="AU277" s="15" t="s">
        <v>3863</v>
      </c>
      <c r="AW277" s="15" t="s">
        <v>706</v>
      </c>
      <c r="AX277" s="15" t="s">
        <v>707</v>
      </c>
      <c r="AY277" s="15" t="s">
        <v>426</v>
      </c>
      <c r="AZ277" s="15" t="b">
        <v>1</v>
      </c>
      <c r="BA277" s="15" t="s">
        <v>426</v>
      </c>
      <c r="BB277" s="15" t="b">
        <v>1</v>
      </c>
      <c r="BC277" s="15" t="s">
        <v>3864</v>
      </c>
      <c r="BD277" s="15" t="s">
        <v>709</v>
      </c>
      <c r="BE277" s="15" t="str">
        <f t="shared" si="493"/>
        <v>1</v>
      </c>
      <c r="BF277" s="15" t="s">
        <v>416</v>
      </c>
      <c r="BG277" s="15" t="str">
        <f t="shared" si="495"/>
        <v>31.89</v>
      </c>
      <c r="BH277" s="15" t="s">
        <v>1183</v>
      </c>
      <c r="BI277" s="15" t="str">
        <f t="shared" si="496"/>
        <v>30.71</v>
      </c>
      <c r="BJ277" s="15" t="s">
        <v>1281</v>
      </c>
      <c r="BK277" s="15" t="str">
        <f t="shared" si="497"/>
        <v>31.5</v>
      </c>
      <c r="BL277" s="15" t="s">
        <v>1322</v>
      </c>
      <c r="BM277" s="15" t="str">
        <f t="shared" si="498"/>
        <v>52.69</v>
      </c>
      <c r="BN277" s="15" t="s">
        <v>3854</v>
      </c>
      <c r="BQ277" s="15" t="s">
        <v>444</v>
      </c>
      <c r="BS277" s="15" t="s">
        <v>444</v>
      </c>
      <c r="BU277" s="15" t="s">
        <v>444</v>
      </c>
      <c r="BW277" s="15" t="s">
        <v>444</v>
      </c>
      <c r="BZ277" s="15" t="s">
        <v>444</v>
      </c>
      <c r="CB277" s="15" t="s">
        <v>444</v>
      </c>
      <c r="CD277" s="15" t="s">
        <v>444</v>
      </c>
      <c r="CF277" s="15" t="s">
        <v>444</v>
      </c>
      <c r="CI277" s="15" t="s">
        <v>444</v>
      </c>
      <c r="CK277" s="15" t="s">
        <v>444</v>
      </c>
      <c r="CM277" s="15" t="s">
        <v>444</v>
      </c>
      <c r="CO277" s="15" t="s">
        <v>444</v>
      </c>
      <c r="CP277" s="15" t="str">
        <f t="shared" si="499"/>
        <v>17.83</v>
      </c>
      <c r="CQ277" s="15" t="str">
        <f t="shared" si="500"/>
        <v>0.505</v>
      </c>
      <c r="CR277" s="15" t="s">
        <v>497</v>
      </c>
      <c r="DB277" s="15" t="s">
        <v>1068</v>
      </c>
      <c r="DC277" s="15" t="str">
        <f>IFERROR(__xludf.DUMMYFUNCTION("""COMPUTED_VALUE"""),"{""value"":24.80,""unit"":""in""}")</f>
        <v>{"value":24.80,"unit":"in"}</v>
      </c>
      <c r="DD277" s="15" t="s">
        <v>716</v>
      </c>
      <c r="DE277" s="15" t="str">
        <f>IFERROR(__xludf.DUMMYFUNCTION("""COMPUTED_VALUE"""),"{""value"":18.11,""unit"":""in""}")</f>
        <v>{"value":18.11,"unit":"in"}</v>
      </c>
      <c r="DG277" s="15" t="str">
        <f>IFERROR(__xludf.DUMMYFUNCTION("""COMPUTED_VALUE"""),"")</f>
        <v/>
      </c>
      <c r="DH277" s="15">
        <v>0.0</v>
      </c>
      <c r="DI277" s="15">
        <v>1.0</v>
      </c>
      <c r="DJ277" s="15" t="s">
        <v>717</v>
      </c>
      <c r="DK277" s="15" t="s">
        <v>855</v>
      </c>
      <c r="DL277" s="15" t="str">
        <f>IFERROR(__xludf.DUMMYFUNCTION("""COMPUTED_VALUE"""),"Clean with solvent-based (dry clean only) products. Do not use water.")</f>
        <v>Clean with solvent-based (dry clean only) products. Do not use water.</v>
      </c>
      <c r="DM277" s="15" t="s">
        <v>856</v>
      </c>
      <c r="DT277" s="15" t="s">
        <v>721</v>
      </c>
      <c r="DU277" s="15" t="s">
        <v>419</v>
      </c>
      <c r="DV277" s="15">
        <v>0.0</v>
      </c>
      <c r="DZ277" s="15">
        <v>25000.0</v>
      </c>
      <c r="EA277" s="15" t="s">
        <v>990</v>
      </c>
      <c r="EB277" s="15" t="s">
        <v>1016</v>
      </c>
      <c r="EC277" s="15" t="s">
        <v>724</v>
      </c>
      <c r="ED277" s="15">
        <v>1.0</v>
      </c>
      <c r="EE277" s="15">
        <v>1.0</v>
      </c>
      <c r="EG277" s="15" t="s">
        <v>444</v>
      </c>
      <c r="EH277" s="15" t="s">
        <v>3855</v>
      </c>
      <c r="EI277" s="15">
        <v>0.0</v>
      </c>
      <c r="EJ277" s="15" t="s">
        <v>726</v>
      </c>
      <c r="EK277" s="15" t="s">
        <v>727</v>
      </c>
      <c r="EL277" s="15" t="s">
        <v>1068</v>
      </c>
      <c r="EM277" s="15" t="str">
        <f>IFERROR(__xludf.DUMMYFUNCTION("""COMPUTED_VALUE"""),"{""value"":24.80,""unit"":""in""}")</f>
        <v>{"value":24.80,"unit":"in"}</v>
      </c>
      <c r="EN277" s="15" t="s">
        <v>3856</v>
      </c>
      <c r="EO277" s="15" t="s">
        <v>1116</v>
      </c>
      <c r="ES277" s="15" t="s">
        <v>759</v>
      </c>
      <c r="EW277" s="15" t="s">
        <v>3857</v>
      </c>
      <c r="EX277" s="15" t="s">
        <v>1700</v>
      </c>
      <c r="EY277" s="15" t="s">
        <v>3858</v>
      </c>
      <c r="EZ277" s="15" t="s">
        <v>670</v>
      </c>
      <c r="FC277" s="15" t="s">
        <v>1016</v>
      </c>
      <c r="FD277" s="15" t="s">
        <v>1076</v>
      </c>
      <c r="FF277" s="15" t="s">
        <v>1239</v>
      </c>
      <c r="FO277" s="15" t="s">
        <v>779</v>
      </c>
      <c r="FP277" s="15" t="s">
        <v>673</v>
      </c>
      <c r="FQ277" s="15">
        <v>0.0</v>
      </c>
      <c r="FR277" s="15">
        <v>0.0</v>
      </c>
      <c r="FT277" s="15">
        <v>0.0</v>
      </c>
    </row>
    <row r="278" ht="15.75" customHeight="1">
      <c r="A278" s="14" t="s">
        <v>391</v>
      </c>
      <c r="B278" s="15" t="s">
        <v>3865</v>
      </c>
      <c r="C278" s="16"/>
      <c r="D278" s="15" t="s">
        <v>432</v>
      </c>
      <c r="G278" s="14" t="s">
        <v>393</v>
      </c>
      <c r="H278" s="14" t="s">
        <v>394</v>
      </c>
      <c r="I278" s="14" t="b">
        <v>1</v>
      </c>
      <c r="J278" s="14" t="s">
        <v>395</v>
      </c>
      <c r="L278" s="14" t="b">
        <v>0</v>
      </c>
      <c r="M278" s="15" t="s">
        <v>3866</v>
      </c>
      <c r="N278" s="14" t="s">
        <v>393</v>
      </c>
      <c r="O278" s="14" t="s">
        <v>393</v>
      </c>
      <c r="P278" s="15" t="s">
        <v>397</v>
      </c>
      <c r="Q278" s="15" t="s">
        <v>2575</v>
      </c>
      <c r="T278" s="14" t="b">
        <v>0</v>
      </c>
      <c r="U278" s="15" t="s">
        <v>3867</v>
      </c>
      <c r="V278" s="15" t="s">
        <v>3868</v>
      </c>
      <c r="W278" s="15" t="s">
        <v>401</v>
      </c>
      <c r="X278" s="15" t="s">
        <v>695</v>
      </c>
      <c r="Y278" s="15">
        <v>1807.0</v>
      </c>
      <c r="AA278" s="15" t="str">
        <f>"695"</f>
        <v>695</v>
      </c>
      <c r="AB278" s="14" t="b">
        <v>1</v>
      </c>
      <c r="AC278" s="14" t="b">
        <v>1</v>
      </c>
      <c r="AD278" s="15" t="str">
        <f>"801542023164"</f>
        <v>801542023164</v>
      </c>
      <c r="AE278" s="15" t="s">
        <v>3869</v>
      </c>
      <c r="AF278" s="14" t="s">
        <v>404</v>
      </c>
      <c r="AG278" s="14" t="s">
        <v>405</v>
      </c>
      <c r="AH278" s="14" t="s">
        <v>406</v>
      </c>
      <c r="AI278" s="15">
        <v>0.0</v>
      </c>
      <c r="AL278" s="15" t="s">
        <v>975</v>
      </c>
      <c r="AM278" s="15" t="s">
        <v>2229</v>
      </c>
      <c r="AN278" s="15" t="s">
        <v>2230</v>
      </c>
      <c r="AO278" s="15" t="s">
        <v>622</v>
      </c>
      <c r="AP278" s="15" t="s">
        <v>623</v>
      </c>
      <c r="AQ278" s="15" t="s">
        <v>410</v>
      </c>
      <c r="AR278" s="15" t="s">
        <v>439</v>
      </c>
      <c r="AS278" s="15" t="s">
        <v>915</v>
      </c>
      <c r="AT278" s="15" t="s">
        <v>2575</v>
      </c>
      <c r="AU278" s="15" t="s">
        <v>978</v>
      </c>
      <c r="AW278" s="15" t="s">
        <v>706</v>
      </c>
      <c r="AX278" s="15" t="s">
        <v>707</v>
      </c>
      <c r="AY278" s="15" t="s">
        <v>413</v>
      </c>
      <c r="AZ278" s="15" t="b">
        <v>0</v>
      </c>
      <c r="BA278" s="15" t="s">
        <v>413</v>
      </c>
      <c r="BB278" s="15" t="b">
        <v>0</v>
      </c>
      <c r="BC278" s="15" t="s">
        <v>3870</v>
      </c>
      <c r="BD278" s="15" t="s">
        <v>709</v>
      </c>
      <c r="BE278" s="15" t="str">
        <f t="shared" si="493"/>
        <v>1</v>
      </c>
      <c r="BF278" s="15" t="s">
        <v>416</v>
      </c>
      <c r="BG278" s="15" t="str">
        <f t="shared" ref="BG278:BG279" si="501">"36.42"</f>
        <v>36.42</v>
      </c>
      <c r="BH278" s="15" t="s">
        <v>3046</v>
      </c>
      <c r="BI278" s="15" t="str">
        <f t="shared" ref="BI278:BI279" si="502">"33.07"</f>
        <v>33.07</v>
      </c>
      <c r="BJ278" s="15" t="s">
        <v>1091</v>
      </c>
      <c r="BK278" s="15" t="str">
        <f t="shared" ref="BK278:BK279" si="503">"30.71"</f>
        <v>30.71</v>
      </c>
      <c r="BL278" s="15" t="s">
        <v>1281</v>
      </c>
      <c r="BM278" s="15" t="str">
        <f t="shared" ref="BM278:BM279" si="504">"71.65"</f>
        <v>71.65</v>
      </c>
      <c r="BN278" s="15" t="s">
        <v>3871</v>
      </c>
      <c r="BQ278" s="15" t="s">
        <v>444</v>
      </c>
      <c r="BS278" s="15" t="s">
        <v>444</v>
      </c>
      <c r="BU278" s="15" t="s">
        <v>444</v>
      </c>
      <c r="BW278" s="15" t="s">
        <v>444</v>
      </c>
      <c r="BZ278" s="15" t="s">
        <v>444</v>
      </c>
      <c r="CB278" s="15" t="s">
        <v>444</v>
      </c>
      <c r="CD278" s="15" t="s">
        <v>444</v>
      </c>
      <c r="CF278" s="15" t="s">
        <v>444</v>
      </c>
      <c r="CI278" s="15" t="s">
        <v>444</v>
      </c>
      <c r="CK278" s="15" t="s">
        <v>444</v>
      </c>
      <c r="CM278" s="15" t="s">
        <v>444</v>
      </c>
      <c r="CO278" s="15" t="s">
        <v>444</v>
      </c>
      <c r="CP278" s="15" t="str">
        <f t="shared" ref="CP278:CP279" si="505">"21.4"</f>
        <v>21.4</v>
      </c>
      <c r="CQ278" s="15" t="str">
        <f t="shared" ref="CQ278:CQ279" si="506">"0.606"</f>
        <v>0.606</v>
      </c>
      <c r="CR278" s="15" t="s">
        <v>417</v>
      </c>
      <c r="CY278" s="15" t="s">
        <v>2839</v>
      </c>
      <c r="CZ278" s="15" t="s">
        <v>429</v>
      </c>
      <c r="DA278" s="15" t="s">
        <v>1072</v>
      </c>
      <c r="DB278" s="15" t="s">
        <v>1286</v>
      </c>
      <c r="DC278" s="15" t="str">
        <f>IFERROR(__xludf.DUMMYFUNCTION("""COMPUTED_VALUE"""),"{""value"":23.50,""unit"":""in""}")</f>
        <v>{"value":23.50,"unit":"in"}</v>
      </c>
      <c r="DD278" s="15" t="s">
        <v>467</v>
      </c>
      <c r="DE278" s="15" t="str">
        <f>IFERROR(__xludf.DUMMYFUNCTION("""COMPUTED_VALUE"""),"{""value"":19.00,""unit"":""in""}")</f>
        <v>{"value":19.00,"unit":"in"}</v>
      </c>
      <c r="DF278" s="15" t="s">
        <v>1072</v>
      </c>
      <c r="DG278" s="15" t="str">
        <f>IFERROR(__xludf.DUMMYFUNCTION("""COMPUTED_VALUE"""),"{""value"":22.00,""unit"":""in""}")</f>
        <v>{"value":22.00,"unit":"in"}</v>
      </c>
      <c r="DH278" s="15">
        <v>0.0</v>
      </c>
      <c r="DI278" s="15">
        <v>1.0</v>
      </c>
      <c r="DJ278" s="15" t="s">
        <v>717</v>
      </c>
      <c r="DK278" s="15" t="s">
        <v>718</v>
      </c>
      <c r="DL278" s="15" t="str">
        <f>IFERROR(__xludf.DUMMYFUNCTION("""COMPUTED_VALUE"""),"Vacuum or light brush only. Do not use water or any cleaning products.")</f>
        <v>Vacuum or light brush only. Do not use water or any cleaning products.</v>
      </c>
      <c r="DM278" s="15" t="s">
        <v>719</v>
      </c>
      <c r="DQ278" s="15" t="s">
        <v>1239</v>
      </c>
      <c r="DT278" s="15" t="s">
        <v>721</v>
      </c>
      <c r="DU278" s="15" t="s">
        <v>419</v>
      </c>
      <c r="DV278" s="15">
        <v>0.0</v>
      </c>
      <c r="DZ278" s="15">
        <v>0.0</v>
      </c>
      <c r="EA278" s="15" t="s">
        <v>990</v>
      </c>
      <c r="EB278" s="15" t="s">
        <v>723</v>
      </c>
      <c r="EC278" s="15" t="s">
        <v>724</v>
      </c>
      <c r="ED278" s="15">
        <v>1.0</v>
      </c>
      <c r="EE278" s="15">
        <v>1.0</v>
      </c>
      <c r="EG278" s="15" t="s">
        <v>444</v>
      </c>
      <c r="EH278" s="15" t="s">
        <v>3872</v>
      </c>
      <c r="EI278" s="15">
        <v>0.0</v>
      </c>
      <c r="EJ278" s="15" t="s">
        <v>726</v>
      </c>
      <c r="EK278" s="15" t="s">
        <v>727</v>
      </c>
      <c r="EL278" s="15" t="s">
        <v>1212</v>
      </c>
      <c r="EM278" s="15" t="str">
        <f>IFERROR(__xludf.DUMMYFUNCTION("""COMPUTED_VALUE"""),"{""value"":25.50,""unit"":""in""}")</f>
        <v>{"value":25.50,"unit":"in"}</v>
      </c>
      <c r="EN278" s="15" t="s">
        <v>762</v>
      </c>
      <c r="EO278" s="15" t="s">
        <v>2839</v>
      </c>
      <c r="ES278" s="15" t="s">
        <v>3545</v>
      </c>
      <c r="ET278" s="15" t="s">
        <v>505</v>
      </c>
      <c r="EU278" s="15" t="s">
        <v>504</v>
      </c>
      <c r="EV278" s="15" t="s">
        <v>1072</v>
      </c>
      <c r="EW278" s="15" t="s">
        <v>2805</v>
      </c>
      <c r="EX278" s="15" t="s">
        <v>2314</v>
      </c>
      <c r="EY278" s="15" t="s">
        <v>1574</v>
      </c>
      <c r="EZ278" s="15" t="s">
        <v>1288</v>
      </c>
      <c r="FC278" s="15" t="s">
        <v>723</v>
      </c>
      <c r="FD278" s="15" t="s">
        <v>724</v>
      </c>
      <c r="FE278" s="15" t="s">
        <v>1289</v>
      </c>
      <c r="FF278" s="15" t="s">
        <v>1290</v>
      </c>
      <c r="FL278" s="15" t="s">
        <v>426</v>
      </c>
      <c r="FQ278" s="15">
        <v>0.0</v>
      </c>
      <c r="FR278" s="15">
        <v>0.0</v>
      </c>
      <c r="FT278" s="15">
        <v>0.0</v>
      </c>
    </row>
    <row r="279" ht="15.75" customHeight="1">
      <c r="A279" s="14" t="s">
        <v>391</v>
      </c>
      <c r="B279" s="15" t="s">
        <v>3865</v>
      </c>
      <c r="C279" s="16"/>
      <c r="D279" s="15" t="s">
        <v>432</v>
      </c>
      <c r="G279" s="14" t="s">
        <v>393</v>
      </c>
      <c r="H279" s="14" t="s">
        <v>394</v>
      </c>
      <c r="I279" s="14" t="b">
        <v>1</v>
      </c>
      <c r="J279" s="14" t="s">
        <v>395</v>
      </c>
      <c r="L279" s="14" t="b">
        <v>0</v>
      </c>
      <c r="M279" s="15" t="s">
        <v>3873</v>
      </c>
      <c r="N279" s="14" t="s">
        <v>393</v>
      </c>
      <c r="O279" s="14" t="s">
        <v>393</v>
      </c>
      <c r="P279" s="15" t="s">
        <v>397</v>
      </c>
      <c r="Q279" s="15" t="s">
        <v>3874</v>
      </c>
      <c r="T279" s="14" t="b">
        <v>0</v>
      </c>
      <c r="U279" s="15" t="s">
        <v>3875</v>
      </c>
      <c r="V279" s="15" t="s">
        <v>3868</v>
      </c>
      <c r="W279" s="15" t="s">
        <v>401</v>
      </c>
      <c r="X279" s="15" t="s">
        <v>695</v>
      </c>
      <c r="Y279" s="15">
        <v>1911.0</v>
      </c>
      <c r="AA279" s="15" t="str">
        <f>"735"</f>
        <v>735</v>
      </c>
      <c r="AB279" s="14" t="b">
        <v>1</v>
      </c>
      <c r="AC279" s="14" t="b">
        <v>1</v>
      </c>
      <c r="AD279" s="15" t="str">
        <f>"801542460648"</f>
        <v>801542460648</v>
      </c>
      <c r="AE279" s="15" t="s">
        <v>3876</v>
      </c>
      <c r="AF279" s="14" t="s">
        <v>404</v>
      </c>
      <c r="AG279" s="14" t="s">
        <v>405</v>
      </c>
      <c r="AH279" s="14" t="s">
        <v>406</v>
      </c>
      <c r="AI279" s="15">
        <v>0.0</v>
      </c>
      <c r="AL279" s="15" t="s">
        <v>975</v>
      </c>
      <c r="AM279" s="15" t="s">
        <v>2229</v>
      </c>
      <c r="AN279" s="15" t="s">
        <v>2230</v>
      </c>
      <c r="AO279" s="15" t="s">
        <v>622</v>
      </c>
      <c r="AP279" s="15" t="s">
        <v>623</v>
      </c>
      <c r="AQ279" s="15" t="s">
        <v>410</v>
      </c>
      <c r="AR279" s="15" t="s">
        <v>439</v>
      </c>
      <c r="AS279" s="15" t="s">
        <v>915</v>
      </c>
      <c r="AT279" s="15" t="s">
        <v>3874</v>
      </c>
      <c r="AU279" s="15" t="s">
        <v>1278</v>
      </c>
      <c r="AW279" s="15" t="s">
        <v>706</v>
      </c>
      <c r="AX279" s="15" t="s">
        <v>707</v>
      </c>
      <c r="AY279" s="15" t="s">
        <v>413</v>
      </c>
      <c r="AZ279" s="15" t="b">
        <v>0</v>
      </c>
      <c r="BA279" s="15" t="s">
        <v>413</v>
      </c>
      <c r="BB279" s="15" t="b">
        <v>0</v>
      </c>
      <c r="BC279" s="15" t="s">
        <v>3877</v>
      </c>
      <c r="BD279" s="15" t="s">
        <v>709</v>
      </c>
      <c r="BE279" s="15" t="str">
        <f t="shared" si="493"/>
        <v>1</v>
      </c>
      <c r="BF279" s="15" t="s">
        <v>416</v>
      </c>
      <c r="BG279" s="15" t="str">
        <f t="shared" si="501"/>
        <v>36.42</v>
      </c>
      <c r="BH279" s="15" t="s">
        <v>3046</v>
      </c>
      <c r="BI279" s="15" t="str">
        <f t="shared" si="502"/>
        <v>33.07</v>
      </c>
      <c r="BJ279" s="15" t="s">
        <v>1091</v>
      </c>
      <c r="BK279" s="15" t="str">
        <f t="shared" si="503"/>
        <v>30.71</v>
      </c>
      <c r="BL279" s="15" t="s">
        <v>1281</v>
      </c>
      <c r="BM279" s="15" t="str">
        <f t="shared" si="504"/>
        <v>71.65</v>
      </c>
      <c r="BN279" s="15" t="s">
        <v>3871</v>
      </c>
      <c r="BQ279" s="15" t="s">
        <v>444</v>
      </c>
      <c r="BS279" s="15" t="s">
        <v>444</v>
      </c>
      <c r="BU279" s="15" t="s">
        <v>444</v>
      </c>
      <c r="BW279" s="15" t="s">
        <v>444</v>
      </c>
      <c r="BZ279" s="15" t="s">
        <v>444</v>
      </c>
      <c r="CB279" s="15" t="s">
        <v>444</v>
      </c>
      <c r="CD279" s="15" t="s">
        <v>444</v>
      </c>
      <c r="CF279" s="15" t="s">
        <v>444</v>
      </c>
      <c r="CI279" s="15" t="s">
        <v>444</v>
      </c>
      <c r="CK279" s="15" t="s">
        <v>444</v>
      </c>
      <c r="CM279" s="15" t="s">
        <v>444</v>
      </c>
      <c r="CO279" s="15" t="s">
        <v>444</v>
      </c>
      <c r="CP279" s="15" t="str">
        <f t="shared" si="505"/>
        <v>21.4</v>
      </c>
      <c r="CQ279" s="15" t="str">
        <f t="shared" si="506"/>
        <v>0.606</v>
      </c>
      <c r="CR279" s="15" t="s">
        <v>497</v>
      </c>
      <c r="CY279" s="15" t="s">
        <v>2839</v>
      </c>
      <c r="CZ279" s="15" t="s">
        <v>429</v>
      </c>
      <c r="DA279" s="15" t="s">
        <v>1072</v>
      </c>
      <c r="DB279" s="15" t="s">
        <v>1286</v>
      </c>
      <c r="DC279" s="15" t="str">
        <f>IFERROR(__xludf.DUMMYFUNCTION("""COMPUTED_VALUE"""),"{""value"":23.50,""unit"":""in""}")</f>
        <v>{"value":23.50,"unit":"in"}</v>
      </c>
      <c r="DD279" s="15" t="s">
        <v>467</v>
      </c>
      <c r="DE279" s="15" t="str">
        <f>IFERROR(__xludf.DUMMYFUNCTION("""COMPUTED_VALUE"""),"{""value"":19.00,""unit"":""in""}")</f>
        <v>{"value":19.00,"unit":"in"}</v>
      </c>
      <c r="DF279" s="15" t="s">
        <v>1072</v>
      </c>
      <c r="DG279" s="15" t="str">
        <f>IFERROR(__xludf.DUMMYFUNCTION("""COMPUTED_VALUE"""),"{""value"":22.00,""unit"":""in""}")</f>
        <v>{"value":22.00,"unit":"in"}</v>
      </c>
      <c r="DH279" s="15">
        <v>0.0</v>
      </c>
      <c r="DI279" s="15">
        <v>1.0</v>
      </c>
      <c r="DJ279" s="15" t="s">
        <v>717</v>
      </c>
      <c r="DK279" s="15" t="s">
        <v>718</v>
      </c>
      <c r="DL279" s="15" t="str">
        <f>IFERROR(__xludf.DUMMYFUNCTION("""COMPUTED_VALUE"""),"Vacuum or light brush only. Do not use water or any cleaning products.")</f>
        <v>Vacuum or light brush only. Do not use water or any cleaning products.</v>
      </c>
      <c r="DM279" s="15" t="s">
        <v>719</v>
      </c>
      <c r="DQ279" s="15" t="s">
        <v>1239</v>
      </c>
      <c r="DT279" s="15" t="s">
        <v>721</v>
      </c>
      <c r="DU279" s="15" t="s">
        <v>419</v>
      </c>
      <c r="DV279" s="15">
        <v>0.0</v>
      </c>
      <c r="DZ279" s="15">
        <v>0.0</v>
      </c>
      <c r="EA279" s="15" t="s">
        <v>990</v>
      </c>
      <c r="EB279" s="15" t="s">
        <v>723</v>
      </c>
      <c r="EC279" s="15" t="s">
        <v>724</v>
      </c>
      <c r="ED279" s="15">
        <v>1.0</v>
      </c>
      <c r="EE279" s="15">
        <v>1.0</v>
      </c>
      <c r="EG279" s="15" t="s">
        <v>444</v>
      </c>
      <c r="EH279" s="15" t="s">
        <v>3872</v>
      </c>
      <c r="EI279" s="15">
        <v>0.0</v>
      </c>
      <c r="EJ279" s="15" t="s">
        <v>726</v>
      </c>
      <c r="EK279" s="15" t="s">
        <v>727</v>
      </c>
      <c r="EL279" s="15" t="s">
        <v>1212</v>
      </c>
      <c r="EM279" s="15" t="str">
        <f>IFERROR(__xludf.DUMMYFUNCTION("""COMPUTED_VALUE"""),"{""value"":25.50,""unit"":""in""}")</f>
        <v>{"value":25.50,"unit":"in"}</v>
      </c>
      <c r="EN279" s="15" t="s">
        <v>762</v>
      </c>
      <c r="EO279" s="15" t="s">
        <v>2839</v>
      </c>
      <c r="ES279" s="15" t="s">
        <v>3545</v>
      </c>
      <c r="ET279" s="15" t="s">
        <v>505</v>
      </c>
      <c r="EU279" s="15" t="s">
        <v>504</v>
      </c>
      <c r="EV279" s="15" t="s">
        <v>1072</v>
      </c>
      <c r="EW279" s="15" t="s">
        <v>2805</v>
      </c>
      <c r="EX279" s="15" t="s">
        <v>2314</v>
      </c>
      <c r="EY279" s="15" t="s">
        <v>1574</v>
      </c>
      <c r="EZ279" s="15" t="s">
        <v>1288</v>
      </c>
      <c r="FC279" s="15" t="s">
        <v>723</v>
      </c>
      <c r="FD279" s="15" t="s">
        <v>724</v>
      </c>
      <c r="FE279" s="15" t="s">
        <v>1289</v>
      </c>
      <c r="FF279" s="15" t="s">
        <v>1290</v>
      </c>
      <c r="FL279" s="15" t="s">
        <v>426</v>
      </c>
      <c r="FQ279" s="15">
        <v>0.0</v>
      </c>
      <c r="FR279" s="15">
        <v>0.0</v>
      </c>
      <c r="FT279" s="15">
        <v>0.0</v>
      </c>
    </row>
    <row r="280" ht="15.75" customHeight="1">
      <c r="A280" s="14" t="s">
        <v>391</v>
      </c>
      <c r="B280" s="15" t="s">
        <v>3878</v>
      </c>
      <c r="C280" s="16"/>
      <c r="D280" s="15" t="s">
        <v>432</v>
      </c>
      <c r="G280" s="14" t="s">
        <v>393</v>
      </c>
      <c r="H280" s="14" t="s">
        <v>394</v>
      </c>
      <c r="I280" s="14" t="b">
        <v>1</v>
      </c>
      <c r="J280" s="14" t="s">
        <v>395</v>
      </c>
      <c r="L280" s="14" t="b">
        <v>0</v>
      </c>
      <c r="M280" s="15" t="s">
        <v>3879</v>
      </c>
      <c r="N280" s="14" t="s">
        <v>393</v>
      </c>
      <c r="O280" s="14" t="s">
        <v>393</v>
      </c>
      <c r="P280" s="15" t="s">
        <v>397</v>
      </c>
      <c r="Q280" s="15" t="s">
        <v>2575</v>
      </c>
      <c r="T280" s="14" t="b">
        <v>0</v>
      </c>
      <c r="U280" s="15" t="s">
        <v>3880</v>
      </c>
      <c r="V280" s="15" t="s">
        <v>3881</v>
      </c>
      <c r="W280" s="15" t="s">
        <v>401</v>
      </c>
      <c r="X280" s="15" t="s">
        <v>695</v>
      </c>
      <c r="Y280" s="15">
        <v>3393.0</v>
      </c>
      <c r="AA280" s="15" t="str">
        <f>"1305"</f>
        <v>1305</v>
      </c>
      <c r="AB280" s="14" t="b">
        <v>1</v>
      </c>
      <c r="AC280" s="14" t="b">
        <v>1</v>
      </c>
      <c r="AD280" s="15" t="str">
        <f>"801542046712"</f>
        <v>801542046712</v>
      </c>
      <c r="AE280" s="15" t="s">
        <v>3882</v>
      </c>
      <c r="AF280" s="14" t="s">
        <v>404</v>
      </c>
      <c r="AG280" s="14" t="s">
        <v>405</v>
      </c>
      <c r="AH280" s="14" t="s">
        <v>406</v>
      </c>
      <c r="AI280" s="15">
        <v>0.0</v>
      </c>
      <c r="AL280" s="15" t="s">
        <v>975</v>
      </c>
      <c r="AM280" s="15" t="s">
        <v>2151</v>
      </c>
      <c r="AN280" s="15" t="s">
        <v>2152</v>
      </c>
      <c r="AO280" s="15" t="s">
        <v>622</v>
      </c>
      <c r="AP280" s="15" t="s">
        <v>623</v>
      </c>
      <c r="AQ280" s="15" t="s">
        <v>410</v>
      </c>
      <c r="AR280" s="15" t="s">
        <v>439</v>
      </c>
      <c r="AS280" s="15" t="s">
        <v>915</v>
      </c>
      <c r="AT280" s="15" t="s">
        <v>2575</v>
      </c>
      <c r="AU280" s="15" t="s">
        <v>978</v>
      </c>
      <c r="AW280" s="15" t="s">
        <v>1732</v>
      </c>
      <c r="AY280" s="15" t="s">
        <v>413</v>
      </c>
      <c r="AZ280" s="15" t="b">
        <v>0</v>
      </c>
      <c r="BA280" s="15" t="s">
        <v>413</v>
      </c>
      <c r="BB280" s="15" t="b">
        <v>0</v>
      </c>
      <c r="BC280" s="15" t="s">
        <v>3883</v>
      </c>
      <c r="BD280" s="15" t="s">
        <v>709</v>
      </c>
      <c r="BE280" s="15" t="str">
        <f t="shared" si="493"/>
        <v>1</v>
      </c>
      <c r="BF280" s="15" t="s">
        <v>416</v>
      </c>
      <c r="BG280" s="15" t="str">
        <f t="shared" ref="BG280:BG282" si="507">"87.01"</f>
        <v>87.01</v>
      </c>
      <c r="BH280" s="15" t="s">
        <v>3884</v>
      </c>
      <c r="BI280" s="15" t="str">
        <f t="shared" ref="BI280:BI282" si="508">"36.61"</f>
        <v>36.61</v>
      </c>
      <c r="BJ280" s="15" t="s">
        <v>1734</v>
      </c>
      <c r="BK280" s="15" t="str">
        <f t="shared" ref="BK280:BK282" si="509">"30.91"</f>
        <v>30.91</v>
      </c>
      <c r="BL280" s="15" t="s">
        <v>3885</v>
      </c>
      <c r="BM280" s="15" t="str">
        <f t="shared" ref="BM280:BM282" si="510">"167.55"</f>
        <v>167.55</v>
      </c>
      <c r="BN280" s="15" t="s">
        <v>3886</v>
      </c>
      <c r="BQ280" s="15" t="s">
        <v>444</v>
      </c>
      <c r="BS280" s="15" t="s">
        <v>444</v>
      </c>
      <c r="BU280" s="15" t="s">
        <v>444</v>
      </c>
      <c r="BW280" s="15" t="s">
        <v>444</v>
      </c>
      <c r="BZ280" s="15" t="s">
        <v>444</v>
      </c>
      <c r="CB280" s="15" t="s">
        <v>444</v>
      </c>
      <c r="CD280" s="15" t="s">
        <v>444</v>
      </c>
      <c r="CF280" s="15" t="s">
        <v>444</v>
      </c>
      <c r="CI280" s="15" t="s">
        <v>444</v>
      </c>
      <c r="CK280" s="15" t="s">
        <v>444</v>
      </c>
      <c r="CM280" s="15" t="s">
        <v>444</v>
      </c>
      <c r="CO280" s="15" t="s">
        <v>444</v>
      </c>
      <c r="CP280" s="15" t="str">
        <f t="shared" ref="CP280:CP282" si="511">"56.96"</f>
        <v>56.96</v>
      </c>
      <c r="CQ280" s="15" t="str">
        <f t="shared" ref="CQ280:CQ282" si="512">"1.613"</f>
        <v>1.613</v>
      </c>
      <c r="CR280" s="15" t="s">
        <v>417</v>
      </c>
      <c r="CY280" s="15" t="s">
        <v>2314</v>
      </c>
      <c r="CZ280" s="15" t="s">
        <v>2116</v>
      </c>
      <c r="DA280" s="15" t="s">
        <v>2385</v>
      </c>
      <c r="DB280" s="15" t="s">
        <v>1286</v>
      </c>
      <c r="DC280" s="15" t="str">
        <f>IFERROR(__xludf.DUMMYFUNCTION("""COMPUTED_VALUE"""),"{""value"":23.50,""unit"":""in""}")</f>
        <v>{"value":23.50,"unit":"in"}</v>
      </c>
      <c r="DD280" s="15" t="s">
        <v>3748</v>
      </c>
      <c r="DE280" s="15" t="str">
        <f>IFERROR(__xludf.DUMMYFUNCTION("""COMPUTED_VALUE"""),"{""value"":19.75,""unit"":""in""}")</f>
        <v>{"value":19.75,"unit":"in"}</v>
      </c>
      <c r="DF280" s="15" t="s">
        <v>1755</v>
      </c>
      <c r="DG280" s="15" t="str">
        <f>IFERROR(__xludf.DUMMYFUNCTION("""COMPUTED_VALUE"""),"{""value"":76.00,""unit"":""in""}")</f>
        <v>{"value":76.00,"unit":"in"}</v>
      </c>
      <c r="DH280" s="15">
        <v>0.0</v>
      </c>
      <c r="DI280" s="15">
        <v>2.0</v>
      </c>
      <c r="DJ280" s="15" t="s">
        <v>717</v>
      </c>
      <c r="DK280" s="15" t="s">
        <v>718</v>
      </c>
      <c r="DL280" s="15" t="str">
        <f>IFERROR(__xludf.DUMMYFUNCTION("""COMPUTED_VALUE"""),"Vacuum or light brush only. Do not use water or any cleaning products.")</f>
        <v>Vacuum or light brush only. Do not use water or any cleaning products.</v>
      </c>
      <c r="DM280" s="15" t="s">
        <v>719</v>
      </c>
      <c r="DQ280" s="15" t="s">
        <v>860</v>
      </c>
      <c r="DT280" s="15" t="s">
        <v>721</v>
      </c>
      <c r="DU280" s="15" t="s">
        <v>419</v>
      </c>
      <c r="DV280" s="15">
        <v>0.0</v>
      </c>
      <c r="DZ280" s="15">
        <v>0.0</v>
      </c>
      <c r="EA280" s="15" t="s">
        <v>990</v>
      </c>
      <c r="EB280" s="15" t="s">
        <v>723</v>
      </c>
      <c r="EC280" s="15" t="s">
        <v>724</v>
      </c>
      <c r="ED280" s="15">
        <v>2.0</v>
      </c>
      <c r="EE280" s="15">
        <v>4.0</v>
      </c>
      <c r="EG280" s="15" t="s">
        <v>444</v>
      </c>
      <c r="EH280" s="15" t="s">
        <v>3872</v>
      </c>
      <c r="EI280" s="15">
        <v>0.0</v>
      </c>
      <c r="EJ280" s="15" t="s">
        <v>588</v>
      </c>
      <c r="EK280" s="15" t="s">
        <v>589</v>
      </c>
      <c r="EL280" s="15" t="s">
        <v>1212</v>
      </c>
      <c r="EM280" s="15" t="str">
        <f>IFERROR(__xludf.DUMMYFUNCTION("""COMPUTED_VALUE"""),"{""value"":25.50,""unit"":""in""}")</f>
        <v>{"value":25.50,"unit":"in"}</v>
      </c>
      <c r="EN280" s="15" t="s">
        <v>762</v>
      </c>
      <c r="EO280" s="15" t="s">
        <v>2839</v>
      </c>
      <c r="ES280" s="15" t="s">
        <v>3545</v>
      </c>
      <c r="ET280" s="15" t="s">
        <v>2402</v>
      </c>
      <c r="EU280" s="15" t="s">
        <v>504</v>
      </c>
      <c r="EV280" s="15" t="s">
        <v>2385</v>
      </c>
      <c r="EW280" s="15" t="s">
        <v>2805</v>
      </c>
      <c r="EX280" s="15" t="s">
        <v>2314</v>
      </c>
      <c r="EY280" s="15" t="s">
        <v>867</v>
      </c>
      <c r="EZ280" s="15" t="s">
        <v>1288</v>
      </c>
      <c r="FC280" s="15" t="s">
        <v>723</v>
      </c>
      <c r="FD280" s="15" t="s">
        <v>724</v>
      </c>
      <c r="FE280" s="15" t="s">
        <v>3386</v>
      </c>
      <c r="FF280" s="15" t="s">
        <v>997</v>
      </c>
    </row>
    <row r="281" ht="15.75" customHeight="1">
      <c r="A281" s="14" t="s">
        <v>391</v>
      </c>
      <c r="B281" s="15" t="s">
        <v>3878</v>
      </c>
      <c r="C281" s="16"/>
      <c r="D281" s="15" t="s">
        <v>432</v>
      </c>
      <c r="G281" s="14" t="s">
        <v>393</v>
      </c>
      <c r="H281" s="14" t="s">
        <v>394</v>
      </c>
      <c r="I281" s="14" t="b">
        <v>1</v>
      </c>
      <c r="J281" s="14" t="s">
        <v>395</v>
      </c>
      <c r="L281" s="14" t="b">
        <v>0</v>
      </c>
      <c r="M281" s="15" t="s">
        <v>3887</v>
      </c>
      <c r="N281" s="14" t="s">
        <v>393</v>
      </c>
      <c r="O281" s="14" t="s">
        <v>393</v>
      </c>
      <c r="P281" s="15" t="s">
        <v>397</v>
      </c>
      <c r="Q281" s="15" t="s">
        <v>3262</v>
      </c>
      <c r="T281" s="14" t="b">
        <v>0</v>
      </c>
      <c r="U281" s="15" t="s">
        <v>3888</v>
      </c>
      <c r="V281" s="15" t="s">
        <v>3881</v>
      </c>
      <c r="W281" s="15" t="s">
        <v>401</v>
      </c>
      <c r="X281" s="15" t="s">
        <v>695</v>
      </c>
      <c r="Y281" s="15">
        <v>3822.0</v>
      </c>
      <c r="AA281" s="15" t="str">
        <f t="shared" ref="AA281:AA282" si="513">"1470"</f>
        <v>1470</v>
      </c>
      <c r="AB281" s="14" t="b">
        <v>1</v>
      </c>
      <c r="AC281" s="14" t="b">
        <v>1</v>
      </c>
      <c r="AD281" s="15" t="str">
        <f>"801542737498"</f>
        <v>801542737498</v>
      </c>
      <c r="AE281" s="15" t="s">
        <v>3889</v>
      </c>
      <c r="AF281" s="14" t="s">
        <v>404</v>
      </c>
      <c r="AG281" s="14" t="s">
        <v>405</v>
      </c>
      <c r="AH281" s="14" t="s">
        <v>406</v>
      </c>
      <c r="AI281" s="15">
        <v>0.0</v>
      </c>
      <c r="AL281" s="15" t="s">
        <v>1341</v>
      </c>
      <c r="AM281" s="15" t="s">
        <v>2151</v>
      </c>
      <c r="AN281" s="15" t="s">
        <v>2152</v>
      </c>
      <c r="AO281" s="15" t="s">
        <v>622</v>
      </c>
      <c r="AP281" s="15" t="s">
        <v>623</v>
      </c>
      <c r="AQ281" s="15" t="s">
        <v>410</v>
      </c>
      <c r="AR281" s="15" t="s">
        <v>439</v>
      </c>
      <c r="AS281" s="15" t="s">
        <v>915</v>
      </c>
      <c r="AT281" s="15" t="s">
        <v>3262</v>
      </c>
      <c r="AU281" s="15" t="s">
        <v>1342</v>
      </c>
      <c r="AW281" s="15" t="s">
        <v>1732</v>
      </c>
      <c r="AY281" s="15" t="s">
        <v>413</v>
      </c>
      <c r="AZ281" s="15" t="b">
        <v>0</v>
      </c>
      <c r="BA281" s="15" t="s">
        <v>413</v>
      </c>
      <c r="BB281" s="15" t="b">
        <v>0</v>
      </c>
      <c r="BD281" s="15" t="s">
        <v>709</v>
      </c>
      <c r="BE281" s="15" t="str">
        <f t="shared" si="493"/>
        <v>1</v>
      </c>
      <c r="BF281" s="15" t="s">
        <v>416</v>
      </c>
      <c r="BG281" s="15" t="str">
        <f t="shared" si="507"/>
        <v>87.01</v>
      </c>
      <c r="BH281" s="15" t="s">
        <v>3884</v>
      </c>
      <c r="BI281" s="15" t="str">
        <f t="shared" si="508"/>
        <v>36.61</v>
      </c>
      <c r="BJ281" s="15" t="s">
        <v>1734</v>
      </c>
      <c r="BK281" s="15" t="str">
        <f t="shared" si="509"/>
        <v>30.91</v>
      </c>
      <c r="BL281" s="15" t="s">
        <v>3885</v>
      </c>
      <c r="BM281" s="15" t="str">
        <f t="shared" si="510"/>
        <v>167.55</v>
      </c>
      <c r="BN281" s="15" t="s">
        <v>3886</v>
      </c>
      <c r="BQ281" s="15" t="s">
        <v>444</v>
      </c>
      <c r="BS281" s="15" t="s">
        <v>444</v>
      </c>
      <c r="BU281" s="15" t="s">
        <v>444</v>
      </c>
      <c r="BW281" s="15" t="s">
        <v>444</v>
      </c>
      <c r="BZ281" s="15" t="s">
        <v>444</v>
      </c>
      <c r="CB281" s="15" t="s">
        <v>444</v>
      </c>
      <c r="CD281" s="15" t="s">
        <v>444</v>
      </c>
      <c r="CF281" s="15" t="s">
        <v>444</v>
      </c>
      <c r="CI281" s="15" t="s">
        <v>444</v>
      </c>
      <c r="CK281" s="15" t="s">
        <v>444</v>
      </c>
      <c r="CM281" s="15" t="s">
        <v>444</v>
      </c>
      <c r="CO281" s="15" t="s">
        <v>444</v>
      </c>
      <c r="CP281" s="15" t="str">
        <f t="shared" si="511"/>
        <v>56.96</v>
      </c>
      <c r="CQ281" s="15" t="str">
        <f t="shared" si="512"/>
        <v>1.613</v>
      </c>
      <c r="CR281" s="15" t="s">
        <v>417</v>
      </c>
      <c r="CY281" s="15" t="s">
        <v>2314</v>
      </c>
      <c r="CZ281" s="15" t="s">
        <v>2116</v>
      </c>
      <c r="DA281" s="15" t="s">
        <v>2385</v>
      </c>
      <c r="DB281" s="15" t="s">
        <v>1286</v>
      </c>
      <c r="DC281" s="15" t="str">
        <f>IFERROR(__xludf.DUMMYFUNCTION("""COMPUTED_VALUE"""),"{""value"":23.50,""unit"":""in""}")</f>
        <v>{"value":23.50,"unit":"in"}</v>
      </c>
      <c r="DD281" s="15" t="s">
        <v>3748</v>
      </c>
      <c r="DE281" s="15" t="str">
        <f>IFERROR(__xludf.DUMMYFUNCTION("""COMPUTED_VALUE"""),"{""value"":19.75,""unit"":""in""}")</f>
        <v>{"value":19.75,"unit":"in"}</v>
      </c>
      <c r="DF281" s="15" t="s">
        <v>1755</v>
      </c>
      <c r="DG281" s="15" t="str">
        <f>IFERROR(__xludf.DUMMYFUNCTION("""COMPUTED_VALUE"""),"{""value"":76.00,""unit"":""in""}")</f>
        <v>{"value":76.00,"unit":"in"}</v>
      </c>
      <c r="DH281" s="15">
        <v>0.0</v>
      </c>
      <c r="DI281" s="15">
        <v>2.0</v>
      </c>
      <c r="DJ281" s="15" t="s">
        <v>717</v>
      </c>
      <c r="DK281" s="15" t="s">
        <v>718</v>
      </c>
      <c r="DL281" s="15" t="str">
        <f>IFERROR(__xludf.DUMMYFUNCTION("""COMPUTED_VALUE"""),"Vacuum or light brush only. Do not use water or any cleaning products.")</f>
        <v>Vacuum or light brush only. Do not use water or any cleaning products.</v>
      </c>
      <c r="DM281" s="15" t="s">
        <v>719</v>
      </c>
      <c r="DQ281" s="15" t="s">
        <v>860</v>
      </c>
      <c r="DT281" s="15" t="s">
        <v>721</v>
      </c>
      <c r="DU281" s="15" t="s">
        <v>419</v>
      </c>
      <c r="DV281" s="15">
        <v>0.0</v>
      </c>
      <c r="DZ281" s="15">
        <v>0.0</v>
      </c>
      <c r="EA281" s="15" t="s">
        <v>990</v>
      </c>
      <c r="EB281" s="15" t="s">
        <v>723</v>
      </c>
      <c r="EC281" s="15" t="s">
        <v>724</v>
      </c>
      <c r="ED281" s="15">
        <v>2.0</v>
      </c>
      <c r="EE281" s="15">
        <v>4.0</v>
      </c>
      <c r="EG281" s="15" t="s">
        <v>444</v>
      </c>
      <c r="EH281" s="15" t="s">
        <v>3872</v>
      </c>
      <c r="EI281" s="15">
        <v>0.0</v>
      </c>
      <c r="EJ281" s="15" t="s">
        <v>588</v>
      </c>
      <c r="EK281" s="15" t="s">
        <v>589</v>
      </c>
      <c r="EL281" s="15" t="s">
        <v>1212</v>
      </c>
      <c r="EM281" s="15" t="str">
        <f>IFERROR(__xludf.DUMMYFUNCTION("""COMPUTED_VALUE"""),"{""value"":25.50,""unit"":""in""}")</f>
        <v>{"value":25.50,"unit":"in"}</v>
      </c>
      <c r="EN281" s="15" t="s">
        <v>762</v>
      </c>
      <c r="EO281" s="15" t="s">
        <v>2839</v>
      </c>
      <c r="ES281" s="15" t="s">
        <v>3545</v>
      </c>
      <c r="ET281" s="15" t="s">
        <v>2402</v>
      </c>
      <c r="EU281" s="15" t="s">
        <v>504</v>
      </c>
      <c r="EV281" s="15" t="s">
        <v>2385</v>
      </c>
      <c r="EW281" s="15" t="s">
        <v>2805</v>
      </c>
      <c r="EX281" s="15" t="s">
        <v>2314</v>
      </c>
      <c r="EY281" s="15" t="s">
        <v>867</v>
      </c>
      <c r="EZ281" s="15" t="s">
        <v>1288</v>
      </c>
      <c r="FC281" s="15" t="s">
        <v>723</v>
      </c>
      <c r="FD281" s="15" t="s">
        <v>724</v>
      </c>
      <c r="FE281" s="15" t="s">
        <v>3386</v>
      </c>
      <c r="FF281" s="15" t="s">
        <v>997</v>
      </c>
    </row>
    <row r="282" ht="15.75" customHeight="1">
      <c r="A282" s="14" t="s">
        <v>391</v>
      </c>
      <c r="B282" s="15" t="s">
        <v>3878</v>
      </c>
      <c r="C282" s="16"/>
      <c r="D282" s="15" t="s">
        <v>432</v>
      </c>
      <c r="G282" s="14" t="s">
        <v>393</v>
      </c>
      <c r="H282" s="14" t="s">
        <v>394</v>
      </c>
      <c r="I282" s="14" t="b">
        <v>1</v>
      </c>
      <c r="J282" s="14" t="s">
        <v>395</v>
      </c>
      <c r="L282" s="14" t="b">
        <v>0</v>
      </c>
      <c r="M282" s="15" t="s">
        <v>3890</v>
      </c>
      <c r="N282" s="14" t="s">
        <v>393</v>
      </c>
      <c r="O282" s="14" t="s">
        <v>393</v>
      </c>
      <c r="P282" s="15" t="s">
        <v>397</v>
      </c>
      <c r="Q282" s="15" t="s">
        <v>3874</v>
      </c>
      <c r="T282" s="14" t="b">
        <v>0</v>
      </c>
      <c r="U282" s="15" t="s">
        <v>3891</v>
      </c>
      <c r="V282" s="15" t="s">
        <v>3881</v>
      </c>
      <c r="W282" s="15" t="s">
        <v>401</v>
      </c>
      <c r="X282" s="15" t="s">
        <v>695</v>
      </c>
      <c r="Y282" s="15">
        <v>3822.0</v>
      </c>
      <c r="AA282" s="15" t="str">
        <f t="shared" si="513"/>
        <v>1470</v>
      </c>
      <c r="AB282" s="14" t="b">
        <v>1</v>
      </c>
      <c r="AC282" s="14" t="b">
        <v>1</v>
      </c>
      <c r="AD282" s="15" t="str">
        <f>"801542744298"</f>
        <v>801542744298</v>
      </c>
      <c r="AE282" s="15" t="s">
        <v>3892</v>
      </c>
      <c r="AF282" s="14" t="s">
        <v>404</v>
      </c>
      <c r="AG282" s="14" t="s">
        <v>405</v>
      </c>
      <c r="AH282" s="14" t="s">
        <v>406</v>
      </c>
      <c r="AI282" s="15">
        <v>0.0</v>
      </c>
      <c r="AL282" s="15" t="s">
        <v>975</v>
      </c>
      <c r="AM282" s="15" t="s">
        <v>2151</v>
      </c>
      <c r="AN282" s="15" t="s">
        <v>2152</v>
      </c>
      <c r="AO282" s="15" t="s">
        <v>622</v>
      </c>
      <c r="AP282" s="15" t="s">
        <v>623</v>
      </c>
      <c r="AQ282" s="15" t="s">
        <v>410</v>
      </c>
      <c r="AR282" s="15" t="s">
        <v>439</v>
      </c>
      <c r="AS282" s="15" t="s">
        <v>915</v>
      </c>
      <c r="AT282" s="15" t="s">
        <v>3874</v>
      </c>
      <c r="AU282" s="15" t="s">
        <v>1278</v>
      </c>
      <c r="AW282" s="15" t="s">
        <v>1732</v>
      </c>
      <c r="AY282" s="15" t="s">
        <v>413</v>
      </c>
      <c r="AZ282" s="15" t="b">
        <v>0</v>
      </c>
      <c r="BA282" s="15" t="s">
        <v>413</v>
      </c>
      <c r="BB282" s="15" t="b">
        <v>0</v>
      </c>
      <c r="BD282" s="15" t="s">
        <v>709</v>
      </c>
      <c r="BE282" s="15" t="str">
        <f t="shared" si="493"/>
        <v>1</v>
      </c>
      <c r="BF282" s="15" t="s">
        <v>416</v>
      </c>
      <c r="BG282" s="15" t="str">
        <f t="shared" si="507"/>
        <v>87.01</v>
      </c>
      <c r="BH282" s="15" t="s">
        <v>3884</v>
      </c>
      <c r="BI282" s="15" t="str">
        <f t="shared" si="508"/>
        <v>36.61</v>
      </c>
      <c r="BJ282" s="15" t="s">
        <v>1734</v>
      </c>
      <c r="BK282" s="15" t="str">
        <f t="shared" si="509"/>
        <v>30.91</v>
      </c>
      <c r="BL282" s="15" t="s">
        <v>3885</v>
      </c>
      <c r="BM282" s="15" t="str">
        <f t="shared" si="510"/>
        <v>167.55</v>
      </c>
      <c r="BN282" s="15" t="s">
        <v>3886</v>
      </c>
      <c r="BQ282" s="15" t="s">
        <v>444</v>
      </c>
      <c r="BS282" s="15" t="s">
        <v>444</v>
      </c>
      <c r="BU282" s="15" t="s">
        <v>444</v>
      </c>
      <c r="BW282" s="15" t="s">
        <v>444</v>
      </c>
      <c r="BZ282" s="15" t="s">
        <v>444</v>
      </c>
      <c r="CB282" s="15" t="s">
        <v>444</v>
      </c>
      <c r="CD282" s="15" t="s">
        <v>444</v>
      </c>
      <c r="CF282" s="15" t="s">
        <v>444</v>
      </c>
      <c r="CI282" s="15" t="s">
        <v>444</v>
      </c>
      <c r="CK282" s="15" t="s">
        <v>444</v>
      </c>
      <c r="CM282" s="15" t="s">
        <v>444</v>
      </c>
      <c r="CO282" s="15" t="s">
        <v>444</v>
      </c>
      <c r="CP282" s="15" t="str">
        <f t="shared" si="511"/>
        <v>56.96</v>
      </c>
      <c r="CQ282" s="15" t="str">
        <f t="shared" si="512"/>
        <v>1.613</v>
      </c>
      <c r="CR282" s="15" t="s">
        <v>465</v>
      </c>
      <c r="CY282" s="15" t="s">
        <v>2314</v>
      </c>
      <c r="CZ282" s="15" t="s">
        <v>2116</v>
      </c>
      <c r="DA282" s="15" t="s">
        <v>2385</v>
      </c>
      <c r="DB282" s="15" t="s">
        <v>1286</v>
      </c>
      <c r="DC282" s="15" t="str">
        <f>IFERROR(__xludf.DUMMYFUNCTION("""COMPUTED_VALUE"""),"{""value"":23.50,""unit"":""in""}")</f>
        <v>{"value":23.50,"unit":"in"}</v>
      </c>
      <c r="DD282" s="15" t="s">
        <v>3748</v>
      </c>
      <c r="DE282" s="15" t="str">
        <f>IFERROR(__xludf.DUMMYFUNCTION("""COMPUTED_VALUE"""),"{""value"":19.75,""unit"":""in""}")</f>
        <v>{"value":19.75,"unit":"in"}</v>
      </c>
      <c r="DF282" s="15" t="s">
        <v>1755</v>
      </c>
      <c r="DG282" s="15" t="str">
        <f>IFERROR(__xludf.DUMMYFUNCTION("""COMPUTED_VALUE"""),"{""value"":76.00,""unit"":""in""}")</f>
        <v>{"value":76.00,"unit":"in"}</v>
      </c>
      <c r="DH282" s="15">
        <v>0.0</v>
      </c>
      <c r="DI282" s="15">
        <v>2.0</v>
      </c>
      <c r="DJ282" s="15" t="s">
        <v>717</v>
      </c>
      <c r="DK282" s="15" t="s">
        <v>718</v>
      </c>
      <c r="DL282" s="15" t="str">
        <f>IFERROR(__xludf.DUMMYFUNCTION("""COMPUTED_VALUE"""),"Vacuum or light brush only. Do not use water or any cleaning products.")</f>
        <v>Vacuum or light brush only. Do not use water or any cleaning products.</v>
      </c>
      <c r="DM282" s="15" t="s">
        <v>719</v>
      </c>
      <c r="DQ282" s="15" t="s">
        <v>860</v>
      </c>
      <c r="DT282" s="15" t="s">
        <v>721</v>
      </c>
      <c r="DU282" s="15" t="s">
        <v>419</v>
      </c>
      <c r="DV282" s="15">
        <v>0.0</v>
      </c>
      <c r="DZ282" s="15">
        <v>0.0</v>
      </c>
      <c r="EA282" s="15" t="s">
        <v>990</v>
      </c>
      <c r="EB282" s="15" t="s">
        <v>723</v>
      </c>
      <c r="EC282" s="15" t="s">
        <v>724</v>
      </c>
      <c r="ED282" s="15">
        <v>2.0</v>
      </c>
      <c r="EE282" s="15">
        <v>4.0</v>
      </c>
      <c r="EG282" s="15" t="s">
        <v>444</v>
      </c>
      <c r="EH282" s="15" t="s">
        <v>3872</v>
      </c>
      <c r="EI282" s="15">
        <v>0.0</v>
      </c>
      <c r="EJ282" s="15" t="s">
        <v>588</v>
      </c>
      <c r="EK282" s="15" t="s">
        <v>589</v>
      </c>
      <c r="EL282" s="15" t="s">
        <v>1212</v>
      </c>
      <c r="EM282" s="15" t="str">
        <f>IFERROR(__xludf.DUMMYFUNCTION("""COMPUTED_VALUE"""),"{""value"":25.50,""unit"":""in""}")</f>
        <v>{"value":25.50,"unit":"in"}</v>
      </c>
      <c r="EN282" s="15" t="s">
        <v>762</v>
      </c>
      <c r="EO282" s="15" t="s">
        <v>2839</v>
      </c>
      <c r="ES282" s="15" t="s">
        <v>3545</v>
      </c>
      <c r="ET282" s="15" t="s">
        <v>2402</v>
      </c>
      <c r="EU282" s="15" t="s">
        <v>504</v>
      </c>
      <c r="EV282" s="15" t="s">
        <v>2385</v>
      </c>
      <c r="EW282" s="15" t="s">
        <v>2805</v>
      </c>
      <c r="EX282" s="15" t="s">
        <v>2314</v>
      </c>
      <c r="EY282" s="15" t="s">
        <v>867</v>
      </c>
      <c r="EZ282" s="15" t="s">
        <v>1288</v>
      </c>
      <c r="FC282" s="15" t="s">
        <v>723</v>
      </c>
      <c r="FD282" s="15" t="s">
        <v>724</v>
      </c>
      <c r="FE282" s="15" t="s">
        <v>3386</v>
      </c>
      <c r="FF282" s="15" t="s">
        <v>997</v>
      </c>
    </row>
    <row r="283" ht="15.75" customHeight="1">
      <c r="A283" s="14" t="s">
        <v>391</v>
      </c>
      <c r="B283" s="15" t="s">
        <v>3893</v>
      </c>
      <c r="C283" s="16"/>
      <c r="D283" s="15" t="s">
        <v>432</v>
      </c>
      <c r="G283" s="14" t="s">
        <v>393</v>
      </c>
      <c r="H283" s="14" t="s">
        <v>394</v>
      </c>
      <c r="I283" s="14" t="b">
        <v>1</v>
      </c>
      <c r="J283" s="14" t="s">
        <v>395</v>
      </c>
      <c r="L283" s="14" t="b">
        <v>0</v>
      </c>
      <c r="M283" s="15" t="s">
        <v>3894</v>
      </c>
      <c r="N283" s="14" t="s">
        <v>393</v>
      </c>
      <c r="O283" s="14" t="s">
        <v>393</v>
      </c>
      <c r="P283" s="15" t="s">
        <v>397</v>
      </c>
      <c r="Q283" s="15" t="s">
        <v>3895</v>
      </c>
      <c r="T283" s="14" t="b">
        <v>0</v>
      </c>
      <c r="U283" s="15" t="s">
        <v>3896</v>
      </c>
      <c r="V283" s="15" t="s">
        <v>1926</v>
      </c>
      <c r="W283" s="15" t="s">
        <v>401</v>
      </c>
      <c r="X283" s="15" t="s">
        <v>742</v>
      </c>
      <c r="Y283" s="15">
        <v>3068.0</v>
      </c>
      <c r="AA283" s="15" t="str">
        <f>"1180"</f>
        <v>1180</v>
      </c>
      <c r="AB283" s="14" t="b">
        <v>1</v>
      </c>
      <c r="AC283" s="14" t="b">
        <v>1</v>
      </c>
      <c r="AD283" s="15" t="str">
        <f>"801542264314"</f>
        <v>801542264314</v>
      </c>
      <c r="AE283" s="15" t="s">
        <v>3897</v>
      </c>
      <c r="AF283" s="14" t="s">
        <v>404</v>
      </c>
      <c r="AG283" s="14" t="s">
        <v>405</v>
      </c>
      <c r="AH283" s="14" t="s">
        <v>406</v>
      </c>
      <c r="AI283" s="15">
        <v>0.0</v>
      </c>
      <c r="AL283" s="15" t="s">
        <v>3898</v>
      </c>
      <c r="AM283" s="15" t="s">
        <v>2873</v>
      </c>
      <c r="AN283" s="15" t="s">
        <v>2874</v>
      </c>
      <c r="AO283" s="15" t="s">
        <v>3899</v>
      </c>
      <c r="AP283" s="15" t="s">
        <v>3900</v>
      </c>
      <c r="AQ283" s="15" t="s">
        <v>645</v>
      </c>
      <c r="AR283" s="15" t="s">
        <v>646</v>
      </c>
      <c r="AS283" s="15" t="s">
        <v>3901</v>
      </c>
      <c r="AT283" s="15" t="s">
        <v>3895</v>
      </c>
      <c r="AU283" s="15" t="s">
        <v>3902</v>
      </c>
      <c r="AW283" s="15" t="s">
        <v>1732</v>
      </c>
      <c r="AY283" s="15" t="s">
        <v>413</v>
      </c>
      <c r="AZ283" s="15" t="b">
        <v>0</v>
      </c>
      <c r="BA283" s="15" t="s">
        <v>413</v>
      </c>
      <c r="BB283" s="15" t="b">
        <v>0</v>
      </c>
      <c r="BC283" s="15" t="s">
        <v>3903</v>
      </c>
      <c r="BD283" s="15" t="s">
        <v>742</v>
      </c>
      <c r="BE283" s="15" t="str">
        <f t="shared" si="493"/>
        <v>1</v>
      </c>
      <c r="BF283" s="15" t="s">
        <v>416</v>
      </c>
      <c r="BG283" s="15" t="str">
        <f>"63.78"</f>
        <v>63.78</v>
      </c>
      <c r="BH283" s="15" t="s">
        <v>3772</v>
      </c>
      <c r="BI283" s="15" t="str">
        <f>"57.87"</f>
        <v>57.87</v>
      </c>
      <c r="BJ283" s="15" t="s">
        <v>2707</v>
      </c>
      <c r="BK283" s="15" t="str">
        <f>"32.09"</f>
        <v>32.09</v>
      </c>
      <c r="BL283" s="15" t="s">
        <v>2174</v>
      </c>
      <c r="BM283" s="15" t="str">
        <f>"185.19"</f>
        <v>185.19</v>
      </c>
      <c r="BN283" s="15" t="s">
        <v>3904</v>
      </c>
      <c r="BQ283" s="15" t="s">
        <v>444</v>
      </c>
      <c r="BS283" s="15" t="s">
        <v>444</v>
      </c>
      <c r="BU283" s="15" t="s">
        <v>444</v>
      </c>
      <c r="BW283" s="15" t="s">
        <v>444</v>
      </c>
      <c r="BZ283" s="15" t="s">
        <v>444</v>
      </c>
      <c r="CB283" s="15" t="s">
        <v>444</v>
      </c>
      <c r="CD283" s="15" t="s">
        <v>444</v>
      </c>
      <c r="CF283" s="15" t="s">
        <v>444</v>
      </c>
      <c r="CI283" s="15" t="s">
        <v>444</v>
      </c>
      <c r="CK283" s="15" t="s">
        <v>444</v>
      </c>
      <c r="CM283" s="15" t="s">
        <v>444</v>
      </c>
      <c r="CO283" s="15" t="s">
        <v>444</v>
      </c>
      <c r="CP283" s="15" t="str">
        <f>"68.55"</f>
        <v>68.55</v>
      </c>
      <c r="CQ283" s="15" t="str">
        <f>"1.941"</f>
        <v>1.941</v>
      </c>
      <c r="CR283" s="15" t="s">
        <v>465</v>
      </c>
      <c r="DB283" s="15" t="s">
        <v>3905</v>
      </c>
      <c r="DC283" s="15" t="str">
        <f>IFERROR(__xludf.DUMMYFUNCTION("""COMPUTED_VALUE"""),"{""value"":37.40,""unit"":""in""}")</f>
        <v>{"value":37.40,"unit":"in"}</v>
      </c>
      <c r="DD283" s="15" t="s">
        <v>3129</v>
      </c>
      <c r="DE283" s="15" t="str">
        <f>IFERROR(__xludf.DUMMYFUNCTION("""COMPUTED_VALUE"""),"{""value"":19.69,""unit"":""in""}")</f>
        <v>{"value":19.69,"unit":"in"}</v>
      </c>
      <c r="DF283" s="15" t="s">
        <v>3906</v>
      </c>
      <c r="DG283" s="15" t="str">
        <f>IFERROR(__xludf.DUMMYFUNCTION("""COMPUTED_VALUE"""),"{""value"":41.34,""unit"":""in""}")</f>
        <v>{"value":41.34,"unit":"in"}</v>
      </c>
      <c r="DH283" s="15">
        <v>0.0</v>
      </c>
      <c r="DI283" s="15">
        <v>1.0</v>
      </c>
      <c r="DJ283" s="15" t="s">
        <v>717</v>
      </c>
      <c r="DK283" s="15" t="s">
        <v>855</v>
      </c>
      <c r="DL283" s="15" t="str">
        <f>IFERROR(__xludf.DUMMYFUNCTION("""COMPUTED_VALUE"""),"Clean with solvent-based (dry clean only) products. Do not use water.")</f>
        <v>Clean with solvent-based (dry clean only) products. Do not use water.</v>
      </c>
      <c r="DM283" s="15" t="s">
        <v>856</v>
      </c>
      <c r="DT283" s="15" t="s">
        <v>989</v>
      </c>
      <c r="DU283" s="15" t="s">
        <v>419</v>
      </c>
      <c r="DV283" s="15">
        <v>0.0</v>
      </c>
      <c r="DZ283" s="15">
        <v>79000.0</v>
      </c>
      <c r="EA283" s="15" t="s">
        <v>990</v>
      </c>
      <c r="EB283" s="15" t="s">
        <v>1016</v>
      </c>
      <c r="ED283" s="15">
        <v>1.0</v>
      </c>
      <c r="EE283" s="15">
        <v>1.0</v>
      </c>
      <c r="EG283" s="15" t="s">
        <v>444</v>
      </c>
      <c r="EH283" s="15" t="s">
        <v>3907</v>
      </c>
      <c r="EI283" s="15">
        <v>4.0</v>
      </c>
      <c r="EJ283" s="15" t="s">
        <v>726</v>
      </c>
      <c r="EK283" s="15" t="s">
        <v>727</v>
      </c>
      <c r="EL283" s="15" t="s">
        <v>3908</v>
      </c>
      <c r="EM283" s="15" t="str">
        <f>IFERROR(__xludf.DUMMYFUNCTION("""COMPUTED_VALUE"""),"{""value"":28.74,""unit"":""in""}")</f>
        <v>{"value":28.74,"unit":"in"}</v>
      </c>
      <c r="EN283" s="15" t="s">
        <v>985</v>
      </c>
      <c r="EO283" s="15" t="s">
        <v>3909</v>
      </c>
      <c r="ES283" s="15" t="s">
        <v>3910</v>
      </c>
      <c r="EW283" s="15" t="s">
        <v>3911</v>
      </c>
      <c r="EX283" s="15" t="s">
        <v>3912</v>
      </c>
      <c r="EY283" s="15" t="s">
        <v>3913</v>
      </c>
      <c r="EZ283" s="15" t="s">
        <v>985</v>
      </c>
      <c r="FC283" s="15" t="s">
        <v>1016</v>
      </c>
      <c r="FF283" s="15" t="s">
        <v>3914</v>
      </c>
      <c r="FL283" s="15" t="s">
        <v>426</v>
      </c>
      <c r="FO283" s="15" t="s">
        <v>1118</v>
      </c>
      <c r="FP283" s="15" t="s">
        <v>3915</v>
      </c>
      <c r="FS283" s="15" t="s">
        <v>1609</v>
      </c>
      <c r="JW283" s="15" t="s">
        <v>761</v>
      </c>
      <c r="JX283" s="15" t="s">
        <v>2020</v>
      </c>
      <c r="JY283" s="15" t="s">
        <v>2020</v>
      </c>
      <c r="KB283" s="15" t="s">
        <v>426</v>
      </c>
      <c r="LS283" s="15" t="s">
        <v>731</v>
      </c>
      <c r="LT283" s="15" t="s">
        <v>3129</v>
      </c>
      <c r="LU283" s="15" t="s">
        <v>3129</v>
      </c>
    </row>
    <row r="284" ht="15.75" customHeight="1">
      <c r="A284" s="14" t="s">
        <v>391</v>
      </c>
      <c r="B284" s="15" t="s">
        <v>3916</v>
      </c>
      <c r="C284" s="16"/>
      <c r="D284" s="15" t="s">
        <v>432</v>
      </c>
      <c r="G284" s="14" t="s">
        <v>393</v>
      </c>
      <c r="H284" s="14" t="s">
        <v>394</v>
      </c>
      <c r="I284" s="14" t="b">
        <v>1</v>
      </c>
      <c r="J284" s="14" t="s">
        <v>395</v>
      </c>
      <c r="L284" s="14" t="b">
        <v>0</v>
      </c>
      <c r="M284" s="15" t="s">
        <v>3917</v>
      </c>
      <c r="N284" s="14" t="s">
        <v>393</v>
      </c>
      <c r="O284" s="14" t="s">
        <v>393</v>
      </c>
      <c r="P284" s="15" t="s">
        <v>397</v>
      </c>
      <c r="Q284" s="15" t="s">
        <v>3918</v>
      </c>
      <c r="T284" s="14" t="b">
        <v>0</v>
      </c>
      <c r="U284" s="15" t="s">
        <v>3919</v>
      </c>
      <c r="V284" s="15" t="s">
        <v>1598</v>
      </c>
      <c r="W284" s="15" t="s">
        <v>401</v>
      </c>
      <c r="X284" s="15" t="s">
        <v>742</v>
      </c>
      <c r="Y284" s="15">
        <v>2847.0</v>
      </c>
      <c r="AA284" s="15" t="str">
        <f>"1095"</f>
        <v>1095</v>
      </c>
      <c r="AB284" s="14" t="b">
        <v>1</v>
      </c>
      <c r="AC284" s="14" t="b">
        <v>1</v>
      </c>
      <c r="AD284" s="15" t="str">
        <f>"801542932336"</f>
        <v>801542932336</v>
      </c>
      <c r="AE284" s="15" t="s">
        <v>3920</v>
      </c>
      <c r="AF284" s="14" t="s">
        <v>404</v>
      </c>
      <c r="AG284" s="14" t="s">
        <v>405</v>
      </c>
      <c r="AH284" s="14" t="s">
        <v>406</v>
      </c>
      <c r="AI284" s="15">
        <v>0.0</v>
      </c>
      <c r="AL284" s="15" t="s">
        <v>3921</v>
      </c>
      <c r="AM284" s="15" t="s">
        <v>1274</v>
      </c>
      <c r="AN284" s="15" t="s">
        <v>1275</v>
      </c>
      <c r="AO284" s="15" t="s">
        <v>1203</v>
      </c>
      <c r="AP284" s="15" t="s">
        <v>1204</v>
      </c>
      <c r="AQ284" s="15" t="s">
        <v>772</v>
      </c>
      <c r="AR284" s="15" t="s">
        <v>773</v>
      </c>
      <c r="AS284" s="15" t="s">
        <v>837</v>
      </c>
      <c r="AT284" s="15" t="s">
        <v>3918</v>
      </c>
      <c r="AU284" s="15" t="s">
        <v>978</v>
      </c>
      <c r="AW284" s="15" t="s">
        <v>706</v>
      </c>
      <c r="AX284" s="15" t="s">
        <v>707</v>
      </c>
      <c r="AY284" s="15" t="s">
        <v>413</v>
      </c>
      <c r="AZ284" s="15" t="b">
        <v>0</v>
      </c>
      <c r="BA284" s="15" t="s">
        <v>413</v>
      </c>
      <c r="BB284" s="15" t="b">
        <v>0</v>
      </c>
      <c r="BC284" s="15" t="s">
        <v>3922</v>
      </c>
      <c r="BD284" s="15" t="s">
        <v>742</v>
      </c>
      <c r="BE284" s="15" t="str">
        <f t="shared" si="493"/>
        <v>1</v>
      </c>
      <c r="BF284" s="15" t="s">
        <v>980</v>
      </c>
      <c r="BG284" s="15" t="str">
        <f t="shared" ref="BG284:BG285" si="514">"35.04"</f>
        <v>35.04</v>
      </c>
      <c r="BH284" s="15" t="s">
        <v>1404</v>
      </c>
      <c r="BI284" s="15" t="str">
        <f t="shared" ref="BI284:BI285" si="515">"28.54"</f>
        <v>28.54</v>
      </c>
      <c r="BJ284" s="15" t="s">
        <v>3923</v>
      </c>
      <c r="BK284" s="15" t="str">
        <f t="shared" ref="BK284:BK285" si="516">"31.1"</f>
        <v>31.1</v>
      </c>
      <c r="BL284" s="15" t="s">
        <v>1386</v>
      </c>
      <c r="BM284" s="15" t="str">
        <f t="shared" ref="BM284:BM285" si="517">"80.47"</f>
        <v>80.47</v>
      </c>
      <c r="BN284" s="15" t="s">
        <v>3249</v>
      </c>
      <c r="BQ284" s="15" t="s">
        <v>444</v>
      </c>
      <c r="BS284" s="15" t="s">
        <v>444</v>
      </c>
      <c r="BU284" s="15" t="s">
        <v>444</v>
      </c>
      <c r="BW284" s="15" t="s">
        <v>444</v>
      </c>
      <c r="BZ284" s="15" t="s">
        <v>444</v>
      </c>
      <c r="CB284" s="15" t="s">
        <v>444</v>
      </c>
      <c r="CD284" s="15" t="s">
        <v>444</v>
      </c>
      <c r="CF284" s="15" t="s">
        <v>444</v>
      </c>
      <c r="CI284" s="15" t="s">
        <v>444</v>
      </c>
      <c r="CK284" s="15" t="s">
        <v>444</v>
      </c>
      <c r="CM284" s="15" t="s">
        <v>444</v>
      </c>
      <c r="CO284" s="15" t="s">
        <v>444</v>
      </c>
      <c r="CP284" s="15" t="str">
        <f t="shared" ref="CP284:CP285" si="518">"18.01"</f>
        <v>18.01</v>
      </c>
      <c r="CQ284" s="15" t="str">
        <f t="shared" ref="CQ284:CQ285" si="519">"0.51"</f>
        <v>0.51</v>
      </c>
      <c r="CR284" s="15" t="s">
        <v>465</v>
      </c>
      <c r="DB284" s="15" t="s">
        <v>3924</v>
      </c>
      <c r="DC284" s="15" t="str">
        <f>IFERROR(__xludf.DUMMYFUNCTION("""COMPUTED_VALUE"""),"{""value"":22.01,""unit"":""in""}")</f>
        <v>{"value":22.01,"unit":"in"}</v>
      </c>
      <c r="DD284" s="15" t="s">
        <v>783</v>
      </c>
      <c r="DE284" s="15" t="str">
        <f>IFERROR(__xludf.DUMMYFUNCTION("""COMPUTED_VALUE"""),"{""value"":17.68,""unit"":""in""}")</f>
        <v>{"value":17.68,"unit":"in"}</v>
      </c>
      <c r="DG284" s="15" t="str">
        <f>IFERROR(__xludf.DUMMYFUNCTION("""COMPUTED_VALUE"""),"")</f>
        <v/>
      </c>
      <c r="DH284" s="15">
        <v>0.0</v>
      </c>
      <c r="DI284" s="15">
        <v>0.0</v>
      </c>
      <c r="DJ284" s="15" t="s">
        <v>717</v>
      </c>
      <c r="DK284" s="15" t="s">
        <v>934</v>
      </c>
      <c r="DL284" s="15" t="str">
        <f>IFERROR(__xludf.DUMMYFUNCTION("""COMPUTED_VALUE"""),"Spot clean with water-based or solvent-based cleaner. Use mild detergent or upholstery shampoo.")</f>
        <v>Spot clean with water-based or solvent-based cleaner. Use mild detergent or upholstery shampoo.</v>
      </c>
      <c r="DM284" s="15" t="s">
        <v>935</v>
      </c>
      <c r="DT284" s="15" t="s">
        <v>1509</v>
      </c>
      <c r="DU284" s="15" t="s">
        <v>1605</v>
      </c>
      <c r="DV284" s="15">
        <v>0.0</v>
      </c>
      <c r="DZ284" s="15">
        <v>30000.0</v>
      </c>
      <c r="EA284" s="15" t="s">
        <v>990</v>
      </c>
      <c r="EB284" s="15" t="s">
        <v>1016</v>
      </c>
      <c r="ED284" s="15">
        <v>1.0</v>
      </c>
      <c r="EE284" s="15">
        <v>1.0</v>
      </c>
      <c r="EG284" s="15" t="s">
        <v>444</v>
      </c>
      <c r="EH284" s="15" t="s">
        <v>3925</v>
      </c>
      <c r="EI284" s="15">
        <v>0.0</v>
      </c>
      <c r="EJ284" s="15" t="s">
        <v>726</v>
      </c>
      <c r="EK284" s="15" t="s">
        <v>727</v>
      </c>
      <c r="EL284" s="15" t="s">
        <v>3926</v>
      </c>
      <c r="EM284" s="15" t="str">
        <f>IFERROR(__xludf.DUMMYFUNCTION("""COMPUTED_VALUE"""),"{""value"":27.17,""unit"":""in""}")</f>
        <v>{"value":27.17,"unit":"in"}</v>
      </c>
      <c r="EN284" s="15" t="s">
        <v>2158</v>
      </c>
      <c r="EO284" s="15" t="s">
        <v>3927</v>
      </c>
      <c r="ES284" s="15" t="s">
        <v>1122</v>
      </c>
      <c r="EW284" s="15" t="s">
        <v>3928</v>
      </c>
      <c r="EZ284" s="15" t="s">
        <v>2158</v>
      </c>
      <c r="FE284" s="15" t="s">
        <v>860</v>
      </c>
      <c r="FF284" s="15" t="s">
        <v>860</v>
      </c>
      <c r="FO284" s="15" t="s">
        <v>1603</v>
      </c>
      <c r="FP284" s="15" t="s">
        <v>3929</v>
      </c>
      <c r="FQ284" s="15">
        <v>0.0</v>
      </c>
      <c r="FR284" s="15">
        <v>0.0</v>
      </c>
      <c r="FT284" s="15">
        <v>0.0</v>
      </c>
      <c r="IL284" s="15" t="s">
        <v>1610</v>
      </c>
    </row>
    <row r="285" ht="15.75" customHeight="1">
      <c r="A285" s="14" t="s">
        <v>391</v>
      </c>
      <c r="B285" s="15" t="s">
        <v>3916</v>
      </c>
      <c r="C285" s="16"/>
      <c r="D285" s="15" t="s">
        <v>432</v>
      </c>
      <c r="G285" s="14" t="s">
        <v>393</v>
      </c>
      <c r="H285" s="14" t="s">
        <v>394</v>
      </c>
      <c r="I285" s="14" t="b">
        <v>1</v>
      </c>
      <c r="J285" s="14" t="s">
        <v>395</v>
      </c>
      <c r="L285" s="14" t="b">
        <v>0</v>
      </c>
      <c r="M285" s="15" t="s">
        <v>3930</v>
      </c>
      <c r="N285" s="14" t="s">
        <v>393</v>
      </c>
      <c r="O285" s="14" t="s">
        <v>393</v>
      </c>
      <c r="P285" s="15" t="s">
        <v>397</v>
      </c>
      <c r="Q285" s="15" t="s">
        <v>3931</v>
      </c>
      <c r="T285" s="14" t="b">
        <v>0</v>
      </c>
      <c r="U285" s="15" t="s">
        <v>3932</v>
      </c>
      <c r="V285" s="15" t="s">
        <v>1598</v>
      </c>
      <c r="W285" s="15" t="s">
        <v>401</v>
      </c>
      <c r="X285" s="15" t="s">
        <v>742</v>
      </c>
      <c r="Y285" s="15">
        <v>1534.0</v>
      </c>
      <c r="AA285" s="15" t="str">
        <f>"590"</f>
        <v>590</v>
      </c>
      <c r="AB285" s="14" t="b">
        <v>1</v>
      </c>
      <c r="AC285" s="14" t="b">
        <v>1</v>
      </c>
      <c r="AD285" s="15" t="str">
        <f>"801542932343"</f>
        <v>801542932343</v>
      </c>
      <c r="AE285" s="15" t="s">
        <v>3933</v>
      </c>
      <c r="AF285" s="14" t="s">
        <v>404</v>
      </c>
      <c r="AG285" s="14" t="s">
        <v>405</v>
      </c>
      <c r="AH285" s="14" t="s">
        <v>406</v>
      </c>
      <c r="AI285" s="15">
        <v>0.0</v>
      </c>
      <c r="AL285" s="15" t="s">
        <v>3934</v>
      </c>
      <c r="AM285" s="15" t="s">
        <v>1274</v>
      </c>
      <c r="AN285" s="15" t="s">
        <v>1275</v>
      </c>
      <c r="AO285" s="15" t="s">
        <v>1203</v>
      </c>
      <c r="AP285" s="15" t="s">
        <v>1204</v>
      </c>
      <c r="AQ285" s="15" t="s">
        <v>772</v>
      </c>
      <c r="AR285" s="15" t="s">
        <v>773</v>
      </c>
      <c r="AS285" s="15" t="s">
        <v>837</v>
      </c>
      <c r="AT285" s="15" t="s">
        <v>3931</v>
      </c>
      <c r="AU285" s="15" t="s">
        <v>978</v>
      </c>
      <c r="AW285" s="15" t="s">
        <v>706</v>
      </c>
      <c r="AX285" s="15" t="s">
        <v>707</v>
      </c>
      <c r="AY285" s="15" t="s">
        <v>413</v>
      </c>
      <c r="AZ285" s="15" t="b">
        <v>0</v>
      </c>
      <c r="BA285" s="15" t="s">
        <v>413</v>
      </c>
      <c r="BB285" s="15" t="b">
        <v>0</v>
      </c>
      <c r="BC285" s="15" t="s">
        <v>3935</v>
      </c>
      <c r="BD285" s="15" t="s">
        <v>742</v>
      </c>
      <c r="BE285" s="15" t="str">
        <f t="shared" si="493"/>
        <v>1</v>
      </c>
      <c r="BF285" s="15" t="s">
        <v>980</v>
      </c>
      <c r="BG285" s="15" t="str">
        <f t="shared" si="514"/>
        <v>35.04</v>
      </c>
      <c r="BH285" s="15" t="s">
        <v>1404</v>
      </c>
      <c r="BI285" s="15" t="str">
        <f t="shared" si="515"/>
        <v>28.54</v>
      </c>
      <c r="BJ285" s="15" t="s">
        <v>3923</v>
      </c>
      <c r="BK285" s="15" t="str">
        <f t="shared" si="516"/>
        <v>31.1</v>
      </c>
      <c r="BL285" s="15" t="s">
        <v>1386</v>
      </c>
      <c r="BM285" s="15" t="str">
        <f t="shared" si="517"/>
        <v>80.47</v>
      </c>
      <c r="BN285" s="15" t="s">
        <v>3249</v>
      </c>
      <c r="BQ285" s="15" t="s">
        <v>444</v>
      </c>
      <c r="BS285" s="15" t="s">
        <v>444</v>
      </c>
      <c r="BU285" s="15" t="s">
        <v>444</v>
      </c>
      <c r="BW285" s="15" t="s">
        <v>444</v>
      </c>
      <c r="BZ285" s="15" t="s">
        <v>444</v>
      </c>
      <c r="CB285" s="15" t="s">
        <v>444</v>
      </c>
      <c r="CD285" s="15" t="s">
        <v>444</v>
      </c>
      <c r="CF285" s="15" t="s">
        <v>444</v>
      </c>
      <c r="CI285" s="15" t="s">
        <v>444</v>
      </c>
      <c r="CK285" s="15" t="s">
        <v>444</v>
      </c>
      <c r="CM285" s="15" t="s">
        <v>444</v>
      </c>
      <c r="CO285" s="15" t="s">
        <v>444</v>
      </c>
      <c r="CP285" s="15" t="str">
        <f t="shared" si="518"/>
        <v>18.01</v>
      </c>
      <c r="CQ285" s="15" t="str">
        <f t="shared" si="519"/>
        <v>0.51</v>
      </c>
      <c r="CR285" s="15" t="s">
        <v>465</v>
      </c>
      <c r="DB285" s="15" t="s">
        <v>3924</v>
      </c>
      <c r="DC285" s="15" t="str">
        <f>IFERROR(__xludf.DUMMYFUNCTION("""COMPUTED_VALUE"""),"{""value"":22.01,""unit"":""in""}")</f>
        <v>{"value":22.01,"unit":"in"}</v>
      </c>
      <c r="DD285" s="15" t="s">
        <v>783</v>
      </c>
      <c r="DE285" s="15" t="str">
        <f>IFERROR(__xludf.DUMMYFUNCTION("""COMPUTED_VALUE"""),"{""value"":17.68,""unit"":""in""}")</f>
        <v>{"value":17.68,"unit":"in"}</v>
      </c>
      <c r="DG285" s="15" t="str">
        <f>IFERROR(__xludf.DUMMYFUNCTION("""COMPUTED_VALUE"""),"")</f>
        <v/>
      </c>
      <c r="DH285" s="15">
        <v>0.0</v>
      </c>
      <c r="DI285" s="15">
        <v>0.0</v>
      </c>
      <c r="DJ285" s="15" t="s">
        <v>717</v>
      </c>
      <c r="DK285" s="15" t="s">
        <v>855</v>
      </c>
      <c r="DL285" s="15" t="str">
        <f>IFERROR(__xludf.DUMMYFUNCTION("""COMPUTED_VALUE"""),"Clean with solvent-based (dry clean only) products. Do not use water.")</f>
        <v>Clean with solvent-based (dry clean only) products. Do not use water.</v>
      </c>
      <c r="DM285" s="15" t="s">
        <v>856</v>
      </c>
      <c r="DT285" s="15" t="s">
        <v>1509</v>
      </c>
      <c r="DU285" s="15" t="s">
        <v>1605</v>
      </c>
      <c r="DV285" s="15">
        <v>0.0</v>
      </c>
      <c r="DZ285" s="15">
        <v>25000.0</v>
      </c>
      <c r="EA285" s="15" t="s">
        <v>990</v>
      </c>
      <c r="EB285" s="15" t="s">
        <v>1016</v>
      </c>
      <c r="ED285" s="15">
        <v>1.0</v>
      </c>
      <c r="EE285" s="15">
        <v>1.0</v>
      </c>
      <c r="EG285" s="15" t="s">
        <v>444</v>
      </c>
      <c r="EH285" s="15" t="s">
        <v>3925</v>
      </c>
      <c r="EI285" s="15">
        <v>0.0</v>
      </c>
      <c r="EJ285" s="15" t="s">
        <v>726</v>
      </c>
      <c r="EK285" s="15" t="s">
        <v>727</v>
      </c>
      <c r="EL285" s="15" t="s">
        <v>3926</v>
      </c>
      <c r="EM285" s="15" t="str">
        <f>IFERROR(__xludf.DUMMYFUNCTION("""COMPUTED_VALUE"""),"{""value"":27.17,""unit"":""in""}")</f>
        <v>{"value":27.17,"unit":"in"}</v>
      </c>
      <c r="EN285" s="15" t="s">
        <v>2158</v>
      </c>
      <c r="EO285" s="15" t="s">
        <v>3927</v>
      </c>
      <c r="ES285" s="15" t="s">
        <v>1122</v>
      </c>
      <c r="EW285" s="15" t="s">
        <v>3928</v>
      </c>
      <c r="EZ285" s="15" t="s">
        <v>2158</v>
      </c>
      <c r="FE285" s="15" t="s">
        <v>860</v>
      </c>
      <c r="FF285" s="15" t="s">
        <v>860</v>
      </c>
      <c r="FO285" s="15" t="s">
        <v>1603</v>
      </c>
      <c r="FP285" s="15" t="s">
        <v>3929</v>
      </c>
      <c r="FQ285" s="15">
        <v>0.0</v>
      </c>
      <c r="FR285" s="15">
        <v>0.0</v>
      </c>
      <c r="FT285" s="15">
        <v>0.0</v>
      </c>
      <c r="IL285" s="15" t="s">
        <v>1610</v>
      </c>
    </row>
    <row r="286" ht="15.75" customHeight="1">
      <c r="A286" s="14" t="s">
        <v>391</v>
      </c>
      <c r="B286" s="15" t="s">
        <v>3936</v>
      </c>
      <c r="C286" s="16"/>
      <c r="D286" s="15" t="s">
        <v>432</v>
      </c>
      <c r="G286" s="14" t="s">
        <v>393</v>
      </c>
      <c r="H286" s="14" t="s">
        <v>394</v>
      </c>
      <c r="I286" s="14" t="b">
        <v>1</v>
      </c>
      <c r="J286" s="14" t="s">
        <v>395</v>
      </c>
      <c r="L286" s="14" t="b">
        <v>0</v>
      </c>
      <c r="M286" s="15" t="s">
        <v>3937</v>
      </c>
      <c r="N286" s="14" t="s">
        <v>393</v>
      </c>
      <c r="O286" s="14" t="s">
        <v>393</v>
      </c>
      <c r="P286" s="15" t="s">
        <v>397</v>
      </c>
      <c r="Q286" s="15" t="s">
        <v>3938</v>
      </c>
      <c r="R286" s="15" t="s">
        <v>265</v>
      </c>
      <c r="S286" s="15" t="s">
        <v>877</v>
      </c>
      <c r="T286" s="14" t="b">
        <v>0</v>
      </c>
      <c r="U286" s="15" t="s">
        <v>3939</v>
      </c>
      <c r="V286" s="15" t="s">
        <v>3940</v>
      </c>
      <c r="W286" s="15" t="s">
        <v>401</v>
      </c>
      <c r="X286" s="15" t="s">
        <v>742</v>
      </c>
      <c r="Y286" s="15">
        <v>2522.0</v>
      </c>
      <c r="AA286" s="15" t="str">
        <f>"970"</f>
        <v>970</v>
      </c>
      <c r="AB286" s="14" t="b">
        <v>1</v>
      </c>
      <c r="AC286" s="14" t="b">
        <v>1</v>
      </c>
      <c r="AD286" s="15" t="str">
        <f>"801542965372"</f>
        <v>801542965372</v>
      </c>
      <c r="AE286" s="15" t="s">
        <v>3941</v>
      </c>
      <c r="AF286" s="14" t="s">
        <v>404</v>
      </c>
      <c r="AG286" s="14" t="s">
        <v>405</v>
      </c>
      <c r="AH286" s="14" t="s">
        <v>406</v>
      </c>
      <c r="AI286" s="15">
        <v>0.0</v>
      </c>
      <c r="AL286" s="15" t="s">
        <v>3942</v>
      </c>
      <c r="AM286" s="15" t="s">
        <v>3943</v>
      </c>
      <c r="AN286" s="15" t="s">
        <v>3944</v>
      </c>
      <c r="AO286" s="15" t="s">
        <v>1125</v>
      </c>
      <c r="AP286" s="15" t="s">
        <v>1129</v>
      </c>
      <c r="AQ286" s="15" t="s">
        <v>3493</v>
      </c>
      <c r="AR286" s="15" t="s">
        <v>2397</v>
      </c>
      <c r="AS286" s="15" t="s">
        <v>1030</v>
      </c>
      <c r="AT286" s="15" t="s">
        <v>3938</v>
      </c>
      <c r="AU286" s="15" t="s">
        <v>3945</v>
      </c>
      <c r="AW286" s="15" t="s">
        <v>839</v>
      </c>
      <c r="AX286" s="15" t="s">
        <v>877</v>
      </c>
      <c r="AY286" s="15" t="s">
        <v>413</v>
      </c>
      <c r="AZ286" s="15" t="b">
        <v>0</v>
      </c>
      <c r="BA286" s="15" t="s">
        <v>426</v>
      </c>
      <c r="BB286" s="15" t="b">
        <v>1</v>
      </c>
      <c r="BC286" s="15" t="s">
        <v>3946</v>
      </c>
      <c r="BD286" s="15" t="s">
        <v>742</v>
      </c>
      <c r="BE286" s="15" t="str">
        <f t="shared" ref="BE286:BE287" si="520">"2"</f>
        <v>2</v>
      </c>
      <c r="BF286" s="15" t="s">
        <v>3018</v>
      </c>
      <c r="BG286" s="15" t="str">
        <f>"70.28"</f>
        <v>70.28</v>
      </c>
      <c r="BH286" s="15" t="s">
        <v>3947</v>
      </c>
      <c r="BI286" s="15" t="str">
        <f>"9.45"</f>
        <v>9.45</v>
      </c>
      <c r="BJ286" s="15" t="s">
        <v>3948</v>
      </c>
      <c r="BK286" s="15" t="str">
        <f>"52.76"</f>
        <v>52.76</v>
      </c>
      <c r="BL286" s="15" t="s">
        <v>3949</v>
      </c>
      <c r="BM286" s="15" t="str">
        <f>"143.3"</f>
        <v>143.3</v>
      </c>
      <c r="BN286" s="15" t="s">
        <v>3950</v>
      </c>
      <c r="BO286" s="15" t="s">
        <v>3951</v>
      </c>
      <c r="BP286" s="15" t="str">
        <f t="shared" ref="BP286:BP287" si="521">"87.8"</f>
        <v>87.8</v>
      </c>
      <c r="BQ286" s="15" t="s">
        <v>2615</v>
      </c>
      <c r="BR286" s="15" t="str">
        <f>"17.72"</f>
        <v>17.72</v>
      </c>
      <c r="BS286" s="15" t="s">
        <v>3633</v>
      </c>
      <c r="BT286" s="15" t="str">
        <f t="shared" ref="BT286:BT287" si="522">"8.27"</f>
        <v>8.27</v>
      </c>
      <c r="BU286" s="15" t="s">
        <v>1106</v>
      </c>
      <c r="BV286" s="15" t="str">
        <f>"105.82"</f>
        <v>105.82</v>
      </c>
      <c r="BW286" s="15" t="s">
        <v>2961</v>
      </c>
      <c r="BZ286" s="15" t="s">
        <v>444</v>
      </c>
      <c r="CB286" s="15" t="s">
        <v>444</v>
      </c>
      <c r="CD286" s="15" t="s">
        <v>444</v>
      </c>
      <c r="CF286" s="15" t="s">
        <v>444</v>
      </c>
      <c r="CI286" s="15" t="s">
        <v>444</v>
      </c>
      <c r="CK286" s="15" t="s">
        <v>444</v>
      </c>
      <c r="CM286" s="15" t="s">
        <v>444</v>
      </c>
      <c r="CO286" s="15" t="s">
        <v>444</v>
      </c>
      <c r="CP286" s="15" t="str">
        <f>"27.72"</f>
        <v>27.72</v>
      </c>
      <c r="CQ286" s="15" t="str">
        <f>"0.785"</f>
        <v>0.785</v>
      </c>
      <c r="CR286" s="15" t="s">
        <v>497</v>
      </c>
      <c r="DC286" s="15" t="str">
        <f>IFERROR(__xludf.DUMMYFUNCTION("""COMPUTED_VALUE"""),"")</f>
        <v/>
      </c>
      <c r="DE286" s="15" t="str">
        <f>IFERROR(__xludf.DUMMYFUNCTION("""COMPUTED_VALUE"""),"")</f>
        <v/>
      </c>
      <c r="DG286" s="15" t="str">
        <f>IFERROR(__xludf.DUMMYFUNCTION("""COMPUTED_VALUE"""),"")</f>
        <v/>
      </c>
      <c r="DK286" s="15" t="s">
        <v>855</v>
      </c>
      <c r="DL286" s="15" t="str">
        <f>IFERROR(__xludf.DUMMYFUNCTION("""COMPUTED_VALUE"""),"Clean with solvent-based (dry clean only) products. Do not use water.")</f>
        <v>Clean with solvent-based (dry clean only) products. Do not use water.</v>
      </c>
      <c r="DM286" s="15" t="s">
        <v>856</v>
      </c>
      <c r="DN286" s="15" t="s">
        <v>419</v>
      </c>
      <c r="DO286" s="15">
        <v>0.0</v>
      </c>
      <c r="DP286" s="15" t="s">
        <v>419</v>
      </c>
      <c r="DR286" s="15">
        <v>0.0</v>
      </c>
      <c r="DT286" s="15" t="s">
        <v>3952</v>
      </c>
      <c r="DU286" s="15" t="s">
        <v>419</v>
      </c>
      <c r="DW286" s="15">
        <v>0.0</v>
      </c>
      <c r="DX286" s="15">
        <v>0.0</v>
      </c>
      <c r="DY286" s="15">
        <v>0.0</v>
      </c>
      <c r="DZ286" s="15">
        <v>25000.0</v>
      </c>
      <c r="EG286" s="15" t="s">
        <v>444</v>
      </c>
      <c r="EH286" s="15" t="s">
        <v>3953</v>
      </c>
      <c r="EJ286" s="15" t="s">
        <v>858</v>
      </c>
      <c r="EK286" s="15" t="s">
        <v>859</v>
      </c>
      <c r="EM286" s="15" t="str">
        <f>IFERROR(__xludf.DUMMYFUNCTION("""COMPUTED_VALUE"""),"")</f>
        <v/>
      </c>
      <c r="FM286" s="15">
        <v>0.0</v>
      </c>
      <c r="IM286" s="15" t="s">
        <v>3954</v>
      </c>
      <c r="IN286" s="15" t="s">
        <v>3954</v>
      </c>
      <c r="IO286" s="15" t="s">
        <v>1955</v>
      </c>
      <c r="IP286" s="15" t="s">
        <v>3955</v>
      </c>
      <c r="IQ286" s="15" t="s">
        <v>861</v>
      </c>
      <c r="IR286" s="15" t="s">
        <v>3956</v>
      </c>
      <c r="IS286" s="15" t="s">
        <v>3957</v>
      </c>
      <c r="IT286" s="15" t="s">
        <v>526</v>
      </c>
      <c r="IU286" s="15" t="s">
        <v>3956</v>
      </c>
      <c r="IV286" s="15" t="s">
        <v>2971</v>
      </c>
      <c r="IW286" s="15" t="s">
        <v>1957</v>
      </c>
      <c r="IX286" s="15" t="s">
        <v>890</v>
      </c>
      <c r="IY286" s="15" t="s">
        <v>1254</v>
      </c>
      <c r="IZ286" s="15" t="s">
        <v>3958</v>
      </c>
      <c r="JA286" s="15" t="s">
        <v>861</v>
      </c>
      <c r="JB286" s="15" t="s">
        <v>426</v>
      </c>
      <c r="JC286" s="15" t="s">
        <v>871</v>
      </c>
      <c r="JD286" s="15" t="s">
        <v>2604</v>
      </c>
      <c r="JE286" s="15" t="s">
        <v>873</v>
      </c>
      <c r="JF286" s="15" t="s">
        <v>877</v>
      </c>
      <c r="JL286" s="15" t="s">
        <v>3954</v>
      </c>
      <c r="JM286" s="15" t="s">
        <v>3959</v>
      </c>
      <c r="JO286" s="15" t="s">
        <v>426</v>
      </c>
      <c r="JP286" s="15" t="s">
        <v>2474</v>
      </c>
      <c r="JS286" s="15" t="s">
        <v>3960</v>
      </c>
      <c r="JT286" s="15" t="s">
        <v>3961</v>
      </c>
    </row>
    <row r="287" ht="15.75" customHeight="1">
      <c r="A287" s="14" t="s">
        <v>391</v>
      </c>
      <c r="B287" s="15" t="s">
        <v>3936</v>
      </c>
      <c r="C287" s="16"/>
      <c r="D287" s="15" t="s">
        <v>432</v>
      </c>
      <c r="G287" s="14" t="s">
        <v>393</v>
      </c>
      <c r="H287" s="14" t="s">
        <v>394</v>
      </c>
      <c r="I287" s="14" t="b">
        <v>1</v>
      </c>
      <c r="J287" s="14" t="s">
        <v>395</v>
      </c>
      <c r="L287" s="14" t="b">
        <v>0</v>
      </c>
      <c r="M287" s="15" t="s">
        <v>3962</v>
      </c>
      <c r="N287" s="14" t="s">
        <v>393</v>
      </c>
      <c r="O287" s="14" t="s">
        <v>393</v>
      </c>
      <c r="P287" s="15" t="s">
        <v>397</v>
      </c>
      <c r="Q287" s="15" t="s">
        <v>3938</v>
      </c>
      <c r="R287" s="15" t="s">
        <v>265</v>
      </c>
      <c r="S287" s="15" t="s">
        <v>828</v>
      </c>
      <c r="T287" s="14" t="b">
        <v>0</v>
      </c>
      <c r="U287" s="15" t="s">
        <v>3963</v>
      </c>
      <c r="V287" s="15" t="s">
        <v>3964</v>
      </c>
      <c r="W287" s="15" t="s">
        <v>401</v>
      </c>
      <c r="X287" s="15" t="s">
        <v>742</v>
      </c>
      <c r="Y287" s="15">
        <v>3068.0</v>
      </c>
      <c r="AA287" s="15" t="str">
        <f>"1180"</f>
        <v>1180</v>
      </c>
      <c r="AB287" s="14" t="b">
        <v>1</v>
      </c>
      <c r="AC287" s="14" t="b">
        <v>1</v>
      </c>
      <c r="AD287" s="15" t="str">
        <f>"801542965365"</f>
        <v>801542965365</v>
      </c>
      <c r="AE287" s="15" t="s">
        <v>3941</v>
      </c>
      <c r="AF287" s="14" t="s">
        <v>404</v>
      </c>
      <c r="AG287" s="14" t="s">
        <v>405</v>
      </c>
      <c r="AH287" s="14" t="s">
        <v>406</v>
      </c>
      <c r="AI287" s="15">
        <v>0.0</v>
      </c>
      <c r="AL287" s="15" t="s">
        <v>3942</v>
      </c>
      <c r="AM287" s="15" t="s">
        <v>3965</v>
      </c>
      <c r="AN287" s="15" t="s">
        <v>3966</v>
      </c>
      <c r="AO287" s="15" t="s">
        <v>1125</v>
      </c>
      <c r="AP287" s="15" t="s">
        <v>1129</v>
      </c>
      <c r="AQ287" s="15" t="s">
        <v>3493</v>
      </c>
      <c r="AR287" s="15" t="s">
        <v>2397</v>
      </c>
      <c r="AS287" s="15" t="s">
        <v>1030</v>
      </c>
      <c r="AT287" s="15" t="s">
        <v>3938</v>
      </c>
      <c r="AU287" s="15" t="s">
        <v>3945</v>
      </c>
      <c r="AW287" s="15" t="s">
        <v>839</v>
      </c>
      <c r="AX287" s="15" t="s">
        <v>828</v>
      </c>
      <c r="AY287" s="15" t="s">
        <v>413</v>
      </c>
      <c r="AZ287" s="15" t="b">
        <v>0</v>
      </c>
      <c r="BA287" s="15" t="s">
        <v>426</v>
      </c>
      <c r="BB287" s="15" t="b">
        <v>1</v>
      </c>
      <c r="BC287" s="15" t="s">
        <v>3946</v>
      </c>
      <c r="BD287" s="15" t="s">
        <v>742</v>
      </c>
      <c r="BE287" s="15" t="str">
        <f t="shared" si="520"/>
        <v>2</v>
      </c>
      <c r="BF287" s="15" t="s">
        <v>3018</v>
      </c>
      <c r="BG287" s="15" t="str">
        <f>"85.43"</f>
        <v>85.43</v>
      </c>
      <c r="BH287" s="15" t="s">
        <v>3967</v>
      </c>
      <c r="BI287" s="15" t="str">
        <f>"10.83"</f>
        <v>10.83</v>
      </c>
      <c r="BJ287" s="15" t="s">
        <v>3968</v>
      </c>
      <c r="BK287" s="15" t="str">
        <f>"51.38"</f>
        <v>51.38</v>
      </c>
      <c r="BL287" s="15" t="s">
        <v>2458</v>
      </c>
      <c r="BM287" s="15" t="str">
        <f>"154.32"</f>
        <v>154.32</v>
      </c>
      <c r="BN287" s="15" t="s">
        <v>2459</v>
      </c>
      <c r="BO287" s="15" t="s">
        <v>3951</v>
      </c>
      <c r="BP287" s="15" t="str">
        <f t="shared" si="521"/>
        <v>87.8</v>
      </c>
      <c r="BQ287" s="15" t="s">
        <v>2615</v>
      </c>
      <c r="BR287" s="15" t="str">
        <f>"22.05"</f>
        <v>22.05</v>
      </c>
      <c r="BS287" s="15" t="s">
        <v>2310</v>
      </c>
      <c r="BT287" s="15" t="str">
        <f t="shared" si="522"/>
        <v>8.27</v>
      </c>
      <c r="BU287" s="15" t="s">
        <v>1106</v>
      </c>
      <c r="BV287" s="15" t="str">
        <f>"124.56"</f>
        <v>124.56</v>
      </c>
      <c r="BW287" s="15" t="s">
        <v>3969</v>
      </c>
      <c r="BZ287" s="15" t="s">
        <v>444</v>
      </c>
      <c r="CB287" s="15" t="s">
        <v>444</v>
      </c>
      <c r="CD287" s="15" t="s">
        <v>444</v>
      </c>
      <c r="CF287" s="15" t="s">
        <v>444</v>
      </c>
      <c r="CI287" s="15" t="s">
        <v>444</v>
      </c>
      <c r="CK287" s="15" t="s">
        <v>444</v>
      </c>
      <c r="CM287" s="15" t="s">
        <v>444</v>
      </c>
      <c r="CO287" s="15" t="s">
        <v>444</v>
      </c>
      <c r="CP287" s="15" t="str">
        <f>"36.76"</f>
        <v>36.76</v>
      </c>
      <c r="CQ287" s="15" t="str">
        <f>"1.041"</f>
        <v>1.041</v>
      </c>
      <c r="CR287" s="15" t="s">
        <v>497</v>
      </c>
      <c r="DC287" s="15" t="str">
        <f>IFERROR(__xludf.DUMMYFUNCTION("""COMPUTED_VALUE"""),"")</f>
        <v/>
      </c>
      <c r="DE287" s="15" t="str">
        <f>IFERROR(__xludf.DUMMYFUNCTION("""COMPUTED_VALUE"""),"")</f>
        <v/>
      </c>
      <c r="DG287" s="15" t="str">
        <f>IFERROR(__xludf.DUMMYFUNCTION("""COMPUTED_VALUE"""),"")</f>
        <v/>
      </c>
      <c r="DK287" s="15" t="s">
        <v>855</v>
      </c>
      <c r="DL287" s="15" t="str">
        <f>IFERROR(__xludf.DUMMYFUNCTION("""COMPUTED_VALUE"""),"Clean with solvent-based (dry clean only) products. Do not use water.")</f>
        <v>Clean with solvent-based (dry clean only) products. Do not use water.</v>
      </c>
      <c r="DM287" s="15" t="s">
        <v>856</v>
      </c>
      <c r="DN287" s="15" t="s">
        <v>419</v>
      </c>
      <c r="DO287" s="15">
        <v>0.0</v>
      </c>
      <c r="DP287" s="15" t="s">
        <v>419</v>
      </c>
      <c r="DR287" s="15">
        <v>0.0</v>
      </c>
      <c r="DT287" s="15" t="s">
        <v>3952</v>
      </c>
      <c r="DU287" s="15" t="s">
        <v>419</v>
      </c>
      <c r="DW287" s="15">
        <v>0.0</v>
      </c>
      <c r="DX287" s="15">
        <v>0.0</v>
      </c>
      <c r="DY287" s="15">
        <v>0.0</v>
      </c>
      <c r="DZ287" s="15">
        <v>25000.0</v>
      </c>
      <c r="EG287" s="15" t="s">
        <v>444</v>
      </c>
      <c r="EH287" s="15" t="s">
        <v>3953</v>
      </c>
      <c r="EJ287" s="15" t="s">
        <v>858</v>
      </c>
      <c r="EK287" s="15" t="s">
        <v>859</v>
      </c>
      <c r="EM287" s="15" t="str">
        <f>IFERROR(__xludf.DUMMYFUNCTION("""COMPUTED_VALUE"""),"")</f>
        <v/>
      </c>
      <c r="FM287" s="15">
        <v>0.0</v>
      </c>
      <c r="IM287" s="15" t="s">
        <v>3954</v>
      </c>
      <c r="IN287" s="15" t="s">
        <v>3954</v>
      </c>
      <c r="IO287" s="15" t="s">
        <v>1955</v>
      </c>
      <c r="IP287" s="15" t="s">
        <v>3955</v>
      </c>
      <c r="IQ287" s="15" t="s">
        <v>861</v>
      </c>
      <c r="IR287" s="15" t="s">
        <v>3970</v>
      </c>
      <c r="IS287" s="15" t="s">
        <v>3957</v>
      </c>
      <c r="IT287" s="15" t="s">
        <v>526</v>
      </c>
      <c r="IU287" s="15" t="s">
        <v>3970</v>
      </c>
      <c r="IV287" s="15" t="s">
        <v>2971</v>
      </c>
      <c r="IW287" s="15" t="s">
        <v>1957</v>
      </c>
      <c r="IX287" s="15" t="s">
        <v>869</v>
      </c>
      <c r="IY287" s="15" t="s">
        <v>1254</v>
      </c>
      <c r="IZ287" s="15" t="s">
        <v>3958</v>
      </c>
      <c r="JA287" s="15" t="s">
        <v>861</v>
      </c>
      <c r="JB287" s="15" t="s">
        <v>426</v>
      </c>
      <c r="JC287" s="15" t="s">
        <v>871</v>
      </c>
      <c r="JD287" s="15" t="s">
        <v>2604</v>
      </c>
      <c r="JE287" s="15" t="s">
        <v>873</v>
      </c>
      <c r="JF287" s="15" t="s">
        <v>828</v>
      </c>
      <c r="JL287" s="15" t="s">
        <v>3954</v>
      </c>
      <c r="JM287" s="15" t="s">
        <v>3959</v>
      </c>
      <c r="JO287" s="15" t="s">
        <v>426</v>
      </c>
      <c r="JP287" s="15" t="s">
        <v>2474</v>
      </c>
      <c r="JS287" s="15" t="s">
        <v>3960</v>
      </c>
      <c r="JT287" s="15" t="s">
        <v>3971</v>
      </c>
    </row>
    <row r="288" ht="15.75" customHeight="1">
      <c r="A288" s="14" t="s">
        <v>391</v>
      </c>
      <c r="B288" s="15" t="s">
        <v>3972</v>
      </c>
      <c r="C288" s="16"/>
      <c r="D288" s="15" t="s">
        <v>432</v>
      </c>
      <c r="G288" s="14" t="s">
        <v>393</v>
      </c>
      <c r="H288" s="14" t="s">
        <v>394</v>
      </c>
      <c r="I288" s="14" t="b">
        <v>1</v>
      </c>
      <c r="J288" s="14" t="s">
        <v>395</v>
      </c>
      <c r="L288" s="14" t="b">
        <v>0</v>
      </c>
      <c r="M288" s="15" t="s">
        <v>3973</v>
      </c>
      <c r="N288" s="14" t="s">
        <v>393</v>
      </c>
      <c r="O288" s="14" t="s">
        <v>393</v>
      </c>
      <c r="P288" s="15" t="s">
        <v>397</v>
      </c>
      <c r="Q288" s="15" t="s">
        <v>3974</v>
      </c>
      <c r="T288" s="14" t="b">
        <v>0</v>
      </c>
      <c r="U288" s="15" t="s">
        <v>3975</v>
      </c>
      <c r="V288" s="15" t="s">
        <v>3976</v>
      </c>
      <c r="W288" s="15" t="s">
        <v>401</v>
      </c>
      <c r="X288" s="15" t="s">
        <v>1296</v>
      </c>
      <c r="Y288" s="15">
        <v>1209.0</v>
      </c>
      <c r="AA288" s="15" t="str">
        <f t="shared" ref="AA288:AA289" si="523">"465"</f>
        <v>465</v>
      </c>
      <c r="AB288" s="14" t="b">
        <v>1</v>
      </c>
      <c r="AC288" s="14" t="b">
        <v>1</v>
      </c>
      <c r="AD288" s="15" t="str">
        <f>"801542380359"</f>
        <v>801542380359</v>
      </c>
      <c r="AE288" s="15" t="s">
        <v>3977</v>
      </c>
      <c r="AF288" s="14" t="s">
        <v>404</v>
      </c>
      <c r="AG288" s="14" t="s">
        <v>405</v>
      </c>
      <c r="AH288" s="14" t="s">
        <v>406</v>
      </c>
      <c r="AI288" s="15">
        <v>0.0</v>
      </c>
      <c r="AL288" s="15" t="s">
        <v>3369</v>
      </c>
      <c r="AM288" s="15" t="s">
        <v>2557</v>
      </c>
      <c r="AN288" s="15" t="s">
        <v>2558</v>
      </c>
      <c r="AO288" s="15" t="s">
        <v>2557</v>
      </c>
      <c r="AP288" s="15" t="s">
        <v>2558</v>
      </c>
      <c r="AQ288" s="15" t="s">
        <v>2039</v>
      </c>
      <c r="AR288" s="15" t="s">
        <v>2040</v>
      </c>
      <c r="AS288" s="15" t="s">
        <v>2677</v>
      </c>
      <c r="AT288" s="15" t="s">
        <v>3974</v>
      </c>
      <c r="AW288" s="15" t="s">
        <v>491</v>
      </c>
      <c r="AY288" s="15" t="s">
        <v>413</v>
      </c>
      <c r="AZ288" s="15" t="b">
        <v>0</v>
      </c>
      <c r="BA288" s="15" t="s">
        <v>413</v>
      </c>
      <c r="BB288" s="15" t="b">
        <v>0</v>
      </c>
      <c r="BC288" s="15" t="s">
        <v>3978</v>
      </c>
      <c r="BD288" s="15" t="s">
        <v>1303</v>
      </c>
      <c r="BE288" s="15" t="str">
        <f t="shared" ref="BE288:BE292" si="524">"1"</f>
        <v>1</v>
      </c>
      <c r="BF288" s="15" t="s">
        <v>416</v>
      </c>
      <c r="BG288" s="15" t="str">
        <f t="shared" ref="BG288:BG289" si="525">"45.5"</f>
        <v>45.5</v>
      </c>
      <c r="BH288" s="15" t="s">
        <v>3837</v>
      </c>
      <c r="BI288" s="15" t="str">
        <f t="shared" ref="BI288:BI289" si="526">"45.5"</f>
        <v>45.5</v>
      </c>
      <c r="BJ288" s="15" t="s">
        <v>3837</v>
      </c>
      <c r="BK288" s="15" t="str">
        <f t="shared" ref="BK288:BK289" si="527">"18.5"</f>
        <v>18.5</v>
      </c>
      <c r="BL288" s="15" t="s">
        <v>810</v>
      </c>
      <c r="BM288" s="15" t="str">
        <f t="shared" ref="BM288:BM289" si="528">"118.28"</f>
        <v>118.28</v>
      </c>
      <c r="BN288" s="15" t="s">
        <v>3979</v>
      </c>
      <c r="BQ288" s="15" t="s">
        <v>444</v>
      </c>
      <c r="BS288" s="15" t="s">
        <v>444</v>
      </c>
      <c r="BU288" s="15" t="s">
        <v>444</v>
      </c>
      <c r="BW288" s="15" t="s">
        <v>444</v>
      </c>
      <c r="BZ288" s="15" t="s">
        <v>444</v>
      </c>
      <c r="CB288" s="15" t="s">
        <v>444</v>
      </c>
      <c r="CD288" s="15" t="s">
        <v>444</v>
      </c>
      <c r="CF288" s="15" t="s">
        <v>444</v>
      </c>
      <c r="CI288" s="15" t="s">
        <v>444</v>
      </c>
      <c r="CK288" s="15" t="s">
        <v>444</v>
      </c>
      <c r="CM288" s="15" t="s">
        <v>444</v>
      </c>
      <c r="CO288" s="15" t="s">
        <v>444</v>
      </c>
      <c r="CP288" s="15" t="str">
        <f t="shared" ref="CP288:CP289" si="529">"22.18"</f>
        <v>22.18</v>
      </c>
      <c r="CQ288" s="15" t="str">
        <f t="shared" ref="CQ288:CQ289" si="530">"0.628"</f>
        <v>0.628</v>
      </c>
      <c r="CR288" s="15" t="s">
        <v>465</v>
      </c>
      <c r="DC288" s="15" t="str">
        <f>IFERROR(__xludf.DUMMYFUNCTION("""COMPUTED_VALUE"""),"")</f>
        <v/>
      </c>
      <c r="DE288" s="15" t="str">
        <f>IFERROR(__xludf.DUMMYFUNCTION("""COMPUTED_VALUE"""),"")</f>
        <v/>
      </c>
      <c r="DG288" s="15" t="str">
        <f>IFERROR(__xludf.DUMMYFUNCTION("""COMPUTED_VALUE"""),"")</f>
        <v/>
      </c>
      <c r="DL288" s="15" t="str">
        <f>IFERROR(__xludf.DUMMYFUNCTION("""COMPUTED_VALUE"""),"")</f>
        <v/>
      </c>
      <c r="DM288" s="15" t="s">
        <v>444</v>
      </c>
      <c r="DN288" s="15" t="s">
        <v>419</v>
      </c>
      <c r="DO288" s="15">
        <v>0.0</v>
      </c>
      <c r="DP288" s="15" t="s">
        <v>419</v>
      </c>
      <c r="DR288" s="15">
        <v>0.0</v>
      </c>
      <c r="DU288" s="15" t="s">
        <v>419</v>
      </c>
      <c r="DY288" s="15">
        <v>0.0</v>
      </c>
      <c r="EF288" s="15" t="s">
        <v>498</v>
      </c>
      <c r="EG288" s="15" t="s">
        <v>499</v>
      </c>
      <c r="EH288" s="15" t="s">
        <v>3980</v>
      </c>
      <c r="EJ288" s="15" t="s">
        <v>500</v>
      </c>
      <c r="EK288" s="15" t="s">
        <v>501</v>
      </c>
      <c r="EM288" s="15" t="str">
        <f>IFERROR(__xludf.DUMMYFUNCTION("""COMPUTED_VALUE"""),"")</f>
        <v/>
      </c>
      <c r="FH288" s="15" t="s">
        <v>467</v>
      </c>
      <c r="FI288" s="15" t="s">
        <v>1160</v>
      </c>
      <c r="FJ288" s="15" t="s">
        <v>467</v>
      </c>
      <c r="FK288" s="15" t="s">
        <v>425</v>
      </c>
      <c r="FM288" s="15">
        <v>0.0</v>
      </c>
      <c r="FN288" s="15">
        <v>0.0</v>
      </c>
      <c r="FW288" s="15" t="s">
        <v>1593</v>
      </c>
    </row>
    <row r="289" ht="15.75" customHeight="1">
      <c r="A289" s="14" t="s">
        <v>391</v>
      </c>
      <c r="B289" s="15" t="s">
        <v>3972</v>
      </c>
      <c r="C289" s="16"/>
      <c r="D289" s="15" t="s">
        <v>432</v>
      </c>
      <c r="G289" s="14" t="s">
        <v>393</v>
      </c>
      <c r="H289" s="14" t="s">
        <v>394</v>
      </c>
      <c r="I289" s="14" t="b">
        <v>1</v>
      </c>
      <c r="J289" s="14" t="s">
        <v>395</v>
      </c>
      <c r="L289" s="14" t="b">
        <v>0</v>
      </c>
      <c r="M289" s="15" t="s">
        <v>3981</v>
      </c>
      <c r="N289" s="14" t="s">
        <v>393</v>
      </c>
      <c r="O289" s="14" t="s">
        <v>393</v>
      </c>
      <c r="P289" s="15" t="s">
        <v>397</v>
      </c>
      <c r="Q289" s="15" t="s">
        <v>3982</v>
      </c>
      <c r="T289" s="14" t="b">
        <v>0</v>
      </c>
      <c r="U289" s="15" t="s">
        <v>3983</v>
      </c>
      <c r="V289" s="15" t="s">
        <v>3976</v>
      </c>
      <c r="W289" s="15" t="s">
        <v>401</v>
      </c>
      <c r="X289" s="15" t="s">
        <v>1296</v>
      </c>
      <c r="Y289" s="15">
        <v>1209.0</v>
      </c>
      <c r="AA289" s="15" t="str">
        <f t="shared" si="523"/>
        <v>465</v>
      </c>
      <c r="AB289" s="14" t="b">
        <v>1</v>
      </c>
      <c r="AC289" s="14" t="b">
        <v>1</v>
      </c>
      <c r="AD289" s="15" t="str">
        <f>"801542271077"</f>
        <v>801542271077</v>
      </c>
      <c r="AE289" s="15" t="s">
        <v>3984</v>
      </c>
      <c r="AF289" s="14" t="s">
        <v>404</v>
      </c>
      <c r="AG289" s="14" t="s">
        <v>405</v>
      </c>
      <c r="AH289" s="14" t="s">
        <v>406</v>
      </c>
      <c r="AI289" s="15">
        <v>0.0</v>
      </c>
      <c r="AL289" s="15" t="s">
        <v>2689</v>
      </c>
      <c r="AM289" s="15" t="s">
        <v>2557</v>
      </c>
      <c r="AN289" s="15" t="s">
        <v>2558</v>
      </c>
      <c r="AO289" s="15" t="s">
        <v>2557</v>
      </c>
      <c r="AP289" s="15" t="s">
        <v>2558</v>
      </c>
      <c r="AQ289" s="15" t="s">
        <v>2039</v>
      </c>
      <c r="AR289" s="15" t="s">
        <v>2040</v>
      </c>
      <c r="AS289" s="15" t="s">
        <v>2677</v>
      </c>
      <c r="AT289" s="15" t="s">
        <v>3982</v>
      </c>
      <c r="AW289" s="15" t="s">
        <v>491</v>
      </c>
      <c r="AY289" s="15" t="s">
        <v>413</v>
      </c>
      <c r="AZ289" s="15" t="b">
        <v>0</v>
      </c>
      <c r="BA289" s="15" t="s">
        <v>413</v>
      </c>
      <c r="BB289" s="15" t="b">
        <v>0</v>
      </c>
      <c r="BC289" s="15" t="s">
        <v>3985</v>
      </c>
      <c r="BD289" s="15" t="s">
        <v>1303</v>
      </c>
      <c r="BE289" s="15" t="str">
        <f t="shared" si="524"/>
        <v>1</v>
      </c>
      <c r="BF289" s="15" t="s">
        <v>416</v>
      </c>
      <c r="BG289" s="15" t="str">
        <f t="shared" si="525"/>
        <v>45.5</v>
      </c>
      <c r="BH289" s="15" t="s">
        <v>3837</v>
      </c>
      <c r="BI289" s="15" t="str">
        <f t="shared" si="526"/>
        <v>45.5</v>
      </c>
      <c r="BJ289" s="15" t="s">
        <v>3837</v>
      </c>
      <c r="BK289" s="15" t="str">
        <f t="shared" si="527"/>
        <v>18.5</v>
      </c>
      <c r="BL289" s="15" t="s">
        <v>810</v>
      </c>
      <c r="BM289" s="15" t="str">
        <f t="shared" si="528"/>
        <v>118.28</v>
      </c>
      <c r="BN289" s="15" t="s">
        <v>3979</v>
      </c>
      <c r="BQ289" s="15" t="s">
        <v>444</v>
      </c>
      <c r="BS289" s="15" t="s">
        <v>444</v>
      </c>
      <c r="BU289" s="15" t="s">
        <v>444</v>
      </c>
      <c r="BW289" s="15" t="s">
        <v>444</v>
      </c>
      <c r="BZ289" s="15" t="s">
        <v>444</v>
      </c>
      <c r="CB289" s="15" t="s">
        <v>444</v>
      </c>
      <c r="CD289" s="15" t="s">
        <v>444</v>
      </c>
      <c r="CF289" s="15" t="s">
        <v>444</v>
      </c>
      <c r="CI289" s="15" t="s">
        <v>444</v>
      </c>
      <c r="CK289" s="15" t="s">
        <v>444</v>
      </c>
      <c r="CM289" s="15" t="s">
        <v>444</v>
      </c>
      <c r="CO289" s="15" t="s">
        <v>444</v>
      </c>
      <c r="CP289" s="15" t="str">
        <f t="shared" si="529"/>
        <v>22.18</v>
      </c>
      <c r="CQ289" s="15" t="str">
        <f t="shared" si="530"/>
        <v>0.628</v>
      </c>
      <c r="CR289" s="15" t="s">
        <v>417</v>
      </c>
      <c r="DC289" s="15" t="str">
        <f>IFERROR(__xludf.DUMMYFUNCTION("""COMPUTED_VALUE"""),"")</f>
        <v/>
      </c>
      <c r="DE289" s="15" t="str">
        <f>IFERROR(__xludf.DUMMYFUNCTION("""COMPUTED_VALUE"""),"")</f>
        <v/>
      </c>
      <c r="DG289" s="15" t="str">
        <f>IFERROR(__xludf.DUMMYFUNCTION("""COMPUTED_VALUE"""),"")</f>
        <v/>
      </c>
      <c r="DL289" s="15" t="str">
        <f>IFERROR(__xludf.DUMMYFUNCTION("""COMPUTED_VALUE"""),"")</f>
        <v/>
      </c>
      <c r="DM289" s="15" t="s">
        <v>444</v>
      </c>
      <c r="DN289" s="15" t="s">
        <v>419</v>
      </c>
      <c r="DO289" s="15">
        <v>0.0</v>
      </c>
      <c r="DP289" s="15" t="s">
        <v>419</v>
      </c>
      <c r="DR289" s="15">
        <v>0.0</v>
      </c>
      <c r="DU289" s="15" t="s">
        <v>419</v>
      </c>
      <c r="DY289" s="15">
        <v>0.0</v>
      </c>
      <c r="EF289" s="15" t="s">
        <v>498</v>
      </c>
      <c r="EG289" s="15" t="s">
        <v>499</v>
      </c>
      <c r="EH289" s="15" t="s">
        <v>3980</v>
      </c>
      <c r="EJ289" s="15" t="s">
        <v>500</v>
      </c>
      <c r="EK289" s="15" t="s">
        <v>501</v>
      </c>
      <c r="EM289" s="15" t="str">
        <f>IFERROR(__xludf.DUMMYFUNCTION("""COMPUTED_VALUE"""),"")</f>
        <v/>
      </c>
      <c r="FH289" s="15" t="s">
        <v>467</v>
      </c>
      <c r="FI289" s="15" t="s">
        <v>1160</v>
      </c>
      <c r="FJ289" s="15" t="s">
        <v>467</v>
      </c>
      <c r="FK289" s="15" t="s">
        <v>425</v>
      </c>
      <c r="FM289" s="15">
        <v>0.0</v>
      </c>
      <c r="FN289" s="15">
        <v>0.0</v>
      </c>
      <c r="FW289" s="15" t="s">
        <v>1593</v>
      </c>
    </row>
    <row r="290" ht="15.75" customHeight="1">
      <c r="A290" s="14" t="s">
        <v>391</v>
      </c>
      <c r="B290" s="15" t="s">
        <v>3986</v>
      </c>
      <c r="C290" s="16"/>
      <c r="D290" s="15" t="s">
        <v>432</v>
      </c>
      <c r="G290" s="14" t="s">
        <v>393</v>
      </c>
      <c r="H290" s="14" t="s">
        <v>394</v>
      </c>
      <c r="I290" s="14" t="b">
        <v>1</v>
      </c>
      <c r="J290" s="14" t="s">
        <v>395</v>
      </c>
      <c r="L290" s="14" t="b">
        <v>0</v>
      </c>
      <c r="M290" s="15" t="s">
        <v>3987</v>
      </c>
      <c r="N290" s="14" t="s">
        <v>393</v>
      </c>
      <c r="O290" s="14" t="s">
        <v>393</v>
      </c>
      <c r="P290" s="15" t="s">
        <v>397</v>
      </c>
      <c r="Q290" s="15" t="s">
        <v>3982</v>
      </c>
      <c r="T290" s="14" t="b">
        <v>0</v>
      </c>
      <c r="U290" s="15" t="s">
        <v>3988</v>
      </c>
      <c r="V290" s="15" t="s">
        <v>3989</v>
      </c>
      <c r="W290" s="15" t="s">
        <v>401</v>
      </c>
      <c r="X290" s="15" t="s">
        <v>1296</v>
      </c>
      <c r="Y290" s="15">
        <v>390.0</v>
      </c>
      <c r="AA290" s="15" t="str">
        <f>"150"</f>
        <v>150</v>
      </c>
      <c r="AB290" s="14" t="b">
        <v>1</v>
      </c>
      <c r="AC290" s="14" t="b">
        <v>1</v>
      </c>
      <c r="AD290" s="15" t="str">
        <f>"801542686406"</f>
        <v>801542686406</v>
      </c>
      <c r="AE290" s="15" t="s">
        <v>3990</v>
      </c>
      <c r="AF290" s="14" t="s">
        <v>404</v>
      </c>
      <c r="AG290" s="14" t="s">
        <v>405</v>
      </c>
      <c r="AH290" s="14" t="s">
        <v>406</v>
      </c>
      <c r="AI290" s="15">
        <v>0.0</v>
      </c>
      <c r="AL290" s="15" t="s">
        <v>2689</v>
      </c>
      <c r="AM290" s="15" t="s">
        <v>3702</v>
      </c>
      <c r="AN290" s="15" t="s">
        <v>3703</v>
      </c>
      <c r="AO290" s="15" t="s">
        <v>3702</v>
      </c>
      <c r="AP290" s="15" t="s">
        <v>3703</v>
      </c>
      <c r="AQ290" s="15" t="s">
        <v>1007</v>
      </c>
      <c r="AR290" s="15" t="s">
        <v>1008</v>
      </c>
      <c r="AS290" s="15" t="s">
        <v>2677</v>
      </c>
      <c r="AT290" s="15" t="s">
        <v>3982</v>
      </c>
      <c r="AW290" s="15" t="s">
        <v>1154</v>
      </c>
      <c r="AY290" s="15" t="s">
        <v>413</v>
      </c>
      <c r="AZ290" s="15" t="b">
        <v>0</v>
      </c>
      <c r="BA290" s="15" t="s">
        <v>413</v>
      </c>
      <c r="BB290" s="15" t="b">
        <v>0</v>
      </c>
      <c r="BC290" s="15" t="s">
        <v>3991</v>
      </c>
      <c r="BD290" s="15" t="s">
        <v>1303</v>
      </c>
      <c r="BE290" s="15" t="str">
        <f t="shared" si="524"/>
        <v>1</v>
      </c>
      <c r="BF290" s="15" t="s">
        <v>416</v>
      </c>
      <c r="BG290" s="15" t="str">
        <f>"18.5"</f>
        <v>18.5</v>
      </c>
      <c r="BH290" s="15" t="s">
        <v>810</v>
      </c>
      <c r="BI290" s="15" t="str">
        <f>"19.5"</f>
        <v>19.5</v>
      </c>
      <c r="BJ290" s="15" t="s">
        <v>3732</v>
      </c>
      <c r="BK290" s="15" t="str">
        <f>"23.75"</f>
        <v>23.75</v>
      </c>
      <c r="BL290" s="15" t="s">
        <v>3992</v>
      </c>
      <c r="BM290" s="15" t="str">
        <f>"43.65"</f>
        <v>43.65</v>
      </c>
      <c r="BN290" s="15" t="s">
        <v>3993</v>
      </c>
      <c r="BQ290" s="15" t="s">
        <v>444</v>
      </c>
      <c r="BS290" s="15" t="s">
        <v>444</v>
      </c>
      <c r="BU290" s="15" t="s">
        <v>444</v>
      </c>
      <c r="BW290" s="15" t="s">
        <v>444</v>
      </c>
      <c r="BZ290" s="15" t="s">
        <v>444</v>
      </c>
      <c r="CB290" s="15" t="s">
        <v>444</v>
      </c>
      <c r="CD290" s="15" t="s">
        <v>444</v>
      </c>
      <c r="CF290" s="15" t="s">
        <v>444</v>
      </c>
      <c r="CI290" s="15" t="s">
        <v>444</v>
      </c>
      <c r="CK290" s="15" t="s">
        <v>444</v>
      </c>
      <c r="CM290" s="15" t="s">
        <v>444</v>
      </c>
      <c r="CO290" s="15" t="s">
        <v>444</v>
      </c>
      <c r="CP290" s="15" t="str">
        <f>"4.94"</f>
        <v>4.94</v>
      </c>
      <c r="CQ290" s="15" t="str">
        <f>"0.14"</f>
        <v>0.14</v>
      </c>
      <c r="CR290" s="15" t="s">
        <v>497</v>
      </c>
      <c r="DC290" s="15" t="str">
        <f>IFERROR(__xludf.DUMMYFUNCTION("""COMPUTED_VALUE"""),"")</f>
        <v/>
      </c>
      <c r="DE290" s="15" t="str">
        <f>IFERROR(__xludf.DUMMYFUNCTION("""COMPUTED_VALUE"""),"")</f>
        <v/>
      </c>
      <c r="DG290" s="15" t="str">
        <f>IFERROR(__xludf.DUMMYFUNCTION("""COMPUTED_VALUE"""),"")</f>
        <v/>
      </c>
      <c r="DL290" s="15" t="str">
        <f>IFERROR(__xludf.DUMMYFUNCTION("""COMPUTED_VALUE"""),"")</f>
        <v/>
      </c>
      <c r="DM290" s="15" t="s">
        <v>444</v>
      </c>
      <c r="DN290" s="15" t="s">
        <v>419</v>
      </c>
      <c r="DO290" s="15">
        <v>0.0</v>
      </c>
      <c r="DP290" s="15" t="s">
        <v>419</v>
      </c>
      <c r="DR290" s="15">
        <v>0.0</v>
      </c>
      <c r="DU290" s="15" t="s">
        <v>419</v>
      </c>
      <c r="DY290" s="15">
        <v>0.0</v>
      </c>
      <c r="EF290" s="15" t="s">
        <v>498</v>
      </c>
      <c r="EG290" s="15" t="s">
        <v>499</v>
      </c>
      <c r="EH290" s="15" t="s">
        <v>3994</v>
      </c>
      <c r="EJ290" s="15" t="s">
        <v>500</v>
      </c>
      <c r="EK290" s="15" t="s">
        <v>501</v>
      </c>
      <c r="EM290" s="15" t="str">
        <f>IFERROR(__xludf.DUMMYFUNCTION("""COMPUTED_VALUE"""),"")</f>
        <v/>
      </c>
      <c r="FH290" s="15" t="s">
        <v>1592</v>
      </c>
      <c r="FI290" s="15" t="s">
        <v>1065</v>
      </c>
      <c r="FJ290" s="15" t="s">
        <v>1592</v>
      </c>
      <c r="FM290" s="15">
        <v>0.0</v>
      </c>
      <c r="FN290" s="15">
        <v>0.0</v>
      </c>
    </row>
    <row r="291" ht="15.75" customHeight="1">
      <c r="A291" s="14" t="s">
        <v>391</v>
      </c>
      <c r="B291" s="15" t="s">
        <v>3995</v>
      </c>
      <c r="C291" s="16"/>
      <c r="D291" s="15" t="s">
        <v>432</v>
      </c>
      <c r="G291" s="14" t="s">
        <v>393</v>
      </c>
      <c r="H291" s="14" t="s">
        <v>394</v>
      </c>
      <c r="I291" s="14" t="b">
        <v>1</v>
      </c>
      <c r="J291" s="14" t="s">
        <v>395</v>
      </c>
      <c r="L291" s="14" t="b">
        <v>0</v>
      </c>
      <c r="M291" s="15" t="s">
        <v>3996</v>
      </c>
      <c r="N291" s="14" t="s">
        <v>393</v>
      </c>
      <c r="O291" s="14" t="s">
        <v>393</v>
      </c>
      <c r="P291" s="15" t="s">
        <v>397</v>
      </c>
      <c r="Q291" s="15" t="s">
        <v>3982</v>
      </c>
      <c r="T291" s="14" t="b">
        <v>0</v>
      </c>
      <c r="U291" s="15" t="s">
        <v>3997</v>
      </c>
      <c r="V291" s="15" t="s">
        <v>3998</v>
      </c>
      <c r="W291" s="15" t="s">
        <v>401</v>
      </c>
      <c r="X291" s="15" t="s">
        <v>1296</v>
      </c>
      <c r="Y291" s="15">
        <v>1430.0</v>
      </c>
      <c r="AA291" s="15" t="str">
        <f>"550"</f>
        <v>550</v>
      </c>
      <c r="AB291" s="14" t="b">
        <v>1</v>
      </c>
      <c r="AC291" s="14" t="b">
        <v>1</v>
      </c>
      <c r="AD291" s="15" t="str">
        <f>"801542295868"</f>
        <v>801542295868</v>
      </c>
      <c r="AE291" s="15" t="s">
        <v>3999</v>
      </c>
      <c r="AF291" s="14" t="s">
        <v>404</v>
      </c>
      <c r="AG291" s="14" t="s">
        <v>405</v>
      </c>
      <c r="AH291" s="14" t="s">
        <v>406</v>
      </c>
      <c r="AI291" s="15">
        <v>0.0</v>
      </c>
      <c r="AL291" s="15" t="s">
        <v>2689</v>
      </c>
      <c r="AM291" s="15" t="s">
        <v>2557</v>
      </c>
      <c r="AN291" s="15" t="s">
        <v>2558</v>
      </c>
      <c r="AO291" s="15" t="s">
        <v>2557</v>
      </c>
      <c r="AP291" s="15" t="s">
        <v>2558</v>
      </c>
      <c r="AQ291" s="15" t="s">
        <v>489</v>
      </c>
      <c r="AR291" s="15" t="s">
        <v>490</v>
      </c>
      <c r="AS291" s="15" t="s">
        <v>2677</v>
      </c>
      <c r="AT291" s="15" t="s">
        <v>3982</v>
      </c>
      <c r="AW291" s="15" t="s">
        <v>491</v>
      </c>
      <c r="AY291" s="15" t="s">
        <v>413</v>
      </c>
      <c r="AZ291" s="15" t="b">
        <v>0</v>
      </c>
      <c r="BA291" s="15" t="s">
        <v>413</v>
      </c>
      <c r="BB291" s="15" t="b">
        <v>0</v>
      </c>
      <c r="BC291" s="15" t="s">
        <v>4000</v>
      </c>
      <c r="BD291" s="15" t="s">
        <v>1303</v>
      </c>
      <c r="BE291" s="15" t="str">
        <f t="shared" si="524"/>
        <v>1</v>
      </c>
      <c r="BF291" s="15" t="s">
        <v>416</v>
      </c>
      <c r="BG291" s="15" t="str">
        <f>"45.5"</f>
        <v>45.5</v>
      </c>
      <c r="BH291" s="15" t="s">
        <v>3837</v>
      </c>
      <c r="BI291" s="15" t="str">
        <f>"45.5"</f>
        <v>45.5</v>
      </c>
      <c r="BJ291" s="15" t="s">
        <v>3837</v>
      </c>
      <c r="BK291" s="15" t="str">
        <f>"18.75"</f>
        <v>18.75</v>
      </c>
      <c r="BL291" s="15" t="s">
        <v>3496</v>
      </c>
      <c r="BM291" s="15" t="str">
        <f>"208.56"</f>
        <v>208.56</v>
      </c>
      <c r="BN291" s="15" t="s">
        <v>4001</v>
      </c>
      <c r="BQ291" s="15" t="s">
        <v>444</v>
      </c>
      <c r="BS291" s="15" t="s">
        <v>444</v>
      </c>
      <c r="BU291" s="15" t="s">
        <v>444</v>
      </c>
      <c r="BW291" s="15" t="s">
        <v>444</v>
      </c>
      <c r="BZ291" s="15" t="s">
        <v>444</v>
      </c>
      <c r="CB291" s="15" t="s">
        <v>444</v>
      </c>
      <c r="CD291" s="15" t="s">
        <v>444</v>
      </c>
      <c r="CF291" s="15" t="s">
        <v>444</v>
      </c>
      <c r="CI291" s="15" t="s">
        <v>444</v>
      </c>
      <c r="CK291" s="15" t="s">
        <v>444</v>
      </c>
      <c r="CM291" s="15" t="s">
        <v>444</v>
      </c>
      <c r="CO291" s="15" t="s">
        <v>444</v>
      </c>
      <c r="CP291" s="15" t="str">
        <f>"22.46"</f>
        <v>22.46</v>
      </c>
      <c r="CQ291" s="15" t="str">
        <f>"0.636"</f>
        <v>0.636</v>
      </c>
      <c r="CR291" s="15" t="s">
        <v>465</v>
      </c>
      <c r="DC291" s="15" t="str">
        <f>IFERROR(__xludf.DUMMYFUNCTION("""COMPUTED_VALUE"""),"")</f>
        <v/>
      </c>
      <c r="DE291" s="15" t="str">
        <f>IFERROR(__xludf.DUMMYFUNCTION("""COMPUTED_VALUE"""),"")</f>
        <v/>
      </c>
      <c r="DG291" s="15" t="str">
        <f>IFERROR(__xludf.DUMMYFUNCTION("""COMPUTED_VALUE"""),"")</f>
        <v/>
      </c>
      <c r="DL291" s="15" t="str">
        <f>IFERROR(__xludf.DUMMYFUNCTION("""COMPUTED_VALUE"""),"")</f>
        <v/>
      </c>
      <c r="DM291" s="15" t="s">
        <v>444</v>
      </c>
      <c r="DN291" s="15" t="s">
        <v>4002</v>
      </c>
      <c r="DO291" s="15">
        <v>4.0</v>
      </c>
      <c r="DP291" s="15" t="s">
        <v>2604</v>
      </c>
      <c r="DR291" s="15">
        <v>0.0</v>
      </c>
      <c r="DT291" s="15" t="s">
        <v>420</v>
      </c>
      <c r="DU291" s="15" t="s">
        <v>421</v>
      </c>
      <c r="DY291" s="15">
        <v>0.0</v>
      </c>
      <c r="EF291" s="15" t="s">
        <v>498</v>
      </c>
      <c r="EG291" s="15" t="s">
        <v>499</v>
      </c>
      <c r="EH291" s="15" t="s">
        <v>3994</v>
      </c>
      <c r="EJ291" s="15" t="s">
        <v>500</v>
      </c>
      <c r="EK291" s="15" t="s">
        <v>501</v>
      </c>
      <c r="EM291" s="15" t="str">
        <f>IFERROR(__xludf.DUMMYFUNCTION("""COMPUTED_VALUE"""),"")</f>
        <v/>
      </c>
      <c r="EW291" s="15" t="s">
        <v>672</v>
      </c>
      <c r="FH291" s="15" t="s">
        <v>2385</v>
      </c>
      <c r="FI291" s="15" t="s">
        <v>672</v>
      </c>
      <c r="FJ291" s="15" t="s">
        <v>2385</v>
      </c>
      <c r="FK291" s="15" t="s">
        <v>612</v>
      </c>
      <c r="FM291" s="15">
        <v>0.0</v>
      </c>
      <c r="FN291" s="15">
        <v>0.0</v>
      </c>
      <c r="FW291" s="15" t="s">
        <v>672</v>
      </c>
      <c r="GQ291" s="15" t="s">
        <v>1213</v>
      </c>
      <c r="GS291" s="15" t="s">
        <v>505</v>
      </c>
      <c r="GU291" s="15" t="s">
        <v>1065</v>
      </c>
      <c r="GW291" s="15" t="s">
        <v>2604</v>
      </c>
      <c r="GY291" s="15" t="s">
        <v>764</v>
      </c>
      <c r="GZ291" s="15" t="s">
        <v>426</v>
      </c>
    </row>
    <row r="292" ht="15.75" customHeight="1">
      <c r="A292" s="14" t="s">
        <v>391</v>
      </c>
      <c r="B292" s="15" t="s">
        <v>4003</v>
      </c>
      <c r="C292" s="16"/>
      <c r="D292" s="15" t="s">
        <v>432</v>
      </c>
      <c r="G292" s="14" t="s">
        <v>393</v>
      </c>
      <c r="H292" s="14" t="s">
        <v>394</v>
      </c>
      <c r="I292" s="14" t="b">
        <v>1</v>
      </c>
      <c r="J292" s="14" t="s">
        <v>395</v>
      </c>
      <c r="L292" s="14" t="b">
        <v>0</v>
      </c>
      <c r="M292" s="15" t="s">
        <v>4004</v>
      </c>
      <c r="N292" s="14" t="s">
        <v>393</v>
      </c>
      <c r="O292" s="14" t="s">
        <v>393</v>
      </c>
      <c r="P292" s="15" t="s">
        <v>397</v>
      </c>
      <c r="Q292" s="15" t="s">
        <v>3982</v>
      </c>
      <c r="T292" s="14" t="b">
        <v>0</v>
      </c>
      <c r="U292" s="15" t="s">
        <v>4005</v>
      </c>
      <c r="V292" s="15" t="s">
        <v>4006</v>
      </c>
      <c r="W292" s="15" t="s">
        <v>401</v>
      </c>
      <c r="X292" s="15" t="s">
        <v>1296</v>
      </c>
      <c r="Y292" s="15">
        <v>1040.0</v>
      </c>
      <c r="AA292" s="15" t="str">
        <f>"400"</f>
        <v>400</v>
      </c>
      <c r="AB292" s="14" t="b">
        <v>1</v>
      </c>
      <c r="AC292" s="14" t="b">
        <v>1</v>
      </c>
      <c r="AD292" s="15" t="str">
        <f>"801542357658"</f>
        <v>801542357658</v>
      </c>
      <c r="AE292" s="15" t="s">
        <v>4007</v>
      </c>
      <c r="AF292" s="14" t="s">
        <v>404</v>
      </c>
      <c r="AG292" s="14" t="s">
        <v>405</v>
      </c>
      <c r="AH292" s="14" t="s">
        <v>406</v>
      </c>
      <c r="AI292" s="15">
        <v>0.0</v>
      </c>
      <c r="AL292" s="15" t="s">
        <v>2689</v>
      </c>
      <c r="AM292" s="15" t="s">
        <v>4008</v>
      </c>
      <c r="AN292" s="15" t="s">
        <v>3329</v>
      </c>
      <c r="AO292" s="15" t="s">
        <v>1152</v>
      </c>
      <c r="AP292" s="15" t="s">
        <v>1153</v>
      </c>
      <c r="AQ292" s="15" t="s">
        <v>1007</v>
      </c>
      <c r="AR292" s="15" t="s">
        <v>1008</v>
      </c>
      <c r="AS292" s="15" t="s">
        <v>2677</v>
      </c>
      <c r="AT292" s="15" t="s">
        <v>3982</v>
      </c>
      <c r="AW292" s="15" t="s">
        <v>4009</v>
      </c>
      <c r="AY292" s="15" t="s">
        <v>413</v>
      </c>
      <c r="AZ292" s="15" t="b">
        <v>0</v>
      </c>
      <c r="BA292" s="15" t="s">
        <v>413</v>
      </c>
      <c r="BB292" s="15" t="b">
        <v>0</v>
      </c>
      <c r="BC292" s="15" t="s">
        <v>4010</v>
      </c>
      <c r="BD292" s="15" t="s">
        <v>1303</v>
      </c>
      <c r="BE292" s="15" t="str">
        <f t="shared" si="524"/>
        <v>1</v>
      </c>
      <c r="BF292" s="15" t="s">
        <v>416</v>
      </c>
      <c r="BG292" s="15" t="str">
        <f>"67"</f>
        <v>67</v>
      </c>
      <c r="BH292" s="15" t="s">
        <v>4011</v>
      </c>
      <c r="BI292" s="15" t="str">
        <f>"21.5"</f>
        <v>21.5</v>
      </c>
      <c r="BJ292" s="15" t="s">
        <v>748</v>
      </c>
      <c r="BK292" s="15" t="str">
        <f>"22.5"</f>
        <v>22.5</v>
      </c>
      <c r="BL292" s="15" t="s">
        <v>1247</v>
      </c>
      <c r="BM292" s="15" t="str">
        <f>"149.36"</f>
        <v>149.36</v>
      </c>
      <c r="BN292" s="15" t="s">
        <v>4012</v>
      </c>
      <c r="BQ292" s="15" t="s">
        <v>444</v>
      </c>
      <c r="BS292" s="15" t="s">
        <v>444</v>
      </c>
      <c r="BU292" s="15" t="s">
        <v>444</v>
      </c>
      <c r="BW292" s="15" t="s">
        <v>444</v>
      </c>
      <c r="BZ292" s="15" t="s">
        <v>444</v>
      </c>
      <c r="CB292" s="15" t="s">
        <v>444</v>
      </c>
      <c r="CD292" s="15" t="s">
        <v>444</v>
      </c>
      <c r="CF292" s="15" t="s">
        <v>444</v>
      </c>
      <c r="CI292" s="15" t="s">
        <v>444</v>
      </c>
      <c r="CK292" s="15" t="s">
        <v>444</v>
      </c>
      <c r="CM292" s="15" t="s">
        <v>444</v>
      </c>
      <c r="CO292" s="15" t="s">
        <v>444</v>
      </c>
      <c r="CP292" s="15" t="str">
        <f>"18.75"</f>
        <v>18.75</v>
      </c>
      <c r="CQ292" s="15" t="str">
        <f>"0.531"</f>
        <v>0.531</v>
      </c>
      <c r="CR292" s="15" t="s">
        <v>497</v>
      </c>
      <c r="DC292" s="15" t="str">
        <f>IFERROR(__xludf.DUMMYFUNCTION("""COMPUTED_VALUE"""),"")</f>
        <v/>
      </c>
      <c r="DE292" s="15" t="str">
        <f>IFERROR(__xludf.DUMMYFUNCTION("""COMPUTED_VALUE"""),"")</f>
        <v/>
      </c>
      <c r="DG292" s="15" t="str">
        <f>IFERROR(__xludf.DUMMYFUNCTION("""COMPUTED_VALUE"""),"")</f>
        <v/>
      </c>
      <c r="DL292" s="15" t="str">
        <f>IFERROR(__xludf.DUMMYFUNCTION("""COMPUTED_VALUE"""),"")</f>
        <v/>
      </c>
      <c r="DM292" s="15" t="s">
        <v>444</v>
      </c>
      <c r="DU292" s="15" t="s">
        <v>419</v>
      </c>
      <c r="EA292" s="15" t="s">
        <v>470</v>
      </c>
      <c r="EG292" s="15" t="s">
        <v>444</v>
      </c>
      <c r="EH292" s="15" t="s">
        <v>3994</v>
      </c>
      <c r="EK292" s="15" t="s">
        <v>444</v>
      </c>
      <c r="EM292" s="15" t="str">
        <f>IFERROR(__xludf.DUMMYFUNCTION("""COMPUTED_VALUE"""),"")</f>
        <v/>
      </c>
      <c r="EW292" s="15" t="s">
        <v>784</v>
      </c>
      <c r="GJ292" s="15" t="s">
        <v>786</v>
      </c>
      <c r="II292" s="15" t="s">
        <v>504</v>
      </c>
      <c r="IJ292" s="15" t="s">
        <v>1287</v>
      </c>
      <c r="IK292" s="15" t="s">
        <v>1682</v>
      </c>
    </row>
    <row r="293" ht="15.75" customHeight="1">
      <c r="A293" s="14" t="s">
        <v>391</v>
      </c>
      <c r="B293" s="15" t="s">
        <v>4013</v>
      </c>
      <c r="C293" s="16"/>
      <c r="D293" s="15" t="s">
        <v>432</v>
      </c>
      <c r="G293" s="14" t="s">
        <v>393</v>
      </c>
      <c r="H293" s="14" t="s">
        <v>394</v>
      </c>
      <c r="I293" s="14" t="b">
        <v>1</v>
      </c>
      <c r="J293" s="14" t="s">
        <v>395</v>
      </c>
      <c r="L293" s="14" t="b">
        <v>0</v>
      </c>
      <c r="M293" s="15" t="s">
        <v>4014</v>
      </c>
      <c r="N293" s="14" t="s">
        <v>393</v>
      </c>
      <c r="O293" s="14" t="s">
        <v>393</v>
      </c>
      <c r="P293" s="15" t="s">
        <v>397</v>
      </c>
      <c r="Q293" s="15" t="s">
        <v>4015</v>
      </c>
      <c r="T293" s="14" t="b">
        <v>0</v>
      </c>
      <c r="U293" s="15" t="s">
        <v>4016</v>
      </c>
      <c r="V293" s="15" t="s">
        <v>4017</v>
      </c>
      <c r="W293" s="15" t="s">
        <v>401</v>
      </c>
      <c r="X293" s="15" t="s">
        <v>695</v>
      </c>
      <c r="Y293" s="15">
        <v>3822.0</v>
      </c>
      <c r="AA293" s="15" t="str">
        <f>"1470"</f>
        <v>1470</v>
      </c>
      <c r="AB293" s="14" t="b">
        <v>1</v>
      </c>
      <c r="AC293" s="14" t="b">
        <v>1</v>
      </c>
      <c r="AD293" s="15" t="str">
        <f>"801542176747"</f>
        <v>801542176747</v>
      </c>
      <c r="AE293" s="15" t="s">
        <v>4018</v>
      </c>
      <c r="AF293" s="14" t="s">
        <v>404</v>
      </c>
      <c r="AG293" s="14" t="s">
        <v>405</v>
      </c>
      <c r="AH293" s="14" t="s">
        <v>406</v>
      </c>
      <c r="AI293" s="15">
        <v>0.0</v>
      </c>
      <c r="AL293" s="15" t="s">
        <v>4019</v>
      </c>
      <c r="AM293" s="15" t="s">
        <v>1096</v>
      </c>
      <c r="AN293" s="15" t="s">
        <v>1100</v>
      </c>
      <c r="AO293" s="15" t="s">
        <v>1892</v>
      </c>
      <c r="AP293" s="15" t="s">
        <v>1893</v>
      </c>
      <c r="AQ293" s="15" t="s">
        <v>3275</v>
      </c>
      <c r="AR293" s="15" t="s">
        <v>3276</v>
      </c>
      <c r="AS293" s="15" t="s">
        <v>3185</v>
      </c>
      <c r="AT293" s="15" t="s">
        <v>4015</v>
      </c>
      <c r="AU293" s="15" t="s">
        <v>1139</v>
      </c>
      <c r="AW293" s="15" t="s">
        <v>548</v>
      </c>
      <c r="AX293" s="15" t="s">
        <v>549</v>
      </c>
      <c r="AY293" s="15" t="s">
        <v>413</v>
      </c>
      <c r="AZ293" s="15" t="b">
        <v>0</v>
      </c>
      <c r="BA293" s="15" t="s">
        <v>413</v>
      </c>
      <c r="BB293" s="15" t="b">
        <v>0</v>
      </c>
      <c r="BC293" s="15" t="s">
        <v>4020</v>
      </c>
      <c r="BD293" s="15" t="s">
        <v>709</v>
      </c>
      <c r="BE293" s="15" t="str">
        <f>"2"</f>
        <v>2</v>
      </c>
      <c r="BF293" s="15" t="s">
        <v>2238</v>
      </c>
      <c r="BG293" s="15" t="str">
        <f>"37.01"</f>
        <v>37.01</v>
      </c>
      <c r="BH293" s="15" t="s">
        <v>1990</v>
      </c>
      <c r="BI293" s="15" t="str">
        <f>"19.29"</f>
        <v>19.29</v>
      </c>
      <c r="BJ293" s="15" t="s">
        <v>566</v>
      </c>
      <c r="BK293" s="15" t="str">
        <f>"32.68"</f>
        <v>32.68</v>
      </c>
      <c r="BL293" s="15" t="s">
        <v>2066</v>
      </c>
      <c r="BM293" s="15" t="str">
        <f>"81.13"</f>
        <v>81.13</v>
      </c>
      <c r="BN293" s="15" t="s">
        <v>4021</v>
      </c>
      <c r="BO293" s="15" t="s">
        <v>1564</v>
      </c>
      <c r="BP293" s="15" t="str">
        <f>"114.17"</f>
        <v>114.17</v>
      </c>
      <c r="BQ293" s="15" t="s">
        <v>4022</v>
      </c>
      <c r="BR293" s="15" t="str">
        <f>"5.31"</f>
        <v>5.31</v>
      </c>
      <c r="BS293" s="15" t="s">
        <v>4023</v>
      </c>
      <c r="BT293" s="15" t="str">
        <f>"47.44"</f>
        <v>47.44</v>
      </c>
      <c r="BU293" s="15" t="s">
        <v>4024</v>
      </c>
      <c r="BV293" s="15" t="str">
        <f>"181"</f>
        <v>181</v>
      </c>
      <c r="BW293" s="15" t="s">
        <v>4025</v>
      </c>
      <c r="BZ293" s="15" t="s">
        <v>444</v>
      </c>
      <c r="CB293" s="15" t="s">
        <v>444</v>
      </c>
      <c r="CD293" s="15" t="s">
        <v>444</v>
      </c>
      <c r="CF293" s="15" t="s">
        <v>444</v>
      </c>
      <c r="CI293" s="15" t="s">
        <v>444</v>
      </c>
      <c r="CK293" s="15" t="s">
        <v>444</v>
      </c>
      <c r="CM293" s="15" t="s">
        <v>444</v>
      </c>
      <c r="CO293" s="15" t="s">
        <v>444</v>
      </c>
      <c r="CP293" s="15" t="str">
        <f>"30.16"</f>
        <v>30.16</v>
      </c>
      <c r="CQ293" s="15" t="str">
        <f>"0.854"</f>
        <v>0.854</v>
      </c>
      <c r="CR293" s="15" t="s">
        <v>465</v>
      </c>
      <c r="DC293" s="15" t="str">
        <f>IFERROR(__xludf.DUMMYFUNCTION("""COMPUTED_VALUE"""),"")</f>
        <v/>
      </c>
      <c r="DE293" s="15" t="str">
        <f>IFERROR(__xludf.DUMMYFUNCTION("""COMPUTED_VALUE"""),"")</f>
        <v/>
      </c>
      <c r="DG293" s="15" t="str">
        <f>IFERROR(__xludf.DUMMYFUNCTION("""COMPUTED_VALUE"""),"")</f>
        <v/>
      </c>
      <c r="DL293" s="15" t="str">
        <f>IFERROR(__xludf.DUMMYFUNCTION("""COMPUTED_VALUE"""),"")</f>
        <v/>
      </c>
      <c r="DM293" s="15" t="s">
        <v>444</v>
      </c>
      <c r="DN293" s="15" t="s">
        <v>419</v>
      </c>
      <c r="DO293" s="15">
        <v>0.0</v>
      </c>
      <c r="DP293" s="15" t="s">
        <v>419</v>
      </c>
      <c r="DR293" s="15">
        <v>0.0</v>
      </c>
      <c r="DT293" s="15" t="s">
        <v>420</v>
      </c>
      <c r="DU293" s="15" t="s">
        <v>419</v>
      </c>
      <c r="DW293" s="15">
        <v>0.0</v>
      </c>
      <c r="DX293" s="15">
        <v>0.0</v>
      </c>
      <c r="DY293" s="15">
        <v>0.0</v>
      </c>
      <c r="EE293" s="15">
        <v>12.0</v>
      </c>
      <c r="EF293" s="15" t="s">
        <v>471</v>
      </c>
      <c r="EG293" s="15" t="s">
        <v>472</v>
      </c>
      <c r="EH293" s="15" t="s">
        <v>4026</v>
      </c>
      <c r="EJ293" s="15" t="s">
        <v>424</v>
      </c>
      <c r="EK293" s="15" t="s">
        <v>446</v>
      </c>
      <c r="EM293" s="15" t="str">
        <f>IFERROR(__xludf.DUMMYFUNCTION("""COMPUTED_VALUE"""),"")</f>
        <v/>
      </c>
      <c r="EW293" s="15" t="s">
        <v>1957</v>
      </c>
      <c r="EY293" s="15" t="s">
        <v>4027</v>
      </c>
      <c r="FH293" s="15" t="s">
        <v>4028</v>
      </c>
      <c r="FI293" s="15" t="s">
        <v>3908</v>
      </c>
      <c r="FJ293" s="15" t="s">
        <v>4029</v>
      </c>
      <c r="FK293" s="15" t="s">
        <v>1957</v>
      </c>
      <c r="FL293" s="15" t="s">
        <v>426</v>
      </c>
      <c r="FM293" s="15">
        <v>0.0</v>
      </c>
      <c r="FN293" s="15">
        <v>0.0</v>
      </c>
      <c r="FV293" s="15" t="s">
        <v>3908</v>
      </c>
      <c r="FW293" s="15" t="s">
        <v>822</v>
      </c>
      <c r="FX293" s="15" t="s">
        <v>1123</v>
      </c>
    </row>
    <row r="294" ht="15.75" customHeight="1">
      <c r="A294" s="14" t="s">
        <v>391</v>
      </c>
      <c r="B294" s="15" t="s">
        <v>4030</v>
      </c>
      <c r="C294" s="16"/>
      <c r="D294" s="15" t="s">
        <v>432</v>
      </c>
      <c r="G294" s="14" t="s">
        <v>393</v>
      </c>
      <c r="H294" s="14" t="s">
        <v>394</v>
      </c>
      <c r="I294" s="14" t="b">
        <v>1</v>
      </c>
      <c r="J294" s="14" t="s">
        <v>395</v>
      </c>
      <c r="L294" s="14" t="b">
        <v>0</v>
      </c>
      <c r="M294" s="15" t="s">
        <v>4031</v>
      </c>
      <c r="N294" s="14" t="s">
        <v>393</v>
      </c>
      <c r="O294" s="14" t="s">
        <v>393</v>
      </c>
      <c r="P294" s="15" t="s">
        <v>397</v>
      </c>
      <c r="Q294" s="15" t="s">
        <v>2818</v>
      </c>
      <c r="T294" s="14" t="b">
        <v>0</v>
      </c>
      <c r="U294" s="15" t="s">
        <v>4032</v>
      </c>
      <c r="V294" s="15" t="s">
        <v>4033</v>
      </c>
      <c r="W294" s="15" t="s">
        <v>401</v>
      </c>
      <c r="X294" s="15" t="s">
        <v>695</v>
      </c>
      <c r="Y294" s="15">
        <v>2626.0</v>
      </c>
      <c r="AA294" s="15" t="str">
        <f>"1010"</f>
        <v>1010</v>
      </c>
      <c r="AB294" s="14" t="b">
        <v>1</v>
      </c>
      <c r="AC294" s="14" t="b">
        <v>1</v>
      </c>
      <c r="AD294" s="15" t="str">
        <f>"801542043315"</f>
        <v>801542043315</v>
      </c>
      <c r="AE294" s="15" t="s">
        <v>4034</v>
      </c>
      <c r="AF294" s="14" t="s">
        <v>404</v>
      </c>
      <c r="AG294" s="14" t="s">
        <v>405</v>
      </c>
      <c r="AH294" s="14" t="s">
        <v>406</v>
      </c>
      <c r="AI294" s="15">
        <v>0.0</v>
      </c>
      <c r="AL294" s="15" t="s">
        <v>4035</v>
      </c>
      <c r="AM294" s="15" t="s">
        <v>1203</v>
      </c>
      <c r="AN294" s="15" t="s">
        <v>1204</v>
      </c>
      <c r="AO294" s="15" t="s">
        <v>4036</v>
      </c>
      <c r="AP294" s="15" t="s">
        <v>2544</v>
      </c>
      <c r="AQ294" s="15" t="s">
        <v>410</v>
      </c>
      <c r="AR294" s="15" t="s">
        <v>439</v>
      </c>
      <c r="AS294" s="15" t="s">
        <v>2193</v>
      </c>
      <c r="AT294" s="15" t="s">
        <v>2818</v>
      </c>
      <c r="AU294" s="15" t="s">
        <v>4037</v>
      </c>
      <c r="AV294" s="15" t="s">
        <v>4038</v>
      </c>
      <c r="AW294" s="15" t="s">
        <v>706</v>
      </c>
      <c r="AX294" s="15" t="s">
        <v>707</v>
      </c>
      <c r="AY294" s="15" t="s">
        <v>413</v>
      </c>
      <c r="AZ294" s="15" t="b">
        <v>0</v>
      </c>
      <c r="BA294" s="15" t="s">
        <v>413</v>
      </c>
      <c r="BB294" s="15" t="b">
        <v>0</v>
      </c>
      <c r="BC294" s="15" t="s">
        <v>4039</v>
      </c>
      <c r="BD294" s="15" t="s">
        <v>709</v>
      </c>
      <c r="BE294" s="15" t="str">
        <f t="shared" ref="BE294:BE318" si="531">"1"</f>
        <v>1</v>
      </c>
      <c r="BF294" s="15" t="s">
        <v>416</v>
      </c>
      <c r="BG294" s="15" t="str">
        <f>"40.75"</f>
        <v>40.75</v>
      </c>
      <c r="BH294" s="15" t="s">
        <v>1280</v>
      </c>
      <c r="BI294" s="15" t="str">
        <f>"35.04"</f>
        <v>35.04</v>
      </c>
      <c r="BJ294" s="15" t="s">
        <v>1404</v>
      </c>
      <c r="BK294" s="15" t="str">
        <f>"29.33"</f>
        <v>29.33</v>
      </c>
      <c r="BL294" s="15" t="s">
        <v>1090</v>
      </c>
      <c r="BM294" s="15" t="str">
        <f>"73.55"</f>
        <v>73.55</v>
      </c>
      <c r="BN294" s="15" t="s">
        <v>4040</v>
      </c>
      <c r="BQ294" s="15" t="s">
        <v>444</v>
      </c>
      <c r="BS294" s="15" t="s">
        <v>444</v>
      </c>
      <c r="BU294" s="15" t="s">
        <v>444</v>
      </c>
      <c r="BW294" s="15" t="s">
        <v>444</v>
      </c>
      <c r="BZ294" s="15" t="s">
        <v>444</v>
      </c>
      <c r="CB294" s="15" t="s">
        <v>444</v>
      </c>
      <c r="CD294" s="15" t="s">
        <v>444</v>
      </c>
      <c r="CF294" s="15" t="s">
        <v>444</v>
      </c>
      <c r="CI294" s="15" t="s">
        <v>444</v>
      </c>
      <c r="CK294" s="15" t="s">
        <v>444</v>
      </c>
      <c r="CM294" s="15" t="s">
        <v>444</v>
      </c>
      <c r="CO294" s="15" t="s">
        <v>444</v>
      </c>
      <c r="CP294" s="15" t="str">
        <f>"24.23"</f>
        <v>24.23</v>
      </c>
      <c r="CQ294" s="15" t="str">
        <f>"0.686"</f>
        <v>0.686</v>
      </c>
      <c r="CR294" s="15" t="s">
        <v>465</v>
      </c>
      <c r="CY294" s="15" t="s">
        <v>1574</v>
      </c>
      <c r="CZ294" s="15" t="s">
        <v>3241</v>
      </c>
      <c r="DA294" s="15" t="s">
        <v>1064</v>
      </c>
      <c r="DB294" s="15" t="s">
        <v>2384</v>
      </c>
      <c r="DC294" s="15" t="str">
        <f>IFERROR(__xludf.DUMMYFUNCTION("""COMPUTED_VALUE"""),"{""value"":24.50,""unit"":""in""}")</f>
        <v>{"value":24.50,"unit":"in"}</v>
      </c>
      <c r="DD294" s="15" t="s">
        <v>824</v>
      </c>
      <c r="DE294" s="15" t="str">
        <f>IFERROR(__xludf.DUMMYFUNCTION("""COMPUTED_VALUE"""),"{""value"":18.50,""unit"":""in""}")</f>
        <v>{"value":18.50,"unit":"in"}</v>
      </c>
      <c r="DF294" s="15" t="s">
        <v>1574</v>
      </c>
      <c r="DG294" s="15" t="str">
        <f>IFERROR(__xludf.DUMMYFUNCTION("""COMPUTED_VALUE"""),"{""value"":28.00,""unit"":""in""}")</f>
        <v>{"value":28.00,"unit":"in"}</v>
      </c>
      <c r="DH294" s="15">
        <v>0.0</v>
      </c>
      <c r="DI294" s="15">
        <v>1.0</v>
      </c>
      <c r="DJ294" s="15" t="s">
        <v>717</v>
      </c>
      <c r="DK294" s="15" t="s">
        <v>718</v>
      </c>
      <c r="DL294" s="15" t="str">
        <f>IFERROR(__xludf.DUMMYFUNCTION("""COMPUTED_VALUE"""),"Vacuum or light brush only. Do not use water or any cleaning products.")</f>
        <v>Vacuum or light brush only. Do not use water or any cleaning products.</v>
      </c>
      <c r="DM294" s="15" t="s">
        <v>719</v>
      </c>
      <c r="DQ294" s="15" t="s">
        <v>4041</v>
      </c>
      <c r="DT294" s="15" t="s">
        <v>1111</v>
      </c>
      <c r="DU294" s="15" t="s">
        <v>419</v>
      </c>
      <c r="DV294" s="15">
        <v>0.0</v>
      </c>
      <c r="DZ294" s="15">
        <v>0.0</v>
      </c>
      <c r="EA294" s="15" t="s">
        <v>3384</v>
      </c>
      <c r="EB294" s="15" t="s">
        <v>723</v>
      </c>
      <c r="EC294" s="15" t="s">
        <v>724</v>
      </c>
      <c r="ED294" s="15">
        <v>1.0</v>
      </c>
      <c r="EE294" s="15">
        <v>1.0</v>
      </c>
      <c r="EG294" s="15" t="s">
        <v>444</v>
      </c>
      <c r="EH294" s="15" t="s">
        <v>4042</v>
      </c>
      <c r="EI294" s="15">
        <v>0.0</v>
      </c>
      <c r="EJ294" s="15" t="s">
        <v>726</v>
      </c>
      <c r="EK294" s="15" t="s">
        <v>727</v>
      </c>
      <c r="EL294" s="15" t="s">
        <v>2202</v>
      </c>
      <c r="EM294" s="15" t="str">
        <f>IFERROR(__xludf.DUMMYFUNCTION("""COMPUTED_VALUE"""),"{""value"":22.25,""unit"":""in""}")</f>
        <v>{"value":22.25,"unit":"in"}</v>
      </c>
      <c r="EN294" s="15" t="s">
        <v>2737</v>
      </c>
      <c r="EO294" s="15" t="s">
        <v>4043</v>
      </c>
      <c r="ES294" s="15" t="s">
        <v>477</v>
      </c>
      <c r="ET294" s="15" t="s">
        <v>1254</v>
      </c>
      <c r="EU294" s="15" t="s">
        <v>1065</v>
      </c>
      <c r="EV294" s="15" t="s">
        <v>3811</v>
      </c>
      <c r="EW294" s="15" t="s">
        <v>3241</v>
      </c>
      <c r="EX294" s="15" t="s">
        <v>4044</v>
      </c>
      <c r="EY294" s="15" t="s">
        <v>3512</v>
      </c>
      <c r="EZ294" s="15" t="s">
        <v>1238</v>
      </c>
      <c r="FC294" s="15" t="s">
        <v>723</v>
      </c>
      <c r="FD294" s="15" t="s">
        <v>724</v>
      </c>
      <c r="FE294" s="15" t="s">
        <v>1077</v>
      </c>
      <c r="FF294" s="15" t="s">
        <v>1078</v>
      </c>
      <c r="FG294" s="15" t="s">
        <v>4045</v>
      </c>
      <c r="FR294" s="15">
        <v>0.0</v>
      </c>
      <c r="FS294" s="15">
        <v>0.0</v>
      </c>
      <c r="FU294" s="15">
        <v>0.0</v>
      </c>
    </row>
    <row r="295" ht="15.75" customHeight="1">
      <c r="A295" s="14" t="s">
        <v>391</v>
      </c>
      <c r="B295" s="15" t="s">
        <v>4046</v>
      </c>
      <c r="C295" s="16"/>
      <c r="D295" s="15" t="s">
        <v>432</v>
      </c>
      <c r="G295" s="14" t="s">
        <v>393</v>
      </c>
      <c r="H295" s="14" t="s">
        <v>394</v>
      </c>
      <c r="I295" s="14" t="b">
        <v>1</v>
      </c>
      <c r="J295" s="14" t="s">
        <v>395</v>
      </c>
      <c r="L295" s="14" t="b">
        <v>0</v>
      </c>
      <c r="M295" s="15" t="s">
        <v>4047</v>
      </c>
      <c r="N295" s="14" t="s">
        <v>393</v>
      </c>
      <c r="O295" s="14" t="s">
        <v>393</v>
      </c>
      <c r="P295" s="15" t="s">
        <v>397</v>
      </c>
      <c r="Q295" s="15" t="s">
        <v>1658</v>
      </c>
      <c r="T295" s="14" t="b">
        <v>0</v>
      </c>
      <c r="U295" s="15" t="s">
        <v>4048</v>
      </c>
      <c r="V295" s="15" t="s">
        <v>4049</v>
      </c>
      <c r="W295" s="15" t="s">
        <v>401</v>
      </c>
      <c r="X295" s="15" t="s">
        <v>695</v>
      </c>
      <c r="Y295" s="15">
        <v>2080.0</v>
      </c>
      <c r="AA295" s="15" t="str">
        <f>"800"</f>
        <v>800</v>
      </c>
      <c r="AB295" s="14" t="b">
        <v>1</v>
      </c>
      <c r="AC295" s="14" t="b">
        <v>1</v>
      </c>
      <c r="AD295" s="15" t="str">
        <f>"801542932640"</f>
        <v>801542932640</v>
      </c>
      <c r="AE295" s="15" t="s">
        <v>4050</v>
      </c>
      <c r="AF295" s="14" t="s">
        <v>404</v>
      </c>
      <c r="AG295" s="14" t="s">
        <v>405</v>
      </c>
      <c r="AH295" s="14" t="s">
        <v>406</v>
      </c>
      <c r="AI295" s="15">
        <v>0.0</v>
      </c>
      <c r="AL295" s="15" t="s">
        <v>975</v>
      </c>
      <c r="AM295" s="15" t="s">
        <v>1028</v>
      </c>
      <c r="AN295" s="15" t="s">
        <v>1029</v>
      </c>
      <c r="AO295" s="15" t="s">
        <v>1028</v>
      </c>
      <c r="AP295" s="15" t="s">
        <v>1029</v>
      </c>
      <c r="AQ295" s="15" t="s">
        <v>4051</v>
      </c>
      <c r="AR295" s="15" t="s">
        <v>4052</v>
      </c>
      <c r="AS295" s="15" t="s">
        <v>915</v>
      </c>
      <c r="AT295" s="15" t="s">
        <v>1658</v>
      </c>
      <c r="AU295" s="15" t="s">
        <v>2801</v>
      </c>
      <c r="AW295" s="15" t="s">
        <v>706</v>
      </c>
      <c r="AX295" s="15" t="s">
        <v>707</v>
      </c>
      <c r="AY295" s="15" t="s">
        <v>413</v>
      </c>
      <c r="AZ295" s="15" t="b">
        <v>0</v>
      </c>
      <c r="BA295" s="15" t="s">
        <v>413</v>
      </c>
      <c r="BB295" s="15" t="b">
        <v>0</v>
      </c>
      <c r="BD295" s="15" t="s">
        <v>709</v>
      </c>
      <c r="BE295" s="15" t="str">
        <f t="shared" si="531"/>
        <v>1</v>
      </c>
      <c r="BF295" s="15" t="s">
        <v>416</v>
      </c>
      <c r="BG295" s="15" t="str">
        <f t="shared" ref="BG295:BG296" si="532">"36.02"</f>
        <v>36.02</v>
      </c>
      <c r="BH295" s="15" t="s">
        <v>4053</v>
      </c>
      <c r="BI295" s="15" t="str">
        <f t="shared" ref="BI295:BI296" si="533">"36.02"</f>
        <v>36.02</v>
      </c>
      <c r="BJ295" s="15" t="s">
        <v>4053</v>
      </c>
      <c r="BK295" s="15" t="str">
        <f t="shared" ref="BK295:BK296" si="534">"22.24"</f>
        <v>22.24</v>
      </c>
      <c r="BL295" s="15" t="s">
        <v>1423</v>
      </c>
      <c r="BM295" s="15" t="str">
        <f t="shared" ref="BM295:BM296" si="535">"71.21"</f>
        <v>71.21</v>
      </c>
      <c r="BN295" s="15" t="s">
        <v>4054</v>
      </c>
      <c r="BQ295" s="15" t="s">
        <v>444</v>
      </c>
      <c r="BS295" s="15" t="s">
        <v>444</v>
      </c>
      <c r="BU295" s="15" t="s">
        <v>444</v>
      </c>
      <c r="BW295" s="15" t="s">
        <v>444</v>
      </c>
      <c r="BZ295" s="15" t="s">
        <v>444</v>
      </c>
      <c r="CB295" s="15" t="s">
        <v>444</v>
      </c>
      <c r="CD295" s="15" t="s">
        <v>444</v>
      </c>
      <c r="CF295" s="15" t="s">
        <v>444</v>
      </c>
      <c r="CI295" s="15" t="s">
        <v>444</v>
      </c>
      <c r="CK295" s="15" t="s">
        <v>444</v>
      </c>
      <c r="CM295" s="15" t="s">
        <v>444</v>
      </c>
      <c r="CO295" s="15" t="s">
        <v>444</v>
      </c>
      <c r="CP295" s="15" t="str">
        <f t="shared" ref="CP295:CP296" si="536">"16.7"</f>
        <v>16.7</v>
      </c>
      <c r="CQ295" s="15" t="str">
        <f t="shared" ref="CQ295:CQ296" si="537">"0.473"</f>
        <v>0.473</v>
      </c>
      <c r="CR295" s="15" t="s">
        <v>417</v>
      </c>
      <c r="DB295" s="15" t="s">
        <v>1286</v>
      </c>
      <c r="DC295" s="15" t="str">
        <f>IFERROR(__xludf.DUMMYFUNCTION("""COMPUTED_VALUE"""),"{""value"":23.50,""unit"":""in""}")</f>
        <v>{"value":23.50,"unit":"in"}</v>
      </c>
      <c r="DD295" s="15" t="s">
        <v>3238</v>
      </c>
      <c r="DE295" s="15" t="str">
        <f>IFERROR(__xludf.DUMMYFUNCTION("""COMPUTED_VALUE"""),"{""value"":16.75,""unit"":""in""}")</f>
        <v>{"value":16.75,"unit":"in"}</v>
      </c>
      <c r="DG295" s="15" t="str">
        <f>IFERROR(__xludf.DUMMYFUNCTION("""COMPUTED_VALUE"""),"")</f>
        <v/>
      </c>
      <c r="DH295" s="15">
        <v>0.0</v>
      </c>
      <c r="DI295" s="15">
        <v>1.0</v>
      </c>
      <c r="DJ295" s="15" t="s">
        <v>717</v>
      </c>
      <c r="DK295" s="15" t="s">
        <v>718</v>
      </c>
      <c r="DL295" s="15" t="str">
        <f>IFERROR(__xludf.DUMMYFUNCTION("""COMPUTED_VALUE"""),"Vacuum or light brush only. Do not use water or any cleaning products.")</f>
        <v>Vacuum or light brush only. Do not use water or any cleaning products.</v>
      </c>
      <c r="DM295" s="15" t="s">
        <v>719</v>
      </c>
      <c r="DT295" s="15" t="s">
        <v>721</v>
      </c>
      <c r="DU295" s="15" t="s">
        <v>419</v>
      </c>
      <c r="DV295" s="15">
        <v>0.0</v>
      </c>
      <c r="DZ295" s="15">
        <v>0.0</v>
      </c>
      <c r="EA295" s="15" t="s">
        <v>990</v>
      </c>
      <c r="EB295" s="15" t="s">
        <v>1016</v>
      </c>
      <c r="EC295" s="15" t="s">
        <v>1701</v>
      </c>
      <c r="ED295" s="15">
        <v>1.0</v>
      </c>
      <c r="EE295" s="15">
        <v>1.0</v>
      </c>
      <c r="EG295" s="15" t="s">
        <v>444</v>
      </c>
      <c r="EH295" s="15" t="s">
        <v>4055</v>
      </c>
      <c r="EI295" s="15">
        <v>0.0</v>
      </c>
      <c r="EJ295" s="15" t="s">
        <v>726</v>
      </c>
      <c r="EK295" s="15" t="s">
        <v>727</v>
      </c>
      <c r="EL295" s="15" t="s">
        <v>1306</v>
      </c>
      <c r="EM295" s="15" t="str">
        <f>IFERROR(__xludf.DUMMYFUNCTION("""COMPUTED_VALUE"""),"{""value"":25.25,""unit"":""in""}")</f>
        <v>{"value":25.25,"unit":"in"}</v>
      </c>
      <c r="EN295" s="15" t="s">
        <v>995</v>
      </c>
      <c r="EO295" s="15" t="s">
        <v>4056</v>
      </c>
      <c r="ES295" s="15" t="s">
        <v>732</v>
      </c>
      <c r="EW295" s="15" t="s">
        <v>1327</v>
      </c>
      <c r="EX295" s="15" t="s">
        <v>4057</v>
      </c>
      <c r="EY295" s="15" t="s">
        <v>4058</v>
      </c>
      <c r="EZ295" s="15" t="s">
        <v>995</v>
      </c>
      <c r="FC295" s="15" t="s">
        <v>1016</v>
      </c>
      <c r="FD295" s="15" t="s">
        <v>1701</v>
      </c>
      <c r="FF295" s="15" t="s">
        <v>1239</v>
      </c>
      <c r="FO295" s="15" t="s">
        <v>1068</v>
      </c>
      <c r="FP295" s="15" t="s">
        <v>4059</v>
      </c>
      <c r="FQ295" s="15">
        <v>0.0</v>
      </c>
      <c r="FR295" s="15">
        <v>0.0</v>
      </c>
      <c r="FS295" s="15" t="s">
        <v>3362</v>
      </c>
      <c r="FT295" s="15">
        <v>0.0</v>
      </c>
    </row>
    <row r="296" ht="15.75" customHeight="1">
      <c r="A296" s="14" t="s">
        <v>391</v>
      </c>
      <c r="B296" s="15" t="s">
        <v>4046</v>
      </c>
      <c r="C296" s="16"/>
      <c r="D296" s="15" t="s">
        <v>432</v>
      </c>
      <c r="G296" s="14" t="s">
        <v>393</v>
      </c>
      <c r="H296" s="14" t="s">
        <v>394</v>
      </c>
      <c r="I296" s="14" t="b">
        <v>1</v>
      </c>
      <c r="J296" s="14" t="s">
        <v>395</v>
      </c>
      <c r="L296" s="14" t="b">
        <v>0</v>
      </c>
      <c r="M296" s="15" t="s">
        <v>4060</v>
      </c>
      <c r="N296" s="14" t="s">
        <v>393</v>
      </c>
      <c r="O296" s="14" t="s">
        <v>393</v>
      </c>
      <c r="P296" s="15" t="s">
        <v>397</v>
      </c>
      <c r="Q296" s="15" t="s">
        <v>4061</v>
      </c>
      <c r="T296" s="14" t="b">
        <v>0</v>
      </c>
      <c r="U296" s="15" t="s">
        <v>4062</v>
      </c>
      <c r="V296" s="15" t="s">
        <v>4049</v>
      </c>
      <c r="W296" s="15" t="s">
        <v>401</v>
      </c>
      <c r="X296" s="15" t="s">
        <v>695</v>
      </c>
      <c r="Y296" s="15">
        <v>1209.0</v>
      </c>
      <c r="AA296" s="15" t="str">
        <f>"465"</f>
        <v>465</v>
      </c>
      <c r="AB296" s="14" t="b">
        <v>1</v>
      </c>
      <c r="AC296" s="14" t="b">
        <v>1</v>
      </c>
      <c r="AD296" s="15" t="str">
        <f>"801542384173"</f>
        <v>801542384173</v>
      </c>
      <c r="AE296" s="15" t="s">
        <v>4063</v>
      </c>
      <c r="AF296" s="14" t="s">
        <v>404</v>
      </c>
      <c r="AG296" s="14" t="s">
        <v>405</v>
      </c>
      <c r="AH296" s="14" t="s">
        <v>406</v>
      </c>
      <c r="AI296" s="15">
        <v>0.0</v>
      </c>
      <c r="AL296" s="15" t="s">
        <v>4064</v>
      </c>
      <c r="AM296" s="15" t="s">
        <v>1028</v>
      </c>
      <c r="AN296" s="15" t="s">
        <v>1029</v>
      </c>
      <c r="AO296" s="15" t="s">
        <v>1028</v>
      </c>
      <c r="AP296" s="15" t="s">
        <v>1029</v>
      </c>
      <c r="AQ296" s="15" t="s">
        <v>4051</v>
      </c>
      <c r="AR296" s="15" t="s">
        <v>4052</v>
      </c>
      <c r="AS296" s="15" t="s">
        <v>915</v>
      </c>
      <c r="AT296" s="15" t="s">
        <v>4061</v>
      </c>
      <c r="AU296" s="15" t="s">
        <v>4065</v>
      </c>
      <c r="AW296" s="15" t="s">
        <v>706</v>
      </c>
      <c r="AX296" s="15" t="s">
        <v>707</v>
      </c>
      <c r="AY296" s="15" t="s">
        <v>413</v>
      </c>
      <c r="AZ296" s="15" t="b">
        <v>0</v>
      </c>
      <c r="BA296" s="15" t="s">
        <v>413</v>
      </c>
      <c r="BB296" s="15" t="b">
        <v>0</v>
      </c>
      <c r="BC296" s="15" t="s">
        <v>4066</v>
      </c>
      <c r="BD296" s="15" t="s">
        <v>709</v>
      </c>
      <c r="BE296" s="15" t="str">
        <f t="shared" si="531"/>
        <v>1</v>
      </c>
      <c r="BF296" s="15" t="s">
        <v>416</v>
      </c>
      <c r="BG296" s="15" t="str">
        <f t="shared" si="532"/>
        <v>36.02</v>
      </c>
      <c r="BH296" s="15" t="s">
        <v>4053</v>
      </c>
      <c r="BI296" s="15" t="str">
        <f t="shared" si="533"/>
        <v>36.02</v>
      </c>
      <c r="BJ296" s="15" t="s">
        <v>4053</v>
      </c>
      <c r="BK296" s="15" t="str">
        <f t="shared" si="534"/>
        <v>22.24</v>
      </c>
      <c r="BL296" s="15" t="s">
        <v>1423</v>
      </c>
      <c r="BM296" s="15" t="str">
        <f t="shared" si="535"/>
        <v>71.21</v>
      </c>
      <c r="BN296" s="15" t="s">
        <v>4054</v>
      </c>
      <c r="BQ296" s="15" t="s">
        <v>444</v>
      </c>
      <c r="BS296" s="15" t="s">
        <v>444</v>
      </c>
      <c r="BU296" s="15" t="s">
        <v>444</v>
      </c>
      <c r="BW296" s="15" t="s">
        <v>444</v>
      </c>
      <c r="BZ296" s="15" t="s">
        <v>444</v>
      </c>
      <c r="CB296" s="15" t="s">
        <v>444</v>
      </c>
      <c r="CD296" s="15" t="s">
        <v>444</v>
      </c>
      <c r="CF296" s="15" t="s">
        <v>444</v>
      </c>
      <c r="CI296" s="15" t="s">
        <v>444</v>
      </c>
      <c r="CK296" s="15" t="s">
        <v>444</v>
      </c>
      <c r="CM296" s="15" t="s">
        <v>444</v>
      </c>
      <c r="CO296" s="15" t="s">
        <v>444</v>
      </c>
      <c r="CP296" s="15" t="str">
        <f t="shared" si="536"/>
        <v>16.7</v>
      </c>
      <c r="CQ296" s="15" t="str">
        <f t="shared" si="537"/>
        <v>0.473</v>
      </c>
      <c r="CR296" s="15" t="s">
        <v>465</v>
      </c>
      <c r="DB296" s="15" t="s">
        <v>1286</v>
      </c>
      <c r="DC296" s="15" t="str">
        <f>IFERROR(__xludf.DUMMYFUNCTION("""COMPUTED_VALUE"""),"{""value"":23.50,""unit"":""in""}")</f>
        <v>{"value":23.50,"unit":"in"}</v>
      </c>
      <c r="DD296" s="15" t="s">
        <v>3238</v>
      </c>
      <c r="DE296" s="15" t="str">
        <f>IFERROR(__xludf.DUMMYFUNCTION("""COMPUTED_VALUE"""),"{""value"":16.75,""unit"":""in""}")</f>
        <v>{"value":16.75,"unit":"in"}</v>
      </c>
      <c r="DG296" s="15" t="str">
        <f>IFERROR(__xludf.DUMMYFUNCTION("""COMPUTED_VALUE"""),"")</f>
        <v/>
      </c>
      <c r="DH296" s="15">
        <v>0.0</v>
      </c>
      <c r="DI296" s="15">
        <v>1.0</v>
      </c>
      <c r="DJ296" s="15" t="s">
        <v>717</v>
      </c>
      <c r="DK296" s="15" t="s">
        <v>897</v>
      </c>
      <c r="DL296" s="15" t="str">
        <f>IFERROR(__xludf.DUMMYFUNCTION("""COMPUTED_VALUE"""),"Clean with water-based products only. Use mild detergent or upholstery shampoo.")</f>
        <v>Clean with water-based products only. Use mild detergent or upholstery shampoo.</v>
      </c>
      <c r="DM296" s="15" t="s">
        <v>898</v>
      </c>
      <c r="DT296" s="15" t="s">
        <v>721</v>
      </c>
      <c r="DU296" s="15" t="s">
        <v>419</v>
      </c>
      <c r="DV296" s="15">
        <v>0.0</v>
      </c>
      <c r="DZ296" s="15">
        <v>100000.0</v>
      </c>
      <c r="EA296" s="15" t="s">
        <v>990</v>
      </c>
      <c r="EB296" s="15" t="s">
        <v>1016</v>
      </c>
      <c r="EC296" s="15" t="s">
        <v>1701</v>
      </c>
      <c r="ED296" s="15">
        <v>1.0</v>
      </c>
      <c r="EE296" s="15">
        <v>1.0</v>
      </c>
      <c r="EG296" s="15" t="s">
        <v>444</v>
      </c>
      <c r="EH296" s="15" t="s">
        <v>4055</v>
      </c>
      <c r="EI296" s="15">
        <v>0.0</v>
      </c>
      <c r="EJ296" s="15" t="s">
        <v>726</v>
      </c>
      <c r="EK296" s="15" t="s">
        <v>727</v>
      </c>
      <c r="EL296" s="15" t="s">
        <v>1306</v>
      </c>
      <c r="EM296" s="15" t="str">
        <f>IFERROR(__xludf.DUMMYFUNCTION("""COMPUTED_VALUE"""),"{""value"":25.25,""unit"":""in""}")</f>
        <v>{"value":25.25,"unit":"in"}</v>
      </c>
      <c r="EN296" s="15" t="s">
        <v>995</v>
      </c>
      <c r="EO296" s="15" t="s">
        <v>4056</v>
      </c>
      <c r="ES296" s="15" t="s">
        <v>732</v>
      </c>
      <c r="EW296" s="15" t="s">
        <v>1327</v>
      </c>
      <c r="EX296" s="15" t="s">
        <v>4057</v>
      </c>
      <c r="EY296" s="15" t="s">
        <v>4058</v>
      </c>
      <c r="EZ296" s="15" t="s">
        <v>995</v>
      </c>
      <c r="FC296" s="15" t="s">
        <v>1016</v>
      </c>
      <c r="FD296" s="15" t="s">
        <v>1701</v>
      </c>
      <c r="FF296" s="15" t="s">
        <v>1239</v>
      </c>
      <c r="FO296" s="15" t="s">
        <v>1068</v>
      </c>
      <c r="FP296" s="15" t="s">
        <v>4059</v>
      </c>
      <c r="FQ296" s="15">
        <v>0.0</v>
      </c>
      <c r="FR296" s="15">
        <v>0.0</v>
      </c>
      <c r="FS296" s="15" t="s">
        <v>3362</v>
      </c>
      <c r="FT296" s="15">
        <v>0.0</v>
      </c>
    </row>
    <row r="297" ht="15.75" customHeight="1">
      <c r="A297" s="14" t="s">
        <v>391</v>
      </c>
      <c r="B297" s="15" t="s">
        <v>4067</v>
      </c>
      <c r="C297" s="16"/>
      <c r="D297" s="15" t="s">
        <v>432</v>
      </c>
      <c r="G297" s="14" t="s">
        <v>393</v>
      </c>
      <c r="H297" s="14" t="s">
        <v>394</v>
      </c>
      <c r="I297" s="14" t="b">
        <v>1</v>
      </c>
      <c r="J297" s="14" t="s">
        <v>395</v>
      </c>
      <c r="L297" s="14" t="b">
        <v>0</v>
      </c>
      <c r="M297" s="15" t="s">
        <v>4068</v>
      </c>
      <c r="N297" s="14" t="s">
        <v>393</v>
      </c>
      <c r="O297" s="14" t="s">
        <v>393</v>
      </c>
      <c r="P297" s="15" t="s">
        <v>397</v>
      </c>
      <c r="Q297" s="15" t="s">
        <v>1658</v>
      </c>
      <c r="T297" s="14" t="b">
        <v>0</v>
      </c>
      <c r="U297" s="15" t="s">
        <v>4069</v>
      </c>
      <c r="V297" s="15" t="s">
        <v>4070</v>
      </c>
      <c r="W297" s="15" t="s">
        <v>401</v>
      </c>
      <c r="X297" s="15" t="s">
        <v>695</v>
      </c>
      <c r="Y297" s="15">
        <v>2847.0</v>
      </c>
      <c r="AA297" s="15" t="str">
        <f>"1095"</f>
        <v>1095</v>
      </c>
      <c r="AB297" s="14" t="b">
        <v>1</v>
      </c>
      <c r="AC297" s="14" t="b">
        <v>1</v>
      </c>
      <c r="AD297" s="15" t="str">
        <f>"801542932664"</f>
        <v>801542932664</v>
      </c>
      <c r="AE297" s="15" t="s">
        <v>4071</v>
      </c>
      <c r="AF297" s="14" t="s">
        <v>404</v>
      </c>
      <c r="AG297" s="14" t="s">
        <v>405</v>
      </c>
      <c r="AH297" s="14" t="s">
        <v>406</v>
      </c>
      <c r="AI297" s="15">
        <v>0.0</v>
      </c>
      <c r="AL297" s="15" t="s">
        <v>975</v>
      </c>
      <c r="AM297" s="15" t="s">
        <v>2372</v>
      </c>
      <c r="AN297" s="15" t="s">
        <v>2373</v>
      </c>
      <c r="AO297" s="15" t="s">
        <v>2873</v>
      </c>
      <c r="AP297" s="15" t="s">
        <v>2874</v>
      </c>
      <c r="AQ297" s="15" t="s">
        <v>2213</v>
      </c>
      <c r="AR297" s="15" t="s">
        <v>2214</v>
      </c>
      <c r="AS297" s="15" t="s">
        <v>915</v>
      </c>
      <c r="AT297" s="15" t="s">
        <v>1658</v>
      </c>
      <c r="AU297" s="15" t="s">
        <v>2801</v>
      </c>
      <c r="AW297" s="15" t="s">
        <v>1226</v>
      </c>
      <c r="AY297" s="15" t="s">
        <v>413</v>
      </c>
      <c r="AZ297" s="15" t="b">
        <v>0</v>
      </c>
      <c r="BA297" s="15" t="s">
        <v>413</v>
      </c>
      <c r="BB297" s="15" t="b">
        <v>0</v>
      </c>
      <c r="BC297" s="15" t="s">
        <v>4072</v>
      </c>
      <c r="BD297" s="15" t="s">
        <v>709</v>
      </c>
      <c r="BE297" s="15" t="str">
        <f t="shared" si="531"/>
        <v>1</v>
      </c>
      <c r="BF297" s="15" t="s">
        <v>4073</v>
      </c>
      <c r="BG297" s="15" t="str">
        <f t="shared" ref="BG297:BG298" si="538">"38.98"</f>
        <v>38.98</v>
      </c>
      <c r="BH297" s="15" t="s">
        <v>927</v>
      </c>
      <c r="BI297" s="15" t="str">
        <f t="shared" ref="BI297:BI298" si="539">"62.6"</f>
        <v>62.6</v>
      </c>
      <c r="BJ297" s="15" t="s">
        <v>1679</v>
      </c>
      <c r="BK297" s="15" t="str">
        <f t="shared" ref="BK297:BK298" si="540">"23.23"</f>
        <v>23.23</v>
      </c>
      <c r="BL297" s="15" t="s">
        <v>2616</v>
      </c>
      <c r="BM297" s="15" t="str">
        <f t="shared" ref="BM297:BM298" si="541">"127.87"</f>
        <v>127.87</v>
      </c>
      <c r="BN297" s="15" t="s">
        <v>1753</v>
      </c>
      <c r="BQ297" s="15" t="s">
        <v>444</v>
      </c>
      <c r="BS297" s="15" t="s">
        <v>444</v>
      </c>
      <c r="BU297" s="15" t="s">
        <v>444</v>
      </c>
      <c r="BW297" s="15" t="s">
        <v>444</v>
      </c>
      <c r="BZ297" s="15" t="s">
        <v>444</v>
      </c>
      <c r="CB297" s="15" t="s">
        <v>444</v>
      </c>
      <c r="CD297" s="15" t="s">
        <v>444</v>
      </c>
      <c r="CF297" s="15" t="s">
        <v>444</v>
      </c>
      <c r="CI297" s="15" t="s">
        <v>444</v>
      </c>
      <c r="CK297" s="15" t="s">
        <v>444</v>
      </c>
      <c r="CM297" s="15" t="s">
        <v>444</v>
      </c>
      <c r="CO297" s="15" t="s">
        <v>444</v>
      </c>
      <c r="CP297" s="15" t="str">
        <f t="shared" ref="CP297:CP298" si="542">"26.42"</f>
        <v>26.42</v>
      </c>
      <c r="CQ297" s="15" t="str">
        <f t="shared" ref="CQ297:CQ298" si="543">"0.748"</f>
        <v>0.748</v>
      </c>
      <c r="CR297" s="15" t="s">
        <v>465</v>
      </c>
      <c r="DB297" s="15" t="s">
        <v>1232</v>
      </c>
      <c r="DC297" s="15" t="str">
        <f>IFERROR(__xludf.DUMMYFUNCTION("""COMPUTED_VALUE"""),"{""value"":50.00,""unit"":""in""}")</f>
        <v>{"value":50.00,"unit":"in"}</v>
      </c>
      <c r="DD297" s="15" t="s">
        <v>3238</v>
      </c>
      <c r="DE297" s="15" t="str">
        <f>IFERROR(__xludf.DUMMYFUNCTION("""COMPUTED_VALUE"""),"{""value"":16.75,""unit"":""in""}")</f>
        <v>{"value":16.75,"unit":"in"}</v>
      </c>
      <c r="DF297" s="15" t="s">
        <v>1211</v>
      </c>
      <c r="DG297" s="15" t="str">
        <f>IFERROR(__xludf.DUMMYFUNCTION("""COMPUTED_VALUE"""),"{""value"":24.00,""unit"":""in""}")</f>
        <v>{"value":24.00,"unit":"in"}</v>
      </c>
      <c r="DH297" s="15">
        <v>0.0</v>
      </c>
      <c r="DI297" s="15">
        <v>1.0</v>
      </c>
      <c r="DJ297" s="15" t="s">
        <v>717</v>
      </c>
      <c r="DK297" s="15" t="s">
        <v>718</v>
      </c>
      <c r="DL297" s="15" t="str">
        <f>IFERROR(__xludf.DUMMYFUNCTION("""COMPUTED_VALUE"""),"Vacuum or light brush only. Do not use water or any cleaning products.")</f>
        <v>Vacuum or light brush only. Do not use water or any cleaning products.</v>
      </c>
      <c r="DM297" s="15" t="s">
        <v>719</v>
      </c>
      <c r="DT297" s="15" t="s">
        <v>721</v>
      </c>
      <c r="DU297" s="15" t="s">
        <v>419</v>
      </c>
      <c r="DV297" s="15">
        <v>0.0</v>
      </c>
      <c r="DZ297" s="15">
        <v>0.0</v>
      </c>
      <c r="EA297" s="15" t="s">
        <v>990</v>
      </c>
      <c r="EB297" s="15" t="s">
        <v>1016</v>
      </c>
      <c r="EC297" s="15" t="s">
        <v>1701</v>
      </c>
      <c r="ED297" s="15">
        <v>1.0</v>
      </c>
      <c r="EE297" s="15">
        <v>1.0</v>
      </c>
      <c r="EG297" s="15" t="s">
        <v>444</v>
      </c>
      <c r="EH297" s="15" t="s">
        <v>4055</v>
      </c>
      <c r="EI297" s="15">
        <v>0.0</v>
      </c>
      <c r="EJ297" s="15" t="s">
        <v>726</v>
      </c>
      <c r="EK297" s="15" t="s">
        <v>727</v>
      </c>
      <c r="EL297" s="15" t="s">
        <v>555</v>
      </c>
      <c r="EM297" s="15" t="str">
        <f>IFERROR(__xludf.DUMMYFUNCTION("""COMPUTED_VALUE"""),"{""value"":25.00,""unit"":""in""}")</f>
        <v>{"value":25.00,"unit":"in"}</v>
      </c>
      <c r="EN297" s="15" t="s">
        <v>2805</v>
      </c>
      <c r="EO297" s="15" t="s">
        <v>1739</v>
      </c>
      <c r="ES297" s="15" t="s">
        <v>429</v>
      </c>
      <c r="EW297" s="15" t="s">
        <v>2221</v>
      </c>
      <c r="EX297" s="15" t="s">
        <v>4074</v>
      </c>
      <c r="EY297" s="15" t="s">
        <v>1739</v>
      </c>
      <c r="EZ297" s="15" t="s">
        <v>995</v>
      </c>
      <c r="FC297" s="15" t="s">
        <v>1016</v>
      </c>
      <c r="FD297" s="15" t="s">
        <v>1701</v>
      </c>
      <c r="FF297" s="15" t="s">
        <v>1239</v>
      </c>
      <c r="FO297" s="15" t="s">
        <v>1211</v>
      </c>
      <c r="FP297" s="15" t="s">
        <v>2385</v>
      </c>
      <c r="FS297" s="15" t="s">
        <v>3362</v>
      </c>
    </row>
    <row r="298" ht="15.75" customHeight="1">
      <c r="A298" s="14" t="s">
        <v>391</v>
      </c>
      <c r="B298" s="15" t="s">
        <v>4067</v>
      </c>
      <c r="C298" s="16"/>
      <c r="D298" s="15" t="s">
        <v>432</v>
      </c>
      <c r="G298" s="14" t="s">
        <v>393</v>
      </c>
      <c r="H298" s="14" t="s">
        <v>394</v>
      </c>
      <c r="I298" s="14" t="b">
        <v>1</v>
      </c>
      <c r="J298" s="14" t="s">
        <v>395</v>
      </c>
      <c r="L298" s="14" t="b">
        <v>0</v>
      </c>
      <c r="M298" s="15" t="s">
        <v>4075</v>
      </c>
      <c r="N298" s="14" t="s">
        <v>393</v>
      </c>
      <c r="O298" s="14" t="s">
        <v>393</v>
      </c>
      <c r="P298" s="15" t="s">
        <v>397</v>
      </c>
      <c r="Q298" s="15" t="s">
        <v>4061</v>
      </c>
      <c r="T298" s="14" t="b">
        <v>0</v>
      </c>
      <c r="U298" s="15" t="s">
        <v>4076</v>
      </c>
      <c r="V298" s="15" t="s">
        <v>4070</v>
      </c>
      <c r="W298" s="15" t="s">
        <v>401</v>
      </c>
      <c r="X298" s="15" t="s">
        <v>695</v>
      </c>
      <c r="Y298" s="15">
        <v>1703.0</v>
      </c>
      <c r="AA298" s="15" t="str">
        <f>"655"</f>
        <v>655</v>
      </c>
      <c r="AB298" s="14" t="b">
        <v>1</v>
      </c>
      <c r="AC298" s="14" t="b">
        <v>1</v>
      </c>
      <c r="AD298" s="15" t="str">
        <f>"801542384166"</f>
        <v>801542384166</v>
      </c>
      <c r="AE298" s="15" t="s">
        <v>4077</v>
      </c>
      <c r="AF298" s="14" t="s">
        <v>404</v>
      </c>
      <c r="AG298" s="14" t="s">
        <v>405</v>
      </c>
      <c r="AH298" s="14" t="s">
        <v>406</v>
      </c>
      <c r="AI298" s="15">
        <v>0.0</v>
      </c>
      <c r="AL298" s="15" t="s">
        <v>4064</v>
      </c>
      <c r="AM298" s="15" t="s">
        <v>2372</v>
      </c>
      <c r="AN298" s="15" t="s">
        <v>2373</v>
      </c>
      <c r="AO298" s="15" t="s">
        <v>2873</v>
      </c>
      <c r="AP298" s="15" t="s">
        <v>2874</v>
      </c>
      <c r="AQ298" s="15" t="s">
        <v>2213</v>
      </c>
      <c r="AR298" s="15" t="s">
        <v>2214</v>
      </c>
      <c r="AS298" s="15" t="s">
        <v>915</v>
      </c>
      <c r="AT298" s="15" t="s">
        <v>4061</v>
      </c>
      <c r="AU298" s="15" t="s">
        <v>4065</v>
      </c>
      <c r="AW298" s="15" t="s">
        <v>1226</v>
      </c>
      <c r="AY298" s="15" t="s">
        <v>413</v>
      </c>
      <c r="AZ298" s="15" t="b">
        <v>0</v>
      </c>
      <c r="BA298" s="15" t="s">
        <v>413</v>
      </c>
      <c r="BB298" s="15" t="b">
        <v>0</v>
      </c>
      <c r="BC298" s="15" t="s">
        <v>4078</v>
      </c>
      <c r="BD298" s="15" t="s">
        <v>709</v>
      </c>
      <c r="BE298" s="15" t="str">
        <f t="shared" si="531"/>
        <v>1</v>
      </c>
      <c r="BF298" s="15" t="s">
        <v>4073</v>
      </c>
      <c r="BG298" s="15" t="str">
        <f t="shared" si="538"/>
        <v>38.98</v>
      </c>
      <c r="BH298" s="15" t="s">
        <v>927</v>
      </c>
      <c r="BI298" s="15" t="str">
        <f t="shared" si="539"/>
        <v>62.6</v>
      </c>
      <c r="BJ298" s="15" t="s">
        <v>1679</v>
      </c>
      <c r="BK298" s="15" t="str">
        <f t="shared" si="540"/>
        <v>23.23</v>
      </c>
      <c r="BL298" s="15" t="s">
        <v>2616</v>
      </c>
      <c r="BM298" s="15" t="str">
        <f t="shared" si="541"/>
        <v>127.87</v>
      </c>
      <c r="BN298" s="15" t="s">
        <v>1753</v>
      </c>
      <c r="BQ298" s="15" t="s">
        <v>444</v>
      </c>
      <c r="BS298" s="15" t="s">
        <v>444</v>
      </c>
      <c r="BU298" s="15" t="s">
        <v>444</v>
      </c>
      <c r="BW298" s="15" t="s">
        <v>444</v>
      </c>
      <c r="BZ298" s="15" t="s">
        <v>444</v>
      </c>
      <c r="CB298" s="15" t="s">
        <v>444</v>
      </c>
      <c r="CD298" s="15" t="s">
        <v>444</v>
      </c>
      <c r="CF298" s="15" t="s">
        <v>444</v>
      </c>
      <c r="CI298" s="15" t="s">
        <v>444</v>
      </c>
      <c r="CK298" s="15" t="s">
        <v>444</v>
      </c>
      <c r="CM298" s="15" t="s">
        <v>444</v>
      </c>
      <c r="CO298" s="15" t="s">
        <v>444</v>
      </c>
      <c r="CP298" s="15" t="str">
        <f t="shared" si="542"/>
        <v>26.42</v>
      </c>
      <c r="CQ298" s="15" t="str">
        <f t="shared" si="543"/>
        <v>0.748</v>
      </c>
      <c r="CR298" s="15" t="s">
        <v>497</v>
      </c>
      <c r="DB298" s="15" t="s">
        <v>1232</v>
      </c>
      <c r="DC298" s="15" t="str">
        <f>IFERROR(__xludf.DUMMYFUNCTION("""COMPUTED_VALUE"""),"{""value"":50.00,""unit"":""in""}")</f>
        <v>{"value":50.00,"unit":"in"}</v>
      </c>
      <c r="DD298" s="15" t="s">
        <v>3238</v>
      </c>
      <c r="DE298" s="15" t="str">
        <f>IFERROR(__xludf.DUMMYFUNCTION("""COMPUTED_VALUE"""),"{""value"":16.75,""unit"":""in""}")</f>
        <v>{"value":16.75,"unit":"in"}</v>
      </c>
      <c r="DF298" s="15" t="s">
        <v>1211</v>
      </c>
      <c r="DG298" s="15" t="str">
        <f>IFERROR(__xludf.DUMMYFUNCTION("""COMPUTED_VALUE"""),"{""value"":24.00,""unit"":""in""}")</f>
        <v>{"value":24.00,"unit":"in"}</v>
      </c>
      <c r="DH298" s="15">
        <v>0.0</v>
      </c>
      <c r="DI298" s="15">
        <v>1.0</v>
      </c>
      <c r="DJ298" s="15" t="s">
        <v>717</v>
      </c>
      <c r="DK298" s="15" t="s">
        <v>897</v>
      </c>
      <c r="DL298" s="15" t="str">
        <f>IFERROR(__xludf.DUMMYFUNCTION("""COMPUTED_VALUE"""),"Clean with water-based products only. Use mild detergent or upholstery shampoo.")</f>
        <v>Clean with water-based products only. Use mild detergent or upholstery shampoo.</v>
      </c>
      <c r="DM298" s="15" t="s">
        <v>898</v>
      </c>
      <c r="DT298" s="15" t="s">
        <v>721</v>
      </c>
      <c r="DU298" s="15" t="s">
        <v>419</v>
      </c>
      <c r="DV298" s="15">
        <v>0.0</v>
      </c>
      <c r="DZ298" s="15">
        <v>100000.0</v>
      </c>
      <c r="EA298" s="15" t="s">
        <v>990</v>
      </c>
      <c r="EB298" s="15" t="s">
        <v>1016</v>
      </c>
      <c r="EC298" s="15" t="s">
        <v>1701</v>
      </c>
      <c r="ED298" s="15">
        <v>1.0</v>
      </c>
      <c r="EE298" s="15">
        <v>1.0</v>
      </c>
      <c r="EG298" s="15" t="s">
        <v>444</v>
      </c>
      <c r="EH298" s="15" t="s">
        <v>4055</v>
      </c>
      <c r="EI298" s="15">
        <v>0.0</v>
      </c>
      <c r="EJ298" s="15" t="s">
        <v>726</v>
      </c>
      <c r="EK298" s="15" t="s">
        <v>727</v>
      </c>
      <c r="EL298" s="15" t="s">
        <v>555</v>
      </c>
      <c r="EM298" s="15" t="str">
        <f>IFERROR(__xludf.DUMMYFUNCTION("""COMPUTED_VALUE"""),"{""value"":25.00,""unit"":""in""}")</f>
        <v>{"value":25.00,"unit":"in"}</v>
      </c>
      <c r="EN298" s="15" t="s">
        <v>2805</v>
      </c>
      <c r="EO298" s="15" t="s">
        <v>1739</v>
      </c>
      <c r="ES298" s="15" t="s">
        <v>429</v>
      </c>
      <c r="EW298" s="15" t="s">
        <v>2221</v>
      </c>
      <c r="EX298" s="15" t="s">
        <v>4074</v>
      </c>
      <c r="EY298" s="15" t="s">
        <v>1739</v>
      </c>
      <c r="EZ298" s="15" t="s">
        <v>995</v>
      </c>
      <c r="FC298" s="15" t="s">
        <v>1016</v>
      </c>
      <c r="FD298" s="15" t="s">
        <v>1701</v>
      </c>
      <c r="FF298" s="15" t="s">
        <v>1239</v>
      </c>
      <c r="FO298" s="15" t="s">
        <v>1211</v>
      </c>
      <c r="FP298" s="15" t="s">
        <v>2385</v>
      </c>
      <c r="FS298" s="15" t="s">
        <v>3362</v>
      </c>
    </row>
    <row r="299" ht="15.75" customHeight="1">
      <c r="A299" s="14" t="s">
        <v>391</v>
      </c>
      <c r="B299" s="15" t="s">
        <v>4079</v>
      </c>
      <c r="C299" s="16"/>
      <c r="D299" s="15" t="s">
        <v>432</v>
      </c>
      <c r="G299" s="14" t="s">
        <v>393</v>
      </c>
      <c r="H299" s="14" t="s">
        <v>394</v>
      </c>
      <c r="I299" s="14" t="b">
        <v>1</v>
      </c>
      <c r="J299" s="14" t="s">
        <v>395</v>
      </c>
      <c r="L299" s="14" t="b">
        <v>0</v>
      </c>
      <c r="M299" s="15" t="s">
        <v>4080</v>
      </c>
      <c r="N299" s="14" t="s">
        <v>393</v>
      </c>
      <c r="O299" s="14" t="s">
        <v>393</v>
      </c>
      <c r="P299" s="15" t="s">
        <v>397</v>
      </c>
      <c r="Q299" s="15" t="s">
        <v>4081</v>
      </c>
      <c r="T299" s="14" t="b">
        <v>0</v>
      </c>
      <c r="U299" s="15" t="s">
        <v>4082</v>
      </c>
      <c r="V299" s="15" t="s">
        <v>2169</v>
      </c>
      <c r="W299" s="15" t="s">
        <v>401</v>
      </c>
      <c r="X299" s="15" t="s">
        <v>695</v>
      </c>
      <c r="Y299" s="15">
        <v>2301.0</v>
      </c>
      <c r="AA299" s="15" t="str">
        <f>"885"</f>
        <v>885</v>
      </c>
      <c r="AB299" s="14" t="b">
        <v>1</v>
      </c>
      <c r="AC299" s="14" t="b">
        <v>1</v>
      </c>
      <c r="AD299" s="15" t="str">
        <f>"801542932671"</f>
        <v>801542932671</v>
      </c>
      <c r="AE299" s="15" t="s">
        <v>4083</v>
      </c>
      <c r="AF299" s="14" t="s">
        <v>404</v>
      </c>
      <c r="AG299" s="14" t="s">
        <v>405</v>
      </c>
      <c r="AH299" s="14" t="s">
        <v>406</v>
      </c>
      <c r="AI299" s="15">
        <v>0.0</v>
      </c>
      <c r="AL299" s="15" t="s">
        <v>2540</v>
      </c>
      <c r="AM299" s="15" t="s">
        <v>4084</v>
      </c>
      <c r="AN299" s="15" t="s">
        <v>4085</v>
      </c>
      <c r="AO299" s="15" t="s">
        <v>1028</v>
      </c>
      <c r="AP299" s="15" t="s">
        <v>1029</v>
      </c>
      <c r="AQ299" s="15" t="s">
        <v>4051</v>
      </c>
      <c r="AR299" s="15" t="s">
        <v>4052</v>
      </c>
      <c r="AS299" s="15" t="s">
        <v>915</v>
      </c>
      <c r="AT299" s="15" t="s">
        <v>4081</v>
      </c>
      <c r="AU299" s="15" t="s">
        <v>4065</v>
      </c>
      <c r="AW299" s="15" t="s">
        <v>1732</v>
      </c>
      <c r="AY299" s="15" t="s">
        <v>413</v>
      </c>
      <c r="AZ299" s="15" t="b">
        <v>0</v>
      </c>
      <c r="BA299" s="15" t="s">
        <v>426</v>
      </c>
      <c r="BB299" s="15" t="b">
        <v>1</v>
      </c>
      <c r="BD299" s="15" t="s">
        <v>709</v>
      </c>
      <c r="BE299" s="15" t="str">
        <f t="shared" si="531"/>
        <v>1</v>
      </c>
      <c r="BF299" s="15" t="s">
        <v>416</v>
      </c>
      <c r="BG299" s="15" t="str">
        <f t="shared" ref="BG299:BG303" si="544">"90.55"</f>
        <v>90.55</v>
      </c>
      <c r="BH299" s="15" t="s">
        <v>4086</v>
      </c>
      <c r="BI299" s="15" t="str">
        <f t="shared" ref="BI299:BI303" si="545">"36.02"</f>
        <v>36.02</v>
      </c>
      <c r="BJ299" s="15" t="s">
        <v>4053</v>
      </c>
      <c r="BK299" s="15" t="str">
        <f t="shared" ref="BK299:BK303" si="546">"22.05"</f>
        <v>22.05</v>
      </c>
      <c r="BL299" s="15" t="s">
        <v>2310</v>
      </c>
      <c r="BM299" s="15" t="str">
        <f t="shared" ref="BM299:BM303" si="547">"139.99"</f>
        <v>139.99</v>
      </c>
      <c r="BN299" s="15" t="s">
        <v>4087</v>
      </c>
      <c r="BQ299" s="15" t="s">
        <v>444</v>
      </c>
      <c r="BS299" s="15" t="s">
        <v>444</v>
      </c>
      <c r="BU299" s="15" t="s">
        <v>444</v>
      </c>
      <c r="BW299" s="15" t="s">
        <v>444</v>
      </c>
      <c r="BZ299" s="15" t="s">
        <v>444</v>
      </c>
      <c r="CB299" s="15" t="s">
        <v>444</v>
      </c>
      <c r="CD299" s="15" t="s">
        <v>444</v>
      </c>
      <c r="CF299" s="15" t="s">
        <v>444</v>
      </c>
      <c r="CI299" s="15" t="s">
        <v>444</v>
      </c>
      <c r="CK299" s="15" t="s">
        <v>444</v>
      </c>
      <c r="CM299" s="15" t="s">
        <v>444</v>
      </c>
      <c r="CO299" s="15" t="s">
        <v>444</v>
      </c>
      <c r="CP299" s="15" t="str">
        <f t="shared" ref="CP299:CP303" si="548">"41.64"</f>
        <v>41.64</v>
      </c>
      <c r="CQ299" s="15" t="str">
        <f t="shared" ref="CQ299:CQ303" si="549">"1.179"</f>
        <v>1.179</v>
      </c>
      <c r="CR299" s="15" t="s">
        <v>465</v>
      </c>
      <c r="DB299" s="15" t="s">
        <v>1286</v>
      </c>
      <c r="DC299" s="15" t="str">
        <f>IFERROR(__xludf.DUMMYFUNCTION("""COMPUTED_VALUE"""),"{""value"":23.50,""unit"":""in""}")</f>
        <v>{"value":23.50,"unit":"in"}</v>
      </c>
      <c r="DD299" s="15" t="s">
        <v>1161</v>
      </c>
      <c r="DE299" s="15" t="str">
        <f>IFERROR(__xludf.DUMMYFUNCTION("""COMPUTED_VALUE"""),"{""value"":17.00,""unit"":""in""}")</f>
        <v>{"value":17.00,"unit":"in"}</v>
      </c>
      <c r="DG299" s="15" t="str">
        <f>IFERROR(__xludf.DUMMYFUNCTION("""COMPUTED_VALUE"""),"")</f>
        <v/>
      </c>
      <c r="DH299" s="15">
        <v>0.0</v>
      </c>
      <c r="DI299" s="15">
        <v>0.0</v>
      </c>
      <c r="DJ299" s="15" t="s">
        <v>717</v>
      </c>
      <c r="DK299" s="15" t="s">
        <v>855</v>
      </c>
      <c r="DL299" s="15" t="str">
        <f>IFERROR(__xludf.DUMMYFUNCTION("""COMPUTED_VALUE"""),"Clean with solvent-based (dry clean only) products. Do not use water.")</f>
        <v>Clean with solvent-based (dry clean only) products. Do not use water.</v>
      </c>
      <c r="DM299" s="15" t="s">
        <v>856</v>
      </c>
      <c r="DT299" s="15" t="s">
        <v>721</v>
      </c>
      <c r="DV299" s="15">
        <v>0.0</v>
      </c>
      <c r="DZ299" s="15">
        <v>25000.0</v>
      </c>
      <c r="EA299" s="15" t="s">
        <v>990</v>
      </c>
      <c r="ED299" s="15">
        <v>0.0</v>
      </c>
      <c r="EE299" s="15">
        <v>4.0</v>
      </c>
      <c r="EG299" s="15" t="s">
        <v>444</v>
      </c>
      <c r="EH299" s="15" t="s">
        <v>4055</v>
      </c>
      <c r="EI299" s="15">
        <v>0.0</v>
      </c>
      <c r="EJ299" s="15" t="s">
        <v>588</v>
      </c>
      <c r="EK299" s="15" t="s">
        <v>589</v>
      </c>
      <c r="EL299" s="15" t="s">
        <v>1306</v>
      </c>
      <c r="EM299" s="15" t="str">
        <f>IFERROR(__xludf.DUMMYFUNCTION("""COMPUTED_VALUE"""),"{""value"":25.25,""unit"":""in""}")</f>
        <v>{"value":25.25,"unit":"in"}</v>
      </c>
      <c r="EN299" s="15" t="s">
        <v>2805</v>
      </c>
      <c r="EO299" s="15" t="s">
        <v>3811</v>
      </c>
      <c r="ES299" s="15" t="s">
        <v>429</v>
      </c>
      <c r="EW299" s="15" t="s">
        <v>2221</v>
      </c>
      <c r="EX299" s="15" t="s">
        <v>3500</v>
      </c>
      <c r="EY299" s="15" t="s">
        <v>4088</v>
      </c>
      <c r="EZ299" s="15" t="s">
        <v>2805</v>
      </c>
      <c r="FF299" s="15" t="s">
        <v>1239</v>
      </c>
      <c r="FO299" s="15" t="s">
        <v>2315</v>
      </c>
      <c r="FP299" s="15" t="s">
        <v>4089</v>
      </c>
      <c r="FS299" s="15" t="s">
        <v>3561</v>
      </c>
    </row>
    <row r="300" ht="15.75" customHeight="1">
      <c r="A300" s="14" t="s">
        <v>391</v>
      </c>
      <c r="B300" s="15" t="s">
        <v>4079</v>
      </c>
      <c r="C300" s="16"/>
      <c r="D300" s="15" t="s">
        <v>432</v>
      </c>
      <c r="G300" s="14" t="s">
        <v>393</v>
      </c>
      <c r="H300" s="14" t="s">
        <v>394</v>
      </c>
      <c r="I300" s="14" t="b">
        <v>1</v>
      </c>
      <c r="J300" s="14" t="s">
        <v>395</v>
      </c>
      <c r="L300" s="14" t="b">
        <v>0</v>
      </c>
      <c r="M300" s="15" t="s">
        <v>4090</v>
      </c>
      <c r="N300" s="14" t="s">
        <v>393</v>
      </c>
      <c r="O300" s="14" t="s">
        <v>393</v>
      </c>
      <c r="P300" s="15" t="s">
        <v>397</v>
      </c>
      <c r="Q300" s="15" t="s">
        <v>1658</v>
      </c>
      <c r="T300" s="14" t="b">
        <v>0</v>
      </c>
      <c r="U300" s="15" t="s">
        <v>4091</v>
      </c>
      <c r="V300" s="15" t="s">
        <v>2169</v>
      </c>
      <c r="W300" s="15" t="s">
        <v>401</v>
      </c>
      <c r="X300" s="15" t="s">
        <v>695</v>
      </c>
      <c r="Y300" s="15">
        <v>3822.0</v>
      </c>
      <c r="AA300" s="15" t="str">
        <f>"1470"</f>
        <v>1470</v>
      </c>
      <c r="AB300" s="14" t="b">
        <v>1</v>
      </c>
      <c r="AC300" s="14" t="b">
        <v>1</v>
      </c>
      <c r="AD300" s="15" t="str">
        <f>"801542932688"</f>
        <v>801542932688</v>
      </c>
      <c r="AE300" s="15" t="s">
        <v>4092</v>
      </c>
      <c r="AF300" s="14" t="s">
        <v>404</v>
      </c>
      <c r="AG300" s="14" t="s">
        <v>405</v>
      </c>
      <c r="AH300" s="14" t="s">
        <v>406</v>
      </c>
      <c r="AI300" s="15">
        <v>0.0</v>
      </c>
      <c r="AL300" s="15" t="s">
        <v>975</v>
      </c>
      <c r="AM300" s="15" t="s">
        <v>4084</v>
      </c>
      <c r="AN300" s="15" t="s">
        <v>4085</v>
      </c>
      <c r="AO300" s="15" t="s">
        <v>1028</v>
      </c>
      <c r="AP300" s="15" t="s">
        <v>1029</v>
      </c>
      <c r="AQ300" s="15" t="s">
        <v>4051</v>
      </c>
      <c r="AR300" s="15" t="s">
        <v>4052</v>
      </c>
      <c r="AS300" s="15" t="s">
        <v>915</v>
      </c>
      <c r="AT300" s="15" t="s">
        <v>1658</v>
      </c>
      <c r="AU300" s="15" t="s">
        <v>2801</v>
      </c>
      <c r="AW300" s="15" t="s">
        <v>1732</v>
      </c>
      <c r="AY300" s="15" t="s">
        <v>413</v>
      </c>
      <c r="AZ300" s="15" t="b">
        <v>0</v>
      </c>
      <c r="BA300" s="15" t="s">
        <v>413</v>
      </c>
      <c r="BB300" s="15" t="b">
        <v>0</v>
      </c>
      <c r="BD300" s="15" t="s">
        <v>709</v>
      </c>
      <c r="BE300" s="15" t="str">
        <f t="shared" si="531"/>
        <v>1</v>
      </c>
      <c r="BF300" s="15" t="s">
        <v>416</v>
      </c>
      <c r="BG300" s="15" t="str">
        <f t="shared" si="544"/>
        <v>90.55</v>
      </c>
      <c r="BH300" s="15" t="s">
        <v>4086</v>
      </c>
      <c r="BI300" s="15" t="str">
        <f t="shared" si="545"/>
        <v>36.02</v>
      </c>
      <c r="BJ300" s="15" t="s">
        <v>4053</v>
      </c>
      <c r="BK300" s="15" t="str">
        <f t="shared" si="546"/>
        <v>22.05</v>
      </c>
      <c r="BL300" s="15" t="s">
        <v>2310</v>
      </c>
      <c r="BM300" s="15" t="str">
        <f t="shared" si="547"/>
        <v>139.99</v>
      </c>
      <c r="BN300" s="15" t="s">
        <v>4087</v>
      </c>
      <c r="BQ300" s="15" t="s">
        <v>444</v>
      </c>
      <c r="BS300" s="15" t="s">
        <v>444</v>
      </c>
      <c r="BU300" s="15" t="s">
        <v>444</v>
      </c>
      <c r="BW300" s="15" t="s">
        <v>444</v>
      </c>
      <c r="BZ300" s="15" t="s">
        <v>444</v>
      </c>
      <c r="CB300" s="15" t="s">
        <v>444</v>
      </c>
      <c r="CD300" s="15" t="s">
        <v>444</v>
      </c>
      <c r="CF300" s="15" t="s">
        <v>444</v>
      </c>
      <c r="CI300" s="15" t="s">
        <v>444</v>
      </c>
      <c r="CK300" s="15" t="s">
        <v>444</v>
      </c>
      <c r="CM300" s="15" t="s">
        <v>444</v>
      </c>
      <c r="CO300" s="15" t="s">
        <v>444</v>
      </c>
      <c r="CP300" s="15" t="str">
        <f t="shared" si="548"/>
        <v>41.64</v>
      </c>
      <c r="CQ300" s="15" t="str">
        <f t="shared" si="549"/>
        <v>1.179</v>
      </c>
      <c r="CR300" s="15" t="s">
        <v>497</v>
      </c>
      <c r="DB300" s="15" t="s">
        <v>1286</v>
      </c>
      <c r="DC300" s="15" t="str">
        <f>IFERROR(__xludf.DUMMYFUNCTION("""COMPUTED_VALUE"""),"{""value"":23.50,""unit"":""in""}")</f>
        <v>{"value":23.50,"unit":"in"}</v>
      </c>
      <c r="DD300" s="15" t="s">
        <v>1161</v>
      </c>
      <c r="DE300" s="15" t="str">
        <f>IFERROR(__xludf.DUMMYFUNCTION("""COMPUTED_VALUE"""),"{""value"":17.00,""unit"":""in""}")</f>
        <v>{"value":17.00,"unit":"in"}</v>
      </c>
      <c r="DG300" s="15" t="str">
        <f>IFERROR(__xludf.DUMMYFUNCTION("""COMPUTED_VALUE"""),"")</f>
        <v/>
      </c>
      <c r="DH300" s="15">
        <v>0.0</v>
      </c>
      <c r="DI300" s="15">
        <v>0.0</v>
      </c>
      <c r="DJ300" s="15" t="s">
        <v>717</v>
      </c>
      <c r="DK300" s="15" t="s">
        <v>718</v>
      </c>
      <c r="DL300" s="15" t="str">
        <f>IFERROR(__xludf.DUMMYFUNCTION("""COMPUTED_VALUE"""),"Vacuum or light brush only. Do not use water or any cleaning products.")</f>
        <v>Vacuum or light brush only. Do not use water or any cleaning products.</v>
      </c>
      <c r="DM300" s="15" t="s">
        <v>719</v>
      </c>
      <c r="DT300" s="15" t="s">
        <v>721</v>
      </c>
      <c r="DV300" s="15">
        <v>0.0</v>
      </c>
      <c r="DZ300" s="15">
        <v>0.0</v>
      </c>
      <c r="EA300" s="15" t="s">
        <v>990</v>
      </c>
      <c r="ED300" s="15">
        <v>0.0</v>
      </c>
      <c r="EE300" s="15">
        <v>4.0</v>
      </c>
      <c r="EG300" s="15" t="s">
        <v>444</v>
      </c>
      <c r="EH300" s="15" t="s">
        <v>4055</v>
      </c>
      <c r="EI300" s="15">
        <v>0.0</v>
      </c>
      <c r="EJ300" s="15" t="s">
        <v>588</v>
      </c>
      <c r="EK300" s="15" t="s">
        <v>589</v>
      </c>
      <c r="EL300" s="15" t="s">
        <v>1306</v>
      </c>
      <c r="EM300" s="15" t="str">
        <f>IFERROR(__xludf.DUMMYFUNCTION("""COMPUTED_VALUE"""),"{""value"":25.25,""unit"":""in""}")</f>
        <v>{"value":25.25,"unit":"in"}</v>
      </c>
      <c r="EN300" s="15" t="s">
        <v>2805</v>
      </c>
      <c r="EO300" s="15" t="s">
        <v>3811</v>
      </c>
      <c r="ES300" s="15" t="s">
        <v>429</v>
      </c>
      <c r="EW300" s="15" t="s">
        <v>2221</v>
      </c>
      <c r="EX300" s="15" t="s">
        <v>3500</v>
      </c>
      <c r="EY300" s="15" t="s">
        <v>4088</v>
      </c>
      <c r="EZ300" s="15" t="s">
        <v>2805</v>
      </c>
      <c r="FF300" s="15" t="s">
        <v>1239</v>
      </c>
      <c r="FO300" s="15" t="s">
        <v>2315</v>
      </c>
      <c r="FP300" s="15" t="s">
        <v>4089</v>
      </c>
      <c r="FS300" s="15" t="s">
        <v>3561</v>
      </c>
    </row>
    <row r="301" ht="15.75" customHeight="1">
      <c r="A301" s="14" t="s">
        <v>391</v>
      </c>
      <c r="B301" s="15" t="s">
        <v>4079</v>
      </c>
      <c r="C301" s="16"/>
      <c r="D301" s="15" t="s">
        <v>432</v>
      </c>
      <c r="G301" s="14" t="s">
        <v>393</v>
      </c>
      <c r="H301" s="14" t="s">
        <v>394</v>
      </c>
      <c r="I301" s="14" t="b">
        <v>1</v>
      </c>
      <c r="J301" s="14" t="s">
        <v>395</v>
      </c>
      <c r="L301" s="14" t="b">
        <v>0</v>
      </c>
      <c r="M301" s="15" t="s">
        <v>4093</v>
      </c>
      <c r="N301" s="14" t="s">
        <v>393</v>
      </c>
      <c r="O301" s="14" t="s">
        <v>393</v>
      </c>
      <c r="P301" s="15" t="s">
        <v>397</v>
      </c>
      <c r="Q301" s="15" t="s">
        <v>3518</v>
      </c>
      <c r="T301" s="14" t="b">
        <v>0</v>
      </c>
      <c r="U301" s="15" t="s">
        <v>4094</v>
      </c>
      <c r="V301" s="15" t="s">
        <v>2169</v>
      </c>
      <c r="W301" s="15" t="s">
        <v>401</v>
      </c>
      <c r="X301" s="15" t="s">
        <v>695</v>
      </c>
      <c r="Y301" s="15">
        <v>4485.0</v>
      </c>
      <c r="AA301" s="15" t="str">
        <f>"1725"</f>
        <v>1725</v>
      </c>
      <c r="AB301" s="14" t="b">
        <v>1</v>
      </c>
      <c r="AC301" s="14" t="b">
        <v>1</v>
      </c>
      <c r="AD301" s="15" t="str">
        <f>"801542222062"</f>
        <v>801542222062</v>
      </c>
      <c r="AE301" s="15" t="s">
        <v>4095</v>
      </c>
      <c r="AF301" s="14" t="s">
        <v>404</v>
      </c>
      <c r="AG301" s="14" t="s">
        <v>405</v>
      </c>
      <c r="AH301" s="14" t="s">
        <v>406</v>
      </c>
      <c r="AI301" s="15">
        <v>0.0</v>
      </c>
      <c r="AL301" s="15" t="s">
        <v>975</v>
      </c>
      <c r="AM301" s="15" t="s">
        <v>4084</v>
      </c>
      <c r="AN301" s="15" t="s">
        <v>4085</v>
      </c>
      <c r="AO301" s="15" t="s">
        <v>1028</v>
      </c>
      <c r="AP301" s="15" t="s">
        <v>1029</v>
      </c>
      <c r="AQ301" s="15" t="s">
        <v>4051</v>
      </c>
      <c r="AR301" s="15" t="s">
        <v>4052</v>
      </c>
      <c r="AS301" s="15" t="s">
        <v>915</v>
      </c>
      <c r="AT301" s="15" t="s">
        <v>3518</v>
      </c>
      <c r="AU301" s="15" t="s">
        <v>4065</v>
      </c>
      <c r="AW301" s="15" t="s">
        <v>1732</v>
      </c>
      <c r="AY301" s="15" t="s">
        <v>413</v>
      </c>
      <c r="AZ301" s="15" t="b">
        <v>0</v>
      </c>
      <c r="BA301" s="15" t="s">
        <v>413</v>
      </c>
      <c r="BB301" s="15" t="b">
        <v>0</v>
      </c>
      <c r="BD301" s="15" t="s">
        <v>709</v>
      </c>
      <c r="BE301" s="15" t="str">
        <f t="shared" si="531"/>
        <v>1</v>
      </c>
      <c r="BF301" s="15" t="s">
        <v>416</v>
      </c>
      <c r="BG301" s="15" t="str">
        <f t="shared" si="544"/>
        <v>90.55</v>
      </c>
      <c r="BH301" s="15" t="s">
        <v>4086</v>
      </c>
      <c r="BI301" s="15" t="str">
        <f t="shared" si="545"/>
        <v>36.02</v>
      </c>
      <c r="BJ301" s="15" t="s">
        <v>4053</v>
      </c>
      <c r="BK301" s="15" t="str">
        <f t="shared" si="546"/>
        <v>22.05</v>
      </c>
      <c r="BL301" s="15" t="s">
        <v>2310</v>
      </c>
      <c r="BM301" s="15" t="str">
        <f t="shared" si="547"/>
        <v>139.99</v>
      </c>
      <c r="BN301" s="15" t="s">
        <v>4087</v>
      </c>
      <c r="BQ301" s="15" t="s">
        <v>444</v>
      </c>
      <c r="BS301" s="15" t="s">
        <v>444</v>
      </c>
      <c r="BU301" s="15" t="s">
        <v>444</v>
      </c>
      <c r="BW301" s="15" t="s">
        <v>444</v>
      </c>
      <c r="BZ301" s="15" t="s">
        <v>444</v>
      </c>
      <c r="CB301" s="15" t="s">
        <v>444</v>
      </c>
      <c r="CD301" s="15" t="s">
        <v>444</v>
      </c>
      <c r="CF301" s="15" t="s">
        <v>444</v>
      </c>
      <c r="CI301" s="15" t="s">
        <v>444</v>
      </c>
      <c r="CK301" s="15" t="s">
        <v>444</v>
      </c>
      <c r="CM301" s="15" t="s">
        <v>444</v>
      </c>
      <c r="CO301" s="15" t="s">
        <v>444</v>
      </c>
      <c r="CP301" s="15" t="str">
        <f t="shared" si="548"/>
        <v>41.64</v>
      </c>
      <c r="CQ301" s="15" t="str">
        <f t="shared" si="549"/>
        <v>1.179</v>
      </c>
      <c r="CR301" s="15" t="s">
        <v>497</v>
      </c>
      <c r="DB301" s="15" t="s">
        <v>1286</v>
      </c>
      <c r="DC301" s="15" t="str">
        <f>IFERROR(__xludf.DUMMYFUNCTION("""COMPUTED_VALUE"""),"{""value"":23.50,""unit"":""in""}")</f>
        <v>{"value":23.50,"unit":"in"}</v>
      </c>
      <c r="DD301" s="15" t="s">
        <v>1161</v>
      </c>
      <c r="DE301" s="15" t="str">
        <f>IFERROR(__xludf.DUMMYFUNCTION("""COMPUTED_VALUE"""),"{""value"":17.00,""unit"":""in""}")</f>
        <v>{"value":17.00,"unit":"in"}</v>
      </c>
      <c r="DG301" s="15" t="str">
        <f>IFERROR(__xludf.DUMMYFUNCTION("""COMPUTED_VALUE"""),"")</f>
        <v/>
      </c>
      <c r="DH301" s="15">
        <v>0.0</v>
      </c>
      <c r="DI301" s="15">
        <v>0.0</v>
      </c>
      <c r="DJ301" s="15" t="s">
        <v>717</v>
      </c>
      <c r="DK301" s="15" t="s">
        <v>718</v>
      </c>
      <c r="DL301" s="15" t="str">
        <f>IFERROR(__xludf.DUMMYFUNCTION("""COMPUTED_VALUE"""),"Vacuum or light brush only. Do not use water or any cleaning products.")</f>
        <v>Vacuum or light brush only. Do not use water or any cleaning products.</v>
      </c>
      <c r="DM301" s="15" t="s">
        <v>719</v>
      </c>
      <c r="DT301" s="15" t="s">
        <v>721</v>
      </c>
      <c r="DV301" s="15">
        <v>0.0</v>
      </c>
      <c r="DZ301" s="15">
        <v>0.0</v>
      </c>
      <c r="EA301" s="15" t="s">
        <v>990</v>
      </c>
      <c r="ED301" s="15">
        <v>0.0</v>
      </c>
      <c r="EE301" s="15">
        <v>4.0</v>
      </c>
      <c r="EG301" s="15" t="s">
        <v>444</v>
      </c>
      <c r="EH301" s="15" t="s">
        <v>4055</v>
      </c>
      <c r="EI301" s="15">
        <v>0.0</v>
      </c>
      <c r="EJ301" s="15" t="s">
        <v>588</v>
      </c>
      <c r="EK301" s="15" t="s">
        <v>589</v>
      </c>
      <c r="EL301" s="15" t="s">
        <v>1306</v>
      </c>
      <c r="EM301" s="15" t="str">
        <f>IFERROR(__xludf.DUMMYFUNCTION("""COMPUTED_VALUE"""),"{""value"":25.25,""unit"":""in""}")</f>
        <v>{"value":25.25,"unit":"in"}</v>
      </c>
      <c r="EN301" s="15" t="s">
        <v>2805</v>
      </c>
      <c r="EO301" s="15" t="s">
        <v>3811</v>
      </c>
      <c r="ES301" s="15" t="s">
        <v>429</v>
      </c>
      <c r="EW301" s="15" t="s">
        <v>2221</v>
      </c>
      <c r="EX301" s="15" t="s">
        <v>3500</v>
      </c>
      <c r="EY301" s="15" t="s">
        <v>4088</v>
      </c>
      <c r="EZ301" s="15" t="s">
        <v>2805</v>
      </c>
      <c r="FF301" s="15" t="s">
        <v>1239</v>
      </c>
      <c r="FO301" s="15" t="s">
        <v>2315</v>
      </c>
      <c r="FP301" s="15" t="s">
        <v>4089</v>
      </c>
      <c r="FS301" s="15" t="s">
        <v>3561</v>
      </c>
    </row>
    <row r="302" ht="15.75" customHeight="1">
      <c r="A302" s="14" t="s">
        <v>391</v>
      </c>
      <c r="B302" s="15" t="s">
        <v>4079</v>
      </c>
      <c r="C302" s="16"/>
      <c r="D302" s="15" t="s">
        <v>432</v>
      </c>
      <c r="G302" s="14" t="s">
        <v>393</v>
      </c>
      <c r="H302" s="14" t="s">
        <v>394</v>
      </c>
      <c r="I302" s="14" t="b">
        <v>1</v>
      </c>
      <c r="J302" s="14" t="s">
        <v>395</v>
      </c>
      <c r="L302" s="14" t="b">
        <v>0</v>
      </c>
      <c r="M302" s="15" t="s">
        <v>4096</v>
      </c>
      <c r="N302" s="14" t="s">
        <v>393</v>
      </c>
      <c r="O302" s="14" t="s">
        <v>393</v>
      </c>
      <c r="P302" s="15" t="s">
        <v>397</v>
      </c>
      <c r="Q302" s="15" t="s">
        <v>1663</v>
      </c>
      <c r="T302" s="14" t="b">
        <v>0</v>
      </c>
      <c r="U302" s="15" t="s">
        <v>4097</v>
      </c>
      <c r="V302" s="15" t="s">
        <v>2169</v>
      </c>
      <c r="W302" s="15" t="s">
        <v>401</v>
      </c>
      <c r="X302" s="15" t="s">
        <v>695</v>
      </c>
      <c r="Y302" s="15">
        <v>2301.0</v>
      </c>
      <c r="AA302" s="15" t="str">
        <f t="shared" ref="AA302:AA303" si="550">"885"</f>
        <v>885</v>
      </c>
      <c r="AB302" s="14" t="b">
        <v>1</v>
      </c>
      <c r="AC302" s="14" t="b">
        <v>1</v>
      </c>
      <c r="AD302" s="15" t="str">
        <f>"801542251215"</f>
        <v>801542251215</v>
      </c>
      <c r="AE302" s="15" t="s">
        <v>4098</v>
      </c>
      <c r="AF302" s="14" t="s">
        <v>404</v>
      </c>
      <c r="AG302" s="14" t="s">
        <v>405</v>
      </c>
      <c r="AH302" s="14" t="s">
        <v>406</v>
      </c>
      <c r="AI302" s="15">
        <v>0.0</v>
      </c>
      <c r="AL302" s="15" t="s">
        <v>4064</v>
      </c>
      <c r="AM302" s="15" t="s">
        <v>4084</v>
      </c>
      <c r="AN302" s="15" t="s">
        <v>4085</v>
      </c>
      <c r="AO302" s="15" t="s">
        <v>1028</v>
      </c>
      <c r="AP302" s="15" t="s">
        <v>1029</v>
      </c>
      <c r="AQ302" s="15" t="s">
        <v>4051</v>
      </c>
      <c r="AR302" s="15" t="s">
        <v>4052</v>
      </c>
      <c r="AS302" s="15" t="s">
        <v>915</v>
      </c>
      <c r="AT302" s="15" t="s">
        <v>1663</v>
      </c>
      <c r="AU302" s="15" t="s">
        <v>2801</v>
      </c>
      <c r="AW302" s="15" t="s">
        <v>1732</v>
      </c>
      <c r="AY302" s="15" t="s">
        <v>413</v>
      </c>
      <c r="AZ302" s="15" t="b">
        <v>0</v>
      </c>
      <c r="BA302" s="15" t="s">
        <v>413</v>
      </c>
      <c r="BB302" s="15" t="b">
        <v>0</v>
      </c>
      <c r="BD302" s="15" t="s">
        <v>709</v>
      </c>
      <c r="BE302" s="15" t="str">
        <f t="shared" si="531"/>
        <v>1</v>
      </c>
      <c r="BF302" s="15" t="s">
        <v>416</v>
      </c>
      <c r="BG302" s="15" t="str">
        <f t="shared" si="544"/>
        <v>90.55</v>
      </c>
      <c r="BH302" s="15" t="s">
        <v>4086</v>
      </c>
      <c r="BI302" s="15" t="str">
        <f t="shared" si="545"/>
        <v>36.02</v>
      </c>
      <c r="BJ302" s="15" t="s">
        <v>4053</v>
      </c>
      <c r="BK302" s="15" t="str">
        <f t="shared" si="546"/>
        <v>22.05</v>
      </c>
      <c r="BL302" s="15" t="s">
        <v>2310</v>
      </c>
      <c r="BM302" s="15" t="str">
        <f t="shared" si="547"/>
        <v>139.99</v>
      </c>
      <c r="BN302" s="15" t="s">
        <v>4087</v>
      </c>
      <c r="BQ302" s="15" t="s">
        <v>444</v>
      </c>
      <c r="BS302" s="15" t="s">
        <v>444</v>
      </c>
      <c r="BU302" s="15" t="s">
        <v>444</v>
      </c>
      <c r="BW302" s="15" t="s">
        <v>444</v>
      </c>
      <c r="BZ302" s="15" t="s">
        <v>444</v>
      </c>
      <c r="CB302" s="15" t="s">
        <v>444</v>
      </c>
      <c r="CD302" s="15" t="s">
        <v>444</v>
      </c>
      <c r="CF302" s="15" t="s">
        <v>444</v>
      </c>
      <c r="CI302" s="15" t="s">
        <v>444</v>
      </c>
      <c r="CK302" s="15" t="s">
        <v>444</v>
      </c>
      <c r="CM302" s="15" t="s">
        <v>444</v>
      </c>
      <c r="CO302" s="15" t="s">
        <v>444</v>
      </c>
      <c r="CP302" s="15" t="str">
        <f t="shared" si="548"/>
        <v>41.64</v>
      </c>
      <c r="CQ302" s="15" t="str">
        <f t="shared" si="549"/>
        <v>1.179</v>
      </c>
      <c r="CR302" s="15" t="s">
        <v>465</v>
      </c>
      <c r="DB302" s="15" t="s">
        <v>1286</v>
      </c>
      <c r="DC302" s="15" t="str">
        <f>IFERROR(__xludf.DUMMYFUNCTION("""COMPUTED_VALUE"""),"{""value"":23.50,""unit"":""in""}")</f>
        <v>{"value":23.50,"unit":"in"}</v>
      </c>
      <c r="DD302" s="15" t="s">
        <v>1161</v>
      </c>
      <c r="DE302" s="15" t="str">
        <f>IFERROR(__xludf.DUMMYFUNCTION("""COMPUTED_VALUE"""),"{""value"":17.00,""unit"":""in""}")</f>
        <v>{"value":17.00,"unit":"in"}</v>
      </c>
      <c r="DG302" s="15" t="str">
        <f>IFERROR(__xludf.DUMMYFUNCTION("""COMPUTED_VALUE"""),"")</f>
        <v/>
      </c>
      <c r="DH302" s="15">
        <v>0.0</v>
      </c>
      <c r="DI302" s="15">
        <v>0.0</v>
      </c>
      <c r="DJ302" s="15" t="s">
        <v>717</v>
      </c>
      <c r="DK302" s="15" t="s">
        <v>897</v>
      </c>
      <c r="DL302" s="15" t="str">
        <f>IFERROR(__xludf.DUMMYFUNCTION("""COMPUTED_VALUE"""),"Clean with water-based products only. Use mild detergent or upholstery shampoo.")</f>
        <v>Clean with water-based products only. Use mild detergent or upholstery shampoo.</v>
      </c>
      <c r="DM302" s="15" t="s">
        <v>898</v>
      </c>
      <c r="DT302" s="15" t="s">
        <v>721</v>
      </c>
      <c r="DV302" s="15">
        <v>0.0</v>
      </c>
      <c r="DZ302" s="15">
        <v>100000.0</v>
      </c>
      <c r="EA302" s="15" t="s">
        <v>990</v>
      </c>
      <c r="ED302" s="15">
        <v>0.0</v>
      </c>
      <c r="EE302" s="15">
        <v>4.0</v>
      </c>
      <c r="EG302" s="15" t="s">
        <v>444</v>
      </c>
      <c r="EH302" s="15" t="s">
        <v>4055</v>
      </c>
      <c r="EI302" s="15">
        <v>0.0</v>
      </c>
      <c r="EJ302" s="15" t="s">
        <v>588</v>
      </c>
      <c r="EK302" s="15" t="s">
        <v>589</v>
      </c>
      <c r="EL302" s="15" t="s">
        <v>1306</v>
      </c>
      <c r="EM302" s="15" t="str">
        <f>IFERROR(__xludf.DUMMYFUNCTION("""COMPUTED_VALUE"""),"{""value"":25.25,""unit"":""in""}")</f>
        <v>{"value":25.25,"unit":"in"}</v>
      </c>
      <c r="EN302" s="15" t="s">
        <v>2805</v>
      </c>
      <c r="EO302" s="15" t="s">
        <v>3811</v>
      </c>
      <c r="ES302" s="15" t="s">
        <v>429</v>
      </c>
      <c r="EW302" s="15" t="s">
        <v>2221</v>
      </c>
      <c r="EX302" s="15" t="s">
        <v>3500</v>
      </c>
      <c r="EY302" s="15" t="s">
        <v>4088</v>
      </c>
      <c r="EZ302" s="15" t="s">
        <v>2805</v>
      </c>
      <c r="FF302" s="15" t="s">
        <v>1239</v>
      </c>
      <c r="FO302" s="15" t="s">
        <v>2315</v>
      </c>
      <c r="FP302" s="15" t="s">
        <v>4089</v>
      </c>
      <c r="FS302" s="15" t="s">
        <v>3561</v>
      </c>
    </row>
    <row r="303" ht="15.75" customHeight="1">
      <c r="A303" s="14" t="s">
        <v>391</v>
      </c>
      <c r="B303" s="15" t="s">
        <v>4079</v>
      </c>
      <c r="C303" s="16"/>
      <c r="D303" s="15" t="s">
        <v>432</v>
      </c>
      <c r="G303" s="14" t="s">
        <v>393</v>
      </c>
      <c r="H303" s="14" t="s">
        <v>394</v>
      </c>
      <c r="I303" s="14" t="b">
        <v>1</v>
      </c>
      <c r="J303" s="14" t="s">
        <v>395</v>
      </c>
      <c r="L303" s="14" t="b">
        <v>0</v>
      </c>
      <c r="M303" s="15" t="s">
        <v>4099</v>
      </c>
      <c r="N303" s="14" t="s">
        <v>393</v>
      </c>
      <c r="O303" s="14" t="s">
        <v>393</v>
      </c>
      <c r="P303" s="15" t="s">
        <v>397</v>
      </c>
      <c r="Q303" s="15" t="s">
        <v>4061</v>
      </c>
      <c r="T303" s="14" t="b">
        <v>0</v>
      </c>
      <c r="U303" s="15" t="s">
        <v>4100</v>
      </c>
      <c r="V303" s="15" t="s">
        <v>2169</v>
      </c>
      <c r="W303" s="15" t="s">
        <v>401</v>
      </c>
      <c r="X303" s="15" t="s">
        <v>695</v>
      </c>
      <c r="Y303" s="15">
        <v>2301.0</v>
      </c>
      <c r="AA303" s="15" t="str">
        <f t="shared" si="550"/>
        <v>885</v>
      </c>
      <c r="AB303" s="14" t="b">
        <v>1</v>
      </c>
      <c r="AC303" s="14" t="b">
        <v>1</v>
      </c>
      <c r="AD303" s="15" t="str">
        <f>"801542384135"</f>
        <v>801542384135</v>
      </c>
      <c r="AE303" s="15" t="s">
        <v>4101</v>
      </c>
      <c r="AF303" s="14" t="s">
        <v>404</v>
      </c>
      <c r="AG303" s="14" t="s">
        <v>405</v>
      </c>
      <c r="AH303" s="14" t="s">
        <v>406</v>
      </c>
      <c r="AI303" s="15">
        <v>0.0</v>
      </c>
      <c r="AL303" s="15" t="s">
        <v>4064</v>
      </c>
      <c r="AM303" s="15" t="s">
        <v>4084</v>
      </c>
      <c r="AN303" s="15" t="s">
        <v>4085</v>
      </c>
      <c r="AO303" s="15" t="s">
        <v>1028</v>
      </c>
      <c r="AP303" s="15" t="s">
        <v>1029</v>
      </c>
      <c r="AQ303" s="15" t="s">
        <v>4051</v>
      </c>
      <c r="AR303" s="15" t="s">
        <v>4052</v>
      </c>
      <c r="AS303" s="15" t="s">
        <v>915</v>
      </c>
      <c r="AT303" s="15" t="s">
        <v>4061</v>
      </c>
      <c r="AU303" s="15" t="s">
        <v>4065</v>
      </c>
      <c r="AW303" s="15" t="s">
        <v>1732</v>
      </c>
      <c r="AY303" s="15" t="s">
        <v>413</v>
      </c>
      <c r="AZ303" s="15" t="b">
        <v>0</v>
      </c>
      <c r="BA303" s="15" t="s">
        <v>413</v>
      </c>
      <c r="BB303" s="15" t="b">
        <v>0</v>
      </c>
      <c r="BD303" s="15" t="s">
        <v>709</v>
      </c>
      <c r="BE303" s="15" t="str">
        <f t="shared" si="531"/>
        <v>1</v>
      </c>
      <c r="BF303" s="15" t="s">
        <v>416</v>
      </c>
      <c r="BG303" s="15" t="str">
        <f t="shared" si="544"/>
        <v>90.55</v>
      </c>
      <c r="BH303" s="15" t="s">
        <v>4086</v>
      </c>
      <c r="BI303" s="15" t="str">
        <f t="shared" si="545"/>
        <v>36.02</v>
      </c>
      <c r="BJ303" s="15" t="s">
        <v>4053</v>
      </c>
      <c r="BK303" s="15" t="str">
        <f t="shared" si="546"/>
        <v>22.05</v>
      </c>
      <c r="BL303" s="15" t="s">
        <v>2310</v>
      </c>
      <c r="BM303" s="15" t="str">
        <f t="shared" si="547"/>
        <v>139.99</v>
      </c>
      <c r="BN303" s="15" t="s">
        <v>4087</v>
      </c>
      <c r="BQ303" s="15" t="s">
        <v>444</v>
      </c>
      <c r="BS303" s="15" t="s">
        <v>444</v>
      </c>
      <c r="BU303" s="15" t="s">
        <v>444</v>
      </c>
      <c r="BW303" s="15" t="s">
        <v>444</v>
      </c>
      <c r="BZ303" s="15" t="s">
        <v>444</v>
      </c>
      <c r="CB303" s="15" t="s">
        <v>444</v>
      </c>
      <c r="CD303" s="15" t="s">
        <v>444</v>
      </c>
      <c r="CF303" s="15" t="s">
        <v>444</v>
      </c>
      <c r="CI303" s="15" t="s">
        <v>444</v>
      </c>
      <c r="CK303" s="15" t="s">
        <v>444</v>
      </c>
      <c r="CM303" s="15" t="s">
        <v>444</v>
      </c>
      <c r="CO303" s="15" t="s">
        <v>444</v>
      </c>
      <c r="CP303" s="15" t="str">
        <f t="shared" si="548"/>
        <v>41.64</v>
      </c>
      <c r="CQ303" s="15" t="str">
        <f t="shared" si="549"/>
        <v>1.179</v>
      </c>
      <c r="CR303" s="15" t="s">
        <v>497</v>
      </c>
      <c r="DB303" s="15" t="s">
        <v>1286</v>
      </c>
      <c r="DC303" s="15" t="str">
        <f>IFERROR(__xludf.DUMMYFUNCTION("""COMPUTED_VALUE"""),"{""value"":23.50,""unit"":""in""}")</f>
        <v>{"value":23.50,"unit":"in"}</v>
      </c>
      <c r="DD303" s="15" t="s">
        <v>1161</v>
      </c>
      <c r="DE303" s="15" t="str">
        <f>IFERROR(__xludf.DUMMYFUNCTION("""COMPUTED_VALUE"""),"{""value"":17.00,""unit"":""in""}")</f>
        <v>{"value":17.00,"unit":"in"}</v>
      </c>
      <c r="DG303" s="15" t="str">
        <f>IFERROR(__xludf.DUMMYFUNCTION("""COMPUTED_VALUE"""),"")</f>
        <v/>
      </c>
      <c r="DH303" s="15">
        <v>0.0</v>
      </c>
      <c r="DI303" s="15">
        <v>0.0</v>
      </c>
      <c r="DJ303" s="15" t="s">
        <v>717</v>
      </c>
      <c r="DK303" s="15" t="s">
        <v>897</v>
      </c>
      <c r="DL303" s="15" t="str">
        <f>IFERROR(__xludf.DUMMYFUNCTION("""COMPUTED_VALUE"""),"Clean with water-based products only. Use mild detergent or upholstery shampoo.")</f>
        <v>Clean with water-based products only. Use mild detergent or upholstery shampoo.</v>
      </c>
      <c r="DM303" s="15" t="s">
        <v>898</v>
      </c>
      <c r="DT303" s="15" t="s">
        <v>721</v>
      </c>
      <c r="DV303" s="15">
        <v>0.0</v>
      </c>
      <c r="DZ303" s="15">
        <v>100000.0</v>
      </c>
      <c r="EA303" s="15" t="s">
        <v>990</v>
      </c>
      <c r="ED303" s="15">
        <v>0.0</v>
      </c>
      <c r="EE303" s="15">
        <v>4.0</v>
      </c>
      <c r="EG303" s="15" t="s">
        <v>444</v>
      </c>
      <c r="EH303" s="15" t="s">
        <v>4055</v>
      </c>
      <c r="EI303" s="15">
        <v>0.0</v>
      </c>
      <c r="EJ303" s="15" t="s">
        <v>588</v>
      </c>
      <c r="EK303" s="15" t="s">
        <v>589</v>
      </c>
      <c r="EL303" s="15" t="s">
        <v>1306</v>
      </c>
      <c r="EM303" s="15" t="str">
        <f>IFERROR(__xludf.DUMMYFUNCTION("""COMPUTED_VALUE"""),"{""value"":25.25,""unit"":""in""}")</f>
        <v>{"value":25.25,"unit":"in"}</v>
      </c>
      <c r="EN303" s="15" t="s">
        <v>2805</v>
      </c>
      <c r="EO303" s="15" t="s">
        <v>3811</v>
      </c>
      <c r="ES303" s="15" t="s">
        <v>429</v>
      </c>
      <c r="EW303" s="15" t="s">
        <v>2221</v>
      </c>
      <c r="EX303" s="15" t="s">
        <v>3500</v>
      </c>
      <c r="EY303" s="15" t="s">
        <v>4088</v>
      </c>
      <c r="EZ303" s="15" t="s">
        <v>2805</v>
      </c>
      <c r="FF303" s="15" t="s">
        <v>1239</v>
      </c>
      <c r="FO303" s="15" t="s">
        <v>2315</v>
      </c>
      <c r="FP303" s="15" t="s">
        <v>4089</v>
      </c>
      <c r="FS303" s="15" t="s">
        <v>3561</v>
      </c>
    </row>
    <row r="304" ht="15.75" customHeight="1">
      <c r="A304" s="14" t="s">
        <v>391</v>
      </c>
      <c r="B304" s="15" t="s">
        <v>4102</v>
      </c>
      <c r="C304" s="16"/>
      <c r="D304" s="15" t="s">
        <v>432</v>
      </c>
      <c r="G304" s="14" t="s">
        <v>393</v>
      </c>
      <c r="H304" s="14" t="s">
        <v>394</v>
      </c>
      <c r="I304" s="14" t="b">
        <v>1</v>
      </c>
      <c r="J304" s="14" t="s">
        <v>395</v>
      </c>
      <c r="L304" s="14" t="b">
        <v>0</v>
      </c>
      <c r="M304" s="15" t="s">
        <v>4103</v>
      </c>
      <c r="N304" s="14" t="s">
        <v>393</v>
      </c>
      <c r="O304" s="14" t="s">
        <v>393</v>
      </c>
      <c r="P304" s="15" t="s">
        <v>397</v>
      </c>
      <c r="Q304" s="15" t="s">
        <v>4104</v>
      </c>
      <c r="T304" s="14" t="b">
        <v>0</v>
      </c>
      <c r="U304" s="15" t="s">
        <v>4105</v>
      </c>
      <c r="V304" s="15" t="s">
        <v>4106</v>
      </c>
      <c r="W304" s="15" t="s">
        <v>401</v>
      </c>
      <c r="X304" s="15" t="s">
        <v>742</v>
      </c>
      <c r="Y304" s="15">
        <v>1755.0</v>
      </c>
      <c r="AA304" s="15" t="str">
        <f>"675"</f>
        <v>675</v>
      </c>
      <c r="AB304" s="14" t="b">
        <v>1</v>
      </c>
      <c r="AC304" s="14" t="b">
        <v>1</v>
      </c>
      <c r="AD304" s="15" t="str">
        <f>"801542004453"</f>
        <v>801542004453</v>
      </c>
      <c r="AE304" s="15" t="s">
        <v>4107</v>
      </c>
      <c r="AF304" s="14" t="s">
        <v>404</v>
      </c>
      <c r="AG304" s="14" t="s">
        <v>405</v>
      </c>
      <c r="AH304" s="14" t="s">
        <v>406</v>
      </c>
      <c r="AI304" s="15">
        <v>0.0</v>
      </c>
      <c r="AL304" s="15" t="s">
        <v>2283</v>
      </c>
      <c r="AM304" s="15" t="s">
        <v>1401</v>
      </c>
      <c r="AN304" s="15" t="s">
        <v>1402</v>
      </c>
      <c r="AO304" s="15" t="s">
        <v>1248</v>
      </c>
      <c r="AP304" s="15" t="s">
        <v>1249</v>
      </c>
      <c r="AQ304" s="15" t="s">
        <v>4108</v>
      </c>
      <c r="AR304" s="15" t="s">
        <v>4109</v>
      </c>
      <c r="AS304" s="15" t="s">
        <v>1896</v>
      </c>
      <c r="AT304" s="15" t="s">
        <v>4104</v>
      </c>
      <c r="AU304" s="15" t="s">
        <v>4110</v>
      </c>
      <c r="AW304" s="15" t="s">
        <v>412</v>
      </c>
      <c r="AY304" s="15" t="s">
        <v>413</v>
      </c>
      <c r="AZ304" s="15" t="b">
        <v>0</v>
      </c>
      <c r="BA304" s="15" t="s">
        <v>413</v>
      </c>
      <c r="BB304" s="15" t="b">
        <v>0</v>
      </c>
      <c r="BC304" s="15" t="s">
        <v>4111</v>
      </c>
      <c r="BD304" s="15" t="s">
        <v>742</v>
      </c>
      <c r="BE304" s="15" t="str">
        <f t="shared" si="531"/>
        <v>1</v>
      </c>
      <c r="BF304" s="15" t="s">
        <v>2043</v>
      </c>
      <c r="BG304" s="15" t="str">
        <f>"44.29"</f>
        <v>44.29</v>
      </c>
      <c r="BH304" s="15" t="s">
        <v>4112</v>
      </c>
      <c r="BI304" s="15" t="str">
        <f t="shared" ref="BI304:BI305" si="551">"24.41"</f>
        <v>24.41</v>
      </c>
      <c r="BJ304" s="15" t="s">
        <v>796</v>
      </c>
      <c r="BK304" s="15" t="str">
        <f>"46.46"</f>
        <v>46.46</v>
      </c>
      <c r="BL304" s="15" t="s">
        <v>4113</v>
      </c>
      <c r="BM304" s="15" t="str">
        <f>"207.23"</f>
        <v>207.23</v>
      </c>
      <c r="BN304" s="15" t="s">
        <v>4114</v>
      </c>
      <c r="BQ304" s="15" t="s">
        <v>444</v>
      </c>
      <c r="BS304" s="15" t="s">
        <v>444</v>
      </c>
      <c r="BU304" s="15" t="s">
        <v>444</v>
      </c>
      <c r="BW304" s="15" t="s">
        <v>444</v>
      </c>
      <c r="BZ304" s="15" t="s">
        <v>444</v>
      </c>
      <c r="CB304" s="15" t="s">
        <v>444</v>
      </c>
      <c r="CD304" s="15" t="s">
        <v>444</v>
      </c>
      <c r="CF304" s="15" t="s">
        <v>444</v>
      </c>
      <c r="CI304" s="15" t="s">
        <v>444</v>
      </c>
      <c r="CK304" s="15" t="s">
        <v>444</v>
      </c>
      <c r="CM304" s="15" t="s">
        <v>444</v>
      </c>
      <c r="CO304" s="15" t="s">
        <v>444</v>
      </c>
      <c r="CP304" s="15" t="str">
        <f>"29.06"</f>
        <v>29.06</v>
      </c>
      <c r="CQ304" s="15" t="str">
        <f>"0.823"</f>
        <v>0.823</v>
      </c>
      <c r="CR304" s="15" t="s">
        <v>497</v>
      </c>
      <c r="DC304" s="15" t="str">
        <f>IFERROR(__xludf.DUMMYFUNCTION("""COMPUTED_VALUE"""),"")</f>
        <v/>
      </c>
      <c r="DE304" s="15" t="str">
        <f>IFERROR(__xludf.DUMMYFUNCTION("""COMPUTED_VALUE"""),"")</f>
        <v/>
      </c>
      <c r="DG304" s="15" t="str">
        <f>IFERROR(__xludf.DUMMYFUNCTION("""COMPUTED_VALUE"""),"")</f>
        <v/>
      </c>
      <c r="DL304" s="15" t="str">
        <f>IFERROR(__xludf.DUMMYFUNCTION("""COMPUTED_VALUE"""),"")</f>
        <v/>
      </c>
      <c r="DM304" s="15" t="s">
        <v>444</v>
      </c>
      <c r="DN304" s="15" t="s">
        <v>418</v>
      </c>
      <c r="DO304" s="15">
        <v>5.0</v>
      </c>
      <c r="DP304" s="15" t="s">
        <v>419</v>
      </c>
      <c r="DR304" s="15">
        <v>0.0</v>
      </c>
      <c r="DT304" s="15" t="s">
        <v>420</v>
      </c>
      <c r="DU304" s="15" t="s">
        <v>421</v>
      </c>
      <c r="DY304" s="15">
        <v>0.0</v>
      </c>
      <c r="EF304" s="15" t="s">
        <v>2094</v>
      </c>
      <c r="EG304" s="15" t="s">
        <v>2095</v>
      </c>
      <c r="EH304" s="15" t="s">
        <v>4115</v>
      </c>
      <c r="EJ304" s="15" t="s">
        <v>500</v>
      </c>
      <c r="EK304" s="15" t="s">
        <v>501</v>
      </c>
      <c r="EM304" s="15" t="str">
        <f>IFERROR(__xludf.DUMMYFUNCTION("""COMPUTED_VALUE"""),"")</f>
        <v/>
      </c>
      <c r="EW304" s="15" t="s">
        <v>1040</v>
      </c>
      <c r="FL304" s="15" t="s">
        <v>426</v>
      </c>
      <c r="FM304" s="15">
        <v>0.0</v>
      </c>
      <c r="GH304" s="15">
        <v>0.0</v>
      </c>
      <c r="GI304" s="15" t="s">
        <v>427</v>
      </c>
      <c r="GO304" s="15" t="s">
        <v>426</v>
      </c>
      <c r="GQ304" s="15" t="s">
        <v>1508</v>
      </c>
      <c r="GR304" s="15" t="s">
        <v>1508</v>
      </c>
      <c r="GS304" s="15" t="s">
        <v>4116</v>
      </c>
      <c r="GT304" s="15" t="s">
        <v>4116</v>
      </c>
      <c r="GU304" s="15" t="s">
        <v>4117</v>
      </c>
      <c r="GV304" s="15" t="s">
        <v>1487</v>
      </c>
      <c r="GW304" s="15" t="s">
        <v>431</v>
      </c>
      <c r="GY304" s="15" t="s">
        <v>764</v>
      </c>
    </row>
    <row r="305" ht="15.75" customHeight="1">
      <c r="A305" s="14" t="s">
        <v>391</v>
      </c>
      <c r="B305" s="15" t="s">
        <v>4118</v>
      </c>
      <c r="C305" s="16"/>
      <c r="D305" s="15" t="s">
        <v>432</v>
      </c>
      <c r="G305" s="14" t="s">
        <v>393</v>
      </c>
      <c r="H305" s="14" t="s">
        <v>394</v>
      </c>
      <c r="I305" s="14" t="b">
        <v>1</v>
      </c>
      <c r="J305" s="14" t="s">
        <v>395</v>
      </c>
      <c r="L305" s="14" t="b">
        <v>0</v>
      </c>
      <c r="M305" s="15" t="s">
        <v>4119</v>
      </c>
      <c r="N305" s="14" t="s">
        <v>393</v>
      </c>
      <c r="O305" s="14" t="s">
        <v>393</v>
      </c>
      <c r="P305" s="15" t="s">
        <v>397</v>
      </c>
      <c r="Q305" s="15" t="s">
        <v>4104</v>
      </c>
      <c r="T305" s="14" t="b">
        <v>0</v>
      </c>
      <c r="U305" s="15" t="s">
        <v>4120</v>
      </c>
      <c r="V305" s="15" t="s">
        <v>4121</v>
      </c>
      <c r="W305" s="15" t="s">
        <v>401</v>
      </c>
      <c r="X305" s="15" t="s">
        <v>742</v>
      </c>
      <c r="Y305" s="15">
        <v>2184.0</v>
      </c>
      <c r="AA305" s="15" t="str">
        <f>"840"</f>
        <v>840</v>
      </c>
      <c r="AB305" s="14" t="b">
        <v>1</v>
      </c>
      <c r="AC305" s="14" t="b">
        <v>1</v>
      </c>
      <c r="AD305" s="15" t="str">
        <f>"801542005276"</f>
        <v>801542005276</v>
      </c>
      <c r="AE305" s="15" t="s">
        <v>4122</v>
      </c>
      <c r="AF305" s="14" t="s">
        <v>404</v>
      </c>
      <c r="AG305" s="14" t="s">
        <v>405</v>
      </c>
      <c r="AH305" s="14" t="s">
        <v>406</v>
      </c>
      <c r="AI305" s="15">
        <v>0.0</v>
      </c>
      <c r="AL305" s="15" t="s">
        <v>2283</v>
      </c>
      <c r="AM305" s="15" t="s">
        <v>4123</v>
      </c>
      <c r="AN305" s="15" t="s">
        <v>4124</v>
      </c>
      <c r="AO305" s="15" t="s">
        <v>1248</v>
      </c>
      <c r="AP305" s="15" t="s">
        <v>1249</v>
      </c>
      <c r="AQ305" s="15" t="s">
        <v>1801</v>
      </c>
      <c r="AR305" s="15" t="s">
        <v>1322</v>
      </c>
      <c r="AS305" s="15" t="s">
        <v>1896</v>
      </c>
      <c r="AT305" s="15" t="s">
        <v>4104</v>
      </c>
      <c r="AU305" s="15" t="s">
        <v>4110</v>
      </c>
      <c r="AW305" s="15" t="s">
        <v>412</v>
      </c>
      <c r="AY305" s="15" t="s">
        <v>426</v>
      </c>
      <c r="AZ305" s="15" t="b">
        <v>1</v>
      </c>
      <c r="BA305" s="15" t="s">
        <v>413</v>
      </c>
      <c r="BB305" s="15" t="b">
        <v>0</v>
      </c>
      <c r="BC305" s="15" t="s">
        <v>4111</v>
      </c>
      <c r="BD305" s="15" t="s">
        <v>742</v>
      </c>
      <c r="BE305" s="15" t="str">
        <f t="shared" si="531"/>
        <v>1</v>
      </c>
      <c r="BF305" s="15" t="s">
        <v>2043</v>
      </c>
      <c r="BG305" s="15" t="str">
        <f>"67.72"</f>
        <v>67.72</v>
      </c>
      <c r="BH305" s="15" t="s">
        <v>4125</v>
      </c>
      <c r="BI305" s="15" t="str">
        <f t="shared" si="551"/>
        <v>24.41</v>
      </c>
      <c r="BJ305" s="15" t="s">
        <v>796</v>
      </c>
      <c r="BK305" s="15" t="str">
        <f>"31.5"</f>
        <v>31.5</v>
      </c>
      <c r="BL305" s="15" t="s">
        <v>1322</v>
      </c>
      <c r="BM305" s="15" t="str">
        <f>"234.79"</f>
        <v>234.79</v>
      </c>
      <c r="BN305" s="15" t="s">
        <v>4126</v>
      </c>
      <c r="BQ305" s="15" t="s">
        <v>444</v>
      </c>
      <c r="BS305" s="15" t="s">
        <v>444</v>
      </c>
      <c r="BU305" s="15" t="s">
        <v>444</v>
      </c>
      <c r="BW305" s="15" t="s">
        <v>444</v>
      </c>
      <c r="BZ305" s="15" t="s">
        <v>444</v>
      </c>
      <c r="CB305" s="15" t="s">
        <v>444</v>
      </c>
      <c r="CD305" s="15" t="s">
        <v>444</v>
      </c>
      <c r="CF305" s="15" t="s">
        <v>444</v>
      </c>
      <c r="CI305" s="15" t="s">
        <v>444</v>
      </c>
      <c r="CK305" s="15" t="s">
        <v>444</v>
      </c>
      <c r="CM305" s="15" t="s">
        <v>444</v>
      </c>
      <c r="CO305" s="15" t="s">
        <v>444</v>
      </c>
      <c r="CP305" s="15" t="str">
        <f>"30.12"</f>
        <v>30.12</v>
      </c>
      <c r="CQ305" s="15" t="str">
        <f>"0.853"</f>
        <v>0.853</v>
      </c>
      <c r="CR305" s="15" t="s">
        <v>497</v>
      </c>
      <c r="DC305" s="15" t="str">
        <f>IFERROR(__xludf.DUMMYFUNCTION("""COMPUTED_VALUE"""),"")</f>
        <v/>
      </c>
      <c r="DE305" s="15" t="str">
        <f>IFERROR(__xludf.DUMMYFUNCTION("""COMPUTED_VALUE"""),"")</f>
        <v/>
      </c>
      <c r="DG305" s="15" t="str">
        <f>IFERROR(__xludf.DUMMYFUNCTION("""COMPUTED_VALUE"""),"")</f>
        <v/>
      </c>
      <c r="DL305" s="15" t="str">
        <f>IFERROR(__xludf.DUMMYFUNCTION("""COMPUTED_VALUE"""),"")</f>
        <v/>
      </c>
      <c r="DM305" s="15" t="s">
        <v>444</v>
      </c>
      <c r="DN305" s="15" t="s">
        <v>418</v>
      </c>
      <c r="DO305" s="15">
        <v>9.0</v>
      </c>
      <c r="DP305" s="15" t="s">
        <v>419</v>
      </c>
      <c r="DR305" s="15">
        <v>0.0</v>
      </c>
      <c r="DT305" s="15" t="s">
        <v>420</v>
      </c>
      <c r="DU305" s="15" t="s">
        <v>421</v>
      </c>
      <c r="DY305" s="15">
        <v>0.0</v>
      </c>
      <c r="EF305" s="15" t="s">
        <v>422</v>
      </c>
      <c r="EG305" s="15" t="s">
        <v>445</v>
      </c>
      <c r="EH305" s="15" t="s">
        <v>4115</v>
      </c>
      <c r="EJ305" s="15" t="s">
        <v>500</v>
      </c>
      <c r="EK305" s="15" t="s">
        <v>501</v>
      </c>
      <c r="EM305" s="15" t="str">
        <f>IFERROR(__xludf.DUMMYFUNCTION("""COMPUTED_VALUE"""),"")</f>
        <v/>
      </c>
      <c r="EW305" s="15" t="s">
        <v>1040</v>
      </c>
      <c r="FL305" s="15" t="s">
        <v>426</v>
      </c>
      <c r="FM305" s="15">
        <v>0.0</v>
      </c>
      <c r="GH305" s="15">
        <v>0.0</v>
      </c>
      <c r="GI305" s="15" t="s">
        <v>427</v>
      </c>
      <c r="GO305" s="15" t="s">
        <v>426</v>
      </c>
      <c r="GQ305" s="15" t="s">
        <v>1508</v>
      </c>
      <c r="GR305" s="15" t="s">
        <v>1508</v>
      </c>
      <c r="GS305" s="15" t="s">
        <v>4127</v>
      </c>
      <c r="GT305" s="15" t="s">
        <v>4127</v>
      </c>
      <c r="GU305" s="15" t="s">
        <v>4128</v>
      </c>
      <c r="GV305" s="15" t="s">
        <v>1882</v>
      </c>
      <c r="GW305" s="15" t="s">
        <v>431</v>
      </c>
      <c r="GY305" s="15" t="s">
        <v>764</v>
      </c>
    </row>
    <row r="306" ht="15.75" customHeight="1">
      <c r="A306" s="14" t="s">
        <v>391</v>
      </c>
      <c r="B306" s="15" t="s">
        <v>4129</v>
      </c>
      <c r="C306" s="16"/>
      <c r="D306" s="15" t="s">
        <v>432</v>
      </c>
      <c r="G306" s="14" t="s">
        <v>393</v>
      </c>
      <c r="H306" s="14" t="s">
        <v>394</v>
      </c>
      <c r="I306" s="14" t="b">
        <v>1</v>
      </c>
      <c r="J306" s="14" t="s">
        <v>395</v>
      </c>
      <c r="L306" s="14" t="b">
        <v>0</v>
      </c>
      <c r="M306" s="15" t="s">
        <v>4130</v>
      </c>
      <c r="N306" s="14" t="s">
        <v>393</v>
      </c>
      <c r="O306" s="14" t="s">
        <v>393</v>
      </c>
      <c r="P306" s="15" t="s">
        <v>397</v>
      </c>
      <c r="Q306" s="15" t="s">
        <v>4131</v>
      </c>
      <c r="T306" s="14" t="b">
        <v>0</v>
      </c>
      <c r="U306" s="15" t="s">
        <v>4132</v>
      </c>
      <c r="V306" s="15" t="s">
        <v>4133</v>
      </c>
      <c r="W306" s="15" t="s">
        <v>401</v>
      </c>
      <c r="X306" s="15" t="s">
        <v>742</v>
      </c>
      <c r="Y306" s="15">
        <v>819.0</v>
      </c>
      <c r="AA306" s="15" t="str">
        <f>"315"</f>
        <v>315</v>
      </c>
      <c r="AB306" s="14" t="b">
        <v>1</v>
      </c>
      <c r="AC306" s="14" t="b">
        <v>1</v>
      </c>
      <c r="AD306" s="15" t="str">
        <f>"801542728366"</f>
        <v>801542728366</v>
      </c>
      <c r="AE306" s="15" t="s">
        <v>4134</v>
      </c>
      <c r="AF306" s="14" t="s">
        <v>404</v>
      </c>
      <c r="AG306" s="14" t="s">
        <v>405</v>
      </c>
      <c r="AH306" s="14" t="s">
        <v>406</v>
      </c>
      <c r="AI306" s="15">
        <v>0.0</v>
      </c>
      <c r="AL306" s="15" t="s">
        <v>2283</v>
      </c>
      <c r="AM306" s="15" t="s">
        <v>2372</v>
      </c>
      <c r="AN306" s="15" t="s">
        <v>2373</v>
      </c>
      <c r="AO306" s="15" t="s">
        <v>2372</v>
      </c>
      <c r="AP306" s="15" t="s">
        <v>2373</v>
      </c>
      <c r="AQ306" s="15" t="s">
        <v>2039</v>
      </c>
      <c r="AR306" s="15" t="s">
        <v>2040</v>
      </c>
      <c r="AS306" s="15" t="s">
        <v>1896</v>
      </c>
      <c r="AT306" s="15" t="s">
        <v>4131</v>
      </c>
      <c r="AU306" s="15" t="s">
        <v>4110</v>
      </c>
      <c r="AW306" s="15" t="s">
        <v>491</v>
      </c>
      <c r="AY306" s="15" t="s">
        <v>413</v>
      </c>
      <c r="AZ306" s="15" t="b">
        <v>0</v>
      </c>
      <c r="BA306" s="15" t="s">
        <v>413</v>
      </c>
      <c r="BB306" s="15" t="b">
        <v>0</v>
      </c>
      <c r="BC306" s="15" t="s">
        <v>4135</v>
      </c>
      <c r="BD306" s="15" t="s">
        <v>742</v>
      </c>
      <c r="BE306" s="15" t="str">
        <f t="shared" si="531"/>
        <v>1</v>
      </c>
      <c r="BF306" s="15" t="s">
        <v>2043</v>
      </c>
      <c r="BG306" s="15" t="str">
        <f>"41.14"</f>
        <v>41.14</v>
      </c>
      <c r="BH306" s="15" t="s">
        <v>4136</v>
      </c>
      <c r="BI306" s="15" t="str">
        <f>"41.14"</f>
        <v>41.14</v>
      </c>
      <c r="BJ306" s="15" t="s">
        <v>4136</v>
      </c>
      <c r="BK306" s="15" t="str">
        <f>"14.76"</f>
        <v>14.76</v>
      </c>
      <c r="BL306" s="15" t="s">
        <v>4137</v>
      </c>
      <c r="BM306" s="15" t="str">
        <f>"72.75"</f>
        <v>72.75</v>
      </c>
      <c r="BN306" s="15" t="s">
        <v>3022</v>
      </c>
      <c r="BQ306" s="15" t="s">
        <v>444</v>
      </c>
      <c r="BS306" s="15" t="s">
        <v>444</v>
      </c>
      <c r="BU306" s="15" t="s">
        <v>444</v>
      </c>
      <c r="BW306" s="15" t="s">
        <v>444</v>
      </c>
      <c r="BZ306" s="15" t="s">
        <v>444</v>
      </c>
      <c r="CB306" s="15" t="s">
        <v>444</v>
      </c>
      <c r="CD306" s="15" t="s">
        <v>444</v>
      </c>
      <c r="CF306" s="15" t="s">
        <v>444</v>
      </c>
      <c r="CI306" s="15" t="s">
        <v>444</v>
      </c>
      <c r="CK306" s="15" t="s">
        <v>444</v>
      </c>
      <c r="CM306" s="15" t="s">
        <v>444</v>
      </c>
      <c r="CO306" s="15" t="s">
        <v>444</v>
      </c>
      <c r="CP306" s="15" t="str">
        <f>"14.48"</f>
        <v>14.48</v>
      </c>
      <c r="CQ306" s="15" t="str">
        <f>"0.41"</f>
        <v>0.41</v>
      </c>
      <c r="CR306" s="15" t="s">
        <v>497</v>
      </c>
      <c r="DC306" s="15" t="str">
        <f>IFERROR(__xludf.DUMMYFUNCTION("""COMPUTED_VALUE"""),"")</f>
        <v/>
      </c>
      <c r="DE306" s="15" t="str">
        <f>IFERROR(__xludf.DUMMYFUNCTION("""COMPUTED_VALUE"""),"")</f>
        <v/>
      </c>
      <c r="DG306" s="15" t="str">
        <f>IFERROR(__xludf.DUMMYFUNCTION("""COMPUTED_VALUE"""),"")</f>
        <v/>
      </c>
      <c r="DL306" s="15" t="str">
        <f>IFERROR(__xludf.DUMMYFUNCTION("""COMPUTED_VALUE"""),"")</f>
        <v/>
      </c>
      <c r="DM306" s="15" t="s">
        <v>444</v>
      </c>
      <c r="DN306" s="15" t="s">
        <v>419</v>
      </c>
      <c r="DO306" s="15">
        <v>0.0</v>
      </c>
      <c r="DP306" s="15" t="s">
        <v>419</v>
      </c>
      <c r="DR306" s="15">
        <v>0.0</v>
      </c>
      <c r="DT306" s="15" t="s">
        <v>420</v>
      </c>
      <c r="DU306" s="15" t="s">
        <v>419</v>
      </c>
      <c r="DY306" s="15">
        <v>0.0</v>
      </c>
      <c r="EF306" s="15" t="s">
        <v>1157</v>
      </c>
      <c r="EG306" s="15" t="s">
        <v>1158</v>
      </c>
      <c r="EH306" s="15" t="s">
        <v>4115</v>
      </c>
      <c r="EJ306" s="15" t="s">
        <v>500</v>
      </c>
      <c r="EK306" s="15" t="s">
        <v>501</v>
      </c>
      <c r="EM306" s="15" t="str">
        <f>IFERROR(__xludf.DUMMYFUNCTION("""COMPUTED_VALUE"""),"")</f>
        <v/>
      </c>
      <c r="EW306" s="15" t="s">
        <v>1040</v>
      </c>
      <c r="EX306" s="15" t="s">
        <v>4138</v>
      </c>
      <c r="EY306" s="15" t="s">
        <v>4138</v>
      </c>
      <c r="FH306" s="15" t="s">
        <v>612</v>
      </c>
      <c r="FI306" s="15" t="s">
        <v>1950</v>
      </c>
      <c r="FJ306" s="15" t="s">
        <v>612</v>
      </c>
      <c r="FK306" s="15" t="s">
        <v>4139</v>
      </c>
      <c r="FL306" s="15" t="s">
        <v>426</v>
      </c>
      <c r="FM306" s="15">
        <v>0.0</v>
      </c>
      <c r="FN306" s="15">
        <v>0.0</v>
      </c>
    </row>
    <row r="307" ht="15.75" customHeight="1">
      <c r="A307" s="14" t="s">
        <v>391</v>
      </c>
      <c r="B307" s="15" t="s">
        <v>4140</v>
      </c>
      <c r="C307" s="16"/>
      <c r="D307" s="15" t="s">
        <v>432</v>
      </c>
      <c r="G307" s="14" t="s">
        <v>393</v>
      </c>
      <c r="H307" s="14" t="s">
        <v>394</v>
      </c>
      <c r="I307" s="14" t="b">
        <v>1</v>
      </c>
      <c r="J307" s="14" t="s">
        <v>395</v>
      </c>
      <c r="L307" s="14" t="b">
        <v>0</v>
      </c>
      <c r="M307" s="15" t="s">
        <v>4141</v>
      </c>
      <c r="N307" s="14" t="s">
        <v>393</v>
      </c>
      <c r="O307" s="14" t="s">
        <v>393</v>
      </c>
      <c r="P307" s="15" t="s">
        <v>397</v>
      </c>
      <c r="Q307" s="15" t="s">
        <v>4104</v>
      </c>
      <c r="T307" s="14" t="b">
        <v>0</v>
      </c>
      <c r="U307" s="15" t="s">
        <v>4142</v>
      </c>
      <c r="V307" s="15" t="s">
        <v>4143</v>
      </c>
      <c r="W307" s="15" t="s">
        <v>401</v>
      </c>
      <c r="X307" s="15" t="s">
        <v>742</v>
      </c>
      <c r="Y307" s="15">
        <v>2301.0</v>
      </c>
      <c r="AA307" s="15" t="str">
        <f t="shared" ref="AA307:AA308" si="552">"885"</f>
        <v>885</v>
      </c>
      <c r="AB307" s="14" t="b">
        <v>1</v>
      </c>
      <c r="AC307" s="14" t="b">
        <v>1</v>
      </c>
      <c r="AD307" s="15" t="str">
        <f>"801542004484"</f>
        <v>801542004484</v>
      </c>
      <c r="AE307" s="15" t="s">
        <v>4144</v>
      </c>
      <c r="AF307" s="14" t="s">
        <v>404</v>
      </c>
      <c r="AG307" s="14" t="s">
        <v>405</v>
      </c>
      <c r="AH307" s="14" t="s">
        <v>406</v>
      </c>
      <c r="AI307" s="15">
        <v>0.0</v>
      </c>
      <c r="AL307" s="15" t="s">
        <v>2283</v>
      </c>
      <c r="AM307" s="15" t="s">
        <v>694</v>
      </c>
      <c r="AN307" s="15" t="s">
        <v>952</v>
      </c>
      <c r="AO307" s="15" t="s">
        <v>600</v>
      </c>
      <c r="AP307" s="15" t="s">
        <v>601</v>
      </c>
      <c r="AQ307" s="15" t="s">
        <v>1276</v>
      </c>
      <c r="AR307" s="15" t="s">
        <v>1277</v>
      </c>
      <c r="AS307" s="15" t="s">
        <v>1896</v>
      </c>
      <c r="AT307" s="15" t="s">
        <v>4104</v>
      </c>
      <c r="AU307" s="15" t="s">
        <v>4110</v>
      </c>
      <c r="AW307" s="15" t="s">
        <v>2134</v>
      </c>
      <c r="AX307" s="15" t="s">
        <v>2135</v>
      </c>
      <c r="AY307" s="15" t="s">
        <v>413</v>
      </c>
      <c r="AZ307" s="15" t="b">
        <v>0</v>
      </c>
      <c r="BA307" s="15" t="s">
        <v>413</v>
      </c>
      <c r="BB307" s="15" t="b">
        <v>0</v>
      </c>
      <c r="BC307" s="15" t="s">
        <v>4145</v>
      </c>
      <c r="BD307" s="15" t="s">
        <v>742</v>
      </c>
      <c r="BE307" s="15" t="str">
        <f t="shared" si="531"/>
        <v>1</v>
      </c>
      <c r="BF307" s="15" t="s">
        <v>2043</v>
      </c>
      <c r="BG307" s="15" t="str">
        <f t="shared" ref="BG307:BG308" si="553">"70.28"</f>
        <v>70.28</v>
      </c>
      <c r="BH307" s="15" t="s">
        <v>3947</v>
      </c>
      <c r="BI307" s="15" t="str">
        <f t="shared" ref="BI307:BI308" si="554">"30.71"</f>
        <v>30.71</v>
      </c>
      <c r="BJ307" s="15" t="s">
        <v>1281</v>
      </c>
      <c r="BK307" s="15" t="str">
        <f t="shared" ref="BK307:BK308" si="555">"30.91"</f>
        <v>30.91</v>
      </c>
      <c r="BL307" s="15" t="s">
        <v>3885</v>
      </c>
      <c r="BM307" s="15" t="str">
        <f t="shared" ref="BM307:BM308" si="556">"233.69"</f>
        <v>233.69</v>
      </c>
      <c r="BN307" s="15" t="s">
        <v>568</v>
      </c>
      <c r="BQ307" s="15" t="s">
        <v>444</v>
      </c>
      <c r="BS307" s="15" t="s">
        <v>444</v>
      </c>
      <c r="BU307" s="15" t="s">
        <v>444</v>
      </c>
      <c r="BW307" s="15" t="s">
        <v>444</v>
      </c>
      <c r="BZ307" s="15" t="s">
        <v>444</v>
      </c>
      <c r="CB307" s="15" t="s">
        <v>444</v>
      </c>
      <c r="CD307" s="15" t="s">
        <v>444</v>
      </c>
      <c r="CF307" s="15" t="s">
        <v>444</v>
      </c>
      <c r="CI307" s="15" t="s">
        <v>444</v>
      </c>
      <c r="CK307" s="15" t="s">
        <v>444</v>
      </c>
      <c r="CM307" s="15" t="s">
        <v>444</v>
      </c>
      <c r="CO307" s="15" t="s">
        <v>444</v>
      </c>
      <c r="CP307" s="15" t="str">
        <f t="shared" ref="CP307:CP308" si="557">"38.6"</f>
        <v>38.6</v>
      </c>
      <c r="CQ307" s="15" t="str">
        <f t="shared" ref="CQ307:CQ308" si="558">"1.093"</f>
        <v>1.093</v>
      </c>
      <c r="CR307" s="15" t="s">
        <v>465</v>
      </c>
      <c r="CV307" s="15" t="s">
        <v>2652</v>
      </c>
      <c r="CW307" s="15" t="s">
        <v>2651</v>
      </c>
      <c r="CX307" s="15" t="s">
        <v>824</v>
      </c>
      <c r="DC307" s="15" t="str">
        <f>IFERROR(__xludf.DUMMYFUNCTION("""COMPUTED_VALUE"""),"")</f>
        <v/>
      </c>
      <c r="DE307" s="15" t="str">
        <f>IFERROR(__xludf.DUMMYFUNCTION("""COMPUTED_VALUE"""),"")</f>
        <v/>
      </c>
      <c r="DG307" s="15" t="str">
        <f>IFERROR(__xludf.DUMMYFUNCTION("""COMPUTED_VALUE"""),"")</f>
        <v/>
      </c>
      <c r="DL307" s="15" t="str">
        <f>IFERROR(__xludf.DUMMYFUNCTION("""COMPUTED_VALUE"""),"")</f>
        <v/>
      </c>
      <c r="DM307" s="15" t="s">
        <v>444</v>
      </c>
      <c r="DN307" s="15" t="s">
        <v>418</v>
      </c>
      <c r="DO307" s="15">
        <v>4.0</v>
      </c>
      <c r="DP307" s="15" t="s">
        <v>419</v>
      </c>
      <c r="DR307" s="15">
        <v>0.0</v>
      </c>
      <c r="DT307" s="15" t="s">
        <v>420</v>
      </c>
      <c r="DU307" s="15" t="s">
        <v>610</v>
      </c>
      <c r="DY307" s="15">
        <v>1.0</v>
      </c>
      <c r="EF307" s="15" t="s">
        <v>2137</v>
      </c>
      <c r="EG307" s="15" t="s">
        <v>2138</v>
      </c>
      <c r="EH307" s="15" t="s">
        <v>4115</v>
      </c>
      <c r="EJ307" s="15" t="s">
        <v>500</v>
      </c>
      <c r="EK307" s="15" t="s">
        <v>501</v>
      </c>
      <c r="EM307" s="15" t="str">
        <f>IFERROR(__xludf.DUMMYFUNCTION("""COMPUTED_VALUE"""),"")</f>
        <v/>
      </c>
      <c r="EW307" s="15" t="s">
        <v>1040</v>
      </c>
      <c r="EX307" s="15" t="s">
        <v>1286</v>
      </c>
      <c r="EY307" s="15" t="s">
        <v>4146</v>
      </c>
      <c r="FH307" s="15" t="s">
        <v>612</v>
      </c>
      <c r="FI307" s="15" t="s">
        <v>1950</v>
      </c>
      <c r="FJ307" s="15" t="s">
        <v>612</v>
      </c>
      <c r="FK307" s="15" t="s">
        <v>782</v>
      </c>
      <c r="FL307" s="15" t="s">
        <v>426</v>
      </c>
      <c r="FM307" s="15">
        <v>1.0</v>
      </c>
      <c r="FV307" s="15" t="s">
        <v>3102</v>
      </c>
      <c r="FY307" s="15" t="s">
        <v>4147</v>
      </c>
      <c r="FZ307" s="15" t="s">
        <v>782</v>
      </c>
      <c r="GA307" s="15" t="s">
        <v>824</v>
      </c>
      <c r="GB307" s="15" t="s">
        <v>2652</v>
      </c>
      <c r="GC307" s="15" t="s">
        <v>782</v>
      </c>
      <c r="GD307" s="15" t="s">
        <v>824</v>
      </c>
      <c r="GF307" s="15" t="s">
        <v>426</v>
      </c>
      <c r="GG307" s="15" t="s">
        <v>4148</v>
      </c>
      <c r="GH307" s="15">
        <v>1.0</v>
      </c>
      <c r="GI307" s="15" t="s">
        <v>614</v>
      </c>
      <c r="GJ307" s="15" t="s">
        <v>615</v>
      </c>
      <c r="GL307" s="15" t="s">
        <v>426</v>
      </c>
      <c r="GN307" s="15" t="s">
        <v>616</v>
      </c>
      <c r="GO307" s="15" t="s">
        <v>426</v>
      </c>
      <c r="GQ307" s="15" t="s">
        <v>2274</v>
      </c>
      <c r="GR307" s="15" t="s">
        <v>2274</v>
      </c>
      <c r="GS307" s="15" t="s">
        <v>4149</v>
      </c>
      <c r="GT307" s="15" t="s">
        <v>4150</v>
      </c>
      <c r="GU307" s="15" t="s">
        <v>4151</v>
      </c>
      <c r="GV307" s="15" t="s">
        <v>4151</v>
      </c>
      <c r="GW307" s="15" t="s">
        <v>431</v>
      </c>
      <c r="GY307" s="15" t="s">
        <v>764</v>
      </c>
      <c r="HD307" s="15">
        <v>1.0</v>
      </c>
      <c r="HW307" s="15" t="s">
        <v>2050</v>
      </c>
      <c r="HX307" s="15" t="s">
        <v>2274</v>
      </c>
      <c r="HZ307" s="15" t="s">
        <v>4149</v>
      </c>
      <c r="IB307" s="15" t="s">
        <v>1954</v>
      </c>
      <c r="IG307" s="15" t="s">
        <v>426</v>
      </c>
      <c r="IH307" s="15" t="s">
        <v>426</v>
      </c>
    </row>
    <row r="308" ht="15.75" customHeight="1">
      <c r="A308" s="14" t="s">
        <v>391</v>
      </c>
      <c r="B308" s="15" t="s">
        <v>4140</v>
      </c>
      <c r="C308" s="16"/>
      <c r="D308" s="15" t="s">
        <v>432</v>
      </c>
      <c r="G308" s="14" t="s">
        <v>393</v>
      </c>
      <c r="H308" s="14" t="s">
        <v>394</v>
      </c>
      <c r="I308" s="14" t="b">
        <v>1</v>
      </c>
      <c r="J308" s="14" t="s">
        <v>395</v>
      </c>
      <c r="L308" s="14" t="b">
        <v>0</v>
      </c>
      <c r="M308" s="15" t="s">
        <v>4152</v>
      </c>
      <c r="N308" s="14" t="s">
        <v>393</v>
      </c>
      <c r="O308" s="14" t="s">
        <v>393</v>
      </c>
      <c r="P308" s="15" t="s">
        <v>397</v>
      </c>
      <c r="Q308" s="15" t="s">
        <v>4131</v>
      </c>
      <c r="T308" s="14" t="b">
        <v>0</v>
      </c>
      <c r="U308" s="15" t="s">
        <v>4153</v>
      </c>
      <c r="V308" s="15" t="s">
        <v>4143</v>
      </c>
      <c r="W308" s="15" t="s">
        <v>401</v>
      </c>
      <c r="X308" s="15" t="s">
        <v>742</v>
      </c>
      <c r="Y308" s="15">
        <v>2301.0</v>
      </c>
      <c r="AA308" s="15" t="str">
        <f t="shared" si="552"/>
        <v>885</v>
      </c>
      <c r="AB308" s="14" t="b">
        <v>1</v>
      </c>
      <c r="AC308" s="14" t="b">
        <v>1</v>
      </c>
      <c r="AD308" s="15" t="str">
        <f>"801542739966"</f>
        <v>801542739966</v>
      </c>
      <c r="AE308" s="15" t="s">
        <v>4154</v>
      </c>
      <c r="AF308" s="14" t="s">
        <v>404</v>
      </c>
      <c r="AG308" s="14" t="s">
        <v>405</v>
      </c>
      <c r="AH308" s="14" t="s">
        <v>406</v>
      </c>
      <c r="AI308" s="15">
        <v>0.0</v>
      </c>
      <c r="AL308" s="15" t="s">
        <v>2283</v>
      </c>
      <c r="AM308" s="15" t="s">
        <v>694</v>
      </c>
      <c r="AN308" s="15" t="s">
        <v>952</v>
      </c>
      <c r="AO308" s="15" t="s">
        <v>600</v>
      </c>
      <c r="AP308" s="15" t="s">
        <v>601</v>
      </c>
      <c r="AQ308" s="15" t="s">
        <v>1276</v>
      </c>
      <c r="AR308" s="15" t="s">
        <v>1277</v>
      </c>
      <c r="AS308" s="15" t="s">
        <v>1896</v>
      </c>
      <c r="AT308" s="15" t="s">
        <v>4131</v>
      </c>
      <c r="AU308" s="15" t="s">
        <v>4110</v>
      </c>
      <c r="AW308" s="15" t="s">
        <v>2134</v>
      </c>
      <c r="AX308" s="15" t="s">
        <v>2135</v>
      </c>
      <c r="AY308" s="15" t="s">
        <v>413</v>
      </c>
      <c r="AZ308" s="15" t="b">
        <v>0</v>
      </c>
      <c r="BA308" s="15" t="s">
        <v>413</v>
      </c>
      <c r="BB308" s="15" t="b">
        <v>0</v>
      </c>
      <c r="BC308" s="15" t="s">
        <v>4155</v>
      </c>
      <c r="BD308" s="15" t="s">
        <v>742</v>
      </c>
      <c r="BE308" s="15" t="str">
        <f t="shared" si="531"/>
        <v>1</v>
      </c>
      <c r="BF308" s="15" t="s">
        <v>2043</v>
      </c>
      <c r="BG308" s="15" t="str">
        <f t="shared" si="553"/>
        <v>70.28</v>
      </c>
      <c r="BH308" s="15" t="s">
        <v>3947</v>
      </c>
      <c r="BI308" s="15" t="str">
        <f t="shared" si="554"/>
        <v>30.71</v>
      </c>
      <c r="BJ308" s="15" t="s">
        <v>1281</v>
      </c>
      <c r="BK308" s="15" t="str">
        <f t="shared" si="555"/>
        <v>30.91</v>
      </c>
      <c r="BL308" s="15" t="s">
        <v>3885</v>
      </c>
      <c r="BM308" s="15" t="str">
        <f t="shared" si="556"/>
        <v>233.69</v>
      </c>
      <c r="BN308" s="15" t="s">
        <v>568</v>
      </c>
      <c r="BQ308" s="15" t="s">
        <v>444</v>
      </c>
      <c r="BS308" s="15" t="s">
        <v>444</v>
      </c>
      <c r="BU308" s="15" t="s">
        <v>444</v>
      </c>
      <c r="BW308" s="15" t="s">
        <v>444</v>
      </c>
      <c r="BZ308" s="15" t="s">
        <v>444</v>
      </c>
      <c r="CB308" s="15" t="s">
        <v>444</v>
      </c>
      <c r="CD308" s="15" t="s">
        <v>444</v>
      </c>
      <c r="CF308" s="15" t="s">
        <v>444</v>
      </c>
      <c r="CI308" s="15" t="s">
        <v>444</v>
      </c>
      <c r="CK308" s="15" t="s">
        <v>444</v>
      </c>
      <c r="CM308" s="15" t="s">
        <v>444</v>
      </c>
      <c r="CO308" s="15" t="s">
        <v>444</v>
      </c>
      <c r="CP308" s="15" t="str">
        <f t="shared" si="557"/>
        <v>38.6</v>
      </c>
      <c r="CQ308" s="15" t="str">
        <f t="shared" si="558"/>
        <v>1.093</v>
      </c>
      <c r="CR308" s="15" t="s">
        <v>465</v>
      </c>
      <c r="CV308" s="15" t="s">
        <v>2652</v>
      </c>
      <c r="CW308" s="15" t="s">
        <v>2651</v>
      </c>
      <c r="CX308" s="15" t="s">
        <v>824</v>
      </c>
      <c r="DC308" s="15" t="str">
        <f>IFERROR(__xludf.DUMMYFUNCTION("""COMPUTED_VALUE"""),"")</f>
        <v/>
      </c>
      <c r="DE308" s="15" t="str">
        <f>IFERROR(__xludf.DUMMYFUNCTION("""COMPUTED_VALUE"""),"")</f>
        <v/>
      </c>
      <c r="DG308" s="15" t="str">
        <f>IFERROR(__xludf.DUMMYFUNCTION("""COMPUTED_VALUE"""),"")</f>
        <v/>
      </c>
      <c r="DL308" s="15" t="str">
        <f>IFERROR(__xludf.DUMMYFUNCTION("""COMPUTED_VALUE"""),"")</f>
        <v/>
      </c>
      <c r="DM308" s="15" t="s">
        <v>444</v>
      </c>
      <c r="DN308" s="15" t="s">
        <v>418</v>
      </c>
      <c r="DO308" s="15">
        <v>4.0</v>
      </c>
      <c r="DP308" s="15" t="s">
        <v>419</v>
      </c>
      <c r="DR308" s="15">
        <v>0.0</v>
      </c>
      <c r="DT308" s="15" t="s">
        <v>420</v>
      </c>
      <c r="DU308" s="15" t="s">
        <v>610</v>
      </c>
      <c r="DY308" s="15">
        <v>1.0</v>
      </c>
      <c r="EF308" s="15" t="s">
        <v>2137</v>
      </c>
      <c r="EG308" s="15" t="s">
        <v>2138</v>
      </c>
      <c r="EH308" s="15" t="s">
        <v>4115</v>
      </c>
      <c r="EJ308" s="15" t="s">
        <v>500</v>
      </c>
      <c r="EK308" s="15" t="s">
        <v>501</v>
      </c>
      <c r="EM308" s="15" t="str">
        <f>IFERROR(__xludf.DUMMYFUNCTION("""COMPUTED_VALUE"""),"")</f>
        <v/>
      </c>
      <c r="EW308" s="15" t="s">
        <v>1040</v>
      </c>
      <c r="EX308" s="15" t="s">
        <v>1286</v>
      </c>
      <c r="EY308" s="15" t="s">
        <v>4146</v>
      </c>
      <c r="FH308" s="15" t="s">
        <v>612</v>
      </c>
      <c r="FI308" s="15" t="s">
        <v>1950</v>
      </c>
      <c r="FJ308" s="15" t="s">
        <v>612</v>
      </c>
      <c r="FK308" s="15" t="s">
        <v>782</v>
      </c>
      <c r="FL308" s="15" t="s">
        <v>426</v>
      </c>
      <c r="FM308" s="15">
        <v>1.0</v>
      </c>
      <c r="FV308" s="15" t="s">
        <v>3102</v>
      </c>
      <c r="FY308" s="15" t="s">
        <v>4147</v>
      </c>
      <c r="FZ308" s="15" t="s">
        <v>782</v>
      </c>
      <c r="GA308" s="15" t="s">
        <v>824</v>
      </c>
      <c r="GB308" s="15" t="s">
        <v>2652</v>
      </c>
      <c r="GC308" s="15" t="s">
        <v>782</v>
      </c>
      <c r="GD308" s="15" t="s">
        <v>824</v>
      </c>
      <c r="GF308" s="15" t="s">
        <v>426</v>
      </c>
      <c r="GG308" s="15" t="s">
        <v>4148</v>
      </c>
      <c r="GH308" s="15">
        <v>1.0</v>
      </c>
      <c r="GI308" s="15" t="s">
        <v>614</v>
      </c>
      <c r="GJ308" s="15" t="s">
        <v>615</v>
      </c>
      <c r="GL308" s="15" t="s">
        <v>426</v>
      </c>
      <c r="GN308" s="15" t="s">
        <v>616</v>
      </c>
      <c r="GO308" s="15" t="s">
        <v>426</v>
      </c>
      <c r="GQ308" s="15" t="s">
        <v>2274</v>
      </c>
      <c r="GR308" s="15" t="s">
        <v>2274</v>
      </c>
      <c r="GS308" s="15" t="s">
        <v>4149</v>
      </c>
      <c r="GT308" s="15" t="s">
        <v>4150</v>
      </c>
      <c r="GU308" s="15" t="s">
        <v>4151</v>
      </c>
      <c r="GV308" s="15" t="s">
        <v>4151</v>
      </c>
      <c r="GW308" s="15" t="s">
        <v>431</v>
      </c>
      <c r="GY308" s="15" t="s">
        <v>764</v>
      </c>
      <c r="HD308" s="15">
        <v>1.0</v>
      </c>
      <c r="HW308" s="15" t="s">
        <v>2050</v>
      </c>
      <c r="HX308" s="15" t="s">
        <v>2274</v>
      </c>
      <c r="HZ308" s="15" t="s">
        <v>4149</v>
      </c>
      <c r="IB308" s="15" t="s">
        <v>1954</v>
      </c>
      <c r="IG308" s="15" t="s">
        <v>426</v>
      </c>
      <c r="IH308" s="15" t="s">
        <v>426</v>
      </c>
    </row>
    <row r="309" ht="15.75" customHeight="1">
      <c r="A309" s="14" t="s">
        <v>391</v>
      </c>
      <c r="B309" s="15" t="s">
        <v>4156</v>
      </c>
      <c r="C309" s="16"/>
      <c r="D309" s="15" t="s">
        <v>432</v>
      </c>
      <c r="G309" s="14" t="s">
        <v>393</v>
      </c>
      <c r="H309" s="14" t="s">
        <v>394</v>
      </c>
      <c r="I309" s="14" t="b">
        <v>1</v>
      </c>
      <c r="J309" s="14" t="s">
        <v>395</v>
      </c>
      <c r="L309" s="14" t="b">
        <v>0</v>
      </c>
      <c r="M309" s="15" t="s">
        <v>4157</v>
      </c>
      <c r="N309" s="14" t="s">
        <v>393</v>
      </c>
      <c r="O309" s="14" t="s">
        <v>393</v>
      </c>
      <c r="P309" s="15" t="s">
        <v>397</v>
      </c>
      <c r="Q309" s="15" t="s">
        <v>4104</v>
      </c>
      <c r="T309" s="14" t="b">
        <v>0</v>
      </c>
      <c r="U309" s="15" t="s">
        <v>4158</v>
      </c>
      <c r="V309" s="15" t="s">
        <v>2414</v>
      </c>
      <c r="W309" s="15" t="s">
        <v>401</v>
      </c>
      <c r="X309" s="15" t="s">
        <v>742</v>
      </c>
      <c r="Y309" s="15">
        <v>936.0</v>
      </c>
      <c r="AA309" s="15" t="str">
        <f t="shared" ref="AA309:AA310" si="559">"360"</f>
        <v>360</v>
      </c>
      <c r="AB309" s="14" t="b">
        <v>1</v>
      </c>
      <c r="AC309" s="14" t="b">
        <v>1</v>
      </c>
      <c r="AD309" s="15" t="str">
        <f>"801542062705"</f>
        <v>801542062705</v>
      </c>
      <c r="AE309" s="15" t="s">
        <v>4159</v>
      </c>
      <c r="AF309" s="14" t="s">
        <v>404</v>
      </c>
      <c r="AG309" s="14" t="s">
        <v>405</v>
      </c>
      <c r="AH309" s="14" t="s">
        <v>406</v>
      </c>
      <c r="AI309" s="15">
        <v>0.0</v>
      </c>
      <c r="AL309" s="15" t="s">
        <v>2283</v>
      </c>
      <c r="AM309" s="15" t="s">
        <v>1222</v>
      </c>
      <c r="AN309" s="15" t="s">
        <v>1223</v>
      </c>
      <c r="AO309" s="15" t="s">
        <v>809</v>
      </c>
      <c r="AP309" s="15" t="s">
        <v>810</v>
      </c>
      <c r="AQ309" s="15" t="s">
        <v>1175</v>
      </c>
      <c r="AR309" s="15" t="s">
        <v>1176</v>
      </c>
      <c r="AS309" s="15" t="s">
        <v>1896</v>
      </c>
      <c r="AT309" s="15" t="s">
        <v>4104</v>
      </c>
      <c r="AU309" s="15" t="s">
        <v>4110</v>
      </c>
      <c r="AW309" s="15" t="s">
        <v>628</v>
      </c>
      <c r="AY309" s="15" t="s">
        <v>426</v>
      </c>
      <c r="AZ309" s="15" t="b">
        <v>1</v>
      </c>
      <c r="BA309" s="15" t="s">
        <v>413</v>
      </c>
      <c r="BB309" s="15" t="b">
        <v>0</v>
      </c>
      <c r="BC309" s="15" t="s">
        <v>4160</v>
      </c>
      <c r="BD309" s="15" t="s">
        <v>742</v>
      </c>
      <c r="BE309" s="15" t="str">
        <f t="shared" si="531"/>
        <v>1</v>
      </c>
      <c r="BF309" s="15" t="s">
        <v>980</v>
      </c>
      <c r="BG309" s="15" t="str">
        <f t="shared" ref="BG309:BG310" si="560">"36.02"</f>
        <v>36.02</v>
      </c>
      <c r="BH309" s="15" t="s">
        <v>4053</v>
      </c>
      <c r="BI309" s="15" t="str">
        <f t="shared" ref="BI309:BI310" si="561">"22.24"</f>
        <v>22.24</v>
      </c>
      <c r="BJ309" s="15" t="s">
        <v>1423</v>
      </c>
      <c r="BK309" s="15" t="str">
        <f t="shared" ref="BK309:BK310" si="562">"25.98"</f>
        <v>25.98</v>
      </c>
      <c r="BL309" s="15" t="s">
        <v>522</v>
      </c>
      <c r="BM309" s="15" t="str">
        <f t="shared" ref="BM309:BM310" si="563">"95.9"</f>
        <v>95.9</v>
      </c>
      <c r="BN309" s="15" t="s">
        <v>4161</v>
      </c>
      <c r="BQ309" s="15" t="s">
        <v>444</v>
      </c>
      <c r="BS309" s="15" t="s">
        <v>444</v>
      </c>
      <c r="BU309" s="15" t="s">
        <v>444</v>
      </c>
      <c r="BW309" s="15" t="s">
        <v>444</v>
      </c>
      <c r="BZ309" s="15" t="s">
        <v>444</v>
      </c>
      <c r="CB309" s="15" t="s">
        <v>444</v>
      </c>
      <c r="CD309" s="15" t="s">
        <v>444</v>
      </c>
      <c r="CF309" s="15" t="s">
        <v>444</v>
      </c>
      <c r="CI309" s="15" t="s">
        <v>444</v>
      </c>
      <c r="CK309" s="15" t="s">
        <v>444</v>
      </c>
      <c r="CM309" s="15" t="s">
        <v>444</v>
      </c>
      <c r="CO309" s="15" t="s">
        <v>444</v>
      </c>
      <c r="CP309" s="15" t="str">
        <f t="shared" ref="CP309:CP310" si="564">"12.04"</f>
        <v>12.04</v>
      </c>
      <c r="CQ309" s="15" t="str">
        <f t="shared" ref="CQ309:CQ310" si="565">"0.341"</f>
        <v>0.341</v>
      </c>
      <c r="CR309" s="15" t="s">
        <v>497</v>
      </c>
      <c r="DC309" s="15" t="str">
        <f>IFERROR(__xludf.DUMMYFUNCTION("""COMPUTED_VALUE"""),"")</f>
        <v/>
      </c>
      <c r="DE309" s="15" t="str">
        <f>IFERROR(__xludf.DUMMYFUNCTION("""COMPUTED_VALUE"""),"")</f>
        <v/>
      </c>
      <c r="DG309" s="15" t="str">
        <f>IFERROR(__xludf.DUMMYFUNCTION("""COMPUTED_VALUE"""),"")</f>
        <v/>
      </c>
      <c r="DL309" s="15" t="str">
        <f>IFERROR(__xludf.DUMMYFUNCTION("""COMPUTED_VALUE"""),"")</f>
        <v/>
      </c>
      <c r="DM309" s="15" t="s">
        <v>444</v>
      </c>
      <c r="DN309" s="15" t="s">
        <v>1371</v>
      </c>
      <c r="DO309" s="15">
        <v>3.0</v>
      </c>
      <c r="DP309" s="15" t="s">
        <v>419</v>
      </c>
      <c r="DR309" s="15">
        <v>0.0</v>
      </c>
      <c r="DT309" s="15" t="s">
        <v>420</v>
      </c>
      <c r="DU309" s="15" t="s">
        <v>421</v>
      </c>
      <c r="DY309" s="15">
        <v>0.0</v>
      </c>
      <c r="EF309" s="15" t="s">
        <v>471</v>
      </c>
      <c r="EG309" s="15" t="s">
        <v>472</v>
      </c>
      <c r="EH309" s="15" t="s">
        <v>4115</v>
      </c>
      <c r="EJ309" s="15" t="s">
        <v>500</v>
      </c>
      <c r="EK309" s="15" t="s">
        <v>501</v>
      </c>
      <c r="EM309" s="15" t="str">
        <f>IFERROR(__xludf.DUMMYFUNCTION("""COMPUTED_VALUE"""),"")</f>
        <v/>
      </c>
      <c r="EW309" s="15" t="s">
        <v>1040</v>
      </c>
      <c r="FM309" s="15">
        <v>0.0</v>
      </c>
      <c r="GH309" s="15">
        <v>0.0</v>
      </c>
      <c r="GI309" s="15" t="s">
        <v>427</v>
      </c>
      <c r="GQ309" s="15" t="s">
        <v>4162</v>
      </c>
      <c r="GS309" s="15" t="s">
        <v>4163</v>
      </c>
      <c r="GU309" s="15" t="s">
        <v>4164</v>
      </c>
      <c r="GW309" s="15" t="s">
        <v>838</v>
      </c>
      <c r="GX309" s="15" t="s">
        <v>426</v>
      </c>
      <c r="GY309" s="15" t="s">
        <v>764</v>
      </c>
    </row>
    <row r="310" ht="15.75" customHeight="1">
      <c r="A310" s="14" t="s">
        <v>391</v>
      </c>
      <c r="B310" s="15" t="s">
        <v>4156</v>
      </c>
      <c r="C310" s="16"/>
      <c r="D310" s="15" t="s">
        <v>432</v>
      </c>
      <c r="G310" s="14" t="s">
        <v>393</v>
      </c>
      <c r="H310" s="14" t="s">
        <v>394</v>
      </c>
      <c r="I310" s="14" t="b">
        <v>1</v>
      </c>
      <c r="J310" s="14" t="s">
        <v>395</v>
      </c>
      <c r="L310" s="14" t="b">
        <v>0</v>
      </c>
      <c r="M310" s="15" t="s">
        <v>4165</v>
      </c>
      <c r="N310" s="14" t="s">
        <v>393</v>
      </c>
      <c r="O310" s="14" t="s">
        <v>393</v>
      </c>
      <c r="P310" s="15" t="s">
        <v>397</v>
      </c>
      <c r="Q310" s="15" t="s">
        <v>4131</v>
      </c>
      <c r="T310" s="14" t="b">
        <v>0</v>
      </c>
      <c r="U310" s="15" t="s">
        <v>4166</v>
      </c>
      <c r="V310" s="15" t="s">
        <v>2414</v>
      </c>
      <c r="W310" s="15" t="s">
        <v>401</v>
      </c>
      <c r="X310" s="15" t="s">
        <v>742</v>
      </c>
      <c r="Y310" s="15">
        <v>936.0</v>
      </c>
      <c r="AA310" s="15" t="str">
        <f t="shared" si="559"/>
        <v>360</v>
      </c>
      <c r="AB310" s="14" t="b">
        <v>1</v>
      </c>
      <c r="AC310" s="14" t="b">
        <v>1</v>
      </c>
      <c r="AD310" s="15" t="str">
        <f>"801542062712"</f>
        <v>801542062712</v>
      </c>
      <c r="AE310" s="15" t="s">
        <v>4167</v>
      </c>
      <c r="AF310" s="14" t="s">
        <v>404</v>
      </c>
      <c r="AG310" s="14" t="s">
        <v>405</v>
      </c>
      <c r="AH310" s="14" t="s">
        <v>406</v>
      </c>
      <c r="AI310" s="15">
        <v>0.0</v>
      </c>
      <c r="AL310" s="15" t="s">
        <v>2283</v>
      </c>
      <c r="AM310" s="15" t="s">
        <v>1222</v>
      </c>
      <c r="AN310" s="15" t="s">
        <v>1223</v>
      </c>
      <c r="AO310" s="15" t="s">
        <v>809</v>
      </c>
      <c r="AP310" s="15" t="s">
        <v>810</v>
      </c>
      <c r="AQ310" s="15" t="s">
        <v>1175</v>
      </c>
      <c r="AR310" s="15" t="s">
        <v>1176</v>
      </c>
      <c r="AS310" s="15" t="s">
        <v>1896</v>
      </c>
      <c r="AT310" s="15" t="s">
        <v>4131</v>
      </c>
      <c r="AU310" s="15" t="s">
        <v>4110</v>
      </c>
      <c r="AW310" s="15" t="s">
        <v>628</v>
      </c>
      <c r="AY310" s="15" t="s">
        <v>413</v>
      </c>
      <c r="AZ310" s="15" t="b">
        <v>0</v>
      </c>
      <c r="BA310" s="15" t="s">
        <v>413</v>
      </c>
      <c r="BB310" s="15" t="b">
        <v>0</v>
      </c>
      <c r="BC310" s="15" t="s">
        <v>4168</v>
      </c>
      <c r="BD310" s="15" t="s">
        <v>742</v>
      </c>
      <c r="BE310" s="15" t="str">
        <f t="shared" si="531"/>
        <v>1</v>
      </c>
      <c r="BF310" s="15" t="s">
        <v>980</v>
      </c>
      <c r="BG310" s="15" t="str">
        <f t="shared" si="560"/>
        <v>36.02</v>
      </c>
      <c r="BH310" s="15" t="s">
        <v>4053</v>
      </c>
      <c r="BI310" s="15" t="str">
        <f t="shared" si="561"/>
        <v>22.24</v>
      </c>
      <c r="BJ310" s="15" t="s">
        <v>1423</v>
      </c>
      <c r="BK310" s="15" t="str">
        <f t="shared" si="562"/>
        <v>25.98</v>
      </c>
      <c r="BL310" s="15" t="s">
        <v>522</v>
      </c>
      <c r="BM310" s="15" t="str">
        <f t="shared" si="563"/>
        <v>95.9</v>
      </c>
      <c r="BN310" s="15" t="s">
        <v>4161</v>
      </c>
      <c r="BQ310" s="15" t="s">
        <v>444</v>
      </c>
      <c r="BS310" s="15" t="s">
        <v>444</v>
      </c>
      <c r="BU310" s="15" t="s">
        <v>444</v>
      </c>
      <c r="BW310" s="15" t="s">
        <v>444</v>
      </c>
      <c r="BZ310" s="15" t="s">
        <v>444</v>
      </c>
      <c r="CB310" s="15" t="s">
        <v>444</v>
      </c>
      <c r="CD310" s="15" t="s">
        <v>444</v>
      </c>
      <c r="CF310" s="15" t="s">
        <v>444</v>
      </c>
      <c r="CI310" s="15" t="s">
        <v>444</v>
      </c>
      <c r="CK310" s="15" t="s">
        <v>444</v>
      </c>
      <c r="CM310" s="15" t="s">
        <v>444</v>
      </c>
      <c r="CO310" s="15" t="s">
        <v>444</v>
      </c>
      <c r="CP310" s="15" t="str">
        <f t="shared" si="564"/>
        <v>12.04</v>
      </c>
      <c r="CQ310" s="15" t="str">
        <f t="shared" si="565"/>
        <v>0.341</v>
      </c>
      <c r="CR310" s="15" t="s">
        <v>417</v>
      </c>
      <c r="DC310" s="15" t="str">
        <f>IFERROR(__xludf.DUMMYFUNCTION("""COMPUTED_VALUE"""),"")</f>
        <v/>
      </c>
      <c r="DE310" s="15" t="str">
        <f>IFERROR(__xludf.DUMMYFUNCTION("""COMPUTED_VALUE"""),"")</f>
        <v/>
      </c>
      <c r="DG310" s="15" t="str">
        <f>IFERROR(__xludf.DUMMYFUNCTION("""COMPUTED_VALUE"""),"")</f>
        <v/>
      </c>
      <c r="DL310" s="15" t="str">
        <f>IFERROR(__xludf.DUMMYFUNCTION("""COMPUTED_VALUE"""),"")</f>
        <v/>
      </c>
      <c r="DM310" s="15" t="s">
        <v>444</v>
      </c>
      <c r="DN310" s="15" t="s">
        <v>1371</v>
      </c>
      <c r="DO310" s="15">
        <v>3.0</v>
      </c>
      <c r="DP310" s="15" t="s">
        <v>419</v>
      </c>
      <c r="DR310" s="15">
        <v>0.0</v>
      </c>
      <c r="DT310" s="15" t="s">
        <v>420</v>
      </c>
      <c r="DU310" s="15" t="s">
        <v>421</v>
      </c>
      <c r="DY310" s="15">
        <v>0.0</v>
      </c>
      <c r="EF310" s="15" t="s">
        <v>471</v>
      </c>
      <c r="EG310" s="15" t="s">
        <v>472</v>
      </c>
      <c r="EH310" s="15" t="s">
        <v>4115</v>
      </c>
      <c r="EJ310" s="15" t="s">
        <v>500</v>
      </c>
      <c r="EK310" s="15" t="s">
        <v>501</v>
      </c>
      <c r="EM310" s="15" t="str">
        <f>IFERROR(__xludf.DUMMYFUNCTION("""COMPUTED_VALUE"""),"")</f>
        <v/>
      </c>
      <c r="EW310" s="15" t="s">
        <v>1040</v>
      </c>
      <c r="FM310" s="15">
        <v>0.0</v>
      </c>
      <c r="GH310" s="15">
        <v>0.0</v>
      </c>
      <c r="GI310" s="15" t="s">
        <v>427</v>
      </c>
      <c r="GQ310" s="15" t="s">
        <v>4162</v>
      </c>
      <c r="GS310" s="15" t="s">
        <v>4163</v>
      </c>
      <c r="GU310" s="15" t="s">
        <v>4164</v>
      </c>
      <c r="GW310" s="15" t="s">
        <v>838</v>
      </c>
      <c r="GX310" s="15" t="s">
        <v>426</v>
      </c>
      <c r="GY310" s="15" t="s">
        <v>764</v>
      </c>
    </row>
    <row r="311" ht="15.75" customHeight="1">
      <c r="A311" s="14" t="s">
        <v>391</v>
      </c>
      <c r="B311" s="15" t="s">
        <v>4169</v>
      </c>
      <c r="C311" s="16"/>
      <c r="D311" s="15" t="s">
        <v>432</v>
      </c>
      <c r="G311" s="14" t="s">
        <v>393</v>
      </c>
      <c r="H311" s="14" t="s">
        <v>394</v>
      </c>
      <c r="I311" s="14" t="b">
        <v>1</v>
      </c>
      <c r="J311" s="14" t="s">
        <v>395</v>
      </c>
      <c r="L311" s="14" t="b">
        <v>0</v>
      </c>
      <c r="M311" s="15" t="s">
        <v>4170</v>
      </c>
      <c r="N311" s="14" t="s">
        <v>393</v>
      </c>
      <c r="O311" s="14" t="s">
        <v>393</v>
      </c>
      <c r="P311" s="15" t="s">
        <v>397</v>
      </c>
      <c r="Q311" s="15" t="s">
        <v>4104</v>
      </c>
      <c r="T311" s="14" t="b">
        <v>0</v>
      </c>
      <c r="U311" s="15" t="s">
        <v>4171</v>
      </c>
      <c r="V311" s="15" t="s">
        <v>4172</v>
      </c>
      <c r="W311" s="15" t="s">
        <v>401</v>
      </c>
      <c r="X311" s="15" t="s">
        <v>742</v>
      </c>
      <c r="Y311" s="15">
        <v>1859.0</v>
      </c>
      <c r="AA311" s="15" t="str">
        <f>"715"</f>
        <v>715</v>
      </c>
      <c r="AB311" s="14" t="b">
        <v>1</v>
      </c>
      <c r="AC311" s="14" t="b">
        <v>1</v>
      </c>
      <c r="AD311" s="15" t="str">
        <f>"801542007393"</f>
        <v>801542007393</v>
      </c>
      <c r="AE311" s="15" t="s">
        <v>4173</v>
      </c>
      <c r="AF311" s="14" t="s">
        <v>404</v>
      </c>
      <c r="AG311" s="14" t="s">
        <v>405</v>
      </c>
      <c r="AH311" s="14" t="s">
        <v>406</v>
      </c>
      <c r="AI311" s="15">
        <v>0.0</v>
      </c>
      <c r="AL311" s="15" t="s">
        <v>2283</v>
      </c>
      <c r="AM311" s="15" t="s">
        <v>4174</v>
      </c>
      <c r="AN311" s="15" t="s">
        <v>4175</v>
      </c>
      <c r="AO311" s="15" t="s">
        <v>1007</v>
      </c>
      <c r="AP311" s="15" t="s">
        <v>1008</v>
      </c>
      <c r="AQ311" s="15" t="s">
        <v>2213</v>
      </c>
      <c r="AR311" s="15" t="s">
        <v>2214</v>
      </c>
      <c r="AS311" s="15" t="s">
        <v>1896</v>
      </c>
      <c r="AT311" s="15" t="s">
        <v>4104</v>
      </c>
      <c r="AU311" s="15" t="s">
        <v>4110</v>
      </c>
      <c r="AW311" s="15" t="s">
        <v>602</v>
      </c>
      <c r="AY311" s="15" t="s">
        <v>413</v>
      </c>
      <c r="AZ311" s="15" t="b">
        <v>0</v>
      </c>
      <c r="BA311" s="15" t="s">
        <v>413</v>
      </c>
      <c r="BB311" s="15" t="b">
        <v>0</v>
      </c>
      <c r="BC311" s="15" t="s">
        <v>4176</v>
      </c>
      <c r="BD311" s="15" t="s">
        <v>742</v>
      </c>
      <c r="BE311" s="15" t="str">
        <f t="shared" si="531"/>
        <v>1</v>
      </c>
      <c r="BF311" s="15" t="s">
        <v>2043</v>
      </c>
      <c r="BG311" s="15" t="str">
        <f>"81.89"</f>
        <v>81.89</v>
      </c>
      <c r="BH311" s="15" t="s">
        <v>2358</v>
      </c>
      <c r="BI311" s="15" t="str">
        <f>"22.05"</f>
        <v>22.05</v>
      </c>
      <c r="BJ311" s="15" t="s">
        <v>2310</v>
      </c>
      <c r="BK311" s="15" t="str">
        <f>"25.2"</f>
        <v>25.2</v>
      </c>
      <c r="BL311" s="15" t="s">
        <v>585</v>
      </c>
      <c r="BM311" s="15" t="str">
        <f>"174.17"</f>
        <v>174.17</v>
      </c>
      <c r="BN311" s="15" t="s">
        <v>4177</v>
      </c>
      <c r="BQ311" s="15" t="s">
        <v>444</v>
      </c>
      <c r="BS311" s="15" t="s">
        <v>444</v>
      </c>
      <c r="BU311" s="15" t="s">
        <v>444</v>
      </c>
      <c r="BW311" s="15" t="s">
        <v>444</v>
      </c>
      <c r="BZ311" s="15" t="s">
        <v>444</v>
      </c>
      <c r="CB311" s="15" t="s">
        <v>444</v>
      </c>
      <c r="CD311" s="15" t="s">
        <v>444</v>
      </c>
      <c r="CF311" s="15" t="s">
        <v>444</v>
      </c>
      <c r="CI311" s="15" t="s">
        <v>444</v>
      </c>
      <c r="CK311" s="15" t="s">
        <v>444</v>
      </c>
      <c r="CM311" s="15" t="s">
        <v>444</v>
      </c>
      <c r="CO311" s="15" t="s">
        <v>444</v>
      </c>
      <c r="CP311" s="15" t="str">
        <f>"26.31"</f>
        <v>26.31</v>
      </c>
      <c r="CQ311" s="15" t="str">
        <f>"0.745"</f>
        <v>0.745</v>
      </c>
      <c r="CR311" s="15" t="s">
        <v>465</v>
      </c>
      <c r="CV311" s="15" t="s">
        <v>4178</v>
      </c>
      <c r="CW311" s="15" t="s">
        <v>4179</v>
      </c>
      <c r="CX311" s="15" t="s">
        <v>1068</v>
      </c>
      <c r="DC311" s="15" t="str">
        <f>IFERROR(__xludf.DUMMYFUNCTION("""COMPUTED_VALUE"""),"")</f>
        <v/>
      </c>
      <c r="DE311" s="15" t="str">
        <f>IFERROR(__xludf.DUMMYFUNCTION("""COMPUTED_VALUE"""),"")</f>
        <v/>
      </c>
      <c r="DG311" s="15" t="str">
        <f>IFERROR(__xludf.DUMMYFUNCTION("""COMPUTED_VALUE"""),"")</f>
        <v/>
      </c>
      <c r="DL311" s="15" t="str">
        <f>IFERROR(__xludf.DUMMYFUNCTION("""COMPUTED_VALUE"""),"")</f>
        <v/>
      </c>
      <c r="DM311" s="15" t="s">
        <v>444</v>
      </c>
      <c r="DN311" s="15" t="s">
        <v>419</v>
      </c>
      <c r="DO311" s="15">
        <v>0.0</v>
      </c>
      <c r="DP311" s="15" t="s">
        <v>419</v>
      </c>
      <c r="DR311" s="15">
        <v>0.0</v>
      </c>
      <c r="DT311" s="15" t="s">
        <v>420</v>
      </c>
      <c r="DU311" s="15" t="s">
        <v>610</v>
      </c>
      <c r="DW311" s="15">
        <v>37.19</v>
      </c>
      <c r="DX311" s="15">
        <v>82.0</v>
      </c>
      <c r="DY311" s="15">
        <v>3.0</v>
      </c>
      <c r="EG311" s="15" t="s">
        <v>444</v>
      </c>
      <c r="EH311" s="15" t="s">
        <v>4115</v>
      </c>
      <c r="EK311" s="15" t="s">
        <v>444</v>
      </c>
      <c r="EM311" s="15" t="str">
        <f>IFERROR(__xludf.DUMMYFUNCTION("""COMPUTED_VALUE"""),"")</f>
        <v/>
      </c>
      <c r="EW311" s="15" t="s">
        <v>1040</v>
      </c>
      <c r="FL311" s="15" t="s">
        <v>426</v>
      </c>
      <c r="FM311" s="15">
        <v>3.0</v>
      </c>
      <c r="FY311" s="15" t="s">
        <v>4180</v>
      </c>
      <c r="FZ311" s="15" t="s">
        <v>782</v>
      </c>
      <c r="GA311" s="15" t="s">
        <v>4181</v>
      </c>
      <c r="GB311" s="15" t="s">
        <v>4178</v>
      </c>
      <c r="GC311" s="15" t="s">
        <v>782</v>
      </c>
      <c r="GD311" s="15" t="s">
        <v>1068</v>
      </c>
      <c r="GG311" s="15" t="s">
        <v>785</v>
      </c>
      <c r="GH311" s="15">
        <v>6.0</v>
      </c>
      <c r="GI311" s="15" t="s">
        <v>614</v>
      </c>
      <c r="GJ311" s="15" t="s">
        <v>615</v>
      </c>
      <c r="GL311" s="15" t="s">
        <v>426</v>
      </c>
      <c r="GN311" s="15" t="s">
        <v>616</v>
      </c>
      <c r="HA311" s="15" t="s">
        <v>4178</v>
      </c>
      <c r="HB311" s="15" t="s">
        <v>4179</v>
      </c>
      <c r="HC311" s="15" t="s">
        <v>1068</v>
      </c>
      <c r="HD311" s="15">
        <v>0.0</v>
      </c>
      <c r="HQ311" s="15" t="s">
        <v>4178</v>
      </c>
      <c r="HS311" s="15" t="s">
        <v>4179</v>
      </c>
      <c r="HU311" s="15" t="s">
        <v>1068</v>
      </c>
      <c r="HW311" s="15" t="s">
        <v>1957</v>
      </c>
      <c r="IH311" s="15" t="s">
        <v>426</v>
      </c>
    </row>
    <row r="312" ht="15.75" customHeight="1">
      <c r="A312" s="14" t="s">
        <v>391</v>
      </c>
      <c r="B312" s="15" t="s">
        <v>4182</v>
      </c>
      <c r="C312" s="16"/>
      <c r="D312" s="15" t="s">
        <v>432</v>
      </c>
      <c r="G312" s="14" t="s">
        <v>393</v>
      </c>
      <c r="H312" s="14" t="s">
        <v>394</v>
      </c>
      <c r="I312" s="14" t="b">
        <v>1</v>
      </c>
      <c r="J312" s="14" t="s">
        <v>395</v>
      </c>
      <c r="L312" s="14" t="b">
        <v>0</v>
      </c>
      <c r="M312" s="15" t="s">
        <v>4183</v>
      </c>
      <c r="N312" s="14" t="s">
        <v>393</v>
      </c>
      <c r="O312" s="14" t="s">
        <v>393</v>
      </c>
      <c r="P312" s="15" t="s">
        <v>397</v>
      </c>
      <c r="Q312" s="15" t="s">
        <v>4104</v>
      </c>
      <c r="T312" s="14" t="b">
        <v>0</v>
      </c>
      <c r="U312" s="15" t="s">
        <v>4184</v>
      </c>
      <c r="V312" s="15" t="s">
        <v>3108</v>
      </c>
      <c r="W312" s="15" t="s">
        <v>401</v>
      </c>
      <c r="X312" s="15" t="s">
        <v>742</v>
      </c>
      <c r="Y312" s="15">
        <v>715.0</v>
      </c>
      <c r="AA312" s="15" t="str">
        <f t="shared" ref="AA312:AA313" si="566">"275"</f>
        <v>275</v>
      </c>
      <c r="AB312" s="14" t="b">
        <v>1</v>
      </c>
      <c r="AC312" s="14" t="b">
        <v>1</v>
      </c>
      <c r="AD312" s="15" t="str">
        <f>"801542013578"</f>
        <v>801542013578</v>
      </c>
      <c r="AE312" s="15" t="s">
        <v>4185</v>
      </c>
      <c r="AF312" s="14" t="s">
        <v>404</v>
      </c>
      <c r="AG312" s="14" t="s">
        <v>405</v>
      </c>
      <c r="AH312" s="14" t="s">
        <v>406</v>
      </c>
      <c r="AI312" s="15">
        <v>0.0</v>
      </c>
      <c r="AL312" s="15" t="s">
        <v>2283</v>
      </c>
      <c r="AM312" s="15" t="s">
        <v>2059</v>
      </c>
      <c r="AN312" s="15" t="s">
        <v>2060</v>
      </c>
      <c r="AO312" s="15" t="s">
        <v>809</v>
      </c>
      <c r="AP312" s="15" t="s">
        <v>810</v>
      </c>
      <c r="AQ312" s="15" t="s">
        <v>1175</v>
      </c>
      <c r="AR312" s="15" t="s">
        <v>1176</v>
      </c>
      <c r="AS312" s="15" t="s">
        <v>1896</v>
      </c>
      <c r="AT312" s="15" t="s">
        <v>4104</v>
      </c>
      <c r="AU312" s="15" t="s">
        <v>4110</v>
      </c>
      <c r="AW312" s="15" t="s">
        <v>628</v>
      </c>
      <c r="AY312" s="15" t="s">
        <v>413</v>
      </c>
      <c r="AZ312" s="15" t="b">
        <v>0</v>
      </c>
      <c r="BA312" s="15" t="s">
        <v>413</v>
      </c>
      <c r="BB312" s="15" t="b">
        <v>0</v>
      </c>
      <c r="BD312" s="15" t="s">
        <v>742</v>
      </c>
      <c r="BE312" s="15" t="str">
        <f t="shared" si="531"/>
        <v>1</v>
      </c>
      <c r="BF312" s="15" t="s">
        <v>2043</v>
      </c>
      <c r="BG312" s="15" t="str">
        <f t="shared" ref="BG312:BG313" si="567">"25.98"</f>
        <v>25.98</v>
      </c>
      <c r="BH312" s="15" t="s">
        <v>522</v>
      </c>
      <c r="BI312" s="15" t="str">
        <f t="shared" ref="BI312:BI313" si="568">"22.44"</f>
        <v>22.44</v>
      </c>
      <c r="BJ312" s="15" t="s">
        <v>1156</v>
      </c>
      <c r="BK312" s="15" t="str">
        <f t="shared" ref="BK312:BK313" si="569">"25.98"</f>
        <v>25.98</v>
      </c>
      <c r="BL312" s="15" t="s">
        <v>522</v>
      </c>
      <c r="BM312" s="15" t="str">
        <f t="shared" ref="BM312:BM313" si="570">"72.75"</f>
        <v>72.75</v>
      </c>
      <c r="BN312" s="15" t="s">
        <v>3022</v>
      </c>
      <c r="BQ312" s="15" t="s">
        <v>444</v>
      </c>
      <c r="BS312" s="15" t="s">
        <v>444</v>
      </c>
      <c r="BU312" s="15" t="s">
        <v>444</v>
      </c>
      <c r="BW312" s="15" t="s">
        <v>444</v>
      </c>
      <c r="BZ312" s="15" t="s">
        <v>444</v>
      </c>
      <c r="CB312" s="15" t="s">
        <v>444</v>
      </c>
      <c r="CD312" s="15" t="s">
        <v>444</v>
      </c>
      <c r="CF312" s="15" t="s">
        <v>444</v>
      </c>
      <c r="CI312" s="15" t="s">
        <v>444</v>
      </c>
      <c r="CK312" s="15" t="s">
        <v>444</v>
      </c>
      <c r="CM312" s="15" t="s">
        <v>444</v>
      </c>
      <c r="CO312" s="15" t="s">
        <v>444</v>
      </c>
      <c r="CP312" s="15" t="str">
        <f t="shared" ref="CP312:CP313" si="571">"8.76"</f>
        <v>8.76</v>
      </c>
      <c r="CQ312" s="15" t="str">
        <f t="shared" ref="CQ312:CQ313" si="572">"0.248"</f>
        <v>0.248</v>
      </c>
      <c r="CR312" s="15" t="s">
        <v>497</v>
      </c>
      <c r="DC312" s="15" t="str">
        <f>IFERROR(__xludf.DUMMYFUNCTION("""COMPUTED_VALUE"""),"")</f>
        <v/>
      </c>
      <c r="DE312" s="15" t="str">
        <f>IFERROR(__xludf.DUMMYFUNCTION("""COMPUTED_VALUE"""),"")</f>
        <v/>
      </c>
      <c r="DG312" s="15" t="str">
        <f>IFERROR(__xludf.DUMMYFUNCTION("""COMPUTED_VALUE"""),"")</f>
        <v/>
      </c>
      <c r="DL312" s="15" t="str">
        <f>IFERROR(__xludf.DUMMYFUNCTION("""COMPUTED_VALUE"""),"")</f>
        <v/>
      </c>
      <c r="DM312" s="15" t="s">
        <v>444</v>
      </c>
      <c r="DN312" s="15" t="s">
        <v>418</v>
      </c>
      <c r="DO312" s="15">
        <v>3.0</v>
      </c>
      <c r="DP312" s="15" t="s">
        <v>419</v>
      </c>
      <c r="DR312" s="15">
        <v>0.0</v>
      </c>
      <c r="DT312" s="15" t="s">
        <v>420</v>
      </c>
      <c r="DU312" s="15" t="s">
        <v>421</v>
      </c>
      <c r="DY312" s="15">
        <v>0.0</v>
      </c>
      <c r="EF312" s="15" t="s">
        <v>471</v>
      </c>
      <c r="EG312" s="15" t="s">
        <v>472</v>
      </c>
      <c r="EH312" s="15" t="s">
        <v>4115</v>
      </c>
      <c r="EJ312" s="15" t="s">
        <v>500</v>
      </c>
      <c r="EK312" s="15" t="s">
        <v>501</v>
      </c>
      <c r="EM312" s="15" t="str">
        <f>IFERROR(__xludf.DUMMYFUNCTION("""COMPUTED_VALUE"""),"")</f>
        <v/>
      </c>
      <c r="EW312" s="15" t="s">
        <v>1040</v>
      </c>
      <c r="FL312" s="15" t="s">
        <v>426</v>
      </c>
      <c r="FM312" s="15">
        <v>0.0</v>
      </c>
      <c r="GH312" s="15">
        <v>0.0</v>
      </c>
      <c r="GI312" s="15" t="s">
        <v>427</v>
      </c>
      <c r="GO312" s="15" t="s">
        <v>426</v>
      </c>
      <c r="GQ312" s="15" t="s">
        <v>3154</v>
      </c>
      <c r="GR312" s="15" t="s">
        <v>3154</v>
      </c>
      <c r="GS312" s="15" t="s">
        <v>4186</v>
      </c>
      <c r="GT312" s="15" t="s">
        <v>4186</v>
      </c>
      <c r="GU312" s="15" t="s">
        <v>4187</v>
      </c>
      <c r="GV312" s="15" t="s">
        <v>2841</v>
      </c>
      <c r="GW312" s="15" t="s">
        <v>431</v>
      </c>
      <c r="GY312" s="15" t="s">
        <v>764</v>
      </c>
    </row>
    <row r="313" ht="15.75" customHeight="1">
      <c r="A313" s="14" t="s">
        <v>391</v>
      </c>
      <c r="B313" s="15" t="s">
        <v>4182</v>
      </c>
      <c r="C313" s="16"/>
      <c r="D313" s="15" t="s">
        <v>432</v>
      </c>
      <c r="G313" s="14" t="s">
        <v>393</v>
      </c>
      <c r="H313" s="14" t="s">
        <v>394</v>
      </c>
      <c r="I313" s="14" t="b">
        <v>1</v>
      </c>
      <c r="J313" s="14" t="s">
        <v>395</v>
      </c>
      <c r="L313" s="14" t="b">
        <v>0</v>
      </c>
      <c r="M313" s="15" t="s">
        <v>4188</v>
      </c>
      <c r="N313" s="14" t="s">
        <v>393</v>
      </c>
      <c r="O313" s="14" t="s">
        <v>393</v>
      </c>
      <c r="P313" s="15" t="s">
        <v>397</v>
      </c>
      <c r="Q313" s="15" t="s">
        <v>4131</v>
      </c>
      <c r="T313" s="14" t="b">
        <v>0</v>
      </c>
      <c r="U313" s="15" t="s">
        <v>4189</v>
      </c>
      <c r="V313" s="15" t="s">
        <v>3108</v>
      </c>
      <c r="W313" s="15" t="s">
        <v>401</v>
      </c>
      <c r="X313" s="15" t="s">
        <v>742</v>
      </c>
      <c r="Y313" s="15">
        <v>715.0</v>
      </c>
      <c r="AA313" s="15" t="str">
        <f t="shared" si="566"/>
        <v>275</v>
      </c>
      <c r="AB313" s="14" t="b">
        <v>1</v>
      </c>
      <c r="AC313" s="14" t="b">
        <v>1</v>
      </c>
      <c r="AD313" s="15" t="str">
        <f>"801542098810"</f>
        <v>801542098810</v>
      </c>
      <c r="AE313" s="15" t="s">
        <v>4190</v>
      </c>
      <c r="AF313" s="14" t="s">
        <v>404</v>
      </c>
      <c r="AG313" s="14" t="s">
        <v>405</v>
      </c>
      <c r="AH313" s="14" t="s">
        <v>406</v>
      </c>
      <c r="AI313" s="15">
        <v>0.0</v>
      </c>
      <c r="AL313" s="15" t="s">
        <v>2283</v>
      </c>
      <c r="AM313" s="15" t="s">
        <v>2059</v>
      </c>
      <c r="AN313" s="15" t="s">
        <v>2060</v>
      </c>
      <c r="AO313" s="15" t="s">
        <v>809</v>
      </c>
      <c r="AP313" s="15" t="s">
        <v>810</v>
      </c>
      <c r="AQ313" s="15" t="s">
        <v>1175</v>
      </c>
      <c r="AR313" s="15" t="s">
        <v>1176</v>
      </c>
      <c r="AS313" s="15" t="s">
        <v>1896</v>
      </c>
      <c r="AT313" s="15" t="s">
        <v>4131</v>
      </c>
      <c r="AU313" s="15" t="s">
        <v>4110</v>
      </c>
      <c r="AW313" s="15" t="s">
        <v>628</v>
      </c>
      <c r="AY313" s="15" t="s">
        <v>413</v>
      </c>
      <c r="AZ313" s="15" t="b">
        <v>0</v>
      </c>
      <c r="BA313" s="15" t="s">
        <v>413</v>
      </c>
      <c r="BB313" s="15" t="b">
        <v>0</v>
      </c>
      <c r="BD313" s="15" t="s">
        <v>742</v>
      </c>
      <c r="BE313" s="15" t="str">
        <f t="shared" si="531"/>
        <v>1</v>
      </c>
      <c r="BF313" s="15" t="s">
        <v>2043</v>
      </c>
      <c r="BG313" s="15" t="str">
        <f t="shared" si="567"/>
        <v>25.98</v>
      </c>
      <c r="BH313" s="15" t="s">
        <v>522</v>
      </c>
      <c r="BI313" s="15" t="str">
        <f t="shared" si="568"/>
        <v>22.44</v>
      </c>
      <c r="BJ313" s="15" t="s">
        <v>1156</v>
      </c>
      <c r="BK313" s="15" t="str">
        <f t="shared" si="569"/>
        <v>25.98</v>
      </c>
      <c r="BL313" s="15" t="s">
        <v>522</v>
      </c>
      <c r="BM313" s="15" t="str">
        <f t="shared" si="570"/>
        <v>72.75</v>
      </c>
      <c r="BN313" s="15" t="s">
        <v>3022</v>
      </c>
      <c r="BQ313" s="15" t="s">
        <v>444</v>
      </c>
      <c r="BS313" s="15" t="s">
        <v>444</v>
      </c>
      <c r="BU313" s="15" t="s">
        <v>444</v>
      </c>
      <c r="BW313" s="15" t="s">
        <v>444</v>
      </c>
      <c r="BZ313" s="15" t="s">
        <v>444</v>
      </c>
      <c r="CB313" s="15" t="s">
        <v>444</v>
      </c>
      <c r="CD313" s="15" t="s">
        <v>444</v>
      </c>
      <c r="CF313" s="15" t="s">
        <v>444</v>
      </c>
      <c r="CI313" s="15" t="s">
        <v>444</v>
      </c>
      <c r="CK313" s="15" t="s">
        <v>444</v>
      </c>
      <c r="CM313" s="15" t="s">
        <v>444</v>
      </c>
      <c r="CO313" s="15" t="s">
        <v>444</v>
      </c>
      <c r="CP313" s="15" t="str">
        <f t="shared" si="571"/>
        <v>8.76</v>
      </c>
      <c r="CQ313" s="15" t="str">
        <f t="shared" si="572"/>
        <v>0.248</v>
      </c>
      <c r="CR313" s="15" t="s">
        <v>417</v>
      </c>
      <c r="DC313" s="15" t="str">
        <f>IFERROR(__xludf.DUMMYFUNCTION("""COMPUTED_VALUE"""),"")</f>
        <v/>
      </c>
      <c r="DE313" s="15" t="str">
        <f>IFERROR(__xludf.DUMMYFUNCTION("""COMPUTED_VALUE"""),"")</f>
        <v/>
      </c>
      <c r="DG313" s="15" t="str">
        <f>IFERROR(__xludf.DUMMYFUNCTION("""COMPUTED_VALUE"""),"")</f>
        <v/>
      </c>
      <c r="DL313" s="15" t="str">
        <f>IFERROR(__xludf.DUMMYFUNCTION("""COMPUTED_VALUE"""),"")</f>
        <v/>
      </c>
      <c r="DM313" s="15" t="s">
        <v>444</v>
      </c>
      <c r="DN313" s="15" t="s">
        <v>418</v>
      </c>
      <c r="DO313" s="15">
        <v>3.0</v>
      </c>
      <c r="DP313" s="15" t="s">
        <v>419</v>
      </c>
      <c r="DR313" s="15">
        <v>0.0</v>
      </c>
      <c r="DT313" s="15" t="s">
        <v>420</v>
      </c>
      <c r="DU313" s="15" t="s">
        <v>421</v>
      </c>
      <c r="DY313" s="15">
        <v>0.0</v>
      </c>
      <c r="EF313" s="15" t="s">
        <v>471</v>
      </c>
      <c r="EG313" s="15" t="s">
        <v>472</v>
      </c>
      <c r="EH313" s="15" t="s">
        <v>4115</v>
      </c>
      <c r="EJ313" s="15" t="s">
        <v>500</v>
      </c>
      <c r="EK313" s="15" t="s">
        <v>501</v>
      </c>
      <c r="EM313" s="15" t="str">
        <f>IFERROR(__xludf.DUMMYFUNCTION("""COMPUTED_VALUE"""),"")</f>
        <v/>
      </c>
      <c r="EW313" s="15" t="s">
        <v>1040</v>
      </c>
      <c r="FL313" s="15" t="s">
        <v>426</v>
      </c>
      <c r="FM313" s="15">
        <v>0.0</v>
      </c>
      <c r="GH313" s="15">
        <v>0.0</v>
      </c>
      <c r="GI313" s="15" t="s">
        <v>427</v>
      </c>
      <c r="GO313" s="15" t="s">
        <v>426</v>
      </c>
      <c r="GQ313" s="15" t="s">
        <v>3154</v>
      </c>
      <c r="GR313" s="15" t="s">
        <v>3154</v>
      </c>
      <c r="GS313" s="15" t="s">
        <v>4186</v>
      </c>
      <c r="GT313" s="15" t="s">
        <v>4186</v>
      </c>
      <c r="GU313" s="15" t="s">
        <v>4187</v>
      </c>
      <c r="GV313" s="15" t="s">
        <v>2841</v>
      </c>
      <c r="GW313" s="15" t="s">
        <v>431</v>
      </c>
      <c r="GY313" s="15" t="s">
        <v>764</v>
      </c>
    </row>
    <row r="314" ht="15.75" customHeight="1">
      <c r="A314" s="14" t="s">
        <v>391</v>
      </c>
      <c r="B314" s="15" t="s">
        <v>4191</v>
      </c>
      <c r="C314" s="16"/>
      <c r="D314" s="15" t="s">
        <v>432</v>
      </c>
      <c r="G314" s="14" t="s">
        <v>393</v>
      </c>
      <c r="H314" s="14" t="s">
        <v>394</v>
      </c>
      <c r="I314" s="14" t="b">
        <v>1</v>
      </c>
      <c r="J314" s="14" t="s">
        <v>395</v>
      </c>
      <c r="L314" s="14" t="b">
        <v>0</v>
      </c>
      <c r="M314" s="15" t="s">
        <v>4192</v>
      </c>
      <c r="N314" s="14" t="s">
        <v>393</v>
      </c>
      <c r="O314" s="14" t="s">
        <v>393</v>
      </c>
      <c r="P314" s="15" t="s">
        <v>397</v>
      </c>
      <c r="Q314" s="15" t="s">
        <v>4104</v>
      </c>
      <c r="T314" s="14" t="b">
        <v>0</v>
      </c>
      <c r="U314" s="15" t="s">
        <v>4193</v>
      </c>
      <c r="V314" s="15" t="s">
        <v>4194</v>
      </c>
      <c r="W314" s="15" t="s">
        <v>401</v>
      </c>
      <c r="X314" s="15" t="s">
        <v>742</v>
      </c>
      <c r="Y314" s="15">
        <v>2080.0</v>
      </c>
      <c r="AA314" s="15" t="str">
        <f>"800"</f>
        <v>800</v>
      </c>
      <c r="AB314" s="14" t="b">
        <v>1</v>
      </c>
      <c r="AC314" s="14" t="b">
        <v>1</v>
      </c>
      <c r="AD314" s="15" t="str">
        <f>"801542010881"</f>
        <v>801542010881</v>
      </c>
      <c r="AE314" s="15" t="s">
        <v>4195</v>
      </c>
      <c r="AF314" s="14" t="s">
        <v>404</v>
      </c>
      <c r="AG314" s="14" t="s">
        <v>405</v>
      </c>
      <c r="AH314" s="14" t="s">
        <v>406</v>
      </c>
      <c r="AI314" s="15">
        <v>0.0</v>
      </c>
      <c r="AL314" s="15" t="s">
        <v>2283</v>
      </c>
      <c r="AM314" s="15" t="s">
        <v>4196</v>
      </c>
      <c r="AN314" s="15" t="s">
        <v>3371</v>
      </c>
      <c r="AO314" s="15" t="s">
        <v>1248</v>
      </c>
      <c r="AP314" s="15" t="s">
        <v>1249</v>
      </c>
      <c r="AQ314" s="15" t="s">
        <v>1801</v>
      </c>
      <c r="AR314" s="15" t="s">
        <v>1322</v>
      </c>
      <c r="AS314" s="15" t="s">
        <v>1896</v>
      </c>
      <c r="AT314" s="15" t="s">
        <v>4104</v>
      </c>
      <c r="AU314" s="15" t="s">
        <v>4110</v>
      </c>
      <c r="AW314" s="15" t="s">
        <v>664</v>
      </c>
      <c r="AY314" s="15" t="s">
        <v>413</v>
      </c>
      <c r="AZ314" s="15" t="b">
        <v>0</v>
      </c>
      <c r="BA314" s="15" t="s">
        <v>413</v>
      </c>
      <c r="BB314" s="15" t="b">
        <v>0</v>
      </c>
      <c r="BC314" s="15" t="s">
        <v>4197</v>
      </c>
      <c r="BD314" s="15" t="s">
        <v>742</v>
      </c>
      <c r="BE314" s="15" t="str">
        <f t="shared" si="531"/>
        <v>1</v>
      </c>
      <c r="BF314" s="15" t="s">
        <v>416</v>
      </c>
      <c r="BG314" s="15" t="str">
        <f>"78.35"</f>
        <v>78.35</v>
      </c>
      <c r="BH314" s="15" t="s">
        <v>4198</v>
      </c>
      <c r="BI314" s="15" t="str">
        <f>"24.41"</f>
        <v>24.41</v>
      </c>
      <c r="BJ314" s="15" t="s">
        <v>796</v>
      </c>
      <c r="BK314" s="15" t="str">
        <f>"31.69"</f>
        <v>31.69</v>
      </c>
      <c r="BL314" s="15" t="s">
        <v>3110</v>
      </c>
      <c r="BM314" s="15" t="str">
        <f>"199.52"</f>
        <v>199.52</v>
      </c>
      <c r="BN314" s="15" t="s">
        <v>4199</v>
      </c>
      <c r="BQ314" s="15" t="s">
        <v>444</v>
      </c>
      <c r="BS314" s="15" t="s">
        <v>444</v>
      </c>
      <c r="BU314" s="15" t="s">
        <v>444</v>
      </c>
      <c r="BW314" s="15" t="s">
        <v>444</v>
      </c>
      <c r="BZ314" s="15" t="s">
        <v>444</v>
      </c>
      <c r="CB314" s="15" t="s">
        <v>444</v>
      </c>
      <c r="CD314" s="15" t="s">
        <v>444</v>
      </c>
      <c r="CF314" s="15" t="s">
        <v>444</v>
      </c>
      <c r="CI314" s="15" t="s">
        <v>444</v>
      </c>
      <c r="CK314" s="15" t="s">
        <v>444</v>
      </c>
      <c r="CM314" s="15" t="s">
        <v>444</v>
      </c>
      <c r="CO314" s="15" t="s">
        <v>444</v>
      </c>
      <c r="CP314" s="15" t="str">
        <f>"35.07"</f>
        <v>35.07</v>
      </c>
      <c r="CQ314" s="15" t="str">
        <f>"0.993"</f>
        <v>0.993</v>
      </c>
      <c r="CR314" s="15" t="s">
        <v>465</v>
      </c>
      <c r="CV314" s="15" t="s">
        <v>823</v>
      </c>
      <c r="CW314" s="15" t="s">
        <v>4200</v>
      </c>
      <c r="CX314" s="15" t="s">
        <v>2360</v>
      </c>
      <c r="DC314" s="15" t="str">
        <f>IFERROR(__xludf.DUMMYFUNCTION("""COMPUTED_VALUE"""),"")</f>
        <v/>
      </c>
      <c r="DE314" s="15" t="str">
        <f>IFERROR(__xludf.DUMMYFUNCTION("""COMPUTED_VALUE"""),"")</f>
        <v/>
      </c>
      <c r="DG314" s="15" t="str">
        <f>IFERROR(__xludf.DUMMYFUNCTION("""COMPUTED_VALUE"""),"")</f>
        <v/>
      </c>
      <c r="DL314" s="15" t="str">
        <f>IFERROR(__xludf.DUMMYFUNCTION("""COMPUTED_VALUE"""),"")</f>
        <v/>
      </c>
      <c r="DM314" s="15" t="s">
        <v>444</v>
      </c>
      <c r="DN314" s="15" t="s">
        <v>419</v>
      </c>
      <c r="DO314" s="15">
        <v>0.0</v>
      </c>
      <c r="DP314" s="15" t="s">
        <v>419</v>
      </c>
      <c r="DR314" s="15">
        <v>0.0</v>
      </c>
      <c r="DT314" s="15" t="s">
        <v>420</v>
      </c>
      <c r="DU314" s="15" t="s">
        <v>610</v>
      </c>
      <c r="DW314" s="15">
        <v>18.14</v>
      </c>
      <c r="DX314" s="15">
        <v>40.0</v>
      </c>
      <c r="DY314" s="15">
        <v>2.0</v>
      </c>
      <c r="EG314" s="15" t="s">
        <v>444</v>
      </c>
      <c r="EH314" s="15" t="s">
        <v>4115</v>
      </c>
      <c r="EJ314" s="15" t="s">
        <v>424</v>
      </c>
      <c r="EK314" s="15" t="s">
        <v>446</v>
      </c>
      <c r="EM314" s="15" t="str">
        <f>IFERROR(__xludf.DUMMYFUNCTION("""COMPUTED_VALUE"""),"")</f>
        <v/>
      </c>
      <c r="EW314" s="15" t="s">
        <v>1040</v>
      </c>
      <c r="FL314" s="15" t="s">
        <v>426</v>
      </c>
      <c r="FM314" s="15">
        <v>2.0</v>
      </c>
      <c r="FY314" s="15" t="s">
        <v>4201</v>
      </c>
      <c r="FZ314" s="15" t="s">
        <v>782</v>
      </c>
      <c r="GA314" s="15" t="s">
        <v>1014</v>
      </c>
      <c r="GB314" s="15" t="s">
        <v>823</v>
      </c>
      <c r="GC314" s="15" t="s">
        <v>782</v>
      </c>
      <c r="GD314" s="15" t="s">
        <v>2360</v>
      </c>
      <c r="GE314" s="15">
        <v>0.0</v>
      </c>
      <c r="GG314" s="15" t="s">
        <v>785</v>
      </c>
      <c r="GH314" s="15">
        <v>4.0</v>
      </c>
      <c r="GI314" s="15" t="s">
        <v>3133</v>
      </c>
      <c r="GJ314" s="15" t="s">
        <v>615</v>
      </c>
      <c r="GK314" s="15">
        <v>0.0</v>
      </c>
      <c r="GL314" s="15" t="s">
        <v>426</v>
      </c>
      <c r="GN314" s="15" t="s">
        <v>616</v>
      </c>
      <c r="HA314" s="15" t="s">
        <v>823</v>
      </c>
      <c r="HB314" s="15" t="s">
        <v>4200</v>
      </c>
      <c r="HC314" s="15" t="s">
        <v>2360</v>
      </c>
      <c r="HW314" s="15" t="s">
        <v>1957</v>
      </c>
      <c r="IH314" s="15" t="s">
        <v>426</v>
      </c>
      <c r="LF314" s="15" t="s">
        <v>2604</v>
      </c>
    </row>
    <row r="315" ht="15.75" customHeight="1">
      <c r="A315" s="14" t="s">
        <v>391</v>
      </c>
      <c r="B315" s="15" t="s">
        <v>4202</v>
      </c>
      <c r="C315" s="16"/>
      <c r="D315" s="15" t="s">
        <v>432</v>
      </c>
      <c r="G315" s="14" t="s">
        <v>393</v>
      </c>
      <c r="H315" s="14" t="s">
        <v>394</v>
      </c>
      <c r="I315" s="14" t="b">
        <v>1</v>
      </c>
      <c r="J315" s="14" t="s">
        <v>395</v>
      </c>
      <c r="L315" s="14" t="b">
        <v>0</v>
      </c>
      <c r="M315" s="15" t="s">
        <v>4203</v>
      </c>
      <c r="N315" s="14" t="s">
        <v>393</v>
      </c>
      <c r="O315" s="14" t="s">
        <v>393</v>
      </c>
      <c r="P315" s="15" t="s">
        <v>397</v>
      </c>
      <c r="Q315" s="15" t="s">
        <v>4204</v>
      </c>
      <c r="T315" s="14" t="b">
        <v>0</v>
      </c>
      <c r="U315" s="15" t="s">
        <v>4205</v>
      </c>
      <c r="V315" s="15" t="s">
        <v>4206</v>
      </c>
      <c r="W315" s="15" t="s">
        <v>401</v>
      </c>
      <c r="X315" s="15" t="s">
        <v>695</v>
      </c>
      <c r="Y315" s="15">
        <v>988.0</v>
      </c>
      <c r="AA315" s="15" t="str">
        <f>"380"</f>
        <v>380</v>
      </c>
      <c r="AB315" s="14" t="b">
        <v>1</v>
      </c>
      <c r="AC315" s="14" t="b">
        <v>1</v>
      </c>
      <c r="AD315" s="15" t="str">
        <f>"801542359546"</f>
        <v>801542359546</v>
      </c>
      <c r="AE315" s="15" t="s">
        <v>4207</v>
      </c>
      <c r="AF315" s="14" t="s">
        <v>404</v>
      </c>
      <c r="AG315" s="14" t="s">
        <v>405</v>
      </c>
      <c r="AH315" s="14" t="s">
        <v>406</v>
      </c>
      <c r="AI315" s="15">
        <v>0.0</v>
      </c>
      <c r="AL315" s="15" t="s">
        <v>4208</v>
      </c>
      <c r="AM315" s="15" t="s">
        <v>4209</v>
      </c>
      <c r="AN315" s="15" t="s">
        <v>4011</v>
      </c>
      <c r="AO315" s="15" t="s">
        <v>2039</v>
      </c>
      <c r="AP315" s="15" t="s">
        <v>2040</v>
      </c>
      <c r="AQ315" s="15" t="s">
        <v>809</v>
      </c>
      <c r="AR315" s="15" t="s">
        <v>810</v>
      </c>
      <c r="AS315" s="15" t="s">
        <v>2492</v>
      </c>
      <c r="AT315" s="15" t="s">
        <v>4204</v>
      </c>
      <c r="AU315" s="15" t="s">
        <v>2493</v>
      </c>
      <c r="AW315" s="15" t="s">
        <v>458</v>
      </c>
      <c r="AX315" s="15" t="s">
        <v>459</v>
      </c>
      <c r="AY315" s="15" t="s">
        <v>413</v>
      </c>
      <c r="AZ315" s="15" t="b">
        <v>0</v>
      </c>
      <c r="BA315" s="15" t="s">
        <v>426</v>
      </c>
      <c r="BB315" s="15" t="b">
        <v>1</v>
      </c>
      <c r="BC315" s="15" t="s">
        <v>4210</v>
      </c>
      <c r="BD315" s="15" t="s">
        <v>709</v>
      </c>
      <c r="BE315" s="15" t="str">
        <f t="shared" si="531"/>
        <v>1</v>
      </c>
      <c r="BF315" s="15" t="s">
        <v>416</v>
      </c>
      <c r="BG315" s="15" t="str">
        <f t="shared" ref="BG315:BG316" si="573">"69.69"</f>
        <v>69.69</v>
      </c>
      <c r="BH315" s="15" t="s">
        <v>4211</v>
      </c>
      <c r="BI315" s="15" t="str">
        <f t="shared" ref="BI315:BI316" si="574">"18.5"</f>
        <v>18.5</v>
      </c>
      <c r="BJ315" s="15" t="s">
        <v>810</v>
      </c>
      <c r="BK315" s="15" t="str">
        <f t="shared" ref="BK315:BK316" si="575">"21.46"</f>
        <v>21.46</v>
      </c>
      <c r="BL315" s="15" t="s">
        <v>1385</v>
      </c>
      <c r="BM315" s="15" t="str">
        <f t="shared" ref="BM315:BM316" si="576">"74.96"</f>
        <v>74.96</v>
      </c>
      <c r="BN315" s="15" t="s">
        <v>3559</v>
      </c>
      <c r="BQ315" s="15" t="s">
        <v>444</v>
      </c>
      <c r="BS315" s="15" t="s">
        <v>444</v>
      </c>
      <c r="BU315" s="15" t="s">
        <v>444</v>
      </c>
      <c r="BW315" s="15" t="s">
        <v>444</v>
      </c>
      <c r="BZ315" s="15" t="s">
        <v>444</v>
      </c>
      <c r="CB315" s="15" t="s">
        <v>444</v>
      </c>
      <c r="CD315" s="15" t="s">
        <v>444</v>
      </c>
      <c r="CF315" s="15" t="s">
        <v>444</v>
      </c>
      <c r="CI315" s="15" t="s">
        <v>444</v>
      </c>
      <c r="CK315" s="15" t="s">
        <v>444</v>
      </c>
      <c r="CM315" s="15" t="s">
        <v>444</v>
      </c>
      <c r="CO315" s="15" t="s">
        <v>444</v>
      </c>
      <c r="CP315" s="15" t="str">
        <f t="shared" ref="CP315:CP316" si="577">"16"</f>
        <v>16</v>
      </c>
      <c r="CQ315" s="15" t="str">
        <f t="shared" ref="CQ315:CQ316" si="578">"0.453"</f>
        <v>0.453</v>
      </c>
      <c r="CR315" s="15" t="s">
        <v>465</v>
      </c>
      <c r="CS315" s="15" t="s">
        <v>2178</v>
      </c>
      <c r="CT315" s="15" t="s">
        <v>1957</v>
      </c>
      <c r="CU315" s="15" t="s">
        <v>1134</v>
      </c>
      <c r="CV315" s="15" t="s">
        <v>2178</v>
      </c>
      <c r="CW315" s="15" t="s">
        <v>1608</v>
      </c>
      <c r="CX315" s="15" t="s">
        <v>1134</v>
      </c>
      <c r="CY315" s="15" t="s">
        <v>2178</v>
      </c>
      <c r="CZ315" s="15" t="s">
        <v>759</v>
      </c>
      <c r="DA315" s="15" t="s">
        <v>1134</v>
      </c>
      <c r="DB315" s="15" t="s">
        <v>2178</v>
      </c>
      <c r="DC315" s="15" t="str">
        <f>IFERROR(__xludf.DUMMYFUNCTION("""COMPUTED_VALUE"""),"{""value"":15.94,""unit"":""in""}")</f>
        <v>{"value":15.94,"unit":"in"}</v>
      </c>
      <c r="DD315" s="15" t="s">
        <v>824</v>
      </c>
      <c r="DE315" s="15" t="str">
        <f>IFERROR(__xludf.DUMMYFUNCTION("""COMPUTED_VALUE"""),"{""value"":18.50,""unit"":""in""}")</f>
        <v>{"value":18.50,"unit":"in"}</v>
      </c>
      <c r="DF315" s="15" t="s">
        <v>4212</v>
      </c>
      <c r="DG315" s="15" t="str">
        <f>IFERROR(__xludf.DUMMYFUNCTION("""COMPUTED_VALUE"""),"{""value"":66.39,""unit"":""in""}")</f>
        <v>{"value":66.39,"unit":"in"}</v>
      </c>
      <c r="DH315" s="15">
        <v>0.0</v>
      </c>
      <c r="DI315" s="15">
        <v>0.0</v>
      </c>
      <c r="DJ315" s="15" t="s">
        <v>469</v>
      </c>
      <c r="DK315" s="15" t="s">
        <v>855</v>
      </c>
      <c r="DL315" s="15" t="str">
        <f>IFERROR(__xludf.DUMMYFUNCTION("""COMPUTED_VALUE"""),"Clean with solvent-based (dry clean only) products. Do not use water.")</f>
        <v>Clean with solvent-based (dry clean only) products. Do not use water.</v>
      </c>
      <c r="DM315" s="15" t="s">
        <v>856</v>
      </c>
      <c r="DN315" s="15" t="s">
        <v>419</v>
      </c>
      <c r="DO315" s="15">
        <v>0.0</v>
      </c>
      <c r="DP315" s="15" t="s">
        <v>419</v>
      </c>
      <c r="DQ315" s="15" t="s">
        <v>2502</v>
      </c>
      <c r="DR315" s="15">
        <v>1.0</v>
      </c>
      <c r="DS315" s="15" t="s">
        <v>426</v>
      </c>
      <c r="DT315" s="15" t="s">
        <v>721</v>
      </c>
      <c r="DU315" s="15" t="s">
        <v>1914</v>
      </c>
      <c r="DV315" s="15">
        <v>0.0</v>
      </c>
      <c r="DW315" s="15">
        <v>18.14</v>
      </c>
      <c r="DX315" s="15">
        <v>40.0</v>
      </c>
      <c r="DY315" s="15">
        <v>0.0</v>
      </c>
      <c r="DZ315" s="15">
        <v>15000.0</v>
      </c>
      <c r="EA315" s="15" t="s">
        <v>470</v>
      </c>
      <c r="EB315" s="15" t="s">
        <v>723</v>
      </c>
      <c r="EC315" s="15" t="s">
        <v>724</v>
      </c>
      <c r="ED315" s="15">
        <v>1.0</v>
      </c>
      <c r="EE315" s="15">
        <v>3.0</v>
      </c>
      <c r="EF315" s="15" t="s">
        <v>471</v>
      </c>
      <c r="EG315" s="15" t="s">
        <v>472</v>
      </c>
      <c r="EH315" s="15" t="s">
        <v>4213</v>
      </c>
      <c r="EI315" s="15">
        <v>0.0</v>
      </c>
      <c r="EJ315" s="15" t="s">
        <v>473</v>
      </c>
      <c r="EK315" s="15" t="s">
        <v>474</v>
      </c>
      <c r="EM315" s="15" t="str">
        <f>IFERROR(__xludf.DUMMYFUNCTION("""COMPUTED_VALUE"""),"")</f>
        <v/>
      </c>
    </row>
    <row r="316" ht="15.75" customHeight="1">
      <c r="A316" s="14" t="s">
        <v>391</v>
      </c>
      <c r="B316" s="15" t="s">
        <v>4202</v>
      </c>
      <c r="C316" s="16"/>
      <c r="D316" s="15" t="s">
        <v>432</v>
      </c>
      <c r="G316" s="14" t="s">
        <v>393</v>
      </c>
      <c r="H316" s="14" t="s">
        <v>394</v>
      </c>
      <c r="I316" s="14" t="b">
        <v>1</v>
      </c>
      <c r="J316" s="14" t="s">
        <v>395</v>
      </c>
      <c r="L316" s="14" t="b">
        <v>0</v>
      </c>
      <c r="M316" s="15" t="s">
        <v>4214</v>
      </c>
      <c r="N316" s="14" t="s">
        <v>393</v>
      </c>
      <c r="O316" s="14" t="s">
        <v>393</v>
      </c>
      <c r="P316" s="15" t="s">
        <v>397</v>
      </c>
      <c r="Q316" s="15" t="s">
        <v>1350</v>
      </c>
      <c r="T316" s="14" t="b">
        <v>0</v>
      </c>
      <c r="U316" s="15" t="s">
        <v>4215</v>
      </c>
      <c r="V316" s="15" t="s">
        <v>4206</v>
      </c>
      <c r="W316" s="15" t="s">
        <v>401</v>
      </c>
      <c r="X316" s="15" t="s">
        <v>695</v>
      </c>
      <c r="Y316" s="15">
        <v>1040.0</v>
      </c>
      <c r="AA316" s="15" t="str">
        <f>"400"</f>
        <v>400</v>
      </c>
      <c r="AB316" s="14" t="b">
        <v>1</v>
      </c>
      <c r="AC316" s="14" t="b">
        <v>1</v>
      </c>
      <c r="AD316" s="15" t="str">
        <f>"801542113728"</f>
        <v>801542113728</v>
      </c>
      <c r="AE316" s="15" t="s">
        <v>4216</v>
      </c>
      <c r="AF316" s="14" t="s">
        <v>404</v>
      </c>
      <c r="AG316" s="14" t="s">
        <v>405</v>
      </c>
      <c r="AH316" s="14" t="s">
        <v>406</v>
      </c>
      <c r="AI316" s="15">
        <v>0.0</v>
      </c>
      <c r="AL316" s="15" t="s">
        <v>2527</v>
      </c>
      <c r="AM316" s="15" t="s">
        <v>4209</v>
      </c>
      <c r="AN316" s="15" t="s">
        <v>4011</v>
      </c>
      <c r="AO316" s="15" t="s">
        <v>2039</v>
      </c>
      <c r="AP316" s="15" t="s">
        <v>2040</v>
      </c>
      <c r="AQ316" s="15" t="s">
        <v>809</v>
      </c>
      <c r="AR316" s="15" t="s">
        <v>810</v>
      </c>
      <c r="AS316" s="15" t="s">
        <v>2492</v>
      </c>
      <c r="AT316" s="15" t="s">
        <v>1350</v>
      </c>
      <c r="AU316" s="15" t="s">
        <v>2493</v>
      </c>
      <c r="AW316" s="15" t="s">
        <v>458</v>
      </c>
      <c r="AX316" s="15" t="s">
        <v>459</v>
      </c>
      <c r="AY316" s="15" t="s">
        <v>413</v>
      </c>
      <c r="AZ316" s="15" t="b">
        <v>0</v>
      </c>
      <c r="BA316" s="15" t="s">
        <v>413</v>
      </c>
      <c r="BB316" s="15" t="b">
        <v>0</v>
      </c>
      <c r="BC316" s="15" t="s">
        <v>4217</v>
      </c>
      <c r="BD316" s="15" t="s">
        <v>709</v>
      </c>
      <c r="BE316" s="15" t="str">
        <f t="shared" si="531"/>
        <v>1</v>
      </c>
      <c r="BF316" s="15" t="s">
        <v>416</v>
      </c>
      <c r="BG316" s="15" t="str">
        <f t="shared" si="573"/>
        <v>69.69</v>
      </c>
      <c r="BH316" s="15" t="s">
        <v>4211</v>
      </c>
      <c r="BI316" s="15" t="str">
        <f t="shared" si="574"/>
        <v>18.5</v>
      </c>
      <c r="BJ316" s="15" t="s">
        <v>810</v>
      </c>
      <c r="BK316" s="15" t="str">
        <f t="shared" si="575"/>
        <v>21.46</v>
      </c>
      <c r="BL316" s="15" t="s">
        <v>1385</v>
      </c>
      <c r="BM316" s="15" t="str">
        <f t="shared" si="576"/>
        <v>74.96</v>
      </c>
      <c r="BN316" s="15" t="s">
        <v>3559</v>
      </c>
      <c r="BQ316" s="15" t="s">
        <v>444</v>
      </c>
      <c r="BS316" s="15" t="s">
        <v>444</v>
      </c>
      <c r="BU316" s="15" t="s">
        <v>444</v>
      </c>
      <c r="BW316" s="15" t="s">
        <v>444</v>
      </c>
      <c r="BZ316" s="15" t="s">
        <v>444</v>
      </c>
      <c r="CB316" s="15" t="s">
        <v>444</v>
      </c>
      <c r="CD316" s="15" t="s">
        <v>444</v>
      </c>
      <c r="CF316" s="15" t="s">
        <v>444</v>
      </c>
      <c r="CI316" s="15" t="s">
        <v>444</v>
      </c>
      <c r="CK316" s="15" t="s">
        <v>444</v>
      </c>
      <c r="CM316" s="15" t="s">
        <v>444</v>
      </c>
      <c r="CO316" s="15" t="s">
        <v>444</v>
      </c>
      <c r="CP316" s="15" t="str">
        <f t="shared" si="577"/>
        <v>16</v>
      </c>
      <c r="CQ316" s="15" t="str">
        <f t="shared" si="578"/>
        <v>0.453</v>
      </c>
      <c r="CR316" s="15" t="s">
        <v>417</v>
      </c>
      <c r="CS316" s="15" t="s">
        <v>2178</v>
      </c>
      <c r="CT316" s="15" t="s">
        <v>1957</v>
      </c>
      <c r="CU316" s="15" t="s">
        <v>1134</v>
      </c>
      <c r="CV316" s="15" t="s">
        <v>2178</v>
      </c>
      <c r="CW316" s="15" t="s">
        <v>1608</v>
      </c>
      <c r="CX316" s="15" t="s">
        <v>1134</v>
      </c>
      <c r="CY316" s="15" t="s">
        <v>2178</v>
      </c>
      <c r="CZ316" s="15" t="s">
        <v>759</v>
      </c>
      <c r="DA316" s="15" t="s">
        <v>1134</v>
      </c>
      <c r="DB316" s="15" t="s">
        <v>2178</v>
      </c>
      <c r="DC316" s="15" t="str">
        <f>IFERROR(__xludf.DUMMYFUNCTION("""COMPUTED_VALUE"""),"{""value"":15.94,""unit"":""in""}")</f>
        <v>{"value":15.94,"unit":"in"}</v>
      </c>
      <c r="DD316" s="15" t="s">
        <v>824</v>
      </c>
      <c r="DE316" s="15" t="str">
        <f>IFERROR(__xludf.DUMMYFUNCTION("""COMPUTED_VALUE"""),"{""value"":18.50,""unit"":""in""}")</f>
        <v>{"value":18.50,"unit":"in"}</v>
      </c>
      <c r="DF316" s="15" t="s">
        <v>4212</v>
      </c>
      <c r="DG316" s="15" t="str">
        <f>IFERROR(__xludf.DUMMYFUNCTION("""COMPUTED_VALUE"""),"{""value"":66.39,""unit"":""in""}")</f>
        <v>{"value":66.39,"unit":"in"}</v>
      </c>
      <c r="DH316" s="15">
        <v>0.0</v>
      </c>
      <c r="DI316" s="15">
        <v>0.0</v>
      </c>
      <c r="DJ316" s="15" t="s">
        <v>469</v>
      </c>
      <c r="DK316" s="15" t="s">
        <v>897</v>
      </c>
      <c r="DL316" s="15" t="str">
        <f>IFERROR(__xludf.DUMMYFUNCTION("""COMPUTED_VALUE"""),"Clean with water-based products only. Use mild detergent or upholstery shampoo.")</f>
        <v>Clean with water-based products only. Use mild detergent or upholstery shampoo.</v>
      </c>
      <c r="DM316" s="15" t="s">
        <v>898</v>
      </c>
      <c r="DN316" s="15" t="s">
        <v>419</v>
      </c>
      <c r="DO316" s="15">
        <v>0.0</v>
      </c>
      <c r="DP316" s="15" t="s">
        <v>419</v>
      </c>
      <c r="DQ316" s="15" t="s">
        <v>2502</v>
      </c>
      <c r="DR316" s="15">
        <v>1.0</v>
      </c>
      <c r="DS316" s="15" t="s">
        <v>426</v>
      </c>
      <c r="DT316" s="15" t="s">
        <v>721</v>
      </c>
      <c r="DU316" s="15" t="s">
        <v>1914</v>
      </c>
      <c r="DV316" s="15">
        <v>0.0</v>
      </c>
      <c r="DW316" s="15">
        <v>18.14</v>
      </c>
      <c r="DX316" s="15">
        <v>40.0</v>
      </c>
      <c r="DY316" s="15">
        <v>0.0</v>
      </c>
      <c r="DZ316" s="15">
        <v>15000.0</v>
      </c>
      <c r="EA316" s="15" t="s">
        <v>470</v>
      </c>
      <c r="EB316" s="15" t="s">
        <v>723</v>
      </c>
      <c r="EC316" s="15" t="s">
        <v>724</v>
      </c>
      <c r="ED316" s="15">
        <v>1.0</v>
      </c>
      <c r="EE316" s="15">
        <v>3.0</v>
      </c>
      <c r="EF316" s="15" t="s">
        <v>471</v>
      </c>
      <c r="EG316" s="15" t="s">
        <v>472</v>
      </c>
      <c r="EH316" s="15" t="s">
        <v>4213</v>
      </c>
      <c r="EI316" s="15">
        <v>0.0</v>
      </c>
      <c r="EJ316" s="15" t="s">
        <v>473</v>
      </c>
      <c r="EK316" s="15" t="s">
        <v>474</v>
      </c>
      <c r="EM316" s="15" t="str">
        <f>IFERROR(__xludf.DUMMYFUNCTION("""COMPUTED_VALUE"""),"")</f>
        <v/>
      </c>
    </row>
    <row r="317" ht="15.75" customHeight="1">
      <c r="A317" s="14" t="s">
        <v>391</v>
      </c>
      <c r="B317" s="15" t="s">
        <v>4218</v>
      </c>
      <c r="C317" s="16"/>
      <c r="D317" s="15" t="s">
        <v>432</v>
      </c>
      <c r="G317" s="14" t="s">
        <v>393</v>
      </c>
      <c r="H317" s="14" t="s">
        <v>394</v>
      </c>
      <c r="I317" s="14" t="b">
        <v>1</v>
      </c>
      <c r="J317" s="14" t="s">
        <v>395</v>
      </c>
      <c r="L317" s="14" t="b">
        <v>0</v>
      </c>
      <c r="M317" s="15" t="s">
        <v>4219</v>
      </c>
      <c r="N317" s="14" t="s">
        <v>393</v>
      </c>
      <c r="O317" s="14" t="s">
        <v>393</v>
      </c>
      <c r="P317" s="15" t="s">
        <v>397</v>
      </c>
      <c r="Q317" s="15" t="s">
        <v>3814</v>
      </c>
      <c r="T317" s="14" t="b">
        <v>0</v>
      </c>
      <c r="U317" s="15" t="s">
        <v>4220</v>
      </c>
      <c r="V317" s="15" t="s">
        <v>4221</v>
      </c>
      <c r="W317" s="15" t="s">
        <v>401</v>
      </c>
      <c r="X317" s="15" t="s">
        <v>695</v>
      </c>
      <c r="Y317" s="15">
        <v>884.0</v>
      </c>
      <c r="AA317" s="15" t="str">
        <f>"340"</f>
        <v>340</v>
      </c>
      <c r="AB317" s="14" t="b">
        <v>1</v>
      </c>
      <c r="AC317" s="14" t="b">
        <v>1</v>
      </c>
      <c r="AD317" s="15" t="str">
        <f>"801542632397"</f>
        <v>801542632397</v>
      </c>
      <c r="AE317" s="15" t="s">
        <v>4222</v>
      </c>
      <c r="AF317" s="14" t="s">
        <v>404</v>
      </c>
      <c r="AG317" s="14" t="s">
        <v>405</v>
      </c>
      <c r="AH317" s="14" t="s">
        <v>406</v>
      </c>
      <c r="AI317" s="15">
        <v>0.0</v>
      </c>
      <c r="AL317" s="15" t="s">
        <v>4223</v>
      </c>
      <c r="AM317" s="15" t="s">
        <v>3442</v>
      </c>
      <c r="AN317" s="15" t="s">
        <v>3443</v>
      </c>
      <c r="AO317" s="15" t="s">
        <v>3442</v>
      </c>
      <c r="AP317" s="15" t="s">
        <v>3443</v>
      </c>
      <c r="AQ317" s="15" t="s">
        <v>4224</v>
      </c>
      <c r="AR317" s="15" t="s">
        <v>4225</v>
      </c>
      <c r="AS317" s="15" t="s">
        <v>2800</v>
      </c>
      <c r="AT317" s="15" t="s">
        <v>3814</v>
      </c>
      <c r="AU317" s="15" t="s">
        <v>1850</v>
      </c>
      <c r="AV317" s="15" t="s">
        <v>4226</v>
      </c>
      <c r="AW317" s="15" t="s">
        <v>1009</v>
      </c>
      <c r="AY317" s="15" t="s">
        <v>413</v>
      </c>
      <c r="AZ317" s="15" t="b">
        <v>0</v>
      </c>
      <c r="BA317" s="15" t="s">
        <v>426</v>
      </c>
      <c r="BB317" s="15" t="b">
        <v>1</v>
      </c>
      <c r="BC317" s="15" t="s">
        <v>4227</v>
      </c>
      <c r="BD317" s="15" t="s">
        <v>709</v>
      </c>
      <c r="BE317" s="15" t="str">
        <f t="shared" si="531"/>
        <v>1</v>
      </c>
      <c r="BF317" s="15" t="s">
        <v>416</v>
      </c>
      <c r="BG317" s="15" t="str">
        <f t="shared" ref="BG317:BG318" si="579">"38.19"</f>
        <v>38.19</v>
      </c>
      <c r="BH317" s="15" t="s">
        <v>3531</v>
      </c>
      <c r="BI317" s="15" t="str">
        <f t="shared" ref="BI317:BI318" si="580">"38.19"</f>
        <v>38.19</v>
      </c>
      <c r="BJ317" s="15" t="s">
        <v>3531</v>
      </c>
      <c r="BK317" s="15" t="str">
        <f t="shared" ref="BK317:BK318" si="581">"18.5"</f>
        <v>18.5</v>
      </c>
      <c r="BL317" s="15" t="s">
        <v>810</v>
      </c>
      <c r="BM317" s="15" t="str">
        <f t="shared" ref="BM317:BM318" si="582">"54.45"</f>
        <v>54.45</v>
      </c>
      <c r="BN317" s="15" t="s">
        <v>4228</v>
      </c>
      <c r="BQ317" s="15" t="s">
        <v>444</v>
      </c>
      <c r="BS317" s="15" t="s">
        <v>444</v>
      </c>
      <c r="BU317" s="15" t="s">
        <v>444</v>
      </c>
      <c r="BW317" s="15" t="s">
        <v>444</v>
      </c>
      <c r="BZ317" s="15" t="s">
        <v>444</v>
      </c>
      <c r="CB317" s="15" t="s">
        <v>444</v>
      </c>
      <c r="CD317" s="15" t="s">
        <v>444</v>
      </c>
      <c r="CF317" s="15" t="s">
        <v>444</v>
      </c>
      <c r="CI317" s="15" t="s">
        <v>444</v>
      </c>
      <c r="CK317" s="15" t="s">
        <v>444</v>
      </c>
      <c r="CM317" s="15" t="s">
        <v>444</v>
      </c>
      <c r="CO317" s="15" t="s">
        <v>444</v>
      </c>
      <c r="CP317" s="15" t="str">
        <f t="shared" ref="CP317:CP318" si="583">"15.61"</f>
        <v>15.61</v>
      </c>
      <c r="CQ317" s="15" t="str">
        <f t="shared" ref="CQ317:CQ318" si="584">"0.442"</f>
        <v>0.442</v>
      </c>
      <c r="CR317" s="15" t="s">
        <v>497</v>
      </c>
      <c r="DB317" s="15" t="s">
        <v>3782</v>
      </c>
      <c r="DC317" s="15" t="str">
        <f>IFERROR(__xludf.DUMMYFUNCTION("""COMPUTED_VALUE"""),"{""value"":37.01,""unit"":""in""}")</f>
        <v>{"value":37.01,"unit":"in"}</v>
      </c>
      <c r="DD317" s="15" t="s">
        <v>4178</v>
      </c>
      <c r="DE317" s="15" t="str">
        <f>IFERROR(__xludf.DUMMYFUNCTION("""COMPUTED_VALUE"""),"{""value"":16.34,""unit"":""in""}")</f>
        <v>{"value":16.34,"unit":"in"}</v>
      </c>
      <c r="DF317" s="15" t="s">
        <v>3782</v>
      </c>
      <c r="DG317" s="15" t="str">
        <f>IFERROR(__xludf.DUMMYFUNCTION("""COMPUTED_VALUE"""),"{""value"":37.01,""unit"":""in""}")</f>
        <v>{"value":37.01,"unit":"in"}</v>
      </c>
      <c r="DI317" s="15">
        <v>0.0</v>
      </c>
      <c r="DK317" s="15" t="s">
        <v>855</v>
      </c>
      <c r="DL317" s="15" t="str">
        <f>IFERROR(__xludf.DUMMYFUNCTION("""COMPUTED_VALUE"""),"Clean with solvent-based (dry clean only) products. Do not use water.")</f>
        <v>Clean with solvent-based (dry clean only) products. Do not use water.</v>
      </c>
      <c r="DM317" s="15" t="s">
        <v>856</v>
      </c>
      <c r="DT317" s="15" t="s">
        <v>721</v>
      </c>
      <c r="DU317" s="15" t="s">
        <v>419</v>
      </c>
      <c r="DV317" s="15">
        <v>0.0</v>
      </c>
      <c r="DZ317" s="15">
        <v>25000.0</v>
      </c>
      <c r="EA317" s="15" t="s">
        <v>470</v>
      </c>
      <c r="EB317" s="15" t="s">
        <v>1016</v>
      </c>
      <c r="EC317" s="15" t="s">
        <v>3514</v>
      </c>
      <c r="ED317" s="15">
        <v>1.0</v>
      </c>
      <c r="EE317" s="15">
        <v>1.0</v>
      </c>
      <c r="EF317" s="15" t="s">
        <v>1157</v>
      </c>
      <c r="EG317" s="15" t="s">
        <v>1158</v>
      </c>
      <c r="EH317" s="15" t="s">
        <v>4229</v>
      </c>
      <c r="EI317" s="15">
        <v>0.0</v>
      </c>
      <c r="EJ317" s="15" t="s">
        <v>726</v>
      </c>
      <c r="EK317" s="15" t="s">
        <v>727</v>
      </c>
      <c r="EM317" s="15" t="str">
        <f>IFERROR(__xludf.DUMMYFUNCTION("""COMPUTED_VALUE"""),"")</f>
        <v/>
      </c>
      <c r="EW317" s="15" t="s">
        <v>2464</v>
      </c>
      <c r="EX317" s="15" t="s">
        <v>3905</v>
      </c>
      <c r="EY317" s="15" t="s">
        <v>3905</v>
      </c>
      <c r="FF317" s="15" t="s">
        <v>1255</v>
      </c>
      <c r="FO317" s="15" t="s">
        <v>822</v>
      </c>
      <c r="FP317" s="15" t="s">
        <v>822</v>
      </c>
    </row>
    <row r="318" ht="15.75" customHeight="1">
      <c r="A318" s="14" t="s">
        <v>391</v>
      </c>
      <c r="B318" s="15" t="s">
        <v>4218</v>
      </c>
      <c r="C318" s="16"/>
      <c r="D318" s="15" t="s">
        <v>432</v>
      </c>
      <c r="G318" s="14" t="s">
        <v>393</v>
      </c>
      <c r="H318" s="14" t="s">
        <v>394</v>
      </c>
      <c r="I318" s="14" t="b">
        <v>1</v>
      </c>
      <c r="J318" s="14" t="s">
        <v>395</v>
      </c>
      <c r="L318" s="14" t="b">
        <v>0</v>
      </c>
      <c r="M318" s="15" t="s">
        <v>4230</v>
      </c>
      <c r="N318" s="14" t="s">
        <v>393</v>
      </c>
      <c r="O318" s="14" t="s">
        <v>393</v>
      </c>
      <c r="P318" s="15" t="s">
        <v>397</v>
      </c>
      <c r="Q318" s="15" t="s">
        <v>4231</v>
      </c>
      <c r="T318" s="14" t="b">
        <v>0</v>
      </c>
      <c r="U318" s="15" t="s">
        <v>4232</v>
      </c>
      <c r="V318" s="15" t="s">
        <v>4221</v>
      </c>
      <c r="W318" s="15" t="s">
        <v>401</v>
      </c>
      <c r="X318" s="15" t="s">
        <v>695</v>
      </c>
      <c r="Y318" s="15">
        <v>1261.0</v>
      </c>
      <c r="AA318" s="15" t="str">
        <f>"485"</f>
        <v>485</v>
      </c>
      <c r="AB318" s="14" t="b">
        <v>1</v>
      </c>
      <c r="AC318" s="14" t="b">
        <v>1</v>
      </c>
      <c r="AD318" s="15" t="str">
        <f>"801542719449"</f>
        <v>801542719449</v>
      </c>
      <c r="AE318" s="15" t="s">
        <v>4233</v>
      </c>
      <c r="AF318" s="14" t="s">
        <v>404</v>
      </c>
      <c r="AG318" s="14" t="s">
        <v>405</v>
      </c>
      <c r="AH318" s="14" t="s">
        <v>406</v>
      </c>
      <c r="AI318" s="15">
        <v>0.0</v>
      </c>
      <c r="AL318" s="15" t="s">
        <v>4234</v>
      </c>
      <c r="AM318" s="15" t="s">
        <v>3442</v>
      </c>
      <c r="AN318" s="15" t="s">
        <v>3443</v>
      </c>
      <c r="AO318" s="15" t="s">
        <v>3442</v>
      </c>
      <c r="AP318" s="15" t="s">
        <v>3443</v>
      </c>
      <c r="AQ318" s="15" t="s">
        <v>4224</v>
      </c>
      <c r="AR318" s="15" t="s">
        <v>4225</v>
      </c>
      <c r="AS318" s="15" t="s">
        <v>2800</v>
      </c>
      <c r="AT318" s="15" t="s">
        <v>4231</v>
      </c>
      <c r="AU318" s="15" t="s">
        <v>1850</v>
      </c>
      <c r="AV318" s="15" t="s">
        <v>4235</v>
      </c>
      <c r="AW318" s="15" t="s">
        <v>1009</v>
      </c>
      <c r="AY318" s="15" t="s">
        <v>413</v>
      </c>
      <c r="AZ318" s="15" t="b">
        <v>0</v>
      </c>
      <c r="BA318" s="15" t="s">
        <v>413</v>
      </c>
      <c r="BB318" s="15" t="b">
        <v>0</v>
      </c>
      <c r="BC318" s="15" t="s">
        <v>4236</v>
      </c>
      <c r="BD318" s="15" t="s">
        <v>709</v>
      </c>
      <c r="BE318" s="15" t="str">
        <f t="shared" si="531"/>
        <v>1</v>
      </c>
      <c r="BF318" s="15" t="s">
        <v>416</v>
      </c>
      <c r="BG318" s="15" t="str">
        <f t="shared" si="579"/>
        <v>38.19</v>
      </c>
      <c r="BH318" s="15" t="s">
        <v>3531</v>
      </c>
      <c r="BI318" s="15" t="str">
        <f t="shared" si="580"/>
        <v>38.19</v>
      </c>
      <c r="BJ318" s="15" t="s">
        <v>3531</v>
      </c>
      <c r="BK318" s="15" t="str">
        <f t="shared" si="581"/>
        <v>18.5</v>
      </c>
      <c r="BL318" s="15" t="s">
        <v>810</v>
      </c>
      <c r="BM318" s="15" t="str">
        <f t="shared" si="582"/>
        <v>54.45</v>
      </c>
      <c r="BN318" s="15" t="s">
        <v>4228</v>
      </c>
      <c r="BQ318" s="15" t="s">
        <v>444</v>
      </c>
      <c r="BS318" s="15" t="s">
        <v>444</v>
      </c>
      <c r="BU318" s="15" t="s">
        <v>444</v>
      </c>
      <c r="BW318" s="15" t="s">
        <v>444</v>
      </c>
      <c r="BZ318" s="15" t="s">
        <v>444</v>
      </c>
      <c r="CB318" s="15" t="s">
        <v>444</v>
      </c>
      <c r="CD318" s="15" t="s">
        <v>444</v>
      </c>
      <c r="CF318" s="15" t="s">
        <v>444</v>
      </c>
      <c r="CI318" s="15" t="s">
        <v>444</v>
      </c>
      <c r="CK318" s="15" t="s">
        <v>444</v>
      </c>
      <c r="CM318" s="15" t="s">
        <v>444</v>
      </c>
      <c r="CO318" s="15" t="s">
        <v>444</v>
      </c>
      <c r="CP318" s="15" t="str">
        <f t="shared" si="583"/>
        <v>15.61</v>
      </c>
      <c r="CQ318" s="15" t="str">
        <f t="shared" si="584"/>
        <v>0.442</v>
      </c>
      <c r="CR318" s="15" t="s">
        <v>465</v>
      </c>
      <c r="DB318" s="15" t="s">
        <v>3782</v>
      </c>
      <c r="DC318" s="15" t="str">
        <f>IFERROR(__xludf.DUMMYFUNCTION("""COMPUTED_VALUE"""),"{""value"":37.01,""unit"":""in""}")</f>
        <v>{"value":37.01,"unit":"in"}</v>
      </c>
      <c r="DD318" s="15" t="s">
        <v>4178</v>
      </c>
      <c r="DE318" s="15" t="str">
        <f>IFERROR(__xludf.DUMMYFUNCTION("""COMPUTED_VALUE"""),"{""value"":16.34,""unit"":""in""}")</f>
        <v>{"value":16.34,"unit":"in"}</v>
      </c>
      <c r="DF318" s="15" t="s">
        <v>3782</v>
      </c>
      <c r="DG318" s="15" t="str">
        <f>IFERROR(__xludf.DUMMYFUNCTION("""COMPUTED_VALUE"""),"{""value"":37.01,""unit"":""in""}")</f>
        <v>{"value":37.01,"unit":"in"}</v>
      </c>
      <c r="DI318" s="15">
        <v>0.0</v>
      </c>
      <c r="DK318" s="15" t="s">
        <v>718</v>
      </c>
      <c r="DL318" s="15" t="str">
        <f>IFERROR(__xludf.DUMMYFUNCTION("""COMPUTED_VALUE"""),"Vacuum or light brush only. Do not use water or any cleaning products.")</f>
        <v>Vacuum or light brush only. Do not use water or any cleaning products.</v>
      </c>
      <c r="DM318" s="15" t="s">
        <v>719</v>
      </c>
      <c r="DT318" s="15" t="s">
        <v>721</v>
      </c>
      <c r="DU318" s="15" t="s">
        <v>419</v>
      </c>
      <c r="DV318" s="15">
        <v>0.0</v>
      </c>
      <c r="DZ318" s="15">
        <v>0.0</v>
      </c>
      <c r="EA318" s="15" t="s">
        <v>470</v>
      </c>
      <c r="EB318" s="15" t="s">
        <v>1016</v>
      </c>
      <c r="EC318" s="15" t="s">
        <v>3514</v>
      </c>
      <c r="ED318" s="15">
        <v>1.0</v>
      </c>
      <c r="EE318" s="15">
        <v>1.0</v>
      </c>
      <c r="EF318" s="15" t="s">
        <v>1157</v>
      </c>
      <c r="EG318" s="15" t="s">
        <v>1158</v>
      </c>
      <c r="EH318" s="15" t="s">
        <v>4229</v>
      </c>
      <c r="EI318" s="15">
        <v>0.0</v>
      </c>
      <c r="EJ318" s="15" t="s">
        <v>726</v>
      </c>
      <c r="EK318" s="15" t="s">
        <v>727</v>
      </c>
      <c r="EM318" s="15" t="str">
        <f>IFERROR(__xludf.DUMMYFUNCTION("""COMPUTED_VALUE"""),"")</f>
        <v/>
      </c>
      <c r="EW318" s="15" t="s">
        <v>2464</v>
      </c>
      <c r="EX318" s="15" t="s">
        <v>3905</v>
      </c>
      <c r="EY318" s="15" t="s">
        <v>3905</v>
      </c>
      <c r="FF318" s="15" t="s">
        <v>1255</v>
      </c>
      <c r="FO318" s="15" t="s">
        <v>822</v>
      </c>
      <c r="FP318" s="15" t="s">
        <v>822</v>
      </c>
    </row>
    <row r="319" ht="15.75" customHeight="1">
      <c r="A319" s="14" t="s">
        <v>391</v>
      </c>
      <c r="B319" s="15" t="s">
        <v>4237</v>
      </c>
      <c r="C319" s="16"/>
      <c r="D319" s="15" t="s">
        <v>432</v>
      </c>
      <c r="G319" s="14" t="s">
        <v>393</v>
      </c>
      <c r="H319" s="14" t="s">
        <v>394</v>
      </c>
      <c r="I319" s="14" t="b">
        <v>1</v>
      </c>
      <c r="J319" s="14" t="s">
        <v>395</v>
      </c>
      <c r="L319" s="14" t="b">
        <v>0</v>
      </c>
      <c r="M319" s="15" t="s">
        <v>4238</v>
      </c>
      <c r="N319" s="14" t="s">
        <v>393</v>
      </c>
      <c r="O319" s="14" t="s">
        <v>393</v>
      </c>
      <c r="P319" s="15" t="s">
        <v>397</v>
      </c>
      <c r="Q319" s="15" t="s">
        <v>4239</v>
      </c>
      <c r="T319" s="14" t="b">
        <v>0</v>
      </c>
      <c r="U319" s="15" t="s">
        <v>4240</v>
      </c>
      <c r="V319" s="15" t="s">
        <v>4241</v>
      </c>
      <c r="W319" s="15" t="s">
        <v>401</v>
      </c>
      <c r="X319" s="15" t="s">
        <v>1296</v>
      </c>
      <c r="Y319" s="15">
        <v>1976.0</v>
      </c>
      <c r="AA319" s="15" t="str">
        <f>"760"</f>
        <v>760</v>
      </c>
      <c r="AB319" s="14" t="b">
        <v>1</v>
      </c>
      <c r="AC319" s="14" t="b">
        <v>1</v>
      </c>
      <c r="AD319" s="15" t="str">
        <f>"801542386818"</f>
        <v>801542386818</v>
      </c>
      <c r="AE319" s="15" t="s">
        <v>4242</v>
      </c>
      <c r="AF319" s="14" t="s">
        <v>404</v>
      </c>
      <c r="AG319" s="14" t="s">
        <v>405</v>
      </c>
      <c r="AH319" s="14" t="s">
        <v>406</v>
      </c>
      <c r="AI319" s="15">
        <v>0.0</v>
      </c>
      <c r="AL319" s="15" t="s">
        <v>4243</v>
      </c>
      <c r="AM319" s="15" t="s">
        <v>1224</v>
      </c>
      <c r="AN319" s="15" t="s">
        <v>1225</v>
      </c>
      <c r="AO319" s="15" t="s">
        <v>1874</v>
      </c>
      <c r="AP319" s="15" t="s">
        <v>1875</v>
      </c>
      <c r="AQ319" s="15" t="s">
        <v>4244</v>
      </c>
      <c r="AR319" s="15" t="s">
        <v>4245</v>
      </c>
      <c r="AS319" s="15" t="s">
        <v>2888</v>
      </c>
      <c r="AT319" s="15" t="s">
        <v>4239</v>
      </c>
      <c r="AU319" s="15" t="s">
        <v>2907</v>
      </c>
      <c r="AW319" s="15" t="s">
        <v>1899</v>
      </c>
      <c r="AY319" s="15" t="s">
        <v>413</v>
      </c>
      <c r="AZ319" s="15" t="b">
        <v>0</v>
      </c>
      <c r="BA319" s="15" t="s">
        <v>413</v>
      </c>
      <c r="BB319" s="15" t="b">
        <v>0</v>
      </c>
      <c r="BC319" s="15" t="s">
        <v>4246</v>
      </c>
      <c r="BD319" s="15" t="s">
        <v>1303</v>
      </c>
      <c r="BE319" s="15" t="str">
        <f>"2"</f>
        <v>2</v>
      </c>
      <c r="BF319" s="15" t="s">
        <v>4247</v>
      </c>
      <c r="BG319" s="15" t="str">
        <f>"67.5"</f>
        <v>67.5</v>
      </c>
      <c r="BH319" s="15" t="s">
        <v>3330</v>
      </c>
      <c r="BI319" s="15" t="str">
        <f>"20.25"</f>
        <v>20.25</v>
      </c>
      <c r="BJ319" s="15" t="s">
        <v>516</v>
      </c>
      <c r="BK319" s="15" t="str">
        <f>"30.5"</f>
        <v>30.5</v>
      </c>
      <c r="BL319" s="15" t="s">
        <v>2230</v>
      </c>
      <c r="BM319" s="15" t="str">
        <f>"181.84"</f>
        <v>181.84</v>
      </c>
      <c r="BN319" s="15" t="s">
        <v>4248</v>
      </c>
      <c r="BO319" s="15" t="s">
        <v>4249</v>
      </c>
      <c r="BP319" s="15" t="str">
        <f>"79.5"</f>
        <v>79.5</v>
      </c>
      <c r="BQ319" s="15" t="s">
        <v>4175</v>
      </c>
      <c r="BR319" s="15" t="str">
        <f>"21"</f>
        <v>21</v>
      </c>
      <c r="BS319" s="15" t="s">
        <v>1676</v>
      </c>
      <c r="BT319" s="15" t="str">
        <f>"6"</f>
        <v>6</v>
      </c>
      <c r="BU319" s="15" t="s">
        <v>2999</v>
      </c>
      <c r="BV319" s="15" t="str">
        <f>"41.67"</f>
        <v>41.67</v>
      </c>
      <c r="BW319" s="15" t="s">
        <v>4250</v>
      </c>
      <c r="BZ319" s="15" t="s">
        <v>444</v>
      </c>
      <c r="CB319" s="15" t="s">
        <v>444</v>
      </c>
      <c r="CD319" s="15" t="s">
        <v>444</v>
      </c>
      <c r="CF319" s="15" t="s">
        <v>444</v>
      </c>
      <c r="CI319" s="15" t="s">
        <v>444</v>
      </c>
      <c r="CK319" s="15" t="s">
        <v>444</v>
      </c>
      <c r="CM319" s="15" t="s">
        <v>444</v>
      </c>
      <c r="CO319" s="15" t="s">
        <v>444</v>
      </c>
      <c r="CP319" s="15" t="str">
        <f>"29.91"</f>
        <v>29.91</v>
      </c>
      <c r="CQ319" s="15" t="str">
        <f>"0.847"</f>
        <v>0.847</v>
      </c>
      <c r="CR319" s="15" t="s">
        <v>497</v>
      </c>
      <c r="CS319" s="15" t="s">
        <v>4251</v>
      </c>
      <c r="CT319" s="15" t="s">
        <v>1042</v>
      </c>
      <c r="CU319" s="15" t="s">
        <v>4252</v>
      </c>
      <c r="CV319" s="15" t="s">
        <v>4251</v>
      </c>
      <c r="CW319" s="15" t="s">
        <v>4253</v>
      </c>
      <c r="CX319" s="15" t="s">
        <v>4252</v>
      </c>
      <c r="DC319" s="15" t="str">
        <f>IFERROR(__xludf.DUMMYFUNCTION("""COMPUTED_VALUE"""),"")</f>
        <v/>
      </c>
      <c r="DE319" s="15" t="str">
        <f>IFERROR(__xludf.DUMMYFUNCTION("""COMPUTED_VALUE"""),"")</f>
        <v/>
      </c>
      <c r="DG319" s="15" t="str">
        <f>IFERROR(__xludf.DUMMYFUNCTION("""COMPUTED_VALUE"""),"")</f>
        <v/>
      </c>
      <c r="DL319" s="15" t="str">
        <f>IFERROR(__xludf.DUMMYFUNCTION("""COMPUTED_VALUE"""),"")</f>
        <v/>
      </c>
      <c r="DM319" s="15" t="s">
        <v>444</v>
      </c>
      <c r="DN319" s="15" t="s">
        <v>419</v>
      </c>
      <c r="DO319" s="15">
        <v>0.0</v>
      </c>
      <c r="DP319" s="15" t="s">
        <v>419</v>
      </c>
      <c r="DR319" s="15">
        <v>4.0</v>
      </c>
      <c r="DS319" s="15" t="s">
        <v>426</v>
      </c>
      <c r="DT319" s="15" t="s">
        <v>1111</v>
      </c>
      <c r="DU319" s="15" t="s">
        <v>610</v>
      </c>
      <c r="DW319" s="15">
        <v>18.14</v>
      </c>
      <c r="DX319" s="15">
        <v>40.0</v>
      </c>
      <c r="DY319" s="15">
        <v>2.0</v>
      </c>
      <c r="EF319" s="15" t="s">
        <v>1915</v>
      </c>
      <c r="EG319" s="15" t="s">
        <v>1916</v>
      </c>
      <c r="EH319" s="15" t="s">
        <v>4254</v>
      </c>
      <c r="EK319" s="15" t="s">
        <v>444</v>
      </c>
      <c r="EM319" s="15" t="str">
        <f>IFERROR(__xludf.DUMMYFUNCTION("""COMPUTED_VALUE"""),"")</f>
        <v/>
      </c>
      <c r="EW319" s="15" t="s">
        <v>4255</v>
      </c>
      <c r="FL319" s="15" t="s">
        <v>426</v>
      </c>
      <c r="FM319" s="15">
        <v>7.0</v>
      </c>
      <c r="FY319" s="15" t="s">
        <v>2202</v>
      </c>
      <c r="FZ319" s="15" t="s">
        <v>1188</v>
      </c>
      <c r="GA319" s="15" t="s">
        <v>1065</v>
      </c>
      <c r="GB319" s="15" t="s">
        <v>2020</v>
      </c>
      <c r="GC319" s="15" t="s">
        <v>4256</v>
      </c>
      <c r="GD319" s="15" t="s">
        <v>1549</v>
      </c>
      <c r="GG319" s="15" t="s">
        <v>785</v>
      </c>
      <c r="GH319" s="15">
        <v>2.0</v>
      </c>
      <c r="GI319" s="15" t="s">
        <v>614</v>
      </c>
      <c r="GJ319" s="15" t="s">
        <v>615</v>
      </c>
      <c r="GL319" s="15" t="s">
        <v>426</v>
      </c>
      <c r="GN319" s="15" t="s">
        <v>616</v>
      </c>
      <c r="HA319" s="15" t="s">
        <v>4251</v>
      </c>
      <c r="HB319" s="15" t="s">
        <v>4253</v>
      </c>
      <c r="HC319" s="15" t="s">
        <v>4252</v>
      </c>
      <c r="HQ319" s="15" t="s">
        <v>4251</v>
      </c>
      <c r="HR319" s="15" t="s">
        <v>4257</v>
      </c>
      <c r="HS319" s="15" t="s">
        <v>4253</v>
      </c>
      <c r="HT319" s="15" t="s">
        <v>1286</v>
      </c>
      <c r="HU319" s="15" t="s">
        <v>4252</v>
      </c>
      <c r="HV319" s="15" t="s">
        <v>1549</v>
      </c>
      <c r="KL319" s="15" t="s">
        <v>4257</v>
      </c>
      <c r="KM319" s="15" t="s">
        <v>4256</v>
      </c>
      <c r="KN319" s="15" t="s">
        <v>1427</v>
      </c>
      <c r="KX319" s="15" t="s">
        <v>4257</v>
      </c>
      <c r="KY319" s="15" t="s">
        <v>1286</v>
      </c>
      <c r="KZ319" s="15" t="s">
        <v>1549</v>
      </c>
      <c r="LK319" s="15" t="s">
        <v>4257</v>
      </c>
      <c r="LL319" s="15" t="s">
        <v>4257</v>
      </c>
      <c r="LM319" s="15" t="s">
        <v>4258</v>
      </c>
      <c r="LN319" s="15" t="s">
        <v>4258</v>
      </c>
      <c r="LO319" s="15" t="s">
        <v>1427</v>
      </c>
      <c r="LP319" s="15" t="s">
        <v>1427</v>
      </c>
    </row>
    <row r="320" ht="15.75" customHeight="1">
      <c r="A320" s="14" t="s">
        <v>391</v>
      </c>
      <c r="B320" s="15" t="s">
        <v>4259</v>
      </c>
      <c r="C320" s="16"/>
      <c r="D320" s="15" t="s">
        <v>432</v>
      </c>
      <c r="G320" s="14" t="s">
        <v>393</v>
      </c>
      <c r="H320" s="14" t="s">
        <v>394</v>
      </c>
      <c r="I320" s="14" t="b">
        <v>1</v>
      </c>
      <c r="J320" s="14" t="s">
        <v>395</v>
      </c>
      <c r="L320" s="14" t="b">
        <v>0</v>
      </c>
      <c r="M320" s="15" t="s">
        <v>4260</v>
      </c>
      <c r="N320" s="14" t="s">
        <v>393</v>
      </c>
      <c r="O320" s="14" t="s">
        <v>393</v>
      </c>
      <c r="P320" s="15" t="s">
        <v>397</v>
      </c>
      <c r="Q320" s="15" t="s">
        <v>4261</v>
      </c>
      <c r="T320" s="14" t="b">
        <v>0</v>
      </c>
      <c r="U320" s="15" t="s">
        <v>4262</v>
      </c>
      <c r="V320" s="15" t="s">
        <v>4263</v>
      </c>
      <c r="W320" s="15" t="s">
        <v>401</v>
      </c>
      <c r="X320" s="15" t="s">
        <v>402</v>
      </c>
      <c r="Y320" s="15">
        <v>2301.0</v>
      </c>
      <c r="AA320" s="15" t="str">
        <f>"885"</f>
        <v>885</v>
      </c>
      <c r="AB320" s="14" t="b">
        <v>1</v>
      </c>
      <c r="AC320" s="14" t="b">
        <v>1</v>
      </c>
      <c r="AD320" s="15" t="str">
        <f>"801542202385"</f>
        <v>801542202385</v>
      </c>
      <c r="AE320" s="15" t="s">
        <v>4264</v>
      </c>
      <c r="AF320" s="14" t="s">
        <v>404</v>
      </c>
      <c r="AG320" s="14" t="s">
        <v>405</v>
      </c>
      <c r="AH320" s="14" t="s">
        <v>406</v>
      </c>
      <c r="AI320" s="15">
        <v>0.0</v>
      </c>
      <c r="AL320" s="15" t="s">
        <v>2872</v>
      </c>
      <c r="AM320" s="15" t="s">
        <v>2355</v>
      </c>
      <c r="AN320" s="15" t="s">
        <v>2356</v>
      </c>
      <c r="AO320" s="15" t="s">
        <v>409</v>
      </c>
      <c r="AP320" s="15" t="s">
        <v>438</v>
      </c>
      <c r="AQ320" s="15" t="s">
        <v>456</v>
      </c>
      <c r="AR320" s="15" t="s">
        <v>457</v>
      </c>
      <c r="AS320" s="15" t="s">
        <v>411</v>
      </c>
      <c r="AT320" s="15" t="s">
        <v>4261</v>
      </c>
      <c r="AW320" s="15" t="s">
        <v>458</v>
      </c>
      <c r="AX320" s="15" t="s">
        <v>459</v>
      </c>
      <c r="AY320" s="15" t="s">
        <v>413</v>
      </c>
      <c r="AZ320" s="15" t="b">
        <v>0</v>
      </c>
      <c r="BA320" s="15" t="s">
        <v>413</v>
      </c>
      <c r="BB320" s="15" t="b">
        <v>0</v>
      </c>
      <c r="BC320" s="15" t="s">
        <v>4265</v>
      </c>
      <c r="BD320" s="15" t="s">
        <v>415</v>
      </c>
      <c r="BE320" s="15" t="str">
        <f t="shared" ref="BE320:BE332" si="585">"1"</f>
        <v>1</v>
      </c>
      <c r="BF320" s="15" t="s">
        <v>416</v>
      </c>
      <c r="BG320" s="15" t="str">
        <f>"84.65"</f>
        <v>84.65</v>
      </c>
      <c r="BH320" s="15" t="s">
        <v>852</v>
      </c>
      <c r="BI320" s="15" t="str">
        <f>"25.2"</f>
        <v>25.2</v>
      </c>
      <c r="BJ320" s="15" t="s">
        <v>585</v>
      </c>
      <c r="BK320" s="15" t="str">
        <f>"25.2"</f>
        <v>25.2</v>
      </c>
      <c r="BL320" s="15" t="s">
        <v>585</v>
      </c>
      <c r="BM320" s="15" t="str">
        <f>"118.94"</f>
        <v>118.94</v>
      </c>
      <c r="BN320" s="15" t="s">
        <v>4266</v>
      </c>
      <c r="BQ320" s="15" t="s">
        <v>444</v>
      </c>
      <c r="BS320" s="15" t="s">
        <v>444</v>
      </c>
      <c r="BU320" s="15" t="s">
        <v>444</v>
      </c>
      <c r="BW320" s="15" t="s">
        <v>444</v>
      </c>
      <c r="BZ320" s="15" t="s">
        <v>444</v>
      </c>
      <c r="CB320" s="15" t="s">
        <v>444</v>
      </c>
      <c r="CD320" s="15" t="s">
        <v>444</v>
      </c>
      <c r="CF320" s="15" t="s">
        <v>444</v>
      </c>
      <c r="CI320" s="15" t="s">
        <v>444</v>
      </c>
      <c r="CK320" s="15" t="s">
        <v>444</v>
      </c>
      <c r="CM320" s="15" t="s">
        <v>444</v>
      </c>
      <c r="CO320" s="15" t="s">
        <v>444</v>
      </c>
      <c r="CP320" s="15" t="str">
        <f>"31.11"</f>
        <v>31.11</v>
      </c>
      <c r="CQ320" s="15" t="str">
        <f>"0.881"</f>
        <v>0.881</v>
      </c>
      <c r="CR320" s="15" t="s">
        <v>465</v>
      </c>
      <c r="DB320" s="15" t="s">
        <v>1324</v>
      </c>
      <c r="DC320" s="15" t="str">
        <f>IFERROR(__xludf.DUMMYFUNCTION("""COMPUTED_VALUE"""),"{""value"":20.00,""unit"":""in""}")</f>
        <v>{"value":20.00,"unit":"in"}</v>
      </c>
      <c r="DD320" s="15" t="s">
        <v>467</v>
      </c>
      <c r="DE320" s="15" t="str">
        <f>IFERROR(__xludf.DUMMYFUNCTION("""COMPUTED_VALUE"""),"{""value"":19.00,""unit"":""in""}")</f>
        <v>{"value":19.00,"unit":"in"}</v>
      </c>
      <c r="DF320" s="15" t="s">
        <v>3481</v>
      </c>
      <c r="DG320" s="15" t="str">
        <f>IFERROR(__xludf.DUMMYFUNCTION("""COMPUTED_VALUE"""),"{""value"":78.00,""unit"":""in""}")</f>
        <v>{"value":78.00,"unit":"in"}</v>
      </c>
      <c r="DH320" s="15">
        <v>0.0</v>
      </c>
      <c r="DI320" s="15">
        <v>0.0</v>
      </c>
      <c r="DJ320" s="15" t="s">
        <v>469</v>
      </c>
      <c r="DL320" s="15" t="str">
        <f>IFERROR(__xludf.DUMMYFUNCTION("""COMPUTED_VALUE"""),"")</f>
        <v/>
      </c>
      <c r="DM320" s="15" t="s">
        <v>444</v>
      </c>
      <c r="DN320" s="15" t="s">
        <v>419</v>
      </c>
      <c r="DO320" s="15">
        <v>0.0</v>
      </c>
      <c r="DP320" s="15" t="s">
        <v>419</v>
      </c>
      <c r="DR320" s="15">
        <v>0.0</v>
      </c>
      <c r="DT320" s="15" t="s">
        <v>1186</v>
      </c>
      <c r="DU320" s="15" t="s">
        <v>419</v>
      </c>
      <c r="DV320" s="15">
        <v>0.0</v>
      </c>
      <c r="DW320" s="15">
        <v>0.0</v>
      </c>
      <c r="DX320" s="15">
        <v>0.0</v>
      </c>
      <c r="DY320" s="15">
        <v>0.0</v>
      </c>
      <c r="EA320" s="15" t="s">
        <v>470</v>
      </c>
      <c r="ED320" s="15">
        <v>0.0</v>
      </c>
      <c r="EE320" s="15">
        <v>3.0</v>
      </c>
      <c r="EF320" s="15" t="s">
        <v>471</v>
      </c>
      <c r="EG320" s="15" t="s">
        <v>472</v>
      </c>
      <c r="EH320" s="15" t="s">
        <v>4267</v>
      </c>
      <c r="EI320" s="15">
        <v>0.0</v>
      </c>
      <c r="EJ320" s="15" t="s">
        <v>473</v>
      </c>
      <c r="EK320" s="15" t="s">
        <v>474</v>
      </c>
      <c r="EM320" s="15" t="str">
        <f>IFERROR(__xludf.DUMMYFUNCTION("""COMPUTED_VALUE"""),"")</f>
        <v/>
      </c>
      <c r="EX320" s="15" t="s">
        <v>2020</v>
      </c>
      <c r="EY320" s="15" t="s">
        <v>4268</v>
      </c>
      <c r="FL320" s="15" t="s">
        <v>426</v>
      </c>
    </row>
    <row r="321" ht="15.75" customHeight="1">
      <c r="A321" s="14" t="s">
        <v>391</v>
      </c>
      <c r="B321" s="15" t="s">
        <v>4269</v>
      </c>
      <c r="C321" s="16"/>
      <c r="D321" s="15" t="s">
        <v>432</v>
      </c>
      <c r="G321" s="14" t="s">
        <v>393</v>
      </c>
      <c r="H321" s="14" t="s">
        <v>394</v>
      </c>
      <c r="I321" s="14" t="b">
        <v>1</v>
      </c>
      <c r="J321" s="14" t="s">
        <v>395</v>
      </c>
      <c r="L321" s="14" t="b">
        <v>0</v>
      </c>
      <c r="M321" s="15" t="s">
        <v>4270</v>
      </c>
      <c r="N321" s="14" t="s">
        <v>393</v>
      </c>
      <c r="O321" s="14" t="s">
        <v>393</v>
      </c>
      <c r="P321" s="15" t="s">
        <v>397</v>
      </c>
      <c r="Q321" s="15" t="s">
        <v>4261</v>
      </c>
      <c r="T321" s="14" t="b">
        <v>0</v>
      </c>
      <c r="U321" s="15" t="s">
        <v>4271</v>
      </c>
      <c r="V321" s="15" t="s">
        <v>4272</v>
      </c>
      <c r="W321" s="15" t="s">
        <v>401</v>
      </c>
      <c r="X321" s="15" t="s">
        <v>402</v>
      </c>
      <c r="Y321" s="15">
        <v>2522.0</v>
      </c>
      <c r="AA321" s="15" t="str">
        <f>"970"</f>
        <v>970</v>
      </c>
      <c r="AB321" s="14" t="b">
        <v>1</v>
      </c>
      <c r="AC321" s="14" t="b">
        <v>1</v>
      </c>
      <c r="AD321" s="15" t="str">
        <f>"801542202460"</f>
        <v>801542202460</v>
      </c>
      <c r="AE321" s="15" t="s">
        <v>4273</v>
      </c>
      <c r="AF321" s="14" t="s">
        <v>404</v>
      </c>
      <c r="AG321" s="14" t="s">
        <v>405</v>
      </c>
      <c r="AH321" s="14" t="s">
        <v>406</v>
      </c>
      <c r="AI321" s="15">
        <v>0.0</v>
      </c>
      <c r="AL321" s="15" t="s">
        <v>2872</v>
      </c>
      <c r="AM321" s="15" t="s">
        <v>2675</v>
      </c>
      <c r="AN321" s="15" t="s">
        <v>2676</v>
      </c>
      <c r="AO321" s="15" t="s">
        <v>679</v>
      </c>
      <c r="AP321" s="15" t="s">
        <v>680</v>
      </c>
      <c r="AQ321" s="15" t="s">
        <v>1152</v>
      </c>
      <c r="AR321" s="15" t="s">
        <v>1153</v>
      </c>
      <c r="AS321" s="15" t="s">
        <v>411</v>
      </c>
      <c r="AT321" s="15" t="s">
        <v>4261</v>
      </c>
      <c r="AW321" s="15" t="s">
        <v>491</v>
      </c>
      <c r="AY321" s="15" t="s">
        <v>413</v>
      </c>
      <c r="AZ321" s="15" t="b">
        <v>0</v>
      </c>
      <c r="BA321" s="15" t="s">
        <v>413</v>
      </c>
      <c r="BB321" s="15" t="b">
        <v>0</v>
      </c>
      <c r="BC321" s="15" t="s">
        <v>4274</v>
      </c>
      <c r="BD321" s="15" t="s">
        <v>415</v>
      </c>
      <c r="BE321" s="15" t="str">
        <f t="shared" si="585"/>
        <v>1</v>
      </c>
      <c r="BF321" s="15" t="s">
        <v>416</v>
      </c>
      <c r="BG321" s="15" t="str">
        <f>"63.78"</f>
        <v>63.78</v>
      </c>
      <c r="BH321" s="15" t="s">
        <v>3772</v>
      </c>
      <c r="BI321" s="15" t="str">
        <f>"44.09"</f>
        <v>44.09</v>
      </c>
      <c r="BJ321" s="15" t="s">
        <v>2112</v>
      </c>
      <c r="BK321" s="15" t="str">
        <f>"22.83"</f>
        <v>22.83</v>
      </c>
      <c r="BL321" s="15" t="s">
        <v>1543</v>
      </c>
      <c r="BM321" s="15" t="str">
        <f>"130.84"</f>
        <v>130.84</v>
      </c>
      <c r="BN321" s="15" t="s">
        <v>4275</v>
      </c>
      <c r="BQ321" s="15" t="s">
        <v>444</v>
      </c>
      <c r="BS321" s="15" t="s">
        <v>444</v>
      </c>
      <c r="BU321" s="15" t="s">
        <v>444</v>
      </c>
      <c r="BW321" s="15" t="s">
        <v>444</v>
      </c>
      <c r="BZ321" s="15" t="s">
        <v>444</v>
      </c>
      <c r="CB321" s="15" t="s">
        <v>444</v>
      </c>
      <c r="CD321" s="15" t="s">
        <v>444</v>
      </c>
      <c r="CF321" s="15" t="s">
        <v>444</v>
      </c>
      <c r="CI321" s="15" t="s">
        <v>444</v>
      </c>
      <c r="CK321" s="15" t="s">
        <v>444</v>
      </c>
      <c r="CM321" s="15" t="s">
        <v>444</v>
      </c>
      <c r="CO321" s="15" t="s">
        <v>444</v>
      </c>
      <c r="CP321" s="15" t="str">
        <f>"37.15"</f>
        <v>37.15</v>
      </c>
      <c r="CQ321" s="15" t="str">
        <f>"1.052"</f>
        <v>1.052</v>
      </c>
      <c r="CR321" s="15" t="s">
        <v>465</v>
      </c>
      <c r="DC321" s="15" t="str">
        <f>IFERROR(__xludf.DUMMYFUNCTION("""COMPUTED_VALUE"""),"")</f>
        <v/>
      </c>
      <c r="DE321" s="15" t="str">
        <f>IFERROR(__xludf.DUMMYFUNCTION("""COMPUTED_VALUE"""),"")</f>
        <v/>
      </c>
      <c r="DG321" s="15" t="str">
        <f>IFERROR(__xludf.DUMMYFUNCTION("""COMPUTED_VALUE"""),"")</f>
        <v/>
      </c>
      <c r="DL321" s="15" t="str">
        <f>IFERROR(__xludf.DUMMYFUNCTION("""COMPUTED_VALUE"""),"")</f>
        <v/>
      </c>
      <c r="DM321" s="15" t="s">
        <v>444</v>
      </c>
      <c r="DN321" s="15" t="s">
        <v>419</v>
      </c>
      <c r="DO321" s="15">
        <v>0.0</v>
      </c>
      <c r="DP321" s="15" t="s">
        <v>419</v>
      </c>
      <c r="DR321" s="15">
        <v>0.0</v>
      </c>
      <c r="DT321" s="15" t="s">
        <v>420</v>
      </c>
      <c r="DU321" s="15" t="s">
        <v>419</v>
      </c>
      <c r="DY321" s="15">
        <v>0.0</v>
      </c>
      <c r="EF321" s="15" t="s">
        <v>498</v>
      </c>
      <c r="EG321" s="15" t="s">
        <v>499</v>
      </c>
      <c r="EH321" s="15" t="s">
        <v>4267</v>
      </c>
      <c r="EJ321" s="15" t="s">
        <v>500</v>
      </c>
      <c r="EK321" s="15" t="s">
        <v>501</v>
      </c>
      <c r="EM321" s="15" t="str">
        <f>IFERROR(__xludf.DUMMYFUNCTION("""COMPUTED_VALUE"""),"")</f>
        <v/>
      </c>
      <c r="EW321" s="15" t="s">
        <v>4276</v>
      </c>
      <c r="EX321" s="15" t="s">
        <v>4268</v>
      </c>
      <c r="EY321" s="15" t="s">
        <v>609</v>
      </c>
      <c r="FH321" s="15" t="s">
        <v>4277</v>
      </c>
      <c r="FI321" s="15" t="s">
        <v>1213</v>
      </c>
      <c r="FJ321" s="15" t="s">
        <v>2291</v>
      </c>
      <c r="FK321" s="15" t="s">
        <v>1188</v>
      </c>
      <c r="FL321" s="15" t="s">
        <v>426</v>
      </c>
      <c r="FM321" s="15">
        <v>0.0</v>
      </c>
      <c r="FN321" s="15">
        <v>0.0</v>
      </c>
      <c r="FW321" s="15" t="s">
        <v>4278</v>
      </c>
    </row>
    <row r="322" ht="15.75" customHeight="1">
      <c r="A322" s="14" t="s">
        <v>391</v>
      </c>
      <c r="B322" s="15" t="s">
        <v>4279</v>
      </c>
      <c r="C322" s="16"/>
      <c r="D322" s="15" t="s">
        <v>432</v>
      </c>
      <c r="G322" s="14" t="s">
        <v>393</v>
      </c>
      <c r="H322" s="14" t="s">
        <v>394</v>
      </c>
      <c r="I322" s="14" t="b">
        <v>1</v>
      </c>
      <c r="J322" s="14" t="s">
        <v>395</v>
      </c>
      <c r="L322" s="14" t="b">
        <v>0</v>
      </c>
      <c r="M322" s="15" t="s">
        <v>4280</v>
      </c>
      <c r="N322" s="14" t="s">
        <v>393</v>
      </c>
      <c r="O322" s="14" t="s">
        <v>393</v>
      </c>
      <c r="P322" s="15" t="s">
        <v>397</v>
      </c>
      <c r="Q322" s="15" t="s">
        <v>4261</v>
      </c>
      <c r="T322" s="14" t="b">
        <v>0</v>
      </c>
      <c r="U322" s="15" t="s">
        <v>4281</v>
      </c>
      <c r="V322" s="15" t="s">
        <v>2208</v>
      </c>
      <c r="W322" s="15" t="s">
        <v>401</v>
      </c>
      <c r="X322" s="15" t="s">
        <v>402</v>
      </c>
      <c r="Y322" s="15">
        <v>1313.0</v>
      </c>
      <c r="AA322" s="15" t="str">
        <f>"505"</f>
        <v>505</v>
      </c>
      <c r="AB322" s="14" t="b">
        <v>1</v>
      </c>
      <c r="AC322" s="14" t="b">
        <v>1</v>
      </c>
      <c r="AD322" s="15" t="str">
        <f>"801542202729"</f>
        <v>801542202729</v>
      </c>
      <c r="AE322" s="15" t="s">
        <v>4282</v>
      </c>
      <c r="AF322" s="14" t="s">
        <v>404</v>
      </c>
      <c r="AG322" s="14" t="s">
        <v>405</v>
      </c>
      <c r="AH322" s="14" t="s">
        <v>406</v>
      </c>
      <c r="AI322" s="15">
        <v>0.0</v>
      </c>
      <c r="AL322" s="15" t="s">
        <v>2872</v>
      </c>
      <c r="AM322" s="15" t="s">
        <v>2213</v>
      </c>
      <c r="AN322" s="15" t="s">
        <v>2214</v>
      </c>
      <c r="AO322" s="15" t="s">
        <v>409</v>
      </c>
      <c r="AP322" s="15" t="s">
        <v>438</v>
      </c>
      <c r="AQ322" s="15" t="s">
        <v>4283</v>
      </c>
      <c r="AR322" s="15" t="s">
        <v>4284</v>
      </c>
      <c r="AS322" s="15" t="s">
        <v>411</v>
      </c>
      <c r="AT322" s="15" t="s">
        <v>4261</v>
      </c>
      <c r="AW322" s="15" t="s">
        <v>1154</v>
      </c>
      <c r="AY322" s="15" t="s">
        <v>413</v>
      </c>
      <c r="AZ322" s="15" t="b">
        <v>0</v>
      </c>
      <c r="BA322" s="15" t="s">
        <v>413</v>
      </c>
      <c r="BB322" s="15" t="b">
        <v>0</v>
      </c>
      <c r="BC322" s="15" t="s">
        <v>4285</v>
      </c>
      <c r="BD322" s="15" t="s">
        <v>415</v>
      </c>
      <c r="BE322" s="15" t="str">
        <f t="shared" si="585"/>
        <v>1</v>
      </c>
      <c r="BF322" s="15" t="s">
        <v>416</v>
      </c>
      <c r="BG322" s="15" t="str">
        <f>"30.71"</f>
        <v>30.71</v>
      </c>
      <c r="BH322" s="15" t="s">
        <v>1281</v>
      </c>
      <c r="BI322" s="15" t="str">
        <f>"25.2"</f>
        <v>25.2</v>
      </c>
      <c r="BJ322" s="15" t="s">
        <v>585</v>
      </c>
      <c r="BK322" s="15" t="str">
        <f>"29.13"</f>
        <v>29.13</v>
      </c>
      <c r="BL322" s="15" t="s">
        <v>1566</v>
      </c>
      <c r="BM322" s="15" t="str">
        <f>"47.62"</f>
        <v>47.62</v>
      </c>
      <c r="BN322" s="15" t="s">
        <v>2680</v>
      </c>
      <c r="BQ322" s="15" t="s">
        <v>444</v>
      </c>
      <c r="BS322" s="15" t="s">
        <v>444</v>
      </c>
      <c r="BU322" s="15" t="s">
        <v>444</v>
      </c>
      <c r="BW322" s="15" t="s">
        <v>444</v>
      </c>
      <c r="BZ322" s="15" t="s">
        <v>444</v>
      </c>
      <c r="CB322" s="15" t="s">
        <v>444</v>
      </c>
      <c r="CD322" s="15" t="s">
        <v>444</v>
      </c>
      <c r="CF322" s="15" t="s">
        <v>444</v>
      </c>
      <c r="CI322" s="15" t="s">
        <v>444</v>
      </c>
      <c r="CK322" s="15" t="s">
        <v>444</v>
      </c>
      <c r="CM322" s="15" t="s">
        <v>444</v>
      </c>
      <c r="CO322" s="15" t="s">
        <v>444</v>
      </c>
      <c r="CP322" s="15" t="str">
        <f>"13.03"</f>
        <v>13.03</v>
      </c>
      <c r="CQ322" s="15" t="str">
        <f>"0.369"</f>
        <v>0.369</v>
      </c>
      <c r="CR322" s="15" t="s">
        <v>465</v>
      </c>
      <c r="DC322" s="15" t="str">
        <f>IFERROR(__xludf.DUMMYFUNCTION("""COMPUTED_VALUE"""),"")</f>
        <v/>
      </c>
      <c r="DE322" s="15" t="str">
        <f>IFERROR(__xludf.DUMMYFUNCTION("""COMPUTED_VALUE"""),"")</f>
        <v/>
      </c>
      <c r="DG322" s="15" t="str">
        <f>IFERROR(__xludf.DUMMYFUNCTION("""COMPUTED_VALUE"""),"")</f>
        <v/>
      </c>
      <c r="DL322" s="15" t="str">
        <f>IFERROR(__xludf.DUMMYFUNCTION("""COMPUTED_VALUE"""),"")</f>
        <v/>
      </c>
      <c r="DM322" s="15" t="s">
        <v>444</v>
      </c>
      <c r="DN322" s="15" t="s">
        <v>419</v>
      </c>
      <c r="DO322" s="15">
        <v>0.0</v>
      </c>
      <c r="DP322" s="15" t="s">
        <v>419</v>
      </c>
      <c r="DR322" s="15">
        <v>0.0</v>
      </c>
      <c r="DT322" s="15" t="s">
        <v>420</v>
      </c>
      <c r="DU322" s="15" t="s">
        <v>419</v>
      </c>
      <c r="DY322" s="15">
        <v>0.0</v>
      </c>
      <c r="EF322" s="15" t="s">
        <v>498</v>
      </c>
      <c r="EG322" s="15" t="s">
        <v>499</v>
      </c>
      <c r="EH322" s="15" t="s">
        <v>4267</v>
      </c>
      <c r="EJ322" s="15" t="s">
        <v>500</v>
      </c>
      <c r="EK322" s="15" t="s">
        <v>501</v>
      </c>
      <c r="EM322" s="15" t="str">
        <f>IFERROR(__xludf.DUMMYFUNCTION("""COMPUTED_VALUE"""),"")</f>
        <v/>
      </c>
      <c r="EW322" s="15" t="s">
        <v>4276</v>
      </c>
      <c r="EX322" s="15" t="s">
        <v>4286</v>
      </c>
      <c r="EY322" s="15" t="s">
        <v>824</v>
      </c>
      <c r="FH322" s="15" t="s">
        <v>3535</v>
      </c>
      <c r="FI322" s="15" t="s">
        <v>1072</v>
      </c>
      <c r="FJ322" s="15" t="s">
        <v>1331</v>
      </c>
      <c r="FK322" s="15" t="s">
        <v>1188</v>
      </c>
      <c r="FL322" s="15" t="s">
        <v>426</v>
      </c>
      <c r="FM322" s="15">
        <v>0.0</v>
      </c>
      <c r="FN322" s="15">
        <v>0.0</v>
      </c>
      <c r="FW322" s="15" t="s">
        <v>2293</v>
      </c>
    </row>
    <row r="323" ht="15.75" customHeight="1">
      <c r="A323" s="14" t="s">
        <v>391</v>
      </c>
      <c r="B323" s="15" t="s">
        <v>4287</v>
      </c>
      <c r="C323" s="16"/>
      <c r="D323" s="15" t="s">
        <v>432</v>
      </c>
      <c r="G323" s="14" t="s">
        <v>393</v>
      </c>
      <c r="H323" s="14" t="s">
        <v>394</v>
      </c>
      <c r="I323" s="14" t="b">
        <v>1</v>
      </c>
      <c r="J323" s="14" t="s">
        <v>395</v>
      </c>
      <c r="L323" s="14" t="b">
        <v>0</v>
      </c>
      <c r="M323" s="15" t="s">
        <v>4288</v>
      </c>
      <c r="N323" s="14" t="s">
        <v>393</v>
      </c>
      <c r="O323" s="14" t="s">
        <v>393</v>
      </c>
      <c r="P323" s="15" t="s">
        <v>397</v>
      </c>
      <c r="Q323" s="15" t="s">
        <v>4289</v>
      </c>
      <c r="T323" s="14" t="b">
        <v>0</v>
      </c>
      <c r="U323" s="15" t="s">
        <v>4290</v>
      </c>
      <c r="V323" s="15" t="s">
        <v>4291</v>
      </c>
      <c r="W323" s="15" t="s">
        <v>401</v>
      </c>
      <c r="X323" s="15" t="s">
        <v>1296</v>
      </c>
      <c r="Y323" s="15">
        <v>2730.0</v>
      </c>
      <c r="AA323" s="15" t="str">
        <f>"1050"</f>
        <v>1050</v>
      </c>
      <c r="AB323" s="14" t="b">
        <v>1</v>
      </c>
      <c r="AC323" s="14" t="b">
        <v>1</v>
      </c>
      <c r="AD323" s="15" t="str">
        <f>"801542350741"</f>
        <v>801542350741</v>
      </c>
      <c r="AE323" s="15" t="s">
        <v>4292</v>
      </c>
      <c r="AF323" s="14" t="s">
        <v>404</v>
      </c>
      <c r="AG323" s="14" t="s">
        <v>405</v>
      </c>
      <c r="AH323" s="14" t="s">
        <v>406</v>
      </c>
      <c r="AI323" s="15">
        <v>0.0</v>
      </c>
      <c r="AL323" s="15" t="s">
        <v>1532</v>
      </c>
      <c r="AM323" s="15" t="s">
        <v>4293</v>
      </c>
      <c r="AN323" s="15" t="s">
        <v>4294</v>
      </c>
      <c r="AO323" s="15" t="s">
        <v>456</v>
      </c>
      <c r="AP323" s="15" t="s">
        <v>457</v>
      </c>
      <c r="AQ323" s="15" t="s">
        <v>600</v>
      </c>
      <c r="AR323" s="15" t="s">
        <v>601</v>
      </c>
      <c r="AS323" s="15" t="s">
        <v>2875</v>
      </c>
      <c r="AT323" s="15" t="s">
        <v>4289</v>
      </c>
      <c r="AU323" s="15" t="s">
        <v>4295</v>
      </c>
      <c r="AW323" s="15" t="s">
        <v>602</v>
      </c>
      <c r="AY323" s="15" t="s">
        <v>413</v>
      </c>
      <c r="AZ323" s="15" t="b">
        <v>0</v>
      </c>
      <c r="BA323" s="15" t="s">
        <v>413</v>
      </c>
      <c r="BB323" s="15" t="b">
        <v>0</v>
      </c>
      <c r="BC323" s="15" t="s">
        <v>4296</v>
      </c>
      <c r="BD323" s="15" t="s">
        <v>1303</v>
      </c>
      <c r="BE323" s="15" t="str">
        <f t="shared" si="585"/>
        <v>1</v>
      </c>
      <c r="BF323" s="15" t="s">
        <v>416</v>
      </c>
      <c r="BG323" s="15" t="str">
        <f>"95.25"</f>
        <v>95.25</v>
      </c>
      <c r="BH323" s="15" t="s">
        <v>4297</v>
      </c>
      <c r="BI323" s="15" t="str">
        <f>"23"</f>
        <v>23</v>
      </c>
      <c r="BJ323" s="15" t="s">
        <v>4284</v>
      </c>
      <c r="BK323" s="15" t="str">
        <f>"30.5"</f>
        <v>30.5</v>
      </c>
      <c r="BL323" s="15" t="s">
        <v>2230</v>
      </c>
      <c r="BM323" s="15" t="str">
        <f>"258.38"</f>
        <v>258.38</v>
      </c>
      <c r="BN323" s="15" t="s">
        <v>4298</v>
      </c>
      <c r="BQ323" s="15" t="s">
        <v>444</v>
      </c>
      <c r="BS323" s="15" t="s">
        <v>444</v>
      </c>
      <c r="BU323" s="15" t="s">
        <v>444</v>
      </c>
      <c r="BW323" s="15" t="s">
        <v>444</v>
      </c>
      <c r="BZ323" s="15" t="s">
        <v>444</v>
      </c>
      <c r="CB323" s="15" t="s">
        <v>444</v>
      </c>
      <c r="CD323" s="15" t="s">
        <v>444</v>
      </c>
      <c r="CF323" s="15" t="s">
        <v>444</v>
      </c>
      <c r="CI323" s="15" t="s">
        <v>444</v>
      </c>
      <c r="CK323" s="15" t="s">
        <v>444</v>
      </c>
      <c r="CM323" s="15" t="s">
        <v>444</v>
      </c>
      <c r="CO323" s="15" t="s">
        <v>444</v>
      </c>
      <c r="CP323" s="15" t="str">
        <f>"38.67"</f>
        <v>38.67</v>
      </c>
      <c r="CQ323" s="15" t="str">
        <f>"1.095"</f>
        <v>1.095</v>
      </c>
      <c r="CR323" s="15" t="s">
        <v>497</v>
      </c>
      <c r="CV323" s="15" t="s">
        <v>1160</v>
      </c>
      <c r="CW323" s="15" t="s">
        <v>3238</v>
      </c>
      <c r="CX323" s="15" t="s">
        <v>1238</v>
      </c>
      <c r="DC323" s="15" t="str">
        <f>IFERROR(__xludf.DUMMYFUNCTION("""COMPUTED_VALUE"""),"")</f>
        <v/>
      </c>
      <c r="DE323" s="15" t="str">
        <f>IFERROR(__xludf.DUMMYFUNCTION("""COMPUTED_VALUE"""),"")</f>
        <v/>
      </c>
      <c r="DG323" s="15" t="str">
        <f>IFERROR(__xludf.DUMMYFUNCTION("""COMPUTED_VALUE"""),"")</f>
        <v/>
      </c>
      <c r="DL323" s="15" t="str">
        <f>IFERROR(__xludf.DUMMYFUNCTION("""COMPUTED_VALUE"""),"")</f>
        <v/>
      </c>
      <c r="DM323" s="15" t="s">
        <v>444</v>
      </c>
      <c r="DN323" s="15" t="s">
        <v>419</v>
      </c>
      <c r="DO323" s="15">
        <v>0.0</v>
      </c>
      <c r="DP323" s="15" t="s">
        <v>419</v>
      </c>
      <c r="DR323" s="15">
        <v>0.0</v>
      </c>
      <c r="DT323" s="15" t="s">
        <v>420</v>
      </c>
      <c r="DU323" s="15" t="s">
        <v>610</v>
      </c>
      <c r="DW323" s="15">
        <v>18.14</v>
      </c>
      <c r="DX323" s="15">
        <v>40.0</v>
      </c>
      <c r="DY323" s="15">
        <v>4.0</v>
      </c>
      <c r="EG323" s="15" t="s">
        <v>444</v>
      </c>
      <c r="EH323" s="15" t="s">
        <v>4299</v>
      </c>
      <c r="EK323" s="15" t="s">
        <v>444</v>
      </c>
      <c r="EM323" s="15" t="str">
        <f>IFERROR(__xludf.DUMMYFUNCTION("""COMPUTED_VALUE"""),"")</f>
        <v/>
      </c>
      <c r="EW323" s="15" t="s">
        <v>4300</v>
      </c>
      <c r="FL323" s="15" t="s">
        <v>426</v>
      </c>
      <c r="FM323" s="15">
        <v>4.0</v>
      </c>
      <c r="FY323" s="15" t="s">
        <v>1065</v>
      </c>
      <c r="FZ323" s="15" t="s">
        <v>612</v>
      </c>
      <c r="GA323" s="15" t="s">
        <v>1287</v>
      </c>
      <c r="GB323" s="15" t="s">
        <v>504</v>
      </c>
      <c r="GC323" s="15" t="s">
        <v>612</v>
      </c>
      <c r="GD323" s="15" t="s">
        <v>2637</v>
      </c>
      <c r="GF323" s="15" t="s">
        <v>426</v>
      </c>
      <c r="GH323" s="15">
        <v>6.0</v>
      </c>
      <c r="GI323" s="15" t="s">
        <v>614</v>
      </c>
      <c r="GJ323" s="15" t="s">
        <v>615</v>
      </c>
      <c r="GL323" s="15" t="s">
        <v>426</v>
      </c>
      <c r="GN323" s="15" t="s">
        <v>616</v>
      </c>
      <c r="HA323" s="15" t="s">
        <v>504</v>
      </c>
      <c r="HB323" s="15" t="s">
        <v>3238</v>
      </c>
      <c r="HC323" s="15" t="s">
        <v>2637</v>
      </c>
      <c r="HD323" s="15">
        <v>0.0</v>
      </c>
      <c r="HQ323" s="15" t="s">
        <v>504</v>
      </c>
      <c r="HR323" s="15" t="s">
        <v>1160</v>
      </c>
      <c r="HS323" s="15" t="s">
        <v>3238</v>
      </c>
      <c r="HT323" s="15" t="s">
        <v>3238</v>
      </c>
      <c r="HU323" s="15" t="s">
        <v>2637</v>
      </c>
      <c r="HV323" s="15" t="s">
        <v>1238</v>
      </c>
      <c r="HW323" s="15" t="s">
        <v>672</v>
      </c>
      <c r="ID323" s="15" t="s">
        <v>1160</v>
      </c>
      <c r="IE323" s="15" t="s">
        <v>612</v>
      </c>
      <c r="IF323" s="15" t="s">
        <v>1238</v>
      </c>
      <c r="IH323" s="15" t="s">
        <v>426</v>
      </c>
    </row>
    <row r="324" ht="15.75" customHeight="1">
      <c r="A324" s="14" t="s">
        <v>391</v>
      </c>
      <c r="B324" s="15" t="s">
        <v>4301</v>
      </c>
      <c r="C324" s="16"/>
      <c r="D324" s="15" t="s">
        <v>432</v>
      </c>
      <c r="G324" s="14" t="s">
        <v>393</v>
      </c>
      <c r="H324" s="14" t="s">
        <v>394</v>
      </c>
      <c r="I324" s="14" t="b">
        <v>1</v>
      </c>
      <c r="J324" s="14" t="s">
        <v>395</v>
      </c>
      <c r="L324" s="14" t="b">
        <v>0</v>
      </c>
      <c r="M324" s="15" t="s">
        <v>4302</v>
      </c>
      <c r="N324" s="14" t="s">
        <v>393</v>
      </c>
      <c r="O324" s="14" t="s">
        <v>393</v>
      </c>
      <c r="P324" s="15" t="s">
        <v>397</v>
      </c>
      <c r="Q324" s="15" t="s">
        <v>4303</v>
      </c>
      <c r="T324" s="14" t="b">
        <v>0</v>
      </c>
      <c r="U324" s="15" t="s">
        <v>4304</v>
      </c>
      <c r="V324" s="15" t="s">
        <v>1220</v>
      </c>
      <c r="W324" s="15" t="s">
        <v>401</v>
      </c>
      <c r="X324" s="15" t="s">
        <v>695</v>
      </c>
      <c r="Y324" s="15">
        <v>1430.0</v>
      </c>
      <c r="AA324" s="15" t="str">
        <f>"550"</f>
        <v>550</v>
      </c>
      <c r="AB324" s="14" t="b">
        <v>1</v>
      </c>
      <c r="AC324" s="14" t="b">
        <v>1</v>
      </c>
      <c r="AD324" s="15" t="str">
        <f>"801542995782"</f>
        <v>801542995782</v>
      </c>
      <c r="AE324" s="15" t="s">
        <v>4305</v>
      </c>
      <c r="AF324" s="14" t="s">
        <v>404</v>
      </c>
      <c r="AG324" s="14" t="s">
        <v>405</v>
      </c>
      <c r="AH324" s="14" t="s">
        <v>406</v>
      </c>
      <c r="AI324" s="15">
        <v>0.0</v>
      </c>
      <c r="AL324" s="15" t="s">
        <v>1655</v>
      </c>
      <c r="AM324" s="15" t="s">
        <v>3442</v>
      </c>
      <c r="AN324" s="15" t="s">
        <v>3443</v>
      </c>
      <c r="AO324" s="15" t="s">
        <v>976</v>
      </c>
      <c r="AP324" s="15" t="s">
        <v>977</v>
      </c>
      <c r="AQ324" s="15" t="s">
        <v>1274</v>
      </c>
      <c r="AR324" s="15" t="s">
        <v>1275</v>
      </c>
      <c r="AS324" s="15" t="s">
        <v>1628</v>
      </c>
      <c r="AT324" s="15" t="s">
        <v>4303</v>
      </c>
      <c r="AW324" s="15" t="s">
        <v>706</v>
      </c>
      <c r="AX324" s="15" t="s">
        <v>707</v>
      </c>
      <c r="AY324" s="15" t="s">
        <v>413</v>
      </c>
      <c r="AZ324" s="15" t="b">
        <v>0</v>
      </c>
      <c r="BA324" s="15" t="s">
        <v>413</v>
      </c>
      <c r="BB324" s="15" t="b">
        <v>0</v>
      </c>
      <c r="BC324" s="15" t="s">
        <v>4306</v>
      </c>
      <c r="BD324" s="15" t="s">
        <v>709</v>
      </c>
      <c r="BE324" s="15" t="str">
        <f t="shared" si="585"/>
        <v>1</v>
      </c>
      <c r="BF324" s="15" t="s">
        <v>4307</v>
      </c>
      <c r="BG324" s="15" t="str">
        <f t="shared" ref="BG324:BG327" si="586">"39.37"</f>
        <v>39.37</v>
      </c>
      <c r="BH324" s="15" t="s">
        <v>523</v>
      </c>
      <c r="BI324" s="15" t="str">
        <f t="shared" ref="BI324:BI327" si="587">"37.01"</f>
        <v>37.01</v>
      </c>
      <c r="BJ324" s="15" t="s">
        <v>1990</v>
      </c>
      <c r="BK324" s="15" t="str">
        <f t="shared" ref="BK324:BK327" si="588">"31.1"</f>
        <v>31.1</v>
      </c>
      <c r="BL324" s="15" t="s">
        <v>1386</v>
      </c>
      <c r="BM324" s="15" t="str">
        <f t="shared" ref="BM324:BM327" si="589">"90.39"</f>
        <v>90.39</v>
      </c>
      <c r="BN324" s="15" t="s">
        <v>1525</v>
      </c>
      <c r="BQ324" s="15" t="s">
        <v>444</v>
      </c>
      <c r="BS324" s="15" t="s">
        <v>444</v>
      </c>
      <c r="BU324" s="15" t="s">
        <v>444</v>
      </c>
      <c r="BW324" s="15" t="s">
        <v>444</v>
      </c>
      <c r="BZ324" s="15" t="s">
        <v>444</v>
      </c>
      <c r="CB324" s="15" t="s">
        <v>444</v>
      </c>
      <c r="CD324" s="15" t="s">
        <v>444</v>
      </c>
      <c r="CF324" s="15" t="s">
        <v>444</v>
      </c>
      <c r="CI324" s="15" t="s">
        <v>444</v>
      </c>
      <c r="CK324" s="15" t="s">
        <v>444</v>
      </c>
      <c r="CM324" s="15" t="s">
        <v>444</v>
      </c>
      <c r="CO324" s="15" t="s">
        <v>444</v>
      </c>
      <c r="CP324" s="15" t="str">
        <f t="shared" ref="CP324:CP327" si="590">"23.24"</f>
        <v>23.24</v>
      </c>
      <c r="CQ324" s="15" t="str">
        <f t="shared" ref="CQ324:CQ327" si="591">"0.658"</f>
        <v>0.658</v>
      </c>
      <c r="CR324" s="15" t="s">
        <v>465</v>
      </c>
      <c r="DB324" s="15" t="s">
        <v>1211</v>
      </c>
      <c r="DC324" s="15" t="str">
        <f>IFERROR(__xludf.DUMMYFUNCTION("""COMPUTED_VALUE"""),"{""value"":24.00,""unit"":""in""}")</f>
        <v>{"value":24.00,"unit":"in"}</v>
      </c>
      <c r="DD324" s="15" t="s">
        <v>1804</v>
      </c>
      <c r="DE324" s="15" t="str">
        <f>IFERROR(__xludf.DUMMYFUNCTION("""COMPUTED_VALUE"""),"{""value"":17.50,""unit"":""in""}")</f>
        <v>{"value":17.50,"unit":"in"}</v>
      </c>
      <c r="DG324" s="15" t="str">
        <f>IFERROR(__xludf.DUMMYFUNCTION("""COMPUTED_VALUE"""),"")</f>
        <v/>
      </c>
      <c r="DH324" s="15">
        <v>0.0</v>
      </c>
      <c r="DI324" s="15">
        <v>0.0</v>
      </c>
      <c r="DJ324" s="15" t="s">
        <v>717</v>
      </c>
      <c r="DK324" s="15" t="s">
        <v>855</v>
      </c>
      <c r="DL324" s="15" t="str">
        <f>IFERROR(__xludf.DUMMYFUNCTION("""COMPUTED_VALUE"""),"Clean with solvent-based (dry clean only) products. Do not use water.")</f>
        <v>Clean with solvent-based (dry clean only) products. Do not use water.</v>
      </c>
      <c r="DM324" s="15" t="s">
        <v>856</v>
      </c>
      <c r="DT324" s="15" t="s">
        <v>721</v>
      </c>
      <c r="DU324" s="15" t="s">
        <v>1605</v>
      </c>
      <c r="DV324" s="15">
        <v>0.0</v>
      </c>
      <c r="DZ324" s="15">
        <v>50000.0</v>
      </c>
      <c r="EA324" s="15" t="s">
        <v>990</v>
      </c>
      <c r="ED324" s="15">
        <v>0.0</v>
      </c>
      <c r="EE324" s="15">
        <v>1.0</v>
      </c>
      <c r="EG324" s="15" t="s">
        <v>444</v>
      </c>
      <c r="EH324" s="15" t="s">
        <v>4308</v>
      </c>
      <c r="EI324" s="15">
        <v>0.0</v>
      </c>
      <c r="EJ324" s="15" t="s">
        <v>726</v>
      </c>
      <c r="EK324" s="15" t="s">
        <v>727</v>
      </c>
      <c r="EL324" s="15" t="s">
        <v>555</v>
      </c>
      <c r="EM324" s="15" t="str">
        <f>IFERROR(__xludf.DUMMYFUNCTION("""COMPUTED_VALUE"""),"{""value"":25.00,""unit"":""in""}")</f>
        <v>{"value":25.00,"unit":"in"}</v>
      </c>
      <c r="EN324" s="15" t="s">
        <v>2547</v>
      </c>
      <c r="EO324" s="15" t="s">
        <v>824</v>
      </c>
      <c r="ES324" s="15" t="s">
        <v>652</v>
      </c>
      <c r="EW324" s="15" t="s">
        <v>425</v>
      </c>
      <c r="EZ324" s="15" t="s">
        <v>1593</v>
      </c>
      <c r="FF324" s="15" t="s">
        <v>997</v>
      </c>
      <c r="FO324" s="15" t="s">
        <v>467</v>
      </c>
      <c r="FP324" s="15" t="s">
        <v>2384</v>
      </c>
      <c r="FQ324" s="15">
        <v>0.0</v>
      </c>
      <c r="FR324" s="15">
        <v>0.0</v>
      </c>
      <c r="FS324" s="15" t="s">
        <v>1609</v>
      </c>
      <c r="FT324" s="15">
        <v>0.0</v>
      </c>
      <c r="IL324" s="15" t="s">
        <v>1610</v>
      </c>
    </row>
    <row r="325" ht="15.75" customHeight="1">
      <c r="A325" s="14" t="s">
        <v>391</v>
      </c>
      <c r="B325" s="15" t="s">
        <v>4301</v>
      </c>
      <c r="C325" s="16"/>
      <c r="D325" s="15" t="s">
        <v>432</v>
      </c>
      <c r="G325" s="14" t="s">
        <v>393</v>
      </c>
      <c r="H325" s="14" t="s">
        <v>394</v>
      </c>
      <c r="I325" s="14" t="b">
        <v>1</v>
      </c>
      <c r="J325" s="14" t="s">
        <v>395</v>
      </c>
      <c r="L325" s="14" t="b">
        <v>0</v>
      </c>
      <c r="M325" s="15" t="s">
        <v>4309</v>
      </c>
      <c r="N325" s="14" t="s">
        <v>393</v>
      </c>
      <c r="O325" s="14" t="s">
        <v>393</v>
      </c>
      <c r="P325" s="15" t="s">
        <v>397</v>
      </c>
      <c r="Q325" s="15" t="s">
        <v>4310</v>
      </c>
      <c r="T325" s="14" t="b">
        <v>0</v>
      </c>
      <c r="U325" s="15" t="s">
        <v>4311</v>
      </c>
      <c r="V325" s="15" t="s">
        <v>1220</v>
      </c>
      <c r="W325" s="15" t="s">
        <v>401</v>
      </c>
      <c r="X325" s="15" t="s">
        <v>695</v>
      </c>
      <c r="Y325" s="15">
        <v>1755.0</v>
      </c>
      <c r="AA325" s="15" t="str">
        <f t="shared" ref="AA325:AA326" si="592">"675"</f>
        <v>675</v>
      </c>
      <c r="AB325" s="14" t="b">
        <v>1</v>
      </c>
      <c r="AC325" s="14" t="b">
        <v>1</v>
      </c>
      <c r="AD325" s="15" t="str">
        <f>"801542117337"</f>
        <v>801542117337</v>
      </c>
      <c r="AE325" s="15" t="s">
        <v>4312</v>
      </c>
      <c r="AF325" s="14" t="s">
        <v>404</v>
      </c>
      <c r="AG325" s="14" t="s">
        <v>405</v>
      </c>
      <c r="AH325" s="14" t="s">
        <v>406</v>
      </c>
      <c r="AI325" s="15">
        <v>0.0</v>
      </c>
      <c r="AL325" s="15" t="s">
        <v>1655</v>
      </c>
      <c r="AM325" s="15" t="s">
        <v>3442</v>
      </c>
      <c r="AN325" s="15" t="s">
        <v>3443</v>
      </c>
      <c r="AO325" s="15" t="s">
        <v>976</v>
      </c>
      <c r="AP325" s="15" t="s">
        <v>977</v>
      </c>
      <c r="AQ325" s="15" t="s">
        <v>1274</v>
      </c>
      <c r="AR325" s="15" t="s">
        <v>1275</v>
      </c>
      <c r="AS325" s="15" t="s">
        <v>1628</v>
      </c>
      <c r="AT325" s="15" t="s">
        <v>4310</v>
      </c>
      <c r="AW325" s="15" t="s">
        <v>706</v>
      </c>
      <c r="AX325" s="15" t="s">
        <v>707</v>
      </c>
      <c r="AY325" s="15" t="s">
        <v>413</v>
      </c>
      <c r="AZ325" s="15" t="b">
        <v>0</v>
      </c>
      <c r="BA325" s="15" t="s">
        <v>426</v>
      </c>
      <c r="BB325" s="15" t="b">
        <v>1</v>
      </c>
      <c r="BC325" s="15" t="s">
        <v>4313</v>
      </c>
      <c r="BD325" s="15" t="s">
        <v>709</v>
      </c>
      <c r="BE325" s="15" t="str">
        <f t="shared" si="585"/>
        <v>1</v>
      </c>
      <c r="BF325" s="15" t="s">
        <v>4307</v>
      </c>
      <c r="BG325" s="15" t="str">
        <f t="shared" si="586"/>
        <v>39.37</v>
      </c>
      <c r="BH325" s="15" t="s">
        <v>523</v>
      </c>
      <c r="BI325" s="15" t="str">
        <f t="shared" si="587"/>
        <v>37.01</v>
      </c>
      <c r="BJ325" s="15" t="s">
        <v>1990</v>
      </c>
      <c r="BK325" s="15" t="str">
        <f t="shared" si="588"/>
        <v>31.1</v>
      </c>
      <c r="BL325" s="15" t="s">
        <v>1386</v>
      </c>
      <c r="BM325" s="15" t="str">
        <f t="shared" si="589"/>
        <v>90.39</v>
      </c>
      <c r="BN325" s="15" t="s">
        <v>1525</v>
      </c>
      <c r="BQ325" s="15" t="s">
        <v>444</v>
      </c>
      <c r="BS325" s="15" t="s">
        <v>444</v>
      </c>
      <c r="BU325" s="15" t="s">
        <v>444</v>
      </c>
      <c r="BW325" s="15" t="s">
        <v>444</v>
      </c>
      <c r="BZ325" s="15" t="s">
        <v>444</v>
      </c>
      <c r="CB325" s="15" t="s">
        <v>444</v>
      </c>
      <c r="CD325" s="15" t="s">
        <v>444</v>
      </c>
      <c r="CF325" s="15" t="s">
        <v>444</v>
      </c>
      <c r="CI325" s="15" t="s">
        <v>444</v>
      </c>
      <c r="CK325" s="15" t="s">
        <v>444</v>
      </c>
      <c r="CM325" s="15" t="s">
        <v>444</v>
      </c>
      <c r="CO325" s="15" t="s">
        <v>444</v>
      </c>
      <c r="CP325" s="15" t="str">
        <f t="shared" si="590"/>
        <v>23.24</v>
      </c>
      <c r="CQ325" s="15" t="str">
        <f t="shared" si="591"/>
        <v>0.658</v>
      </c>
      <c r="CR325" s="15" t="s">
        <v>417</v>
      </c>
      <c r="DB325" s="15" t="s">
        <v>1211</v>
      </c>
      <c r="DC325" s="15" t="str">
        <f>IFERROR(__xludf.DUMMYFUNCTION("""COMPUTED_VALUE"""),"{""value"":24.00,""unit"":""in""}")</f>
        <v>{"value":24.00,"unit":"in"}</v>
      </c>
      <c r="DD325" s="15" t="s">
        <v>1804</v>
      </c>
      <c r="DE325" s="15" t="str">
        <f>IFERROR(__xludf.DUMMYFUNCTION("""COMPUTED_VALUE"""),"{""value"":17.50,""unit"":""in""}")</f>
        <v>{"value":17.50,"unit":"in"}</v>
      </c>
      <c r="DG325" s="15" t="str">
        <f>IFERROR(__xludf.DUMMYFUNCTION("""COMPUTED_VALUE"""),"")</f>
        <v/>
      </c>
      <c r="DH325" s="15">
        <v>0.0</v>
      </c>
      <c r="DI325" s="15">
        <v>0.0</v>
      </c>
      <c r="DJ325" s="15" t="s">
        <v>717</v>
      </c>
      <c r="DK325" s="15" t="s">
        <v>897</v>
      </c>
      <c r="DL325" s="15" t="str">
        <f>IFERROR(__xludf.DUMMYFUNCTION("""COMPUTED_VALUE"""),"Clean with water-based products only. Use mild detergent or upholstery shampoo.")</f>
        <v>Clean with water-based products only. Use mild detergent or upholstery shampoo.</v>
      </c>
      <c r="DM325" s="15" t="s">
        <v>898</v>
      </c>
      <c r="DT325" s="15" t="s">
        <v>721</v>
      </c>
      <c r="DU325" s="15" t="s">
        <v>1605</v>
      </c>
      <c r="DV325" s="15">
        <v>0.0</v>
      </c>
      <c r="DZ325" s="15">
        <v>100000.0</v>
      </c>
      <c r="EA325" s="15" t="s">
        <v>990</v>
      </c>
      <c r="ED325" s="15">
        <v>0.0</v>
      </c>
      <c r="EE325" s="15">
        <v>1.0</v>
      </c>
      <c r="EG325" s="15" t="s">
        <v>444</v>
      </c>
      <c r="EH325" s="15" t="s">
        <v>4308</v>
      </c>
      <c r="EI325" s="15">
        <v>0.0</v>
      </c>
      <c r="EJ325" s="15" t="s">
        <v>726</v>
      </c>
      <c r="EK325" s="15" t="s">
        <v>727</v>
      </c>
      <c r="EL325" s="15" t="s">
        <v>555</v>
      </c>
      <c r="EM325" s="15" t="str">
        <f>IFERROR(__xludf.DUMMYFUNCTION("""COMPUTED_VALUE"""),"{""value"":25.00,""unit"":""in""}")</f>
        <v>{"value":25.00,"unit":"in"}</v>
      </c>
      <c r="EN325" s="15" t="s">
        <v>2547</v>
      </c>
      <c r="EO325" s="15" t="s">
        <v>824</v>
      </c>
      <c r="ES325" s="15" t="s">
        <v>652</v>
      </c>
      <c r="EW325" s="15" t="s">
        <v>425</v>
      </c>
      <c r="EZ325" s="15" t="s">
        <v>1593</v>
      </c>
      <c r="FF325" s="15" t="s">
        <v>997</v>
      </c>
      <c r="FO325" s="15" t="s">
        <v>467</v>
      </c>
      <c r="FP325" s="15" t="s">
        <v>2384</v>
      </c>
      <c r="FQ325" s="15">
        <v>0.0</v>
      </c>
      <c r="FR325" s="15">
        <v>0.0</v>
      </c>
      <c r="FS325" s="15" t="s">
        <v>1609</v>
      </c>
      <c r="FT325" s="15">
        <v>0.0</v>
      </c>
      <c r="IL325" s="15" t="s">
        <v>1610</v>
      </c>
    </row>
    <row r="326" ht="15.75" customHeight="1">
      <c r="A326" s="14" t="s">
        <v>391</v>
      </c>
      <c r="B326" s="15" t="s">
        <v>4301</v>
      </c>
      <c r="C326" s="16"/>
      <c r="D326" s="15" t="s">
        <v>432</v>
      </c>
      <c r="G326" s="14" t="s">
        <v>393</v>
      </c>
      <c r="H326" s="14" t="s">
        <v>394</v>
      </c>
      <c r="I326" s="14" t="b">
        <v>1</v>
      </c>
      <c r="J326" s="14" t="s">
        <v>395</v>
      </c>
      <c r="L326" s="14" t="b">
        <v>0</v>
      </c>
      <c r="M326" s="15" t="s">
        <v>4314</v>
      </c>
      <c r="N326" s="14" t="s">
        <v>393</v>
      </c>
      <c r="O326" s="14" t="s">
        <v>393</v>
      </c>
      <c r="P326" s="15" t="s">
        <v>397</v>
      </c>
      <c r="Q326" s="15" t="s">
        <v>1816</v>
      </c>
      <c r="T326" s="14" t="b">
        <v>0</v>
      </c>
      <c r="U326" s="15" t="s">
        <v>4315</v>
      </c>
      <c r="V326" s="15" t="s">
        <v>1220</v>
      </c>
      <c r="W326" s="15" t="s">
        <v>401</v>
      </c>
      <c r="X326" s="15" t="s">
        <v>695</v>
      </c>
      <c r="Y326" s="15">
        <v>1755.0</v>
      </c>
      <c r="AA326" s="15" t="str">
        <f t="shared" si="592"/>
        <v>675</v>
      </c>
      <c r="AB326" s="14" t="b">
        <v>1</v>
      </c>
      <c r="AC326" s="14" t="b">
        <v>1</v>
      </c>
      <c r="AD326" s="15" t="str">
        <f>"801542117344"</f>
        <v>801542117344</v>
      </c>
      <c r="AE326" s="15" t="s">
        <v>4316</v>
      </c>
      <c r="AF326" s="14" t="s">
        <v>404</v>
      </c>
      <c r="AG326" s="14" t="s">
        <v>405</v>
      </c>
      <c r="AH326" s="14" t="s">
        <v>406</v>
      </c>
      <c r="AI326" s="15">
        <v>0.0</v>
      </c>
      <c r="AL326" s="15" t="s">
        <v>1655</v>
      </c>
      <c r="AM326" s="15" t="s">
        <v>3442</v>
      </c>
      <c r="AN326" s="15" t="s">
        <v>3443</v>
      </c>
      <c r="AO326" s="15" t="s">
        <v>976</v>
      </c>
      <c r="AP326" s="15" t="s">
        <v>977</v>
      </c>
      <c r="AQ326" s="15" t="s">
        <v>1274</v>
      </c>
      <c r="AR326" s="15" t="s">
        <v>1275</v>
      </c>
      <c r="AS326" s="15" t="s">
        <v>1628</v>
      </c>
      <c r="AT326" s="15" t="s">
        <v>1816</v>
      </c>
      <c r="AW326" s="15" t="s">
        <v>706</v>
      </c>
      <c r="AX326" s="15" t="s">
        <v>707</v>
      </c>
      <c r="AY326" s="15" t="s">
        <v>413</v>
      </c>
      <c r="AZ326" s="15" t="b">
        <v>0</v>
      </c>
      <c r="BA326" s="15" t="s">
        <v>426</v>
      </c>
      <c r="BB326" s="15" t="b">
        <v>1</v>
      </c>
      <c r="BC326" s="15" t="s">
        <v>4306</v>
      </c>
      <c r="BD326" s="15" t="s">
        <v>709</v>
      </c>
      <c r="BE326" s="15" t="str">
        <f t="shared" si="585"/>
        <v>1</v>
      </c>
      <c r="BF326" s="15" t="s">
        <v>4307</v>
      </c>
      <c r="BG326" s="15" t="str">
        <f t="shared" si="586"/>
        <v>39.37</v>
      </c>
      <c r="BH326" s="15" t="s">
        <v>523</v>
      </c>
      <c r="BI326" s="15" t="str">
        <f t="shared" si="587"/>
        <v>37.01</v>
      </c>
      <c r="BJ326" s="15" t="s">
        <v>1990</v>
      </c>
      <c r="BK326" s="15" t="str">
        <f t="shared" si="588"/>
        <v>31.1</v>
      </c>
      <c r="BL326" s="15" t="s">
        <v>1386</v>
      </c>
      <c r="BM326" s="15" t="str">
        <f t="shared" si="589"/>
        <v>90.39</v>
      </c>
      <c r="BN326" s="15" t="s">
        <v>1525</v>
      </c>
      <c r="BQ326" s="15" t="s">
        <v>444</v>
      </c>
      <c r="BS326" s="15" t="s">
        <v>444</v>
      </c>
      <c r="BU326" s="15" t="s">
        <v>444</v>
      </c>
      <c r="BW326" s="15" t="s">
        <v>444</v>
      </c>
      <c r="BZ326" s="15" t="s">
        <v>444</v>
      </c>
      <c r="CB326" s="15" t="s">
        <v>444</v>
      </c>
      <c r="CD326" s="15" t="s">
        <v>444</v>
      </c>
      <c r="CF326" s="15" t="s">
        <v>444</v>
      </c>
      <c r="CI326" s="15" t="s">
        <v>444</v>
      </c>
      <c r="CK326" s="15" t="s">
        <v>444</v>
      </c>
      <c r="CM326" s="15" t="s">
        <v>444</v>
      </c>
      <c r="CO326" s="15" t="s">
        <v>444</v>
      </c>
      <c r="CP326" s="15" t="str">
        <f t="shared" si="590"/>
        <v>23.24</v>
      </c>
      <c r="CQ326" s="15" t="str">
        <f t="shared" si="591"/>
        <v>0.658</v>
      </c>
      <c r="CR326" s="15" t="s">
        <v>465</v>
      </c>
      <c r="DB326" s="15" t="s">
        <v>1211</v>
      </c>
      <c r="DC326" s="15" t="str">
        <f>IFERROR(__xludf.DUMMYFUNCTION("""COMPUTED_VALUE"""),"{""value"":24.00,""unit"":""in""}")</f>
        <v>{"value":24.00,"unit":"in"}</v>
      </c>
      <c r="DD326" s="15" t="s">
        <v>1804</v>
      </c>
      <c r="DE326" s="15" t="str">
        <f>IFERROR(__xludf.DUMMYFUNCTION("""COMPUTED_VALUE"""),"{""value"":17.50,""unit"":""in""}")</f>
        <v>{"value":17.50,"unit":"in"}</v>
      </c>
      <c r="DG326" s="15" t="str">
        <f>IFERROR(__xludf.DUMMYFUNCTION("""COMPUTED_VALUE"""),"")</f>
        <v/>
      </c>
      <c r="DH326" s="15">
        <v>0.0</v>
      </c>
      <c r="DI326" s="15">
        <v>0.0</v>
      </c>
      <c r="DJ326" s="15" t="s">
        <v>717</v>
      </c>
      <c r="DK326" s="15" t="s">
        <v>897</v>
      </c>
      <c r="DL326" s="15" t="str">
        <f>IFERROR(__xludf.DUMMYFUNCTION("""COMPUTED_VALUE"""),"Clean with water-based products only. Use mild detergent or upholstery shampoo.")</f>
        <v>Clean with water-based products only. Use mild detergent or upholstery shampoo.</v>
      </c>
      <c r="DM326" s="15" t="s">
        <v>898</v>
      </c>
      <c r="DT326" s="15" t="s">
        <v>721</v>
      </c>
      <c r="DU326" s="15" t="s">
        <v>1605</v>
      </c>
      <c r="DV326" s="15">
        <v>0.0</v>
      </c>
      <c r="DZ326" s="15">
        <v>100000.0</v>
      </c>
      <c r="EA326" s="15" t="s">
        <v>990</v>
      </c>
      <c r="ED326" s="15">
        <v>0.0</v>
      </c>
      <c r="EE326" s="15">
        <v>1.0</v>
      </c>
      <c r="EG326" s="15" t="s">
        <v>444</v>
      </c>
      <c r="EH326" s="15" t="s">
        <v>4308</v>
      </c>
      <c r="EI326" s="15">
        <v>0.0</v>
      </c>
      <c r="EJ326" s="15" t="s">
        <v>726</v>
      </c>
      <c r="EK326" s="15" t="s">
        <v>727</v>
      </c>
      <c r="EL326" s="15" t="s">
        <v>555</v>
      </c>
      <c r="EM326" s="15" t="str">
        <f>IFERROR(__xludf.DUMMYFUNCTION("""COMPUTED_VALUE"""),"{""value"":25.00,""unit"":""in""}")</f>
        <v>{"value":25.00,"unit":"in"}</v>
      </c>
      <c r="EN326" s="15" t="s">
        <v>2547</v>
      </c>
      <c r="EO326" s="15" t="s">
        <v>824</v>
      </c>
      <c r="ES326" s="15" t="s">
        <v>652</v>
      </c>
      <c r="EW326" s="15" t="s">
        <v>425</v>
      </c>
      <c r="EZ326" s="15" t="s">
        <v>1593</v>
      </c>
      <c r="FF326" s="15" t="s">
        <v>997</v>
      </c>
      <c r="FO326" s="15" t="s">
        <v>467</v>
      </c>
      <c r="FP326" s="15" t="s">
        <v>2384</v>
      </c>
      <c r="FQ326" s="15">
        <v>0.0</v>
      </c>
      <c r="FR326" s="15">
        <v>0.0</v>
      </c>
      <c r="FS326" s="15" t="s">
        <v>1609</v>
      </c>
      <c r="FT326" s="15">
        <v>0.0</v>
      </c>
      <c r="IL326" s="15" t="s">
        <v>1610</v>
      </c>
    </row>
    <row r="327" ht="15.75" customHeight="1">
      <c r="A327" s="14" t="s">
        <v>391</v>
      </c>
      <c r="B327" s="15" t="s">
        <v>4301</v>
      </c>
      <c r="C327" s="16"/>
      <c r="D327" s="15" t="s">
        <v>432</v>
      </c>
      <c r="G327" s="14" t="s">
        <v>393</v>
      </c>
      <c r="H327" s="14" t="s">
        <v>394</v>
      </c>
      <c r="I327" s="14" t="b">
        <v>1</v>
      </c>
      <c r="J327" s="14" t="s">
        <v>395</v>
      </c>
      <c r="L327" s="14" t="b">
        <v>0</v>
      </c>
      <c r="M327" s="15" t="s">
        <v>4317</v>
      </c>
      <c r="N327" s="14" t="s">
        <v>393</v>
      </c>
      <c r="O327" s="14" t="s">
        <v>393</v>
      </c>
      <c r="P327" s="15" t="s">
        <v>397</v>
      </c>
      <c r="Q327" s="15" t="s">
        <v>1612</v>
      </c>
      <c r="T327" s="14" t="b">
        <v>0</v>
      </c>
      <c r="U327" s="15" t="s">
        <v>4318</v>
      </c>
      <c r="V327" s="15" t="s">
        <v>1220</v>
      </c>
      <c r="W327" s="15" t="s">
        <v>401</v>
      </c>
      <c r="X327" s="15" t="s">
        <v>695</v>
      </c>
      <c r="Y327" s="15">
        <v>1534.0</v>
      </c>
      <c r="AA327" s="15" t="str">
        <f>"590"</f>
        <v>590</v>
      </c>
      <c r="AB327" s="14" t="b">
        <v>1</v>
      </c>
      <c r="AC327" s="14" t="b">
        <v>1</v>
      </c>
      <c r="AD327" s="15" t="str">
        <f>"801542377038"</f>
        <v>801542377038</v>
      </c>
      <c r="AE327" s="15" t="s">
        <v>4319</v>
      </c>
      <c r="AF327" s="14" t="s">
        <v>404</v>
      </c>
      <c r="AG327" s="14" t="s">
        <v>405</v>
      </c>
      <c r="AH327" s="14" t="s">
        <v>406</v>
      </c>
      <c r="AI327" s="15">
        <v>0.0</v>
      </c>
      <c r="AL327" s="15" t="s">
        <v>1615</v>
      </c>
      <c r="AM327" s="15" t="s">
        <v>3442</v>
      </c>
      <c r="AN327" s="15" t="s">
        <v>3443</v>
      </c>
      <c r="AO327" s="15" t="s">
        <v>976</v>
      </c>
      <c r="AP327" s="15" t="s">
        <v>977</v>
      </c>
      <c r="AQ327" s="15" t="s">
        <v>1274</v>
      </c>
      <c r="AR327" s="15" t="s">
        <v>1275</v>
      </c>
      <c r="AS327" s="15" t="s">
        <v>1628</v>
      </c>
      <c r="AT327" s="15" t="s">
        <v>1612</v>
      </c>
      <c r="AW327" s="15" t="s">
        <v>706</v>
      </c>
      <c r="AX327" s="15" t="s">
        <v>707</v>
      </c>
      <c r="AY327" s="15" t="s">
        <v>413</v>
      </c>
      <c r="AZ327" s="15" t="b">
        <v>0</v>
      </c>
      <c r="BA327" s="15" t="s">
        <v>413</v>
      </c>
      <c r="BB327" s="15" t="b">
        <v>0</v>
      </c>
      <c r="BC327" s="15" t="s">
        <v>4306</v>
      </c>
      <c r="BD327" s="15" t="s">
        <v>709</v>
      </c>
      <c r="BE327" s="15" t="str">
        <f t="shared" si="585"/>
        <v>1</v>
      </c>
      <c r="BF327" s="15" t="s">
        <v>4307</v>
      </c>
      <c r="BG327" s="15" t="str">
        <f t="shared" si="586"/>
        <v>39.37</v>
      </c>
      <c r="BH327" s="15" t="s">
        <v>523</v>
      </c>
      <c r="BI327" s="15" t="str">
        <f t="shared" si="587"/>
        <v>37.01</v>
      </c>
      <c r="BJ327" s="15" t="s">
        <v>1990</v>
      </c>
      <c r="BK327" s="15" t="str">
        <f t="shared" si="588"/>
        <v>31.1</v>
      </c>
      <c r="BL327" s="15" t="s">
        <v>1386</v>
      </c>
      <c r="BM327" s="15" t="str">
        <f t="shared" si="589"/>
        <v>90.39</v>
      </c>
      <c r="BN327" s="15" t="s">
        <v>1525</v>
      </c>
      <c r="BQ327" s="15" t="s">
        <v>444</v>
      </c>
      <c r="BS327" s="15" t="s">
        <v>444</v>
      </c>
      <c r="BU327" s="15" t="s">
        <v>444</v>
      </c>
      <c r="BW327" s="15" t="s">
        <v>444</v>
      </c>
      <c r="BZ327" s="15" t="s">
        <v>444</v>
      </c>
      <c r="CB327" s="15" t="s">
        <v>444</v>
      </c>
      <c r="CD327" s="15" t="s">
        <v>444</v>
      </c>
      <c r="CF327" s="15" t="s">
        <v>444</v>
      </c>
      <c r="CI327" s="15" t="s">
        <v>444</v>
      </c>
      <c r="CK327" s="15" t="s">
        <v>444</v>
      </c>
      <c r="CM327" s="15" t="s">
        <v>444</v>
      </c>
      <c r="CO327" s="15" t="s">
        <v>444</v>
      </c>
      <c r="CP327" s="15" t="str">
        <f t="shared" si="590"/>
        <v>23.24</v>
      </c>
      <c r="CQ327" s="15" t="str">
        <f t="shared" si="591"/>
        <v>0.658</v>
      </c>
      <c r="CR327" s="15" t="s">
        <v>465</v>
      </c>
      <c r="DB327" s="15" t="s">
        <v>1211</v>
      </c>
      <c r="DC327" s="15" t="str">
        <f>IFERROR(__xludf.DUMMYFUNCTION("""COMPUTED_VALUE"""),"{""value"":24.00,""unit"":""in""}")</f>
        <v>{"value":24.00,"unit":"in"}</v>
      </c>
      <c r="DD327" s="15" t="s">
        <v>1804</v>
      </c>
      <c r="DE327" s="15" t="str">
        <f>IFERROR(__xludf.DUMMYFUNCTION("""COMPUTED_VALUE"""),"{""value"":17.50,""unit"":""in""}")</f>
        <v>{"value":17.50,"unit":"in"}</v>
      </c>
      <c r="DG327" s="15" t="str">
        <f>IFERROR(__xludf.DUMMYFUNCTION("""COMPUTED_VALUE"""),"")</f>
        <v/>
      </c>
      <c r="DH327" s="15">
        <v>0.0</v>
      </c>
      <c r="DI327" s="15">
        <v>0.0</v>
      </c>
      <c r="DJ327" s="15" t="s">
        <v>717</v>
      </c>
      <c r="DK327" s="15" t="s">
        <v>718</v>
      </c>
      <c r="DL327" s="15" t="str">
        <f>IFERROR(__xludf.DUMMYFUNCTION("""COMPUTED_VALUE"""),"Vacuum or light brush only. Do not use water or any cleaning products.")</f>
        <v>Vacuum or light brush only. Do not use water or any cleaning products.</v>
      </c>
      <c r="DM327" s="15" t="s">
        <v>719</v>
      </c>
      <c r="DT327" s="15" t="s">
        <v>721</v>
      </c>
      <c r="DU327" s="15" t="s">
        <v>1605</v>
      </c>
      <c r="DV327" s="15">
        <v>0.0</v>
      </c>
      <c r="DZ327" s="15">
        <v>30000.0</v>
      </c>
      <c r="EA327" s="15" t="s">
        <v>990</v>
      </c>
      <c r="ED327" s="15">
        <v>0.0</v>
      </c>
      <c r="EE327" s="15">
        <v>1.0</v>
      </c>
      <c r="EG327" s="15" t="s">
        <v>444</v>
      </c>
      <c r="EH327" s="15" t="s">
        <v>4308</v>
      </c>
      <c r="EI327" s="15">
        <v>0.0</v>
      </c>
      <c r="EJ327" s="15" t="s">
        <v>726</v>
      </c>
      <c r="EK327" s="15" t="s">
        <v>727</v>
      </c>
      <c r="EL327" s="15" t="s">
        <v>555</v>
      </c>
      <c r="EM327" s="15" t="str">
        <f>IFERROR(__xludf.DUMMYFUNCTION("""COMPUTED_VALUE"""),"{""value"":25.00,""unit"":""in""}")</f>
        <v>{"value":25.00,"unit":"in"}</v>
      </c>
      <c r="EN327" s="15" t="s">
        <v>2547</v>
      </c>
      <c r="EO327" s="15" t="s">
        <v>824</v>
      </c>
      <c r="ES327" s="15" t="s">
        <v>652</v>
      </c>
      <c r="EW327" s="15" t="s">
        <v>425</v>
      </c>
      <c r="EZ327" s="15" t="s">
        <v>1593</v>
      </c>
      <c r="FF327" s="15" t="s">
        <v>997</v>
      </c>
      <c r="FO327" s="15" t="s">
        <v>467</v>
      </c>
      <c r="FP327" s="15" t="s">
        <v>2384</v>
      </c>
      <c r="FQ327" s="15">
        <v>0.0</v>
      </c>
      <c r="FR327" s="15">
        <v>0.0</v>
      </c>
      <c r="FS327" s="15" t="s">
        <v>1609</v>
      </c>
      <c r="FT327" s="15">
        <v>0.0</v>
      </c>
      <c r="IL327" s="15" t="s">
        <v>1610</v>
      </c>
    </row>
    <row r="328" ht="15.75" customHeight="1">
      <c r="A328" s="14" t="s">
        <v>391</v>
      </c>
      <c r="B328" s="15" t="s">
        <v>4320</v>
      </c>
      <c r="C328" s="16"/>
      <c r="D328" s="15" t="s">
        <v>432</v>
      </c>
      <c r="G328" s="14" t="s">
        <v>393</v>
      </c>
      <c r="H328" s="14" t="s">
        <v>394</v>
      </c>
      <c r="I328" s="14" t="b">
        <v>1</v>
      </c>
      <c r="J328" s="14" t="s">
        <v>395</v>
      </c>
      <c r="L328" s="14" t="b">
        <v>0</v>
      </c>
      <c r="M328" s="15" t="s">
        <v>4321</v>
      </c>
      <c r="N328" s="14" t="s">
        <v>393</v>
      </c>
      <c r="O328" s="14" t="s">
        <v>393</v>
      </c>
      <c r="P328" s="15" t="s">
        <v>397</v>
      </c>
      <c r="Q328" s="15" t="s">
        <v>4322</v>
      </c>
      <c r="T328" s="14" t="b">
        <v>0</v>
      </c>
      <c r="U328" s="15" t="s">
        <v>4323</v>
      </c>
      <c r="V328" s="15" t="s">
        <v>1003</v>
      </c>
      <c r="W328" s="15" t="s">
        <v>401</v>
      </c>
      <c r="X328" s="15" t="s">
        <v>695</v>
      </c>
      <c r="Y328" s="15">
        <v>1092.0</v>
      </c>
      <c r="AA328" s="15" t="str">
        <f>"420"</f>
        <v>420</v>
      </c>
      <c r="AB328" s="14" t="b">
        <v>1</v>
      </c>
      <c r="AC328" s="14" t="b">
        <v>1</v>
      </c>
      <c r="AD328" s="15" t="str">
        <f>"801542047597"</f>
        <v>801542047597</v>
      </c>
      <c r="AE328" s="15" t="s">
        <v>4324</v>
      </c>
      <c r="AF328" s="14" t="s">
        <v>404</v>
      </c>
      <c r="AG328" s="14" t="s">
        <v>405</v>
      </c>
      <c r="AH328" s="14" t="s">
        <v>406</v>
      </c>
      <c r="AI328" s="15">
        <v>0.0</v>
      </c>
      <c r="AL328" s="15" t="s">
        <v>832</v>
      </c>
      <c r="AM328" s="15" t="s">
        <v>517</v>
      </c>
      <c r="AN328" s="15" t="s">
        <v>518</v>
      </c>
      <c r="AO328" s="15" t="s">
        <v>698</v>
      </c>
      <c r="AP328" s="15" t="s">
        <v>699</v>
      </c>
      <c r="AQ328" s="15" t="s">
        <v>410</v>
      </c>
      <c r="AR328" s="15" t="s">
        <v>439</v>
      </c>
      <c r="AS328" s="15" t="s">
        <v>2343</v>
      </c>
      <c r="AT328" s="15" t="s">
        <v>4322</v>
      </c>
      <c r="AU328" s="15" t="s">
        <v>1087</v>
      </c>
      <c r="AW328" s="15" t="s">
        <v>706</v>
      </c>
      <c r="AX328" s="15" t="s">
        <v>707</v>
      </c>
      <c r="AY328" s="15" t="s">
        <v>413</v>
      </c>
      <c r="AZ328" s="15" t="b">
        <v>0</v>
      </c>
      <c r="BA328" s="15" t="s">
        <v>413</v>
      </c>
      <c r="BB328" s="15" t="b">
        <v>0</v>
      </c>
      <c r="BC328" s="15" t="s">
        <v>4325</v>
      </c>
      <c r="BD328" s="15" t="s">
        <v>709</v>
      </c>
      <c r="BE328" s="15" t="str">
        <f t="shared" si="585"/>
        <v>1</v>
      </c>
      <c r="BF328" s="15" t="s">
        <v>4326</v>
      </c>
      <c r="BG328" s="15" t="str">
        <f>"33.07"</f>
        <v>33.07</v>
      </c>
      <c r="BH328" s="15" t="s">
        <v>1091</v>
      </c>
      <c r="BI328" s="15" t="str">
        <f>"37.8"</f>
        <v>37.8</v>
      </c>
      <c r="BJ328" s="15" t="s">
        <v>756</v>
      </c>
      <c r="BK328" s="15" t="str">
        <f>"29.92"</f>
        <v>29.92</v>
      </c>
      <c r="BL328" s="15" t="s">
        <v>1321</v>
      </c>
      <c r="BM328" s="15" t="str">
        <f>"65.04"</f>
        <v>65.04</v>
      </c>
      <c r="BN328" s="15" t="s">
        <v>4327</v>
      </c>
      <c r="BQ328" s="15" t="s">
        <v>444</v>
      </c>
      <c r="BS328" s="15" t="s">
        <v>444</v>
      </c>
      <c r="BU328" s="15" t="s">
        <v>444</v>
      </c>
      <c r="BW328" s="15" t="s">
        <v>444</v>
      </c>
      <c r="BZ328" s="15" t="s">
        <v>444</v>
      </c>
      <c r="CB328" s="15" t="s">
        <v>444</v>
      </c>
      <c r="CD328" s="15" t="s">
        <v>444</v>
      </c>
      <c r="CF328" s="15" t="s">
        <v>444</v>
      </c>
      <c r="CI328" s="15" t="s">
        <v>444</v>
      </c>
      <c r="CK328" s="15" t="s">
        <v>444</v>
      </c>
      <c r="CM328" s="15" t="s">
        <v>444</v>
      </c>
      <c r="CO328" s="15" t="s">
        <v>444</v>
      </c>
      <c r="CP328" s="15" t="str">
        <f>"18.93"</f>
        <v>18.93</v>
      </c>
      <c r="CQ328" s="15" t="str">
        <f>"0.536"</f>
        <v>0.536</v>
      </c>
      <c r="CR328" s="15" t="s">
        <v>465</v>
      </c>
      <c r="DB328" s="15" t="s">
        <v>555</v>
      </c>
      <c r="DC328" s="15" t="str">
        <f>IFERROR(__xludf.DUMMYFUNCTION("""COMPUTED_VALUE"""),"{""value"":25.00,""unit"":""in""}")</f>
        <v>{"value":25.00,"unit":"in"}</v>
      </c>
      <c r="DD328" s="15" t="s">
        <v>1065</v>
      </c>
      <c r="DE328" s="15" t="str">
        <f>IFERROR(__xludf.DUMMYFUNCTION("""COMPUTED_VALUE"""),"{""value"":18.00,""unit"":""in""}")</f>
        <v>{"value":18.00,"unit":"in"}</v>
      </c>
      <c r="DF328" s="15" t="s">
        <v>1072</v>
      </c>
      <c r="DG328" s="15" t="str">
        <f>IFERROR(__xludf.DUMMYFUNCTION("""COMPUTED_VALUE"""),"{""value"":22.00,""unit"":""in""}")</f>
        <v>{"value":22.00,"unit":"in"}</v>
      </c>
      <c r="DH328" s="15">
        <v>0.0</v>
      </c>
      <c r="DI328" s="15">
        <v>0.0</v>
      </c>
      <c r="DJ328" s="15" t="s">
        <v>717</v>
      </c>
      <c r="DK328" s="15" t="s">
        <v>897</v>
      </c>
      <c r="DL328" s="15" t="str">
        <f>IFERROR(__xludf.DUMMYFUNCTION("""COMPUTED_VALUE"""),"Clean with water-based products only. Use mild detergent or upholstery shampoo.")</f>
        <v>Clean with water-based products only. Use mild detergent or upholstery shampoo.</v>
      </c>
      <c r="DM328" s="15" t="s">
        <v>898</v>
      </c>
      <c r="DT328" s="15" t="s">
        <v>721</v>
      </c>
      <c r="DU328" s="15" t="s">
        <v>419</v>
      </c>
      <c r="DV328" s="15">
        <v>0.0</v>
      </c>
      <c r="DZ328" s="15">
        <v>100000.0</v>
      </c>
      <c r="EA328" s="15" t="s">
        <v>990</v>
      </c>
      <c r="ED328" s="15">
        <v>0.0</v>
      </c>
      <c r="EE328" s="15">
        <v>1.0</v>
      </c>
      <c r="EG328" s="15" t="s">
        <v>444</v>
      </c>
      <c r="EH328" s="15" t="s">
        <v>4328</v>
      </c>
      <c r="EI328" s="15">
        <v>0.0</v>
      </c>
      <c r="EJ328" s="15" t="s">
        <v>726</v>
      </c>
      <c r="EK328" s="15" t="s">
        <v>727</v>
      </c>
      <c r="EL328" s="15" t="s">
        <v>1211</v>
      </c>
      <c r="EM328" s="15" t="str">
        <f>IFERROR(__xludf.DUMMYFUNCTION("""COMPUTED_VALUE"""),"{""value"":24.00,""unit"":""in""}")</f>
        <v>{"value":24.00,"unit":"in"}</v>
      </c>
      <c r="EN328" s="15" t="s">
        <v>505</v>
      </c>
      <c r="EO328" s="15" t="s">
        <v>1253</v>
      </c>
      <c r="ES328" s="15" t="s">
        <v>505</v>
      </c>
      <c r="EW328" s="15" t="s">
        <v>672</v>
      </c>
      <c r="EX328" s="15" t="s">
        <v>1324</v>
      </c>
      <c r="EY328" s="15" t="s">
        <v>1286</v>
      </c>
      <c r="EZ328" s="15" t="s">
        <v>1592</v>
      </c>
      <c r="FF328" s="15" t="s">
        <v>860</v>
      </c>
      <c r="FQ328" s="15">
        <v>0.0</v>
      </c>
      <c r="FR328" s="15">
        <v>0.0</v>
      </c>
      <c r="FS328" s="15" t="s">
        <v>1609</v>
      </c>
      <c r="FT328" s="15">
        <v>0.0</v>
      </c>
    </row>
    <row r="329" ht="15.75" customHeight="1">
      <c r="A329" s="14" t="s">
        <v>391</v>
      </c>
      <c r="B329" s="15" t="s">
        <v>4329</v>
      </c>
      <c r="C329" s="16"/>
      <c r="D329" s="15" t="s">
        <v>432</v>
      </c>
      <c r="G329" s="14" t="s">
        <v>393</v>
      </c>
      <c r="H329" s="14" t="s">
        <v>394</v>
      </c>
      <c r="I329" s="14" t="b">
        <v>1</v>
      </c>
      <c r="J329" s="14" t="s">
        <v>395</v>
      </c>
      <c r="L329" s="14" t="b">
        <v>0</v>
      </c>
      <c r="M329" s="15" t="s">
        <v>4330</v>
      </c>
      <c r="N329" s="14" t="s">
        <v>393</v>
      </c>
      <c r="O329" s="14" t="s">
        <v>393</v>
      </c>
      <c r="P329" s="15" t="s">
        <v>397</v>
      </c>
      <c r="Q329" s="15" t="s">
        <v>4331</v>
      </c>
      <c r="T329" s="14" t="b">
        <v>0</v>
      </c>
      <c r="U329" s="15" t="s">
        <v>4332</v>
      </c>
      <c r="V329" s="15" t="s">
        <v>4333</v>
      </c>
      <c r="W329" s="15" t="s">
        <v>401</v>
      </c>
      <c r="X329" s="15" t="s">
        <v>695</v>
      </c>
      <c r="Y329" s="15">
        <v>2301.0</v>
      </c>
      <c r="AA329" s="15" t="str">
        <f t="shared" ref="AA329:AA330" si="593">"885"</f>
        <v>885</v>
      </c>
      <c r="AB329" s="14" t="b">
        <v>1</v>
      </c>
      <c r="AC329" s="14" t="b">
        <v>1</v>
      </c>
      <c r="AD329" s="15" t="str">
        <f>"801542769017"</f>
        <v>801542769017</v>
      </c>
      <c r="AE329" s="15" t="s">
        <v>4334</v>
      </c>
      <c r="AF329" s="14" t="s">
        <v>404</v>
      </c>
      <c r="AG329" s="14" t="s">
        <v>405</v>
      </c>
      <c r="AH329" s="14" t="s">
        <v>406</v>
      </c>
      <c r="AI329" s="15">
        <v>0.0</v>
      </c>
      <c r="AL329" s="15" t="s">
        <v>4335</v>
      </c>
      <c r="AM329" s="15" t="s">
        <v>2151</v>
      </c>
      <c r="AN329" s="15" t="s">
        <v>2152</v>
      </c>
      <c r="AO329" s="15" t="s">
        <v>622</v>
      </c>
      <c r="AP329" s="15" t="s">
        <v>623</v>
      </c>
      <c r="AQ329" s="15" t="s">
        <v>1801</v>
      </c>
      <c r="AR329" s="15" t="s">
        <v>1322</v>
      </c>
      <c r="AS329" s="15" t="s">
        <v>2343</v>
      </c>
      <c r="AT329" s="15" t="s">
        <v>4331</v>
      </c>
      <c r="AU329" s="15" t="s">
        <v>4336</v>
      </c>
      <c r="AW329" s="15" t="s">
        <v>1732</v>
      </c>
      <c r="AY329" s="15" t="s">
        <v>413</v>
      </c>
      <c r="AZ329" s="15" t="b">
        <v>0</v>
      </c>
      <c r="BA329" s="15" t="s">
        <v>413</v>
      </c>
      <c r="BB329" s="15" t="b">
        <v>0</v>
      </c>
      <c r="BC329" s="15" t="s">
        <v>4337</v>
      </c>
      <c r="BD329" s="15" t="s">
        <v>709</v>
      </c>
      <c r="BE329" s="15" t="str">
        <f t="shared" si="585"/>
        <v>1</v>
      </c>
      <c r="BF329" s="15" t="s">
        <v>416</v>
      </c>
      <c r="BG329" s="15" t="str">
        <f t="shared" ref="BG329:BG332" si="594">"85.04"</f>
        <v>85.04</v>
      </c>
      <c r="BH329" s="15" t="s">
        <v>440</v>
      </c>
      <c r="BI329" s="15" t="str">
        <f t="shared" ref="BI329:BI332" si="595">"36.42"</f>
        <v>36.42</v>
      </c>
      <c r="BJ329" s="15" t="s">
        <v>3046</v>
      </c>
      <c r="BK329" s="15" t="str">
        <f t="shared" ref="BK329:BK332" si="596">"22.05"</f>
        <v>22.05</v>
      </c>
      <c r="BL329" s="15" t="s">
        <v>2310</v>
      </c>
      <c r="BM329" s="15" t="str">
        <f t="shared" ref="BM329:BM332" si="597">"128.31"</f>
        <v>128.31</v>
      </c>
      <c r="BN329" s="15" t="s">
        <v>4338</v>
      </c>
      <c r="BQ329" s="15" t="s">
        <v>444</v>
      </c>
      <c r="BS329" s="15" t="s">
        <v>444</v>
      </c>
      <c r="BU329" s="15" t="s">
        <v>444</v>
      </c>
      <c r="BW329" s="15" t="s">
        <v>444</v>
      </c>
      <c r="BZ329" s="15" t="s">
        <v>444</v>
      </c>
      <c r="CB329" s="15" t="s">
        <v>444</v>
      </c>
      <c r="CD329" s="15" t="s">
        <v>444</v>
      </c>
      <c r="CF329" s="15" t="s">
        <v>444</v>
      </c>
      <c r="CI329" s="15" t="s">
        <v>444</v>
      </c>
      <c r="CK329" s="15" t="s">
        <v>444</v>
      </c>
      <c r="CM329" s="15" t="s">
        <v>444</v>
      </c>
      <c r="CO329" s="15" t="s">
        <v>444</v>
      </c>
      <c r="CP329" s="15" t="str">
        <f t="shared" ref="CP329:CP332" si="598">"39.52"</f>
        <v>39.52</v>
      </c>
      <c r="CQ329" s="15" t="str">
        <f t="shared" ref="CQ329:CQ332" si="599">"1.119"</f>
        <v>1.119</v>
      </c>
      <c r="CR329" s="15" t="s">
        <v>497</v>
      </c>
      <c r="CY329" s="15" t="s">
        <v>2839</v>
      </c>
      <c r="CZ329" s="15" t="s">
        <v>2116</v>
      </c>
      <c r="DA329" s="15" t="s">
        <v>4339</v>
      </c>
      <c r="DB329" s="15" t="s">
        <v>1211</v>
      </c>
      <c r="DC329" s="15" t="str">
        <f>IFERROR(__xludf.DUMMYFUNCTION("""COMPUTED_VALUE"""),"{""value"":24.00,""unit"":""in""}")</f>
        <v>{"value":24.00,"unit":"in"}</v>
      </c>
      <c r="DD329" s="15" t="s">
        <v>824</v>
      </c>
      <c r="DE329" s="15" t="str">
        <f>IFERROR(__xludf.DUMMYFUNCTION("""COMPUTED_VALUE"""),"{""value"":18.50,""unit"":""in""}")</f>
        <v>{"value":18.50,"unit":"in"}</v>
      </c>
      <c r="DF329" s="15" t="s">
        <v>468</v>
      </c>
      <c r="DG329" s="15" t="str">
        <f>IFERROR(__xludf.DUMMYFUNCTION("""COMPUTED_VALUE"""),"{""value"":70.00,""unit"":""in""}")</f>
        <v>{"value":70.00,"unit":"in"}</v>
      </c>
      <c r="DH329" s="15">
        <v>2.0</v>
      </c>
      <c r="DI329" s="15">
        <v>2.0</v>
      </c>
      <c r="DJ329" s="15" t="s">
        <v>717</v>
      </c>
      <c r="DK329" s="15" t="s">
        <v>897</v>
      </c>
      <c r="DL329" s="15" t="str">
        <f>IFERROR(__xludf.DUMMYFUNCTION("""COMPUTED_VALUE"""),"Clean with water-based products only. Use mild detergent or upholstery shampoo.")</f>
        <v>Clean with water-based products only. Use mild detergent or upholstery shampoo.</v>
      </c>
      <c r="DM329" s="15" t="s">
        <v>898</v>
      </c>
      <c r="DQ329" s="15" t="s">
        <v>1255</v>
      </c>
      <c r="DT329" s="15" t="s">
        <v>721</v>
      </c>
      <c r="DU329" s="15" t="s">
        <v>419</v>
      </c>
      <c r="DV329" s="15">
        <v>0.0</v>
      </c>
      <c r="DZ329" s="15">
        <v>100000.0</v>
      </c>
      <c r="EA329" s="15" t="s">
        <v>990</v>
      </c>
      <c r="EB329" s="15" t="s">
        <v>723</v>
      </c>
      <c r="EC329" s="15" t="s">
        <v>724</v>
      </c>
      <c r="ED329" s="15">
        <v>2.0</v>
      </c>
      <c r="EE329" s="15">
        <v>3.0</v>
      </c>
      <c r="EG329" s="15" t="s">
        <v>444</v>
      </c>
      <c r="EH329" s="15" t="s">
        <v>4340</v>
      </c>
      <c r="EI329" s="15">
        <v>0.0</v>
      </c>
      <c r="EJ329" s="15" t="s">
        <v>473</v>
      </c>
      <c r="EK329" s="15" t="s">
        <v>474</v>
      </c>
      <c r="EL329" s="15" t="s">
        <v>3811</v>
      </c>
      <c r="EM329" s="15" t="str">
        <f>IFERROR(__xludf.DUMMYFUNCTION("""COMPUTED_VALUE"""),"{""value"":26.25,""unit"":""in""}")</f>
        <v>{"value":26.25,"unit":"in"}</v>
      </c>
      <c r="EN329" s="15" t="s">
        <v>652</v>
      </c>
      <c r="EO329" s="15" t="s">
        <v>4339</v>
      </c>
      <c r="EP329" s="15" t="s">
        <v>1994</v>
      </c>
      <c r="EQ329" s="15" t="s">
        <v>1160</v>
      </c>
      <c r="ER329" s="15" t="s">
        <v>3305</v>
      </c>
      <c r="ES329" s="15" t="s">
        <v>1807</v>
      </c>
      <c r="ET329" s="15" t="s">
        <v>505</v>
      </c>
      <c r="EU329" s="15" t="s">
        <v>1213</v>
      </c>
      <c r="EV329" s="15" t="s">
        <v>4339</v>
      </c>
      <c r="EW329" s="15" t="s">
        <v>1327</v>
      </c>
      <c r="EX329" s="15" t="s">
        <v>1994</v>
      </c>
      <c r="EY329" s="15" t="s">
        <v>945</v>
      </c>
      <c r="EZ329" s="15" t="s">
        <v>652</v>
      </c>
      <c r="FA329" s="15" t="s">
        <v>724</v>
      </c>
      <c r="FB329" s="15" t="s">
        <v>426</v>
      </c>
      <c r="FC329" s="15" t="s">
        <v>723</v>
      </c>
      <c r="FD329" s="15" t="s">
        <v>724</v>
      </c>
      <c r="FE329" s="15" t="s">
        <v>3408</v>
      </c>
      <c r="FF329" s="15" t="s">
        <v>1255</v>
      </c>
    </row>
    <row r="330" ht="15.75" customHeight="1">
      <c r="A330" s="14" t="s">
        <v>391</v>
      </c>
      <c r="B330" s="15" t="s">
        <v>4329</v>
      </c>
      <c r="C330" s="16"/>
      <c r="D330" s="15" t="s">
        <v>432</v>
      </c>
      <c r="G330" s="14" t="s">
        <v>393</v>
      </c>
      <c r="H330" s="14" t="s">
        <v>394</v>
      </c>
      <c r="I330" s="14" t="b">
        <v>1</v>
      </c>
      <c r="J330" s="14" t="s">
        <v>395</v>
      </c>
      <c r="L330" s="14" t="b">
        <v>0</v>
      </c>
      <c r="M330" s="15" t="s">
        <v>4341</v>
      </c>
      <c r="N330" s="14" t="s">
        <v>393</v>
      </c>
      <c r="O330" s="14" t="s">
        <v>393</v>
      </c>
      <c r="P330" s="15" t="s">
        <v>397</v>
      </c>
      <c r="Q330" s="15" t="s">
        <v>4342</v>
      </c>
      <c r="T330" s="14" t="b">
        <v>0</v>
      </c>
      <c r="U330" s="15" t="s">
        <v>4343</v>
      </c>
      <c r="V330" s="15" t="s">
        <v>4333</v>
      </c>
      <c r="W330" s="15" t="s">
        <v>401</v>
      </c>
      <c r="X330" s="15" t="s">
        <v>695</v>
      </c>
      <c r="Y330" s="15">
        <v>2301.0</v>
      </c>
      <c r="AA330" s="15" t="str">
        <f t="shared" si="593"/>
        <v>885</v>
      </c>
      <c r="AB330" s="14" t="b">
        <v>1</v>
      </c>
      <c r="AC330" s="14" t="b">
        <v>1</v>
      </c>
      <c r="AD330" s="15" t="str">
        <f>"801542769024"</f>
        <v>801542769024</v>
      </c>
      <c r="AE330" s="15" t="s">
        <v>4344</v>
      </c>
      <c r="AF330" s="14" t="s">
        <v>404</v>
      </c>
      <c r="AG330" s="14" t="s">
        <v>405</v>
      </c>
      <c r="AH330" s="14" t="s">
        <v>406</v>
      </c>
      <c r="AI330" s="15">
        <v>0.0</v>
      </c>
      <c r="AL330" s="15" t="s">
        <v>4335</v>
      </c>
      <c r="AM330" s="15" t="s">
        <v>2151</v>
      </c>
      <c r="AN330" s="15" t="s">
        <v>2152</v>
      </c>
      <c r="AO330" s="15" t="s">
        <v>622</v>
      </c>
      <c r="AP330" s="15" t="s">
        <v>623</v>
      </c>
      <c r="AQ330" s="15" t="s">
        <v>1801</v>
      </c>
      <c r="AR330" s="15" t="s">
        <v>1322</v>
      </c>
      <c r="AS330" s="15" t="s">
        <v>2343</v>
      </c>
      <c r="AT330" s="15" t="s">
        <v>4342</v>
      </c>
      <c r="AU330" s="15" t="s">
        <v>4336</v>
      </c>
      <c r="AW330" s="15" t="s">
        <v>1732</v>
      </c>
      <c r="AY330" s="15" t="s">
        <v>426</v>
      </c>
      <c r="AZ330" s="15" t="b">
        <v>1</v>
      </c>
      <c r="BA330" s="15" t="s">
        <v>413</v>
      </c>
      <c r="BB330" s="15" t="b">
        <v>0</v>
      </c>
      <c r="BC330" s="15" t="s">
        <v>4345</v>
      </c>
      <c r="BD330" s="15" t="s">
        <v>709</v>
      </c>
      <c r="BE330" s="15" t="str">
        <f t="shared" si="585"/>
        <v>1</v>
      </c>
      <c r="BF330" s="15" t="s">
        <v>416</v>
      </c>
      <c r="BG330" s="15" t="str">
        <f t="shared" si="594"/>
        <v>85.04</v>
      </c>
      <c r="BH330" s="15" t="s">
        <v>440</v>
      </c>
      <c r="BI330" s="15" t="str">
        <f t="shared" si="595"/>
        <v>36.42</v>
      </c>
      <c r="BJ330" s="15" t="s">
        <v>3046</v>
      </c>
      <c r="BK330" s="15" t="str">
        <f t="shared" si="596"/>
        <v>22.05</v>
      </c>
      <c r="BL330" s="15" t="s">
        <v>2310</v>
      </c>
      <c r="BM330" s="15" t="str">
        <f t="shared" si="597"/>
        <v>128.31</v>
      </c>
      <c r="BN330" s="15" t="s">
        <v>4338</v>
      </c>
      <c r="BQ330" s="15" t="s">
        <v>444</v>
      </c>
      <c r="BS330" s="15" t="s">
        <v>444</v>
      </c>
      <c r="BU330" s="15" t="s">
        <v>444</v>
      </c>
      <c r="BW330" s="15" t="s">
        <v>444</v>
      </c>
      <c r="BZ330" s="15" t="s">
        <v>444</v>
      </c>
      <c r="CB330" s="15" t="s">
        <v>444</v>
      </c>
      <c r="CD330" s="15" t="s">
        <v>444</v>
      </c>
      <c r="CF330" s="15" t="s">
        <v>444</v>
      </c>
      <c r="CI330" s="15" t="s">
        <v>444</v>
      </c>
      <c r="CK330" s="15" t="s">
        <v>444</v>
      </c>
      <c r="CM330" s="15" t="s">
        <v>444</v>
      </c>
      <c r="CO330" s="15" t="s">
        <v>444</v>
      </c>
      <c r="CP330" s="15" t="str">
        <f t="shared" si="598"/>
        <v>39.52</v>
      </c>
      <c r="CQ330" s="15" t="str">
        <f t="shared" si="599"/>
        <v>1.119</v>
      </c>
      <c r="CR330" s="15" t="s">
        <v>465</v>
      </c>
      <c r="CY330" s="15" t="s">
        <v>2839</v>
      </c>
      <c r="CZ330" s="15" t="s">
        <v>2116</v>
      </c>
      <c r="DA330" s="15" t="s">
        <v>4339</v>
      </c>
      <c r="DB330" s="15" t="s">
        <v>1211</v>
      </c>
      <c r="DC330" s="15" t="str">
        <f>IFERROR(__xludf.DUMMYFUNCTION("""COMPUTED_VALUE"""),"{""value"":24.00,""unit"":""in""}")</f>
        <v>{"value":24.00,"unit":"in"}</v>
      </c>
      <c r="DD330" s="15" t="s">
        <v>824</v>
      </c>
      <c r="DE330" s="15" t="str">
        <f>IFERROR(__xludf.DUMMYFUNCTION("""COMPUTED_VALUE"""),"{""value"":18.50,""unit"":""in""}")</f>
        <v>{"value":18.50,"unit":"in"}</v>
      </c>
      <c r="DF330" s="15" t="s">
        <v>468</v>
      </c>
      <c r="DG330" s="15" t="str">
        <f>IFERROR(__xludf.DUMMYFUNCTION("""COMPUTED_VALUE"""),"{""value"":70.00,""unit"":""in""}")</f>
        <v>{"value":70.00,"unit":"in"}</v>
      </c>
      <c r="DH330" s="15">
        <v>2.0</v>
      </c>
      <c r="DI330" s="15">
        <v>2.0</v>
      </c>
      <c r="DJ330" s="15" t="s">
        <v>717</v>
      </c>
      <c r="DK330" s="15" t="s">
        <v>897</v>
      </c>
      <c r="DL330" s="15" t="str">
        <f>IFERROR(__xludf.DUMMYFUNCTION("""COMPUTED_VALUE"""),"Clean with water-based products only. Use mild detergent or upholstery shampoo.")</f>
        <v>Clean with water-based products only. Use mild detergent or upholstery shampoo.</v>
      </c>
      <c r="DM330" s="15" t="s">
        <v>898</v>
      </c>
      <c r="DQ330" s="15" t="s">
        <v>1255</v>
      </c>
      <c r="DT330" s="15" t="s">
        <v>721</v>
      </c>
      <c r="DU330" s="15" t="s">
        <v>419</v>
      </c>
      <c r="DV330" s="15">
        <v>0.0</v>
      </c>
      <c r="DZ330" s="15">
        <v>100000.0</v>
      </c>
      <c r="EA330" s="15" t="s">
        <v>990</v>
      </c>
      <c r="EB330" s="15" t="s">
        <v>723</v>
      </c>
      <c r="EC330" s="15" t="s">
        <v>724</v>
      </c>
      <c r="ED330" s="15">
        <v>2.0</v>
      </c>
      <c r="EE330" s="15">
        <v>3.0</v>
      </c>
      <c r="EG330" s="15" t="s">
        <v>444</v>
      </c>
      <c r="EH330" s="15" t="s">
        <v>4340</v>
      </c>
      <c r="EI330" s="15">
        <v>0.0</v>
      </c>
      <c r="EJ330" s="15" t="s">
        <v>473</v>
      </c>
      <c r="EK330" s="15" t="s">
        <v>474</v>
      </c>
      <c r="EL330" s="15" t="s">
        <v>3811</v>
      </c>
      <c r="EM330" s="15" t="str">
        <f>IFERROR(__xludf.DUMMYFUNCTION("""COMPUTED_VALUE"""),"{""value"":26.25,""unit"":""in""}")</f>
        <v>{"value":26.25,"unit":"in"}</v>
      </c>
      <c r="EN330" s="15" t="s">
        <v>652</v>
      </c>
      <c r="EO330" s="15" t="s">
        <v>4339</v>
      </c>
      <c r="EP330" s="15" t="s">
        <v>1994</v>
      </c>
      <c r="EQ330" s="15" t="s">
        <v>1160</v>
      </c>
      <c r="ER330" s="15" t="s">
        <v>3305</v>
      </c>
      <c r="ES330" s="15" t="s">
        <v>1807</v>
      </c>
      <c r="ET330" s="15" t="s">
        <v>505</v>
      </c>
      <c r="EU330" s="15" t="s">
        <v>1213</v>
      </c>
      <c r="EV330" s="15" t="s">
        <v>4339</v>
      </c>
      <c r="EW330" s="15" t="s">
        <v>1327</v>
      </c>
      <c r="EX330" s="15" t="s">
        <v>1994</v>
      </c>
      <c r="EY330" s="15" t="s">
        <v>945</v>
      </c>
      <c r="EZ330" s="15" t="s">
        <v>652</v>
      </c>
      <c r="FA330" s="15" t="s">
        <v>724</v>
      </c>
      <c r="FB330" s="15" t="s">
        <v>426</v>
      </c>
      <c r="FC330" s="15" t="s">
        <v>723</v>
      </c>
      <c r="FD330" s="15" t="s">
        <v>724</v>
      </c>
      <c r="FE330" s="15" t="s">
        <v>3408</v>
      </c>
      <c r="FF330" s="15" t="s">
        <v>1255</v>
      </c>
    </row>
    <row r="331" ht="15.75" customHeight="1">
      <c r="A331" s="14" t="s">
        <v>391</v>
      </c>
      <c r="B331" s="15" t="s">
        <v>4329</v>
      </c>
      <c r="C331" s="16"/>
      <c r="D331" s="15" t="s">
        <v>432</v>
      </c>
      <c r="G331" s="14" t="s">
        <v>393</v>
      </c>
      <c r="H331" s="14" t="s">
        <v>394</v>
      </c>
      <c r="I331" s="14" t="b">
        <v>1</v>
      </c>
      <c r="J331" s="14" t="s">
        <v>395</v>
      </c>
      <c r="L331" s="14" t="b">
        <v>0</v>
      </c>
      <c r="M331" s="15" t="s">
        <v>4346</v>
      </c>
      <c r="N331" s="14" t="s">
        <v>393</v>
      </c>
      <c r="O331" s="14" t="s">
        <v>393</v>
      </c>
      <c r="P331" s="15" t="s">
        <v>397</v>
      </c>
      <c r="Q331" s="15" t="s">
        <v>3874</v>
      </c>
      <c r="T331" s="14" t="b">
        <v>0</v>
      </c>
      <c r="U331" s="15" t="s">
        <v>4347</v>
      </c>
      <c r="V331" s="15" t="s">
        <v>4333</v>
      </c>
      <c r="W331" s="15" t="s">
        <v>401</v>
      </c>
      <c r="X331" s="15" t="s">
        <v>695</v>
      </c>
      <c r="Y331" s="15">
        <v>3822.0</v>
      </c>
      <c r="AA331" s="15" t="str">
        <f>"1470"</f>
        <v>1470</v>
      </c>
      <c r="AB331" s="14" t="b">
        <v>1</v>
      </c>
      <c r="AC331" s="14" t="b">
        <v>1</v>
      </c>
      <c r="AD331" s="15" t="str">
        <f>"801542769048"</f>
        <v>801542769048</v>
      </c>
      <c r="AE331" s="15" t="s">
        <v>4348</v>
      </c>
      <c r="AF331" s="14" t="s">
        <v>404</v>
      </c>
      <c r="AG331" s="14" t="s">
        <v>405</v>
      </c>
      <c r="AH331" s="14" t="s">
        <v>406</v>
      </c>
      <c r="AI331" s="15">
        <v>0.0</v>
      </c>
      <c r="AL331" s="15" t="s">
        <v>4349</v>
      </c>
      <c r="AM331" s="15" t="s">
        <v>2151</v>
      </c>
      <c r="AN331" s="15" t="s">
        <v>2152</v>
      </c>
      <c r="AO331" s="15" t="s">
        <v>622</v>
      </c>
      <c r="AP331" s="15" t="s">
        <v>623</v>
      </c>
      <c r="AQ331" s="15" t="s">
        <v>1801</v>
      </c>
      <c r="AR331" s="15" t="s">
        <v>1322</v>
      </c>
      <c r="AS331" s="15" t="s">
        <v>2343</v>
      </c>
      <c r="AT331" s="15" t="s">
        <v>3874</v>
      </c>
      <c r="AU331" s="15" t="s">
        <v>4336</v>
      </c>
      <c r="AW331" s="15" t="s">
        <v>1732</v>
      </c>
      <c r="AY331" s="15" t="s">
        <v>413</v>
      </c>
      <c r="AZ331" s="15" t="b">
        <v>0</v>
      </c>
      <c r="BA331" s="15" t="s">
        <v>413</v>
      </c>
      <c r="BB331" s="15" t="b">
        <v>0</v>
      </c>
      <c r="BC331" s="15" t="s">
        <v>4350</v>
      </c>
      <c r="BD331" s="15" t="s">
        <v>709</v>
      </c>
      <c r="BE331" s="15" t="str">
        <f t="shared" si="585"/>
        <v>1</v>
      </c>
      <c r="BF331" s="15" t="s">
        <v>416</v>
      </c>
      <c r="BG331" s="15" t="str">
        <f t="shared" si="594"/>
        <v>85.04</v>
      </c>
      <c r="BH331" s="15" t="s">
        <v>440</v>
      </c>
      <c r="BI331" s="15" t="str">
        <f t="shared" si="595"/>
        <v>36.42</v>
      </c>
      <c r="BJ331" s="15" t="s">
        <v>3046</v>
      </c>
      <c r="BK331" s="15" t="str">
        <f t="shared" si="596"/>
        <v>22.05</v>
      </c>
      <c r="BL331" s="15" t="s">
        <v>2310</v>
      </c>
      <c r="BM331" s="15" t="str">
        <f t="shared" si="597"/>
        <v>128.31</v>
      </c>
      <c r="BN331" s="15" t="s">
        <v>4338</v>
      </c>
      <c r="BQ331" s="15" t="s">
        <v>444</v>
      </c>
      <c r="BS331" s="15" t="s">
        <v>444</v>
      </c>
      <c r="BU331" s="15" t="s">
        <v>444</v>
      </c>
      <c r="BW331" s="15" t="s">
        <v>444</v>
      </c>
      <c r="BZ331" s="15" t="s">
        <v>444</v>
      </c>
      <c r="CB331" s="15" t="s">
        <v>444</v>
      </c>
      <c r="CD331" s="15" t="s">
        <v>444</v>
      </c>
      <c r="CF331" s="15" t="s">
        <v>444</v>
      </c>
      <c r="CI331" s="15" t="s">
        <v>444</v>
      </c>
      <c r="CK331" s="15" t="s">
        <v>444</v>
      </c>
      <c r="CM331" s="15" t="s">
        <v>444</v>
      </c>
      <c r="CO331" s="15" t="s">
        <v>444</v>
      </c>
      <c r="CP331" s="15" t="str">
        <f t="shared" si="598"/>
        <v>39.52</v>
      </c>
      <c r="CQ331" s="15" t="str">
        <f t="shared" si="599"/>
        <v>1.119</v>
      </c>
      <c r="CR331" s="15" t="s">
        <v>497</v>
      </c>
      <c r="CY331" s="15" t="s">
        <v>2839</v>
      </c>
      <c r="CZ331" s="15" t="s">
        <v>2116</v>
      </c>
      <c r="DA331" s="15" t="s">
        <v>4339</v>
      </c>
      <c r="DB331" s="15" t="s">
        <v>1211</v>
      </c>
      <c r="DC331" s="15" t="str">
        <f>IFERROR(__xludf.DUMMYFUNCTION("""COMPUTED_VALUE"""),"{""value"":24.00,""unit"":""in""}")</f>
        <v>{"value":24.00,"unit":"in"}</v>
      </c>
      <c r="DD331" s="15" t="s">
        <v>824</v>
      </c>
      <c r="DE331" s="15" t="str">
        <f>IFERROR(__xludf.DUMMYFUNCTION("""COMPUTED_VALUE"""),"{""value"":18.50,""unit"":""in""}")</f>
        <v>{"value":18.50,"unit":"in"}</v>
      </c>
      <c r="DF331" s="15" t="s">
        <v>468</v>
      </c>
      <c r="DG331" s="15" t="str">
        <f>IFERROR(__xludf.DUMMYFUNCTION("""COMPUTED_VALUE"""),"{""value"":70.00,""unit"":""in""}")</f>
        <v>{"value":70.00,"unit":"in"}</v>
      </c>
      <c r="DH331" s="15">
        <v>2.0</v>
      </c>
      <c r="DI331" s="15">
        <v>2.0</v>
      </c>
      <c r="DJ331" s="15" t="s">
        <v>717</v>
      </c>
      <c r="DK331" s="15" t="s">
        <v>718</v>
      </c>
      <c r="DL331" s="15" t="str">
        <f>IFERROR(__xludf.DUMMYFUNCTION("""COMPUTED_VALUE"""),"Vacuum or light brush only. Do not use water or any cleaning products.")</f>
        <v>Vacuum or light brush only. Do not use water or any cleaning products.</v>
      </c>
      <c r="DM331" s="15" t="s">
        <v>719</v>
      </c>
      <c r="DQ331" s="15" t="s">
        <v>1255</v>
      </c>
      <c r="DT331" s="15" t="s">
        <v>721</v>
      </c>
      <c r="DU331" s="15" t="s">
        <v>419</v>
      </c>
      <c r="DV331" s="15">
        <v>0.0</v>
      </c>
      <c r="DZ331" s="15">
        <v>0.0</v>
      </c>
      <c r="EA331" s="15" t="s">
        <v>990</v>
      </c>
      <c r="EB331" s="15" t="s">
        <v>723</v>
      </c>
      <c r="EC331" s="15" t="s">
        <v>724</v>
      </c>
      <c r="ED331" s="15">
        <v>2.0</v>
      </c>
      <c r="EE331" s="15">
        <v>3.0</v>
      </c>
      <c r="EG331" s="15" t="s">
        <v>444</v>
      </c>
      <c r="EH331" s="15" t="s">
        <v>4340</v>
      </c>
      <c r="EI331" s="15">
        <v>0.0</v>
      </c>
      <c r="EJ331" s="15" t="s">
        <v>473</v>
      </c>
      <c r="EK331" s="15" t="s">
        <v>474</v>
      </c>
      <c r="EL331" s="15" t="s">
        <v>3811</v>
      </c>
      <c r="EM331" s="15" t="str">
        <f>IFERROR(__xludf.DUMMYFUNCTION("""COMPUTED_VALUE"""),"{""value"":26.25,""unit"":""in""}")</f>
        <v>{"value":26.25,"unit":"in"}</v>
      </c>
      <c r="EN331" s="15" t="s">
        <v>652</v>
      </c>
      <c r="EO331" s="15" t="s">
        <v>4339</v>
      </c>
      <c r="EP331" s="15" t="s">
        <v>1994</v>
      </c>
      <c r="EQ331" s="15" t="s">
        <v>1160</v>
      </c>
      <c r="ER331" s="15" t="s">
        <v>3305</v>
      </c>
      <c r="ES331" s="15" t="s">
        <v>1807</v>
      </c>
      <c r="ET331" s="15" t="s">
        <v>505</v>
      </c>
      <c r="EU331" s="15" t="s">
        <v>1213</v>
      </c>
      <c r="EV331" s="15" t="s">
        <v>4339</v>
      </c>
      <c r="EW331" s="15" t="s">
        <v>1327</v>
      </c>
      <c r="EX331" s="15" t="s">
        <v>1994</v>
      </c>
      <c r="EY331" s="15" t="s">
        <v>945</v>
      </c>
      <c r="EZ331" s="15" t="s">
        <v>652</v>
      </c>
      <c r="FA331" s="15" t="s">
        <v>724</v>
      </c>
      <c r="FB331" s="15" t="s">
        <v>426</v>
      </c>
      <c r="FC331" s="15" t="s">
        <v>723</v>
      </c>
      <c r="FD331" s="15" t="s">
        <v>724</v>
      </c>
      <c r="FE331" s="15" t="s">
        <v>3408</v>
      </c>
      <c r="FF331" s="15" t="s">
        <v>1255</v>
      </c>
    </row>
    <row r="332" ht="15.75" customHeight="1">
      <c r="A332" s="14" t="s">
        <v>391</v>
      </c>
      <c r="B332" s="15" t="s">
        <v>4329</v>
      </c>
      <c r="C332" s="16"/>
      <c r="D332" s="15" t="s">
        <v>432</v>
      </c>
      <c r="G332" s="14" t="s">
        <v>393</v>
      </c>
      <c r="H332" s="14" t="s">
        <v>394</v>
      </c>
      <c r="I332" s="14" t="b">
        <v>1</v>
      </c>
      <c r="J332" s="14" t="s">
        <v>395</v>
      </c>
      <c r="L332" s="14" t="b">
        <v>0</v>
      </c>
      <c r="M332" s="15" t="s">
        <v>4351</v>
      </c>
      <c r="N332" s="14" t="s">
        <v>393</v>
      </c>
      <c r="O332" s="14" t="s">
        <v>393</v>
      </c>
      <c r="P332" s="15" t="s">
        <v>397</v>
      </c>
      <c r="Q332" s="15" t="s">
        <v>1269</v>
      </c>
      <c r="T332" s="14" t="b">
        <v>0</v>
      </c>
      <c r="U332" s="15" t="s">
        <v>4352</v>
      </c>
      <c r="V332" s="15" t="s">
        <v>4333</v>
      </c>
      <c r="W332" s="15" t="s">
        <v>401</v>
      </c>
      <c r="X332" s="15" t="s">
        <v>695</v>
      </c>
      <c r="Y332" s="15">
        <v>2301.0</v>
      </c>
      <c r="AA332" s="15" t="str">
        <f>"885"</f>
        <v>885</v>
      </c>
      <c r="AB332" s="14" t="b">
        <v>1</v>
      </c>
      <c r="AC332" s="14" t="b">
        <v>1</v>
      </c>
      <c r="AD332" s="15" t="str">
        <f>"801542769062"</f>
        <v>801542769062</v>
      </c>
      <c r="AE332" s="15" t="s">
        <v>4353</v>
      </c>
      <c r="AF332" s="14" t="s">
        <v>404</v>
      </c>
      <c r="AG332" s="14" t="s">
        <v>405</v>
      </c>
      <c r="AH332" s="14" t="s">
        <v>406</v>
      </c>
      <c r="AI332" s="15">
        <v>0.0</v>
      </c>
      <c r="AL332" s="15" t="s">
        <v>4354</v>
      </c>
      <c r="AM332" s="15" t="s">
        <v>2151</v>
      </c>
      <c r="AN332" s="15" t="s">
        <v>2152</v>
      </c>
      <c r="AO332" s="15" t="s">
        <v>622</v>
      </c>
      <c r="AP332" s="15" t="s">
        <v>623</v>
      </c>
      <c r="AQ332" s="15" t="s">
        <v>1801</v>
      </c>
      <c r="AR332" s="15" t="s">
        <v>1322</v>
      </c>
      <c r="AS332" s="15" t="s">
        <v>2343</v>
      </c>
      <c r="AT332" s="15" t="s">
        <v>1269</v>
      </c>
      <c r="AU332" s="15" t="s">
        <v>4355</v>
      </c>
      <c r="AW332" s="15" t="s">
        <v>1732</v>
      </c>
      <c r="AY332" s="15" t="s">
        <v>413</v>
      </c>
      <c r="AZ332" s="15" t="b">
        <v>0</v>
      </c>
      <c r="BA332" s="15" t="s">
        <v>426</v>
      </c>
      <c r="BB332" s="15" t="b">
        <v>1</v>
      </c>
      <c r="BC332" s="15" t="s">
        <v>4356</v>
      </c>
      <c r="BD332" s="15" t="s">
        <v>709</v>
      </c>
      <c r="BE332" s="15" t="str">
        <f t="shared" si="585"/>
        <v>1</v>
      </c>
      <c r="BF332" s="15" t="s">
        <v>416</v>
      </c>
      <c r="BG332" s="15" t="str">
        <f t="shared" si="594"/>
        <v>85.04</v>
      </c>
      <c r="BH332" s="15" t="s">
        <v>440</v>
      </c>
      <c r="BI332" s="15" t="str">
        <f t="shared" si="595"/>
        <v>36.42</v>
      </c>
      <c r="BJ332" s="15" t="s">
        <v>3046</v>
      </c>
      <c r="BK332" s="15" t="str">
        <f t="shared" si="596"/>
        <v>22.05</v>
      </c>
      <c r="BL332" s="15" t="s">
        <v>2310</v>
      </c>
      <c r="BM332" s="15" t="str">
        <f t="shared" si="597"/>
        <v>128.31</v>
      </c>
      <c r="BN332" s="15" t="s">
        <v>4338</v>
      </c>
      <c r="BQ332" s="15" t="s">
        <v>444</v>
      </c>
      <c r="BS332" s="15" t="s">
        <v>444</v>
      </c>
      <c r="BU332" s="15" t="s">
        <v>444</v>
      </c>
      <c r="BW332" s="15" t="s">
        <v>444</v>
      </c>
      <c r="BZ332" s="15" t="s">
        <v>444</v>
      </c>
      <c r="CB332" s="15" t="s">
        <v>444</v>
      </c>
      <c r="CD332" s="15" t="s">
        <v>444</v>
      </c>
      <c r="CF332" s="15" t="s">
        <v>444</v>
      </c>
      <c r="CI332" s="15" t="s">
        <v>444</v>
      </c>
      <c r="CK332" s="15" t="s">
        <v>444</v>
      </c>
      <c r="CM332" s="15" t="s">
        <v>444</v>
      </c>
      <c r="CO332" s="15" t="s">
        <v>444</v>
      </c>
      <c r="CP332" s="15" t="str">
        <f t="shared" si="598"/>
        <v>39.52</v>
      </c>
      <c r="CQ332" s="15" t="str">
        <f t="shared" si="599"/>
        <v>1.119</v>
      </c>
      <c r="CR332" s="15" t="s">
        <v>465</v>
      </c>
      <c r="CY332" s="15" t="s">
        <v>2839</v>
      </c>
      <c r="CZ332" s="15" t="s">
        <v>2116</v>
      </c>
      <c r="DA332" s="15" t="s">
        <v>4339</v>
      </c>
      <c r="DB332" s="15" t="s">
        <v>1211</v>
      </c>
      <c r="DC332" s="15" t="str">
        <f>IFERROR(__xludf.DUMMYFUNCTION("""COMPUTED_VALUE"""),"{""value"":24.00,""unit"":""in""}")</f>
        <v>{"value":24.00,"unit":"in"}</v>
      </c>
      <c r="DD332" s="15" t="s">
        <v>824</v>
      </c>
      <c r="DE332" s="15" t="str">
        <f>IFERROR(__xludf.DUMMYFUNCTION("""COMPUTED_VALUE"""),"{""value"":18.50,""unit"":""in""}")</f>
        <v>{"value":18.50,"unit":"in"}</v>
      </c>
      <c r="DF332" s="15" t="s">
        <v>468</v>
      </c>
      <c r="DG332" s="15" t="str">
        <f>IFERROR(__xludf.DUMMYFUNCTION("""COMPUTED_VALUE"""),"{""value"":70.00,""unit"":""in""}")</f>
        <v>{"value":70.00,"unit":"in"}</v>
      </c>
      <c r="DH332" s="15">
        <v>2.0</v>
      </c>
      <c r="DI332" s="15">
        <v>2.0</v>
      </c>
      <c r="DJ332" s="15" t="s">
        <v>717</v>
      </c>
      <c r="DK332" s="15" t="s">
        <v>855</v>
      </c>
      <c r="DL332" s="15" t="str">
        <f>IFERROR(__xludf.DUMMYFUNCTION("""COMPUTED_VALUE"""),"Clean with solvent-based (dry clean only) products. Do not use water.")</f>
        <v>Clean with solvent-based (dry clean only) products. Do not use water.</v>
      </c>
      <c r="DM332" s="15" t="s">
        <v>856</v>
      </c>
      <c r="DQ332" s="15" t="s">
        <v>1255</v>
      </c>
      <c r="DT332" s="15" t="s">
        <v>721</v>
      </c>
      <c r="DU332" s="15" t="s">
        <v>419</v>
      </c>
      <c r="DV332" s="15">
        <v>0.0</v>
      </c>
      <c r="DZ332" s="15">
        <v>25000.0</v>
      </c>
      <c r="EA332" s="15" t="s">
        <v>990</v>
      </c>
      <c r="EB332" s="15" t="s">
        <v>723</v>
      </c>
      <c r="EC332" s="15" t="s">
        <v>724</v>
      </c>
      <c r="ED332" s="15">
        <v>2.0</v>
      </c>
      <c r="EE332" s="15">
        <v>3.0</v>
      </c>
      <c r="EG332" s="15" t="s">
        <v>444</v>
      </c>
      <c r="EH332" s="15" t="s">
        <v>4340</v>
      </c>
      <c r="EI332" s="15">
        <v>0.0</v>
      </c>
      <c r="EJ332" s="15" t="s">
        <v>473</v>
      </c>
      <c r="EK332" s="15" t="s">
        <v>474</v>
      </c>
      <c r="EL332" s="15" t="s">
        <v>3811</v>
      </c>
      <c r="EM332" s="15" t="str">
        <f>IFERROR(__xludf.DUMMYFUNCTION("""COMPUTED_VALUE"""),"{""value"":26.25,""unit"":""in""}")</f>
        <v>{"value":26.25,"unit":"in"}</v>
      </c>
      <c r="EN332" s="15" t="s">
        <v>652</v>
      </c>
      <c r="EO332" s="15" t="s">
        <v>4339</v>
      </c>
      <c r="EP332" s="15" t="s">
        <v>1994</v>
      </c>
      <c r="EQ332" s="15" t="s">
        <v>1160</v>
      </c>
      <c r="ER332" s="15" t="s">
        <v>3305</v>
      </c>
      <c r="ES332" s="15" t="s">
        <v>1807</v>
      </c>
      <c r="ET332" s="15" t="s">
        <v>505</v>
      </c>
      <c r="EU332" s="15" t="s">
        <v>1213</v>
      </c>
      <c r="EV332" s="15" t="s">
        <v>4339</v>
      </c>
      <c r="EW332" s="15" t="s">
        <v>1327</v>
      </c>
      <c r="EX332" s="15" t="s">
        <v>1994</v>
      </c>
      <c r="EY332" s="15" t="s">
        <v>945</v>
      </c>
      <c r="EZ332" s="15" t="s">
        <v>652</v>
      </c>
      <c r="FA332" s="15" t="s">
        <v>724</v>
      </c>
      <c r="FB332" s="15" t="s">
        <v>426</v>
      </c>
      <c r="FC332" s="15" t="s">
        <v>723</v>
      </c>
      <c r="FD332" s="15" t="s">
        <v>724</v>
      </c>
      <c r="FE332" s="15" t="s">
        <v>3408</v>
      </c>
      <c r="FF332" s="15" t="s">
        <v>1255</v>
      </c>
    </row>
    <row r="333" ht="15.75" customHeight="1">
      <c r="A333" s="14" t="s">
        <v>391</v>
      </c>
      <c r="B333" s="15" t="s">
        <v>4357</v>
      </c>
      <c r="C333" s="16"/>
      <c r="D333" s="15" t="s">
        <v>432</v>
      </c>
      <c r="G333" s="14" t="s">
        <v>393</v>
      </c>
      <c r="H333" s="14" t="s">
        <v>394</v>
      </c>
      <c r="I333" s="14" t="b">
        <v>1</v>
      </c>
      <c r="J333" s="14" t="s">
        <v>395</v>
      </c>
      <c r="L333" s="14" t="b">
        <v>0</v>
      </c>
      <c r="M333" s="15" t="s">
        <v>4358</v>
      </c>
      <c r="N333" s="14" t="s">
        <v>393</v>
      </c>
      <c r="O333" s="14" t="s">
        <v>393</v>
      </c>
      <c r="P333" s="15" t="s">
        <v>397</v>
      </c>
      <c r="Q333" s="15" t="s">
        <v>4359</v>
      </c>
      <c r="R333" s="15" t="s">
        <v>265</v>
      </c>
      <c r="S333" s="15" t="s">
        <v>877</v>
      </c>
      <c r="T333" s="14" t="b">
        <v>0</v>
      </c>
      <c r="U333" s="15" t="s">
        <v>4360</v>
      </c>
      <c r="V333" s="15" t="s">
        <v>3681</v>
      </c>
      <c r="W333" s="15" t="s">
        <v>401</v>
      </c>
      <c r="X333" s="15" t="s">
        <v>742</v>
      </c>
      <c r="Y333" s="15">
        <v>1755.0</v>
      </c>
      <c r="AA333" s="15" t="str">
        <f>"675"</f>
        <v>675</v>
      </c>
      <c r="AB333" s="14" t="b">
        <v>1</v>
      </c>
      <c r="AC333" s="14" t="b">
        <v>1</v>
      </c>
      <c r="AD333" s="15" t="str">
        <f>"801542048358"</f>
        <v>801542048358</v>
      </c>
      <c r="AE333" s="15" t="s">
        <v>4361</v>
      </c>
      <c r="AF333" s="14" t="s">
        <v>404</v>
      </c>
      <c r="AG333" s="14" t="s">
        <v>405</v>
      </c>
      <c r="AH333" s="14" t="s">
        <v>406</v>
      </c>
      <c r="AI333" s="15">
        <v>0.0</v>
      </c>
      <c r="AL333" s="15" t="s">
        <v>1830</v>
      </c>
      <c r="AM333" s="15" t="s">
        <v>4362</v>
      </c>
      <c r="AN333" s="15" t="s">
        <v>4363</v>
      </c>
      <c r="AO333" s="15" t="s">
        <v>3147</v>
      </c>
      <c r="AP333" s="15" t="s">
        <v>3148</v>
      </c>
      <c r="AQ333" s="15" t="s">
        <v>2394</v>
      </c>
      <c r="AR333" s="15" t="s">
        <v>2395</v>
      </c>
      <c r="AS333" s="15" t="s">
        <v>837</v>
      </c>
      <c r="AT333" s="15" t="s">
        <v>4359</v>
      </c>
      <c r="AU333" s="15" t="s">
        <v>4364</v>
      </c>
      <c r="AW333" s="15" t="s">
        <v>839</v>
      </c>
      <c r="AX333" s="15" t="s">
        <v>877</v>
      </c>
      <c r="AY333" s="15" t="s">
        <v>413</v>
      </c>
      <c r="AZ333" s="15" t="b">
        <v>0</v>
      </c>
      <c r="BA333" s="15" t="s">
        <v>426</v>
      </c>
      <c r="BB333" s="15" t="b">
        <v>1</v>
      </c>
      <c r="BC333" s="15" t="s">
        <v>4365</v>
      </c>
      <c r="BD333" s="15" t="s">
        <v>742</v>
      </c>
      <c r="BE333" s="15" t="str">
        <f t="shared" ref="BE333:BE334" si="600">"3"</f>
        <v>3</v>
      </c>
      <c r="BF333" s="15" t="s">
        <v>4366</v>
      </c>
      <c r="BG333" s="15" t="str">
        <f t="shared" ref="BG333:BG334" si="601">"82.09"</f>
        <v>82.09</v>
      </c>
      <c r="BH333" s="15" t="s">
        <v>4367</v>
      </c>
      <c r="BI333" s="15" t="str">
        <f t="shared" ref="BI333:BI334" si="602">"11.22"</f>
        <v>11.22</v>
      </c>
      <c r="BJ333" s="15" t="s">
        <v>848</v>
      </c>
      <c r="BK333" s="15" t="str">
        <f t="shared" ref="BK333:BK334" si="603">"7.87"</f>
        <v>7.87</v>
      </c>
      <c r="BL333" s="15" t="s">
        <v>923</v>
      </c>
      <c r="BM333" s="15" t="str">
        <f>"61.73"</f>
        <v>61.73</v>
      </c>
      <c r="BN333" s="15" t="s">
        <v>1948</v>
      </c>
      <c r="BO333" s="15" t="s">
        <v>841</v>
      </c>
      <c r="BP333" s="15" t="str">
        <f>"73.03"</f>
        <v>73.03</v>
      </c>
      <c r="BQ333" s="15" t="s">
        <v>4368</v>
      </c>
      <c r="BR333" s="15" t="str">
        <f t="shared" ref="BR333:BR334" si="604">"50.59"</f>
        <v>50.59</v>
      </c>
      <c r="BS333" s="15" t="s">
        <v>4369</v>
      </c>
      <c r="BT333" s="15" t="str">
        <f t="shared" ref="BT333:BT334" si="605">"6.69"</f>
        <v>6.69</v>
      </c>
      <c r="BU333" s="15" t="s">
        <v>2461</v>
      </c>
      <c r="BV333" s="15" t="str">
        <f>"77.82"</f>
        <v>77.82</v>
      </c>
      <c r="BW333" s="15" t="s">
        <v>4370</v>
      </c>
      <c r="BX333" s="15" t="s">
        <v>846</v>
      </c>
      <c r="BY333" s="15" t="str">
        <f>"73.03"</f>
        <v>73.03</v>
      </c>
      <c r="BZ333" s="15" t="s">
        <v>4368</v>
      </c>
      <c r="CA333" s="15" t="str">
        <f t="shared" ref="CA333:CA334" si="606">"16.34"</f>
        <v>16.34</v>
      </c>
      <c r="CB333" s="15" t="s">
        <v>2963</v>
      </c>
      <c r="CC333" s="15" t="str">
        <f t="shared" ref="CC333:CC334" si="607">"5.12"</f>
        <v>5.12</v>
      </c>
      <c r="CD333" s="15" t="s">
        <v>4371</v>
      </c>
      <c r="CE333" s="15" t="str">
        <f>"70.99"</f>
        <v>70.99</v>
      </c>
      <c r="CF333" s="15" t="s">
        <v>4372</v>
      </c>
      <c r="CI333" s="15" t="s">
        <v>444</v>
      </c>
      <c r="CK333" s="15" t="s">
        <v>444</v>
      </c>
      <c r="CM333" s="15" t="s">
        <v>444</v>
      </c>
      <c r="CO333" s="15" t="s">
        <v>444</v>
      </c>
      <c r="CP333" s="15" t="str">
        <f>"22.04"</f>
        <v>22.04</v>
      </c>
      <c r="CQ333" s="15" t="str">
        <f>"0.624"</f>
        <v>0.624</v>
      </c>
      <c r="CR333" s="15" t="s">
        <v>497</v>
      </c>
      <c r="DC333" s="15" t="str">
        <f>IFERROR(__xludf.DUMMYFUNCTION("""COMPUTED_VALUE"""),"")</f>
        <v/>
      </c>
      <c r="DE333" s="15" t="str">
        <f>IFERROR(__xludf.DUMMYFUNCTION("""COMPUTED_VALUE"""),"")</f>
        <v/>
      </c>
      <c r="DG333" s="15" t="str">
        <f>IFERROR(__xludf.DUMMYFUNCTION("""COMPUTED_VALUE"""),"")</f>
        <v/>
      </c>
      <c r="DK333" s="15" t="s">
        <v>855</v>
      </c>
      <c r="DL333" s="15" t="str">
        <f>IFERROR(__xludf.DUMMYFUNCTION("""COMPUTED_VALUE"""),"Clean with solvent-based (dry clean only) products. Do not use water.")</f>
        <v>Clean with solvent-based (dry clean only) products. Do not use water.</v>
      </c>
      <c r="DM333" s="15" t="s">
        <v>856</v>
      </c>
      <c r="DN333" s="15" t="s">
        <v>419</v>
      </c>
      <c r="DO333" s="15">
        <v>0.0</v>
      </c>
      <c r="DP333" s="15" t="s">
        <v>419</v>
      </c>
      <c r="DR333" s="15">
        <v>0.0</v>
      </c>
      <c r="DT333" s="15" t="s">
        <v>989</v>
      </c>
      <c r="DU333" s="15" t="s">
        <v>419</v>
      </c>
      <c r="DW333" s="15">
        <v>0.0</v>
      </c>
      <c r="DX333" s="15">
        <v>0.0</v>
      </c>
      <c r="DY333" s="15">
        <v>0.0</v>
      </c>
      <c r="DZ333" s="15">
        <v>25000.0</v>
      </c>
      <c r="EG333" s="15" t="s">
        <v>444</v>
      </c>
      <c r="EH333" s="15" t="s">
        <v>4373</v>
      </c>
      <c r="EJ333" s="15" t="s">
        <v>858</v>
      </c>
      <c r="EK333" s="15" t="s">
        <v>859</v>
      </c>
      <c r="EM333" s="15" t="str">
        <f>IFERROR(__xludf.DUMMYFUNCTION("""COMPUTED_VALUE"""),"")</f>
        <v/>
      </c>
      <c r="FF333" s="15" t="s">
        <v>860</v>
      </c>
      <c r="FM333" s="15">
        <v>0.0</v>
      </c>
      <c r="IM333" s="15" t="s">
        <v>1955</v>
      </c>
      <c r="IN333" s="15" t="s">
        <v>1955</v>
      </c>
      <c r="IO333" s="15" t="s">
        <v>1955</v>
      </c>
      <c r="IP333" s="15" t="s">
        <v>504</v>
      </c>
      <c r="IQ333" s="15" t="s">
        <v>2505</v>
      </c>
      <c r="IR333" s="15" t="s">
        <v>4374</v>
      </c>
      <c r="IS333" s="15" t="s">
        <v>1018</v>
      </c>
      <c r="IT333" s="15" t="s">
        <v>4375</v>
      </c>
      <c r="IU333" s="15" t="s">
        <v>4374</v>
      </c>
      <c r="IV333" s="15" t="s">
        <v>2971</v>
      </c>
      <c r="IW333" s="15" t="s">
        <v>4376</v>
      </c>
      <c r="IX333" s="15" t="s">
        <v>890</v>
      </c>
      <c r="IY333" s="15" t="s">
        <v>4377</v>
      </c>
      <c r="IZ333" s="15" t="s">
        <v>4378</v>
      </c>
      <c r="JA333" s="15" t="s">
        <v>2505</v>
      </c>
      <c r="JB333" s="15" t="s">
        <v>426</v>
      </c>
      <c r="JC333" s="15" t="s">
        <v>947</v>
      </c>
      <c r="JD333" s="15" t="s">
        <v>872</v>
      </c>
      <c r="JE333" s="15" t="s">
        <v>873</v>
      </c>
      <c r="JF333" s="15" t="s">
        <v>877</v>
      </c>
      <c r="JL333" s="15" t="s">
        <v>759</v>
      </c>
      <c r="JM333" s="15" t="s">
        <v>1442</v>
      </c>
      <c r="JN333" s="15" t="s">
        <v>759</v>
      </c>
      <c r="JO333" s="15" t="s">
        <v>426</v>
      </c>
      <c r="JP333" s="15" t="s">
        <v>2474</v>
      </c>
    </row>
    <row r="334" ht="15.75" customHeight="1">
      <c r="A334" s="14" t="s">
        <v>391</v>
      </c>
      <c r="B334" s="15" t="s">
        <v>4357</v>
      </c>
      <c r="C334" s="16"/>
      <c r="D334" s="15" t="s">
        <v>432</v>
      </c>
      <c r="G334" s="14" t="s">
        <v>393</v>
      </c>
      <c r="H334" s="14" t="s">
        <v>394</v>
      </c>
      <c r="I334" s="14" t="b">
        <v>1</v>
      </c>
      <c r="J334" s="14" t="s">
        <v>395</v>
      </c>
      <c r="L334" s="14" t="b">
        <v>0</v>
      </c>
      <c r="M334" s="15" t="s">
        <v>4379</v>
      </c>
      <c r="N334" s="14" t="s">
        <v>393</v>
      </c>
      <c r="O334" s="14" t="s">
        <v>393</v>
      </c>
      <c r="P334" s="15" t="s">
        <v>397</v>
      </c>
      <c r="Q334" s="15" t="s">
        <v>4359</v>
      </c>
      <c r="R334" s="15" t="s">
        <v>265</v>
      </c>
      <c r="S334" s="15" t="s">
        <v>828</v>
      </c>
      <c r="T334" s="14" t="b">
        <v>0</v>
      </c>
      <c r="U334" s="15" t="s">
        <v>4380</v>
      </c>
      <c r="V334" s="15" t="s">
        <v>1023</v>
      </c>
      <c r="W334" s="15" t="s">
        <v>401</v>
      </c>
      <c r="X334" s="15" t="s">
        <v>742</v>
      </c>
      <c r="Y334" s="15">
        <v>1976.0</v>
      </c>
      <c r="AA334" s="15" t="str">
        <f>"760"</f>
        <v>760</v>
      </c>
      <c r="AB334" s="14" t="b">
        <v>1</v>
      </c>
      <c r="AC334" s="14" t="b">
        <v>1</v>
      </c>
      <c r="AD334" s="15" t="str">
        <f>"801542048327"</f>
        <v>801542048327</v>
      </c>
      <c r="AE334" s="15" t="s">
        <v>4381</v>
      </c>
      <c r="AF334" s="14" t="s">
        <v>404</v>
      </c>
      <c r="AG334" s="14" t="s">
        <v>405</v>
      </c>
      <c r="AH334" s="14" t="s">
        <v>406</v>
      </c>
      <c r="AI334" s="15">
        <v>0.0</v>
      </c>
      <c r="AL334" s="15" t="s">
        <v>1830</v>
      </c>
      <c r="AM334" s="15" t="s">
        <v>1125</v>
      </c>
      <c r="AN334" s="15" t="s">
        <v>1129</v>
      </c>
      <c r="AO334" s="15" t="s">
        <v>3147</v>
      </c>
      <c r="AP334" s="15" t="s">
        <v>3148</v>
      </c>
      <c r="AQ334" s="15" t="s">
        <v>2394</v>
      </c>
      <c r="AR334" s="15" t="s">
        <v>2395</v>
      </c>
      <c r="AS334" s="15" t="s">
        <v>837</v>
      </c>
      <c r="AT334" s="15" t="s">
        <v>4359</v>
      </c>
      <c r="AU334" s="15" t="s">
        <v>4364</v>
      </c>
      <c r="AW334" s="15" t="s">
        <v>839</v>
      </c>
      <c r="AX334" s="15" t="s">
        <v>828</v>
      </c>
      <c r="AY334" s="15" t="s">
        <v>413</v>
      </c>
      <c r="AZ334" s="15" t="b">
        <v>0</v>
      </c>
      <c r="BA334" s="15" t="s">
        <v>426</v>
      </c>
      <c r="BB334" s="15" t="b">
        <v>1</v>
      </c>
      <c r="BC334" s="15" t="s">
        <v>4382</v>
      </c>
      <c r="BD334" s="15" t="s">
        <v>742</v>
      </c>
      <c r="BE334" s="15" t="str">
        <f t="shared" si="600"/>
        <v>3</v>
      </c>
      <c r="BF334" s="15" t="s">
        <v>4366</v>
      </c>
      <c r="BG334" s="15" t="str">
        <f t="shared" si="601"/>
        <v>82.09</v>
      </c>
      <c r="BH334" s="15" t="s">
        <v>4367</v>
      </c>
      <c r="BI334" s="15" t="str">
        <f t="shared" si="602"/>
        <v>11.22</v>
      </c>
      <c r="BJ334" s="15" t="s">
        <v>848</v>
      </c>
      <c r="BK334" s="15" t="str">
        <f t="shared" si="603"/>
        <v>7.87</v>
      </c>
      <c r="BL334" s="15" t="s">
        <v>923</v>
      </c>
      <c r="BM334" s="15" t="str">
        <f>"63.93"</f>
        <v>63.93</v>
      </c>
      <c r="BN334" s="15" t="s">
        <v>2965</v>
      </c>
      <c r="BO334" s="15" t="s">
        <v>841</v>
      </c>
      <c r="BP334" s="15" t="str">
        <f>"89.17"</f>
        <v>89.17</v>
      </c>
      <c r="BQ334" s="15" t="s">
        <v>1456</v>
      </c>
      <c r="BR334" s="15" t="str">
        <f t="shared" si="604"/>
        <v>50.59</v>
      </c>
      <c r="BS334" s="15" t="s">
        <v>4369</v>
      </c>
      <c r="BT334" s="15" t="str">
        <f t="shared" si="605"/>
        <v>6.69</v>
      </c>
      <c r="BU334" s="15" t="s">
        <v>2461</v>
      </c>
      <c r="BV334" s="15" t="str">
        <f>"95.9"</f>
        <v>95.9</v>
      </c>
      <c r="BW334" s="15" t="s">
        <v>4161</v>
      </c>
      <c r="BX334" s="15" t="s">
        <v>846</v>
      </c>
      <c r="BY334" s="15" t="str">
        <f>"89.17"</f>
        <v>89.17</v>
      </c>
      <c r="BZ334" s="15" t="s">
        <v>1456</v>
      </c>
      <c r="CA334" s="15" t="str">
        <f t="shared" si="606"/>
        <v>16.34</v>
      </c>
      <c r="CB334" s="15" t="s">
        <v>2963</v>
      </c>
      <c r="CC334" s="15" t="str">
        <f t="shared" si="607"/>
        <v>5.12</v>
      </c>
      <c r="CD334" s="15" t="s">
        <v>4371</v>
      </c>
      <c r="CE334" s="15" t="str">
        <f>"76.06"</f>
        <v>76.06</v>
      </c>
      <c r="CF334" s="15" t="s">
        <v>3809</v>
      </c>
      <c r="CI334" s="15" t="s">
        <v>444</v>
      </c>
      <c r="CK334" s="15" t="s">
        <v>444</v>
      </c>
      <c r="CM334" s="15" t="s">
        <v>444</v>
      </c>
      <c r="CO334" s="15" t="s">
        <v>444</v>
      </c>
      <c r="CP334" s="15" t="str">
        <f>"25.99"</f>
        <v>25.99</v>
      </c>
      <c r="CQ334" s="15" t="str">
        <f>"0.736"</f>
        <v>0.736</v>
      </c>
      <c r="CR334" s="15" t="s">
        <v>497</v>
      </c>
      <c r="DC334" s="15" t="str">
        <f>IFERROR(__xludf.DUMMYFUNCTION("""COMPUTED_VALUE"""),"")</f>
        <v/>
      </c>
      <c r="DE334" s="15" t="str">
        <f>IFERROR(__xludf.DUMMYFUNCTION("""COMPUTED_VALUE"""),"")</f>
        <v/>
      </c>
      <c r="DG334" s="15" t="str">
        <f>IFERROR(__xludf.DUMMYFUNCTION("""COMPUTED_VALUE"""),"")</f>
        <v/>
      </c>
      <c r="DK334" s="15" t="s">
        <v>855</v>
      </c>
      <c r="DL334" s="15" t="str">
        <f>IFERROR(__xludf.DUMMYFUNCTION("""COMPUTED_VALUE"""),"Clean with solvent-based (dry clean only) products. Do not use water.")</f>
        <v>Clean with solvent-based (dry clean only) products. Do not use water.</v>
      </c>
      <c r="DM334" s="15" t="s">
        <v>856</v>
      </c>
      <c r="DN334" s="15" t="s">
        <v>419</v>
      </c>
      <c r="DO334" s="15">
        <v>0.0</v>
      </c>
      <c r="DP334" s="15" t="s">
        <v>419</v>
      </c>
      <c r="DR334" s="15">
        <v>0.0</v>
      </c>
      <c r="DT334" s="15" t="s">
        <v>989</v>
      </c>
      <c r="DU334" s="15" t="s">
        <v>419</v>
      </c>
      <c r="DW334" s="15">
        <v>0.0</v>
      </c>
      <c r="DX334" s="15">
        <v>0.0</v>
      </c>
      <c r="DY334" s="15">
        <v>0.0</v>
      </c>
      <c r="DZ334" s="15">
        <v>25000.0</v>
      </c>
      <c r="EG334" s="15" t="s">
        <v>444</v>
      </c>
      <c r="EH334" s="15" t="s">
        <v>4373</v>
      </c>
      <c r="EJ334" s="15" t="s">
        <v>858</v>
      </c>
      <c r="EK334" s="15" t="s">
        <v>859</v>
      </c>
      <c r="EM334" s="15" t="str">
        <f>IFERROR(__xludf.DUMMYFUNCTION("""COMPUTED_VALUE"""),"")</f>
        <v/>
      </c>
      <c r="FF334" s="15" t="s">
        <v>860</v>
      </c>
      <c r="FM334" s="15">
        <v>0.0</v>
      </c>
      <c r="IM334" s="15" t="s">
        <v>1955</v>
      </c>
      <c r="IN334" s="15" t="s">
        <v>1955</v>
      </c>
      <c r="IO334" s="15" t="s">
        <v>1955</v>
      </c>
      <c r="IP334" s="15" t="s">
        <v>504</v>
      </c>
      <c r="IQ334" s="15" t="s">
        <v>2505</v>
      </c>
      <c r="IR334" s="15" t="s">
        <v>4383</v>
      </c>
      <c r="IS334" s="15" t="s">
        <v>1018</v>
      </c>
      <c r="IT334" s="15" t="s">
        <v>4375</v>
      </c>
      <c r="IU334" s="15" t="s">
        <v>4383</v>
      </c>
      <c r="IV334" s="15" t="s">
        <v>2971</v>
      </c>
      <c r="IW334" s="15" t="s">
        <v>4376</v>
      </c>
      <c r="IX334" s="15" t="s">
        <v>4384</v>
      </c>
      <c r="IY334" s="15" t="s">
        <v>4377</v>
      </c>
      <c r="IZ334" s="15" t="s">
        <v>4378</v>
      </c>
      <c r="JA334" s="15" t="s">
        <v>2505</v>
      </c>
      <c r="JB334" s="15" t="s">
        <v>426</v>
      </c>
      <c r="JC334" s="15" t="s">
        <v>947</v>
      </c>
      <c r="JD334" s="15" t="s">
        <v>872</v>
      </c>
      <c r="JE334" s="15" t="s">
        <v>873</v>
      </c>
      <c r="JF334" s="15" t="s">
        <v>828</v>
      </c>
      <c r="JL334" s="15" t="s">
        <v>759</v>
      </c>
      <c r="JM334" s="15" t="s">
        <v>1442</v>
      </c>
      <c r="JN334" s="15" t="s">
        <v>759</v>
      </c>
      <c r="JO334" s="15" t="s">
        <v>426</v>
      </c>
      <c r="JP334" s="15" t="s">
        <v>2474</v>
      </c>
    </row>
    <row r="335" ht="15.75" customHeight="1">
      <c r="A335" s="14" t="s">
        <v>391</v>
      </c>
      <c r="B335" s="15" t="s">
        <v>4385</v>
      </c>
      <c r="C335" s="16"/>
      <c r="D335" s="15" t="s">
        <v>432</v>
      </c>
      <c r="G335" s="14" t="s">
        <v>393</v>
      </c>
      <c r="H335" s="14" t="s">
        <v>394</v>
      </c>
      <c r="I335" s="14" t="b">
        <v>1</v>
      </c>
      <c r="J335" s="14" t="s">
        <v>395</v>
      </c>
      <c r="L335" s="14" t="b">
        <v>0</v>
      </c>
      <c r="M335" s="15" t="s">
        <v>4386</v>
      </c>
      <c r="N335" s="14" t="s">
        <v>393</v>
      </c>
      <c r="O335" s="14" t="s">
        <v>393</v>
      </c>
      <c r="P335" s="15" t="s">
        <v>397</v>
      </c>
      <c r="Q335" s="15" t="s">
        <v>4387</v>
      </c>
      <c r="T335" s="14" t="b">
        <v>0</v>
      </c>
      <c r="U335" s="15" t="s">
        <v>4388</v>
      </c>
      <c r="V335" s="15" t="s">
        <v>4389</v>
      </c>
      <c r="W335" s="15" t="s">
        <v>401</v>
      </c>
      <c r="X335" s="15" t="s">
        <v>695</v>
      </c>
      <c r="Y335" s="15">
        <v>1807.0</v>
      </c>
      <c r="AA335" s="15" t="str">
        <f>"695"</f>
        <v>695</v>
      </c>
      <c r="AB335" s="14" t="b">
        <v>1</v>
      </c>
      <c r="AC335" s="14" t="b">
        <v>1</v>
      </c>
      <c r="AD335" s="15" t="str">
        <f>"801542668303"</f>
        <v>801542668303</v>
      </c>
      <c r="AE335" s="15" t="s">
        <v>4390</v>
      </c>
      <c r="AF335" s="14" t="s">
        <v>404</v>
      </c>
      <c r="AG335" s="14" t="s">
        <v>405</v>
      </c>
      <c r="AH335" s="14" t="s">
        <v>406</v>
      </c>
      <c r="AI335" s="15">
        <v>0.0</v>
      </c>
      <c r="AL335" s="15" t="s">
        <v>808</v>
      </c>
      <c r="AM335" s="15" t="s">
        <v>1274</v>
      </c>
      <c r="AN335" s="15" t="s">
        <v>1275</v>
      </c>
      <c r="AO335" s="15" t="s">
        <v>622</v>
      </c>
      <c r="AP335" s="15" t="s">
        <v>623</v>
      </c>
      <c r="AQ335" s="15" t="s">
        <v>1274</v>
      </c>
      <c r="AR335" s="15" t="s">
        <v>1275</v>
      </c>
      <c r="AS335" s="15" t="s">
        <v>1317</v>
      </c>
      <c r="AT335" s="15" t="s">
        <v>4387</v>
      </c>
      <c r="AU335" s="15" t="s">
        <v>1850</v>
      </c>
      <c r="AW335" s="15" t="s">
        <v>706</v>
      </c>
      <c r="AX335" s="15" t="s">
        <v>707</v>
      </c>
      <c r="AY335" s="15" t="s">
        <v>413</v>
      </c>
      <c r="AZ335" s="15" t="b">
        <v>0</v>
      </c>
      <c r="BA335" s="15" t="s">
        <v>413</v>
      </c>
      <c r="BB335" s="15" t="b">
        <v>0</v>
      </c>
      <c r="BC335" s="15" t="s">
        <v>4391</v>
      </c>
      <c r="BD335" s="15" t="s">
        <v>709</v>
      </c>
      <c r="BE335" s="15" t="str">
        <f>"1"</f>
        <v>1</v>
      </c>
      <c r="BF335" s="15" t="s">
        <v>416</v>
      </c>
      <c r="BG335" s="15" t="str">
        <f>"36.61"</f>
        <v>36.61</v>
      </c>
      <c r="BH335" s="15" t="s">
        <v>1734</v>
      </c>
      <c r="BI335" s="15" t="str">
        <f>"32.09"</f>
        <v>32.09</v>
      </c>
      <c r="BJ335" s="15" t="s">
        <v>2174</v>
      </c>
      <c r="BK335" s="15" t="str">
        <f>"29.53"</f>
        <v>29.53</v>
      </c>
      <c r="BL335" s="15" t="s">
        <v>1062</v>
      </c>
      <c r="BM335" s="15" t="str">
        <f>"64.59"</f>
        <v>64.59</v>
      </c>
      <c r="BN335" s="15" t="s">
        <v>4392</v>
      </c>
      <c r="BQ335" s="15" t="s">
        <v>444</v>
      </c>
      <c r="BS335" s="15" t="s">
        <v>444</v>
      </c>
      <c r="BU335" s="15" t="s">
        <v>444</v>
      </c>
      <c r="BW335" s="15" t="s">
        <v>444</v>
      </c>
      <c r="BZ335" s="15" t="s">
        <v>444</v>
      </c>
      <c r="CB335" s="15" t="s">
        <v>444</v>
      </c>
      <c r="CD335" s="15" t="s">
        <v>444</v>
      </c>
      <c r="CF335" s="15" t="s">
        <v>444</v>
      </c>
      <c r="CI335" s="15" t="s">
        <v>444</v>
      </c>
      <c r="CK335" s="15" t="s">
        <v>444</v>
      </c>
      <c r="CM335" s="15" t="s">
        <v>444</v>
      </c>
      <c r="CO335" s="15" t="s">
        <v>444</v>
      </c>
      <c r="CP335" s="15" t="str">
        <f>"20.06"</f>
        <v>20.06</v>
      </c>
      <c r="CQ335" s="15" t="str">
        <f>"0.568"</f>
        <v>0.568</v>
      </c>
      <c r="CR335" s="15" t="s">
        <v>417</v>
      </c>
      <c r="CY335" s="15" t="s">
        <v>555</v>
      </c>
      <c r="CZ335" s="15" t="s">
        <v>1236</v>
      </c>
      <c r="DA335" s="15" t="s">
        <v>555</v>
      </c>
      <c r="DB335" s="15" t="s">
        <v>1324</v>
      </c>
      <c r="DC335" s="15" t="str">
        <f>IFERROR(__xludf.DUMMYFUNCTION("""COMPUTED_VALUE"""),"{""value"":20.00,""unit"":""in""}")</f>
        <v>{"value":20.00,"unit":"in"}</v>
      </c>
      <c r="DD335" s="15" t="s">
        <v>467</v>
      </c>
      <c r="DE335" s="15" t="str">
        <f>IFERROR(__xludf.DUMMYFUNCTION("""COMPUTED_VALUE"""),"{""value"":19.00,""unit"":""in""}")</f>
        <v>{"value":19.00,"unit":"in"}</v>
      </c>
      <c r="DG335" s="15" t="str">
        <f>IFERROR(__xludf.DUMMYFUNCTION("""COMPUTED_VALUE"""),"")</f>
        <v/>
      </c>
      <c r="DH335" s="15">
        <v>0.0</v>
      </c>
      <c r="DI335" s="15">
        <v>1.0</v>
      </c>
      <c r="DJ335" s="15" t="s">
        <v>717</v>
      </c>
      <c r="DK335" s="15" t="s">
        <v>718</v>
      </c>
      <c r="DL335" s="15" t="str">
        <f>IFERROR(__xludf.DUMMYFUNCTION("""COMPUTED_VALUE"""),"Vacuum or light brush only. Do not use water or any cleaning products.")</f>
        <v>Vacuum or light brush only. Do not use water or any cleaning products.</v>
      </c>
      <c r="DM335" s="15" t="s">
        <v>719</v>
      </c>
      <c r="DQ335" s="15" t="s">
        <v>3386</v>
      </c>
      <c r="DU335" s="15" t="s">
        <v>419</v>
      </c>
      <c r="DV335" s="15">
        <v>0.0</v>
      </c>
      <c r="DZ335" s="15">
        <v>0.0</v>
      </c>
      <c r="EA335" s="15" t="s">
        <v>3384</v>
      </c>
      <c r="EB335" s="15" t="s">
        <v>723</v>
      </c>
      <c r="EC335" s="15" t="s">
        <v>1076</v>
      </c>
      <c r="ED335" s="15">
        <v>1.0</v>
      </c>
      <c r="EE335" s="15">
        <v>1.0</v>
      </c>
      <c r="EG335" s="15" t="s">
        <v>444</v>
      </c>
      <c r="EH335" s="15" t="s">
        <v>4393</v>
      </c>
      <c r="EI335" s="15">
        <v>0.0</v>
      </c>
      <c r="EJ335" s="15" t="s">
        <v>726</v>
      </c>
      <c r="EK335" s="15" t="s">
        <v>727</v>
      </c>
      <c r="EL335" s="15" t="s">
        <v>1324</v>
      </c>
      <c r="EM335" s="15" t="str">
        <f>IFERROR(__xludf.DUMMYFUNCTION("""COMPUTED_VALUE"""),"{""value"":20.00,""unit"":""in""}")</f>
        <v>{"value":20.00,"unit":"in"}</v>
      </c>
      <c r="EN335" s="15" t="s">
        <v>1188</v>
      </c>
      <c r="EO335" s="15" t="s">
        <v>1064</v>
      </c>
      <c r="ES335" s="15" t="s">
        <v>425</v>
      </c>
      <c r="ET335" s="15" t="s">
        <v>1236</v>
      </c>
      <c r="EU335" s="15" t="s">
        <v>467</v>
      </c>
      <c r="EV335" s="15" t="s">
        <v>555</v>
      </c>
      <c r="EW335" s="15" t="s">
        <v>1593</v>
      </c>
      <c r="EX335" s="15" t="s">
        <v>1808</v>
      </c>
      <c r="EY335" s="15" t="s">
        <v>1882</v>
      </c>
      <c r="EZ335" s="15" t="s">
        <v>531</v>
      </c>
      <c r="FC335" s="15" t="s">
        <v>723</v>
      </c>
      <c r="FD335" s="15" t="s">
        <v>1076</v>
      </c>
      <c r="FO335" s="15" t="s">
        <v>555</v>
      </c>
      <c r="FP335" s="15" t="s">
        <v>1806</v>
      </c>
      <c r="FQ335" s="15">
        <v>0.0</v>
      </c>
      <c r="FR335" s="15">
        <v>0.0</v>
      </c>
      <c r="FS335" s="15" t="s">
        <v>1609</v>
      </c>
      <c r="FT335" s="15">
        <v>0.0</v>
      </c>
    </row>
    <row r="336" ht="15.75" customHeight="1">
      <c r="A336" s="14" t="s">
        <v>391</v>
      </c>
      <c r="B336" s="15" t="s">
        <v>4394</v>
      </c>
      <c r="C336" s="16"/>
      <c r="D336" s="15" t="s">
        <v>432</v>
      </c>
      <c r="G336" s="14" t="s">
        <v>393</v>
      </c>
      <c r="H336" s="14" t="s">
        <v>394</v>
      </c>
      <c r="I336" s="14" t="b">
        <v>1</v>
      </c>
      <c r="J336" s="14" t="s">
        <v>395</v>
      </c>
      <c r="L336" s="14" t="b">
        <v>0</v>
      </c>
      <c r="M336" s="15" t="s">
        <v>4395</v>
      </c>
      <c r="N336" s="14" t="s">
        <v>393</v>
      </c>
      <c r="O336" s="14" t="s">
        <v>393</v>
      </c>
      <c r="P336" s="15" t="s">
        <v>397</v>
      </c>
      <c r="Q336" s="15" t="s">
        <v>4396</v>
      </c>
      <c r="R336" s="15" t="s">
        <v>265</v>
      </c>
      <c r="S336" s="15">
        <v>42.0</v>
      </c>
      <c r="T336" s="14" t="b">
        <v>0</v>
      </c>
      <c r="U336" s="15" t="s">
        <v>4397</v>
      </c>
      <c r="V336" s="15" t="s">
        <v>4398</v>
      </c>
      <c r="W336" s="15" t="s">
        <v>401</v>
      </c>
      <c r="X336" s="15" t="s">
        <v>1296</v>
      </c>
      <c r="Y336" s="15">
        <v>1911.0</v>
      </c>
      <c r="AA336" s="15" t="str">
        <f>"735"</f>
        <v>735</v>
      </c>
      <c r="AB336" s="14" t="b">
        <v>1</v>
      </c>
      <c r="AC336" s="14" t="b">
        <v>1</v>
      </c>
      <c r="AD336" s="15" t="str">
        <f>"801542007744"</f>
        <v>801542007744</v>
      </c>
      <c r="AE336" s="15" t="s">
        <v>4399</v>
      </c>
      <c r="AF336" s="14" t="s">
        <v>404</v>
      </c>
      <c r="AG336" s="14" t="s">
        <v>405</v>
      </c>
      <c r="AH336" s="14" t="s">
        <v>406</v>
      </c>
      <c r="AI336" s="15">
        <v>0.0</v>
      </c>
      <c r="AL336" s="15" t="s">
        <v>2872</v>
      </c>
      <c r="AM336" s="15" t="s">
        <v>745</v>
      </c>
      <c r="AN336" s="15" t="s">
        <v>746</v>
      </c>
      <c r="AO336" s="15" t="s">
        <v>645</v>
      </c>
      <c r="AP336" s="15" t="s">
        <v>646</v>
      </c>
      <c r="AQ336" s="15" t="s">
        <v>2557</v>
      </c>
      <c r="AR336" s="15" t="s">
        <v>2558</v>
      </c>
      <c r="AS336" s="15" t="s">
        <v>4400</v>
      </c>
      <c r="AT336" s="15" t="s">
        <v>4396</v>
      </c>
      <c r="AW336" s="15" t="s">
        <v>548</v>
      </c>
      <c r="AX336" s="15" t="s">
        <v>4401</v>
      </c>
      <c r="AY336" s="15" t="s">
        <v>426</v>
      </c>
      <c r="AZ336" s="15" t="b">
        <v>1</v>
      </c>
      <c r="BA336" s="15" t="s">
        <v>413</v>
      </c>
      <c r="BB336" s="15" t="b">
        <v>0</v>
      </c>
      <c r="BC336" s="15" t="s">
        <v>4402</v>
      </c>
      <c r="BD336" s="15" t="s">
        <v>1303</v>
      </c>
      <c r="BE336" s="15" t="str">
        <f t="shared" ref="BE336:BE338" si="608">"2"</f>
        <v>2</v>
      </c>
      <c r="BF336" s="15" t="s">
        <v>1564</v>
      </c>
      <c r="BG336" s="15" t="str">
        <f t="shared" ref="BG336:BG337" si="609">"75.25"</f>
        <v>75.25</v>
      </c>
      <c r="BH336" s="15" t="s">
        <v>4403</v>
      </c>
      <c r="BI336" s="15" t="str">
        <f t="shared" ref="BI336:BI338" si="610">"6"</f>
        <v>6</v>
      </c>
      <c r="BJ336" s="15" t="s">
        <v>2999</v>
      </c>
      <c r="BK336" s="15" t="str">
        <f t="shared" ref="BK336:BK337" si="611">"39"</f>
        <v>39</v>
      </c>
      <c r="BL336" s="15" t="s">
        <v>3443</v>
      </c>
      <c r="BM336" s="15" t="str">
        <f t="shared" ref="BM336:BM337" si="612">"110.01"</f>
        <v>110.01</v>
      </c>
      <c r="BN336" s="15" t="s">
        <v>4404</v>
      </c>
      <c r="BO336" s="15" t="s">
        <v>2238</v>
      </c>
      <c r="BP336" s="15" t="str">
        <f>"45.5"</f>
        <v>45.5</v>
      </c>
      <c r="BQ336" s="15" t="s">
        <v>3837</v>
      </c>
      <c r="BR336" s="15" t="str">
        <f>"15.25"</f>
        <v>15.25</v>
      </c>
      <c r="BS336" s="15" t="s">
        <v>4405</v>
      </c>
      <c r="BT336" s="15" t="str">
        <f>"24.75"</f>
        <v>24.75</v>
      </c>
      <c r="BU336" s="15" t="s">
        <v>4406</v>
      </c>
      <c r="BV336" s="15" t="str">
        <f>"92.5"</f>
        <v>92.5</v>
      </c>
      <c r="BW336" s="15" t="s">
        <v>4407</v>
      </c>
      <c r="BZ336" s="15" t="s">
        <v>444</v>
      </c>
      <c r="CB336" s="15" t="s">
        <v>444</v>
      </c>
      <c r="CD336" s="15" t="s">
        <v>444</v>
      </c>
      <c r="CF336" s="15" t="s">
        <v>444</v>
      </c>
      <c r="CI336" s="15" t="s">
        <v>444</v>
      </c>
      <c r="CK336" s="15" t="s">
        <v>444</v>
      </c>
      <c r="CM336" s="15" t="s">
        <v>444</v>
      </c>
      <c r="CO336" s="15" t="s">
        <v>444</v>
      </c>
      <c r="CP336" s="15" t="str">
        <f>"20.13"</f>
        <v>20.13</v>
      </c>
      <c r="CQ336" s="15" t="str">
        <f>"0.57"</f>
        <v>0.57</v>
      </c>
      <c r="CR336" s="15" t="s">
        <v>417</v>
      </c>
      <c r="DC336" s="15" t="str">
        <f>IFERROR(__xludf.DUMMYFUNCTION("""COMPUTED_VALUE"""),"")</f>
        <v/>
      </c>
      <c r="DE336" s="15" t="str">
        <f>IFERROR(__xludf.DUMMYFUNCTION("""COMPUTED_VALUE"""),"")</f>
        <v/>
      </c>
      <c r="DG336" s="15" t="str">
        <f>IFERROR(__xludf.DUMMYFUNCTION("""COMPUTED_VALUE"""),"")</f>
        <v/>
      </c>
      <c r="DL336" s="15" t="str">
        <f>IFERROR(__xludf.DUMMYFUNCTION("""COMPUTED_VALUE"""),"")</f>
        <v/>
      </c>
      <c r="DM336" s="15" t="s">
        <v>444</v>
      </c>
      <c r="DN336" s="15" t="s">
        <v>419</v>
      </c>
      <c r="DO336" s="15">
        <v>0.0</v>
      </c>
      <c r="DP336" s="15" t="s">
        <v>419</v>
      </c>
      <c r="DR336" s="15">
        <v>0.0</v>
      </c>
      <c r="DT336" s="15" t="s">
        <v>1111</v>
      </c>
      <c r="DU336" s="15" t="s">
        <v>419</v>
      </c>
      <c r="DW336" s="15">
        <v>0.0</v>
      </c>
      <c r="DX336" s="15">
        <v>0.0</v>
      </c>
      <c r="DY336" s="15">
        <v>0.0</v>
      </c>
      <c r="EE336" s="15">
        <v>6.0</v>
      </c>
      <c r="EF336" s="15" t="s">
        <v>471</v>
      </c>
      <c r="EG336" s="15" t="s">
        <v>472</v>
      </c>
      <c r="EH336" s="15" t="s">
        <v>4408</v>
      </c>
      <c r="EJ336" s="15" t="s">
        <v>424</v>
      </c>
      <c r="EK336" s="15" t="s">
        <v>446</v>
      </c>
      <c r="EM336" s="15" t="str">
        <f>IFERROR(__xludf.DUMMYFUNCTION("""COMPUTED_VALUE"""),"")</f>
        <v/>
      </c>
      <c r="EX336" s="15" t="s">
        <v>4409</v>
      </c>
      <c r="EY336" s="15" t="s">
        <v>4410</v>
      </c>
      <c r="FH336" s="15" t="s">
        <v>613</v>
      </c>
      <c r="FI336" s="15" t="s">
        <v>4411</v>
      </c>
      <c r="FJ336" s="15" t="s">
        <v>4410</v>
      </c>
      <c r="FK336" s="15" t="s">
        <v>3693</v>
      </c>
      <c r="FL336" s="15" t="s">
        <v>426</v>
      </c>
      <c r="FM336" s="15">
        <v>0.0</v>
      </c>
      <c r="FN336" s="15">
        <v>0.0</v>
      </c>
      <c r="FU336" s="15" t="s">
        <v>477</v>
      </c>
      <c r="FV336" s="15" t="s">
        <v>4411</v>
      </c>
      <c r="FW336" s="15" t="s">
        <v>3011</v>
      </c>
      <c r="JF336" s="15" t="s">
        <v>4412</v>
      </c>
    </row>
    <row r="337" ht="15.75" customHeight="1">
      <c r="A337" s="14" t="s">
        <v>391</v>
      </c>
      <c r="B337" s="15" t="s">
        <v>4394</v>
      </c>
      <c r="C337" s="16"/>
      <c r="D337" s="15" t="s">
        <v>432</v>
      </c>
      <c r="G337" s="14" t="s">
        <v>393</v>
      </c>
      <c r="H337" s="14" t="s">
        <v>394</v>
      </c>
      <c r="I337" s="14" t="b">
        <v>1</v>
      </c>
      <c r="J337" s="14" t="s">
        <v>395</v>
      </c>
      <c r="L337" s="14" t="b">
        <v>0</v>
      </c>
      <c r="M337" s="15" t="s">
        <v>4413</v>
      </c>
      <c r="N337" s="14" t="s">
        <v>393</v>
      </c>
      <c r="O337" s="14" t="s">
        <v>393</v>
      </c>
      <c r="P337" s="15" t="s">
        <v>397</v>
      </c>
      <c r="Q337" s="15" t="s">
        <v>4396</v>
      </c>
      <c r="R337" s="15" t="s">
        <v>265</v>
      </c>
      <c r="S337" s="15">
        <v>36.0</v>
      </c>
      <c r="T337" s="14" t="b">
        <v>0</v>
      </c>
      <c r="U337" s="15" t="s">
        <v>4414</v>
      </c>
      <c r="V337" s="15" t="s">
        <v>4415</v>
      </c>
      <c r="W337" s="15" t="s">
        <v>401</v>
      </c>
      <c r="X337" s="15" t="s">
        <v>1296</v>
      </c>
      <c r="Y337" s="15">
        <v>1807.0</v>
      </c>
      <c r="AA337" s="15" t="str">
        <f>"695"</f>
        <v>695</v>
      </c>
      <c r="AB337" s="14" t="b">
        <v>1</v>
      </c>
      <c r="AC337" s="14" t="b">
        <v>1</v>
      </c>
      <c r="AD337" s="15" t="str">
        <f>"801542007775"</f>
        <v>801542007775</v>
      </c>
      <c r="AE337" s="15" t="s">
        <v>4416</v>
      </c>
      <c r="AF337" s="14" t="s">
        <v>404</v>
      </c>
      <c r="AG337" s="14" t="s">
        <v>405</v>
      </c>
      <c r="AH337" s="14" t="s">
        <v>406</v>
      </c>
      <c r="AI337" s="15">
        <v>0.0</v>
      </c>
      <c r="AL337" s="15" t="s">
        <v>2872</v>
      </c>
      <c r="AM337" s="15" t="s">
        <v>745</v>
      </c>
      <c r="AN337" s="15" t="s">
        <v>746</v>
      </c>
      <c r="AO337" s="15" t="s">
        <v>645</v>
      </c>
      <c r="AP337" s="15" t="s">
        <v>646</v>
      </c>
      <c r="AQ337" s="15" t="s">
        <v>622</v>
      </c>
      <c r="AR337" s="15" t="s">
        <v>623</v>
      </c>
      <c r="AS337" s="15" t="s">
        <v>4400</v>
      </c>
      <c r="AT337" s="15" t="s">
        <v>4396</v>
      </c>
      <c r="AW337" s="15" t="s">
        <v>548</v>
      </c>
      <c r="AX337" s="15" t="s">
        <v>4401</v>
      </c>
      <c r="AY337" s="15" t="s">
        <v>413</v>
      </c>
      <c r="AZ337" s="15" t="b">
        <v>0</v>
      </c>
      <c r="BA337" s="15" t="s">
        <v>413</v>
      </c>
      <c r="BB337" s="15" t="b">
        <v>0</v>
      </c>
      <c r="BC337" s="15" t="s">
        <v>4417</v>
      </c>
      <c r="BD337" s="15" t="s">
        <v>1303</v>
      </c>
      <c r="BE337" s="15" t="str">
        <f t="shared" si="608"/>
        <v>2</v>
      </c>
      <c r="BF337" s="15" t="s">
        <v>1564</v>
      </c>
      <c r="BG337" s="15" t="str">
        <f t="shared" si="609"/>
        <v>75.25</v>
      </c>
      <c r="BH337" s="15" t="s">
        <v>4403</v>
      </c>
      <c r="BI337" s="15" t="str">
        <f t="shared" si="610"/>
        <v>6</v>
      </c>
      <c r="BJ337" s="15" t="s">
        <v>2999</v>
      </c>
      <c r="BK337" s="15" t="str">
        <f t="shared" si="611"/>
        <v>39</v>
      </c>
      <c r="BL337" s="15" t="s">
        <v>3443</v>
      </c>
      <c r="BM337" s="15" t="str">
        <f t="shared" si="612"/>
        <v>110.01</v>
      </c>
      <c r="BN337" s="15" t="s">
        <v>4404</v>
      </c>
      <c r="BO337" s="15" t="s">
        <v>2238</v>
      </c>
      <c r="BP337" s="15" t="str">
        <f>"39"</f>
        <v>39</v>
      </c>
      <c r="BQ337" s="15" t="s">
        <v>3443</v>
      </c>
      <c r="BR337" s="15" t="str">
        <f>"15.5"</f>
        <v>15.5</v>
      </c>
      <c r="BS337" s="15" t="s">
        <v>1151</v>
      </c>
      <c r="BT337" s="15" t="str">
        <f>"25"</f>
        <v>25</v>
      </c>
      <c r="BU337" s="15" t="s">
        <v>2214</v>
      </c>
      <c r="BV337" s="15" t="str">
        <f>"82.89"</f>
        <v>82.89</v>
      </c>
      <c r="BW337" s="15" t="s">
        <v>4418</v>
      </c>
      <c r="BZ337" s="15" t="s">
        <v>444</v>
      </c>
      <c r="CB337" s="15" t="s">
        <v>444</v>
      </c>
      <c r="CD337" s="15" t="s">
        <v>444</v>
      </c>
      <c r="CF337" s="15" t="s">
        <v>444</v>
      </c>
      <c r="CI337" s="15" t="s">
        <v>444</v>
      </c>
      <c r="CK337" s="15" t="s">
        <v>444</v>
      </c>
      <c r="CM337" s="15" t="s">
        <v>444</v>
      </c>
      <c r="CO337" s="15" t="s">
        <v>444</v>
      </c>
      <c r="CP337" s="15" t="str">
        <f>"18.96"</f>
        <v>18.96</v>
      </c>
      <c r="CQ337" s="15" t="str">
        <f>"0.537"</f>
        <v>0.537</v>
      </c>
      <c r="CR337" s="15" t="s">
        <v>465</v>
      </c>
      <c r="DC337" s="15" t="str">
        <f>IFERROR(__xludf.DUMMYFUNCTION("""COMPUTED_VALUE"""),"")</f>
        <v/>
      </c>
      <c r="DE337" s="15" t="str">
        <f>IFERROR(__xludf.DUMMYFUNCTION("""COMPUTED_VALUE"""),"")</f>
        <v/>
      </c>
      <c r="DG337" s="15" t="str">
        <f>IFERROR(__xludf.DUMMYFUNCTION("""COMPUTED_VALUE"""),"")</f>
        <v/>
      </c>
      <c r="DL337" s="15" t="str">
        <f>IFERROR(__xludf.DUMMYFUNCTION("""COMPUTED_VALUE"""),"")</f>
        <v/>
      </c>
      <c r="DM337" s="15" t="s">
        <v>444</v>
      </c>
      <c r="DN337" s="15" t="s">
        <v>419</v>
      </c>
      <c r="DO337" s="15">
        <v>0.0</v>
      </c>
      <c r="DP337" s="15" t="s">
        <v>419</v>
      </c>
      <c r="DR337" s="15">
        <v>0.0</v>
      </c>
      <c r="DT337" s="15" t="s">
        <v>1111</v>
      </c>
      <c r="DU337" s="15" t="s">
        <v>419</v>
      </c>
      <c r="DW337" s="15">
        <v>0.0</v>
      </c>
      <c r="DX337" s="15">
        <v>0.0</v>
      </c>
      <c r="DY337" s="15">
        <v>0.0</v>
      </c>
      <c r="EE337" s="15">
        <v>6.0</v>
      </c>
      <c r="EF337" s="15" t="s">
        <v>471</v>
      </c>
      <c r="EG337" s="15" t="s">
        <v>472</v>
      </c>
      <c r="EH337" s="15" t="s">
        <v>4408</v>
      </c>
      <c r="EJ337" s="15" t="s">
        <v>424</v>
      </c>
      <c r="EK337" s="15" t="s">
        <v>446</v>
      </c>
      <c r="EM337" s="15" t="str">
        <f>IFERROR(__xludf.DUMMYFUNCTION("""COMPUTED_VALUE"""),"")</f>
        <v/>
      </c>
      <c r="EX337" s="15" t="s">
        <v>4409</v>
      </c>
      <c r="EY337" s="15" t="s">
        <v>4410</v>
      </c>
      <c r="FH337" s="15" t="s">
        <v>613</v>
      </c>
      <c r="FI337" s="15" t="s">
        <v>4411</v>
      </c>
      <c r="FJ337" s="15" t="s">
        <v>4410</v>
      </c>
      <c r="FK337" s="15" t="s">
        <v>3693</v>
      </c>
      <c r="FL337" s="15" t="s">
        <v>426</v>
      </c>
      <c r="FM337" s="15">
        <v>0.0</v>
      </c>
      <c r="FN337" s="15">
        <v>0.0</v>
      </c>
      <c r="FU337" s="15" t="s">
        <v>477</v>
      </c>
      <c r="FV337" s="15" t="s">
        <v>4411</v>
      </c>
      <c r="FW337" s="15" t="s">
        <v>3011</v>
      </c>
      <c r="JF337" s="15" t="s">
        <v>4412</v>
      </c>
    </row>
    <row r="338" ht="15.75" customHeight="1">
      <c r="A338" s="14" t="s">
        <v>391</v>
      </c>
      <c r="B338" s="15" t="s">
        <v>4419</v>
      </c>
      <c r="C338" s="16"/>
      <c r="D338" s="15" t="s">
        <v>432</v>
      </c>
      <c r="G338" s="14" t="s">
        <v>393</v>
      </c>
      <c r="H338" s="14" t="s">
        <v>394</v>
      </c>
      <c r="I338" s="14" t="b">
        <v>1</v>
      </c>
      <c r="J338" s="14" t="s">
        <v>395</v>
      </c>
      <c r="L338" s="14" t="b">
        <v>0</v>
      </c>
      <c r="M338" s="15" t="s">
        <v>4420</v>
      </c>
      <c r="N338" s="14" t="s">
        <v>393</v>
      </c>
      <c r="O338" s="14" t="s">
        <v>393</v>
      </c>
      <c r="P338" s="15" t="s">
        <v>397</v>
      </c>
      <c r="Q338" s="15" t="s">
        <v>4396</v>
      </c>
      <c r="T338" s="14" t="b">
        <v>0</v>
      </c>
      <c r="U338" s="15" t="s">
        <v>4421</v>
      </c>
      <c r="V338" s="15" t="s">
        <v>4422</v>
      </c>
      <c r="W338" s="15" t="s">
        <v>401</v>
      </c>
      <c r="X338" s="15" t="s">
        <v>1296</v>
      </c>
      <c r="Y338" s="15">
        <v>936.0</v>
      </c>
      <c r="AA338" s="15" t="str">
        <f>"360"</f>
        <v>360</v>
      </c>
      <c r="AB338" s="14" t="b">
        <v>1</v>
      </c>
      <c r="AC338" s="14" t="b">
        <v>1</v>
      </c>
      <c r="AD338" s="15" t="str">
        <f>"801542007799"</f>
        <v>801542007799</v>
      </c>
      <c r="AE338" s="15" t="s">
        <v>4423</v>
      </c>
      <c r="AF338" s="14" t="s">
        <v>404</v>
      </c>
      <c r="AG338" s="14" t="s">
        <v>405</v>
      </c>
      <c r="AH338" s="14" t="s">
        <v>406</v>
      </c>
      <c r="AI338" s="15">
        <v>0.0</v>
      </c>
      <c r="AL338" s="15" t="s">
        <v>2872</v>
      </c>
      <c r="AM338" s="15" t="s">
        <v>4424</v>
      </c>
      <c r="AN338" s="15" t="s">
        <v>3620</v>
      </c>
      <c r="AO338" s="15" t="s">
        <v>1055</v>
      </c>
      <c r="AP338" s="15" t="s">
        <v>1056</v>
      </c>
      <c r="AQ338" s="15" t="s">
        <v>1452</v>
      </c>
      <c r="AR338" s="15" t="s">
        <v>1453</v>
      </c>
      <c r="AS338" s="15" t="s">
        <v>4400</v>
      </c>
      <c r="AT338" s="15" t="s">
        <v>4396</v>
      </c>
      <c r="AW338" s="15" t="s">
        <v>491</v>
      </c>
      <c r="AY338" s="15" t="s">
        <v>413</v>
      </c>
      <c r="AZ338" s="15" t="b">
        <v>0</v>
      </c>
      <c r="BA338" s="15" t="s">
        <v>413</v>
      </c>
      <c r="BB338" s="15" t="b">
        <v>0</v>
      </c>
      <c r="BC338" s="15" t="s">
        <v>4425</v>
      </c>
      <c r="BD338" s="15" t="s">
        <v>1303</v>
      </c>
      <c r="BE338" s="15" t="str">
        <f t="shared" si="608"/>
        <v>2</v>
      </c>
      <c r="BF338" s="15" t="s">
        <v>1564</v>
      </c>
      <c r="BG338" s="15" t="str">
        <f>"54.25"</f>
        <v>54.25</v>
      </c>
      <c r="BH338" s="15" t="s">
        <v>4426</v>
      </c>
      <c r="BI338" s="15" t="str">
        <f t="shared" si="610"/>
        <v>6</v>
      </c>
      <c r="BJ338" s="15" t="s">
        <v>2999</v>
      </c>
      <c r="BK338" s="15" t="str">
        <f>"31"</f>
        <v>31</v>
      </c>
      <c r="BL338" s="15" t="s">
        <v>1277</v>
      </c>
      <c r="BM338" s="15" t="str">
        <f>"57.58"</f>
        <v>57.58</v>
      </c>
      <c r="BN338" s="15" t="s">
        <v>4427</v>
      </c>
      <c r="BO338" s="15" t="s">
        <v>2238</v>
      </c>
      <c r="BP338" s="15" t="str">
        <f>"20.5"</f>
        <v>20.5</v>
      </c>
      <c r="BQ338" s="15" t="s">
        <v>1249</v>
      </c>
      <c r="BR338" s="15" t="str">
        <f>"10"</f>
        <v>10</v>
      </c>
      <c r="BS338" s="15" t="s">
        <v>4428</v>
      </c>
      <c r="BT338" s="15" t="str">
        <f>"23"</f>
        <v>23</v>
      </c>
      <c r="BU338" s="15" t="s">
        <v>4284</v>
      </c>
      <c r="BV338" s="15" t="str">
        <f>"32.49"</f>
        <v>32.49</v>
      </c>
      <c r="BW338" s="15" t="s">
        <v>4429</v>
      </c>
      <c r="BZ338" s="15" t="s">
        <v>444</v>
      </c>
      <c r="CB338" s="15" t="s">
        <v>444</v>
      </c>
      <c r="CD338" s="15" t="s">
        <v>444</v>
      </c>
      <c r="CF338" s="15" t="s">
        <v>444</v>
      </c>
      <c r="CI338" s="15" t="s">
        <v>444</v>
      </c>
      <c r="CK338" s="15" t="s">
        <v>444</v>
      </c>
      <c r="CM338" s="15" t="s">
        <v>444</v>
      </c>
      <c r="CO338" s="15" t="s">
        <v>444</v>
      </c>
      <c r="CP338" s="15" t="str">
        <f>"8.55"</f>
        <v>8.55</v>
      </c>
      <c r="CQ338" s="15" t="str">
        <f>"0.242"</f>
        <v>0.242</v>
      </c>
      <c r="CR338" s="15" t="s">
        <v>465</v>
      </c>
      <c r="DC338" s="15" t="str">
        <f>IFERROR(__xludf.DUMMYFUNCTION("""COMPUTED_VALUE"""),"")</f>
        <v/>
      </c>
      <c r="DE338" s="15" t="str">
        <f>IFERROR(__xludf.DUMMYFUNCTION("""COMPUTED_VALUE"""),"")</f>
        <v/>
      </c>
      <c r="DG338" s="15" t="str">
        <f>IFERROR(__xludf.DUMMYFUNCTION("""COMPUTED_VALUE"""),"")</f>
        <v/>
      </c>
      <c r="DL338" s="15" t="str">
        <f>IFERROR(__xludf.DUMMYFUNCTION("""COMPUTED_VALUE"""),"")</f>
        <v/>
      </c>
      <c r="DM338" s="15" t="s">
        <v>444</v>
      </c>
      <c r="DN338" s="15" t="s">
        <v>419</v>
      </c>
      <c r="DO338" s="15">
        <v>0.0</v>
      </c>
      <c r="DP338" s="15" t="s">
        <v>419</v>
      </c>
      <c r="DR338" s="15">
        <v>0.0</v>
      </c>
      <c r="DT338" s="15" t="s">
        <v>1111</v>
      </c>
      <c r="DU338" s="15" t="s">
        <v>419</v>
      </c>
      <c r="DY338" s="15">
        <v>0.0</v>
      </c>
      <c r="EF338" s="15" t="s">
        <v>471</v>
      </c>
      <c r="EG338" s="15" t="s">
        <v>472</v>
      </c>
      <c r="EH338" s="15" t="s">
        <v>4408</v>
      </c>
      <c r="EJ338" s="15" t="s">
        <v>500</v>
      </c>
      <c r="EK338" s="15" t="s">
        <v>501</v>
      </c>
      <c r="EM338" s="15" t="str">
        <f>IFERROR(__xludf.DUMMYFUNCTION("""COMPUTED_VALUE"""),"")</f>
        <v/>
      </c>
      <c r="EW338" s="15" t="s">
        <v>2020</v>
      </c>
      <c r="EY338" s="15" t="s">
        <v>1306</v>
      </c>
      <c r="FH338" s="15" t="s">
        <v>1065</v>
      </c>
      <c r="FI338" s="15" t="s">
        <v>2020</v>
      </c>
      <c r="FJ338" s="15" t="s">
        <v>4430</v>
      </c>
      <c r="FK338" s="15" t="s">
        <v>425</v>
      </c>
      <c r="FL338" s="15" t="s">
        <v>426</v>
      </c>
      <c r="FM338" s="15">
        <v>0.0</v>
      </c>
      <c r="FN338" s="15">
        <v>0.0</v>
      </c>
      <c r="FW338" s="15" t="s">
        <v>4431</v>
      </c>
    </row>
    <row r="339" ht="15.75" customHeight="1">
      <c r="A339" s="14" t="s">
        <v>391</v>
      </c>
      <c r="B339" s="15" t="s">
        <v>4432</v>
      </c>
      <c r="C339" s="16"/>
      <c r="D339" s="15" t="s">
        <v>432</v>
      </c>
      <c r="G339" s="14" t="s">
        <v>393</v>
      </c>
      <c r="H339" s="14" t="s">
        <v>394</v>
      </c>
      <c r="I339" s="14" t="b">
        <v>1</v>
      </c>
      <c r="J339" s="14" t="s">
        <v>395</v>
      </c>
      <c r="L339" s="14" t="b">
        <v>0</v>
      </c>
      <c r="M339" s="15" t="s">
        <v>4433</v>
      </c>
      <c r="N339" s="14" t="s">
        <v>393</v>
      </c>
      <c r="O339" s="14" t="s">
        <v>393</v>
      </c>
      <c r="P339" s="15" t="s">
        <v>397</v>
      </c>
      <c r="Q339" s="15" t="s">
        <v>2536</v>
      </c>
      <c r="T339" s="14" t="b">
        <v>0</v>
      </c>
      <c r="U339" s="15" t="s">
        <v>4434</v>
      </c>
      <c r="V339" s="15" t="s">
        <v>4435</v>
      </c>
      <c r="W339" s="15" t="s">
        <v>401</v>
      </c>
      <c r="X339" s="15" t="s">
        <v>695</v>
      </c>
      <c r="Y339" s="15">
        <v>1040.0</v>
      </c>
      <c r="AA339" s="15" t="str">
        <f>"400"</f>
        <v>400</v>
      </c>
      <c r="AB339" s="14" t="b">
        <v>1</v>
      </c>
      <c r="AC339" s="14" t="b">
        <v>1</v>
      </c>
      <c r="AD339" s="15" t="str">
        <f>"801542068363"</f>
        <v>801542068363</v>
      </c>
      <c r="AE339" s="15" t="s">
        <v>4436</v>
      </c>
      <c r="AF339" s="14" t="s">
        <v>404</v>
      </c>
      <c r="AG339" s="14" t="s">
        <v>405</v>
      </c>
      <c r="AH339" s="14" t="s">
        <v>406</v>
      </c>
      <c r="AI339" s="15">
        <v>0.0</v>
      </c>
      <c r="AL339" s="15" t="s">
        <v>4437</v>
      </c>
      <c r="AM339" s="15" t="s">
        <v>3442</v>
      </c>
      <c r="AN339" s="15" t="s">
        <v>3443</v>
      </c>
      <c r="AO339" s="15" t="s">
        <v>3442</v>
      </c>
      <c r="AP339" s="15" t="s">
        <v>3443</v>
      </c>
      <c r="AQ339" s="15" t="s">
        <v>1452</v>
      </c>
      <c r="AR339" s="15" t="s">
        <v>1453</v>
      </c>
      <c r="AS339" s="15" t="s">
        <v>2492</v>
      </c>
      <c r="AT339" s="15" t="s">
        <v>2536</v>
      </c>
      <c r="AU339" s="15" t="s">
        <v>3902</v>
      </c>
      <c r="AW339" s="15" t="s">
        <v>1009</v>
      </c>
      <c r="AY339" s="15" t="s">
        <v>413</v>
      </c>
      <c r="AZ339" s="15" t="b">
        <v>0</v>
      </c>
      <c r="BA339" s="15" t="s">
        <v>426</v>
      </c>
      <c r="BB339" s="15" t="b">
        <v>1</v>
      </c>
      <c r="BC339" s="15" t="s">
        <v>4438</v>
      </c>
      <c r="BD339" s="15" t="s">
        <v>709</v>
      </c>
      <c r="BE339" s="15" t="str">
        <f>"1"</f>
        <v>1</v>
      </c>
      <c r="BF339" s="15" t="s">
        <v>416</v>
      </c>
      <c r="BG339" s="15" t="str">
        <f>"37.01"</f>
        <v>37.01</v>
      </c>
      <c r="BH339" s="15" t="s">
        <v>1990</v>
      </c>
      <c r="BI339" s="15" t="str">
        <f>"37.4"</f>
        <v>37.4</v>
      </c>
      <c r="BJ339" s="15" t="s">
        <v>3175</v>
      </c>
      <c r="BK339" s="15" t="str">
        <f>"19.69"</f>
        <v>19.69</v>
      </c>
      <c r="BL339" s="15" t="s">
        <v>1680</v>
      </c>
      <c r="BM339" s="15" t="str">
        <f>"78.92"</f>
        <v>78.92</v>
      </c>
      <c r="BN339" s="15" t="s">
        <v>4439</v>
      </c>
      <c r="BQ339" s="15" t="s">
        <v>444</v>
      </c>
      <c r="BS339" s="15" t="s">
        <v>444</v>
      </c>
      <c r="BU339" s="15" t="s">
        <v>444</v>
      </c>
      <c r="BW339" s="15" t="s">
        <v>444</v>
      </c>
      <c r="BZ339" s="15" t="s">
        <v>444</v>
      </c>
      <c r="CB339" s="15" t="s">
        <v>444</v>
      </c>
      <c r="CD339" s="15" t="s">
        <v>444</v>
      </c>
      <c r="CF339" s="15" t="s">
        <v>444</v>
      </c>
      <c r="CI339" s="15" t="s">
        <v>444</v>
      </c>
      <c r="CK339" s="15" t="s">
        <v>444</v>
      </c>
      <c r="CM339" s="15" t="s">
        <v>444</v>
      </c>
      <c r="CO339" s="15" t="s">
        <v>444</v>
      </c>
      <c r="CP339" s="15" t="str">
        <f>"15.79"</f>
        <v>15.79</v>
      </c>
      <c r="CQ339" s="15" t="str">
        <f>"0.447"</f>
        <v>0.447</v>
      </c>
      <c r="CR339" s="15" t="s">
        <v>465</v>
      </c>
      <c r="CY339" s="15" t="s">
        <v>780</v>
      </c>
      <c r="CZ339" s="15" t="s">
        <v>4440</v>
      </c>
      <c r="DA339" s="15" t="s">
        <v>780</v>
      </c>
      <c r="DB339" s="15" t="s">
        <v>780</v>
      </c>
      <c r="DC339" s="15" t="str">
        <f>IFERROR(__xludf.DUMMYFUNCTION("""COMPUTED_VALUE"""),"{""value"":36.02,""unit"":""in""}")</f>
        <v>{"value":36.02,"unit":"in"}</v>
      </c>
      <c r="DD339" s="15" t="s">
        <v>4441</v>
      </c>
      <c r="DE339" s="15" t="str">
        <f>IFERROR(__xludf.DUMMYFUNCTION("""COMPUTED_VALUE"""),"{""value"":17.52,""unit"":""in""}")</f>
        <v>{"value":17.52,"unit":"in"}</v>
      </c>
      <c r="DF339" s="15" t="s">
        <v>780</v>
      </c>
      <c r="DG339" s="15" t="str">
        <f>IFERROR(__xludf.DUMMYFUNCTION("""COMPUTED_VALUE"""),"{""value"":36.02,""unit"":""in""}")</f>
        <v>{"value":36.02,"unit":"in"}</v>
      </c>
      <c r="DI339" s="15">
        <v>0.0</v>
      </c>
      <c r="DK339" s="15" t="s">
        <v>855</v>
      </c>
      <c r="DL339" s="15" t="str">
        <f>IFERROR(__xludf.DUMMYFUNCTION("""COMPUTED_VALUE"""),"Clean with solvent-based (dry clean only) products. Do not use water.")</f>
        <v>Clean with solvent-based (dry clean only) products. Do not use water.</v>
      </c>
      <c r="DM339" s="15" t="s">
        <v>856</v>
      </c>
      <c r="DT339" s="15" t="s">
        <v>1111</v>
      </c>
      <c r="DV339" s="15">
        <v>0.0</v>
      </c>
      <c r="DZ339" s="15">
        <v>25000.0</v>
      </c>
      <c r="EA339" s="15" t="s">
        <v>470</v>
      </c>
      <c r="EB339" s="15" t="s">
        <v>723</v>
      </c>
      <c r="EC339" s="15" t="s">
        <v>724</v>
      </c>
      <c r="ED339" s="15">
        <v>1.0</v>
      </c>
      <c r="EE339" s="15">
        <v>1.0</v>
      </c>
      <c r="EF339" s="15" t="s">
        <v>1157</v>
      </c>
      <c r="EG339" s="15" t="s">
        <v>1158</v>
      </c>
      <c r="EH339" s="15" t="s">
        <v>4442</v>
      </c>
      <c r="EI339" s="15">
        <v>0.0</v>
      </c>
      <c r="EJ339" s="15" t="s">
        <v>726</v>
      </c>
      <c r="EK339" s="15" t="s">
        <v>727</v>
      </c>
      <c r="EM339" s="15" t="str">
        <f>IFERROR(__xludf.DUMMYFUNCTION("""COMPUTED_VALUE"""),"")</f>
        <v/>
      </c>
      <c r="EW339" s="15" t="s">
        <v>2468</v>
      </c>
      <c r="FF339" s="15" t="s">
        <v>2502</v>
      </c>
      <c r="FL339" s="15" t="s">
        <v>426</v>
      </c>
    </row>
    <row r="340" ht="15.75" customHeight="1">
      <c r="A340" s="14" t="s">
        <v>391</v>
      </c>
      <c r="B340" s="15" t="s">
        <v>4443</v>
      </c>
      <c r="C340" s="16"/>
      <c r="D340" s="15" t="s">
        <v>432</v>
      </c>
      <c r="G340" s="14" t="s">
        <v>393</v>
      </c>
      <c r="H340" s="14" t="s">
        <v>394</v>
      </c>
      <c r="I340" s="14" t="b">
        <v>1</v>
      </c>
      <c r="J340" s="14" t="s">
        <v>395</v>
      </c>
      <c r="L340" s="14" t="b">
        <v>0</v>
      </c>
      <c r="M340" s="15" t="s">
        <v>4444</v>
      </c>
      <c r="N340" s="14" t="s">
        <v>393</v>
      </c>
      <c r="O340" s="14" t="s">
        <v>393</v>
      </c>
      <c r="P340" s="15" t="s">
        <v>397</v>
      </c>
      <c r="Q340" s="15" t="s">
        <v>4445</v>
      </c>
      <c r="T340" s="14" t="b">
        <v>0</v>
      </c>
      <c r="U340" s="15" t="s">
        <v>4446</v>
      </c>
      <c r="V340" s="15" t="s">
        <v>4447</v>
      </c>
      <c r="W340" s="15" t="s">
        <v>401</v>
      </c>
      <c r="X340" s="15" t="s">
        <v>402</v>
      </c>
      <c r="Y340" s="15">
        <v>2730.0</v>
      </c>
      <c r="AA340" s="15" t="str">
        <f>"1050"</f>
        <v>1050</v>
      </c>
      <c r="AB340" s="14" t="b">
        <v>1</v>
      </c>
      <c r="AC340" s="14" t="b">
        <v>1</v>
      </c>
      <c r="AD340" s="15" t="str">
        <f>"801542960735"</f>
        <v>801542960735</v>
      </c>
      <c r="AE340" s="15" t="s">
        <v>4448</v>
      </c>
      <c r="AF340" s="14" t="s">
        <v>404</v>
      </c>
      <c r="AG340" s="14" t="s">
        <v>405</v>
      </c>
      <c r="AH340" s="14" t="s">
        <v>406</v>
      </c>
      <c r="AI340" s="15">
        <v>0.0</v>
      </c>
      <c r="AL340" s="15" t="s">
        <v>4449</v>
      </c>
      <c r="AM340" s="15" t="s">
        <v>2355</v>
      </c>
      <c r="AN340" s="15" t="s">
        <v>2356</v>
      </c>
      <c r="AO340" s="15" t="s">
        <v>1007</v>
      </c>
      <c r="AP340" s="15" t="s">
        <v>1008</v>
      </c>
      <c r="AQ340" s="15" t="s">
        <v>1276</v>
      </c>
      <c r="AR340" s="15" t="s">
        <v>1277</v>
      </c>
      <c r="AS340" s="15" t="s">
        <v>411</v>
      </c>
      <c r="AT340" s="15" t="s">
        <v>4445</v>
      </c>
      <c r="AW340" s="15" t="s">
        <v>519</v>
      </c>
      <c r="AY340" s="15" t="s">
        <v>413</v>
      </c>
      <c r="AZ340" s="15" t="b">
        <v>0</v>
      </c>
      <c r="BA340" s="15" t="s">
        <v>413</v>
      </c>
      <c r="BB340" s="15" t="b">
        <v>0</v>
      </c>
      <c r="BC340" s="15" t="s">
        <v>4450</v>
      </c>
      <c r="BD340" s="15" t="s">
        <v>415</v>
      </c>
      <c r="BE340" s="15" t="str">
        <f>"2"</f>
        <v>2</v>
      </c>
      <c r="BF340" s="15" t="s">
        <v>4451</v>
      </c>
      <c r="BG340" s="15" t="str">
        <f>"85.04"</f>
        <v>85.04</v>
      </c>
      <c r="BH340" s="15" t="s">
        <v>440</v>
      </c>
      <c r="BI340" s="15" t="str">
        <f>"24.41"</f>
        <v>24.41</v>
      </c>
      <c r="BJ340" s="15" t="s">
        <v>796</v>
      </c>
      <c r="BK340" s="15" t="str">
        <f>"8.27"</f>
        <v>8.27</v>
      </c>
      <c r="BL340" s="15" t="s">
        <v>1106</v>
      </c>
      <c r="BM340" s="15" t="str">
        <f>"56.48"</f>
        <v>56.48</v>
      </c>
      <c r="BN340" s="15" t="s">
        <v>4452</v>
      </c>
      <c r="BO340" s="15" t="s">
        <v>4453</v>
      </c>
      <c r="BP340" s="15" t="str">
        <f>"37.8"</f>
        <v>37.8</v>
      </c>
      <c r="BQ340" s="15" t="s">
        <v>756</v>
      </c>
      <c r="BR340" s="15" t="str">
        <f>"22.05"</f>
        <v>22.05</v>
      </c>
      <c r="BS340" s="15" t="s">
        <v>2310</v>
      </c>
      <c r="BT340" s="15" t="str">
        <f>"35.83"</f>
        <v>35.83</v>
      </c>
      <c r="BU340" s="15" t="s">
        <v>1505</v>
      </c>
      <c r="BV340" s="15" t="str">
        <f>"134.04"</f>
        <v>134.04</v>
      </c>
      <c r="BW340" s="15" t="s">
        <v>4454</v>
      </c>
      <c r="BZ340" s="15" t="s">
        <v>444</v>
      </c>
      <c r="CB340" s="15" t="s">
        <v>444</v>
      </c>
      <c r="CD340" s="15" t="s">
        <v>444</v>
      </c>
      <c r="CF340" s="15" t="s">
        <v>444</v>
      </c>
      <c r="CI340" s="15" t="s">
        <v>444</v>
      </c>
      <c r="CK340" s="15" t="s">
        <v>444</v>
      </c>
      <c r="CM340" s="15" t="s">
        <v>444</v>
      </c>
      <c r="CO340" s="15" t="s">
        <v>444</v>
      </c>
      <c r="CP340" s="15" t="str">
        <f>"27.19"</f>
        <v>27.19</v>
      </c>
      <c r="CQ340" s="15" t="str">
        <f>"0.77"</f>
        <v>0.77</v>
      </c>
      <c r="CR340" s="15" t="s">
        <v>497</v>
      </c>
      <c r="DC340" s="15" t="str">
        <f>IFERROR(__xludf.DUMMYFUNCTION("""COMPUTED_VALUE"""),"")</f>
        <v/>
      </c>
      <c r="DE340" s="15" t="str">
        <f>IFERROR(__xludf.DUMMYFUNCTION("""COMPUTED_VALUE"""),"")</f>
        <v/>
      </c>
      <c r="DG340" s="15" t="str">
        <f>IFERROR(__xludf.DUMMYFUNCTION("""COMPUTED_VALUE"""),"")</f>
        <v/>
      </c>
      <c r="DL340" s="15" t="str">
        <f>IFERROR(__xludf.DUMMYFUNCTION("""COMPUTED_VALUE"""),"")</f>
        <v/>
      </c>
      <c r="DM340" s="15" t="s">
        <v>444</v>
      </c>
      <c r="DN340" s="15" t="s">
        <v>419</v>
      </c>
      <c r="DO340" s="15">
        <v>0.0</v>
      </c>
      <c r="DP340" s="15" t="s">
        <v>419</v>
      </c>
      <c r="DR340" s="15">
        <v>0.0</v>
      </c>
      <c r="DT340" s="15" t="s">
        <v>420</v>
      </c>
      <c r="DU340" s="15" t="s">
        <v>419</v>
      </c>
      <c r="DY340" s="15">
        <v>0.0</v>
      </c>
      <c r="EF340" s="15" t="s">
        <v>471</v>
      </c>
      <c r="EG340" s="15" t="s">
        <v>472</v>
      </c>
      <c r="EH340" s="15" t="s">
        <v>4455</v>
      </c>
      <c r="EJ340" s="15" t="s">
        <v>424</v>
      </c>
      <c r="EK340" s="15" t="s">
        <v>446</v>
      </c>
      <c r="EM340" s="15" t="str">
        <f>IFERROR(__xludf.DUMMYFUNCTION("""COMPUTED_VALUE"""),"")</f>
        <v/>
      </c>
      <c r="EW340" s="15" t="s">
        <v>2839</v>
      </c>
      <c r="FH340" s="15" t="s">
        <v>1213</v>
      </c>
      <c r="FI340" s="15" t="s">
        <v>2839</v>
      </c>
      <c r="FJ340" s="15" t="s">
        <v>1994</v>
      </c>
      <c r="FK340" s="15" t="s">
        <v>672</v>
      </c>
      <c r="FL340" s="15" t="s">
        <v>426</v>
      </c>
      <c r="FM340" s="15">
        <v>0.0</v>
      </c>
      <c r="FN340" s="15">
        <v>0.0</v>
      </c>
      <c r="FW340" s="15" t="s">
        <v>525</v>
      </c>
      <c r="GH340" s="15">
        <v>0.0</v>
      </c>
      <c r="GI340" s="15" t="s">
        <v>427</v>
      </c>
      <c r="LE340" s="15" t="s">
        <v>426</v>
      </c>
    </row>
    <row r="341" ht="15.75" customHeight="1">
      <c r="A341" s="14" t="s">
        <v>391</v>
      </c>
      <c r="B341" s="15" t="s">
        <v>4456</v>
      </c>
      <c r="C341" s="16"/>
      <c r="D341" s="15" t="s">
        <v>432</v>
      </c>
      <c r="G341" s="14" t="s">
        <v>393</v>
      </c>
      <c r="H341" s="14" t="s">
        <v>394</v>
      </c>
      <c r="I341" s="14" t="b">
        <v>1</v>
      </c>
      <c r="J341" s="14" t="s">
        <v>395</v>
      </c>
      <c r="L341" s="14" t="b">
        <v>0</v>
      </c>
      <c r="M341" s="15" t="s">
        <v>4457</v>
      </c>
      <c r="N341" s="14" t="s">
        <v>393</v>
      </c>
      <c r="O341" s="14" t="s">
        <v>393</v>
      </c>
      <c r="P341" s="15" t="s">
        <v>397</v>
      </c>
      <c r="Q341" s="15" t="s">
        <v>4458</v>
      </c>
      <c r="T341" s="14" t="b">
        <v>0</v>
      </c>
      <c r="U341" s="15" t="s">
        <v>4459</v>
      </c>
      <c r="V341" s="15" t="s">
        <v>4460</v>
      </c>
      <c r="W341" s="15" t="s">
        <v>401</v>
      </c>
      <c r="X341" s="15" t="s">
        <v>402</v>
      </c>
      <c r="Y341" s="15">
        <v>1911.0</v>
      </c>
      <c r="AA341" s="15" t="str">
        <f>"735"</f>
        <v>735</v>
      </c>
      <c r="AB341" s="14" t="b">
        <v>1</v>
      </c>
      <c r="AC341" s="14" t="b">
        <v>1</v>
      </c>
      <c r="AD341" s="15" t="str">
        <f>"198394059060"</f>
        <v>198394059060</v>
      </c>
      <c r="AE341" s="15" t="s">
        <v>4461</v>
      </c>
      <c r="AF341" s="14" t="s">
        <v>404</v>
      </c>
      <c r="AG341" s="14" t="s">
        <v>405</v>
      </c>
      <c r="AH341" s="14" t="s">
        <v>406</v>
      </c>
      <c r="AI341" s="15">
        <v>0.0</v>
      </c>
      <c r="AL341" s="15" t="s">
        <v>4462</v>
      </c>
      <c r="AM341" s="15" t="s">
        <v>2355</v>
      </c>
      <c r="AN341" s="15" t="s">
        <v>2356</v>
      </c>
      <c r="AO341" s="15" t="s">
        <v>1007</v>
      </c>
      <c r="AP341" s="15" t="s">
        <v>1008</v>
      </c>
      <c r="AQ341" s="15" t="s">
        <v>1175</v>
      </c>
      <c r="AR341" s="15" t="s">
        <v>1176</v>
      </c>
      <c r="AS341" s="15" t="s">
        <v>4463</v>
      </c>
      <c r="AT341" s="15" t="s">
        <v>4458</v>
      </c>
      <c r="AU341" s="15" t="s">
        <v>4464</v>
      </c>
      <c r="AW341" s="15" t="s">
        <v>602</v>
      </c>
      <c r="AY341" s="15" t="s">
        <v>413</v>
      </c>
      <c r="AZ341" s="15" t="b">
        <v>0</v>
      </c>
      <c r="BA341" s="15" t="s">
        <v>413</v>
      </c>
      <c r="BB341" s="15" t="b">
        <v>0</v>
      </c>
      <c r="BC341" s="15" t="s">
        <v>4465</v>
      </c>
      <c r="BD341" s="15" t="s">
        <v>415</v>
      </c>
      <c r="BE341" s="15" t="str">
        <f t="shared" ref="BE341:BE351" si="613">"1"</f>
        <v>1</v>
      </c>
      <c r="BF341" s="15" t="s">
        <v>416</v>
      </c>
      <c r="BG341" s="15" t="str">
        <f>"82.09"</f>
        <v>82.09</v>
      </c>
      <c r="BH341" s="15" t="s">
        <v>4367</v>
      </c>
      <c r="BI341" s="15" t="str">
        <f>"21.46"</f>
        <v>21.46</v>
      </c>
      <c r="BJ341" s="15" t="s">
        <v>1385</v>
      </c>
      <c r="BK341" s="15" t="str">
        <f>"29.92"</f>
        <v>29.92</v>
      </c>
      <c r="BL341" s="15" t="s">
        <v>1321</v>
      </c>
      <c r="BM341" s="15" t="str">
        <f>"145.5"</f>
        <v>145.5</v>
      </c>
      <c r="BN341" s="15" t="s">
        <v>4466</v>
      </c>
      <c r="BQ341" s="15" t="s">
        <v>444</v>
      </c>
      <c r="BS341" s="15" t="s">
        <v>444</v>
      </c>
      <c r="BU341" s="15" t="s">
        <v>444</v>
      </c>
      <c r="BW341" s="15" t="s">
        <v>444</v>
      </c>
      <c r="BZ341" s="15" t="s">
        <v>444</v>
      </c>
      <c r="CB341" s="15" t="s">
        <v>444</v>
      </c>
      <c r="CD341" s="15" t="s">
        <v>444</v>
      </c>
      <c r="CF341" s="15" t="s">
        <v>444</v>
      </c>
      <c r="CI341" s="15" t="s">
        <v>444</v>
      </c>
      <c r="CK341" s="15" t="s">
        <v>444</v>
      </c>
      <c r="CM341" s="15" t="s">
        <v>444</v>
      </c>
      <c r="CO341" s="15" t="s">
        <v>444</v>
      </c>
      <c r="CP341" s="15" t="str">
        <f>"30.51"</f>
        <v>30.51</v>
      </c>
      <c r="CQ341" s="15" t="str">
        <f>"0.864"</f>
        <v>0.864</v>
      </c>
      <c r="CR341" s="15" t="s">
        <v>497</v>
      </c>
      <c r="CV341" s="15" t="s">
        <v>2598</v>
      </c>
      <c r="CW341" s="15" t="s">
        <v>4467</v>
      </c>
      <c r="CX341" s="15" t="s">
        <v>1068</v>
      </c>
      <c r="DC341" s="15" t="str">
        <f>IFERROR(__xludf.DUMMYFUNCTION("""COMPUTED_VALUE"""),"")</f>
        <v/>
      </c>
      <c r="DE341" s="15" t="str">
        <f>IFERROR(__xludf.DUMMYFUNCTION("""COMPUTED_VALUE"""),"")</f>
        <v/>
      </c>
      <c r="DG341" s="15" t="str">
        <f>IFERROR(__xludf.DUMMYFUNCTION("""COMPUTED_VALUE"""),"")</f>
        <v/>
      </c>
      <c r="DL341" s="15" t="str">
        <f>IFERROR(__xludf.DUMMYFUNCTION("""COMPUTED_VALUE"""),"")</f>
        <v/>
      </c>
      <c r="DM341" s="15" t="s">
        <v>444</v>
      </c>
      <c r="DN341" s="15" t="s">
        <v>419</v>
      </c>
      <c r="DO341" s="15">
        <v>0.0</v>
      </c>
      <c r="DP341" s="15" t="s">
        <v>419</v>
      </c>
      <c r="DR341" s="15">
        <v>0.0</v>
      </c>
      <c r="DT341" s="15" t="s">
        <v>1509</v>
      </c>
      <c r="DU341" s="15" t="s">
        <v>610</v>
      </c>
      <c r="DW341" s="15">
        <v>18.14</v>
      </c>
      <c r="DX341" s="15">
        <v>40.0</v>
      </c>
      <c r="DY341" s="15">
        <v>3.0</v>
      </c>
      <c r="EG341" s="15" t="s">
        <v>444</v>
      </c>
      <c r="EH341" s="15" t="s">
        <v>4468</v>
      </c>
      <c r="EK341" s="15" t="s">
        <v>444</v>
      </c>
      <c r="EM341" s="15" t="str">
        <f>IFERROR(__xludf.DUMMYFUNCTION("""COMPUTED_VALUE"""),"")</f>
        <v/>
      </c>
      <c r="EW341" s="15" t="s">
        <v>477</v>
      </c>
      <c r="FL341" s="15" t="s">
        <v>426</v>
      </c>
      <c r="FM341" s="15">
        <v>3.0</v>
      </c>
      <c r="FY341" s="15" t="s">
        <v>4467</v>
      </c>
      <c r="FZ341" s="15" t="s">
        <v>4469</v>
      </c>
      <c r="GA341" s="15" t="s">
        <v>4470</v>
      </c>
      <c r="GB341" s="15" t="s">
        <v>1996</v>
      </c>
      <c r="GC341" s="15" t="s">
        <v>4469</v>
      </c>
      <c r="GD341" s="15" t="s">
        <v>1068</v>
      </c>
      <c r="GF341" s="15" t="s">
        <v>426</v>
      </c>
      <c r="GG341" s="15" t="s">
        <v>785</v>
      </c>
      <c r="GH341" s="15">
        <v>6.0</v>
      </c>
      <c r="GI341" s="15" t="s">
        <v>614</v>
      </c>
      <c r="GJ341" s="15" t="s">
        <v>615</v>
      </c>
      <c r="GL341" s="15" t="s">
        <v>426</v>
      </c>
      <c r="GN341" s="15" t="s">
        <v>616</v>
      </c>
      <c r="HD341" s="15">
        <v>0.0</v>
      </c>
      <c r="HW341" s="15" t="s">
        <v>2464</v>
      </c>
      <c r="IH341" s="15" t="s">
        <v>426</v>
      </c>
    </row>
    <row r="342" ht="15.75" customHeight="1">
      <c r="A342" s="14" t="s">
        <v>391</v>
      </c>
      <c r="B342" s="15" t="s">
        <v>4471</v>
      </c>
      <c r="C342" s="16"/>
      <c r="D342" s="15" t="s">
        <v>432</v>
      </c>
      <c r="G342" s="14" t="s">
        <v>393</v>
      </c>
      <c r="H342" s="14" t="s">
        <v>394</v>
      </c>
      <c r="I342" s="14" t="b">
        <v>1</v>
      </c>
      <c r="J342" s="14" t="s">
        <v>395</v>
      </c>
      <c r="L342" s="14" t="b">
        <v>0</v>
      </c>
      <c r="M342" s="15" t="s">
        <v>4472</v>
      </c>
      <c r="N342" s="14" t="s">
        <v>393</v>
      </c>
      <c r="O342" s="14" t="s">
        <v>393</v>
      </c>
      <c r="P342" s="15" t="s">
        <v>397</v>
      </c>
      <c r="Q342" s="15" t="s">
        <v>4458</v>
      </c>
      <c r="T342" s="14" t="b">
        <v>0</v>
      </c>
      <c r="U342" s="15" t="s">
        <v>4473</v>
      </c>
      <c r="V342" s="15" t="s">
        <v>1436</v>
      </c>
      <c r="W342" s="15" t="s">
        <v>401</v>
      </c>
      <c r="X342" s="15" t="s">
        <v>402</v>
      </c>
      <c r="Y342" s="15">
        <v>884.0</v>
      </c>
      <c r="AA342" s="15" t="str">
        <f>"340"</f>
        <v>340</v>
      </c>
      <c r="AB342" s="14" t="b">
        <v>1</v>
      </c>
      <c r="AC342" s="14" t="b">
        <v>1</v>
      </c>
      <c r="AD342" s="15" t="str">
        <f>"198394018487"</f>
        <v>198394018487</v>
      </c>
      <c r="AE342" s="15" t="s">
        <v>4474</v>
      </c>
      <c r="AF342" s="14" t="s">
        <v>404</v>
      </c>
      <c r="AG342" s="14" t="s">
        <v>405</v>
      </c>
      <c r="AH342" s="14" t="s">
        <v>406</v>
      </c>
      <c r="AI342" s="15">
        <v>0.0</v>
      </c>
      <c r="AL342" s="15" t="s">
        <v>4462</v>
      </c>
      <c r="AM342" s="15" t="s">
        <v>410</v>
      </c>
      <c r="AN342" s="15" t="s">
        <v>439</v>
      </c>
      <c r="AO342" s="15" t="s">
        <v>1007</v>
      </c>
      <c r="AP342" s="15" t="s">
        <v>1008</v>
      </c>
      <c r="AQ342" s="15" t="s">
        <v>1175</v>
      </c>
      <c r="AR342" s="15" t="s">
        <v>1176</v>
      </c>
      <c r="AS342" s="15" t="s">
        <v>4463</v>
      </c>
      <c r="AT342" s="15" t="s">
        <v>4458</v>
      </c>
      <c r="AU342" s="15" t="s">
        <v>4464</v>
      </c>
      <c r="AW342" s="15" t="s">
        <v>628</v>
      </c>
      <c r="AY342" s="15" t="s">
        <v>413</v>
      </c>
      <c r="AZ342" s="15" t="b">
        <v>0</v>
      </c>
      <c r="BA342" s="15" t="s">
        <v>413</v>
      </c>
      <c r="BB342" s="15" t="b">
        <v>0</v>
      </c>
      <c r="BC342" s="15" t="s">
        <v>4475</v>
      </c>
      <c r="BD342" s="15" t="s">
        <v>415</v>
      </c>
      <c r="BE342" s="15" t="str">
        <f t="shared" si="613"/>
        <v>1</v>
      </c>
      <c r="BF342" s="15" t="s">
        <v>416</v>
      </c>
      <c r="BG342" s="15" t="str">
        <f>"36.22"</f>
        <v>36.22</v>
      </c>
      <c r="BH342" s="15" t="s">
        <v>1779</v>
      </c>
      <c r="BI342" s="15" t="str">
        <f>"22.83"</f>
        <v>22.83</v>
      </c>
      <c r="BJ342" s="15" t="s">
        <v>1543</v>
      </c>
      <c r="BK342" s="15" t="str">
        <f>"31.1"</f>
        <v>31.1</v>
      </c>
      <c r="BL342" s="15" t="s">
        <v>1386</v>
      </c>
      <c r="BM342" s="15" t="str">
        <f>"74.96"</f>
        <v>74.96</v>
      </c>
      <c r="BN342" s="15" t="s">
        <v>3559</v>
      </c>
      <c r="BQ342" s="15" t="s">
        <v>444</v>
      </c>
      <c r="BS342" s="15" t="s">
        <v>444</v>
      </c>
      <c r="BU342" s="15" t="s">
        <v>444</v>
      </c>
      <c r="BW342" s="15" t="s">
        <v>444</v>
      </c>
      <c r="BZ342" s="15" t="s">
        <v>444</v>
      </c>
      <c r="CB342" s="15" t="s">
        <v>444</v>
      </c>
      <c r="CD342" s="15" t="s">
        <v>444</v>
      </c>
      <c r="CF342" s="15" t="s">
        <v>444</v>
      </c>
      <c r="CI342" s="15" t="s">
        <v>444</v>
      </c>
      <c r="CK342" s="15" t="s">
        <v>444</v>
      </c>
      <c r="CM342" s="15" t="s">
        <v>444</v>
      </c>
      <c r="CO342" s="15" t="s">
        <v>444</v>
      </c>
      <c r="CP342" s="15" t="str">
        <f>"14.87"</f>
        <v>14.87</v>
      </c>
      <c r="CQ342" s="15" t="str">
        <f>"0.421"</f>
        <v>0.421</v>
      </c>
      <c r="CR342" s="15" t="s">
        <v>465</v>
      </c>
      <c r="CS342" s="15" t="s">
        <v>1065</v>
      </c>
      <c r="CT342" s="15" t="s">
        <v>4469</v>
      </c>
      <c r="CU342" s="15" t="s">
        <v>4476</v>
      </c>
      <c r="CV342" s="15" t="s">
        <v>1065</v>
      </c>
      <c r="CW342" s="15" t="s">
        <v>1373</v>
      </c>
      <c r="CX342" s="15" t="s">
        <v>4476</v>
      </c>
      <c r="DC342" s="15" t="str">
        <f>IFERROR(__xludf.DUMMYFUNCTION("""COMPUTED_VALUE"""),"")</f>
        <v/>
      </c>
      <c r="DE342" s="15" t="str">
        <f>IFERROR(__xludf.DUMMYFUNCTION("""COMPUTED_VALUE"""),"")</f>
        <v/>
      </c>
      <c r="DG342" s="15" t="str">
        <f>IFERROR(__xludf.DUMMYFUNCTION("""COMPUTED_VALUE"""),"")</f>
        <v/>
      </c>
      <c r="DL342" s="15" t="str">
        <f>IFERROR(__xludf.DUMMYFUNCTION("""COMPUTED_VALUE"""),"")</f>
        <v/>
      </c>
      <c r="DM342" s="15" t="s">
        <v>444</v>
      </c>
      <c r="DN342" s="15" t="s">
        <v>418</v>
      </c>
      <c r="DO342" s="15">
        <v>1.0</v>
      </c>
      <c r="DP342" s="15" t="s">
        <v>419</v>
      </c>
      <c r="DR342" s="15">
        <v>1.0</v>
      </c>
      <c r="DS342" s="15" t="s">
        <v>426</v>
      </c>
      <c r="DT342" s="15" t="s">
        <v>1509</v>
      </c>
      <c r="DU342" s="15" t="s">
        <v>421</v>
      </c>
      <c r="DY342" s="15">
        <v>0.0</v>
      </c>
      <c r="EF342" s="15" t="s">
        <v>471</v>
      </c>
      <c r="EG342" s="15" t="s">
        <v>472</v>
      </c>
      <c r="EH342" s="15" t="s">
        <v>4468</v>
      </c>
      <c r="EJ342" s="15" t="s">
        <v>500</v>
      </c>
      <c r="EK342" s="15" t="s">
        <v>501</v>
      </c>
      <c r="EM342" s="15" t="str">
        <f>IFERROR(__xludf.DUMMYFUNCTION("""COMPUTED_VALUE"""),"")</f>
        <v/>
      </c>
      <c r="EW342" s="15" t="s">
        <v>477</v>
      </c>
      <c r="FL342" s="15" t="s">
        <v>426</v>
      </c>
      <c r="FM342" s="15">
        <v>1.0</v>
      </c>
      <c r="GH342" s="15">
        <v>0.0</v>
      </c>
      <c r="GI342" s="15" t="s">
        <v>427</v>
      </c>
      <c r="GO342" s="15" t="s">
        <v>426</v>
      </c>
      <c r="GQ342" s="15" t="s">
        <v>4477</v>
      </c>
      <c r="GS342" s="15" t="s">
        <v>2547</v>
      </c>
      <c r="GU342" s="15" t="s">
        <v>2571</v>
      </c>
      <c r="GW342" s="15" t="s">
        <v>431</v>
      </c>
      <c r="GY342" s="15" t="s">
        <v>764</v>
      </c>
    </row>
    <row r="343" ht="15.75" customHeight="1">
      <c r="A343" s="14" t="s">
        <v>391</v>
      </c>
      <c r="B343" s="15" t="s">
        <v>4478</v>
      </c>
      <c r="C343" s="16"/>
      <c r="D343" s="15" t="s">
        <v>432</v>
      </c>
      <c r="G343" s="14" t="s">
        <v>393</v>
      </c>
      <c r="H343" s="14" t="s">
        <v>394</v>
      </c>
      <c r="I343" s="14" t="b">
        <v>1</v>
      </c>
      <c r="J343" s="14" t="s">
        <v>395</v>
      </c>
      <c r="L343" s="14" t="b">
        <v>0</v>
      </c>
      <c r="M343" s="15" t="s">
        <v>4479</v>
      </c>
      <c r="N343" s="14" t="s">
        <v>393</v>
      </c>
      <c r="O343" s="14" t="s">
        <v>393</v>
      </c>
      <c r="P343" s="15" t="s">
        <v>397</v>
      </c>
      <c r="Q343" s="15" t="s">
        <v>4458</v>
      </c>
      <c r="T343" s="14" t="b">
        <v>0</v>
      </c>
      <c r="U343" s="15" t="s">
        <v>4480</v>
      </c>
      <c r="V343" s="15" t="s">
        <v>3881</v>
      </c>
      <c r="W343" s="15" t="s">
        <v>401</v>
      </c>
      <c r="X343" s="15" t="s">
        <v>402</v>
      </c>
      <c r="Y343" s="15">
        <v>1911.0</v>
      </c>
      <c r="AA343" s="15" t="str">
        <f>"735"</f>
        <v>735</v>
      </c>
      <c r="AB343" s="14" t="b">
        <v>1</v>
      </c>
      <c r="AC343" s="14" t="b">
        <v>1</v>
      </c>
      <c r="AD343" s="15" t="str">
        <f>"198394059053"</f>
        <v>198394059053</v>
      </c>
      <c r="AE343" s="15" t="s">
        <v>4481</v>
      </c>
      <c r="AF343" s="14" t="s">
        <v>404</v>
      </c>
      <c r="AG343" s="14" t="s">
        <v>405</v>
      </c>
      <c r="AH343" s="14" t="s">
        <v>406</v>
      </c>
      <c r="AI343" s="15">
        <v>0.0</v>
      </c>
      <c r="AL343" s="15" t="s">
        <v>4462</v>
      </c>
      <c r="AM343" s="15" t="s">
        <v>2355</v>
      </c>
      <c r="AN343" s="15" t="s">
        <v>2356</v>
      </c>
      <c r="AO343" s="15" t="s">
        <v>1007</v>
      </c>
      <c r="AP343" s="15" t="s">
        <v>1008</v>
      </c>
      <c r="AQ343" s="15" t="s">
        <v>1276</v>
      </c>
      <c r="AR343" s="15" t="s">
        <v>1277</v>
      </c>
      <c r="AS343" s="15" t="s">
        <v>4463</v>
      </c>
      <c r="AT343" s="15" t="s">
        <v>4458</v>
      </c>
      <c r="AU343" s="15" t="s">
        <v>4464</v>
      </c>
      <c r="AW343" s="15" t="s">
        <v>664</v>
      </c>
      <c r="AY343" s="15" t="s">
        <v>413</v>
      </c>
      <c r="AZ343" s="15" t="b">
        <v>0</v>
      </c>
      <c r="BA343" s="15" t="s">
        <v>413</v>
      </c>
      <c r="BB343" s="15" t="b">
        <v>0</v>
      </c>
      <c r="BC343" s="15" t="s">
        <v>4482</v>
      </c>
      <c r="BD343" s="15" t="s">
        <v>415</v>
      </c>
      <c r="BE343" s="15" t="str">
        <f t="shared" si="613"/>
        <v>1</v>
      </c>
      <c r="BF343" s="15" t="s">
        <v>416</v>
      </c>
      <c r="BG343" s="15" t="str">
        <f>"81.89"</f>
        <v>81.89</v>
      </c>
      <c r="BH343" s="15" t="s">
        <v>2358</v>
      </c>
      <c r="BI343" s="15" t="str">
        <f>"21.65"</f>
        <v>21.65</v>
      </c>
      <c r="BJ343" s="15" t="s">
        <v>1506</v>
      </c>
      <c r="BK343" s="15" t="str">
        <f>"34.65"</f>
        <v>34.65</v>
      </c>
      <c r="BL343" s="15" t="s">
        <v>1229</v>
      </c>
      <c r="BM343" s="15" t="str">
        <f>"154.32"</f>
        <v>154.32</v>
      </c>
      <c r="BN343" s="15" t="s">
        <v>2459</v>
      </c>
      <c r="BQ343" s="15" t="s">
        <v>444</v>
      </c>
      <c r="BS343" s="15" t="s">
        <v>444</v>
      </c>
      <c r="BU343" s="15" t="s">
        <v>444</v>
      </c>
      <c r="BW343" s="15" t="s">
        <v>444</v>
      </c>
      <c r="BZ343" s="15" t="s">
        <v>444</v>
      </c>
      <c r="CB343" s="15" t="s">
        <v>444</v>
      </c>
      <c r="CD343" s="15" t="s">
        <v>444</v>
      </c>
      <c r="CF343" s="15" t="s">
        <v>444</v>
      </c>
      <c r="CI343" s="15" t="s">
        <v>444</v>
      </c>
      <c r="CK343" s="15" t="s">
        <v>444</v>
      </c>
      <c r="CM343" s="15" t="s">
        <v>444</v>
      </c>
      <c r="CO343" s="15" t="s">
        <v>444</v>
      </c>
      <c r="CP343" s="15" t="str">
        <f>"35.56"</f>
        <v>35.56</v>
      </c>
      <c r="CQ343" s="15" t="str">
        <f>"1.007"</f>
        <v>1.007</v>
      </c>
      <c r="CR343" s="15" t="s">
        <v>465</v>
      </c>
      <c r="CV343" s="15" t="s">
        <v>2598</v>
      </c>
      <c r="CW343" s="15" t="s">
        <v>2837</v>
      </c>
      <c r="CX343" s="15" t="s">
        <v>3782</v>
      </c>
      <c r="DC343" s="15" t="str">
        <f>IFERROR(__xludf.DUMMYFUNCTION("""COMPUTED_VALUE"""),"")</f>
        <v/>
      </c>
      <c r="DE343" s="15" t="str">
        <f>IFERROR(__xludf.DUMMYFUNCTION("""COMPUTED_VALUE"""),"")</f>
        <v/>
      </c>
      <c r="DG343" s="15" t="str">
        <f>IFERROR(__xludf.DUMMYFUNCTION("""COMPUTED_VALUE"""),"")</f>
        <v/>
      </c>
      <c r="DL343" s="15" t="str">
        <f>IFERROR(__xludf.DUMMYFUNCTION("""COMPUTED_VALUE"""),"")</f>
        <v/>
      </c>
      <c r="DM343" s="15" t="s">
        <v>444</v>
      </c>
      <c r="DN343" s="15" t="s">
        <v>419</v>
      </c>
      <c r="DO343" s="15">
        <v>0.0</v>
      </c>
      <c r="DP343" s="15" t="s">
        <v>419</v>
      </c>
      <c r="DR343" s="15">
        <v>0.0</v>
      </c>
      <c r="DT343" s="15" t="s">
        <v>1509</v>
      </c>
      <c r="DU343" s="15" t="s">
        <v>610</v>
      </c>
      <c r="DW343" s="15">
        <v>18.14</v>
      </c>
      <c r="DX343" s="15">
        <v>40.0</v>
      </c>
      <c r="DY343" s="15">
        <v>2.0</v>
      </c>
      <c r="EG343" s="15" t="s">
        <v>444</v>
      </c>
      <c r="EH343" s="15" t="s">
        <v>4468</v>
      </c>
      <c r="EJ343" s="15" t="s">
        <v>424</v>
      </c>
      <c r="EK343" s="15" t="s">
        <v>446</v>
      </c>
      <c r="EM343" s="15" t="str">
        <f>IFERROR(__xludf.DUMMYFUNCTION("""COMPUTED_VALUE"""),"")</f>
        <v/>
      </c>
      <c r="EW343" s="15" t="s">
        <v>477</v>
      </c>
      <c r="FL343" s="15" t="s">
        <v>426</v>
      </c>
      <c r="FM343" s="15">
        <v>2.0</v>
      </c>
      <c r="FY343" s="15" t="s">
        <v>2837</v>
      </c>
      <c r="FZ343" s="15" t="s">
        <v>4469</v>
      </c>
      <c r="GA343" s="15" t="s">
        <v>467</v>
      </c>
      <c r="GB343" s="15" t="s">
        <v>1996</v>
      </c>
      <c r="GC343" s="15" t="s">
        <v>4469</v>
      </c>
      <c r="GD343" s="15" t="s">
        <v>3782</v>
      </c>
      <c r="GE343" s="15">
        <v>0.0</v>
      </c>
      <c r="GF343" s="15" t="s">
        <v>426</v>
      </c>
      <c r="GG343" s="15" t="s">
        <v>785</v>
      </c>
      <c r="GH343" s="15">
        <v>4.0</v>
      </c>
      <c r="GI343" s="15" t="s">
        <v>614</v>
      </c>
      <c r="GJ343" s="15" t="s">
        <v>615</v>
      </c>
      <c r="GK343" s="15">
        <v>0.0</v>
      </c>
      <c r="GL343" s="15" t="s">
        <v>426</v>
      </c>
      <c r="GN343" s="15" t="s">
        <v>616</v>
      </c>
      <c r="HW343" s="15" t="s">
        <v>714</v>
      </c>
      <c r="IH343" s="15" t="s">
        <v>426</v>
      </c>
    </row>
    <row r="344" ht="15.75" customHeight="1">
      <c r="A344" s="14" t="s">
        <v>391</v>
      </c>
      <c r="B344" s="15" t="s">
        <v>4483</v>
      </c>
      <c r="C344" s="16"/>
      <c r="D344" s="15" t="s">
        <v>432</v>
      </c>
      <c r="G344" s="14" t="s">
        <v>393</v>
      </c>
      <c r="H344" s="14" t="s">
        <v>394</v>
      </c>
      <c r="I344" s="14" t="b">
        <v>1</v>
      </c>
      <c r="J344" s="14" t="s">
        <v>395</v>
      </c>
      <c r="L344" s="14" t="b">
        <v>0</v>
      </c>
      <c r="M344" s="15" t="s">
        <v>4484</v>
      </c>
      <c r="N344" s="14" t="s">
        <v>393</v>
      </c>
      <c r="O344" s="14" t="s">
        <v>393</v>
      </c>
      <c r="P344" s="15" t="s">
        <v>397</v>
      </c>
      <c r="Q344" s="15" t="s">
        <v>2575</v>
      </c>
      <c r="T344" s="14" t="b">
        <v>0</v>
      </c>
      <c r="U344" s="15" t="s">
        <v>4485</v>
      </c>
      <c r="V344" s="15" t="s">
        <v>1200</v>
      </c>
      <c r="W344" s="15" t="s">
        <v>401</v>
      </c>
      <c r="X344" s="15" t="s">
        <v>742</v>
      </c>
      <c r="Y344" s="15">
        <v>2301.0</v>
      </c>
      <c r="AA344" s="15" t="str">
        <f>"885"</f>
        <v>885</v>
      </c>
      <c r="AB344" s="14" t="b">
        <v>1</v>
      </c>
      <c r="AC344" s="14" t="b">
        <v>1</v>
      </c>
      <c r="AD344" s="15" t="str">
        <f>"801542975357"</f>
        <v>801542975357</v>
      </c>
      <c r="AE344" s="15" t="s">
        <v>4486</v>
      </c>
      <c r="AF344" s="14" t="s">
        <v>404</v>
      </c>
      <c r="AG344" s="14" t="s">
        <v>405</v>
      </c>
      <c r="AH344" s="14" t="s">
        <v>406</v>
      </c>
      <c r="AI344" s="15">
        <v>0.0</v>
      </c>
      <c r="AL344" s="15" t="s">
        <v>4487</v>
      </c>
      <c r="AM344" s="15" t="s">
        <v>1203</v>
      </c>
      <c r="AN344" s="15" t="s">
        <v>1204</v>
      </c>
      <c r="AO344" s="15" t="s">
        <v>700</v>
      </c>
      <c r="AP344" s="15" t="s">
        <v>605</v>
      </c>
      <c r="AQ344" s="15" t="s">
        <v>1801</v>
      </c>
      <c r="AR344" s="15" t="s">
        <v>1322</v>
      </c>
      <c r="AS344" s="15" t="s">
        <v>1539</v>
      </c>
      <c r="AT344" s="15" t="s">
        <v>2575</v>
      </c>
      <c r="AU344" s="15" t="s">
        <v>1850</v>
      </c>
      <c r="AV344" s="15" t="s">
        <v>4488</v>
      </c>
      <c r="AW344" s="15" t="s">
        <v>706</v>
      </c>
      <c r="AX344" s="15" t="s">
        <v>707</v>
      </c>
      <c r="AY344" s="15" t="s">
        <v>413</v>
      </c>
      <c r="AZ344" s="15" t="b">
        <v>0</v>
      </c>
      <c r="BA344" s="15" t="s">
        <v>413</v>
      </c>
      <c r="BB344" s="15" t="b">
        <v>0</v>
      </c>
      <c r="BC344" s="15" t="s">
        <v>4489</v>
      </c>
      <c r="BD344" s="15" t="s">
        <v>742</v>
      </c>
      <c r="BE344" s="15" t="str">
        <f t="shared" si="613"/>
        <v>1</v>
      </c>
      <c r="BF344" s="15" t="s">
        <v>4490</v>
      </c>
      <c r="BG344" s="15" t="str">
        <f t="shared" ref="BG344:BG345" si="614">"37.8"</f>
        <v>37.8</v>
      </c>
      <c r="BH344" s="15" t="s">
        <v>756</v>
      </c>
      <c r="BI344" s="15" t="str">
        <f t="shared" ref="BI344:BI345" si="615">"36.81"</f>
        <v>36.81</v>
      </c>
      <c r="BJ344" s="15" t="s">
        <v>3742</v>
      </c>
      <c r="BK344" s="15" t="str">
        <f t="shared" ref="BK344:BK345" si="616">"35.24"</f>
        <v>35.24</v>
      </c>
      <c r="BL344" s="15" t="s">
        <v>4491</v>
      </c>
      <c r="BM344" s="15" t="str">
        <f t="shared" ref="BM344:BM345" si="617">"92.59"</f>
        <v>92.59</v>
      </c>
      <c r="BN344" s="15" t="s">
        <v>3348</v>
      </c>
      <c r="BQ344" s="15" t="s">
        <v>444</v>
      </c>
      <c r="BS344" s="15" t="s">
        <v>444</v>
      </c>
      <c r="BU344" s="15" t="s">
        <v>444</v>
      </c>
      <c r="BW344" s="15" t="s">
        <v>444</v>
      </c>
      <c r="BZ344" s="15" t="s">
        <v>444</v>
      </c>
      <c r="CB344" s="15" t="s">
        <v>444</v>
      </c>
      <c r="CD344" s="15" t="s">
        <v>444</v>
      </c>
      <c r="CF344" s="15" t="s">
        <v>444</v>
      </c>
      <c r="CI344" s="15" t="s">
        <v>444</v>
      </c>
      <c r="CK344" s="15" t="s">
        <v>444</v>
      </c>
      <c r="CM344" s="15" t="s">
        <v>444</v>
      </c>
      <c r="CO344" s="15" t="s">
        <v>444</v>
      </c>
      <c r="CP344" s="15" t="str">
        <f t="shared" ref="CP344:CP345" si="618">"28.36"</f>
        <v>28.36</v>
      </c>
      <c r="CQ344" s="15" t="str">
        <f t="shared" ref="CQ344:CQ345" si="619">"0.803"</f>
        <v>0.803</v>
      </c>
      <c r="CR344" s="15" t="s">
        <v>417</v>
      </c>
      <c r="DB344" s="15" t="s">
        <v>4200</v>
      </c>
      <c r="DC344" s="15" t="str">
        <f>IFERROR(__xludf.DUMMYFUNCTION("""COMPUTED_VALUE"""),"{""value"":22.56,""unit"":""in""}")</f>
        <v>{"value":22.56,"unit":"in"}</v>
      </c>
      <c r="DD344" s="15" t="s">
        <v>4467</v>
      </c>
      <c r="DE344" s="15" t="str">
        <f>IFERROR(__xludf.DUMMYFUNCTION("""COMPUTED_VALUE"""),"{""value"":19.09,""unit"":""in""}")</f>
        <v>{"value":19.09,"unit":"in"}</v>
      </c>
      <c r="DF344" s="15" t="s">
        <v>779</v>
      </c>
      <c r="DG344" s="15" t="str">
        <f>IFERROR(__xludf.DUMMYFUNCTION("""COMPUTED_VALUE"""),"{""value"":20.47,""unit"":""in""}")</f>
        <v>{"value":20.47,"unit":"in"}</v>
      </c>
      <c r="DH344" s="15">
        <v>0.0</v>
      </c>
      <c r="DI344" s="15">
        <v>0.0</v>
      </c>
      <c r="DJ344" s="15" t="s">
        <v>717</v>
      </c>
      <c r="DK344" s="15" t="s">
        <v>718</v>
      </c>
      <c r="DL344" s="15" t="str">
        <f>IFERROR(__xludf.DUMMYFUNCTION("""COMPUTED_VALUE"""),"Vacuum or light brush only. Do not use water or any cleaning products.")</f>
        <v>Vacuum or light brush only. Do not use water or any cleaning products.</v>
      </c>
      <c r="DM344" s="15" t="s">
        <v>719</v>
      </c>
      <c r="DT344" s="15" t="s">
        <v>721</v>
      </c>
      <c r="DU344" s="15" t="s">
        <v>419</v>
      </c>
      <c r="DV344" s="15">
        <v>0.0</v>
      </c>
      <c r="DZ344" s="15">
        <v>0.0</v>
      </c>
      <c r="EA344" s="15" t="s">
        <v>990</v>
      </c>
      <c r="ED344" s="15">
        <v>0.0</v>
      </c>
      <c r="EE344" s="15">
        <v>1.0</v>
      </c>
      <c r="EG344" s="15" t="s">
        <v>444</v>
      </c>
      <c r="EH344" s="15" t="s">
        <v>4492</v>
      </c>
      <c r="EI344" s="15">
        <v>0.0</v>
      </c>
      <c r="EJ344" s="15" t="s">
        <v>726</v>
      </c>
      <c r="EK344" s="15" t="s">
        <v>727</v>
      </c>
      <c r="EL344" s="15" t="s">
        <v>1949</v>
      </c>
      <c r="EM344" s="15" t="str">
        <f>IFERROR(__xludf.DUMMYFUNCTION("""COMPUTED_VALUE"""),"{""value"":27.36,""unit"":""in""}")</f>
        <v>{"value":27.36,"unit":"in"}</v>
      </c>
      <c r="EN344" s="15" t="s">
        <v>985</v>
      </c>
      <c r="EO344" s="15" t="s">
        <v>2346</v>
      </c>
      <c r="ES344" s="15" t="s">
        <v>761</v>
      </c>
      <c r="EW344" s="15" t="s">
        <v>4493</v>
      </c>
      <c r="EY344" s="15" t="s">
        <v>1375</v>
      </c>
      <c r="EZ344" s="15" t="s">
        <v>1425</v>
      </c>
      <c r="FF344" s="15" t="s">
        <v>860</v>
      </c>
      <c r="FO344" s="15" t="s">
        <v>2348</v>
      </c>
      <c r="FP344" s="15" t="s">
        <v>1068</v>
      </c>
      <c r="FQ344" s="15">
        <v>0.0</v>
      </c>
      <c r="FR344" s="15">
        <v>0.0</v>
      </c>
      <c r="FT344" s="15">
        <v>0.0</v>
      </c>
    </row>
    <row r="345" ht="15.75" customHeight="1">
      <c r="A345" s="14" t="s">
        <v>391</v>
      </c>
      <c r="B345" s="15" t="s">
        <v>4483</v>
      </c>
      <c r="C345" s="16"/>
      <c r="D345" s="15" t="s">
        <v>432</v>
      </c>
      <c r="G345" s="14" t="s">
        <v>393</v>
      </c>
      <c r="H345" s="14" t="s">
        <v>394</v>
      </c>
      <c r="I345" s="14" t="b">
        <v>1</v>
      </c>
      <c r="J345" s="14" t="s">
        <v>395</v>
      </c>
      <c r="L345" s="14" t="b">
        <v>0</v>
      </c>
      <c r="M345" s="15" t="s">
        <v>4494</v>
      </c>
      <c r="N345" s="14" t="s">
        <v>393</v>
      </c>
      <c r="O345" s="14" t="s">
        <v>393</v>
      </c>
      <c r="P345" s="15" t="s">
        <v>397</v>
      </c>
      <c r="Q345" s="15" t="s">
        <v>4495</v>
      </c>
      <c r="T345" s="14" t="b">
        <v>0</v>
      </c>
      <c r="U345" s="15" t="s">
        <v>4496</v>
      </c>
      <c r="V345" s="15" t="s">
        <v>1200</v>
      </c>
      <c r="W345" s="15" t="s">
        <v>401</v>
      </c>
      <c r="X345" s="15" t="s">
        <v>742</v>
      </c>
      <c r="Y345" s="15">
        <v>2405.0</v>
      </c>
      <c r="AA345" s="15" t="str">
        <f>"925"</f>
        <v>925</v>
      </c>
      <c r="AB345" s="14" t="b">
        <v>1</v>
      </c>
      <c r="AC345" s="14" t="b">
        <v>1</v>
      </c>
      <c r="AD345" s="15" t="str">
        <f>"801542627287"</f>
        <v>801542627287</v>
      </c>
      <c r="AE345" s="15" t="s">
        <v>4497</v>
      </c>
      <c r="AF345" s="14" t="s">
        <v>404</v>
      </c>
      <c r="AG345" s="14" t="s">
        <v>405</v>
      </c>
      <c r="AH345" s="14" t="s">
        <v>406</v>
      </c>
      <c r="AI345" s="15">
        <v>0.0</v>
      </c>
      <c r="AL345" s="15" t="s">
        <v>4487</v>
      </c>
      <c r="AM345" s="15" t="s">
        <v>1203</v>
      </c>
      <c r="AN345" s="15" t="s">
        <v>1204</v>
      </c>
      <c r="AO345" s="15" t="s">
        <v>700</v>
      </c>
      <c r="AP345" s="15" t="s">
        <v>605</v>
      </c>
      <c r="AQ345" s="15" t="s">
        <v>1801</v>
      </c>
      <c r="AR345" s="15" t="s">
        <v>1322</v>
      </c>
      <c r="AS345" s="15" t="s">
        <v>1539</v>
      </c>
      <c r="AT345" s="15" t="s">
        <v>4495</v>
      </c>
      <c r="AU345" s="15" t="s">
        <v>1850</v>
      </c>
      <c r="AV345" s="15" t="s">
        <v>4488</v>
      </c>
      <c r="AW345" s="15" t="s">
        <v>706</v>
      </c>
      <c r="AX345" s="15" t="s">
        <v>707</v>
      </c>
      <c r="AY345" s="15" t="s">
        <v>413</v>
      </c>
      <c r="AZ345" s="15" t="b">
        <v>0</v>
      </c>
      <c r="BA345" s="15" t="s">
        <v>413</v>
      </c>
      <c r="BB345" s="15" t="b">
        <v>0</v>
      </c>
      <c r="BC345" s="15" t="s">
        <v>4498</v>
      </c>
      <c r="BD345" s="15" t="s">
        <v>742</v>
      </c>
      <c r="BE345" s="15" t="str">
        <f t="shared" si="613"/>
        <v>1</v>
      </c>
      <c r="BF345" s="15" t="s">
        <v>4490</v>
      </c>
      <c r="BG345" s="15" t="str">
        <f t="shared" si="614"/>
        <v>37.8</v>
      </c>
      <c r="BH345" s="15" t="s">
        <v>756</v>
      </c>
      <c r="BI345" s="15" t="str">
        <f t="shared" si="615"/>
        <v>36.81</v>
      </c>
      <c r="BJ345" s="15" t="s">
        <v>3742</v>
      </c>
      <c r="BK345" s="15" t="str">
        <f t="shared" si="616"/>
        <v>35.24</v>
      </c>
      <c r="BL345" s="15" t="s">
        <v>4491</v>
      </c>
      <c r="BM345" s="15" t="str">
        <f t="shared" si="617"/>
        <v>92.59</v>
      </c>
      <c r="BN345" s="15" t="s">
        <v>3348</v>
      </c>
      <c r="BQ345" s="15" t="s">
        <v>444</v>
      </c>
      <c r="BS345" s="15" t="s">
        <v>444</v>
      </c>
      <c r="BU345" s="15" t="s">
        <v>444</v>
      </c>
      <c r="BW345" s="15" t="s">
        <v>444</v>
      </c>
      <c r="BZ345" s="15" t="s">
        <v>444</v>
      </c>
      <c r="CB345" s="15" t="s">
        <v>444</v>
      </c>
      <c r="CD345" s="15" t="s">
        <v>444</v>
      </c>
      <c r="CF345" s="15" t="s">
        <v>444</v>
      </c>
      <c r="CI345" s="15" t="s">
        <v>444</v>
      </c>
      <c r="CK345" s="15" t="s">
        <v>444</v>
      </c>
      <c r="CM345" s="15" t="s">
        <v>444</v>
      </c>
      <c r="CO345" s="15" t="s">
        <v>444</v>
      </c>
      <c r="CP345" s="15" t="str">
        <f t="shared" si="618"/>
        <v>28.36</v>
      </c>
      <c r="CQ345" s="15" t="str">
        <f t="shared" si="619"/>
        <v>0.803</v>
      </c>
      <c r="CR345" s="15" t="s">
        <v>465</v>
      </c>
      <c r="DB345" s="15" t="s">
        <v>4200</v>
      </c>
      <c r="DC345" s="15" t="str">
        <f>IFERROR(__xludf.DUMMYFUNCTION("""COMPUTED_VALUE"""),"{""value"":22.56,""unit"":""in""}")</f>
        <v>{"value":22.56,"unit":"in"}</v>
      </c>
      <c r="DD345" s="15" t="s">
        <v>4467</v>
      </c>
      <c r="DE345" s="15" t="str">
        <f>IFERROR(__xludf.DUMMYFUNCTION("""COMPUTED_VALUE"""),"{""value"":19.09,""unit"":""in""}")</f>
        <v>{"value":19.09,"unit":"in"}</v>
      </c>
      <c r="DF345" s="15" t="s">
        <v>779</v>
      </c>
      <c r="DG345" s="15" t="str">
        <f>IFERROR(__xludf.DUMMYFUNCTION("""COMPUTED_VALUE"""),"{""value"":20.47,""unit"":""in""}")</f>
        <v>{"value":20.47,"unit":"in"}</v>
      </c>
      <c r="DH345" s="15">
        <v>0.0</v>
      </c>
      <c r="DI345" s="15">
        <v>0.0</v>
      </c>
      <c r="DJ345" s="15" t="s">
        <v>717</v>
      </c>
      <c r="DK345" s="15" t="s">
        <v>718</v>
      </c>
      <c r="DL345" s="15" t="str">
        <f>IFERROR(__xludf.DUMMYFUNCTION("""COMPUTED_VALUE"""),"Vacuum or light brush only. Do not use water or any cleaning products.")</f>
        <v>Vacuum or light brush only. Do not use water or any cleaning products.</v>
      </c>
      <c r="DM345" s="15" t="s">
        <v>719</v>
      </c>
      <c r="DT345" s="15" t="s">
        <v>721</v>
      </c>
      <c r="DU345" s="15" t="s">
        <v>419</v>
      </c>
      <c r="DV345" s="15">
        <v>0.0</v>
      </c>
      <c r="DZ345" s="15">
        <v>0.0</v>
      </c>
      <c r="EA345" s="15" t="s">
        <v>990</v>
      </c>
      <c r="ED345" s="15">
        <v>0.0</v>
      </c>
      <c r="EE345" s="15">
        <v>1.0</v>
      </c>
      <c r="EG345" s="15" t="s">
        <v>444</v>
      </c>
      <c r="EH345" s="15" t="s">
        <v>4492</v>
      </c>
      <c r="EI345" s="15">
        <v>0.0</v>
      </c>
      <c r="EJ345" s="15" t="s">
        <v>726</v>
      </c>
      <c r="EK345" s="15" t="s">
        <v>727</v>
      </c>
      <c r="EL345" s="15" t="s">
        <v>1949</v>
      </c>
      <c r="EM345" s="15" t="str">
        <f>IFERROR(__xludf.DUMMYFUNCTION("""COMPUTED_VALUE"""),"{""value"":27.36,""unit"":""in""}")</f>
        <v>{"value":27.36,"unit":"in"}</v>
      </c>
      <c r="EN345" s="15" t="s">
        <v>985</v>
      </c>
      <c r="EO345" s="15" t="s">
        <v>2346</v>
      </c>
      <c r="ES345" s="15" t="s">
        <v>761</v>
      </c>
      <c r="EW345" s="15" t="s">
        <v>4493</v>
      </c>
      <c r="EY345" s="15" t="s">
        <v>1375</v>
      </c>
      <c r="EZ345" s="15" t="s">
        <v>1425</v>
      </c>
      <c r="FF345" s="15" t="s">
        <v>860</v>
      </c>
      <c r="FO345" s="15" t="s">
        <v>2348</v>
      </c>
      <c r="FP345" s="15" t="s">
        <v>1068</v>
      </c>
      <c r="FQ345" s="15">
        <v>0.0</v>
      </c>
      <c r="FR345" s="15">
        <v>0.0</v>
      </c>
      <c r="FT345" s="15">
        <v>0.0</v>
      </c>
    </row>
    <row r="346" ht="15.75" customHeight="1">
      <c r="A346" s="14" t="s">
        <v>391</v>
      </c>
      <c r="B346" s="15" t="s">
        <v>4499</v>
      </c>
      <c r="C346" s="16"/>
      <c r="D346" s="15" t="s">
        <v>432</v>
      </c>
      <c r="G346" s="14" t="s">
        <v>393</v>
      </c>
      <c r="H346" s="14" t="s">
        <v>394</v>
      </c>
      <c r="I346" s="14" t="b">
        <v>1</v>
      </c>
      <c r="J346" s="14" t="s">
        <v>395</v>
      </c>
      <c r="L346" s="14" t="b">
        <v>0</v>
      </c>
      <c r="M346" s="15" t="s">
        <v>4500</v>
      </c>
      <c r="N346" s="14" t="s">
        <v>393</v>
      </c>
      <c r="O346" s="14" t="s">
        <v>393</v>
      </c>
      <c r="P346" s="15" t="s">
        <v>397</v>
      </c>
      <c r="Q346" s="15" t="s">
        <v>4501</v>
      </c>
      <c r="T346" s="14" t="b">
        <v>0</v>
      </c>
      <c r="U346" s="15" t="s">
        <v>4502</v>
      </c>
      <c r="V346" s="15" t="s">
        <v>2426</v>
      </c>
      <c r="W346" s="15" t="s">
        <v>401</v>
      </c>
      <c r="X346" s="15" t="s">
        <v>695</v>
      </c>
      <c r="Y346" s="15">
        <v>2522.0</v>
      </c>
      <c r="AA346" s="15" t="str">
        <f>"970"</f>
        <v>970</v>
      </c>
      <c r="AB346" s="14" t="b">
        <v>1</v>
      </c>
      <c r="AC346" s="14" t="b">
        <v>1</v>
      </c>
      <c r="AD346" s="15" t="str">
        <f>"198394019552"</f>
        <v>198394019552</v>
      </c>
      <c r="AE346" s="15" t="s">
        <v>4503</v>
      </c>
      <c r="AF346" s="14" t="s">
        <v>404</v>
      </c>
      <c r="AG346" s="14" t="s">
        <v>405</v>
      </c>
      <c r="AH346" s="14" t="s">
        <v>406</v>
      </c>
      <c r="AI346" s="15">
        <v>0.0</v>
      </c>
      <c r="AL346" s="15" t="s">
        <v>4504</v>
      </c>
      <c r="AM346" s="15" t="s">
        <v>2151</v>
      </c>
      <c r="AN346" s="15" t="s">
        <v>2152</v>
      </c>
      <c r="AO346" s="15" t="s">
        <v>544</v>
      </c>
      <c r="AP346" s="15" t="s">
        <v>545</v>
      </c>
      <c r="AQ346" s="15" t="s">
        <v>410</v>
      </c>
      <c r="AR346" s="15" t="s">
        <v>439</v>
      </c>
      <c r="AS346" s="15" t="s">
        <v>915</v>
      </c>
      <c r="AT346" s="15" t="s">
        <v>4501</v>
      </c>
      <c r="AU346" s="15" t="s">
        <v>2418</v>
      </c>
      <c r="AW346" s="15" t="s">
        <v>1732</v>
      </c>
      <c r="AY346" s="15" t="s">
        <v>413</v>
      </c>
      <c r="AZ346" s="15" t="b">
        <v>0</v>
      </c>
      <c r="BA346" s="15" t="s">
        <v>426</v>
      </c>
      <c r="BB346" s="15" t="b">
        <v>1</v>
      </c>
      <c r="BC346" s="15" t="s">
        <v>4505</v>
      </c>
      <c r="BD346" s="15" t="s">
        <v>709</v>
      </c>
      <c r="BE346" s="15" t="str">
        <f t="shared" si="613"/>
        <v>1</v>
      </c>
      <c r="BF346" s="15" t="s">
        <v>416</v>
      </c>
      <c r="BG346" s="15" t="str">
        <f t="shared" ref="BG346:BG347" si="620">"85.04"</f>
        <v>85.04</v>
      </c>
      <c r="BH346" s="15" t="s">
        <v>440</v>
      </c>
      <c r="BI346" s="15" t="str">
        <f t="shared" ref="BI346:BI347" si="621">"43.7"</f>
        <v>43.7</v>
      </c>
      <c r="BJ346" s="15" t="s">
        <v>4506</v>
      </c>
      <c r="BK346" s="15" t="str">
        <f t="shared" ref="BK346:BK347" si="622">"21.65"</f>
        <v>21.65</v>
      </c>
      <c r="BL346" s="15" t="s">
        <v>1506</v>
      </c>
      <c r="BM346" s="15" t="str">
        <f t="shared" ref="BM346:BM347" si="623">"158.73"</f>
        <v>158.73</v>
      </c>
      <c r="BN346" s="15" t="s">
        <v>4507</v>
      </c>
      <c r="BQ346" s="15" t="s">
        <v>444</v>
      </c>
      <c r="BS346" s="15" t="s">
        <v>444</v>
      </c>
      <c r="BU346" s="15" t="s">
        <v>444</v>
      </c>
      <c r="BW346" s="15" t="s">
        <v>444</v>
      </c>
      <c r="BZ346" s="15" t="s">
        <v>444</v>
      </c>
      <c r="CB346" s="15" t="s">
        <v>444</v>
      </c>
      <c r="CD346" s="15" t="s">
        <v>444</v>
      </c>
      <c r="CF346" s="15" t="s">
        <v>444</v>
      </c>
      <c r="CI346" s="15" t="s">
        <v>444</v>
      </c>
      <c r="CK346" s="15" t="s">
        <v>444</v>
      </c>
      <c r="CM346" s="15" t="s">
        <v>444</v>
      </c>
      <c r="CO346" s="15" t="s">
        <v>444</v>
      </c>
      <c r="CP346" s="15" t="str">
        <f>"46.54"</f>
        <v>46.54</v>
      </c>
      <c r="CQ346" s="15" t="str">
        <f>"1.318"</f>
        <v>1.318</v>
      </c>
      <c r="CR346" s="15" t="s">
        <v>417</v>
      </c>
      <c r="CY346" s="15" t="s">
        <v>529</v>
      </c>
      <c r="CZ346" s="15" t="s">
        <v>505</v>
      </c>
      <c r="DA346" s="15" t="s">
        <v>2385</v>
      </c>
      <c r="DB346" s="15" t="s">
        <v>1064</v>
      </c>
      <c r="DC346" s="15" t="str">
        <f>IFERROR(__xludf.DUMMYFUNCTION("""COMPUTED_VALUE"""),"{""value"":27.00,""unit"":""in""}")</f>
        <v>{"value":27.00,"unit":"in"}</v>
      </c>
      <c r="DD346" s="15" t="s">
        <v>467</v>
      </c>
      <c r="DE346" s="15" t="str">
        <f>IFERROR(__xludf.DUMMYFUNCTION("""COMPUTED_VALUE"""),"{""value"":19.00,""unit"":""in""}")</f>
        <v>{"value":19.00,"unit":"in"}</v>
      </c>
      <c r="DF346" s="15" t="s">
        <v>4508</v>
      </c>
      <c r="DG346" s="15" t="str">
        <f>IFERROR(__xludf.DUMMYFUNCTION("""COMPUTED_VALUE"""),"{""value"":75.00,""unit"":""in""}")</f>
        <v>{"value":75.00,"unit":"in"}</v>
      </c>
      <c r="DH346" s="15">
        <v>0.0</v>
      </c>
      <c r="DI346" s="15">
        <v>2.0</v>
      </c>
      <c r="DJ346" s="15" t="s">
        <v>717</v>
      </c>
      <c r="DK346" s="15" t="s">
        <v>855</v>
      </c>
      <c r="DL346" s="15" t="str">
        <f>IFERROR(__xludf.DUMMYFUNCTION("""COMPUTED_VALUE"""),"Clean with solvent-based (dry clean only) products. Do not use water.")</f>
        <v>Clean with solvent-based (dry clean only) products. Do not use water.</v>
      </c>
      <c r="DM346" s="15" t="s">
        <v>856</v>
      </c>
      <c r="DQ346" s="15" t="s">
        <v>1066</v>
      </c>
      <c r="DT346" s="15" t="s">
        <v>721</v>
      </c>
      <c r="DU346" s="15" t="s">
        <v>419</v>
      </c>
      <c r="DV346" s="15">
        <v>0.0</v>
      </c>
      <c r="DZ346" s="15">
        <v>30000.0</v>
      </c>
      <c r="EA346" s="15" t="s">
        <v>722</v>
      </c>
      <c r="EB346" s="15" t="s">
        <v>723</v>
      </c>
      <c r="EC346" s="15" t="s">
        <v>724</v>
      </c>
      <c r="ED346" s="15">
        <v>2.0</v>
      </c>
      <c r="EE346" s="15">
        <v>4.0</v>
      </c>
      <c r="EG346" s="15" t="s">
        <v>444</v>
      </c>
      <c r="EH346" s="15" t="s">
        <v>4509</v>
      </c>
      <c r="EI346" s="15">
        <v>0.0</v>
      </c>
      <c r="EJ346" s="15" t="s">
        <v>588</v>
      </c>
      <c r="EK346" s="15" t="s">
        <v>589</v>
      </c>
      <c r="EL346" s="15" t="s">
        <v>1806</v>
      </c>
      <c r="EM346" s="15" t="str">
        <f>IFERROR(__xludf.DUMMYFUNCTION("""COMPUTED_VALUE"""),"{""value"":26.00,""unit"":""in""}")</f>
        <v>{"value":26.00,"unit":"in"}</v>
      </c>
      <c r="EN346" s="15" t="s">
        <v>2116</v>
      </c>
      <c r="EO346" s="15" t="s">
        <v>4510</v>
      </c>
      <c r="ES346" s="15" t="s">
        <v>3305</v>
      </c>
      <c r="ET346" s="15" t="s">
        <v>2116</v>
      </c>
      <c r="EU346" s="15" t="s">
        <v>1213</v>
      </c>
      <c r="EV346" s="15" t="s">
        <v>2385</v>
      </c>
      <c r="EW346" s="15" t="s">
        <v>1235</v>
      </c>
      <c r="EY346" s="15" t="s">
        <v>4511</v>
      </c>
      <c r="EZ346" s="15" t="s">
        <v>2116</v>
      </c>
      <c r="FC346" s="15" t="s">
        <v>723</v>
      </c>
      <c r="FD346" s="15" t="s">
        <v>724</v>
      </c>
      <c r="FE346" s="15" t="s">
        <v>1077</v>
      </c>
      <c r="FF346" s="15" t="s">
        <v>1078</v>
      </c>
      <c r="FG346" s="15" t="s">
        <v>1290</v>
      </c>
    </row>
    <row r="347" ht="15.75" customHeight="1">
      <c r="A347" s="14" t="s">
        <v>391</v>
      </c>
      <c r="B347" s="15" t="s">
        <v>4499</v>
      </c>
      <c r="C347" s="16"/>
      <c r="D347" s="15" t="s">
        <v>432</v>
      </c>
      <c r="G347" s="14" t="s">
        <v>393</v>
      </c>
      <c r="H347" s="14" t="s">
        <v>394</v>
      </c>
      <c r="I347" s="14" t="b">
        <v>1</v>
      </c>
      <c r="J347" s="14" t="s">
        <v>395</v>
      </c>
      <c r="L347" s="14" t="b">
        <v>0</v>
      </c>
      <c r="M347" s="15" t="s">
        <v>4512</v>
      </c>
      <c r="N347" s="14" t="s">
        <v>393</v>
      </c>
      <c r="O347" s="14" t="s">
        <v>393</v>
      </c>
      <c r="P347" s="15" t="s">
        <v>397</v>
      </c>
      <c r="Q347" s="15" t="s">
        <v>2923</v>
      </c>
      <c r="T347" s="14" t="b">
        <v>0</v>
      </c>
      <c r="U347" s="15" t="s">
        <v>4513</v>
      </c>
      <c r="V347" s="15" t="s">
        <v>2426</v>
      </c>
      <c r="W347" s="15" t="s">
        <v>401</v>
      </c>
      <c r="X347" s="15" t="s">
        <v>695</v>
      </c>
      <c r="Y347" s="15">
        <v>2301.0</v>
      </c>
      <c r="AA347" s="15" t="str">
        <f>"885"</f>
        <v>885</v>
      </c>
      <c r="AB347" s="14" t="b">
        <v>1</v>
      </c>
      <c r="AC347" s="14" t="b">
        <v>1</v>
      </c>
      <c r="AD347" s="15" t="str">
        <f>"801542460532"</f>
        <v>801542460532</v>
      </c>
      <c r="AE347" s="15" t="s">
        <v>4514</v>
      </c>
      <c r="AF347" s="14" t="s">
        <v>404</v>
      </c>
      <c r="AG347" s="14" t="s">
        <v>405</v>
      </c>
      <c r="AH347" s="14" t="s">
        <v>406</v>
      </c>
      <c r="AI347" s="15">
        <v>0.0</v>
      </c>
      <c r="AL347" s="15" t="s">
        <v>4515</v>
      </c>
      <c r="AM347" s="15" t="s">
        <v>2151</v>
      </c>
      <c r="AN347" s="15" t="s">
        <v>2152</v>
      </c>
      <c r="AO347" s="15" t="s">
        <v>544</v>
      </c>
      <c r="AP347" s="15" t="s">
        <v>545</v>
      </c>
      <c r="AQ347" s="15" t="s">
        <v>410</v>
      </c>
      <c r="AR347" s="15" t="s">
        <v>439</v>
      </c>
      <c r="AS347" s="15" t="s">
        <v>915</v>
      </c>
      <c r="AT347" s="15" t="s">
        <v>2923</v>
      </c>
      <c r="AU347" s="15" t="s">
        <v>4516</v>
      </c>
      <c r="AW347" s="15" t="s">
        <v>1732</v>
      </c>
      <c r="AY347" s="15" t="s">
        <v>413</v>
      </c>
      <c r="AZ347" s="15" t="b">
        <v>0</v>
      </c>
      <c r="BA347" s="15" t="s">
        <v>426</v>
      </c>
      <c r="BB347" s="15" t="b">
        <v>1</v>
      </c>
      <c r="BC347" s="15" t="s">
        <v>4517</v>
      </c>
      <c r="BD347" s="15" t="s">
        <v>709</v>
      </c>
      <c r="BE347" s="15" t="str">
        <f t="shared" si="613"/>
        <v>1</v>
      </c>
      <c r="BF347" s="15" t="s">
        <v>416</v>
      </c>
      <c r="BG347" s="15" t="str">
        <f t="shared" si="620"/>
        <v>85.04</v>
      </c>
      <c r="BH347" s="15" t="s">
        <v>440</v>
      </c>
      <c r="BI347" s="15" t="str">
        <f t="shared" si="621"/>
        <v>43.7</v>
      </c>
      <c r="BJ347" s="15" t="s">
        <v>4506</v>
      </c>
      <c r="BK347" s="15" t="str">
        <f t="shared" si="622"/>
        <v>21.65</v>
      </c>
      <c r="BL347" s="15" t="s">
        <v>1506</v>
      </c>
      <c r="BM347" s="15" t="str">
        <f t="shared" si="623"/>
        <v>158.73</v>
      </c>
      <c r="BN347" s="15" t="s">
        <v>4507</v>
      </c>
      <c r="BQ347" s="15" t="s">
        <v>444</v>
      </c>
      <c r="BS347" s="15" t="s">
        <v>444</v>
      </c>
      <c r="BU347" s="15" t="s">
        <v>444</v>
      </c>
      <c r="BW347" s="15" t="s">
        <v>444</v>
      </c>
      <c r="BZ347" s="15" t="s">
        <v>444</v>
      </c>
      <c r="CB347" s="15" t="s">
        <v>444</v>
      </c>
      <c r="CD347" s="15" t="s">
        <v>444</v>
      </c>
      <c r="CF347" s="15" t="s">
        <v>444</v>
      </c>
      <c r="CI347" s="15" t="s">
        <v>444</v>
      </c>
      <c r="CK347" s="15" t="s">
        <v>444</v>
      </c>
      <c r="CM347" s="15" t="s">
        <v>444</v>
      </c>
      <c r="CO347" s="15" t="s">
        <v>444</v>
      </c>
      <c r="CP347" s="15" t="str">
        <f>"46.62"</f>
        <v>46.62</v>
      </c>
      <c r="CQ347" s="15" t="str">
        <f>"1.32"</f>
        <v>1.32</v>
      </c>
      <c r="CR347" s="15" t="s">
        <v>497</v>
      </c>
      <c r="CY347" s="15" t="s">
        <v>529</v>
      </c>
      <c r="CZ347" s="15" t="s">
        <v>505</v>
      </c>
      <c r="DA347" s="15" t="s">
        <v>2385</v>
      </c>
      <c r="DB347" s="15" t="s">
        <v>1064</v>
      </c>
      <c r="DC347" s="15" t="str">
        <f>IFERROR(__xludf.DUMMYFUNCTION("""COMPUTED_VALUE"""),"{""value"":27.00,""unit"":""in""}")</f>
        <v>{"value":27.00,"unit":"in"}</v>
      </c>
      <c r="DD347" s="15" t="s">
        <v>467</v>
      </c>
      <c r="DE347" s="15" t="str">
        <f>IFERROR(__xludf.DUMMYFUNCTION("""COMPUTED_VALUE"""),"{""value"":19.00,""unit"":""in""}")</f>
        <v>{"value":19.00,"unit":"in"}</v>
      </c>
      <c r="DF347" s="15" t="s">
        <v>4508</v>
      </c>
      <c r="DG347" s="15" t="str">
        <f>IFERROR(__xludf.DUMMYFUNCTION("""COMPUTED_VALUE"""),"{""value"":75.00,""unit"":""in""}")</f>
        <v>{"value":75.00,"unit":"in"}</v>
      </c>
      <c r="DH347" s="15">
        <v>0.0</v>
      </c>
      <c r="DI347" s="15">
        <v>2.0</v>
      </c>
      <c r="DJ347" s="15" t="s">
        <v>717</v>
      </c>
      <c r="DK347" s="15" t="s">
        <v>855</v>
      </c>
      <c r="DL347" s="15" t="str">
        <f>IFERROR(__xludf.DUMMYFUNCTION("""COMPUTED_VALUE"""),"Clean with solvent-based (dry clean only) products. Do not use water.")</f>
        <v>Clean with solvent-based (dry clean only) products. Do not use water.</v>
      </c>
      <c r="DM347" s="15" t="s">
        <v>856</v>
      </c>
      <c r="DQ347" s="15" t="s">
        <v>1066</v>
      </c>
      <c r="DT347" s="15" t="s">
        <v>721</v>
      </c>
      <c r="DU347" s="15" t="s">
        <v>419</v>
      </c>
      <c r="DV347" s="15">
        <v>0.0</v>
      </c>
      <c r="DZ347" s="15">
        <v>25000.0</v>
      </c>
      <c r="EA347" s="15" t="s">
        <v>722</v>
      </c>
      <c r="EB347" s="15" t="s">
        <v>723</v>
      </c>
      <c r="EC347" s="15" t="s">
        <v>724</v>
      </c>
      <c r="ED347" s="15">
        <v>2.0</v>
      </c>
      <c r="EE347" s="15">
        <v>4.0</v>
      </c>
      <c r="EG347" s="15" t="s">
        <v>444</v>
      </c>
      <c r="EH347" s="15" t="s">
        <v>4509</v>
      </c>
      <c r="EI347" s="15">
        <v>0.0</v>
      </c>
      <c r="EJ347" s="15" t="s">
        <v>588</v>
      </c>
      <c r="EK347" s="15" t="s">
        <v>589</v>
      </c>
      <c r="EL347" s="15" t="s">
        <v>1806</v>
      </c>
      <c r="EM347" s="15" t="str">
        <f>IFERROR(__xludf.DUMMYFUNCTION("""COMPUTED_VALUE"""),"{""value"":26.00,""unit"":""in""}")</f>
        <v>{"value":26.00,"unit":"in"}</v>
      </c>
      <c r="EN347" s="15" t="s">
        <v>2116</v>
      </c>
      <c r="EO347" s="15" t="s">
        <v>4510</v>
      </c>
      <c r="ES347" s="15" t="s">
        <v>3305</v>
      </c>
      <c r="ET347" s="15" t="s">
        <v>2116</v>
      </c>
      <c r="EU347" s="15" t="s">
        <v>1213</v>
      </c>
      <c r="EV347" s="15" t="s">
        <v>2385</v>
      </c>
      <c r="EW347" s="15" t="s">
        <v>1235</v>
      </c>
      <c r="EY347" s="15" t="s">
        <v>4511</v>
      </c>
      <c r="EZ347" s="15" t="s">
        <v>2116</v>
      </c>
      <c r="FC347" s="15" t="s">
        <v>723</v>
      </c>
      <c r="FD347" s="15" t="s">
        <v>724</v>
      </c>
      <c r="FE347" s="15" t="s">
        <v>1077</v>
      </c>
      <c r="FF347" s="15" t="s">
        <v>1078</v>
      </c>
      <c r="FG347" s="15" t="s">
        <v>1290</v>
      </c>
    </row>
    <row r="348" ht="15.75" customHeight="1">
      <c r="A348" s="14" t="s">
        <v>391</v>
      </c>
      <c r="B348" s="15" t="s">
        <v>4518</v>
      </c>
      <c r="C348" s="16"/>
      <c r="D348" s="15" t="s">
        <v>432</v>
      </c>
      <c r="G348" s="14" t="s">
        <v>393</v>
      </c>
      <c r="H348" s="14" t="s">
        <v>394</v>
      </c>
      <c r="I348" s="14" t="b">
        <v>1</v>
      </c>
      <c r="J348" s="14" t="s">
        <v>395</v>
      </c>
      <c r="L348" s="14" t="b">
        <v>0</v>
      </c>
      <c r="M348" s="15" t="s">
        <v>4519</v>
      </c>
      <c r="N348" s="14" t="s">
        <v>393</v>
      </c>
      <c r="O348" s="14" t="s">
        <v>393</v>
      </c>
      <c r="P348" s="15" t="s">
        <v>397</v>
      </c>
      <c r="Q348" s="15" t="s">
        <v>4501</v>
      </c>
      <c r="T348" s="14" t="b">
        <v>0</v>
      </c>
      <c r="U348" s="15" t="s">
        <v>4520</v>
      </c>
      <c r="V348" s="15" t="s">
        <v>1889</v>
      </c>
      <c r="W348" s="15" t="s">
        <v>401</v>
      </c>
      <c r="X348" s="15" t="s">
        <v>695</v>
      </c>
      <c r="Y348" s="15">
        <v>2847.0</v>
      </c>
      <c r="AA348" s="15" t="str">
        <f>"1095"</f>
        <v>1095</v>
      </c>
      <c r="AB348" s="14" t="b">
        <v>1</v>
      </c>
      <c r="AC348" s="14" t="b">
        <v>1</v>
      </c>
      <c r="AD348" s="15" t="str">
        <f>"198394028516"</f>
        <v>198394028516</v>
      </c>
      <c r="AE348" s="15" t="s">
        <v>4521</v>
      </c>
      <c r="AF348" s="14" t="s">
        <v>404</v>
      </c>
      <c r="AG348" s="14" t="s">
        <v>405</v>
      </c>
      <c r="AH348" s="14" t="s">
        <v>406</v>
      </c>
      <c r="AI348" s="15">
        <v>0.0</v>
      </c>
      <c r="AL348" s="15" t="s">
        <v>4504</v>
      </c>
      <c r="AM348" s="15" t="s">
        <v>4522</v>
      </c>
      <c r="AN348" s="15" t="s">
        <v>2998</v>
      </c>
      <c r="AO348" s="15" t="s">
        <v>3614</v>
      </c>
      <c r="AP348" s="15" t="s">
        <v>3615</v>
      </c>
      <c r="AQ348" s="15" t="s">
        <v>4523</v>
      </c>
      <c r="AR348" s="15" t="s">
        <v>4524</v>
      </c>
      <c r="AS348" s="15" t="s">
        <v>915</v>
      </c>
      <c r="AT348" s="15" t="s">
        <v>4501</v>
      </c>
      <c r="AU348" s="15" t="s">
        <v>2418</v>
      </c>
      <c r="AW348" s="15" t="s">
        <v>1226</v>
      </c>
      <c r="AY348" s="15" t="s">
        <v>413</v>
      </c>
      <c r="AZ348" s="15" t="b">
        <v>0</v>
      </c>
      <c r="BA348" s="15" t="s">
        <v>426</v>
      </c>
      <c r="BB348" s="15" t="b">
        <v>1</v>
      </c>
      <c r="BC348" s="15" t="s">
        <v>4525</v>
      </c>
      <c r="BD348" s="15" t="s">
        <v>709</v>
      </c>
      <c r="BE348" s="15" t="str">
        <f t="shared" si="613"/>
        <v>1</v>
      </c>
      <c r="BF348" s="15" t="s">
        <v>416</v>
      </c>
      <c r="BG348" s="15" t="str">
        <f t="shared" ref="BG348:BG349" si="624">"84.65"</f>
        <v>84.65</v>
      </c>
      <c r="BH348" s="15" t="s">
        <v>852</v>
      </c>
      <c r="BI348" s="15" t="str">
        <f t="shared" ref="BI348:BI349" si="625">"48.03"</f>
        <v>48.03</v>
      </c>
      <c r="BJ348" s="15" t="s">
        <v>4526</v>
      </c>
      <c r="BK348" s="15" t="str">
        <f t="shared" ref="BK348:BK349" si="626">"22.44"</f>
        <v>22.44</v>
      </c>
      <c r="BL348" s="15" t="s">
        <v>1156</v>
      </c>
      <c r="BM348" s="15" t="str">
        <f t="shared" ref="BM348:BM349" si="627">"204.15"</f>
        <v>204.15</v>
      </c>
      <c r="BN348" s="15" t="s">
        <v>4527</v>
      </c>
      <c r="BQ348" s="15" t="s">
        <v>444</v>
      </c>
      <c r="BS348" s="15" t="s">
        <v>444</v>
      </c>
      <c r="BU348" s="15" t="s">
        <v>444</v>
      </c>
      <c r="BW348" s="15" t="s">
        <v>444</v>
      </c>
      <c r="BZ348" s="15" t="s">
        <v>444</v>
      </c>
      <c r="CB348" s="15" t="s">
        <v>444</v>
      </c>
      <c r="CD348" s="15" t="s">
        <v>444</v>
      </c>
      <c r="CF348" s="15" t="s">
        <v>444</v>
      </c>
      <c r="CI348" s="15" t="s">
        <v>444</v>
      </c>
      <c r="CK348" s="15" t="s">
        <v>444</v>
      </c>
      <c r="CM348" s="15" t="s">
        <v>444</v>
      </c>
      <c r="CO348" s="15" t="s">
        <v>444</v>
      </c>
      <c r="CP348" s="15" t="str">
        <f t="shared" ref="CP348:CP349" si="628">"52.8"</f>
        <v>52.8</v>
      </c>
      <c r="CQ348" s="15" t="str">
        <f t="shared" ref="CQ348:CQ349" si="629">"1.495"</f>
        <v>1.495</v>
      </c>
      <c r="CR348" s="15" t="s">
        <v>417</v>
      </c>
      <c r="CY348" s="15" t="s">
        <v>4528</v>
      </c>
      <c r="CZ348" s="15" t="s">
        <v>2548</v>
      </c>
      <c r="DA348" s="15" t="s">
        <v>4529</v>
      </c>
      <c r="DB348" s="15" t="s">
        <v>4528</v>
      </c>
      <c r="DC348" s="15" t="str">
        <f>IFERROR(__xludf.DUMMYFUNCTION("""COMPUTED_VALUE"""),"{""value"":47.00,""unit"":""in""}")</f>
        <v>{"value":47.00,"unit":"in"}</v>
      </c>
      <c r="DD348" s="15" t="s">
        <v>1065</v>
      </c>
      <c r="DE348" s="15" t="str">
        <f>IFERROR(__xludf.DUMMYFUNCTION("""COMPUTED_VALUE"""),"{""value"":18.00,""unit"":""in""}")</f>
        <v>{"value":18.00,"unit":"in"}</v>
      </c>
      <c r="DF348" s="15" t="s">
        <v>996</v>
      </c>
      <c r="DG348" s="15" t="str">
        <f>IFERROR(__xludf.DUMMYFUNCTION("""COMPUTED_VALUE"""),"{""value"":45.00,""unit"":""in""}")</f>
        <v>{"value":45.00,"unit":"in"}</v>
      </c>
      <c r="DH348" s="15">
        <v>0.0</v>
      </c>
      <c r="DI348" s="15">
        <v>0.0</v>
      </c>
      <c r="DJ348" s="15" t="s">
        <v>717</v>
      </c>
      <c r="DK348" s="15" t="s">
        <v>855</v>
      </c>
      <c r="DL348" s="15" t="str">
        <f>IFERROR(__xludf.DUMMYFUNCTION("""COMPUTED_VALUE"""),"Clean with solvent-based (dry clean only) products. Do not use water.")</f>
        <v>Clean with solvent-based (dry clean only) products. Do not use water.</v>
      </c>
      <c r="DM348" s="15" t="s">
        <v>856</v>
      </c>
      <c r="DQ348" s="15" t="s">
        <v>3778</v>
      </c>
      <c r="DT348" s="15" t="s">
        <v>721</v>
      </c>
      <c r="DU348" s="15" t="s">
        <v>419</v>
      </c>
      <c r="DV348" s="15">
        <v>2.0</v>
      </c>
      <c r="DZ348" s="15">
        <v>30000.0</v>
      </c>
      <c r="EA348" s="15" t="s">
        <v>990</v>
      </c>
      <c r="EB348" s="15" t="s">
        <v>723</v>
      </c>
      <c r="EC348" s="15" t="s">
        <v>724</v>
      </c>
      <c r="ED348" s="15">
        <v>1.0</v>
      </c>
      <c r="EE348" s="15">
        <v>2.0</v>
      </c>
      <c r="EG348" s="15" t="s">
        <v>444</v>
      </c>
      <c r="EH348" s="15" t="s">
        <v>4509</v>
      </c>
      <c r="EI348" s="15">
        <v>2.0</v>
      </c>
      <c r="EJ348" s="15" t="s">
        <v>1545</v>
      </c>
      <c r="EK348" s="15" t="s">
        <v>1546</v>
      </c>
      <c r="EL348" s="15" t="s">
        <v>3811</v>
      </c>
      <c r="EM348" s="15" t="str">
        <f>IFERROR(__xludf.DUMMYFUNCTION("""COMPUTED_VALUE"""),"{""value"":26.25,""unit"":""in""}")</f>
        <v>{"value":26.25,"unit":"in"}</v>
      </c>
      <c r="EN348" s="15" t="s">
        <v>2805</v>
      </c>
      <c r="EO348" s="15" t="s">
        <v>4530</v>
      </c>
      <c r="ES348" s="15" t="s">
        <v>2548</v>
      </c>
      <c r="EW348" s="15" t="s">
        <v>1235</v>
      </c>
      <c r="EY348" s="15" t="s">
        <v>4531</v>
      </c>
      <c r="FF348" s="15" t="s">
        <v>1290</v>
      </c>
      <c r="FG348" s="15" t="s">
        <v>1076</v>
      </c>
      <c r="FS348" s="15" t="s">
        <v>2436</v>
      </c>
      <c r="JG348" s="15" t="s">
        <v>3332</v>
      </c>
      <c r="JH348" s="15" t="s">
        <v>2116</v>
      </c>
      <c r="JI348" s="15" t="s">
        <v>2116</v>
      </c>
      <c r="JJ348" s="15" t="s">
        <v>2200</v>
      </c>
      <c r="JK348" s="15" t="s">
        <v>426</v>
      </c>
      <c r="JW348" s="15" t="s">
        <v>2116</v>
      </c>
      <c r="JX348" s="15" t="s">
        <v>1211</v>
      </c>
      <c r="JY348" s="15" t="s">
        <v>1211</v>
      </c>
      <c r="KB348" s="15" t="s">
        <v>426</v>
      </c>
    </row>
    <row r="349" ht="15.75" customHeight="1">
      <c r="A349" s="14" t="s">
        <v>391</v>
      </c>
      <c r="B349" s="15" t="s">
        <v>4518</v>
      </c>
      <c r="C349" s="16"/>
      <c r="D349" s="15" t="s">
        <v>432</v>
      </c>
      <c r="G349" s="14" t="s">
        <v>393</v>
      </c>
      <c r="H349" s="14" t="s">
        <v>394</v>
      </c>
      <c r="I349" s="14" t="b">
        <v>1</v>
      </c>
      <c r="J349" s="14" t="s">
        <v>395</v>
      </c>
      <c r="L349" s="14" t="b">
        <v>0</v>
      </c>
      <c r="M349" s="15" t="s">
        <v>4532</v>
      </c>
      <c r="N349" s="14" t="s">
        <v>393</v>
      </c>
      <c r="O349" s="14" t="s">
        <v>393</v>
      </c>
      <c r="P349" s="15" t="s">
        <v>397</v>
      </c>
      <c r="Q349" s="15" t="s">
        <v>2923</v>
      </c>
      <c r="T349" s="14" t="b">
        <v>0</v>
      </c>
      <c r="U349" s="15" t="s">
        <v>4533</v>
      </c>
      <c r="V349" s="15" t="s">
        <v>1889</v>
      </c>
      <c r="W349" s="15" t="s">
        <v>401</v>
      </c>
      <c r="X349" s="15" t="s">
        <v>695</v>
      </c>
      <c r="Y349" s="15">
        <v>2626.0</v>
      </c>
      <c r="AA349" s="15" t="str">
        <f>"1010"</f>
        <v>1010</v>
      </c>
      <c r="AB349" s="14" t="b">
        <v>1</v>
      </c>
      <c r="AC349" s="14" t="b">
        <v>1</v>
      </c>
      <c r="AD349" s="15" t="str">
        <f>"801542262600"</f>
        <v>801542262600</v>
      </c>
      <c r="AE349" s="15" t="s">
        <v>4534</v>
      </c>
      <c r="AF349" s="14" t="s">
        <v>404</v>
      </c>
      <c r="AG349" s="14" t="s">
        <v>405</v>
      </c>
      <c r="AH349" s="14" t="s">
        <v>406</v>
      </c>
      <c r="AI349" s="15">
        <v>0.0</v>
      </c>
      <c r="AL349" s="15" t="s">
        <v>4515</v>
      </c>
      <c r="AM349" s="15" t="s">
        <v>4522</v>
      </c>
      <c r="AN349" s="15" t="s">
        <v>2998</v>
      </c>
      <c r="AO349" s="15" t="s">
        <v>3614</v>
      </c>
      <c r="AP349" s="15" t="s">
        <v>3615</v>
      </c>
      <c r="AQ349" s="15" t="s">
        <v>4523</v>
      </c>
      <c r="AR349" s="15" t="s">
        <v>4524</v>
      </c>
      <c r="AS349" s="15" t="s">
        <v>915</v>
      </c>
      <c r="AT349" s="15" t="s">
        <v>2923</v>
      </c>
      <c r="AU349" s="15" t="s">
        <v>4516</v>
      </c>
      <c r="AW349" s="15" t="s">
        <v>1226</v>
      </c>
      <c r="AY349" s="15" t="s">
        <v>413</v>
      </c>
      <c r="AZ349" s="15" t="b">
        <v>0</v>
      </c>
      <c r="BA349" s="15" t="s">
        <v>426</v>
      </c>
      <c r="BB349" s="15" t="b">
        <v>1</v>
      </c>
      <c r="BC349" s="15" t="s">
        <v>4535</v>
      </c>
      <c r="BD349" s="15" t="s">
        <v>709</v>
      </c>
      <c r="BE349" s="15" t="str">
        <f t="shared" si="613"/>
        <v>1</v>
      </c>
      <c r="BF349" s="15" t="s">
        <v>416</v>
      </c>
      <c r="BG349" s="15" t="str">
        <f t="shared" si="624"/>
        <v>84.65</v>
      </c>
      <c r="BH349" s="15" t="s">
        <v>852</v>
      </c>
      <c r="BI349" s="15" t="str">
        <f t="shared" si="625"/>
        <v>48.03</v>
      </c>
      <c r="BJ349" s="15" t="s">
        <v>4526</v>
      </c>
      <c r="BK349" s="15" t="str">
        <f t="shared" si="626"/>
        <v>22.44</v>
      </c>
      <c r="BL349" s="15" t="s">
        <v>1156</v>
      </c>
      <c r="BM349" s="15" t="str">
        <f t="shared" si="627"/>
        <v>204.15</v>
      </c>
      <c r="BN349" s="15" t="s">
        <v>4527</v>
      </c>
      <c r="BQ349" s="15" t="s">
        <v>444</v>
      </c>
      <c r="BS349" s="15" t="s">
        <v>444</v>
      </c>
      <c r="BU349" s="15" t="s">
        <v>444</v>
      </c>
      <c r="BW349" s="15" t="s">
        <v>444</v>
      </c>
      <c r="BZ349" s="15" t="s">
        <v>444</v>
      </c>
      <c r="CB349" s="15" t="s">
        <v>444</v>
      </c>
      <c r="CD349" s="15" t="s">
        <v>444</v>
      </c>
      <c r="CF349" s="15" t="s">
        <v>444</v>
      </c>
      <c r="CI349" s="15" t="s">
        <v>444</v>
      </c>
      <c r="CK349" s="15" t="s">
        <v>444</v>
      </c>
      <c r="CM349" s="15" t="s">
        <v>444</v>
      </c>
      <c r="CO349" s="15" t="s">
        <v>444</v>
      </c>
      <c r="CP349" s="15" t="str">
        <f t="shared" si="628"/>
        <v>52.8</v>
      </c>
      <c r="CQ349" s="15" t="str">
        <f t="shared" si="629"/>
        <v>1.495</v>
      </c>
      <c r="CR349" s="15" t="s">
        <v>465</v>
      </c>
      <c r="CY349" s="15" t="s">
        <v>4528</v>
      </c>
      <c r="CZ349" s="15" t="s">
        <v>2548</v>
      </c>
      <c r="DA349" s="15" t="s">
        <v>4529</v>
      </c>
      <c r="DB349" s="15" t="s">
        <v>4528</v>
      </c>
      <c r="DC349" s="15" t="str">
        <f>IFERROR(__xludf.DUMMYFUNCTION("""COMPUTED_VALUE"""),"{""value"":47.00,""unit"":""in""}")</f>
        <v>{"value":47.00,"unit":"in"}</v>
      </c>
      <c r="DD349" s="15" t="s">
        <v>1065</v>
      </c>
      <c r="DE349" s="15" t="str">
        <f>IFERROR(__xludf.DUMMYFUNCTION("""COMPUTED_VALUE"""),"{""value"":18.00,""unit"":""in""}")</f>
        <v>{"value":18.00,"unit":"in"}</v>
      </c>
      <c r="DF349" s="15" t="s">
        <v>996</v>
      </c>
      <c r="DG349" s="15" t="str">
        <f>IFERROR(__xludf.DUMMYFUNCTION("""COMPUTED_VALUE"""),"{""value"":45.00,""unit"":""in""}")</f>
        <v>{"value":45.00,"unit":"in"}</v>
      </c>
      <c r="DH349" s="15">
        <v>0.0</v>
      </c>
      <c r="DI349" s="15">
        <v>0.0</v>
      </c>
      <c r="DJ349" s="15" t="s">
        <v>717</v>
      </c>
      <c r="DK349" s="15" t="s">
        <v>855</v>
      </c>
      <c r="DL349" s="15" t="str">
        <f>IFERROR(__xludf.DUMMYFUNCTION("""COMPUTED_VALUE"""),"Clean with solvent-based (dry clean only) products. Do not use water.")</f>
        <v>Clean with solvent-based (dry clean only) products. Do not use water.</v>
      </c>
      <c r="DM349" s="15" t="s">
        <v>856</v>
      </c>
      <c r="DQ349" s="15" t="s">
        <v>3778</v>
      </c>
      <c r="DT349" s="15" t="s">
        <v>721</v>
      </c>
      <c r="DU349" s="15" t="s">
        <v>419</v>
      </c>
      <c r="DV349" s="15">
        <v>2.0</v>
      </c>
      <c r="DZ349" s="15">
        <v>25000.0</v>
      </c>
      <c r="EA349" s="15" t="s">
        <v>990</v>
      </c>
      <c r="EB349" s="15" t="s">
        <v>723</v>
      </c>
      <c r="EC349" s="15" t="s">
        <v>724</v>
      </c>
      <c r="ED349" s="15">
        <v>1.0</v>
      </c>
      <c r="EE349" s="15">
        <v>2.0</v>
      </c>
      <c r="EG349" s="15" t="s">
        <v>444</v>
      </c>
      <c r="EH349" s="15" t="s">
        <v>4509</v>
      </c>
      <c r="EI349" s="15">
        <v>2.0</v>
      </c>
      <c r="EJ349" s="15" t="s">
        <v>1545</v>
      </c>
      <c r="EK349" s="15" t="s">
        <v>1546</v>
      </c>
      <c r="EL349" s="15" t="s">
        <v>3811</v>
      </c>
      <c r="EM349" s="15" t="str">
        <f>IFERROR(__xludf.DUMMYFUNCTION("""COMPUTED_VALUE"""),"{""value"":26.25,""unit"":""in""}")</f>
        <v>{"value":26.25,"unit":"in"}</v>
      </c>
      <c r="EN349" s="15" t="s">
        <v>2805</v>
      </c>
      <c r="EO349" s="15" t="s">
        <v>4530</v>
      </c>
      <c r="ES349" s="15" t="s">
        <v>2548</v>
      </c>
      <c r="EW349" s="15" t="s">
        <v>1235</v>
      </c>
      <c r="EY349" s="15" t="s">
        <v>4531</v>
      </c>
      <c r="FF349" s="15" t="s">
        <v>1290</v>
      </c>
      <c r="FG349" s="15" t="s">
        <v>1076</v>
      </c>
      <c r="FS349" s="15" t="s">
        <v>2436</v>
      </c>
      <c r="JG349" s="15" t="s">
        <v>3332</v>
      </c>
      <c r="JH349" s="15" t="s">
        <v>2116</v>
      </c>
      <c r="JI349" s="15" t="s">
        <v>2116</v>
      </c>
      <c r="JJ349" s="15" t="s">
        <v>2200</v>
      </c>
      <c r="JK349" s="15" t="s">
        <v>426</v>
      </c>
      <c r="JW349" s="15" t="s">
        <v>2116</v>
      </c>
      <c r="JX349" s="15" t="s">
        <v>1211</v>
      </c>
      <c r="JY349" s="15" t="s">
        <v>1211</v>
      </c>
      <c r="KB349" s="15" t="s">
        <v>426</v>
      </c>
    </row>
    <row r="350" ht="15.75" customHeight="1">
      <c r="A350" s="14" t="s">
        <v>391</v>
      </c>
      <c r="B350" s="15" t="s">
        <v>4536</v>
      </c>
      <c r="C350" s="16"/>
      <c r="D350" s="15" t="s">
        <v>432</v>
      </c>
      <c r="G350" s="14" t="s">
        <v>393</v>
      </c>
      <c r="H350" s="14" t="s">
        <v>394</v>
      </c>
      <c r="I350" s="14" t="b">
        <v>1</v>
      </c>
      <c r="J350" s="14" t="s">
        <v>395</v>
      </c>
      <c r="L350" s="14" t="b">
        <v>0</v>
      </c>
      <c r="M350" s="15" t="s">
        <v>4537</v>
      </c>
      <c r="N350" s="14" t="s">
        <v>393</v>
      </c>
      <c r="O350" s="14" t="s">
        <v>393</v>
      </c>
      <c r="P350" s="15" t="s">
        <v>397</v>
      </c>
      <c r="Q350" s="15" t="s">
        <v>4538</v>
      </c>
      <c r="T350" s="14" t="b">
        <v>0</v>
      </c>
      <c r="U350" s="15" t="s">
        <v>4539</v>
      </c>
      <c r="V350" s="15" t="s">
        <v>4540</v>
      </c>
      <c r="W350" s="15" t="s">
        <v>401</v>
      </c>
      <c r="X350" s="15" t="s">
        <v>742</v>
      </c>
      <c r="Y350" s="15">
        <v>1638.0</v>
      </c>
      <c r="AA350" s="15" t="str">
        <f>"630"</f>
        <v>630</v>
      </c>
      <c r="AB350" s="14" t="b">
        <v>1</v>
      </c>
      <c r="AC350" s="14" t="b">
        <v>1</v>
      </c>
      <c r="AD350" s="15" t="str">
        <f>"801542695255"</f>
        <v>801542695255</v>
      </c>
      <c r="AE350" s="15" t="s">
        <v>4541</v>
      </c>
      <c r="AF350" s="14" t="s">
        <v>404</v>
      </c>
      <c r="AG350" s="14" t="s">
        <v>405</v>
      </c>
      <c r="AH350" s="14" t="s">
        <v>406</v>
      </c>
      <c r="AI350" s="15">
        <v>0.0</v>
      </c>
      <c r="AL350" s="15" t="s">
        <v>2689</v>
      </c>
      <c r="AM350" s="15" t="s">
        <v>4542</v>
      </c>
      <c r="AN350" s="15" t="s">
        <v>4543</v>
      </c>
      <c r="AO350" s="15" t="s">
        <v>1892</v>
      </c>
      <c r="AP350" s="15" t="s">
        <v>1893</v>
      </c>
      <c r="AQ350" s="15" t="s">
        <v>546</v>
      </c>
      <c r="AR350" s="15" t="s">
        <v>547</v>
      </c>
      <c r="AS350" s="15" t="s">
        <v>4544</v>
      </c>
      <c r="AT350" s="15" t="s">
        <v>4538</v>
      </c>
      <c r="AW350" s="15" t="s">
        <v>548</v>
      </c>
      <c r="AX350" s="15" t="s">
        <v>549</v>
      </c>
      <c r="AY350" s="15" t="s">
        <v>413</v>
      </c>
      <c r="AZ350" s="15" t="b">
        <v>0</v>
      </c>
      <c r="BA350" s="15" t="s">
        <v>413</v>
      </c>
      <c r="BB350" s="15" t="b">
        <v>0</v>
      </c>
      <c r="BC350" s="15" t="s">
        <v>4545</v>
      </c>
      <c r="BD350" s="15" t="s">
        <v>742</v>
      </c>
      <c r="BE350" s="15" t="str">
        <f t="shared" si="613"/>
        <v>1</v>
      </c>
      <c r="BF350" s="15" t="s">
        <v>416</v>
      </c>
      <c r="BG350" s="15" t="str">
        <f>"67.72"</f>
        <v>67.72</v>
      </c>
      <c r="BH350" s="15" t="s">
        <v>4125</v>
      </c>
      <c r="BI350" s="15" t="str">
        <f>"11.61"</f>
        <v>11.61</v>
      </c>
      <c r="BJ350" s="15" t="s">
        <v>4546</v>
      </c>
      <c r="BK350" s="15" t="str">
        <f t="shared" ref="BK350:BK351" si="630">"43.31"</f>
        <v>43.31</v>
      </c>
      <c r="BL350" s="15" t="s">
        <v>3446</v>
      </c>
      <c r="BM350" s="15" t="str">
        <f>"173.06"</f>
        <v>173.06</v>
      </c>
      <c r="BN350" s="15" t="s">
        <v>4547</v>
      </c>
      <c r="BQ350" s="15" t="s">
        <v>444</v>
      </c>
      <c r="BS350" s="15" t="s">
        <v>444</v>
      </c>
      <c r="BU350" s="15" t="s">
        <v>444</v>
      </c>
      <c r="BW350" s="15" t="s">
        <v>444</v>
      </c>
      <c r="BZ350" s="15" t="s">
        <v>444</v>
      </c>
      <c r="CB350" s="15" t="s">
        <v>444</v>
      </c>
      <c r="CD350" s="15" t="s">
        <v>444</v>
      </c>
      <c r="CF350" s="15" t="s">
        <v>444</v>
      </c>
      <c r="CI350" s="15" t="s">
        <v>444</v>
      </c>
      <c r="CK350" s="15" t="s">
        <v>444</v>
      </c>
      <c r="CM350" s="15" t="s">
        <v>444</v>
      </c>
      <c r="CO350" s="15" t="s">
        <v>444</v>
      </c>
      <c r="CP350" s="15" t="str">
        <f>"19.71"</f>
        <v>19.71</v>
      </c>
      <c r="CQ350" s="15" t="str">
        <f>"0.558"</f>
        <v>0.558</v>
      </c>
      <c r="CR350" s="15" t="s">
        <v>497</v>
      </c>
      <c r="DC350" s="15" t="str">
        <f>IFERROR(__xludf.DUMMYFUNCTION("""COMPUTED_VALUE"""),"")</f>
        <v/>
      </c>
      <c r="DE350" s="15" t="str">
        <f>IFERROR(__xludf.DUMMYFUNCTION("""COMPUTED_VALUE"""),"")</f>
        <v/>
      </c>
      <c r="DG350" s="15" t="str">
        <f>IFERROR(__xludf.DUMMYFUNCTION("""COMPUTED_VALUE"""),"")</f>
        <v/>
      </c>
      <c r="DL350" s="15" t="str">
        <f>IFERROR(__xludf.DUMMYFUNCTION("""COMPUTED_VALUE"""),"")</f>
        <v/>
      </c>
      <c r="DM350" s="15" t="s">
        <v>444</v>
      </c>
      <c r="DN350" s="15" t="s">
        <v>419</v>
      </c>
      <c r="DO350" s="15">
        <v>0.0</v>
      </c>
      <c r="DP350" s="15" t="s">
        <v>419</v>
      </c>
      <c r="DR350" s="15">
        <v>0.0</v>
      </c>
      <c r="DT350" s="15" t="s">
        <v>420</v>
      </c>
      <c r="DU350" s="15" t="s">
        <v>4548</v>
      </c>
      <c r="DW350" s="15">
        <v>0.0</v>
      </c>
      <c r="DX350" s="15">
        <v>0.0</v>
      </c>
      <c r="DY350" s="15">
        <v>0.0</v>
      </c>
      <c r="EE350" s="15">
        <v>10.0</v>
      </c>
      <c r="EF350" s="15" t="s">
        <v>471</v>
      </c>
      <c r="EG350" s="15" t="s">
        <v>472</v>
      </c>
      <c r="EH350" s="15" t="s">
        <v>4549</v>
      </c>
      <c r="EJ350" s="15" t="s">
        <v>424</v>
      </c>
      <c r="EK350" s="15" t="s">
        <v>446</v>
      </c>
      <c r="EM350" s="15" t="str">
        <f>IFERROR(__xludf.DUMMYFUNCTION("""COMPUTED_VALUE"""),"")</f>
        <v/>
      </c>
      <c r="EW350" s="15" t="s">
        <v>3361</v>
      </c>
      <c r="EX350" s="15" t="s">
        <v>4550</v>
      </c>
      <c r="EY350" s="15" t="s">
        <v>4551</v>
      </c>
      <c r="FH350" s="15" t="s">
        <v>1444</v>
      </c>
      <c r="FI350" s="15" t="s">
        <v>4552</v>
      </c>
      <c r="FJ350" s="15" t="s">
        <v>1444</v>
      </c>
      <c r="FK350" s="15" t="s">
        <v>4553</v>
      </c>
      <c r="FL350" s="15" t="s">
        <v>426</v>
      </c>
      <c r="FM350" s="15">
        <v>0.0</v>
      </c>
      <c r="FN350" s="15">
        <v>2.0</v>
      </c>
      <c r="FU350" s="15" t="s">
        <v>4553</v>
      </c>
      <c r="FV350" s="15" t="s">
        <v>3361</v>
      </c>
      <c r="FX350" s="15" t="s">
        <v>559</v>
      </c>
      <c r="KP350" s="15" t="s">
        <v>1120</v>
      </c>
      <c r="KQ350" s="15" t="s">
        <v>4554</v>
      </c>
      <c r="KR350" s="15" t="s">
        <v>4555</v>
      </c>
      <c r="KS350" s="15" t="s">
        <v>4556</v>
      </c>
      <c r="LG350" s="15" t="s">
        <v>426</v>
      </c>
    </row>
    <row r="351" ht="15.75" customHeight="1">
      <c r="A351" s="14" t="s">
        <v>391</v>
      </c>
      <c r="B351" s="15" t="s">
        <v>4557</v>
      </c>
      <c r="C351" s="16"/>
      <c r="D351" s="15" t="s">
        <v>432</v>
      </c>
      <c r="G351" s="14" t="s">
        <v>393</v>
      </c>
      <c r="H351" s="14" t="s">
        <v>394</v>
      </c>
      <c r="I351" s="14" t="b">
        <v>1</v>
      </c>
      <c r="J351" s="14" t="s">
        <v>395</v>
      </c>
      <c r="L351" s="14" t="b">
        <v>0</v>
      </c>
      <c r="M351" s="15" t="s">
        <v>4558</v>
      </c>
      <c r="N351" s="14" t="s">
        <v>393</v>
      </c>
      <c r="O351" s="14" t="s">
        <v>393</v>
      </c>
      <c r="P351" s="15" t="s">
        <v>397</v>
      </c>
      <c r="Q351" s="15" t="s">
        <v>4538</v>
      </c>
      <c r="T351" s="14" t="b">
        <v>0</v>
      </c>
      <c r="U351" s="15" t="s">
        <v>4559</v>
      </c>
      <c r="V351" s="15" t="s">
        <v>2977</v>
      </c>
      <c r="W351" s="15" t="s">
        <v>401</v>
      </c>
      <c r="X351" s="15" t="s">
        <v>742</v>
      </c>
      <c r="Y351" s="15">
        <v>1976.0</v>
      </c>
      <c r="AA351" s="15" t="str">
        <f>"760"</f>
        <v>760</v>
      </c>
      <c r="AB351" s="14" t="b">
        <v>1</v>
      </c>
      <c r="AC351" s="14" t="b">
        <v>1</v>
      </c>
      <c r="AD351" s="15" t="str">
        <f>"801542692452"</f>
        <v>801542692452</v>
      </c>
      <c r="AE351" s="15" t="s">
        <v>4560</v>
      </c>
      <c r="AF351" s="14" t="s">
        <v>404</v>
      </c>
      <c r="AG351" s="14" t="s">
        <v>405</v>
      </c>
      <c r="AH351" s="14" t="s">
        <v>406</v>
      </c>
      <c r="AI351" s="15">
        <v>0.0</v>
      </c>
      <c r="AL351" s="15" t="s">
        <v>2689</v>
      </c>
      <c r="AM351" s="15" t="s">
        <v>4561</v>
      </c>
      <c r="AN351" s="15" t="s">
        <v>4562</v>
      </c>
      <c r="AO351" s="15" t="s">
        <v>626</v>
      </c>
      <c r="AP351" s="15" t="s">
        <v>627</v>
      </c>
      <c r="AQ351" s="15" t="s">
        <v>4244</v>
      </c>
      <c r="AR351" s="15" t="s">
        <v>4245</v>
      </c>
      <c r="AS351" s="15" t="s">
        <v>4544</v>
      </c>
      <c r="AT351" s="15" t="s">
        <v>4538</v>
      </c>
      <c r="AW351" s="15" t="s">
        <v>2891</v>
      </c>
      <c r="AX351" s="15" t="s">
        <v>4563</v>
      </c>
      <c r="AY351" s="15" t="s">
        <v>413</v>
      </c>
      <c r="AZ351" s="15" t="b">
        <v>0</v>
      </c>
      <c r="BA351" s="15" t="s">
        <v>413</v>
      </c>
      <c r="BB351" s="15" t="b">
        <v>0</v>
      </c>
      <c r="BC351" s="15" t="s">
        <v>4564</v>
      </c>
      <c r="BD351" s="15" t="s">
        <v>742</v>
      </c>
      <c r="BE351" s="15" t="str">
        <f t="shared" si="613"/>
        <v>1</v>
      </c>
      <c r="BF351" s="15" t="s">
        <v>416</v>
      </c>
      <c r="BG351" s="15" t="str">
        <f>"78.15"</f>
        <v>78.15</v>
      </c>
      <c r="BH351" s="15" t="s">
        <v>4565</v>
      </c>
      <c r="BI351" s="15" t="str">
        <f>"12.2"</f>
        <v>12.2</v>
      </c>
      <c r="BJ351" s="15" t="s">
        <v>4566</v>
      </c>
      <c r="BK351" s="15" t="str">
        <f t="shared" si="630"/>
        <v>43.31</v>
      </c>
      <c r="BL351" s="15" t="s">
        <v>3446</v>
      </c>
      <c r="BM351" s="15" t="str">
        <f>"166.45"</f>
        <v>166.45</v>
      </c>
      <c r="BN351" s="15" t="s">
        <v>4567</v>
      </c>
      <c r="BQ351" s="15" t="s">
        <v>444</v>
      </c>
      <c r="BS351" s="15" t="s">
        <v>444</v>
      </c>
      <c r="BU351" s="15" t="s">
        <v>444</v>
      </c>
      <c r="BW351" s="15" t="s">
        <v>444</v>
      </c>
      <c r="BZ351" s="15" t="s">
        <v>444</v>
      </c>
      <c r="CB351" s="15" t="s">
        <v>444</v>
      </c>
      <c r="CD351" s="15" t="s">
        <v>444</v>
      </c>
      <c r="CF351" s="15" t="s">
        <v>444</v>
      </c>
      <c r="CI351" s="15" t="s">
        <v>444</v>
      </c>
      <c r="CK351" s="15" t="s">
        <v>444</v>
      </c>
      <c r="CM351" s="15" t="s">
        <v>444</v>
      </c>
      <c r="CO351" s="15" t="s">
        <v>444</v>
      </c>
      <c r="CP351" s="15" t="str">
        <f>"23.91"</f>
        <v>23.91</v>
      </c>
      <c r="CQ351" s="15" t="str">
        <f>"0.677"</f>
        <v>0.677</v>
      </c>
      <c r="CR351" s="15" t="s">
        <v>497</v>
      </c>
      <c r="CV351" s="15" t="s">
        <v>4568</v>
      </c>
      <c r="CW351" s="15" t="s">
        <v>4569</v>
      </c>
      <c r="CX351" s="15" t="s">
        <v>4570</v>
      </c>
      <c r="DC351" s="15" t="str">
        <f>IFERROR(__xludf.DUMMYFUNCTION("""COMPUTED_VALUE"""),"")</f>
        <v/>
      </c>
      <c r="DE351" s="15" t="str">
        <f>IFERROR(__xludf.DUMMYFUNCTION("""COMPUTED_VALUE"""),"")</f>
        <v/>
      </c>
      <c r="DG351" s="15" t="str">
        <f>IFERROR(__xludf.DUMMYFUNCTION("""COMPUTED_VALUE"""),"")</f>
        <v/>
      </c>
      <c r="DL351" s="15" t="str">
        <f>IFERROR(__xludf.DUMMYFUNCTION("""COMPUTED_VALUE"""),"")</f>
        <v/>
      </c>
      <c r="DM351" s="15" t="s">
        <v>444</v>
      </c>
      <c r="DN351" s="15" t="s">
        <v>419</v>
      </c>
      <c r="DO351" s="15">
        <v>0.0</v>
      </c>
      <c r="DP351" s="15" t="s">
        <v>419</v>
      </c>
      <c r="DR351" s="15">
        <v>0.0</v>
      </c>
      <c r="DT351" s="15" t="s">
        <v>420</v>
      </c>
      <c r="DU351" s="15" t="s">
        <v>610</v>
      </c>
      <c r="DW351" s="15">
        <v>18.14</v>
      </c>
      <c r="DX351" s="15">
        <v>40.0</v>
      </c>
      <c r="DY351" s="15">
        <v>1.0</v>
      </c>
      <c r="EF351" s="15" t="s">
        <v>1906</v>
      </c>
      <c r="EG351" s="15" t="s">
        <v>1907</v>
      </c>
      <c r="EH351" s="15" t="s">
        <v>4549</v>
      </c>
      <c r="EK351" s="15" t="s">
        <v>444</v>
      </c>
      <c r="EM351" s="15" t="str">
        <f>IFERROR(__xludf.DUMMYFUNCTION("""COMPUTED_VALUE"""),"")</f>
        <v/>
      </c>
      <c r="EW351" s="15" t="s">
        <v>2050</v>
      </c>
      <c r="FL351" s="15" t="s">
        <v>426</v>
      </c>
      <c r="FM351" s="15">
        <v>1.0</v>
      </c>
      <c r="FY351" s="15" t="s">
        <v>4571</v>
      </c>
      <c r="FZ351" s="15" t="s">
        <v>1517</v>
      </c>
      <c r="GA351" s="15" t="s">
        <v>4441</v>
      </c>
      <c r="GB351" s="15" t="s">
        <v>4568</v>
      </c>
      <c r="GC351" s="15" t="s">
        <v>4572</v>
      </c>
      <c r="GD351" s="15" t="s">
        <v>4570</v>
      </c>
      <c r="GE351" s="15">
        <v>0.0</v>
      </c>
      <c r="GG351" s="15" t="s">
        <v>785</v>
      </c>
      <c r="GH351" s="15">
        <v>2.0</v>
      </c>
      <c r="GI351" s="15" t="s">
        <v>614</v>
      </c>
      <c r="GJ351" s="15" t="s">
        <v>786</v>
      </c>
      <c r="GK351" s="15">
        <v>0.0</v>
      </c>
      <c r="GL351" s="15" t="s">
        <v>426</v>
      </c>
      <c r="GM351" s="15" t="s">
        <v>4573</v>
      </c>
      <c r="GN351" s="15" t="s">
        <v>616</v>
      </c>
      <c r="GP351" s="15">
        <v>0.0</v>
      </c>
      <c r="HW351" s="15" t="s">
        <v>4574</v>
      </c>
      <c r="IH351" s="15" t="s">
        <v>426</v>
      </c>
    </row>
    <row r="352" ht="15.75" customHeight="1">
      <c r="A352" s="14" t="s">
        <v>391</v>
      </c>
      <c r="B352" s="15" t="s">
        <v>4575</v>
      </c>
      <c r="C352" s="16"/>
      <c r="D352" s="15" t="s">
        <v>432</v>
      </c>
      <c r="G352" s="14" t="s">
        <v>393</v>
      </c>
      <c r="H352" s="14" t="s">
        <v>394</v>
      </c>
      <c r="I352" s="14" t="b">
        <v>1</v>
      </c>
      <c r="J352" s="14" t="s">
        <v>395</v>
      </c>
      <c r="L352" s="14" t="b">
        <v>0</v>
      </c>
      <c r="M352" s="15" t="s">
        <v>4576</v>
      </c>
      <c r="N352" s="14" t="s">
        <v>393</v>
      </c>
      <c r="O352" s="14" t="s">
        <v>393</v>
      </c>
      <c r="P352" s="15" t="s">
        <v>397</v>
      </c>
      <c r="Q352" s="15" t="s">
        <v>4577</v>
      </c>
      <c r="T352" s="14" t="b">
        <v>0</v>
      </c>
      <c r="U352" s="15" t="s">
        <v>4578</v>
      </c>
      <c r="V352" s="15" t="s">
        <v>4579</v>
      </c>
      <c r="W352" s="15" t="s">
        <v>401</v>
      </c>
      <c r="X352" s="15" t="s">
        <v>1296</v>
      </c>
      <c r="Y352" s="15">
        <v>2184.0</v>
      </c>
      <c r="AA352" s="15" t="str">
        <f>"840"</f>
        <v>840</v>
      </c>
      <c r="AB352" s="14" t="b">
        <v>1</v>
      </c>
      <c r="AC352" s="14" t="b">
        <v>1</v>
      </c>
      <c r="AD352" s="15" t="str">
        <f>"801542359584"</f>
        <v>801542359584</v>
      </c>
      <c r="AE352" s="15" t="s">
        <v>4580</v>
      </c>
      <c r="AF352" s="14" t="s">
        <v>404</v>
      </c>
      <c r="AG352" s="14" t="s">
        <v>405</v>
      </c>
      <c r="AH352" s="14" t="s">
        <v>406</v>
      </c>
      <c r="AI352" s="15">
        <v>0.0</v>
      </c>
      <c r="AL352" s="15" t="s">
        <v>4581</v>
      </c>
      <c r="AM352" s="15" t="s">
        <v>745</v>
      </c>
      <c r="AN352" s="15" t="s">
        <v>746</v>
      </c>
      <c r="AO352" s="15" t="s">
        <v>600</v>
      </c>
      <c r="AP352" s="15" t="s">
        <v>601</v>
      </c>
      <c r="AQ352" s="15" t="s">
        <v>622</v>
      </c>
      <c r="AR352" s="15" t="s">
        <v>623</v>
      </c>
      <c r="AS352" s="15" t="s">
        <v>2677</v>
      </c>
      <c r="AT352" s="15" t="s">
        <v>4577</v>
      </c>
      <c r="AU352" s="15" t="s">
        <v>4582</v>
      </c>
      <c r="AW352" s="15" t="s">
        <v>548</v>
      </c>
      <c r="AX352" s="15" t="s">
        <v>4583</v>
      </c>
      <c r="AY352" s="15" t="s">
        <v>413</v>
      </c>
      <c r="AZ352" s="15" t="b">
        <v>0</v>
      </c>
      <c r="BA352" s="15" t="s">
        <v>413</v>
      </c>
      <c r="BB352" s="15" t="b">
        <v>0</v>
      </c>
      <c r="BC352" s="15" t="s">
        <v>4584</v>
      </c>
      <c r="BD352" s="15" t="s">
        <v>1303</v>
      </c>
      <c r="BE352" s="15" t="str">
        <f>"2"</f>
        <v>2</v>
      </c>
      <c r="BF352" s="15" t="s">
        <v>1564</v>
      </c>
      <c r="BG352" s="15" t="str">
        <f>"81.5"</f>
        <v>81.5</v>
      </c>
      <c r="BH352" s="15" t="s">
        <v>1422</v>
      </c>
      <c r="BI352" s="15" t="str">
        <f>"8"</f>
        <v>8</v>
      </c>
      <c r="BJ352" s="15" t="s">
        <v>2787</v>
      </c>
      <c r="BK352" s="15" t="str">
        <f>"36"</f>
        <v>36</v>
      </c>
      <c r="BL352" s="15" t="s">
        <v>623</v>
      </c>
      <c r="BM352" s="15" t="str">
        <f>"314.38"</f>
        <v>314.38</v>
      </c>
      <c r="BN352" s="15" t="s">
        <v>4585</v>
      </c>
      <c r="BO352" s="15" t="s">
        <v>4586</v>
      </c>
      <c r="BP352" s="15" t="str">
        <f>"72"</f>
        <v>72</v>
      </c>
      <c r="BQ352" s="15" t="s">
        <v>746</v>
      </c>
      <c r="BR352" s="15" t="str">
        <f>"33"</f>
        <v>33</v>
      </c>
      <c r="BS352" s="15" t="s">
        <v>518</v>
      </c>
      <c r="BT352" s="15" t="str">
        <f>"14.5"</f>
        <v>14.5</v>
      </c>
      <c r="BU352" s="15" t="s">
        <v>4587</v>
      </c>
      <c r="BV352" s="15" t="str">
        <f>"161.27"</f>
        <v>161.27</v>
      </c>
      <c r="BW352" s="15" t="s">
        <v>4588</v>
      </c>
      <c r="BZ352" s="15" t="s">
        <v>444</v>
      </c>
      <c r="CB352" s="15" t="s">
        <v>444</v>
      </c>
      <c r="CD352" s="15" t="s">
        <v>444</v>
      </c>
      <c r="CF352" s="15" t="s">
        <v>444</v>
      </c>
      <c r="CI352" s="15" t="s">
        <v>444</v>
      </c>
      <c r="CK352" s="15" t="s">
        <v>444</v>
      </c>
      <c r="CM352" s="15" t="s">
        <v>444</v>
      </c>
      <c r="CO352" s="15" t="s">
        <v>444</v>
      </c>
      <c r="CP352" s="15" t="str">
        <f>"33.55"</f>
        <v>33.55</v>
      </c>
      <c r="CQ352" s="15" t="str">
        <f>"0.95"</f>
        <v>0.95</v>
      </c>
      <c r="CR352" s="15" t="s">
        <v>465</v>
      </c>
      <c r="DC352" s="15" t="str">
        <f>IFERROR(__xludf.DUMMYFUNCTION("""COMPUTED_VALUE"""),"")</f>
        <v/>
      </c>
      <c r="DE352" s="15" t="str">
        <f>IFERROR(__xludf.DUMMYFUNCTION("""COMPUTED_VALUE"""),"")</f>
        <v/>
      </c>
      <c r="DG352" s="15" t="str">
        <f>IFERROR(__xludf.DUMMYFUNCTION("""COMPUTED_VALUE"""),"")</f>
        <v/>
      </c>
      <c r="DL352" s="15" t="str">
        <f>IFERROR(__xludf.DUMMYFUNCTION("""COMPUTED_VALUE"""),"")</f>
        <v/>
      </c>
      <c r="DM352" s="15" t="s">
        <v>444</v>
      </c>
      <c r="DN352" s="15" t="s">
        <v>4002</v>
      </c>
      <c r="DO352" s="15">
        <v>6.0</v>
      </c>
      <c r="DP352" s="15" t="s">
        <v>2604</v>
      </c>
      <c r="DR352" s="15">
        <v>0.0</v>
      </c>
      <c r="DT352" s="15" t="s">
        <v>1111</v>
      </c>
      <c r="DU352" s="15" t="s">
        <v>421</v>
      </c>
      <c r="DW352" s="15">
        <v>0.0</v>
      </c>
      <c r="DX352" s="15">
        <v>0.0</v>
      </c>
      <c r="DY352" s="15">
        <v>0.0</v>
      </c>
      <c r="EE352" s="15">
        <v>6.0</v>
      </c>
      <c r="EF352" s="15" t="s">
        <v>471</v>
      </c>
      <c r="EG352" s="15" t="s">
        <v>472</v>
      </c>
      <c r="EH352" s="15" t="s">
        <v>4589</v>
      </c>
      <c r="EJ352" s="15" t="s">
        <v>424</v>
      </c>
      <c r="EK352" s="15" t="s">
        <v>446</v>
      </c>
      <c r="EM352" s="15" t="str">
        <f>IFERROR(__xludf.DUMMYFUNCTION("""COMPUTED_VALUE"""),"")</f>
        <v/>
      </c>
      <c r="EW352" s="15" t="s">
        <v>2314</v>
      </c>
      <c r="EY352" s="15" t="s">
        <v>4590</v>
      </c>
      <c r="FH352" s="15" t="s">
        <v>1064</v>
      </c>
      <c r="FI352" s="15" t="s">
        <v>3798</v>
      </c>
      <c r="FJ352" s="15" t="s">
        <v>4591</v>
      </c>
      <c r="FK352" s="15" t="s">
        <v>1188</v>
      </c>
      <c r="FL352" s="15" t="s">
        <v>426</v>
      </c>
      <c r="FM352" s="15">
        <v>0.0</v>
      </c>
      <c r="FV352" s="15" t="s">
        <v>2314</v>
      </c>
      <c r="GQ352" s="15" t="s">
        <v>1238</v>
      </c>
      <c r="GS352" s="15" t="s">
        <v>1236</v>
      </c>
      <c r="GU352" s="15" t="s">
        <v>4592</v>
      </c>
      <c r="GW352" s="15" t="s">
        <v>2604</v>
      </c>
      <c r="GY352" s="15" t="s">
        <v>420</v>
      </c>
      <c r="GZ352" s="15" t="s">
        <v>426</v>
      </c>
      <c r="JF352" s="15" t="s">
        <v>4593</v>
      </c>
    </row>
    <row r="353" ht="15.75" customHeight="1">
      <c r="A353" s="14" t="s">
        <v>391</v>
      </c>
      <c r="B353" s="15" t="s">
        <v>4594</v>
      </c>
      <c r="C353" s="16"/>
      <c r="D353" s="15" t="s">
        <v>432</v>
      </c>
      <c r="G353" s="14" t="s">
        <v>393</v>
      </c>
      <c r="H353" s="14" t="s">
        <v>394</v>
      </c>
      <c r="I353" s="14" t="b">
        <v>1</v>
      </c>
      <c r="J353" s="14" t="s">
        <v>395</v>
      </c>
      <c r="L353" s="14" t="b">
        <v>0</v>
      </c>
      <c r="M353" s="15" t="s">
        <v>4595</v>
      </c>
      <c r="N353" s="14" t="s">
        <v>393</v>
      </c>
      <c r="O353" s="14" t="s">
        <v>393</v>
      </c>
      <c r="P353" s="15" t="s">
        <v>397</v>
      </c>
      <c r="Q353" s="15" t="s">
        <v>4596</v>
      </c>
      <c r="T353" s="14" t="b">
        <v>0</v>
      </c>
      <c r="U353" s="15" t="s">
        <v>4597</v>
      </c>
      <c r="V353" s="15" t="s">
        <v>4598</v>
      </c>
      <c r="W353" s="15" t="s">
        <v>401</v>
      </c>
      <c r="X353" s="15" t="s">
        <v>1296</v>
      </c>
      <c r="Y353" s="15">
        <v>3276.0</v>
      </c>
      <c r="AA353" s="15" t="str">
        <f t="shared" ref="AA353:AA354" si="631">"1260"</f>
        <v>1260</v>
      </c>
      <c r="AB353" s="14" t="b">
        <v>1</v>
      </c>
      <c r="AC353" s="14" t="b">
        <v>1</v>
      </c>
      <c r="AD353" s="15" t="str">
        <f>"801542978952"</f>
        <v>801542978952</v>
      </c>
      <c r="AE353" s="15" t="s">
        <v>4599</v>
      </c>
      <c r="AF353" s="14" t="s">
        <v>404</v>
      </c>
      <c r="AG353" s="14" t="s">
        <v>405</v>
      </c>
      <c r="AH353" s="14" t="s">
        <v>406</v>
      </c>
      <c r="AI353" s="15">
        <v>0.0</v>
      </c>
      <c r="AL353" s="15" t="s">
        <v>2872</v>
      </c>
      <c r="AM353" s="15" t="s">
        <v>452</v>
      </c>
      <c r="AN353" s="15" t="s">
        <v>453</v>
      </c>
      <c r="AO353" s="15" t="s">
        <v>1561</v>
      </c>
      <c r="AP353" s="15" t="s">
        <v>1562</v>
      </c>
      <c r="AQ353" s="15" t="s">
        <v>1203</v>
      </c>
      <c r="AR353" s="15" t="s">
        <v>1204</v>
      </c>
      <c r="AS353" s="15" t="s">
        <v>4600</v>
      </c>
      <c r="AT353" s="15" t="s">
        <v>4596</v>
      </c>
      <c r="AW353" s="15" t="s">
        <v>412</v>
      </c>
      <c r="AY353" s="15" t="s">
        <v>413</v>
      </c>
      <c r="AZ353" s="15" t="b">
        <v>0</v>
      </c>
      <c r="BA353" s="15" t="s">
        <v>413</v>
      </c>
      <c r="BB353" s="15" t="b">
        <v>0</v>
      </c>
      <c r="BC353" s="15" t="s">
        <v>4601</v>
      </c>
      <c r="BD353" s="15" t="s">
        <v>1303</v>
      </c>
      <c r="BE353" s="15" t="str">
        <f t="shared" ref="BE353:BE367" si="632">"1"</f>
        <v>1</v>
      </c>
      <c r="BF353" s="15" t="s">
        <v>416</v>
      </c>
      <c r="BG353" s="15" t="str">
        <f t="shared" ref="BG353:BG354" si="633">"75.5"</f>
        <v>75.5</v>
      </c>
      <c r="BH353" s="15" t="s">
        <v>3371</v>
      </c>
      <c r="BI353" s="15" t="str">
        <f t="shared" ref="BI353:BI354" si="634">"26.5"</f>
        <v>26.5</v>
      </c>
      <c r="BJ353" s="15" t="s">
        <v>1627</v>
      </c>
      <c r="BK353" s="15" t="str">
        <f t="shared" ref="BK353:BK354" si="635">"38"</f>
        <v>38</v>
      </c>
      <c r="BL353" s="15" t="s">
        <v>2373</v>
      </c>
      <c r="BM353" s="15" t="str">
        <f t="shared" ref="BM353:BM354" si="636">"323.3"</f>
        <v>323.3</v>
      </c>
      <c r="BN353" s="15" t="s">
        <v>4602</v>
      </c>
      <c r="BQ353" s="15" t="s">
        <v>444</v>
      </c>
      <c r="BS353" s="15" t="s">
        <v>444</v>
      </c>
      <c r="BU353" s="15" t="s">
        <v>444</v>
      </c>
      <c r="BW353" s="15" t="s">
        <v>444</v>
      </c>
      <c r="BZ353" s="15" t="s">
        <v>444</v>
      </c>
      <c r="CB353" s="15" t="s">
        <v>444</v>
      </c>
      <c r="CD353" s="15" t="s">
        <v>444</v>
      </c>
      <c r="CF353" s="15" t="s">
        <v>444</v>
      </c>
      <c r="CI353" s="15" t="s">
        <v>444</v>
      </c>
      <c r="CK353" s="15" t="s">
        <v>444</v>
      </c>
      <c r="CM353" s="15" t="s">
        <v>444</v>
      </c>
      <c r="CO353" s="15" t="s">
        <v>444</v>
      </c>
      <c r="CP353" s="15" t="str">
        <f t="shared" ref="CP353:CP354" si="637">"44"</f>
        <v>44</v>
      </c>
      <c r="CQ353" s="15" t="str">
        <f t="shared" ref="CQ353:CQ354" si="638">"1.246"</f>
        <v>1.246</v>
      </c>
      <c r="CR353" s="15" t="s">
        <v>497</v>
      </c>
      <c r="DC353" s="15" t="str">
        <f>IFERROR(__xludf.DUMMYFUNCTION("""COMPUTED_VALUE"""),"")</f>
        <v/>
      </c>
      <c r="DE353" s="15" t="str">
        <f>IFERROR(__xludf.DUMMYFUNCTION("""COMPUTED_VALUE"""),"")</f>
        <v/>
      </c>
      <c r="DG353" s="15" t="str">
        <f>IFERROR(__xludf.DUMMYFUNCTION("""COMPUTED_VALUE"""),"")</f>
        <v/>
      </c>
      <c r="DL353" s="15" t="str">
        <f>IFERROR(__xludf.DUMMYFUNCTION("""COMPUTED_VALUE"""),"")</f>
        <v/>
      </c>
      <c r="DM353" s="15" t="s">
        <v>444</v>
      </c>
      <c r="DN353" s="15" t="s">
        <v>1371</v>
      </c>
      <c r="DO353" s="15">
        <v>6.0</v>
      </c>
      <c r="DP353" s="15" t="s">
        <v>2601</v>
      </c>
      <c r="DR353" s="15">
        <v>0.0</v>
      </c>
      <c r="DT353" s="15" t="s">
        <v>1111</v>
      </c>
      <c r="DU353" s="15" t="s">
        <v>421</v>
      </c>
      <c r="DY353" s="15">
        <v>0.0</v>
      </c>
      <c r="EF353" s="15" t="s">
        <v>422</v>
      </c>
      <c r="EG353" s="15" t="s">
        <v>445</v>
      </c>
      <c r="EH353" s="15" t="s">
        <v>4603</v>
      </c>
      <c r="EJ353" s="15" t="s">
        <v>500</v>
      </c>
      <c r="EK353" s="15" t="s">
        <v>501</v>
      </c>
      <c r="EM353" s="15" t="str">
        <f>IFERROR(__xludf.DUMMYFUNCTION("""COMPUTED_VALUE"""),"")</f>
        <v/>
      </c>
      <c r="EW353" s="15" t="s">
        <v>429</v>
      </c>
      <c r="FL353" s="15" t="s">
        <v>426</v>
      </c>
      <c r="FM353" s="15">
        <v>0.0</v>
      </c>
      <c r="GF353" s="15" t="s">
        <v>426</v>
      </c>
      <c r="GH353" s="15">
        <v>0.0</v>
      </c>
      <c r="GI353" s="15" t="s">
        <v>427</v>
      </c>
      <c r="GO353" s="15" t="s">
        <v>426</v>
      </c>
      <c r="GQ353" s="15" t="s">
        <v>1213</v>
      </c>
      <c r="GS353" s="15" t="s">
        <v>2116</v>
      </c>
      <c r="GU353" s="15" t="s">
        <v>2314</v>
      </c>
      <c r="GW353" s="15" t="s">
        <v>431</v>
      </c>
      <c r="GY353" s="15" t="s">
        <v>764</v>
      </c>
      <c r="GZ353" s="15" t="s">
        <v>426</v>
      </c>
    </row>
    <row r="354" ht="15.75" customHeight="1">
      <c r="A354" s="14" t="s">
        <v>391</v>
      </c>
      <c r="B354" s="15" t="s">
        <v>4594</v>
      </c>
      <c r="C354" s="16"/>
      <c r="D354" s="15" t="s">
        <v>432</v>
      </c>
      <c r="G354" s="14" t="s">
        <v>393</v>
      </c>
      <c r="H354" s="14" t="s">
        <v>394</v>
      </c>
      <c r="I354" s="14" t="b">
        <v>1</v>
      </c>
      <c r="J354" s="14" t="s">
        <v>395</v>
      </c>
      <c r="L354" s="14" t="b">
        <v>0</v>
      </c>
      <c r="M354" s="15" t="s">
        <v>4604</v>
      </c>
      <c r="N354" s="14" t="s">
        <v>393</v>
      </c>
      <c r="O354" s="14" t="s">
        <v>393</v>
      </c>
      <c r="P354" s="15" t="s">
        <v>397</v>
      </c>
      <c r="Q354" s="15" t="s">
        <v>4605</v>
      </c>
      <c r="T354" s="14" t="b">
        <v>0</v>
      </c>
      <c r="U354" s="15" t="s">
        <v>4606</v>
      </c>
      <c r="V354" s="15" t="s">
        <v>4598</v>
      </c>
      <c r="W354" s="15" t="s">
        <v>401</v>
      </c>
      <c r="X354" s="15" t="s">
        <v>1296</v>
      </c>
      <c r="Y354" s="15">
        <v>3276.0</v>
      </c>
      <c r="AA354" s="15" t="str">
        <f t="shared" si="631"/>
        <v>1260</v>
      </c>
      <c r="AB354" s="14" t="b">
        <v>1</v>
      </c>
      <c r="AC354" s="14" t="b">
        <v>1</v>
      </c>
      <c r="AD354" s="15" t="str">
        <f>"801542919535"</f>
        <v>801542919535</v>
      </c>
      <c r="AE354" s="15" t="s">
        <v>4607</v>
      </c>
      <c r="AF354" s="14" t="s">
        <v>404</v>
      </c>
      <c r="AG354" s="14" t="s">
        <v>405</v>
      </c>
      <c r="AH354" s="14" t="s">
        <v>406</v>
      </c>
      <c r="AI354" s="15">
        <v>0.0</v>
      </c>
      <c r="AL354" s="15" t="s">
        <v>2872</v>
      </c>
      <c r="AM354" s="15" t="s">
        <v>452</v>
      </c>
      <c r="AN354" s="15" t="s">
        <v>453</v>
      </c>
      <c r="AO354" s="15" t="s">
        <v>1561</v>
      </c>
      <c r="AP354" s="15" t="s">
        <v>1562</v>
      </c>
      <c r="AQ354" s="15" t="s">
        <v>1203</v>
      </c>
      <c r="AR354" s="15" t="s">
        <v>1204</v>
      </c>
      <c r="AS354" s="15" t="s">
        <v>4600</v>
      </c>
      <c r="AT354" s="15" t="s">
        <v>4605</v>
      </c>
      <c r="AW354" s="15" t="s">
        <v>412</v>
      </c>
      <c r="AY354" s="15" t="s">
        <v>413</v>
      </c>
      <c r="AZ354" s="15" t="b">
        <v>0</v>
      </c>
      <c r="BA354" s="15" t="s">
        <v>413</v>
      </c>
      <c r="BB354" s="15" t="b">
        <v>0</v>
      </c>
      <c r="BC354" s="15" t="s">
        <v>4608</v>
      </c>
      <c r="BD354" s="15" t="s">
        <v>1303</v>
      </c>
      <c r="BE354" s="15" t="str">
        <f t="shared" si="632"/>
        <v>1</v>
      </c>
      <c r="BF354" s="15" t="s">
        <v>416</v>
      </c>
      <c r="BG354" s="15" t="str">
        <f t="shared" si="633"/>
        <v>75.5</v>
      </c>
      <c r="BH354" s="15" t="s">
        <v>3371</v>
      </c>
      <c r="BI354" s="15" t="str">
        <f t="shared" si="634"/>
        <v>26.5</v>
      </c>
      <c r="BJ354" s="15" t="s">
        <v>1627</v>
      </c>
      <c r="BK354" s="15" t="str">
        <f t="shared" si="635"/>
        <v>38</v>
      </c>
      <c r="BL354" s="15" t="s">
        <v>2373</v>
      </c>
      <c r="BM354" s="15" t="str">
        <f t="shared" si="636"/>
        <v>323.3</v>
      </c>
      <c r="BN354" s="15" t="s">
        <v>4602</v>
      </c>
      <c r="BQ354" s="15" t="s">
        <v>444</v>
      </c>
      <c r="BS354" s="15" t="s">
        <v>444</v>
      </c>
      <c r="BU354" s="15" t="s">
        <v>444</v>
      </c>
      <c r="BW354" s="15" t="s">
        <v>444</v>
      </c>
      <c r="BZ354" s="15" t="s">
        <v>444</v>
      </c>
      <c r="CB354" s="15" t="s">
        <v>444</v>
      </c>
      <c r="CD354" s="15" t="s">
        <v>444</v>
      </c>
      <c r="CF354" s="15" t="s">
        <v>444</v>
      </c>
      <c r="CI354" s="15" t="s">
        <v>444</v>
      </c>
      <c r="CK354" s="15" t="s">
        <v>444</v>
      </c>
      <c r="CM354" s="15" t="s">
        <v>444</v>
      </c>
      <c r="CO354" s="15" t="s">
        <v>444</v>
      </c>
      <c r="CP354" s="15" t="str">
        <f t="shared" si="637"/>
        <v>44</v>
      </c>
      <c r="CQ354" s="15" t="str">
        <f t="shared" si="638"/>
        <v>1.246</v>
      </c>
      <c r="CR354" s="15" t="s">
        <v>417</v>
      </c>
      <c r="DC354" s="15" t="str">
        <f>IFERROR(__xludf.DUMMYFUNCTION("""COMPUTED_VALUE"""),"")</f>
        <v/>
      </c>
      <c r="DE354" s="15" t="str">
        <f>IFERROR(__xludf.DUMMYFUNCTION("""COMPUTED_VALUE"""),"")</f>
        <v/>
      </c>
      <c r="DG354" s="15" t="str">
        <f>IFERROR(__xludf.DUMMYFUNCTION("""COMPUTED_VALUE"""),"")</f>
        <v/>
      </c>
      <c r="DL354" s="15" t="str">
        <f>IFERROR(__xludf.DUMMYFUNCTION("""COMPUTED_VALUE"""),"")</f>
        <v/>
      </c>
      <c r="DM354" s="15" t="s">
        <v>444</v>
      </c>
      <c r="DN354" s="15" t="s">
        <v>1371</v>
      </c>
      <c r="DO354" s="15">
        <v>6.0</v>
      </c>
      <c r="DP354" s="15" t="s">
        <v>2601</v>
      </c>
      <c r="DR354" s="15">
        <v>0.0</v>
      </c>
      <c r="DT354" s="15" t="s">
        <v>1111</v>
      </c>
      <c r="DU354" s="15" t="s">
        <v>421</v>
      </c>
      <c r="DY354" s="15">
        <v>0.0</v>
      </c>
      <c r="EF354" s="15" t="s">
        <v>422</v>
      </c>
      <c r="EG354" s="15" t="s">
        <v>445</v>
      </c>
      <c r="EH354" s="15" t="s">
        <v>4603</v>
      </c>
      <c r="EJ354" s="15" t="s">
        <v>500</v>
      </c>
      <c r="EK354" s="15" t="s">
        <v>501</v>
      </c>
      <c r="EM354" s="15" t="str">
        <f>IFERROR(__xludf.DUMMYFUNCTION("""COMPUTED_VALUE"""),"")</f>
        <v/>
      </c>
      <c r="EW354" s="15" t="s">
        <v>429</v>
      </c>
      <c r="FL354" s="15" t="s">
        <v>426</v>
      </c>
      <c r="FM354" s="15">
        <v>0.0</v>
      </c>
      <c r="GF354" s="15" t="s">
        <v>426</v>
      </c>
      <c r="GH354" s="15">
        <v>0.0</v>
      </c>
      <c r="GI354" s="15" t="s">
        <v>427</v>
      </c>
      <c r="GO354" s="15" t="s">
        <v>426</v>
      </c>
      <c r="GQ354" s="15" t="s">
        <v>1213</v>
      </c>
      <c r="GS354" s="15" t="s">
        <v>2116</v>
      </c>
      <c r="GU354" s="15" t="s">
        <v>2314</v>
      </c>
      <c r="GW354" s="15" t="s">
        <v>431</v>
      </c>
      <c r="GY354" s="15" t="s">
        <v>764</v>
      </c>
      <c r="GZ354" s="15" t="s">
        <v>426</v>
      </c>
    </row>
    <row r="355" ht="15.75" customHeight="1">
      <c r="A355" s="14" t="s">
        <v>391</v>
      </c>
      <c r="B355" s="15" t="s">
        <v>4609</v>
      </c>
      <c r="C355" s="16"/>
      <c r="D355" s="15" t="s">
        <v>432</v>
      </c>
      <c r="G355" s="14" t="s">
        <v>393</v>
      </c>
      <c r="H355" s="14" t="s">
        <v>394</v>
      </c>
      <c r="I355" s="14" t="b">
        <v>1</v>
      </c>
      <c r="J355" s="14" t="s">
        <v>395</v>
      </c>
      <c r="L355" s="14" t="b">
        <v>0</v>
      </c>
      <c r="M355" s="15" t="s">
        <v>4610</v>
      </c>
      <c r="N355" s="14" t="s">
        <v>393</v>
      </c>
      <c r="O355" s="14" t="s">
        <v>393</v>
      </c>
      <c r="P355" s="15" t="s">
        <v>397</v>
      </c>
      <c r="Q355" s="15" t="s">
        <v>3541</v>
      </c>
      <c r="T355" s="14" t="b">
        <v>0</v>
      </c>
      <c r="U355" s="15" t="s">
        <v>4611</v>
      </c>
      <c r="V355" s="15" t="s">
        <v>4612</v>
      </c>
      <c r="W355" s="15" t="s">
        <v>401</v>
      </c>
      <c r="X355" s="15" t="s">
        <v>1296</v>
      </c>
      <c r="Y355" s="15">
        <v>3497.0</v>
      </c>
      <c r="AA355" s="15" t="str">
        <f>"1345"</f>
        <v>1345</v>
      </c>
      <c r="AB355" s="14" t="b">
        <v>1</v>
      </c>
      <c r="AC355" s="14" t="b">
        <v>1</v>
      </c>
      <c r="AD355" s="15" t="str">
        <f>"801542347185"</f>
        <v>801542347185</v>
      </c>
      <c r="AE355" s="15" t="s">
        <v>4613</v>
      </c>
      <c r="AF355" s="14" t="s">
        <v>404</v>
      </c>
      <c r="AG355" s="14" t="s">
        <v>405</v>
      </c>
      <c r="AH355" s="14" t="s">
        <v>406</v>
      </c>
      <c r="AI355" s="15">
        <v>0.0</v>
      </c>
      <c r="AL355" s="15" t="s">
        <v>2872</v>
      </c>
      <c r="AM355" s="15" t="s">
        <v>4614</v>
      </c>
      <c r="AN355" s="15" t="s">
        <v>4615</v>
      </c>
      <c r="AO355" s="15" t="s">
        <v>1007</v>
      </c>
      <c r="AP355" s="15" t="s">
        <v>1008</v>
      </c>
      <c r="AQ355" s="15" t="s">
        <v>3273</v>
      </c>
      <c r="AR355" s="15" t="s">
        <v>3274</v>
      </c>
      <c r="AS355" s="15" t="s">
        <v>4600</v>
      </c>
      <c r="AT355" s="15" t="s">
        <v>3541</v>
      </c>
      <c r="AW355" s="15" t="s">
        <v>2891</v>
      </c>
      <c r="AX355" s="15" t="s">
        <v>4563</v>
      </c>
      <c r="AY355" s="15" t="s">
        <v>413</v>
      </c>
      <c r="AZ355" s="15" t="b">
        <v>0</v>
      </c>
      <c r="BA355" s="15" t="s">
        <v>413</v>
      </c>
      <c r="BB355" s="15" t="b">
        <v>0</v>
      </c>
      <c r="BC355" s="15" t="s">
        <v>4616</v>
      </c>
      <c r="BD355" s="15" t="s">
        <v>1303</v>
      </c>
      <c r="BE355" s="15" t="str">
        <f t="shared" si="632"/>
        <v>1</v>
      </c>
      <c r="BF355" s="15" t="s">
        <v>416</v>
      </c>
      <c r="BG355" s="15" t="str">
        <f>"81"</f>
        <v>81</v>
      </c>
      <c r="BH355" s="15" t="s">
        <v>2998</v>
      </c>
      <c r="BI355" s="15" t="str">
        <f>"23.75"</f>
        <v>23.75</v>
      </c>
      <c r="BJ355" s="15" t="s">
        <v>3992</v>
      </c>
      <c r="BK355" s="15" t="str">
        <f>"49"</f>
        <v>49</v>
      </c>
      <c r="BL355" s="15" t="s">
        <v>2397</v>
      </c>
      <c r="BM355" s="15" t="str">
        <f>"304.68"</f>
        <v>304.68</v>
      </c>
      <c r="BN355" s="15" t="s">
        <v>4617</v>
      </c>
      <c r="BQ355" s="15" t="s">
        <v>444</v>
      </c>
      <c r="BS355" s="15" t="s">
        <v>444</v>
      </c>
      <c r="BU355" s="15" t="s">
        <v>444</v>
      </c>
      <c r="BW355" s="15" t="s">
        <v>444</v>
      </c>
      <c r="BZ355" s="15" t="s">
        <v>444</v>
      </c>
      <c r="CB355" s="15" t="s">
        <v>444</v>
      </c>
      <c r="CD355" s="15" t="s">
        <v>444</v>
      </c>
      <c r="CF355" s="15" t="s">
        <v>444</v>
      </c>
      <c r="CI355" s="15" t="s">
        <v>444</v>
      </c>
      <c r="CK355" s="15" t="s">
        <v>444</v>
      </c>
      <c r="CM355" s="15" t="s">
        <v>444</v>
      </c>
      <c r="CO355" s="15" t="s">
        <v>444</v>
      </c>
      <c r="CP355" s="15" t="str">
        <f>"54.56"</f>
        <v>54.56</v>
      </c>
      <c r="CQ355" s="15" t="str">
        <f>"1.545"</f>
        <v>1.545</v>
      </c>
      <c r="CR355" s="15" t="s">
        <v>465</v>
      </c>
      <c r="CV355" s="15" t="s">
        <v>1213</v>
      </c>
      <c r="CW355" s="15" t="s">
        <v>651</v>
      </c>
      <c r="CX355" s="15" t="s">
        <v>1038</v>
      </c>
      <c r="DC355" s="15" t="str">
        <f>IFERROR(__xludf.DUMMYFUNCTION("""COMPUTED_VALUE"""),"")</f>
        <v/>
      </c>
      <c r="DE355" s="15" t="str">
        <f>IFERROR(__xludf.DUMMYFUNCTION("""COMPUTED_VALUE"""),"")</f>
        <v/>
      </c>
      <c r="DG355" s="15" t="str">
        <f>IFERROR(__xludf.DUMMYFUNCTION("""COMPUTED_VALUE"""),"")</f>
        <v/>
      </c>
      <c r="DL355" s="15" t="str">
        <f>IFERROR(__xludf.DUMMYFUNCTION("""COMPUTED_VALUE"""),"")</f>
        <v/>
      </c>
      <c r="DM355" s="15" t="s">
        <v>444</v>
      </c>
      <c r="DN355" s="15" t="s">
        <v>419</v>
      </c>
      <c r="DO355" s="15">
        <v>0.0</v>
      </c>
      <c r="DP355" s="15" t="s">
        <v>419</v>
      </c>
      <c r="DR355" s="15">
        <v>0.0</v>
      </c>
      <c r="DT355" s="15" t="s">
        <v>1111</v>
      </c>
      <c r="DU355" s="15" t="s">
        <v>610</v>
      </c>
      <c r="DW355" s="15">
        <v>18.14</v>
      </c>
      <c r="DX355" s="15">
        <v>40.0</v>
      </c>
      <c r="DY355" s="15">
        <v>2.0</v>
      </c>
      <c r="EF355" s="15" t="s">
        <v>1906</v>
      </c>
      <c r="EG355" s="15" t="s">
        <v>1907</v>
      </c>
      <c r="EH355" s="15" t="s">
        <v>4603</v>
      </c>
      <c r="EK355" s="15" t="s">
        <v>444</v>
      </c>
      <c r="EM355" s="15" t="str">
        <f>IFERROR(__xludf.DUMMYFUNCTION("""COMPUTED_VALUE"""),"")</f>
        <v/>
      </c>
      <c r="EW355" s="15" t="s">
        <v>1236</v>
      </c>
      <c r="FL355" s="15" t="s">
        <v>426</v>
      </c>
      <c r="FM355" s="15">
        <v>1.0</v>
      </c>
      <c r="FY355" s="15" t="s">
        <v>651</v>
      </c>
      <c r="FZ355" s="15" t="s">
        <v>612</v>
      </c>
      <c r="GA355" s="15" t="s">
        <v>2312</v>
      </c>
      <c r="GB355" s="15" t="s">
        <v>2618</v>
      </c>
      <c r="GC355" s="15" t="s">
        <v>1188</v>
      </c>
      <c r="GD355" s="15" t="s">
        <v>1038</v>
      </c>
      <c r="GE355" s="15">
        <v>0.0</v>
      </c>
      <c r="GG355" s="15" t="s">
        <v>1883</v>
      </c>
      <c r="GH355" s="15">
        <v>2.0</v>
      </c>
      <c r="GI355" s="15" t="s">
        <v>614</v>
      </c>
      <c r="GJ355" s="15" t="s">
        <v>615</v>
      </c>
      <c r="GK355" s="15">
        <v>0.0</v>
      </c>
      <c r="GL355" s="15" t="s">
        <v>426</v>
      </c>
      <c r="GM355" s="15" t="s">
        <v>4573</v>
      </c>
      <c r="GN355" s="15" t="s">
        <v>616</v>
      </c>
      <c r="GP355" s="15">
        <v>0.0</v>
      </c>
    </row>
    <row r="356" ht="15.75" customHeight="1">
      <c r="A356" s="14" t="s">
        <v>391</v>
      </c>
      <c r="B356" s="15" t="s">
        <v>4618</v>
      </c>
      <c r="C356" s="16"/>
      <c r="D356" s="15" t="s">
        <v>432</v>
      </c>
      <c r="G356" s="14" t="s">
        <v>393</v>
      </c>
      <c r="H356" s="14" t="s">
        <v>394</v>
      </c>
      <c r="I356" s="14" t="b">
        <v>1</v>
      </c>
      <c r="J356" s="14" t="s">
        <v>395</v>
      </c>
      <c r="L356" s="14" t="b">
        <v>0</v>
      </c>
      <c r="M356" s="15" t="s">
        <v>4619</v>
      </c>
      <c r="N356" s="14" t="s">
        <v>393</v>
      </c>
      <c r="O356" s="14" t="s">
        <v>393</v>
      </c>
      <c r="P356" s="15" t="s">
        <v>397</v>
      </c>
      <c r="Q356" s="15" t="s">
        <v>3541</v>
      </c>
      <c r="T356" s="14" t="b">
        <v>0</v>
      </c>
      <c r="U356" s="15" t="s">
        <v>4620</v>
      </c>
      <c r="V356" s="15" t="s">
        <v>4621</v>
      </c>
      <c r="W356" s="15" t="s">
        <v>401</v>
      </c>
      <c r="X356" s="15" t="s">
        <v>1296</v>
      </c>
      <c r="Y356" s="15">
        <v>1430.0</v>
      </c>
      <c r="AA356" s="15" t="str">
        <f t="shared" ref="AA356:AA357" si="639">"550"</f>
        <v>550</v>
      </c>
      <c r="AB356" s="14" t="b">
        <v>1</v>
      </c>
      <c r="AC356" s="14" t="b">
        <v>1</v>
      </c>
      <c r="AD356" s="15" t="str">
        <f>"801542978969"</f>
        <v>801542978969</v>
      </c>
      <c r="AE356" s="15" t="s">
        <v>4622</v>
      </c>
      <c r="AF356" s="14" t="s">
        <v>404</v>
      </c>
      <c r="AG356" s="14" t="s">
        <v>405</v>
      </c>
      <c r="AH356" s="14" t="s">
        <v>406</v>
      </c>
      <c r="AI356" s="15">
        <v>0.0</v>
      </c>
      <c r="AL356" s="15" t="s">
        <v>2872</v>
      </c>
      <c r="AM356" s="15" t="s">
        <v>410</v>
      </c>
      <c r="AN356" s="15" t="s">
        <v>439</v>
      </c>
      <c r="AO356" s="15" t="s">
        <v>409</v>
      </c>
      <c r="AP356" s="15" t="s">
        <v>438</v>
      </c>
      <c r="AQ356" s="15" t="s">
        <v>2213</v>
      </c>
      <c r="AR356" s="15" t="s">
        <v>2214</v>
      </c>
      <c r="AS356" s="15" t="s">
        <v>4600</v>
      </c>
      <c r="AT356" s="15" t="s">
        <v>3541</v>
      </c>
      <c r="AU356" s="15" t="s">
        <v>4596</v>
      </c>
      <c r="AW356" s="15" t="s">
        <v>628</v>
      </c>
      <c r="AY356" s="15" t="s">
        <v>413</v>
      </c>
      <c r="AZ356" s="15" t="b">
        <v>0</v>
      </c>
      <c r="BA356" s="15" t="s">
        <v>413</v>
      </c>
      <c r="BB356" s="15" t="b">
        <v>0</v>
      </c>
      <c r="BC356" s="15" t="s">
        <v>4623</v>
      </c>
      <c r="BD356" s="15" t="s">
        <v>1303</v>
      </c>
      <c r="BE356" s="15" t="str">
        <f t="shared" si="632"/>
        <v>1</v>
      </c>
      <c r="BF356" s="15" t="s">
        <v>416</v>
      </c>
      <c r="BG356" s="15" t="str">
        <f t="shared" ref="BG356:BG357" si="640">"35.5"</f>
        <v>35.5</v>
      </c>
      <c r="BH356" s="15" t="s">
        <v>914</v>
      </c>
      <c r="BI356" s="15" t="str">
        <f t="shared" ref="BI356:BI357" si="641">"24"</f>
        <v>24</v>
      </c>
      <c r="BJ356" s="15" t="s">
        <v>1178</v>
      </c>
      <c r="BK356" s="15" t="str">
        <f t="shared" ref="BK356:BK357" si="642">"29"</f>
        <v>29</v>
      </c>
      <c r="BL356" s="15" t="s">
        <v>1275</v>
      </c>
      <c r="BM356" s="15" t="str">
        <f t="shared" ref="BM356:BM357" si="643">"109.67"</f>
        <v>109.67</v>
      </c>
      <c r="BN356" s="15" t="s">
        <v>4624</v>
      </c>
      <c r="BQ356" s="15" t="s">
        <v>444</v>
      </c>
      <c r="BS356" s="15" t="s">
        <v>444</v>
      </c>
      <c r="BU356" s="15" t="s">
        <v>444</v>
      </c>
      <c r="BW356" s="15" t="s">
        <v>444</v>
      </c>
      <c r="BZ356" s="15" t="s">
        <v>444</v>
      </c>
      <c r="CB356" s="15" t="s">
        <v>444</v>
      </c>
      <c r="CD356" s="15" t="s">
        <v>444</v>
      </c>
      <c r="CF356" s="15" t="s">
        <v>444</v>
      </c>
      <c r="CI356" s="15" t="s">
        <v>444</v>
      </c>
      <c r="CK356" s="15" t="s">
        <v>444</v>
      </c>
      <c r="CM356" s="15" t="s">
        <v>444</v>
      </c>
      <c r="CO356" s="15" t="s">
        <v>444</v>
      </c>
      <c r="CP356" s="15" t="str">
        <f t="shared" ref="CP356:CP357" si="644">"14.3"</f>
        <v>14.3</v>
      </c>
      <c r="CQ356" s="15" t="str">
        <f t="shared" ref="CQ356:CQ357" si="645">"0.405"</f>
        <v>0.405</v>
      </c>
      <c r="CR356" s="15" t="s">
        <v>497</v>
      </c>
      <c r="DC356" s="15" t="str">
        <f>IFERROR(__xludf.DUMMYFUNCTION("""COMPUTED_VALUE"""),"")</f>
        <v/>
      </c>
      <c r="DE356" s="15" t="str">
        <f>IFERROR(__xludf.DUMMYFUNCTION("""COMPUTED_VALUE"""),"")</f>
        <v/>
      </c>
      <c r="DG356" s="15" t="str">
        <f>IFERROR(__xludf.DUMMYFUNCTION("""COMPUTED_VALUE"""),"")</f>
        <v/>
      </c>
      <c r="DL356" s="15" t="str">
        <f>IFERROR(__xludf.DUMMYFUNCTION("""COMPUTED_VALUE"""),"")</f>
        <v/>
      </c>
      <c r="DM356" s="15" t="s">
        <v>444</v>
      </c>
      <c r="DN356" s="15" t="s">
        <v>1371</v>
      </c>
      <c r="DO356" s="15">
        <v>2.0</v>
      </c>
      <c r="DP356" s="15" t="s">
        <v>2601</v>
      </c>
      <c r="DR356" s="15">
        <v>0.0</v>
      </c>
      <c r="DT356" s="15" t="s">
        <v>420</v>
      </c>
      <c r="DU356" s="15" t="s">
        <v>421</v>
      </c>
      <c r="DY356" s="15">
        <v>0.0</v>
      </c>
      <c r="EF356" s="15" t="s">
        <v>471</v>
      </c>
      <c r="EG356" s="15" t="s">
        <v>472</v>
      </c>
      <c r="EH356" s="15" t="s">
        <v>4603</v>
      </c>
      <c r="EJ356" s="15" t="s">
        <v>500</v>
      </c>
      <c r="EK356" s="15" t="s">
        <v>501</v>
      </c>
      <c r="EM356" s="15" t="str">
        <f>IFERROR(__xludf.DUMMYFUNCTION("""COMPUTED_VALUE"""),"")</f>
        <v/>
      </c>
      <c r="EW356" s="15" t="s">
        <v>429</v>
      </c>
      <c r="FL356" s="15" t="s">
        <v>426</v>
      </c>
      <c r="FM356" s="15">
        <v>0.0</v>
      </c>
      <c r="GH356" s="15">
        <v>0.0</v>
      </c>
      <c r="GI356" s="15" t="s">
        <v>427</v>
      </c>
      <c r="GO356" s="15" t="s">
        <v>426</v>
      </c>
      <c r="GQ356" s="15" t="s">
        <v>1160</v>
      </c>
      <c r="GS356" s="15" t="s">
        <v>2116</v>
      </c>
      <c r="GU356" s="15" t="s">
        <v>555</v>
      </c>
      <c r="GW356" s="15" t="s">
        <v>431</v>
      </c>
      <c r="GY356" s="15" t="s">
        <v>420</v>
      </c>
      <c r="GZ356" s="15" t="s">
        <v>426</v>
      </c>
    </row>
    <row r="357" ht="15.75" customHeight="1">
      <c r="A357" s="14" t="s">
        <v>391</v>
      </c>
      <c r="B357" s="15" t="s">
        <v>4618</v>
      </c>
      <c r="C357" s="16"/>
      <c r="D357" s="15" t="s">
        <v>432</v>
      </c>
      <c r="G357" s="14" t="s">
        <v>393</v>
      </c>
      <c r="H357" s="14" t="s">
        <v>394</v>
      </c>
      <c r="I357" s="14" t="b">
        <v>1</v>
      </c>
      <c r="J357" s="14" t="s">
        <v>395</v>
      </c>
      <c r="L357" s="14" t="b">
        <v>0</v>
      </c>
      <c r="M357" s="15" t="s">
        <v>4625</v>
      </c>
      <c r="N357" s="14" t="s">
        <v>393</v>
      </c>
      <c r="O357" s="14" t="s">
        <v>393</v>
      </c>
      <c r="P357" s="15" t="s">
        <v>397</v>
      </c>
      <c r="Q357" s="15" t="s">
        <v>4626</v>
      </c>
      <c r="T357" s="14" t="b">
        <v>0</v>
      </c>
      <c r="U357" s="15" t="s">
        <v>4627</v>
      </c>
      <c r="V357" s="15" t="s">
        <v>4621</v>
      </c>
      <c r="W357" s="15" t="s">
        <v>401</v>
      </c>
      <c r="X357" s="15" t="s">
        <v>1296</v>
      </c>
      <c r="Y357" s="15">
        <v>1430.0</v>
      </c>
      <c r="AA357" s="15" t="str">
        <f t="shared" si="639"/>
        <v>550</v>
      </c>
      <c r="AB357" s="14" t="b">
        <v>1</v>
      </c>
      <c r="AC357" s="14" t="b">
        <v>1</v>
      </c>
      <c r="AD357" s="15" t="str">
        <f>"801542330156"</f>
        <v>801542330156</v>
      </c>
      <c r="AE357" s="15" t="s">
        <v>4628</v>
      </c>
      <c r="AF357" s="14" t="s">
        <v>404</v>
      </c>
      <c r="AG357" s="14" t="s">
        <v>405</v>
      </c>
      <c r="AH357" s="14" t="s">
        <v>406</v>
      </c>
      <c r="AI357" s="15">
        <v>0.0</v>
      </c>
      <c r="AL357" s="15" t="s">
        <v>2872</v>
      </c>
      <c r="AM357" s="15" t="s">
        <v>410</v>
      </c>
      <c r="AN357" s="15" t="s">
        <v>439</v>
      </c>
      <c r="AO357" s="15" t="s">
        <v>409</v>
      </c>
      <c r="AP357" s="15" t="s">
        <v>438</v>
      </c>
      <c r="AQ357" s="15" t="s">
        <v>2213</v>
      </c>
      <c r="AR357" s="15" t="s">
        <v>2214</v>
      </c>
      <c r="AS357" s="15" t="s">
        <v>4600</v>
      </c>
      <c r="AT357" s="15" t="s">
        <v>4626</v>
      </c>
      <c r="AU357" s="15" t="s">
        <v>4605</v>
      </c>
      <c r="AW357" s="15" t="s">
        <v>628</v>
      </c>
      <c r="AY357" s="15" t="s">
        <v>413</v>
      </c>
      <c r="AZ357" s="15" t="b">
        <v>0</v>
      </c>
      <c r="BA357" s="15" t="s">
        <v>413</v>
      </c>
      <c r="BB357" s="15" t="b">
        <v>0</v>
      </c>
      <c r="BC357" s="15" t="s">
        <v>4629</v>
      </c>
      <c r="BD357" s="15" t="s">
        <v>1303</v>
      </c>
      <c r="BE357" s="15" t="str">
        <f t="shared" si="632"/>
        <v>1</v>
      </c>
      <c r="BF357" s="15" t="s">
        <v>416</v>
      </c>
      <c r="BG357" s="15" t="str">
        <f t="shared" si="640"/>
        <v>35.5</v>
      </c>
      <c r="BH357" s="15" t="s">
        <v>914</v>
      </c>
      <c r="BI357" s="15" t="str">
        <f t="shared" si="641"/>
        <v>24</v>
      </c>
      <c r="BJ357" s="15" t="s">
        <v>1178</v>
      </c>
      <c r="BK357" s="15" t="str">
        <f t="shared" si="642"/>
        <v>29</v>
      </c>
      <c r="BL357" s="15" t="s">
        <v>1275</v>
      </c>
      <c r="BM357" s="15" t="str">
        <f t="shared" si="643"/>
        <v>109.67</v>
      </c>
      <c r="BN357" s="15" t="s">
        <v>4624</v>
      </c>
      <c r="BQ357" s="15" t="s">
        <v>444</v>
      </c>
      <c r="BS357" s="15" t="s">
        <v>444</v>
      </c>
      <c r="BU357" s="15" t="s">
        <v>444</v>
      </c>
      <c r="BW357" s="15" t="s">
        <v>444</v>
      </c>
      <c r="BZ357" s="15" t="s">
        <v>444</v>
      </c>
      <c r="CB357" s="15" t="s">
        <v>444</v>
      </c>
      <c r="CD357" s="15" t="s">
        <v>444</v>
      </c>
      <c r="CF357" s="15" t="s">
        <v>444</v>
      </c>
      <c r="CI357" s="15" t="s">
        <v>444</v>
      </c>
      <c r="CK357" s="15" t="s">
        <v>444</v>
      </c>
      <c r="CM357" s="15" t="s">
        <v>444</v>
      </c>
      <c r="CO357" s="15" t="s">
        <v>444</v>
      </c>
      <c r="CP357" s="15" t="str">
        <f t="shared" si="644"/>
        <v>14.3</v>
      </c>
      <c r="CQ357" s="15" t="str">
        <f t="shared" si="645"/>
        <v>0.405</v>
      </c>
      <c r="CR357" s="15" t="s">
        <v>465</v>
      </c>
      <c r="DC357" s="15" t="str">
        <f>IFERROR(__xludf.DUMMYFUNCTION("""COMPUTED_VALUE"""),"")</f>
        <v/>
      </c>
      <c r="DE357" s="15" t="str">
        <f>IFERROR(__xludf.DUMMYFUNCTION("""COMPUTED_VALUE"""),"")</f>
        <v/>
      </c>
      <c r="DG357" s="15" t="str">
        <f>IFERROR(__xludf.DUMMYFUNCTION("""COMPUTED_VALUE"""),"")</f>
        <v/>
      </c>
      <c r="DL357" s="15" t="str">
        <f>IFERROR(__xludf.DUMMYFUNCTION("""COMPUTED_VALUE"""),"")</f>
        <v/>
      </c>
      <c r="DM357" s="15" t="s">
        <v>444</v>
      </c>
      <c r="DN357" s="15" t="s">
        <v>1371</v>
      </c>
      <c r="DO357" s="15">
        <v>2.0</v>
      </c>
      <c r="DP357" s="15" t="s">
        <v>2601</v>
      </c>
      <c r="DR357" s="15">
        <v>0.0</v>
      </c>
      <c r="DT357" s="15" t="s">
        <v>420</v>
      </c>
      <c r="DU357" s="15" t="s">
        <v>421</v>
      </c>
      <c r="DY357" s="15">
        <v>0.0</v>
      </c>
      <c r="EF357" s="15" t="s">
        <v>471</v>
      </c>
      <c r="EG357" s="15" t="s">
        <v>472</v>
      </c>
      <c r="EH357" s="15" t="s">
        <v>4603</v>
      </c>
      <c r="EJ357" s="15" t="s">
        <v>500</v>
      </c>
      <c r="EK357" s="15" t="s">
        <v>501</v>
      </c>
      <c r="EM357" s="15" t="str">
        <f>IFERROR(__xludf.DUMMYFUNCTION("""COMPUTED_VALUE"""),"")</f>
        <v/>
      </c>
      <c r="EW357" s="15" t="s">
        <v>429</v>
      </c>
      <c r="FL357" s="15" t="s">
        <v>426</v>
      </c>
      <c r="FM357" s="15">
        <v>0.0</v>
      </c>
      <c r="GH357" s="15">
        <v>0.0</v>
      </c>
      <c r="GI357" s="15" t="s">
        <v>427</v>
      </c>
      <c r="GO357" s="15" t="s">
        <v>426</v>
      </c>
      <c r="GQ357" s="15" t="s">
        <v>1160</v>
      </c>
      <c r="GS357" s="15" t="s">
        <v>2116</v>
      </c>
      <c r="GU357" s="15" t="s">
        <v>555</v>
      </c>
      <c r="GW357" s="15" t="s">
        <v>431</v>
      </c>
      <c r="GY357" s="15" t="s">
        <v>420</v>
      </c>
      <c r="GZ357" s="15" t="s">
        <v>426</v>
      </c>
    </row>
    <row r="358" ht="15.75" customHeight="1">
      <c r="A358" s="14" t="s">
        <v>391</v>
      </c>
      <c r="B358" s="15" t="s">
        <v>4630</v>
      </c>
      <c r="C358" s="16"/>
      <c r="D358" s="15" t="s">
        <v>432</v>
      </c>
      <c r="G358" s="14" t="s">
        <v>393</v>
      </c>
      <c r="H358" s="14" t="s">
        <v>394</v>
      </c>
      <c r="I358" s="14" t="b">
        <v>1</v>
      </c>
      <c r="J358" s="14" t="s">
        <v>395</v>
      </c>
      <c r="L358" s="14" t="b">
        <v>0</v>
      </c>
      <c r="M358" s="15" t="s">
        <v>4631</v>
      </c>
      <c r="N358" s="14" t="s">
        <v>393</v>
      </c>
      <c r="O358" s="14" t="s">
        <v>393</v>
      </c>
      <c r="P358" s="15" t="s">
        <v>397</v>
      </c>
      <c r="Q358" s="15" t="s">
        <v>3541</v>
      </c>
      <c r="T358" s="14" t="b">
        <v>0</v>
      </c>
      <c r="U358" s="15" t="s">
        <v>4632</v>
      </c>
      <c r="V358" s="15" t="s">
        <v>1359</v>
      </c>
      <c r="W358" s="15" t="s">
        <v>401</v>
      </c>
      <c r="X358" s="15" t="s">
        <v>1296</v>
      </c>
      <c r="Y358" s="15">
        <v>3614.0</v>
      </c>
      <c r="AA358" s="15" t="str">
        <f t="shared" ref="AA358:AA359" si="646">"1390"</f>
        <v>1390</v>
      </c>
      <c r="AB358" s="14" t="b">
        <v>1</v>
      </c>
      <c r="AC358" s="14" t="b">
        <v>1</v>
      </c>
      <c r="AD358" s="15" t="str">
        <f>"801542341947"</f>
        <v>801542341947</v>
      </c>
      <c r="AE358" s="15" t="s">
        <v>4633</v>
      </c>
      <c r="AF358" s="14" t="s">
        <v>404</v>
      </c>
      <c r="AG358" s="14" t="s">
        <v>405</v>
      </c>
      <c r="AH358" s="14" t="s">
        <v>406</v>
      </c>
      <c r="AI358" s="15">
        <v>0.0</v>
      </c>
      <c r="AL358" s="15" t="s">
        <v>2872</v>
      </c>
      <c r="AM358" s="15" t="s">
        <v>1872</v>
      </c>
      <c r="AN358" s="15" t="s">
        <v>1873</v>
      </c>
      <c r="AO358" s="15" t="s">
        <v>1007</v>
      </c>
      <c r="AP358" s="15" t="s">
        <v>1008</v>
      </c>
      <c r="AQ358" s="15" t="s">
        <v>1364</v>
      </c>
      <c r="AR358" s="15" t="s">
        <v>1365</v>
      </c>
      <c r="AS358" s="15" t="s">
        <v>4600</v>
      </c>
      <c r="AT358" s="15" t="s">
        <v>3541</v>
      </c>
      <c r="AU358" s="15" t="s">
        <v>4596</v>
      </c>
      <c r="AW358" s="15" t="s">
        <v>664</v>
      </c>
      <c r="AY358" s="15" t="s">
        <v>413</v>
      </c>
      <c r="AZ358" s="15" t="b">
        <v>0</v>
      </c>
      <c r="BA358" s="15" t="s">
        <v>413</v>
      </c>
      <c r="BB358" s="15" t="b">
        <v>0</v>
      </c>
      <c r="BC358" s="15" t="s">
        <v>4634</v>
      </c>
      <c r="BD358" s="15" t="s">
        <v>1303</v>
      </c>
      <c r="BE358" s="15" t="str">
        <f t="shared" si="632"/>
        <v>1</v>
      </c>
      <c r="BF358" s="15" t="s">
        <v>416</v>
      </c>
      <c r="BG358" s="15" t="str">
        <f t="shared" ref="BG358:BG359" si="647">"107.25"</f>
        <v>107.25</v>
      </c>
      <c r="BH358" s="15" t="s">
        <v>4635</v>
      </c>
      <c r="BI358" s="15" t="str">
        <f t="shared" ref="BI358:BI359" si="648">"23.25"</f>
        <v>23.25</v>
      </c>
      <c r="BJ358" s="15" t="s">
        <v>2859</v>
      </c>
      <c r="BK358" s="15" t="str">
        <f t="shared" ref="BK358:BK359" si="649">"39.25"</f>
        <v>39.25</v>
      </c>
      <c r="BL358" s="15" t="s">
        <v>1893</v>
      </c>
      <c r="BM358" s="15" t="str">
        <f t="shared" ref="BM358:BM359" si="650">"308.31"</f>
        <v>308.31</v>
      </c>
      <c r="BN358" s="15" t="s">
        <v>4636</v>
      </c>
      <c r="BQ358" s="15" t="s">
        <v>444</v>
      </c>
      <c r="BS358" s="15" t="s">
        <v>444</v>
      </c>
      <c r="BU358" s="15" t="s">
        <v>444</v>
      </c>
      <c r="BW358" s="15" t="s">
        <v>444</v>
      </c>
      <c r="BZ358" s="15" t="s">
        <v>444</v>
      </c>
      <c r="CB358" s="15" t="s">
        <v>444</v>
      </c>
      <c r="CD358" s="15" t="s">
        <v>444</v>
      </c>
      <c r="CF358" s="15" t="s">
        <v>444</v>
      </c>
      <c r="CI358" s="15" t="s">
        <v>444</v>
      </c>
      <c r="CK358" s="15" t="s">
        <v>444</v>
      </c>
      <c r="CM358" s="15" t="s">
        <v>444</v>
      </c>
      <c r="CO358" s="15" t="s">
        <v>444</v>
      </c>
      <c r="CP358" s="15" t="str">
        <f t="shared" ref="CP358:CP359" si="651">"56.64"</f>
        <v>56.64</v>
      </c>
      <c r="CQ358" s="15" t="str">
        <f t="shared" ref="CQ358:CQ359" si="652">"1.604"</f>
        <v>1.604</v>
      </c>
      <c r="CR358" s="15" t="s">
        <v>465</v>
      </c>
      <c r="CS358" s="15" t="s">
        <v>504</v>
      </c>
      <c r="CT358" s="15" t="s">
        <v>2638</v>
      </c>
      <c r="CU358" s="15" t="s">
        <v>558</v>
      </c>
      <c r="CV358" s="15" t="s">
        <v>504</v>
      </c>
      <c r="CW358" s="15" t="s">
        <v>1982</v>
      </c>
      <c r="CX358" s="15" t="s">
        <v>558</v>
      </c>
      <c r="DC358" s="15" t="str">
        <f>IFERROR(__xludf.DUMMYFUNCTION("""COMPUTED_VALUE"""),"")</f>
        <v/>
      </c>
      <c r="DE358" s="15" t="str">
        <f>IFERROR(__xludf.DUMMYFUNCTION("""COMPUTED_VALUE"""),"")</f>
        <v/>
      </c>
      <c r="DG358" s="15" t="str">
        <f>IFERROR(__xludf.DUMMYFUNCTION("""COMPUTED_VALUE"""),"")</f>
        <v/>
      </c>
      <c r="DL358" s="15" t="str">
        <f>IFERROR(__xludf.DUMMYFUNCTION("""COMPUTED_VALUE"""),"")</f>
        <v/>
      </c>
      <c r="DM358" s="15" t="s">
        <v>444</v>
      </c>
      <c r="DN358" s="15" t="s">
        <v>419</v>
      </c>
      <c r="DO358" s="15">
        <v>0.0</v>
      </c>
      <c r="DP358" s="15" t="s">
        <v>419</v>
      </c>
      <c r="DR358" s="15">
        <v>3.0</v>
      </c>
      <c r="DS358" s="15" t="s">
        <v>426</v>
      </c>
      <c r="DT358" s="15" t="s">
        <v>420</v>
      </c>
      <c r="DU358" s="15" t="s">
        <v>610</v>
      </c>
      <c r="DW358" s="15">
        <v>18.14</v>
      </c>
      <c r="DX358" s="15">
        <v>40.0</v>
      </c>
      <c r="DY358" s="15">
        <v>0.0</v>
      </c>
      <c r="EG358" s="15" t="s">
        <v>444</v>
      </c>
      <c r="EH358" s="15" t="s">
        <v>4603</v>
      </c>
      <c r="EJ358" s="15" t="s">
        <v>424</v>
      </c>
      <c r="EK358" s="15" t="s">
        <v>446</v>
      </c>
      <c r="EM358" s="15" t="str">
        <f>IFERROR(__xludf.DUMMYFUNCTION("""COMPUTED_VALUE"""),"")</f>
        <v/>
      </c>
      <c r="EW358" s="15" t="s">
        <v>429</v>
      </c>
      <c r="FL358" s="15" t="s">
        <v>426</v>
      </c>
      <c r="FM358" s="15">
        <v>6.0</v>
      </c>
      <c r="FY358" s="15" t="s">
        <v>1064</v>
      </c>
      <c r="FZ358" s="15" t="s">
        <v>612</v>
      </c>
      <c r="GA358" s="15" t="s">
        <v>1160</v>
      </c>
      <c r="GE358" s="15">
        <v>0.0</v>
      </c>
      <c r="GF358" s="15" t="s">
        <v>426</v>
      </c>
      <c r="GG358" s="15" t="s">
        <v>1883</v>
      </c>
      <c r="GH358" s="15">
        <v>6.0</v>
      </c>
      <c r="GI358" s="15" t="s">
        <v>614</v>
      </c>
      <c r="GJ358" s="15" t="s">
        <v>615</v>
      </c>
      <c r="GK358" s="15">
        <v>0.0</v>
      </c>
      <c r="GN358" s="15" t="s">
        <v>616</v>
      </c>
      <c r="HA358" s="15" t="s">
        <v>504</v>
      </c>
      <c r="HB358" s="15" t="s">
        <v>1982</v>
      </c>
      <c r="HC358" s="15" t="s">
        <v>558</v>
      </c>
      <c r="HQ358" s="15" t="s">
        <v>504</v>
      </c>
      <c r="HR358" s="15" t="s">
        <v>504</v>
      </c>
      <c r="HS358" s="15" t="s">
        <v>1982</v>
      </c>
      <c r="HT358" s="15" t="s">
        <v>1982</v>
      </c>
      <c r="HU358" s="15" t="s">
        <v>558</v>
      </c>
      <c r="HV358" s="15" t="s">
        <v>558</v>
      </c>
      <c r="KX358" s="15" t="s">
        <v>504</v>
      </c>
      <c r="KY358" s="15" t="s">
        <v>1982</v>
      </c>
      <c r="KZ358" s="15" t="s">
        <v>558</v>
      </c>
      <c r="LK358" s="15" t="s">
        <v>504</v>
      </c>
      <c r="LM358" s="15" t="s">
        <v>1982</v>
      </c>
      <c r="LO358" s="15" t="s">
        <v>558</v>
      </c>
    </row>
    <row r="359" ht="15.75" customHeight="1">
      <c r="A359" s="14" t="s">
        <v>391</v>
      </c>
      <c r="B359" s="15" t="s">
        <v>4630</v>
      </c>
      <c r="C359" s="16"/>
      <c r="D359" s="15" t="s">
        <v>432</v>
      </c>
      <c r="G359" s="14" t="s">
        <v>393</v>
      </c>
      <c r="H359" s="14" t="s">
        <v>394</v>
      </c>
      <c r="I359" s="14" t="b">
        <v>1</v>
      </c>
      <c r="J359" s="14" t="s">
        <v>395</v>
      </c>
      <c r="L359" s="14" t="b">
        <v>0</v>
      </c>
      <c r="M359" s="15" t="s">
        <v>4637</v>
      </c>
      <c r="N359" s="14" t="s">
        <v>393</v>
      </c>
      <c r="O359" s="14" t="s">
        <v>393</v>
      </c>
      <c r="P359" s="15" t="s">
        <v>397</v>
      </c>
      <c r="Q359" s="15" t="s">
        <v>4626</v>
      </c>
      <c r="T359" s="14" t="b">
        <v>0</v>
      </c>
      <c r="U359" s="15" t="s">
        <v>4638</v>
      </c>
      <c r="V359" s="15" t="s">
        <v>1359</v>
      </c>
      <c r="W359" s="15" t="s">
        <v>401</v>
      </c>
      <c r="X359" s="15" t="s">
        <v>1296</v>
      </c>
      <c r="Y359" s="15">
        <v>3614.0</v>
      </c>
      <c r="AA359" s="15" t="str">
        <f t="shared" si="646"/>
        <v>1390</v>
      </c>
      <c r="AB359" s="14" t="b">
        <v>1</v>
      </c>
      <c r="AC359" s="14" t="b">
        <v>1</v>
      </c>
      <c r="AD359" s="15" t="str">
        <f>"801542342036"</f>
        <v>801542342036</v>
      </c>
      <c r="AE359" s="15" t="s">
        <v>4639</v>
      </c>
      <c r="AF359" s="14" t="s">
        <v>404</v>
      </c>
      <c r="AG359" s="14" t="s">
        <v>405</v>
      </c>
      <c r="AH359" s="14" t="s">
        <v>406</v>
      </c>
      <c r="AI359" s="15">
        <v>0.0</v>
      </c>
      <c r="AL359" s="15" t="s">
        <v>2872</v>
      </c>
      <c r="AM359" s="15" t="s">
        <v>1872</v>
      </c>
      <c r="AN359" s="15" t="s">
        <v>1873</v>
      </c>
      <c r="AO359" s="15" t="s">
        <v>1007</v>
      </c>
      <c r="AP359" s="15" t="s">
        <v>1008</v>
      </c>
      <c r="AQ359" s="15" t="s">
        <v>1364</v>
      </c>
      <c r="AR359" s="15" t="s">
        <v>1365</v>
      </c>
      <c r="AS359" s="15" t="s">
        <v>4600</v>
      </c>
      <c r="AT359" s="15" t="s">
        <v>4626</v>
      </c>
      <c r="AU359" s="15" t="s">
        <v>4605</v>
      </c>
      <c r="AW359" s="15" t="s">
        <v>664</v>
      </c>
      <c r="AY359" s="15" t="s">
        <v>413</v>
      </c>
      <c r="AZ359" s="15" t="b">
        <v>0</v>
      </c>
      <c r="BA359" s="15" t="s">
        <v>413</v>
      </c>
      <c r="BB359" s="15" t="b">
        <v>0</v>
      </c>
      <c r="BC359" s="15" t="s">
        <v>4634</v>
      </c>
      <c r="BD359" s="15" t="s">
        <v>1303</v>
      </c>
      <c r="BE359" s="15" t="str">
        <f t="shared" si="632"/>
        <v>1</v>
      </c>
      <c r="BF359" s="15" t="s">
        <v>416</v>
      </c>
      <c r="BG359" s="15" t="str">
        <f t="shared" si="647"/>
        <v>107.25</v>
      </c>
      <c r="BH359" s="15" t="s">
        <v>4635</v>
      </c>
      <c r="BI359" s="15" t="str">
        <f t="shared" si="648"/>
        <v>23.25</v>
      </c>
      <c r="BJ359" s="15" t="s">
        <v>2859</v>
      </c>
      <c r="BK359" s="15" t="str">
        <f t="shared" si="649"/>
        <v>39.25</v>
      </c>
      <c r="BL359" s="15" t="s">
        <v>1893</v>
      </c>
      <c r="BM359" s="15" t="str">
        <f t="shared" si="650"/>
        <v>308.31</v>
      </c>
      <c r="BN359" s="15" t="s">
        <v>4636</v>
      </c>
      <c r="BQ359" s="15" t="s">
        <v>444</v>
      </c>
      <c r="BS359" s="15" t="s">
        <v>444</v>
      </c>
      <c r="BU359" s="15" t="s">
        <v>444</v>
      </c>
      <c r="BW359" s="15" t="s">
        <v>444</v>
      </c>
      <c r="BZ359" s="15" t="s">
        <v>444</v>
      </c>
      <c r="CB359" s="15" t="s">
        <v>444</v>
      </c>
      <c r="CD359" s="15" t="s">
        <v>444</v>
      </c>
      <c r="CF359" s="15" t="s">
        <v>444</v>
      </c>
      <c r="CI359" s="15" t="s">
        <v>444</v>
      </c>
      <c r="CK359" s="15" t="s">
        <v>444</v>
      </c>
      <c r="CM359" s="15" t="s">
        <v>444</v>
      </c>
      <c r="CO359" s="15" t="s">
        <v>444</v>
      </c>
      <c r="CP359" s="15" t="str">
        <f t="shared" si="651"/>
        <v>56.64</v>
      </c>
      <c r="CQ359" s="15" t="str">
        <f t="shared" si="652"/>
        <v>1.604</v>
      </c>
      <c r="CR359" s="15" t="s">
        <v>497</v>
      </c>
      <c r="CS359" s="15" t="s">
        <v>504</v>
      </c>
      <c r="CT359" s="15" t="s">
        <v>2638</v>
      </c>
      <c r="CU359" s="15" t="s">
        <v>558</v>
      </c>
      <c r="CV359" s="15" t="s">
        <v>504</v>
      </c>
      <c r="CW359" s="15" t="s">
        <v>1982</v>
      </c>
      <c r="CX359" s="15" t="s">
        <v>558</v>
      </c>
      <c r="DC359" s="15" t="str">
        <f>IFERROR(__xludf.DUMMYFUNCTION("""COMPUTED_VALUE"""),"")</f>
        <v/>
      </c>
      <c r="DE359" s="15" t="str">
        <f>IFERROR(__xludf.DUMMYFUNCTION("""COMPUTED_VALUE"""),"")</f>
        <v/>
      </c>
      <c r="DG359" s="15" t="str">
        <f>IFERROR(__xludf.DUMMYFUNCTION("""COMPUTED_VALUE"""),"")</f>
        <v/>
      </c>
      <c r="DL359" s="15" t="str">
        <f>IFERROR(__xludf.DUMMYFUNCTION("""COMPUTED_VALUE"""),"")</f>
        <v/>
      </c>
      <c r="DM359" s="15" t="s">
        <v>444</v>
      </c>
      <c r="DN359" s="15" t="s">
        <v>419</v>
      </c>
      <c r="DO359" s="15">
        <v>0.0</v>
      </c>
      <c r="DP359" s="15" t="s">
        <v>419</v>
      </c>
      <c r="DR359" s="15">
        <v>3.0</v>
      </c>
      <c r="DS359" s="15" t="s">
        <v>426</v>
      </c>
      <c r="DT359" s="15" t="s">
        <v>420</v>
      </c>
      <c r="DU359" s="15" t="s">
        <v>610</v>
      </c>
      <c r="DW359" s="15">
        <v>18.14</v>
      </c>
      <c r="DX359" s="15">
        <v>40.0</v>
      </c>
      <c r="DY359" s="15">
        <v>0.0</v>
      </c>
      <c r="EG359" s="15" t="s">
        <v>444</v>
      </c>
      <c r="EH359" s="15" t="s">
        <v>4603</v>
      </c>
      <c r="EJ359" s="15" t="s">
        <v>424</v>
      </c>
      <c r="EK359" s="15" t="s">
        <v>446</v>
      </c>
      <c r="EM359" s="15" t="str">
        <f>IFERROR(__xludf.DUMMYFUNCTION("""COMPUTED_VALUE"""),"")</f>
        <v/>
      </c>
      <c r="EW359" s="15" t="s">
        <v>429</v>
      </c>
      <c r="FL359" s="15" t="s">
        <v>426</v>
      </c>
      <c r="FM359" s="15">
        <v>6.0</v>
      </c>
      <c r="FY359" s="15" t="s">
        <v>1064</v>
      </c>
      <c r="FZ359" s="15" t="s">
        <v>612</v>
      </c>
      <c r="GA359" s="15" t="s">
        <v>1160</v>
      </c>
      <c r="GE359" s="15">
        <v>0.0</v>
      </c>
      <c r="GF359" s="15" t="s">
        <v>426</v>
      </c>
      <c r="GG359" s="15" t="s">
        <v>1883</v>
      </c>
      <c r="GH359" s="15">
        <v>6.0</v>
      </c>
      <c r="GI359" s="15" t="s">
        <v>614</v>
      </c>
      <c r="GJ359" s="15" t="s">
        <v>615</v>
      </c>
      <c r="GK359" s="15">
        <v>0.0</v>
      </c>
      <c r="GN359" s="15" t="s">
        <v>616</v>
      </c>
      <c r="HA359" s="15" t="s">
        <v>504</v>
      </c>
      <c r="HB359" s="15" t="s">
        <v>1982</v>
      </c>
      <c r="HC359" s="15" t="s">
        <v>558</v>
      </c>
      <c r="HQ359" s="15" t="s">
        <v>504</v>
      </c>
      <c r="HR359" s="15" t="s">
        <v>504</v>
      </c>
      <c r="HS359" s="15" t="s">
        <v>1982</v>
      </c>
      <c r="HT359" s="15" t="s">
        <v>1982</v>
      </c>
      <c r="HU359" s="15" t="s">
        <v>558</v>
      </c>
      <c r="HV359" s="15" t="s">
        <v>558</v>
      </c>
      <c r="KX359" s="15" t="s">
        <v>504</v>
      </c>
      <c r="KY359" s="15" t="s">
        <v>1982</v>
      </c>
      <c r="KZ359" s="15" t="s">
        <v>558</v>
      </c>
      <c r="LK359" s="15" t="s">
        <v>504</v>
      </c>
      <c r="LM359" s="15" t="s">
        <v>1982</v>
      </c>
      <c r="LO359" s="15" t="s">
        <v>558</v>
      </c>
    </row>
    <row r="360" ht="15.75" customHeight="1">
      <c r="A360" s="14" t="s">
        <v>391</v>
      </c>
      <c r="B360" s="15" t="s">
        <v>4640</v>
      </c>
      <c r="C360" s="16"/>
      <c r="D360" s="15" t="s">
        <v>432</v>
      </c>
      <c r="G360" s="14" t="s">
        <v>393</v>
      </c>
      <c r="H360" s="14" t="s">
        <v>394</v>
      </c>
      <c r="I360" s="14" t="b">
        <v>1</v>
      </c>
      <c r="J360" s="14" t="s">
        <v>395</v>
      </c>
      <c r="L360" s="14" t="b">
        <v>0</v>
      </c>
      <c r="M360" s="15" t="s">
        <v>4641</v>
      </c>
      <c r="N360" s="14" t="s">
        <v>393</v>
      </c>
      <c r="O360" s="14" t="s">
        <v>393</v>
      </c>
      <c r="P360" s="15" t="s">
        <v>397</v>
      </c>
      <c r="Q360" s="15" t="s">
        <v>1312</v>
      </c>
      <c r="T360" s="14" t="b">
        <v>0</v>
      </c>
      <c r="U360" s="15" t="s">
        <v>4642</v>
      </c>
      <c r="V360" s="15" t="s">
        <v>4643</v>
      </c>
      <c r="W360" s="15" t="s">
        <v>401</v>
      </c>
      <c r="X360" s="15" t="s">
        <v>402</v>
      </c>
      <c r="Y360" s="15">
        <v>1755.0</v>
      </c>
      <c r="AA360" s="15" t="str">
        <f t="shared" ref="AA360:AA361" si="653">"675"</f>
        <v>675</v>
      </c>
      <c r="AB360" s="14" t="b">
        <v>1</v>
      </c>
      <c r="AC360" s="14" t="b">
        <v>1</v>
      </c>
      <c r="AD360" s="15" t="str">
        <f>"801542183134"</f>
        <v>801542183134</v>
      </c>
      <c r="AE360" s="15" t="s">
        <v>4644</v>
      </c>
      <c r="AF360" s="14" t="s">
        <v>404</v>
      </c>
      <c r="AG360" s="14" t="s">
        <v>405</v>
      </c>
      <c r="AH360" s="14" t="s">
        <v>406</v>
      </c>
      <c r="AI360" s="15">
        <v>0.0</v>
      </c>
      <c r="AL360" s="15" t="s">
        <v>1943</v>
      </c>
      <c r="AM360" s="15" t="s">
        <v>3442</v>
      </c>
      <c r="AN360" s="15" t="s">
        <v>3443</v>
      </c>
      <c r="AO360" s="15" t="s">
        <v>4645</v>
      </c>
      <c r="AP360" s="15" t="s">
        <v>4646</v>
      </c>
      <c r="AQ360" s="15" t="s">
        <v>1222</v>
      </c>
      <c r="AR360" s="15" t="s">
        <v>1223</v>
      </c>
      <c r="AS360" s="15" t="s">
        <v>2108</v>
      </c>
      <c r="AT360" s="15" t="s">
        <v>1312</v>
      </c>
      <c r="AW360" s="15" t="s">
        <v>1226</v>
      </c>
      <c r="AY360" s="15" t="s">
        <v>413</v>
      </c>
      <c r="AZ360" s="15" t="b">
        <v>0</v>
      </c>
      <c r="BA360" s="15" t="s">
        <v>426</v>
      </c>
      <c r="BB360" s="15" t="b">
        <v>1</v>
      </c>
      <c r="BD360" s="15" t="s">
        <v>415</v>
      </c>
      <c r="BE360" s="15" t="str">
        <f t="shared" si="632"/>
        <v>1</v>
      </c>
      <c r="BF360" s="15" t="s">
        <v>416</v>
      </c>
      <c r="BG360" s="15" t="str">
        <f t="shared" ref="BG360:BG363" si="654">"43.07"</f>
        <v>43.07</v>
      </c>
      <c r="BH360" s="15" t="s">
        <v>4647</v>
      </c>
      <c r="BI360" s="15" t="str">
        <f t="shared" ref="BI360:BI363" si="655">"61.54"</f>
        <v>61.54</v>
      </c>
      <c r="BJ360" s="15" t="s">
        <v>4648</v>
      </c>
      <c r="BK360" s="15" t="str">
        <f t="shared" ref="BK360:BK363" si="656">"31.97"</f>
        <v>31.97</v>
      </c>
      <c r="BL360" s="15" t="s">
        <v>4649</v>
      </c>
      <c r="BM360" s="15" t="str">
        <f>"95.46"</f>
        <v>95.46</v>
      </c>
      <c r="BN360" s="15" t="s">
        <v>4650</v>
      </c>
      <c r="BQ360" s="15" t="s">
        <v>444</v>
      </c>
      <c r="BS360" s="15" t="s">
        <v>444</v>
      </c>
      <c r="BU360" s="15" t="s">
        <v>444</v>
      </c>
      <c r="BW360" s="15" t="s">
        <v>444</v>
      </c>
      <c r="BZ360" s="15" t="s">
        <v>444</v>
      </c>
      <c r="CB360" s="15" t="s">
        <v>444</v>
      </c>
      <c r="CD360" s="15" t="s">
        <v>444</v>
      </c>
      <c r="CF360" s="15" t="s">
        <v>444</v>
      </c>
      <c r="CI360" s="15" t="s">
        <v>444</v>
      </c>
      <c r="CK360" s="15" t="s">
        <v>444</v>
      </c>
      <c r="CM360" s="15" t="s">
        <v>444</v>
      </c>
      <c r="CO360" s="15" t="s">
        <v>444</v>
      </c>
      <c r="CP360" s="15" t="str">
        <f t="shared" ref="CP360:CP363" si="657">"49.02"</f>
        <v>49.02</v>
      </c>
      <c r="CQ360" s="15" t="str">
        <f t="shared" ref="CQ360:CQ363" si="658">"1.388"</f>
        <v>1.388</v>
      </c>
      <c r="CR360" s="15" t="s">
        <v>465</v>
      </c>
      <c r="DB360" s="15" t="s">
        <v>3841</v>
      </c>
      <c r="DC360" s="15" t="str">
        <f>IFERROR(__xludf.DUMMYFUNCTION("""COMPUTED_VALUE"""),"{""value"":44.00,""unit"":""in""}")</f>
        <v>{"value":44.00,"unit":"in"}</v>
      </c>
      <c r="DD360" s="15" t="s">
        <v>467</v>
      </c>
      <c r="DE360" s="15" t="str">
        <f>IFERROR(__xludf.DUMMYFUNCTION("""COMPUTED_VALUE"""),"{""value"":19.00,""unit"":""in""}")</f>
        <v>{"value":19.00,"unit":"in"}</v>
      </c>
      <c r="DF360" s="15" t="s">
        <v>4651</v>
      </c>
      <c r="DG360" s="15" t="str">
        <f>IFERROR(__xludf.DUMMYFUNCTION("""COMPUTED_VALUE"""),"{""value"":33.25,""unit"":""in""}")</f>
        <v>{"value":33.25,"unit":"in"}</v>
      </c>
      <c r="DH360" s="15">
        <v>0.0</v>
      </c>
      <c r="DI360" s="15">
        <v>1.0</v>
      </c>
      <c r="DJ360" s="15" t="s">
        <v>717</v>
      </c>
      <c r="DK360" s="15" t="s">
        <v>855</v>
      </c>
      <c r="DL360" s="15" t="str">
        <f>IFERROR(__xludf.DUMMYFUNCTION("""COMPUTED_VALUE"""),"Clean with solvent-based (dry clean only) products. Do not use water.")</f>
        <v>Clean with solvent-based (dry clean only) products. Do not use water.</v>
      </c>
      <c r="DM360" s="15" t="s">
        <v>856</v>
      </c>
      <c r="DT360" s="15" t="s">
        <v>721</v>
      </c>
      <c r="DU360" s="15" t="s">
        <v>419</v>
      </c>
      <c r="DV360" s="15">
        <v>0.0</v>
      </c>
      <c r="DZ360" s="15">
        <v>25000.0</v>
      </c>
      <c r="EA360" s="15" t="s">
        <v>990</v>
      </c>
      <c r="ED360" s="15">
        <v>0.0</v>
      </c>
      <c r="EE360" s="15">
        <v>1.0</v>
      </c>
      <c r="EG360" s="15" t="s">
        <v>444</v>
      </c>
      <c r="EH360" s="15" t="s">
        <v>4652</v>
      </c>
      <c r="EI360" s="15">
        <v>0.0</v>
      </c>
      <c r="EJ360" s="15" t="s">
        <v>726</v>
      </c>
      <c r="EK360" s="15" t="s">
        <v>727</v>
      </c>
      <c r="EL360" s="15" t="s">
        <v>555</v>
      </c>
      <c r="EM360" s="15" t="str">
        <f>IFERROR(__xludf.DUMMYFUNCTION("""COMPUTED_VALUE"""),"{""value"":25.00,""unit"":""in""}")</f>
        <v>{"value":25.00,"unit":"in"}</v>
      </c>
      <c r="EN360" s="15" t="s">
        <v>505</v>
      </c>
      <c r="EO360" s="15" t="s">
        <v>1574</v>
      </c>
      <c r="ES360" s="15" t="s">
        <v>2737</v>
      </c>
      <c r="ET360" s="15" t="s">
        <v>2402</v>
      </c>
      <c r="EU360" s="15" t="s">
        <v>1331</v>
      </c>
      <c r="EV360" s="15" t="s">
        <v>1064</v>
      </c>
      <c r="EW360" s="15" t="s">
        <v>1309</v>
      </c>
      <c r="EX360" s="15" t="s">
        <v>4653</v>
      </c>
      <c r="EY360" s="15" t="s">
        <v>1064</v>
      </c>
      <c r="EZ360" s="15" t="s">
        <v>1593</v>
      </c>
      <c r="FC360" s="15" t="s">
        <v>723</v>
      </c>
      <c r="FD360" s="15" t="s">
        <v>1076</v>
      </c>
      <c r="FE360" s="15" t="s">
        <v>3408</v>
      </c>
      <c r="FF360" s="15" t="s">
        <v>1239</v>
      </c>
      <c r="FS360" s="15" t="s">
        <v>2436</v>
      </c>
    </row>
    <row r="361" ht="15.75" customHeight="1">
      <c r="A361" s="14" t="s">
        <v>391</v>
      </c>
      <c r="B361" s="15" t="s">
        <v>4640</v>
      </c>
      <c r="C361" s="16"/>
      <c r="D361" s="15" t="s">
        <v>432</v>
      </c>
      <c r="G361" s="14" t="s">
        <v>393</v>
      </c>
      <c r="H361" s="14" t="s">
        <v>394</v>
      </c>
      <c r="I361" s="14" t="b">
        <v>1</v>
      </c>
      <c r="J361" s="14" t="s">
        <v>395</v>
      </c>
      <c r="L361" s="14" t="b">
        <v>0</v>
      </c>
      <c r="M361" s="15" t="s">
        <v>4654</v>
      </c>
      <c r="N361" s="14" t="s">
        <v>393</v>
      </c>
      <c r="O361" s="14" t="s">
        <v>393</v>
      </c>
      <c r="P361" s="15" t="s">
        <v>397</v>
      </c>
      <c r="Q361" s="15" t="s">
        <v>4655</v>
      </c>
      <c r="T361" s="14" t="b">
        <v>0</v>
      </c>
      <c r="U361" s="15" t="s">
        <v>4656</v>
      </c>
      <c r="V361" s="15" t="s">
        <v>4643</v>
      </c>
      <c r="W361" s="15" t="s">
        <v>401</v>
      </c>
      <c r="X361" s="15" t="s">
        <v>402</v>
      </c>
      <c r="Y361" s="15">
        <v>1755.0</v>
      </c>
      <c r="AA361" s="15" t="str">
        <f t="shared" si="653"/>
        <v>675</v>
      </c>
      <c r="AB361" s="14" t="b">
        <v>1</v>
      </c>
      <c r="AC361" s="14" t="b">
        <v>1</v>
      </c>
      <c r="AD361" s="15" t="str">
        <f>"801542996543"</f>
        <v>801542996543</v>
      </c>
      <c r="AE361" s="15" t="s">
        <v>4657</v>
      </c>
      <c r="AF361" s="14" t="s">
        <v>404</v>
      </c>
      <c r="AG361" s="14" t="s">
        <v>405</v>
      </c>
      <c r="AH361" s="14" t="s">
        <v>406</v>
      </c>
      <c r="AI361" s="15">
        <v>0.0</v>
      </c>
      <c r="AL361" s="15" t="s">
        <v>1655</v>
      </c>
      <c r="AM361" s="15" t="s">
        <v>3442</v>
      </c>
      <c r="AN361" s="15" t="s">
        <v>3443</v>
      </c>
      <c r="AO361" s="15" t="s">
        <v>4645</v>
      </c>
      <c r="AP361" s="15" t="s">
        <v>4646</v>
      </c>
      <c r="AQ361" s="15" t="s">
        <v>1222</v>
      </c>
      <c r="AR361" s="15" t="s">
        <v>1223</v>
      </c>
      <c r="AS361" s="15" t="s">
        <v>2108</v>
      </c>
      <c r="AT361" s="15" t="s">
        <v>4655</v>
      </c>
      <c r="AW361" s="15" t="s">
        <v>1226</v>
      </c>
      <c r="AY361" s="15" t="s">
        <v>413</v>
      </c>
      <c r="AZ361" s="15" t="b">
        <v>0</v>
      </c>
      <c r="BA361" s="15" t="s">
        <v>413</v>
      </c>
      <c r="BB361" s="15" t="b">
        <v>0</v>
      </c>
      <c r="BC361" s="15" t="s">
        <v>4658</v>
      </c>
      <c r="BD361" s="15" t="s">
        <v>415</v>
      </c>
      <c r="BE361" s="15" t="str">
        <f t="shared" si="632"/>
        <v>1</v>
      </c>
      <c r="BF361" s="15" t="s">
        <v>416</v>
      </c>
      <c r="BG361" s="15" t="str">
        <f t="shared" si="654"/>
        <v>43.07</v>
      </c>
      <c r="BH361" s="15" t="s">
        <v>4647</v>
      </c>
      <c r="BI361" s="15" t="str">
        <f t="shared" si="655"/>
        <v>61.54</v>
      </c>
      <c r="BJ361" s="15" t="s">
        <v>4648</v>
      </c>
      <c r="BK361" s="15" t="str">
        <f t="shared" si="656"/>
        <v>31.97</v>
      </c>
      <c r="BL361" s="15" t="s">
        <v>4649</v>
      </c>
      <c r="BM361" s="15" t="str">
        <f>"93.48"</f>
        <v>93.48</v>
      </c>
      <c r="BN361" s="15" t="s">
        <v>4659</v>
      </c>
      <c r="BQ361" s="15" t="s">
        <v>444</v>
      </c>
      <c r="BS361" s="15" t="s">
        <v>444</v>
      </c>
      <c r="BU361" s="15" t="s">
        <v>444</v>
      </c>
      <c r="BW361" s="15" t="s">
        <v>444</v>
      </c>
      <c r="BZ361" s="15" t="s">
        <v>444</v>
      </c>
      <c r="CB361" s="15" t="s">
        <v>444</v>
      </c>
      <c r="CD361" s="15" t="s">
        <v>444</v>
      </c>
      <c r="CF361" s="15" t="s">
        <v>444</v>
      </c>
      <c r="CI361" s="15" t="s">
        <v>444</v>
      </c>
      <c r="CK361" s="15" t="s">
        <v>444</v>
      </c>
      <c r="CM361" s="15" t="s">
        <v>444</v>
      </c>
      <c r="CO361" s="15" t="s">
        <v>444</v>
      </c>
      <c r="CP361" s="15" t="str">
        <f t="shared" si="657"/>
        <v>49.02</v>
      </c>
      <c r="CQ361" s="15" t="str">
        <f t="shared" si="658"/>
        <v>1.388</v>
      </c>
      <c r="CR361" s="15" t="s">
        <v>465</v>
      </c>
      <c r="DB361" s="15" t="s">
        <v>3841</v>
      </c>
      <c r="DC361" s="15" t="str">
        <f>IFERROR(__xludf.DUMMYFUNCTION("""COMPUTED_VALUE"""),"{""value"":44.00,""unit"":""in""}")</f>
        <v>{"value":44.00,"unit":"in"}</v>
      </c>
      <c r="DD361" s="15" t="s">
        <v>467</v>
      </c>
      <c r="DE361" s="15" t="str">
        <f>IFERROR(__xludf.DUMMYFUNCTION("""COMPUTED_VALUE"""),"{""value"":19.00,""unit"":""in""}")</f>
        <v>{"value":19.00,"unit":"in"}</v>
      </c>
      <c r="DF361" s="15" t="s">
        <v>4651</v>
      </c>
      <c r="DG361" s="15" t="str">
        <f>IFERROR(__xludf.DUMMYFUNCTION("""COMPUTED_VALUE"""),"{""value"":33.25,""unit"":""in""}")</f>
        <v>{"value":33.25,"unit":"in"}</v>
      </c>
      <c r="DH361" s="15">
        <v>0.0</v>
      </c>
      <c r="DI361" s="15">
        <v>1.0</v>
      </c>
      <c r="DJ361" s="15" t="s">
        <v>717</v>
      </c>
      <c r="DK361" s="15" t="s">
        <v>934</v>
      </c>
      <c r="DL361" s="15" t="str">
        <f>IFERROR(__xludf.DUMMYFUNCTION("""COMPUTED_VALUE"""),"Spot clean with water-based or solvent-based cleaner. Use mild detergent or upholstery shampoo.")</f>
        <v>Spot clean with water-based or solvent-based cleaner. Use mild detergent or upholstery shampoo.</v>
      </c>
      <c r="DM361" s="15" t="s">
        <v>935</v>
      </c>
      <c r="DT361" s="15" t="s">
        <v>721</v>
      </c>
      <c r="DU361" s="15" t="s">
        <v>419</v>
      </c>
      <c r="DV361" s="15">
        <v>0.0</v>
      </c>
      <c r="DZ361" s="15">
        <v>50000.0</v>
      </c>
      <c r="EA361" s="15" t="s">
        <v>990</v>
      </c>
      <c r="ED361" s="15">
        <v>0.0</v>
      </c>
      <c r="EE361" s="15">
        <v>1.0</v>
      </c>
      <c r="EG361" s="15" t="s">
        <v>444</v>
      </c>
      <c r="EH361" s="15" t="s">
        <v>4652</v>
      </c>
      <c r="EI361" s="15">
        <v>0.0</v>
      </c>
      <c r="EJ361" s="15" t="s">
        <v>726</v>
      </c>
      <c r="EK361" s="15" t="s">
        <v>727</v>
      </c>
      <c r="EL361" s="15" t="s">
        <v>555</v>
      </c>
      <c r="EM361" s="15" t="str">
        <f>IFERROR(__xludf.DUMMYFUNCTION("""COMPUTED_VALUE"""),"{""value"":25.00,""unit"":""in""}")</f>
        <v>{"value":25.00,"unit":"in"}</v>
      </c>
      <c r="EN361" s="15" t="s">
        <v>505</v>
      </c>
      <c r="EO361" s="15" t="s">
        <v>1574</v>
      </c>
      <c r="ES361" s="15" t="s">
        <v>2737</v>
      </c>
      <c r="ET361" s="15" t="s">
        <v>2402</v>
      </c>
      <c r="EU361" s="15" t="s">
        <v>1331</v>
      </c>
      <c r="EV361" s="15" t="s">
        <v>1064</v>
      </c>
      <c r="EW361" s="15" t="s">
        <v>1309</v>
      </c>
      <c r="EX361" s="15" t="s">
        <v>4653</v>
      </c>
      <c r="EY361" s="15" t="s">
        <v>1064</v>
      </c>
      <c r="EZ361" s="15" t="s">
        <v>1593</v>
      </c>
      <c r="FC361" s="15" t="s">
        <v>723</v>
      </c>
      <c r="FD361" s="15" t="s">
        <v>1076</v>
      </c>
      <c r="FE361" s="15" t="s">
        <v>3408</v>
      </c>
      <c r="FF361" s="15" t="s">
        <v>1239</v>
      </c>
      <c r="FS361" s="15" t="s">
        <v>2436</v>
      </c>
    </row>
    <row r="362" ht="15.75" customHeight="1">
      <c r="A362" s="14" t="s">
        <v>391</v>
      </c>
      <c r="B362" s="15" t="s">
        <v>4640</v>
      </c>
      <c r="C362" s="16"/>
      <c r="D362" s="15" t="s">
        <v>432</v>
      </c>
      <c r="G362" s="14" t="s">
        <v>393</v>
      </c>
      <c r="H362" s="14" t="s">
        <v>394</v>
      </c>
      <c r="I362" s="14" t="b">
        <v>1</v>
      </c>
      <c r="J362" s="14" t="s">
        <v>395</v>
      </c>
      <c r="L362" s="14" t="b">
        <v>0</v>
      </c>
      <c r="M362" s="15" t="s">
        <v>4660</v>
      </c>
      <c r="N362" s="14" t="s">
        <v>393</v>
      </c>
      <c r="O362" s="14" t="s">
        <v>393</v>
      </c>
      <c r="P362" s="15" t="s">
        <v>397</v>
      </c>
      <c r="Q362" s="15" t="s">
        <v>3427</v>
      </c>
      <c r="T362" s="14" t="b">
        <v>0</v>
      </c>
      <c r="U362" s="15" t="s">
        <v>4661</v>
      </c>
      <c r="V362" s="15" t="s">
        <v>4643</v>
      </c>
      <c r="W362" s="15" t="s">
        <v>401</v>
      </c>
      <c r="X362" s="15" t="s">
        <v>402</v>
      </c>
      <c r="Y362" s="15">
        <v>1638.0</v>
      </c>
      <c r="AA362" s="15" t="str">
        <f>"630"</f>
        <v>630</v>
      </c>
      <c r="AB362" s="14" t="b">
        <v>1</v>
      </c>
      <c r="AC362" s="14" t="b">
        <v>1</v>
      </c>
      <c r="AD362" s="15" t="str">
        <f>"801542869632"</f>
        <v>801542869632</v>
      </c>
      <c r="AE362" s="15" t="s">
        <v>4662</v>
      </c>
      <c r="AF362" s="14" t="s">
        <v>404</v>
      </c>
      <c r="AG362" s="14" t="s">
        <v>405</v>
      </c>
      <c r="AH362" s="14" t="s">
        <v>406</v>
      </c>
      <c r="AI362" s="15">
        <v>0.0</v>
      </c>
      <c r="AL362" s="15" t="s">
        <v>1655</v>
      </c>
      <c r="AM362" s="15" t="s">
        <v>3442</v>
      </c>
      <c r="AN362" s="15" t="s">
        <v>3443</v>
      </c>
      <c r="AO362" s="15" t="s">
        <v>2037</v>
      </c>
      <c r="AP362" s="15" t="s">
        <v>2038</v>
      </c>
      <c r="AQ362" s="15" t="s">
        <v>1222</v>
      </c>
      <c r="AR362" s="15" t="s">
        <v>1223</v>
      </c>
      <c r="AS362" s="15" t="s">
        <v>2108</v>
      </c>
      <c r="AT362" s="15" t="s">
        <v>3427</v>
      </c>
      <c r="AW362" s="15" t="s">
        <v>1226</v>
      </c>
      <c r="AY362" s="15" t="s">
        <v>413</v>
      </c>
      <c r="AZ362" s="15" t="b">
        <v>0</v>
      </c>
      <c r="BA362" s="15" t="s">
        <v>426</v>
      </c>
      <c r="BB362" s="15" t="b">
        <v>1</v>
      </c>
      <c r="BC362" s="15" t="s">
        <v>4663</v>
      </c>
      <c r="BD362" s="15" t="s">
        <v>415</v>
      </c>
      <c r="BE362" s="15" t="str">
        <f t="shared" si="632"/>
        <v>1</v>
      </c>
      <c r="BF362" s="15" t="s">
        <v>416</v>
      </c>
      <c r="BG362" s="15" t="str">
        <f t="shared" si="654"/>
        <v>43.07</v>
      </c>
      <c r="BH362" s="15" t="s">
        <v>4647</v>
      </c>
      <c r="BI362" s="15" t="str">
        <f t="shared" si="655"/>
        <v>61.54</v>
      </c>
      <c r="BJ362" s="15" t="s">
        <v>4648</v>
      </c>
      <c r="BK362" s="15" t="str">
        <f t="shared" si="656"/>
        <v>31.97</v>
      </c>
      <c r="BL362" s="15" t="s">
        <v>4649</v>
      </c>
      <c r="BM362" s="15" t="str">
        <f t="shared" ref="BM362:BM363" si="659">"95.46"</f>
        <v>95.46</v>
      </c>
      <c r="BN362" s="15" t="s">
        <v>4650</v>
      </c>
      <c r="BQ362" s="15" t="s">
        <v>444</v>
      </c>
      <c r="BS362" s="15" t="s">
        <v>444</v>
      </c>
      <c r="BU362" s="15" t="s">
        <v>444</v>
      </c>
      <c r="BW362" s="15" t="s">
        <v>444</v>
      </c>
      <c r="BZ362" s="15" t="s">
        <v>444</v>
      </c>
      <c r="CB362" s="15" t="s">
        <v>444</v>
      </c>
      <c r="CD362" s="15" t="s">
        <v>444</v>
      </c>
      <c r="CF362" s="15" t="s">
        <v>444</v>
      </c>
      <c r="CI362" s="15" t="s">
        <v>444</v>
      </c>
      <c r="CK362" s="15" t="s">
        <v>444</v>
      </c>
      <c r="CM362" s="15" t="s">
        <v>444</v>
      </c>
      <c r="CO362" s="15" t="s">
        <v>444</v>
      </c>
      <c r="CP362" s="15" t="str">
        <f t="shared" si="657"/>
        <v>49.02</v>
      </c>
      <c r="CQ362" s="15" t="str">
        <f t="shared" si="658"/>
        <v>1.388</v>
      </c>
      <c r="CR362" s="15" t="s">
        <v>497</v>
      </c>
      <c r="DB362" s="15" t="s">
        <v>3841</v>
      </c>
      <c r="DC362" s="15" t="str">
        <f>IFERROR(__xludf.DUMMYFUNCTION("""COMPUTED_VALUE"""),"{""value"":44.00,""unit"":""in""}")</f>
        <v>{"value":44.00,"unit":"in"}</v>
      </c>
      <c r="DD362" s="15" t="s">
        <v>467</v>
      </c>
      <c r="DE362" s="15" t="str">
        <f>IFERROR(__xludf.DUMMYFUNCTION("""COMPUTED_VALUE"""),"{""value"":19.00,""unit"":""in""}")</f>
        <v>{"value":19.00,"unit":"in"}</v>
      </c>
      <c r="DF362" s="15" t="s">
        <v>4651</v>
      </c>
      <c r="DG362" s="15" t="str">
        <f>IFERROR(__xludf.DUMMYFUNCTION("""COMPUTED_VALUE"""),"{""value"":33.25,""unit"":""in""}")</f>
        <v>{"value":33.25,"unit":"in"}</v>
      </c>
      <c r="DH362" s="15">
        <v>0.0</v>
      </c>
      <c r="DI362" s="15">
        <v>1.0</v>
      </c>
      <c r="DJ362" s="15" t="s">
        <v>717</v>
      </c>
      <c r="DK362" s="15" t="s">
        <v>934</v>
      </c>
      <c r="DL362" s="15" t="str">
        <f>IFERROR(__xludf.DUMMYFUNCTION("""COMPUTED_VALUE"""),"Spot clean with water-based or solvent-based cleaner. Use mild detergent or upholstery shampoo.")</f>
        <v>Spot clean with water-based or solvent-based cleaner. Use mild detergent or upholstery shampoo.</v>
      </c>
      <c r="DM362" s="15" t="s">
        <v>935</v>
      </c>
      <c r="DT362" s="15" t="s">
        <v>721</v>
      </c>
      <c r="DU362" s="15" t="s">
        <v>419</v>
      </c>
      <c r="DV362" s="15">
        <v>0.0</v>
      </c>
      <c r="DZ362" s="15">
        <v>15000.0</v>
      </c>
      <c r="EA362" s="15" t="s">
        <v>990</v>
      </c>
      <c r="ED362" s="15">
        <v>0.0</v>
      </c>
      <c r="EE362" s="15">
        <v>1.0</v>
      </c>
      <c r="EG362" s="15" t="s">
        <v>444</v>
      </c>
      <c r="EH362" s="15" t="s">
        <v>4652</v>
      </c>
      <c r="EI362" s="15">
        <v>0.0</v>
      </c>
      <c r="EJ362" s="15" t="s">
        <v>726</v>
      </c>
      <c r="EK362" s="15" t="s">
        <v>727</v>
      </c>
      <c r="EL362" s="15" t="s">
        <v>555</v>
      </c>
      <c r="EM362" s="15" t="str">
        <f>IFERROR(__xludf.DUMMYFUNCTION("""COMPUTED_VALUE"""),"{""value"":25.00,""unit"":""in""}")</f>
        <v>{"value":25.00,"unit":"in"}</v>
      </c>
      <c r="EN362" s="15" t="s">
        <v>505</v>
      </c>
      <c r="EO362" s="15" t="s">
        <v>1574</v>
      </c>
      <c r="ES362" s="15" t="s">
        <v>2737</v>
      </c>
      <c r="ET362" s="15" t="s">
        <v>2402</v>
      </c>
      <c r="EU362" s="15" t="s">
        <v>1331</v>
      </c>
      <c r="EV362" s="15" t="s">
        <v>1064</v>
      </c>
      <c r="EW362" s="15" t="s">
        <v>1309</v>
      </c>
      <c r="EX362" s="15" t="s">
        <v>4653</v>
      </c>
      <c r="EY362" s="15" t="s">
        <v>1064</v>
      </c>
      <c r="EZ362" s="15" t="s">
        <v>1593</v>
      </c>
      <c r="FC362" s="15" t="s">
        <v>723</v>
      </c>
      <c r="FD362" s="15" t="s">
        <v>1076</v>
      </c>
      <c r="FE362" s="15" t="s">
        <v>3408</v>
      </c>
      <c r="FF362" s="15" t="s">
        <v>1239</v>
      </c>
      <c r="FS362" s="15" t="s">
        <v>2436</v>
      </c>
    </row>
    <row r="363" ht="15.75" customHeight="1">
      <c r="A363" s="14" t="s">
        <v>391</v>
      </c>
      <c r="B363" s="15" t="s">
        <v>4640</v>
      </c>
      <c r="C363" s="16"/>
      <c r="D363" s="15" t="s">
        <v>432</v>
      </c>
      <c r="G363" s="14" t="s">
        <v>393</v>
      </c>
      <c r="H363" s="14" t="s">
        <v>394</v>
      </c>
      <c r="I363" s="14" t="b">
        <v>1</v>
      </c>
      <c r="J363" s="14" t="s">
        <v>395</v>
      </c>
      <c r="L363" s="14" t="b">
        <v>0</v>
      </c>
      <c r="M363" s="15" t="s">
        <v>4664</v>
      </c>
      <c r="N363" s="14" t="s">
        <v>393</v>
      </c>
      <c r="O363" s="14" t="s">
        <v>393</v>
      </c>
      <c r="P363" s="15" t="s">
        <v>397</v>
      </c>
      <c r="Q363" s="15" t="s">
        <v>1612</v>
      </c>
      <c r="T363" s="14" t="b">
        <v>0</v>
      </c>
      <c r="U363" s="15" t="s">
        <v>4665</v>
      </c>
      <c r="V363" s="15" t="s">
        <v>4643</v>
      </c>
      <c r="W363" s="15" t="s">
        <v>401</v>
      </c>
      <c r="X363" s="15" t="s">
        <v>402</v>
      </c>
      <c r="Y363" s="15">
        <v>1859.0</v>
      </c>
      <c r="AA363" s="15" t="str">
        <f>"715"</f>
        <v>715</v>
      </c>
      <c r="AB363" s="14" t="b">
        <v>1</v>
      </c>
      <c r="AC363" s="14" t="b">
        <v>1</v>
      </c>
      <c r="AD363" s="15" t="str">
        <f>"801542157562"</f>
        <v>801542157562</v>
      </c>
      <c r="AE363" s="15" t="s">
        <v>4666</v>
      </c>
      <c r="AF363" s="14" t="s">
        <v>404</v>
      </c>
      <c r="AG363" s="14" t="s">
        <v>405</v>
      </c>
      <c r="AH363" s="14" t="s">
        <v>406</v>
      </c>
      <c r="AI363" s="15">
        <v>0.0</v>
      </c>
      <c r="AL363" s="15" t="s">
        <v>1615</v>
      </c>
      <c r="AM363" s="15" t="s">
        <v>3442</v>
      </c>
      <c r="AN363" s="15" t="s">
        <v>3443</v>
      </c>
      <c r="AO363" s="15" t="s">
        <v>4645</v>
      </c>
      <c r="AP363" s="15" t="s">
        <v>4646</v>
      </c>
      <c r="AQ363" s="15" t="s">
        <v>1222</v>
      </c>
      <c r="AR363" s="15" t="s">
        <v>1223</v>
      </c>
      <c r="AS363" s="15" t="s">
        <v>2108</v>
      </c>
      <c r="AT363" s="15" t="s">
        <v>1612</v>
      </c>
      <c r="AW363" s="15" t="s">
        <v>1226</v>
      </c>
      <c r="AY363" s="15" t="s">
        <v>413</v>
      </c>
      <c r="AZ363" s="15" t="b">
        <v>0</v>
      </c>
      <c r="BA363" s="15" t="s">
        <v>413</v>
      </c>
      <c r="BB363" s="15" t="b">
        <v>0</v>
      </c>
      <c r="BC363" s="15" t="s">
        <v>4667</v>
      </c>
      <c r="BD363" s="15" t="s">
        <v>415</v>
      </c>
      <c r="BE363" s="15" t="str">
        <f t="shared" si="632"/>
        <v>1</v>
      </c>
      <c r="BF363" s="15" t="s">
        <v>416</v>
      </c>
      <c r="BG363" s="15" t="str">
        <f t="shared" si="654"/>
        <v>43.07</v>
      </c>
      <c r="BH363" s="15" t="s">
        <v>4647</v>
      </c>
      <c r="BI363" s="15" t="str">
        <f t="shared" si="655"/>
        <v>61.54</v>
      </c>
      <c r="BJ363" s="15" t="s">
        <v>4648</v>
      </c>
      <c r="BK363" s="15" t="str">
        <f t="shared" si="656"/>
        <v>31.97</v>
      </c>
      <c r="BL363" s="15" t="s">
        <v>4649</v>
      </c>
      <c r="BM363" s="15" t="str">
        <f t="shared" si="659"/>
        <v>95.46</v>
      </c>
      <c r="BN363" s="15" t="s">
        <v>4650</v>
      </c>
      <c r="BQ363" s="15" t="s">
        <v>444</v>
      </c>
      <c r="BS363" s="15" t="s">
        <v>444</v>
      </c>
      <c r="BU363" s="15" t="s">
        <v>444</v>
      </c>
      <c r="BW363" s="15" t="s">
        <v>444</v>
      </c>
      <c r="BZ363" s="15" t="s">
        <v>444</v>
      </c>
      <c r="CB363" s="15" t="s">
        <v>444</v>
      </c>
      <c r="CD363" s="15" t="s">
        <v>444</v>
      </c>
      <c r="CF363" s="15" t="s">
        <v>444</v>
      </c>
      <c r="CI363" s="15" t="s">
        <v>444</v>
      </c>
      <c r="CK363" s="15" t="s">
        <v>444</v>
      </c>
      <c r="CM363" s="15" t="s">
        <v>444</v>
      </c>
      <c r="CO363" s="15" t="s">
        <v>444</v>
      </c>
      <c r="CP363" s="15" t="str">
        <f t="shared" si="657"/>
        <v>49.02</v>
      </c>
      <c r="CQ363" s="15" t="str">
        <f t="shared" si="658"/>
        <v>1.388</v>
      </c>
      <c r="CR363" s="15" t="s">
        <v>497</v>
      </c>
      <c r="DB363" s="15" t="s">
        <v>3841</v>
      </c>
      <c r="DC363" s="15" t="str">
        <f>IFERROR(__xludf.DUMMYFUNCTION("""COMPUTED_VALUE"""),"{""value"":44.00,""unit"":""in""}")</f>
        <v>{"value":44.00,"unit":"in"}</v>
      </c>
      <c r="DD363" s="15" t="s">
        <v>467</v>
      </c>
      <c r="DE363" s="15" t="str">
        <f>IFERROR(__xludf.DUMMYFUNCTION("""COMPUTED_VALUE"""),"{""value"":19.00,""unit"":""in""}")</f>
        <v>{"value":19.00,"unit":"in"}</v>
      </c>
      <c r="DF363" s="15" t="s">
        <v>4651</v>
      </c>
      <c r="DG363" s="15" t="str">
        <f>IFERROR(__xludf.DUMMYFUNCTION("""COMPUTED_VALUE"""),"{""value"":33.25,""unit"":""in""}")</f>
        <v>{"value":33.25,"unit":"in"}</v>
      </c>
      <c r="DH363" s="15">
        <v>0.0</v>
      </c>
      <c r="DI363" s="15">
        <v>1.0</v>
      </c>
      <c r="DJ363" s="15" t="s">
        <v>717</v>
      </c>
      <c r="DK363" s="15" t="s">
        <v>718</v>
      </c>
      <c r="DL363" s="15" t="str">
        <f>IFERROR(__xludf.DUMMYFUNCTION("""COMPUTED_VALUE"""),"Vacuum or light brush only. Do not use water or any cleaning products.")</f>
        <v>Vacuum or light brush only. Do not use water or any cleaning products.</v>
      </c>
      <c r="DM363" s="15" t="s">
        <v>719</v>
      </c>
      <c r="DT363" s="15" t="s">
        <v>721</v>
      </c>
      <c r="DU363" s="15" t="s">
        <v>419</v>
      </c>
      <c r="DV363" s="15">
        <v>0.0</v>
      </c>
      <c r="DZ363" s="15">
        <v>30000.0</v>
      </c>
      <c r="EA363" s="15" t="s">
        <v>990</v>
      </c>
      <c r="ED363" s="15">
        <v>0.0</v>
      </c>
      <c r="EE363" s="15">
        <v>1.0</v>
      </c>
      <c r="EG363" s="15" t="s">
        <v>444</v>
      </c>
      <c r="EH363" s="15" t="s">
        <v>4652</v>
      </c>
      <c r="EI363" s="15">
        <v>0.0</v>
      </c>
      <c r="EJ363" s="15" t="s">
        <v>726</v>
      </c>
      <c r="EK363" s="15" t="s">
        <v>727</v>
      </c>
      <c r="EL363" s="15" t="s">
        <v>555</v>
      </c>
      <c r="EM363" s="15" t="str">
        <f>IFERROR(__xludf.DUMMYFUNCTION("""COMPUTED_VALUE"""),"{""value"":25.00,""unit"":""in""}")</f>
        <v>{"value":25.00,"unit":"in"}</v>
      </c>
      <c r="EN363" s="15" t="s">
        <v>505</v>
      </c>
      <c r="EO363" s="15" t="s">
        <v>1574</v>
      </c>
      <c r="ES363" s="15" t="s">
        <v>2737</v>
      </c>
      <c r="ET363" s="15" t="s">
        <v>2402</v>
      </c>
      <c r="EU363" s="15" t="s">
        <v>1331</v>
      </c>
      <c r="EV363" s="15" t="s">
        <v>1064</v>
      </c>
      <c r="EW363" s="15" t="s">
        <v>1309</v>
      </c>
      <c r="EX363" s="15" t="s">
        <v>4653</v>
      </c>
      <c r="EY363" s="15" t="s">
        <v>1064</v>
      </c>
      <c r="EZ363" s="15" t="s">
        <v>1593</v>
      </c>
      <c r="FC363" s="15" t="s">
        <v>723</v>
      </c>
      <c r="FD363" s="15" t="s">
        <v>1076</v>
      </c>
      <c r="FE363" s="15" t="s">
        <v>3408</v>
      </c>
      <c r="FF363" s="15" t="s">
        <v>1239</v>
      </c>
      <c r="FS363" s="15" t="s">
        <v>2436</v>
      </c>
    </row>
    <row r="364" ht="15.75" customHeight="1">
      <c r="A364" s="14" t="s">
        <v>391</v>
      </c>
      <c r="B364" s="15" t="s">
        <v>4668</v>
      </c>
      <c r="C364" s="16"/>
      <c r="D364" s="15" t="s">
        <v>432</v>
      </c>
      <c r="G364" s="14" t="s">
        <v>393</v>
      </c>
      <c r="H364" s="14" t="s">
        <v>394</v>
      </c>
      <c r="I364" s="14" t="b">
        <v>1</v>
      </c>
      <c r="J364" s="14" t="s">
        <v>395</v>
      </c>
      <c r="L364" s="14" t="b">
        <v>0</v>
      </c>
      <c r="M364" s="15" t="s">
        <v>4669</v>
      </c>
      <c r="N364" s="14" t="s">
        <v>393</v>
      </c>
      <c r="O364" s="14" t="s">
        <v>393</v>
      </c>
      <c r="P364" s="15" t="s">
        <v>397</v>
      </c>
      <c r="Q364" s="15" t="s">
        <v>4670</v>
      </c>
      <c r="T364" s="14" t="b">
        <v>0</v>
      </c>
      <c r="U364" s="15" t="s">
        <v>4671</v>
      </c>
      <c r="V364" s="15" t="s">
        <v>4672</v>
      </c>
      <c r="W364" s="15" t="s">
        <v>401</v>
      </c>
      <c r="X364" s="15" t="s">
        <v>742</v>
      </c>
      <c r="Y364" s="15">
        <v>2184.0</v>
      </c>
      <c r="AA364" s="15" t="str">
        <f>"840"</f>
        <v>840</v>
      </c>
      <c r="AB364" s="14" t="b">
        <v>1</v>
      </c>
      <c r="AC364" s="14" t="b">
        <v>1</v>
      </c>
      <c r="AD364" s="15" t="str">
        <f>"198394028523"</f>
        <v>198394028523</v>
      </c>
      <c r="AE364" s="15" t="s">
        <v>4673</v>
      </c>
      <c r="AF364" s="14" t="s">
        <v>404</v>
      </c>
      <c r="AG364" s="14" t="s">
        <v>405</v>
      </c>
      <c r="AH364" s="14" t="s">
        <v>406</v>
      </c>
      <c r="AI364" s="15">
        <v>0.0</v>
      </c>
      <c r="AL364" s="15" t="s">
        <v>407</v>
      </c>
      <c r="AM364" s="15" t="s">
        <v>4674</v>
      </c>
      <c r="AN364" s="15" t="s">
        <v>4675</v>
      </c>
      <c r="AO364" s="15" t="s">
        <v>456</v>
      </c>
      <c r="AP364" s="15" t="s">
        <v>457</v>
      </c>
      <c r="AQ364" s="15" t="s">
        <v>1276</v>
      </c>
      <c r="AR364" s="15" t="s">
        <v>1277</v>
      </c>
      <c r="AS364" s="15" t="s">
        <v>1896</v>
      </c>
      <c r="AT364" s="15" t="s">
        <v>4670</v>
      </c>
      <c r="AW364" s="15" t="s">
        <v>519</v>
      </c>
      <c r="AY364" s="15" t="s">
        <v>413</v>
      </c>
      <c r="AZ364" s="15" t="b">
        <v>0</v>
      </c>
      <c r="BA364" s="15" t="s">
        <v>413</v>
      </c>
      <c r="BB364" s="15" t="b">
        <v>0</v>
      </c>
      <c r="BC364" s="15" t="s">
        <v>4676</v>
      </c>
      <c r="BD364" s="15" t="s">
        <v>742</v>
      </c>
      <c r="BE364" s="15" t="str">
        <f t="shared" si="632"/>
        <v>1</v>
      </c>
      <c r="BF364" s="15" t="s">
        <v>416</v>
      </c>
      <c r="BG364" s="15" t="str">
        <f>"82.87"</f>
        <v>82.87</v>
      </c>
      <c r="BH364" s="15" t="s">
        <v>4677</v>
      </c>
      <c r="BI364" s="15" t="str">
        <f>"22.83"</f>
        <v>22.83</v>
      </c>
      <c r="BJ364" s="15" t="s">
        <v>1543</v>
      </c>
      <c r="BK364" s="15" t="str">
        <f>"37.2"</f>
        <v>37.2</v>
      </c>
      <c r="BL364" s="15" t="s">
        <v>4678</v>
      </c>
      <c r="BM364" s="15" t="str">
        <f>"176.37"</f>
        <v>176.37</v>
      </c>
      <c r="BN364" s="15" t="s">
        <v>4679</v>
      </c>
      <c r="BQ364" s="15" t="s">
        <v>444</v>
      </c>
      <c r="BS364" s="15" t="s">
        <v>444</v>
      </c>
      <c r="BU364" s="15" t="s">
        <v>444</v>
      </c>
      <c r="BW364" s="15" t="s">
        <v>444</v>
      </c>
      <c r="BZ364" s="15" t="s">
        <v>444</v>
      </c>
      <c r="CB364" s="15" t="s">
        <v>444</v>
      </c>
      <c r="CD364" s="15" t="s">
        <v>444</v>
      </c>
      <c r="CF364" s="15" t="s">
        <v>444</v>
      </c>
      <c r="CI364" s="15" t="s">
        <v>444</v>
      </c>
      <c r="CK364" s="15" t="s">
        <v>444</v>
      </c>
      <c r="CM364" s="15" t="s">
        <v>444</v>
      </c>
      <c r="CO364" s="15" t="s">
        <v>444</v>
      </c>
      <c r="CP364" s="15" t="str">
        <f>"40.75"</f>
        <v>40.75</v>
      </c>
      <c r="CQ364" s="15" t="str">
        <f>"1.154"</f>
        <v>1.154</v>
      </c>
      <c r="CR364" s="15" t="s">
        <v>497</v>
      </c>
      <c r="CS364" s="15" t="s">
        <v>1014</v>
      </c>
      <c r="CT364" s="15" t="s">
        <v>1042</v>
      </c>
      <c r="CU364" s="15" t="s">
        <v>4680</v>
      </c>
      <c r="CV364" s="15" t="s">
        <v>1014</v>
      </c>
      <c r="CW364" s="15" t="s">
        <v>4681</v>
      </c>
      <c r="CX364" s="15" t="s">
        <v>4680</v>
      </c>
      <c r="DC364" s="15" t="str">
        <f>IFERROR(__xludf.DUMMYFUNCTION("""COMPUTED_VALUE"""),"")</f>
        <v/>
      </c>
      <c r="DE364" s="15" t="str">
        <f>IFERROR(__xludf.DUMMYFUNCTION("""COMPUTED_VALUE"""),"")</f>
        <v/>
      </c>
      <c r="DG364" s="15" t="str">
        <f>IFERROR(__xludf.DUMMYFUNCTION("""COMPUTED_VALUE"""),"")</f>
        <v/>
      </c>
      <c r="DL364" s="15" t="str">
        <f>IFERROR(__xludf.DUMMYFUNCTION("""COMPUTED_VALUE"""),"")</f>
        <v/>
      </c>
      <c r="DM364" s="15" t="s">
        <v>444</v>
      </c>
      <c r="DN364" s="15" t="s">
        <v>1371</v>
      </c>
      <c r="DO364" s="15">
        <v>3.0</v>
      </c>
      <c r="DP364" s="15" t="s">
        <v>419</v>
      </c>
      <c r="DR364" s="15">
        <v>1.0</v>
      </c>
      <c r="DS364" s="15" t="s">
        <v>426</v>
      </c>
      <c r="DT364" s="15" t="s">
        <v>721</v>
      </c>
      <c r="DU364" s="15" t="s">
        <v>1914</v>
      </c>
      <c r="DY364" s="15">
        <v>0.0</v>
      </c>
      <c r="EF364" s="15" t="s">
        <v>1112</v>
      </c>
      <c r="EG364" s="15" t="s">
        <v>1113</v>
      </c>
      <c r="EH364" s="15" t="s">
        <v>3901</v>
      </c>
      <c r="EJ364" s="15" t="s">
        <v>424</v>
      </c>
      <c r="EK364" s="15" t="s">
        <v>446</v>
      </c>
      <c r="EM364" s="15" t="str">
        <f>IFERROR(__xludf.DUMMYFUNCTION("""COMPUTED_VALUE"""),"")</f>
        <v/>
      </c>
      <c r="EW364" s="15" t="s">
        <v>2505</v>
      </c>
      <c r="EY364" s="15" t="s">
        <v>4682</v>
      </c>
      <c r="FH364" s="15" t="s">
        <v>1014</v>
      </c>
      <c r="FI364" s="15" t="s">
        <v>3644</v>
      </c>
      <c r="FJ364" s="15" t="s">
        <v>4377</v>
      </c>
      <c r="FK364" s="15" t="s">
        <v>1042</v>
      </c>
      <c r="FL364" s="15" t="s">
        <v>426</v>
      </c>
      <c r="FM364" s="15">
        <v>1.0</v>
      </c>
      <c r="FN364" s="15">
        <v>0.0</v>
      </c>
      <c r="FW364" s="15" t="s">
        <v>4683</v>
      </c>
      <c r="GH364" s="15">
        <v>0.0</v>
      </c>
      <c r="GI364" s="15" t="s">
        <v>427</v>
      </c>
      <c r="GQ364" s="15" t="s">
        <v>4684</v>
      </c>
      <c r="GS364" s="15" t="s">
        <v>4685</v>
      </c>
      <c r="GU364" s="15" t="s">
        <v>1432</v>
      </c>
      <c r="GW364" s="15" t="s">
        <v>838</v>
      </c>
      <c r="GY364" s="15" t="s">
        <v>764</v>
      </c>
    </row>
    <row r="365" ht="15.75" customHeight="1">
      <c r="A365" s="14" t="s">
        <v>391</v>
      </c>
      <c r="B365" s="15" t="s">
        <v>4686</v>
      </c>
      <c r="C365" s="16"/>
      <c r="D365" s="15" t="s">
        <v>432</v>
      </c>
      <c r="G365" s="14" t="s">
        <v>393</v>
      </c>
      <c r="H365" s="14" t="s">
        <v>394</v>
      </c>
      <c r="I365" s="14" t="b">
        <v>1</v>
      </c>
      <c r="J365" s="14" t="s">
        <v>395</v>
      </c>
      <c r="L365" s="14" t="b">
        <v>0</v>
      </c>
      <c r="M365" s="15" t="s">
        <v>4687</v>
      </c>
      <c r="N365" s="14" t="s">
        <v>393</v>
      </c>
      <c r="O365" s="14" t="s">
        <v>393</v>
      </c>
      <c r="P365" s="15" t="s">
        <v>397</v>
      </c>
      <c r="Q365" s="15" t="s">
        <v>4231</v>
      </c>
      <c r="T365" s="14" t="b">
        <v>0</v>
      </c>
      <c r="U365" s="15" t="s">
        <v>4688</v>
      </c>
      <c r="V365" s="15" t="s">
        <v>4689</v>
      </c>
      <c r="W365" s="15" t="s">
        <v>401</v>
      </c>
      <c r="X365" s="15" t="s">
        <v>695</v>
      </c>
      <c r="Y365" s="15">
        <v>1703.0</v>
      </c>
      <c r="AA365" s="15" t="str">
        <f>"655"</f>
        <v>655</v>
      </c>
      <c r="AB365" s="14" t="b">
        <v>1</v>
      </c>
      <c r="AC365" s="14" t="b">
        <v>1</v>
      </c>
      <c r="AD365" s="15" t="str">
        <f>"801542709105"</f>
        <v>801542709105</v>
      </c>
      <c r="AE365" s="15" t="s">
        <v>4690</v>
      </c>
      <c r="AF365" s="14" t="s">
        <v>404</v>
      </c>
      <c r="AG365" s="14" t="s">
        <v>405</v>
      </c>
      <c r="AH365" s="14" t="s">
        <v>406</v>
      </c>
      <c r="AI365" s="15">
        <v>0.0</v>
      </c>
      <c r="AL365" s="15" t="s">
        <v>2799</v>
      </c>
      <c r="AM365" s="15" t="s">
        <v>2304</v>
      </c>
      <c r="AN365" s="15" t="s">
        <v>2305</v>
      </c>
      <c r="AO365" s="15" t="s">
        <v>1085</v>
      </c>
      <c r="AP365" s="15" t="s">
        <v>1086</v>
      </c>
      <c r="AQ365" s="15" t="s">
        <v>409</v>
      </c>
      <c r="AR365" s="15" t="s">
        <v>438</v>
      </c>
      <c r="AS365" s="15" t="s">
        <v>2800</v>
      </c>
      <c r="AT365" s="15" t="s">
        <v>4231</v>
      </c>
      <c r="AU365" s="15" t="s">
        <v>4691</v>
      </c>
      <c r="AW365" s="15" t="s">
        <v>458</v>
      </c>
      <c r="AX365" s="15" t="s">
        <v>459</v>
      </c>
      <c r="AY365" s="15" t="s">
        <v>413</v>
      </c>
      <c r="AZ365" s="15" t="b">
        <v>0</v>
      </c>
      <c r="BA365" s="15" t="s">
        <v>413</v>
      </c>
      <c r="BB365" s="15" t="b">
        <v>0</v>
      </c>
      <c r="BC365" s="15" t="s">
        <v>4692</v>
      </c>
      <c r="BD365" s="15" t="s">
        <v>709</v>
      </c>
      <c r="BE365" s="15" t="str">
        <f t="shared" si="632"/>
        <v>1</v>
      </c>
      <c r="BF365" s="15" t="s">
        <v>416</v>
      </c>
      <c r="BG365" s="15" t="str">
        <f>"79.72"</f>
        <v>79.72</v>
      </c>
      <c r="BH365" s="15" t="s">
        <v>4693</v>
      </c>
      <c r="BI365" s="15" t="str">
        <f>"29.72"</f>
        <v>29.72</v>
      </c>
      <c r="BJ365" s="15" t="s">
        <v>4694</v>
      </c>
      <c r="BK365" s="15" t="str">
        <f>"20.28"</f>
        <v>20.28</v>
      </c>
      <c r="BL365" s="15" t="s">
        <v>3667</v>
      </c>
      <c r="BM365" s="15" t="str">
        <f>"89.53"</f>
        <v>89.53</v>
      </c>
      <c r="BN365" s="15" t="s">
        <v>4695</v>
      </c>
      <c r="BQ365" s="15" t="s">
        <v>444</v>
      </c>
      <c r="BS365" s="15" t="s">
        <v>444</v>
      </c>
      <c r="BU365" s="15" t="s">
        <v>444</v>
      </c>
      <c r="BW365" s="15" t="s">
        <v>444</v>
      </c>
      <c r="BZ365" s="15" t="s">
        <v>444</v>
      </c>
      <c r="CB365" s="15" t="s">
        <v>444</v>
      </c>
      <c r="CD365" s="15" t="s">
        <v>444</v>
      </c>
      <c r="CF365" s="15" t="s">
        <v>444</v>
      </c>
      <c r="CI365" s="15" t="s">
        <v>444</v>
      </c>
      <c r="CK365" s="15" t="s">
        <v>444</v>
      </c>
      <c r="CM365" s="15" t="s">
        <v>444</v>
      </c>
      <c r="CO365" s="15" t="s">
        <v>444</v>
      </c>
      <c r="CP365" s="15" t="str">
        <f>"27.79"</f>
        <v>27.79</v>
      </c>
      <c r="CQ365" s="15" t="str">
        <f>"0.787"</f>
        <v>0.787</v>
      </c>
      <c r="CR365" s="15" t="s">
        <v>497</v>
      </c>
      <c r="CY365" s="15" t="s">
        <v>715</v>
      </c>
      <c r="CZ365" s="15" t="s">
        <v>731</v>
      </c>
      <c r="DA365" s="15" t="s">
        <v>4696</v>
      </c>
      <c r="DB365" s="15" t="s">
        <v>715</v>
      </c>
      <c r="DC365" s="15" t="str">
        <f>IFERROR(__xludf.DUMMYFUNCTION("""COMPUTED_VALUE"""),"{""value"":23.23,""unit"":""in""}")</f>
        <v>{"value":23.23,"unit":"in"}</v>
      </c>
      <c r="DD365" s="15" t="s">
        <v>607</v>
      </c>
      <c r="DE365" s="15" t="str">
        <f>IFERROR(__xludf.DUMMYFUNCTION("""COMPUTED_VALUE"""),"{""value"":17.13,""unit"":""in""}")</f>
        <v>{"value":17.13,"unit":"in"}</v>
      </c>
      <c r="DF365" s="15" t="s">
        <v>4696</v>
      </c>
      <c r="DG365" s="15" t="str">
        <f>IFERROR(__xludf.DUMMYFUNCTION("""COMPUTED_VALUE"""),"{""value"":78.74,""unit"":""in""}")</f>
        <v>{"value":78.74,"unit":"in"}</v>
      </c>
      <c r="DH365" s="15">
        <v>0.0</v>
      </c>
      <c r="DI365" s="15">
        <v>0.0</v>
      </c>
      <c r="DJ365" s="15" t="s">
        <v>469</v>
      </c>
      <c r="DK365" s="15" t="s">
        <v>718</v>
      </c>
      <c r="DL365" s="15" t="str">
        <f>IFERROR(__xludf.DUMMYFUNCTION("""COMPUTED_VALUE"""),"Vacuum or light brush only. Do not use water or any cleaning products.")</f>
        <v>Vacuum or light brush only. Do not use water or any cleaning products.</v>
      </c>
      <c r="DM365" s="15" t="s">
        <v>719</v>
      </c>
      <c r="DN365" s="15" t="s">
        <v>419</v>
      </c>
      <c r="DO365" s="15">
        <v>0.0</v>
      </c>
      <c r="DP365" s="15" t="s">
        <v>419</v>
      </c>
      <c r="DQ365" s="15" t="s">
        <v>1255</v>
      </c>
      <c r="DR365" s="15">
        <v>0.0</v>
      </c>
      <c r="DT365" s="15" t="s">
        <v>1111</v>
      </c>
      <c r="DU365" s="15" t="s">
        <v>419</v>
      </c>
      <c r="DV365" s="15">
        <v>0.0</v>
      </c>
      <c r="DW365" s="15">
        <v>0.0</v>
      </c>
      <c r="DX365" s="15">
        <v>0.0</v>
      </c>
      <c r="DY365" s="15">
        <v>0.0</v>
      </c>
      <c r="DZ365" s="15">
        <v>0.0</v>
      </c>
      <c r="EA365" s="15" t="s">
        <v>470</v>
      </c>
      <c r="EB365" s="15" t="s">
        <v>1016</v>
      </c>
      <c r="ED365" s="15">
        <v>1.0</v>
      </c>
      <c r="EE365" s="15">
        <v>3.0</v>
      </c>
      <c r="EF365" s="15" t="s">
        <v>471</v>
      </c>
      <c r="EG365" s="15" t="s">
        <v>472</v>
      </c>
      <c r="EH365" s="15" t="s">
        <v>4697</v>
      </c>
      <c r="EI365" s="15">
        <v>0.0</v>
      </c>
      <c r="EJ365" s="15" t="s">
        <v>473</v>
      </c>
      <c r="EK365" s="15" t="s">
        <v>474</v>
      </c>
      <c r="EM365" s="15" t="str">
        <f>IFERROR(__xludf.DUMMYFUNCTION("""COMPUTED_VALUE"""),"")</f>
        <v/>
      </c>
      <c r="EW365" s="15" t="s">
        <v>729</v>
      </c>
      <c r="EX365" s="15" t="s">
        <v>3361</v>
      </c>
      <c r="EY365" s="15" t="s">
        <v>4698</v>
      </c>
      <c r="FO365" s="15" t="s">
        <v>4696</v>
      </c>
      <c r="FP365" s="15" t="s">
        <v>4696</v>
      </c>
      <c r="KT365" s="15" t="s">
        <v>822</v>
      </c>
      <c r="KU365" s="15" t="s">
        <v>2026</v>
      </c>
      <c r="KV365" s="15" t="s">
        <v>1482</v>
      </c>
    </row>
    <row r="366" ht="15.75" customHeight="1">
      <c r="A366" s="14" t="s">
        <v>391</v>
      </c>
      <c r="B366" s="15" t="s">
        <v>4699</v>
      </c>
      <c r="C366" s="16"/>
      <c r="D366" s="15" t="s">
        <v>432</v>
      </c>
      <c r="G366" s="14" t="s">
        <v>393</v>
      </c>
      <c r="H366" s="14" t="s">
        <v>394</v>
      </c>
      <c r="I366" s="14" t="b">
        <v>1</v>
      </c>
      <c r="J366" s="14" t="s">
        <v>395</v>
      </c>
      <c r="L366" s="14" t="b">
        <v>0</v>
      </c>
      <c r="M366" s="15" t="s">
        <v>4700</v>
      </c>
      <c r="N366" s="14" t="s">
        <v>393</v>
      </c>
      <c r="O366" s="14" t="s">
        <v>393</v>
      </c>
      <c r="P366" s="15" t="s">
        <v>397</v>
      </c>
      <c r="Q366" s="15" t="s">
        <v>4701</v>
      </c>
      <c r="T366" s="14" t="b">
        <v>0</v>
      </c>
      <c r="U366" s="15" t="s">
        <v>4702</v>
      </c>
      <c r="V366" s="15" t="s">
        <v>3273</v>
      </c>
      <c r="W366" s="15" t="s">
        <v>401</v>
      </c>
      <c r="X366" s="15" t="s">
        <v>695</v>
      </c>
      <c r="Y366" s="15">
        <v>1313.0</v>
      </c>
      <c r="AA366" s="15" t="str">
        <f>"505"</f>
        <v>505</v>
      </c>
      <c r="AB366" s="14" t="b">
        <v>1</v>
      </c>
      <c r="AC366" s="14" t="b">
        <v>1</v>
      </c>
      <c r="AD366" s="15" t="str">
        <f>"801542049850"</f>
        <v>801542049850</v>
      </c>
      <c r="AE366" s="15" t="s">
        <v>4703</v>
      </c>
      <c r="AF366" s="14" t="s">
        <v>404</v>
      </c>
      <c r="AG366" s="14" t="s">
        <v>405</v>
      </c>
      <c r="AH366" s="14" t="s">
        <v>406</v>
      </c>
      <c r="AI366" s="15">
        <v>0.0</v>
      </c>
      <c r="AL366" s="15" t="s">
        <v>4704</v>
      </c>
      <c r="AM366" s="15" t="s">
        <v>3943</v>
      </c>
      <c r="AN366" s="15" t="s">
        <v>3944</v>
      </c>
      <c r="AO366" s="15" t="s">
        <v>913</v>
      </c>
      <c r="AP366" s="15" t="s">
        <v>914</v>
      </c>
      <c r="AQ366" s="15" t="s">
        <v>1007</v>
      </c>
      <c r="AR366" s="15" t="s">
        <v>1008</v>
      </c>
      <c r="AS366" s="15" t="s">
        <v>2800</v>
      </c>
      <c r="AT366" s="15" t="s">
        <v>4701</v>
      </c>
      <c r="AU366" s="15" t="s">
        <v>4226</v>
      </c>
      <c r="AW366" s="15" t="s">
        <v>1009</v>
      </c>
      <c r="AY366" s="15" t="s">
        <v>413</v>
      </c>
      <c r="AZ366" s="15" t="b">
        <v>0</v>
      </c>
      <c r="BA366" s="15" t="s">
        <v>426</v>
      </c>
      <c r="BB366" s="15" t="b">
        <v>1</v>
      </c>
      <c r="BC366" s="15" t="s">
        <v>4705</v>
      </c>
      <c r="BD366" s="15" t="s">
        <v>709</v>
      </c>
      <c r="BE366" s="15" t="str">
        <f t="shared" si="632"/>
        <v>1</v>
      </c>
      <c r="BF366" s="15" t="s">
        <v>416</v>
      </c>
      <c r="BG366" s="15" t="str">
        <f>"67.13"</f>
        <v>67.13</v>
      </c>
      <c r="BH366" s="15" t="s">
        <v>4706</v>
      </c>
      <c r="BI366" s="15" t="str">
        <f>"37.01"</f>
        <v>37.01</v>
      </c>
      <c r="BJ366" s="15" t="s">
        <v>1990</v>
      </c>
      <c r="BK366" s="15" t="str">
        <f>"18.31"</f>
        <v>18.31</v>
      </c>
      <c r="BL366" s="15" t="s">
        <v>4707</v>
      </c>
      <c r="BM366" s="15" t="str">
        <f>"100.09"</f>
        <v>100.09</v>
      </c>
      <c r="BN366" s="15" t="s">
        <v>3176</v>
      </c>
      <c r="BQ366" s="15" t="s">
        <v>444</v>
      </c>
      <c r="BS366" s="15" t="s">
        <v>444</v>
      </c>
      <c r="BU366" s="15" t="s">
        <v>444</v>
      </c>
      <c r="BW366" s="15" t="s">
        <v>444</v>
      </c>
      <c r="BZ366" s="15" t="s">
        <v>444</v>
      </c>
      <c r="CB366" s="15" t="s">
        <v>444</v>
      </c>
      <c r="CD366" s="15" t="s">
        <v>444</v>
      </c>
      <c r="CF366" s="15" t="s">
        <v>444</v>
      </c>
      <c r="CI366" s="15" t="s">
        <v>444</v>
      </c>
      <c r="CK366" s="15" t="s">
        <v>444</v>
      </c>
      <c r="CM366" s="15" t="s">
        <v>444</v>
      </c>
      <c r="CO366" s="15" t="s">
        <v>444</v>
      </c>
      <c r="CP366" s="15" t="str">
        <f>"26.31"</f>
        <v>26.31</v>
      </c>
      <c r="CQ366" s="15" t="str">
        <f>"0.745"</f>
        <v>0.745</v>
      </c>
      <c r="CR366" s="15" t="s">
        <v>465</v>
      </c>
      <c r="DB366" s="15" t="s">
        <v>3749</v>
      </c>
      <c r="DC366" s="15" t="str">
        <f>IFERROR(__xludf.DUMMYFUNCTION("""COMPUTED_VALUE"""),"{""value"":30.31,""unit"":""in""}")</f>
        <v>{"value":30.31,"unit":"in"}</v>
      </c>
      <c r="DD366" s="15" t="s">
        <v>1935</v>
      </c>
      <c r="DE366" s="15" t="str">
        <f>IFERROR(__xludf.DUMMYFUNCTION("""COMPUTED_VALUE"""),"{""value"":15.08,""unit"":""in""}")</f>
        <v>{"value":15.08,"unit":"in"}</v>
      </c>
      <c r="DF366" s="15" t="s">
        <v>4708</v>
      </c>
      <c r="DG366" s="15" t="str">
        <f>IFERROR(__xludf.DUMMYFUNCTION("""COMPUTED_VALUE"""),"{""value"":65.75,""unit"":""in""}")</f>
        <v>{"value":65.75,"unit":"in"}</v>
      </c>
      <c r="DI366" s="15">
        <v>0.0</v>
      </c>
      <c r="DK366" s="15" t="s">
        <v>855</v>
      </c>
      <c r="DL366" s="15" t="str">
        <f>IFERROR(__xludf.DUMMYFUNCTION("""COMPUTED_VALUE"""),"Clean with solvent-based (dry clean only) products. Do not use water.")</f>
        <v>Clean with solvent-based (dry clean only) products. Do not use water.</v>
      </c>
      <c r="DM366" s="15" t="s">
        <v>856</v>
      </c>
      <c r="DQ366" s="15" t="s">
        <v>1239</v>
      </c>
      <c r="DT366" s="15" t="s">
        <v>1111</v>
      </c>
      <c r="DU366" s="15" t="s">
        <v>419</v>
      </c>
      <c r="DV366" s="15">
        <v>0.0</v>
      </c>
      <c r="DZ366" s="15">
        <v>50000.0</v>
      </c>
      <c r="EA366" s="15" t="s">
        <v>470</v>
      </c>
      <c r="EB366" s="15" t="s">
        <v>1016</v>
      </c>
      <c r="ED366" s="15">
        <v>1.0</v>
      </c>
      <c r="EE366" s="15">
        <v>3.0</v>
      </c>
      <c r="EF366" s="15" t="s">
        <v>471</v>
      </c>
      <c r="EG366" s="15" t="s">
        <v>472</v>
      </c>
      <c r="EH366" s="15" t="s">
        <v>4697</v>
      </c>
      <c r="EI366" s="15">
        <v>0.0</v>
      </c>
      <c r="EJ366" s="15" t="s">
        <v>473</v>
      </c>
      <c r="EK366" s="15" t="s">
        <v>474</v>
      </c>
      <c r="EM366" s="15" t="str">
        <f>IFERROR(__xludf.DUMMYFUNCTION("""COMPUTED_VALUE"""),"")</f>
        <v/>
      </c>
      <c r="EW366" s="15" t="s">
        <v>1132</v>
      </c>
      <c r="EX366" s="15" t="s">
        <v>4709</v>
      </c>
      <c r="EY366" s="15" t="s">
        <v>1553</v>
      </c>
      <c r="KT366" s="15" t="s">
        <v>4710</v>
      </c>
      <c r="KU366" s="15" t="s">
        <v>2026</v>
      </c>
      <c r="KV366" s="15" t="s">
        <v>2178</v>
      </c>
    </row>
    <row r="367" ht="15.75" customHeight="1">
      <c r="A367" s="14" t="s">
        <v>391</v>
      </c>
      <c r="B367" s="15" t="s">
        <v>4711</v>
      </c>
      <c r="C367" s="16"/>
      <c r="D367" s="15" t="s">
        <v>432</v>
      </c>
      <c r="G367" s="14" t="s">
        <v>393</v>
      </c>
      <c r="H367" s="14" t="s">
        <v>394</v>
      </c>
      <c r="I367" s="14" t="b">
        <v>1</v>
      </c>
      <c r="J367" s="14" t="s">
        <v>395</v>
      </c>
      <c r="L367" s="14" t="b">
        <v>0</v>
      </c>
      <c r="M367" s="15" t="s">
        <v>4712</v>
      </c>
      <c r="N367" s="14" t="s">
        <v>393</v>
      </c>
      <c r="O367" s="14" t="s">
        <v>393</v>
      </c>
      <c r="P367" s="15" t="s">
        <v>397</v>
      </c>
      <c r="Q367" s="15" t="s">
        <v>2868</v>
      </c>
      <c r="T367" s="14" t="b">
        <v>0</v>
      </c>
      <c r="U367" s="15" t="s">
        <v>4713</v>
      </c>
      <c r="V367" s="15" t="s">
        <v>4714</v>
      </c>
      <c r="W367" s="15" t="s">
        <v>401</v>
      </c>
      <c r="X367" s="15" t="s">
        <v>1296</v>
      </c>
      <c r="Y367" s="15">
        <v>533.0</v>
      </c>
      <c r="AA367" s="15" t="str">
        <f>"205"</f>
        <v>205</v>
      </c>
      <c r="AB367" s="14" t="b">
        <v>1</v>
      </c>
      <c r="AC367" s="14" t="b">
        <v>1</v>
      </c>
      <c r="AD367" s="15" t="str">
        <f>"801542745226"</f>
        <v>801542745226</v>
      </c>
      <c r="AE367" s="15" t="s">
        <v>4715</v>
      </c>
      <c r="AF367" s="14" t="s">
        <v>404</v>
      </c>
      <c r="AG367" s="14" t="s">
        <v>405</v>
      </c>
      <c r="AH367" s="14" t="s">
        <v>406</v>
      </c>
      <c r="AI367" s="15">
        <v>0.0</v>
      </c>
      <c r="AL367" s="15" t="s">
        <v>4716</v>
      </c>
      <c r="AM367" s="15" t="s">
        <v>3702</v>
      </c>
      <c r="AN367" s="15" t="s">
        <v>3703</v>
      </c>
      <c r="AO367" s="15" t="s">
        <v>3702</v>
      </c>
      <c r="AP367" s="15" t="s">
        <v>3703</v>
      </c>
      <c r="AQ367" s="15" t="s">
        <v>1246</v>
      </c>
      <c r="AR367" s="15" t="s">
        <v>1247</v>
      </c>
      <c r="AS367" s="15" t="s">
        <v>2630</v>
      </c>
      <c r="AT367" s="15" t="s">
        <v>2868</v>
      </c>
      <c r="AU367" s="15" t="s">
        <v>2254</v>
      </c>
      <c r="AV367" s="15" t="s">
        <v>4717</v>
      </c>
      <c r="AW367" s="15" t="s">
        <v>1154</v>
      </c>
      <c r="AY367" s="15" t="s">
        <v>413</v>
      </c>
      <c r="AZ367" s="15" t="b">
        <v>0</v>
      </c>
      <c r="BA367" s="15" t="s">
        <v>413</v>
      </c>
      <c r="BB367" s="15" t="b">
        <v>0</v>
      </c>
      <c r="BC367" s="15" t="s">
        <v>4718</v>
      </c>
      <c r="BD367" s="15" t="s">
        <v>1303</v>
      </c>
      <c r="BE367" s="15" t="str">
        <f t="shared" si="632"/>
        <v>1</v>
      </c>
      <c r="BF367" s="15" t="s">
        <v>416</v>
      </c>
      <c r="BG367" s="15" t="str">
        <f>"18.5"</f>
        <v>18.5</v>
      </c>
      <c r="BH367" s="15" t="s">
        <v>810</v>
      </c>
      <c r="BI367" s="15" t="str">
        <f>"19"</f>
        <v>19</v>
      </c>
      <c r="BJ367" s="15" t="s">
        <v>457</v>
      </c>
      <c r="BK367" s="15" t="str">
        <f>"20"</f>
        <v>20</v>
      </c>
      <c r="BL367" s="15" t="s">
        <v>438</v>
      </c>
      <c r="BM367" s="15" t="str">
        <f>"65.36"</f>
        <v>65.36</v>
      </c>
      <c r="BN367" s="15" t="s">
        <v>4719</v>
      </c>
      <c r="BQ367" s="15" t="s">
        <v>444</v>
      </c>
      <c r="BS367" s="15" t="s">
        <v>444</v>
      </c>
      <c r="BU367" s="15" t="s">
        <v>444</v>
      </c>
      <c r="BW367" s="15" t="s">
        <v>444</v>
      </c>
      <c r="BZ367" s="15" t="s">
        <v>444</v>
      </c>
      <c r="CB367" s="15" t="s">
        <v>444</v>
      </c>
      <c r="CD367" s="15" t="s">
        <v>444</v>
      </c>
      <c r="CF367" s="15" t="s">
        <v>444</v>
      </c>
      <c r="CI367" s="15" t="s">
        <v>444</v>
      </c>
      <c r="CK367" s="15" t="s">
        <v>444</v>
      </c>
      <c r="CM367" s="15" t="s">
        <v>444</v>
      </c>
      <c r="CO367" s="15" t="s">
        <v>444</v>
      </c>
      <c r="CP367" s="15" t="str">
        <f>"4.06"</f>
        <v>4.06</v>
      </c>
      <c r="CQ367" s="15" t="str">
        <f>"0.115"</f>
        <v>0.115</v>
      </c>
      <c r="CR367" s="15" t="s">
        <v>465</v>
      </c>
      <c r="DC367" s="15" t="str">
        <f>IFERROR(__xludf.DUMMYFUNCTION("""COMPUTED_VALUE"""),"")</f>
        <v/>
      </c>
      <c r="DE367" s="15" t="str">
        <f>IFERROR(__xludf.DUMMYFUNCTION("""COMPUTED_VALUE"""),"")</f>
        <v/>
      </c>
      <c r="DG367" s="15" t="str">
        <f>IFERROR(__xludf.DUMMYFUNCTION("""COMPUTED_VALUE"""),"")</f>
        <v/>
      </c>
      <c r="DL367" s="15" t="str">
        <f>IFERROR(__xludf.DUMMYFUNCTION("""COMPUTED_VALUE"""),"")</f>
        <v/>
      </c>
      <c r="DM367" s="15" t="s">
        <v>444</v>
      </c>
      <c r="DN367" s="15" t="s">
        <v>419</v>
      </c>
      <c r="DO367" s="15">
        <v>0.0</v>
      </c>
      <c r="DP367" s="15" t="s">
        <v>419</v>
      </c>
      <c r="DR367" s="15">
        <v>0.0</v>
      </c>
      <c r="DU367" s="15" t="s">
        <v>419</v>
      </c>
      <c r="DY367" s="15">
        <v>0.0</v>
      </c>
      <c r="EF367" s="15" t="s">
        <v>1157</v>
      </c>
      <c r="EG367" s="15" t="s">
        <v>1158</v>
      </c>
      <c r="EH367" s="15" t="s">
        <v>4720</v>
      </c>
      <c r="EJ367" s="15" t="s">
        <v>500</v>
      </c>
      <c r="EK367" s="15" t="s">
        <v>501</v>
      </c>
      <c r="EM367" s="15" t="str">
        <f>IFERROR(__xludf.DUMMYFUNCTION("""COMPUTED_VALUE"""),"")</f>
        <v/>
      </c>
      <c r="EW367" s="15" t="s">
        <v>1072</v>
      </c>
      <c r="FH367" s="15" t="s">
        <v>2116</v>
      </c>
      <c r="FI367" s="15" t="s">
        <v>531</v>
      </c>
      <c r="FJ367" s="15" t="s">
        <v>2116</v>
      </c>
      <c r="FK367" s="15" t="s">
        <v>1512</v>
      </c>
      <c r="FM367" s="15">
        <v>0.0</v>
      </c>
      <c r="FN367" s="15">
        <v>0.0</v>
      </c>
      <c r="FW367" s="15" t="s">
        <v>635</v>
      </c>
    </row>
    <row r="368" ht="15.75" customHeight="1">
      <c r="A368" s="14" t="s">
        <v>391</v>
      </c>
      <c r="B368" s="15" t="s">
        <v>4721</v>
      </c>
      <c r="C368" s="16"/>
      <c r="D368" s="15" t="s">
        <v>432</v>
      </c>
      <c r="G368" s="14" t="s">
        <v>393</v>
      </c>
      <c r="H368" s="14" t="s">
        <v>394</v>
      </c>
      <c r="I368" s="14" t="b">
        <v>1</v>
      </c>
      <c r="J368" s="14" t="s">
        <v>395</v>
      </c>
      <c r="L368" s="14" t="b">
        <v>0</v>
      </c>
      <c r="M368" s="15" t="s">
        <v>4722</v>
      </c>
      <c r="N368" s="14" t="s">
        <v>393</v>
      </c>
      <c r="O368" s="14" t="s">
        <v>393</v>
      </c>
      <c r="P368" s="15" t="s">
        <v>397</v>
      </c>
      <c r="Q368" s="15" t="s">
        <v>4577</v>
      </c>
      <c r="T368" s="14" t="b">
        <v>0</v>
      </c>
      <c r="U368" s="15" t="s">
        <v>4723</v>
      </c>
      <c r="V368" s="15" t="s">
        <v>4724</v>
      </c>
      <c r="W368" s="15" t="s">
        <v>401</v>
      </c>
      <c r="X368" s="15" t="s">
        <v>1296</v>
      </c>
      <c r="Y368" s="15">
        <v>611.0</v>
      </c>
      <c r="AA368" s="15" t="str">
        <f>"235"</f>
        <v>235</v>
      </c>
      <c r="AB368" s="14" t="b">
        <v>1</v>
      </c>
      <c r="AC368" s="14" t="b">
        <v>1</v>
      </c>
      <c r="AD368" s="15" t="str">
        <f>"801542500016"</f>
        <v>801542500016</v>
      </c>
      <c r="AE368" s="15" t="s">
        <v>4725</v>
      </c>
      <c r="AF368" s="14" t="s">
        <v>404</v>
      </c>
      <c r="AG368" s="14" t="s">
        <v>405</v>
      </c>
      <c r="AH368" s="14" t="s">
        <v>406</v>
      </c>
      <c r="AI368" s="15">
        <v>0.0</v>
      </c>
      <c r="AL368" s="15" t="s">
        <v>4726</v>
      </c>
      <c r="AM368" s="15" t="s">
        <v>1561</v>
      </c>
      <c r="AN368" s="15" t="s">
        <v>1562</v>
      </c>
      <c r="AO368" s="15" t="s">
        <v>2039</v>
      </c>
      <c r="AP368" s="15" t="s">
        <v>2040</v>
      </c>
      <c r="AQ368" s="15" t="s">
        <v>1175</v>
      </c>
      <c r="AR368" s="15" t="s">
        <v>1176</v>
      </c>
      <c r="AS368" s="15" t="s">
        <v>3586</v>
      </c>
      <c r="AT368" s="15" t="s">
        <v>4577</v>
      </c>
      <c r="AU368" s="15" t="s">
        <v>4336</v>
      </c>
      <c r="AW368" s="15" t="s">
        <v>628</v>
      </c>
      <c r="AY368" s="15" t="s">
        <v>413</v>
      </c>
      <c r="AZ368" s="15" t="b">
        <v>0</v>
      </c>
      <c r="BA368" s="15" t="s">
        <v>413</v>
      </c>
      <c r="BB368" s="15" t="b">
        <v>0</v>
      </c>
      <c r="BC368" s="15" t="s">
        <v>4727</v>
      </c>
      <c r="BD368" s="15" t="s">
        <v>1303</v>
      </c>
      <c r="BE368" s="15" t="str">
        <f t="shared" ref="BE368:BE369" si="660">"2"</f>
        <v>2</v>
      </c>
      <c r="BF368" s="15" t="s">
        <v>1564</v>
      </c>
      <c r="BG368" s="15" t="str">
        <f>"22.76"</f>
        <v>22.76</v>
      </c>
      <c r="BH368" s="15" t="s">
        <v>3124</v>
      </c>
      <c r="BI368" s="15" t="str">
        <f>"9.49"</f>
        <v>9.49</v>
      </c>
      <c r="BJ368" s="15" t="s">
        <v>4728</v>
      </c>
      <c r="BK368" s="15" t="str">
        <f>"27.01"</f>
        <v>27.01</v>
      </c>
      <c r="BL368" s="15" t="s">
        <v>4729</v>
      </c>
      <c r="BM368" s="15" t="str">
        <f>"74.56"</f>
        <v>74.56</v>
      </c>
      <c r="BN368" s="15" t="s">
        <v>2323</v>
      </c>
      <c r="BO368" s="15" t="s">
        <v>4730</v>
      </c>
      <c r="BP368" s="15" t="str">
        <f>"25.5"</f>
        <v>25.5</v>
      </c>
      <c r="BQ368" s="15" t="s">
        <v>2062</v>
      </c>
      <c r="BR368" s="15" t="str">
        <f>"19.25"</f>
        <v>19.25</v>
      </c>
      <c r="BS368" s="15" t="s">
        <v>455</v>
      </c>
      <c r="BT368" s="15" t="str">
        <f>"29.5"</f>
        <v>29.5</v>
      </c>
      <c r="BU368" s="15" t="s">
        <v>2307</v>
      </c>
      <c r="BV368" s="15" t="str">
        <f>"22.27"</f>
        <v>22.27</v>
      </c>
      <c r="BW368" s="15" t="s">
        <v>4731</v>
      </c>
      <c r="BZ368" s="15" t="s">
        <v>444</v>
      </c>
      <c r="CB368" s="15" t="s">
        <v>444</v>
      </c>
      <c r="CD368" s="15" t="s">
        <v>444</v>
      </c>
      <c r="CF368" s="15" t="s">
        <v>444</v>
      </c>
      <c r="CI368" s="15" t="s">
        <v>444</v>
      </c>
      <c r="CK368" s="15" t="s">
        <v>444</v>
      </c>
      <c r="CM368" s="15" t="s">
        <v>444</v>
      </c>
      <c r="CO368" s="15" t="s">
        <v>444</v>
      </c>
      <c r="CP368" s="15" t="str">
        <f>"11.76"</f>
        <v>11.76</v>
      </c>
      <c r="CQ368" s="15" t="str">
        <f>"0.333"</f>
        <v>0.333</v>
      </c>
      <c r="CR368" s="15" t="s">
        <v>497</v>
      </c>
      <c r="CS368" s="15" t="s">
        <v>504</v>
      </c>
      <c r="CT368" s="15" t="s">
        <v>1309</v>
      </c>
      <c r="CU368" s="15" t="s">
        <v>1324</v>
      </c>
      <c r="CV368" s="15" t="s">
        <v>504</v>
      </c>
      <c r="CW368" s="15" t="s">
        <v>4732</v>
      </c>
      <c r="CX368" s="15" t="s">
        <v>1324</v>
      </c>
      <c r="DC368" s="15" t="str">
        <f>IFERROR(__xludf.DUMMYFUNCTION("""COMPUTED_VALUE"""),"")</f>
        <v/>
      </c>
      <c r="DE368" s="15" t="str">
        <f>IFERROR(__xludf.DUMMYFUNCTION("""COMPUTED_VALUE"""),"")</f>
        <v/>
      </c>
      <c r="DG368" s="15" t="str">
        <f>IFERROR(__xludf.DUMMYFUNCTION("""COMPUTED_VALUE"""),"")</f>
        <v/>
      </c>
      <c r="DL368" s="15" t="str">
        <f>IFERROR(__xludf.DUMMYFUNCTION("""COMPUTED_VALUE"""),"")</f>
        <v/>
      </c>
      <c r="DM368" s="15" t="s">
        <v>444</v>
      </c>
      <c r="DN368" s="15" t="s">
        <v>419</v>
      </c>
      <c r="DO368" s="15">
        <v>0.0</v>
      </c>
      <c r="DP368" s="15" t="s">
        <v>419</v>
      </c>
      <c r="DR368" s="15">
        <v>2.0</v>
      </c>
      <c r="DS368" s="15" t="s">
        <v>426</v>
      </c>
      <c r="DU368" s="15" t="s">
        <v>1914</v>
      </c>
      <c r="DY368" s="15">
        <v>0.0</v>
      </c>
      <c r="EF368" s="15" t="s">
        <v>1112</v>
      </c>
      <c r="EG368" s="15" t="s">
        <v>1113</v>
      </c>
      <c r="EH368" s="15" t="s">
        <v>4733</v>
      </c>
      <c r="EJ368" s="15" t="s">
        <v>500</v>
      </c>
      <c r="EK368" s="15" t="s">
        <v>501</v>
      </c>
      <c r="EM368" s="15" t="str">
        <f>IFERROR(__xludf.DUMMYFUNCTION("""COMPUTED_VALUE"""),"")</f>
        <v/>
      </c>
      <c r="EW368" s="15" t="s">
        <v>3545</v>
      </c>
      <c r="FL368" s="15" t="s">
        <v>426</v>
      </c>
      <c r="FM368" s="15">
        <v>0.0</v>
      </c>
      <c r="GH368" s="15">
        <v>0.0</v>
      </c>
      <c r="GI368" s="15" t="s">
        <v>427</v>
      </c>
    </row>
    <row r="369" ht="15.75" customHeight="1">
      <c r="A369" s="14" t="s">
        <v>391</v>
      </c>
      <c r="B369" s="15" t="s">
        <v>4734</v>
      </c>
      <c r="C369" s="16"/>
      <c r="D369" s="15" t="s">
        <v>432</v>
      </c>
      <c r="G369" s="14" t="s">
        <v>393</v>
      </c>
      <c r="H369" s="14" t="s">
        <v>394</v>
      </c>
      <c r="I369" s="14" t="b">
        <v>1</v>
      </c>
      <c r="J369" s="14" t="s">
        <v>395</v>
      </c>
      <c r="L369" s="14" t="b">
        <v>0</v>
      </c>
      <c r="M369" s="15" t="s">
        <v>4735</v>
      </c>
      <c r="N369" s="14" t="s">
        <v>393</v>
      </c>
      <c r="O369" s="14" t="s">
        <v>393</v>
      </c>
      <c r="P369" s="15" t="s">
        <v>397</v>
      </c>
      <c r="Q369" s="15" t="s">
        <v>4736</v>
      </c>
      <c r="T369" s="14" t="b">
        <v>0</v>
      </c>
      <c r="U369" s="15" t="s">
        <v>4737</v>
      </c>
      <c r="V369" s="15" t="s">
        <v>4143</v>
      </c>
      <c r="W369" s="15" t="s">
        <v>401</v>
      </c>
      <c r="X369" s="15" t="s">
        <v>1296</v>
      </c>
      <c r="Y369" s="15">
        <v>2080.0</v>
      </c>
      <c r="AA369" s="15" t="str">
        <f>"800"</f>
        <v>800</v>
      </c>
      <c r="AB369" s="14" t="b">
        <v>1</v>
      </c>
      <c r="AC369" s="14" t="b">
        <v>1</v>
      </c>
      <c r="AD369" s="15" t="str">
        <f>"801542280376"</f>
        <v>801542280376</v>
      </c>
      <c r="AE369" s="15" t="s">
        <v>4738</v>
      </c>
      <c r="AF369" s="14" t="s">
        <v>404</v>
      </c>
      <c r="AG369" s="14" t="s">
        <v>405</v>
      </c>
      <c r="AH369" s="14" t="s">
        <v>406</v>
      </c>
      <c r="AI369" s="15">
        <v>0.0</v>
      </c>
      <c r="AL369" s="15" t="s">
        <v>4726</v>
      </c>
      <c r="AM369" s="15" t="s">
        <v>2088</v>
      </c>
      <c r="AN369" s="15" t="s">
        <v>2089</v>
      </c>
      <c r="AO369" s="15" t="s">
        <v>2088</v>
      </c>
      <c r="AP369" s="15" t="s">
        <v>2089</v>
      </c>
      <c r="AQ369" s="15" t="s">
        <v>489</v>
      </c>
      <c r="AR369" s="15" t="s">
        <v>490</v>
      </c>
      <c r="AS369" s="15" t="s">
        <v>4739</v>
      </c>
      <c r="AT369" s="15" t="s">
        <v>4736</v>
      </c>
      <c r="AU369" s="15" t="s">
        <v>4740</v>
      </c>
      <c r="AW369" s="15" t="s">
        <v>491</v>
      </c>
      <c r="AY369" s="15" t="s">
        <v>413</v>
      </c>
      <c r="AZ369" s="15" t="b">
        <v>0</v>
      </c>
      <c r="BA369" s="15" t="s">
        <v>413</v>
      </c>
      <c r="BB369" s="15" t="b">
        <v>0</v>
      </c>
      <c r="BC369" s="15" t="s">
        <v>4741</v>
      </c>
      <c r="BD369" s="15" t="s">
        <v>1303</v>
      </c>
      <c r="BE369" s="15" t="str">
        <f t="shared" si="660"/>
        <v>2</v>
      </c>
      <c r="BF369" s="15" t="s">
        <v>2238</v>
      </c>
      <c r="BG369" s="15" t="str">
        <f>"44.25"</f>
        <v>44.25</v>
      </c>
      <c r="BH369" s="15" t="s">
        <v>4742</v>
      </c>
      <c r="BI369" s="15" t="str">
        <f>"44.25"</f>
        <v>44.25</v>
      </c>
      <c r="BJ369" s="15" t="s">
        <v>4742</v>
      </c>
      <c r="BK369" s="15" t="str">
        <f>"17"</f>
        <v>17</v>
      </c>
      <c r="BL369" s="15" t="s">
        <v>1153</v>
      </c>
      <c r="BM369" s="15" t="str">
        <f>"59.97"</f>
        <v>59.97</v>
      </c>
      <c r="BN369" s="15" t="s">
        <v>884</v>
      </c>
      <c r="BO369" s="15" t="s">
        <v>1564</v>
      </c>
      <c r="BP369" s="15" t="str">
        <f>"56.5"</f>
        <v>56.5</v>
      </c>
      <c r="BQ369" s="15" t="s">
        <v>4743</v>
      </c>
      <c r="BR369" s="15" t="str">
        <f>"8"</f>
        <v>8</v>
      </c>
      <c r="BS369" s="15" t="s">
        <v>2787</v>
      </c>
      <c r="BT369" s="15" t="str">
        <f>"56.5"</f>
        <v>56.5</v>
      </c>
      <c r="BU369" s="15" t="s">
        <v>4743</v>
      </c>
      <c r="BV369" s="15" t="str">
        <f>"248.24"</f>
        <v>248.24</v>
      </c>
      <c r="BW369" s="15" t="s">
        <v>3471</v>
      </c>
      <c r="BZ369" s="15" t="s">
        <v>444</v>
      </c>
      <c r="CB369" s="15" t="s">
        <v>444</v>
      </c>
      <c r="CD369" s="15" t="s">
        <v>444</v>
      </c>
      <c r="CF369" s="15" t="s">
        <v>444</v>
      </c>
      <c r="CI369" s="15" t="s">
        <v>444</v>
      </c>
      <c r="CK369" s="15" t="s">
        <v>444</v>
      </c>
      <c r="CM369" s="15" t="s">
        <v>444</v>
      </c>
      <c r="CO369" s="15" t="s">
        <v>444</v>
      </c>
      <c r="CP369" s="15" t="str">
        <f>"34.01"</f>
        <v>34.01</v>
      </c>
      <c r="CQ369" s="15" t="str">
        <f>"0.963"</f>
        <v>0.963</v>
      </c>
      <c r="CR369" s="15" t="s">
        <v>465</v>
      </c>
      <c r="DC369" s="15" t="str">
        <f>IFERROR(__xludf.DUMMYFUNCTION("""COMPUTED_VALUE"""),"")</f>
        <v/>
      </c>
      <c r="DE369" s="15" t="str">
        <f>IFERROR(__xludf.DUMMYFUNCTION("""COMPUTED_VALUE"""),"")</f>
        <v/>
      </c>
      <c r="DG369" s="15" t="str">
        <f>IFERROR(__xludf.DUMMYFUNCTION("""COMPUTED_VALUE"""),"")</f>
        <v/>
      </c>
      <c r="DL369" s="15" t="str">
        <f>IFERROR(__xludf.DUMMYFUNCTION("""COMPUTED_VALUE"""),"")</f>
        <v/>
      </c>
      <c r="DM369" s="15" t="s">
        <v>444</v>
      </c>
      <c r="DN369" s="15" t="s">
        <v>419</v>
      </c>
      <c r="DO369" s="15">
        <v>0.0</v>
      </c>
      <c r="DP369" s="15" t="s">
        <v>419</v>
      </c>
      <c r="DR369" s="15">
        <v>0.0</v>
      </c>
      <c r="DU369" s="15" t="s">
        <v>419</v>
      </c>
      <c r="DY369" s="15">
        <v>0.0</v>
      </c>
      <c r="EF369" s="15" t="s">
        <v>1157</v>
      </c>
      <c r="EG369" s="15" t="s">
        <v>1158</v>
      </c>
      <c r="EH369" s="15" t="s">
        <v>4733</v>
      </c>
      <c r="EJ369" s="15" t="s">
        <v>500</v>
      </c>
      <c r="EK369" s="15" t="s">
        <v>501</v>
      </c>
      <c r="EM369" s="15" t="str">
        <f>IFERROR(__xludf.DUMMYFUNCTION("""COMPUTED_VALUE"""),"")</f>
        <v/>
      </c>
      <c r="EW369" s="15" t="s">
        <v>1996</v>
      </c>
      <c r="FH369" s="15" t="s">
        <v>4410</v>
      </c>
      <c r="FI369" s="15" t="s">
        <v>1238</v>
      </c>
      <c r="FJ369" s="15" t="s">
        <v>4410</v>
      </c>
      <c r="FK369" s="15" t="s">
        <v>784</v>
      </c>
      <c r="FM369" s="15">
        <v>0.0</v>
      </c>
      <c r="FN369" s="15">
        <v>0.0</v>
      </c>
      <c r="FW369" s="15" t="s">
        <v>762</v>
      </c>
    </row>
    <row r="370" ht="15.75" customHeight="1">
      <c r="A370" s="14" t="s">
        <v>391</v>
      </c>
      <c r="B370" s="15" t="s">
        <v>4744</v>
      </c>
      <c r="C370" s="16"/>
      <c r="D370" s="15" t="s">
        <v>432</v>
      </c>
      <c r="G370" s="14" t="s">
        <v>393</v>
      </c>
      <c r="H370" s="14" t="s">
        <v>394</v>
      </c>
      <c r="I370" s="14" t="b">
        <v>1</v>
      </c>
      <c r="J370" s="14" t="s">
        <v>395</v>
      </c>
      <c r="L370" s="14" t="b">
        <v>0</v>
      </c>
      <c r="M370" s="15" t="s">
        <v>4745</v>
      </c>
      <c r="N370" s="14" t="s">
        <v>393</v>
      </c>
      <c r="O370" s="14" t="s">
        <v>393</v>
      </c>
      <c r="P370" s="15" t="s">
        <v>397</v>
      </c>
      <c r="Q370" s="15" t="s">
        <v>4746</v>
      </c>
      <c r="T370" s="14" t="b">
        <v>0</v>
      </c>
      <c r="U370" s="15" t="s">
        <v>4747</v>
      </c>
      <c r="V370" s="15" t="s">
        <v>4748</v>
      </c>
      <c r="W370" s="15" t="s">
        <v>401</v>
      </c>
      <c r="X370" s="15" t="s">
        <v>1172</v>
      </c>
      <c r="Y370" s="15">
        <v>3068.0</v>
      </c>
      <c r="AA370" s="15" t="str">
        <f>"1180"</f>
        <v>1180</v>
      </c>
      <c r="AB370" s="14" t="b">
        <v>1</v>
      </c>
      <c r="AC370" s="14" t="b">
        <v>1</v>
      </c>
      <c r="AD370" s="15" t="str">
        <f>"801542091071"</f>
        <v>801542091071</v>
      </c>
      <c r="AE370" s="15" t="s">
        <v>4749</v>
      </c>
      <c r="AF370" s="14" t="s">
        <v>404</v>
      </c>
      <c r="AG370" s="14" t="s">
        <v>405</v>
      </c>
      <c r="AH370" s="14" t="s">
        <v>406</v>
      </c>
      <c r="AI370" s="15">
        <v>0.0</v>
      </c>
      <c r="AL370" s="15" t="s">
        <v>4750</v>
      </c>
      <c r="AM370" s="15" t="s">
        <v>2873</v>
      </c>
      <c r="AN370" s="15" t="s">
        <v>2874</v>
      </c>
      <c r="AO370" s="15" t="s">
        <v>1152</v>
      </c>
      <c r="AP370" s="15" t="s">
        <v>1153</v>
      </c>
      <c r="AQ370" s="15" t="s">
        <v>1364</v>
      </c>
      <c r="AR370" s="15" t="s">
        <v>1365</v>
      </c>
      <c r="AS370" s="15" t="s">
        <v>1179</v>
      </c>
      <c r="AT370" s="15" t="s">
        <v>4746</v>
      </c>
      <c r="AU370" s="15" t="s">
        <v>4751</v>
      </c>
      <c r="AV370" s="15" t="s">
        <v>4752</v>
      </c>
      <c r="AW370" s="15" t="s">
        <v>412</v>
      </c>
      <c r="AY370" s="15" t="s">
        <v>426</v>
      </c>
      <c r="AZ370" s="15" t="b">
        <v>1</v>
      </c>
      <c r="BA370" s="15" t="s">
        <v>413</v>
      </c>
      <c r="BB370" s="15" t="b">
        <v>0</v>
      </c>
      <c r="BC370" s="15" t="s">
        <v>4753</v>
      </c>
      <c r="BD370" s="15" t="s">
        <v>1181</v>
      </c>
      <c r="BE370" s="15" t="str">
        <f t="shared" ref="BE370:BE397" si="661">"1"</f>
        <v>1</v>
      </c>
      <c r="BF370" s="15" t="s">
        <v>416</v>
      </c>
      <c r="BG370" s="15" t="str">
        <f>"67.32"</f>
        <v>67.32</v>
      </c>
      <c r="BH370" s="15" t="s">
        <v>4754</v>
      </c>
      <c r="BI370" s="15" t="str">
        <f>"22.83"</f>
        <v>22.83</v>
      </c>
      <c r="BJ370" s="15" t="s">
        <v>1543</v>
      </c>
      <c r="BK370" s="15" t="str">
        <f>"42.91"</f>
        <v>42.91</v>
      </c>
      <c r="BL370" s="15" t="s">
        <v>4755</v>
      </c>
      <c r="BM370" s="15" t="str">
        <f>"235.01"</f>
        <v>235.01</v>
      </c>
      <c r="BN370" s="15" t="s">
        <v>4756</v>
      </c>
      <c r="BQ370" s="15" t="s">
        <v>444</v>
      </c>
      <c r="BS370" s="15" t="s">
        <v>444</v>
      </c>
      <c r="BU370" s="15" t="s">
        <v>444</v>
      </c>
      <c r="BW370" s="15" t="s">
        <v>444</v>
      </c>
      <c r="BZ370" s="15" t="s">
        <v>444</v>
      </c>
      <c r="CB370" s="15" t="s">
        <v>444</v>
      </c>
      <c r="CD370" s="15" t="s">
        <v>444</v>
      </c>
      <c r="CF370" s="15" t="s">
        <v>444</v>
      </c>
      <c r="CI370" s="15" t="s">
        <v>444</v>
      </c>
      <c r="CK370" s="15" t="s">
        <v>444</v>
      </c>
      <c r="CM370" s="15" t="s">
        <v>444</v>
      </c>
      <c r="CO370" s="15" t="s">
        <v>444</v>
      </c>
      <c r="CP370" s="15" t="str">
        <f>"38.18"</f>
        <v>38.18</v>
      </c>
      <c r="CQ370" s="15" t="str">
        <f>"1.081"</f>
        <v>1.081</v>
      </c>
      <c r="CR370" s="15" t="s">
        <v>497</v>
      </c>
      <c r="DC370" s="15" t="str">
        <f>IFERROR(__xludf.DUMMYFUNCTION("""COMPUTED_VALUE"""),"")</f>
        <v/>
      </c>
      <c r="DE370" s="15" t="str">
        <f>IFERROR(__xludf.DUMMYFUNCTION("""COMPUTED_VALUE"""),"")</f>
        <v/>
      </c>
      <c r="DG370" s="15" t="str">
        <f>IFERROR(__xludf.DUMMYFUNCTION("""COMPUTED_VALUE"""),"")</f>
        <v/>
      </c>
      <c r="DL370" s="15" t="str">
        <f>IFERROR(__xludf.DUMMYFUNCTION("""COMPUTED_VALUE"""),"")</f>
        <v/>
      </c>
      <c r="DM370" s="15" t="s">
        <v>444</v>
      </c>
      <c r="DN370" s="15" t="s">
        <v>418</v>
      </c>
      <c r="DO370" s="15">
        <v>6.0</v>
      </c>
      <c r="DP370" s="15" t="s">
        <v>1185</v>
      </c>
      <c r="DR370" s="15">
        <v>0.0</v>
      </c>
      <c r="DT370" s="15" t="s">
        <v>1186</v>
      </c>
      <c r="DU370" s="15" t="s">
        <v>421</v>
      </c>
      <c r="DY370" s="15">
        <v>0.0</v>
      </c>
      <c r="EF370" s="15" t="s">
        <v>422</v>
      </c>
      <c r="EG370" s="15" t="s">
        <v>445</v>
      </c>
      <c r="EH370" s="15" t="s">
        <v>4757</v>
      </c>
      <c r="EJ370" s="15" t="s">
        <v>500</v>
      </c>
      <c r="EK370" s="15" t="s">
        <v>501</v>
      </c>
      <c r="EM370" s="15" t="str">
        <f>IFERROR(__xludf.DUMMYFUNCTION("""COMPUTED_VALUE"""),"")</f>
        <v/>
      </c>
      <c r="EW370" s="15" t="s">
        <v>2603</v>
      </c>
      <c r="FL370" s="15" t="s">
        <v>426</v>
      </c>
      <c r="FM370" s="15">
        <v>0.0</v>
      </c>
      <c r="GH370" s="15">
        <v>0.0</v>
      </c>
      <c r="GI370" s="15" t="s">
        <v>427</v>
      </c>
      <c r="GO370" s="15" t="s">
        <v>426</v>
      </c>
      <c r="GQ370" s="15" t="s">
        <v>1374</v>
      </c>
      <c r="GR370" s="15" t="s">
        <v>1374</v>
      </c>
      <c r="GS370" s="15" t="s">
        <v>4758</v>
      </c>
      <c r="GT370" s="15" t="s">
        <v>1483</v>
      </c>
      <c r="GU370" s="15" t="s">
        <v>4759</v>
      </c>
      <c r="GV370" s="15" t="s">
        <v>4759</v>
      </c>
      <c r="GW370" s="15" t="s">
        <v>431</v>
      </c>
      <c r="GY370" s="15" t="s">
        <v>764</v>
      </c>
      <c r="GZ370" s="15" t="s">
        <v>426</v>
      </c>
    </row>
    <row r="371" ht="15.75" customHeight="1">
      <c r="A371" s="14" t="s">
        <v>391</v>
      </c>
      <c r="B371" s="15" t="s">
        <v>4760</v>
      </c>
      <c r="C371" s="16"/>
      <c r="D371" s="15" t="s">
        <v>432</v>
      </c>
      <c r="G371" s="14" t="s">
        <v>393</v>
      </c>
      <c r="H371" s="14" t="s">
        <v>394</v>
      </c>
      <c r="I371" s="14" t="b">
        <v>1</v>
      </c>
      <c r="J371" s="14" t="s">
        <v>395</v>
      </c>
      <c r="L371" s="14" t="b">
        <v>0</v>
      </c>
      <c r="M371" s="15" t="s">
        <v>4761</v>
      </c>
      <c r="N371" s="14" t="s">
        <v>393</v>
      </c>
      <c r="O371" s="14" t="s">
        <v>393</v>
      </c>
      <c r="P371" s="15" t="s">
        <v>397</v>
      </c>
      <c r="Q371" s="15" t="s">
        <v>4746</v>
      </c>
      <c r="T371" s="14" t="b">
        <v>0</v>
      </c>
      <c r="U371" s="15" t="s">
        <v>4762</v>
      </c>
      <c r="V371" s="15" t="s">
        <v>4763</v>
      </c>
      <c r="W371" s="15" t="s">
        <v>401</v>
      </c>
      <c r="X371" s="15" t="s">
        <v>1172</v>
      </c>
      <c r="Y371" s="15">
        <v>2080.0</v>
      </c>
      <c r="AA371" s="15" t="str">
        <f>"800"</f>
        <v>800</v>
      </c>
      <c r="AB371" s="14" t="b">
        <v>1</v>
      </c>
      <c r="AC371" s="14" t="b">
        <v>1</v>
      </c>
      <c r="AD371" s="15" t="str">
        <f>"801542070014"</f>
        <v>801542070014</v>
      </c>
      <c r="AE371" s="15" t="s">
        <v>4764</v>
      </c>
      <c r="AF371" s="14" t="s">
        <v>404</v>
      </c>
      <c r="AG371" s="14" t="s">
        <v>405</v>
      </c>
      <c r="AH371" s="14" t="s">
        <v>406</v>
      </c>
      <c r="AI371" s="15">
        <v>0.0</v>
      </c>
      <c r="AL371" s="15" t="s">
        <v>4750</v>
      </c>
      <c r="AM371" s="15" t="s">
        <v>487</v>
      </c>
      <c r="AN371" s="15" t="s">
        <v>488</v>
      </c>
      <c r="AO371" s="15" t="s">
        <v>4283</v>
      </c>
      <c r="AP371" s="15" t="s">
        <v>4284</v>
      </c>
      <c r="AQ371" s="15" t="s">
        <v>2229</v>
      </c>
      <c r="AR371" s="15" t="s">
        <v>2230</v>
      </c>
      <c r="AS371" s="15" t="s">
        <v>1179</v>
      </c>
      <c r="AT371" s="15" t="s">
        <v>4746</v>
      </c>
      <c r="AU371" s="15" t="s">
        <v>4751</v>
      </c>
      <c r="AV371" s="15" t="s">
        <v>4752</v>
      </c>
      <c r="AW371" s="15" t="s">
        <v>2134</v>
      </c>
      <c r="AX371" s="15" t="s">
        <v>2171</v>
      </c>
      <c r="AY371" s="15" t="s">
        <v>413</v>
      </c>
      <c r="AZ371" s="15" t="b">
        <v>0</v>
      </c>
      <c r="BA371" s="15" t="s">
        <v>413</v>
      </c>
      <c r="BB371" s="15" t="b">
        <v>0</v>
      </c>
      <c r="BC371" s="15" t="s">
        <v>4765</v>
      </c>
      <c r="BD371" s="15" t="s">
        <v>1181</v>
      </c>
      <c r="BE371" s="15" t="str">
        <f t="shared" si="661"/>
        <v>1</v>
      </c>
      <c r="BF371" s="15" t="s">
        <v>416</v>
      </c>
      <c r="BG371" s="15" t="str">
        <f>"60.83"</f>
        <v>60.83</v>
      </c>
      <c r="BH371" s="15" t="s">
        <v>4766</v>
      </c>
      <c r="BI371" s="15" t="str">
        <f>"29.33"</f>
        <v>29.33</v>
      </c>
      <c r="BJ371" s="15" t="s">
        <v>1090</v>
      </c>
      <c r="BK371" s="15" t="str">
        <f>"38.98"</f>
        <v>38.98</v>
      </c>
      <c r="BL371" s="15" t="s">
        <v>927</v>
      </c>
      <c r="BM371" s="15" t="str">
        <f>"142.68"</f>
        <v>142.68</v>
      </c>
      <c r="BN371" s="15" t="s">
        <v>4767</v>
      </c>
      <c r="BQ371" s="15" t="s">
        <v>444</v>
      </c>
      <c r="BS371" s="15" t="s">
        <v>444</v>
      </c>
      <c r="BU371" s="15" t="s">
        <v>444</v>
      </c>
      <c r="BW371" s="15" t="s">
        <v>444</v>
      </c>
      <c r="BZ371" s="15" t="s">
        <v>444</v>
      </c>
      <c r="CB371" s="15" t="s">
        <v>444</v>
      </c>
      <c r="CD371" s="15" t="s">
        <v>444</v>
      </c>
      <c r="CF371" s="15" t="s">
        <v>444</v>
      </c>
      <c r="CI371" s="15" t="s">
        <v>444</v>
      </c>
      <c r="CK371" s="15" t="s">
        <v>444</v>
      </c>
      <c r="CM371" s="15" t="s">
        <v>444</v>
      </c>
      <c r="CO371" s="15" t="s">
        <v>444</v>
      </c>
      <c r="CP371" s="15" t="str">
        <f>"40.26"</f>
        <v>40.26</v>
      </c>
      <c r="CQ371" s="15" t="str">
        <f>"1.14"</f>
        <v>1.14</v>
      </c>
      <c r="CR371" s="15" t="s">
        <v>465</v>
      </c>
      <c r="DC371" s="15" t="str">
        <f>IFERROR(__xludf.DUMMYFUNCTION("""COMPUTED_VALUE"""),"")</f>
        <v/>
      </c>
      <c r="DE371" s="15" t="str">
        <f>IFERROR(__xludf.DUMMYFUNCTION("""COMPUTED_VALUE"""),"")</f>
        <v/>
      </c>
      <c r="DG371" s="15" t="str">
        <f>IFERROR(__xludf.DUMMYFUNCTION("""COMPUTED_VALUE"""),"")</f>
        <v/>
      </c>
      <c r="DL371" s="15" t="str">
        <f>IFERROR(__xludf.DUMMYFUNCTION("""COMPUTED_VALUE"""),"")</f>
        <v/>
      </c>
      <c r="DM371" s="15" t="s">
        <v>444</v>
      </c>
      <c r="DN371" s="15" t="s">
        <v>418</v>
      </c>
      <c r="DO371" s="15">
        <v>3.0</v>
      </c>
      <c r="DP371" s="15" t="s">
        <v>1185</v>
      </c>
      <c r="DR371" s="15">
        <v>0.0</v>
      </c>
      <c r="DT371" s="15" t="s">
        <v>1186</v>
      </c>
      <c r="DU371" s="15" t="s">
        <v>421</v>
      </c>
      <c r="DY371" s="15">
        <v>0.0</v>
      </c>
      <c r="EF371" s="15" t="s">
        <v>4768</v>
      </c>
      <c r="EG371" s="15" t="s">
        <v>4769</v>
      </c>
      <c r="EH371" s="15" t="s">
        <v>4757</v>
      </c>
      <c r="EJ371" s="15" t="s">
        <v>500</v>
      </c>
      <c r="EK371" s="15" t="s">
        <v>501</v>
      </c>
      <c r="EM371" s="15" t="str">
        <f>IFERROR(__xludf.DUMMYFUNCTION("""COMPUTED_VALUE"""),"")</f>
        <v/>
      </c>
      <c r="EW371" s="15" t="s">
        <v>477</v>
      </c>
      <c r="EX371" s="15" t="s">
        <v>1324</v>
      </c>
      <c r="EY371" s="15" t="s">
        <v>4770</v>
      </c>
      <c r="FH371" s="15" t="s">
        <v>525</v>
      </c>
      <c r="FI371" s="15" t="s">
        <v>1212</v>
      </c>
      <c r="FJ371" s="15" t="s">
        <v>2337</v>
      </c>
      <c r="FK371" s="15" t="s">
        <v>429</v>
      </c>
      <c r="FL371" s="15" t="s">
        <v>426</v>
      </c>
      <c r="FM371" s="15">
        <v>0.0</v>
      </c>
      <c r="FV371" s="15" t="s">
        <v>4771</v>
      </c>
      <c r="GH371" s="15">
        <v>0.0</v>
      </c>
      <c r="GI371" s="15" t="s">
        <v>427</v>
      </c>
      <c r="GO371" s="15" t="s">
        <v>426</v>
      </c>
      <c r="GQ371" s="15" t="s">
        <v>3308</v>
      </c>
      <c r="GS371" s="15" t="s">
        <v>672</v>
      </c>
      <c r="GU371" s="15" t="s">
        <v>2020</v>
      </c>
      <c r="GW371" s="15" t="s">
        <v>431</v>
      </c>
      <c r="GY371" s="15" t="s">
        <v>764</v>
      </c>
      <c r="HD371" s="15">
        <v>0.0</v>
      </c>
      <c r="IG371" s="15" t="s">
        <v>426</v>
      </c>
    </row>
    <row r="372" ht="15.75" customHeight="1">
      <c r="A372" s="14" t="s">
        <v>391</v>
      </c>
      <c r="B372" s="15" t="s">
        <v>4772</v>
      </c>
      <c r="C372" s="16"/>
      <c r="D372" s="15" t="s">
        <v>432</v>
      </c>
      <c r="G372" s="14" t="s">
        <v>393</v>
      </c>
      <c r="H372" s="14" t="s">
        <v>394</v>
      </c>
      <c r="I372" s="14" t="b">
        <v>1</v>
      </c>
      <c r="J372" s="14" t="s">
        <v>395</v>
      </c>
      <c r="L372" s="14" t="b">
        <v>0</v>
      </c>
      <c r="M372" s="15" t="s">
        <v>4773</v>
      </c>
      <c r="N372" s="14" t="s">
        <v>393</v>
      </c>
      <c r="O372" s="14" t="s">
        <v>393</v>
      </c>
      <c r="P372" s="15" t="s">
        <v>397</v>
      </c>
      <c r="Q372" s="15" t="s">
        <v>4746</v>
      </c>
      <c r="T372" s="14" t="b">
        <v>0</v>
      </c>
      <c r="U372" s="15" t="s">
        <v>4774</v>
      </c>
      <c r="V372" s="15" t="s">
        <v>4775</v>
      </c>
      <c r="W372" s="15" t="s">
        <v>401</v>
      </c>
      <c r="X372" s="15" t="s">
        <v>1172</v>
      </c>
      <c r="Y372" s="15">
        <v>1261.0</v>
      </c>
      <c r="AA372" s="15" t="str">
        <f t="shared" ref="AA372:AA373" si="662">"485"</f>
        <v>485</v>
      </c>
      <c r="AB372" s="14" t="b">
        <v>1</v>
      </c>
      <c r="AC372" s="14" t="b">
        <v>1</v>
      </c>
      <c r="AD372" s="15" t="str">
        <f>"801542094133"</f>
        <v>801542094133</v>
      </c>
      <c r="AE372" s="15" t="s">
        <v>4776</v>
      </c>
      <c r="AF372" s="14" t="s">
        <v>404</v>
      </c>
      <c r="AG372" s="14" t="s">
        <v>405</v>
      </c>
      <c r="AH372" s="14" t="s">
        <v>406</v>
      </c>
      <c r="AI372" s="15">
        <v>0.0</v>
      </c>
      <c r="AL372" s="15" t="s">
        <v>4750</v>
      </c>
      <c r="AM372" s="15" t="s">
        <v>546</v>
      </c>
      <c r="AN372" s="15" t="s">
        <v>547</v>
      </c>
      <c r="AO372" s="15" t="s">
        <v>1152</v>
      </c>
      <c r="AP372" s="15" t="s">
        <v>1153</v>
      </c>
      <c r="AQ372" s="15" t="s">
        <v>1626</v>
      </c>
      <c r="AR372" s="15" t="s">
        <v>1627</v>
      </c>
      <c r="AS372" s="15" t="s">
        <v>1179</v>
      </c>
      <c r="AT372" s="15" t="s">
        <v>4746</v>
      </c>
      <c r="AU372" s="15" t="s">
        <v>4751</v>
      </c>
      <c r="AV372" s="15" t="s">
        <v>4752</v>
      </c>
      <c r="AW372" s="15" t="s">
        <v>628</v>
      </c>
      <c r="AY372" s="15" t="s">
        <v>426</v>
      </c>
      <c r="AZ372" s="15" t="b">
        <v>1</v>
      </c>
      <c r="BA372" s="15" t="s">
        <v>413</v>
      </c>
      <c r="BB372" s="15" t="b">
        <v>0</v>
      </c>
      <c r="BC372" s="15" t="s">
        <v>4777</v>
      </c>
      <c r="BD372" s="15" t="s">
        <v>1181</v>
      </c>
      <c r="BE372" s="15" t="str">
        <f t="shared" si="661"/>
        <v>1</v>
      </c>
      <c r="BF372" s="15" t="s">
        <v>416</v>
      </c>
      <c r="BG372" s="15" t="str">
        <f t="shared" ref="BG372:BG373" si="663">"23.23"</f>
        <v>23.23</v>
      </c>
      <c r="BH372" s="15" t="s">
        <v>2616</v>
      </c>
      <c r="BI372" s="15" t="str">
        <f t="shared" ref="BI372:BI373" si="664">"35.63"</f>
        <v>35.63</v>
      </c>
      <c r="BJ372" s="15" t="s">
        <v>710</v>
      </c>
      <c r="BK372" s="15" t="str">
        <f t="shared" ref="BK372:BK373" si="665">"35.43"</f>
        <v>35.43</v>
      </c>
      <c r="BL372" s="15" t="s">
        <v>1034</v>
      </c>
      <c r="BM372" s="15" t="str">
        <f t="shared" ref="BM372:BM373" si="666">"88.8"</f>
        <v>88.8</v>
      </c>
      <c r="BN372" s="15" t="s">
        <v>4778</v>
      </c>
      <c r="BQ372" s="15" t="s">
        <v>444</v>
      </c>
      <c r="BS372" s="15" t="s">
        <v>444</v>
      </c>
      <c r="BU372" s="15" t="s">
        <v>444</v>
      </c>
      <c r="BW372" s="15" t="s">
        <v>444</v>
      </c>
      <c r="BZ372" s="15" t="s">
        <v>444</v>
      </c>
      <c r="CB372" s="15" t="s">
        <v>444</v>
      </c>
      <c r="CD372" s="15" t="s">
        <v>444</v>
      </c>
      <c r="CF372" s="15" t="s">
        <v>444</v>
      </c>
      <c r="CI372" s="15" t="s">
        <v>444</v>
      </c>
      <c r="CK372" s="15" t="s">
        <v>444</v>
      </c>
      <c r="CM372" s="15" t="s">
        <v>444</v>
      </c>
      <c r="CO372" s="15" t="s">
        <v>444</v>
      </c>
      <c r="CP372" s="15" t="str">
        <f t="shared" ref="CP372:CP373" si="667">"16.99"</f>
        <v>16.99</v>
      </c>
      <c r="CQ372" s="15" t="str">
        <f t="shared" ref="CQ372:CQ373" si="668">"0.481"</f>
        <v>0.481</v>
      </c>
      <c r="CR372" s="15" t="s">
        <v>497</v>
      </c>
      <c r="DC372" s="15" t="str">
        <f>IFERROR(__xludf.DUMMYFUNCTION("""COMPUTED_VALUE"""),"")</f>
        <v/>
      </c>
      <c r="DE372" s="15" t="str">
        <f>IFERROR(__xludf.DUMMYFUNCTION("""COMPUTED_VALUE"""),"")</f>
        <v/>
      </c>
      <c r="DG372" s="15" t="str">
        <f>IFERROR(__xludf.DUMMYFUNCTION("""COMPUTED_VALUE"""),"")</f>
        <v/>
      </c>
      <c r="DL372" s="15" t="str">
        <f>IFERROR(__xludf.DUMMYFUNCTION("""COMPUTED_VALUE"""),"")</f>
        <v/>
      </c>
      <c r="DM372" s="15" t="s">
        <v>444</v>
      </c>
      <c r="DN372" s="15" t="s">
        <v>418</v>
      </c>
      <c r="DO372" s="15">
        <v>2.0</v>
      </c>
      <c r="DP372" s="15" t="s">
        <v>1185</v>
      </c>
      <c r="DR372" s="15">
        <v>0.0</v>
      </c>
      <c r="DT372" s="15" t="s">
        <v>1186</v>
      </c>
      <c r="DU372" s="15" t="s">
        <v>421</v>
      </c>
      <c r="DY372" s="15">
        <v>0.0</v>
      </c>
      <c r="EF372" s="15" t="s">
        <v>471</v>
      </c>
      <c r="EG372" s="15" t="s">
        <v>472</v>
      </c>
      <c r="EH372" s="15" t="s">
        <v>4757</v>
      </c>
      <c r="EJ372" s="15" t="s">
        <v>500</v>
      </c>
      <c r="EK372" s="15" t="s">
        <v>501</v>
      </c>
      <c r="EM372" s="15" t="str">
        <f>IFERROR(__xludf.DUMMYFUNCTION("""COMPUTED_VALUE"""),"")</f>
        <v/>
      </c>
      <c r="EW372" s="15" t="s">
        <v>2737</v>
      </c>
      <c r="FL372" s="15" t="s">
        <v>426</v>
      </c>
      <c r="FM372" s="15">
        <v>0.0</v>
      </c>
      <c r="GH372" s="15">
        <v>0.0</v>
      </c>
      <c r="GI372" s="15" t="s">
        <v>427</v>
      </c>
      <c r="GO372" s="15" t="s">
        <v>426</v>
      </c>
      <c r="GQ372" s="15" t="s">
        <v>3308</v>
      </c>
      <c r="GS372" s="15" t="s">
        <v>4779</v>
      </c>
      <c r="GU372" s="15" t="s">
        <v>3811</v>
      </c>
      <c r="GW372" s="15" t="s">
        <v>431</v>
      </c>
      <c r="GY372" s="15" t="s">
        <v>764</v>
      </c>
      <c r="GZ372" s="15" t="s">
        <v>426</v>
      </c>
    </row>
    <row r="373" ht="15.75" customHeight="1">
      <c r="A373" s="14" t="s">
        <v>391</v>
      </c>
      <c r="B373" s="15" t="s">
        <v>4772</v>
      </c>
      <c r="C373" s="16"/>
      <c r="D373" s="15" t="s">
        <v>432</v>
      </c>
      <c r="G373" s="14" t="s">
        <v>393</v>
      </c>
      <c r="H373" s="14" t="s">
        <v>394</v>
      </c>
      <c r="I373" s="14" t="b">
        <v>1</v>
      </c>
      <c r="J373" s="14" t="s">
        <v>395</v>
      </c>
      <c r="L373" s="14" t="b">
        <v>0</v>
      </c>
      <c r="M373" s="15" t="s">
        <v>4780</v>
      </c>
      <c r="N373" s="14" t="s">
        <v>393</v>
      </c>
      <c r="O373" s="14" t="s">
        <v>393</v>
      </c>
      <c r="P373" s="15" t="s">
        <v>397</v>
      </c>
      <c r="Q373" s="15" t="s">
        <v>4781</v>
      </c>
      <c r="T373" s="14" t="b">
        <v>0</v>
      </c>
      <c r="U373" s="15" t="s">
        <v>4782</v>
      </c>
      <c r="V373" s="15" t="s">
        <v>4775</v>
      </c>
      <c r="W373" s="15" t="s">
        <v>401</v>
      </c>
      <c r="X373" s="15" t="s">
        <v>1172</v>
      </c>
      <c r="Y373" s="15">
        <v>1261.0</v>
      </c>
      <c r="AA373" s="15" t="str">
        <f t="shared" si="662"/>
        <v>485</v>
      </c>
      <c r="AB373" s="14" t="b">
        <v>1</v>
      </c>
      <c r="AC373" s="14" t="b">
        <v>1</v>
      </c>
      <c r="AD373" s="15" t="str">
        <f>"198394088688"</f>
        <v>198394088688</v>
      </c>
      <c r="AE373" s="15" t="s">
        <v>4783</v>
      </c>
      <c r="AF373" s="14" t="s">
        <v>404</v>
      </c>
      <c r="AG373" s="14" t="s">
        <v>405</v>
      </c>
      <c r="AH373" s="14" t="s">
        <v>406</v>
      </c>
      <c r="AI373" s="15">
        <v>0.0</v>
      </c>
      <c r="AL373" s="15" t="s">
        <v>4750</v>
      </c>
      <c r="AM373" s="15" t="s">
        <v>546</v>
      </c>
      <c r="AN373" s="15" t="s">
        <v>547</v>
      </c>
      <c r="AO373" s="15" t="s">
        <v>1152</v>
      </c>
      <c r="AP373" s="15" t="s">
        <v>1153</v>
      </c>
      <c r="AQ373" s="15" t="s">
        <v>1626</v>
      </c>
      <c r="AR373" s="15" t="s">
        <v>1627</v>
      </c>
      <c r="AS373" s="15" t="s">
        <v>1179</v>
      </c>
      <c r="AT373" s="15" t="s">
        <v>4781</v>
      </c>
      <c r="AU373" s="15" t="s">
        <v>4751</v>
      </c>
      <c r="AV373" s="15" t="s">
        <v>4752</v>
      </c>
      <c r="AW373" s="15" t="s">
        <v>628</v>
      </c>
      <c r="AY373" s="15" t="s">
        <v>413</v>
      </c>
      <c r="AZ373" s="15" t="b">
        <v>0</v>
      </c>
      <c r="BA373" s="15" t="s">
        <v>413</v>
      </c>
      <c r="BB373" s="15" t="b">
        <v>0</v>
      </c>
      <c r="BD373" s="15" t="s">
        <v>1181</v>
      </c>
      <c r="BE373" s="15" t="str">
        <f t="shared" si="661"/>
        <v>1</v>
      </c>
      <c r="BF373" s="15" t="s">
        <v>416</v>
      </c>
      <c r="BG373" s="15" t="str">
        <f t="shared" si="663"/>
        <v>23.23</v>
      </c>
      <c r="BH373" s="15" t="s">
        <v>2616</v>
      </c>
      <c r="BI373" s="15" t="str">
        <f t="shared" si="664"/>
        <v>35.63</v>
      </c>
      <c r="BJ373" s="15" t="s">
        <v>710</v>
      </c>
      <c r="BK373" s="15" t="str">
        <f t="shared" si="665"/>
        <v>35.43</v>
      </c>
      <c r="BL373" s="15" t="s">
        <v>1034</v>
      </c>
      <c r="BM373" s="15" t="str">
        <f t="shared" si="666"/>
        <v>88.8</v>
      </c>
      <c r="BN373" s="15" t="s">
        <v>4778</v>
      </c>
      <c r="BQ373" s="15" t="s">
        <v>444</v>
      </c>
      <c r="BS373" s="15" t="s">
        <v>444</v>
      </c>
      <c r="BU373" s="15" t="s">
        <v>444</v>
      </c>
      <c r="BW373" s="15" t="s">
        <v>444</v>
      </c>
      <c r="BZ373" s="15" t="s">
        <v>444</v>
      </c>
      <c r="CB373" s="15" t="s">
        <v>444</v>
      </c>
      <c r="CD373" s="15" t="s">
        <v>444</v>
      </c>
      <c r="CF373" s="15" t="s">
        <v>444</v>
      </c>
      <c r="CI373" s="15" t="s">
        <v>444</v>
      </c>
      <c r="CK373" s="15" t="s">
        <v>444</v>
      </c>
      <c r="CM373" s="15" t="s">
        <v>444</v>
      </c>
      <c r="CO373" s="15" t="s">
        <v>444</v>
      </c>
      <c r="CP373" s="15" t="str">
        <f t="shared" si="667"/>
        <v>16.99</v>
      </c>
      <c r="CQ373" s="15" t="str">
        <f t="shared" si="668"/>
        <v>0.481</v>
      </c>
      <c r="CR373" s="15" t="s">
        <v>497</v>
      </c>
      <c r="DC373" s="15" t="str">
        <f>IFERROR(__xludf.DUMMYFUNCTION("""COMPUTED_VALUE"""),"")</f>
        <v/>
      </c>
      <c r="DE373" s="15" t="str">
        <f>IFERROR(__xludf.DUMMYFUNCTION("""COMPUTED_VALUE"""),"")</f>
        <v/>
      </c>
      <c r="DG373" s="15" t="str">
        <f>IFERROR(__xludf.DUMMYFUNCTION("""COMPUTED_VALUE"""),"")</f>
        <v/>
      </c>
      <c r="DL373" s="15" t="str">
        <f>IFERROR(__xludf.DUMMYFUNCTION("""COMPUTED_VALUE"""),"")</f>
        <v/>
      </c>
      <c r="DM373" s="15" t="s">
        <v>444</v>
      </c>
      <c r="DN373" s="15" t="s">
        <v>418</v>
      </c>
      <c r="DO373" s="15">
        <v>2.0</v>
      </c>
      <c r="DP373" s="15" t="s">
        <v>1185</v>
      </c>
      <c r="DR373" s="15">
        <v>0.0</v>
      </c>
      <c r="DT373" s="15" t="s">
        <v>1186</v>
      </c>
      <c r="DU373" s="15" t="s">
        <v>421</v>
      </c>
      <c r="DY373" s="15">
        <v>0.0</v>
      </c>
      <c r="EF373" s="15" t="s">
        <v>471</v>
      </c>
      <c r="EG373" s="15" t="s">
        <v>472</v>
      </c>
      <c r="EH373" s="15" t="s">
        <v>4757</v>
      </c>
      <c r="EJ373" s="15" t="s">
        <v>500</v>
      </c>
      <c r="EK373" s="15" t="s">
        <v>501</v>
      </c>
      <c r="EM373" s="15" t="str">
        <f>IFERROR(__xludf.DUMMYFUNCTION("""COMPUTED_VALUE"""),"")</f>
        <v/>
      </c>
      <c r="EW373" s="15" t="s">
        <v>2737</v>
      </c>
      <c r="FL373" s="15" t="s">
        <v>426</v>
      </c>
      <c r="FM373" s="15">
        <v>0.0</v>
      </c>
      <c r="GH373" s="15">
        <v>0.0</v>
      </c>
      <c r="GI373" s="15" t="s">
        <v>427</v>
      </c>
      <c r="GO373" s="15" t="s">
        <v>426</v>
      </c>
      <c r="GQ373" s="15" t="s">
        <v>3308</v>
      </c>
      <c r="GS373" s="15" t="s">
        <v>4779</v>
      </c>
      <c r="GU373" s="15" t="s">
        <v>3811</v>
      </c>
      <c r="GW373" s="15" t="s">
        <v>431</v>
      </c>
      <c r="GY373" s="15" t="s">
        <v>764</v>
      </c>
      <c r="GZ373" s="15" t="s">
        <v>426</v>
      </c>
    </row>
    <row r="374" ht="15.75" customHeight="1">
      <c r="A374" s="14" t="s">
        <v>391</v>
      </c>
      <c r="B374" s="15" t="s">
        <v>4784</v>
      </c>
      <c r="C374" s="16"/>
      <c r="D374" s="15" t="s">
        <v>432</v>
      </c>
      <c r="G374" s="14" t="s">
        <v>393</v>
      </c>
      <c r="H374" s="14" t="s">
        <v>394</v>
      </c>
      <c r="I374" s="14" t="b">
        <v>1</v>
      </c>
      <c r="J374" s="14" t="s">
        <v>395</v>
      </c>
      <c r="L374" s="14" t="b">
        <v>0</v>
      </c>
      <c r="M374" s="15" t="s">
        <v>4785</v>
      </c>
      <c r="N374" s="14" t="s">
        <v>393</v>
      </c>
      <c r="O374" s="14" t="s">
        <v>393</v>
      </c>
      <c r="P374" s="15" t="s">
        <v>397</v>
      </c>
      <c r="Q374" s="15" t="s">
        <v>4746</v>
      </c>
      <c r="T374" s="14" t="b">
        <v>0</v>
      </c>
      <c r="U374" s="15" t="s">
        <v>4786</v>
      </c>
      <c r="V374" s="15" t="s">
        <v>4787</v>
      </c>
      <c r="W374" s="15" t="s">
        <v>401</v>
      </c>
      <c r="X374" s="15" t="s">
        <v>1172</v>
      </c>
      <c r="Y374" s="15">
        <v>2626.0</v>
      </c>
      <c r="AA374" s="15" t="str">
        <f>"1010"</f>
        <v>1010</v>
      </c>
      <c r="AB374" s="14" t="b">
        <v>1</v>
      </c>
      <c r="AC374" s="14" t="b">
        <v>1</v>
      </c>
      <c r="AD374" s="15" t="str">
        <f>"801542981679"</f>
        <v>801542981679</v>
      </c>
      <c r="AE374" s="15" t="s">
        <v>4788</v>
      </c>
      <c r="AF374" s="14" t="s">
        <v>404</v>
      </c>
      <c r="AG374" s="14" t="s">
        <v>405</v>
      </c>
      <c r="AH374" s="14" t="s">
        <v>406</v>
      </c>
      <c r="AI374" s="15">
        <v>0.0</v>
      </c>
      <c r="AL374" s="15" t="s">
        <v>4789</v>
      </c>
      <c r="AM374" s="15" t="s">
        <v>1364</v>
      </c>
      <c r="AN374" s="15" t="s">
        <v>1365</v>
      </c>
      <c r="AO374" s="15" t="s">
        <v>456</v>
      </c>
      <c r="AP374" s="15" t="s">
        <v>457</v>
      </c>
      <c r="AQ374" s="15" t="s">
        <v>4790</v>
      </c>
      <c r="AR374" s="15" t="s">
        <v>4791</v>
      </c>
      <c r="AS374" s="15" t="s">
        <v>1179</v>
      </c>
      <c r="AT374" s="15" t="s">
        <v>4746</v>
      </c>
      <c r="AU374" s="15" t="s">
        <v>4751</v>
      </c>
      <c r="AW374" s="15" t="s">
        <v>412</v>
      </c>
      <c r="AY374" s="15" t="s">
        <v>413</v>
      </c>
      <c r="AZ374" s="15" t="b">
        <v>0</v>
      </c>
      <c r="BA374" s="15" t="s">
        <v>413</v>
      </c>
      <c r="BB374" s="15" t="b">
        <v>0</v>
      </c>
      <c r="BC374" s="15" t="s">
        <v>4792</v>
      </c>
      <c r="BD374" s="15" t="s">
        <v>1181</v>
      </c>
      <c r="BE374" s="15" t="str">
        <f t="shared" si="661"/>
        <v>1</v>
      </c>
      <c r="BF374" s="15" t="s">
        <v>416</v>
      </c>
      <c r="BG374" s="15" t="str">
        <f>"38.98"</f>
        <v>38.98</v>
      </c>
      <c r="BH374" s="15" t="s">
        <v>927</v>
      </c>
      <c r="BI374" s="15" t="str">
        <f>"24.41"</f>
        <v>24.41</v>
      </c>
      <c r="BJ374" s="15" t="s">
        <v>796</v>
      </c>
      <c r="BK374" s="15" t="str">
        <f>"56.3"</f>
        <v>56.3</v>
      </c>
      <c r="BL374" s="15" t="s">
        <v>3400</v>
      </c>
      <c r="BM374" s="15" t="str">
        <f>"235.89"</f>
        <v>235.89</v>
      </c>
      <c r="BN374" s="15" t="s">
        <v>3643</v>
      </c>
      <c r="BQ374" s="15" t="s">
        <v>444</v>
      </c>
      <c r="BS374" s="15" t="s">
        <v>444</v>
      </c>
      <c r="BU374" s="15" t="s">
        <v>444</v>
      </c>
      <c r="BW374" s="15" t="s">
        <v>444</v>
      </c>
      <c r="BZ374" s="15" t="s">
        <v>444</v>
      </c>
      <c r="CB374" s="15" t="s">
        <v>444</v>
      </c>
      <c r="CD374" s="15" t="s">
        <v>444</v>
      </c>
      <c r="CF374" s="15" t="s">
        <v>444</v>
      </c>
      <c r="CI374" s="15" t="s">
        <v>444</v>
      </c>
      <c r="CK374" s="15" t="s">
        <v>444</v>
      </c>
      <c r="CM374" s="15" t="s">
        <v>444</v>
      </c>
      <c r="CO374" s="15" t="s">
        <v>444</v>
      </c>
      <c r="CP374" s="15" t="str">
        <f>"31.01"</f>
        <v>31.01</v>
      </c>
      <c r="CQ374" s="15" t="str">
        <f>"0.878"</f>
        <v>0.878</v>
      </c>
      <c r="CR374" s="15" t="s">
        <v>465</v>
      </c>
      <c r="DC374" s="15" t="str">
        <f>IFERROR(__xludf.DUMMYFUNCTION("""COMPUTED_VALUE"""),"")</f>
        <v/>
      </c>
      <c r="DE374" s="15" t="str">
        <f>IFERROR(__xludf.DUMMYFUNCTION("""COMPUTED_VALUE"""),"")</f>
        <v/>
      </c>
      <c r="DG374" s="15" t="str">
        <f>IFERROR(__xludf.DUMMYFUNCTION("""COMPUTED_VALUE"""),"")</f>
        <v/>
      </c>
      <c r="DL374" s="15" t="str">
        <f>IFERROR(__xludf.DUMMYFUNCTION("""COMPUTED_VALUE"""),"")</f>
        <v/>
      </c>
      <c r="DM374" s="15" t="s">
        <v>444</v>
      </c>
      <c r="DN374" s="15" t="s">
        <v>418</v>
      </c>
      <c r="DO374" s="15">
        <v>5.0</v>
      </c>
      <c r="DP374" s="15" t="s">
        <v>419</v>
      </c>
      <c r="DR374" s="15">
        <v>0.0</v>
      </c>
      <c r="DT374" s="15" t="s">
        <v>1186</v>
      </c>
      <c r="DU374" s="15" t="s">
        <v>421</v>
      </c>
      <c r="DY374" s="15">
        <v>0.0</v>
      </c>
      <c r="EF374" s="15" t="s">
        <v>2094</v>
      </c>
      <c r="EG374" s="15" t="s">
        <v>2095</v>
      </c>
      <c r="EH374" s="15" t="s">
        <v>4757</v>
      </c>
      <c r="EJ374" s="15" t="s">
        <v>500</v>
      </c>
      <c r="EK374" s="15" t="s">
        <v>501</v>
      </c>
      <c r="EM374" s="15" t="str">
        <f>IFERROR(__xludf.DUMMYFUNCTION("""COMPUTED_VALUE"""),"")</f>
        <v/>
      </c>
      <c r="EW374" s="15" t="s">
        <v>2737</v>
      </c>
      <c r="FM374" s="15">
        <v>0.0</v>
      </c>
      <c r="GH374" s="15">
        <v>0.0</v>
      </c>
      <c r="GI374" s="15" t="s">
        <v>427</v>
      </c>
      <c r="GO374" s="15" t="s">
        <v>426</v>
      </c>
      <c r="GQ374" s="15" t="s">
        <v>760</v>
      </c>
      <c r="GR374" s="15" t="s">
        <v>760</v>
      </c>
      <c r="GS374" s="15" t="s">
        <v>3164</v>
      </c>
      <c r="GU374" s="15" t="s">
        <v>4793</v>
      </c>
      <c r="GV374" s="15" t="s">
        <v>4793</v>
      </c>
      <c r="GW374" s="15" t="s">
        <v>431</v>
      </c>
      <c r="GY374" s="15" t="s">
        <v>764</v>
      </c>
      <c r="HZ374" s="15" t="s">
        <v>761</v>
      </c>
    </row>
    <row r="375" ht="15.75" customHeight="1">
      <c r="A375" s="14" t="s">
        <v>391</v>
      </c>
      <c r="B375" s="15" t="s">
        <v>4794</v>
      </c>
      <c r="C375" s="16"/>
      <c r="D375" s="15" t="s">
        <v>432</v>
      </c>
      <c r="G375" s="14" t="s">
        <v>393</v>
      </c>
      <c r="H375" s="14" t="s">
        <v>394</v>
      </c>
      <c r="I375" s="14" t="b">
        <v>1</v>
      </c>
      <c r="J375" s="14" t="s">
        <v>395</v>
      </c>
      <c r="L375" s="14" t="b">
        <v>0</v>
      </c>
      <c r="M375" s="15" t="s">
        <v>4795</v>
      </c>
      <c r="N375" s="14" t="s">
        <v>393</v>
      </c>
      <c r="O375" s="14" t="s">
        <v>393</v>
      </c>
      <c r="P375" s="15" t="s">
        <v>397</v>
      </c>
      <c r="Q375" s="15" t="s">
        <v>3945</v>
      </c>
      <c r="T375" s="14" t="b">
        <v>0</v>
      </c>
      <c r="U375" s="15" t="s">
        <v>4796</v>
      </c>
      <c r="V375" s="15" t="s">
        <v>4797</v>
      </c>
      <c r="W375" s="15" t="s">
        <v>401</v>
      </c>
      <c r="X375" s="15" t="s">
        <v>742</v>
      </c>
      <c r="Y375" s="15">
        <v>3822.0</v>
      </c>
      <c r="AA375" s="15" t="str">
        <f t="shared" ref="AA375:AA376" si="669">"1470"</f>
        <v>1470</v>
      </c>
      <c r="AB375" s="14" t="b">
        <v>1</v>
      </c>
      <c r="AC375" s="14" t="b">
        <v>1</v>
      </c>
      <c r="AD375" s="15" t="str">
        <f>"198394025591"</f>
        <v>198394025591</v>
      </c>
      <c r="AE375" s="15" t="s">
        <v>4798</v>
      </c>
      <c r="AF375" s="14" t="s">
        <v>404</v>
      </c>
      <c r="AG375" s="14" t="s">
        <v>405</v>
      </c>
      <c r="AH375" s="14" t="s">
        <v>406</v>
      </c>
      <c r="AI375" s="15">
        <v>0.0</v>
      </c>
      <c r="AL375" s="15" t="s">
        <v>407</v>
      </c>
      <c r="AM375" s="15" t="s">
        <v>4799</v>
      </c>
      <c r="AN375" s="15" t="s">
        <v>3019</v>
      </c>
      <c r="AO375" s="15" t="s">
        <v>4800</v>
      </c>
      <c r="AP375" s="15" t="s">
        <v>4801</v>
      </c>
      <c r="AQ375" s="15" t="s">
        <v>2450</v>
      </c>
      <c r="AR375" s="15" t="s">
        <v>2451</v>
      </c>
      <c r="AS375" s="15" t="s">
        <v>1896</v>
      </c>
      <c r="AT375" s="15" t="s">
        <v>3945</v>
      </c>
      <c r="AW375" s="15" t="s">
        <v>1899</v>
      </c>
      <c r="AY375" s="15" t="s">
        <v>413</v>
      </c>
      <c r="AZ375" s="15" t="b">
        <v>0</v>
      </c>
      <c r="BA375" s="15" t="s">
        <v>413</v>
      </c>
      <c r="BB375" s="15" t="b">
        <v>0</v>
      </c>
      <c r="BC375" s="15" t="s">
        <v>4802</v>
      </c>
      <c r="BD375" s="15" t="s">
        <v>742</v>
      </c>
      <c r="BE375" s="15" t="str">
        <f t="shared" si="661"/>
        <v>1</v>
      </c>
      <c r="BF375" s="15" t="s">
        <v>4803</v>
      </c>
      <c r="BG375" s="15" t="str">
        <f t="shared" ref="BG375:BG376" si="670">"59.84"</f>
        <v>59.84</v>
      </c>
      <c r="BH375" s="15" t="s">
        <v>4804</v>
      </c>
      <c r="BI375" s="15" t="str">
        <f t="shared" ref="BI375:BI376" si="671">"24.02"</f>
        <v>24.02</v>
      </c>
      <c r="BJ375" s="15" t="s">
        <v>755</v>
      </c>
      <c r="BK375" s="15" t="str">
        <f t="shared" ref="BK375:BK376" si="672">"94.88"</f>
        <v>94.88</v>
      </c>
      <c r="BL375" s="15" t="s">
        <v>4805</v>
      </c>
      <c r="BM375" s="15" t="str">
        <f t="shared" ref="BM375:BM376" si="673">"402.34"</f>
        <v>402.34</v>
      </c>
      <c r="BN375" s="15" t="s">
        <v>4806</v>
      </c>
      <c r="BQ375" s="15" t="s">
        <v>444</v>
      </c>
      <c r="BS375" s="15" t="s">
        <v>444</v>
      </c>
      <c r="BU375" s="15" t="s">
        <v>444</v>
      </c>
      <c r="BW375" s="15" t="s">
        <v>444</v>
      </c>
      <c r="BZ375" s="15" t="s">
        <v>444</v>
      </c>
      <c r="CB375" s="15" t="s">
        <v>444</v>
      </c>
      <c r="CD375" s="15" t="s">
        <v>444</v>
      </c>
      <c r="CF375" s="15" t="s">
        <v>444</v>
      </c>
      <c r="CI375" s="15" t="s">
        <v>444</v>
      </c>
      <c r="CK375" s="15" t="s">
        <v>444</v>
      </c>
      <c r="CM375" s="15" t="s">
        <v>444</v>
      </c>
      <c r="CO375" s="15" t="s">
        <v>444</v>
      </c>
      <c r="CP375" s="15" t="str">
        <f t="shared" ref="CP375:CP376" si="674">"78.93"</f>
        <v>78.93</v>
      </c>
      <c r="CQ375" s="15" t="str">
        <f t="shared" ref="CQ375:CQ376" si="675">"2.235"</f>
        <v>2.235</v>
      </c>
      <c r="CR375" s="15" t="s">
        <v>465</v>
      </c>
      <c r="CS375" s="15" t="s">
        <v>4807</v>
      </c>
      <c r="CT375" s="15" t="s">
        <v>1517</v>
      </c>
      <c r="CU375" s="15" t="s">
        <v>4808</v>
      </c>
      <c r="CV375" s="15" t="s">
        <v>4807</v>
      </c>
      <c r="CW375" s="15" t="s">
        <v>1430</v>
      </c>
      <c r="CX375" s="15" t="s">
        <v>4808</v>
      </c>
      <c r="DC375" s="15" t="str">
        <f>IFERROR(__xludf.DUMMYFUNCTION("""COMPUTED_VALUE"""),"")</f>
        <v/>
      </c>
      <c r="DE375" s="15" t="str">
        <f>IFERROR(__xludf.DUMMYFUNCTION("""COMPUTED_VALUE"""),"")</f>
        <v/>
      </c>
      <c r="DG375" s="15" t="str">
        <f>IFERROR(__xludf.DUMMYFUNCTION("""COMPUTED_VALUE"""),"")</f>
        <v/>
      </c>
      <c r="DL375" s="15" t="str">
        <f>IFERROR(__xludf.DUMMYFUNCTION("""COMPUTED_VALUE"""),"")</f>
        <v/>
      </c>
      <c r="DM375" s="15" t="s">
        <v>444</v>
      </c>
      <c r="DN375" s="15" t="s">
        <v>419</v>
      </c>
      <c r="DO375" s="15">
        <v>0.0</v>
      </c>
      <c r="DP375" s="15" t="s">
        <v>419</v>
      </c>
      <c r="DR375" s="15">
        <v>3.0</v>
      </c>
      <c r="DS375" s="15" t="s">
        <v>426</v>
      </c>
      <c r="DT375" s="15" t="s">
        <v>721</v>
      </c>
      <c r="DU375" s="15" t="s">
        <v>610</v>
      </c>
      <c r="DW375" s="15">
        <v>18.14</v>
      </c>
      <c r="DX375" s="15">
        <v>40.0</v>
      </c>
      <c r="DY375" s="15">
        <v>1.0</v>
      </c>
      <c r="EF375" s="15" t="s">
        <v>1906</v>
      </c>
      <c r="EG375" s="15" t="s">
        <v>1907</v>
      </c>
      <c r="EH375" s="15" t="s">
        <v>4809</v>
      </c>
      <c r="EK375" s="15" t="s">
        <v>444</v>
      </c>
      <c r="EM375" s="15" t="str">
        <f>IFERROR(__xludf.DUMMYFUNCTION("""COMPUTED_VALUE"""),"")</f>
        <v/>
      </c>
      <c r="EW375" s="15" t="s">
        <v>1955</v>
      </c>
      <c r="FL375" s="15" t="s">
        <v>426</v>
      </c>
      <c r="FM375" s="15">
        <v>5.0</v>
      </c>
      <c r="FY375" s="15" t="s">
        <v>3225</v>
      </c>
      <c r="FZ375" s="15" t="s">
        <v>612</v>
      </c>
      <c r="GA375" s="15" t="s">
        <v>3129</v>
      </c>
      <c r="GB375" s="15" t="s">
        <v>2143</v>
      </c>
      <c r="GC375" s="15" t="s">
        <v>782</v>
      </c>
      <c r="GD375" s="15" t="s">
        <v>4810</v>
      </c>
      <c r="GF375" s="15" t="s">
        <v>426</v>
      </c>
      <c r="GG375" s="15" t="s">
        <v>1883</v>
      </c>
      <c r="GH375" s="15">
        <v>2.0</v>
      </c>
      <c r="GI375" s="15" t="s">
        <v>614</v>
      </c>
      <c r="GJ375" s="15" t="s">
        <v>1045</v>
      </c>
      <c r="GL375" s="15" t="s">
        <v>426</v>
      </c>
      <c r="GN375" s="15" t="s">
        <v>616</v>
      </c>
      <c r="HA375" s="15" t="s">
        <v>4807</v>
      </c>
      <c r="HB375" s="15" t="s">
        <v>1430</v>
      </c>
      <c r="HC375" s="15" t="s">
        <v>4808</v>
      </c>
      <c r="HQ375" s="15" t="s">
        <v>4807</v>
      </c>
      <c r="HR375" s="15" t="s">
        <v>4807</v>
      </c>
      <c r="HS375" s="15" t="s">
        <v>1430</v>
      </c>
      <c r="HT375" s="15" t="s">
        <v>1430</v>
      </c>
      <c r="HU375" s="15" t="s">
        <v>4808</v>
      </c>
      <c r="HV375" s="15" t="s">
        <v>4808</v>
      </c>
      <c r="HW375" s="15" t="s">
        <v>1957</v>
      </c>
      <c r="IH375" s="15" t="s">
        <v>426</v>
      </c>
      <c r="KX375" s="15" t="s">
        <v>4811</v>
      </c>
      <c r="KY375" s="15" t="s">
        <v>4812</v>
      </c>
      <c r="KZ375" s="15" t="s">
        <v>4813</v>
      </c>
    </row>
    <row r="376" ht="15.75" customHeight="1">
      <c r="A376" s="14" t="s">
        <v>391</v>
      </c>
      <c r="B376" s="15" t="s">
        <v>4794</v>
      </c>
      <c r="C376" s="16"/>
      <c r="D376" s="15" t="s">
        <v>432</v>
      </c>
      <c r="G376" s="14" t="s">
        <v>393</v>
      </c>
      <c r="H376" s="14" t="s">
        <v>394</v>
      </c>
      <c r="I376" s="14" t="b">
        <v>1</v>
      </c>
      <c r="J376" s="14" t="s">
        <v>395</v>
      </c>
      <c r="L376" s="14" t="b">
        <v>0</v>
      </c>
      <c r="M376" s="15" t="s">
        <v>4814</v>
      </c>
      <c r="N376" s="14" t="s">
        <v>393</v>
      </c>
      <c r="O376" s="14" t="s">
        <v>393</v>
      </c>
      <c r="P376" s="15" t="s">
        <v>397</v>
      </c>
      <c r="Q376" s="15" t="s">
        <v>4815</v>
      </c>
      <c r="T376" s="14" t="b">
        <v>0</v>
      </c>
      <c r="U376" s="15" t="s">
        <v>4816</v>
      </c>
      <c r="V376" s="15" t="s">
        <v>4797</v>
      </c>
      <c r="W376" s="15" t="s">
        <v>401</v>
      </c>
      <c r="X376" s="15" t="s">
        <v>742</v>
      </c>
      <c r="Y376" s="15">
        <v>3822.0</v>
      </c>
      <c r="AA376" s="15" t="str">
        <f t="shared" si="669"/>
        <v>1470</v>
      </c>
      <c r="AB376" s="14" t="b">
        <v>1</v>
      </c>
      <c r="AC376" s="14" t="b">
        <v>1</v>
      </c>
      <c r="AD376" s="15" t="str">
        <f>"198394025607"</f>
        <v>198394025607</v>
      </c>
      <c r="AE376" s="15" t="s">
        <v>4817</v>
      </c>
      <c r="AF376" s="14" t="s">
        <v>404</v>
      </c>
      <c r="AG376" s="14" t="s">
        <v>405</v>
      </c>
      <c r="AH376" s="14" t="s">
        <v>406</v>
      </c>
      <c r="AI376" s="15">
        <v>0.0</v>
      </c>
      <c r="AL376" s="15" t="s">
        <v>407</v>
      </c>
      <c r="AM376" s="15" t="s">
        <v>4799</v>
      </c>
      <c r="AN376" s="15" t="s">
        <v>3019</v>
      </c>
      <c r="AO376" s="15" t="s">
        <v>4800</v>
      </c>
      <c r="AP376" s="15" t="s">
        <v>4801</v>
      </c>
      <c r="AQ376" s="15" t="s">
        <v>2450</v>
      </c>
      <c r="AR376" s="15" t="s">
        <v>2451</v>
      </c>
      <c r="AS376" s="15" t="s">
        <v>1896</v>
      </c>
      <c r="AT376" s="15" t="s">
        <v>4815</v>
      </c>
      <c r="AW376" s="15" t="s">
        <v>1899</v>
      </c>
      <c r="AY376" s="15" t="s">
        <v>413</v>
      </c>
      <c r="AZ376" s="15" t="b">
        <v>0</v>
      </c>
      <c r="BA376" s="15" t="s">
        <v>413</v>
      </c>
      <c r="BB376" s="15" t="b">
        <v>0</v>
      </c>
      <c r="BC376" s="15" t="s">
        <v>4818</v>
      </c>
      <c r="BD376" s="15" t="s">
        <v>742</v>
      </c>
      <c r="BE376" s="15" t="str">
        <f t="shared" si="661"/>
        <v>1</v>
      </c>
      <c r="BF376" s="15" t="s">
        <v>4803</v>
      </c>
      <c r="BG376" s="15" t="str">
        <f t="shared" si="670"/>
        <v>59.84</v>
      </c>
      <c r="BH376" s="15" t="s">
        <v>4804</v>
      </c>
      <c r="BI376" s="15" t="str">
        <f t="shared" si="671"/>
        <v>24.02</v>
      </c>
      <c r="BJ376" s="15" t="s">
        <v>755</v>
      </c>
      <c r="BK376" s="15" t="str">
        <f t="shared" si="672"/>
        <v>94.88</v>
      </c>
      <c r="BL376" s="15" t="s">
        <v>4805</v>
      </c>
      <c r="BM376" s="15" t="str">
        <f t="shared" si="673"/>
        <v>402.34</v>
      </c>
      <c r="BN376" s="15" t="s">
        <v>4806</v>
      </c>
      <c r="BQ376" s="15" t="s">
        <v>444</v>
      </c>
      <c r="BS376" s="15" t="s">
        <v>444</v>
      </c>
      <c r="BU376" s="15" t="s">
        <v>444</v>
      </c>
      <c r="BW376" s="15" t="s">
        <v>444</v>
      </c>
      <c r="BZ376" s="15" t="s">
        <v>444</v>
      </c>
      <c r="CB376" s="15" t="s">
        <v>444</v>
      </c>
      <c r="CD376" s="15" t="s">
        <v>444</v>
      </c>
      <c r="CF376" s="15" t="s">
        <v>444</v>
      </c>
      <c r="CI376" s="15" t="s">
        <v>444</v>
      </c>
      <c r="CK376" s="15" t="s">
        <v>444</v>
      </c>
      <c r="CM376" s="15" t="s">
        <v>444</v>
      </c>
      <c r="CO376" s="15" t="s">
        <v>444</v>
      </c>
      <c r="CP376" s="15" t="str">
        <f t="shared" si="674"/>
        <v>78.93</v>
      </c>
      <c r="CQ376" s="15" t="str">
        <f t="shared" si="675"/>
        <v>2.235</v>
      </c>
      <c r="CR376" s="15" t="s">
        <v>465</v>
      </c>
      <c r="CS376" s="15" t="s">
        <v>4807</v>
      </c>
      <c r="CT376" s="15" t="s">
        <v>1517</v>
      </c>
      <c r="CU376" s="15" t="s">
        <v>4808</v>
      </c>
      <c r="CV376" s="15" t="s">
        <v>4807</v>
      </c>
      <c r="CW376" s="15" t="s">
        <v>1430</v>
      </c>
      <c r="CX376" s="15" t="s">
        <v>4808</v>
      </c>
      <c r="DC376" s="15" t="str">
        <f>IFERROR(__xludf.DUMMYFUNCTION("""COMPUTED_VALUE"""),"")</f>
        <v/>
      </c>
      <c r="DE376" s="15" t="str">
        <f>IFERROR(__xludf.DUMMYFUNCTION("""COMPUTED_VALUE"""),"")</f>
        <v/>
      </c>
      <c r="DG376" s="15" t="str">
        <f>IFERROR(__xludf.DUMMYFUNCTION("""COMPUTED_VALUE"""),"")</f>
        <v/>
      </c>
      <c r="DL376" s="15" t="str">
        <f>IFERROR(__xludf.DUMMYFUNCTION("""COMPUTED_VALUE"""),"")</f>
        <v/>
      </c>
      <c r="DM376" s="15" t="s">
        <v>444</v>
      </c>
      <c r="DN376" s="15" t="s">
        <v>419</v>
      </c>
      <c r="DO376" s="15">
        <v>0.0</v>
      </c>
      <c r="DP376" s="15" t="s">
        <v>419</v>
      </c>
      <c r="DR376" s="15">
        <v>3.0</v>
      </c>
      <c r="DS376" s="15" t="s">
        <v>426</v>
      </c>
      <c r="DT376" s="15" t="s">
        <v>721</v>
      </c>
      <c r="DU376" s="15" t="s">
        <v>610</v>
      </c>
      <c r="DW376" s="15">
        <v>18.14</v>
      </c>
      <c r="DX376" s="15">
        <v>40.0</v>
      </c>
      <c r="DY376" s="15">
        <v>1.0</v>
      </c>
      <c r="EF376" s="15" t="s">
        <v>1906</v>
      </c>
      <c r="EG376" s="15" t="s">
        <v>1907</v>
      </c>
      <c r="EH376" s="15" t="s">
        <v>4809</v>
      </c>
      <c r="EK376" s="15" t="s">
        <v>444</v>
      </c>
      <c r="EM376" s="15" t="str">
        <f>IFERROR(__xludf.DUMMYFUNCTION("""COMPUTED_VALUE"""),"")</f>
        <v/>
      </c>
      <c r="EW376" s="15" t="s">
        <v>1955</v>
      </c>
      <c r="FL376" s="15" t="s">
        <v>426</v>
      </c>
      <c r="FM376" s="15">
        <v>5.0</v>
      </c>
      <c r="FY376" s="15" t="s">
        <v>3225</v>
      </c>
      <c r="FZ376" s="15" t="s">
        <v>612</v>
      </c>
      <c r="GA376" s="15" t="s">
        <v>3129</v>
      </c>
      <c r="GB376" s="15" t="s">
        <v>2143</v>
      </c>
      <c r="GC376" s="15" t="s">
        <v>782</v>
      </c>
      <c r="GD376" s="15" t="s">
        <v>4810</v>
      </c>
      <c r="GF376" s="15" t="s">
        <v>426</v>
      </c>
      <c r="GG376" s="15" t="s">
        <v>1883</v>
      </c>
      <c r="GH376" s="15">
        <v>2.0</v>
      </c>
      <c r="GI376" s="15" t="s">
        <v>614</v>
      </c>
      <c r="GJ376" s="15" t="s">
        <v>1045</v>
      </c>
      <c r="GL376" s="15" t="s">
        <v>426</v>
      </c>
      <c r="GN376" s="15" t="s">
        <v>616</v>
      </c>
      <c r="HA376" s="15" t="s">
        <v>4807</v>
      </c>
      <c r="HB376" s="15" t="s">
        <v>1430</v>
      </c>
      <c r="HC376" s="15" t="s">
        <v>4808</v>
      </c>
      <c r="HQ376" s="15" t="s">
        <v>4807</v>
      </c>
      <c r="HR376" s="15" t="s">
        <v>4807</v>
      </c>
      <c r="HS376" s="15" t="s">
        <v>1430</v>
      </c>
      <c r="HT376" s="15" t="s">
        <v>1430</v>
      </c>
      <c r="HU376" s="15" t="s">
        <v>4808</v>
      </c>
      <c r="HV376" s="15" t="s">
        <v>4808</v>
      </c>
      <c r="HW376" s="15" t="s">
        <v>1957</v>
      </c>
      <c r="IH376" s="15" t="s">
        <v>426</v>
      </c>
      <c r="KX376" s="15" t="s">
        <v>4811</v>
      </c>
      <c r="KY376" s="15" t="s">
        <v>4812</v>
      </c>
      <c r="KZ376" s="15" t="s">
        <v>4813</v>
      </c>
    </row>
    <row r="377" ht="15.75" customHeight="1">
      <c r="A377" s="14" t="s">
        <v>391</v>
      </c>
      <c r="B377" s="15" t="s">
        <v>4819</v>
      </c>
      <c r="C377" s="16"/>
      <c r="D377" s="15" t="s">
        <v>432</v>
      </c>
      <c r="G377" s="14" t="s">
        <v>393</v>
      </c>
      <c r="H377" s="14" t="s">
        <v>394</v>
      </c>
      <c r="I377" s="14" t="b">
        <v>1</v>
      </c>
      <c r="J377" s="14" t="s">
        <v>395</v>
      </c>
      <c r="L377" s="14" t="b">
        <v>0</v>
      </c>
      <c r="M377" s="15" t="s">
        <v>4820</v>
      </c>
      <c r="N377" s="14" t="s">
        <v>393</v>
      </c>
      <c r="O377" s="14" t="s">
        <v>393</v>
      </c>
      <c r="P377" s="15" t="s">
        <v>397</v>
      </c>
      <c r="Q377" s="15" t="s">
        <v>3945</v>
      </c>
      <c r="T377" s="14" t="b">
        <v>0</v>
      </c>
      <c r="U377" s="15" t="s">
        <v>4821</v>
      </c>
      <c r="V377" s="15" t="s">
        <v>594</v>
      </c>
      <c r="W377" s="15" t="s">
        <v>401</v>
      </c>
      <c r="X377" s="15" t="s">
        <v>742</v>
      </c>
      <c r="Y377" s="15">
        <v>2951.0</v>
      </c>
      <c r="AA377" s="15" t="str">
        <f>"1135"</f>
        <v>1135</v>
      </c>
      <c r="AB377" s="14" t="b">
        <v>1</v>
      </c>
      <c r="AC377" s="14" t="b">
        <v>1</v>
      </c>
      <c r="AD377" s="15" t="str">
        <f>"801542245269"</f>
        <v>801542245269</v>
      </c>
      <c r="AE377" s="15" t="s">
        <v>4822</v>
      </c>
      <c r="AF377" s="14" t="s">
        <v>404</v>
      </c>
      <c r="AG377" s="14" t="s">
        <v>405</v>
      </c>
      <c r="AH377" s="14" t="s">
        <v>406</v>
      </c>
      <c r="AI377" s="15">
        <v>0.0</v>
      </c>
      <c r="AL377" s="15" t="s">
        <v>407</v>
      </c>
      <c r="AM377" s="15" t="s">
        <v>770</v>
      </c>
      <c r="AN377" s="15" t="s">
        <v>771</v>
      </c>
      <c r="AO377" s="15" t="s">
        <v>4224</v>
      </c>
      <c r="AP377" s="15" t="s">
        <v>4225</v>
      </c>
      <c r="AQ377" s="15" t="s">
        <v>4523</v>
      </c>
      <c r="AR377" s="15" t="s">
        <v>4524</v>
      </c>
      <c r="AS377" s="15" t="s">
        <v>1896</v>
      </c>
      <c r="AT377" s="15" t="s">
        <v>3945</v>
      </c>
      <c r="AW377" s="15" t="s">
        <v>602</v>
      </c>
      <c r="AY377" s="15" t="s">
        <v>413</v>
      </c>
      <c r="AZ377" s="15" t="b">
        <v>0</v>
      </c>
      <c r="BA377" s="15" t="s">
        <v>413</v>
      </c>
      <c r="BB377" s="15" t="b">
        <v>0</v>
      </c>
      <c r="BC377" s="15" t="s">
        <v>4823</v>
      </c>
      <c r="BD377" s="15" t="s">
        <v>742</v>
      </c>
      <c r="BE377" s="15" t="str">
        <f t="shared" si="661"/>
        <v>1</v>
      </c>
      <c r="BF377" s="15" t="s">
        <v>1421</v>
      </c>
      <c r="BG377" s="15" t="str">
        <f>"98.43"</f>
        <v>98.43</v>
      </c>
      <c r="BH377" s="15" t="s">
        <v>4824</v>
      </c>
      <c r="BI377" s="15" t="str">
        <f>"20.08"</f>
        <v>20.08</v>
      </c>
      <c r="BJ377" s="15" t="s">
        <v>4825</v>
      </c>
      <c r="BK377" s="15" t="str">
        <f>"32.09"</f>
        <v>32.09</v>
      </c>
      <c r="BL377" s="15" t="s">
        <v>2174</v>
      </c>
      <c r="BM377" s="15" t="str">
        <f>"264.55"</f>
        <v>264.55</v>
      </c>
      <c r="BN377" s="15" t="s">
        <v>4826</v>
      </c>
      <c r="BQ377" s="15" t="s">
        <v>444</v>
      </c>
      <c r="BS377" s="15" t="s">
        <v>444</v>
      </c>
      <c r="BU377" s="15" t="s">
        <v>444</v>
      </c>
      <c r="BW377" s="15" t="s">
        <v>444</v>
      </c>
      <c r="BZ377" s="15" t="s">
        <v>444</v>
      </c>
      <c r="CB377" s="15" t="s">
        <v>444</v>
      </c>
      <c r="CD377" s="15" t="s">
        <v>444</v>
      </c>
      <c r="CF377" s="15" t="s">
        <v>444</v>
      </c>
      <c r="CI377" s="15" t="s">
        <v>444</v>
      </c>
      <c r="CK377" s="15" t="s">
        <v>444</v>
      </c>
      <c r="CM377" s="15" t="s">
        <v>444</v>
      </c>
      <c r="CO377" s="15" t="s">
        <v>444</v>
      </c>
      <c r="CP377" s="15" t="str">
        <f>"36.69"</f>
        <v>36.69</v>
      </c>
      <c r="CQ377" s="15" t="str">
        <f>"1.039"</f>
        <v>1.039</v>
      </c>
      <c r="CR377" s="15" t="s">
        <v>465</v>
      </c>
      <c r="CV377" s="15" t="s">
        <v>4827</v>
      </c>
      <c r="CW377" s="15" t="s">
        <v>4180</v>
      </c>
      <c r="CX377" s="15" t="s">
        <v>1038</v>
      </c>
      <c r="DC377" s="15" t="str">
        <f>IFERROR(__xludf.DUMMYFUNCTION("""COMPUTED_VALUE"""),"")</f>
        <v/>
      </c>
      <c r="DE377" s="15" t="str">
        <f>IFERROR(__xludf.DUMMYFUNCTION("""COMPUTED_VALUE"""),"")</f>
        <v/>
      </c>
      <c r="DG377" s="15" t="str">
        <f>IFERROR(__xludf.DUMMYFUNCTION("""COMPUTED_VALUE"""),"")</f>
        <v/>
      </c>
      <c r="DL377" s="15" t="str">
        <f>IFERROR(__xludf.DUMMYFUNCTION("""COMPUTED_VALUE"""),"")</f>
        <v/>
      </c>
      <c r="DM377" s="15" t="s">
        <v>444</v>
      </c>
      <c r="DN377" s="15" t="s">
        <v>418</v>
      </c>
      <c r="DO377" s="15">
        <v>4.0</v>
      </c>
      <c r="DP377" s="15" t="s">
        <v>419</v>
      </c>
      <c r="DR377" s="15">
        <v>0.0</v>
      </c>
      <c r="DT377" s="15" t="s">
        <v>420</v>
      </c>
      <c r="DU377" s="15" t="s">
        <v>610</v>
      </c>
      <c r="DW377" s="15">
        <v>18.14</v>
      </c>
      <c r="DX377" s="15">
        <v>40.0</v>
      </c>
      <c r="DY377" s="15">
        <v>1.0</v>
      </c>
      <c r="EG377" s="15" t="s">
        <v>444</v>
      </c>
      <c r="EH377" s="15" t="s">
        <v>4809</v>
      </c>
      <c r="EK377" s="15" t="s">
        <v>444</v>
      </c>
      <c r="EM377" s="15" t="str">
        <f>IFERROR(__xludf.DUMMYFUNCTION("""COMPUTED_VALUE"""),"")</f>
        <v/>
      </c>
      <c r="EW377" s="15" t="s">
        <v>505</v>
      </c>
      <c r="FL377" s="15" t="s">
        <v>426</v>
      </c>
      <c r="FM377" s="15">
        <v>1.0</v>
      </c>
      <c r="FY377" s="15" t="s">
        <v>3225</v>
      </c>
      <c r="FZ377" s="15" t="s">
        <v>612</v>
      </c>
      <c r="GA377" s="15" t="s">
        <v>613</v>
      </c>
      <c r="GB377" s="15" t="s">
        <v>4827</v>
      </c>
      <c r="GC377" s="15" t="s">
        <v>612</v>
      </c>
      <c r="GD377" s="15" t="s">
        <v>1038</v>
      </c>
      <c r="GF377" s="15" t="s">
        <v>426</v>
      </c>
      <c r="GG377" s="15" t="s">
        <v>1883</v>
      </c>
      <c r="GH377" s="15">
        <v>2.0</v>
      </c>
      <c r="GI377" s="15" t="s">
        <v>614</v>
      </c>
      <c r="GJ377" s="15" t="s">
        <v>1045</v>
      </c>
      <c r="GL377" s="15" t="s">
        <v>426</v>
      </c>
      <c r="GN377" s="15" t="s">
        <v>616</v>
      </c>
      <c r="GO377" s="15" t="s">
        <v>426</v>
      </c>
      <c r="GQ377" s="15" t="s">
        <v>4828</v>
      </c>
      <c r="GS377" s="15" t="s">
        <v>762</v>
      </c>
      <c r="GU377" s="15" t="s">
        <v>4829</v>
      </c>
      <c r="GW377" s="15" t="s">
        <v>431</v>
      </c>
      <c r="GY377" s="15" t="s">
        <v>764</v>
      </c>
      <c r="HD377" s="15">
        <v>0.0</v>
      </c>
      <c r="HW377" s="15" t="s">
        <v>1957</v>
      </c>
      <c r="IH377" s="15" t="s">
        <v>426</v>
      </c>
    </row>
    <row r="378" ht="15.75" customHeight="1">
      <c r="A378" s="14" t="s">
        <v>391</v>
      </c>
      <c r="B378" s="15" t="s">
        <v>4830</v>
      </c>
      <c r="C378" s="16"/>
      <c r="D378" s="15" t="s">
        <v>432</v>
      </c>
      <c r="G378" s="14" t="s">
        <v>393</v>
      </c>
      <c r="H378" s="14" t="s">
        <v>394</v>
      </c>
      <c r="I378" s="14" t="b">
        <v>1</v>
      </c>
      <c r="J378" s="14" t="s">
        <v>395</v>
      </c>
      <c r="L378" s="14" t="b">
        <v>0</v>
      </c>
      <c r="M378" s="15" t="s">
        <v>4831</v>
      </c>
      <c r="N378" s="14" t="s">
        <v>393</v>
      </c>
      <c r="O378" s="14" t="s">
        <v>393</v>
      </c>
      <c r="P378" s="15" t="s">
        <v>397</v>
      </c>
      <c r="Q378" s="15" t="s">
        <v>4832</v>
      </c>
      <c r="T378" s="14" t="b">
        <v>0</v>
      </c>
      <c r="U378" s="15" t="s">
        <v>4833</v>
      </c>
      <c r="V378" s="15" t="s">
        <v>4460</v>
      </c>
      <c r="W378" s="15" t="s">
        <v>401</v>
      </c>
      <c r="X378" s="15" t="s">
        <v>695</v>
      </c>
      <c r="Y378" s="15">
        <v>3172.0</v>
      </c>
      <c r="AA378" s="15" t="str">
        <f>"1220"</f>
        <v>1220</v>
      </c>
      <c r="AB378" s="14" t="b">
        <v>1</v>
      </c>
      <c r="AC378" s="14" t="b">
        <v>1</v>
      </c>
      <c r="AD378" s="15" t="str">
        <f>"801542105891"</f>
        <v>801542105891</v>
      </c>
      <c r="AE378" s="15" t="s">
        <v>4834</v>
      </c>
      <c r="AF378" s="14" t="s">
        <v>404</v>
      </c>
      <c r="AG378" s="14" t="s">
        <v>405</v>
      </c>
      <c r="AH378" s="14" t="s">
        <v>406</v>
      </c>
      <c r="AI378" s="15">
        <v>0.0</v>
      </c>
      <c r="AL378" s="15" t="s">
        <v>4835</v>
      </c>
      <c r="AM378" s="15" t="s">
        <v>770</v>
      </c>
      <c r="AN378" s="15" t="s">
        <v>771</v>
      </c>
      <c r="AO378" s="15" t="s">
        <v>4836</v>
      </c>
      <c r="AP378" s="15" t="s">
        <v>4837</v>
      </c>
      <c r="AQ378" s="15" t="s">
        <v>2229</v>
      </c>
      <c r="AR378" s="15" t="s">
        <v>2230</v>
      </c>
      <c r="AS378" s="15" t="s">
        <v>915</v>
      </c>
      <c r="AT378" s="15" t="s">
        <v>4832</v>
      </c>
      <c r="AU378" s="15" t="s">
        <v>3557</v>
      </c>
      <c r="AW378" s="15" t="s">
        <v>1732</v>
      </c>
      <c r="AY378" s="15" t="s">
        <v>413</v>
      </c>
      <c r="AZ378" s="15" t="b">
        <v>0</v>
      </c>
      <c r="BA378" s="15" t="s">
        <v>426</v>
      </c>
      <c r="BB378" s="15" t="b">
        <v>1</v>
      </c>
      <c r="BC378" s="15" t="s">
        <v>4838</v>
      </c>
      <c r="BD378" s="15" t="s">
        <v>709</v>
      </c>
      <c r="BE378" s="15" t="str">
        <f t="shared" si="661"/>
        <v>1</v>
      </c>
      <c r="BF378" s="15" t="s">
        <v>416</v>
      </c>
      <c r="BG378" s="15" t="str">
        <f>"94.49"</f>
        <v>94.49</v>
      </c>
      <c r="BH378" s="15" t="s">
        <v>4839</v>
      </c>
      <c r="BI378" s="15" t="str">
        <f>"38.58"</f>
        <v>38.58</v>
      </c>
      <c r="BJ378" s="15" t="s">
        <v>442</v>
      </c>
      <c r="BK378" s="15" t="str">
        <f>"29.53"</f>
        <v>29.53</v>
      </c>
      <c r="BL378" s="15" t="s">
        <v>1062</v>
      </c>
      <c r="BM378" s="15" t="str">
        <f>"161.82"</f>
        <v>161.82</v>
      </c>
      <c r="BN378" s="15" t="s">
        <v>4840</v>
      </c>
      <c r="BQ378" s="15" t="s">
        <v>444</v>
      </c>
      <c r="BS378" s="15" t="s">
        <v>444</v>
      </c>
      <c r="BU378" s="15" t="s">
        <v>444</v>
      </c>
      <c r="BW378" s="15" t="s">
        <v>444</v>
      </c>
      <c r="BZ378" s="15" t="s">
        <v>444</v>
      </c>
      <c r="CB378" s="15" t="s">
        <v>444</v>
      </c>
      <c r="CD378" s="15" t="s">
        <v>444</v>
      </c>
      <c r="CF378" s="15" t="s">
        <v>444</v>
      </c>
      <c r="CI378" s="15" t="s">
        <v>444</v>
      </c>
      <c r="CK378" s="15" t="s">
        <v>444</v>
      </c>
      <c r="CM378" s="15" t="s">
        <v>444</v>
      </c>
      <c r="CO378" s="15" t="s">
        <v>444</v>
      </c>
      <c r="CP378" s="15" t="str">
        <f>"62.3"</f>
        <v>62.3</v>
      </c>
      <c r="CQ378" s="15" t="str">
        <f>"1.764"</f>
        <v>1.764</v>
      </c>
      <c r="CR378" s="15" t="s">
        <v>465</v>
      </c>
      <c r="CY378" s="15" t="s">
        <v>3500</v>
      </c>
      <c r="CZ378" s="15" t="s">
        <v>2402</v>
      </c>
      <c r="DA378" s="15" t="s">
        <v>3481</v>
      </c>
      <c r="DB378" s="15" t="s">
        <v>1211</v>
      </c>
      <c r="DC378" s="15" t="str">
        <f>IFERROR(__xludf.DUMMYFUNCTION("""COMPUTED_VALUE"""),"{""value"":24.00,""unit"":""in""}")</f>
        <v>{"value":24.00,"unit":"in"}</v>
      </c>
      <c r="DD378" s="15" t="s">
        <v>1065</v>
      </c>
      <c r="DE378" s="15" t="str">
        <f>IFERROR(__xludf.DUMMYFUNCTION("""COMPUTED_VALUE"""),"{""value"":18.00,""unit"":""in""}")</f>
        <v>{"value":18.00,"unit":"in"}</v>
      </c>
      <c r="DF378" s="15" t="s">
        <v>1755</v>
      </c>
      <c r="DG378" s="15" t="str">
        <f>IFERROR(__xludf.DUMMYFUNCTION("""COMPUTED_VALUE"""),"{""value"":76.00,""unit"":""in""}")</f>
        <v>{"value":76.00,"unit":"in"}</v>
      </c>
      <c r="DH378" s="15">
        <v>0.0</v>
      </c>
      <c r="DI378" s="15">
        <v>2.0</v>
      </c>
      <c r="DJ378" s="15" t="s">
        <v>717</v>
      </c>
      <c r="DK378" s="15" t="s">
        <v>855</v>
      </c>
      <c r="DL378" s="15" t="str">
        <f>IFERROR(__xludf.DUMMYFUNCTION("""COMPUTED_VALUE"""),"Clean with solvent-based (dry clean only) products. Do not use water.")</f>
        <v>Clean with solvent-based (dry clean only) products. Do not use water.</v>
      </c>
      <c r="DM378" s="15" t="s">
        <v>856</v>
      </c>
      <c r="DQ378" s="15" t="s">
        <v>4841</v>
      </c>
      <c r="DT378" s="15" t="s">
        <v>721</v>
      </c>
      <c r="DU378" s="15" t="s">
        <v>419</v>
      </c>
      <c r="DV378" s="15">
        <v>0.0</v>
      </c>
      <c r="DZ378" s="15">
        <v>25000.0</v>
      </c>
      <c r="EA378" s="15" t="s">
        <v>990</v>
      </c>
      <c r="EB378" s="15" t="s">
        <v>723</v>
      </c>
      <c r="EC378" s="15" t="s">
        <v>1076</v>
      </c>
      <c r="ED378" s="15">
        <v>1.0</v>
      </c>
      <c r="EE378" s="15">
        <v>4.0</v>
      </c>
      <c r="EG378" s="15" t="s">
        <v>444</v>
      </c>
      <c r="EH378" s="15" t="s">
        <v>4842</v>
      </c>
      <c r="EI378" s="15">
        <v>0.0</v>
      </c>
      <c r="EJ378" s="15" t="s">
        <v>588</v>
      </c>
      <c r="EK378" s="15" t="s">
        <v>589</v>
      </c>
      <c r="EL378" s="15" t="s">
        <v>1211</v>
      </c>
      <c r="EM378" s="15" t="str">
        <f>IFERROR(__xludf.DUMMYFUNCTION("""COMPUTED_VALUE"""),"{""value"":24.00,""unit"":""in""}")</f>
        <v>{"value":24.00,"unit":"in"}</v>
      </c>
      <c r="EN378" s="15" t="s">
        <v>505</v>
      </c>
      <c r="EO378" s="15" t="s">
        <v>4339</v>
      </c>
      <c r="ES378" s="15" t="s">
        <v>995</v>
      </c>
      <c r="ET378" s="15" t="s">
        <v>2402</v>
      </c>
      <c r="EU378" s="15" t="s">
        <v>1161</v>
      </c>
      <c r="EV378" s="15" t="s">
        <v>4843</v>
      </c>
      <c r="EW378" s="15" t="s">
        <v>762</v>
      </c>
      <c r="EX378" s="15" t="s">
        <v>558</v>
      </c>
      <c r="EY378" s="15" t="s">
        <v>4844</v>
      </c>
      <c r="EZ378" s="15" t="s">
        <v>531</v>
      </c>
      <c r="FC378" s="15" t="s">
        <v>723</v>
      </c>
      <c r="FD378" s="15" t="s">
        <v>1076</v>
      </c>
      <c r="FE378" s="15" t="s">
        <v>1289</v>
      </c>
      <c r="FF378" s="15" t="s">
        <v>1290</v>
      </c>
    </row>
    <row r="379" ht="15.75" customHeight="1">
      <c r="A379" s="14" t="s">
        <v>391</v>
      </c>
      <c r="B379" s="15" t="s">
        <v>4845</v>
      </c>
      <c r="C379" s="16"/>
      <c r="D379" s="15" t="s">
        <v>432</v>
      </c>
      <c r="G379" s="14" t="s">
        <v>393</v>
      </c>
      <c r="H379" s="14" t="s">
        <v>394</v>
      </c>
      <c r="I379" s="14" t="b">
        <v>1</v>
      </c>
      <c r="J379" s="14" t="s">
        <v>395</v>
      </c>
      <c r="L379" s="14" t="b">
        <v>0</v>
      </c>
      <c r="M379" s="15" t="s">
        <v>4846</v>
      </c>
      <c r="N379" s="14" t="s">
        <v>393</v>
      </c>
      <c r="O379" s="14" t="s">
        <v>393</v>
      </c>
      <c r="P379" s="15" t="s">
        <v>397</v>
      </c>
      <c r="Q379" s="15" t="s">
        <v>4847</v>
      </c>
      <c r="T379" s="14" t="b">
        <v>0</v>
      </c>
      <c r="U379" s="15" t="s">
        <v>4848</v>
      </c>
      <c r="V379" s="15" t="s">
        <v>3665</v>
      </c>
      <c r="W379" s="15" t="s">
        <v>401</v>
      </c>
      <c r="X379" s="15" t="s">
        <v>695</v>
      </c>
      <c r="Y379" s="15">
        <v>1482.0</v>
      </c>
      <c r="AA379" s="15" t="str">
        <f>"570"</f>
        <v>570</v>
      </c>
      <c r="AB379" s="14" t="b">
        <v>1</v>
      </c>
      <c r="AC379" s="14" t="b">
        <v>1</v>
      </c>
      <c r="AD379" s="15" t="str">
        <f>"801542003128"</f>
        <v>801542003128</v>
      </c>
      <c r="AE379" s="15" t="s">
        <v>4849</v>
      </c>
      <c r="AF379" s="14" t="s">
        <v>404</v>
      </c>
      <c r="AG379" s="14" t="s">
        <v>405</v>
      </c>
      <c r="AH379" s="14" t="s">
        <v>406</v>
      </c>
      <c r="AI379" s="15">
        <v>0.0</v>
      </c>
      <c r="AL379" s="15" t="s">
        <v>4850</v>
      </c>
      <c r="AM379" s="15" t="s">
        <v>1177</v>
      </c>
      <c r="AN379" s="15" t="s">
        <v>1178</v>
      </c>
      <c r="AO379" s="15" t="s">
        <v>1177</v>
      </c>
      <c r="AP379" s="15" t="s">
        <v>1178</v>
      </c>
      <c r="AQ379" s="15" t="s">
        <v>4224</v>
      </c>
      <c r="AR379" s="15" t="s">
        <v>4225</v>
      </c>
      <c r="AS379" s="15" t="s">
        <v>813</v>
      </c>
      <c r="AT379" s="15" t="s">
        <v>4847</v>
      </c>
      <c r="AU379" s="15" t="s">
        <v>4851</v>
      </c>
      <c r="AW379" s="15" t="s">
        <v>491</v>
      </c>
      <c r="AY379" s="15" t="s">
        <v>413</v>
      </c>
      <c r="AZ379" s="15" t="b">
        <v>0</v>
      </c>
      <c r="BA379" s="15" t="s">
        <v>413</v>
      </c>
      <c r="BB379" s="15" t="b">
        <v>0</v>
      </c>
      <c r="BC379" s="15" t="s">
        <v>4852</v>
      </c>
      <c r="BD379" s="15" t="s">
        <v>709</v>
      </c>
      <c r="BE379" s="15" t="str">
        <f t="shared" si="661"/>
        <v>1</v>
      </c>
      <c r="BF379" s="15" t="s">
        <v>416</v>
      </c>
      <c r="BG379" s="15" t="str">
        <f>"26.77"</f>
        <v>26.77</v>
      </c>
      <c r="BH379" s="15" t="s">
        <v>2322</v>
      </c>
      <c r="BI379" s="15" t="str">
        <f>"26.77"</f>
        <v>26.77</v>
      </c>
      <c r="BJ379" s="15" t="s">
        <v>2322</v>
      </c>
      <c r="BK379" s="15" t="str">
        <f>"18.5"</f>
        <v>18.5</v>
      </c>
      <c r="BL379" s="15" t="s">
        <v>810</v>
      </c>
      <c r="BM379" s="15" t="str">
        <f>"31.97"</f>
        <v>31.97</v>
      </c>
      <c r="BN379" s="15" t="s">
        <v>2982</v>
      </c>
      <c r="BQ379" s="15" t="s">
        <v>444</v>
      </c>
      <c r="BS379" s="15" t="s">
        <v>444</v>
      </c>
      <c r="BU379" s="15" t="s">
        <v>444</v>
      </c>
      <c r="BW379" s="15" t="s">
        <v>444</v>
      </c>
      <c r="BZ379" s="15" t="s">
        <v>444</v>
      </c>
      <c r="CB379" s="15" t="s">
        <v>444</v>
      </c>
      <c r="CD379" s="15" t="s">
        <v>444</v>
      </c>
      <c r="CF379" s="15" t="s">
        <v>444</v>
      </c>
      <c r="CI379" s="15" t="s">
        <v>444</v>
      </c>
      <c r="CK379" s="15" t="s">
        <v>444</v>
      </c>
      <c r="CM379" s="15" t="s">
        <v>444</v>
      </c>
      <c r="CO379" s="15" t="s">
        <v>444</v>
      </c>
      <c r="CP379" s="15" t="str">
        <f>"7.66"</f>
        <v>7.66</v>
      </c>
      <c r="CQ379" s="15" t="str">
        <f>"0.217"</f>
        <v>0.217</v>
      </c>
      <c r="CR379" s="15" t="s">
        <v>465</v>
      </c>
      <c r="DC379" s="15" t="str">
        <f>IFERROR(__xludf.DUMMYFUNCTION("""COMPUTED_VALUE"""),"")</f>
        <v/>
      </c>
      <c r="DE379" s="15" t="str">
        <f>IFERROR(__xludf.DUMMYFUNCTION("""COMPUTED_VALUE"""),"")</f>
        <v/>
      </c>
      <c r="DG379" s="15" t="str">
        <f>IFERROR(__xludf.DUMMYFUNCTION("""COMPUTED_VALUE"""),"")</f>
        <v/>
      </c>
      <c r="DL379" s="15" t="str">
        <f>IFERROR(__xludf.DUMMYFUNCTION("""COMPUTED_VALUE"""),"")</f>
        <v/>
      </c>
      <c r="DM379" s="15" t="s">
        <v>444</v>
      </c>
      <c r="DN379" s="15" t="s">
        <v>419</v>
      </c>
      <c r="DO379" s="15">
        <v>0.0</v>
      </c>
      <c r="DP379" s="15" t="s">
        <v>419</v>
      </c>
      <c r="DR379" s="15">
        <v>0.0</v>
      </c>
      <c r="DT379" s="15" t="s">
        <v>989</v>
      </c>
      <c r="DU379" s="15" t="s">
        <v>419</v>
      </c>
      <c r="DY379" s="15">
        <v>0.0</v>
      </c>
      <c r="EF379" s="15" t="s">
        <v>1157</v>
      </c>
      <c r="EG379" s="15" t="s">
        <v>1158</v>
      </c>
      <c r="EH379" s="15" t="s">
        <v>4853</v>
      </c>
      <c r="EJ379" s="15" t="s">
        <v>500</v>
      </c>
      <c r="EK379" s="15" t="s">
        <v>501</v>
      </c>
      <c r="EM379" s="15" t="str">
        <f>IFERROR(__xludf.DUMMYFUNCTION("""COMPUTED_VALUE"""),"")</f>
        <v/>
      </c>
      <c r="EW379" s="15" t="s">
        <v>2221</v>
      </c>
      <c r="FF379" s="15" t="s">
        <v>2387</v>
      </c>
      <c r="FH379" s="15" t="s">
        <v>3129</v>
      </c>
      <c r="FI379" s="15" t="s">
        <v>2221</v>
      </c>
      <c r="FJ379" s="15" t="s">
        <v>3129</v>
      </c>
      <c r="FK379" s="15" t="s">
        <v>2651</v>
      </c>
      <c r="FM379" s="15">
        <v>0.0</v>
      </c>
      <c r="FN379" s="15">
        <v>0.0</v>
      </c>
      <c r="FW379" s="15" t="s">
        <v>2969</v>
      </c>
    </row>
    <row r="380" ht="15.75" customHeight="1">
      <c r="A380" s="14" t="s">
        <v>391</v>
      </c>
      <c r="B380" s="15" t="s">
        <v>4854</v>
      </c>
      <c r="C380" s="16"/>
      <c r="D380" s="15" t="s">
        <v>432</v>
      </c>
      <c r="G380" s="14" t="s">
        <v>393</v>
      </c>
      <c r="H380" s="14" t="s">
        <v>394</v>
      </c>
      <c r="I380" s="14" t="b">
        <v>1</v>
      </c>
      <c r="J380" s="14" t="s">
        <v>395</v>
      </c>
      <c r="L380" s="14" t="b">
        <v>0</v>
      </c>
      <c r="M380" s="15" t="s">
        <v>4855</v>
      </c>
      <c r="N380" s="14" t="s">
        <v>393</v>
      </c>
      <c r="O380" s="14" t="s">
        <v>393</v>
      </c>
      <c r="P380" s="15" t="s">
        <v>397</v>
      </c>
      <c r="Q380" s="15" t="s">
        <v>4856</v>
      </c>
      <c r="T380" s="14" t="b">
        <v>0</v>
      </c>
      <c r="U380" s="15" t="s">
        <v>4857</v>
      </c>
      <c r="V380" s="15" t="s">
        <v>4858</v>
      </c>
      <c r="W380" s="15" t="s">
        <v>401</v>
      </c>
      <c r="X380" s="15" t="s">
        <v>695</v>
      </c>
      <c r="Y380" s="15">
        <v>2847.0</v>
      </c>
      <c r="AA380" s="15" t="str">
        <f>"1095"</f>
        <v>1095</v>
      </c>
      <c r="AB380" s="14" t="b">
        <v>1</v>
      </c>
      <c r="AC380" s="14" t="b">
        <v>1</v>
      </c>
      <c r="AD380" s="15" t="str">
        <f>"801542143855"</f>
        <v>801542143855</v>
      </c>
      <c r="AE380" s="15" t="s">
        <v>4859</v>
      </c>
      <c r="AF380" s="14" t="s">
        <v>404</v>
      </c>
      <c r="AG380" s="14" t="s">
        <v>405</v>
      </c>
      <c r="AH380" s="14" t="s">
        <v>406</v>
      </c>
      <c r="AI380" s="15">
        <v>0.0</v>
      </c>
      <c r="AL380" s="15" t="s">
        <v>4860</v>
      </c>
      <c r="AM380" s="15" t="s">
        <v>770</v>
      </c>
      <c r="AN380" s="15" t="s">
        <v>771</v>
      </c>
      <c r="AO380" s="15" t="s">
        <v>1561</v>
      </c>
      <c r="AP380" s="15" t="s">
        <v>1562</v>
      </c>
      <c r="AQ380" s="15" t="s">
        <v>1276</v>
      </c>
      <c r="AR380" s="15" t="s">
        <v>1277</v>
      </c>
      <c r="AS380" s="15" t="s">
        <v>2193</v>
      </c>
      <c r="AT380" s="15" t="s">
        <v>4856</v>
      </c>
      <c r="AU380" s="15" t="s">
        <v>4336</v>
      </c>
      <c r="AW380" s="15" t="s">
        <v>519</v>
      </c>
      <c r="AY380" s="15" t="s">
        <v>413</v>
      </c>
      <c r="AZ380" s="15" t="b">
        <v>0</v>
      </c>
      <c r="BA380" s="15" t="s">
        <v>413</v>
      </c>
      <c r="BB380" s="15" t="b">
        <v>0</v>
      </c>
      <c r="BC380" s="15" t="s">
        <v>4861</v>
      </c>
      <c r="BD380" s="15" t="s">
        <v>709</v>
      </c>
      <c r="BE380" s="15" t="str">
        <f t="shared" si="661"/>
        <v>1</v>
      </c>
      <c r="BF380" s="15" t="s">
        <v>4862</v>
      </c>
      <c r="BG380" s="15" t="str">
        <f>"96.85"</f>
        <v>96.85</v>
      </c>
      <c r="BH380" s="15" t="s">
        <v>2596</v>
      </c>
      <c r="BI380" s="15" t="str">
        <f>"25.2"</f>
        <v>25.2</v>
      </c>
      <c r="BJ380" s="15" t="s">
        <v>585</v>
      </c>
      <c r="BK380" s="15" t="str">
        <f>"11.02"</f>
        <v>11.02</v>
      </c>
      <c r="BL380" s="15" t="s">
        <v>932</v>
      </c>
      <c r="BM380" s="15" t="str">
        <f>"160.05"</f>
        <v>160.05</v>
      </c>
      <c r="BN380" s="15" t="s">
        <v>4863</v>
      </c>
      <c r="BQ380" s="15" t="s">
        <v>444</v>
      </c>
      <c r="BS380" s="15" t="s">
        <v>444</v>
      </c>
      <c r="BU380" s="15" t="s">
        <v>444</v>
      </c>
      <c r="BW380" s="15" t="s">
        <v>444</v>
      </c>
      <c r="BZ380" s="15" t="s">
        <v>444</v>
      </c>
      <c r="CB380" s="15" t="s">
        <v>444</v>
      </c>
      <c r="CD380" s="15" t="s">
        <v>444</v>
      </c>
      <c r="CF380" s="15" t="s">
        <v>444</v>
      </c>
      <c r="CI380" s="15" t="s">
        <v>444</v>
      </c>
      <c r="CK380" s="15" t="s">
        <v>444</v>
      </c>
      <c r="CM380" s="15" t="s">
        <v>444</v>
      </c>
      <c r="CO380" s="15" t="s">
        <v>444</v>
      </c>
      <c r="CP380" s="15" t="str">
        <f>"15.57"</f>
        <v>15.57</v>
      </c>
      <c r="CQ380" s="15" t="str">
        <f>"0.441"</f>
        <v>0.441</v>
      </c>
      <c r="CR380" s="15" t="s">
        <v>465</v>
      </c>
      <c r="DC380" s="15" t="str">
        <f>IFERROR(__xludf.DUMMYFUNCTION("""COMPUTED_VALUE"""),"")</f>
        <v/>
      </c>
      <c r="DE380" s="15" t="str">
        <f>IFERROR(__xludf.DUMMYFUNCTION("""COMPUTED_VALUE"""),"")</f>
        <v/>
      </c>
      <c r="DG380" s="15" t="str">
        <f>IFERROR(__xludf.DUMMYFUNCTION("""COMPUTED_VALUE"""),"")</f>
        <v/>
      </c>
      <c r="DL380" s="15" t="str">
        <f>IFERROR(__xludf.DUMMYFUNCTION("""COMPUTED_VALUE"""),"")</f>
        <v/>
      </c>
      <c r="DM380" s="15" t="s">
        <v>444</v>
      </c>
      <c r="DN380" s="15" t="s">
        <v>419</v>
      </c>
      <c r="DO380" s="15">
        <v>0.0</v>
      </c>
      <c r="DP380" s="15" t="s">
        <v>419</v>
      </c>
      <c r="DR380" s="15">
        <v>0.0</v>
      </c>
      <c r="DT380" s="15" t="s">
        <v>1111</v>
      </c>
      <c r="DU380" s="15" t="s">
        <v>4548</v>
      </c>
      <c r="DY380" s="15">
        <v>0.0</v>
      </c>
      <c r="EF380" s="15" t="s">
        <v>471</v>
      </c>
      <c r="EG380" s="15" t="s">
        <v>472</v>
      </c>
      <c r="EH380" s="15" t="s">
        <v>4864</v>
      </c>
      <c r="EJ380" s="15" t="s">
        <v>424</v>
      </c>
      <c r="EK380" s="15" t="s">
        <v>446</v>
      </c>
      <c r="EM380" s="15" t="str">
        <f>IFERROR(__xludf.DUMMYFUNCTION("""COMPUTED_VALUE"""),"")</f>
        <v/>
      </c>
      <c r="EW380" s="15" t="s">
        <v>1236</v>
      </c>
      <c r="EX380" s="15" t="s">
        <v>1287</v>
      </c>
      <c r="EY380" s="15" t="s">
        <v>1755</v>
      </c>
      <c r="FH380" s="15" t="s">
        <v>1700</v>
      </c>
      <c r="FI380" s="15" t="s">
        <v>2314</v>
      </c>
      <c r="FJ380" s="15" t="s">
        <v>4865</v>
      </c>
      <c r="FK380" s="15" t="s">
        <v>612</v>
      </c>
      <c r="FL380" s="15" t="s">
        <v>426</v>
      </c>
      <c r="FM380" s="15">
        <v>0.0</v>
      </c>
      <c r="FN380" s="15">
        <v>2.0</v>
      </c>
      <c r="FW380" s="15" t="s">
        <v>505</v>
      </c>
      <c r="GH380" s="15">
        <v>0.0</v>
      </c>
      <c r="GI380" s="15" t="s">
        <v>427</v>
      </c>
      <c r="KP380" s="15" t="s">
        <v>3841</v>
      </c>
      <c r="KQ380" s="15" t="s">
        <v>1072</v>
      </c>
      <c r="KR380" s="15" t="s">
        <v>4866</v>
      </c>
      <c r="KS380" s="15" t="s">
        <v>4867</v>
      </c>
    </row>
    <row r="381" ht="15.75" customHeight="1">
      <c r="A381" s="14" t="s">
        <v>391</v>
      </c>
      <c r="B381" s="15" t="s">
        <v>4868</v>
      </c>
      <c r="C381" s="16"/>
      <c r="D381" s="15" t="s">
        <v>432</v>
      </c>
      <c r="G381" s="14" t="s">
        <v>393</v>
      </c>
      <c r="H381" s="14" t="s">
        <v>394</v>
      </c>
      <c r="I381" s="14" t="b">
        <v>1</v>
      </c>
      <c r="J381" s="14" t="s">
        <v>395</v>
      </c>
      <c r="L381" s="14" t="b">
        <v>0</v>
      </c>
      <c r="M381" s="15" t="s">
        <v>4869</v>
      </c>
      <c r="N381" s="14" t="s">
        <v>393</v>
      </c>
      <c r="O381" s="14" t="s">
        <v>393</v>
      </c>
      <c r="P381" s="15" t="s">
        <v>397</v>
      </c>
      <c r="Q381" s="15" t="s">
        <v>4870</v>
      </c>
      <c r="T381" s="14" t="b">
        <v>0</v>
      </c>
      <c r="U381" s="15" t="s">
        <v>4871</v>
      </c>
      <c r="V381" s="15" t="s">
        <v>4872</v>
      </c>
      <c r="W381" s="15" t="s">
        <v>401</v>
      </c>
      <c r="X381" s="15" t="s">
        <v>742</v>
      </c>
      <c r="Y381" s="15">
        <v>2184.0</v>
      </c>
      <c r="AA381" s="15" t="str">
        <f>"840"</f>
        <v>840</v>
      </c>
      <c r="AB381" s="14" t="b">
        <v>1</v>
      </c>
      <c r="AC381" s="14" t="b">
        <v>1</v>
      </c>
      <c r="AD381" s="15" t="str">
        <f>"801542429799"</f>
        <v>801542429799</v>
      </c>
      <c r="AE381" s="15" t="s">
        <v>4873</v>
      </c>
      <c r="AF381" s="14" t="s">
        <v>404</v>
      </c>
      <c r="AG381" s="14" t="s">
        <v>405</v>
      </c>
      <c r="AH381" s="14" t="s">
        <v>406</v>
      </c>
      <c r="AI381" s="15">
        <v>0.0</v>
      </c>
      <c r="AL381" s="15" t="s">
        <v>4874</v>
      </c>
      <c r="AM381" s="15" t="s">
        <v>3092</v>
      </c>
      <c r="AN381" s="15" t="s">
        <v>3093</v>
      </c>
      <c r="AO381" s="15" t="s">
        <v>598</v>
      </c>
      <c r="AP381" s="15" t="s">
        <v>599</v>
      </c>
      <c r="AQ381" s="15" t="s">
        <v>1276</v>
      </c>
      <c r="AR381" s="15" t="s">
        <v>1277</v>
      </c>
      <c r="AS381" s="15" t="s">
        <v>1896</v>
      </c>
      <c r="AT381" s="15" t="s">
        <v>4870</v>
      </c>
      <c r="AU381" s="15" t="s">
        <v>4875</v>
      </c>
      <c r="AW381" s="15" t="s">
        <v>664</v>
      </c>
      <c r="AY381" s="15" t="s">
        <v>413</v>
      </c>
      <c r="AZ381" s="15" t="b">
        <v>0</v>
      </c>
      <c r="BA381" s="15" t="s">
        <v>413</v>
      </c>
      <c r="BB381" s="15" t="b">
        <v>0</v>
      </c>
      <c r="BC381" s="15" t="s">
        <v>4876</v>
      </c>
      <c r="BD381" s="15" t="s">
        <v>742</v>
      </c>
      <c r="BE381" s="15" t="str">
        <f t="shared" si="661"/>
        <v>1</v>
      </c>
      <c r="BF381" s="15" t="s">
        <v>1455</v>
      </c>
      <c r="BG381" s="15" t="str">
        <f>"89.57"</f>
        <v>89.57</v>
      </c>
      <c r="BH381" s="15" t="s">
        <v>4877</v>
      </c>
      <c r="BI381" s="15" t="str">
        <f>"23.62"</f>
        <v>23.62</v>
      </c>
      <c r="BJ381" s="15" t="s">
        <v>1570</v>
      </c>
      <c r="BK381" s="15" t="str">
        <f>"36.61"</f>
        <v>36.61</v>
      </c>
      <c r="BL381" s="15" t="s">
        <v>1734</v>
      </c>
      <c r="BM381" s="15" t="str">
        <f>"253.53"</f>
        <v>253.53</v>
      </c>
      <c r="BN381" s="15" t="s">
        <v>4878</v>
      </c>
      <c r="BQ381" s="15" t="s">
        <v>444</v>
      </c>
      <c r="BS381" s="15" t="s">
        <v>444</v>
      </c>
      <c r="BU381" s="15" t="s">
        <v>444</v>
      </c>
      <c r="BW381" s="15" t="s">
        <v>444</v>
      </c>
      <c r="BZ381" s="15" t="s">
        <v>444</v>
      </c>
      <c r="CB381" s="15" t="s">
        <v>444</v>
      </c>
      <c r="CD381" s="15" t="s">
        <v>444</v>
      </c>
      <c r="CF381" s="15" t="s">
        <v>444</v>
      </c>
      <c r="CI381" s="15" t="s">
        <v>444</v>
      </c>
      <c r="CK381" s="15" t="s">
        <v>444</v>
      </c>
      <c r="CM381" s="15" t="s">
        <v>444</v>
      </c>
      <c r="CO381" s="15" t="s">
        <v>444</v>
      </c>
      <c r="CP381" s="15" t="str">
        <f>"44.81"</f>
        <v>44.81</v>
      </c>
      <c r="CQ381" s="15" t="str">
        <f>"1.269"</f>
        <v>1.269</v>
      </c>
      <c r="CR381" s="15" t="s">
        <v>465</v>
      </c>
      <c r="CV381" s="15" t="s">
        <v>4879</v>
      </c>
      <c r="CW381" s="15" t="s">
        <v>4880</v>
      </c>
      <c r="CX381" s="15" t="s">
        <v>4881</v>
      </c>
      <c r="DC381" s="15" t="str">
        <f>IFERROR(__xludf.DUMMYFUNCTION("""COMPUTED_VALUE"""),"")</f>
        <v/>
      </c>
      <c r="DE381" s="15" t="str">
        <f>IFERROR(__xludf.DUMMYFUNCTION("""COMPUTED_VALUE"""),"")</f>
        <v/>
      </c>
      <c r="DG381" s="15" t="str">
        <f>IFERROR(__xludf.DUMMYFUNCTION("""COMPUTED_VALUE"""),"")</f>
        <v/>
      </c>
      <c r="DL381" s="15" t="str">
        <f>IFERROR(__xludf.DUMMYFUNCTION("""COMPUTED_VALUE"""),"")</f>
        <v/>
      </c>
      <c r="DM381" s="15" t="s">
        <v>444</v>
      </c>
      <c r="DN381" s="15" t="s">
        <v>419</v>
      </c>
      <c r="DO381" s="15">
        <v>0.0</v>
      </c>
      <c r="DP381" s="15" t="s">
        <v>419</v>
      </c>
      <c r="DR381" s="15">
        <v>0.0</v>
      </c>
      <c r="DT381" s="15" t="s">
        <v>1509</v>
      </c>
      <c r="DU381" s="15" t="s">
        <v>610</v>
      </c>
      <c r="DW381" s="15">
        <v>18.14</v>
      </c>
      <c r="DX381" s="15">
        <v>40.0</v>
      </c>
      <c r="DY381" s="15">
        <v>3.0</v>
      </c>
      <c r="EG381" s="15" t="s">
        <v>444</v>
      </c>
      <c r="EH381" s="15" t="s">
        <v>4882</v>
      </c>
      <c r="EJ381" s="15" t="s">
        <v>424</v>
      </c>
      <c r="EK381" s="15" t="s">
        <v>446</v>
      </c>
      <c r="EM381" s="15" t="str">
        <f>IFERROR(__xludf.DUMMYFUNCTION("""COMPUTED_VALUE"""),"")</f>
        <v/>
      </c>
      <c r="EW381" s="15" t="s">
        <v>4883</v>
      </c>
      <c r="FL381" s="15" t="s">
        <v>426</v>
      </c>
      <c r="FM381" s="15">
        <v>3.0</v>
      </c>
      <c r="FY381" s="15" t="s">
        <v>4884</v>
      </c>
      <c r="FZ381" s="15" t="s">
        <v>782</v>
      </c>
      <c r="GA381" s="15" t="s">
        <v>2165</v>
      </c>
      <c r="GB381" s="15" t="s">
        <v>4879</v>
      </c>
      <c r="GC381" s="15" t="s">
        <v>782</v>
      </c>
      <c r="GD381" s="15" t="s">
        <v>4881</v>
      </c>
      <c r="GE381" s="15">
        <v>0.0</v>
      </c>
      <c r="GF381" s="15" t="s">
        <v>426</v>
      </c>
      <c r="GG381" s="15" t="s">
        <v>785</v>
      </c>
      <c r="GH381" s="15">
        <v>4.0</v>
      </c>
      <c r="GI381" s="15" t="s">
        <v>614</v>
      </c>
      <c r="GJ381" s="15" t="s">
        <v>1045</v>
      </c>
      <c r="GK381" s="15">
        <v>0.0</v>
      </c>
      <c r="GL381" s="15" t="s">
        <v>426</v>
      </c>
      <c r="GN381" s="15" t="s">
        <v>616</v>
      </c>
      <c r="HA381" s="15" t="s">
        <v>4879</v>
      </c>
      <c r="HB381" s="15" t="s">
        <v>4880</v>
      </c>
      <c r="HC381" s="15" t="s">
        <v>1426</v>
      </c>
      <c r="HQ381" s="15" t="s">
        <v>4879</v>
      </c>
      <c r="HS381" s="15" t="s">
        <v>4880</v>
      </c>
      <c r="HU381" s="15" t="s">
        <v>1426</v>
      </c>
      <c r="HW381" s="15" t="s">
        <v>1957</v>
      </c>
      <c r="ID381" s="15" t="s">
        <v>4879</v>
      </c>
      <c r="IE381" s="15" t="s">
        <v>782</v>
      </c>
      <c r="IF381" s="15" t="s">
        <v>1426</v>
      </c>
      <c r="IH381" s="15" t="s">
        <v>426</v>
      </c>
    </row>
    <row r="382" ht="15.75" customHeight="1">
      <c r="A382" s="14" t="s">
        <v>391</v>
      </c>
      <c r="B382" s="15" t="s">
        <v>4885</v>
      </c>
      <c r="C382" s="16"/>
      <c r="D382" s="15" t="s">
        <v>432</v>
      </c>
      <c r="G382" s="14" t="s">
        <v>393</v>
      </c>
      <c r="H382" s="14" t="s">
        <v>394</v>
      </c>
      <c r="I382" s="14" t="b">
        <v>1</v>
      </c>
      <c r="J382" s="14" t="s">
        <v>395</v>
      </c>
      <c r="L382" s="14" t="b">
        <v>0</v>
      </c>
      <c r="M382" s="15" t="s">
        <v>4886</v>
      </c>
      <c r="N382" s="14" t="s">
        <v>393</v>
      </c>
      <c r="O382" s="14" t="s">
        <v>393</v>
      </c>
      <c r="P382" s="15" t="s">
        <v>397</v>
      </c>
      <c r="Q382" s="15" t="s">
        <v>4887</v>
      </c>
      <c r="T382" s="14" t="b">
        <v>0</v>
      </c>
      <c r="U382" s="15" t="s">
        <v>4888</v>
      </c>
      <c r="V382" s="15" t="s">
        <v>4889</v>
      </c>
      <c r="W382" s="15" t="s">
        <v>401</v>
      </c>
      <c r="X382" s="15" t="s">
        <v>1296</v>
      </c>
      <c r="Y382" s="15">
        <v>1261.0</v>
      </c>
      <c r="AA382" s="15" t="str">
        <f>"485"</f>
        <v>485</v>
      </c>
      <c r="AB382" s="14" t="b">
        <v>1</v>
      </c>
      <c r="AC382" s="14" t="b">
        <v>1</v>
      </c>
      <c r="AD382" s="15" t="str">
        <f>"801542318413"</f>
        <v>801542318413</v>
      </c>
      <c r="AE382" s="15" t="s">
        <v>4890</v>
      </c>
      <c r="AF382" s="14" t="s">
        <v>404</v>
      </c>
      <c r="AG382" s="14" t="s">
        <v>405</v>
      </c>
      <c r="AH382" s="14" t="s">
        <v>406</v>
      </c>
      <c r="AI382" s="15">
        <v>0.0</v>
      </c>
      <c r="AL382" s="15" t="s">
        <v>4891</v>
      </c>
      <c r="AM382" s="15" t="s">
        <v>679</v>
      </c>
      <c r="AN382" s="15" t="s">
        <v>680</v>
      </c>
      <c r="AO382" s="15" t="s">
        <v>409</v>
      </c>
      <c r="AP382" s="15" t="s">
        <v>438</v>
      </c>
      <c r="AQ382" s="15" t="s">
        <v>1364</v>
      </c>
      <c r="AR382" s="15" t="s">
        <v>1365</v>
      </c>
      <c r="AS382" s="15" t="s">
        <v>3494</v>
      </c>
      <c r="AT382" s="15" t="s">
        <v>4887</v>
      </c>
      <c r="AU382" s="15" t="s">
        <v>1898</v>
      </c>
      <c r="AW382" s="15" t="s">
        <v>412</v>
      </c>
      <c r="AY382" s="15" t="s">
        <v>413</v>
      </c>
      <c r="AZ382" s="15" t="b">
        <v>0</v>
      </c>
      <c r="BA382" s="15" t="s">
        <v>413</v>
      </c>
      <c r="BB382" s="15" t="b">
        <v>0</v>
      </c>
      <c r="BC382" s="15" t="s">
        <v>4892</v>
      </c>
      <c r="BD382" s="15" t="s">
        <v>1303</v>
      </c>
      <c r="BE382" s="15" t="str">
        <f t="shared" si="661"/>
        <v>1</v>
      </c>
      <c r="BF382" s="15" t="s">
        <v>416</v>
      </c>
      <c r="BG382" s="15" t="str">
        <f t="shared" ref="BG382:BG383" si="676">"43"</f>
        <v>43</v>
      </c>
      <c r="BH382" s="15" t="s">
        <v>545</v>
      </c>
      <c r="BI382" s="15" t="str">
        <f t="shared" ref="BI382:BI383" si="677">"23.5"</f>
        <v>23.5</v>
      </c>
      <c r="BJ382" s="15" t="s">
        <v>2060</v>
      </c>
      <c r="BK382" s="15" t="str">
        <f t="shared" ref="BK382:BK383" si="678">"38"</f>
        <v>38</v>
      </c>
      <c r="BL382" s="15" t="s">
        <v>2373</v>
      </c>
      <c r="BM382" s="15" t="str">
        <f t="shared" ref="BM382:BM383" si="679">"130.95"</f>
        <v>130.95</v>
      </c>
      <c r="BN382" s="15" t="s">
        <v>4893</v>
      </c>
      <c r="BQ382" s="15" t="s">
        <v>444</v>
      </c>
      <c r="BS382" s="15" t="s">
        <v>444</v>
      </c>
      <c r="BU382" s="15" t="s">
        <v>444</v>
      </c>
      <c r="BW382" s="15" t="s">
        <v>444</v>
      </c>
      <c r="BZ382" s="15" t="s">
        <v>444</v>
      </c>
      <c r="CB382" s="15" t="s">
        <v>444</v>
      </c>
      <c r="CD382" s="15" t="s">
        <v>444</v>
      </c>
      <c r="CF382" s="15" t="s">
        <v>444</v>
      </c>
      <c r="CI382" s="15" t="s">
        <v>444</v>
      </c>
      <c r="CK382" s="15" t="s">
        <v>444</v>
      </c>
      <c r="CM382" s="15" t="s">
        <v>444</v>
      </c>
      <c r="CO382" s="15" t="s">
        <v>444</v>
      </c>
      <c r="CP382" s="15" t="str">
        <f t="shared" ref="CP382:CP383" si="680">"22.21"</f>
        <v>22.21</v>
      </c>
      <c r="CQ382" s="15" t="str">
        <f t="shared" ref="CQ382:CQ383" si="681">"0.629"</f>
        <v>0.629</v>
      </c>
      <c r="CR382" s="15" t="s">
        <v>417</v>
      </c>
      <c r="DC382" s="15" t="str">
        <f>IFERROR(__xludf.DUMMYFUNCTION("""COMPUTED_VALUE"""),"")</f>
        <v/>
      </c>
      <c r="DE382" s="15" t="str">
        <f>IFERROR(__xludf.DUMMYFUNCTION("""COMPUTED_VALUE"""),"")</f>
        <v/>
      </c>
      <c r="DG382" s="15" t="str">
        <f>IFERROR(__xludf.DUMMYFUNCTION("""COMPUTED_VALUE"""),"")</f>
        <v/>
      </c>
      <c r="DL382" s="15" t="str">
        <f>IFERROR(__xludf.DUMMYFUNCTION("""COMPUTED_VALUE"""),"")</f>
        <v/>
      </c>
      <c r="DM382" s="15" t="s">
        <v>444</v>
      </c>
      <c r="DN382" s="15" t="s">
        <v>418</v>
      </c>
      <c r="DO382" s="15">
        <v>3.0</v>
      </c>
      <c r="DP382" s="15" t="s">
        <v>419</v>
      </c>
      <c r="DR382" s="15">
        <v>0.0</v>
      </c>
      <c r="DT382" s="15" t="s">
        <v>1111</v>
      </c>
      <c r="DU382" s="15" t="s">
        <v>421</v>
      </c>
      <c r="DY382" s="15">
        <v>0.0</v>
      </c>
      <c r="EF382" s="15" t="s">
        <v>1408</v>
      </c>
      <c r="EG382" s="15" t="s">
        <v>1409</v>
      </c>
      <c r="EH382" s="15" t="s">
        <v>4894</v>
      </c>
      <c r="EJ382" s="15" t="s">
        <v>500</v>
      </c>
      <c r="EK382" s="15" t="s">
        <v>501</v>
      </c>
      <c r="EM382" s="15" t="str">
        <f>IFERROR(__xludf.DUMMYFUNCTION("""COMPUTED_VALUE"""),"")</f>
        <v/>
      </c>
      <c r="EW382" s="15" t="s">
        <v>2805</v>
      </c>
      <c r="FL382" s="15" t="s">
        <v>426</v>
      </c>
      <c r="FM382" s="15">
        <v>0.0</v>
      </c>
      <c r="GH382" s="15">
        <v>0.0</v>
      </c>
      <c r="GI382" s="15" t="s">
        <v>427</v>
      </c>
      <c r="GO382" s="15" t="s">
        <v>426</v>
      </c>
      <c r="GQ382" s="15" t="s">
        <v>1288</v>
      </c>
      <c r="GS382" s="15" t="s">
        <v>3305</v>
      </c>
      <c r="GU382" s="15" t="s">
        <v>4895</v>
      </c>
      <c r="GW382" s="15" t="s">
        <v>431</v>
      </c>
      <c r="GY382" s="15" t="s">
        <v>420</v>
      </c>
    </row>
    <row r="383" ht="15.75" customHeight="1">
      <c r="A383" s="14" t="s">
        <v>391</v>
      </c>
      <c r="B383" s="15" t="s">
        <v>4885</v>
      </c>
      <c r="C383" s="16"/>
      <c r="D383" s="15" t="s">
        <v>432</v>
      </c>
      <c r="G383" s="14" t="s">
        <v>393</v>
      </c>
      <c r="H383" s="14" t="s">
        <v>394</v>
      </c>
      <c r="I383" s="14" t="b">
        <v>1</v>
      </c>
      <c r="J383" s="14" t="s">
        <v>395</v>
      </c>
      <c r="L383" s="14" t="b">
        <v>0</v>
      </c>
      <c r="M383" s="15" t="s">
        <v>4896</v>
      </c>
      <c r="N383" s="14" t="s">
        <v>393</v>
      </c>
      <c r="O383" s="14" t="s">
        <v>393</v>
      </c>
      <c r="P383" s="15" t="s">
        <v>397</v>
      </c>
      <c r="Q383" s="15" t="s">
        <v>4897</v>
      </c>
      <c r="T383" s="14" t="b">
        <v>0</v>
      </c>
      <c r="U383" s="15" t="s">
        <v>4898</v>
      </c>
      <c r="V383" s="15" t="s">
        <v>4889</v>
      </c>
      <c r="W383" s="15" t="s">
        <v>401</v>
      </c>
      <c r="X383" s="15" t="s">
        <v>1296</v>
      </c>
      <c r="Y383" s="15">
        <v>1313.0</v>
      </c>
      <c r="AA383" s="15" t="str">
        <f>"505"</f>
        <v>505</v>
      </c>
      <c r="AB383" s="14" t="b">
        <v>1</v>
      </c>
      <c r="AC383" s="14" t="b">
        <v>1</v>
      </c>
      <c r="AD383" s="15" t="str">
        <f>"198394142717"</f>
        <v>198394142717</v>
      </c>
      <c r="AE383" s="15" t="s">
        <v>4899</v>
      </c>
      <c r="AF383" s="14" t="s">
        <v>404</v>
      </c>
      <c r="AG383" s="14" t="s">
        <v>405</v>
      </c>
      <c r="AH383" s="14" t="s">
        <v>406</v>
      </c>
      <c r="AI383" s="15">
        <v>0.0</v>
      </c>
      <c r="AL383" s="15" t="s">
        <v>4891</v>
      </c>
      <c r="AM383" s="15" t="s">
        <v>679</v>
      </c>
      <c r="AN383" s="15" t="s">
        <v>680</v>
      </c>
      <c r="AO383" s="15" t="s">
        <v>409</v>
      </c>
      <c r="AP383" s="15" t="s">
        <v>438</v>
      </c>
      <c r="AQ383" s="15" t="s">
        <v>1364</v>
      </c>
      <c r="AR383" s="15" t="s">
        <v>1365</v>
      </c>
      <c r="AS383" s="15" t="s">
        <v>3494</v>
      </c>
      <c r="AT383" s="15" t="s">
        <v>4897</v>
      </c>
      <c r="AU383" s="15" t="s">
        <v>1898</v>
      </c>
      <c r="AW383" s="15" t="s">
        <v>412</v>
      </c>
      <c r="AY383" s="15" t="s">
        <v>413</v>
      </c>
      <c r="AZ383" s="15" t="b">
        <v>0</v>
      </c>
      <c r="BA383" s="15" t="s">
        <v>413</v>
      </c>
      <c r="BB383" s="15" t="b">
        <v>0</v>
      </c>
      <c r="BC383" s="15" t="s">
        <v>4892</v>
      </c>
      <c r="BD383" s="15" t="s">
        <v>1303</v>
      </c>
      <c r="BE383" s="15" t="str">
        <f t="shared" si="661"/>
        <v>1</v>
      </c>
      <c r="BF383" s="15" t="s">
        <v>416</v>
      </c>
      <c r="BG383" s="15" t="str">
        <f t="shared" si="676"/>
        <v>43</v>
      </c>
      <c r="BH383" s="15" t="s">
        <v>545</v>
      </c>
      <c r="BI383" s="15" t="str">
        <f t="shared" si="677"/>
        <v>23.5</v>
      </c>
      <c r="BJ383" s="15" t="s">
        <v>2060</v>
      </c>
      <c r="BK383" s="15" t="str">
        <f t="shared" si="678"/>
        <v>38</v>
      </c>
      <c r="BL383" s="15" t="s">
        <v>2373</v>
      </c>
      <c r="BM383" s="15" t="str">
        <f t="shared" si="679"/>
        <v>130.95</v>
      </c>
      <c r="BN383" s="15" t="s">
        <v>4893</v>
      </c>
      <c r="BQ383" s="15" t="s">
        <v>444</v>
      </c>
      <c r="BS383" s="15" t="s">
        <v>444</v>
      </c>
      <c r="BU383" s="15" t="s">
        <v>444</v>
      </c>
      <c r="BW383" s="15" t="s">
        <v>444</v>
      </c>
      <c r="BZ383" s="15" t="s">
        <v>444</v>
      </c>
      <c r="CB383" s="15" t="s">
        <v>444</v>
      </c>
      <c r="CD383" s="15" t="s">
        <v>444</v>
      </c>
      <c r="CF383" s="15" t="s">
        <v>444</v>
      </c>
      <c r="CI383" s="15" t="s">
        <v>444</v>
      </c>
      <c r="CK383" s="15" t="s">
        <v>444</v>
      </c>
      <c r="CM383" s="15" t="s">
        <v>444</v>
      </c>
      <c r="CO383" s="15" t="s">
        <v>444</v>
      </c>
      <c r="CP383" s="15" t="str">
        <f t="shared" si="680"/>
        <v>22.21</v>
      </c>
      <c r="CQ383" s="15" t="str">
        <f t="shared" si="681"/>
        <v>0.629</v>
      </c>
      <c r="CR383" s="15" t="s">
        <v>497</v>
      </c>
      <c r="DC383" s="15" t="str">
        <f>IFERROR(__xludf.DUMMYFUNCTION("""COMPUTED_VALUE"""),"")</f>
        <v/>
      </c>
      <c r="DE383" s="15" t="str">
        <f>IFERROR(__xludf.DUMMYFUNCTION("""COMPUTED_VALUE"""),"")</f>
        <v/>
      </c>
      <c r="DG383" s="15" t="str">
        <f>IFERROR(__xludf.DUMMYFUNCTION("""COMPUTED_VALUE"""),"")</f>
        <v/>
      </c>
      <c r="DL383" s="15" t="str">
        <f>IFERROR(__xludf.DUMMYFUNCTION("""COMPUTED_VALUE"""),"")</f>
        <v/>
      </c>
      <c r="DM383" s="15" t="s">
        <v>444</v>
      </c>
      <c r="DN383" s="15" t="s">
        <v>418</v>
      </c>
      <c r="DO383" s="15">
        <v>3.0</v>
      </c>
      <c r="DP383" s="15" t="s">
        <v>419</v>
      </c>
      <c r="DR383" s="15">
        <v>0.0</v>
      </c>
      <c r="DT383" s="15" t="s">
        <v>1111</v>
      </c>
      <c r="DU383" s="15" t="s">
        <v>421</v>
      </c>
      <c r="DY383" s="15">
        <v>0.0</v>
      </c>
      <c r="EF383" s="15" t="s">
        <v>1408</v>
      </c>
      <c r="EG383" s="15" t="s">
        <v>1409</v>
      </c>
      <c r="EH383" s="15" t="s">
        <v>4894</v>
      </c>
      <c r="EJ383" s="15" t="s">
        <v>500</v>
      </c>
      <c r="EK383" s="15" t="s">
        <v>501</v>
      </c>
      <c r="EM383" s="15" t="str">
        <f>IFERROR(__xludf.DUMMYFUNCTION("""COMPUTED_VALUE"""),"")</f>
        <v/>
      </c>
      <c r="EW383" s="15" t="s">
        <v>2805</v>
      </c>
      <c r="FL383" s="15" t="s">
        <v>426</v>
      </c>
      <c r="FM383" s="15">
        <v>0.0</v>
      </c>
      <c r="GH383" s="15">
        <v>0.0</v>
      </c>
      <c r="GI383" s="15" t="s">
        <v>427</v>
      </c>
      <c r="GO383" s="15" t="s">
        <v>426</v>
      </c>
      <c r="GQ383" s="15" t="s">
        <v>1288</v>
      </c>
      <c r="GS383" s="15" t="s">
        <v>3305</v>
      </c>
      <c r="GU383" s="15" t="s">
        <v>4895</v>
      </c>
      <c r="GW383" s="15" t="s">
        <v>431</v>
      </c>
      <c r="GY383" s="15" t="s">
        <v>420</v>
      </c>
    </row>
    <row r="384" ht="15.75" customHeight="1">
      <c r="A384" s="14" t="s">
        <v>391</v>
      </c>
      <c r="B384" s="15" t="s">
        <v>4900</v>
      </c>
      <c r="C384" s="16"/>
      <c r="D384" s="15" t="s">
        <v>432</v>
      </c>
      <c r="G384" s="14" t="s">
        <v>393</v>
      </c>
      <c r="H384" s="14" t="s">
        <v>394</v>
      </c>
      <c r="I384" s="14" t="b">
        <v>1</v>
      </c>
      <c r="J384" s="14" t="s">
        <v>395</v>
      </c>
      <c r="L384" s="14" t="b">
        <v>0</v>
      </c>
      <c r="M384" s="15" t="s">
        <v>4901</v>
      </c>
      <c r="N384" s="14" t="s">
        <v>393</v>
      </c>
      <c r="O384" s="14" t="s">
        <v>393</v>
      </c>
      <c r="P384" s="15" t="s">
        <v>397</v>
      </c>
      <c r="Q384" s="15" t="s">
        <v>4887</v>
      </c>
      <c r="T384" s="14" t="b">
        <v>0</v>
      </c>
      <c r="U384" s="15" t="s">
        <v>4902</v>
      </c>
      <c r="V384" s="15" t="s">
        <v>1843</v>
      </c>
      <c r="W384" s="15" t="s">
        <v>401</v>
      </c>
      <c r="X384" s="15" t="s">
        <v>1296</v>
      </c>
      <c r="Y384" s="15">
        <v>884.0</v>
      </c>
      <c r="AA384" s="15" t="str">
        <f>"340"</f>
        <v>340</v>
      </c>
      <c r="AB384" s="14" t="b">
        <v>1</v>
      </c>
      <c r="AC384" s="14" t="b">
        <v>1</v>
      </c>
      <c r="AD384" s="15" t="str">
        <f>"801542318482"</f>
        <v>801542318482</v>
      </c>
      <c r="AE384" s="15" t="s">
        <v>4903</v>
      </c>
      <c r="AF384" s="14" t="s">
        <v>404</v>
      </c>
      <c r="AG384" s="14" t="s">
        <v>405</v>
      </c>
      <c r="AH384" s="14" t="s">
        <v>406</v>
      </c>
      <c r="AI384" s="15">
        <v>0.0</v>
      </c>
      <c r="AL384" s="15" t="s">
        <v>4891</v>
      </c>
      <c r="AM384" s="15" t="s">
        <v>410</v>
      </c>
      <c r="AN384" s="15" t="s">
        <v>439</v>
      </c>
      <c r="AO384" s="15" t="s">
        <v>1561</v>
      </c>
      <c r="AP384" s="15" t="s">
        <v>1562</v>
      </c>
      <c r="AQ384" s="15" t="s">
        <v>1175</v>
      </c>
      <c r="AR384" s="15" t="s">
        <v>1176</v>
      </c>
      <c r="AS384" s="15" t="s">
        <v>3494</v>
      </c>
      <c r="AT384" s="15" t="s">
        <v>4887</v>
      </c>
      <c r="AU384" s="15" t="s">
        <v>1898</v>
      </c>
      <c r="AW384" s="15" t="s">
        <v>628</v>
      </c>
      <c r="AY384" s="15" t="s">
        <v>413</v>
      </c>
      <c r="AZ384" s="15" t="b">
        <v>0</v>
      </c>
      <c r="BA384" s="15" t="s">
        <v>413</v>
      </c>
      <c r="BB384" s="15" t="b">
        <v>0</v>
      </c>
      <c r="BC384" s="15" t="s">
        <v>4904</v>
      </c>
      <c r="BD384" s="15" t="s">
        <v>1303</v>
      </c>
      <c r="BE384" s="15" t="str">
        <f t="shared" si="661"/>
        <v>1</v>
      </c>
      <c r="BF384" s="15" t="s">
        <v>416</v>
      </c>
      <c r="BG384" s="15" t="str">
        <f t="shared" ref="BG384:BG385" si="682">"35.5"</f>
        <v>35.5</v>
      </c>
      <c r="BH384" s="15" t="s">
        <v>914</v>
      </c>
      <c r="BI384" s="15" t="str">
        <f t="shared" ref="BI384:BI385" si="683">"25"</f>
        <v>25</v>
      </c>
      <c r="BJ384" s="15" t="s">
        <v>2214</v>
      </c>
      <c r="BK384" s="15" t="str">
        <f t="shared" ref="BK384:BK385" si="684">"30"</f>
        <v>30</v>
      </c>
      <c r="BL384" s="15" t="s">
        <v>547</v>
      </c>
      <c r="BM384" s="15" t="str">
        <f t="shared" ref="BM384:BM385" si="685">"106.15"</f>
        <v>106.15</v>
      </c>
      <c r="BN384" s="15" t="s">
        <v>4905</v>
      </c>
      <c r="BQ384" s="15" t="s">
        <v>444</v>
      </c>
      <c r="BS384" s="15" t="s">
        <v>444</v>
      </c>
      <c r="BU384" s="15" t="s">
        <v>444</v>
      </c>
      <c r="BW384" s="15" t="s">
        <v>444</v>
      </c>
      <c r="BZ384" s="15" t="s">
        <v>444</v>
      </c>
      <c r="CB384" s="15" t="s">
        <v>444</v>
      </c>
      <c r="CD384" s="15" t="s">
        <v>444</v>
      </c>
      <c r="CF384" s="15" t="s">
        <v>444</v>
      </c>
      <c r="CI384" s="15" t="s">
        <v>444</v>
      </c>
      <c r="CK384" s="15" t="s">
        <v>444</v>
      </c>
      <c r="CM384" s="15" t="s">
        <v>444</v>
      </c>
      <c r="CO384" s="15" t="s">
        <v>444</v>
      </c>
      <c r="CP384" s="15" t="str">
        <f t="shared" ref="CP384:CP385" si="686">"15.4"</f>
        <v>15.4</v>
      </c>
      <c r="CQ384" s="15" t="str">
        <f t="shared" ref="CQ384:CQ385" si="687">"0.436"</f>
        <v>0.436</v>
      </c>
      <c r="CR384" s="15" t="s">
        <v>465</v>
      </c>
      <c r="DC384" s="15" t="str">
        <f>IFERROR(__xludf.DUMMYFUNCTION("""COMPUTED_VALUE"""),"")</f>
        <v/>
      </c>
      <c r="DE384" s="15" t="str">
        <f>IFERROR(__xludf.DUMMYFUNCTION("""COMPUTED_VALUE"""),"")</f>
        <v/>
      </c>
      <c r="DG384" s="15" t="str">
        <f>IFERROR(__xludf.DUMMYFUNCTION("""COMPUTED_VALUE"""),"")</f>
        <v/>
      </c>
      <c r="DL384" s="15" t="str">
        <f>IFERROR(__xludf.DUMMYFUNCTION("""COMPUTED_VALUE"""),"")</f>
        <v/>
      </c>
      <c r="DM384" s="15" t="s">
        <v>444</v>
      </c>
      <c r="DN384" s="15" t="s">
        <v>418</v>
      </c>
      <c r="DO384" s="15">
        <v>2.0</v>
      </c>
      <c r="DP384" s="15" t="s">
        <v>419</v>
      </c>
      <c r="DR384" s="15">
        <v>0.0</v>
      </c>
      <c r="DT384" s="15" t="s">
        <v>1111</v>
      </c>
      <c r="DU384" s="15" t="s">
        <v>421</v>
      </c>
      <c r="DY384" s="15">
        <v>0.0</v>
      </c>
      <c r="EF384" s="15" t="s">
        <v>471</v>
      </c>
      <c r="EG384" s="15" t="s">
        <v>472</v>
      </c>
      <c r="EH384" s="15" t="s">
        <v>4894</v>
      </c>
      <c r="EJ384" s="15" t="s">
        <v>500</v>
      </c>
      <c r="EK384" s="15" t="s">
        <v>501</v>
      </c>
      <c r="EM384" s="15" t="str">
        <f>IFERROR(__xludf.DUMMYFUNCTION("""COMPUTED_VALUE"""),"")</f>
        <v/>
      </c>
      <c r="EW384" s="15" t="s">
        <v>2805</v>
      </c>
      <c r="FL384" s="15" t="s">
        <v>426</v>
      </c>
      <c r="FM384" s="15">
        <v>0.0</v>
      </c>
      <c r="GH384" s="15">
        <v>0.0</v>
      </c>
      <c r="GI384" s="15" t="s">
        <v>427</v>
      </c>
      <c r="GO384" s="15" t="s">
        <v>426</v>
      </c>
      <c r="GQ384" s="15" t="s">
        <v>504</v>
      </c>
      <c r="GS384" s="15" t="s">
        <v>3305</v>
      </c>
      <c r="GU384" s="15" t="s">
        <v>1234</v>
      </c>
      <c r="GW384" s="15" t="s">
        <v>431</v>
      </c>
      <c r="GY384" s="15" t="s">
        <v>420</v>
      </c>
    </row>
    <row r="385" ht="15.75" customHeight="1">
      <c r="A385" s="14" t="s">
        <v>391</v>
      </c>
      <c r="B385" s="15" t="s">
        <v>4900</v>
      </c>
      <c r="C385" s="16"/>
      <c r="D385" s="15" t="s">
        <v>432</v>
      </c>
      <c r="G385" s="14" t="s">
        <v>393</v>
      </c>
      <c r="H385" s="14" t="s">
        <v>394</v>
      </c>
      <c r="I385" s="14" t="b">
        <v>1</v>
      </c>
      <c r="J385" s="14" t="s">
        <v>395</v>
      </c>
      <c r="L385" s="14" t="b">
        <v>0</v>
      </c>
      <c r="M385" s="15" t="s">
        <v>4906</v>
      </c>
      <c r="N385" s="14" t="s">
        <v>393</v>
      </c>
      <c r="O385" s="14" t="s">
        <v>393</v>
      </c>
      <c r="P385" s="15" t="s">
        <v>397</v>
      </c>
      <c r="Q385" s="15" t="s">
        <v>4897</v>
      </c>
      <c r="T385" s="14" t="b">
        <v>0</v>
      </c>
      <c r="U385" s="15" t="s">
        <v>4907</v>
      </c>
      <c r="V385" s="15" t="s">
        <v>1843</v>
      </c>
      <c r="W385" s="15" t="s">
        <v>401</v>
      </c>
      <c r="X385" s="15" t="s">
        <v>1296</v>
      </c>
      <c r="Y385" s="15">
        <v>936.0</v>
      </c>
      <c r="AA385" s="15" t="str">
        <f>"360"</f>
        <v>360</v>
      </c>
      <c r="AB385" s="14" t="b">
        <v>1</v>
      </c>
      <c r="AC385" s="14" t="b">
        <v>1</v>
      </c>
      <c r="AD385" s="15" t="str">
        <f>"198394142724"</f>
        <v>198394142724</v>
      </c>
      <c r="AE385" s="15" t="s">
        <v>4908</v>
      </c>
      <c r="AF385" s="14" t="s">
        <v>404</v>
      </c>
      <c r="AG385" s="14" t="s">
        <v>405</v>
      </c>
      <c r="AH385" s="14" t="s">
        <v>406</v>
      </c>
      <c r="AI385" s="15">
        <v>0.0</v>
      </c>
      <c r="AL385" s="15" t="s">
        <v>4891</v>
      </c>
      <c r="AM385" s="15" t="s">
        <v>410</v>
      </c>
      <c r="AN385" s="15" t="s">
        <v>439</v>
      </c>
      <c r="AO385" s="15" t="s">
        <v>1561</v>
      </c>
      <c r="AP385" s="15" t="s">
        <v>1562</v>
      </c>
      <c r="AQ385" s="15" t="s">
        <v>1175</v>
      </c>
      <c r="AR385" s="15" t="s">
        <v>1176</v>
      </c>
      <c r="AS385" s="15" t="s">
        <v>3494</v>
      </c>
      <c r="AT385" s="15" t="s">
        <v>4897</v>
      </c>
      <c r="AU385" s="15" t="s">
        <v>1898</v>
      </c>
      <c r="AW385" s="15" t="s">
        <v>628</v>
      </c>
      <c r="AY385" s="15" t="s">
        <v>413</v>
      </c>
      <c r="AZ385" s="15" t="b">
        <v>0</v>
      </c>
      <c r="BA385" s="15" t="s">
        <v>413</v>
      </c>
      <c r="BB385" s="15" t="b">
        <v>0</v>
      </c>
      <c r="BC385" s="15" t="s">
        <v>4904</v>
      </c>
      <c r="BD385" s="15" t="s">
        <v>1303</v>
      </c>
      <c r="BE385" s="15" t="str">
        <f t="shared" si="661"/>
        <v>1</v>
      </c>
      <c r="BF385" s="15" t="s">
        <v>416</v>
      </c>
      <c r="BG385" s="15" t="str">
        <f t="shared" si="682"/>
        <v>35.5</v>
      </c>
      <c r="BH385" s="15" t="s">
        <v>914</v>
      </c>
      <c r="BI385" s="15" t="str">
        <f t="shared" si="683"/>
        <v>25</v>
      </c>
      <c r="BJ385" s="15" t="s">
        <v>2214</v>
      </c>
      <c r="BK385" s="15" t="str">
        <f t="shared" si="684"/>
        <v>30</v>
      </c>
      <c r="BL385" s="15" t="s">
        <v>547</v>
      </c>
      <c r="BM385" s="15" t="str">
        <f t="shared" si="685"/>
        <v>106.15</v>
      </c>
      <c r="BN385" s="15" t="s">
        <v>4905</v>
      </c>
      <c r="BQ385" s="15" t="s">
        <v>444</v>
      </c>
      <c r="BS385" s="15" t="s">
        <v>444</v>
      </c>
      <c r="BU385" s="15" t="s">
        <v>444</v>
      </c>
      <c r="BW385" s="15" t="s">
        <v>444</v>
      </c>
      <c r="BZ385" s="15" t="s">
        <v>444</v>
      </c>
      <c r="CB385" s="15" t="s">
        <v>444</v>
      </c>
      <c r="CD385" s="15" t="s">
        <v>444</v>
      </c>
      <c r="CF385" s="15" t="s">
        <v>444</v>
      </c>
      <c r="CI385" s="15" t="s">
        <v>444</v>
      </c>
      <c r="CK385" s="15" t="s">
        <v>444</v>
      </c>
      <c r="CM385" s="15" t="s">
        <v>444</v>
      </c>
      <c r="CO385" s="15" t="s">
        <v>444</v>
      </c>
      <c r="CP385" s="15" t="str">
        <f t="shared" si="686"/>
        <v>15.4</v>
      </c>
      <c r="CQ385" s="15" t="str">
        <f t="shared" si="687"/>
        <v>0.436</v>
      </c>
      <c r="CR385" s="15" t="s">
        <v>497</v>
      </c>
      <c r="DC385" s="15" t="str">
        <f>IFERROR(__xludf.DUMMYFUNCTION("""COMPUTED_VALUE"""),"")</f>
        <v/>
      </c>
      <c r="DE385" s="15" t="str">
        <f>IFERROR(__xludf.DUMMYFUNCTION("""COMPUTED_VALUE"""),"")</f>
        <v/>
      </c>
      <c r="DG385" s="15" t="str">
        <f>IFERROR(__xludf.DUMMYFUNCTION("""COMPUTED_VALUE"""),"")</f>
        <v/>
      </c>
      <c r="DL385" s="15" t="str">
        <f>IFERROR(__xludf.DUMMYFUNCTION("""COMPUTED_VALUE"""),"")</f>
        <v/>
      </c>
      <c r="DM385" s="15" t="s">
        <v>444</v>
      </c>
      <c r="DN385" s="15" t="s">
        <v>418</v>
      </c>
      <c r="DO385" s="15">
        <v>2.0</v>
      </c>
      <c r="DP385" s="15" t="s">
        <v>419</v>
      </c>
      <c r="DR385" s="15">
        <v>0.0</v>
      </c>
      <c r="DT385" s="15" t="s">
        <v>1111</v>
      </c>
      <c r="DU385" s="15" t="s">
        <v>421</v>
      </c>
      <c r="DY385" s="15">
        <v>0.0</v>
      </c>
      <c r="EF385" s="15" t="s">
        <v>471</v>
      </c>
      <c r="EG385" s="15" t="s">
        <v>472</v>
      </c>
      <c r="EH385" s="15" t="s">
        <v>4894</v>
      </c>
      <c r="EJ385" s="15" t="s">
        <v>500</v>
      </c>
      <c r="EK385" s="15" t="s">
        <v>501</v>
      </c>
      <c r="EM385" s="15" t="str">
        <f>IFERROR(__xludf.DUMMYFUNCTION("""COMPUTED_VALUE"""),"")</f>
        <v/>
      </c>
      <c r="EW385" s="15" t="s">
        <v>2805</v>
      </c>
      <c r="FL385" s="15" t="s">
        <v>426</v>
      </c>
      <c r="FM385" s="15">
        <v>0.0</v>
      </c>
      <c r="GH385" s="15">
        <v>0.0</v>
      </c>
      <c r="GI385" s="15" t="s">
        <v>427</v>
      </c>
      <c r="GO385" s="15" t="s">
        <v>426</v>
      </c>
      <c r="GQ385" s="15" t="s">
        <v>504</v>
      </c>
      <c r="GS385" s="15" t="s">
        <v>3305</v>
      </c>
      <c r="GU385" s="15" t="s">
        <v>1234</v>
      </c>
      <c r="GW385" s="15" t="s">
        <v>431</v>
      </c>
      <c r="GY385" s="15" t="s">
        <v>420</v>
      </c>
    </row>
    <row r="386" ht="15.75" customHeight="1">
      <c r="A386" s="14" t="s">
        <v>391</v>
      </c>
      <c r="B386" s="15" t="s">
        <v>4909</v>
      </c>
      <c r="C386" s="16"/>
      <c r="D386" s="15" t="s">
        <v>432</v>
      </c>
      <c r="G386" s="14" t="s">
        <v>393</v>
      </c>
      <c r="H386" s="14" t="s">
        <v>394</v>
      </c>
      <c r="I386" s="14" t="b">
        <v>1</v>
      </c>
      <c r="J386" s="14" t="s">
        <v>395</v>
      </c>
      <c r="L386" s="14" t="b">
        <v>0</v>
      </c>
      <c r="M386" s="15" t="s">
        <v>4910</v>
      </c>
      <c r="N386" s="14" t="s">
        <v>393</v>
      </c>
      <c r="O386" s="14" t="s">
        <v>393</v>
      </c>
      <c r="P386" s="15" t="s">
        <v>397</v>
      </c>
      <c r="Q386" s="15" t="s">
        <v>2607</v>
      </c>
      <c r="T386" s="14" t="b">
        <v>0</v>
      </c>
      <c r="U386" s="15" t="s">
        <v>4911</v>
      </c>
      <c r="V386" s="15" t="s">
        <v>4912</v>
      </c>
      <c r="W386" s="15" t="s">
        <v>401</v>
      </c>
      <c r="X386" s="15" t="s">
        <v>695</v>
      </c>
      <c r="Y386" s="15">
        <v>3172.0</v>
      </c>
      <c r="AA386" s="15" t="str">
        <f>"1220"</f>
        <v>1220</v>
      </c>
      <c r="AB386" s="14" t="b">
        <v>1</v>
      </c>
      <c r="AC386" s="14" t="b">
        <v>1</v>
      </c>
      <c r="AD386" s="15" t="str">
        <f>"801542184698"</f>
        <v>801542184698</v>
      </c>
      <c r="AE386" s="15" t="s">
        <v>4913</v>
      </c>
      <c r="AF386" s="14" t="s">
        <v>404</v>
      </c>
      <c r="AG386" s="14" t="s">
        <v>405</v>
      </c>
      <c r="AH386" s="14" t="s">
        <v>406</v>
      </c>
      <c r="AI386" s="15">
        <v>0.0</v>
      </c>
      <c r="AL386" s="15" t="s">
        <v>1099</v>
      </c>
      <c r="AM386" s="15" t="s">
        <v>4293</v>
      </c>
      <c r="AN386" s="15" t="s">
        <v>4294</v>
      </c>
      <c r="AO386" s="15" t="s">
        <v>1007</v>
      </c>
      <c r="AP386" s="15" t="s">
        <v>1008</v>
      </c>
      <c r="AQ386" s="15" t="s">
        <v>600</v>
      </c>
      <c r="AR386" s="15" t="s">
        <v>601</v>
      </c>
      <c r="AS386" s="15" t="s">
        <v>2612</v>
      </c>
      <c r="AT386" s="15" t="s">
        <v>2607</v>
      </c>
      <c r="AW386" s="15" t="s">
        <v>602</v>
      </c>
      <c r="AY386" s="15" t="s">
        <v>413</v>
      </c>
      <c r="AZ386" s="15" t="b">
        <v>0</v>
      </c>
      <c r="BA386" s="15" t="s">
        <v>413</v>
      </c>
      <c r="BB386" s="15" t="b">
        <v>0</v>
      </c>
      <c r="BC386" s="15" t="s">
        <v>4914</v>
      </c>
      <c r="BD386" s="15" t="s">
        <v>709</v>
      </c>
      <c r="BE386" s="15" t="str">
        <f t="shared" si="661"/>
        <v>1</v>
      </c>
      <c r="BF386" s="15" t="s">
        <v>4915</v>
      </c>
      <c r="BG386" s="15" t="str">
        <f>"95.47"</f>
        <v>95.47</v>
      </c>
      <c r="BH386" s="15" t="s">
        <v>4916</v>
      </c>
      <c r="BI386" s="15" t="str">
        <f>"21.46"</f>
        <v>21.46</v>
      </c>
      <c r="BJ386" s="15" t="s">
        <v>1385</v>
      </c>
      <c r="BK386" s="15" t="str">
        <f>"31.89"</f>
        <v>31.89</v>
      </c>
      <c r="BL386" s="15" t="s">
        <v>1183</v>
      </c>
      <c r="BM386" s="15" t="str">
        <f>"179.02"</f>
        <v>179.02</v>
      </c>
      <c r="BN386" s="15" t="s">
        <v>4917</v>
      </c>
      <c r="BQ386" s="15" t="s">
        <v>444</v>
      </c>
      <c r="BS386" s="15" t="s">
        <v>444</v>
      </c>
      <c r="BU386" s="15" t="s">
        <v>444</v>
      </c>
      <c r="BW386" s="15" t="s">
        <v>444</v>
      </c>
      <c r="BZ386" s="15" t="s">
        <v>444</v>
      </c>
      <c r="CB386" s="15" t="s">
        <v>444</v>
      </c>
      <c r="CD386" s="15" t="s">
        <v>444</v>
      </c>
      <c r="CF386" s="15" t="s">
        <v>444</v>
      </c>
      <c r="CI386" s="15" t="s">
        <v>444</v>
      </c>
      <c r="CK386" s="15" t="s">
        <v>444</v>
      </c>
      <c r="CM386" s="15" t="s">
        <v>444</v>
      </c>
      <c r="CO386" s="15" t="s">
        <v>444</v>
      </c>
      <c r="CP386" s="15" t="str">
        <f>"37.82"</f>
        <v>37.82</v>
      </c>
      <c r="CQ386" s="15" t="str">
        <f>"1.071"</f>
        <v>1.071</v>
      </c>
      <c r="CR386" s="15" t="s">
        <v>497</v>
      </c>
      <c r="CV386" s="15" t="s">
        <v>4918</v>
      </c>
      <c r="CW386" s="15" t="s">
        <v>4919</v>
      </c>
      <c r="CX386" s="15" t="s">
        <v>3332</v>
      </c>
      <c r="DC386" s="15" t="str">
        <f>IFERROR(__xludf.DUMMYFUNCTION("""COMPUTED_VALUE"""),"")</f>
        <v/>
      </c>
      <c r="DE386" s="15" t="str">
        <f>IFERROR(__xludf.DUMMYFUNCTION("""COMPUTED_VALUE"""),"")</f>
        <v/>
      </c>
      <c r="DG386" s="15" t="str">
        <f>IFERROR(__xludf.DUMMYFUNCTION("""COMPUTED_VALUE"""),"")</f>
        <v/>
      </c>
      <c r="DL386" s="15" t="str">
        <f>IFERROR(__xludf.DUMMYFUNCTION("""COMPUTED_VALUE"""),"")</f>
        <v/>
      </c>
      <c r="DM386" s="15" t="s">
        <v>444</v>
      </c>
      <c r="DN386" s="15" t="s">
        <v>4002</v>
      </c>
      <c r="DO386" s="15">
        <v>4.0</v>
      </c>
      <c r="DP386" s="15" t="s">
        <v>2601</v>
      </c>
      <c r="DR386" s="15">
        <v>0.0</v>
      </c>
      <c r="DT386" s="15" t="s">
        <v>721</v>
      </c>
      <c r="DU386" s="15" t="s">
        <v>610</v>
      </c>
      <c r="DW386" s="15">
        <v>18.14</v>
      </c>
      <c r="DX386" s="15">
        <v>40.0</v>
      </c>
      <c r="DY386" s="15">
        <v>1.0</v>
      </c>
      <c r="EG386" s="15" t="s">
        <v>444</v>
      </c>
      <c r="EH386" s="15" t="s">
        <v>4920</v>
      </c>
      <c r="EK386" s="15" t="s">
        <v>444</v>
      </c>
      <c r="EM386" s="15" t="str">
        <f>IFERROR(__xludf.DUMMYFUNCTION("""COMPUTED_VALUE"""),"")</f>
        <v/>
      </c>
      <c r="EW386" s="15" t="s">
        <v>2505</v>
      </c>
      <c r="FL386" s="15" t="s">
        <v>426</v>
      </c>
      <c r="FM386" s="15">
        <v>1.0</v>
      </c>
      <c r="FY386" s="15" t="s">
        <v>4921</v>
      </c>
      <c r="FZ386" s="15" t="s">
        <v>1188</v>
      </c>
      <c r="GA386" s="15" t="s">
        <v>4922</v>
      </c>
      <c r="GB386" s="15" t="s">
        <v>4918</v>
      </c>
      <c r="GC386" s="15" t="s">
        <v>1188</v>
      </c>
      <c r="GD386" s="15" t="s">
        <v>3332</v>
      </c>
      <c r="GF386" s="15" t="s">
        <v>426</v>
      </c>
      <c r="GG386" s="15" t="s">
        <v>785</v>
      </c>
      <c r="GH386" s="15">
        <v>2.0</v>
      </c>
      <c r="GI386" s="15" t="s">
        <v>614</v>
      </c>
      <c r="GJ386" s="15" t="s">
        <v>615</v>
      </c>
      <c r="GL386" s="15" t="s">
        <v>426</v>
      </c>
      <c r="GN386" s="15" t="s">
        <v>616</v>
      </c>
      <c r="GQ386" s="15" t="s">
        <v>3308</v>
      </c>
      <c r="GS386" s="15" t="s">
        <v>995</v>
      </c>
      <c r="GU386" s="15" t="s">
        <v>650</v>
      </c>
      <c r="GW386" s="15" t="s">
        <v>2604</v>
      </c>
      <c r="GY386" s="15" t="s">
        <v>764</v>
      </c>
      <c r="GZ386" s="15" t="s">
        <v>426</v>
      </c>
      <c r="HD386" s="15">
        <v>0.0</v>
      </c>
      <c r="HW386" s="15" t="s">
        <v>759</v>
      </c>
      <c r="IH386" s="15" t="s">
        <v>426</v>
      </c>
      <c r="LF386" s="15" t="s">
        <v>2604</v>
      </c>
    </row>
    <row r="387" ht="15.75" customHeight="1">
      <c r="A387" s="14" t="s">
        <v>391</v>
      </c>
      <c r="B387" s="15" t="s">
        <v>4923</v>
      </c>
      <c r="C387" s="16"/>
      <c r="D387" s="15" t="s">
        <v>432</v>
      </c>
      <c r="G387" s="14" t="s">
        <v>393</v>
      </c>
      <c r="H387" s="14" t="s">
        <v>394</v>
      </c>
      <c r="I387" s="14" t="b">
        <v>1</v>
      </c>
      <c r="J387" s="14" t="s">
        <v>395</v>
      </c>
      <c r="L387" s="14" t="b">
        <v>0</v>
      </c>
      <c r="M387" s="15" t="s">
        <v>4924</v>
      </c>
      <c r="N387" s="14" t="s">
        <v>393</v>
      </c>
      <c r="O387" s="14" t="s">
        <v>393</v>
      </c>
      <c r="P387" s="15" t="s">
        <v>397</v>
      </c>
      <c r="Q387" s="15" t="s">
        <v>2206</v>
      </c>
      <c r="T387" s="14" t="b">
        <v>0</v>
      </c>
      <c r="U387" s="15" t="s">
        <v>4925</v>
      </c>
      <c r="V387" s="15" t="s">
        <v>1244</v>
      </c>
      <c r="W387" s="15" t="s">
        <v>401</v>
      </c>
      <c r="X387" s="15" t="s">
        <v>1172</v>
      </c>
      <c r="Y387" s="15">
        <v>442.0</v>
      </c>
      <c r="AA387" s="15" t="str">
        <f t="shared" ref="AA387:AA388" si="688">"170"</f>
        <v>170</v>
      </c>
      <c r="AB387" s="14" t="b">
        <v>1</v>
      </c>
      <c r="AC387" s="14" t="b">
        <v>1</v>
      </c>
      <c r="AD387" s="15" t="str">
        <f>"801542061357"</f>
        <v>801542061357</v>
      </c>
      <c r="AE387" s="15" t="s">
        <v>4926</v>
      </c>
      <c r="AF387" s="14" t="s">
        <v>404</v>
      </c>
      <c r="AG387" s="14" t="s">
        <v>405</v>
      </c>
      <c r="AH387" s="14" t="s">
        <v>406</v>
      </c>
      <c r="AI387" s="15">
        <v>0.0</v>
      </c>
      <c r="AL387" s="15" t="s">
        <v>2210</v>
      </c>
      <c r="AM387" s="15" t="s">
        <v>2211</v>
      </c>
      <c r="AN387" s="15" t="s">
        <v>2212</v>
      </c>
      <c r="AO387" s="15" t="s">
        <v>2211</v>
      </c>
      <c r="AP387" s="15" t="s">
        <v>2212</v>
      </c>
      <c r="AQ387" s="15" t="s">
        <v>2213</v>
      </c>
      <c r="AR387" s="15" t="s">
        <v>2214</v>
      </c>
      <c r="AS387" s="15" t="s">
        <v>2215</v>
      </c>
      <c r="AT387" s="15" t="s">
        <v>2206</v>
      </c>
      <c r="AU387" s="15" t="s">
        <v>2216</v>
      </c>
      <c r="AW387" s="15" t="s">
        <v>1154</v>
      </c>
      <c r="AY387" s="15" t="s">
        <v>413</v>
      </c>
      <c r="AZ387" s="15" t="b">
        <v>0</v>
      </c>
      <c r="BA387" s="15" t="s">
        <v>413</v>
      </c>
      <c r="BB387" s="15" t="b">
        <v>0</v>
      </c>
      <c r="BD387" s="15" t="s">
        <v>1181</v>
      </c>
      <c r="BE387" s="15" t="str">
        <f t="shared" si="661"/>
        <v>1</v>
      </c>
      <c r="BF387" s="15" t="s">
        <v>416</v>
      </c>
      <c r="BG387" s="15" t="str">
        <f t="shared" ref="BG387:BG388" si="689">"11.81"</f>
        <v>11.81</v>
      </c>
      <c r="BH387" s="15" t="s">
        <v>2218</v>
      </c>
      <c r="BI387" s="15" t="str">
        <f t="shared" ref="BI387:BI388" si="690">"11.81"</f>
        <v>11.81</v>
      </c>
      <c r="BJ387" s="15" t="s">
        <v>2218</v>
      </c>
      <c r="BK387" s="15" t="str">
        <f t="shared" ref="BK387:BK388" si="691">"29.92"</f>
        <v>29.92</v>
      </c>
      <c r="BL387" s="15" t="s">
        <v>1321</v>
      </c>
      <c r="BM387" s="15" t="str">
        <f t="shared" ref="BM387:BM388" si="692">"22.05"</f>
        <v>22.05</v>
      </c>
      <c r="BN387" s="15" t="s">
        <v>2790</v>
      </c>
      <c r="BQ387" s="15" t="s">
        <v>444</v>
      </c>
      <c r="BS387" s="15" t="s">
        <v>444</v>
      </c>
      <c r="BU387" s="15" t="s">
        <v>444</v>
      </c>
      <c r="BW387" s="15" t="s">
        <v>444</v>
      </c>
      <c r="BZ387" s="15" t="s">
        <v>444</v>
      </c>
      <c r="CB387" s="15" t="s">
        <v>444</v>
      </c>
      <c r="CD387" s="15" t="s">
        <v>444</v>
      </c>
      <c r="CF387" s="15" t="s">
        <v>444</v>
      </c>
      <c r="CI387" s="15" t="s">
        <v>444</v>
      </c>
      <c r="CK387" s="15" t="s">
        <v>444</v>
      </c>
      <c r="CM387" s="15" t="s">
        <v>444</v>
      </c>
      <c r="CO387" s="15" t="s">
        <v>444</v>
      </c>
      <c r="CP387" s="15" t="str">
        <f t="shared" ref="CP387:CP388" si="693">"2.4"</f>
        <v>2.4</v>
      </c>
      <c r="CQ387" s="15" t="str">
        <f t="shared" ref="CQ387:CQ388" si="694">"0.068"</f>
        <v>0.068</v>
      </c>
      <c r="CR387" s="15" t="s">
        <v>465</v>
      </c>
      <c r="DC387" s="15" t="str">
        <f>IFERROR(__xludf.DUMMYFUNCTION("""COMPUTED_VALUE"""),"")</f>
        <v/>
      </c>
      <c r="DE387" s="15" t="str">
        <f>IFERROR(__xludf.DUMMYFUNCTION("""COMPUTED_VALUE"""),"")</f>
        <v/>
      </c>
      <c r="DG387" s="15" t="str">
        <f>IFERROR(__xludf.DUMMYFUNCTION("""COMPUTED_VALUE"""),"")</f>
        <v/>
      </c>
      <c r="DL387" s="15" t="str">
        <f>IFERROR(__xludf.DUMMYFUNCTION("""COMPUTED_VALUE"""),"")</f>
        <v/>
      </c>
      <c r="DM387" s="15" t="s">
        <v>444</v>
      </c>
      <c r="DN387" s="15" t="s">
        <v>419</v>
      </c>
      <c r="DO387" s="15">
        <v>0.0</v>
      </c>
      <c r="DP387" s="15" t="s">
        <v>419</v>
      </c>
      <c r="DR387" s="15">
        <v>0.0</v>
      </c>
      <c r="DU387" s="15" t="s">
        <v>419</v>
      </c>
      <c r="DY387" s="15">
        <v>0.0</v>
      </c>
      <c r="EF387" s="15" t="s">
        <v>1157</v>
      </c>
      <c r="EG387" s="15" t="s">
        <v>1158</v>
      </c>
      <c r="EH387" s="15" t="s">
        <v>4927</v>
      </c>
      <c r="EJ387" s="15" t="s">
        <v>500</v>
      </c>
      <c r="EK387" s="15" t="s">
        <v>501</v>
      </c>
      <c r="EM387" s="15" t="str">
        <f>IFERROR(__xludf.DUMMYFUNCTION("""COMPUTED_VALUE"""),"")</f>
        <v/>
      </c>
      <c r="EW387" s="15" t="s">
        <v>2220</v>
      </c>
      <c r="FH387" s="15" t="s">
        <v>2221</v>
      </c>
      <c r="FI387" s="15" t="s">
        <v>714</v>
      </c>
      <c r="FJ387" s="15" t="s">
        <v>2221</v>
      </c>
      <c r="FK387" s="15" t="s">
        <v>1607</v>
      </c>
      <c r="FM387" s="15">
        <v>0.0</v>
      </c>
      <c r="FN387" s="15">
        <v>0.0</v>
      </c>
      <c r="FW387" s="15" t="s">
        <v>787</v>
      </c>
    </row>
    <row r="388" ht="15.75" customHeight="1">
      <c r="A388" s="14" t="s">
        <v>391</v>
      </c>
      <c r="B388" s="15" t="s">
        <v>4923</v>
      </c>
      <c r="C388" s="16"/>
      <c r="D388" s="15" t="s">
        <v>432</v>
      </c>
      <c r="G388" s="14" t="s">
        <v>393</v>
      </c>
      <c r="H388" s="14" t="s">
        <v>394</v>
      </c>
      <c r="I388" s="14" t="b">
        <v>1</v>
      </c>
      <c r="J388" s="14" t="s">
        <v>395</v>
      </c>
      <c r="L388" s="14" t="b">
        <v>0</v>
      </c>
      <c r="M388" s="15" t="s">
        <v>4928</v>
      </c>
      <c r="N388" s="14" t="s">
        <v>393</v>
      </c>
      <c r="O388" s="14" t="s">
        <v>393</v>
      </c>
      <c r="P388" s="15" t="s">
        <v>397</v>
      </c>
      <c r="Q388" s="15" t="s">
        <v>4929</v>
      </c>
      <c r="T388" s="14" t="b">
        <v>0</v>
      </c>
      <c r="U388" s="15" t="s">
        <v>4930</v>
      </c>
      <c r="V388" s="15" t="s">
        <v>1244</v>
      </c>
      <c r="W388" s="15" t="s">
        <v>401</v>
      </c>
      <c r="X388" s="15" t="s">
        <v>1172</v>
      </c>
      <c r="Y388" s="15">
        <v>442.0</v>
      </c>
      <c r="AA388" s="15" t="str">
        <f t="shared" si="688"/>
        <v>170</v>
      </c>
      <c r="AB388" s="14" t="b">
        <v>1</v>
      </c>
      <c r="AC388" s="14" t="b">
        <v>1</v>
      </c>
      <c r="AD388" s="15" t="str">
        <f>"801542723347"</f>
        <v>801542723347</v>
      </c>
      <c r="AE388" s="15" t="s">
        <v>4931</v>
      </c>
      <c r="AF388" s="14" t="s">
        <v>404</v>
      </c>
      <c r="AG388" s="14" t="s">
        <v>405</v>
      </c>
      <c r="AH388" s="14" t="s">
        <v>406</v>
      </c>
      <c r="AI388" s="15">
        <v>0.0</v>
      </c>
      <c r="AL388" s="15" t="s">
        <v>2210</v>
      </c>
      <c r="AM388" s="15" t="s">
        <v>2211</v>
      </c>
      <c r="AN388" s="15" t="s">
        <v>2212</v>
      </c>
      <c r="AO388" s="15" t="s">
        <v>2211</v>
      </c>
      <c r="AP388" s="15" t="s">
        <v>2212</v>
      </c>
      <c r="AQ388" s="15" t="s">
        <v>2213</v>
      </c>
      <c r="AR388" s="15" t="s">
        <v>2214</v>
      </c>
      <c r="AS388" s="15" t="s">
        <v>2215</v>
      </c>
      <c r="AT388" s="15" t="s">
        <v>4929</v>
      </c>
      <c r="AU388" s="15" t="s">
        <v>2216</v>
      </c>
      <c r="AW388" s="15" t="s">
        <v>1154</v>
      </c>
      <c r="AY388" s="15" t="s">
        <v>413</v>
      </c>
      <c r="AZ388" s="15" t="b">
        <v>0</v>
      </c>
      <c r="BA388" s="15" t="s">
        <v>413</v>
      </c>
      <c r="BB388" s="15" t="b">
        <v>0</v>
      </c>
      <c r="BD388" s="15" t="s">
        <v>1181</v>
      </c>
      <c r="BE388" s="15" t="str">
        <f t="shared" si="661"/>
        <v>1</v>
      </c>
      <c r="BF388" s="15" t="s">
        <v>416</v>
      </c>
      <c r="BG388" s="15" t="str">
        <f t="shared" si="689"/>
        <v>11.81</v>
      </c>
      <c r="BH388" s="15" t="s">
        <v>2218</v>
      </c>
      <c r="BI388" s="15" t="str">
        <f t="shared" si="690"/>
        <v>11.81</v>
      </c>
      <c r="BJ388" s="15" t="s">
        <v>2218</v>
      </c>
      <c r="BK388" s="15" t="str">
        <f t="shared" si="691"/>
        <v>29.92</v>
      </c>
      <c r="BL388" s="15" t="s">
        <v>1321</v>
      </c>
      <c r="BM388" s="15" t="str">
        <f t="shared" si="692"/>
        <v>22.05</v>
      </c>
      <c r="BN388" s="15" t="s">
        <v>2790</v>
      </c>
      <c r="BQ388" s="15" t="s">
        <v>444</v>
      </c>
      <c r="BS388" s="15" t="s">
        <v>444</v>
      </c>
      <c r="BU388" s="15" t="s">
        <v>444</v>
      </c>
      <c r="BW388" s="15" t="s">
        <v>444</v>
      </c>
      <c r="BZ388" s="15" t="s">
        <v>444</v>
      </c>
      <c r="CB388" s="15" t="s">
        <v>444</v>
      </c>
      <c r="CD388" s="15" t="s">
        <v>444</v>
      </c>
      <c r="CF388" s="15" t="s">
        <v>444</v>
      </c>
      <c r="CI388" s="15" t="s">
        <v>444</v>
      </c>
      <c r="CK388" s="15" t="s">
        <v>444</v>
      </c>
      <c r="CM388" s="15" t="s">
        <v>444</v>
      </c>
      <c r="CO388" s="15" t="s">
        <v>444</v>
      </c>
      <c r="CP388" s="15" t="str">
        <f t="shared" si="693"/>
        <v>2.4</v>
      </c>
      <c r="CQ388" s="15" t="str">
        <f t="shared" si="694"/>
        <v>0.068</v>
      </c>
      <c r="CR388" s="15" t="s">
        <v>465</v>
      </c>
      <c r="DC388" s="15" t="str">
        <f>IFERROR(__xludf.DUMMYFUNCTION("""COMPUTED_VALUE"""),"")</f>
        <v/>
      </c>
      <c r="DE388" s="15" t="str">
        <f>IFERROR(__xludf.DUMMYFUNCTION("""COMPUTED_VALUE"""),"")</f>
        <v/>
      </c>
      <c r="DG388" s="15" t="str">
        <f>IFERROR(__xludf.DUMMYFUNCTION("""COMPUTED_VALUE"""),"")</f>
        <v/>
      </c>
      <c r="DL388" s="15" t="str">
        <f>IFERROR(__xludf.DUMMYFUNCTION("""COMPUTED_VALUE"""),"")</f>
        <v/>
      </c>
      <c r="DM388" s="15" t="s">
        <v>444</v>
      </c>
      <c r="DN388" s="15" t="s">
        <v>419</v>
      </c>
      <c r="DO388" s="15">
        <v>0.0</v>
      </c>
      <c r="DP388" s="15" t="s">
        <v>419</v>
      </c>
      <c r="DR388" s="15">
        <v>0.0</v>
      </c>
      <c r="DU388" s="15" t="s">
        <v>419</v>
      </c>
      <c r="DY388" s="15">
        <v>0.0</v>
      </c>
      <c r="EF388" s="15" t="s">
        <v>1157</v>
      </c>
      <c r="EG388" s="15" t="s">
        <v>1158</v>
      </c>
      <c r="EH388" s="15" t="s">
        <v>4927</v>
      </c>
      <c r="EJ388" s="15" t="s">
        <v>500</v>
      </c>
      <c r="EK388" s="15" t="s">
        <v>501</v>
      </c>
      <c r="EM388" s="15" t="str">
        <f>IFERROR(__xludf.DUMMYFUNCTION("""COMPUTED_VALUE"""),"")</f>
        <v/>
      </c>
      <c r="EW388" s="15" t="s">
        <v>2220</v>
      </c>
      <c r="FH388" s="15" t="s">
        <v>2221</v>
      </c>
      <c r="FI388" s="15" t="s">
        <v>714</v>
      </c>
      <c r="FJ388" s="15" t="s">
        <v>2221</v>
      </c>
      <c r="FK388" s="15" t="s">
        <v>1607</v>
      </c>
      <c r="FM388" s="15">
        <v>0.0</v>
      </c>
      <c r="FN388" s="15">
        <v>0.0</v>
      </c>
      <c r="FW388" s="15" t="s">
        <v>787</v>
      </c>
    </row>
    <row r="389" ht="15.75" customHeight="1">
      <c r="A389" s="14" t="s">
        <v>391</v>
      </c>
      <c r="B389" s="15" t="s">
        <v>4932</v>
      </c>
      <c r="C389" s="16"/>
      <c r="D389" s="15" t="s">
        <v>432</v>
      </c>
      <c r="G389" s="14" t="s">
        <v>393</v>
      </c>
      <c r="H389" s="14" t="s">
        <v>394</v>
      </c>
      <c r="I389" s="14" t="b">
        <v>1</v>
      </c>
      <c r="J389" s="14" t="s">
        <v>395</v>
      </c>
      <c r="L389" s="14" t="b">
        <v>0</v>
      </c>
      <c r="M389" s="15" t="s">
        <v>4933</v>
      </c>
      <c r="N389" s="14" t="s">
        <v>393</v>
      </c>
      <c r="O389" s="14" t="s">
        <v>393</v>
      </c>
      <c r="P389" s="15" t="s">
        <v>397</v>
      </c>
      <c r="Q389" s="15" t="s">
        <v>4934</v>
      </c>
      <c r="T389" s="14" t="b">
        <v>0</v>
      </c>
      <c r="U389" s="15" t="s">
        <v>4935</v>
      </c>
      <c r="V389" s="15" t="s">
        <v>4936</v>
      </c>
      <c r="W389" s="15" t="s">
        <v>401</v>
      </c>
      <c r="X389" s="15" t="s">
        <v>695</v>
      </c>
      <c r="Y389" s="15">
        <v>3614.0</v>
      </c>
      <c r="AA389" s="15" t="str">
        <f>"1390"</f>
        <v>1390</v>
      </c>
      <c r="AB389" s="14" t="b">
        <v>1</v>
      </c>
      <c r="AC389" s="14" t="b">
        <v>1</v>
      </c>
      <c r="AD389" s="15" t="str">
        <f>"801542222055"</f>
        <v>801542222055</v>
      </c>
      <c r="AE389" s="15" t="s">
        <v>4937</v>
      </c>
      <c r="AF389" s="14" t="s">
        <v>404</v>
      </c>
      <c r="AG389" s="14" t="s">
        <v>405</v>
      </c>
      <c r="AH389" s="14" t="s">
        <v>406</v>
      </c>
      <c r="AI389" s="15">
        <v>0.0</v>
      </c>
      <c r="AL389" s="15" t="s">
        <v>4938</v>
      </c>
      <c r="AM389" s="15" t="s">
        <v>408</v>
      </c>
      <c r="AN389" s="15" t="s">
        <v>437</v>
      </c>
      <c r="AO389" s="15" t="s">
        <v>1007</v>
      </c>
      <c r="AP389" s="15" t="s">
        <v>1008</v>
      </c>
      <c r="AQ389" s="15" t="s">
        <v>4939</v>
      </c>
      <c r="AR389" s="15" t="s">
        <v>4940</v>
      </c>
      <c r="AS389" s="15" t="s">
        <v>1317</v>
      </c>
      <c r="AT389" s="15" t="s">
        <v>4934</v>
      </c>
      <c r="AU389" s="15" t="s">
        <v>4941</v>
      </c>
      <c r="AW389" s="15" t="s">
        <v>664</v>
      </c>
      <c r="AY389" s="15" t="s">
        <v>413</v>
      </c>
      <c r="AZ389" s="15" t="b">
        <v>0</v>
      </c>
      <c r="BA389" s="15" t="s">
        <v>413</v>
      </c>
      <c r="BB389" s="15" t="b">
        <v>0</v>
      </c>
      <c r="BC389" s="15" t="s">
        <v>4942</v>
      </c>
      <c r="BD389" s="15" t="s">
        <v>709</v>
      </c>
      <c r="BE389" s="15" t="str">
        <f t="shared" si="661"/>
        <v>1</v>
      </c>
      <c r="BF389" s="15" t="s">
        <v>416</v>
      </c>
      <c r="BG389" s="15" t="str">
        <f>"84.65"</f>
        <v>84.65</v>
      </c>
      <c r="BH389" s="15" t="s">
        <v>852</v>
      </c>
      <c r="BI389" s="15" t="str">
        <f>"21.65"</f>
        <v>21.65</v>
      </c>
      <c r="BJ389" s="15" t="s">
        <v>1506</v>
      </c>
      <c r="BK389" s="15" t="str">
        <f>"36.61"</f>
        <v>36.61</v>
      </c>
      <c r="BL389" s="15" t="s">
        <v>1734</v>
      </c>
      <c r="BM389" s="15" t="str">
        <f>"294.31"</f>
        <v>294.31</v>
      </c>
      <c r="BN389" s="15" t="s">
        <v>3796</v>
      </c>
      <c r="BQ389" s="15" t="s">
        <v>444</v>
      </c>
      <c r="BS389" s="15" t="s">
        <v>444</v>
      </c>
      <c r="BU389" s="15" t="s">
        <v>444</v>
      </c>
      <c r="BW389" s="15" t="s">
        <v>444</v>
      </c>
      <c r="BZ389" s="15" t="s">
        <v>444</v>
      </c>
      <c r="CB389" s="15" t="s">
        <v>444</v>
      </c>
      <c r="CD389" s="15" t="s">
        <v>444</v>
      </c>
      <c r="CF389" s="15" t="s">
        <v>444</v>
      </c>
      <c r="CI389" s="15" t="s">
        <v>444</v>
      </c>
      <c r="CK389" s="15" t="s">
        <v>444</v>
      </c>
      <c r="CM389" s="15" t="s">
        <v>444</v>
      </c>
      <c r="CO389" s="15" t="s">
        <v>444</v>
      </c>
      <c r="CP389" s="15" t="str">
        <f>"38.85"</f>
        <v>38.85</v>
      </c>
      <c r="CQ389" s="15" t="str">
        <f>"1.1"</f>
        <v>1.1</v>
      </c>
      <c r="CR389" s="15" t="s">
        <v>465</v>
      </c>
      <c r="CS389" s="15" t="s">
        <v>4943</v>
      </c>
      <c r="CT389" s="15" t="s">
        <v>612</v>
      </c>
      <c r="CU389" s="15" t="s">
        <v>4944</v>
      </c>
      <c r="CV389" s="15" t="s">
        <v>4943</v>
      </c>
      <c r="CW389" s="15" t="s">
        <v>1593</v>
      </c>
      <c r="CX389" s="15" t="s">
        <v>4944</v>
      </c>
      <c r="DC389" s="15" t="str">
        <f>IFERROR(__xludf.DUMMYFUNCTION("""COMPUTED_VALUE"""),"")</f>
        <v/>
      </c>
      <c r="DE389" s="15" t="str">
        <f>IFERROR(__xludf.DUMMYFUNCTION("""COMPUTED_VALUE"""),"")</f>
        <v/>
      </c>
      <c r="DG389" s="15" t="str">
        <f>IFERROR(__xludf.DUMMYFUNCTION("""COMPUTED_VALUE"""),"")</f>
        <v/>
      </c>
      <c r="DL389" s="15" t="str">
        <f>IFERROR(__xludf.DUMMYFUNCTION("""COMPUTED_VALUE"""),"")</f>
        <v/>
      </c>
      <c r="DM389" s="15" t="s">
        <v>444</v>
      </c>
      <c r="DN389" s="15" t="s">
        <v>419</v>
      </c>
      <c r="DO389" s="15">
        <v>0.0</v>
      </c>
      <c r="DP389" s="15" t="s">
        <v>419</v>
      </c>
      <c r="DR389" s="15">
        <v>2.0</v>
      </c>
      <c r="DS389" s="15" t="s">
        <v>426</v>
      </c>
      <c r="DT389" s="15" t="s">
        <v>721</v>
      </c>
      <c r="DU389" s="15" t="s">
        <v>1914</v>
      </c>
      <c r="DW389" s="15">
        <v>18.14</v>
      </c>
      <c r="DX389" s="15">
        <v>40.0</v>
      </c>
      <c r="DY389" s="15">
        <v>0.0</v>
      </c>
      <c r="EG389" s="15" t="s">
        <v>444</v>
      </c>
      <c r="EH389" s="15" t="s">
        <v>4945</v>
      </c>
      <c r="EJ389" s="15" t="s">
        <v>424</v>
      </c>
      <c r="EK389" s="15" t="s">
        <v>446</v>
      </c>
      <c r="EM389" s="15" t="str">
        <f>IFERROR(__xludf.DUMMYFUNCTION("""COMPUTED_VALUE"""),"")</f>
        <v/>
      </c>
      <c r="EW389" s="15" t="s">
        <v>2050</v>
      </c>
      <c r="FL389" s="15" t="s">
        <v>426</v>
      </c>
      <c r="FM389" s="15">
        <v>4.0</v>
      </c>
      <c r="FY389" s="15" t="s">
        <v>4946</v>
      </c>
      <c r="FZ389" s="15" t="s">
        <v>1042</v>
      </c>
      <c r="GA389" s="15" t="s">
        <v>4947</v>
      </c>
      <c r="GE389" s="15">
        <v>0.0</v>
      </c>
      <c r="GF389" s="15" t="s">
        <v>426</v>
      </c>
      <c r="GH389" s="15">
        <v>2.0</v>
      </c>
      <c r="GI389" s="15" t="s">
        <v>4948</v>
      </c>
      <c r="GK389" s="15">
        <v>0.0</v>
      </c>
      <c r="GN389" s="15" t="s">
        <v>616</v>
      </c>
      <c r="HA389" s="15" t="s">
        <v>4943</v>
      </c>
      <c r="HB389" s="15" t="s">
        <v>1593</v>
      </c>
      <c r="HC389" s="15" t="s">
        <v>4944</v>
      </c>
      <c r="HQ389" s="15" t="s">
        <v>4943</v>
      </c>
      <c r="HR389" s="15" t="s">
        <v>4943</v>
      </c>
      <c r="HS389" s="15" t="s">
        <v>1593</v>
      </c>
      <c r="HT389" s="15" t="s">
        <v>1593</v>
      </c>
      <c r="HU389" s="15" t="s">
        <v>4944</v>
      </c>
      <c r="HV389" s="15" t="s">
        <v>4944</v>
      </c>
      <c r="LF389" s="15" t="s">
        <v>1185</v>
      </c>
    </row>
    <row r="390" ht="15.75" customHeight="1">
      <c r="A390" s="14" t="s">
        <v>391</v>
      </c>
      <c r="B390" s="15" t="s">
        <v>4949</v>
      </c>
      <c r="C390" s="16"/>
      <c r="D390" s="15" t="s">
        <v>432</v>
      </c>
      <c r="G390" s="14" t="s">
        <v>393</v>
      </c>
      <c r="H390" s="14" t="s">
        <v>394</v>
      </c>
      <c r="I390" s="14" t="b">
        <v>1</v>
      </c>
      <c r="J390" s="14" t="s">
        <v>395</v>
      </c>
      <c r="L390" s="14" t="b">
        <v>0</v>
      </c>
      <c r="M390" s="15" t="s">
        <v>4950</v>
      </c>
      <c r="N390" s="14" t="s">
        <v>393</v>
      </c>
      <c r="O390" s="14" t="s">
        <v>393</v>
      </c>
      <c r="P390" s="15" t="s">
        <v>397</v>
      </c>
      <c r="Q390" s="15" t="s">
        <v>4951</v>
      </c>
      <c r="T390" s="14" t="b">
        <v>0</v>
      </c>
      <c r="U390" s="15" t="s">
        <v>4952</v>
      </c>
      <c r="V390" s="15" t="s">
        <v>4953</v>
      </c>
      <c r="W390" s="15" t="s">
        <v>401</v>
      </c>
      <c r="X390" s="15" t="s">
        <v>695</v>
      </c>
      <c r="Y390" s="15">
        <v>2847.0</v>
      </c>
      <c r="AA390" s="15" t="str">
        <f>"1095"</f>
        <v>1095</v>
      </c>
      <c r="AB390" s="14" t="b">
        <v>1</v>
      </c>
      <c r="AC390" s="14" t="b">
        <v>1</v>
      </c>
      <c r="AD390" s="15" t="str">
        <f>"198394026901"</f>
        <v>198394026901</v>
      </c>
      <c r="AE390" s="15" t="s">
        <v>4954</v>
      </c>
      <c r="AF390" s="14" t="s">
        <v>404</v>
      </c>
      <c r="AG390" s="14" t="s">
        <v>405</v>
      </c>
      <c r="AH390" s="14" t="s">
        <v>406</v>
      </c>
      <c r="AI390" s="15">
        <v>0.0</v>
      </c>
      <c r="AL390" s="15" t="s">
        <v>4955</v>
      </c>
      <c r="AM390" s="15" t="s">
        <v>1026</v>
      </c>
      <c r="AN390" s="15" t="s">
        <v>1027</v>
      </c>
      <c r="AO390" s="15" t="s">
        <v>1675</v>
      </c>
      <c r="AP390" s="15" t="s">
        <v>1676</v>
      </c>
      <c r="AQ390" s="15" t="s">
        <v>662</v>
      </c>
      <c r="AR390" s="15" t="s">
        <v>663</v>
      </c>
      <c r="AS390" s="15" t="s">
        <v>2193</v>
      </c>
      <c r="AT390" s="15" t="s">
        <v>4951</v>
      </c>
      <c r="AU390" s="15" t="s">
        <v>1898</v>
      </c>
      <c r="AW390" s="15" t="s">
        <v>664</v>
      </c>
      <c r="AY390" s="15" t="s">
        <v>413</v>
      </c>
      <c r="AZ390" s="15" t="b">
        <v>0</v>
      </c>
      <c r="BA390" s="15" t="s">
        <v>413</v>
      </c>
      <c r="BB390" s="15" t="b">
        <v>0</v>
      </c>
      <c r="BC390" s="15" t="s">
        <v>4956</v>
      </c>
      <c r="BD390" s="15" t="s">
        <v>709</v>
      </c>
      <c r="BE390" s="15" t="str">
        <f t="shared" si="661"/>
        <v>1</v>
      </c>
      <c r="BF390" s="15" t="s">
        <v>416</v>
      </c>
      <c r="BG390" s="15" t="str">
        <f>"87.01"</f>
        <v>87.01</v>
      </c>
      <c r="BH390" s="15" t="s">
        <v>3884</v>
      </c>
      <c r="BI390" s="15" t="str">
        <f>"26.38"</f>
        <v>26.38</v>
      </c>
      <c r="BJ390" s="15" t="s">
        <v>1735</v>
      </c>
      <c r="BK390" s="15" t="str">
        <f>"39.37"</f>
        <v>39.37</v>
      </c>
      <c r="BL390" s="15" t="s">
        <v>523</v>
      </c>
      <c r="BM390" s="15" t="str">
        <f>"313.05"</f>
        <v>313.05</v>
      </c>
      <c r="BN390" s="15" t="s">
        <v>4957</v>
      </c>
      <c r="BQ390" s="15" t="s">
        <v>444</v>
      </c>
      <c r="BS390" s="15" t="s">
        <v>444</v>
      </c>
      <c r="BU390" s="15" t="s">
        <v>444</v>
      </c>
      <c r="BW390" s="15" t="s">
        <v>444</v>
      </c>
      <c r="BZ390" s="15" t="s">
        <v>444</v>
      </c>
      <c r="CB390" s="15" t="s">
        <v>444</v>
      </c>
      <c r="CD390" s="15" t="s">
        <v>444</v>
      </c>
      <c r="CF390" s="15" t="s">
        <v>444</v>
      </c>
      <c r="CI390" s="15" t="s">
        <v>444</v>
      </c>
      <c r="CK390" s="15" t="s">
        <v>444</v>
      </c>
      <c r="CM390" s="15" t="s">
        <v>444</v>
      </c>
      <c r="CO390" s="15" t="s">
        <v>444</v>
      </c>
      <c r="CP390" s="15" t="str">
        <f>"52.3"</f>
        <v>52.3</v>
      </c>
      <c r="CQ390" s="15" t="str">
        <f>"1.481"</f>
        <v>1.481</v>
      </c>
      <c r="CR390" s="15" t="s">
        <v>497</v>
      </c>
      <c r="CS390" s="15" t="s">
        <v>1324</v>
      </c>
      <c r="CT390" s="15" t="s">
        <v>784</v>
      </c>
      <c r="CU390" s="15" t="s">
        <v>2403</v>
      </c>
      <c r="CV390" s="15" t="s">
        <v>1213</v>
      </c>
      <c r="CW390" s="15" t="s">
        <v>3238</v>
      </c>
      <c r="CX390" s="15" t="s">
        <v>1739</v>
      </c>
      <c r="DC390" s="15" t="str">
        <f>IFERROR(__xludf.DUMMYFUNCTION("""COMPUTED_VALUE"""),"")</f>
        <v/>
      </c>
      <c r="DE390" s="15" t="str">
        <f>IFERROR(__xludf.DUMMYFUNCTION("""COMPUTED_VALUE"""),"")</f>
        <v/>
      </c>
      <c r="DG390" s="15" t="str">
        <f>IFERROR(__xludf.DUMMYFUNCTION("""COMPUTED_VALUE"""),"")</f>
        <v/>
      </c>
      <c r="DL390" s="15" t="str">
        <f>IFERROR(__xludf.DUMMYFUNCTION("""COMPUTED_VALUE"""),"")</f>
        <v/>
      </c>
      <c r="DM390" s="15" t="s">
        <v>444</v>
      </c>
      <c r="DN390" s="15" t="s">
        <v>419</v>
      </c>
      <c r="DO390" s="15">
        <v>0.0</v>
      </c>
      <c r="DP390" s="15" t="s">
        <v>419</v>
      </c>
      <c r="DR390" s="15">
        <v>2.0</v>
      </c>
      <c r="DS390" s="15" t="s">
        <v>426</v>
      </c>
      <c r="DT390" s="15" t="s">
        <v>1186</v>
      </c>
      <c r="DU390" s="15" t="s">
        <v>610</v>
      </c>
      <c r="DW390" s="15">
        <v>18.14</v>
      </c>
      <c r="DX390" s="15">
        <v>40.0</v>
      </c>
      <c r="DY390" s="15">
        <v>2.0</v>
      </c>
      <c r="EG390" s="15" t="s">
        <v>444</v>
      </c>
      <c r="EH390" s="15" t="s">
        <v>4958</v>
      </c>
      <c r="EJ390" s="15" t="s">
        <v>424</v>
      </c>
      <c r="EK390" s="15" t="s">
        <v>446</v>
      </c>
      <c r="EM390" s="15" t="str">
        <f>IFERROR(__xludf.DUMMYFUNCTION("""COMPUTED_VALUE"""),"")</f>
        <v/>
      </c>
      <c r="EW390" s="15" t="s">
        <v>940</v>
      </c>
      <c r="FL390" s="15" t="s">
        <v>426</v>
      </c>
      <c r="FM390" s="15">
        <v>4.0</v>
      </c>
      <c r="FY390" s="15" t="s">
        <v>3238</v>
      </c>
      <c r="FZ390" s="15" t="s">
        <v>612</v>
      </c>
      <c r="GA390" s="15" t="s">
        <v>1161</v>
      </c>
      <c r="GB390" s="15" t="s">
        <v>1213</v>
      </c>
      <c r="GC390" s="15" t="s">
        <v>612</v>
      </c>
      <c r="GD390" s="15" t="s">
        <v>1739</v>
      </c>
      <c r="GE390" s="15">
        <v>0.0</v>
      </c>
      <c r="GF390" s="15" t="s">
        <v>426</v>
      </c>
      <c r="GG390" s="15" t="s">
        <v>785</v>
      </c>
      <c r="GH390" s="15">
        <v>4.0</v>
      </c>
      <c r="GI390" s="15" t="s">
        <v>614</v>
      </c>
      <c r="GJ390" s="15" t="s">
        <v>615</v>
      </c>
      <c r="GK390" s="15">
        <v>0.0</v>
      </c>
      <c r="GL390" s="15" t="s">
        <v>426</v>
      </c>
      <c r="GN390" s="15" t="s">
        <v>616</v>
      </c>
      <c r="HA390" s="15" t="s">
        <v>1213</v>
      </c>
      <c r="HB390" s="15" t="s">
        <v>3238</v>
      </c>
      <c r="HC390" s="15" t="s">
        <v>1739</v>
      </c>
      <c r="HQ390" s="15" t="s">
        <v>1324</v>
      </c>
      <c r="HR390" s="15" t="s">
        <v>1324</v>
      </c>
      <c r="HS390" s="15" t="s">
        <v>2739</v>
      </c>
      <c r="HT390" s="15" t="s">
        <v>2739</v>
      </c>
      <c r="HU390" s="15" t="s">
        <v>4959</v>
      </c>
      <c r="HV390" s="15" t="s">
        <v>4959</v>
      </c>
      <c r="HW390" s="15" t="s">
        <v>1807</v>
      </c>
      <c r="IH390" s="15" t="s">
        <v>426</v>
      </c>
    </row>
    <row r="391" ht="15.75" customHeight="1">
      <c r="A391" s="14" t="s">
        <v>391</v>
      </c>
      <c r="B391" s="15" t="s">
        <v>4960</v>
      </c>
      <c r="C391" s="16"/>
      <c r="D391" s="15" t="s">
        <v>432</v>
      </c>
      <c r="G391" s="14" t="s">
        <v>393</v>
      </c>
      <c r="H391" s="14" t="s">
        <v>394</v>
      </c>
      <c r="I391" s="14" t="b">
        <v>1</v>
      </c>
      <c r="J391" s="14" t="s">
        <v>395</v>
      </c>
      <c r="L391" s="14" t="b">
        <v>0</v>
      </c>
      <c r="M391" s="15" t="s">
        <v>4961</v>
      </c>
      <c r="N391" s="14" t="s">
        <v>393</v>
      </c>
      <c r="O391" s="14" t="s">
        <v>393</v>
      </c>
      <c r="P391" s="15" t="s">
        <v>397</v>
      </c>
      <c r="Q391" s="15" t="s">
        <v>3208</v>
      </c>
      <c r="T391" s="14" t="b">
        <v>0</v>
      </c>
      <c r="U391" s="15" t="s">
        <v>4962</v>
      </c>
      <c r="V391" s="15" t="s">
        <v>4963</v>
      </c>
      <c r="W391" s="15" t="s">
        <v>401</v>
      </c>
      <c r="X391" s="15" t="s">
        <v>695</v>
      </c>
      <c r="Y391" s="15">
        <v>2080.0</v>
      </c>
      <c r="AA391" s="15" t="str">
        <f>"800"</f>
        <v>800</v>
      </c>
      <c r="AB391" s="14" t="b">
        <v>1</v>
      </c>
      <c r="AC391" s="14" t="b">
        <v>1</v>
      </c>
      <c r="AD391" s="15" t="str">
        <f>"801542995829"</f>
        <v>801542995829</v>
      </c>
      <c r="AE391" s="15" t="s">
        <v>4964</v>
      </c>
      <c r="AF391" s="14" t="s">
        <v>404</v>
      </c>
      <c r="AG391" s="14" t="s">
        <v>405</v>
      </c>
      <c r="AH391" s="14" t="s">
        <v>406</v>
      </c>
      <c r="AI391" s="15">
        <v>0.0</v>
      </c>
      <c r="AL391" s="15" t="s">
        <v>4965</v>
      </c>
      <c r="AM391" s="15" t="s">
        <v>4614</v>
      </c>
      <c r="AN391" s="15" t="s">
        <v>4615</v>
      </c>
      <c r="AO391" s="15" t="s">
        <v>679</v>
      </c>
      <c r="AP391" s="15" t="s">
        <v>680</v>
      </c>
      <c r="AQ391" s="15" t="s">
        <v>1801</v>
      </c>
      <c r="AR391" s="15" t="s">
        <v>1322</v>
      </c>
      <c r="AS391" s="15" t="s">
        <v>915</v>
      </c>
      <c r="AT391" s="15" t="s">
        <v>3208</v>
      </c>
      <c r="AW391" s="15" t="s">
        <v>706</v>
      </c>
      <c r="AX391" s="15" t="s">
        <v>707</v>
      </c>
      <c r="AY391" s="15" t="s">
        <v>413</v>
      </c>
      <c r="AZ391" s="15" t="b">
        <v>0</v>
      </c>
      <c r="BA391" s="15" t="s">
        <v>413</v>
      </c>
      <c r="BB391" s="15" t="b">
        <v>0</v>
      </c>
      <c r="BC391" s="15" t="s">
        <v>4966</v>
      </c>
      <c r="BD391" s="15" t="s">
        <v>709</v>
      </c>
      <c r="BE391" s="15" t="str">
        <f t="shared" si="661"/>
        <v>1</v>
      </c>
      <c r="BF391" s="15" t="s">
        <v>1208</v>
      </c>
      <c r="BG391" s="15" t="str">
        <f t="shared" ref="BG391:BG392" si="695">"45.67"</f>
        <v>45.67</v>
      </c>
      <c r="BH391" s="15" t="s">
        <v>683</v>
      </c>
      <c r="BI391" s="15" t="str">
        <f t="shared" ref="BI391:BI392" si="696">"40.94"</f>
        <v>40.94</v>
      </c>
      <c r="BJ391" s="15" t="s">
        <v>648</v>
      </c>
      <c r="BK391" s="15" t="str">
        <f t="shared" ref="BK391:BK392" si="697">"33.07"</f>
        <v>33.07</v>
      </c>
      <c r="BL391" s="15" t="s">
        <v>1091</v>
      </c>
      <c r="BM391" s="15" t="str">
        <f t="shared" ref="BM391:BM392" si="698">"108.03"</f>
        <v>108.03</v>
      </c>
      <c r="BN391" s="15" t="s">
        <v>4967</v>
      </c>
      <c r="BQ391" s="15" t="s">
        <v>444</v>
      </c>
      <c r="BS391" s="15" t="s">
        <v>444</v>
      </c>
      <c r="BU391" s="15" t="s">
        <v>444</v>
      </c>
      <c r="BW391" s="15" t="s">
        <v>444</v>
      </c>
      <c r="BZ391" s="15" t="s">
        <v>444</v>
      </c>
      <c r="CB391" s="15" t="s">
        <v>444</v>
      </c>
      <c r="CD391" s="15" t="s">
        <v>444</v>
      </c>
      <c r="CF391" s="15" t="s">
        <v>444</v>
      </c>
      <c r="CI391" s="15" t="s">
        <v>444</v>
      </c>
      <c r="CK391" s="15" t="s">
        <v>444</v>
      </c>
      <c r="CM391" s="15" t="s">
        <v>444</v>
      </c>
      <c r="CO391" s="15" t="s">
        <v>444</v>
      </c>
      <c r="CP391" s="15" t="str">
        <f t="shared" ref="CP391:CP392" si="699">"30.69"</f>
        <v>30.69</v>
      </c>
      <c r="CQ391" s="15" t="str">
        <f t="shared" ref="CQ391:CQ392" si="700">"0.869"</f>
        <v>0.869</v>
      </c>
      <c r="CR391" s="15" t="s">
        <v>465</v>
      </c>
      <c r="DB391" s="15" t="s">
        <v>2384</v>
      </c>
      <c r="DC391" s="15" t="str">
        <f>IFERROR(__xludf.DUMMYFUNCTION("""COMPUTED_VALUE"""),"{""value"":24.50,""unit"":""in""}")</f>
        <v>{"value":24.50,"unit":"in"}</v>
      </c>
      <c r="DD391" s="15" t="s">
        <v>1161</v>
      </c>
      <c r="DE391" s="15" t="str">
        <f>IFERROR(__xludf.DUMMYFUNCTION("""COMPUTED_VALUE"""),"{""value"":17.00,""unit"":""in""}")</f>
        <v>{"value":17.00,"unit":"in"}</v>
      </c>
      <c r="DG391" s="15" t="str">
        <f>IFERROR(__xludf.DUMMYFUNCTION("""COMPUTED_VALUE"""),"")</f>
        <v/>
      </c>
      <c r="DH391" s="15">
        <v>0.0</v>
      </c>
      <c r="DI391" s="15">
        <v>0.0</v>
      </c>
      <c r="DJ391" s="15" t="s">
        <v>717</v>
      </c>
      <c r="DK391" s="15" t="s">
        <v>855</v>
      </c>
      <c r="DL391" s="15" t="str">
        <f>IFERROR(__xludf.DUMMYFUNCTION("""COMPUTED_VALUE"""),"Clean with solvent-based (dry clean only) products. Do not use water.")</f>
        <v>Clean with solvent-based (dry clean only) products. Do not use water.</v>
      </c>
      <c r="DM391" s="15" t="s">
        <v>856</v>
      </c>
      <c r="DT391" s="15" t="s">
        <v>721</v>
      </c>
      <c r="DU391" s="15" t="s">
        <v>1605</v>
      </c>
      <c r="DV391" s="15">
        <v>0.0</v>
      </c>
      <c r="DZ391" s="15">
        <v>25000.0</v>
      </c>
      <c r="EA391" s="15" t="s">
        <v>990</v>
      </c>
      <c r="ED391" s="15">
        <v>0.0</v>
      </c>
      <c r="EE391" s="15">
        <v>1.0</v>
      </c>
      <c r="EG391" s="15" t="s">
        <v>444</v>
      </c>
      <c r="EH391" s="15" t="s">
        <v>4968</v>
      </c>
      <c r="EI391" s="15">
        <v>0.0</v>
      </c>
      <c r="EJ391" s="15" t="s">
        <v>726</v>
      </c>
      <c r="EK391" s="15" t="s">
        <v>727</v>
      </c>
      <c r="EL391" s="15" t="s">
        <v>1237</v>
      </c>
      <c r="EM391" s="15" t="str">
        <f>IFERROR(__xludf.DUMMYFUNCTION("""COMPUTED_VALUE"""),"{""value"":20.50,""unit"":""in""}")</f>
        <v>{"value":20.50,"unit":"in"}</v>
      </c>
      <c r="EN391" s="15" t="s">
        <v>1236</v>
      </c>
      <c r="EO391" s="15" t="s">
        <v>1253</v>
      </c>
      <c r="ES391" s="15" t="s">
        <v>995</v>
      </c>
      <c r="EW391" s="15" t="s">
        <v>2638</v>
      </c>
      <c r="EZ391" s="15" t="s">
        <v>1287</v>
      </c>
      <c r="FF391" s="15" t="s">
        <v>1239</v>
      </c>
      <c r="FO391" s="15" t="s">
        <v>1211</v>
      </c>
      <c r="FP391" s="15" t="s">
        <v>1328</v>
      </c>
      <c r="FQ391" s="15">
        <v>0.0</v>
      </c>
      <c r="FR391" s="15">
        <v>0.0</v>
      </c>
      <c r="FT391" s="15">
        <v>0.0</v>
      </c>
      <c r="IL391" s="15" t="s">
        <v>1610</v>
      </c>
    </row>
    <row r="392" ht="15.75" customHeight="1">
      <c r="A392" s="14" t="s">
        <v>391</v>
      </c>
      <c r="B392" s="15" t="s">
        <v>4960</v>
      </c>
      <c r="C392" s="16"/>
      <c r="D392" s="15" t="s">
        <v>432</v>
      </c>
      <c r="G392" s="14" t="s">
        <v>393</v>
      </c>
      <c r="H392" s="14" t="s">
        <v>394</v>
      </c>
      <c r="I392" s="14" t="b">
        <v>1</v>
      </c>
      <c r="J392" s="14" t="s">
        <v>395</v>
      </c>
      <c r="L392" s="14" t="b">
        <v>0</v>
      </c>
      <c r="M392" s="15" t="s">
        <v>4969</v>
      </c>
      <c r="N392" s="14" t="s">
        <v>393</v>
      </c>
      <c r="O392" s="14" t="s">
        <v>393</v>
      </c>
      <c r="P392" s="15" t="s">
        <v>397</v>
      </c>
      <c r="Q392" s="15" t="s">
        <v>4970</v>
      </c>
      <c r="T392" s="14" t="b">
        <v>0</v>
      </c>
      <c r="U392" s="15" t="s">
        <v>4971</v>
      </c>
      <c r="V392" s="15" t="s">
        <v>4963</v>
      </c>
      <c r="W392" s="15" t="s">
        <v>401</v>
      </c>
      <c r="X392" s="15" t="s">
        <v>695</v>
      </c>
      <c r="Y392" s="15">
        <v>1755.0</v>
      </c>
      <c r="AA392" s="15" t="str">
        <f>"675"</f>
        <v>675</v>
      </c>
      <c r="AB392" s="14" t="b">
        <v>1</v>
      </c>
      <c r="AC392" s="14" t="b">
        <v>1</v>
      </c>
      <c r="AD392" s="15" t="str">
        <f>"801542995836"</f>
        <v>801542995836</v>
      </c>
      <c r="AE392" s="15" t="s">
        <v>4972</v>
      </c>
      <c r="AF392" s="14" t="s">
        <v>404</v>
      </c>
      <c r="AG392" s="14" t="s">
        <v>405</v>
      </c>
      <c r="AH392" s="14" t="s">
        <v>406</v>
      </c>
      <c r="AI392" s="15">
        <v>0.0</v>
      </c>
      <c r="AL392" s="15" t="s">
        <v>4973</v>
      </c>
      <c r="AM392" s="15" t="s">
        <v>4614</v>
      </c>
      <c r="AN392" s="15" t="s">
        <v>4615</v>
      </c>
      <c r="AO392" s="15" t="s">
        <v>679</v>
      </c>
      <c r="AP392" s="15" t="s">
        <v>680</v>
      </c>
      <c r="AQ392" s="15" t="s">
        <v>1801</v>
      </c>
      <c r="AR392" s="15" t="s">
        <v>1322</v>
      </c>
      <c r="AS392" s="15" t="s">
        <v>915</v>
      </c>
      <c r="AT392" s="15" t="s">
        <v>4970</v>
      </c>
      <c r="AW392" s="15" t="s">
        <v>706</v>
      </c>
      <c r="AX392" s="15" t="s">
        <v>707</v>
      </c>
      <c r="AY392" s="15" t="s">
        <v>413</v>
      </c>
      <c r="AZ392" s="15" t="b">
        <v>0</v>
      </c>
      <c r="BA392" s="15" t="s">
        <v>413</v>
      </c>
      <c r="BB392" s="15" t="b">
        <v>0</v>
      </c>
      <c r="BC392" s="15" t="s">
        <v>4974</v>
      </c>
      <c r="BD392" s="15" t="s">
        <v>709</v>
      </c>
      <c r="BE392" s="15" t="str">
        <f t="shared" si="661"/>
        <v>1</v>
      </c>
      <c r="BF392" s="15" t="s">
        <v>1208</v>
      </c>
      <c r="BG392" s="15" t="str">
        <f t="shared" si="695"/>
        <v>45.67</v>
      </c>
      <c r="BH392" s="15" t="s">
        <v>683</v>
      </c>
      <c r="BI392" s="15" t="str">
        <f t="shared" si="696"/>
        <v>40.94</v>
      </c>
      <c r="BJ392" s="15" t="s">
        <v>648</v>
      </c>
      <c r="BK392" s="15" t="str">
        <f t="shared" si="697"/>
        <v>33.07</v>
      </c>
      <c r="BL392" s="15" t="s">
        <v>1091</v>
      </c>
      <c r="BM392" s="15" t="str">
        <f t="shared" si="698"/>
        <v>108.03</v>
      </c>
      <c r="BN392" s="15" t="s">
        <v>4967</v>
      </c>
      <c r="BQ392" s="15" t="s">
        <v>444</v>
      </c>
      <c r="BS392" s="15" t="s">
        <v>444</v>
      </c>
      <c r="BU392" s="15" t="s">
        <v>444</v>
      </c>
      <c r="BW392" s="15" t="s">
        <v>444</v>
      </c>
      <c r="BZ392" s="15" t="s">
        <v>444</v>
      </c>
      <c r="CB392" s="15" t="s">
        <v>444</v>
      </c>
      <c r="CD392" s="15" t="s">
        <v>444</v>
      </c>
      <c r="CF392" s="15" t="s">
        <v>444</v>
      </c>
      <c r="CI392" s="15" t="s">
        <v>444</v>
      </c>
      <c r="CK392" s="15" t="s">
        <v>444</v>
      </c>
      <c r="CM392" s="15" t="s">
        <v>444</v>
      </c>
      <c r="CO392" s="15" t="s">
        <v>444</v>
      </c>
      <c r="CP392" s="15" t="str">
        <f t="shared" si="699"/>
        <v>30.69</v>
      </c>
      <c r="CQ392" s="15" t="str">
        <f t="shared" si="700"/>
        <v>0.869</v>
      </c>
      <c r="CR392" s="15" t="s">
        <v>465</v>
      </c>
      <c r="DB392" s="15" t="s">
        <v>2384</v>
      </c>
      <c r="DC392" s="15" t="str">
        <f>IFERROR(__xludf.DUMMYFUNCTION("""COMPUTED_VALUE"""),"{""value"":24.50,""unit"":""in""}")</f>
        <v>{"value":24.50,"unit":"in"}</v>
      </c>
      <c r="DD392" s="15" t="s">
        <v>1161</v>
      </c>
      <c r="DE392" s="15" t="str">
        <f>IFERROR(__xludf.DUMMYFUNCTION("""COMPUTED_VALUE"""),"{""value"":17.00,""unit"":""in""}")</f>
        <v>{"value":17.00,"unit":"in"}</v>
      </c>
      <c r="DG392" s="15" t="str">
        <f>IFERROR(__xludf.DUMMYFUNCTION("""COMPUTED_VALUE"""),"")</f>
        <v/>
      </c>
      <c r="DH392" s="15">
        <v>0.0</v>
      </c>
      <c r="DI392" s="15">
        <v>0.0</v>
      </c>
      <c r="DJ392" s="15" t="s">
        <v>717</v>
      </c>
      <c r="DK392" s="15" t="s">
        <v>855</v>
      </c>
      <c r="DL392" s="15" t="str">
        <f>IFERROR(__xludf.DUMMYFUNCTION("""COMPUTED_VALUE"""),"Clean with solvent-based (dry clean only) products. Do not use water.")</f>
        <v>Clean with solvent-based (dry clean only) products. Do not use water.</v>
      </c>
      <c r="DM392" s="15" t="s">
        <v>856</v>
      </c>
      <c r="DT392" s="15" t="s">
        <v>721</v>
      </c>
      <c r="DU392" s="15" t="s">
        <v>1605</v>
      </c>
      <c r="DV392" s="15">
        <v>0.0</v>
      </c>
      <c r="DZ392" s="15">
        <v>25000.0</v>
      </c>
      <c r="EA392" s="15" t="s">
        <v>990</v>
      </c>
      <c r="ED392" s="15">
        <v>0.0</v>
      </c>
      <c r="EE392" s="15">
        <v>1.0</v>
      </c>
      <c r="EG392" s="15" t="s">
        <v>444</v>
      </c>
      <c r="EH392" s="15" t="s">
        <v>4968</v>
      </c>
      <c r="EI392" s="15">
        <v>0.0</v>
      </c>
      <c r="EJ392" s="15" t="s">
        <v>726</v>
      </c>
      <c r="EK392" s="15" t="s">
        <v>727</v>
      </c>
      <c r="EL392" s="15" t="s">
        <v>1237</v>
      </c>
      <c r="EM392" s="15" t="str">
        <f>IFERROR(__xludf.DUMMYFUNCTION("""COMPUTED_VALUE"""),"{""value"":20.50,""unit"":""in""}")</f>
        <v>{"value":20.50,"unit":"in"}</v>
      </c>
      <c r="EN392" s="15" t="s">
        <v>1236</v>
      </c>
      <c r="EO392" s="15" t="s">
        <v>1253</v>
      </c>
      <c r="ES392" s="15" t="s">
        <v>995</v>
      </c>
      <c r="EW392" s="15" t="s">
        <v>2638</v>
      </c>
      <c r="EZ392" s="15" t="s">
        <v>1287</v>
      </c>
      <c r="FF392" s="15" t="s">
        <v>1239</v>
      </c>
      <c r="FO392" s="15" t="s">
        <v>1211</v>
      </c>
      <c r="FP392" s="15" t="s">
        <v>1328</v>
      </c>
      <c r="FQ392" s="15">
        <v>0.0</v>
      </c>
      <c r="FR392" s="15">
        <v>0.0</v>
      </c>
      <c r="FT392" s="15">
        <v>0.0</v>
      </c>
      <c r="IL392" s="15" t="s">
        <v>1610</v>
      </c>
    </row>
    <row r="393" ht="15.75" customHeight="1">
      <c r="A393" s="14" t="s">
        <v>391</v>
      </c>
      <c r="B393" s="15" t="s">
        <v>4975</v>
      </c>
      <c r="C393" s="16"/>
      <c r="D393" s="15" t="s">
        <v>432</v>
      </c>
      <c r="G393" s="14" t="s">
        <v>393</v>
      </c>
      <c r="H393" s="14" t="s">
        <v>394</v>
      </c>
      <c r="I393" s="14" t="b">
        <v>1</v>
      </c>
      <c r="J393" s="14" t="s">
        <v>395</v>
      </c>
      <c r="L393" s="14" t="b">
        <v>0</v>
      </c>
      <c r="M393" s="15" t="s">
        <v>4976</v>
      </c>
      <c r="N393" s="14" t="s">
        <v>393</v>
      </c>
      <c r="O393" s="14" t="s">
        <v>393</v>
      </c>
      <c r="P393" s="15" t="s">
        <v>397</v>
      </c>
      <c r="Q393" s="15" t="s">
        <v>4977</v>
      </c>
      <c r="T393" s="14" t="b">
        <v>0</v>
      </c>
      <c r="U393" s="15" t="s">
        <v>4978</v>
      </c>
      <c r="V393" s="15" t="s">
        <v>694</v>
      </c>
      <c r="W393" s="15" t="s">
        <v>401</v>
      </c>
      <c r="X393" s="15" t="s">
        <v>742</v>
      </c>
      <c r="Y393" s="15">
        <v>2405.0</v>
      </c>
      <c r="AA393" s="15" t="str">
        <f>"925"</f>
        <v>925</v>
      </c>
      <c r="AB393" s="14" t="b">
        <v>1</v>
      </c>
      <c r="AC393" s="14" t="b">
        <v>1</v>
      </c>
      <c r="AD393" s="15" t="str">
        <f>"801542075484"</f>
        <v>801542075484</v>
      </c>
      <c r="AE393" s="15" t="s">
        <v>4979</v>
      </c>
      <c r="AF393" s="14" t="s">
        <v>404</v>
      </c>
      <c r="AG393" s="14" t="s">
        <v>405</v>
      </c>
      <c r="AH393" s="14" t="s">
        <v>406</v>
      </c>
      <c r="AI393" s="15">
        <v>0.0</v>
      </c>
      <c r="AL393" s="15" t="s">
        <v>4980</v>
      </c>
      <c r="AM393" s="15" t="s">
        <v>2304</v>
      </c>
      <c r="AN393" s="15" t="s">
        <v>2305</v>
      </c>
      <c r="AO393" s="15" t="s">
        <v>3702</v>
      </c>
      <c r="AP393" s="15" t="s">
        <v>3703</v>
      </c>
      <c r="AQ393" s="15" t="s">
        <v>4523</v>
      </c>
      <c r="AR393" s="15" t="s">
        <v>4524</v>
      </c>
      <c r="AS393" s="15" t="s">
        <v>2759</v>
      </c>
      <c r="AT393" s="15" t="s">
        <v>4977</v>
      </c>
      <c r="AW393" s="15" t="s">
        <v>519</v>
      </c>
      <c r="AY393" s="15" t="s">
        <v>413</v>
      </c>
      <c r="AZ393" s="15" t="b">
        <v>0</v>
      </c>
      <c r="BA393" s="15" t="s">
        <v>413</v>
      </c>
      <c r="BB393" s="15" t="b">
        <v>0</v>
      </c>
      <c r="BC393" s="15" t="s">
        <v>4981</v>
      </c>
      <c r="BD393" s="15" t="s">
        <v>742</v>
      </c>
      <c r="BE393" s="15" t="str">
        <f t="shared" si="661"/>
        <v>1</v>
      </c>
      <c r="BF393" s="15" t="s">
        <v>416</v>
      </c>
      <c r="BG393" s="15" t="str">
        <f>"83.07"</f>
        <v>83.07</v>
      </c>
      <c r="BH393" s="15" t="s">
        <v>930</v>
      </c>
      <c r="BI393" s="15" t="str">
        <f>"18.7"</f>
        <v>18.7</v>
      </c>
      <c r="BJ393" s="15" t="s">
        <v>4982</v>
      </c>
      <c r="BK393" s="15" t="str">
        <f>"30.79"</f>
        <v>30.79</v>
      </c>
      <c r="BL393" s="15" t="s">
        <v>4983</v>
      </c>
      <c r="BM393" s="15" t="str">
        <f>"175.49"</f>
        <v>175.49</v>
      </c>
      <c r="BN393" s="15" t="s">
        <v>4984</v>
      </c>
      <c r="BQ393" s="15" t="s">
        <v>444</v>
      </c>
      <c r="BS393" s="15" t="s">
        <v>444</v>
      </c>
      <c r="BU393" s="15" t="s">
        <v>444</v>
      </c>
      <c r="BW393" s="15" t="s">
        <v>444</v>
      </c>
      <c r="BZ393" s="15" t="s">
        <v>444</v>
      </c>
      <c r="CB393" s="15" t="s">
        <v>444</v>
      </c>
      <c r="CD393" s="15" t="s">
        <v>444</v>
      </c>
      <c r="CF393" s="15" t="s">
        <v>444</v>
      </c>
      <c r="CI393" s="15" t="s">
        <v>444</v>
      </c>
      <c r="CK393" s="15" t="s">
        <v>444</v>
      </c>
      <c r="CM393" s="15" t="s">
        <v>444</v>
      </c>
      <c r="CO393" s="15" t="s">
        <v>444</v>
      </c>
      <c r="CP393" s="15" t="str">
        <f>"27.69"</f>
        <v>27.69</v>
      </c>
      <c r="CQ393" s="15" t="str">
        <f>"0.784"</f>
        <v>0.784</v>
      </c>
      <c r="CR393" s="15" t="s">
        <v>497</v>
      </c>
      <c r="CS393" s="15" t="s">
        <v>1430</v>
      </c>
      <c r="CT393" s="15" t="s">
        <v>1042</v>
      </c>
      <c r="CU393" s="15" t="s">
        <v>2159</v>
      </c>
      <c r="CV393" s="15" t="s">
        <v>1430</v>
      </c>
      <c r="CW393" s="15" t="s">
        <v>4985</v>
      </c>
      <c r="CX393" s="15" t="s">
        <v>4180</v>
      </c>
      <c r="DC393" s="15" t="str">
        <f>IFERROR(__xludf.DUMMYFUNCTION("""COMPUTED_VALUE"""),"")</f>
        <v/>
      </c>
      <c r="DE393" s="15" t="str">
        <f>IFERROR(__xludf.DUMMYFUNCTION("""COMPUTED_VALUE"""),"")</f>
        <v/>
      </c>
      <c r="DG393" s="15" t="str">
        <f>IFERROR(__xludf.DUMMYFUNCTION("""COMPUTED_VALUE"""),"")</f>
        <v/>
      </c>
      <c r="DL393" s="15" t="str">
        <f>IFERROR(__xludf.DUMMYFUNCTION("""COMPUTED_VALUE"""),"")</f>
        <v/>
      </c>
      <c r="DM393" s="15" t="s">
        <v>444</v>
      </c>
      <c r="DN393" s="15" t="s">
        <v>419</v>
      </c>
      <c r="DO393" s="15">
        <v>0.0</v>
      </c>
      <c r="DP393" s="15" t="s">
        <v>419</v>
      </c>
      <c r="DR393" s="15">
        <v>6.0</v>
      </c>
      <c r="DS393" s="15" t="s">
        <v>426</v>
      </c>
      <c r="DT393" s="15" t="s">
        <v>1388</v>
      </c>
      <c r="DU393" s="15" t="s">
        <v>1914</v>
      </c>
      <c r="DY393" s="15">
        <v>0.0</v>
      </c>
      <c r="EF393" s="15" t="s">
        <v>471</v>
      </c>
      <c r="EG393" s="15" t="s">
        <v>472</v>
      </c>
      <c r="EH393" s="15" t="s">
        <v>4986</v>
      </c>
      <c r="EJ393" s="15" t="s">
        <v>424</v>
      </c>
      <c r="EK393" s="15" t="s">
        <v>446</v>
      </c>
      <c r="EM393" s="15" t="str">
        <f>IFERROR(__xludf.DUMMYFUNCTION("""COMPUTED_VALUE"""),"")</f>
        <v/>
      </c>
      <c r="EW393" s="15" t="s">
        <v>1957</v>
      </c>
      <c r="EY393" s="15" t="s">
        <v>3927</v>
      </c>
      <c r="FK393" s="15" t="s">
        <v>1042</v>
      </c>
      <c r="FM393" s="15">
        <v>6.0</v>
      </c>
      <c r="FN393" s="15">
        <v>0.0</v>
      </c>
      <c r="FW393" s="15" t="s">
        <v>4987</v>
      </c>
      <c r="GH393" s="15">
        <v>0.0</v>
      </c>
      <c r="GI393" s="15" t="s">
        <v>427</v>
      </c>
      <c r="HA393" s="15" t="s">
        <v>1430</v>
      </c>
      <c r="HB393" s="15" t="s">
        <v>4985</v>
      </c>
      <c r="HC393" s="15" t="s">
        <v>1445</v>
      </c>
      <c r="HQ393" s="15" t="s">
        <v>1430</v>
      </c>
      <c r="HR393" s="15" t="s">
        <v>1430</v>
      </c>
      <c r="HS393" s="15" t="s">
        <v>4985</v>
      </c>
      <c r="HT393" s="15" t="s">
        <v>4985</v>
      </c>
      <c r="HU393" s="15" t="s">
        <v>3129</v>
      </c>
      <c r="HV393" s="15" t="s">
        <v>4988</v>
      </c>
      <c r="KL393" s="15" t="s">
        <v>1430</v>
      </c>
      <c r="KM393" s="15" t="s">
        <v>1042</v>
      </c>
      <c r="KN393" s="15" t="s">
        <v>4180</v>
      </c>
      <c r="KX393" s="15" t="s">
        <v>1430</v>
      </c>
      <c r="KY393" s="15" t="s">
        <v>4985</v>
      </c>
      <c r="KZ393" s="15" t="s">
        <v>3927</v>
      </c>
      <c r="LK393" s="15" t="s">
        <v>1430</v>
      </c>
      <c r="LM393" s="15" t="s">
        <v>4985</v>
      </c>
      <c r="LO393" s="15" t="s">
        <v>2159</v>
      </c>
      <c r="NP393" s="15" t="s">
        <v>1430</v>
      </c>
      <c r="NQ393" s="15" t="s">
        <v>1430</v>
      </c>
      <c r="NR393" s="15" t="s">
        <v>1430</v>
      </c>
      <c r="NS393" s="15" t="s">
        <v>1430</v>
      </c>
      <c r="NT393" s="15" t="s">
        <v>1042</v>
      </c>
      <c r="NU393" s="15" t="s">
        <v>1042</v>
      </c>
      <c r="NV393" s="15" t="s">
        <v>1042</v>
      </c>
      <c r="NW393" s="15" t="s">
        <v>1042</v>
      </c>
      <c r="NX393" s="15" t="s">
        <v>1445</v>
      </c>
      <c r="NY393" s="15" t="s">
        <v>3129</v>
      </c>
      <c r="NZ393" s="15" t="s">
        <v>4988</v>
      </c>
      <c r="OA393" s="15" t="s">
        <v>3927</v>
      </c>
    </row>
    <row r="394" ht="15.75" customHeight="1">
      <c r="A394" s="14" t="s">
        <v>391</v>
      </c>
      <c r="B394" s="15" t="s">
        <v>4989</v>
      </c>
      <c r="C394" s="16"/>
      <c r="D394" s="15" t="s">
        <v>432</v>
      </c>
      <c r="G394" s="14" t="s">
        <v>393</v>
      </c>
      <c r="H394" s="14" t="s">
        <v>394</v>
      </c>
      <c r="I394" s="14" t="b">
        <v>1</v>
      </c>
      <c r="J394" s="14" t="s">
        <v>395</v>
      </c>
      <c r="L394" s="14" t="b">
        <v>0</v>
      </c>
      <c r="M394" s="15" t="s">
        <v>4990</v>
      </c>
      <c r="N394" s="14" t="s">
        <v>393</v>
      </c>
      <c r="O394" s="14" t="s">
        <v>393</v>
      </c>
      <c r="P394" s="15" t="s">
        <v>397</v>
      </c>
      <c r="Q394" s="15" t="s">
        <v>2741</v>
      </c>
      <c r="T394" s="14" t="b">
        <v>0</v>
      </c>
      <c r="U394" s="15" t="s">
        <v>4991</v>
      </c>
      <c r="V394" s="15" t="s">
        <v>4992</v>
      </c>
      <c r="W394" s="15" t="s">
        <v>401</v>
      </c>
      <c r="X394" s="15" t="s">
        <v>695</v>
      </c>
      <c r="Y394" s="15">
        <v>3172.0</v>
      </c>
      <c r="AA394" s="15" t="str">
        <f>"1220"</f>
        <v>1220</v>
      </c>
      <c r="AB394" s="14" t="b">
        <v>1</v>
      </c>
      <c r="AC394" s="14" t="b">
        <v>1</v>
      </c>
      <c r="AD394" s="15" t="str">
        <f>"801542136994"</f>
        <v>801542136994</v>
      </c>
      <c r="AE394" s="15" t="s">
        <v>4993</v>
      </c>
      <c r="AF394" s="14" t="s">
        <v>404</v>
      </c>
      <c r="AG394" s="14" t="s">
        <v>405</v>
      </c>
      <c r="AH394" s="14" t="s">
        <v>406</v>
      </c>
      <c r="AI394" s="15">
        <v>0.0</v>
      </c>
      <c r="AL394" s="15" t="s">
        <v>808</v>
      </c>
      <c r="AM394" s="15" t="s">
        <v>4123</v>
      </c>
      <c r="AN394" s="15" t="s">
        <v>4124</v>
      </c>
      <c r="AO394" s="15" t="s">
        <v>1535</v>
      </c>
      <c r="AP394" s="15" t="s">
        <v>1536</v>
      </c>
      <c r="AQ394" s="15" t="s">
        <v>4994</v>
      </c>
      <c r="AR394" s="15" t="s">
        <v>4995</v>
      </c>
      <c r="AS394" s="15" t="s">
        <v>1474</v>
      </c>
      <c r="AT394" s="15" t="s">
        <v>2741</v>
      </c>
      <c r="AU394" s="15" t="s">
        <v>4996</v>
      </c>
      <c r="AV394" s="15" t="s">
        <v>4997</v>
      </c>
      <c r="AW394" s="15" t="s">
        <v>458</v>
      </c>
      <c r="AX394" s="15" t="s">
        <v>459</v>
      </c>
      <c r="AY394" s="15" t="s">
        <v>413</v>
      </c>
      <c r="AZ394" s="15" t="b">
        <v>0</v>
      </c>
      <c r="BA394" s="15" t="s">
        <v>413</v>
      </c>
      <c r="BB394" s="15" t="b">
        <v>0</v>
      </c>
      <c r="BC394" s="15" t="s">
        <v>4998</v>
      </c>
      <c r="BD394" s="15" t="s">
        <v>709</v>
      </c>
      <c r="BE394" s="15" t="str">
        <f t="shared" si="661"/>
        <v>1</v>
      </c>
      <c r="BF394" s="15" t="s">
        <v>1477</v>
      </c>
      <c r="BG394" s="15" t="str">
        <f>"21.46"</f>
        <v>21.46</v>
      </c>
      <c r="BH394" s="15" t="s">
        <v>1385</v>
      </c>
      <c r="BI394" s="15" t="str">
        <f>"69.29"</f>
        <v>69.29</v>
      </c>
      <c r="BJ394" s="15" t="s">
        <v>4999</v>
      </c>
      <c r="BK394" s="15" t="str">
        <f>"20.47"</f>
        <v>20.47</v>
      </c>
      <c r="BL394" s="15" t="s">
        <v>818</v>
      </c>
      <c r="BM394" s="15" t="str">
        <f>"80.47"</f>
        <v>80.47</v>
      </c>
      <c r="BN394" s="15" t="s">
        <v>3249</v>
      </c>
      <c r="BQ394" s="15" t="s">
        <v>444</v>
      </c>
      <c r="BS394" s="15" t="s">
        <v>444</v>
      </c>
      <c r="BU394" s="15" t="s">
        <v>444</v>
      </c>
      <c r="BW394" s="15" t="s">
        <v>444</v>
      </c>
      <c r="BZ394" s="15" t="s">
        <v>444</v>
      </c>
      <c r="CB394" s="15" t="s">
        <v>444</v>
      </c>
      <c r="CD394" s="15" t="s">
        <v>444</v>
      </c>
      <c r="CF394" s="15" t="s">
        <v>444</v>
      </c>
      <c r="CI394" s="15" t="s">
        <v>444</v>
      </c>
      <c r="CK394" s="15" t="s">
        <v>444</v>
      </c>
      <c r="CM394" s="15" t="s">
        <v>444</v>
      </c>
      <c r="CO394" s="15" t="s">
        <v>444</v>
      </c>
      <c r="CP394" s="15" t="str">
        <f>"14.55"</f>
        <v>14.55</v>
      </c>
      <c r="CQ394" s="15" t="str">
        <f>"0.412"</f>
        <v>0.412</v>
      </c>
      <c r="CR394" s="15" t="s">
        <v>465</v>
      </c>
      <c r="DB394" s="15" t="s">
        <v>1324</v>
      </c>
      <c r="DC394" s="15" t="str">
        <f>IFERROR(__xludf.DUMMYFUNCTION("""COMPUTED_VALUE"""),"{""value"":20.00,""unit"":""in""}")</f>
        <v>{"value":20.00,"unit":"in"}</v>
      </c>
      <c r="DD394" s="15" t="s">
        <v>3775</v>
      </c>
      <c r="DE394" s="15" t="str">
        <f>IFERROR(__xludf.DUMMYFUNCTION("""COMPUTED_VALUE"""),"{""value"":17.60,""unit"":""in""}")</f>
        <v>{"value":17.60,"unit":"in"}</v>
      </c>
      <c r="DF394" s="15" t="s">
        <v>5000</v>
      </c>
      <c r="DG394" s="15" t="str">
        <f>IFERROR(__xludf.DUMMYFUNCTION("""COMPUTED_VALUE"""),"{""value"":56.73,""unit"":""in""}")</f>
        <v>{"value":56.73,"unit":"in"}</v>
      </c>
      <c r="DH394" s="15">
        <v>0.0</v>
      </c>
      <c r="DI394" s="15">
        <v>0.0</v>
      </c>
      <c r="DJ394" s="15" t="s">
        <v>469</v>
      </c>
      <c r="DK394" s="15" t="s">
        <v>718</v>
      </c>
      <c r="DL394" s="15" t="str">
        <f>IFERROR(__xludf.DUMMYFUNCTION("""COMPUTED_VALUE"""),"Vacuum or light brush only. Do not use water or any cleaning products.")</f>
        <v>Vacuum or light brush only. Do not use water or any cleaning products.</v>
      </c>
      <c r="DM394" s="15" t="s">
        <v>719</v>
      </c>
      <c r="DN394" s="15" t="s">
        <v>419</v>
      </c>
      <c r="DO394" s="15">
        <v>0.0</v>
      </c>
      <c r="DP394" s="15" t="s">
        <v>419</v>
      </c>
      <c r="DQ394" s="15" t="s">
        <v>1239</v>
      </c>
      <c r="DR394" s="15">
        <v>0.0</v>
      </c>
      <c r="DT394" s="15" t="s">
        <v>721</v>
      </c>
      <c r="DU394" s="15" t="s">
        <v>419</v>
      </c>
      <c r="DV394" s="15">
        <v>1.0</v>
      </c>
      <c r="DW394" s="15">
        <v>0.0</v>
      </c>
      <c r="DX394" s="15">
        <v>0.0</v>
      </c>
      <c r="DY394" s="15">
        <v>0.0</v>
      </c>
      <c r="DZ394" s="15">
        <v>0.0</v>
      </c>
      <c r="EA394" s="15" t="s">
        <v>5001</v>
      </c>
      <c r="EB394" s="15" t="s">
        <v>1016</v>
      </c>
      <c r="EC394" s="15" t="s">
        <v>724</v>
      </c>
      <c r="ED394" s="15">
        <v>1.0</v>
      </c>
      <c r="EE394" s="15">
        <v>2.0</v>
      </c>
      <c r="EF394" s="15" t="s">
        <v>471</v>
      </c>
      <c r="EG394" s="15" t="s">
        <v>472</v>
      </c>
      <c r="EH394" s="15" t="s">
        <v>5002</v>
      </c>
      <c r="EI394" s="15">
        <v>0.0</v>
      </c>
      <c r="EJ394" s="15" t="s">
        <v>1545</v>
      </c>
      <c r="EK394" s="15" t="s">
        <v>1546</v>
      </c>
      <c r="EM394" s="15" t="str">
        <f>IFERROR(__xludf.DUMMYFUNCTION("""COMPUTED_VALUE"""),"")</f>
        <v/>
      </c>
      <c r="EW394" s="15" t="s">
        <v>4150</v>
      </c>
      <c r="EX394" s="15" t="s">
        <v>5003</v>
      </c>
      <c r="EY394" s="15" t="s">
        <v>5004</v>
      </c>
      <c r="FL394" s="15" t="s">
        <v>426</v>
      </c>
      <c r="JG394" s="15" t="s">
        <v>2841</v>
      </c>
      <c r="JH394" s="15" t="s">
        <v>2841</v>
      </c>
      <c r="JI394" s="15" t="s">
        <v>5005</v>
      </c>
      <c r="JJ394" s="15" t="s">
        <v>2200</v>
      </c>
      <c r="JK394" s="15" t="s">
        <v>426</v>
      </c>
    </row>
    <row r="395" ht="15.75" customHeight="1">
      <c r="A395" s="14" t="s">
        <v>391</v>
      </c>
      <c r="B395" s="15" t="s">
        <v>5006</v>
      </c>
      <c r="C395" s="16"/>
      <c r="D395" s="15" t="s">
        <v>432</v>
      </c>
      <c r="G395" s="14" t="s">
        <v>393</v>
      </c>
      <c r="H395" s="14" t="s">
        <v>394</v>
      </c>
      <c r="I395" s="14" t="b">
        <v>1</v>
      </c>
      <c r="J395" s="14" t="s">
        <v>395</v>
      </c>
      <c r="L395" s="14" t="b">
        <v>0</v>
      </c>
      <c r="M395" s="15" t="s">
        <v>5007</v>
      </c>
      <c r="N395" s="14" t="s">
        <v>393</v>
      </c>
      <c r="O395" s="14" t="s">
        <v>393</v>
      </c>
      <c r="P395" s="15" t="s">
        <v>397</v>
      </c>
      <c r="Q395" s="15" t="s">
        <v>5008</v>
      </c>
      <c r="T395" s="14" t="b">
        <v>0</v>
      </c>
      <c r="U395" s="15" t="s">
        <v>5009</v>
      </c>
      <c r="V395" s="15" t="s">
        <v>5010</v>
      </c>
      <c r="W395" s="15" t="s">
        <v>401</v>
      </c>
      <c r="X395" s="15" t="s">
        <v>742</v>
      </c>
      <c r="Y395" s="15">
        <v>2847.0</v>
      </c>
      <c r="AA395" s="15" t="str">
        <f>"1095"</f>
        <v>1095</v>
      </c>
      <c r="AB395" s="14" t="b">
        <v>1</v>
      </c>
      <c r="AC395" s="14" t="b">
        <v>1</v>
      </c>
      <c r="AD395" s="15" t="str">
        <f>"198394060011"</f>
        <v>198394060011</v>
      </c>
      <c r="AE395" s="15" t="s">
        <v>5011</v>
      </c>
      <c r="AF395" s="14" t="s">
        <v>404</v>
      </c>
      <c r="AG395" s="14" t="s">
        <v>405</v>
      </c>
      <c r="AH395" s="14" t="s">
        <v>406</v>
      </c>
      <c r="AI395" s="15">
        <v>0.0</v>
      </c>
      <c r="AL395" s="15" t="s">
        <v>1025</v>
      </c>
      <c r="AM395" s="15" t="s">
        <v>770</v>
      </c>
      <c r="AN395" s="15" t="s">
        <v>771</v>
      </c>
      <c r="AO395" s="15" t="s">
        <v>409</v>
      </c>
      <c r="AP395" s="15" t="s">
        <v>438</v>
      </c>
      <c r="AQ395" s="15" t="s">
        <v>546</v>
      </c>
      <c r="AR395" s="15" t="s">
        <v>547</v>
      </c>
      <c r="AS395" s="15" t="s">
        <v>2063</v>
      </c>
      <c r="AT395" s="15" t="s">
        <v>5008</v>
      </c>
      <c r="AU395" s="15" t="s">
        <v>5012</v>
      </c>
      <c r="AW395" s="15" t="s">
        <v>664</v>
      </c>
      <c r="AY395" s="15" t="s">
        <v>413</v>
      </c>
      <c r="AZ395" s="15" t="b">
        <v>0</v>
      </c>
      <c r="BA395" s="15" t="s">
        <v>413</v>
      </c>
      <c r="BB395" s="15" t="b">
        <v>0</v>
      </c>
      <c r="BC395" s="15" t="s">
        <v>5013</v>
      </c>
      <c r="BD395" s="15" t="s">
        <v>742</v>
      </c>
      <c r="BE395" s="15" t="str">
        <f t="shared" si="661"/>
        <v>1</v>
      </c>
      <c r="BF395" s="15" t="s">
        <v>5014</v>
      </c>
      <c r="BG395" s="15" t="str">
        <f>"97.56"</f>
        <v>97.56</v>
      </c>
      <c r="BH395" s="15" t="s">
        <v>5015</v>
      </c>
      <c r="BI395" s="15" t="str">
        <f t="shared" ref="BI395:BI397" si="701">"23.54"</f>
        <v>23.54</v>
      </c>
      <c r="BJ395" s="15" t="s">
        <v>5016</v>
      </c>
      <c r="BK395" s="15" t="str">
        <f>"36.3"</f>
        <v>36.3</v>
      </c>
      <c r="BL395" s="15" t="s">
        <v>3125</v>
      </c>
      <c r="BM395" s="15" t="str">
        <f>"273.37"</f>
        <v>273.37</v>
      </c>
      <c r="BN395" s="15" t="s">
        <v>2093</v>
      </c>
      <c r="BQ395" s="15" t="s">
        <v>444</v>
      </c>
      <c r="BS395" s="15" t="s">
        <v>444</v>
      </c>
      <c r="BU395" s="15" t="s">
        <v>444</v>
      </c>
      <c r="BW395" s="15" t="s">
        <v>444</v>
      </c>
      <c r="BZ395" s="15" t="s">
        <v>444</v>
      </c>
      <c r="CB395" s="15" t="s">
        <v>444</v>
      </c>
      <c r="CD395" s="15" t="s">
        <v>444</v>
      </c>
      <c r="CF395" s="15" t="s">
        <v>444</v>
      </c>
      <c r="CI395" s="15" t="s">
        <v>444</v>
      </c>
      <c r="CK395" s="15" t="s">
        <v>444</v>
      </c>
      <c r="CM395" s="15" t="s">
        <v>444</v>
      </c>
      <c r="CO395" s="15" t="s">
        <v>444</v>
      </c>
      <c r="CP395" s="15" t="str">
        <f>"48.24"</f>
        <v>48.24</v>
      </c>
      <c r="CQ395" s="15" t="str">
        <f>"1.366"</f>
        <v>1.366</v>
      </c>
      <c r="CR395" s="15" t="s">
        <v>497</v>
      </c>
      <c r="CV395" s="15" t="s">
        <v>2178</v>
      </c>
      <c r="CW395" s="15" t="s">
        <v>5017</v>
      </c>
      <c r="CX395" s="15" t="s">
        <v>5018</v>
      </c>
      <c r="DC395" s="15" t="str">
        <f>IFERROR(__xludf.DUMMYFUNCTION("""COMPUTED_VALUE"""),"")</f>
        <v/>
      </c>
      <c r="DE395" s="15" t="str">
        <f>IFERROR(__xludf.DUMMYFUNCTION("""COMPUTED_VALUE"""),"")</f>
        <v/>
      </c>
      <c r="DG395" s="15" t="str">
        <f>IFERROR(__xludf.DUMMYFUNCTION("""COMPUTED_VALUE"""),"")</f>
        <v/>
      </c>
      <c r="DL395" s="15" t="str">
        <f>IFERROR(__xludf.DUMMYFUNCTION("""COMPUTED_VALUE"""),"")</f>
        <v/>
      </c>
      <c r="DM395" s="15" t="s">
        <v>444</v>
      </c>
      <c r="DN395" s="15" t="s">
        <v>419</v>
      </c>
      <c r="DO395" s="15">
        <v>0.0</v>
      </c>
      <c r="DP395" s="15" t="s">
        <v>419</v>
      </c>
      <c r="DR395" s="15">
        <v>0.0</v>
      </c>
      <c r="DT395" s="15" t="s">
        <v>1186</v>
      </c>
      <c r="DU395" s="15" t="s">
        <v>610</v>
      </c>
      <c r="DW395" s="15">
        <v>18.14</v>
      </c>
      <c r="DX395" s="15">
        <v>40.0</v>
      </c>
      <c r="DY395" s="15">
        <v>3.0</v>
      </c>
      <c r="EG395" s="15" t="s">
        <v>444</v>
      </c>
      <c r="EH395" s="15" t="s">
        <v>5019</v>
      </c>
      <c r="EJ395" s="15" t="s">
        <v>424</v>
      </c>
      <c r="EK395" s="15" t="s">
        <v>446</v>
      </c>
      <c r="EM395" s="15" t="str">
        <f>IFERROR(__xludf.DUMMYFUNCTION("""COMPUTED_VALUE"""),"")</f>
        <v/>
      </c>
      <c r="EW395" s="15" t="s">
        <v>5020</v>
      </c>
      <c r="FL395" s="15" t="s">
        <v>426</v>
      </c>
      <c r="FM395" s="15">
        <v>3.0</v>
      </c>
      <c r="FY395" s="15" t="s">
        <v>5021</v>
      </c>
      <c r="FZ395" s="15" t="s">
        <v>612</v>
      </c>
      <c r="GA395" s="15" t="s">
        <v>5022</v>
      </c>
      <c r="GB395" s="15" t="s">
        <v>2178</v>
      </c>
      <c r="GC395" s="15" t="s">
        <v>782</v>
      </c>
      <c r="GD395" s="15" t="s">
        <v>5018</v>
      </c>
      <c r="GE395" s="15">
        <v>0.0</v>
      </c>
      <c r="GH395" s="15">
        <v>6.0</v>
      </c>
      <c r="GI395" s="15" t="s">
        <v>614</v>
      </c>
      <c r="GJ395" s="15" t="s">
        <v>615</v>
      </c>
      <c r="GK395" s="15">
        <v>0.0</v>
      </c>
      <c r="GL395" s="15" t="s">
        <v>426</v>
      </c>
      <c r="GN395" s="15" t="s">
        <v>616</v>
      </c>
      <c r="HA395" s="15" t="s">
        <v>2178</v>
      </c>
      <c r="HB395" s="15" t="s">
        <v>5017</v>
      </c>
      <c r="HC395" s="15" t="s">
        <v>5023</v>
      </c>
      <c r="HQ395" s="15" t="s">
        <v>2178</v>
      </c>
      <c r="HS395" s="15" t="s">
        <v>5017</v>
      </c>
      <c r="HU395" s="15" t="s">
        <v>5018</v>
      </c>
      <c r="HW395" s="15" t="s">
        <v>1957</v>
      </c>
      <c r="ID395" s="15" t="s">
        <v>2178</v>
      </c>
      <c r="IE395" s="15" t="s">
        <v>782</v>
      </c>
      <c r="IF395" s="15" t="s">
        <v>5023</v>
      </c>
      <c r="IH395" s="15" t="s">
        <v>426</v>
      </c>
    </row>
    <row r="396" ht="15.75" customHeight="1">
      <c r="A396" s="14" t="s">
        <v>391</v>
      </c>
      <c r="B396" s="15" t="s">
        <v>5024</v>
      </c>
      <c r="C396" s="16"/>
      <c r="D396" s="15" t="s">
        <v>432</v>
      </c>
      <c r="G396" s="14" t="s">
        <v>393</v>
      </c>
      <c r="H396" s="14" t="s">
        <v>394</v>
      </c>
      <c r="I396" s="14" t="b">
        <v>1</v>
      </c>
      <c r="J396" s="14" t="s">
        <v>395</v>
      </c>
      <c r="L396" s="14" t="b">
        <v>0</v>
      </c>
      <c r="M396" s="15" t="s">
        <v>5025</v>
      </c>
      <c r="N396" s="14" t="s">
        <v>393</v>
      </c>
      <c r="O396" s="14" t="s">
        <v>393</v>
      </c>
      <c r="P396" s="15" t="s">
        <v>397</v>
      </c>
      <c r="Q396" s="15" t="s">
        <v>5008</v>
      </c>
      <c r="T396" s="14" t="b">
        <v>0</v>
      </c>
      <c r="U396" s="15" t="s">
        <v>5026</v>
      </c>
      <c r="V396" s="15" t="s">
        <v>5027</v>
      </c>
      <c r="W396" s="15" t="s">
        <v>401</v>
      </c>
      <c r="X396" s="15" t="s">
        <v>742</v>
      </c>
      <c r="Y396" s="15">
        <v>3172.0</v>
      </c>
      <c r="AA396" s="15" t="str">
        <f t="shared" ref="AA396:AA397" si="702">"1220"</f>
        <v>1220</v>
      </c>
      <c r="AB396" s="14" t="b">
        <v>1</v>
      </c>
      <c r="AC396" s="14" t="b">
        <v>1</v>
      </c>
      <c r="AD396" s="15" t="str">
        <f>"198394059428"</f>
        <v>198394059428</v>
      </c>
      <c r="AE396" s="15" t="s">
        <v>5028</v>
      </c>
      <c r="AF396" s="14" t="s">
        <v>404</v>
      </c>
      <c r="AG396" s="14" t="s">
        <v>405</v>
      </c>
      <c r="AH396" s="14" t="s">
        <v>406</v>
      </c>
      <c r="AI396" s="15">
        <v>0.0</v>
      </c>
      <c r="AL396" s="15" t="s">
        <v>1025</v>
      </c>
      <c r="AM396" s="15" t="s">
        <v>1381</v>
      </c>
      <c r="AN396" s="15" t="s">
        <v>1382</v>
      </c>
      <c r="AO396" s="15" t="s">
        <v>409</v>
      </c>
      <c r="AP396" s="15" t="s">
        <v>438</v>
      </c>
      <c r="AQ396" s="15" t="s">
        <v>1276</v>
      </c>
      <c r="AR396" s="15" t="s">
        <v>1277</v>
      </c>
      <c r="AS396" s="15" t="s">
        <v>2063</v>
      </c>
      <c r="AT396" s="15" t="s">
        <v>5008</v>
      </c>
      <c r="AU396" s="15" t="s">
        <v>5012</v>
      </c>
      <c r="AW396" s="15" t="s">
        <v>412</v>
      </c>
      <c r="AY396" s="15" t="s">
        <v>413</v>
      </c>
      <c r="AZ396" s="15" t="b">
        <v>0</v>
      </c>
      <c r="BA396" s="15" t="s">
        <v>413</v>
      </c>
      <c r="BB396" s="15" t="b">
        <v>0</v>
      </c>
      <c r="BC396" s="15" t="s">
        <v>5029</v>
      </c>
      <c r="BD396" s="15" t="s">
        <v>742</v>
      </c>
      <c r="BE396" s="15" t="str">
        <f t="shared" si="661"/>
        <v>1</v>
      </c>
      <c r="BF396" s="15" t="s">
        <v>416</v>
      </c>
      <c r="BG396" s="15" t="str">
        <f t="shared" ref="BG396:BG397" si="703">"88.5"</f>
        <v>88.5</v>
      </c>
      <c r="BH396" s="15" t="s">
        <v>3148</v>
      </c>
      <c r="BI396" s="15" t="str">
        <f t="shared" si="701"/>
        <v>23.54</v>
      </c>
      <c r="BJ396" s="15" t="s">
        <v>5016</v>
      </c>
      <c r="BK396" s="15" t="str">
        <f t="shared" ref="BK396:BK397" si="704">"37.28"</f>
        <v>37.28</v>
      </c>
      <c r="BL396" s="15" t="s">
        <v>5030</v>
      </c>
      <c r="BM396" s="15" t="str">
        <f t="shared" ref="BM396:BM397" si="705">"325.18"</f>
        <v>325.18</v>
      </c>
      <c r="BN396" s="15" t="s">
        <v>5031</v>
      </c>
      <c r="BQ396" s="15" t="s">
        <v>444</v>
      </c>
      <c r="BS396" s="15" t="s">
        <v>444</v>
      </c>
      <c r="BU396" s="15" t="s">
        <v>444</v>
      </c>
      <c r="BW396" s="15" t="s">
        <v>444</v>
      </c>
      <c r="BZ396" s="15" t="s">
        <v>444</v>
      </c>
      <c r="CB396" s="15" t="s">
        <v>444</v>
      </c>
      <c r="CD396" s="15" t="s">
        <v>444</v>
      </c>
      <c r="CF396" s="15" t="s">
        <v>444</v>
      </c>
      <c r="CI396" s="15" t="s">
        <v>444</v>
      </c>
      <c r="CK396" s="15" t="s">
        <v>444</v>
      </c>
      <c r="CM396" s="15" t="s">
        <v>444</v>
      </c>
      <c r="CO396" s="15" t="s">
        <v>444</v>
      </c>
      <c r="CP396" s="15" t="str">
        <f t="shared" ref="CP396:CP397" si="706">"44.96"</f>
        <v>44.96</v>
      </c>
      <c r="CQ396" s="15" t="str">
        <f t="shared" ref="CQ396:CQ397" si="707">"1.273"</f>
        <v>1.273</v>
      </c>
      <c r="CR396" s="15" t="s">
        <v>497</v>
      </c>
      <c r="DC396" s="15" t="str">
        <f>IFERROR(__xludf.DUMMYFUNCTION("""COMPUTED_VALUE"""),"")</f>
        <v/>
      </c>
      <c r="DE396" s="15" t="str">
        <f>IFERROR(__xludf.DUMMYFUNCTION("""COMPUTED_VALUE"""),"")</f>
        <v/>
      </c>
      <c r="DG396" s="15" t="str">
        <f>IFERROR(__xludf.DUMMYFUNCTION("""COMPUTED_VALUE"""),"")</f>
        <v/>
      </c>
      <c r="DL396" s="15" t="str">
        <f>IFERROR(__xludf.DUMMYFUNCTION("""COMPUTED_VALUE"""),"")</f>
        <v/>
      </c>
      <c r="DM396" s="15" t="s">
        <v>444</v>
      </c>
      <c r="DN396" s="15" t="s">
        <v>1371</v>
      </c>
      <c r="DO396" s="15">
        <v>9.0</v>
      </c>
      <c r="DP396" s="15" t="s">
        <v>419</v>
      </c>
      <c r="DR396" s="15">
        <v>0.0</v>
      </c>
      <c r="DT396" s="15" t="s">
        <v>1186</v>
      </c>
      <c r="DU396" s="15" t="s">
        <v>421</v>
      </c>
      <c r="DY396" s="15">
        <v>0.0</v>
      </c>
      <c r="EF396" s="15" t="s">
        <v>422</v>
      </c>
      <c r="EG396" s="15" t="s">
        <v>445</v>
      </c>
      <c r="EH396" s="15" t="s">
        <v>5019</v>
      </c>
      <c r="EJ396" s="15" t="s">
        <v>424</v>
      </c>
      <c r="EK396" s="15" t="s">
        <v>446</v>
      </c>
      <c r="EM396" s="15" t="str">
        <f>IFERROR(__xludf.DUMMYFUNCTION("""COMPUTED_VALUE"""),"")</f>
        <v/>
      </c>
      <c r="EW396" s="15" t="s">
        <v>5032</v>
      </c>
      <c r="FL396" s="15" t="s">
        <v>426</v>
      </c>
      <c r="FM396" s="15">
        <v>0.0</v>
      </c>
      <c r="GH396" s="15">
        <v>0.0</v>
      </c>
      <c r="GI396" s="15" t="s">
        <v>427</v>
      </c>
      <c r="GQ396" s="15" t="s">
        <v>2766</v>
      </c>
      <c r="GS396" s="15" t="s">
        <v>1132</v>
      </c>
      <c r="GU396" s="15" t="s">
        <v>5033</v>
      </c>
      <c r="GW396" s="15" t="s">
        <v>431</v>
      </c>
    </row>
    <row r="397" ht="15.75" customHeight="1">
      <c r="A397" s="14" t="s">
        <v>391</v>
      </c>
      <c r="B397" s="15" t="s">
        <v>5024</v>
      </c>
      <c r="C397" s="16"/>
      <c r="D397" s="15" t="s">
        <v>432</v>
      </c>
      <c r="G397" s="14" t="s">
        <v>393</v>
      </c>
      <c r="H397" s="14" t="s">
        <v>394</v>
      </c>
      <c r="I397" s="14" t="b">
        <v>1</v>
      </c>
      <c r="J397" s="14" t="s">
        <v>395</v>
      </c>
      <c r="L397" s="14" t="b">
        <v>0</v>
      </c>
      <c r="M397" s="15" t="s">
        <v>5034</v>
      </c>
      <c r="N397" s="14" t="s">
        <v>393</v>
      </c>
      <c r="O397" s="14" t="s">
        <v>393</v>
      </c>
      <c r="P397" s="15" t="s">
        <v>397</v>
      </c>
      <c r="Q397" s="15" t="s">
        <v>3217</v>
      </c>
      <c r="T397" s="14" t="b">
        <v>0</v>
      </c>
      <c r="U397" s="15" t="s">
        <v>5035</v>
      </c>
      <c r="V397" s="15" t="s">
        <v>5027</v>
      </c>
      <c r="W397" s="15" t="s">
        <v>401</v>
      </c>
      <c r="X397" s="15" t="s">
        <v>742</v>
      </c>
      <c r="Y397" s="15">
        <v>3172.0</v>
      </c>
      <c r="AA397" s="15" t="str">
        <f t="shared" si="702"/>
        <v>1220</v>
      </c>
      <c r="AB397" s="14" t="b">
        <v>1</v>
      </c>
      <c r="AC397" s="14" t="b">
        <v>1</v>
      </c>
      <c r="AD397" s="15" t="str">
        <f>"801542153175"</f>
        <v>801542153175</v>
      </c>
      <c r="AE397" s="15" t="s">
        <v>5036</v>
      </c>
      <c r="AF397" s="14" t="s">
        <v>404</v>
      </c>
      <c r="AG397" s="14" t="s">
        <v>405</v>
      </c>
      <c r="AH397" s="14" t="s">
        <v>406</v>
      </c>
      <c r="AI397" s="15">
        <v>0.0</v>
      </c>
      <c r="AL397" s="15" t="s">
        <v>1025</v>
      </c>
      <c r="AM397" s="15" t="s">
        <v>1381</v>
      </c>
      <c r="AN397" s="15" t="s">
        <v>1382</v>
      </c>
      <c r="AO397" s="15" t="s">
        <v>409</v>
      </c>
      <c r="AP397" s="15" t="s">
        <v>438</v>
      </c>
      <c r="AQ397" s="15" t="s">
        <v>1276</v>
      </c>
      <c r="AR397" s="15" t="s">
        <v>1277</v>
      </c>
      <c r="AS397" s="15" t="s">
        <v>2063</v>
      </c>
      <c r="AT397" s="15" t="s">
        <v>3217</v>
      </c>
      <c r="AW397" s="15" t="s">
        <v>412</v>
      </c>
      <c r="AY397" s="15" t="s">
        <v>413</v>
      </c>
      <c r="AZ397" s="15" t="b">
        <v>0</v>
      </c>
      <c r="BA397" s="15" t="s">
        <v>413</v>
      </c>
      <c r="BB397" s="15" t="b">
        <v>0</v>
      </c>
      <c r="BC397" s="15" t="s">
        <v>5037</v>
      </c>
      <c r="BD397" s="15" t="s">
        <v>742</v>
      </c>
      <c r="BE397" s="15" t="str">
        <f t="shared" si="661"/>
        <v>1</v>
      </c>
      <c r="BF397" s="15" t="s">
        <v>416</v>
      </c>
      <c r="BG397" s="15" t="str">
        <f t="shared" si="703"/>
        <v>88.5</v>
      </c>
      <c r="BH397" s="15" t="s">
        <v>3148</v>
      </c>
      <c r="BI397" s="15" t="str">
        <f t="shared" si="701"/>
        <v>23.54</v>
      </c>
      <c r="BJ397" s="15" t="s">
        <v>5016</v>
      </c>
      <c r="BK397" s="15" t="str">
        <f t="shared" si="704"/>
        <v>37.28</v>
      </c>
      <c r="BL397" s="15" t="s">
        <v>5030</v>
      </c>
      <c r="BM397" s="15" t="str">
        <f t="shared" si="705"/>
        <v>325.18</v>
      </c>
      <c r="BN397" s="15" t="s">
        <v>5031</v>
      </c>
      <c r="BQ397" s="15" t="s">
        <v>444</v>
      </c>
      <c r="BS397" s="15" t="s">
        <v>444</v>
      </c>
      <c r="BU397" s="15" t="s">
        <v>444</v>
      </c>
      <c r="BW397" s="15" t="s">
        <v>444</v>
      </c>
      <c r="BZ397" s="15" t="s">
        <v>444</v>
      </c>
      <c r="CB397" s="15" t="s">
        <v>444</v>
      </c>
      <c r="CD397" s="15" t="s">
        <v>444</v>
      </c>
      <c r="CF397" s="15" t="s">
        <v>444</v>
      </c>
      <c r="CI397" s="15" t="s">
        <v>444</v>
      </c>
      <c r="CK397" s="15" t="s">
        <v>444</v>
      </c>
      <c r="CM397" s="15" t="s">
        <v>444</v>
      </c>
      <c r="CO397" s="15" t="s">
        <v>444</v>
      </c>
      <c r="CP397" s="15" t="str">
        <f t="shared" si="706"/>
        <v>44.96</v>
      </c>
      <c r="CQ397" s="15" t="str">
        <f t="shared" si="707"/>
        <v>1.273</v>
      </c>
      <c r="CR397" s="15" t="s">
        <v>497</v>
      </c>
      <c r="DC397" s="15" t="str">
        <f>IFERROR(__xludf.DUMMYFUNCTION("""COMPUTED_VALUE"""),"")</f>
        <v/>
      </c>
      <c r="DE397" s="15" t="str">
        <f>IFERROR(__xludf.DUMMYFUNCTION("""COMPUTED_VALUE"""),"")</f>
        <v/>
      </c>
      <c r="DG397" s="15" t="str">
        <f>IFERROR(__xludf.DUMMYFUNCTION("""COMPUTED_VALUE"""),"")</f>
        <v/>
      </c>
      <c r="DL397" s="15" t="str">
        <f>IFERROR(__xludf.DUMMYFUNCTION("""COMPUTED_VALUE"""),"")</f>
        <v/>
      </c>
      <c r="DM397" s="15" t="s">
        <v>444</v>
      </c>
      <c r="DN397" s="15" t="s">
        <v>1371</v>
      </c>
      <c r="DO397" s="15">
        <v>9.0</v>
      </c>
      <c r="DP397" s="15" t="s">
        <v>419</v>
      </c>
      <c r="DR397" s="15">
        <v>0.0</v>
      </c>
      <c r="DT397" s="15" t="s">
        <v>1186</v>
      </c>
      <c r="DU397" s="15" t="s">
        <v>421</v>
      </c>
      <c r="DY397" s="15">
        <v>0.0</v>
      </c>
      <c r="EF397" s="15" t="s">
        <v>422</v>
      </c>
      <c r="EG397" s="15" t="s">
        <v>445</v>
      </c>
      <c r="EH397" s="15" t="s">
        <v>5019</v>
      </c>
      <c r="EJ397" s="15" t="s">
        <v>424</v>
      </c>
      <c r="EK397" s="15" t="s">
        <v>446</v>
      </c>
      <c r="EM397" s="15" t="str">
        <f>IFERROR(__xludf.DUMMYFUNCTION("""COMPUTED_VALUE"""),"")</f>
        <v/>
      </c>
      <c r="EW397" s="15" t="s">
        <v>5032</v>
      </c>
      <c r="FL397" s="15" t="s">
        <v>426</v>
      </c>
      <c r="FM397" s="15">
        <v>0.0</v>
      </c>
      <c r="GH397" s="15">
        <v>0.0</v>
      </c>
      <c r="GI397" s="15" t="s">
        <v>427</v>
      </c>
      <c r="GQ397" s="15" t="s">
        <v>2766</v>
      </c>
      <c r="GS397" s="15" t="s">
        <v>1132</v>
      </c>
      <c r="GU397" s="15" t="s">
        <v>5033</v>
      </c>
      <c r="GW397" s="15" t="s">
        <v>431</v>
      </c>
    </row>
    <row r="398" ht="15.75" customHeight="1">
      <c r="A398" s="14" t="s">
        <v>391</v>
      </c>
      <c r="B398" s="15" t="s">
        <v>5038</v>
      </c>
      <c r="C398" s="16"/>
      <c r="D398" s="15" t="s">
        <v>432</v>
      </c>
      <c r="G398" s="14" t="s">
        <v>393</v>
      </c>
      <c r="H398" s="14" t="s">
        <v>394</v>
      </c>
      <c r="I398" s="14" t="b">
        <v>1</v>
      </c>
      <c r="J398" s="14" t="s">
        <v>395</v>
      </c>
      <c r="L398" s="14" t="b">
        <v>0</v>
      </c>
      <c r="M398" s="15" t="s">
        <v>5039</v>
      </c>
      <c r="N398" s="14" t="s">
        <v>393</v>
      </c>
      <c r="O398" s="14" t="s">
        <v>393</v>
      </c>
      <c r="P398" s="15" t="s">
        <v>397</v>
      </c>
      <c r="Q398" s="15" t="s">
        <v>5040</v>
      </c>
      <c r="R398" s="15" t="s">
        <v>265</v>
      </c>
      <c r="S398" s="15" t="s">
        <v>828</v>
      </c>
      <c r="T398" s="14" t="b">
        <v>0</v>
      </c>
      <c r="U398" s="15" t="s">
        <v>5041</v>
      </c>
      <c r="V398" s="15" t="s">
        <v>5010</v>
      </c>
      <c r="W398" s="15" t="s">
        <v>401</v>
      </c>
      <c r="X398" s="15" t="s">
        <v>742</v>
      </c>
      <c r="Y398" s="15">
        <v>3276.0</v>
      </c>
      <c r="AA398" s="15" t="str">
        <f>"1260"</f>
        <v>1260</v>
      </c>
      <c r="AB398" s="14" t="b">
        <v>1</v>
      </c>
      <c r="AC398" s="14" t="b">
        <v>1</v>
      </c>
      <c r="AD398" s="15" t="str">
        <f>"801542187798"</f>
        <v>801542187798</v>
      </c>
      <c r="AE398" s="15" t="s">
        <v>5042</v>
      </c>
      <c r="AF398" s="14" t="s">
        <v>404</v>
      </c>
      <c r="AG398" s="14" t="s">
        <v>405</v>
      </c>
      <c r="AH398" s="14" t="s">
        <v>406</v>
      </c>
      <c r="AI398" s="15">
        <v>0.0</v>
      </c>
      <c r="AL398" s="15" t="s">
        <v>5043</v>
      </c>
      <c r="AM398" s="15" t="s">
        <v>5044</v>
      </c>
      <c r="AN398" s="15" t="s">
        <v>5045</v>
      </c>
      <c r="AO398" s="15" t="s">
        <v>5046</v>
      </c>
      <c r="AP398" s="15" t="s">
        <v>5047</v>
      </c>
      <c r="AQ398" s="15" t="s">
        <v>5048</v>
      </c>
      <c r="AR398" s="15" t="s">
        <v>4426</v>
      </c>
      <c r="AS398" s="15" t="s">
        <v>2063</v>
      </c>
      <c r="AT398" s="15" t="s">
        <v>2365</v>
      </c>
      <c r="AU398" s="15" t="s">
        <v>5040</v>
      </c>
      <c r="AW398" s="15" t="s">
        <v>839</v>
      </c>
      <c r="AX398" s="15" t="s">
        <v>828</v>
      </c>
      <c r="AY398" s="15" t="s">
        <v>413</v>
      </c>
      <c r="AZ398" s="15" t="b">
        <v>0</v>
      </c>
      <c r="BA398" s="15" t="s">
        <v>413</v>
      </c>
      <c r="BB398" s="15" t="b">
        <v>0</v>
      </c>
      <c r="BC398" s="15" t="s">
        <v>5049</v>
      </c>
      <c r="BD398" s="15" t="s">
        <v>742</v>
      </c>
      <c r="BE398" s="15" t="str">
        <f t="shared" ref="BE398:BE401" si="708">"2"</f>
        <v>2</v>
      </c>
      <c r="BF398" s="15" t="s">
        <v>2455</v>
      </c>
      <c r="BG398" s="15" t="str">
        <f>"85.04"</f>
        <v>85.04</v>
      </c>
      <c r="BH398" s="15" t="s">
        <v>440</v>
      </c>
      <c r="BI398" s="15" t="str">
        <f t="shared" ref="BI398:BI399" si="709">"58.46"</f>
        <v>58.46</v>
      </c>
      <c r="BJ398" s="15" t="s">
        <v>5050</v>
      </c>
      <c r="BK398" s="15" t="str">
        <f>"11.22"</f>
        <v>11.22</v>
      </c>
      <c r="BL398" s="15" t="s">
        <v>848</v>
      </c>
      <c r="BM398" s="15" t="str">
        <f>"152.12"</f>
        <v>152.12</v>
      </c>
      <c r="BN398" s="15" t="s">
        <v>3403</v>
      </c>
      <c r="BO398" s="15" t="s">
        <v>5051</v>
      </c>
      <c r="BP398" s="15" t="str">
        <f>"85.04"</f>
        <v>85.04</v>
      </c>
      <c r="BQ398" s="15" t="s">
        <v>440</v>
      </c>
      <c r="BR398" s="15" t="str">
        <f>"14.57"</f>
        <v>14.57</v>
      </c>
      <c r="BS398" s="15" t="s">
        <v>5052</v>
      </c>
      <c r="BT398" s="15" t="str">
        <f>"11.22"</f>
        <v>11.22</v>
      </c>
      <c r="BU398" s="15" t="s">
        <v>848</v>
      </c>
      <c r="BV398" s="15" t="str">
        <f>"105.82"</f>
        <v>105.82</v>
      </c>
      <c r="BW398" s="15" t="s">
        <v>2961</v>
      </c>
      <c r="BZ398" s="15" t="s">
        <v>444</v>
      </c>
      <c r="CB398" s="15" t="s">
        <v>444</v>
      </c>
      <c r="CD398" s="15" t="s">
        <v>444</v>
      </c>
      <c r="CF398" s="15" t="s">
        <v>444</v>
      </c>
      <c r="CI398" s="15" t="s">
        <v>444</v>
      </c>
      <c r="CK398" s="15" t="s">
        <v>444</v>
      </c>
      <c r="CM398" s="15" t="s">
        <v>444</v>
      </c>
      <c r="CO398" s="15" t="s">
        <v>444</v>
      </c>
      <c r="CP398" s="15" t="str">
        <f>"40.33"</f>
        <v>40.33</v>
      </c>
      <c r="CQ398" s="15" t="str">
        <f>"1.142"</f>
        <v>1.142</v>
      </c>
      <c r="CR398" s="15" t="s">
        <v>497</v>
      </c>
      <c r="DC398" s="15" t="str">
        <f>IFERROR(__xludf.DUMMYFUNCTION("""COMPUTED_VALUE"""),"")</f>
        <v/>
      </c>
      <c r="DE398" s="15" t="str">
        <f>IFERROR(__xludf.DUMMYFUNCTION("""COMPUTED_VALUE"""),"")</f>
        <v/>
      </c>
      <c r="DG398" s="15" t="str">
        <f>IFERROR(__xludf.DUMMYFUNCTION("""COMPUTED_VALUE"""),"")</f>
        <v/>
      </c>
      <c r="DK398" s="15" t="s">
        <v>897</v>
      </c>
      <c r="DL398" s="15" t="str">
        <f>IFERROR(__xludf.DUMMYFUNCTION("""COMPUTED_VALUE"""),"Clean with water-based products only. Use mild detergent or upholstery shampoo.")</f>
        <v>Clean with water-based products only. Use mild detergent or upholstery shampoo.</v>
      </c>
      <c r="DM398" s="15" t="s">
        <v>898</v>
      </c>
      <c r="DN398" s="15" t="s">
        <v>419</v>
      </c>
      <c r="DO398" s="15">
        <v>0.0</v>
      </c>
      <c r="DP398" s="15" t="s">
        <v>419</v>
      </c>
      <c r="DR398" s="15">
        <v>0.0</v>
      </c>
      <c r="DT398" s="15" t="s">
        <v>1186</v>
      </c>
      <c r="DU398" s="15" t="s">
        <v>419</v>
      </c>
      <c r="DW398" s="15">
        <v>0.0</v>
      </c>
      <c r="DX398" s="15">
        <v>0.0</v>
      </c>
      <c r="DY398" s="15">
        <v>0.0</v>
      </c>
      <c r="DZ398" s="15">
        <v>27000.0</v>
      </c>
      <c r="EG398" s="15" t="s">
        <v>444</v>
      </c>
      <c r="EH398" s="15" t="s">
        <v>5019</v>
      </c>
      <c r="EJ398" s="15" t="s">
        <v>858</v>
      </c>
      <c r="EK398" s="15" t="s">
        <v>859</v>
      </c>
      <c r="EM398" s="15" t="str">
        <f>IFERROR(__xludf.DUMMYFUNCTION("""COMPUTED_VALUE"""),"")</f>
        <v/>
      </c>
      <c r="FM398" s="15">
        <v>0.0</v>
      </c>
      <c r="IM398" s="15" t="s">
        <v>5053</v>
      </c>
      <c r="IN398" s="15" t="s">
        <v>761</v>
      </c>
      <c r="IO398" s="15" t="s">
        <v>761</v>
      </c>
      <c r="IP398" s="15" t="s">
        <v>5054</v>
      </c>
      <c r="IQ398" s="15" t="s">
        <v>5055</v>
      </c>
      <c r="IR398" s="15" t="s">
        <v>5056</v>
      </c>
      <c r="IS398" s="15" t="s">
        <v>5057</v>
      </c>
      <c r="IT398" s="15" t="s">
        <v>5055</v>
      </c>
      <c r="IU398" s="15" t="s">
        <v>5056</v>
      </c>
      <c r="IV398" s="15" t="s">
        <v>2971</v>
      </c>
      <c r="IW398" s="15" t="s">
        <v>4685</v>
      </c>
      <c r="IX398" s="15" t="s">
        <v>869</v>
      </c>
      <c r="IY398" s="15" t="s">
        <v>5058</v>
      </c>
      <c r="IZ398" s="15" t="s">
        <v>1117</v>
      </c>
      <c r="JA398" s="15" t="s">
        <v>4572</v>
      </c>
      <c r="JB398" s="15" t="s">
        <v>426</v>
      </c>
      <c r="JC398" s="15" t="s">
        <v>2973</v>
      </c>
      <c r="JD398" s="15" t="s">
        <v>872</v>
      </c>
      <c r="JE398" s="15" t="s">
        <v>873</v>
      </c>
      <c r="JF398" s="15" t="s">
        <v>828</v>
      </c>
      <c r="JL398" s="15" t="s">
        <v>759</v>
      </c>
      <c r="JM398" s="15" t="s">
        <v>5059</v>
      </c>
      <c r="JO398" s="15" t="s">
        <v>426</v>
      </c>
      <c r="JP398" s="15" t="s">
        <v>2474</v>
      </c>
    </row>
    <row r="399" ht="15.75" customHeight="1">
      <c r="A399" s="14" t="s">
        <v>391</v>
      </c>
      <c r="B399" s="15" t="s">
        <v>5038</v>
      </c>
      <c r="C399" s="16"/>
      <c r="D399" s="15" t="s">
        <v>432</v>
      </c>
      <c r="G399" s="14" t="s">
        <v>393</v>
      </c>
      <c r="H399" s="14" t="s">
        <v>394</v>
      </c>
      <c r="I399" s="14" t="b">
        <v>1</v>
      </c>
      <c r="J399" s="14" t="s">
        <v>395</v>
      </c>
      <c r="L399" s="14" t="b">
        <v>0</v>
      </c>
      <c r="M399" s="15" t="s">
        <v>5060</v>
      </c>
      <c r="N399" s="14" t="s">
        <v>393</v>
      </c>
      <c r="O399" s="14" t="s">
        <v>393</v>
      </c>
      <c r="P399" s="15" t="s">
        <v>397</v>
      </c>
      <c r="Q399" s="15" t="s">
        <v>5040</v>
      </c>
      <c r="R399" s="15" t="s">
        <v>265</v>
      </c>
      <c r="S399" s="15" t="s">
        <v>877</v>
      </c>
      <c r="T399" s="14" t="b">
        <v>0</v>
      </c>
      <c r="U399" s="15" t="s">
        <v>5061</v>
      </c>
      <c r="V399" s="15" t="s">
        <v>5062</v>
      </c>
      <c r="W399" s="15" t="s">
        <v>401</v>
      </c>
      <c r="X399" s="15" t="s">
        <v>742</v>
      </c>
      <c r="Y399" s="15">
        <v>2951.0</v>
      </c>
      <c r="AA399" s="15" t="str">
        <f t="shared" ref="AA399:AA400" si="710">"1135"</f>
        <v>1135</v>
      </c>
      <c r="AB399" s="14" t="b">
        <v>1</v>
      </c>
      <c r="AC399" s="14" t="b">
        <v>1</v>
      </c>
      <c r="AD399" s="15" t="str">
        <f>"801542187804"</f>
        <v>801542187804</v>
      </c>
      <c r="AE399" s="15" t="s">
        <v>5063</v>
      </c>
      <c r="AF399" s="14" t="s">
        <v>404</v>
      </c>
      <c r="AG399" s="14" t="s">
        <v>405</v>
      </c>
      <c r="AH399" s="14" t="s">
        <v>406</v>
      </c>
      <c r="AI399" s="15">
        <v>0.0</v>
      </c>
      <c r="AL399" s="15" t="s">
        <v>5043</v>
      </c>
      <c r="AM399" s="15" t="s">
        <v>1224</v>
      </c>
      <c r="AN399" s="15" t="s">
        <v>1225</v>
      </c>
      <c r="AO399" s="15" t="s">
        <v>5046</v>
      </c>
      <c r="AP399" s="15" t="s">
        <v>5047</v>
      </c>
      <c r="AQ399" s="15" t="s">
        <v>5048</v>
      </c>
      <c r="AR399" s="15" t="s">
        <v>4426</v>
      </c>
      <c r="AS399" s="15" t="s">
        <v>2063</v>
      </c>
      <c r="AT399" s="15" t="s">
        <v>2365</v>
      </c>
      <c r="AU399" s="15" t="s">
        <v>5040</v>
      </c>
      <c r="AW399" s="15" t="s">
        <v>839</v>
      </c>
      <c r="AX399" s="15" t="s">
        <v>877</v>
      </c>
      <c r="AY399" s="15" t="s">
        <v>413</v>
      </c>
      <c r="AZ399" s="15" t="b">
        <v>0</v>
      </c>
      <c r="BA399" s="15" t="s">
        <v>413</v>
      </c>
      <c r="BB399" s="15" t="b">
        <v>0</v>
      </c>
      <c r="BC399" s="15" t="s">
        <v>5049</v>
      </c>
      <c r="BD399" s="15" t="s">
        <v>742</v>
      </c>
      <c r="BE399" s="15" t="str">
        <f t="shared" si="708"/>
        <v>2</v>
      </c>
      <c r="BF399" s="15" t="s">
        <v>2455</v>
      </c>
      <c r="BG399" s="15" t="str">
        <f t="shared" ref="BG399:BG400" si="711">"68.9"</f>
        <v>68.9</v>
      </c>
      <c r="BH399" s="15" t="s">
        <v>5064</v>
      </c>
      <c r="BI399" s="15" t="str">
        <f t="shared" si="709"/>
        <v>58.46</v>
      </c>
      <c r="BJ399" s="15" t="s">
        <v>5050</v>
      </c>
      <c r="BK399" s="15" t="str">
        <f>"12.2"</f>
        <v>12.2</v>
      </c>
      <c r="BL399" s="15" t="s">
        <v>4566</v>
      </c>
      <c r="BM399" s="15" t="str">
        <f t="shared" ref="BM399:BM400" si="712">"122.36"</f>
        <v>122.36</v>
      </c>
      <c r="BN399" s="15" t="s">
        <v>5065</v>
      </c>
      <c r="BO399" s="15" t="s">
        <v>5051</v>
      </c>
      <c r="BP399" s="15" t="str">
        <f t="shared" ref="BP399:BP400" si="713">"84.84"</f>
        <v>84.84</v>
      </c>
      <c r="BQ399" s="15" t="s">
        <v>5066</v>
      </c>
      <c r="BR399" s="15" t="str">
        <f t="shared" ref="BR399:BR400" si="714">"13.98"</f>
        <v>13.98</v>
      </c>
      <c r="BS399" s="15" t="s">
        <v>5067</v>
      </c>
      <c r="BT399" s="15" t="str">
        <f t="shared" ref="BT399:BT400" si="715">"12.01"</f>
        <v>12.01</v>
      </c>
      <c r="BU399" s="15" t="s">
        <v>844</v>
      </c>
      <c r="BV399" s="15" t="str">
        <f t="shared" ref="BV399:BV400" si="716">"90.39"</f>
        <v>90.39</v>
      </c>
      <c r="BW399" s="15" t="s">
        <v>1525</v>
      </c>
      <c r="BZ399" s="15" t="s">
        <v>444</v>
      </c>
      <c r="CB399" s="15" t="s">
        <v>444</v>
      </c>
      <c r="CD399" s="15" t="s">
        <v>444</v>
      </c>
      <c r="CF399" s="15" t="s">
        <v>444</v>
      </c>
      <c r="CI399" s="15" t="s">
        <v>444</v>
      </c>
      <c r="CK399" s="15" t="s">
        <v>444</v>
      </c>
      <c r="CM399" s="15" t="s">
        <v>444</v>
      </c>
      <c r="CO399" s="15" t="s">
        <v>444</v>
      </c>
      <c r="CP399" s="15" t="str">
        <f t="shared" ref="CP399:CP400" si="717">"36.69"</f>
        <v>36.69</v>
      </c>
      <c r="CQ399" s="15" t="str">
        <f t="shared" ref="CQ399:CQ400" si="718">"1.039"</f>
        <v>1.039</v>
      </c>
      <c r="CR399" s="15" t="s">
        <v>465</v>
      </c>
      <c r="DC399" s="15" t="str">
        <f>IFERROR(__xludf.DUMMYFUNCTION("""COMPUTED_VALUE"""),"")</f>
        <v/>
      </c>
      <c r="DE399" s="15" t="str">
        <f>IFERROR(__xludf.DUMMYFUNCTION("""COMPUTED_VALUE"""),"")</f>
        <v/>
      </c>
      <c r="DG399" s="15" t="str">
        <f>IFERROR(__xludf.DUMMYFUNCTION("""COMPUTED_VALUE"""),"")</f>
        <v/>
      </c>
      <c r="DK399" s="15" t="s">
        <v>897</v>
      </c>
      <c r="DL399" s="15" t="str">
        <f>IFERROR(__xludf.DUMMYFUNCTION("""COMPUTED_VALUE"""),"Clean with water-based products only. Use mild detergent or upholstery shampoo.")</f>
        <v>Clean with water-based products only. Use mild detergent or upholstery shampoo.</v>
      </c>
      <c r="DM399" s="15" t="s">
        <v>898</v>
      </c>
      <c r="DN399" s="15" t="s">
        <v>419</v>
      </c>
      <c r="DO399" s="15">
        <v>0.0</v>
      </c>
      <c r="DP399" s="15" t="s">
        <v>419</v>
      </c>
      <c r="DR399" s="15">
        <v>0.0</v>
      </c>
      <c r="DT399" s="15" t="s">
        <v>1186</v>
      </c>
      <c r="DU399" s="15" t="s">
        <v>419</v>
      </c>
      <c r="DW399" s="15">
        <v>0.0</v>
      </c>
      <c r="DX399" s="15">
        <v>0.0</v>
      </c>
      <c r="DY399" s="15">
        <v>0.0</v>
      </c>
      <c r="DZ399" s="15">
        <v>27000.0</v>
      </c>
      <c r="EG399" s="15" t="s">
        <v>444</v>
      </c>
      <c r="EH399" s="15" t="s">
        <v>5019</v>
      </c>
      <c r="EJ399" s="15" t="s">
        <v>858</v>
      </c>
      <c r="EK399" s="15" t="s">
        <v>859</v>
      </c>
      <c r="EM399" s="15" t="str">
        <f>IFERROR(__xludf.DUMMYFUNCTION("""COMPUTED_VALUE"""),"")</f>
        <v/>
      </c>
      <c r="FM399" s="15">
        <v>0.0</v>
      </c>
      <c r="IM399" s="15" t="s">
        <v>5053</v>
      </c>
      <c r="IN399" s="15" t="s">
        <v>761</v>
      </c>
      <c r="IO399" s="15" t="s">
        <v>761</v>
      </c>
      <c r="IP399" s="15" t="s">
        <v>5054</v>
      </c>
      <c r="IQ399" s="15" t="s">
        <v>5055</v>
      </c>
      <c r="IR399" s="15" t="s">
        <v>5068</v>
      </c>
      <c r="IS399" s="15" t="s">
        <v>5057</v>
      </c>
      <c r="IT399" s="15" t="s">
        <v>5055</v>
      </c>
      <c r="IU399" s="15" t="s">
        <v>5068</v>
      </c>
      <c r="IV399" s="15" t="s">
        <v>2971</v>
      </c>
      <c r="IW399" s="15" t="s">
        <v>4685</v>
      </c>
      <c r="IX399" s="15" t="s">
        <v>890</v>
      </c>
      <c r="IY399" s="15" t="s">
        <v>5058</v>
      </c>
      <c r="IZ399" s="15" t="s">
        <v>1117</v>
      </c>
      <c r="JA399" s="15" t="s">
        <v>4572</v>
      </c>
      <c r="JB399" s="15" t="s">
        <v>426</v>
      </c>
      <c r="JC399" s="15" t="s">
        <v>2973</v>
      </c>
      <c r="JD399" s="15" t="s">
        <v>872</v>
      </c>
      <c r="JE399" s="15" t="s">
        <v>873</v>
      </c>
      <c r="JF399" s="15" t="s">
        <v>877</v>
      </c>
      <c r="JL399" s="15" t="s">
        <v>759</v>
      </c>
      <c r="JM399" s="15" t="s">
        <v>5059</v>
      </c>
      <c r="JO399" s="15" t="s">
        <v>426</v>
      </c>
      <c r="JP399" s="15" t="s">
        <v>2474</v>
      </c>
    </row>
    <row r="400" ht="15.75" customHeight="1">
      <c r="A400" s="14" t="s">
        <v>391</v>
      </c>
      <c r="B400" s="15" t="s">
        <v>5038</v>
      </c>
      <c r="C400" s="16"/>
      <c r="D400" s="15" t="s">
        <v>432</v>
      </c>
      <c r="G400" s="14" t="s">
        <v>393</v>
      </c>
      <c r="H400" s="14" t="s">
        <v>394</v>
      </c>
      <c r="I400" s="14" t="b">
        <v>1</v>
      </c>
      <c r="J400" s="14" t="s">
        <v>395</v>
      </c>
      <c r="L400" s="14" t="b">
        <v>0</v>
      </c>
      <c r="M400" s="15" t="s">
        <v>5069</v>
      </c>
      <c r="N400" s="14" t="s">
        <v>393</v>
      </c>
      <c r="O400" s="14" t="s">
        <v>393</v>
      </c>
      <c r="P400" s="15" t="s">
        <v>397</v>
      </c>
      <c r="Q400" s="15" t="s">
        <v>5012</v>
      </c>
      <c r="R400" s="15" t="s">
        <v>265</v>
      </c>
      <c r="S400" s="15" t="s">
        <v>877</v>
      </c>
      <c r="T400" s="14" t="b">
        <v>0</v>
      </c>
      <c r="U400" s="15" t="s">
        <v>5070</v>
      </c>
      <c r="V400" s="15" t="s">
        <v>5062</v>
      </c>
      <c r="W400" s="15" t="s">
        <v>401</v>
      </c>
      <c r="X400" s="15" t="s">
        <v>742</v>
      </c>
      <c r="Y400" s="15">
        <v>2951.0</v>
      </c>
      <c r="AA400" s="15" t="str">
        <f t="shared" si="710"/>
        <v>1135</v>
      </c>
      <c r="AB400" s="14" t="b">
        <v>1</v>
      </c>
      <c r="AC400" s="14" t="b">
        <v>1</v>
      </c>
      <c r="AD400" s="15" t="str">
        <f>"198394062220"</f>
        <v>198394062220</v>
      </c>
      <c r="AE400" s="15" t="s">
        <v>5071</v>
      </c>
      <c r="AF400" s="14" t="s">
        <v>404</v>
      </c>
      <c r="AG400" s="14" t="s">
        <v>405</v>
      </c>
      <c r="AH400" s="14" t="s">
        <v>406</v>
      </c>
      <c r="AI400" s="15">
        <v>0.0</v>
      </c>
      <c r="AL400" s="15" t="s">
        <v>5043</v>
      </c>
      <c r="AM400" s="15" t="s">
        <v>1224</v>
      </c>
      <c r="AN400" s="15" t="s">
        <v>1225</v>
      </c>
      <c r="AO400" s="15" t="s">
        <v>5046</v>
      </c>
      <c r="AP400" s="15" t="s">
        <v>5047</v>
      </c>
      <c r="AQ400" s="15" t="s">
        <v>5048</v>
      </c>
      <c r="AR400" s="15" t="s">
        <v>4426</v>
      </c>
      <c r="AS400" s="15" t="s">
        <v>2063</v>
      </c>
      <c r="AT400" s="15" t="s">
        <v>2365</v>
      </c>
      <c r="AU400" s="15" t="s">
        <v>5012</v>
      </c>
      <c r="AW400" s="15" t="s">
        <v>839</v>
      </c>
      <c r="AX400" s="15" t="s">
        <v>877</v>
      </c>
      <c r="AY400" s="15" t="s">
        <v>413</v>
      </c>
      <c r="AZ400" s="15" t="b">
        <v>0</v>
      </c>
      <c r="BA400" s="15" t="s">
        <v>413</v>
      </c>
      <c r="BB400" s="15" t="b">
        <v>0</v>
      </c>
      <c r="BC400" s="15" t="s">
        <v>5072</v>
      </c>
      <c r="BD400" s="15" t="s">
        <v>742</v>
      </c>
      <c r="BE400" s="15" t="str">
        <f t="shared" si="708"/>
        <v>2</v>
      </c>
      <c r="BF400" s="15" t="s">
        <v>2455</v>
      </c>
      <c r="BG400" s="15" t="str">
        <f t="shared" si="711"/>
        <v>68.9</v>
      </c>
      <c r="BH400" s="15" t="s">
        <v>5064</v>
      </c>
      <c r="BI400" s="15" t="str">
        <f>"12.2"</f>
        <v>12.2</v>
      </c>
      <c r="BJ400" s="15" t="s">
        <v>4566</v>
      </c>
      <c r="BK400" s="15" t="str">
        <f t="shared" ref="BK400:BK401" si="719">"58.46"</f>
        <v>58.46</v>
      </c>
      <c r="BL400" s="15" t="s">
        <v>5050</v>
      </c>
      <c r="BM400" s="15" t="str">
        <f t="shared" si="712"/>
        <v>122.36</v>
      </c>
      <c r="BN400" s="15" t="s">
        <v>5065</v>
      </c>
      <c r="BO400" s="15" t="s">
        <v>5051</v>
      </c>
      <c r="BP400" s="15" t="str">
        <f t="shared" si="713"/>
        <v>84.84</v>
      </c>
      <c r="BQ400" s="15" t="s">
        <v>5066</v>
      </c>
      <c r="BR400" s="15" t="str">
        <f t="shared" si="714"/>
        <v>13.98</v>
      </c>
      <c r="BS400" s="15" t="s">
        <v>5067</v>
      </c>
      <c r="BT400" s="15" t="str">
        <f t="shared" si="715"/>
        <v>12.01</v>
      </c>
      <c r="BU400" s="15" t="s">
        <v>844</v>
      </c>
      <c r="BV400" s="15" t="str">
        <f t="shared" si="716"/>
        <v>90.39</v>
      </c>
      <c r="BW400" s="15" t="s">
        <v>1525</v>
      </c>
      <c r="BZ400" s="15" t="s">
        <v>444</v>
      </c>
      <c r="CB400" s="15" t="s">
        <v>444</v>
      </c>
      <c r="CD400" s="15" t="s">
        <v>444</v>
      </c>
      <c r="CF400" s="15" t="s">
        <v>444</v>
      </c>
      <c r="CI400" s="15" t="s">
        <v>444</v>
      </c>
      <c r="CK400" s="15" t="s">
        <v>444</v>
      </c>
      <c r="CM400" s="15" t="s">
        <v>444</v>
      </c>
      <c r="CO400" s="15" t="s">
        <v>444</v>
      </c>
      <c r="CP400" s="15" t="str">
        <f t="shared" si="717"/>
        <v>36.69</v>
      </c>
      <c r="CQ400" s="15" t="str">
        <f t="shared" si="718"/>
        <v>1.039</v>
      </c>
      <c r="CR400" s="15" t="s">
        <v>497</v>
      </c>
      <c r="DC400" s="15" t="str">
        <f>IFERROR(__xludf.DUMMYFUNCTION("""COMPUTED_VALUE"""),"")</f>
        <v/>
      </c>
      <c r="DE400" s="15" t="str">
        <f>IFERROR(__xludf.DUMMYFUNCTION("""COMPUTED_VALUE"""),"")</f>
        <v/>
      </c>
      <c r="DG400" s="15" t="str">
        <f>IFERROR(__xludf.DUMMYFUNCTION("""COMPUTED_VALUE"""),"")</f>
        <v/>
      </c>
      <c r="DK400" s="15" t="s">
        <v>897</v>
      </c>
      <c r="DL400" s="15" t="str">
        <f>IFERROR(__xludf.DUMMYFUNCTION("""COMPUTED_VALUE"""),"Clean with water-based products only. Use mild detergent or upholstery shampoo.")</f>
        <v>Clean with water-based products only. Use mild detergent or upholstery shampoo.</v>
      </c>
      <c r="DM400" s="15" t="s">
        <v>898</v>
      </c>
      <c r="DN400" s="15" t="s">
        <v>419</v>
      </c>
      <c r="DO400" s="15">
        <v>0.0</v>
      </c>
      <c r="DP400" s="15" t="s">
        <v>419</v>
      </c>
      <c r="DR400" s="15">
        <v>0.0</v>
      </c>
      <c r="DT400" s="15" t="s">
        <v>1186</v>
      </c>
      <c r="DU400" s="15" t="s">
        <v>419</v>
      </c>
      <c r="DW400" s="15">
        <v>0.0</v>
      </c>
      <c r="DX400" s="15">
        <v>0.0</v>
      </c>
      <c r="DY400" s="15">
        <v>0.0</v>
      </c>
      <c r="DZ400" s="15">
        <v>27000.0</v>
      </c>
      <c r="EG400" s="15" t="s">
        <v>444</v>
      </c>
      <c r="EH400" s="15" t="s">
        <v>5019</v>
      </c>
      <c r="EJ400" s="15" t="s">
        <v>858</v>
      </c>
      <c r="EK400" s="15" t="s">
        <v>859</v>
      </c>
      <c r="EM400" s="15" t="str">
        <f>IFERROR(__xludf.DUMMYFUNCTION("""COMPUTED_VALUE"""),"")</f>
        <v/>
      </c>
      <c r="FM400" s="15">
        <v>0.0</v>
      </c>
      <c r="IM400" s="15" t="s">
        <v>5053</v>
      </c>
      <c r="IN400" s="15" t="s">
        <v>761</v>
      </c>
      <c r="IO400" s="15" t="s">
        <v>761</v>
      </c>
      <c r="IP400" s="15" t="s">
        <v>5054</v>
      </c>
      <c r="IQ400" s="15" t="s">
        <v>5055</v>
      </c>
      <c r="IR400" s="15" t="s">
        <v>5068</v>
      </c>
      <c r="IS400" s="15" t="s">
        <v>5057</v>
      </c>
      <c r="IT400" s="15" t="s">
        <v>5055</v>
      </c>
      <c r="IU400" s="15" t="s">
        <v>5068</v>
      </c>
      <c r="IV400" s="15" t="s">
        <v>2971</v>
      </c>
      <c r="IW400" s="15" t="s">
        <v>4685</v>
      </c>
      <c r="IX400" s="15" t="s">
        <v>890</v>
      </c>
      <c r="IY400" s="15" t="s">
        <v>5058</v>
      </c>
      <c r="IZ400" s="15" t="s">
        <v>1117</v>
      </c>
      <c r="JA400" s="15" t="s">
        <v>4572</v>
      </c>
      <c r="JB400" s="15" t="s">
        <v>426</v>
      </c>
      <c r="JC400" s="15" t="s">
        <v>2973</v>
      </c>
      <c r="JD400" s="15" t="s">
        <v>872</v>
      </c>
      <c r="JE400" s="15" t="s">
        <v>873</v>
      </c>
      <c r="JF400" s="15" t="s">
        <v>877</v>
      </c>
      <c r="JL400" s="15" t="s">
        <v>759</v>
      </c>
      <c r="JM400" s="15" t="s">
        <v>5059</v>
      </c>
      <c r="JO400" s="15" t="s">
        <v>426</v>
      </c>
      <c r="JP400" s="15" t="s">
        <v>2474</v>
      </c>
    </row>
    <row r="401" ht="15.75" customHeight="1">
      <c r="A401" s="14" t="s">
        <v>391</v>
      </c>
      <c r="B401" s="15" t="s">
        <v>5038</v>
      </c>
      <c r="C401" s="16"/>
      <c r="D401" s="15" t="s">
        <v>432</v>
      </c>
      <c r="G401" s="14" t="s">
        <v>393</v>
      </c>
      <c r="H401" s="14" t="s">
        <v>394</v>
      </c>
      <c r="I401" s="14" t="b">
        <v>1</v>
      </c>
      <c r="J401" s="14" t="s">
        <v>395</v>
      </c>
      <c r="L401" s="14" t="b">
        <v>0</v>
      </c>
      <c r="M401" s="15" t="s">
        <v>5073</v>
      </c>
      <c r="N401" s="14" t="s">
        <v>393</v>
      </c>
      <c r="O401" s="14" t="s">
        <v>393</v>
      </c>
      <c r="P401" s="15" t="s">
        <v>397</v>
      </c>
      <c r="Q401" s="15" t="s">
        <v>5012</v>
      </c>
      <c r="R401" s="15" t="s">
        <v>265</v>
      </c>
      <c r="S401" s="15" t="s">
        <v>828</v>
      </c>
      <c r="T401" s="14" t="b">
        <v>0</v>
      </c>
      <c r="U401" s="15" t="s">
        <v>5074</v>
      </c>
      <c r="V401" s="15" t="s">
        <v>5010</v>
      </c>
      <c r="W401" s="15" t="s">
        <v>401</v>
      </c>
      <c r="X401" s="15" t="s">
        <v>742</v>
      </c>
      <c r="Y401" s="15">
        <v>3276.0</v>
      </c>
      <c r="AA401" s="15" t="str">
        <f>"1260"</f>
        <v>1260</v>
      </c>
      <c r="AB401" s="14" t="b">
        <v>1</v>
      </c>
      <c r="AC401" s="14" t="b">
        <v>1</v>
      </c>
      <c r="AD401" s="15" t="str">
        <f>"198394062237"</f>
        <v>198394062237</v>
      </c>
      <c r="AE401" s="15" t="s">
        <v>5075</v>
      </c>
      <c r="AF401" s="14" t="s">
        <v>404</v>
      </c>
      <c r="AG401" s="14" t="s">
        <v>405</v>
      </c>
      <c r="AH401" s="14" t="s">
        <v>406</v>
      </c>
      <c r="AI401" s="15">
        <v>0.0</v>
      </c>
      <c r="AL401" s="15" t="s">
        <v>5043</v>
      </c>
      <c r="AM401" s="15" t="s">
        <v>5044</v>
      </c>
      <c r="AN401" s="15" t="s">
        <v>5045</v>
      </c>
      <c r="AO401" s="15" t="s">
        <v>5046</v>
      </c>
      <c r="AP401" s="15" t="s">
        <v>5047</v>
      </c>
      <c r="AQ401" s="15" t="s">
        <v>5048</v>
      </c>
      <c r="AR401" s="15" t="s">
        <v>4426</v>
      </c>
      <c r="AS401" s="15" t="s">
        <v>2063</v>
      </c>
      <c r="AT401" s="15" t="s">
        <v>2365</v>
      </c>
      <c r="AU401" s="15" t="s">
        <v>5012</v>
      </c>
      <c r="AW401" s="15" t="s">
        <v>839</v>
      </c>
      <c r="AX401" s="15" t="s">
        <v>828</v>
      </c>
      <c r="AY401" s="15" t="s">
        <v>413</v>
      </c>
      <c r="AZ401" s="15" t="b">
        <v>0</v>
      </c>
      <c r="BA401" s="15" t="s">
        <v>413</v>
      </c>
      <c r="BB401" s="15" t="b">
        <v>0</v>
      </c>
      <c r="BC401" s="15" t="s">
        <v>5072</v>
      </c>
      <c r="BD401" s="15" t="s">
        <v>742</v>
      </c>
      <c r="BE401" s="15" t="str">
        <f t="shared" si="708"/>
        <v>2</v>
      </c>
      <c r="BF401" s="15" t="s">
        <v>2455</v>
      </c>
      <c r="BG401" s="15" t="str">
        <f>"85.04"</f>
        <v>85.04</v>
      </c>
      <c r="BH401" s="15" t="s">
        <v>440</v>
      </c>
      <c r="BI401" s="15" t="str">
        <f>"11.22"</f>
        <v>11.22</v>
      </c>
      <c r="BJ401" s="15" t="s">
        <v>848</v>
      </c>
      <c r="BK401" s="15" t="str">
        <f t="shared" si="719"/>
        <v>58.46</v>
      </c>
      <c r="BL401" s="15" t="s">
        <v>5050</v>
      </c>
      <c r="BM401" s="15" t="str">
        <f>"152.12"</f>
        <v>152.12</v>
      </c>
      <c r="BN401" s="15" t="s">
        <v>3403</v>
      </c>
      <c r="BO401" s="15" t="s">
        <v>5051</v>
      </c>
      <c r="BP401" s="15" t="str">
        <f>"85.04"</f>
        <v>85.04</v>
      </c>
      <c r="BQ401" s="15" t="s">
        <v>440</v>
      </c>
      <c r="BR401" s="15" t="str">
        <f>"14.57"</f>
        <v>14.57</v>
      </c>
      <c r="BS401" s="15" t="s">
        <v>5052</v>
      </c>
      <c r="BT401" s="15" t="str">
        <f>"11.22"</f>
        <v>11.22</v>
      </c>
      <c r="BU401" s="15" t="s">
        <v>848</v>
      </c>
      <c r="BV401" s="15" t="str">
        <f>"105.82"</f>
        <v>105.82</v>
      </c>
      <c r="BW401" s="15" t="s">
        <v>2961</v>
      </c>
      <c r="BZ401" s="15" t="s">
        <v>444</v>
      </c>
      <c r="CB401" s="15" t="s">
        <v>444</v>
      </c>
      <c r="CD401" s="15" t="s">
        <v>444</v>
      </c>
      <c r="CF401" s="15" t="s">
        <v>444</v>
      </c>
      <c r="CI401" s="15" t="s">
        <v>444</v>
      </c>
      <c r="CK401" s="15" t="s">
        <v>444</v>
      </c>
      <c r="CM401" s="15" t="s">
        <v>444</v>
      </c>
      <c r="CO401" s="15" t="s">
        <v>444</v>
      </c>
      <c r="CP401" s="15" t="str">
        <f>"40.33"</f>
        <v>40.33</v>
      </c>
      <c r="CQ401" s="15" t="str">
        <f>"1.142"</f>
        <v>1.142</v>
      </c>
      <c r="CR401" s="15" t="s">
        <v>497</v>
      </c>
      <c r="DC401" s="15" t="str">
        <f>IFERROR(__xludf.DUMMYFUNCTION("""COMPUTED_VALUE"""),"")</f>
        <v/>
      </c>
      <c r="DE401" s="15" t="str">
        <f>IFERROR(__xludf.DUMMYFUNCTION("""COMPUTED_VALUE"""),"")</f>
        <v/>
      </c>
      <c r="DG401" s="15" t="str">
        <f>IFERROR(__xludf.DUMMYFUNCTION("""COMPUTED_VALUE"""),"")</f>
        <v/>
      </c>
      <c r="DK401" s="15" t="s">
        <v>897</v>
      </c>
      <c r="DL401" s="15" t="str">
        <f>IFERROR(__xludf.DUMMYFUNCTION("""COMPUTED_VALUE"""),"Clean with water-based products only. Use mild detergent or upholstery shampoo.")</f>
        <v>Clean with water-based products only. Use mild detergent or upholstery shampoo.</v>
      </c>
      <c r="DM401" s="15" t="s">
        <v>898</v>
      </c>
      <c r="DN401" s="15" t="s">
        <v>419</v>
      </c>
      <c r="DO401" s="15">
        <v>0.0</v>
      </c>
      <c r="DP401" s="15" t="s">
        <v>419</v>
      </c>
      <c r="DR401" s="15">
        <v>0.0</v>
      </c>
      <c r="DT401" s="15" t="s">
        <v>1186</v>
      </c>
      <c r="DU401" s="15" t="s">
        <v>419</v>
      </c>
      <c r="DW401" s="15">
        <v>0.0</v>
      </c>
      <c r="DX401" s="15">
        <v>0.0</v>
      </c>
      <c r="DY401" s="15">
        <v>0.0</v>
      </c>
      <c r="DZ401" s="15">
        <v>27000.0</v>
      </c>
      <c r="EG401" s="15" t="s">
        <v>444</v>
      </c>
      <c r="EH401" s="15" t="s">
        <v>5019</v>
      </c>
      <c r="EJ401" s="15" t="s">
        <v>858</v>
      </c>
      <c r="EK401" s="15" t="s">
        <v>859</v>
      </c>
      <c r="EM401" s="15" t="str">
        <f>IFERROR(__xludf.DUMMYFUNCTION("""COMPUTED_VALUE"""),"")</f>
        <v/>
      </c>
      <c r="FM401" s="15">
        <v>0.0</v>
      </c>
      <c r="IM401" s="15" t="s">
        <v>5053</v>
      </c>
      <c r="IN401" s="15" t="s">
        <v>761</v>
      </c>
      <c r="IO401" s="15" t="s">
        <v>761</v>
      </c>
      <c r="IP401" s="15" t="s">
        <v>5054</v>
      </c>
      <c r="IQ401" s="15" t="s">
        <v>5055</v>
      </c>
      <c r="IR401" s="15" t="s">
        <v>5056</v>
      </c>
      <c r="IS401" s="15" t="s">
        <v>5057</v>
      </c>
      <c r="IT401" s="15" t="s">
        <v>5055</v>
      </c>
      <c r="IU401" s="15" t="s">
        <v>5056</v>
      </c>
      <c r="IV401" s="15" t="s">
        <v>2971</v>
      </c>
      <c r="IW401" s="15" t="s">
        <v>4685</v>
      </c>
      <c r="IX401" s="15" t="s">
        <v>869</v>
      </c>
      <c r="IY401" s="15" t="s">
        <v>5058</v>
      </c>
      <c r="IZ401" s="15" t="s">
        <v>1117</v>
      </c>
      <c r="JA401" s="15" t="s">
        <v>4572</v>
      </c>
      <c r="JB401" s="15" t="s">
        <v>426</v>
      </c>
      <c r="JC401" s="15" t="s">
        <v>2973</v>
      </c>
      <c r="JD401" s="15" t="s">
        <v>872</v>
      </c>
      <c r="JE401" s="15" t="s">
        <v>873</v>
      </c>
      <c r="JF401" s="15" t="s">
        <v>828</v>
      </c>
      <c r="JL401" s="15" t="s">
        <v>759</v>
      </c>
      <c r="JM401" s="15" t="s">
        <v>5059</v>
      </c>
      <c r="JO401" s="15" t="s">
        <v>426</v>
      </c>
      <c r="JP401" s="15" t="s">
        <v>2474</v>
      </c>
    </row>
    <row r="402" ht="15.75" customHeight="1">
      <c r="A402" s="14" t="s">
        <v>391</v>
      </c>
      <c r="B402" s="15" t="s">
        <v>5076</v>
      </c>
      <c r="C402" s="16"/>
      <c r="D402" s="15" t="s">
        <v>432</v>
      </c>
      <c r="G402" s="14" t="s">
        <v>393</v>
      </c>
      <c r="H402" s="14" t="s">
        <v>394</v>
      </c>
      <c r="I402" s="14" t="b">
        <v>1</v>
      </c>
      <c r="J402" s="14" t="s">
        <v>395</v>
      </c>
      <c r="L402" s="14" t="b">
        <v>0</v>
      </c>
      <c r="M402" s="15" t="s">
        <v>5077</v>
      </c>
      <c r="N402" s="14" t="s">
        <v>393</v>
      </c>
      <c r="O402" s="14" t="s">
        <v>393</v>
      </c>
      <c r="P402" s="15" t="s">
        <v>397</v>
      </c>
      <c r="Q402" s="15" t="s">
        <v>5012</v>
      </c>
      <c r="T402" s="14" t="b">
        <v>0</v>
      </c>
      <c r="U402" s="15" t="s">
        <v>5078</v>
      </c>
      <c r="V402" s="15" t="s">
        <v>4540</v>
      </c>
      <c r="W402" s="15" t="s">
        <v>401</v>
      </c>
      <c r="X402" s="15" t="s">
        <v>742</v>
      </c>
      <c r="Y402" s="15">
        <v>2626.0</v>
      </c>
      <c r="AA402" s="15" t="str">
        <f t="shared" ref="AA402:AA403" si="720">"1010"</f>
        <v>1010</v>
      </c>
      <c r="AB402" s="14" t="b">
        <v>1</v>
      </c>
      <c r="AC402" s="14" t="b">
        <v>1</v>
      </c>
      <c r="AD402" s="15" t="str">
        <f>"198394064712"</f>
        <v>198394064712</v>
      </c>
      <c r="AE402" s="15" t="s">
        <v>5079</v>
      </c>
      <c r="AF402" s="14" t="s">
        <v>404</v>
      </c>
      <c r="AG402" s="14" t="s">
        <v>405</v>
      </c>
      <c r="AH402" s="14" t="s">
        <v>406</v>
      </c>
      <c r="AI402" s="15">
        <v>0.0</v>
      </c>
      <c r="AL402" s="15" t="s">
        <v>4874</v>
      </c>
      <c r="AM402" s="15" t="s">
        <v>679</v>
      </c>
      <c r="AN402" s="15" t="s">
        <v>680</v>
      </c>
      <c r="AO402" s="15" t="s">
        <v>809</v>
      </c>
      <c r="AP402" s="15" t="s">
        <v>810</v>
      </c>
      <c r="AQ402" s="15" t="s">
        <v>909</v>
      </c>
      <c r="AR402" s="15" t="s">
        <v>910</v>
      </c>
      <c r="AS402" s="15" t="s">
        <v>2063</v>
      </c>
      <c r="AT402" s="15" t="s">
        <v>5012</v>
      </c>
      <c r="AU402" s="15" t="s">
        <v>5008</v>
      </c>
      <c r="AW402" s="15" t="s">
        <v>1899</v>
      </c>
      <c r="AY402" s="15" t="s">
        <v>413</v>
      </c>
      <c r="AZ402" s="15" t="b">
        <v>0</v>
      </c>
      <c r="BA402" s="15" t="s">
        <v>413</v>
      </c>
      <c r="BB402" s="15" t="b">
        <v>0</v>
      </c>
      <c r="BD402" s="15" t="s">
        <v>742</v>
      </c>
      <c r="BE402" s="15" t="str">
        <f t="shared" ref="BE402:BE408" si="721">"1"</f>
        <v>1</v>
      </c>
      <c r="BF402" s="15" t="s">
        <v>416</v>
      </c>
      <c r="BG402" s="15" t="str">
        <f>"43.31"</f>
        <v>43.31</v>
      </c>
      <c r="BH402" s="15" t="s">
        <v>3446</v>
      </c>
      <c r="BI402" s="15" t="str">
        <f>"22.83"</f>
        <v>22.83</v>
      </c>
      <c r="BJ402" s="15" t="s">
        <v>1543</v>
      </c>
      <c r="BK402" s="15" t="str">
        <f>"90.55"</f>
        <v>90.55</v>
      </c>
      <c r="BL402" s="15" t="s">
        <v>4086</v>
      </c>
      <c r="BM402" s="15" t="str">
        <f t="shared" ref="BM402:BM403" si="722">"194.01"</f>
        <v>194.01</v>
      </c>
      <c r="BN402" s="15" t="s">
        <v>5080</v>
      </c>
      <c r="BQ402" s="15" t="s">
        <v>444</v>
      </c>
      <c r="BS402" s="15" t="s">
        <v>444</v>
      </c>
      <c r="BU402" s="15" t="s">
        <v>444</v>
      </c>
      <c r="BW402" s="15" t="s">
        <v>444</v>
      </c>
      <c r="BZ402" s="15" t="s">
        <v>444</v>
      </c>
      <c r="CB402" s="15" t="s">
        <v>444</v>
      </c>
      <c r="CD402" s="15" t="s">
        <v>444</v>
      </c>
      <c r="CF402" s="15" t="s">
        <v>444</v>
      </c>
      <c r="CI402" s="15" t="s">
        <v>444</v>
      </c>
      <c r="CK402" s="15" t="s">
        <v>444</v>
      </c>
      <c r="CM402" s="15" t="s">
        <v>444</v>
      </c>
      <c r="CO402" s="15" t="s">
        <v>444</v>
      </c>
      <c r="CP402" s="15" t="str">
        <f t="shared" ref="CP402:CP403" si="723">"51.81"</f>
        <v>51.81</v>
      </c>
      <c r="CQ402" s="15" t="str">
        <f t="shared" ref="CQ402:CQ403" si="724">"1.467"</f>
        <v>1.467</v>
      </c>
      <c r="CR402" s="15" t="s">
        <v>497</v>
      </c>
      <c r="CS402" s="15" t="s">
        <v>778</v>
      </c>
      <c r="CT402" s="15" t="s">
        <v>612</v>
      </c>
      <c r="CU402" s="15" t="s">
        <v>986</v>
      </c>
      <c r="CV402" s="15" t="s">
        <v>3781</v>
      </c>
      <c r="CW402" s="15" t="s">
        <v>1324</v>
      </c>
      <c r="CX402" s="15" t="s">
        <v>5081</v>
      </c>
      <c r="DC402" s="15" t="str">
        <f>IFERROR(__xludf.DUMMYFUNCTION("""COMPUTED_VALUE"""),"")</f>
        <v/>
      </c>
      <c r="DE402" s="15" t="str">
        <f>IFERROR(__xludf.DUMMYFUNCTION("""COMPUTED_VALUE"""),"")</f>
        <v/>
      </c>
      <c r="DG402" s="15" t="str">
        <f>IFERROR(__xludf.DUMMYFUNCTION("""COMPUTED_VALUE"""),"")</f>
        <v/>
      </c>
      <c r="DL402" s="15" t="str">
        <f>IFERROR(__xludf.DUMMYFUNCTION("""COMPUTED_VALUE"""),"")</f>
        <v/>
      </c>
      <c r="DM402" s="15" t="s">
        <v>444</v>
      </c>
      <c r="DN402" s="15" t="s">
        <v>419</v>
      </c>
      <c r="DO402" s="15">
        <v>0.0</v>
      </c>
      <c r="DP402" s="15" t="s">
        <v>419</v>
      </c>
      <c r="DR402" s="15">
        <v>3.0</v>
      </c>
      <c r="DS402" s="15" t="s">
        <v>426</v>
      </c>
      <c r="DT402" s="15" t="s">
        <v>1186</v>
      </c>
      <c r="DU402" s="15" t="s">
        <v>610</v>
      </c>
      <c r="DW402" s="15">
        <v>18.14</v>
      </c>
      <c r="DX402" s="15">
        <v>40.0</v>
      </c>
      <c r="DY402" s="15">
        <v>1.0</v>
      </c>
      <c r="EF402" s="15" t="s">
        <v>1906</v>
      </c>
      <c r="EG402" s="15" t="s">
        <v>1907</v>
      </c>
      <c r="EH402" s="15" t="s">
        <v>5019</v>
      </c>
      <c r="EK402" s="15" t="s">
        <v>444</v>
      </c>
      <c r="EM402" s="15" t="str">
        <f>IFERROR(__xludf.DUMMYFUNCTION("""COMPUTED_VALUE"""),"")</f>
        <v/>
      </c>
      <c r="EW402" s="15" t="s">
        <v>3954</v>
      </c>
      <c r="FL402" s="15" t="s">
        <v>426</v>
      </c>
      <c r="FM402" s="15">
        <v>5.0</v>
      </c>
      <c r="FY402" s="15" t="s">
        <v>5082</v>
      </c>
      <c r="FZ402" s="15" t="s">
        <v>612</v>
      </c>
      <c r="GA402" s="15" t="s">
        <v>5083</v>
      </c>
      <c r="GB402" s="15" t="s">
        <v>3781</v>
      </c>
      <c r="GC402" s="15" t="s">
        <v>2046</v>
      </c>
      <c r="GD402" s="15" t="s">
        <v>5081</v>
      </c>
      <c r="GH402" s="15">
        <v>2.0</v>
      </c>
      <c r="GI402" s="15" t="s">
        <v>614</v>
      </c>
      <c r="GJ402" s="15" t="s">
        <v>615</v>
      </c>
      <c r="GL402" s="15" t="s">
        <v>426</v>
      </c>
      <c r="GN402" s="15" t="s">
        <v>616</v>
      </c>
      <c r="HA402" s="15" t="s">
        <v>778</v>
      </c>
      <c r="HB402" s="15" t="s">
        <v>760</v>
      </c>
      <c r="HC402" s="15" t="s">
        <v>986</v>
      </c>
      <c r="HQ402" s="15" t="s">
        <v>778</v>
      </c>
      <c r="HR402" s="15" t="s">
        <v>778</v>
      </c>
      <c r="HS402" s="15" t="s">
        <v>760</v>
      </c>
      <c r="HT402" s="15" t="s">
        <v>760</v>
      </c>
      <c r="HU402" s="15" t="s">
        <v>986</v>
      </c>
      <c r="HV402" s="15" t="s">
        <v>986</v>
      </c>
      <c r="HW402" s="15" t="s">
        <v>1957</v>
      </c>
      <c r="IH402" s="15" t="s">
        <v>426</v>
      </c>
      <c r="KX402" s="15" t="s">
        <v>778</v>
      </c>
      <c r="KY402" s="15" t="s">
        <v>760</v>
      </c>
      <c r="KZ402" s="15" t="s">
        <v>986</v>
      </c>
    </row>
    <row r="403" ht="15.75" customHeight="1">
      <c r="A403" s="14" t="s">
        <v>391</v>
      </c>
      <c r="B403" s="15" t="s">
        <v>5076</v>
      </c>
      <c r="C403" s="16"/>
      <c r="D403" s="15" t="s">
        <v>432</v>
      </c>
      <c r="G403" s="14" t="s">
        <v>393</v>
      </c>
      <c r="H403" s="14" t="s">
        <v>394</v>
      </c>
      <c r="I403" s="14" t="b">
        <v>1</v>
      </c>
      <c r="J403" s="14" t="s">
        <v>395</v>
      </c>
      <c r="L403" s="14" t="b">
        <v>0</v>
      </c>
      <c r="M403" s="15" t="s">
        <v>5084</v>
      </c>
      <c r="N403" s="14" t="s">
        <v>393</v>
      </c>
      <c r="O403" s="14" t="s">
        <v>393</v>
      </c>
      <c r="P403" s="15" t="s">
        <v>397</v>
      </c>
      <c r="Q403" s="15" t="s">
        <v>5040</v>
      </c>
      <c r="T403" s="14" t="b">
        <v>0</v>
      </c>
      <c r="U403" s="15" t="s">
        <v>5085</v>
      </c>
      <c r="V403" s="15" t="s">
        <v>4540</v>
      </c>
      <c r="W403" s="15" t="s">
        <v>401</v>
      </c>
      <c r="X403" s="15" t="s">
        <v>742</v>
      </c>
      <c r="Y403" s="15">
        <v>2626.0</v>
      </c>
      <c r="AA403" s="15" t="str">
        <f t="shared" si="720"/>
        <v>1010</v>
      </c>
      <c r="AB403" s="14" t="b">
        <v>1</v>
      </c>
      <c r="AC403" s="14" t="b">
        <v>1</v>
      </c>
      <c r="AD403" s="15" t="str">
        <f>"801542134280"</f>
        <v>801542134280</v>
      </c>
      <c r="AE403" s="15" t="s">
        <v>5086</v>
      </c>
      <c r="AF403" s="14" t="s">
        <v>404</v>
      </c>
      <c r="AG403" s="14" t="s">
        <v>405</v>
      </c>
      <c r="AH403" s="14" t="s">
        <v>406</v>
      </c>
      <c r="AI403" s="15">
        <v>0.0</v>
      </c>
      <c r="AL403" s="15" t="s">
        <v>4874</v>
      </c>
      <c r="AM403" s="15" t="s">
        <v>679</v>
      </c>
      <c r="AN403" s="15" t="s">
        <v>680</v>
      </c>
      <c r="AO403" s="15" t="s">
        <v>809</v>
      </c>
      <c r="AP403" s="15" t="s">
        <v>810</v>
      </c>
      <c r="AQ403" s="15" t="s">
        <v>909</v>
      </c>
      <c r="AR403" s="15" t="s">
        <v>910</v>
      </c>
      <c r="AS403" s="15" t="s">
        <v>2063</v>
      </c>
      <c r="AT403" s="15" t="s">
        <v>5040</v>
      </c>
      <c r="AU403" s="15" t="s">
        <v>3217</v>
      </c>
      <c r="AW403" s="15" t="s">
        <v>1899</v>
      </c>
      <c r="AY403" s="15" t="s">
        <v>413</v>
      </c>
      <c r="AZ403" s="15" t="b">
        <v>0</v>
      </c>
      <c r="BA403" s="15" t="s">
        <v>413</v>
      </c>
      <c r="BB403" s="15" t="b">
        <v>0</v>
      </c>
      <c r="BC403" s="15" t="s">
        <v>5087</v>
      </c>
      <c r="BD403" s="15" t="s">
        <v>742</v>
      </c>
      <c r="BE403" s="15" t="str">
        <f t="shared" si="721"/>
        <v>1</v>
      </c>
      <c r="BF403" s="15" t="s">
        <v>416</v>
      </c>
      <c r="BG403" s="15" t="str">
        <f>"90.55"</f>
        <v>90.55</v>
      </c>
      <c r="BH403" s="15" t="s">
        <v>4086</v>
      </c>
      <c r="BI403" s="15" t="str">
        <f>"43.31"</f>
        <v>43.31</v>
      </c>
      <c r="BJ403" s="15" t="s">
        <v>3446</v>
      </c>
      <c r="BK403" s="15" t="str">
        <f>"22.83"</f>
        <v>22.83</v>
      </c>
      <c r="BL403" s="15" t="s">
        <v>1543</v>
      </c>
      <c r="BM403" s="15" t="str">
        <f t="shared" si="722"/>
        <v>194.01</v>
      </c>
      <c r="BN403" s="15" t="s">
        <v>5080</v>
      </c>
      <c r="BQ403" s="15" t="s">
        <v>444</v>
      </c>
      <c r="BS403" s="15" t="s">
        <v>444</v>
      </c>
      <c r="BU403" s="15" t="s">
        <v>444</v>
      </c>
      <c r="BW403" s="15" t="s">
        <v>444</v>
      </c>
      <c r="BZ403" s="15" t="s">
        <v>444</v>
      </c>
      <c r="CB403" s="15" t="s">
        <v>444</v>
      </c>
      <c r="CD403" s="15" t="s">
        <v>444</v>
      </c>
      <c r="CF403" s="15" t="s">
        <v>444</v>
      </c>
      <c r="CI403" s="15" t="s">
        <v>444</v>
      </c>
      <c r="CK403" s="15" t="s">
        <v>444</v>
      </c>
      <c r="CM403" s="15" t="s">
        <v>444</v>
      </c>
      <c r="CO403" s="15" t="s">
        <v>444</v>
      </c>
      <c r="CP403" s="15" t="str">
        <f t="shared" si="723"/>
        <v>51.81</v>
      </c>
      <c r="CQ403" s="15" t="str">
        <f t="shared" si="724"/>
        <v>1.467</v>
      </c>
      <c r="CR403" s="15" t="s">
        <v>465</v>
      </c>
      <c r="CS403" s="15" t="s">
        <v>778</v>
      </c>
      <c r="CT403" s="15" t="s">
        <v>612</v>
      </c>
      <c r="CU403" s="15" t="s">
        <v>986</v>
      </c>
      <c r="CV403" s="15" t="s">
        <v>3781</v>
      </c>
      <c r="CW403" s="15" t="s">
        <v>1324</v>
      </c>
      <c r="CX403" s="15" t="s">
        <v>5081</v>
      </c>
      <c r="DC403" s="15" t="str">
        <f>IFERROR(__xludf.DUMMYFUNCTION("""COMPUTED_VALUE"""),"")</f>
        <v/>
      </c>
      <c r="DE403" s="15" t="str">
        <f>IFERROR(__xludf.DUMMYFUNCTION("""COMPUTED_VALUE"""),"")</f>
        <v/>
      </c>
      <c r="DG403" s="15" t="str">
        <f>IFERROR(__xludf.DUMMYFUNCTION("""COMPUTED_VALUE"""),"")</f>
        <v/>
      </c>
      <c r="DL403" s="15" t="str">
        <f>IFERROR(__xludf.DUMMYFUNCTION("""COMPUTED_VALUE"""),"")</f>
        <v/>
      </c>
      <c r="DM403" s="15" t="s">
        <v>444</v>
      </c>
      <c r="DN403" s="15" t="s">
        <v>419</v>
      </c>
      <c r="DO403" s="15">
        <v>0.0</v>
      </c>
      <c r="DP403" s="15" t="s">
        <v>419</v>
      </c>
      <c r="DR403" s="15">
        <v>3.0</v>
      </c>
      <c r="DS403" s="15" t="s">
        <v>426</v>
      </c>
      <c r="DT403" s="15" t="s">
        <v>1186</v>
      </c>
      <c r="DU403" s="15" t="s">
        <v>610</v>
      </c>
      <c r="DW403" s="15">
        <v>18.14</v>
      </c>
      <c r="DX403" s="15">
        <v>40.0</v>
      </c>
      <c r="DY403" s="15">
        <v>1.0</v>
      </c>
      <c r="EF403" s="15" t="s">
        <v>1906</v>
      </c>
      <c r="EG403" s="15" t="s">
        <v>1907</v>
      </c>
      <c r="EH403" s="15" t="s">
        <v>5019</v>
      </c>
      <c r="EK403" s="15" t="s">
        <v>444</v>
      </c>
      <c r="EM403" s="15" t="str">
        <f>IFERROR(__xludf.DUMMYFUNCTION("""COMPUTED_VALUE"""),"")</f>
        <v/>
      </c>
      <c r="EW403" s="15" t="s">
        <v>3954</v>
      </c>
      <c r="FL403" s="15" t="s">
        <v>426</v>
      </c>
      <c r="FM403" s="15">
        <v>5.0</v>
      </c>
      <c r="FY403" s="15" t="s">
        <v>5082</v>
      </c>
      <c r="FZ403" s="15" t="s">
        <v>612</v>
      </c>
      <c r="GA403" s="15" t="s">
        <v>5083</v>
      </c>
      <c r="GB403" s="15" t="s">
        <v>3781</v>
      </c>
      <c r="GC403" s="15" t="s">
        <v>2046</v>
      </c>
      <c r="GD403" s="15" t="s">
        <v>5081</v>
      </c>
      <c r="GH403" s="15">
        <v>2.0</v>
      </c>
      <c r="GI403" s="15" t="s">
        <v>614</v>
      </c>
      <c r="GJ403" s="15" t="s">
        <v>615</v>
      </c>
      <c r="GL403" s="15" t="s">
        <v>426</v>
      </c>
      <c r="GN403" s="15" t="s">
        <v>616</v>
      </c>
      <c r="HA403" s="15" t="s">
        <v>778</v>
      </c>
      <c r="HB403" s="15" t="s">
        <v>760</v>
      </c>
      <c r="HC403" s="15" t="s">
        <v>986</v>
      </c>
      <c r="HQ403" s="15" t="s">
        <v>778</v>
      </c>
      <c r="HR403" s="15" t="s">
        <v>778</v>
      </c>
      <c r="HS403" s="15" t="s">
        <v>760</v>
      </c>
      <c r="HT403" s="15" t="s">
        <v>760</v>
      </c>
      <c r="HU403" s="15" t="s">
        <v>986</v>
      </c>
      <c r="HV403" s="15" t="s">
        <v>986</v>
      </c>
      <c r="HW403" s="15" t="s">
        <v>1957</v>
      </c>
      <c r="IH403" s="15" t="s">
        <v>426</v>
      </c>
      <c r="KX403" s="15" t="s">
        <v>778</v>
      </c>
      <c r="KY403" s="15" t="s">
        <v>760</v>
      </c>
      <c r="KZ403" s="15" t="s">
        <v>986</v>
      </c>
    </row>
    <row r="404" ht="15.75" customHeight="1">
      <c r="A404" s="14" t="s">
        <v>391</v>
      </c>
      <c r="B404" s="15" t="s">
        <v>5088</v>
      </c>
      <c r="C404" s="16"/>
      <c r="D404" s="15" t="s">
        <v>432</v>
      </c>
      <c r="G404" s="14" t="s">
        <v>393</v>
      </c>
      <c r="H404" s="14" t="s">
        <v>394</v>
      </c>
      <c r="I404" s="14" t="b">
        <v>1</v>
      </c>
      <c r="J404" s="14" t="s">
        <v>395</v>
      </c>
      <c r="L404" s="14" t="b">
        <v>0</v>
      </c>
      <c r="M404" s="15" t="s">
        <v>5089</v>
      </c>
      <c r="N404" s="14" t="s">
        <v>393</v>
      </c>
      <c r="O404" s="14" t="s">
        <v>393</v>
      </c>
      <c r="P404" s="15" t="s">
        <v>397</v>
      </c>
      <c r="Q404" s="15" t="s">
        <v>5040</v>
      </c>
      <c r="T404" s="14" t="b">
        <v>0</v>
      </c>
      <c r="U404" s="15" t="s">
        <v>5090</v>
      </c>
      <c r="V404" s="15" t="s">
        <v>5091</v>
      </c>
      <c r="W404" s="15" t="s">
        <v>401</v>
      </c>
      <c r="X404" s="15" t="s">
        <v>742</v>
      </c>
      <c r="Y404" s="15">
        <v>1430.0</v>
      </c>
      <c r="AA404" s="15" t="str">
        <f>"550"</f>
        <v>550</v>
      </c>
      <c r="AB404" s="14" t="b">
        <v>1</v>
      </c>
      <c r="AC404" s="14" t="b">
        <v>1</v>
      </c>
      <c r="AD404" s="15" t="str">
        <f>"801542153182"</f>
        <v>801542153182</v>
      </c>
      <c r="AE404" s="15" t="s">
        <v>5092</v>
      </c>
      <c r="AF404" s="14" t="s">
        <v>404</v>
      </c>
      <c r="AG404" s="14" t="s">
        <v>405</v>
      </c>
      <c r="AH404" s="14" t="s">
        <v>406</v>
      </c>
      <c r="AI404" s="15">
        <v>0.0</v>
      </c>
      <c r="AL404" s="15" t="s">
        <v>4874</v>
      </c>
      <c r="AM404" s="15" t="s">
        <v>487</v>
      </c>
      <c r="AN404" s="15" t="s">
        <v>488</v>
      </c>
      <c r="AO404" s="15" t="s">
        <v>1276</v>
      </c>
      <c r="AP404" s="15" t="s">
        <v>1277</v>
      </c>
      <c r="AQ404" s="15" t="s">
        <v>1152</v>
      </c>
      <c r="AR404" s="15" t="s">
        <v>1153</v>
      </c>
      <c r="AS404" s="15" t="s">
        <v>2063</v>
      </c>
      <c r="AT404" s="15" t="s">
        <v>5040</v>
      </c>
      <c r="AU404" s="15" t="s">
        <v>3217</v>
      </c>
      <c r="AW404" s="15" t="s">
        <v>491</v>
      </c>
      <c r="AY404" s="15" t="s">
        <v>413</v>
      </c>
      <c r="AZ404" s="15" t="b">
        <v>0</v>
      </c>
      <c r="BA404" s="15" t="s">
        <v>413</v>
      </c>
      <c r="BB404" s="15" t="b">
        <v>0</v>
      </c>
      <c r="BC404" s="15" t="s">
        <v>5093</v>
      </c>
      <c r="BD404" s="15" t="s">
        <v>742</v>
      </c>
      <c r="BE404" s="15" t="str">
        <f t="shared" si="721"/>
        <v>1</v>
      </c>
      <c r="BF404" s="15" t="s">
        <v>5088</v>
      </c>
      <c r="BG404" s="15" t="str">
        <f>"58.66"</f>
        <v>58.66</v>
      </c>
      <c r="BH404" s="15" t="s">
        <v>5094</v>
      </c>
      <c r="BI404" s="15" t="str">
        <f>"34.45"</f>
        <v>34.45</v>
      </c>
      <c r="BJ404" s="15" t="s">
        <v>843</v>
      </c>
      <c r="BK404" s="15" t="str">
        <f>"24.21"</f>
        <v>24.21</v>
      </c>
      <c r="BL404" s="15" t="s">
        <v>463</v>
      </c>
      <c r="BM404" s="15" t="str">
        <f>"98.11"</f>
        <v>98.11</v>
      </c>
      <c r="BN404" s="15" t="s">
        <v>2804</v>
      </c>
      <c r="BQ404" s="15" t="s">
        <v>444</v>
      </c>
      <c r="BS404" s="15" t="s">
        <v>444</v>
      </c>
      <c r="BU404" s="15" t="s">
        <v>444</v>
      </c>
      <c r="BW404" s="15" t="s">
        <v>444</v>
      </c>
      <c r="BZ404" s="15" t="s">
        <v>444</v>
      </c>
      <c r="CB404" s="15" t="s">
        <v>444</v>
      </c>
      <c r="CD404" s="15" t="s">
        <v>444</v>
      </c>
      <c r="CF404" s="15" t="s">
        <v>444</v>
      </c>
      <c r="CI404" s="15" t="s">
        <v>444</v>
      </c>
      <c r="CK404" s="15" t="s">
        <v>444</v>
      </c>
      <c r="CM404" s="15" t="s">
        <v>444</v>
      </c>
      <c r="CO404" s="15" t="s">
        <v>444</v>
      </c>
      <c r="CP404" s="15" t="str">
        <f>"28.32"</f>
        <v>28.32</v>
      </c>
      <c r="CQ404" s="15" t="str">
        <f>"0.802"</f>
        <v>0.802</v>
      </c>
      <c r="CR404" s="15" t="s">
        <v>497</v>
      </c>
      <c r="DC404" s="15" t="str">
        <f>IFERROR(__xludf.DUMMYFUNCTION("""COMPUTED_VALUE"""),"")</f>
        <v/>
      </c>
      <c r="DE404" s="15" t="str">
        <f>IFERROR(__xludf.DUMMYFUNCTION("""COMPUTED_VALUE"""),"")</f>
        <v/>
      </c>
      <c r="DG404" s="15" t="str">
        <f>IFERROR(__xludf.DUMMYFUNCTION("""COMPUTED_VALUE"""),"")</f>
        <v/>
      </c>
      <c r="DL404" s="15" t="str">
        <f>IFERROR(__xludf.DUMMYFUNCTION("""COMPUTED_VALUE"""),"")</f>
        <v/>
      </c>
      <c r="DM404" s="15" t="s">
        <v>444</v>
      </c>
      <c r="DN404" s="15" t="s">
        <v>419</v>
      </c>
      <c r="DO404" s="15">
        <v>0.0</v>
      </c>
      <c r="DP404" s="15" t="s">
        <v>419</v>
      </c>
      <c r="DR404" s="15">
        <v>0.0</v>
      </c>
      <c r="DT404" s="15" t="s">
        <v>1186</v>
      </c>
      <c r="DU404" s="15" t="s">
        <v>419</v>
      </c>
      <c r="DY404" s="15">
        <v>0.0</v>
      </c>
      <c r="EF404" s="15" t="s">
        <v>471</v>
      </c>
      <c r="EG404" s="15" t="s">
        <v>472</v>
      </c>
      <c r="EH404" s="15" t="s">
        <v>5019</v>
      </c>
      <c r="EJ404" s="15" t="s">
        <v>500</v>
      </c>
      <c r="EK404" s="15" t="s">
        <v>501</v>
      </c>
      <c r="EM404" s="15" t="str">
        <f>IFERROR(__xludf.DUMMYFUNCTION("""COMPUTED_VALUE"""),"")</f>
        <v/>
      </c>
      <c r="EW404" s="15" t="s">
        <v>504</v>
      </c>
      <c r="EY404" s="15" t="s">
        <v>2313</v>
      </c>
      <c r="FH404" s="15" t="s">
        <v>4947</v>
      </c>
      <c r="FI404" s="15" t="s">
        <v>2648</v>
      </c>
      <c r="FJ404" s="15" t="s">
        <v>1957</v>
      </c>
      <c r="FK404" s="15" t="s">
        <v>1957</v>
      </c>
      <c r="FM404" s="15">
        <v>0.0</v>
      </c>
      <c r="FN404" s="15">
        <v>0.0</v>
      </c>
    </row>
    <row r="405" ht="15.75" customHeight="1">
      <c r="A405" s="14" t="s">
        <v>391</v>
      </c>
      <c r="B405" s="15" t="s">
        <v>5095</v>
      </c>
      <c r="C405" s="16"/>
      <c r="D405" s="15" t="s">
        <v>432</v>
      </c>
      <c r="G405" s="14" t="s">
        <v>393</v>
      </c>
      <c r="H405" s="14" t="s">
        <v>394</v>
      </c>
      <c r="I405" s="14" t="b">
        <v>1</v>
      </c>
      <c r="J405" s="14" t="s">
        <v>395</v>
      </c>
      <c r="L405" s="14" t="b">
        <v>0</v>
      </c>
      <c r="M405" s="15" t="s">
        <v>5096</v>
      </c>
      <c r="N405" s="14" t="s">
        <v>393</v>
      </c>
      <c r="O405" s="14" t="s">
        <v>393</v>
      </c>
      <c r="P405" s="15" t="s">
        <v>397</v>
      </c>
      <c r="Q405" s="15" t="s">
        <v>5012</v>
      </c>
      <c r="T405" s="14" t="b">
        <v>0</v>
      </c>
      <c r="U405" s="15" t="s">
        <v>5097</v>
      </c>
      <c r="V405" s="15" t="s">
        <v>5098</v>
      </c>
      <c r="W405" s="15" t="s">
        <v>401</v>
      </c>
      <c r="X405" s="15" t="s">
        <v>742</v>
      </c>
      <c r="Y405" s="15">
        <v>1534.0</v>
      </c>
      <c r="AA405" s="15" t="str">
        <f t="shared" ref="AA405:AA406" si="725">"590"</f>
        <v>590</v>
      </c>
      <c r="AB405" s="14" t="b">
        <v>1</v>
      </c>
      <c r="AC405" s="14" t="b">
        <v>1</v>
      </c>
      <c r="AD405" s="15" t="str">
        <f>"198394059442"</f>
        <v>198394059442</v>
      </c>
      <c r="AE405" s="15" t="s">
        <v>5099</v>
      </c>
      <c r="AF405" s="14" t="s">
        <v>404</v>
      </c>
      <c r="AG405" s="14" t="s">
        <v>405</v>
      </c>
      <c r="AH405" s="14" t="s">
        <v>406</v>
      </c>
      <c r="AI405" s="15">
        <v>0.0</v>
      </c>
      <c r="AL405" s="15" t="s">
        <v>4874</v>
      </c>
      <c r="AM405" s="15" t="s">
        <v>2037</v>
      </c>
      <c r="AN405" s="15" t="s">
        <v>2038</v>
      </c>
      <c r="AO405" s="15" t="s">
        <v>409</v>
      </c>
      <c r="AP405" s="15" t="s">
        <v>438</v>
      </c>
      <c r="AQ405" s="15" t="s">
        <v>1276</v>
      </c>
      <c r="AR405" s="15" t="s">
        <v>1277</v>
      </c>
      <c r="AS405" s="15" t="s">
        <v>2063</v>
      </c>
      <c r="AT405" s="15" t="s">
        <v>5012</v>
      </c>
      <c r="AU405" s="15" t="s">
        <v>5008</v>
      </c>
      <c r="AW405" s="15" t="s">
        <v>519</v>
      </c>
      <c r="AY405" s="15" t="s">
        <v>413</v>
      </c>
      <c r="AZ405" s="15" t="b">
        <v>0</v>
      </c>
      <c r="BA405" s="15" t="s">
        <v>413</v>
      </c>
      <c r="BB405" s="15" t="b">
        <v>0</v>
      </c>
      <c r="BD405" s="15" t="s">
        <v>742</v>
      </c>
      <c r="BE405" s="15" t="str">
        <f t="shared" si="721"/>
        <v>1</v>
      </c>
      <c r="BF405" s="15" t="s">
        <v>5100</v>
      </c>
      <c r="BG405" s="15" t="str">
        <f t="shared" ref="BG405:BG406" si="726">"63.54"</f>
        <v>63.54</v>
      </c>
      <c r="BH405" s="15" t="s">
        <v>5101</v>
      </c>
      <c r="BI405" s="15" t="str">
        <f t="shared" ref="BI405:BI406" si="727">"23.54"</f>
        <v>23.54</v>
      </c>
      <c r="BJ405" s="15" t="s">
        <v>5016</v>
      </c>
      <c r="BK405" s="15" t="str">
        <f t="shared" ref="BK405:BK406" si="728">"38.07"</f>
        <v>38.07</v>
      </c>
      <c r="BL405" s="15" t="s">
        <v>5102</v>
      </c>
      <c r="BM405" s="15" t="str">
        <f t="shared" ref="BM405:BM406" si="729">"92.59"</f>
        <v>92.59</v>
      </c>
      <c r="BN405" s="15" t="s">
        <v>3348</v>
      </c>
      <c r="BQ405" s="15" t="s">
        <v>444</v>
      </c>
      <c r="BS405" s="15" t="s">
        <v>444</v>
      </c>
      <c r="BU405" s="15" t="s">
        <v>444</v>
      </c>
      <c r="BW405" s="15" t="s">
        <v>444</v>
      </c>
      <c r="BZ405" s="15" t="s">
        <v>444</v>
      </c>
      <c r="CB405" s="15" t="s">
        <v>444</v>
      </c>
      <c r="CD405" s="15" t="s">
        <v>444</v>
      </c>
      <c r="CF405" s="15" t="s">
        <v>444</v>
      </c>
      <c r="CI405" s="15" t="s">
        <v>444</v>
      </c>
      <c r="CK405" s="15" t="s">
        <v>444</v>
      </c>
      <c r="CM405" s="15" t="s">
        <v>444</v>
      </c>
      <c r="CO405" s="15" t="s">
        <v>444</v>
      </c>
      <c r="CP405" s="15" t="str">
        <f t="shared" ref="CP405:CP406" si="730">"32.95"</f>
        <v>32.95</v>
      </c>
      <c r="CQ405" s="15" t="str">
        <f t="shared" ref="CQ405:CQ406" si="731">"0.933"</f>
        <v>0.933</v>
      </c>
      <c r="CR405" s="15" t="s">
        <v>497</v>
      </c>
      <c r="DC405" s="15" t="str">
        <f>IFERROR(__xludf.DUMMYFUNCTION("""COMPUTED_VALUE"""),"")</f>
        <v/>
      </c>
      <c r="DE405" s="15" t="str">
        <f>IFERROR(__xludf.DUMMYFUNCTION("""COMPUTED_VALUE"""),"")</f>
        <v/>
      </c>
      <c r="DG405" s="15" t="str">
        <f>IFERROR(__xludf.DUMMYFUNCTION("""COMPUTED_VALUE"""),"")</f>
        <v/>
      </c>
      <c r="DL405" s="15" t="str">
        <f>IFERROR(__xludf.DUMMYFUNCTION("""COMPUTED_VALUE"""),"")</f>
        <v/>
      </c>
      <c r="DM405" s="15" t="s">
        <v>444</v>
      </c>
      <c r="DN405" s="15" t="s">
        <v>419</v>
      </c>
      <c r="DO405" s="15">
        <v>0.0</v>
      </c>
      <c r="DP405" s="15" t="s">
        <v>419</v>
      </c>
      <c r="DR405" s="15">
        <v>0.0</v>
      </c>
      <c r="DT405" s="15" t="s">
        <v>1186</v>
      </c>
      <c r="DU405" s="15" t="s">
        <v>419</v>
      </c>
      <c r="DY405" s="15">
        <v>0.0</v>
      </c>
      <c r="EF405" s="15" t="s">
        <v>471</v>
      </c>
      <c r="EG405" s="15" t="s">
        <v>472</v>
      </c>
      <c r="EH405" s="15" t="s">
        <v>5019</v>
      </c>
      <c r="EJ405" s="15" t="s">
        <v>500</v>
      </c>
      <c r="EK405" s="15" t="s">
        <v>501</v>
      </c>
      <c r="EM405" s="15" t="str">
        <f>IFERROR(__xludf.DUMMYFUNCTION("""COMPUTED_VALUE"""),"")</f>
        <v/>
      </c>
      <c r="EW405" s="15" t="s">
        <v>5103</v>
      </c>
      <c r="EY405" s="15" t="s">
        <v>5104</v>
      </c>
      <c r="FH405" s="15" t="s">
        <v>1324</v>
      </c>
      <c r="FI405" s="15" t="s">
        <v>4947</v>
      </c>
      <c r="FJ405" s="15" t="s">
        <v>2388</v>
      </c>
      <c r="FK405" s="15" t="s">
        <v>1957</v>
      </c>
      <c r="FL405" s="15" t="s">
        <v>426</v>
      </c>
      <c r="FM405" s="15">
        <v>0.0</v>
      </c>
      <c r="FN405" s="15">
        <v>0.0</v>
      </c>
      <c r="GH405" s="15">
        <v>0.0</v>
      </c>
      <c r="GI405" s="15" t="s">
        <v>427</v>
      </c>
    </row>
    <row r="406" ht="15.75" customHeight="1">
      <c r="A406" s="14" t="s">
        <v>391</v>
      </c>
      <c r="B406" s="15" t="s">
        <v>5095</v>
      </c>
      <c r="C406" s="16"/>
      <c r="D406" s="15" t="s">
        <v>432</v>
      </c>
      <c r="G406" s="14" t="s">
        <v>393</v>
      </c>
      <c r="H406" s="14" t="s">
        <v>394</v>
      </c>
      <c r="I406" s="14" t="b">
        <v>1</v>
      </c>
      <c r="J406" s="14" t="s">
        <v>395</v>
      </c>
      <c r="L406" s="14" t="b">
        <v>0</v>
      </c>
      <c r="M406" s="15" t="s">
        <v>5105</v>
      </c>
      <c r="N406" s="14" t="s">
        <v>393</v>
      </c>
      <c r="O406" s="14" t="s">
        <v>393</v>
      </c>
      <c r="P406" s="15" t="s">
        <v>397</v>
      </c>
      <c r="Q406" s="15" t="s">
        <v>5040</v>
      </c>
      <c r="T406" s="14" t="b">
        <v>0</v>
      </c>
      <c r="U406" s="15" t="s">
        <v>5106</v>
      </c>
      <c r="V406" s="15" t="s">
        <v>5098</v>
      </c>
      <c r="W406" s="15" t="s">
        <v>401</v>
      </c>
      <c r="X406" s="15" t="s">
        <v>742</v>
      </c>
      <c r="Y406" s="15">
        <v>1534.0</v>
      </c>
      <c r="AA406" s="15" t="str">
        <f t="shared" si="725"/>
        <v>590</v>
      </c>
      <c r="AB406" s="14" t="b">
        <v>1</v>
      </c>
      <c r="AC406" s="14" t="b">
        <v>1</v>
      </c>
      <c r="AD406" s="15" t="str">
        <f>"801542153199"</f>
        <v>801542153199</v>
      </c>
      <c r="AE406" s="15" t="s">
        <v>5107</v>
      </c>
      <c r="AF406" s="14" t="s">
        <v>404</v>
      </c>
      <c r="AG406" s="14" t="s">
        <v>405</v>
      </c>
      <c r="AH406" s="14" t="s">
        <v>406</v>
      </c>
      <c r="AI406" s="15">
        <v>0.0</v>
      </c>
      <c r="AL406" s="15" t="s">
        <v>4874</v>
      </c>
      <c r="AM406" s="15" t="s">
        <v>2037</v>
      </c>
      <c r="AN406" s="15" t="s">
        <v>2038</v>
      </c>
      <c r="AO406" s="15" t="s">
        <v>409</v>
      </c>
      <c r="AP406" s="15" t="s">
        <v>438</v>
      </c>
      <c r="AQ406" s="15" t="s">
        <v>1276</v>
      </c>
      <c r="AR406" s="15" t="s">
        <v>1277</v>
      </c>
      <c r="AS406" s="15" t="s">
        <v>2063</v>
      </c>
      <c r="AT406" s="15" t="s">
        <v>5040</v>
      </c>
      <c r="AU406" s="15" t="s">
        <v>3217</v>
      </c>
      <c r="AW406" s="15" t="s">
        <v>519</v>
      </c>
      <c r="AY406" s="15" t="s">
        <v>413</v>
      </c>
      <c r="AZ406" s="15" t="b">
        <v>0</v>
      </c>
      <c r="BA406" s="15" t="s">
        <v>413</v>
      </c>
      <c r="BB406" s="15" t="b">
        <v>0</v>
      </c>
      <c r="BC406" s="15" t="s">
        <v>5108</v>
      </c>
      <c r="BD406" s="15" t="s">
        <v>742</v>
      </c>
      <c r="BE406" s="15" t="str">
        <f t="shared" si="721"/>
        <v>1</v>
      </c>
      <c r="BF406" s="15" t="s">
        <v>5100</v>
      </c>
      <c r="BG406" s="15" t="str">
        <f t="shared" si="726"/>
        <v>63.54</v>
      </c>
      <c r="BH406" s="15" t="s">
        <v>5101</v>
      </c>
      <c r="BI406" s="15" t="str">
        <f t="shared" si="727"/>
        <v>23.54</v>
      </c>
      <c r="BJ406" s="15" t="s">
        <v>5016</v>
      </c>
      <c r="BK406" s="15" t="str">
        <f t="shared" si="728"/>
        <v>38.07</v>
      </c>
      <c r="BL406" s="15" t="s">
        <v>5102</v>
      </c>
      <c r="BM406" s="15" t="str">
        <f t="shared" si="729"/>
        <v>92.59</v>
      </c>
      <c r="BN406" s="15" t="s">
        <v>3348</v>
      </c>
      <c r="BQ406" s="15" t="s">
        <v>444</v>
      </c>
      <c r="BS406" s="15" t="s">
        <v>444</v>
      </c>
      <c r="BU406" s="15" t="s">
        <v>444</v>
      </c>
      <c r="BW406" s="15" t="s">
        <v>444</v>
      </c>
      <c r="BZ406" s="15" t="s">
        <v>444</v>
      </c>
      <c r="CB406" s="15" t="s">
        <v>444</v>
      </c>
      <c r="CD406" s="15" t="s">
        <v>444</v>
      </c>
      <c r="CF406" s="15" t="s">
        <v>444</v>
      </c>
      <c r="CI406" s="15" t="s">
        <v>444</v>
      </c>
      <c r="CK406" s="15" t="s">
        <v>444</v>
      </c>
      <c r="CM406" s="15" t="s">
        <v>444</v>
      </c>
      <c r="CO406" s="15" t="s">
        <v>444</v>
      </c>
      <c r="CP406" s="15" t="str">
        <f t="shared" si="730"/>
        <v>32.95</v>
      </c>
      <c r="CQ406" s="15" t="str">
        <f t="shared" si="731"/>
        <v>0.933</v>
      </c>
      <c r="CR406" s="15" t="s">
        <v>465</v>
      </c>
      <c r="DC406" s="15" t="str">
        <f>IFERROR(__xludf.DUMMYFUNCTION("""COMPUTED_VALUE"""),"")</f>
        <v/>
      </c>
      <c r="DE406" s="15" t="str">
        <f>IFERROR(__xludf.DUMMYFUNCTION("""COMPUTED_VALUE"""),"")</f>
        <v/>
      </c>
      <c r="DG406" s="15" t="str">
        <f>IFERROR(__xludf.DUMMYFUNCTION("""COMPUTED_VALUE"""),"")</f>
        <v/>
      </c>
      <c r="DL406" s="15" t="str">
        <f>IFERROR(__xludf.DUMMYFUNCTION("""COMPUTED_VALUE"""),"")</f>
        <v/>
      </c>
      <c r="DM406" s="15" t="s">
        <v>444</v>
      </c>
      <c r="DN406" s="15" t="s">
        <v>419</v>
      </c>
      <c r="DO406" s="15">
        <v>0.0</v>
      </c>
      <c r="DP406" s="15" t="s">
        <v>419</v>
      </c>
      <c r="DR406" s="15">
        <v>0.0</v>
      </c>
      <c r="DT406" s="15" t="s">
        <v>1186</v>
      </c>
      <c r="DU406" s="15" t="s">
        <v>419</v>
      </c>
      <c r="DY406" s="15">
        <v>0.0</v>
      </c>
      <c r="EF406" s="15" t="s">
        <v>471</v>
      </c>
      <c r="EG406" s="15" t="s">
        <v>472</v>
      </c>
      <c r="EH406" s="15" t="s">
        <v>5019</v>
      </c>
      <c r="EJ406" s="15" t="s">
        <v>500</v>
      </c>
      <c r="EK406" s="15" t="s">
        <v>501</v>
      </c>
      <c r="EM406" s="15" t="str">
        <f>IFERROR(__xludf.DUMMYFUNCTION("""COMPUTED_VALUE"""),"")</f>
        <v/>
      </c>
      <c r="EW406" s="15" t="s">
        <v>5103</v>
      </c>
      <c r="EY406" s="15" t="s">
        <v>5104</v>
      </c>
      <c r="FH406" s="15" t="s">
        <v>1324</v>
      </c>
      <c r="FI406" s="15" t="s">
        <v>4947</v>
      </c>
      <c r="FJ406" s="15" t="s">
        <v>2388</v>
      </c>
      <c r="FK406" s="15" t="s">
        <v>1957</v>
      </c>
      <c r="FL406" s="15" t="s">
        <v>426</v>
      </c>
      <c r="FM406" s="15">
        <v>0.0</v>
      </c>
      <c r="FN406" s="15">
        <v>0.0</v>
      </c>
      <c r="GH406" s="15">
        <v>0.0</v>
      </c>
      <c r="GI406" s="15" t="s">
        <v>427</v>
      </c>
    </row>
    <row r="407" ht="15.75" customHeight="1">
      <c r="A407" s="14" t="s">
        <v>391</v>
      </c>
      <c r="B407" s="15" t="s">
        <v>5109</v>
      </c>
      <c r="C407" s="16"/>
      <c r="D407" s="15" t="s">
        <v>432</v>
      </c>
      <c r="G407" s="14" t="s">
        <v>393</v>
      </c>
      <c r="H407" s="14" t="s">
        <v>394</v>
      </c>
      <c r="I407" s="14" t="b">
        <v>1</v>
      </c>
      <c r="J407" s="14" t="s">
        <v>395</v>
      </c>
      <c r="L407" s="14" t="b">
        <v>0</v>
      </c>
      <c r="M407" s="15" t="s">
        <v>5110</v>
      </c>
      <c r="N407" s="14" t="s">
        <v>393</v>
      </c>
      <c r="O407" s="14" t="s">
        <v>393</v>
      </c>
      <c r="P407" s="15" t="s">
        <v>397</v>
      </c>
      <c r="Q407" s="15" t="s">
        <v>3217</v>
      </c>
      <c r="T407" s="14" t="b">
        <v>0</v>
      </c>
      <c r="U407" s="15" t="s">
        <v>5111</v>
      </c>
      <c r="V407" s="15" t="s">
        <v>5112</v>
      </c>
      <c r="W407" s="15" t="s">
        <v>401</v>
      </c>
      <c r="X407" s="15" t="s">
        <v>742</v>
      </c>
      <c r="Y407" s="15">
        <v>2184.0</v>
      </c>
      <c r="AA407" s="15" t="str">
        <f>"840"</f>
        <v>840</v>
      </c>
      <c r="AB407" s="14" t="b">
        <v>1</v>
      </c>
      <c r="AC407" s="14" t="b">
        <v>1</v>
      </c>
      <c r="AD407" s="15" t="str">
        <f>"801542134303"</f>
        <v>801542134303</v>
      </c>
      <c r="AE407" s="15" t="s">
        <v>5113</v>
      </c>
      <c r="AF407" s="14" t="s">
        <v>404</v>
      </c>
      <c r="AG407" s="14" t="s">
        <v>405</v>
      </c>
      <c r="AH407" s="14" t="s">
        <v>406</v>
      </c>
      <c r="AI407" s="15">
        <v>0.0</v>
      </c>
      <c r="AL407" s="15" t="s">
        <v>1025</v>
      </c>
      <c r="AM407" s="15" t="s">
        <v>5114</v>
      </c>
      <c r="AN407" s="15" t="s">
        <v>3330</v>
      </c>
      <c r="AO407" s="15" t="s">
        <v>1055</v>
      </c>
      <c r="AP407" s="15" t="s">
        <v>1056</v>
      </c>
      <c r="AQ407" s="15" t="s">
        <v>1276</v>
      </c>
      <c r="AR407" s="15" t="s">
        <v>1277</v>
      </c>
      <c r="AS407" s="15" t="s">
        <v>2063</v>
      </c>
      <c r="AT407" s="15" t="s">
        <v>3217</v>
      </c>
      <c r="AW407" s="15" t="s">
        <v>2134</v>
      </c>
      <c r="AX407" s="15" t="s">
        <v>2135</v>
      </c>
      <c r="AY407" s="15" t="s">
        <v>413</v>
      </c>
      <c r="AZ407" s="15" t="b">
        <v>0</v>
      </c>
      <c r="BA407" s="15" t="s">
        <v>413</v>
      </c>
      <c r="BB407" s="15" t="b">
        <v>0</v>
      </c>
      <c r="BC407" s="15" t="s">
        <v>5115</v>
      </c>
      <c r="BD407" s="15" t="s">
        <v>742</v>
      </c>
      <c r="BE407" s="15" t="str">
        <f t="shared" si="721"/>
        <v>1</v>
      </c>
      <c r="BF407" s="15" t="s">
        <v>416</v>
      </c>
      <c r="BG407" s="15" t="str">
        <f>"70.87"</f>
        <v>70.87</v>
      </c>
      <c r="BH407" s="15" t="s">
        <v>5116</v>
      </c>
      <c r="BI407" s="15" t="str">
        <f>"37.4"</f>
        <v>37.4</v>
      </c>
      <c r="BJ407" s="15" t="s">
        <v>3175</v>
      </c>
      <c r="BK407" s="15" t="str">
        <f>"30.71"</f>
        <v>30.71</v>
      </c>
      <c r="BL407" s="15" t="s">
        <v>1281</v>
      </c>
      <c r="BM407" s="15" t="str">
        <f>"193.35"</f>
        <v>193.35</v>
      </c>
      <c r="BN407" s="15" t="s">
        <v>5117</v>
      </c>
      <c r="BQ407" s="15" t="s">
        <v>444</v>
      </c>
      <c r="BS407" s="15" t="s">
        <v>444</v>
      </c>
      <c r="BU407" s="15" t="s">
        <v>444</v>
      </c>
      <c r="BW407" s="15" t="s">
        <v>444</v>
      </c>
      <c r="BZ407" s="15" t="s">
        <v>444</v>
      </c>
      <c r="CB407" s="15" t="s">
        <v>444</v>
      </c>
      <c r="CD407" s="15" t="s">
        <v>444</v>
      </c>
      <c r="CF407" s="15" t="s">
        <v>444</v>
      </c>
      <c r="CI407" s="15" t="s">
        <v>444</v>
      </c>
      <c r="CK407" s="15" t="s">
        <v>444</v>
      </c>
      <c r="CM407" s="15" t="s">
        <v>444</v>
      </c>
      <c r="CO407" s="15" t="s">
        <v>444</v>
      </c>
      <c r="CP407" s="15" t="str">
        <f>"47.11"</f>
        <v>47.11</v>
      </c>
      <c r="CQ407" s="15" t="str">
        <f>"1.334"</f>
        <v>1.334</v>
      </c>
      <c r="CR407" s="15" t="s">
        <v>497</v>
      </c>
      <c r="DC407" s="15" t="str">
        <f>IFERROR(__xludf.DUMMYFUNCTION("""COMPUTED_VALUE"""),"")</f>
        <v/>
      </c>
      <c r="DE407" s="15" t="str">
        <f>IFERROR(__xludf.DUMMYFUNCTION("""COMPUTED_VALUE"""),"")</f>
        <v/>
      </c>
      <c r="DG407" s="15" t="str">
        <f>IFERROR(__xludf.DUMMYFUNCTION("""COMPUTED_VALUE"""),"")</f>
        <v/>
      </c>
      <c r="DL407" s="15" t="str">
        <f>IFERROR(__xludf.DUMMYFUNCTION("""COMPUTED_VALUE"""),"")</f>
        <v/>
      </c>
      <c r="DM407" s="15" t="s">
        <v>444</v>
      </c>
      <c r="DN407" s="15" t="s">
        <v>1371</v>
      </c>
      <c r="DO407" s="15">
        <v>5.0</v>
      </c>
      <c r="DP407" s="15" t="s">
        <v>419</v>
      </c>
      <c r="DR407" s="15">
        <v>0.0</v>
      </c>
      <c r="DT407" s="15" t="s">
        <v>1186</v>
      </c>
      <c r="DU407" s="15" t="s">
        <v>421</v>
      </c>
      <c r="DY407" s="15">
        <v>0.0</v>
      </c>
      <c r="EF407" s="15" t="s">
        <v>2137</v>
      </c>
      <c r="EG407" s="15" t="s">
        <v>2138</v>
      </c>
      <c r="EH407" s="15" t="s">
        <v>5019</v>
      </c>
      <c r="EJ407" s="15" t="s">
        <v>500</v>
      </c>
      <c r="EK407" s="15" t="s">
        <v>501</v>
      </c>
      <c r="EM407" s="15" t="str">
        <f>IFERROR(__xludf.DUMMYFUNCTION("""COMPUTED_VALUE"""),"")</f>
        <v/>
      </c>
      <c r="EW407" s="15" t="s">
        <v>5118</v>
      </c>
      <c r="EX407" s="15" t="s">
        <v>2652</v>
      </c>
      <c r="EY407" s="15" t="s">
        <v>5119</v>
      </c>
      <c r="FH407" s="15" t="s">
        <v>5120</v>
      </c>
      <c r="FI407" s="15" t="s">
        <v>4947</v>
      </c>
      <c r="FJ407" s="15" t="s">
        <v>4685</v>
      </c>
      <c r="FK407" s="15" t="s">
        <v>612</v>
      </c>
      <c r="FL407" s="15" t="s">
        <v>426</v>
      </c>
      <c r="FM407" s="15">
        <v>0.0</v>
      </c>
      <c r="FV407" s="15" t="s">
        <v>2273</v>
      </c>
      <c r="GH407" s="15">
        <v>0.0</v>
      </c>
      <c r="GI407" s="15" t="s">
        <v>427</v>
      </c>
      <c r="GQ407" s="15" t="s">
        <v>504</v>
      </c>
      <c r="GR407" s="15" t="s">
        <v>504</v>
      </c>
      <c r="GS407" s="15" t="s">
        <v>5121</v>
      </c>
      <c r="GT407" s="15" t="s">
        <v>5122</v>
      </c>
      <c r="GU407" s="15" t="s">
        <v>5123</v>
      </c>
      <c r="GV407" s="15" t="s">
        <v>5123</v>
      </c>
      <c r="GW407" s="15" t="s">
        <v>431</v>
      </c>
      <c r="HD407" s="15">
        <v>0.0</v>
      </c>
      <c r="HX407" s="15" t="s">
        <v>504</v>
      </c>
      <c r="HZ407" s="15" t="s">
        <v>2465</v>
      </c>
      <c r="IB407" s="15" t="s">
        <v>3955</v>
      </c>
      <c r="IG407" s="15" t="s">
        <v>426</v>
      </c>
    </row>
    <row r="408" ht="15.75" customHeight="1">
      <c r="A408" s="14" t="s">
        <v>391</v>
      </c>
      <c r="B408" s="15" t="s">
        <v>5124</v>
      </c>
      <c r="C408" s="16"/>
      <c r="D408" s="15" t="s">
        <v>432</v>
      </c>
      <c r="G408" s="14" t="s">
        <v>393</v>
      </c>
      <c r="H408" s="14" t="s">
        <v>394</v>
      </c>
      <c r="I408" s="14" t="b">
        <v>1</v>
      </c>
      <c r="J408" s="14" t="s">
        <v>395</v>
      </c>
      <c r="L408" s="14" t="b">
        <v>0</v>
      </c>
      <c r="M408" s="15" t="s">
        <v>5125</v>
      </c>
      <c r="N408" s="14" t="s">
        <v>393</v>
      </c>
      <c r="O408" s="14" t="s">
        <v>393</v>
      </c>
      <c r="P408" s="15" t="s">
        <v>397</v>
      </c>
      <c r="Q408" s="15" t="s">
        <v>5008</v>
      </c>
      <c r="T408" s="14" t="b">
        <v>0</v>
      </c>
      <c r="U408" s="15" t="s">
        <v>5126</v>
      </c>
      <c r="V408" s="15" t="s">
        <v>3754</v>
      </c>
      <c r="W408" s="15" t="s">
        <v>401</v>
      </c>
      <c r="X408" s="15" t="s">
        <v>742</v>
      </c>
      <c r="Y408" s="15">
        <v>1157.0</v>
      </c>
      <c r="AA408" s="15" t="str">
        <f>"445"</f>
        <v>445</v>
      </c>
      <c r="AB408" s="14" t="b">
        <v>1</v>
      </c>
      <c r="AC408" s="14" t="b">
        <v>1</v>
      </c>
      <c r="AD408" s="15" t="str">
        <f>"198394059473"</f>
        <v>198394059473</v>
      </c>
      <c r="AE408" s="15" t="s">
        <v>5127</v>
      </c>
      <c r="AF408" s="14" t="s">
        <v>404</v>
      </c>
      <c r="AG408" s="14" t="s">
        <v>405</v>
      </c>
      <c r="AH408" s="14" t="s">
        <v>406</v>
      </c>
      <c r="AI408" s="15">
        <v>0.0</v>
      </c>
      <c r="AL408" s="15" t="s">
        <v>1025</v>
      </c>
      <c r="AM408" s="15" t="s">
        <v>410</v>
      </c>
      <c r="AN408" s="15" t="s">
        <v>439</v>
      </c>
      <c r="AO408" s="15" t="s">
        <v>1007</v>
      </c>
      <c r="AP408" s="15" t="s">
        <v>1008</v>
      </c>
      <c r="AQ408" s="15" t="s">
        <v>1175</v>
      </c>
      <c r="AR408" s="15" t="s">
        <v>1176</v>
      </c>
      <c r="AS408" s="15" t="s">
        <v>2063</v>
      </c>
      <c r="AT408" s="15" t="s">
        <v>5008</v>
      </c>
      <c r="AU408" s="15" t="s">
        <v>5012</v>
      </c>
      <c r="AW408" s="15" t="s">
        <v>628</v>
      </c>
      <c r="AY408" s="15" t="s">
        <v>413</v>
      </c>
      <c r="AZ408" s="15" t="b">
        <v>0</v>
      </c>
      <c r="BA408" s="15" t="s">
        <v>413</v>
      </c>
      <c r="BB408" s="15" t="b">
        <v>0</v>
      </c>
      <c r="BC408" s="15" t="s">
        <v>5128</v>
      </c>
      <c r="BD408" s="15" t="s">
        <v>742</v>
      </c>
      <c r="BE408" s="15" t="str">
        <f t="shared" si="721"/>
        <v>1</v>
      </c>
      <c r="BF408" s="15" t="s">
        <v>1439</v>
      </c>
      <c r="BG408" s="15" t="str">
        <f>"35.04"</f>
        <v>35.04</v>
      </c>
      <c r="BH408" s="15" t="s">
        <v>1404</v>
      </c>
      <c r="BI408" s="15" t="str">
        <f>"21.46"</f>
        <v>21.46</v>
      </c>
      <c r="BJ408" s="15" t="s">
        <v>1385</v>
      </c>
      <c r="BK408" s="15" t="str">
        <f>"32.28"</f>
        <v>32.28</v>
      </c>
      <c r="BL408" s="15" t="s">
        <v>954</v>
      </c>
      <c r="BM408" s="15" t="str">
        <f>"110.23"</f>
        <v>110.23</v>
      </c>
      <c r="BN408" s="15" t="s">
        <v>1131</v>
      </c>
      <c r="BQ408" s="15" t="s">
        <v>444</v>
      </c>
      <c r="BS408" s="15" t="s">
        <v>444</v>
      </c>
      <c r="BU408" s="15" t="s">
        <v>444</v>
      </c>
      <c r="BW408" s="15" t="s">
        <v>444</v>
      </c>
      <c r="BZ408" s="15" t="s">
        <v>444</v>
      </c>
      <c r="CB408" s="15" t="s">
        <v>444</v>
      </c>
      <c r="CD408" s="15" t="s">
        <v>444</v>
      </c>
      <c r="CF408" s="15" t="s">
        <v>444</v>
      </c>
      <c r="CI408" s="15" t="s">
        <v>444</v>
      </c>
      <c r="CK408" s="15" t="s">
        <v>444</v>
      </c>
      <c r="CM408" s="15" t="s">
        <v>444</v>
      </c>
      <c r="CO408" s="15" t="s">
        <v>444</v>
      </c>
      <c r="CP408" s="15" t="str">
        <f>"14.06"</f>
        <v>14.06</v>
      </c>
      <c r="CQ408" s="15" t="str">
        <f>"0.398"</f>
        <v>0.398</v>
      </c>
      <c r="CR408" s="15" t="s">
        <v>497</v>
      </c>
      <c r="DC408" s="15" t="str">
        <f>IFERROR(__xludf.DUMMYFUNCTION("""COMPUTED_VALUE"""),"")</f>
        <v/>
      </c>
      <c r="DE408" s="15" t="str">
        <f>IFERROR(__xludf.DUMMYFUNCTION("""COMPUTED_VALUE"""),"")</f>
        <v/>
      </c>
      <c r="DG408" s="15" t="str">
        <f>IFERROR(__xludf.DUMMYFUNCTION("""COMPUTED_VALUE"""),"")</f>
        <v/>
      </c>
      <c r="DL408" s="15" t="str">
        <f>IFERROR(__xludf.DUMMYFUNCTION("""COMPUTED_VALUE"""),"")</f>
        <v/>
      </c>
      <c r="DM408" s="15" t="s">
        <v>444</v>
      </c>
      <c r="DN408" s="15" t="s">
        <v>1371</v>
      </c>
      <c r="DO408" s="15">
        <v>3.0</v>
      </c>
      <c r="DP408" s="15" t="s">
        <v>419</v>
      </c>
      <c r="DR408" s="15">
        <v>0.0</v>
      </c>
      <c r="DT408" s="15" t="s">
        <v>1186</v>
      </c>
      <c r="DU408" s="15" t="s">
        <v>421</v>
      </c>
      <c r="DY408" s="15">
        <v>0.0</v>
      </c>
      <c r="EF408" s="15" t="s">
        <v>471</v>
      </c>
      <c r="EG408" s="15" t="s">
        <v>472</v>
      </c>
      <c r="EH408" s="15" t="s">
        <v>5019</v>
      </c>
      <c r="EJ408" s="15" t="s">
        <v>500</v>
      </c>
      <c r="EK408" s="15" t="s">
        <v>501</v>
      </c>
      <c r="EM408" s="15" t="str">
        <f>IFERROR(__xludf.DUMMYFUNCTION("""COMPUTED_VALUE"""),"")</f>
        <v/>
      </c>
      <c r="EW408" s="15" t="s">
        <v>759</v>
      </c>
      <c r="FL408" s="15" t="s">
        <v>426</v>
      </c>
      <c r="FM408" s="15">
        <v>0.0</v>
      </c>
      <c r="GH408" s="15">
        <v>0.0</v>
      </c>
      <c r="GI408" s="15" t="s">
        <v>427</v>
      </c>
      <c r="GQ408" s="15" t="s">
        <v>5129</v>
      </c>
      <c r="GS408" s="15" t="s">
        <v>1410</v>
      </c>
      <c r="GU408" s="15" t="s">
        <v>1482</v>
      </c>
      <c r="GW408" s="15" t="s">
        <v>431</v>
      </c>
    </row>
    <row r="409" ht="15.75" customHeight="1">
      <c r="A409" s="14" t="s">
        <v>391</v>
      </c>
      <c r="B409" s="15" t="s">
        <v>5130</v>
      </c>
      <c r="C409" s="16"/>
      <c r="D409" s="15" t="s">
        <v>432</v>
      </c>
      <c r="G409" s="14" t="s">
        <v>393</v>
      </c>
      <c r="H409" s="14" t="s">
        <v>394</v>
      </c>
      <c r="I409" s="14" t="b">
        <v>1</v>
      </c>
      <c r="J409" s="14" t="s">
        <v>395</v>
      </c>
      <c r="L409" s="14" t="b">
        <v>0</v>
      </c>
      <c r="M409" s="15" t="s">
        <v>5131</v>
      </c>
      <c r="N409" s="14" t="s">
        <v>393</v>
      </c>
      <c r="O409" s="14" t="s">
        <v>393</v>
      </c>
      <c r="P409" s="15" t="s">
        <v>397</v>
      </c>
      <c r="Q409" s="15" t="s">
        <v>5132</v>
      </c>
      <c r="R409" s="15" t="s">
        <v>265</v>
      </c>
      <c r="S409" s="15">
        <v>42.5</v>
      </c>
      <c r="T409" s="14" t="b">
        <v>0</v>
      </c>
      <c r="U409" s="15" t="s">
        <v>5133</v>
      </c>
      <c r="V409" s="15" t="s">
        <v>5134</v>
      </c>
      <c r="W409" s="15" t="s">
        <v>401</v>
      </c>
      <c r="X409" s="15" t="s">
        <v>695</v>
      </c>
      <c r="Y409" s="15">
        <v>1586.0</v>
      </c>
      <c r="AA409" s="15" t="str">
        <f>"610"</f>
        <v>610</v>
      </c>
      <c r="AB409" s="14" t="b">
        <v>1</v>
      </c>
      <c r="AC409" s="14" t="b">
        <v>1</v>
      </c>
      <c r="AD409" s="15" t="str">
        <f>"801542976583"</f>
        <v>801542976583</v>
      </c>
      <c r="AE409" s="15" t="s">
        <v>5135</v>
      </c>
      <c r="AF409" s="14" t="s">
        <v>404</v>
      </c>
      <c r="AG409" s="14" t="s">
        <v>405</v>
      </c>
      <c r="AH409" s="14" t="s">
        <v>406</v>
      </c>
      <c r="AI409" s="15">
        <v>0.0</v>
      </c>
      <c r="AL409" s="15" t="s">
        <v>2354</v>
      </c>
      <c r="AM409" s="15" t="s">
        <v>410</v>
      </c>
      <c r="AN409" s="15" t="s">
        <v>439</v>
      </c>
      <c r="AO409" s="15" t="s">
        <v>410</v>
      </c>
      <c r="AP409" s="15" t="s">
        <v>439</v>
      </c>
      <c r="AQ409" s="15" t="s">
        <v>3345</v>
      </c>
      <c r="AR409" s="15" t="s">
        <v>3346</v>
      </c>
      <c r="AS409" s="15" t="s">
        <v>2193</v>
      </c>
      <c r="AT409" s="15" t="s">
        <v>5132</v>
      </c>
      <c r="AW409" s="15" t="s">
        <v>548</v>
      </c>
      <c r="AX409" s="15" t="s">
        <v>4401</v>
      </c>
      <c r="AY409" s="15" t="s">
        <v>413</v>
      </c>
      <c r="AZ409" s="15" t="b">
        <v>0</v>
      </c>
      <c r="BA409" s="15" t="s">
        <v>413</v>
      </c>
      <c r="BB409" s="15" t="b">
        <v>0</v>
      </c>
      <c r="BC409" s="15" t="s">
        <v>5136</v>
      </c>
      <c r="BD409" s="15" t="s">
        <v>709</v>
      </c>
      <c r="BE409" s="15" t="str">
        <f t="shared" ref="BE409:BE412" si="732">"2"</f>
        <v>2</v>
      </c>
      <c r="BF409" s="15" t="s">
        <v>1564</v>
      </c>
      <c r="BG409" s="15" t="str">
        <f t="shared" ref="BG409:BG410" si="733">"33.46"</f>
        <v>33.46</v>
      </c>
      <c r="BH409" s="15" t="s">
        <v>1109</v>
      </c>
      <c r="BI409" s="15" t="str">
        <f t="shared" ref="BI409:BI410" si="734">"2.95"</f>
        <v>2.95</v>
      </c>
      <c r="BJ409" s="15" t="s">
        <v>5137</v>
      </c>
      <c r="BK409" s="15" t="str">
        <f t="shared" ref="BK409:BK410" si="735">"33.46"</f>
        <v>33.46</v>
      </c>
      <c r="BL409" s="15" t="s">
        <v>1109</v>
      </c>
      <c r="BM409" s="15" t="str">
        <f t="shared" ref="BM409:BM410" si="736">"16.53"</f>
        <v>16.53</v>
      </c>
      <c r="BN409" s="15" t="s">
        <v>5138</v>
      </c>
      <c r="BO409" s="15" t="s">
        <v>2238</v>
      </c>
      <c r="BP409" s="15" t="str">
        <f t="shared" ref="BP409:BP412" si="737">"22.44"</f>
        <v>22.44</v>
      </c>
      <c r="BQ409" s="15" t="s">
        <v>1156</v>
      </c>
      <c r="BR409" s="15" t="str">
        <f t="shared" ref="BR409:BR412" si="738">"22.44"</f>
        <v>22.44</v>
      </c>
      <c r="BS409" s="15" t="s">
        <v>1156</v>
      </c>
      <c r="BT409" s="15" t="str">
        <f>"43.43"</f>
        <v>43.43</v>
      </c>
      <c r="BU409" s="15" t="s">
        <v>5139</v>
      </c>
      <c r="BV409" s="15" t="str">
        <f>"74.96"</f>
        <v>74.96</v>
      </c>
      <c r="BW409" s="15" t="s">
        <v>3559</v>
      </c>
      <c r="BZ409" s="15" t="s">
        <v>444</v>
      </c>
      <c r="CB409" s="15" t="s">
        <v>444</v>
      </c>
      <c r="CD409" s="15" t="s">
        <v>444</v>
      </c>
      <c r="CF409" s="15" t="s">
        <v>444</v>
      </c>
      <c r="CI409" s="15" t="s">
        <v>444</v>
      </c>
      <c r="CK409" s="15" t="s">
        <v>444</v>
      </c>
      <c r="CM409" s="15" t="s">
        <v>444</v>
      </c>
      <c r="CO409" s="15" t="s">
        <v>444</v>
      </c>
      <c r="CP409" s="15" t="str">
        <f>"14.55"</f>
        <v>14.55</v>
      </c>
      <c r="CQ409" s="15" t="str">
        <f>"0.412"</f>
        <v>0.412</v>
      </c>
      <c r="CR409" s="15" t="s">
        <v>497</v>
      </c>
      <c r="DC409" s="15" t="str">
        <f>IFERROR(__xludf.DUMMYFUNCTION("""COMPUTED_VALUE"""),"")</f>
        <v/>
      </c>
      <c r="DE409" s="15" t="str">
        <f>IFERROR(__xludf.DUMMYFUNCTION("""COMPUTED_VALUE"""),"")</f>
        <v/>
      </c>
      <c r="DG409" s="15" t="str">
        <f>IFERROR(__xludf.DUMMYFUNCTION("""COMPUTED_VALUE"""),"")</f>
        <v/>
      </c>
      <c r="DL409" s="15" t="str">
        <f>IFERROR(__xludf.DUMMYFUNCTION("""COMPUTED_VALUE"""),"")</f>
        <v/>
      </c>
      <c r="DM409" s="15" t="s">
        <v>444</v>
      </c>
      <c r="DN409" s="15" t="s">
        <v>419</v>
      </c>
      <c r="DO409" s="15">
        <v>0.0</v>
      </c>
      <c r="DP409" s="15" t="s">
        <v>419</v>
      </c>
      <c r="DR409" s="15">
        <v>0.0</v>
      </c>
      <c r="DT409" s="15" t="s">
        <v>1388</v>
      </c>
      <c r="DU409" s="15" t="s">
        <v>419</v>
      </c>
      <c r="DW409" s="15">
        <v>0.0</v>
      </c>
      <c r="DX409" s="15">
        <v>0.0</v>
      </c>
      <c r="DY409" s="15">
        <v>0.0</v>
      </c>
      <c r="EE409" s="15">
        <v>2.0</v>
      </c>
      <c r="EF409" s="15" t="s">
        <v>1157</v>
      </c>
      <c r="EG409" s="15" t="s">
        <v>1158</v>
      </c>
      <c r="EH409" s="15" t="s">
        <v>5140</v>
      </c>
      <c r="EJ409" s="15" t="s">
        <v>500</v>
      </c>
      <c r="EK409" s="15" t="s">
        <v>501</v>
      </c>
      <c r="EM409" s="15" t="str">
        <f>IFERROR(__xludf.DUMMYFUNCTION("""COMPUTED_VALUE"""),"")</f>
        <v/>
      </c>
      <c r="EW409" s="15" t="s">
        <v>5141</v>
      </c>
      <c r="FH409" s="15" t="s">
        <v>467</v>
      </c>
      <c r="FI409" s="15" t="s">
        <v>5141</v>
      </c>
      <c r="FJ409" s="15" t="s">
        <v>467</v>
      </c>
      <c r="FK409" s="15" t="s">
        <v>612</v>
      </c>
      <c r="FL409" s="15" t="s">
        <v>426</v>
      </c>
      <c r="FM409" s="15">
        <v>0.0</v>
      </c>
      <c r="FN409" s="15">
        <v>0.0</v>
      </c>
      <c r="FW409" s="15" t="s">
        <v>762</v>
      </c>
      <c r="JF409" s="15" t="s">
        <v>4412</v>
      </c>
    </row>
    <row r="410" ht="15.75" customHeight="1">
      <c r="A410" s="14" t="s">
        <v>391</v>
      </c>
      <c r="B410" s="15" t="s">
        <v>5130</v>
      </c>
      <c r="C410" s="16"/>
      <c r="D410" s="15" t="s">
        <v>432</v>
      </c>
      <c r="G410" s="14" t="s">
        <v>393</v>
      </c>
      <c r="H410" s="14" t="s">
        <v>394</v>
      </c>
      <c r="I410" s="14" t="b">
        <v>1</v>
      </c>
      <c r="J410" s="14" t="s">
        <v>395</v>
      </c>
      <c r="L410" s="14" t="b">
        <v>0</v>
      </c>
      <c r="M410" s="15" t="s">
        <v>5142</v>
      </c>
      <c r="N410" s="14" t="s">
        <v>393</v>
      </c>
      <c r="O410" s="14" t="s">
        <v>393</v>
      </c>
      <c r="P410" s="15" t="s">
        <v>397</v>
      </c>
      <c r="Q410" s="15" t="s">
        <v>5132</v>
      </c>
      <c r="R410" s="15" t="s">
        <v>265</v>
      </c>
      <c r="S410" s="15">
        <v>36.5</v>
      </c>
      <c r="T410" s="14" t="b">
        <v>0</v>
      </c>
      <c r="U410" s="15" t="s">
        <v>5143</v>
      </c>
      <c r="V410" s="15" t="s">
        <v>5144</v>
      </c>
      <c r="W410" s="15" t="s">
        <v>401</v>
      </c>
      <c r="X410" s="15" t="s">
        <v>695</v>
      </c>
      <c r="Y410" s="15">
        <v>1534.0</v>
      </c>
      <c r="AA410" s="15" t="str">
        <f>"590"</f>
        <v>590</v>
      </c>
      <c r="AB410" s="14" t="b">
        <v>1</v>
      </c>
      <c r="AC410" s="14" t="b">
        <v>1</v>
      </c>
      <c r="AD410" s="15" t="str">
        <f>"801542976606"</f>
        <v>801542976606</v>
      </c>
      <c r="AE410" s="15" t="s">
        <v>5145</v>
      </c>
      <c r="AF410" s="14" t="s">
        <v>404</v>
      </c>
      <c r="AG410" s="14" t="s">
        <v>405</v>
      </c>
      <c r="AH410" s="14" t="s">
        <v>406</v>
      </c>
      <c r="AI410" s="15">
        <v>0.0</v>
      </c>
      <c r="AL410" s="15" t="s">
        <v>2354</v>
      </c>
      <c r="AM410" s="15" t="s">
        <v>410</v>
      </c>
      <c r="AN410" s="15" t="s">
        <v>439</v>
      </c>
      <c r="AO410" s="15" t="s">
        <v>410</v>
      </c>
      <c r="AP410" s="15" t="s">
        <v>439</v>
      </c>
      <c r="AQ410" s="15" t="s">
        <v>976</v>
      </c>
      <c r="AR410" s="15" t="s">
        <v>977</v>
      </c>
      <c r="AS410" s="15" t="s">
        <v>2193</v>
      </c>
      <c r="AT410" s="15" t="s">
        <v>5132</v>
      </c>
      <c r="AW410" s="15" t="s">
        <v>548</v>
      </c>
      <c r="AX410" s="15" t="s">
        <v>4401</v>
      </c>
      <c r="AY410" s="15" t="s">
        <v>413</v>
      </c>
      <c r="AZ410" s="15" t="b">
        <v>0</v>
      </c>
      <c r="BA410" s="15" t="s">
        <v>413</v>
      </c>
      <c r="BB410" s="15" t="b">
        <v>0</v>
      </c>
      <c r="BC410" s="15" t="s">
        <v>5146</v>
      </c>
      <c r="BD410" s="15" t="s">
        <v>709</v>
      </c>
      <c r="BE410" s="15" t="str">
        <f t="shared" si="732"/>
        <v>2</v>
      </c>
      <c r="BF410" s="15" t="s">
        <v>1564</v>
      </c>
      <c r="BG410" s="15" t="str">
        <f t="shared" si="733"/>
        <v>33.46</v>
      </c>
      <c r="BH410" s="15" t="s">
        <v>1109</v>
      </c>
      <c r="BI410" s="15" t="str">
        <f t="shared" si="734"/>
        <v>2.95</v>
      </c>
      <c r="BJ410" s="15" t="s">
        <v>5137</v>
      </c>
      <c r="BK410" s="15" t="str">
        <f t="shared" si="735"/>
        <v>33.46</v>
      </c>
      <c r="BL410" s="15" t="s">
        <v>1109</v>
      </c>
      <c r="BM410" s="15" t="str">
        <f t="shared" si="736"/>
        <v>16.53</v>
      </c>
      <c r="BN410" s="15" t="s">
        <v>5138</v>
      </c>
      <c r="BO410" s="15" t="s">
        <v>2238</v>
      </c>
      <c r="BP410" s="15" t="str">
        <f t="shared" si="737"/>
        <v>22.44</v>
      </c>
      <c r="BQ410" s="15" t="s">
        <v>1156</v>
      </c>
      <c r="BR410" s="15" t="str">
        <f t="shared" si="738"/>
        <v>22.44</v>
      </c>
      <c r="BS410" s="15" t="s">
        <v>1156</v>
      </c>
      <c r="BT410" s="15" t="str">
        <f>"37.44"</f>
        <v>37.44</v>
      </c>
      <c r="BU410" s="15" t="s">
        <v>5147</v>
      </c>
      <c r="BV410" s="15" t="str">
        <f>"72.75"</f>
        <v>72.75</v>
      </c>
      <c r="BW410" s="15" t="s">
        <v>3022</v>
      </c>
      <c r="BZ410" s="15" t="s">
        <v>444</v>
      </c>
      <c r="CB410" s="15" t="s">
        <v>444</v>
      </c>
      <c r="CD410" s="15" t="s">
        <v>444</v>
      </c>
      <c r="CF410" s="15" t="s">
        <v>444</v>
      </c>
      <c r="CI410" s="15" t="s">
        <v>444</v>
      </c>
      <c r="CK410" s="15" t="s">
        <v>444</v>
      </c>
      <c r="CM410" s="15" t="s">
        <v>444</v>
      </c>
      <c r="CO410" s="15" t="s">
        <v>444</v>
      </c>
      <c r="CP410" s="15" t="str">
        <f>"12.82"</f>
        <v>12.82</v>
      </c>
      <c r="CQ410" s="15" t="str">
        <f>"0.363"</f>
        <v>0.363</v>
      </c>
      <c r="CR410" s="15" t="s">
        <v>465</v>
      </c>
      <c r="DC410" s="15" t="str">
        <f>IFERROR(__xludf.DUMMYFUNCTION("""COMPUTED_VALUE"""),"")</f>
        <v/>
      </c>
      <c r="DE410" s="15" t="str">
        <f>IFERROR(__xludf.DUMMYFUNCTION("""COMPUTED_VALUE"""),"")</f>
        <v/>
      </c>
      <c r="DG410" s="15" t="str">
        <f>IFERROR(__xludf.DUMMYFUNCTION("""COMPUTED_VALUE"""),"")</f>
        <v/>
      </c>
      <c r="DL410" s="15" t="str">
        <f>IFERROR(__xludf.DUMMYFUNCTION("""COMPUTED_VALUE"""),"")</f>
        <v/>
      </c>
      <c r="DM410" s="15" t="s">
        <v>444</v>
      </c>
      <c r="DN410" s="15" t="s">
        <v>419</v>
      </c>
      <c r="DO410" s="15">
        <v>0.0</v>
      </c>
      <c r="DP410" s="15" t="s">
        <v>419</v>
      </c>
      <c r="DR410" s="15">
        <v>0.0</v>
      </c>
      <c r="DT410" s="15" t="s">
        <v>1388</v>
      </c>
      <c r="DU410" s="15" t="s">
        <v>419</v>
      </c>
      <c r="DW410" s="15">
        <v>0.0</v>
      </c>
      <c r="DX410" s="15">
        <v>0.0</v>
      </c>
      <c r="DY410" s="15">
        <v>0.0</v>
      </c>
      <c r="EE410" s="15">
        <v>2.0</v>
      </c>
      <c r="EF410" s="15" t="s">
        <v>1157</v>
      </c>
      <c r="EG410" s="15" t="s">
        <v>1158</v>
      </c>
      <c r="EH410" s="15" t="s">
        <v>5140</v>
      </c>
      <c r="EJ410" s="15" t="s">
        <v>500</v>
      </c>
      <c r="EK410" s="15" t="s">
        <v>501</v>
      </c>
      <c r="EM410" s="15" t="str">
        <f>IFERROR(__xludf.DUMMYFUNCTION("""COMPUTED_VALUE"""),"")</f>
        <v/>
      </c>
      <c r="EW410" s="15" t="s">
        <v>4959</v>
      </c>
      <c r="FH410" s="15" t="s">
        <v>467</v>
      </c>
      <c r="FI410" s="15" t="s">
        <v>4959</v>
      </c>
      <c r="FJ410" s="15" t="s">
        <v>467</v>
      </c>
      <c r="FK410" s="15" t="s">
        <v>612</v>
      </c>
      <c r="FL410" s="15" t="s">
        <v>426</v>
      </c>
      <c r="FM410" s="15">
        <v>0.0</v>
      </c>
      <c r="FN410" s="15">
        <v>0.0</v>
      </c>
      <c r="FW410" s="15" t="s">
        <v>762</v>
      </c>
      <c r="JF410" s="15" t="s">
        <v>4593</v>
      </c>
    </row>
    <row r="411" ht="15.75" customHeight="1">
      <c r="A411" s="14" t="s">
        <v>391</v>
      </c>
      <c r="B411" s="15" t="s">
        <v>5130</v>
      </c>
      <c r="C411" s="16"/>
      <c r="D411" s="15" t="s">
        <v>432</v>
      </c>
      <c r="G411" s="14" t="s">
        <v>393</v>
      </c>
      <c r="H411" s="14" t="s">
        <v>394</v>
      </c>
      <c r="I411" s="14" t="b">
        <v>1</v>
      </c>
      <c r="J411" s="14" t="s">
        <v>395</v>
      </c>
      <c r="L411" s="14" t="b">
        <v>0</v>
      </c>
      <c r="M411" s="15" t="s">
        <v>5148</v>
      </c>
      <c r="N411" s="14" t="s">
        <v>393</v>
      </c>
      <c r="O411" s="14" t="s">
        <v>393</v>
      </c>
      <c r="P411" s="15" t="s">
        <v>397</v>
      </c>
      <c r="Q411" s="15" t="s">
        <v>5149</v>
      </c>
      <c r="R411" s="15" t="s">
        <v>265</v>
      </c>
      <c r="S411" s="15">
        <v>42.5</v>
      </c>
      <c r="T411" s="14" t="b">
        <v>0</v>
      </c>
      <c r="U411" s="15" t="s">
        <v>5150</v>
      </c>
      <c r="V411" s="15" t="s">
        <v>5151</v>
      </c>
      <c r="W411" s="15" t="s">
        <v>401</v>
      </c>
      <c r="X411" s="15" t="s">
        <v>695</v>
      </c>
      <c r="Y411" s="15">
        <v>2080.0</v>
      </c>
      <c r="AA411" s="15" t="str">
        <f>"800"</f>
        <v>800</v>
      </c>
      <c r="AB411" s="14" t="b">
        <v>1</v>
      </c>
      <c r="AC411" s="14" t="b">
        <v>1</v>
      </c>
      <c r="AD411" s="15" t="str">
        <f>"801542976576"</f>
        <v>801542976576</v>
      </c>
      <c r="AE411" s="15" t="s">
        <v>5152</v>
      </c>
      <c r="AF411" s="14" t="s">
        <v>404</v>
      </c>
      <c r="AG411" s="14" t="s">
        <v>405</v>
      </c>
      <c r="AH411" s="14" t="s">
        <v>406</v>
      </c>
      <c r="AI411" s="15">
        <v>0.0</v>
      </c>
      <c r="AL411" s="15" t="s">
        <v>5153</v>
      </c>
      <c r="AM411" s="15" t="s">
        <v>410</v>
      </c>
      <c r="AN411" s="15" t="s">
        <v>439</v>
      </c>
      <c r="AO411" s="15" t="s">
        <v>410</v>
      </c>
      <c r="AP411" s="15" t="s">
        <v>439</v>
      </c>
      <c r="AQ411" s="15" t="s">
        <v>3345</v>
      </c>
      <c r="AR411" s="15" t="s">
        <v>3346</v>
      </c>
      <c r="AS411" s="15" t="s">
        <v>2193</v>
      </c>
      <c r="AT411" s="15" t="s">
        <v>2246</v>
      </c>
      <c r="AU411" s="15" t="s">
        <v>5149</v>
      </c>
      <c r="AW411" s="15" t="s">
        <v>548</v>
      </c>
      <c r="AX411" s="15" t="s">
        <v>4401</v>
      </c>
      <c r="AY411" s="15" t="s">
        <v>413</v>
      </c>
      <c r="AZ411" s="15" t="b">
        <v>0</v>
      </c>
      <c r="BA411" s="15" t="s">
        <v>413</v>
      </c>
      <c r="BB411" s="15" t="b">
        <v>0</v>
      </c>
      <c r="BC411" s="15" t="s">
        <v>5154</v>
      </c>
      <c r="BD411" s="15" t="s">
        <v>709</v>
      </c>
      <c r="BE411" s="15" t="str">
        <f t="shared" si="732"/>
        <v>2</v>
      </c>
      <c r="BF411" s="15" t="s">
        <v>1564</v>
      </c>
      <c r="BG411" s="15" t="str">
        <f t="shared" ref="BG411:BG412" si="739">"37.4"</f>
        <v>37.4</v>
      </c>
      <c r="BH411" s="15" t="s">
        <v>3175</v>
      </c>
      <c r="BI411" s="15" t="str">
        <f t="shared" ref="BI411:BI412" si="740">"3.94"</f>
        <v>3.94</v>
      </c>
      <c r="BJ411" s="15" t="s">
        <v>5155</v>
      </c>
      <c r="BK411" s="15" t="str">
        <f t="shared" ref="BK411:BK412" si="741">"37.4"</f>
        <v>37.4</v>
      </c>
      <c r="BL411" s="15" t="s">
        <v>3175</v>
      </c>
      <c r="BM411" s="15" t="str">
        <f t="shared" ref="BM411:BM412" si="742">"80.47"</f>
        <v>80.47</v>
      </c>
      <c r="BN411" s="15" t="s">
        <v>3249</v>
      </c>
      <c r="BO411" s="15" t="s">
        <v>2238</v>
      </c>
      <c r="BP411" s="15" t="str">
        <f t="shared" si="737"/>
        <v>22.44</v>
      </c>
      <c r="BQ411" s="15" t="s">
        <v>1156</v>
      </c>
      <c r="BR411" s="15" t="str">
        <f t="shared" si="738"/>
        <v>22.44</v>
      </c>
      <c r="BS411" s="15" t="s">
        <v>1156</v>
      </c>
      <c r="BT411" s="15" t="str">
        <f>"43.43"</f>
        <v>43.43</v>
      </c>
      <c r="BU411" s="15" t="s">
        <v>5139</v>
      </c>
      <c r="BV411" s="15" t="str">
        <f>"74.96"</f>
        <v>74.96</v>
      </c>
      <c r="BW411" s="15" t="s">
        <v>3559</v>
      </c>
      <c r="BZ411" s="15" t="s">
        <v>444</v>
      </c>
      <c r="CB411" s="15" t="s">
        <v>444</v>
      </c>
      <c r="CD411" s="15" t="s">
        <v>444</v>
      </c>
      <c r="CF411" s="15" t="s">
        <v>444</v>
      </c>
      <c r="CI411" s="15" t="s">
        <v>444</v>
      </c>
      <c r="CK411" s="15" t="s">
        <v>444</v>
      </c>
      <c r="CM411" s="15" t="s">
        <v>444</v>
      </c>
      <c r="CO411" s="15" t="s">
        <v>444</v>
      </c>
      <c r="CP411" s="15" t="str">
        <f>"15.82"</f>
        <v>15.82</v>
      </c>
      <c r="CQ411" s="15" t="str">
        <f>"0.448"</f>
        <v>0.448</v>
      </c>
      <c r="CR411" s="15" t="s">
        <v>497</v>
      </c>
      <c r="DC411" s="15" t="str">
        <f>IFERROR(__xludf.DUMMYFUNCTION("""COMPUTED_VALUE"""),"")</f>
        <v/>
      </c>
      <c r="DE411" s="15" t="str">
        <f>IFERROR(__xludf.DUMMYFUNCTION("""COMPUTED_VALUE"""),"")</f>
        <v/>
      </c>
      <c r="DG411" s="15" t="str">
        <f>IFERROR(__xludf.DUMMYFUNCTION("""COMPUTED_VALUE"""),"")</f>
        <v/>
      </c>
      <c r="DL411" s="15" t="str">
        <f>IFERROR(__xludf.DUMMYFUNCTION("""COMPUTED_VALUE"""),"")</f>
        <v/>
      </c>
      <c r="DM411" s="15" t="s">
        <v>444</v>
      </c>
      <c r="DN411" s="15" t="s">
        <v>419</v>
      </c>
      <c r="DO411" s="15">
        <v>0.0</v>
      </c>
      <c r="DP411" s="15" t="s">
        <v>419</v>
      </c>
      <c r="DR411" s="15">
        <v>0.0</v>
      </c>
      <c r="DT411" s="15" t="s">
        <v>1388</v>
      </c>
      <c r="DU411" s="15" t="s">
        <v>419</v>
      </c>
      <c r="DW411" s="15">
        <v>0.0</v>
      </c>
      <c r="DX411" s="15">
        <v>0.0</v>
      </c>
      <c r="DY411" s="15">
        <v>0.0</v>
      </c>
      <c r="EE411" s="15">
        <v>2.0</v>
      </c>
      <c r="EF411" s="15" t="s">
        <v>1157</v>
      </c>
      <c r="EG411" s="15" t="s">
        <v>1158</v>
      </c>
      <c r="EH411" s="15" t="s">
        <v>5140</v>
      </c>
      <c r="EJ411" s="15" t="s">
        <v>500</v>
      </c>
      <c r="EK411" s="15" t="s">
        <v>501</v>
      </c>
      <c r="EM411" s="15" t="str">
        <f>IFERROR(__xludf.DUMMYFUNCTION("""COMPUTED_VALUE"""),"")</f>
        <v/>
      </c>
      <c r="EW411" s="15" t="s">
        <v>5141</v>
      </c>
      <c r="FH411" s="15" t="s">
        <v>467</v>
      </c>
      <c r="FI411" s="15" t="s">
        <v>5141</v>
      </c>
      <c r="FJ411" s="15" t="s">
        <v>467</v>
      </c>
      <c r="FK411" s="15" t="s">
        <v>612</v>
      </c>
      <c r="FL411" s="15" t="s">
        <v>426</v>
      </c>
      <c r="FM411" s="15">
        <v>0.0</v>
      </c>
      <c r="FN411" s="15">
        <v>0.0</v>
      </c>
      <c r="FW411" s="15" t="s">
        <v>762</v>
      </c>
      <c r="JF411" s="15" t="s">
        <v>4412</v>
      </c>
    </row>
    <row r="412" ht="15.75" customHeight="1">
      <c r="A412" s="14" t="s">
        <v>391</v>
      </c>
      <c r="B412" s="15" t="s">
        <v>5130</v>
      </c>
      <c r="C412" s="16"/>
      <c r="D412" s="15" t="s">
        <v>432</v>
      </c>
      <c r="G412" s="14" t="s">
        <v>393</v>
      </c>
      <c r="H412" s="14" t="s">
        <v>394</v>
      </c>
      <c r="I412" s="14" t="b">
        <v>1</v>
      </c>
      <c r="J412" s="14" t="s">
        <v>395</v>
      </c>
      <c r="L412" s="14" t="b">
        <v>0</v>
      </c>
      <c r="M412" s="15" t="s">
        <v>5156</v>
      </c>
      <c r="N412" s="14" t="s">
        <v>393</v>
      </c>
      <c r="O412" s="14" t="s">
        <v>393</v>
      </c>
      <c r="P412" s="15" t="s">
        <v>397</v>
      </c>
      <c r="Q412" s="15" t="s">
        <v>5149</v>
      </c>
      <c r="R412" s="15" t="s">
        <v>265</v>
      </c>
      <c r="S412" s="15">
        <v>36.5</v>
      </c>
      <c r="T412" s="14" t="b">
        <v>0</v>
      </c>
      <c r="U412" s="15" t="s">
        <v>5157</v>
      </c>
      <c r="V412" s="15" t="s">
        <v>5158</v>
      </c>
      <c r="W412" s="15" t="s">
        <v>401</v>
      </c>
      <c r="X412" s="15" t="s">
        <v>695</v>
      </c>
      <c r="Y412" s="15">
        <v>1976.0</v>
      </c>
      <c r="AA412" s="15" t="str">
        <f>"760"</f>
        <v>760</v>
      </c>
      <c r="AB412" s="14" t="b">
        <v>1</v>
      </c>
      <c r="AC412" s="14" t="b">
        <v>1</v>
      </c>
      <c r="AD412" s="15" t="str">
        <f>"801542976590"</f>
        <v>801542976590</v>
      </c>
      <c r="AE412" s="15" t="s">
        <v>5159</v>
      </c>
      <c r="AF412" s="14" t="s">
        <v>404</v>
      </c>
      <c r="AG412" s="14" t="s">
        <v>405</v>
      </c>
      <c r="AH412" s="14" t="s">
        <v>406</v>
      </c>
      <c r="AI412" s="15">
        <v>0.0</v>
      </c>
      <c r="AL412" s="15" t="s">
        <v>5153</v>
      </c>
      <c r="AM412" s="15" t="s">
        <v>410</v>
      </c>
      <c r="AN412" s="15" t="s">
        <v>439</v>
      </c>
      <c r="AO412" s="15" t="s">
        <v>410</v>
      </c>
      <c r="AP412" s="15" t="s">
        <v>439</v>
      </c>
      <c r="AQ412" s="15" t="s">
        <v>976</v>
      </c>
      <c r="AR412" s="15" t="s">
        <v>977</v>
      </c>
      <c r="AS412" s="15" t="s">
        <v>2193</v>
      </c>
      <c r="AT412" s="15" t="s">
        <v>2246</v>
      </c>
      <c r="AU412" s="15" t="s">
        <v>5149</v>
      </c>
      <c r="AW412" s="15" t="s">
        <v>548</v>
      </c>
      <c r="AX412" s="15" t="s">
        <v>4401</v>
      </c>
      <c r="AY412" s="15" t="s">
        <v>413</v>
      </c>
      <c r="AZ412" s="15" t="b">
        <v>0</v>
      </c>
      <c r="BA412" s="15" t="s">
        <v>413</v>
      </c>
      <c r="BB412" s="15" t="b">
        <v>0</v>
      </c>
      <c r="BC412" s="15" t="s">
        <v>5160</v>
      </c>
      <c r="BD412" s="15" t="s">
        <v>709</v>
      </c>
      <c r="BE412" s="15" t="str">
        <f t="shared" si="732"/>
        <v>2</v>
      </c>
      <c r="BF412" s="15" t="s">
        <v>1564</v>
      </c>
      <c r="BG412" s="15" t="str">
        <f t="shared" si="739"/>
        <v>37.4</v>
      </c>
      <c r="BH412" s="15" t="s">
        <v>3175</v>
      </c>
      <c r="BI412" s="15" t="str">
        <f t="shared" si="740"/>
        <v>3.94</v>
      </c>
      <c r="BJ412" s="15" t="s">
        <v>5155</v>
      </c>
      <c r="BK412" s="15" t="str">
        <f t="shared" si="741"/>
        <v>37.4</v>
      </c>
      <c r="BL412" s="15" t="s">
        <v>3175</v>
      </c>
      <c r="BM412" s="15" t="str">
        <f t="shared" si="742"/>
        <v>80.47</v>
      </c>
      <c r="BN412" s="15" t="s">
        <v>3249</v>
      </c>
      <c r="BO412" s="15" t="s">
        <v>2238</v>
      </c>
      <c r="BP412" s="15" t="str">
        <f t="shared" si="737"/>
        <v>22.44</v>
      </c>
      <c r="BQ412" s="15" t="s">
        <v>1156</v>
      </c>
      <c r="BR412" s="15" t="str">
        <f t="shared" si="738"/>
        <v>22.44</v>
      </c>
      <c r="BS412" s="15" t="s">
        <v>1156</v>
      </c>
      <c r="BT412" s="15" t="str">
        <f>"37.44"</f>
        <v>37.44</v>
      </c>
      <c r="BU412" s="15" t="s">
        <v>5147</v>
      </c>
      <c r="BV412" s="15" t="str">
        <f>"72.75"</f>
        <v>72.75</v>
      </c>
      <c r="BW412" s="15" t="s">
        <v>3022</v>
      </c>
      <c r="BZ412" s="15" t="s">
        <v>444</v>
      </c>
      <c r="CB412" s="15" t="s">
        <v>444</v>
      </c>
      <c r="CD412" s="15" t="s">
        <v>444</v>
      </c>
      <c r="CF412" s="15" t="s">
        <v>444</v>
      </c>
      <c r="CI412" s="15" t="s">
        <v>444</v>
      </c>
      <c r="CK412" s="15" t="s">
        <v>444</v>
      </c>
      <c r="CM412" s="15" t="s">
        <v>444</v>
      </c>
      <c r="CO412" s="15" t="s">
        <v>444</v>
      </c>
      <c r="CP412" s="15" t="str">
        <f>"14.09"</f>
        <v>14.09</v>
      </c>
      <c r="CQ412" s="15" t="str">
        <f>"0.399"</f>
        <v>0.399</v>
      </c>
      <c r="CR412" s="15" t="s">
        <v>465</v>
      </c>
      <c r="DC412" s="15" t="str">
        <f>IFERROR(__xludf.DUMMYFUNCTION("""COMPUTED_VALUE"""),"")</f>
        <v/>
      </c>
      <c r="DE412" s="15" t="str">
        <f>IFERROR(__xludf.DUMMYFUNCTION("""COMPUTED_VALUE"""),"")</f>
        <v/>
      </c>
      <c r="DG412" s="15" t="str">
        <f>IFERROR(__xludf.DUMMYFUNCTION("""COMPUTED_VALUE"""),"")</f>
        <v/>
      </c>
      <c r="DL412" s="15" t="str">
        <f>IFERROR(__xludf.DUMMYFUNCTION("""COMPUTED_VALUE"""),"")</f>
        <v/>
      </c>
      <c r="DM412" s="15" t="s">
        <v>444</v>
      </c>
      <c r="DN412" s="15" t="s">
        <v>419</v>
      </c>
      <c r="DO412" s="15">
        <v>0.0</v>
      </c>
      <c r="DP412" s="15" t="s">
        <v>419</v>
      </c>
      <c r="DR412" s="15">
        <v>0.0</v>
      </c>
      <c r="DT412" s="15" t="s">
        <v>1388</v>
      </c>
      <c r="DU412" s="15" t="s">
        <v>419</v>
      </c>
      <c r="DW412" s="15">
        <v>0.0</v>
      </c>
      <c r="DX412" s="15">
        <v>0.0</v>
      </c>
      <c r="DY412" s="15">
        <v>0.0</v>
      </c>
      <c r="EE412" s="15">
        <v>2.0</v>
      </c>
      <c r="EF412" s="15" t="s">
        <v>1157</v>
      </c>
      <c r="EG412" s="15" t="s">
        <v>1158</v>
      </c>
      <c r="EH412" s="15" t="s">
        <v>5140</v>
      </c>
      <c r="EJ412" s="15" t="s">
        <v>500</v>
      </c>
      <c r="EK412" s="15" t="s">
        <v>501</v>
      </c>
      <c r="EM412" s="15" t="str">
        <f>IFERROR(__xludf.DUMMYFUNCTION("""COMPUTED_VALUE"""),"")</f>
        <v/>
      </c>
      <c r="EW412" s="15" t="s">
        <v>4959</v>
      </c>
      <c r="FH412" s="15" t="s">
        <v>467</v>
      </c>
      <c r="FI412" s="15" t="s">
        <v>4959</v>
      </c>
      <c r="FJ412" s="15" t="s">
        <v>467</v>
      </c>
      <c r="FK412" s="15" t="s">
        <v>612</v>
      </c>
      <c r="FL412" s="15" t="s">
        <v>426</v>
      </c>
      <c r="FM412" s="15">
        <v>0.0</v>
      </c>
      <c r="FN412" s="15">
        <v>0.0</v>
      </c>
      <c r="FW412" s="15" t="s">
        <v>762</v>
      </c>
      <c r="JF412" s="15" t="s">
        <v>4593</v>
      </c>
    </row>
    <row r="413" ht="15.75" customHeight="1">
      <c r="A413" s="14" t="s">
        <v>391</v>
      </c>
      <c r="B413" s="15" t="s">
        <v>5161</v>
      </c>
      <c r="C413" s="16"/>
      <c r="D413" s="15" t="s">
        <v>432</v>
      </c>
      <c r="G413" s="14" t="s">
        <v>393</v>
      </c>
      <c r="H413" s="14" t="s">
        <v>394</v>
      </c>
      <c r="I413" s="14" t="b">
        <v>1</v>
      </c>
      <c r="J413" s="14" t="s">
        <v>395</v>
      </c>
      <c r="L413" s="14" t="b">
        <v>0</v>
      </c>
      <c r="M413" s="15" t="s">
        <v>5162</v>
      </c>
      <c r="N413" s="14" t="s">
        <v>393</v>
      </c>
      <c r="O413" s="14" t="s">
        <v>393</v>
      </c>
      <c r="P413" s="15" t="s">
        <v>397</v>
      </c>
      <c r="Q413" s="15" t="s">
        <v>5163</v>
      </c>
      <c r="T413" s="14" t="b">
        <v>0</v>
      </c>
      <c r="U413" s="15" t="s">
        <v>5164</v>
      </c>
      <c r="V413" s="15" t="s">
        <v>5165</v>
      </c>
      <c r="W413" s="15" t="s">
        <v>401</v>
      </c>
      <c r="X413" s="15" t="s">
        <v>695</v>
      </c>
      <c r="Y413" s="15">
        <v>1482.0</v>
      </c>
      <c r="AA413" s="15" t="str">
        <f>"570"</f>
        <v>570</v>
      </c>
      <c r="AB413" s="14" t="b">
        <v>1</v>
      </c>
      <c r="AC413" s="14" t="b">
        <v>1</v>
      </c>
      <c r="AD413" s="15" t="str">
        <f>"801542094164"</f>
        <v>801542094164</v>
      </c>
      <c r="AE413" s="15" t="s">
        <v>5166</v>
      </c>
      <c r="AF413" s="14" t="s">
        <v>404</v>
      </c>
      <c r="AG413" s="14" t="s">
        <v>405</v>
      </c>
      <c r="AH413" s="14" t="s">
        <v>406</v>
      </c>
      <c r="AI413" s="15">
        <v>0.0</v>
      </c>
      <c r="AL413" s="15" t="s">
        <v>5167</v>
      </c>
      <c r="AM413" s="15" t="s">
        <v>1224</v>
      </c>
      <c r="AN413" s="15" t="s">
        <v>1225</v>
      </c>
      <c r="AO413" s="15" t="s">
        <v>645</v>
      </c>
      <c r="AP413" s="15" t="s">
        <v>646</v>
      </c>
      <c r="AQ413" s="15" t="s">
        <v>2039</v>
      </c>
      <c r="AR413" s="15" t="s">
        <v>2040</v>
      </c>
      <c r="AS413" s="15" t="s">
        <v>1317</v>
      </c>
      <c r="AT413" s="15" t="s">
        <v>5163</v>
      </c>
      <c r="AW413" s="15" t="s">
        <v>491</v>
      </c>
      <c r="AY413" s="15" t="s">
        <v>413</v>
      </c>
      <c r="AZ413" s="15" t="b">
        <v>0</v>
      </c>
      <c r="BA413" s="15" t="s">
        <v>413</v>
      </c>
      <c r="BB413" s="15" t="b">
        <v>0</v>
      </c>
      <c r="BC413" s="15" t="s">
        <v>5168</v>
      </c>
      <c r="BD413" s="15" t="s">
        <v>709</v>
      </c>
      <c r="BE413" s="15" t="str">
        <f t="shared" ref="BE413:BE427" si="743">"1"</f>
        <v>1</v>
      </c>
      <c r="BF413" s="15" t="s">
        <v>416</v>
      </c>
      <c r="BG413" s="15" t="str">
        <f>"69.29"</f>
        <v>69.29</v>
      </c>
      <c r="BH413" s="15" t="s">
        <v>4999</v>
      </c>
      <c r="BI413" s="15" t="str">
        <f>"36.22"</f>
        <v>36.22</v>
      </c>
      <c r="BJ413" s="15" t="s">
        <v>1779</v>
      </c>
      <c r="BK413" s="15" t="str">
        <f>"10.63"</f>
        <v>10.63</v>
      </c>
      <c r="BL413" s="15" t="s">
        <v>931</v>
      </c>
      <c r="BM413" s="15" t="str">
        <f>"88.18"</f>
        <v>88.18</v>
      </c>
      <c r="BN413" s="15" t="s">
        <v>5169</v>
      </c>
      <c r="BQ413" s="15" t="s">
        <v>444</v>
      </c>
      <c r="BS413" s="15" t="s">
        <v>444</v>
      </c>
      <c r="BU413" s="15" t="s">
        <v>444</v>
      </c>
      <c r="BW413" s="15" t="s">
        <v>444</v>
      </c>
      <c r="BZ413" s="15" t="s">
        <v>444</v>
      </c>
      <c r="CB413" s="15" t="s">
        <v>444</v>
      </c>
      <c r="CD413" s="15" t="s">
        <v>444</v>
      </c>
      <c r="CF413" s="15" t="s">
        <v>444</v>
      </c>
      <c r="CI413" s="15" t="s">
        <v>444</v>
      </c>
      <c r="CK413" s="15" t="s">
        <v>444</v>
      </c>
      <c r="CM413" s="15" t="s">
        <v>444</v>
      </c>
      <c r="CO413" s="15" t="s">
        <v>444</v>
      </c>
      <c r="CP413" s="15" t="str">
        <f>"15.43"</f>
        <v>15.43</v>
      </c>
      <c r="CQ413" s="15" t="str">
        <f>"0.437"</f>
        <v>0.437</v>
      </c>
      <c r="CR413" s="15" t="s">
        <v>417</v>
      </c>
      <c r="DC413" s="15" t="str">
        <f>IFERROR(__xludf.DUMMYFUNCTION("""COMPUTED_VALUE"""),"")</f>
        <v/>
      </c>
      <c r="DE413" s="15" t="str">
        <f>IFERROR(__xludf.DUMMYFUNCTION("""COMPUTED_VALUE"""),"")</f>
        <v/>
      </c>
      <c r="DG413" s="15" t="str">
        <f>IFERROR(__xludf.DUMMYFUNCTION("""COMPUTED_VALUE"""),"")</f>
        <v/>
      </c>
      <c r="DL413" s="15" t="str">
        <f>IFERROR(__xludf.DUMMYFUNCTION("""COMPUTED_VALUE"""),"")</f>
        <v/>
      </c>
      <c r="DM413" s="15" t="s">
        <v>444</v>
      </c>
      <c r="DN413" s="15" t="s">
        <v>419</v>
      </c>
      <c r="DO413" s="15">
        <v>0.0</v>
      </c>
      <c r="DP413" s="15" t="s">
        <v>419</v>
      </c>
      <c r="DR413" s="15">
        <v>0.0</v>
      </c>
      <c r="DT413" s="15" t="s">
        <v>1509</v>
      </c>
      <c r="DU413" s="15" t="s">
        <v>419</v>
      </c>
      <c r="DY413" s="15">
        <v>0.0</v>
      </c>
      <c r="EF413" s="15" t="s">
        <v>471</v>
      </c>
      <c r="EG413" s="15" t="s">
        <v>472</v>
      </c>
      <c r="EH413" s="15" t="s">
        <v>5170</v>
      </c>
      <c r="EJ413" s="15" t="s">
        <v>500</v>
      </c>
      <c r="EK413" s="15" t="s">
        <v>501</v>
      </c>
      <c r="EM413" s="15" t="str">
        <f>IFERROR(__xludf.DUMMYFUNCTION("""COMPUTED_VALUE"""),"")</f>
        <v/>
      </c>
      <c r="EW413" s="15" t="s">
        <v>672</v>
      </c>
      <c r="EX413" s="15" t="s">
        <v>734</v>
      </c>
      <c r="EY413" s="15" t="s">
        <v>5171</v>
      </c>
      <c r="FH413" s="15" t="s">
        <v>2434</v>
      </c>
      <c r="FI413" s="15" t="s">
        <v>1213</v>
      </c>
      <c r="FJ413" s="15" t="s">
        <v>5172</v>
      </c>
      <c r="FK413" s="15" t="s">
        <v>672</v>
      </c>
      <c r="FL413" s="15" t="s">
        <v>426</v>
      </c>
      <c r="FM413" s="15">
        <v>0.0</v>
      </c>
      <c r="FN413" s="15">
        <v>0.0</v>
      </c>
      <c r="FW413" s="15" t="s">
        <v>5173</v>
      </c>
    </row>
    <row r="414" ht="15.75" customHeight="1">
      <c r="A414" s="14" t="s">
        <v>391</v>
      </c>
      <c r="B414" s="15" t="s">
        <v>5174</v>
      </c>
      <c r="C414" s="16"/>
      <c r="D414" s="15" t="s">
        <v>432</v>
      </c>
      <c r="G414" s="14" t="s">
        <v>393</v>
      </c>
      <c r="H414" s="14" t="s">
        <v>394</v>
      </c>
      <c r="I414" s="14" t="b">
        <v>1</v>
      </c>
      <c r="J414" s="14" t="s">
        <v>395</v>
      </c>
      <c r="L414" s="14" t="b">
        <v>0</v>
      </c>
      <c r="M414" s="15" t="s">
        <v>5175</v>
      </c>
      <c r="N414" s="14" t="s">
        <v>393</v>
      </c>
      <c r="O414" s="14" t="s">
        <v>393</v>
      </c>
      <c r="P414" s="15" t="s">
        <v>397</v>
      </c>
      <c r="Q414" s="15" t="s">
        <v>5176</v>
      </c>
      <c r="T414" s="14" t="b">
        <v>0</v>
      </c>
      <c r="U414" s="15" t="s">
        <v>5177</v>
      </c>
      <c r="V414" s="15" t="s">
        <v>5178</v>
      </c>
      <c r="W414" s="15" t="s">
        <v>401</v>
      </c>
      <c r="X414" s="15" t="s">
        <v>695</v>
      </c>
      <c r="Y414" s="15">
        <v>1313.0</v>
      </c>
      <c r="AA414" s="15" t="str">
        <f>"505"</f>
        <v>505</v>
      </c>
      <c r="AB414" s="14" t="b">
        <v>1</v>
      </c>
      <c r="AC414" s="14" t="b">
        <v>1</v>
      </c>
      <c r="AD414" s="15" t="str">
        <f>"801542094980"</f>
        <v>801542094980</v>
      </c>
      <c r="AE414" s="15" t="s">
        <v>5179</v>
      </c>
      <c r="AF414" s="14" t="s">
        <v>404</v>
      </c>
      <c r="AG414" s="14" t="s">
        <v>405</v>
      </c>
      <c r="AH414" s="14" t="s">
        <v>406</v>
      </c>
      <c r="AI414" s="15">
        <v>0.0</v>
      </c>
      <c r="AL414" s="15" t="s">
        <v>1099</v>
      </c>
      <c r="AM414" s="15" t="s">
        <v>2355</v>
      </c>
      <c r="AN414" s="15" t="s">
        <v>2356</v>
      </c>
      <c r="AO414" s="15" t="s">
        <v>2061</v>
      </c>
      <c r="AP414" s="15" t="s">
        <v>2062</v>
      </c>
      <c r="AQ414" s="15" t="s">
        <v>1276</v>
      </c>
      <c r="AR414" s="15" t="s">
        <v>1277</v>
      </c>
      <c r="AS414" s="15" t="s">
        <v>1317</v>
      </c>
      <c r="AT414" s="15" t="s">
        <v>5176</v>
      </c>
      <c r="AW414" s="15" t="s">
        <v>519</v>
      </c>
      <c r="AY414" s="15" t="s">
        <v>413</v>
      </c>
      <c r="AZ414" s="15" t="b">
        <v>0</v>
      </c>
      <c r="BA414" s="15" t="s">
        <v>413</v>
      </c>
      <c r="BB414" s="15" t="b">
        <v>0</v>
      </c>
      <c r="BC414" s="15" t="s">
        <v>5180</v>
      </c>
      <c r="BD414" s="15" t="s">
        <v>709</v>
      </c>
      <c r="BE414" s="15" t="str">
        <f t="shared" si="743"/>
        <v>1</v>
      </c>
      <c r="BF414" s="15" t="s">
        <v>416</v>
      </c>
      <c r="BG414" s="15" t="str">
        <f>"80.91"</f>
        <v>80.91</v>
      </c>
      <c r="BH414" s="15" t="s">
        <v>5181</v>
      </c>
      <c r="BI414" s="15" t="str">
        <f>"28.54"</f>
        <v>28.54</v>
      </c>
      <c r="BJ414" s="15" t="s">
        <v>3923</v>
      </c>
      <c r="BK414" s="15" t="str">
        <f>"9.65"</f>
        <v>9.65</v>
      </c>
      <c r="BL414" s="15" t="s">
        <v>5182</v>
      </c>
      <c r="BM414" s="15" t="str">
        <f>"80.91"</f>
        <v>80.91</v>
      </c>
      <c r="BN414" s="15" t="s">
        <v>5183</v>
      </c>
      <c r="BQ414" s="15" t="s">
        <v>444</v>
      </c>
      <c r="BS414" s="15" t="s">
        <v>444</v>
      </c>
      <c r="BU414" s="15" t="s">
        <v>444</v>
      </c>
      <c r="BW414" s="15" t="s">
        <v>444</v>
      </c>
      <c r="BZ414" s="15" t="s">
        <v>444</v>
      </c>
      <c r="CB414" s="15" t="s">
        <v>444</v>
      </c>
      <c r="CD414" s="15" t="s">
        <v>444</v>
      </c>
      <c r="CF414" s="15" t="s">
        <v>444</v>
      </c>
      <c r="CI414" s="15" t="s">
        <v>444</v>
      </c>
      <c r="CK414" s="15" t="s">
        <v>444</v>
      </c>
      <c r="CM414" s="15" t="s">
        <v>444</v>
      </c>
      <c r="CO414" s="15" t="s">
        <v>444</v>
      </c>
      <c r="CP414" s="15" t="str">
        <f>"12.89"</f>
        <v>12.89</v>
      </c>
      <c r="CQ414" s="15" t="str">
        <f>"0.365"</f>
        <v>0.365</v>
      </c>
      <c r="CR414" s="15" t="s">
        <v>417</v>
      </c>
      <c r="DC414" s="15" t="str">
        <f>IFERROR(__xludf.DUMMYFUNCTION("""COMPUTED_VALUE"""),"")</f>
        <v/>
      </c>
      <c r="DE414" s="15" t="str">
        <f>IFERROR(__xludf.DUMMYFUNCTION("""COMPUTED_VALUE"""),"")</f>
        <v/>
      </c>
      <c r="DG414" s="15" t="str">
        <f>IFERROR(__xludf.DUMMYFUNCTION("""COMPUTED_VALUE"""),"")</f>
        <v/>
      </c>
      <c r="DL414" s="15" t="str">
        <f>IFERROR(__xludf.DUMMYFUNCTION("""COMPUTED_VALUE"""),"")</f>
        <v/>
      </c>
      <c r="DM414" s="15" t="s">
        <v>444</v>
      </c>
      <c r="DN414" s="15" t="s">
        <v>419</v>
      </c>
      <c r="DO414" s="15">
        <v>0.0</v>
      </c>
      <c r="DP414" s="15" t="s">
        <v>419</v>
      </c>
      <c r="DR414" s="15">
        <v>0.0</v>
      </c>
      <c r="DT414" s="15" t="s">
        <v>1509</v>
      </c>
      <c r="DU414" s="15" t="s">
        <v>419</v>
      </c>
      <c r="DY414" s="15">
        <v>0.0</v>
      </c>
      <c r="EF414" s="15" t="s">
        <v>471</v>
      </c>
      <c r="EG414" s="15" t="s">
        <v>472</v>
      </c>
      <c r="EH414" s="15" t="s">
        <v>5170</v>
      </c>
      <c r="EJ414" s="15" t="s">
        <v>424</v>
      </c>
      <c r="EK414" s="15" t="s">
        <v>446</v>
      </c>
      <c r="EM414" s="15" t="str">
        <f>IFERROR(__xludf.DUMMYFUNCTION("""COMPUTED_VALUE"""),"")</f>
        <v/>
      </c>
      <c r="EW414" s="15" t="s">
        <v>477</v>
      </c>
      <c r="EX414" s="15" t="s">
        <v>1072</v>
      </c>
      <c r="EY414" s="15" t="s">
        <v>5184</v>
      </c>
      <c r="FH414" s="15" t="s">
        <v>1212</v>
      </c>
      <c r="FI414" s="15" t="s">
        <v>3500</v>
      </c>
      <c r="FJ414" s="15" t="s">
        <v>960</v>
      </c>
      <c r="FK414" s="15" t="s">
        <v>672</v>
      </c>
      <c r="FL414" s="15" t="s">
        <v>426</v>
      </c>
      <c r="FM414" s="15">
        <v>0.0</v>
      </c>
      <c r="FN414" s="15">
        <v>0.0</v>
      </c>
      <c r="FW414" s="15" t="s">
        <v>429</v>
      </c>
      <c r="GH414" s="15">
        <v>0.0</v>
      </c>
      <c r="GI414" s="15" t="s">
        <v>427</v>
      </c>
    </row>
    <row r="415" ht="15.75" customHeight="1">
      <c r="A415" s="14" t="s">
        <v>391</v>
      </c>
      <c r="B415" s="15" t="s">
        <v>5185</v>
      </c>
      <c r="C415" s="16"/>
      <c r="D415" s="15" t="s">
        <v>432</v>
      </c>
      <c r="G415" s="14" t="s">
        <v>393</v>
      </c>
      <c r="H415" s="14" t="s">
        <v>394</v>
      </c>
      <c r="I415" s="14" t="b">
        <v>1</v>
      </c>
      <c r="J415" s="14" t="s">
        <v>395</v>
      </c>
      <c r="L415" s="14" t="b">
        <v>0</v>
      </c>
      <c r="M415" s="15" t="s">
        <v>5186</v>
      </c>
      <c r="N415" s="14" t="s">
        <v>393</v>
      </c>
      <c r="O415" s="14" t="s">
        <v>393</v>
      </c>
      <c r="P415" s="15" t="s">
        <v>397</v>
      </c>
      <c r="Q415" s="15" t="s">
        <v>5176</v>
      </c>
      <c r="T415" s="14" t="b">
        <v>0</v>
      </c>
      <c r="U415" s="15" t="s">
        <v>5187</v>
      </c>
      <c r="V415" s="15" t="s">
        <v>5188</v>
      </c>
      <c r="W415" s="15" t="s">
        <v>401</v>
      </c>
      <c r="X415" s="15" t="s">
        <v>695</v>
      </c>
      <c r="Y415" s="15">
        <v>611.0</v>
      </c>
      <c r="AA415" s="15" t="str">
        <f>"235"</f>
        <v>235</v>
      </c>
      <c r="AB415" s="14" t="b">
        <v>1</v>
      </c>
      <c r="AC415" s="14" t="b">
        <v>1</v>
      </c>
      <c r="AD415" s="15" t="str">
        <f>"801542094997"</f>
        <v>801542094997</v>
      </c>
      <c r="AE415" s="15" t="s">
        <v>5189</v>
      </c>
      <c r="AF415" s="14" t="s">
        <v>404</v>
      </c>
      <c r="AG415" s="14" t="s">
        <v>405</v>
      </c>
      <c r="AH415" s="14" t="s">
        <v>406</v>
      </c>
      <c r="AI415" s="15">
        <v>0.0</v>
      </c>
      <c r="AL415" s="15" t="s">
        <v>1099</v>
      </c>
      <c r="AM415" s="15" t="s">
        <v>1561</v>
      </c>
      <c r="AN415" s="15" t="s">
        <v>1562</v>
      </c>
      <c r="AO415" s="15" t="s">
        <v>2061</v>
      </c>
      <c r="AP415" s="15" t="s">
        <v>2062</v>
      </c>
      <c r="AQ415" s="15" t="s">
        <v>1561</v>
      </c>
      <c r="AR415" s="15" t="s">
        <v>1562</v>
      </c>
      <c r="AS415" s="15" t="s">
        <v>1317</v>
      </c>
      <c r="AT415" s="15" t="s">
        <v>5176</v>
      </c>
      <c r="AW415" s="15" t="s">
        <v>1154</v>
      </c>
      <c r="AY415" s="15" t="s">
        <v>413</v>
      </c>
      <c r="AZ415" s="15" t="b">
        <v>0</v>
      </c>
      <c r="BA415" s="15" t="s">
        <v>413</v>
      </c>
      <c r="BB415" s="15" t="b">
        <v>0</v>
      </c>
      <c r="BC415" s="15" t="s">
        <v>5190</v>
      </c>
      <c r="BD415" s="15" t="s">
        <v>709</v>
      </c>
      <c r="BE415" s="15" t="str">
        <f t="shared" si="743"/>
        <v>1</v>
      </c>
      <c r="BF415" s="15" t="s">
        <v>416</v>
      </c>
      <c r="BG415" s="15" t="str">
        <f>"29.13"</f>
        <v>29.13</v>
      </c>
      <c r="BH415" s="15" t="s">
        <v>1566</v>
      </c>
      <c r="BI415" s="15" t="str">
        <f>"25.98"</f>
        <v>25.98</v>
      </c>
      <c r="BJ415" s="15" t="s">
        <v>522</v>
      </c>
      <c r="BK415" s="15" t="str">
        <f>"11.02"</f>
        <v>11.02</v>
      </c>
      <c r="BL415" s="15" t="s">
        <v>932</v>
      </c>
      <c r="BM415" s="15" t="str">
        <f>"32.63"</f>
        <v>32.63</v>
      </c>
      <c r="BN415" s="15" t="s">
        <v>5191</v>
      </c>
      <c r="BQ415" s="15" t="s">
        <v>444</v>
      </c>
      <c r="BS415" s="15" t="s">
        <v>444</v>
      </c>
      <c r="BU415" s="15" t="s">
        <v>444</v>
      </c>
      <c r="BW415" s="15" t="s">
        <v>444</v>
      </c>
      <c r="BZ415" s="15" t="s">
        <v>444</v>
      </c>
      <c r="CB415" s="15" t="s">
        <v>444</v>
      </c>
      <c r="CD415" s="15" t="s">
        <v>444</v>
      </c>
      <c r="CF415" s="15" t="s">
        <v>444</v>
      </c>
      <c r="CI415" s="15" t="s">
        <v>444</v>
      </c>
      <c r="CK415" s="15" t="s">
        <v>444</v>
      </c>
      <c r="CM415" s="15" t="s">
        <v>444</v>
      </c>
      <c r="CO415" s="15" t="s">
        <v>444</v>
      </c>
      <c r="CP415" s="15" t="str">
        <f>"4.84"</f>
        <v>4.84</v>
      </c>
      <c r="CQ415" s="15" t="str">
        <f>"0.137"</f>
        <v>0.137</v>
      </c>
      <c r="CR415" s="15" t="s">
        <v>417</v>
      </c>
      <c r="DC415" s="15" t="str">
        <f>IFERROR(__xludf.DUMMYFUNCTION("""COMPUTED_VALUE"""),"")</f>
        <v/>
      </c>
      <c r="DE415" s="15" t="str">
        <f>IFERROR(__xludf.DUMMYFUNCTION("""COMPUTED_VALUE"""),"")</f>
        <v/>
      </c>
      <c r="DG415" s="15" t="str">
        <f>IFERROR(__xludf.DUMMYFUNCTION("""COMPUTED_VALUE"""),"")</f>
        <v/>
      </c>
      <c r="DL415" s="15" t="str">
        <f>IFERROR(__xludf.DUMMYFUNCTION("""COMPUTED_VALUE"""),"")</f>
        <v/>
      </c>
      <c r="DM415" s="15" t="s">
        <v>444</v>
      </c>
      <c r="DN415" s="15" t="s">
        <v>419</v>
      </c>
      <c r="DO415" s="15">
        <v>0.0</v>
      </c>
      <c r="DP415" s="15" t="s">
        <v>419</v>
      </c>
      <c r="DR415" s="15">
        <v>0.0</v>
      </c>
      <c r="DT415" s="15" t="s">
        <v>1509</v>
      </c>
      <c r="DU415" s="15" t="s">
        <v>419</v>
      </c>
      <c r="DY415" s="15">
        <v>0.0</v>
      </c>
      <c r="EF415" s="15" t="s">
        <v>471</v>
      </c>
      <c r="EG415" s="15" t="s">
        <v>472</v>
      </c>
      <c r="EH415" s="15" t="s">
        <v>5170</v>
      </c>
      <c r="EJ415" s="15" t="s">
        <v>500</v>
      </c>
      <c r="EK415" s="15" t="s">
        <v>501</v>
      </c>
      <c r="EM415" s="15" t="str">
        <f>IFERROR(__xludf.DUMMYFUNCTION("""COMPUTED_VALUE"""),"")</f>
        <v/>
      </c>
      <c r="EW415" s="15" t="s">
        <v>672</v>
      </c>
      <c r="EX415" s="15" t="s">
        <v>1072</v>
      </c>
      <c r="EY415" s="15" t="s">
        <v>1329</v>
      </c>
      <c r="FH415" s="15" t="s">
        <v>1212</v>
      </c>
      <c r="FI415" s="15" t="s">
        <v>1072</v>
      </c>
      <c r="FJ415" s="15" t="s">
        <v>1213</v>
      </c>
      <c r="FK415" s="15" t="s">
        <v>672</v>
      </c>
      <c r="FL415" s="15" t="s">
        <v>426</v>
      </c>
      <c r="FM415" s="15">
        <v>0.0</v>
      </c>
      <c r="FN415" s="15">
        <v>0.0</v>
      </c>
      <c r="FW415" s="15" t="s">
        <v>1236</v>
      </c>
    </row>
    <row r="416" ht="15.75" customHeight="1">
      <c r="A416" s="14" t="s">
        <v>391</v>
      </c>
      <c r="B416" s="15" t="s">
        <v>5192</v>
      </c>
      <c r="C416" s="16"/>
      <c r="D416" s="15" t="s">
        <v>432</v>
      </c>
      <c r="G416" s="14" t="s">
        <v>393</v>
      </c>
      <c r="H416" s="14" t="s">
        <v>394</v>
      </c>
      <c r="I416" s="14" t="b">
        <v>1</v>
      </c>
      <c r="J416" s="14" t="s">
        <v>395</v>
      </c>
      <c r="L416" s="14" t="b">
        <v>0</v>
      </c>
      <c r="M416" s="15" t="s">
        <v>5193</v>
      </c>
      <c r="N416" s="14" t="s">
        <v>393</v>
      </c>
      <c r="O416" s="14" t="s">
        <v>393</v>
      </c>
      <c r="P416" s="15" t="s">
        <v>397</v>
      </c>
      <c r="Q416" s="15" t="s">
        <v>1218</v>
      </c>
      <c r="T416" s="14" t="b">
        <v>0</v>
      </c>
      <c r="U416" s="15" t="s">
        <v>5194</v>
      </c>
      <c r="V416" s="15" t="s">
        <v>3317</v>
      </c>
      <c r="W416" s="15" t="s">
        <v>401</v>
      </c>
      <c r="X416" s="15" t="s">
        <v>695</v>
      </c>
      <c r="Y416" s="15">
        <v>1482.0</v>
      </c>
      <c r="AA416" s="15" t="str">
        <f>"570"</f>
        <v>570</v>
      </c>
      <c r="AB416" s="14" t="b">
        <v>1</v>
      </c>
      <c r="AC416" s="14" t="b">
        <v>1</v>
      </c>
      <c r="AD416" s="15" t="str">
        <f>"801542095000"</f>
        <v>801542095000</v>
      </c>
      <c r="AE416" s="15" t="s">
        <v>5195</v>
      </c>
      <c r="AF416" s="14" t="s">
        <v>404</v>
      </c>
      <c r="AG416" s="14" t="s">
        <v>405</v>
      </c>
      <c r="AH416" s="14" t="s">
        <v>406</v>
      </c>
      <c r="AI416" s="15">
        <v>0.0</v>
      </c>
      <c r="AL416" s="15" t="s">
        <v>832</v>
      </c>
      <c r="AM416" s="15" t="s">
        <v>1364</v>
      </c>
      <c r="AN416" s="15" t="s">
        <v>1365</v>
      </c>
      <c r="AO416" s="15" t="s">
        <v>5196</v>
      </c>
      <c r="AP416" s="15" t="s">
        <v>5197</v>
      </c>
      <c r="AQ416" s="15" t="s">
        <v>2557</v>
      </c>
      <c r="AR416" s="15" t="s">
        <v>2558</v>
      </c>
      <c r="AS416" s="15" t="s">
        <v>1317</v>
      </c>
      <c r="AT416" s="15" t="s">
        <v>1218</v>
      </c>
      <c r="AU416" s="15" t="s">
        <v>1318</v>
      </c>
      <c r="AW416" s="15" t="s">
        <v>706</v>
      </c>
      <c r="AX416" s="15" t="s">
        <v>707</v>
      </c>
      <c r="AY416" s="15" t="s">
        <v>413</v>
      </c>
      <c r="AZ416" s="15" t="b">
        <v>0</v>
      </c>
      <c r="BA416" s="15" t="s">
        <v>413</v>
      </c>
      <c r="BB416" s="15" t="b">
        <v>0</v>
      </c>
      <c r="BC416" s="15" t="s">
        <v>5198</v>
      </c>
      <c r="BD416" s="15" t="s">
        <v>709</v>
      </c>
      <c r="BE416" s="15" t="str">
        <f t="shared" si="743"/>
        <v>1</v>
      </c>
      <c r="BF416" s="15" t="s">
        <v>1477</v>
      </c>
      <c r="BG416" s="15" t="str">
        <f t="shared" ref="BG416:BG417" si="744">"37.4"</f>
        <v>37.4</v>
      </c>
      <c r="BH416" s="15" t="s">
        <v>3175</v>
      </c>
      <c r="BI416" s="15" t="str">
        <f t="shared" ref="BI416:BI417" si="745">"40.35"</f>
        <v>40.35</v>
      </c>
      <c r="BJ416" s="15" t="s">
        <v>920</v>
      </c>
      <c r="BK416" s="15" t="str">
        <f t="shared" ref="BK416:BK417" si="746">"47.24"</f>
        <v>47.24</v>
      </c>
      <c r="BL416" s="15" t="s">
        <v>2287</v>
      </c>
      <c r="BM416" s="15" t="str">
        <f t="shared" ref="BM416:BM417" si="747">"68.34"</f>
        <v>68.34</v>
      </c>
      <c r="BN416" s="15" t="s">
        <v>3744</v>
      </c>
      <c r="BQ416" s="15" t="s">
        <v>444</v>
      </c>
      <c r="BS416" s="15" t="s">
        <v>444</v>
      </c>
      <c r="BU416" s="15" t="s">
        <v>444</v>
      </c>
      <c r="BW416" s="15" t="s">
        <v>444</v>
      </c>
      <c r="BZ416" s="15" t="s">
        <v>444</v>
      </c>
      <c r="CB416" s="15" t="s">
        <v>444</v>
      </c>
      <c r="CD416" s="15" t="s">
        <v>444</v>
      </c>
      <c r="CF416" s="15" t="s">
        <v>444</v>
      </c>
      <c r="CI416" s="15" t="s">
        <v>444</v>
      </c>
      <c r="CK416" s="15" t="s">
        <v>444</v>
      </c>
      <c r="CM416" s="15" t="s">
        <v>444</v>
      </c>
      <c r="CO416" s="15" t="s">
        <v>444</v>
      </c>
      <c r="CP416" s="15" t="str">
        <f t="shared" ref="CP416:CP417" si="748">"33.37"</f>
        <v>33.37</v>
      </c>
      <c r="CQ416" s="15" t="str">
        <f t="shared" ref="CQ416:CQ417" si="749">"0.945"</f>
        <v>0.945</v>
      </c>
      <c r="CR416" s="15" t="s">
        <v>497</v>
      </c>
      <c r="CY416" s="15" t="s">
        <v>2314</v>
      </c>
      <c r="CZ416" s="15" t="s">
        <v>2402</v>
      </c>
      <c r="DA416" s="15" t="s">
        <v>1328</v>
      </c>
      <c r="DB416" s="15" t="s">
        <v>1700</v>
      </c>
      <c r="DC416" s="15" t="str">
        <f>IFERROR(__xludf.DUMMYFUNCTION("""COMPUTED_VALUE"""),"{""value"":21.50,""unit"":""in""}")</f>
        <v>{"value":21.50,"unit":"in"}</v>
      </c>
      <c r="DD416" s="15" t="s">
        <v>1324</v>
      </c>
      <c r="DE416" s="15" t="str">
        <f>IFERROR(__xludf.DUMMYFUNCTION("""COMPUTED_VALUE"""),"{""value"":20.00,""unit"":""in""}")</f>
        <v>{"value":20.00,"unit":"in"}</v>
      </c>
      <c r="DG416" s="15" t="str">
        <f>IFERROR(__xludf.DUMMYFUNCTION("""COMPUTED_VALUE"""),"")</f>
        <v/>
      </c>
      <c r="DH416" s="15">
        <v>0.0</v>
      </c>
      <c r="DI416" s="15">
        <v>1.0</v>
      </c>
      <c r="DJ416" s="15" t="s">
        <v>717</v>
      </c>
      <c r="DK416" s="15" t="s">
        <v>897</v>
      </c>
      <c r="DL416" s="15" t="str">
        <f>IFERROR(__xludf.DUMMYFUNCTION("""COMPUTED_VALUE"""),"Clean with water-based products only. Use mild detergent or upholstery shampoo.")</f>
        <v>Clean with water-based products only. Use mild detergent or upholstery shampoo.</v>
      </c>
      <c r="DM416" s="15" t="s">
        <v>898</v>
      </c>
      <c r="DQ416" s="15" t="s">
        <v>5199</v>
      </c>
      <c r="DT416" s="15" t="s">
        <v>1111</v>
      </c>
      <c r="DU416" s="15" t="s">
        <v>419</v>
      </c>
      <c r="DV416" s="15">
        <v>0.0</v>
      </c>
      <c r="DZ416" s="15">
        <v>100000.0</v>
      </c>
      <c r="EA416" s="15" t="s">
        <v>722</v>
      </c>
      <c r="EB416" s="15" t="s">
        <v>723</v>
      </c>
      <c r="EC416" s="15" t="s">
        <v>724</v>
      </c>
      <c r="ED416" s="15">
        <v>1.0</v>
      </c>
      <c r="EE416" s="15">
        <v>1.0</v>
      </c>
      <c r="EG416" s="15" t="s">
        <v>444</v>
      </c>
      <c r="EH416" s="15" t="s">
        <v>5200</v>
      </c>
      <c r="EI416" s="15">
        <v>0.0</v>
      </c>
      <c r="EJ416" s="15" t="s">
        <v>726</v>
      </c>
      <c r="EK416" s="15" t="s">
        <v>727</v>
      </c>
      <c r="EL416" s="15" t="s">
        <v>2384</v>
      </c>
      <c r="EM416" s="15" t="str">
        <f>IFERROR(__xludf.DUMMYFUNCTION("""COMPUTED_VALUE"""),"{""value"":24.50,""unit"":""in""}")</f>
        <v>{"value":24.50,"unit":"in"}</v>
      </c>
      <c r="EN416" s="15" t="s">
        <v>3305</v>
      </c>
      <c r="EO416" s="15" t="s">
        <v>1161</v>
      </c>
      <c r="ES416" s="15" t="s">
        <v>3545</v>
      </c>
      <c r="ET416" s="15" t="s">
        <v>2402</v>
      </c>
      <c r="EU416" s="15" t="s">
        <v>1237</v>
      </c>
      <c r="EV416" s="15" t="s">
        <v>558</v>
      </c>
      <c r="EW416" s="15" t="s">
        <v>531</v>
      </c>
      <c r="EX416" s="15" t="s">
        <v>2732</v>
      </c>
      <c r="EY416" s="15" t="s">
        <v>1286</v>
      </c>
      <c r="EZ416" s="15" t="s">
        <v>1072</v>
      </c>
      <c r="FC416" s="15" t="s">
        <v>723</v>
      </c>
      <c r="FD416" s="15" t="s">
        <v>1076</v>
      </c>
      <c r="FE416" s="15" t="s">
        <v>1289</v>
      </c>
      <c r="FF416" s="15" t="s">
        <v>2387</v>
      </c>
      <c r="FO416" s="15" t="s">
        <v>1331</v>
      </c>
      <c r="FP416" s="15" t="s">
        <v>1328</v>
      </c>
      <c r="FQ416" s="15">
        <v>0.0</v>
      </c>
      <c r="FR416" s="15">
        <v>0.0</v>
      </c>
      <c r="FT416" s="15">
        <v>0.0</v>
      </c>
    </row>
    <row r="417" ht="15.75" customHeight="1">
      <c r="A417" s="14" t="s">
        <v>391</v>
      </c>
      <c r="B417" s="15" t="s">
        <v>5192</v>
      </c>
      <c r="C417" s="16"/>
      <c r="D417" s="15" t="s">
        <v>432</v>
      </c>
      <c r="G417" s="14" t="s">
        <v>393</v>
      </c>
      <c r="H417" s="14" t="s">
        <v>394</v>
      </c>
      <c r="I417" s="14" t="b">
        <v>1</v>
      </c>
      <c r="J417" s="14" t="s">
        <v>395</v>
      </c>
      <c r="L417" s="14" t="b">
        <v>0</v>
      </c>
      <c r="M417" s="15" t="s">
        <v>5201</v>
      </c>
      <c r="N417" s="14" t="s">
        <v>393</v>
      </c>
      <c r="O417" s="14" t="s">
        <v>393</v>
      </c>
      <c r="P417" s="15" t="s">
        <v>397</v>
      </c>
      <c r="Q417" s="15" t="s">
        <v>5202</v>
      </c>
      <c r="T417" s="14" t="b">
        <v>0</v>
      </c>
      <c r="U417" s="15" t="s">
        <v>5203</v>
      </c>
      <c r="V417" s="15" t="s">
        <v>3317</v>
      </c>
      <c r="W417" s="15" t="s">
        <v>401</v>
      </c>
      <c r="X417" s="15" t="s">
        <v>695</v>
      </c>
      <c r="Y417" s="15">
        <v>1586.0</v>
      </c>
      <c r="AA417" s="15" t="str">
        <f>"610"</f>
        <v>610</v>
      </c>
      <c r="AB417" s="14" t="b">
        <v>1</v>
      </c>
      <c r="AC417" s="14" t="b">
        <v>1</v>
      </c>
      <c r="AD417" s="15" t="str">
        <f>"801542995225"</f>
        <v>801542995225</v>
      </c>
      <c r="AE417" s="15" t="s">
        <v>5204</v>
      </c>
      <c r="AF417" s="14" t="s">
        <v>404</v>
      </c>
      <c r="AG417" s="14" t="s">
        <v>405</v>
      </c>
      <c r="AH417" s="14" t="s">
        <v>406</v>
      </c>
      <c r="AI417" s="15">
        <v>0.0</v>
      </c>
      <c r="AL417" s="15" t="s">
        <v>5205</v>
      </c>
      <c r="AM417" s="15" t="s">
        <v>1364</v>
      </c>
      <c r="AN417" s="15" t="s">
        <v>1365</v>
      </c>
      <c r="AO417" s="15" t="s">
        <v>5196</v>
      </c>
      <c r="AP417" s="15" t="s">
        <v>5197</v>
      </c>
      <c r="AQ417" s="15" t="s">
        <v>2557</v>
      </c>
      <c r="AR417" s="15" t="s">
        <v>2558</v>
      </c>
      <c r="AS417" s="15" t="s">
        <v>1317</v>
      </c>
      <c r="AT417" s="15" t="s">
        <v>5202</v>
      </c>
      <c r="AU417" s="15" t="s">
        <v>1318</v>
      </c>
      <c r="AW417" s="15" t="s">
        <v>706</v>
      </c>
      <c r="AX417" s="15" t="s">
        <v>707</v>
      </c>
      <c r="AY417" s="15" t="s">
        <v>413</v>
      </c>
      <c r="AZ417" s="15" t="b">
        <v>0</v>
      </c>
      <c r="BA417" s="15" t="s">
        <v>413</v>
      </c>
      <c r="BB417" s="15" t="b">
        <v>0</v>
      </c>
      <c r="BC417" s="15" t="s">
        <v>5206</v>
      </c>
      <c r="BD417" s="15" t="s">
        <v>709</v>
      </c>
      <c r="BE417" s="15" t="str">
        <f t="shared" si="743"/>
        <v>1</v>
      </c>
      <c r="BF417" s="15" t="s">
        <v>1477</v>
      </c>
      <c r="BG417" s="15" t="str">
        <f t="shared" si="744"/>
        <v>37.4</v>
      </c>
      <c r="BH417" s="15" t="s">
        <v>3175</v>
      </c>
      <c r="BI417" s="15" t="str">
        <f t="shared" si="745"/>
        <v>40.35</v>
      </c>
      <c r="BJ417" s="15" t="s">
        <v>920</v>
      </c>
      <c r="BK417" s="15" t="str">
        <f t="shared" si="746"/>
        <v>47.24</v>
      </c>
      <c r="BL417" s="15" t="s">
        <v>2287</v>
      </c>
      <c r="BM417" s="15" t="str">
        <f t="shared" si="747"/>
        <v>68.34</v>
      </c>
      <c r="BN417" s="15" t="s">
        <v>3744</v>
      </c>
      <c r="BQ417" s="15" t="s">
        <v>444</v>
      </c>
      <c r="BS417" s="15" t="s">
        <v>444</v>
      </c>
      <c r="BU417" s="15" t="s">
        <v>444</v>
      </c>
      <c r="BW417" s="15" t="s">
        <v>444</v>
      </c>
      <c r="BZ417" s="15" t="s">
        <v>444</v>
      </c>
      <c r="CB417" s="15" t="s">
        <v>444</v>
      </c>
      <c r="CD417" s="15" t="s">
        <v>444</v>
      </c>
      <c r="CF417" s="15" t="s">
        <v>444</v>
      </c>
      <c r="CI417" s="15" t="s">
        <v>444</v>
      </c>
      <c r="CK417" s="15" t="s">
        <v>444</v>
      </c>
      <c r="CM417" s="15" t="s">
        <v>444</v>
      </c>
      <c r="CO417" s="15" t="s">
        <v>444</v>
      </c>
      <c r="CP417" s="15" t="str">
        <f t="shared" si="748"/>
        <v>33.37</v>
      </c>
      <c r="CQ417" s="15" t="str">
        <f t="shared" si="749"/>
        <v>0.945</v>
      </c>
      <c r="CR417" s="15" t="s">
        <v>465</v>
      </c>
      <c r="CY417" s="15" t="s">
        <v>2314</v>
      </c>
      <c r="CZ417" s="15" t="s">
        <v>2402</v>
      </c>
      <c r="DA417" s="15" t="s">
        <v>1328</v>
      </c>
      <c r="DB417" s="15" t="s">
        <v>1700</v>
      </c>
      <c r="DC417" s="15" t="str">
        <f>IFERROR(__xludf.DUMMYFUNCTION("""COMPUTED_VALUE"""),"{""value"":21.50,""unit"":""in""}")</f>
        <v>{"value":21.50,"unit":"in"}</v>
      </c>
      <c r="DD417" s="15" t="s">
        <v>1324</v>
      </c>
      <c r="DE417" s="15" t="str">
        <f>IFERROR(__xludf.DUMMYFUNCTION("""COMPUTED_VALUE"""),"{""value"":20.00,""unit"":""in""}")</f>
        <v>{"value":20.00,"unit":"in"}</v>
      </c>
      <c r="DG417" s="15" t="str">
        <f>IFERROR(__xludf.DUMMYFUNCTION("""COMPUTED_VALUE"""),"")</f>
        <v/>
      </c>
      <c r="DH417" s="15">
        <v>0.0</v>
      </c>
      <c r="DI417" s="15">
        <v>1.0</v>
      </c>
      <c r="DJ417" s="15" t="s">
        <v>717</v>
      </c>
      <c r="DK417" s="15" t="s">
        <v>855</v>
      </c>
      <c r="DL417" s="15" t="str">
        <f>IFERROR(__xludf.DUMMYFUNCTION("""COMPUTED_VALUE"""),"Clean with solvent-based (dry clean only) products. Do not use water.")</f>
        <v>Clean with solvent-based (dry clean only) products. Do not use water.</v>
      </c>
      <c r="DM417" s="15" t="s">
        <v>856</v>
      </c>
      <c r="DQ417" s="15" t="s">
        <v>5199</v>
      </c>
      <c r="DT417" s="15" t="s">
        <v>1111</v>
      </c>
      <c r="DU417" s="15" t="s">
        <v>419</v>
      </c>
      <c r="DV417" s="15">
        <v>0.0</v>
      </c>
      <c r="DZ417" s="15">
        <v>15000.0</v>
      </c>
      <c r="EA417" s="15" t="s">
        <v>722</v>
      </c>
      <c r="EB417" s="15" t="s">
        <v>723</v>
      </c>
      <c r="EC417" s="15" t="s">
        <v>724</v>
      </c>
      <c r="ED417" s="15">
        <v>1.0</v>
      </c>
      <c r="EE417" s="15">
        <v>1.0</v>
      </c>
      <c r="EG417" s="15" t="s">
        <v>444</v>
      </c>
      <c r="EH417" s="15" t="s">
        <v>5200</v>
      </c>
      <c r="EI417" s="15">
        <v>0.0</v>
      </c>
      <c r="EJ417" s="15" t="s">
        <v>726</v>
      </c>
      <c r="EK417" s="15" t="s">
        <v>727</v>
      </c>
      <c r="EL417" s="15" t="s">
        <v>2384</v>
      </c>
      <c r="EM417" s="15" t="str">
        <f>IFERROR(__xludf.DUMMYFUNCTION("""COMPUTED_VALUE"""),"{""value"":24.50,""unit"":""in""}")</f>
        <v>{"value":24.50,"unit":"in"}</v>
      </c>
      <c r="EN417" s="15" t="s">
        <v>3305</v>
      </c>
      <c r="EO417" s="15" t="s">
        <v>1161</v>
      </c>
      <c r="ES417" s="15" t="s">
        <v>3545</v>
      </c>
      <c r="ET417" s="15" t="s">
        <v>2402</v>
      </c>
      <c r="EU417" s="15" t="s">
        <v>1237</v>
      </c>
      <c r="EV417" s="15" t="s">
        <v>558</v>
      </c>
      <c r="EW417" s="15" t="s">
        <v>531</v>
      </c>
      <c r="EX417" s="15" t="s">
        <v>2732</v>
      </c>
      <c r="EY417" s="15" t="s">
        <v>1286</v>
      </c>
      <c r="EZ417" s="15" t="s">
        <v>1072</v>
      </c>
      <c r="FC417" s="15" t="s">
        <v>723</v>
      </c>
      <c r="FD417" s="15" t="s">
        <v>1076</v>
      </c>
      <c r="FE417" s="15" t="s">
        <v>1289</v>
      </c>
      <c r="FF417" s="15" t="s">
        <v>2387</v>
      </c>
      <c r="FO417" s="15" t="s">
        <v>1331</v>
      </c>
      <c r="FP417" s="15" t="s">
        <v>1328</v>
      </c>
      <c r="FQ417" s="15">
        <v>0.0</v>
      </c>
      <c r="FR417" s="15">
        <v>0.0</v>
      </c>
      <c r="FT417" s="15">
        <v>0.0</v>
      </c>
    </row>
    <row r="418" ht="15.75" customHeight="1">
      <c r="A418" s="14" t="s">
        <v>391</v>
      </c>
      <c r="B418" s="15" t="s">
        <v>5207</v>
      </c>
      <c r="C418" s="16"/>
      <c r="D418" s="15" t="s">
        <v>432</v>
      </c>
      <c r="G418" s="14" t="s">
        <v>393</v>
      </c>
      <c r="H418" s="14" t="s">
        <v>394</v>
      </c>
      <c r="I418" s="14" t="b">
        <v>1</v>
      </c>
      <c r="J418" s="14" t="s">
        <v>395</v>
      </c>
      <c r="L418" s="14" t="b">
        <v>0</v>
      </c>
      <c r="M418" s="15" t="s">
        <v>5208</v>
      </c>
      <c r="N418" s="14" t="s">
        <v>393</v>
      </c>
      <c r="O418" s="14" t="s">
        <v>393</v>
      </c>
      <c r="P418" s="15" t="s">
        <v>397</v>
      </c>
      <c r="Q418" s="15" t="s">
        <v>5209</v>
      </c>
      <c r="T418" s="14" t="b">
        <v>0</v>
      </c>
      <c r="U418" s="15" t="s">
        <v>5210</v>
      </c>
      <c r="V418" s="15" t="s">
        <v>5211</v>
      </c>
      <c r="W418" s="15" t="s">
        <v>401</v>
      </c>
      <c r="X418" s="15" t="s">
        <v>402</v>
      </c>
      <c r="Y418" s="15">
        <v>2405.0</v>
      </c>
      <c r="AA418" s="15" t="str">
        <f t="shared" ref="AA418:AA419" si="750">"925"</f>
        <v>925</v>
      </c>
      <c r="AB418" s="14" t="b">
        <v>1</v>
      </c>
      <c r="AC418" s="14" t="b">
        <v>1</v>
      </c>
      <c r="AD418" s="15" t="str">
        <f>"801542228217"</f>
        <v>801542228217</v>
      </c>
      <c r="AE418" s="15" t="s">
        <v>5212</v>
      </c>
      <c r="AF418" s="14" t="s">
        <v>404</v>
      </c>
      <c r="AG418" s="14" t="s">
        <v>405</v>
      </c>
      <c r="AH418" s="14" t="s">
        <v>406</v>
      </c>
      <c r="AI418" s="15">
        <v>0.0</v>
      </c>
      <c r="AL418" s="15" t="s">
        <v>5213</v>
      </c>
      <c r="AM418" s="15" t="s">
        <v>4293</v>
      </c>
      <c r="AN418" s="15" t="s">
        <v>4294</v>
      </c>
      <c r="AO418" s="15" t="s">
        <v>5214</v>
      </c>
      <c r="AP418" s="15" t="s">
        <v>5215</v>
      </c>
      <c r="AQ418" s="15" t="s">
        <v>546</v>
      </c>
      <c r="AR418" s="15" t="s">
        <v>547</v>
      </c>
      <c r="AS418" s="15" t="s">
        <v>2374</v>
      </c>
      <c r="AT418" s="15" t="s">
        <v>5209</v>
      </c>
      <c r="AU418" s="15" t="s">
        <v>5216</v>
      </c>
      <c r="AW418" s="15" t="s">
        <v>1732</v>
      </c>
      <c r="AY418" s="15" t="s">
        <v>413</v>
      </c>
      <c r="AZ418" s="15" t="b">
        <v>0</v>
      </c>
      <c r="BA418" s="15" t="s">
        <v>413</v>
      </c>
      <c r="BB418" s="15" t="b">
        <v>0</v>
      </c>
      <c r="BC418" s="15" t="s">
        <v>5217</v>
      </c>
      <c r="BD418" s="15" t="s">
        <v>415</v>
      </c>
      <c r="BE418" s="15" t="str">
        <f t="shared" si="743"/>
        <v>1</v>
      </c>
      <c r="BF418" s="15" t="s">
        <v>416</v>
      </c>
      <c r="BG418" s="15" t="str">
        <f t="shared" ref="BG418:BG419" si="751">"94"</f>
        <v>94</v>
      </c>
      <c r="BH418" s="15" t="s">
        <v>771</v>
      </c>
      <c r="BI418" s="15" t="str">
        <f t="shared" ref="BI418:BI419" si="752">"41"</f>
        <v>41</v>
      </c>
      <c r="BJ418" s="15" t="s">
        <v>2377</v>
      </c>
      <c r="BK418" s="15" t="str">
        <f t="shared" ref="BK418:BK419" si="753">"27"</f>
        <v>27</v>
      </c>
      <c r="BL418" s="15" t="s">
        <v>601</v>
      </c>
      <c r="BM418" s="15" t="str">
        <f t="shared" ref="BM418:BM419" si="754">"148.57"</f>
        <v>148.57</v>
      </c>
      <c r="BN418" s="15" t="s">
        <v>5218</v>
      </c>
      <c r="BQ418" s="15" t="s">
        <v>444</v>
      </c>
      <c r="BS418" s="15" t="s">
        <v>444</v>
      </c>
      <c r="BU418" s="15" t="s">
        <v>444</v>
      </c>
      <c r="BW418" s="15" t="s">
        <v>444</v>
      </c>
      <c r="BZ418" s="15" t="s">
        <v>444</v>
      </c>
      <c r="CB418" s="15" t="s">
        <v>444</v>
      </c>
      <c r="CD418" s="15" t="s">
        <v>444</v>
      </c>
      <c r="CF418" s="15" t="s">
        <v>444</v>
      </c>
      <c r="CI418" s="15" t="s">
        <v>444</v>
      </c>
      <c r="CK418" s="15" t="s">
        <v>444</v>
      </c>
      <c r="CM418" s="15" t="s">
        <v>444</v>
      </c>
      <c r="CO418" s="15" t="s">
        <v>444</v>
      </c>
      <c r="CP418" s="15" t="str">
        <f t="shared" ref="CP418:CP419" si="755">"60.21"</f>
        <v>60.21</v>
      </c>
      <c r="CQ418" s="15" t="str">
        <f t="shared" ref="CQ418:CQ419" si="756">"1.705"</f>
        <v>1.705</v>
      </c>
      <c r="CR418" s="15" t="s">
        <v>417</v>
      </c>
      <c r="CY418" s="15" t="s">
        <v>1994</v>
      </c>
      <c r="CZ418" s="15" t="s">
        <v>2402</v>
      </c>
      <c r="DA418" s="15" t="s">
        <v>5219</v>
      </c>
      <c r="DB418" s="15" t="s">
        <v>1574</v>
      </c>
      <c r="DC418" s="15" t="str">
        <f>IFERROR(__xludf.DUMMYFUNCTION("""COMPUTED_VALUE"""),"{""value"":28.00,""unit"":""in""}")</f>
        <v>{"value":28.00,"unit":"in"}</v>
      </c>
      <c r="DD418" s="15" t="s">
        <v>1065</v>
      </c>
      <c r="DE418" s="15" t="str">
        <f>IFERROR(__xludf.DUMMYFUNCTION("""COMPUTED_VALUE"""),"{""value"":18.00,""unit"":""in""}")</f>
        <v>{"value":18.00,"unit":"in"}</v>
      </c>
      <c r="DF418" s="15" t="s">
        <v>5219</v>
      </c>
      <c r="DG418" s="15" t="str">
        <f>IFERROR(__xludf.DUMMYFUNCTION("""COMPUTED_VALUE"""),"{""value"":67.50,""unit"":""in""}")</f>
        <v>{"value":67.50,"unit":"in"}</v>
      </c>
      <c r="DH418" s="15">
        <v>2.0</v>
      </c>
      <c r="DI418" s="15">
        <v>2.0</v>
      </c>
      <c r="DJ418" s="15" t="s">
        <v>717</v>
      </c>
      <c r="DK418" s="15" t="s">
        <v>897</v>
      </c>
      <c r="DL418" s="15" t="str">
        <f>IFERROR(__xludf.DUMMYFUNCTION("""COMPUTED_VALUE"""),"Clean with water-based products only. Use mild detergent or upholstery shampoo.")</f>
        <v>Clean with water-based products only. Use mild detergent or upholstery shampoo.</v>
      </c>
      <c r="DM418" s="15" t="s">
        <v>898</v>
      </c>
      <c r="DQ418" s="15" t="s">
        <v>2380</v>
      </c>
      <c r="DT418" s="15" t="s">
        <v>721</v>
      </c>
      <c r="DU418" s="15" t="s">
        <v>419</v>
      </c>
      <c r="DV418" s="15">
        <v>0.0</v>
      </c>
      <c r="DZ418" s="15">
        <v>100000.0</v>
      </c>
      <c r="EA418" s="15" t="s">
        <v>990</v>
      </c>
      <c r="EB418" s="15" t="s">
        <v>723</v>
      </c>
      <c r="EC418" s="15" t="s">
        <v>724</v>
      </c>
      <c r="ED418" s="15">
        <v>1.0</v>
      </c>
      <c r="EE418" s="15">
        <v>3.0</v>
      </c>
      <c r="EG418" s="15" t="s">
        <v>444</v>
      </c>
      <c r="EH418" s="15" t="s">
        <v>5220</v>
      </c>
      <c r="EI418" s="15">
        <v>0.0</v>
      </c>
      <c r="EJ418" s="15" t="s">
        <v>473</v>
      </c>
      <c r="EK418" s="15" t="s">
        <v>474</v>
      </c>
      <c r="EL418" s="15" t="s">
        <v>1211</v>
      </c>
      <c r="EM418" s="15" t="str">
        <f>IFERROR(__xludf.DUMMYFUNCTION("""COMPUTED_VALUE"""),"{""value"":24.00,""unit"":""in""}")</f>
        <v>{"value":24.00,"unit":"in"}</v>
      </c>
      <c r="EN418" s="15" t="s">
        <v>505</v>
      </c>
      <c r="EO418" s="15" t="s">
        <v>2433</v>
      </c>
      <c r="EP418" s="15" t="s">
        <v>3798</v>
      </c>
      <c r="EQ418" s="15" t="s">
        <v>824</v>
      </c>
      <c r="ER418" s="15" t="s">
        <v>995</v>
      </c>
      <c r="ES418" s="15" t="s">
        <v>429</v>
      </c>
      <c r="ET418" s="15" t="s">
        <v>2547</v>
      </c>
      <c r="EU418" s="15" t="s">
        <v>1238</v>
      </c>
      <c r="EV418" s="15" t="s">
        <v>3798</v>
      </c>
      <c r="EW418" s="15" t="s">
        <v>477</v>
      </c>
      <c r="EX418" s="15" t="s">
        <v>4339</v>
      </c>
      <c r="EY418" s="15" t="s">
        <v>2404</v>
      </c>
      <c r="EZ418" s="15" t="s">
        <v>505</v>
      </c>
      <c r="FA418" s="15" t="s">
        <v>724</v>
      </c>
      <c r="FB418" s="15" t="s">
        <v>426</v>
      </c>
      <c r="FC418" s="15" t="s">
        <v>723</v>
      </c>
      <c r="FD418" s="15" t="s">
        <v>724</v>
      </c>
      <c r="FE418" s="15" t="s">
        <v>1289</v>
      </c>
      <c r="FF418" s="15" t="s">
        <v>2387</v>
      </c>
    </row>
    <row r="419" ht="15.75" customHeight="1">
      <c r="A419" s="14" t="s">
        <v>391</v>
      </c>
      <c r="B419" s="15" t="s">
        <v>5207</v>
      </c>
      <c r="C419" s="16"/>
      <c r="D419" s="15" t="s">
        <v>432</v>
      </c>
      <c r="G419" s="14" t="s">
        <v>393</v>
      </c>
      <c r="H419" s="14" t="s">
        <v>394</v>
      </c>
      <c r="I419" s="14" t="b">
        <v>1</v>
      </c>
      <c r="J419" s="14" t="s">
        <v>395</v>
      </c>
      <c r="L419" s="14" t="b">
        <v>0</v>
      </c>
      <c r="M419" s="15" t="s">
        <v>5221</v>
      </c>
      <c r="N419" s="14" t="s">
        <v>393</v>
      </c>
      <c r="O419" s="14" t="s">
        <v>393</v>
      </c>
      <c r="P419" s="15" t="s">
        <v>397</v>
      </c>
      <c r="Q419" s="15" t="s">
        <v>5222</v>
      </c>
      <c r="T419" s="14" t="b">
        <v>0</v>
      </c>
      <c r="U419" s="15" t="s">
        <v>5223</v>
      </c>
      <c r="V419" s="15" t="s">
        <v>5211</v>
      </c>
      <c r="W419" s="15" t="s">
        <v>401</v>
      </c>
      <c r="X419" s="15" t="s">
        <v>402</v>
      </c>
      <c r="Y419" s="15">
        <v>2405.0</v>
      </c>
      <c r="AA419" s="15" t="str">
        <f t="shared" si="750"/>
        <v>925</v>
      </c>
      <c r="AB419" s="14" t="b">
        <v>1</v>
      </c>
      <c r="AC419" s="14" t="b">
        <v>1</v>
      </c>
      <c r="AD419" s="15" t="str">
        <f>"801542192396"</f>
        <v>801542192396</v>
      </c>
      <c r="AE419" s="15" t="s">
        <v>5224</v>
      </c>
      <c r="AF419" s="14" t="s">
        <v>404</v>
      </c>
      <c r="AG419" s="14" t="s">
        <v>405</v>
      </c>
      <c r="AH419" s="14" t="s">
        <v>406</v>
      </c>
      <c r="AI419" s="15">
        <v>0.0</v>
      </c>
      <c r="AL419" s="15" t="s">
        <v>5213</v>
      </c>
      <c r="AM419" s="15" t="s">
        <v>4293</v>
      </c>
      <c r="AN419" s="15" t="s">
        <v>4294</v>
      </c>
      <c r="AO419" s="15" t="s">
        <v>5214</v>
      </c>
      <c r="AP419" s="15" t="s">
        <v>5215</v>
      </c>
      <c r="AQ419" s="15" t="s">
        <v>546</v>
      </c>
      <c r="AR419" s="15" t="s">
        <v>547</v>
      </c>
      <c r="AS419" s="15" t="s">
        <v>2374</v>
      </c>
      <c r="AT419" s="15" t="s">
        <v>5222</v>
      </c>
      <c r="AU419" s="15" t="s">
        <v>5216</v>
      </c>
      <c r="AW419" s="15" t="s">
        <v>1732</v>
      </c>
      <c r="AY419" s="15" t="s">
        <v>413</v>
      </c>
      <c r="AZ419" s="15" t="b">
        <v>0</v>
      </c>
      <c r="BA419" s="15" t="s">
        <v>413</v>
      </c>
      <c r="BB419" s="15" t="b">
        <v>0</v>
      </c>
      <c r="BC419" s="15" t="s">
        <v>5217</v>
      </c>
      <c r="BD419" s="15" t="s">
        <v>415</v>
      </c>
      <c r="BE419" s="15" t="str">
        <f t="shared" si="743"/>
        <v>1</v>
      </c>
      <c r="BF419" s="15" t="s">
        <v>416</v>
      </c>
      <c r="BG419" s="15" t="str">
        <f t="shared" si="751"/>
        <v>94</v>
      </c>
      <c r="BH419" s="15" t="s">
        <v>771</v>
      </c>
      <c r="BI419" s="15" t="str">
        <f t="shared" si="752"/>
        <v>41</v>
      </c>
      <c r="BJ419" s="15" t="s">
        <v>2377</v>
      </c>
      <c r="BK419" s="15" t="str">
        <f t="shared" si="753"/>
        <v>27</v>
      </c>
      <c r="BL419" s="15" t="s">
        <v>601</v>
      </c>
      <c r="BM419" s="15" t="str">
        <f t="shared" si="754"/>
        <v>148.57</v>
      </c>
      <c r="BN419" s="15" t="s">
        <v>5218</v>
      </c>
      <c r="BQ419" s="15" t="s">
        <v>444</v>
      </c>
      <c r="BS419" s="15" t="s">
        <v>444</v>
      </c>
      <c r="BU419" s="15" t="s">
        <v>444</v>
      </c>
      <c r="BW419" s="15" t="s">
        <v>444</v>
      </c>
      <c r="BZ419" s="15" t="s">
        <v>444</v>
      </c>
      <c r="CB419" s="15" t="s">
        <v>444</v>
      </c>
      <c r="CD419" s="15" t="s">
        <v>444</v>
      </c>
      <c r="CF419" s="15" t="s">
        <v>444</v>
      </c>
      <c r="CI419" s="15" t="s">
        <v>444</v>
      </c>
      <c r="CK419" s="15" t="s">
        <v>444</v>
      </c>
      <c r="CM419" s="15" t="s">
        <v>444</v>
      </c>
      <c r="CO419" s="15" t="s">
        <v>444</v>
      </c>
      <c r="CP419" s="15" t="str">
        <f t="shared" si="755"/>
        <v>60.21</v>
      </c>
      <c r="CQ419" s="15" t="str">
        <f t="shared" si="756"/>
        <v>1.705</v>
      </c>
      <c r="CR419" s="15" t="s">
        <v>465</v>
      </c>
      <c r="CY419" s="15" t="s">
        <v>1994</v>
      </c>
      <c r="CZ419" s="15" t="s">
        <v>2402</v>
      </c>
      <c r="DA419" s="15" t="s">
        <v>5219</v>
      </c>
      <c r="DB419" s="15" t="s">
        <v>1574</v>
      </c>
      <c r="DC419" s="15" t="str">
        <f>IFERROR(__xludf.DUMMYFUNCTION("""COMPUTED_VALUE"""),"{""value"":28.00,""unit"":""in""}")</f>
        <v>{"value":28.00,"unit":"in"}</v>
      </c>
      <c r="DD419" s="15" t="s">
        <v>1065</v>
      </c>
      <c r="DE419" s="15" t="str">
        <f>IFERROR(__xludf.DUMMYFUNCTION("""COMPUTED_VALUE"""),"{""value"":18.00,""unit"":""in""}")</f>
        <v>{"value":18.00,"unit":"in"}</v>
      </c>
      <c r="DF419" s="15" t="s">
        <v>5219</v>
      </c>
      <c r="DG419" s="15" t="str">
        <f>IFERROR(__xludf.DUMMYFUNCTION("""COMPUTED_VALUE"""),"{""value"":67.50,""unit"":""in""}")</f>
        <v>{"value":67.50,"unit":"in"}</v>
      </c>
      <c r="DH419" s="15">
        <v>2.0</v>
      </c>
      <c r="DI419" s="15">
        <v>2.0</v>
      </c>
      <c r="DJ419" s="15" t="s">
        <v>717</v>
      </c>
      <c r="DK419" s="15" t="s">
        <v>897</v>
      </c>
      <c r="DL419" s="15" t="str">
        <f>IFERROR(__xludf.DUMMYFUNCTION("""COMPUTED_VALUE"""),"Clean with water-based products only. Use mild detergent or upholstery shampoo.")</f>
        <v>Clean with water-based products only. Use mild detergent or upholstery shampoo.</v>
      </c>
      <c r="DM419" s="15" t="s">
        <v>898</v>
      </c>
      <c r="DQ419" s="15" t="s">
        <v>2380</v>
      </c>
      <c r="DT419" s="15" t="s">
        <v>721</v>
      </c>
      <c r="DU419" s="15" t="s">
        <v>419</v>
      </c>
      <c r="DV419" s="15">
        <v>0.0</v>
      </c>
      <c r="DZ419" s="15">
        <v>100000.0</v>
      </c>
      <c r="EA419" s="15" t="s">
        <v>990</v>
      </c>
      <c r="EB419" s="15" t="s">
        <v>723</v>
      </c>
      <c r="EC419" s="15" t="s">
        <v>724</v>
      </c>
      <c r="ED419" s="15">
        <v>1.0</v>
      </c>
      <c r="EE419" s="15">
        <v>3.0</v>
      </c>
      <c r="EG419" s="15" t="s">
        <v>444</v>
      </c>
      <c r="EH419" s="15" t="s">
        <v>5220</v>
      </c>
      <c r="EI419" s="15">
        <v>0.0</v>
      </c>
      <c r="EJ419" s="15" t="s">
        <v>473</v>
      </c>
      <c r="EK419" s="15" t="s">
        <v>474</v>
      </c>
      <c r="EL419" s="15" t="s">
        <v>1211</v>
      </c>
      <c r="EM419" s="15" t="str">
        <f>IFERROR(__xludf.DUMMYFUNCTION("""COMPUTED_VALUE"""),"{""value"":24.00,""unit"":""in""}")</f>
        <v>{"value":24.00,"unit":"in"}</v>
      </c>
      <c r="EN419" s="15" t="s">
        <v>505</v>
      </c>
      <c r="EO419" s="15" t="s">
        <v>2433</v>
      </c>
      <c r="EP419" s="15" t="s">
        <v>3798</v>
      </c>
      <c r="EQ419" s="15" t="s">
        <v>824</v>
      </c>
      <c r="ER419" s="15" t="s">
        <v>995</v>
      </c>
      <c r="ES419" s="15" t="s">
        <v>429</v>
      </c>
      <c r="ET419" s="15" t="s">
        <v>2547</v>
      </c>
      <c r="EU419" s="15" t="s">
        <v>1238</v>
      </c>
      <c r="EV419" s="15" t="s">
        <v>3798</v>
      </c>
      <c r="EW419" s="15" t="s">
        <v>477</v>
      </c>
      <c r="EX419" s="15" t="s">
        <v>4339</v>
      </c>
      <c r="EY419" s="15" t="s">
        <v>2404</v>
      </c>
      <c r="EZ419" s="15" t="s">
        <v>505</v>
      </c>
      <c r="FA419" s="15" t="s">
        <v>724</v>
      </c>
      <c r="FB419" s="15" t="s">
        <v>426</v>
      </c>
      <c r="FC419" s="15" t="s">
        <v>723</v>
      </c>
      <c r="FD419" s="15" t="s">
        <v>724</v>
      </c>
      <c r="FE419" s="15" t="s">
        <v>1289</v>
      </c>
      <c r="FF419" s="15" t="s">
        <v>2387</v>
      </c>
    </row>
    <row r="420" ht="15.75" customHeight="1">
      <c r="A420" s="14" t="s">
        <v>391</v>
      </c>
      <c r="B420" s="15" t="s">
        <v>5225</v>
      </c>
      <c r="C420" s="16"/>
      <c r="D420" s="15" t="s">
        <v>432</v>
      </c>
      <c r="G420" s="14" t="s">
        <v>393</v>
      </c>
      <c r="H420" s="14" t="s">
        <v>394</v>
      </c>
      <c r="I420" s="14" t="b">
        <v>1</v>
      </c>
      <c r="J420" s="14" t="s">
        <v>395</v>
      </c>
      <c r="L420" s="14" t="b">
        <v>0</v>
      </c>
      <c r="M420" s="15" t="s">
        <v>5226</v>
      </c>
      <c r="N420" s="14" t="s">
        <v>393</v>
      </c>
      <c r="O420" s="14" t="s">
        <v>393</v>
      </c>
      <c r="P420" s="15" t="s">
        <v>397</v>
      </c>
      <c r="Q420" s="15" t="s">
        <v>5227</v>
      </c>
      <c r="T420" s="14" t="b">
        <v>0</v>
      </c>
      <c r="U420" s="15" t="s">
        <v>5228</v>
      </c>
      <c r="V420" s="15" t="s">
        <v>3460</v>
      </c>
      <c r="W420" s="15" t="s">
        <v>401</v>
      </c>
      <c r="X420" s="15" t="s">
        <v>742</v>
      </c>
      <c r="Y420" s="15">
        <v>2301.0</v>
      </c>
      <c r="AA420" s="15" t="str">
        <f>"885"</f>
        <v>885</v>
      </c>
      <c r="AB420" s="14" t="b">
        <v>1</v>
      </c>
      <c r="AC420" s="14" t="b">
        <v>1</v>
      </c>
      <c r="AD420" s="15" t="str">
        <f>"198394092074"</f>
        <v>198394092074</v>
      </c>
      <c r="AE420" s="15" t="s">
        <v>5229</v>
      </c>
      <c r="AF420" s="14" t="s">
        <v>404</v>
      </c>
      <c r="AG420" s="14" t="s">
        <v>405</v>
      </c>
      <c r="AH420" s="14" t="s">
        <v>406</v>
      </c>
      <c r="AI420" s="15">
        <v>0.0</v>
      </c>
      <c r="AL420" s="15" t="s">
        <v>2283</v>
      </c>
      <c r="AM420" s="15" t="s">
        <v>3326</v>
      </c>
      <c r="AN420" s="15" t="s">
        <v>3327</v>
      </c>
      <c r="AO420" s="15" t="s">
        <v>809</v>
      </c>
      <c r="AP420" s="15" t="s">
        <v>810</v>
      </c>
      <c r="AQ420" s="15" t="s">
        <v>546</v>
      </c>
      <c r="AR420" s="15" t="s">
        <v>547</v>
      </c>
      <c r="AS420" s="15" t="s">
        <v>2063</v>
      </c>
      <c r="AT420" s="15" t="s">
        <v>5227</v>
      </c>
      <c r="AU420" s="15" t="s">
        <v>3641</v>
      </c>
      <c r="AW420" s="15" t="s">
        <v>412</v>
      </c>
      <c r="AY420" s="15" t="s">
        <v>413</v>
      </c>
      <c r="AZ420" s="15" t="b">
        <v>0</v>
      </c>
      <c r="BA420" s="15" t="s">
        <v>413</v>
      </c>
      <c r="BB420" s="15" t="b">
        <v>0</v>
      </c>
      <c r="BC420" s="15" t="s">
        <v>5230</v>
      </c>
      <c r="BD420" s="15" t="s">
        <v>742</v>
      </c>
      <c r="BE420" s="15" t="str">
        <f t="shared" si="743"/>
        <v>1</v>
      </c>
      <c r="BF420" s="15" t="s">
        <v>2238</v>
      </c>
      <c r="BG420" s="15" t="str">
        <f>"71.65"</f>
        <v>71.65</v>
      </c>
      <c r="BH420" s="15" t="s">
        <v>5231</v>
      </c>
      <c r="BI420" s="15" t="str">
        <f>"24.41"</f>
        <v>24.41</v>
      </c>
      <c r="BJ420" s="15" t="s">
        <v>796</v>
      </c>
      <c r="BK420" s="15" t="str">
        <f>"36.42"</f>
        <v>36.42</v>
      </c>
      <c r="BL420" s="15" t="s">
        <v>3046</v>
      </c>
      <c r="BM420" s="15" t="str">
        <f>"267.86"</f>
        <v>267.86</v>
      </c>
      <c r="BN420" s="15" t="s">
        <v>5232</v>
      </c>
      <c r="BQ420" s="15" t="s">
        <v>444</v>
      </c>
      <c r="BS420" s="15" t="s">
        <v>444</v>
      </c>
      <c r="BU420" s="15" t="s">
        <v>444</v>
      </c>
      <c r="BW420" s="15" t="s">
        <v>444</v>
      </c>
      <c r="BZ420" s="15" t="s">
        <v>444</v>
      </c>
      <c r="CB420" s="15" t="s">
        <v>444</v>
      </c>
      <c r="CD420" s="15" t="s">
        <v>444</v>
      </c>
      <c r="CF420" s="15" t="s">
        <v>444</v>
      </c>
      <c r="CI420" s="15" t="s">
        <v>444</v>
      </c>
      <c r="CK420" s="15" t="s">
        <v>444</v>
      </c>
      <c r="CM420" s="15" t="s">
        <v>444</v>
      </c>
      <c r="CO420" s="15" t="s">
        <v>444</v>
      </c>
      <c r="CP420" s="15" t="str">
        <f>"36.87"</f>
        <v>36.87</v>
      </c>
      <c r="CQ420" s="15" t="str">
        <f>"1.044"</f>
        <v>1.044</v>
      </c>
      <c r="CR420" s="15" t="s">
        <v>465</v>
      </c>
      <c r="DC420" s="15" t="str">
        <f>IFERROR(__xludf.DUMMYFUNCTION("""COMPUTED_VALUE"""),"")</f>
        <v/>
      </c>
      <c r="DE420" s="15" t="str">
        <f>IFERROR(__xludf.DUMMYFUNCTION("""COMPUTED_VALUE"""),"")</f>
        <v/>
      </c>
      <c r="DG420" s="15" t="str">
        <f>IFERROR(__xludf.DUMMYFUNCTION("""COMPUTED_VALUE"""),"")</f>
        <v/>
      </c>
      <c r="DL420" s="15" t="str">
        <f>IFERROR(__xludf.DUMMYFUNCTION("""COMPUTED_VALUE"""),"")</f>
        <v/>
      </c>
      <c r="DM420" s="15" t="s">
        <v>444</v>
      </c>
      <c r="DN420" s="15" t="s">
        <v>418</v>
      </c>
      <c r="DO420" s="15">
        <v>6.0</v>
      </c>
      <c r="DP420" s="15" t="s">
        <v>419</v>
      </c>
      <c r="DR420" s="15">
        <v>0.0</v>
      </c>
      <c r="DT420" s="15" t="s">
        <v>420</v>
      </c>
      <c r="DU420" s="15" t="s">
        <v>610</v>
      </c>
      <c r="DY420" s="15">
        <v>0.0</v>
      </c>
      <c r="EF420" s="15" t="s">
        <v>422</v>
      </c>
      <c r="EG420" s="15" t="s">
        <v>445</v>
      </c>
      <c r="EH420" s="15" t="s">
        <v>5233</v>
      </c>
      <c r="EJ420" s="15" t="s">
        <v>500</v>
      </c>
      <c r="EK420" s="15" t="s">
        <v>501</v>
      </c>
      <c r="EM420" s="15" t="str">
        <f>IFERROR(__xludf.DUMMYFUNCTION("""COMPUTED_VALUE"""),"")</f>
        <v/>
      </c>
      <c r="FM420" s="15">
        <v>0.0</v>
      </c>
      <c r="GH420" s="15">
        <v>0.0</v>
      </c>
      <c r="GI420" s="15" t="s">
        <v>427</v>
      </c>
      <c r="GQ420" s="15" t="s">
        <v>504</v>
      </c>
      <c r="GS420" s="15" t="s">
        <v>5234</v>
      </c>
      <c r="GU420" s="15" t="s">
        <v>5235</v>
      </c>
      <c r="GW420" s="15" t="s">
        <v>838</v>
      </c>
      <c r="GY420" s="15" t="s">
        <v>764</v>
      </c>
      <c r="LE420" s="15" t="s">
        <v>426</v>
      </c>
    </row>
    <row r="421" ht="15.75" customHeight="1">
      <c r="A421" s="14" t="s">
        <v>391</v>
      </c>
      <c r="B421" s="15" t="s">
        <v>5236</v>
      </c>
      <c r="C421" s="16"/>
      <c r="D421" s="15" t="s">
        <v>432</v>
      </c>
      <c r="G421" s="14" t="s">
        <v>393</v>
      </c>
      <c r="H421" s="14" t="s">
        <v>394</v>
      </c>
      <c r="I421" s="14" t="b">
        <v>1</v>
      </c>
      <c r="J421" s="14" t="s">
        <v>395</v>
      </c>
      <c r="L421" s="14" t="b">
        <v>0</v>
      </c>
      <c r="M421" s="15" t="s">
        <v>5237</v>
      </c>
      <c r="N421" s="14" t="s">
        <v>393</v>
      </c>
      <c r="O421" s="14" t="s">
        <v>393</v>
      </c>
      <c r="P421" s="15" t="s">
        <v>397</v>
      </c>
      <c r="Q421" s="15" t="s">
        <v>5238</v>
      </c>
      <c r="T421" s="14" t="b">
        <v>0</v>
      </c>
      <c r="U421" s="15" t="s">
        <v>5239</v>
      </c>
      <c r="V421" s="15" t="s">
        <v>5240</v>
      </c>
      <c r="W421" s="15" t="s">
        <v>401</v>
      </c>
      <c r="X421" s="15" t="s">
        <v>742</v>
      </c>
      <c r="Y421" s="15">
        <v>1755.0</v>
      </c>
      <c r="AA421" s="15" t="str">
        <f>"675"</f>
        <v>675</v>
      </c>
      <c r="AB421" s="14" t="b">
        <v>1</v>
      </c>
      <c r="AC421" s="14" t="b">
        <v>1</v>
      </c>
      <c r="AD421" s="15" t="str">
        <f>"801542932930"</f>
        <v>801542932930</v>
      </c>
      <c r="AE421" s="15" t="s">
        <v>5241</v>
      </c>
      <c r="AF421" s="14" t="s">
        <v>404</v>
      </c>
      <c r="AG421" s="14" t="s">
        <v>405</v>
      </c>
      <c r="AH421" s="14" t="s">
        <v>406</v>
      </c>
      <c r="AI421" s="15">
        <v>0.0</v>
      </c>
      <c r="AL421" s="15" t="s">
        <v>5242</v>
      </c>
      <c r="AM421" s="15" t="s">
        <v>452</v>
      </c>
      <c r="AN421" s="15" t="s">
        <v>453</v>
      </c>
      <c r="AO421" s="15" t="s">
        <v>1007</v>
      </c>
      <c r="AP421" s="15" t="s">
        <v>1008</v>
      </c>
      <c r="AQ421" s="15" t="s">
        <v>645</v>
      </c>
      <c r="AR421" s="15" t="s">
        <v>646</v>
      </c>
      <c r="AS421" s="15" t="s">
        <v>5243</v>
      </c>
      <c r="AT421" s="15" t="s">
        <v>5238</v>
      </c>
      <c r="AU421" s="15" t="s">
        <v>5244</v>
      </c>
      <c r="AW421" s="15" t="s">
        <v>412</v>
      </c>
      <c r="AY421" s="15" t="s">
        <v>413</v>
      </c>
      <c r="AZ421" s="15" t="b">
        <v>0</v>
      </c>
      <c r="BA421" s="15" t="s">
        <v>413</v>
      </c>
      <c r="BB421" s="15" t="b">
        <v>0</v>
      </c>
      <c r="BC421" s="15" t="s">
        <v>5245</v>
      </c>
      <c r="BD421" s="15" t="s">
        <v>742</v>
      </c>
      <c r="BE421" s="15" t="str">
        <f t="shared" si="743"/>
        <v>1</v>
      </c>
      <c r="BF421" s="15" t="s">
        <v>416</v>
      </c>
      <c r="BG421" s="15" t="str">
        <f>"74.41"</f>
        <v>74.41</v>
      </c>
      <c r="BH421" s="15" t="s">
        <v>5246</v>
      </c>
      <c r="BI421" s="15" t="str">
        <f>"22.05"</f>
        <v>22.05</v>
      </c>
      <c r="BJ421" s="15" t="s">
        <v>2310</v>
      </c>
      <c r="BK421" s="15" t="str">
        <f>"36.61"</f>
        <v>36.61</v>
      </c>
      <c r="BL421" s="15" t="s">
        <v>1734</v>
      </c>
      <c r="BM421" s="15" t="str">
        <f>"247.8"</f>
        <v>247.8</v>
      </c>
      <c r="BN421" s="15" t="s">
        <v>5247</v>
      </c>
      <c r="BQ421" s="15" t="s">
        <v>444</v>
      </c>
      <c r="BS421" s="15" t="s">
        <v>444</v>
      </c>
      <c r="BU421" s="15" t="s">
        <v>444</v>
      </c>
      <c r="BW421" s="15" t="s">
        <v>444</v>
      </c>
      <c r="BZ421" s="15" t="s">
        <v>444</v>
      </c>
      <c r="CB421" s="15" t="s">
        <v>444</v>
      </c>
      <c r="CD421" s="15" t="s">
        <v>444</v>
      </c>
      <c r="CF421" s="15" t="s">
        <v>444</v>
      </c>
      <c r="CI421" s="15" t="s">
        <v>444</v>
      </c>
      <c r="CK421" s="15" t="s">
        <v>444</v>
      </c>
      <c r="CM421" s="15" t="s">
        <v>444</v>
      </c>
      <c r="CO421" s="15" t="s">
        <v>444</v>
      </c>
      <c r="CP421" s="15" t="str">
        <f>"34.75"</f>
        <v>34.75</v>
      </c>
      <c r="CQ421" s="15" t="str">
        <f>"0.984"</f>
        <v>0.984</v>
      </c>
      <c r="CR421" s="15" t="s">
        <v>417</v>
      </c>
      <c r="DC421" s="15" t="str">
        <f>IFERROR(__xludf.DUMMYFUNCTION("""COMPUTED_VALUE"""),"")</f>
        <v/>
      </c>
      <c r="DE421" s="15" t="str">
        <f>IFERROR(__xludf.DUMMYFUNCTION("""COMPUTED_VALUE"""),"")</f>
        <v/>
      </c>
      <c r="DG421" s="15" t="str">
        <f>IFERROR(__xludf.DUMMYFUNCTION("""COMPUTED_VALUE"""),"")</f>
        <v/>
      </c>
      <c r="DL421" s="15" t="str">
        <f>IFERROR(__xludf.DUMMYFUNCTION("""COMPUTED_VALUE"""),"")</f>
        <v/>
      </c>
      <c r="DM421" s="15" t="s">
        <v>444</v>
      </c>
      <c r="DN421" s="15" t="s">
        <v>1371</v>
      </c>
      <c r="DO421" s="15">
        <v>6.0</v>
      </c>
      <c r="DP421" s="15" t="s">
        <v>1185</v>
      </c>
      <c r="DR421" s="15">
        <v>0.0</v>
      </c>
      <c r="DT421" s="15" t="s">
        <v>420</v>
      </c>
      <c r="DU421" s="15" t="s">
        <v>421</v>
      </c>
      <c r="DY421" s="15">
        <v>0.0</v>
      </c>
      <c r="EF421" s="15" t="s">
        <v>422</v>
      </c>
      <c r="EG421" s="15" t="s">
        <v>445</v>
      </c>
      <c r="EH421" s="15" t="s">
        <v>5248</v>
      </c>
      <c r="EJ421" s="15" t="s">
        <v>500</v>
      </c>
      <c r="EK421" s="15" t="s">
        <v>501</v>
      </c>
      <c r="EM421" s="15" t="str">
        <f>IFERROR(__xludf.DUMMYFUNCTION("""COMPUTED_VALUE"""),"")</f>
        <v/>
      </c>
      <c r="EW421" s="15" t="s">
        <v>732</v>
      </c>
      <c r="FM421" s="15">
        <v>0.0</v>
      </c>
      <c r="GH421" s="15">
        <v>0.0</v>
      </c>
      <c r="GI421" s="15" t="s">
        <v>427</v>
      </c>
      <c r="GJ421" s="15" t="s">
        <v>1045</v>
      </c>
      <c r="GQ421" s="15" t="s">
        <v>4684</v>
      </c>
      <c r="GS421" s="15" t="s">
        <v>5249</v>
      </c>
      <c r="GU421" s="15" t="s">
        <v>5250</v>
      </c>
      <c r="GW421" s="15" t="s">
        <v>838</v>
      </c>
      <c r="GY421" s="15" t="s">
        <v>420</v>
      </c>
      <c r="GZ421" s="15" t="s">
        <v>426</v>
      </c>
    </row>
    <row r="422" ht="15.75" customHeight="1">
      <c r="A422" s="14" t="s">
        <v>391</v>
      </c>
      <c r="B422" s="15" t="s">
        <v>5251</v>
      </c>
      <c r="C422" s="16"/>
      <c r="D422" s="15" t="s">
        <v>432</v>
      </c>
      <c r="G422" s="14" t="s">
        <v>393</v>
      </c>
      <c r="H422" s="14" t="s">
        <v>394</v>
      </c>
      <c r="I422" s="14" t="b">
        <v>1</v>
      </c>
      <c r="J422" s="14" t="s">
        <v>395</v>
      </c>
      <c r="L422" s="14" t="b">
        <v>0</v>
      </c>
      <c r="M422" s="15" t="s">
        <v>5252</v>
      </c>
      <c r="N422" s="14" t="s">
        <v>393</v>
      </c>
      <c r="O422" s="14" t="s">
        <v>393</v>
      </c>
      <c r="P422" s="15" t="s">
        <v>397</v>
      </c>
      <c r="Q422" s="15" t="s">
        <v>5253</v>
      </c>
      <c r="T422" s="14" t="b">
        <v>0</v>
      </c>
      <c r="U422" s="15" t="s">
        <v>5254</v>
      </c>
      <c r="V422" s="15" t="s">
        <v>5255</v>
      </c>
      <c r="W422" s="15" t="s">
        <v>401</v>
      </c>
      <c r="X422" s="15" t="s">
        <v>1172</v>
      </c>
      <c r="Y422" s="15">
        <v>1430.0</v>
      </c>
      <c r="AA422" s="15" t="str">
        <f>"550"</f>
        <v>550</v>
      </c>
      <c r="AB422" s="14" t="b">
        <v>1</v>
      </c>
      <c r="AC422" s="14" t="b">
        <v>1</v>
      </c>
      <c r="AD422" s="15" t="str">
        <f>"801542127053"</f>
        <v>801542127053</v>
      </c>
      <c r="AE422" s="15" t="s">
        <v>5256</v>
      </c>
      <c r="AF422" s="14" t="s">
        <v>404</v>
      </c>
      <c r="AG422" s="14" t="s">
        <v>405</v>
      </c>
      <c r="AH422" s="14" t="s">
        <v>406</v>
      </c>
      <c r="AI422" s="15">
        <v>0.0</v>
      </c>
      <c r="AL422" s="15" t="s">
        <v>5257</v>
      </c>
      <c r="AM422" s="15" t="s">
        <v>410</v>
      </c>
      <c r="AN422" s="15" t="s">
        <v>439</v>
      </c>
      <c r="AO422" s="15" t="s">
        <v>1007</v>
      </c>
      <c r="AP422" s="15" t="s">
        <v>1008</v>
      </c>
      <c r="AQ422" s="15" t="s">
        <v>1177</v>
      </c>
      <c r="AR422" s="15" t="s">
        <v>1178</v>
      </c>
      <c r="AS422" s="15" t="s">
        <v>1179</v>
      </c>
      <c r="AT422" s="15" t="s">
        <v>5253</v>
      </c>
      <c r="AU422" s="15" t="s">
        <v>5258</v>
      </c>
      <c r="AW422" s="15" t="s">
        <v>628</v>
      </c>
      <c r="AY422" s="15" t="s">
        <v>413</v>
      </c>
      <c r="AZ422" s="15" t="b">
        <v>0</v>
      </c>
      <c r="BA422" s="15" t="s">
        <v>413</v>
      </c>
      <c r="BB422" s="15" t="b">
        <v>0</v>
      </c>
      <c r="BC422" s="15" t="s">
        <v>5259</v>
      </c>
      <c r="BD422" s="15" t="s">
        <v>1181</v>
      </c>
      <c r="BE422" s="15" t="str">
        <f t="shared" si="743"/>
        <v>1</v>
      </c>
      <c r="BF422" s="15" t="s">
        <v>416</v>
      </c>
      <c r="BG422" s="15" t="str">
        <f>"37.24"</f>
        <v>37.24</v>
      </c>
      <c r="BH422" s="15" t="s">
        <v>5260</v>
      </c>
      <c r="BI422" s="15" t="str">
        <f>"24"</f>
        <v>24</v>
      </c>
      <c r="BJ422" s="15" t="s">
        <v>1178</v>
      </c>
      <c r="BK422" s="15" t="str">
        <f>"32"</f>
        <v>32</v>
      </c>
      <c r="BL422" s="15" t="s">
        <v>439</v>
      </c>
      <c r="BM422" s="15" t="str">
        <f>"125.57"</f>
        <v>125.57</v>
      </c>
      <c r="BN422" s="15" t="s">
        <v>5261</v>
      </c>
      <c r="BQ422" s="15" t="s">
        <v>444</v>
      </c>
      <c r="BS422" s="15" t="s">
        <v>444</v>
      </c>
      <c r="BU422" s="15" t="s">
        <v>444</v>
      </c>
      <c r="BW422" s="15" t="s">
        <v>444</v>
      </c>
      <c r="BZ422" s="15" t="s">
        <v>444</v>
      </c>
      <c r="CB422" s="15" t="s">
        <v>444</v>
      </c>
      <c r="CD422" s="15" t="s">
        <v>444</v>
      </c>
      <c r="CF422" s="15" t="s">
        <v>444</v>
      </c>
      <c r="CI422" s="15" t="s">
        <v>444</v>
      </c>
      <c r="CK422" s="15" t="s">
        <v>444</v>
      </c>
      <c r="CM422" s="15" t="s">
        <v>444</v>
      </c>
      <c r="CO422" s="15" t="s">
        <v>444</v>
      </c>
      <c r="CP422" s="15" t="str">
        <f>"16.56"</f>
        <v>16.56</v>
      </c>
      <c r="CQ422" s="15" t="str">
        <f>"0.469"</f>
        <v>0.469</v>
      </c>
      <c r="CR422" s="15" t="s">
        <v>465</v>
      </c>
      <c r="DC422" s="15" t="str">
        <f>IFERROR(__xludf.DUMMYFUNCTION("""COMPUTED_VALUE"""),"")</f>
        <v/>
      </c>
      <c r="DE422" s="15" t="str">
        <f>IFERROR(__xludf.DUMMYFUNCTION("""COMPUTED_VALUE"""),"")</f>
        <v/>
      </c>
      <c r="DG422" s="15" t="str">
        <f>IFERROR(__xludf.DUMMYFUNCTION("""COMPUTED_VALUE"""),"")</f>
        <v/>
      </c>
      <c r="DL422" s="15" t="str">
        <f>IFERROR(__xludf.DUMMYFUNCTION("""COMPUTED_VALUE"""),"")</f>
        <v/>
      </c>
      <c r="DM422" s="15" t="s">
        <v>444</v>
      </c>
      <c r="DN422" s="15" t="s">
        <v>418</v>
      </c>
      <c r="DO422" s="15">
        <v>3.0</v>
      </c>
      <c r="DP422" s="15" t="s">
        <v>1185</v>
      </c>
      <c r="DR422" s="15">
        <v>0.0</v>
      </c>
      <c r="DT422" s="15" t="s">
        <v>1186</v>
      </c>
      <c r="DU422" s="15" t="s">
        <v>421</v>
      </c>
      <c r="DY422" s="15">
        <v>0.0</v>
      </c>
      <c r="EF422" s="15" t="s">
        <v>471</v>
      </c>
      <c r="EG422" s="15" t="s">
        <v>472</v>
      </c>
      <c r="EH422" s="15" t="s">
        <v>5262</v>
      </c>
      <c r="EJ422" s="15" t="s">
        <v>500</v>
      </c>
      <c r="EK422" s="15" t="s">
        <v>501</v>
      </c>
      <c r="EM422" s="15" t="str">
        <f>IFERROR(__xludf.DUMMYFUNCTION("""COMPUTED_VALUE"""),"")</f>
        <v/>
      </c>
      <c r="FL422" s="15" t="s">
        <v>426</v>
      </c>
      <c r="FM422" s="15">
        <v>0.0</v>
      </c>
      <c r="GH422" s="15">
        <v>0.0</v>
      </c>
      <c r="GI422" s="15" t="s">
        <v>427</v>
      </c>
      <c r="GQ422" s="15" t="s">
        <v>3308</v>
      </c>
      <c r="GS422" s="15" t="s">
        <v>635</v>
      </c>
      <c r="GU422" s="15" t="s">
        <v>2637</v>
      </c>
      <c r="GW422" s="15" t="s">
        <v>431</v>
      </c>
      <c r="GY422" s="15" t="s">
        <v>764</v>
      </c>
    </row>
    <row r="423" ht="15.75" customHeight="1">
      <c r="A423" s="14" t="s">
        <v>391</v>
      </c>
      <c r="B423" s="15" t="s">
        <v>5263</v>
      </c>
      <c r="C423" s="16"/>
      <c r="D423" s="15" t="s">
        <v>432</v>
      </c>
      <c r="G423" s="14" t="s">
        <v>393</v>
      </c>
      <c r="H423" s="14" t="s">
        <v>394</v>
      </c>
      <c r="I423" s="14" t="b">
        <v>1</v>
      </c>
      <c r="J423" s="14" t="s">
        <v>395</v>
      </c>
      <c r="L423" s="14" t="b">
        <v>0</v>
      </c>
      <c r="M423" s="15" t="s">
        <v>5264</v>
      </c>
      <c r="N423" s="14" t="s">
        <v>393</v>
      </c>
      <c r="O423" s="14" t="s">
        <v>393</v>
      </c>
      <c r="P423" s="15" t="s">
        <v>397</v>
      </c>
      <c r="Q423" s="15" t="s">
        <v>5222</v>
      </c>
      <c r="T423" s="14" t="b">
        <v>0</v>
      </c>
      <c r="U423" s="15" t="s">
        <v>5265</v>
      </c>
      <c r="V423" s="15" t="s">
        <v>3881</v>
      </c>
      <c r="W423" s="15" t="s">
        <v>401</v>
      </c>
      <c r="X423" s="15" t="s">
        <v>402</v>
      </c>
      <c r="Y423" s="15">
        <v>2184.0</v>
      </c>
      <c r="AA423" s="15" t="str">
        <f>"840"</f>
        <v>840</v>
      </c>
      <c r="AB423" s="14" t="b">
        <v>1</v>
      </c>
      <c r="AC423" s="14" t="b">
        <v>1</v>
      </c>
      <c r="AD423" s="15" t="str">
        <f>"801542162696"</f>
        <v>801542162696</v>
      </c>
      <c r="AE423" s="15" t="s">
        <v>5266</v>
      </c>
      <c r="AF423" s="14" t="s">
        <v>404</v>
      </c>
      <c r="AG423" s="14" t="s">
        <v>405</v>
      </c>
      <c r="AH423" s="14" t="s">
        <v>406</v>
      </c>
      <c r="AI423" s="15">
        <v>0.0</v>
      </c>
      <c r="AL423" s="15" t="s">
        <v>5267</v>
      </c>
      <c r="AM423" s="15" t="s">
        <v>2088</v>
      </c>
      <c r="AN423" s="15" t="s">
        <v>2089</v>
      </c>
      <c r="AO423" s="15" t="s">
        <v>5114</v>
      </c>
      <c r="AP423" s="15" t="s">
        <v>3330</v>
      </c>
      <c r="AQ423" s="15" t="s">
        <v>3396</v>
      </c>
      <c r="AR423" s="15" t="s">
        <v>2893</v>
      </c>
      <c r="AS423" s="15" t="s">
        <v>2374</v>
      </c>
      <c r="AT423" s="15" t="s">
        <v>5222</v>
      </c>
      <c r="AU423" s="15" t="s">
        <v>5268</v>
      </c>
      <c r="AW423" s="15" t="s">
        <v>1226</v>
      </c>
      <c r="AY423" s="15" t="s">
        <v>413</v>
      </c>
      <c r="AZ423" s="15" t="b">
        <v>0</v>
      </c>
      <c r="BA423" s="15" t="s">
        <v>413</v>
      </c>
      <c r="BB423" s="15" t="b">
        <v>0</v>
      </c>
      <c r="BC423" s="15" t="s">
        <v>5269</v>
      </c>
      <c r="BD423" s="15" t="s">
        <v>415</v>
      </c>
      <c r="BE423" s="15" t="str">
        <f t="shared" si="743"/>
        <v>1</v>
      </c>
      <c r="BF423" s="15" t="s">
        <v>416</v>
      </c>
      <c r="BG423" s="15" t="str">
        <f t="shared" ref="BG423:BG424" si="757">"47"</f>
        <v>47</v>
      </c>
      <c r="BH423" s="15" t="s">
        <v>3615</v>
      </c>
      <c r="BI423" s="15" t="str">
        <f t="shared" ref="BI423:BI424" si="758">"70"</f>
        <v>70</v>
      </c>
      <c r="BJ423" s="15" t="s">
        <v>453</v>
      </c>
      <c r="BK423" s="15" t="str">
        <f t="shared" ref="BK423:BK424" si="759">"27.5"</f>
        <v>27.5</v>
      </c>
      <c r="BL423" s="15" t="s">
        <v>1056</v>
      </c>
      <c r="BM423" s="15" t="str">
        <f t="shared" ref="BM423:BM424" si="760">"141.09"</f>
        <v>141.09</v>
      </c>
      <c r="BN423" s="15" t="s">
        <v>5270</v>
      </c>
      <c r="BQ423" s="15" t="s">
        <v>444</v>
      </c>
      <c r="BS423" s="15" t="s">
        <v>444</v>
      </c>
      <c r="BU423" s="15" t="s">
        <v>444</v>
      </c>
      <c r="BW423" s="15" t="s">
        <v>444</v>
      </c>
      <c r="BZ423" s="15" t="s">
        <v>444</v>
      </c>
      <c r="CB423" s="15" t="s">
        <v>444</v>
      </c>
      <c r="CD423" s="15" t="s">
        <v>444</v>
      </c>
      <c r="CF423" s="15" t="s">
        <v>444</v>
      </c>
      <c r="CI423" s="15" t="s">
        <v>444</v>
      </c>
      <c r="CK423" s="15" t="s">
        <v>444</v>
      </c>
      <c r="CM423" s="15" t="s">
        <v>444</v>
      </c>
      <c r="CO423" s="15" t="s">
        <v>444</v>
      </c>
      <c r="CP423" s="15" t="str">
        <f t="shared" ref="CP423:CP424" si="761">"52.37"</f>
        <v>52.37</v>
      </c>
      <c r="CQ423" s="15" t="str">
        <f t="shared" ref="CQ423:CQ424" si="762">"1.483"</f>
        <v>1.483</v>
      </c>
      <c r="CR423" s="15" t="s">
        <v>465</v>
      </c>
      <c r="CY423" s="15" t="s">
        <v>2388</v>
      </c>
      <c r="CZ423" s="15" t="s">
        <v>531</v>
      </c>
      <c r="DA423" s="15" t="s">
        <v>2792</v>
      </c>
      <c r="DB423" s="15" t="s">
        <v>5271</v>
      </c>
      <c r="DC423" s="15" t="str">
        <f>IFERROR(__xludf.DUMMYFUNCTION("""COMPUTED_VALUE"""),"{""value"":53.00,""unit"":""in""}")</f>
        <v>{"value":53.00,"unit":"in"}</v>
      </c>
      <c r="DD423" s="15" t="s">
        <v>1324</v>
      </c>
      <c r="DE423" s="15" t="str">
        <f>IFERROR(__xludf.DUMMYFUNCTION("""COMPUTED_VALUE"""),"{""value"":20.00,""unit"":""in""}")</f>
        <v>{"value":20.00,"unit":"in"}</v>
      </c>
      <c r="DG423" s="15" t="str">
        <f>IFERROR(__xludf.DUMMYFUNCTION("""COMPUTED_VALUE"""),"")</f>
        <v/>
      </c>
      <c r="DH423" s="15">
        <v>0.0</v>
      </c>
      <c r="DI423" s="15">
        <v>1.0</v>
      </c>
      <c r="DJ423" s="15" t="s">
        <v>717</v>
      </c>
      <c r="DK423" s="15" t="s">
        <v>897</v>
      </c>
      <c r="DL423" s="15" t="str">
        <f>IFERROR(__xludf.DUMMYFUNCTION("""COMPUTED_VALUE"""),"Clean with water-based products only. Use mild detergent or upholstery shampoo.")</f>
        <v>Clean with water-based products only. Use mild detergent or upholstery shampoo.</v>
      </c>
      <c r="DM423" s="15" t="s">
        <v>898</v>
      </c>
      <c r="DQ423" s="15" t="s">
        <v>2380</v>
      </c>
      <c r="DT423" s="15" t="s">
        <v>721</v>
      </c>
      <c r="DU423" s="15" t="s">
        <v>419</v>
      </c>
      <c r="DV423" s="15">
        <v>0.0</v>
      </c>
      <c r="DZ423" s="15">
        <v>100000.0</v>
      </c>
      <c r="EA423" s="15" t="s">
        <v>990</v>
      </c>
      <c r="EB423" s="15" t="s">
        <v>723</v>
      </c>
      <c r="EC423" s="15" t="s">
        <v>1076</v>
      </c>
      <c r="ED423" s="15">
        <v>1.0</v>
      </c>
      <c r="EE423" s="15">
        <v>1.0</v>
      </c>
      <c r="EG423" s="15" t="s">
        <v>444</v>
      </c>
      <c r="EH423" s="15" t="s">
        <v>5272</v>
      </c>
      <c r="EI423" s="15">
        <v>0.0</v>
      </c>
      <c r="EJ423" s="15" t="s">
        <v>726</v>
      </c>
      <c r="EK423" s="15" t="s">
        <v>727</v>
      </c>
      <c r="EL423" s="15" t="s">
        <v>1212</v>
      </c>
      <c r="EM423" s="15" t="str">
        <f>IFERROR(__xludf.DUMMYFUNCTION("""COMPUTED_VALUE"""),"{""value"":25.50,""unit"":""in""}")</f>
        <v>{"value":25.50,"unit":"in"}</v>
      </c>
      <c r="EN423" s="15" t="s">
        <v>1069</v>
      </c>
      <c r="EO423" s="15" t="s">
        <v>1575</v>
      </c>
      <c r="ES423" s="15" t="s">
        <v>1807</v>
      </c>
      <c r="ET423" s="15" t="s">
        <v>475</v>
      </c>
      <c r="EU423" s="15" t="s">
        <v>1161</v>
      </c>
      <c r="EV423" s="15" t="s">
        <v>3841</v>
      </c>
      <c r="EW423" s="15" t="s">
        <v>672</v>
      </c>
      <c r="EX423" s="15" t="s">
        <v>3338</v>
      </c>
      <c r="EY423" s="15" t="s">
        <v>529</v>
      </c>
      <c r="EZ423" s="15" t="s">
        <v>1069</v>
      </c>
      <c r="FC423" s="15" t="s">
        <v>723</v>
      </c>
      <c r="FD423" s="15" t="s">
        <v>1076</v>
      </c>
      <c r="FE423" s="15" t="s">
        <v>1289</v>
      </c>
      <c r="FF423" s="15" t="s">
        <v>2387</v>
      </c>
      <c r="FO423" s="15" t="s">
        <v>2399</v>
      </c>
      <c r="FP423" s="15" t="s">
        <v>2792</v>
      </c>
      <c r="FS423" s="15" t="s">
        <v>2436</v>
      </c>
    </row>
    <row r="424" ht="15.75" customHeight="1">
      <c r="A424" s="14" t="s">
        <v>391</v>
      </c>
      <c r="B424" s="15" t="s">
        <v>5263</v>
      </c>
      <c r="C424" s="16"/>
      <c r="D424" s="15" t="s">
        <v>432</v>
      </c>
      <c r="G424" s="14" t="s">
        <v>393</v>
      </c>
      <c r="H424" s="14" t="s">
        <v>394</v>
      </c>
      <c r="I424" s="14" t="b">
        <v>1</v>
      </c>
      <c r="J424" s="14" t="s">
        <v>395</v>
      </c>
      <c r="L424" s="14" t="b">
        <v>0</v>
      </c>
      <c r="M424" s="15" t="s">
        <v>5273</v>
      </c>
      <c r="N424" s="14" t="s">
        <v>393</v>
      </c>
      <c r="O424" s="14" t="s">
        <v>393</v>
      </c>
      <c r="P424" s="15" t="s">
        <v>397</v>
      </c>
      <c r="Q424" s="15" t="s">
        <v>5274</v>
      </c>
      <c r="T424" s="14" t="b">
        <v>0</v>
      </c>
      <c r="U424" s="15" t="s">
        <v>5275</v>
      </c>
      <c r="V424" s="15" t="s">
        <v>3881</v>
      </c>
      <c r="W424" s="15" t="s">
        <v>401</v>
      </c>
      <c r="X424" s="15" t="s">
        <v>402</v>
      </c>
      <c r="Y424" s="15">
        <v>2847.0</v>
      </c>
      <c r="AA424" s="15" t="str">
        <f>"1095"</f>
        <v>1095</v>
      </c>
      <c r="AB424" s="14" t="b">
        <v>1</v>
      </c>
      <c r="AC424" s="14" t="b">
        <v>1</v>
      </c>
      <c r="AD424" s="15" t="str">
        <f>"801542162719"</f>
        <v>801542162719</v>
      </c>
      <c r="AE424" s="15" t="s">
        <v>5276</v>
      </c>
      <c r="AF424" s="14" t="s">
        <v>404</v>
      </c>
      <c r="AG424" s="14" t="s">
        <v>405</v>
      </c>
      <c r="AH424" s="14" t="s">
        <v>406</v>
      </c>
      <c r="AI424" s="15">
        <v>0.0</v>
      </c>
      <c r="AL424" s="15" t="s">
        <v>5277</v>
      </c>
      <c r="AM424" s="15" t="s">
        <v>2088</v>
      </c>
      <c r="AN424" s="15" t="s">
        <v>2089</v>
      </c>
      <c r="AO424" s="15" t="s">
        <v>5114</v>
      </c>
      <c r="AP424" s="15" t="s">
        <v>3330</v>
      </c>
      <c r="AQ424" s="15" t="s">
        <v>3396</v>
      </c>
      <c r="AR424" s="15" t="s">
        <v>2893</v>
      </c>
      <c r="AS424" s="15" t="s">
        <v>2374</v>
      </c>
      <c r="AT424" s="15" t="s">
        <v>5274</v>
      </c>
      <c r="AU424" s="15" t="s">
        <v>5268</v>
      </c>
      <c r="AW424" s="15" t="s">
        <v>1226</v>
      </c>
      <c r="AY424" s="15" t="s">
        <v>413</v>
      </c>
      <c r="AZ424" s="15" t="b">
        <v>0</v>
      </c>
      <c r="BA424" s="15" t="s">
        <v>426</v>
      </c>
      <c r="BB424" s="15" t="b">
        <v>1</v>
      </c>
      <c r="BC424" s="15" t="s">
        <v>5278</v>
      </c>
      <c r="BD424" s="15" t="s">
        <v>415</v>
      </c>
      <c r="BE424" s="15" t="str">
        <f t="shared" si="743"/>
        <v>1</v>
      </c>
      <c r="BF424" s="15" t="s">
        <v>416</v>
      </c>
      <c r="BG424" s="15" t="str">
        <f t="shared" si="757"/>
        <v>47</v>
      </c>
      <c r="BH424" s="15" t="s">
        <v>3615</v>
      </c>
      <c r="BI424" s="15" t="str">
        <f t="shared" si="758"/>
        <v>70</v>
      </c>
      <c r="BJ424" s="15" t="s">
        <v>453</v>
      </c>
      <c r="BK424" s="15" t="str">
        <f t="shared" si="759"/>
        <v>27.5</v>
      </c>
      <c r="BL424" s="15" t="s">
        <v>1056</v>
      </c>
      <c r="BM424" s="15" t="str">
        <f t="shared" si="760"/>
        <v>141.09</v>
      </c>
      <c r="BN424" s="15" t="s">
        <v>5270</v>
      </c>
      <c r="BQ424" s="15" t="s">
        <v>444</v>
      </c>
      <c r="BS424" s="15" t="s">
        <v>444</v>
      </c>
      <c r="BU424" s="15" t="s">
        <v>444</v>
      </c>
      <c r="BW424" s="15" t="s">
        <v>444</v>
      </c>
      <c r="BZ424" s="15" t="s">
        <v>444</v>
      </c>
      <c r="CB424" s="15" t="s">
        <v>444</v>
      </c>
      <c r="CD424" s="15" t="s">
        <v>444</v>
      </c>
      <c r="CF424" s="15" t="s">
        <v>444</v>
      </c>
      <c r="CI424" s="15" t="s">
        <v>444</v>
      </c>
      <c r="CK424" s="15" t="s">
        <v>444</v>
      </c>
      <c r="CM424" s="15" t="s">
        <v>444</v>
      </c>
      <c r="CO424" s="15" t="s">
        <v>444</v>
      </c>
      <c r="CP424" s="15" t="str">
        <f t="shared" si="761"/>
        <v>52.37</v>
      </c>
      <c r="CQ424" s="15" t="str">
        <f t="shared" si="762"/>
        <v>1.483</v>
      </c>
      <c r="CR424" s="15" t="s">
        <v>465</v>
      </c>
      <c r="CY424" s="15" t="s">
        <v>2388</v>
      </c>
      <c r="CZ424" s="15" t="s">
        <v>531</v>
      </c>
      <c r="DA424" s="15" t="s">
        <v>2792</v>
      </c>
      <c r="DB424" s="15" t="s">
        <v>5271</v>
      </c>
      <c r="DC424" s="15" t="str">
        <f>IFERROR(__xludf.DUMMYFUNCTION("""COMPUTED_VALUE"""),"{""value"":53.00,""unit"":""in""}")</f>
        <v>{"value":53.00,"unit":"in"}</v>
      </c>
      <c r="DD424" s="15" t="s">
        <v>1324</v>
      </c>
      <c r="DE424" s="15" t="str">
        <f>IFERROR(__xludf.DUMMYFUNCTION("""COMPUTED_VALUE"""),"{""value"":20.00,""unit"":""in""}")</f>
        <v>{"value":20.00,"unit":"in"}</v>
      </c>
      <c r="DG424" s="15" t="str">
        <f>IFERROR(__xludf.DUMMYFUNCTION("""COMPUTED_VALUE"""),"")</f>
        <v/>
      </c>
      <c r="DH424" s="15">
        <v>0.0</v>
      </c>
      <c r="DI424" s="15">
        <v>1.0</v>
      </c>
      <c r="DJ424" s="15" t="s">
        <v>717</v>
      </c>
      <c r="DK424" s="15" t="s">
        <v>897</v>
      </c>
      <c r="DL424" s="15" t="str">
        <f>IFERROR(__xludf.DUMMYFUNCTION("""COMPUTED_VALUE"""),"Clean with water-based products only. Use mild detergent or upholstery shampoo.")</f>
        <v>Clean with water-based products only. Use mild detergent or upholstery shampoo.</v>
      </c>
      <c r="DM424" s="15" t="s">
        <v>898</v>
      </c>
      <c r="DQ424" s="15" t="s">
        <v>2380</v>
      </c>
      <c r="DT424" s="15" t="s">
        <v>721</v>
      </c>
      <c r="DU424" s="15" t="s">
        <v>419</v>
      </c>
      <c r="DV424" s="15">
        <v>0.0</v>
      </c>
      <c r="DZ424" s="15">
        <v>15000.0</v>
      </c>
      <c r="EA424" s="15" t="s">
        <v>990</v>
      </c>
      <c r="EB424" s="15" t="s">
        <v>723</v>
      </c>
      <c r="EC424" s="15" t="s">
        <v>1076</v>
      </c>
      <c r="ED424" s="15">
        <v>1.0</v>
      </c>
      <c r="EE424" s="15">
        <v>1.0</v>
      </c>
      <c r="EG424" s="15" t="s">
        <v>444</v>
      </c>
      <c r="EH424" s="15" t="s">
        <v>5272</v>
      </c>
      <c r="EI424" s="15">
        <v>0.0</v>
      </c>
      <c r="EJ424" s="15" t="s">
        <v>726</v>
      </c>
      <c r="EK424" s="15" t="s">
        <v>727</v>
      </c>
      <c r="EL424" s="15" t="s">
        <v>1212</v>
      </c>
      <c r="EM424" s="15" t="str">
        <f>IFERROR(__xludf.DUMMYFUNCTION("""COMPUTED_VALUE"""),"{""value"":25.50,""unit"":""in""}")</f>
        <v>{"value":25.50,"unit":"in"}</v>
      </c>
      <c r="EN424" s="15" t="s">
        <v>1069</v>
      </c>
      <c r="EO424" s="15" t="s">
        <v>1575</v>
      </c>
      <c r="ES424" s="15" t="s">
        <v>1807</v>
      </c>
      <c r="ET424" s="15" t="s">
        <v>475</v>
      </c>
      <c r="EU424" s="15" t="s">
        <v>1161</v>
      </c>
      <c r="EV424" s="15" t="s">
        <v>3841</v>
      </c>
      <c r="EW424" s="15" t="s">
        <v>672</v>
      </c>
      <c r="EX424" s="15" t="s">
        <v>3338</v>
      </c>
      <c r="EY424" s="15" t="s">
        <v>529</v>
      </c>
      <c r="EZ424" s="15" t="s">
        <v>1069</v>
      </c>
      <c r="FC424" s="15" t="s">
        <v>723</v>
      </c>
      <c r="FD424" s="15" t="s">
        <v>1076</v>
      </c>
      <c r="FE424" s="15" t="s">
        <v>1289</v>
      </c>
      <c r="FF424" s="15" t="s">
        <v>2387</v>
      </c>
      <c r="FO424" s="15" t="s">
        <v>2399</v>
      </c>
      <c r="FP424" s="15" t="s">
        <v>2792</v>
      </c>
      <c r="FS424" s="15" t="s">
        <v>2436</v>
      </c>
    </row>
    <row r="425" ht="15.75" customHeight="1">
      <c r="A425" s="14" t="s">
        <v>391</v>
      </c>
      <c r="B425" s="15" t="s">
        <v>5279</v>
      </c>
      <c r="C425" s="16"/>
      <c r="D425" s="15" t="s">
        <v>432</v>
      </c>
      <c r="G425" s="14" t="s">
        <v>393</v>
      </c>
      <c r="H425" s="14" t="s">
        <v>394</v>
      </c>
      <c r="I425" s="14" t="b">
        <v>1</v>
      </c>
      <c r="J425" s="14" t="s">
        <v>395</v>
      </c>
      <c r="L425" s="14" t="b">
        <v>0</v>
      </c>
      <c r="M425" s="15" t="s">
        <v>5280</v>
      </c>
      <c r="N425" s="14" t="s">
        <v>393</v>
      </c>
      <c r="O425" s="14" t="s">
        <v>393</v>
      </c>
      <c r="P425" s="15" t="s">
        <v>397</v>
      </c>
      <c r="Q425" s="15" t="s">
        <v>5222</v>
      </c>
      <c r="T425" s="14" t="b">
        <v>0</v>
      </c>
      <c r="U425" s="15" t="s">
        <v>5281</v>
      </c>
      <c r="V425" s="15" t="s">
        <v>5282</v>
      </c>
      <c r="W425" s="15" t="s">
        <v>401</v>
      </c>
      <c r="X425" s="15" t="s">
        <v>402</v>
      </c>
      <c r="Y425" s="15">
        <v>2626.0</v>
      </c>
      <c r="AA425" s="15" t="str">
        <f>"1010"</f>
        <v>1010</v>
      </c>
      <c r="AB425" s="14" t="b">
        <v>1</v>
      </c>
      <c r="AC425" s="14" t="b">
        <v>1</v>
      </c>
      <c r="AD425" s="15" t="str">
        <f>"801542755911"</f>
        <v>801542755911</v>
      </c>
      <c r="AE425" s="15" t="s">
        <v>5283</v>
      </c>
      <c r="AF425" s="14" t="s">
        <v>404</v>
      </c>
      <c r="AG425" s="14" t="s">
        <v>405</v>
      </c>
      <c r="AH425" s="14" t="s">
        <v>406</v>
      </c>
      <c r="AI425" s="15">
        <v>0.0</v>
      </c>
      <c r="AL425" s="15" t="s">
        <v>5267</v>
      </c>
      <c r="AM425" s="15" t="s">
        <v>1746</v>
      </c>
      <c r="AN425" s="15" t="s">
        <v>1750</v>
      </c>
      <c r="AO425" s="15" t="s">
        <v>679</v>
      </c>
      <c r="AP425" s="15" t="s">
        <v>680</v>
      </c>
      <c r="AQ425" s="15" t="s">
        <v>1276</v>
      </c>
      <c r="AR425" s="15" t="s">
        <v>1277</v>
      </c>
      <c r="AS425" s="15" t="s">
        <v>2374</v>
      </c>
      <c r="AT425" s="15" t="s">
        <v>5222</v>
      </c>
      <c r="AU425" s="15" t="s">
        <v>5268</v>
      </c>
      <c r="AW425" s="15" t="s">
        <v>1226</v>
      </c>
      <c r="AY425" s="15" t="s">
        <v>413</v>
      </c>
      <c r="AZ425" s="15" t="b">
        <v>0</v>
      </c>
      <c r="BA425" s="15" t="s">
        <v>413</v>
      </c>
      <c r="BB425" s="15" t="b">
        <v>0</v>
      </c>
      <c r="BD425" s="15" t="s">
        <v>415</v>
      </c>
      <c r="BE425" s="15" t="str">
        <f t="shared" si="743"/>
        <v>1</v>
      </c>
      <c r="BF425" s="15" t="s">
        <v>416</v>
      </c>
      <c r="BG425" s="15" t="str">
        <f t="shared" ref="BG425:BG426" si="763">"92.5"</f>
        <v>92.5</v>
      </c>
      <c r="BH425" s="15" t="s">
        <v>5284</v>
      </c>
      <c r="BI425" s="15" t="str">
        <f t="shared" ref="BI425:BI426" si="764">"41"</f>
        <v>41</v>
      </c>
      <c r="BJ425" s="15" t="s">
        <v>2377</v>
      </c>
      <c r="BK425" s="15" t="str">
        <f t="shared" ref="BK425:BK426" si="765">"31"</f>
        <v>31</v>
      </c>
      <c r="BL425" s="15" t="s">
        <v>1277</v>
      </c>
      <c r="BM425" s="15" t="str">
        <f t="shared" ref="BM425:BM426" si="766">"146.61"</f>
        <v>146.61</v>
      </c>
      <c r="BN425" s="15" t="s">
        <v>5285</v>
      </c>
      <c r="BQ425" s="15" t="s">
        <v>444</v>
      </c>
      <c r="BS425" s="15" t="s">
        <v>444</v>
      </c>
      <c r="BU425" s="15" t="s">
        <v>444</v>
      </c>
      <c r="BW425" s="15" t="s">
        <v>444</v>
      </c>
      <c r="BZ425" s="15" t="s">
        <v>444</v>
      </c>
      <c r="CB425" s="15" t="s">
        <v>444</v>
      </c>
      <c r="CD425" s="15" t="s">
        <v>444</v>
      </c>
      <c r="CF425" s="15" t="s">
        <v>444</v>
      </c>
      <c r="CI425" s="15" t="s">
        <v>444</v>
      </c>
      <c r="CK425" s="15" t="s">
        <v>444</v>
      </c>
      <c r="CM425" s="15" t="s">
        <v>444</v>
      </c>
      <c r="CO425" s="15" t="s">
        <v>444</v>
      </c>
      <c r="CP425" s="15" t="str">
        <f t="shared" ref="CP425:CP426" si="767">"68.05"</f>
        <v>68.05</v>
      </c>
      <c r="CQ425" s="15" t="str">
        <f t="shared" ref="CQ425:CQ426" si="768">"1.927"</f>
        <v>1.927</v>
      </c>
      <c r="CR425" s="15" t="s">
        <v>417</v>
      </c>
      <c r="CY425" s="15" t="s">
        <v>3036</v>
      </c>
      <c r="CZ425" s="15" t="s">
        <v>475</v>
      </c>
      <c r="DA425" s="15" t="s">
        <v>5286</v>
      </c>
      <c r="DB425" s="15" t="s">
        <v>734</v>
      </c>
      <c r="DC425" s="15" t="str">
        <f>IFERROR(__xludf.DUMMYFUNCTION("""COMPUTED_VALUE"""),"{""value"":31.50,""unit"":""in""}")</f>
        <v>{"value":31.50,"unit":"in"}</v>
      </c>
      <c r="DD425" s="15" t="s">
        <v>467</v>
      </c>
      <c r="DE425" s="15" t="str">
        <f>IFERROR(__xludf.DUMMYFUNCTION("""COMPUTED_VALUE"""),"{""value"":19.00,""unit"":""in""}")</f>
        <v>{"value":19.00,"unit":"in"}</v>
      </c>
      <c r="DF425" s="15" t="s">
        <v>5286</v>
      </c>
      <c r="DG425" s="15" t="str">
        <f>IFERROR(__xludf.DUMMYFUNCTION("""COMPUTED_VALUE"""),"{""value"":70.50,""unit"":""in""}")</f>
        <v>{"value":70.50,"unit":"in"}</v>
      </c>
      <c r="DH425" s="15">
        <v>2.0</v>
      </c>
      <c r="DI425" s="15">
        <v>2.0</v>
      </c>
      <c r="DJ425" s="15" t="s">
        <v>717</v>
      </c>
      <c r="DK425" s="15" t="s">
        <v>897</v>
      </c>
      <c r="DL425" s="15" t="str">
        <f>IFERROR(__xludf.DUMMYFUNCTION("""COMPUTED_VALUE"""),"Clean with water-based products only. Use mild detergent or upholstery shampoo.")</f>
        <v>Clean with water-based products only. Use mild detergent or upholstery shampoo.</v>
      </c>
      <c r="DM425" s="15" t="s">
        <v>898</v>
      </c>
      <c r="DQ425" s="15" t="s">
        <v>5287</v>
      </c>
      <c r="DT425" s="15" t="s">
        <v>721</v>
      </c>
      <c r="DU425" s="15" t="s">
        <v>419</v>
      </c>
      <c r="DV425" s="15">
        <v>0.0</v>
      </c>
      <c r="DZ425" s="15">
        <v>100000.0</v>
      </c>
      <c r="EA425" s="15" t="s">
        <v>990</v>
      </c>
      <c r="EB425" s="15" t="s">
        <v>723</v>
      </c>
      <c r="EC425" s="15" t="s">
        <v>1076</v>
      </c>
      <c r="ED425" s="15">
        <v>1.0</v>
      </c>
      <c r="EE425" s="15">
        <v>1.0</v>
      </c>
      <c r="EG425" s="15" t="s">
        <v>444</v>
      </c>
      <c r="EH425" s="15" t="s">
        <v>5272</v>
      </c>
      <c r="EI425" s="15">
        <v>0.0</v>
      </c>
      <c r="EJ425" s="15" t="s">
        <v>726</v>
      </c>
      <c r="EK425" s="15" t="s">
        <v>727</v>
      </c>
      <c r="EL425" s="15" t="s">
        <v>1212</v>
      </c>
      <c r="EM425" s="15" t="str">
        <f>IFERROR(__xludf.DUMMYFUNCTION("""COMPUTED_VALUE"""),"{""value"":25.50,""unit"":""in""}")</f>
        <v>{"value":25.50,"unit":"in"}</v>
      </c>
      <c r="EN425" s="15" t="s">
        <v>5288</v>
      </c>
      <c r="EO425" s="15" t="s">
        <v>1575</v>
      </c>
      <c r="EP425" s="15" t="s">
        <v>1574</v>
      </c>
      <c r="EQ425" s="15" t="s">
        <v>2116</v>
      </c>
      <c r="ER425" s="15" t="s">
        <v>1160</v>
      </c>
      <c r="ES425" s="15" t="s">
        <v>2465</v>
      </c>
      <c r="ET425" s="15" t="s">
        <v>475</v>
      </c>
      <c r="EU425" s="15" t="s">
        <v>1700</v>
      </c>
      <c r="EV425" s="15" t="s">
        <v>2399</v>
      </c>
      <c r="EW425" s="15" t="s">
        <v>2144</v>
      </c>
      <c r="EX425" s="15" t="s">
        <v>987</v>
      </c>
      <c r="EY425" s="15" t="s">
        <v>5289</v>
      </c>
      <c r="EZ425" s="15" t="s">
        <v>1212</v>
      </c>
      <c r="FA425" s="15" t="s">
        <v>1076</v>
      </c>
      <c r="FB425" s="15" t="s">
        <v>426</v>
      </c>
      <c r="FC425" s="15" t="s">
        <v>723</v>
      </c>
      <c r="FD425" s="15" t="s">
        <v>1076</v>
      </c>
      <c r="FE425" s="15" t="s">
        <v>1289</v>
      </c>
      <c r="FF425" s="15" t="s">
        <v>2387</v>
      </c>
      <c r="FS425" s="15" t="s">
        <v>938</v>
      </c>
      <c r="KB425" s="15" t="s">
        <v>426</v>
      </c>
    </row>
    <row r="426" ht="15.75" customHeight="1">
      <c r="A426" s="14" t="s">
        <v>391</v>
      </c>
      <c r="B426" s="15" t="s">
        <v>5279</v>
      </c>
      <c r="C426" s="16"/>
      <c r="D426" s="15" t="s">
        <v>432</v>
      </c>
      <c r="G426" s="14" t="s">
        <v>393</v>
      </c>
      <c r="H426" s="14" t="s">
        <v>394</v>
      </c>
      <c r="I426" s="14" t="b">
        <v>1</v>
      </c>
      <c r="J426" s="14" t="s">
        <v>395</v>
      </c>
      <c r="L426" s="14" t="b">
        <v>0</v>
      </c>
      <c r="M426" s="15" t="s">
        <v>5290</v>
      </c>
      <c r="N426" s="14" t="s">
        <v>393</v>
      </c>
      <c r="O426" s="14" t="s">
        <v>393</v>
      </c>
      <c r="P426" s="15" t="s">
        <v>397</v>
      </c>
      <c r="Q426" s="15" t="s">
        <v>5274</v>
      </c>
      <c r="T426" s="14" t="b">
        <v>0</v>
      </c>
      <c r="U426" s="15" t="s">
        <v>5291</v>
      </c>
      <c r="V426" s="15" t="s">
        <v>5282</v>
      </c>
      <c r="W426" s="15" t="s">
        <v>401</v>
      </c>
      <c r="X426" s="15" t="s">
        <v>402</v>
      </c>
      <c r="Y426" s="15">
        <v>3393.0</v>
      </c>
      <c r="AA426" s="15" t="str">
        <f>"1305"</f>
        <v>1305</v>
      </c>
      <c r="AB426" s="14" t="b">
        <v>1</v>
      </c>
      <c r="AC426" s="14" t="b">
        <v>1</v>
      </c>
      <c r="AD426" s="15" t="str">
        <f>"801542358921"</f>
        <v>801542358921</v>
      </c>
      <c r="AE426" s="15" t="s">
        <v>5292</v>
      </c>
      <c r="AF426" s="14" t="s">
        <v>404</v>
      </c>
      <c r="AG426" s="14" t="s">
        <v>405</v>
      </c>
      <c r="AH426" s="14" t="s">
        <v>406</v>
      </c>
      <c r="AI426" s="15">
        <v>0.0</v>
      </c>
      <c r="AL426" s="15" t="s">
        <v>5277</v>
      </c>
      <c r="AM426" s="15" t="s">
        <v>1746</v>
      </c>
      <c r="AN426" s="15" t="s">
        <v>1750</v>
      </c>
      <c r="AO426" s="15" t="s">
        <v>679</v>
      </c>
      <c r="AP426" s="15" t="s">
        <v>680</v>
      </c>
      <c r="AQ426" s="15" t="s">
        <v>1276</v>
      </c>
      <c r="AR426" s="15" t="s">
        <v>1277</v>
      </c>
      <c r="AS426" s="15" t="s">
        <v>2374</v>
      </c>
      <c r="AT426" s="15" t="s">
        <v>5274</v>
      </c>
      <c r="AU426" s="15" t="s">
        <v>5268</v>
      </c>
      <c r="AW426" s="15" t="s">
        <v>1226</v>
      </c>
      <c r="AY426" s="15" t="s">
        <v>413</v>
      </c>
      <c r="AZ426" s="15" t="b">
        <v>0</v>
      </c>
      <c r="BA426" s="15" t="s">
        <v>426</v>
      </c>
      <c r="BB426" s="15" t="b">
        <v>1</v>
      </c>
      <c r="BC426" s="15" t="s">
        <v>5293</v>
      </c>
      <c r="BD426" s="15" t="s">
        <v>415</v>
      </c>
      <c r="BE426" s="15" t="str">
        <f t="shared" si="743"/>
        <v>1</v>
      </c>
      <c r="BF426" s="15" t="s">
        <v>416</v>
      </c>
      <c r="BG426" s="15" t="str">
        <f t="shared" si="763"/>
        <v>92.5</v>
      </c>
      <c r="BH426" s="15" t="s">
        <v>5284</v>
      </c>
      <c r="BI426" s="15" t="str">
        <f t="shared" si="764"/>
        <v>41</v>
      </c>
      <c r="BJ426" s="15" t="s">
        <v>2377</v>
      </c>
      <c r="BK426" s="15" t="str">
        <f t="shared" si="765"/>
        <v>31</v>
      </c>
      <c r="BL426" s="15" t="s">
        <v>1277</v>
      </c>
      <c r="BM426" s="15" t="str">
        <f t="shared" si="766"/>
        <v>146.61</v>
      </c>
      <c r="BN426" s="15" t="s">
        <v>5285</v>
      </c>
      <c r="BQ426" s="15" t="s">
        <v>444</v>
      </c>
      <c r="BS426" s="15" t="s">
        <v>444</v>
      </c>
      <c r="BU426" s="15" t="s">
        <v>444</v>
      </c>
      <c r="BW426" s="15" t="s">
        <v>444</v>
      </c>
      <c r="BZ426" s="15" t="s">
        <v>444</v>
      </c>
      <c r="CB426" s="15" t="s">
        <v>444</v>
      </c>
      <c r="CD426" s="15" t="s">
        <v>444</v>
      </c>
      <c r="CF426" s="15" t="s">
        <v>444</v>
      </c>
      <c r="CI426" s="15" t="s">
        <v>444</v>
      </c>
      <c r="CK426" s="15" t="s">
        <v>444</v>
      </c>
      <c r="CM426" s="15" t="s">
        <v>444</v>
      </c>
      <c r="CO426" s="15" t="s">
        <v>444</v>
      </c>
      <c r="CP426" s="15" t="str">
        <f t="shared" si="767"/>
        <v>68.05</v>
      </c>
      <c r="CQ426" s="15" t="str">
        <f t="shared" si="768"/>
        <v>1.927</v>
      </c>
      <c r="CR426" s="15" t="s">
        <v>417</v>
      </c>
      <c r="CY426" s="15" t="s">
        <v>3036</v>
      </c>
      <c r="CZ426" s="15" t="s">
        <v>475</v>
      </c>
      <c r="DA426" s="15" t="s">
        <v>5286</v>
      </c>
      <c r="DB426" s="15" t="s">
        <v>734</v>
      </c>
      <c r="DC426" s="15" t="str">
        <f>IFERROR(__xludf.DUMMYFUNCTION("""COMPUTED_VALUE"""),"{""value"":31.50,""unit"":""in""}")</f>
        <v>{"value":31.50,"unit":"in"}</v>
      </c>
      <c r="DD426" s="15" t="s">
        <v>467</v>
      </c>
      <c r="DE426" s="15" t="str">
        <f>IFERROR(__xludf.DUMMYFUNCTION("""COMPUTED_VALUE"""),"{""value"":19.00,""unit"":""in""}")</f>
        <v>{"value":19.00,"unit":"in"}</v>
      </c>
      <c r="DF426" s="15" t="s">
        <v>5286</v>
      </c>
      <c r="DG426" s="15" t="str">
        <f>IFERROR(__xludf.DUMMYFUNCTION("""COMPUTED_VALUE"""),"{""value"":70.50,""unit"":""in""}")</f>
        <v>{"value":70.50,"unit":"in"}</v>
      </c>
      <c r="DH426" s="15">
        <v>2.0</v>
      </c>
      <c r="DI426" s="15">
        <v>2.0</v>
      </c>
      <c r="DJ426" s="15" t="s">
        <v>717</v>
      </c>
      <c r="DK426" s="15" t="s">
        <v>897</v>
      </c>
      <c r="DL426" s="15" t="str">
        <f>IFERROR(__xludf.DUMMYFUNCTION("""COMPUTED_VALUE"""),"Clean with water-based products only. Use mild detergent or upholstery shampoo.")</f>
        <v>Clean with water-based products only. Use mild detergent or upholstery shampoo.</v>
      </c>
      <c r="DM426" s="15" t="s">
        <v>898</v>
      </c>
      <c r="DQ426" s="15" t="s">
        <v>5287</v>
      </c>
      <c r="DT426" s="15" t="s">
        <v>721</v>
      </c>
      <c r="DU426" s="15" t="s">
        <v>419</v>
      </c>
      <c r="DV426" s="15">
        <v>0.0</v>
      </c>
      <c r="DZ426" s="15">
        <v>15000.0</v>
      </c>
      <c r="EA426" s="15" t="s">
        <v>990</v>
      </c>
      <c r="EB426" s="15" t="s">
        <v>723</v>
      </c>
      <c r="EC426" s="15" t="s">
        <v>1076</v>
      </c>
      <c r="ED426" s="15">
        <v>1.0</v>
      </c>
      <c r="EE426" s="15">
        <v>1.0</v>
      </c>
      <c r="EG426" s="15" t="s">
        <v>444</v>
      </c>
      <c r="EH426" s="15" t="s">
        <v>5272</v>
      </c>
      <c r="EI426" s="15">
        <v>0.0</v>
      </c>
      <c r="EJ426" s="15" t="s">
        <v>726</v>
      </c>
      <c r="EK426" s="15" t="s">
        <v>727</v>
      </c>
      <c r="EL426" s="15" t="s">
        <v>1212</v>
      </c>
      <c r="EM426" s="15" t="str">
        <f>IFERROR(__xludf.DUMMYFUNCTION("""COMPUTED_VALUE"""),"{""value"":25.50,""unit"":""in""}")</f>
        <v>{"value":25.50,"unit":"in"}</v>
      </c>
      <c r="EN426" s="15" t="s">
        <v>5288</v>
      </c>
      <c r="EO426" s="15" t="s">
        <v>1575</v>
      </c>
      <c r="EP426" s="15" t="s">
        <v>1574</v>
      </c>
      <c r="EQ426" s="15" t="s">
        <v>2116</v>
      </c>
      <c r="ER426" s="15" t="s">
        <v>1160</v>
      </c>
      <c r="ES426" s="15" t="s">
        <v>2465</v>
      </c>
      <c r="ET426" s="15" t="s">
        <v>475</v>
      </c>
      <c r="EU426" s="15" t="s">
        <v>1700</v>
      </c>
      <c r="EV426" s="15" t="s">
        <v>2399</v>
      </c>
      <c r="EW426" s="15" t="s">
        <v>2144</v>
      </c>
      <c r="EX426" s="15" t="s">
        <v>987</v>
      </c>
      <c r="EY426" s="15" t="s">
        <v>5289</v>
      </c>
      <c r="EZ426" s="15" t="s">
        <v>1212</v>
      </c>
      <c r="FA426" s="15" t="s">
        <v>1076</v>
      </c>
      <c r="FB426" s="15" t="s">
        <v>426</v>
      </c>
      <c r="FC426" s="15" t="s">
        <v>723</v>
      </c>
      <c r="FD426" s="15" t="s">
        <v>1076</v>
      </c>
      <c r="FE426" s="15" t="s">
        <v>1289</v>
      </c>
      <c r="FF426" s="15" t="s">
        <v>2387</v>
      </c>
      <c r="FS426" s="15" t="s">
        <v>938</v>
      </c>
      <c r="KB426" s="15" t="s">
        <v>426</v>
      </c>
    </row>
    <row r="427" ht="15.75" customHeight="1">
      <c r="A427" s="14" t="s">
        <v>391</v>
      </c>
      <c r="B427" s="15" t="s">
        <v>5294</v>
      </c>
      <c r="C427" s="16"/>
      <c r="D427" s="15" t="s">
        <v>432</v>
      </c>
      <c r="G427" s="14" t="s">
        <v>393</v>
      </c>
      <c r="H427" s="14" t="s">
        <v>394</v>
      </c>
      <c r="I427" s="14" t="b">
        <v>1</v>
      </c>
      <c r="J427" s="14" t="s">
        <v>395</v>
      </c>
      <c r="L427" s="14" t="b">
        <v>0</v>
      </c>
      <c r="M427" s="15" t="s">
        <v>5295</v>
      </c>
      <c r="N427" s="14" t="s">
        <v>393</v>
      </c>
      <c r="O427" s="14" t="s">
        <v>393</v>
      </c>
      <c r="P427" s="15" t="s">
        <v>397</v>
      </c>
      <c r="Q427" s="15" t="s">
        <v>5296</v>
      </c>
      <c r="T427" s="14" t="b">
        <v>0</v>
      </c>
      <c r="U427" s="15" t="s">
        <v>5297</v>
      </c>
      <c r="V427" s="15" t="s">
        <v>594</v>
      </c>
      <c r="W427" s="15" t="s">
        <v>401</v>
      </c>
      <c r="X427" s="15" t="s">
        <v>742</v>
      </c>
      <c r="Y427" s="15">
        <v>2080.0</v>
      </c>
      <c r="AA427" s="15" t="str">
        <f>"800"</f>
        <v>800</v>
      </c>
      <c r="AB427" s="14" t="b">
        <v>1</v>
      </c>
      <c r="AC427" s="14" t="b">
        <v>1</v>
      </c>
      <c r="AD427" s="15" t="str">
        <f>"801542028251"</f>
        <v>801542028251</v>
      </c>
      <c r="AE427" s="15" t="s">
        <v>5298</v>
      </c>
      <c r="AF427" s="14" t="s">
        <v>404</v>
      </c>
      <c r="AG427" s="14" t="s">
        <v>405</v>
      </c>
      <c r="AH427" s="14" t="s">
        <v>406</v>
      </c>
      <c r="AI427" s="15">
        <v>0.0</v>
      </c>
      <c r="AL427" s="15" t="s">
        <v>5299</v>
      </c>
      <c r="AM427" s="15" t="s">
        <v>1224</v>
      </c>
      <c r="AN427" s="15" t="s">
        <v>1225</v>
      </c>
      <c r="AO427" s="15" t="s">
        <v>1007</v>
      </c>
      <c r="AP427" s="15" t="s">
        <v>1008</v>
      </c>
      <c r="AQ427" s="15" t="s">
        <v>410</v>
      </c>
      <c r="AR427" s="15" t="s">
        <v>439</v>
      </c>
      <c r="AS427" s="15" t="s">
        <v>2063</v>
      </c>
      <c r="AT427" s="15" t="s">
        <v>5296</v>
      </c>
      <c r="AU427" s="15" t="s">
        <v>2575</v>
      </c>
      <c r="AW427" s="15" t="s">
        <v>412</v>
      </c>
      <c r="AY427" s="15" t="s">
        <v>413</v>
      </c>
      <c r="AZ427" s="15" t="b">
        <v>0</v>
      </c>
      <c r="BA427" s="15" t="s">
        <v>413</v>
      </c>
      <c r="BB427" s="15" t="b">
        <v>0</v>
      </c>
      <c r="BC427" s="15" t="s">
        <v>5300</v>
      </c>
      <c r="BD427" s="15" t="s">
        <v>742</v>
      </c>
      <c r="BE427" s="15" t="str">
        <f t="shared" si="743"/>
        <v>1</v>
      </c>
      <c r="BF427" s="15" t="s">
        <v>416</v>
      </c>
      <c r="BG427" s="15" t="str">
        <f>"69.09"</f>
        <v>69.09</v>
      </c>
      <c r="BH427" s="15" t="s">
        <v>5301</v>
      </c>
      <c r="BI427" s="15" t="str">
        <f>"22.05"</f>
        <v>22.05</v>
      </c>
      <c r="BJ427" s="15" t="s">
        <v>2310</v>
      </c>
      <c r="BK427" s="15" t="str">
        <f>"38.98"</f>
        <v>38.98</v>
      </c>
      <c r="BL427" s="15" t="s">
        <v>927</v>
      </c>
      <c r="BM427" s="15" t="str">
        <f>"275.58"</f>
        <v>275.58</v>
      </c>
      <c r="BN427" s="15" t="s">
        <v>5302</v>
      </c>
      <c r="BQ427" s="15" t="s">
        <v>444</v>
      </c>
      <c r="BS427" s="15" t="s">
        <v>444</v>
      </c>
      <c r="BU427" s="15" t="s">
        <v>444</v>
      </c>
      <c r="BW427" s="15" t="s">
        <v>444</v>
      </c>
      <c r="BZ427" s="15" t="s">
        <v>444</v>
      </c>
      <c r="CB427" s="15" t="s">
        <v>444</v>
      </c>
      <c r="CD427" s="15" t="s">
        <v>444</v>
      </c>
      <c r="CF427" s="15" t="s">
        <v>444</v>
      </c>
      <c r="CI427" s="15" t="s">
        <v>444</v>
      </c>
      <c r="CK427" s="15" t="s">
        <v>444</v>
      </c>
      <c r="CM427" s="15" t="s">
        <v>444</v>
      </c>
      <c r="CO427" s="15" t="s">
        <v>444</v>
      </c>
      <c r="CP427" s="15" t="str">
        <f>"34.36"</f>
        <v>34.36</v>
      </c>
      <c r="CQ427" s="15" t="str">
        <f>"0.973"</f>
        <v>0.973</v>
      </c>
      <c r="CR427" s="15" t="s">
        <v>465</v>
      </c>
      <c r="DC427" s="15" t="str">
        <f>IFERROR(__xludf.DUMMYFUNCTION("""COMPUTED_VALUE"""),"")</f>
        <v/>
      </c>
      <c r="DE427" s="15" t="str">
        <f>IFERROR(__xludf.DUMMYFUNCTION("""COMPUTED_VALUE"""),"")</f>
        <v/>
      </c>
      <c r="DG427" s="15" t="str">
        <f>IFERROR(__xludf.DUMMYFUNCTION("""COMPUTED_VALUE"""),"")</f>
        <v/>
      </c>
      <c r="DL427" s="15" t="str">
        <f>IFERROR(__xludf.DUMMYFUNCTION("""COMPUTED_VALUE"""),"")</f>
        <v/>
      </c>
      <c r="DM427" s="15" t="s">
        <v>444</v>
      </c>
      <c r="DN427" s="15" t="s">
        <v>1371</v>
      </c>
      <c r="DO427" s="15">
        <v>6.0</v>
      </c>
      <c r="DP427" s="15" t="s">
        <v>1185</v>
      </c>
      <c r="DR427" s="15">
        <v>0.0</v>
      </c>
      <c r="DT427" s="15" t="s">
        <v>1186</v>
      </c>
      <c r="DU427" s="15" t="s">
        <v>421</v>
      </c>
      <c r="DY427" s="15">
        <v>0.0</v>
      </c>
      <c r="EF427" s="15" t="s">
        <v>422</v>
      </c>
      <c r="EG427" s="15" t="s">
        <v>445</v>
      </c>
      <c r="EH427" s="15" t="s">
        <v>5303</v>
      </c>
      <c r="EJ427" s="15" t="s">
        <v>500</v>
      </c>
      <c r="EK427" s="15" t="s">
        <v>501</v>
      </c>
      <c r="EM427" s="15" t="str">
        <f>IFERROR(__xludf.DUMMYFUNCTION("""COMPUTED_VALUE"""),"")</f>
        <v/>
      </c>
      <c r="EW427" s="15" t="s">
        <v>5304</v>
      </c>
      <c r="FM427" s="15">
        <v>0.0</v>
      </c>
      <c r="GH427" s="15">
        <v>0.0</v>
      </c>
      <c r="GI427" s="15" t="s">
        <v>427</v>
      </c>
      <c r="GQ427" s="15" t="s">
        <v>3781</v>
      </c>
      <c r="GS427" s="15" t="s">
        <v>5305</v>
      </c>
      <c r="GU427" s="15" t="s">
        <v>5306</v>
      </c>
      <c r="GW427" s="15" t="s">
        <v>838</v>
      </c>
      <c r="GY427" s="15" t="s">
        <v>1190</v>
      </c>
    </row>
    <row r="428" ht="15.75" customHeight="1">
      <c r="A428" s="14" t="s">
        <v>391</v>
      </c>
      <c r="B428" s="15" t="s">
        <v>5307</v>
      </c>
      <c r="C428" s="16"/>
      <c r="D428" s="15" t="s">
        <v>432</v>
      </c>
      <c r="G428" s="14" t="s">
        <v>393</v>
      </c>
      <c r="H428" s="14" t="s">
        <v>394</v>
      </c>
      <c r="I428" s="14" t="b">
        <v>1</v>
      </c>
      <c r="J428" s="14" t="s">
        <v>395</v>
      </c>
      <c r="L428" s="14" t="b">
        <v>0</v>
      </c>
      <c r="M428" s="15" t="s">
        <v>5308</v>
      </c>
      <c r="N428" s="14" t="s">
        <v>393</v>
      </c>
      <c r="O428" s="14" t="s">
        <v>393</v>
      </c>
      <c r="P428" s="15" t="s">
        <v>397</v>
      </c>
      <c r="Q428" s="15" t="s">
        <v>2575</v>
      </c>
      <c r="T428" s="14" t="b">
        <v>0</v>
      </c>
      <c r="U428" s="15" t="s">
        <v>5309</v>
      </c>
      <c r="V428" s="15" t="s">
        <v>2940</v>
      </c>
      <c r="W428" s="15" t="s">
        <v>401</v>
      </c>
      <c r="X428" s="15" t="s">
        <v>742</v>
      </c>
      <c r="Y428" s="15">
        <v>3068.0</v>
      </c>
      <c r="AA428" s="15" t="str">
        <f>"1180"</f>
        <v>1180</v>
      </c>
      <c r="AB428" s="14" t="b">
        <v>1</v>
      </c>
      <c r="AC428" s="14" t="b">
        <v>1</v>
      </c>
      <c r="AD428" s="15" t="str">
        <f>"801542056384"</f>
        <v>801542056384</v>
      </c>
      <c r="AE428" s="15" t="s">
        <v>5310</v>
      </c>
      <c r="AF428" s="14" t="s">
        <v>404</v>
      </c>
      <c r="AG428" s="14" t="s">
        <v>405</v>
      </c>
      <c r="AH428" s="14" t="s">
        <v>406</v>
      </c>
      <c r="AI428" s="15">
        <v>0.0</v>
      </c>
      <c r="AL428" s="15" t="s">
        <v>5311</v>
      </c>
      <c r="AM428" s="15" t="s">
        <v>408</v>
      </c>
      <c r="AN428" s="15" t="s">
        <v>437</v>
      </c>
      <c r="AO428" s="15" t="s">
        <v>582</v>
      </c>
      <c r="AP428" s="15" t="s">
        <v>583</v>
      </c>
      <c r="AQ428" s="15" t="s">
        <v>2088</v>
      </c>
      <c r="AR428" s="15" t="s">
        <v>2089</v>
      </c>
      <c r="AS428" s="15" t="s">
        <v>2063</v>
      </c>
      <c r="AT428" s="15" t="s">
        <v>2575</v>
      </c>
      <c r="AU428" s="15" t="s">
        <v>3557</v>
      </c>
      <c r="AV428" s="15" t="s">
        <v>5296</v>
      </c>
      <c r="AW428" s="15" t="s">
        <v>839</v>
      </c>
      <c r="AX428" s="15" t="s">
        <v>828</v>
      </c>
      <c r="AY428" s="15" t="s">
        <v>413</v>
      </c>
      <c r="AZ428" s="15" t="b">
        <v>0</v>
      </c>
      <c r="BA428" s="15" t="s">
        <v>413</v>
      </c>
      <c r="BB428" s="15" t="b">
        <v>0</v>
      </c>
      <c r="BC428" s="15" t="s">
        <v>5312</v>
      </c>
      <c r="BD428" s="15" t="s">
        <v>742</v>
      </c>
      <c r="BE428" s="15" t="str">
        <f t="shared" ref="BE428:BE431" si="769">"2"</f>
        <v>2</v>
      </c>
      <c r="BF428" s="15" t="s">
        <v>5313</v>
      </c>
      <c r="BG428" s="15" t="str">
        <f>"84.65"</f>
        <v>84.65</v>
      </c>
      <c r="BH428" s="15" t="s">
        <v>852</v>
      </c>
      <c r="BI428" s="15" t="str">
        <f t="shared" ref="BI428:BI431" si="770">"52.36"</f>
        <v>52.36</v>
      </c>
      <c r="BJ428" s="15" t="s">
        <v>5314</v>
      </c>
      <c r="BK428" s="15" t="str">
        <f t="shared" ref="BK428:BK431" si="771">"12.8"</f>
        <v>12.8</v>
      </c>
      <c r="BL428" s="15" t="s">
        <v>5315</v>
      </c>
      <c r="BM428" s="15" t="str">
        <f>"139.33"</f>
        <v>139.33</v>
      </c>
      <c r="BN428" s="15" t="s">
        <v>5316</v>
      </c>
      <c r="BO428" s="15" t="s">
        <v>5313</v>
      </c>
      <c r="BP428" s="15" t="str">
        <f>"88.58"</f>
        <v>88.58</v>
      </c>
      <c r="BQ428" s="15" t="s">
        <v>5317</v>
      </c>
      <c r="BR428" s="15" t="str">
        <f>"18.5"</f>
        <v>18.5</v>
      </c>
      <c r="BS428" s="15" t="s">
        <v>810</v>
      </c>
      <c r="BT428" s="15" t="str">
        <f>"8.27"</f>
        <v>8.27</v>
      </c>
      <c r="BU428" s="15" t="s">
        <v>1106</v>
      </c>
      <c r="BV428" s="15" t="str">
        <f>"123.46"</f>
        <v>123.46</v>
      </c>
      <c r="BW428" s="15" t="s">
        <v>5318</v>
      </c>
      <c r="BZ428" s="15" t="s">
        <v>444</v>
      </c>
      <c r="CB428" s="15" t="s">
        <v>444</v>
      </c>
      <c r="CD428" s="15" t="s">
        <v>444</v>
      </c>
      <c r="CF428" s="15" t="s">
        <v>444</v>
      </c>
      <c r="CI428" s="15" t="s">
        <v>444</v>
      </c>
      <c r="CK428" s="15" t="s">
        <v>444</v>
      </c>
      <c r="CM428" s="15" t="s">
        <v>444</v>
      </c>
      <c r="CO428" s="15" t="s">
        <v>444</v>
      </c>
      <c r="CP428" s="15" t="str">
        <f>"40.65"</f>
        <v>40.65</v>
      </c>
      <c r="CQ428" s="15" t="str">
        <f>"1.151"</f>
        <v>1.151</v>
      </c>
      <c r="CR428" s="15" t="s">
        <v>497</v>
      </c>
      <c r="DC428" s="15" t="str">
        <f>IFERROR(__xludf.DUMMYFUNCTION("""COMPUTED_VALUE"""),"")</f>
        <v/>
      </c>
      <c r="DE428" s="15" t="str">
        <f>IFERROR(__xludf.DUMMYFUNCTION("""COMPUTED_VALUE"""),"")</f>
        <v/>
      </c>
      <c r="DG428" s="15" t="str">
        <f>IFERROR(__xludf.DUMMYFUNCTION("""COMPUTED_VALUE"""),"")</f>
        <v/>
      </c>
      <c r="DK428" s="15" t="s">
        <v>718</v>
      </c>
      <c r="DL428" s="15" t="str">
        <f>IFERROR(__xludf.DUMMYFUNCTION("""COMPUTED_VALUE"""),"Vacuum or light brush only. Do not use water or any cleaning products.")</f>
        <v>Vacuum or light brush only. Do not use water or any cleaning products.</v>
      </c>
      <c r="DM428" s="15" t="s">
        <v>719</v>
      </c>
      <c r="DN428" s="15" t="s">
        <v>419</v>
      </c>
      <c r="DO428" s="15">
        <v>0.0</v>
      </c>
      <c r="DP428" s="15" t="s">
        <v>419</v>
      </c>
      <c r="DR428" s="15">
        <v>0.0</v>
      </c>
      <c r="DT428" s="15" t="s">
        <v>1186</v>
      </c>
      <c r="DU428" s="15" t="s">
        <v>419</v>
      </c>
      <c r="DW428" s="15">
        <v>0.0</v>
      </c>
      <c r="DX428" s="15">
        <v>0.0</v>
      </c>
      <c r="DY428" s="15">
        <v>0.0</v>
      </c>
      <c r="DZ428" s="15">
        <v>0.0</v>
      </c>
      <c r="EG428" s="15" t="s">
        <v>444</v>
      </c>
      <c r="EH428" s="15" t="s">
        <v>5303</v>
      </c>
      <c r="EJ428" s="15" t="s">
        <v>858</v>
      </c>
      <c r="EK428" s="15" t="s">
        <v>859</v>
      </c>
      <c r="EM428" s="15" t="str">
        <f>IFERROR(__xludf.DUMMYFUNCTION("""COMPUTED_VALUE"""),"")</f>
        <v/>
      </c>
      <c r="FM428" s="15">
        <v>0.0</v>
      </c>
      <c r="IM428" s="15" t="s">
        <v>5319</v>
      </c>
      <c r="IN428" s="15" t="s">
        <v>1950</v>
      </c>
      <c r="IO428" s="15" t="s">
        <v>1950</v>
      </c>
      <c r="IP428" s="15" t="s">
        <v>2179</v>
      </c>
      <c r="IQ428" s="15" t="s">
        <v>784</v>
      </c>
      <c r="IR428" s="15" t="s">
        <v>869</v>
      </c>
      <c r="IS428" s="15" t="s">
        <v>5320</v>
      </c>
      <c r="IT428" s="15" t="s">
        <v>1950</v>
      </c>
      <c r="IU428" s="15" t="s">
        <v>5321</v>
      </c>
      <c r="IV428" s="15" t="s">
        <v>2971</v>
      </c>
      <c r="IW428" s="15" t="s">
        <v>789</v>
      </c>
      <c r="IX428" s="15" t="s">
        <v>869</v>
      </c>
      <c r="IY428" s="15" t="s">
        <v>1950</v>
      </c>
      <c r="IZ428" s="15" t="s">
        <v>5322</v>
      </c>
      <c r="JA428" s="15" t="s">
        <v>784</v>
      </c>
      <c r="JB428" s="15" t="s">
        <v>426</v>
      </c>
      <c r="JC428" s="15" t="s">
        <v>2973</v>
      </c>
      <c r="JD428" s="15" t="s">
        <v>872</v>
      </c>
      <c r="JE428" s="15" t="s">
        <v>873</v>
      </c>
      <c r="JF428" s="15" t="s">
        <v>828</v>
      </c>
      <c r="JL428" s="15" t="s">
        <v>759</v>
      </c>
      <c r="JM428" s="15" t="s">
        <v>1390</v>
      </c>
      <c r="JO428" s="15" t="s">
        <v>426</v>
      </c>
      <c r="JP428" s="15" t="s">
        <v>2474</v>
      </c>
    </row>
    <row r="429" ht="15.75" customHeight="1">
      <c r="A429" s="14" t="s">
        <v>391</v>
      </c>
      <c r="B429" s="15" t="s">
        <v>5307</v>
      </c>
      <c r="C429" s="16"/>
      <c r="D429" s="15" t="s">
        <v>432</v>
      </c>
      <c r="G429" s="14" t="s">
        <v>393</v>
      </c>
      <c r="H429" s="14" t="s">
        <v>394</v>
      </c>
      <c r="I429" s="14" t="b">
        <v>1</v>
      </c>
      <c r="J429" s="14" t="s">
        <v>395</v>
      </c>
      <c r="L429" s="14" t="b">
        <v>0</v>
      </c>
      <c r="M429" s="15" t="s">
        <v>5323</v>
      </c>
      <c r="N429" s="14" t="s">
        <v>393</v>
      </c>
      <c r="O429" s="14" t="s">
        <v>393</v>
      </c>
      <c r="P429" s="15" t="s">
        <v>397</v>
      </c>
      <c r="Q429" s="15" t="s">
        <v>5324</v>
      </c>
      <c r="T429" s="14" t="b">
        <v>0</v>
      </c>
      <c r="U429" s="15" t="s">
        <v>5325</v>
      </c>
      <c r="V429" s="15" t="s">
        <v>4143</v>
      </c>
      <c r="W429" s="15" t="s">
        <v>401</v>
      </c>
      <c r="X429" s="15" t="s">
        <v>742</v>
      </c>
      <c r="Y429" s="15">
        <v>2730.0</v>
      </c>
      <c r="AA429" s="15" t="str">
        <f t="shared" ref="AA429:AA430" si="772">"1050"</f>
        <v>1050</v>
      </c>
      <c r="AB429" s="14" t="b">
        <v>1</v>
      </c>
      <c r="AC429" s="14" t="b">
        <v>1</v>
      </c>
      <c r="AD429" s="15" t="str">
        <f>"801542056391"</f>
        <v>801542056391</v>
      </c>
      <c r="AE429" s="15" t="s">
        <v>5326</v>
      </c>
      <c r="AF429" s="14" t="s">
        <v>404</v>
      </c>
      <c r="AG429" s="14" t="s">
        <v>405</v>
      </c>
      <c r="AH429" s="14" t="s">
        <v>406</v>
      </c>
      <c r="AI429" s="15">
        <v>0.0</v>
      </c>
      <c r="AL429" s="15" t="s">
        <v>5311</v>
      </c>
      <c r="AM429" s="15" t="s">
        <v>2979</v>
      </c>
      <c r="AN429" s="15" t="s">
        <v>2235</v>
      </c>
      <c r="AO429" s="15" t="s">
        <v>582</v>
      </c>
      <c r="AP429" s="15" t="s">
        <v>583</v>
      </c>
      <c r="AQ429" s="15" t="s">
        <v>2088</v>
      </c>
      <c r="AR429" s="15" t="s">
        <v>2089</v>
      </c>
      <c r="AS429" s="15" t="s">
        <v>2063</v>
      </c>
      <c r="AT429" s="15" t="s">
        <v>5324</v>
      </c>
      <c r="AU429" s="15" t="s">
        <v>3557</v>
      </c>
      <c r="AV429" s="15" t="s">
        <v>5296</v>
      </c>
      <c r="AW429" s="15" t="s">
        <v>839</v>
      </c>
      <c r="AX429" s="15" t="s">
        <v>877</v>
      </c>
      <c r="AY429" s="15" t="s">
        <v>413</v>
      </c>
      <c r="AZ429" s="15" t="b">
        <v>0</v>
      </c>
      <c r="BA429" s="15" t="s">
        <v>413</v>
      </c>
      <c r="BB429" s="15" t="b">
        <v>0</v>
      </c>
      <c r="BC429" s="15" t="s">
        <v>5312</v>
      </c>
      <c r="BD429" s="15" t="s">
        <v>742</v>
      </c>
      <c r="BE429" s="15" t="str">
        <f t="shared" si="769"/>
        <v>2</v>
      </c>
      <c r="BF429" s="15" t="s">
        <v>5313</v>
      </c>
      <c r="BG429" s="15" t="str">
        <f t="shared" ref="BG429:BG430" si="773">"68.5"</f>
        <v>68.5</v>
      </c>
      <c r="BH429" s="15" t="s">
        <v>3121</v>
      </c>
      <c r="BI429" s="15" t="str">
        <f t="shared" si="770"/>
        <v>52.36</v>
      </c>
      <c r="BJ429" s="15" t="s">
        <v>5314</v>
      </c>
      <c r="BK429" s="15" t="str">
        <f t="shared" si="771"/>
        <v>12.8</v>
      </c>
      <c r="BL429" s="15" t="s">
        <v>5315</v>
      </c>
      <c r="BM429" s="15" t="str">
        <f t="shared" ref="BM429:BM430" si="774">"125.66"</f>
        <v>125.66</v>
      </c>
      <c r="BN429" s="15" t="s">
        <v>5327</v>
      </c>
      <c r="BO429" s="15" t="s">
        <v>5313</v>
      </c>
      <c r="BP429" s="15" t="str">
        <f t="shared" ref="BP429:BP430" si="775">"86.61"</f>
        <v>86.61</v>
      </c>
      <c r="BQ429" s="15" t="s">
        <v>2309</v>
      </c>
      <c r="BR429" s="15" t="str">
        <f t="shared" ref="BR429:BR430" si="776">"19.88"</f>
        <v>19.88</v>
      </c>
      <c r="BS429" s="15" t="s">
        <v>5328</v>
      </c>
      <c r="BT429" s="15" t="str">
        <f t="shared" ref="BT429:BT430" si="777">"8.66"</f>
        <v>8.66</v>
      </c>
      <c r="BU429" s="15" t="s">
        <v>5329</v>
      </c>
      <c r="BV429" s="15" t="str">
        <f t="shared" ref="BV429:BV430" si="778">"100.31"</f>
        <v>100.31</v>
      </c>
      <c r="BW429" s="15" t="s">
        <v>2420</v>
      </c>
      <c r="BZ429" s="15" t="s">
        <v>444</v>
      </c>
      <c r="CB429" s="15" t="s">
        <v>444</v>
      </c>
      <c r="CD429" s="15" t="s">
        <v>444</v>
      </c>
      <c r="CF429" s="15" t="s">
        <v>444</v>
      </c>
      <c r="CI429" s="15" t="s">
        <v>444</v>
      </c>
      <c r="CK429" s="15" t="s">
        <v>444</v>
      </c>
      <c r="CM429" s="15" t="s">
        <v>444</v>
      </c>
      <c r="CO429" s="15" t="s">
        <v>444</v>
      </c>
      <c r="CP429" s="15" t="str">
        <f t="shared" ref="CP429:CP430" si="779">"35.17"</f>
        <v>35.17</v>
      </c>
      <c r="CQ429" s="15" t="str">
        <f t="shared" ref="CQ429:CQ430" si="780">"0.996"</f>
        <v>0.996</v>
      </c>
      <c r="CR429" s="15" t="s">
        <v>465</v>
      </c>
      <c r="DC429" s="15" t="str">
        <f>IFERROR(__xludf.DUMMYFUNCTION("""COMPUTED_VALUE"""),"")</f>
        <v/>
      </c>
      <c r="DE429" s="15" t="str">
        <f>IFERROR(__xludf.DUMMYFUNCTION("""COMPUTED_VALUE"""),"")</f>
        <v/>
      </c>
      <c r="DG429" s="15" t="str">
        <f>IFERROR(__xludf.DUMMYFUNCTION("""COMPUTED_VALUE"""),"")</f>
        <v/>
      </c>
      <c r="DK429" s="15" t="s">
        <v>718</v>
      </c>
      <c r="DL429" s="15" t="str">
        <f>IFERROR(__xludf.DUMMYFUNCTION("""COMPUTED_VALUE"""),"Vacuum or light brush only. Do not use water or any cleaning products.")</f>
        <v>Vacuum or light brush only. Do not use water or any cleaning products.</v>
      </c>
      <c r="DM429" s="15" t="s">
        <v>719</v>
      </c>
      <c r="DN429" s="15" t="s">
        <v>419</v>
      </c>
      <c r="DO429" s="15">
        <v>0.0</v>
      </c>
      <c r="DP429" s="15" t="s">
        <v>419</v>
      </c>
      <c r="DR429" s="15">
        <v>0.0</v>
      </c>
      <c r="DT429" s="15" t="s">
        <v>1186</v>
      </c>
      <c r="DU429" s="15" t="s">
        <v>419</v>
      </c>
      <c r="DW429" s="15">
        <v>0.0</v>
      </c>
      <c r="DX429" s="15">
        <v>0.0</v>
      </c>
      <c r="DY429" s="15">
        <v>0.0</v>
      </c>
      <c r="DZ429" s="15">
        <v>0.0</v>
      </c>
      <c r="EG429" s="15" t="s">
        <v>444</v>
      </c>
      <c r="EH429" s="15" t="s">
        <v>5303</v>
      </c>
      <c r="EJ429" s="15" t="s">
        <v>858</v>
      </c>
      <c r="EK429" s="15" t="s">
        <v>859</v>
      </c>
      <c r="EM429" s="15" t="str">
        <f>IFERROR(__xludf.DUMMYFUNCTION("""COMPUTED_VALUE"""),"")</f>
        <v/>
      </c>
      <c r="FM429" s="15">
        <v>0.0</v>
      </c>
      <c r="IM429" s="15" t="s">
        <v>5319</v>
      </c>
      <c r="IN429" s="15" t="s">
        <v>1950</v>
      </c>
      <c r="IO429" s="15" t="s">
        <v>1950</v>
      </c>
      <c r="IP429" s="15" t="s">
        <v>2179</v>
      </c>
      <c r="IQ429" s="15" t="s">
        <v>784</v>
      </c>
      <c r="IR429" s="15" t="s">
        <v>890</v>
      </c>
      <c r="IS429" s="15" t="s">
        <v>5320</v>
      </c>
      <c r="IT429" s="15" t="s">
        <v>1950</v>
      </c>
      <c r="IU429" s="15" t="s">
        <v>5330</v>
      </c>
      <c r="IV429" s="15" t="s">
        <v>2971</v>
      </c>
      <c r="IW429" s="15" t="s">
        <v>789</v>
      </c>
      <c r="IX429" s="15" t="s">
        <v>890</v>
      </c>
      <c r="IY429" s="15" t="s">
        <v>1950</v>
      </c>
      <c r="IZ429" s="15" t="s">
        <v>5322</v>
      </c>
      <c r="JA429" s="15" t="s">
        <v>784</v>
      </c>
      <c r="JB429" s="15" t="s">
        <v>426</v>
      </c>
      <c r="JC429" s="15" t="s">
        <v>2973</v>
      </c>
      <c r="JD429" s="15" t="s">
        <v>872</v>
      </c>
      <c r="JE429" s="15" t="s">
        <v>873</v>
      </c>
      <c r="JF429" s="15" t="s">
        <v>877</v>
      </c>
      <c r="JL429" s="15" t="s">
        <v>759</v>
      </c>
      <c r="JM429" s="15" t="s">
        <v>1390</v>
      </c>
      <c r="JO429" s="15" t="s">
        <v>426</v>
      </c>
      <c r="JP429" s="15" t="s">
        <v>2474</v>
      </c>
    </row>
    <row r="430" ht="15.75" customHeight="1">
      <c r="A430" s="14" t="s">
        <v>391</v>
      </c>
      <c r="B430" s="15" t="s">
        <v>5307</v>
      </c>
      <c r="C430" s="16"/>
      <c r="D430" s="15" t="s">
        <v>432</v>
      </c>
      <c r="G430" s="14" t="s">
        <v>393</v>
      </c>
      <c r="H430" s="14" t="s">
        <v>394</v>
      </c>
      <c r="I430" s="14" t="b">
        <v>1</v>
      </c>
      <c r="J430" s="14" t="s">
        <v>395</v>
      </c>
      <c r="L430" s="14" t="b">
        <v>0</v>
      </c>
      <c r="M430" s="15" t="s">
        <v>5331</v>
      </c>
      <c r="N430" s="14" t="s">
        <v>393</v>
      </c>
      <c r="O430" s="14" t="s">
        <v>393</v>
      </c>
      <c r="P430" s="15" t="s">
        <v>397</v>
      </c>
      <c r="Q430" s="15" t="s">
        <v>1596</v>
      </c>
      <c r="R430" s="15" t="s">
        <v>265</v>
      </c>
      <c r="S430" s="15" t="s">
        <v>877</v>
      </c>
      <c r="T430" s="14" t="b">
        <v>0</v>
      </c>
      <c r="U430" s="15" t="s">
        <v>5332</v>
      </c>
      <c r="V430" s="15" t="s">
        <v>4143</v>
      </c>
      <c r="W430" s="15" t="s">
        <v>401</v>
      </c>
      <c r="X430" s="15" t="s">
        <v>742</v>
      </c>
      <c r="Y430" s="15">
        <v>2730.0</v>
      </c>
      <c r="AA430" s="15" t="str">
        <f t="shared" si="772"/>
        <v>1050</v>
      </c>
      <c r="AB430" s="14" t="b">
        <v>1</v>
      </c>
      <c r="AC430" s="14" t="b">
        <v>1</v>
      </c>
      <c r="AD430" s="15" t="str">
        <f>"198394018616"</f>
        <v>198394018616</v>
      </c>
      <c r="AE430" s="15" t="s">
        <v>5333</v>
      </c>
      <c r="AF430" s="14" t="s">
        <v>404</v>
      </c>
      <c r="AG430" s="14" t="s">
        <v>405</v>
      </c>
      <c r="AH430" s="14" t="s">
        <v>406</v>
      </c>
      <c r="AI430" s="15">
        <v>0.0</v>
      </c>
      <c r="AL430" s="15" t="s">
        <v>5311</v>
      </c>
      <c r="AM430" s="15" t="s">
        <v>2979</v>
      </c>
      <c r="AN430" s="15" t="s">
        <v>2235</v>
      </c>
      <c r="AO430" s="15" t="s">
        <v>582</v>
      </c>
      <c r="AP430" s="15" t="s">
        <v>583</v>
      </c>
      <c r="AQ430" s="15" t="s">
        <v>2088</v>
      </c>
      <c r="AR430" s="15" t="s">
        <v>2089</v>
      </c>
      <c r="AS430" s="15" t="s">
        <v>2063</v>
      </c>
      <c r="AT430" s="15" t="s">
        <v>1596</v>
      </c>
      <c r="AU430" s="15" t="s">
        <v>3557</v>
      </c>
      <c r="AV430" s="15" t="s">
        <v>5296</v>
      </c>
      <c r="AW430" s="15" t="s">
        <v>839</v>
      </c>
      <c r="AX430" s="15" t="s">
        <v>877</v>
      </c>
      <c r="AY430" s="15" t="s">
        <v>413</v>
      </c>
      <c r="AZ430" s="15" t="b">
        <v>0</v>
      </c>
      <c r="BA430" s="15" t="s">
        <v>413</v>
      </c>
      <c r="BB430" s="15" t="b">
        <v>0</v>
      </c>
      <c r="BC430" s="15" t="s">
        <v>5334</v>
      </c>
      <c r="BD430" s="15" t="s">
        <v>742</v>
      </c>
      <c r="BE430" s="15" t="str">
        <f t="shared" si="769"/>
        <v>2</v>
      </c>
      <c r="BF430" s="15" t="s">
        <v>2455</v>
      </c>
      <c r="BG430" s="15" t="str">
        <f t="shared" si="773"/>
        <v>68.5</v>
      </c>
      <c r="BH430" s="15" t="s">
        <v>3121</v>
      </c>
      <c r="BI430" s="15" t="str">
        <f t="shared" si="770"/>
        <v>52.36</v>
      </c>
      <c r="BJ430" s="15" t="s">
        <v>5314</v>
      </c>
      <c r="BK430" s="15" t="str">
        <f t="shared" si="771"/>
        <v>12.8</v>
      </c>
      <c r="BL430" s="15" t="s">
        <v>5315</v>
      </c>
      <c r="BM430" s="15" t="str">
        <f t="shared" si="774"/>
        <v>125.66</v>
      </c>
      <c r="BN430" s="15" t="s">
        <v>5327</v>
      </c>
      <c r="BO430" s="15" t="s">
        <v>5335</v>
      </c>
      <c r="BP430" s="15" t="str">
        <f t="shared" si="775"/>
        <v>86.61</v>
      </c>
      <c r="BQ430" s="15" t="s">
        <v>2309</v>
      </c>
      <c r="BR430" s="15" t="str">
        <f t="shared" si="776"/>
        <v>19.88</v>
      </c>
      <c r="BS430" s="15" t="s">
        <v>5328</v>
      </c>
      <c r="BT430" s="15" t="str">
        <f t="shared" si="777"/>
        <v>8.66</v>
      </c>
      <c r="BU430" s="15" t="s">
        <v>5329</v>
      </c>
      <c r="BV430" s="15" t="str">
        <f t="shared" si="778"/>
        <v>100.31</v>
      </c>
      <c r="BW430" s="15" t="s">
        <v>2420</v>
      </c>
      <c r="BZ430" s="15" t="s">
        <v>444</v>
      </c>
      <c r="CB430" s="15" t="s">
        <v>444</v>
      </c>
      <c r="CD430" s="15" t="s">
        <v>444</v>
      </c>
      <c r="CF430" s="15" t="s">
        <v>444</v>
      </c>
      <c r="CI430" s="15" t="s">
        <v>444</v>
      </c>
      <c r="CK430" s="15" t="s">
        <v>444</v>
      </c>
      <c r="CM430" s="15" t="s">
        <v>444</v>
      </c>
      <c r="CO430" s="15" t="s">
        <v>444</v>
      </c>
      <c r="CP430" s="15" t="str">
        <f t="shared" si="779"/>
        <v>35.17</v>
      </c>
      <c r="CQ430" s="15" t="str">
        <f t="shared" si="780"/>
        <v>0.996</v>
      </c>
      <c r="CR430" s="15" t="s">
        <v>465</v>
      </c>
      <c r="DC430" s="15" t="str">
        <f>IFERROR(__xludf.DUMMYFUNCTION("""COMPUTED_VALUE"""),"")</f>
        <v/>
      </c>
      <c r="DE430" s="15" t="str">
        <f>IFERROR(__xludf.DUMMYFUNCTION("""COMPUTED_VALUE"""),"")</f>
        <v/>
      </c>
      <c r="DG430" s="15" t="str">
        <f>IFERROR(__xludf.DUMMYFUNCTION("""COMPUTED_VALUE"""),"")</f>
        <v/>
      </c>
      <c r="DK430" s="15" t="s">
        <v>718</v>
      </c>
      <c r="DL430" s="15" t="str">
        <f>IFERROR(__xludf.DUMMYFUNCTION("""COMPUTED_VALUE"""),"Vacuum or light brush only. Do not use water or any cleaning products.")</f>
        <v>Vacuum or light brush only. Do not use water or any cleaning products.</v>
      </c>
      <c r="DM430" s="15" t="s">
        <v>719</v>
      </c>
      <c r="DN430" s="15" t="s">
        <v>419</v>
      </c>
      <c r="DO430" s="15">
        <v>0.0</v>
      </c>
      <c r="DP430" s="15" t="s">
        <v>419</v>
      </c>
      <c r="DR430" s="15">
        <v>0.0</v>
      </c>
      <c r="DT430" s="15" t="s">
        <v>1186</v>
      </c>
      <c r="DU430" s="15" t="s">
        <v>419</v>
      </c>
      <c r="DW430" s="15">
        <v>0.0</v>
      </c>
      <c r="DX430" s="15">
        <v>0.0</v>
      </c>
      <c r="DY430" s="15">
        <v>0.0</v>
      </c>
      <c r="DZ430" s="15">
        <v>0.0</v>
      </c>
      <c r="EG430" s="15" t="s">
        <v>444</v>
      </c>
      <c r="EH430" s="15" t="s">
        <v>5303</v>
      </c>
      <c r="EJ430" s="15" t="s">
        <v>858</v>
      </c>
      <c r="EK430" s="15" t="s">
        <v>859</v>
      </c>
      <c r="EM430" s="15" t="str">
        <f>IFERROR(__xludf.DUMMYFUNCTION("""COMPUTED_VALUE"""),"")</f>
        <v/>
      </c>
      <c r="FM430" s="15">
        <v>0.0</v>
      </c>
      <c r="IM430" s="15" t="s">
        <v>5319</v>
      </c>
      <c r="IN430" s="15" t="s">
        <v>1950</v>
      </c>
      <c r="IO430" s="15" t="s">
        <v>1950</v>
      </c>
      <c r="IP430" s="15" t="s">
        <v>2179</v>
      </c>
      <c r="IQ430" s="15" t="s">
        <v>784</v>
      </c>
      <c r="IR430" s="15" t="s">
        <v>890</v>
      </c>
      <c r="IS430" s="15" t="s">
        <v>5320</v>
      </c>
      <c r="IT430" s="15" t="s">
        <v>1950</v>
      </c>
      <c r="IU430" s="15" t="s">
        <v>5330</v>
      </c>
      <c r="IV430" s="15" t="s">
        <v>2971</v>
      </c>
      <c r="IW430" s="15" t="s">
        <v>789</v>
      </c>
      <c r="IX430" s="15" t="s">
        <v>890</v>
      </c>
      <c r="IY430" s="15" t="s">
        <v>1950</v>
      </c>
      <c r="IZ430" s="15" t="s">
        <v>5322</v>
      </c>
      <c r="JA430" s="15" t="s">
        <v>784</v>
      </c>
      <c r="JB430" s="15" t="s">
        <v>426</v>
      </c>
      <c r="JC430" s="15" t="s">
        <v>2973</v>
      </c>
      <c r="JD430" s="15" t="s">
        <v>872</v>
      </c>
      <c r="JE430" s="15" t="s">
        <v>873</v>
      </c>
      <c r="JF430" s="15" t="s">
        <v>877</v>
      </c>
      <c r="JL430" s="15" t="s">
        <v>759</v>
      </c>
      <c r="JM430" s="15" t="s">
        <v>1390</v>
      </c>
      <c r="JO430" s="15" t="s">
        <v>426</v>
      </c>
      <c r="JP430" s="15" t="s">
        <v>2474</v>
      </c>
    </row>
    <row r="431" ht="15.75" customHeight="1">
      <c r="A431" s="14" t="s">
        <v>391</v>
      </c>
      <c r="B431" s="15" t="s">
        <v>5307</v>
      </c>
      <c r="C431" s="16"/>
      <c r="D431" s="15" t="s">
        <v>432</v>
      </c>
      <c r="G431" s="14" t="s">
        <v>393</v>
      </c>
      <c r="H431" s="14" t="s">
        <v>394</v>
      </c>
      <c r="I431" s="14" t="b">
        <v>1</v>
      </c>
      <c r="J431" s="14" t="s">
        <v>395</v>
      </c>
      <c r="L431" s="14" t="b">
        <v>0</v>
      </c>
      <c r="M431" s="15" t="s">
        <v>5336</v>
      </c>
      <c r="N431" s="14" t="s">
        <v>393</v>
      </c>
      <c r="O431" s="14" t="s">
        <v>393</v>
      </c>
      <c r="P431" s="15" t="s">
        <v>397</v>
      </c>
      <c r="Q431" s="15" t="s">
        <v>1596</v>
      </c>
      <c r="R431" s="15" t="s">
        <v>265</v>
      </c>
      <c r="S431" s="15" t="s">
        <v>828</v>
      </c>
      <c r="T431" s="14" t="b">
        <v>0</v>
      </c>
      <c r="U431" s="15" t="s">
        <v>5337</v>
      </c>
      <c r="V431" s="15" t="s">
        <v>2940</v>
      </c>
      <c r="W431" s="15" t="s">
        <v>401</v>
      </c>
      <c r="X431" s="15" t="s">
        <v>742</v>
      </c>
      <c r="Y431" s="15">
        <v>3068.0</v>
      </c>
      <c r="AA431" s="15" t="str">
        <f>"1180"</f>
        <v>1180</v>
      </c>
      <c r="AB431" s="14" t="b">
        <v>1</v>
      </c>
      <c r="AC431" s="14" t="b">
        <v>1</v>
      </c>
      <c r="AD431" s="15" t="str">
        <f>"198394018609"</f>
        <v>198394018609</v>
      </c>
      <c r="AE431" s="15" t="s">
        <v>5338</v>
      </c>
      <c r="AF431" s="14" t="s">
        <v>404</v>
      </c>
      <c r="AG431" s="14" t="s">
        <v>405</v>
      </c>
      <c r="AH431" s="14" t="s">
        <v>406</v>
      </c>
      <c r="AI431" s="15">
        <v>0.0</v>
      </c>
      <c r="AL431" s="15" t="s">
        <v>5311</v>
      </c>
      <c r="AM431" s="15" t="s">
        <v>408</v>
      </c>
      <c r="AN431" s="15" t="s">
        <v>437</v>
      </c>
      <c r="AO431" s="15" t="s">
        <v>582</v>
      </c>
      <c r="AP431" s="15" t="s">
        <v>583</v>
      </c>
      <c r="AQ431" s="15" t="s">
        <v>2088</v>
      </c>
      <c r="AR431" s="15" t="s">
        <v>2089</v>
      </c>
      <c r="AS431" s="15" t="s">
        <v>2063</v>
      </c>
      <c r="AT431" s="15" t="s">
        <v>1596</v>
      </c>
      <c r="AU431" s="15" t="s">
        <v>3557</v>
      </c>
      <c r="AV431" s="15" t="s">
        <v>5296</v>
      </c>
      <c r="AW431" s="15" t="s">
        <v>839</v>
      </c>
      <c r="AX431" s="15" t="s">
        <v>828</v>
      </c>
      <c r="AY431" s="15" t="s">
        <v>413</v>
      </c>
      <c r="AZ431" s="15" t="b">
        <v>0</v>
      </c>
      <c r="BA431" s="15" t="s">
        <v>413</v>
      </c>
      <c r="BB431" s="15" t="b">
        <v>0</v>
      </c>
      <c r="BC431" s="15" t="s">
        <v>5334</v>
      </c>
      <c r="BD431" s="15" t="s">
        <v>742</v>
      </c>
      <c r="BE431" s="15" t="str">
        <f t="shared" si="769"/>
        <v>2</v>
      </c>
      <c r="BF431" s="15" t="s">
        <v>2455</v>
      </c>
      <c r="BG431" s="15" t="str">
        <f>"84.65"</f>
        <v>84.65</v>
      </c>
      <c r="BH431" s="15" t="s">
        <v>852</v>
      </c>
      <c r="BI431" s="15" t="str">
        <f t="shared" si="770"/>
        <v>52.36</v>
      </c>
      <c r="BJ431" s="15" t="s">
        <v>5314</v>
      </c>
      <c r="BK431" s="15" t="str">
        <f t="shared" si="771"/>
        <v>12.8</v>
      </c>
      <c r="BL431" s="15" t="s">
        <v>5315</v>
      </c>
      <c r="BM431" s="15" t="str">
        <f>"139.33"</f>
        <v>139.33</v>
      </c>
      <c r="BN431" s="15" t="s">
        <v>5316</v>
      </c>
      <c r="BO431" s="15" t="s">
        <v>5335</v>
      </c>
      <c r="BP431" s="15" t="str">
        <f>"88.58"</f>
        <v>88.58</v>
      </c>
      <c r="BQ431" s="15" t="s">
        <v>5317</v>
      </c>
      <c r="BR431" s="15" t="str">
        <f>"18.5"</f>
        <v>18.5</v>
      </c>
      <c r="BS431" s="15" t="s">
        <v>810</v>
      </c>
      <c r="BT431" s="15" t="str">
        <f>"8.27"</f>
        <v>8.27</v>
      </c>
      <c r="BU431" s="15" t="s">
        <v>1106</v>
      </c>
      <c r="BV431" s="15" t="str">
        <f>"123.46"</f>
        <v>123.46</v>
      </c>
      <c r="BW431" s="15" t="s">
        <v>5318</v>
      </c>
      <c r="BZ431" s="15" t="s">
        <v>444</v>
      </c>
      <c r="CB431" s="15" t="s">
        <v>444</v>
      </c>
      <c r="CD431" s="15" t="s">
        <v>444</v>
      </c>
      <c r="CF431" s="15" t="s">
        <v>444</v>
      </c>
      <c r="CI431" s="15" t="s">
        <v>444</v>
      </c>
      <c r="CK431" s="15" t="s">
        <v>444</v>
      </c>
      <c r="CM431" s="15" t="s">
        <v>444</v>
      </c>
      <c r="CO431" s="15" t="s">
        <v>444</v>
      </c>
      <c r="CP431" s="15" t="str">
        <f>"40.65"</f>
        <v>40.65</v>
      </c>
      <c r="CQ431" s="15" t="str">
        <f>"1.151"</f>
        <v>1.151</v>
      </c>
      <c r="CR431" s="15" t="s">
        <v>465</v>
      </c>
      <c r="DC431" s="15" t="str">
        <f>IFERROR(__xludf.DUMMYFUNCTION("""COMPUTED_VALUE"""),"")</f>
        <v/>
      </c>
      <c r="DE431" s="15" t="str">
        <f>IFERROR(__xludf.DUMMYFUNCTION("""COMPUTED_VALUE"""),"")</f>
        <v/>
      </c>
      <c r="DG431" s="15" t="str">
        <f>IFERROR(__xludf.DUMMYFUNCTION("""COMPUTED_VALUE"""),"")</f>
        <v/>
      </c>
      <c r="DK431" s="15" t="s">
        <v>718</v>
      </c>
      <c r="DL431" s="15" t="str">
        <f>IFERROR(__xludf.DUMMYFUNCTION("""COMPUTED_VALUE"""),"Vacuum or light brush only. Do not use water or any cleaning products.")</f>
        <v>Vacuum or light brush only. Do not use water or any cleaning products.</v>
      </c>
      <c r="DM431" s="15" t="s">
        <v>719</v>
      </c>
      <c r="DN431" s="15" t="s">
        <v>419</v>
      </c>
      <c r="DO431" s="15">
        <v>0.0</v>
      </c>
      <c r="DP431" s="15" t="s">
        <v>419</v>
      </c>
      <c r="DR431" s="15">
        <v>0.0</v>
      </c>
      <c r="DT431" s="15" t="s">
        <v>1186</v>
      </c>
      <c r="DU431" s="15" t="s">
        <v>419</v>
      </c>
      <c r="DW431" s="15">
        <v>0.0</v>
      </c>
      <c r="DX431" s="15">
        <v>0.0</v>
      </c>
      <c r="DY431" s="15">
        <v>0.0</v>
      </c>
      <c r="DZ431" s="15">
        <v>0.0</v>
      </c>
      <c r="EG431" s="15" t="s">
        <v>444</v>
      </c>
      <c r="EH431" s="15" t="s">
        <v>5303</v>
      </c>
      <c r="EJ431" s="15" t="s">
        <v>858</v>
      </c>
      <c r="EK431" s="15" t="s">
        <v>859</v>
      </c>
      <c r="EM431" s="15" t="str">
        <f>IFERROR(__xludf.DUMMYFUNCTION("""COMPUTED_VALUE"""),"")</f>
        <v/>
      </c>
      <c r="FM431" s="15">
        <v>0.0</v>
      </c>
      <c r="IM431" s="15" t="s">
        <v>5319</v>
      </c>
      <c r="IN431" s="15" t="s">
        <v>1950</v>
      </c>
      <c r="IO431" s="15" t="s">
        <v>1950</v>
      </c>
      <c r="IP431" s="15" t="s">
        <v>2179</v>
      </c>
      <c r="IQ431" s="15" t="s">
        <v>784</v>
      </c>
      <c r="IR431" s="15" t="s">
        <v>869</v>
      </c>
      <c r="IS431" s="15" t="s">
        <v>5320</v>
      </c>
      <c r="IT431" s="15" t="s">
        <v>1950</v>
      </c>
      <c r="IU431" s="15" t="s">
        <v>5321</v>
      </c>
      <c r="IV431" s="15" t="s">
        <v>2971</v>
      </c>
      <c r="IW431" s="15" t="s">
        <v>789</v>
      </c>
      <c r="IX431" s="15" t="s">
        <v>869</v>
      </c>
      <c r="IY431" s="15" t="s">
        <v>1950</v>
      </c>
      <c r="IZ431" s="15" t="s">
        <v>5322</v>
      </c>
      <c r="JA431" s="15" t="s">
        <v>784</v>
      </c>
      <c r="JB431" s="15" t="s">
        <v>426</v>
      </c>
      <c r="JC431" s="15" t="s">
        <v>2973</v>
      </c>
      <c r="JD431" s="15" t="s">
        <v>872</v>
      </c>
      <c r="JE431" s="15" t="s">
        <v>873</v>
      </c>
      <c r="JF431" s="15" t="s">
        <v>828</v>
      </c>
      <c r="JL431" s="15" t="s">
        <v>759</v>
      </c>
      <c r="JM431" s="15" t="s">
        <v>1390</v>
      </c>
      <c r="JO431" s="15" t="s">
        <v>426</v>
      </c>
      <c r="JP431" s="15" t="s">
        <v>2474</v>
      </c>
    </row>
    <row r="432" ht="15.75" customHeight="1">
      <c r="A432" s="14" t="s">
        <v>391</v>
      </c>
      <c r="B432" s="15" t="s">
        <v>5339</v>
      </c>
      <c r="C432" s="16"/>
      <c r="D432" s="15" t="s">
        <v>432</v>
      </c>
      <c r="G432" s="14" t="s">
        <v>393</v>
      </c>
      <c r="H432" s="14" t="s">
        <v>394</v>
      </c>
      <c r="I432" s="14" t="b">
        <v>1</v>
      </c>
      <c r="J432" s="14" t="s">
        <v>395</v>
      </c>
      <c r="L432" s="14" t="b">
        <v>0</v>
      </c>
      <c r="M432" s="15" t="s">
        <v>5340</v>
      </c>
      <c r="N432" s="14" t="s">
        <v>393</v>
      </c>
      <c r="O432" s="14" t="s">
        <v>393</v>
      </c>
      <c r="P432" s="15" t="s">
        <v>397</v>
      </c>
      <c r="Q432" s="15" t="s">
        <v>2575</v>
      </c>
      <c r="T432" s="14" t="b">
        <v>0</v>
      </c>
      <c r="U432" s="15" t="s">
        <v>5341</v>
      </c>
      <c r="V432" s="15" t="s">
        <v>5342</v>
      </c>
      <c r="W432" s="15" t="s">
        <v>401</v>
      </c>
      <c r="X432" s="15" t="s">
        <v>695</v>
      </c>
      <c r="Y432" s="15">
        <v>1911.0</v>
      </c>
      <c r="AA432" s="15" t="str">
        <f t="shared" ref="AA432:AA433" si="781">"735"</f>
        <v>735</v>
      </c>
      <c r="AB432" s="14" t="b">
        <v>1</v>
      </c>
      <c r="AC432" s="14" t="b">
        <v>1</v>
      </c>
      <c r="AD432" s="15" t="str">
        <f>"801542066758"</f>
        <v>801542066758</v>
      </c>
      <c r="AE432" s="15" t="s">
        <v>5343</v>
      </c>
      <c r="AF432" s="14" t="s">
        <v>404</v>
      </c>
      <c r="AG432" s="14" t="s">
        <v>405</v>
      </c>
      <c r="AH432" s="14" t="s">
        <v>406</v>
      </c>
      <c r="AI432" s="15">
        <v>0.0</v>
      </c>
      <c r="AL432" s="15" t="s">
        <v>1341</v>
      </c>
      <c r="AM432" s="15" t="s">
        <v>546</v>
      </c>
      <c r="AN432" s="15" t="s">
        <v>547</v>
      </c>
      <c r="AO432" s="15" t="s">
        <v>700</v>
      </c>
      <c r="AP432" s="15" t="s">
        <v>605</v>
      </c>
      <c r="AQ432" s="15" t="s">
        <v>410</v>
      </c>
      <c r="AR432" s="15" t="s">
        <v>439</v>
      </c>
      <c r="AS432" s="15" t="s">
        <v>915</v>
      </c>
      <c r="AT432" s="15" t="s">
        <v>2575</v>
      </c>
      <c r="AU432" s="15" t="s">
        <v>3557</v>
      </c>
      <c r="AW432" s="15" t="s">
        <v>706</v>
      </c>
      <c r="AX432" s="15" t="s">
        <v>707</v>
      </c>
      <c r="AY432" s="15" t="s">
        <v>413</v>
      </c>
      <c r="AZ432" s="15" t="b">
        <v>0</v>
      </c>
      <c r="BA432" s="15" t="s">
        <v>413</v>
      </c>
      <c r="BB432" s="15" t="b">
        <v>0</v>
      </c>
      <c r="BC432" s="15" t="s">
        <v>5344</v>
      </c>
      <c r="BD432" s="15" t="s">
        <v>709</v>
      </c>
      <c r="BE432" s="15" t="str">
        <f t="shared" ref="BE432:BE434" si="782">"1"</f>
        <v>1</v>
      </c>
      <c r="BF432" s="15" t="s">
        <v>5345</v>
      </c>
      <c r="BG432" s="15" t="str">
        <f t="shared" ref="BG432:BG437" si="783">"33.07"</f>
        <v>33.07</v>
      </c>
      <c r="BH432" s="15" t="s">
        <v>1091</v>
      </c>
      <c r="BI432" s="15" t="str">
        <f t="shared" ref="BI432:BI437" si="784">"38.58"</f>
        <v>38.58</v>
      </c>
      <c r="BJ432" s="15" t="s">
        <v>442</v>
      </c>
      <c r="BK432" s="15" t="str">
        <f t="shared" ref="BK432:BK433" si="785">"32.28"</f>
        <v>32.28</v>
      </c>
      <c r="BL432" s="15" t="s">
        <v>954</v>
      </c>
      <c r="BM432" s="15" t="str">
        <f t="shared" ref="BM432:BM437" si="786">"61.73"</f>
        <v>61.73</v>
      </c>
      <c r="BN432" s="15" t="s">
        <v>1948</v>
      </c>
      <c r="BQ432" s="15" t="s">
        <v>444</v>
      </c>
      <c r="BS432" s="15" t="s">
        <v>444</v>
      </c>
      <c r="BU432" s="15" t="s">
        <v>444</v>
      </c>
      <c r="BW432" s="15" t="s">
        <v>444</v>
      </c>
      <c r="BZ432" s="15" t="s">
        <v>444</v>
      </c>
      <c r="CB432" s="15" t="s">
        <v>444</v>
      </c>
      <c r="CD432" s="15" t="s">
        <v>444</v>
      </c>
      <c r="CF432" s="15" t="s">
        <v>444</v>
      </c>
      <c r="CI432" s="15" t="s">
        <v>444</v>
      </c>
      <c r="CK432" s="15" t="s">
        <v>444</v>
      </c>
      <c r="CM432" s="15" t="s">
        <v>444</v>
      </c>
      <c r="CO432" s="15" t="s">
        <v>444</v>
      </c>
      <c r="CP432" s="15" t="str">
        <f t="shared" ref="CP432:CP434" si="787">"20.62"</f>
        <v>20.62</v>
      </c>
      <c r="CQ432" s="15" t="str">
        <f t="shared" ref="CQ432:CQ434" si="788">"0.584"</f>
        <v>0.584</v>
      </c>
      <c r="CR432" s="15" t="s">
        <v>497</v>
      </c>
      <c r="CY432" s="15" t="s">
        <v>1072</v>
      </c>
      <c r="CZ432" s="15" t="s">
        <v>429</v>
      </c>
      <c r="DA432" s="15" t="s">
        <v>1806</v>
      </c>
      <c r="DB432" s="15" t="s">
        <v>1700</v>
      </c>
      <c r="DC432" s="15" t="str">
        <f>IFERROR(__xludf.DUMMYFUNCTION("""COMPUTED_VALUE"""),"{""value"":21.50,""unit"":""in""}")</f>
        <v>{"value":21.50,"unit":"in"}</v>
      </c>
      <c r="DD432" s="15" t="s">
        <v>1213</v>
      </c>
      <c r="DE432" s="15" t="str">
        <f>IFERROR(__xludf.DUMMYFUNCTION("""COMPUTED_VALUE"""),"{""value"":16.00,""unit"":""in""}")</f>
        <v>{"value":16.00,"unit":"in"}</v>
      </c>
      <c r="DG432" s="15" t="str">
        <f>IFERROR(__xludf.DUMMYFUNCTION("""COMPUTED_VALUE"""),"")</f>
        <v/>
      </c>
      <c r="DH432" s="15">
        <v>0.0</v>
      </c>
      <c r="DI432" s="15">
        <v>1.0</v>
      </c>
      <c r="DJ432" s="15" t="s">
        <v>717</v>
      </c>
      <c r="DK432" s="15" t="s">
        <v>718</v>
      </c>
      <c r="DL432" s="15" t="str">
        <f>IFERROR(__xludf.DUMMYFUNCTION("""COMPUTED_VALUE"""),"Vacuum or light brush only. Do not use water or any cleaning products.")</f>
        <v>Vacuum or light brush only. Do not use water or any cleaning products.</v>
      </c>
      <c r="DM432" s="15" t="s">
        <v>719</v>
      </c>
      <c r="DT432" s="15" t="s">
        <v>1111</v>
      </c>
      <c r="DU432" s="15" t="s">
        <v>419</v>
      </c>
      <c r="DV432" s="15">
        <v>0.0</v>
      </c>
      <c r="DZ432" s="15">
        <v>0.0</v>
      </c>
      <c r="EA432" s="15" t="s">
        <v>3384</v>
      </c>
      <c r="EB432" s="15" t="s">
        <v>2927</v>
      </c>
      <c r="EC432" s="15" t="s">
        <v>3514</v>
      </c>
      <c r="ED432" s="15">
        <v>1.0</v>
      </c>
      <c r="EE432" s="15">
        <v>1.0</v>
      </c>
      <c r="EG432" s="15" t="s">
        <v>444</v>
      </c>
      <c r="EH432" s="15" t="s">
        <v>5303</v>
      </c>
      <c r="EI432" s="15">
        <v>0.0</v>
      </c>
      <c r="EJ432" s="15" t="s">
        <v>726</v>
      </c>
      <c r="EK432" s="15" t="s">
        <v>727</v>
      </c>
      <c r="EL432" s="15" t="s">
        <v>1253</v>
      </c>
      <c r="EM432" s="15" t="str">
        <f>IFERROR(__xludf.DUMMYFUNCTION("""COMPUTED_VALUE"""),"{""value"":22.50,""unit"":""in""}")</f>
        <v>{"value":22.50,"unit":"in"}</v>
      </c>
      <c r="EN432" s="15" t="s">
        <v>762</v>
      </c>
      <c r="EO432" s="15" t="s">
        <v>1072</v>
      </c>
      <c r="ES432" s="15" t="s">
        <v>2737</v>
      </c>
      <c r="ET432" s="15" t="s">
        <v>429</v>
      </c>
      <c r="EU432" s="15" t="s">
        <v>467</v>
      </c>
      <c r="EV432" s="15" t="s">
        <v>555</v>
      </c>
      <c r="EW432" s="15" t="s">
        <v>3240</v>
      </c>
      <c r="EX432" s="15" t="s">
        <v>1211</v>
      </c>
      <c r="EY432" s="15" t="s">
        <v>1806</v>
      </c>
      <c r="EZ432" s="15" t="s">
        <v>1213</v>
      </c>
      <c r="FC432" s="15" t="s">
        <v>2927</v>
      </c>
      <c r="FD432" s="15" t="s">
        <v>3514</v>
      </c>
      <c r="FF432" s="15" t="s">
        <v>937</v>
      </c>
      <c r="FO432" s="15" t="s">
        <v>1072</v>
      </c>
      <c r="FP432" s="15" t="s">
        <v>1806</v>
      </c>
      <c r="FQ432" s="15">
        <v>0.0</v>
      </c>
      <c r="FR432" s="15">
        <v>0.0</v>
      </c>
      <c r="FS432" s="15" t="s">
        <v>3362</v>
      </c>
      <c r="FT432" s="15">
        <v>0.0</v>
      </c>
    </row>
    <row r="433" ht="15.75" customHeight="1">
      <c r="A433" s="14" t="s">
        <v>391</v>
      </c>
      <c r="B433" s="15" t="s">
        <v>5339</v>
      </c>
      <c r="C433" s="16"/>
      <c r="D433" s="15" t="s">
        <v>432</v>
      </c>
      <c r="G433" s="14" t="s">
        <v>393</v>
      </c>
      <c r="H433" s="14" t="s">
        <v>394</v>
      </c>
      <c r="I433" s="14" t="b">
        <v>1</v>
      </c>
      <c r="J433" s="14" t="s">
        <v>395</v>
      </c>
      <c r="L433" s="14" t="b">
        <v>0</v>
      </c>
      <c r="M433" s="15" t="s">
        <v>5346</v>
      </c>
      <c r="N433" s="14" t="s">
        <v>393</v>
      </c>
      <c r="O433" s="14" t="s">
        <v>393</v>
      </c>
      <c r="P433" s="15" t="s">
        <v>397</v>
      </c>
      <c r="Q433" s="15" t="s">
        <v>1596</v>
      </c>
      <c r="T433" s="14" t="b">
        <v>0</v>
      </c>
      <c r="U433" s="15" t="s">
        <v>5347</v>
      </c>
      <c r="V433" s="15" t="s">
        <v>5342</v>
      </c>
      <c r="W433" s="15" t="s">
        <v>401</v>
      </c>
      <c r="X433" s="15" t="s">
        <v>695</v>
      </c>
      <c r="Y433" s="15">
        <v>1911.0</v>
      </c>
      <c r="AA433" s="15" t="str">
        <f t="shared" si="781"/>
        <v>735</v>
      </c>
      <c r="AB433" s="14" t="b">
        <v>1</v>
      </c>
      <c r="AC433" s="14" t="b">
        <v>1</v>
      </c>
      <c r="AD433" s="15" t="str">
        <f>"801542066765"</f>
        <v>801542066765</v>
      </c>
      <c r="AE433" s="15" t="s">
        <v>5348</v>
      </c>
      <c r="AF433" s="14" t="s">
        <v>404</v>
      </c>
      <c r="AG433" s="14" t="s">
        <v>405</v>
      </c>
      <c r="AH433" s="14" t="s">
        <v>406</v>
      </c>
      <c r="AI433" s="15">
        <v>0.0</v>
      </c>
      <c r="AL433" s="15" t="s">
        <v>1341</v>
      </c>
      <c r="AM433" s="15" t="s">
        <v>546</v>
      </c>
      <c r="AN433" s="15" t="s">
        <v>547</v>
      </c>
      <c r="AO433" s="15" t="s">
        <v>700</v>
      </c>
      <c r="AP433" s="15" t="s">
        <v>605</v>
      </c>
      <c r="AQ433" s="15" t="s">
        <v>410</v>
      </c>
      <c r="AR433" s="15" t="s">
        <v>439</v>
      </c>
      <c r="AS433" s="15" t="s">
        <v>915</v>
      </c>
      <c r="AT433" s="15" t="s">
        <v>1596</v>
      </c>
      <c r="AU433" s="15" t="s">
        <v>3557</v>
      </c>
      <c r="AW433" s="15" t="s">
        <v>706</v>
      </c>
      <c r="AX433" s="15" t="s">
        <v>707</v>
      </c>
      <c r="AY433" s="15" t="s">
        <v>413</v>
      </c>
      <c r="AZ433" s="15" t="b">
        <v>0</v>
      </c>
      <c r="BA433" s="15" t="s">
        <v>413</v>
      </c>
      <c r="BB433" s="15" t="b">
        <v>0</v>
      </c>
      <c r="BC433" s="15" t="s">
        <v>5349</v>
      </c>
      <c r="BD433" s="15" t="s">
        <v>709</v>
      </c>
      <c r="BE433" s="15" t="str">
        <f t="shared" si="782"/>
        <v>1</v>
      </c>
      <c r="BF433" s="15" t="s">
        <v>5345</v>
      </c>
      <c r="BG433" s="15" t="str">
        <f t="shared" si="783"/>
        <v>33.07</v>
      </c>
      <c r="BH433" s="15" t="s">
        <v>1091</v>
      </c>
      <c r="BI433" s="15" t="str">
        <f t="shared" si="784"/>
        <v>38.58</v>
      </c>
      <c r="BJ433" s="15" t="s">
        <v>442</v>
      </c>
      <c r="BK433" s="15" t="str">
        <f t="shared" si="785"/>
        <v>32.28</v>
      </c>
      <c r="BL433" s="15" t="s">
        <v>954</v>
      </c>
      <c r="BM433" s="15" t="str">
        <f t="shared" si="786"/>
        <v>61.73</v>
      </c>
      <c r="BN433" s="15" t="s">
        <v>1948</v>
      </c>
      <c r="BQ433" s="15" t="s">
        <v>444</v>
      </c>
      <c r="BS433" s="15" t="s">
        <v>444</v>
      </c>
      <c r="BU433" s="15" t="s">
        <v>444</v>
      </c>
      <c r="BW433" s="15" t="s">
        <v>444</v>
      </c>
      <c r="BZ433" s="15" t="s">
        <v>444</v>
      </c>
      <c r="CB433" s="15" t="s">
        <v>444</v>
      </c>
      <c r="CD433" s="15" t="s">
        <v>444</v>
      </c>
      <c r="CF433" s="15" t="s">
        <v>444</v>
      </c>
      <c r="CI433" s="15" t="s">
        <v>444</v>
      </c>
      <c r="CK433" s="15" t="s">
        <v>444</v>
      </c>
      <c r="CM433" s="15" t="s">
        <v>444</v>
      </c>
      <c r="CO433" s="15" t="s">
        <v>444</v>
      </c>
      <c r="CP433" s="15" t="str">
        <f t="shared" si="787"/>
        <v>20.62</v>
      </c>
      <c r="CQ433" s="15" t="str">
        <f t="shared" si="788"/>
        <v>0.584</v>
      </c>
      <c r="CR433" s="15" t="s">
        <v>497</v>
      </c>
      <c r="CY433" s="15" t="s">
        <v>1072</v>
      </c>
      <c r="CZ433" s="15" t="s">
        <v>429</v>
      </c>
      <c r="DA433" s="15" t="s">
        <v>1806</v>
      </c>
      <c r="DB433" s="15" t="s">
        <v>1700</v>
      </c>
      <c r="DC433" s="15" t="str">
        <f>IFERROR(__xludf.DUMMYFUNCTION("""COMPUTED_VALUE"""),"{""value"":21.50,""unit"":""in""}")</f>
        <v>{"value":21.50,"unit":"in"}</v>
      </c>
      <c r="DD433" s="15" t="s">
        <v>1213</v>
      </c>
      <c r="DE433" s="15" t="str">
        <f>IFERROR(__xludf.DUMMYFUNCTION("""COMPUTED_VALUE"""),"{""value"":16.00,""unit"":""in""}")</f>
        <v>{"value":16.00,"unit":"in"}</v>
      </c>
      <c r="DG433" s="15" t="str">
        <f>IFERROR(__xludf.DUMMYFUNCTION("""COMPUTED_VALUE"""),"")</f>
        <v/>
      </c>
      <c r="DH433" s="15">
        <v>0.0</v>
      </c>
      <c r="DI433" s="15">
        <v>1.0</v>
      </c>
      <c r="DJ433" s="15" t="s">
        <v>717</v>
      </c>
      <c r="DK433" s="15" t="s">
        <v>718</v>
      </c>
      <c r="DL433" s="15" t="str">
        <f>IFERROR(__xludf.DUMMYFUNCTION("""COMPUTED_VALUE"""),"Vacuum or light brush only. Do not use water or any cleaning products.")</f>
        <v>Vacuum or light brush only. Do not use water or any cleaning products.</v>
      </c>
      <c r="DM433" s="15" t="s">
        <v>719</v>
      </c>
      <c r="DT433" s="15" t="s">
        <v>1111</v>
      </c>
      <c r="DU433" s="15" t="s">
        <v>419</v>
      </c>
      <c r="DV433" s="15">
        <v>0.0</v>
      </c>
      <c r="DZ433" s="15">
        <v>0.0</v>
      </c>
      <c r="EA433" s="15" t="s">
        <v>3384</v>
      </c>
      <c r="EB433" s="15" t="s">
        <v>2927</v>
      </c>
      <c r="EC433" s="15" t="s">
        <v>3514</v>
      </c>
      <c r="ED433" s="15">
        <v>1.0</v>
      </c>
      <c r="EE433" s="15">
        <v>1.0</v>
      </c>
      <c r="EG433" s="15" t="s">
        <v>444</v>
      </c>
      <c r="EH433" s="15" t="s">
        <v>5303</v>
      </c>
      <c r="EI433" s="15">
        <v>0.0</v>
      </c>
      <c r="EJ433" s="15" t="s">
        <v>726</v>
      </c>
      <c r="EK433" s="15" t="s">
        <v>727</v>
      </c>
      <c r="EL433" s="15" t="s">
        <v>1253</v>
      </c>
      <c r="EM433" s="15" t="str">
        <f>IFERROR(__xludf.DUMMYFUNCTION("""COMPUTED_VALUE"""),"{""value"":22.50,""unit"":""in""}")</f>
        <v>{"value":22.50,"unit":"in"}</v>
      </c>
      <c r="EN433" s="15" t="s">
        <v>762</v>
      </c>
      <c r="EO433" s="15" t="s">
        <v>1072</v>
      </c>
      <c r="ES433" s="15" t="s">
        <v>2737</v>
      </c>
      <c r="ET433" s="15" t="s">
        <v>429</v>
      </c>
      <c r="EU433" s="15" t="s">
        <v>467</v>
      </c>
      <c r="EV433" s="15" t="s">
        <v>555</v>
      </c>
      <c r="EW433" s="15" t="s">
        <v>3240</v>
      </c>
      <c r="EX433" s="15" t="s">
        <v>1211</v>
      </c>
      <c r="EY433" s="15" t="s">
        <v>1806</v>
      </c>
      <c r="EZ433" s="15" t="s">
        <v>1213</v>
      </c>
      <c r="FC433" s="15" t="s">
        <v>2927</v>
      </c>
      <c r="FD433" s="15" t="s">
        <v>3514</v>
      </c>
      <c r="FF433" s="15" t="s">
        <v>937</v>
      </c>
      <c r="FO433" s="15" t="s">
        <v>1072</v>
      </c>
      <c r="FP433" s="15" t="s">
        <v>1806</v>
      </c>
      <c r="FQ433" s="15">
        <v>0.0</v>
      </c>
      <c r="FR433" s="15">
        <v>0.0</v>
      </c>
      <c r="FS433" s="15" t="s">
        <v>3362</v>
      </c>
      <c r="FT433" s="15">
        <v>0.0</v>
      </c>
    </row>
    <row r="434" ht="15.75" customHeight="1">
      <c r="A434" s="14" t="s">
        <v>391</v>
      </c>
      <c r="B434" s="15" t="s">
        <v>5339</v>
      </c>
      <c r="C434" s="16"/>
      <c r="D434" s="15" t="s">
        <v>432</v>
      </c>
      <c r="G434" s="14" t="s">
        <v>393</v>
      </c>
      <c r="H434" s="14" t="s">
        <v>394</v>
      </c>
      <c r="I434" s="14" t="b">
        <v>1</v>
      </c>
      <c r="J434" s="14" t="s">
        <v>395</v>
      </c>
      <c r="L434" s="14" t="b">
        <v>0</v>
      </c>
      <c r="M434" s="15" t="s">
        <v>5350</v>
      </c>
      <c r="N434" s="14" t="s">
        <v>393</v>
      </c>
      <c r="O434" s="14" t="s">
        <v>393</v>
      </c>
      <c r="P434" s="15" t="s">
        <v>397</v>
      </c>
      <c r="Q434" s="15" t="s">
        <v>1658</v>
      </c>
      <c r="T434" s="14" t="b">
        <v>0</v>
      </c>
      <c r="U434" s="15" t="s">
        <v>5351</v>
      </c>
      <c r="V434" s="15" t="s">
        <v>5342</v>
      </c>
      <c r="W434" s="15" t="s">
        <v>401</v>
      </c>
      <c r="X434" s="15" t="s">
        <v>695</v>
      </c>
      <c r="Y434" s="15">
        <v>2028.0</v>
      </c>
      <c r="AA434" s="15" t="str">
        <f>"780"</f>
        <v>780</v>
      </c>
      <c r="AB434" s="14" t="b">
        <v>1</v>
      </c>
      <c r="AC434" s="14" t="b">
        <v>1</v>
      </c>
      <c r="AD434" s="15" t="str">
        <f>"801542993450"</f>
        <v>801542993450</v>
      </c>
      <c r="AE434" s="15" t="s">
        <v>5352</v>
      </c>
      <c r="AF434" s="14" t="s">
        <v>404</v>
      </c>
      <c r="AG434" s="14" t="s">
        <v>405</v>
      </c>
      <c r="AH434" s="14" t="s">
        <v>406</v>
      </c>
      <c r="AI434" s="15">
        <v>0.0</v>
      </c>
      <c r="AL434" s="15" t="s">
        <v>1341</v>
      </c>
      <c r="AM434" s="15" t="s">
        <v>546</v>
      </c>
      <c r="AN434" s="15" t="s">
        <v>547</v>
      </c>
      <c r="AO434" s="15" t="s">
        <v>700</v>
      </c>
      <c r="AP434" s="15" t="s">
        <v>605</v>
      </c>
      <c r="AQ434" s="15" t="s">
        <v>410</v>
      </c>
      <c r="AR434" s="15" t="s">
        <v>439</v>
      </c>
      <c r="AS434" s="15" t="s">
        <v>915</v>
      </c>
      <c r="AT434" s="15" t="s">
        <v>1658</v>
      </c>
      <c r="AU434" s="15" t="s">
        <v>3557</v>
      </c>
      <c r="AW434" s="15" t="s">
        <v>706</v>
      </c>
      <c r="AX434" s="15" t="s">
        <v>707</v>
      </c>
      <c r="AY434" s="15" t="s">
        <v>413</v>
      </c>
      <c r="AZ434" s="15" t="b">
        <v>0</v>
      </c>
      <c r="BA434" s="15" t="s">
        <v>413</v>
      </c>
      <c r="BB434" s="15" t="b">
        <v>0</v>
      </c>
      <c r="BC434" s="15" t="s">
        <v>5353</v>
      </c>
      <c r="BD434" s="15" t="s">
        <v>709</v>
      </c>
      <c r="BE434" s="15" t="str">
        <f t="shared" si="782"/>
        <v>1</v>
      </c>
      <c r="BF434" s="15" t="s">
        <v>5345</v>
      </c>
      <c r="BG434" s="15" t="str">
        <f t="shared" si="783"/>
        <v>33.07</v>
      </c>
      <c r="BH434" s="15" t="s">
        <v>1091</v>
      </c>
      <c r="BI434" s="15" t="str">
        <f t="shared" si="784"/>
        <v>38.58</v>
      </c>
      <c r="BJ434" s="15" t="s">
        <v>442</v>
      </c>
      <c r="BK434" s="15" t="str">
        <f>"33.46"</f>
        <v>33.46</v>
      </c>
      <c r="BL434" s="15" t="s">
        <v>1109</v>
      </c>
      <c r="BM434" s="15" t="str">
        <f t="shared" si="786"/>
        <v>61.73</v>
      </c>
      <c r="BN434" s="15" t="s">
        <v>1948</v>
      </c>
      <c r="BQ434" s="15" t="s">
        <v>444</v>
      </c>
      <c r="BS434" s="15" t="s">
        <v>444</v>
      </c>
      <c r="BU434" s="15" t="s">
        <v>444</v>
      </c>
      <c r="BW434" s="15" t="s">
        <v>444</v>
      </c>
      <c r="BZ434" s="15" t="s">
        <v>444</v>
      </c>
      <c r="CB434" s="15" t="s">
        <v>444</v>
      </c>
      <c r="CD434" s="15" t="s">
        <v>444</v>
      </c>
      <c r="CF434" s="15" t="s">
        <v>444</v>
      </c>
      <c r="CI434" s="15" t="s">
        <v>444</v>
      </c>
      <c r="CK434" s="15" t="s">
        <v>444</v>
      </c>
      <c r="CM434" s="15" t="s">
        <v>444</v>
      </c>
      <c r="CO434" s="15" t="s">
        <v>444</v>
      </c>
      <c r="CP434" s="15" t="str">
        <f t="shared" si="787"/>
        <v>20.62</v>
      </c>
      <c r="CQ434" s="15" t="str">
        <f t="shared" si="788"/>
        <v>0.584</v>
      </c>
      <c r="CR434" s="15" t="s">
        <v>497</v>
      </c>
      <c r="CY434" s="15" t="s">
        <v>1072</v>
      </c>
      <c r="CZ434" s="15" t="s">
        <v>429</v>
      </c>
      <c r="DA434" s="15" t="s">
        <v>1806</v>
      </c>
      <c r="DB434" s="15" t="s">
        <v>1700</v>
      </c>
      <c r="DC434" s="15" t="str">
        <f>IFERROR(__xludf.DUMMYFUNCTION("""COMPUTED_VALUE"""),"{""value"":21.50,""unit"":""in""}")</f>
        <v>{"value":21.50,"unit":"in"}</v>
      </c>
      <c r="DD434" s="15" t="s">
        <v>1213</v>
      </c>
      <c r="DE434" s="15" t="str">
        <f>IFERROR(__xludf.DUMMYFUNCTION("""COMPUTED_VALUE"""),"{""value"":16.00,""unit"":""in""}")</f>
        <v>{"value":16.00,"unit":"in"}</v>
      </c>
      <c r="DG434" s="15" t="str">
        <f>IFERROR(__xludf.DUMMYFUNCTION("""COMPUTED_VALUE"""),"")</f>
        <v/>
      </c>
      <c r="DH434" s="15">
        <v>0.0</v>
      </c>
      <c r="DI434" s="15">
        <v>1.0</v>
      </c>
      <c r="DJ434" s="15" t="s">
        <v>717</v>
      </c>
      <c r="DK434" s="15" t="s">
        <v>718</v>
      </c>
      <c r="DL434" s="15" t="str">
        <f>IFERROR(__xludf.DUMMYFUNCTION("""COMPUTED_VALUE"""),"Vacuum or light brush only. Do not use water or any cleaning products.")</f>
        <v>Vacuum or light brush only. Do not use water or any cleaning products.</v>
      </c>
      <c r="DM434" s="15" t="s">
        <v>719</v>
      </c>
      <c r="DT434" s="15" t="s">
        <v>1111</v>
      </c>
      <c r="DU434" s="15" t="s">
        <v>419</v>
      </c>
      <c r="DV434" s="15">
        <v>0.0</v>
      </c>
      <c r="DZ434" s="15">
        <v>0.0</v>
      </c>
      <c r="EA434" s="15" t="s">
        <v>3384</v>
      </c>
      <c r="EB434" s="15" t="s">
        <v>2927</v>
      </c>
      <c r="EC434" s="15" t="s">
        <v>3514</v>
      </c>
      <c r="ED434" s="15">
        <v>1.0</v>
      </c>
      <c r="EE434" s="15">
        <v>1.0</v>
      </c>
      <c r="EG434" s="15" t="s">
        <v>444</v>
      </c>
      <c r="EH434" s="15" t="s">
        <v>5303</v>
      </c>
      <c r="EI434" s="15">
        <v>0.0</v>
      </c>
      <c r="EJ434" s="15" t="s">
        <v>726</v>
      </c>
      <c r="EK434" s="15" t="s">
        <v>727</v>
      </c>
      <c r="EL434" s="15" t="s">
        <v>1253</v>
      </c>
      <c r="EM434" s="15" t="str">
        <f>IFERROR(__xludf.DUMMYFUNCTION("""COMPUTED_VALUE"""),"{""value"":22.50,""unit"":""in""}")</f>
        <v>{"value":22.50,"unit":"in"}</v>
      </c>
      <c r="EN434" s="15" t="s">
        <v>762</v>
      </c>
      <c r="EO434" s="15" t="s">
        <v>1072</v>
      </c>
      <c r="ES434" s="15" t="s">
        <v>2737</v>
      </c>
      <c r="ET434" s="15" t="s">
        <v>429</v>
      </c>
      <c r="EU434" s="15" t="s">
        <v>467</v>
      </c>
      <c r="EV434" s="15" t="s">
        <v>555</v>
      </c>
      <c r="EW434" s="15" t="s">
        <v>3240</v>
      </c>
      <c r="EX434" s="15" t="s">
        <v>1211</v>
      </c>
      <c r="EY434" s="15" t="s">
        <v>1806</v>
      </c>
      <c r="EZ434" s="15" t="s">
        <v>1213</v>
      </c>
      <c r="FC434" s="15" t="s">
        <v>2927</v>
      </c>
      <c r="FD434" s="15" t="s">
        <v>3514</v>
      </c>
      <c r="FF434" s="15" t="s">
        <v>937</v>
      </c>
      <c r="FO434" s="15" t="s">
        <v>1072</v>
      </c>
      <c r="FP434" s="15" t="s">
        <v>1806</v>
      </c>
      <c r="FQ434" s="15">
        <v>0.0</v>
      </c>
      <c r="FR434" s="15">
        <v>0.0</v>
      </c>
      <c r="FS434" s="15" t="s">
        <v>3362</v>
      </c>
      <c r="FT434" s="15">
        <v>0.0</v>
      </c>
    </row>
    <row r="435" ht="15.75" customHeight="1">
      <c r="A435" s="14" t="s">
        <v>391</v>
      </c>
      <c r="B435" s="15" t="s">
        <v>5354</v>
      </c>
      <c r="C435" s="16"/>
      <c r="D435" s="15" t="s">
        <v>432</v>
      </c>
      <c r="G435" s="14" t="s">
        <v>393</v>
      </c>
      <c r="H435" s="14" t="s">
        <v>394</v>
      </c>
      <c r="I435" s="14" t="b">
        <v>1</v>
      </c>
      <c r="J435" s="14" t="s">
        <v>395</v>
      </c>
      <c r="L435" s="14" t="b">
        <v>0</v>
      </c>
      <c r="M435" s="15" t="s">
        <v>5355</v>
      </c>
      <c r="N435" s="14" t="s">
        <v>393</v>
      </c>
      <c r="O435" s="14" t="s">
        <v>393</v>
      </c>
      <c r="P435" s="15" t="s">
        <v>397</v>
      </c>
      <c r="Q435" s="15" t="s">
        <v>2575</v>
      </c>
      <c r="T435" s="14" t="b">
        <v>0</v>
      </c>
      <c r="U435" s="15" t="s">
        <v>5356</v>
      </c>
      <c r="V435" s="15" t="s">
        <v>5357</v>
      </c>
      <c r="W435" s="15" t="s">
        <v>401</v>
      </c>
      <c r="X435" s="15" t="s">
        <v>695</v>
      </c>
      <c r="Y435" s="15">
        <v>2847.0</v>
      </c>
      <c r="AA435" s="15" t="str">
        <f t="shared" ref="AA435:AA436" si="789">"1095"</f>
        <v>1095</v>
      </c>
      <c r="AB435" s="14" t="b">
        <v>1</v>
      </c>
      <c r="AC435" s="14" t="b">
        <v>1</v>
      </c>
      <c r="AD435" s="15" t="str">
        <f>"801542125028"</f>
        <v>801542125028</v>
      </c>
      <c r="AE435" s="15" t="s">
        <v>5358</v>
      </c>
      <c r="AF435" s="14" t="s">
        <v>404</v>
      </c>
      <c r="AG435" s="14" t="s">
        <v>405</v>
      </c>
      <c r="AH435" s="14" t="s">
        <v>406</v>
      </c>
      <c r="AI435" s="15">
        <v>0.0</v>
      </c>
      <c r="AL435" s="15" t="s">
        <v>1341</v>
      </c>
      <c r="AM435" s="15" t="s">
        <v>546</v>
      </c>
      <c r="AN435" s="15" t="s">
        <v>547</v>
      </c>
      <c r="AO435" s="15" t="s">
        <v>5359</v>
      </c>
      <c r="AP435" s="15" t="s">
        <v>5360</v>
      </c>
      <c r="AQ435" s="15" t="s">
        <v>410</v>
      </c>
      <c r="AR435" s="15" t="s">
        <v>439</v>
      </c>
      <c r="AS435" s="15" t="s">
        <v>915</v>
      </c>
      <c r="AT435" s="15" t="s">
        <v>2575</v>
      </c>
      <c r="AU435" s="15" t="s">
        <v>3557</v>
      </c>
      <c r="AW435" s="15" t="s">
        <v>706</v>
      </c>
      <c r="AX435" s="15" t="s">
        <v>707</v>
      </c>
      <c r="AY435" s="15" t="s">
        <v>413</v>
      </c>
      <c r="AZ435" s="15" t="b">
        <v>0</v>
      </c>
      <c r="BA435" s="15" t="s">
        <v>413</v>
      </c>
      <c r="BB435" s="15" t="b">
        <v>0</v>
      </c>
      <c r="BC435" s="15" t="s">
        <v>5344</v>
      </c>
      <c r="BD435" s="15" t="s">
        <v>709</v>
      </c>
      <c r="BE435" s="15" t="str">
        <f t="shared" ref="BE435:BE437" si="790">"2"</f>
        <v>2</v>
      </c>
      <c r="BF435" s="15" t="s">
        <v>5345</v>
      </c>
      <c r="BG435" s="15" t="str">
        <f t="shared" si="783"/>
        <v>33.07</v>
      </c>
      <c r="BH435" s="15" t="s">
        <v>1091</v>
      </c>
      <c r="BI435" s="15" t="str">
        <f t="shared" si="784"/>
        <v>38.58</v>
      </c>
      <c r="BJ435" s="15" t="s">
        <v>442</v>
      </c>
      <c r="BK435" s="15" t="str">
        <f t="shared" ref="BK435:BK436" si="791">"32.28"</f>
        <v>32.28</v>
      </c>
      <c r="BL435" s="15" t="s">
        <v>954</v>
      </c>
      <c r="BM435" s="15" t="str">
        <f t="shared" si="786"/>
        <v>61.73</v>
      </c>
      <c r="BN435" s="15" t="s">
        <v>1948</v>
      </c>
      <c r="BO435" s="15" t="s">
        <v>416</v>
      </c>
      <c r="BP435" s="15" t="str">
        <f t="shared" ref="BP435:BP437" si="792">"31.5"</f>
        <v>31.5</v>
      </c>
      <c r="BQ435" s="15" t="s">
        <v>1322</v>
      </c>
      <c r="BR435" s="15" t="str">
        <f t="shared" ref="BR435:BR437" si="793">"27.95"</f>
        <v>27.95</v>
      </c>
      <c r="BS435" s="15" t="s">
        <v>5361</v>
      </c>
      <c r="BT435" s="15" t="str">
        <f t="shared" ref="BT435:BT437" si="794">"14.96"</f>
        <v>14.96</v>
      </c>
      <c r="BU435" s="15" t="s">
        <v>5362</v>
      </c>
      <c r="BV435" s="15" t="str">
        <f t="shared" ref="BV435:BV437" si="795">"34.17"</f>
        <v>34.17</v>
      </c>
      <c r="BW435" s="15" t="s">
        <v>5363</v>
      </c>
      <c r="BZ435" s="15" t="s">
        <v>444</v>
      </c>
      <c r="CB435" s="15" t="s">
        <v>444</v>
      </c>
      <c r="CD435" s="15" t="s">
        <v>444</v>
      </c>
      <c r="CF435" s="15" t="s">
        <v>444</v>
      </c>
      <c r="CI435" s="15" t="s">
        <v>444</v>
      </c>
      <c r="CK435" s="15" t="s">
        <v>444</v>
      </c>
      <c r="CM435" s="15" t="s">
        <v>444</v>
      </c>
      <c r="CO435" s="15" t="s">
        <v>444</v>
      </c>
      <c r="CP435" s="15" t="str">
        <f t="shared" ref="CP435:CP437" si="796">"28.25"</f>
        <v>28.25</v>
      </c>
      <c r="CQ435" s="15" t="str">
        <f t="shared" ref="CQ435:CQ437" si="797">"0.8"</f>
        <v>0.8</v>
      </c>
      <c r="CR435" s="15" t="s">
        <v>465</v>
      </c>
      <c r="DC435" s="15" t="str">
        <f>IFERROR(__xludf.DUMMYFUNCTION("""COMPUTED_VALUE"""),"")</f>
        <v/>
      </c>
      <c r="DE435" s="15" t="str">
        <f>IFERROR(__xludf.DUMMYFUNCTION("""COMPUTED_VALUE"""),"")</f>
        <v/>
      </c>
      <c r="DG435" s="15" t="str">
        <f>IFERROR(__xludf.DUMMYFUNCTION("""COMPUTED_VALUE"""),"")</f>
        <v/>
      </c>
      <c r="DJ435" s="15" t="s">
        <v>717</v>
      </c>
      <c r="DK435" s="15" t="s">
        <v>718</v>
      </c>
      <c r="DL435" s="15" t="str">
        <f>IFERROR(__xludf.DUMMYFUNCTION("""COMPUTED_VALUE"""),"Vacuum or light brush only. Do not use water or any cleaning products.")</f>
        <v>Vacuum or light brush only. Do not use water or any cleaning products.</v>
      </c>
      <c r="DM435" s="15" t="s">
        <v>719</v>
      </c>
      <c r="DU435" s="15" t="s">
        <v>419</v>
      </c>
      <c r="DZ435" s="15">
        <v>0.0</v>
      </c>
      <c r="EB435" s="15" t="s">
        <v>2927</v>
      </c>
      <c r="EC435" s="15" t="s">
        <v>3514</v>
      </c>
      <c r="EE435" s="15">
        <v>1.0</v>
      </c>
      <c r="EG435" s="15" t="s">
        <v>444</v>
      </c>
      <c r="EH435" s="15" t="s">
        <v>5303</v>
      </c>
      <c r="EJ435" s="15" t="s">
        <v>726</v>
      </c>
      <c r="EK435" s="15" t="s">
        <v>727</v>
      </c>
      <c r="EM435" s="15" t="str">
        <f>IFERROR(__xludf.DUMMYFUNCTION("""COMPUTED_VALUE"""),"")</f>
        <v/>
      </c>
      <c r="FC435" s="15" t="s">
        <v>2927</v>
      </c>
      <c r="FD435" s="15" t="s">
        <v>3514</v>
      </c>
      <c r="FF435" s="15" t="s">
        <v>937</v>
      </c>
      <c r="FS435" s="15" t="s">
        <v>3362</v>
      </c>
    </row>
    <row r="436" ht="15.75" customHeight="1">
      <c r="A436" s="14" t="s">
        <v>391</v>
      </c>
      <c r="B436" s="15" t="s">
        <v>5354</v>
      </c>
      <c r="C436" s="16"/>
      <c r="D436" s="15" t="s">
        <v>432</v>
      </c>
      <c r="G436" s="14" t="s">
        <v>393</v>
      </c>
      <c r="H436" s="14" t="s">
        <v>394</v>
      </c>
      <c r="I436" s="14" t="b">
        <v>1</v>
      </c>
      <c r="J436" s="14" t="s">
        <v>395</v>
      </c>
      <c r="L436" s="14" t="b">
        <v>0</v>
      </c>
      <c r="M436" s="15" t="s">
        <v>5364</v>
      </c>
      <c r="N436" s="14" t="s">
        <v>393</v>
      </c>
      <c r="O436" s="14" t="s">
        <v>393</v>
      </c>
      <c r="P436" s="15" t="s">
        <v>397</v>
      </c>
      <c r="Q436" s="15" t="s">
        <v>1596</v>
      </c>
      <c r="T436" s="14" t="b">
        <v>0</v>
      </c>
      <c r="U436" s="15" t="s">
        <v>5365</v>
      </c>
      <c r="V436" s="15" t="s">
        <v>5357</v>
      </c>
      <c r="W436" s="15" t="s">
        <v>401</v>
      </c>
      <c r="X436" s="15" t="s">
        <v>695</v>
      </c>
      <c r="Y436" s="15">
        <v>2847.0</v>
      </c>
      <c r="AA436" s="15" t="str">
        <f t="shared" si="789"/>
        <v>1095</v>
      </c>
      <c r="AB436" s="14" t="b">
        <v>1</v>
      </c>
      <c r="AC436" s="14" t="b">
        <v>1</v>
      </c>
      <c r="AD436" s="15" t="str">
        <f>"801542125035"</f>
        <v>801542125035</v>
      </c>
      <c r="AE436" s="15" t="s">
        <v>5366</v>
      </c>
      <c r="AF436" s="14" t="s">
        <v>404</v>
      </c>
      <c r="AG436" s="14" t="s">
        <v>405</v>
      </c>
      <c r="AH436" s="14" t="s">
        <v>406</v>
      </c>
      <c r="AI436" s="15">
        <v>0.0</v>
      </c>
      <c r="AL436" s="15" t="s">
        <v>1341</v>
      </c>
      <c r="AM436" s="15" t="s">
        <v>546</v>
      </c>
      <c r="AN436" s="15" t="s">
        <v>547</v>
      </c>
      <c r="AO436" s="15" t="s">
        <v>5359</v>
      </c>
      <c r="AP436" s="15" t="s">
        <v>5360</v>
      </c>
      <c r="AQ436" s="15" t="s">
        <v>410</v>
      </c>
      <c r="AR436" s="15" t="s">
        <v>439</v>
      </c>
      <c r="AS436" s="15" t="s">
        <v>915</v>
      </c>
      <c r="AT436" s="15" t="s">
        <v>1596</v>
      </c>
      <c r="AU436" s="15" t="s">
        <v>3557</v>
      </c>
      <c r="AW436" s="15" t="s">
        <v>706</v>
      </c>
      <c r="AX436" s="15" t="s">
        <v>707</v>
      </c>
      <c r="AY436" s="15" t="s">
        <v>413</v>
      </c>
      <c r="AZ436" s="15" t="b">
        <v>0</v>
      </c>
      <c r="BA436" s="15" t="s">
        <v>413</v>
      </c>
      <c r="BB436" s="15" t="b">
        <v>0</v>
      </c>
      <c r="BC436" s="15" t="s">
        <v>5349</v>
      </c>
      <c r="BD436" s="15" t="s">
        <v>709</v>
      </c>
      <c r="BE436" s="15" t="str">
        <f t="shared" si="790"/>
        <v>2</v>
      </c>
      <c r="BF436" s="15" t="s">
        <v>5345</v>
      </c>
      <c r="BG436" s="15" t="str">
        <f t="shared" si="783"/>
        <v>33.07</v>
      </c>
      <c r="BH436" s="15" t="s">
        <v>1091</v>
      </c>
      <c r="BI436" s="15" t="str">
        <f t="shared" si="784"/>
        <v>38.58</v>
      </c>
      <c r="BJ436" s="15" t="s">
        <v>442</v>
      </c>
      <c r="BK436" s="15" t="str">
        <f t="shared" si="791"/>
        <v>32.28</v>
      </c>
      <c r="BL436" s="15" t="s">
        <v>954</v>
      </c>
      <c r="BM436" s="15" t="str">
        <f t="shared" si="786"/>
        <v>61.73</v>
      </c>
      <c r="BN436" s="15" t="s">
        <v>1948</v>
      </c>
      <c r="BO436" s="15" t="s">
        <v>416</v>
      </c>
      <c r="BP436" s="15" t="str">
        <f t="shared" si="792"/>
        <v>31.5</v>
      </c>
      <c r="BQ436" s="15" t="s">
        <v>1322</v>
      </c>
      <c r="BR436" s="15" t="str">
        <f t="shared" si="793"/>
        <v>27.95</v>
      </c>
      <c r="BS436" s="15" t="s">
        <v>5361</v>
      </c>
      <c r="BT436" s="15" t="str">
        <f t="shared" si="794"/>
        <v>14.96</v>
      </c>
      <c r="BU436" s="15" t="s">
        <v>5362</v>
      </c>
      <c r="BV436" s="15" t="str">
        <f t="shared" si="795"/>
        <v>34.17</v>
      </c>
      <c r="BW436" s="15" t="s">
        <v>5363</v>
      </c>
      <c r="BZ436" s="15" t="s">
        <v>444</v>
      </c>
      <c r="CB436" s="15" t="s">
        <v>444</v>
      </c>
      <c r="CD436" s="15" t="s">
        <v>444</v>
      </c>
      <c r="CF436" s="15" t="s">
        <v>444</v>
      </c>
      <c r="CI436" s="15" t="s">
        <v>444</v>
      </c>
      <c r="CK436" s="15" t="s">
        <v>444</v>
      </c>
      <c r="CM436" s="15" t="s">
        <v>444</v>
      </c>
      <c r="CO436" s="15" t="s">
        <v>444</v>
      </c>
      <c r="CP436" s="15" t="str">
        <f t="shared" si="796"/>
        <v>28.25</v>
      </c>
      <c r="CQ436" s="15" t="str">
        <f t="shared" si="797"/>
        <v>0.8</v>
      </c>
      <c r="CR436" s="15" t="s">
        <v>417</v>
      </c>
      <c r="DC436" s="15" t="str">
        <f>IFERROR(__xludf.DUMMYFUNCTION("""COMPUTED_VALUE"""),"")</f>
        <v/>
      </c>
      <c r="DE436" s="15" t="str">
        <f>IFERROR(__xludf.DUMMYFUNCTION("""COMPUTED_VALUE"""),"")</f>
        <v/>
      </c>
      <c r="DG436" s="15" t="str">
        <f>IFERROR(__xludf.DUMMYFUNCTION("""COMPUTED_VALUE"""),"")</f>
        <v/>
      </c>
      <c r="DJ436" s="15" t="s">
        <v>717</v>
      </c>
      <c r="DK436" s="15" t="s">
        <v>718</v>
      </c>
      <c r="DL436" s="15" t="str">
        <f>IFERROR(__xludf.DUMMYFUNCTION("""COMPUTED_VALUE"""),"Vacuum or light brush only. Do not use water or any cleaning products.")</f>
        <v>Vacuum or light brush only. Do not use water or any cleaning products.</v>
      </c>
      <c r="DM436" s="15" t="s">
        <v>719</v>
      </c>
      <c r="DU436" s="15" t="s">
        <v>419</v>
      </c>
      <c r="DZ436" s="15">
        <v>0.0</v>
      </c>
      <c r="EB436" s="15" t="s">
        <v>2927</v>
      </c>
      <c r="EC436" s="15" t="s">
        <v>3514</v>
      </c>
      <c r="EE436" s="15">
        <v>1.0</v>
      </c>
      <c r="EG436" s="15" t="s">
        <v>444</v>
      </c>
      <c r="EH436" s="15" t="s">
        <v>5303</v>
      </c>
      <c r="EJ436" s="15" t="s">
        <v>726</v>
      </c>
      <c r="EK436" s="15" t="s">
        <v>727</v>
      </c>
      <c r="EM436" s="15" t="str">
        <f>IFERROR(__xludf.DUMMYFUNCTION("""COMPUTED_VALUE"""),"")</f>
        <v/>
      </c>
      <c r="FC436" s="15" t="s">
        <v>2927</v>
      </c>
      <c r="FD436" s="15" t="s">
        <v>3514</v>
      </c>
      <c r="FF436" s="15" t="s">
        <v>937</v>
      </c>
      <c r="FS436" s="15" t="s">
        <v>3362</v>
      </c>
    </row>
    <row r="437" ht="15.75" customHeight="1">
      <c r="A437" s="14" t="s">
        <v>391</v>
      </c>
      <c r="B437" s="15" t="s">
        <v>5354</v>
      </c>
      <c r="C437" s="16"/>
      <c r="D437" s="15" t="s">
        <v>432</v>
      </c>
      <c r="G437" s="14" t="s">
        <v>393</v>
      </c>
      <c r="H437" s="14" t="s">
        <v>394</v>
      </c>
      <c r="I437" s="14" t="b">
        <v>1</v>
      </c>
      <c r="J437" s="14" t="s">
        <v>395</v>
      </c>
      <c r="L437" s="14" t="b">
        <v>0</v>
      </c>
      <c r="M437" s="15" t="s">
        <v>5367</v>
      </c>
      <c r="N437" s="14" t="s">
        <v>393</v>
      </c>
      <c r="O437" s="14" t="s">
        <v>393</v>
      </c>
      <c r="P437" s="15" t="s">
        <v>397</v>
      </c>
      <c r="Q437" s="15" t="s">
        <v>1658</v>
      </c>
      <c r="T437" s="14" t="b">
        <v>0</v>
      </c>
      <c r="U437" s="15" t="s">
        <v>5368</v>
      </c>
      <c r="V437" s="15" t="s">
        <v>5357</v>
      </c>
      <c r="W437" s="15" t="s">
        <v>401</v>
      </c>
      <c r="X437" s="15" t="s">
        <v>695</v>
      </c>
      <c r="Y437" s="15">
        <v>2951.0</v>
      </c>
      <c r="AA437" s="15" t="str">
        <f>"1135"</f>
        <v>1135</v>
      </c>
      <c r="AB437" s="14" t="b">
        <v>1</v>
      </c>
      <c r="AC437" s="14" t="b">
        <v>1</v>
      </c>
      <c r="AD437" s="15" t="str">
        <f>"801542994402"</f>
        <v>801542994402</v>
      </c>
      <c r="AE437" s="15" t="s">
        <v>5369</v>
      </c>
      <c r="AF437" s="14" t="s">
        <v>404</v>
      </c>
      <c r="AG437" s="14" t="s">
        <v>405</v>
      </c>
      <c r="AH437" s="14" t="s">
        <v>406</v>
      </c>
      <c r="AI437" s="15">
        <v>0.0</v>
      </c>
      <c r="AL437" s="15" t="s">
        <v>1341</v>
      </c>
      <c r="AM437" s="15" t="s">
        <v>546</v>
      </c>
      <c r="AN437" s="15" t="s">
        <v>547</v>
      </c>
      <c r="AO437" s="15" t="s">
        <v>5359</v>
      </c>
      <c r="AP437" s="15" t="s">
        <v>5360</v>
      </c>
      <c r="AQ437" s="15" t="s">
        <v>410</v>
      </c>
      <c r="AR437" s="15" t="s">
        <v>439</v>
      </c>
      <c r="AS437" s="15" t="s">
        <v>915</v>
      </c>
      <c r="AT437" s="15" t="s">
        <v>1658</v>
      </c>
      <c r="AU437" s="15" t="s">
        <v>3557</v>
      </c>
      <c r="AW437" s="15" t="s">
        <v>706</v>
      </c>
      <c r="AX437" s="15" t="s">
        <v>707</v>
      </c>
      <c r="AY437" s="15" t="s">
        <v>413</v>
      </c>
      <c r="AZ437" s="15" t="b">
        <v>0</v>
      </c>
      <c r="BA437" s="15" t="s">
        <v>413</v>
      </c>
      <c r="BB437" s="15" t="b">
        <v>0</v>
      </c>
      <c r="BC437" s="15" t="s">
        <v>5370</v>
      </c>
      <c r="BD437" s="15" t="s">
        <v>709</v>
      </c>
      <c r="BE437" s="15" t="str">
        <f t="shared" si="790"/>
        <v>2</v>
      </c>
      <c r="BF437" s="15" t="s">
        <v>5345</v>
      </c>
      <c r="BG437" s="15" t="str">
        <f t="shared" si="783"/>
        <v>33.07</v>
      </c>
      <c r="BH437" s="15" t="s">
        <v>1091</v>
      </c>
      <c r="BI437" s="15" t="str">
        <f t="shared" si="784"/>
        <v>38.58</v>
      </c>
      <c r="BJ437" s="15" t="s">
        <v>442</v>
      </c>
      <c r="BK437" s="15" t="str">
        <f>"33.46"</f>
        <v>33.46</v>
      </c>
      <c r="BL437" s="15" t="s">
        <v>1109</v>
      </c>
      <c r="BM437" s="15" t="str">
        <f t="shared" si="786"/>
        <v>61.73</v>
      </c>
      <c r="BN437" s="15" t="s">
        <v>1948</v>
      </c>
      <c r="BO437" s="15" t="s">
        <v>416</v>
      </c>
      <c r="BP437" s="15" t="str">
        <f t="shared" si="792"/>
        <v>31.5</v>
      </c>
      <c r="BQ437" s="15" t="s">
        <v>1322</v>
      </c>
      <c r="BR437" s="15" t="str">
        <f t="shared" si="793"/>
        <v>27.95</v>
      </c>
      <c r="BS437" s="15" t="s">
        <v>5361</v>
      </c>
      <c r="BT437" s="15" t="str">
        <f t="shared" si="794"/>
        <v>14.96</v>
      </c>
      <c r="BU437" s="15" t="s">
        <v>5362</v>
      </c>
      <c r="BV437" s="15" t="str">
        <f t="shared" si="795"/>
        <v>34.17</v>
      </c>
      <c r="BW437" s="15" t="s">
        <v>5363</v>
      </c>
      <c r="BZ437" s="15" t="s">
        <v>444</v>
      </c>
      <c r="CB437" s="15" t="s">
        <v>444</v>
      </c>
      <c r="CD437" s="15" t="s">
        <v>444</v>
      </c>
      <c r="CF437" s="15" t="s">
        <v>444</v>
      </c>
      <c r="CI437" s="15" t="s">
        <v>444</v>
      </c>
      <c r="CK437" s="15" t="s">
        <v>444</v>
      </c>
      <c r="CM437" s="15" t="s">
        <v>444</v>
      </c>
      <c r="CO437" s="15" t="s">
        <v>444</v>
      </c>
      <c r="CP437" s="15" t="str">
        <f t="shared" si="796"/>
        <v>28.25</v>
      </c>
      <c r="CQ437" s="15" t="str">
        <f t="shared" si="797"/>
        <v>0.8</v>
      </c>
      <c r="CR437" s="15" t="s">
        <v>417</v>
      </c>
      <c r="DC437" s="15" t="str">
        <f>IFERROR(__xludf.DUMMYFUNCTION("""COMPUTED_VALUE"""),"")</f>
        <v/>
      </c>
      <c r="DE437" s="15" t="str">
        <f>IFERROR(__xludf.DUMMYFUNCTION("""COMPUTED_VALUE"""),"")</f>
        <v/>
      </c>
      <c r="DG437" s="15" t="str">
        <f>IFERROR(__xludf.DUMMYFUNCTION("""COMPUTED_VALUE"""),"")</f>
        <v/>
      </c>
      <c r="DJ437" s="15" t="s">
        <v>717</v>
      </c>
      <c r="DK437" s="15" t="s">
        <v>718</v>
      </c>
      <c r="DL437" s="15" t="str">
        <f>IFERROR(__xludf.DUMMYFUNCTION("""COMPUTED_VALUE"""),"Vacuum or light brush only. Do not use water or any cleaning products.")</f>
        <v>Vacuum or light brush only. Do not use water or any cleaning products.</v>
      </c>
      <c r="DM437" s="15" t="s">
        <v>719</v>
      </c>
      <c r="DU437" s="15" t="s">
        <v>419</v>
      </c>
      <c r="DZ437" s="15">
        <v>0.0</v>
      </c>
      <c r="EB437" s="15" t="s">
        <v>2927</v>
      </c>
      <c r="EC437" s="15" t="s">
        <v>3514</v>
      </c>
      <c r="EE437" s="15">
        <v>1.0</v>
      </c>
      <c r="EG437" s="15" t="s">
        <v>444</v>
      </c>
      <c r="EH437" s="15" t="s">
        <v>5303</v>
      </c>
      <c r="EJ437" s="15" t="s">
        <v>726</v>
      </c>
      <c r="EK437" s="15" t="s">
        <v>727</v>
      </c>
      <c r="EM437" s="15" t="str">
        <f>IFERROR(__xludf.DUMMYFUNCTION("""COMPUTED_VALUE"""),"")</f>
        <v/>
      </c>
      <c r="FC437" s="15" t="s">
        <v>2927</v>
      </c>
      <c r="FD437" s="15" t="s">
        <v>3514</v>
      </c>
      <c r="FF437" s="15" t="s">
        <v>937</v>
      </c>
      <c r="FS437" s="15" t="s">
        <v>3362</v>
      </c>
    </row>
    <row r="438" ht="15.75" customHeight="1">
      <c r="A438" s="14" t="s">
        <v>391</v>
      </c>
      <c r="B438" s="15" t="s">
        <v>5371</v>
      </c>
      <c r="C438" s="16"/>
      <c r="D438" s="15" t="s">
        <v>432</v>
      </c>
      <c r="G438" s="14" t="s">
        <v>393</v>
      </c>
      <c r="H438" s="14" t="s">
        <v>394</v>
      </c>
      <c r="I438" s="14" t="b">
        <v>1</v>
      </c>
      <c r="J438" s="14" t="s">
        <v>395</v>
      </c>
      <c r="L438" s="14" t="b">
        <v>0</v>
      </c>
      <c r="M438" s="15" t="s">
        <v>5372</v>
      </c>
      <c r="N438" s="14" t="s">
        <v>393</v>
      </c>
      <c r="O438" s="14" t="s">
        <v>393</v>
      </c>
      <c r="P438" s="15" t="s">
        <v>397</v>
      </c>
      <c r="Q438" s="15" t="s">
        <v>2575</v>
      </c>
      <c r="T438" s="14" t="b">
        <v>0</v>
      </c>
      <c r="U438" s="15" t="s">
        <v>5373</v>
      </c>
      <c r="V438" s="15" t="s">
        <v>3868</v>
      </c>
      <c r="W438" s="15" t="s">
        <v>401</v>
      </c>
      <c r="X438" s="15" t="s">
        <v>695</v>
      </c>
      <c r="Y438" s="15">
        <v>1755.0</v>
      </c>
      <c r="AA438" s="15" t="str">
        <f t="shared" ref="AA438:AA440" si="798">"675"</f>
        <v>675</v>
      </c>
      <c r="AB438" s="14" t="b">
        <v>1</v>
      </c>
      <c r="AC438" s="14" t="b">
        <v>1</v>
      </c>
      <c r="AD438" s="15" t="str">
        <f>"801542066772"</f>
        <v>801542066772</v>
      </c>
      <c r="AE438" s="15" t="s">
        <v>5374</v>
      </c>
      <c r="AF438" s="14" t="s">
        <v>404</v>
      </c>
      <c r="AG438" s="14" t="s">
        <v>405</v>
      </c>
      <c r="AH438" s="14" t="s">
        <v>406</v>
      </c>
      <c r="AI438" s="15">
        <v>0.0</v>
      </c>
      <c r="AL438" s="15" t="s">
        <v>1341</v>
      </c>
      <c r="AM438" s="15" t="s">
        <v>5375</v>
      </c>
      <c r="AN438" s="15" t="s">
        <v>5376</v>
      </c>
      <c r="AO438" s="15" t="s">
        <v>698</v>
      </c>
      <c r="AP438" s="15" t="s">
        <v>699</v>
      </c>
      <c r="AQ438" s="15" t="s">
        <v>5377</v>
      </c>
      <c r="AR438" s="15" t="s">
        <v>4405</v>
      </c>
      <c r="AS438" s="15" t="s">
        <v>915</v>
      </c>
      <c r="AT438" s="15" t="s">
        <v>2575</v>
      </c>
      <c r="AU438" s="15" t="s">
        <v>3557</v>
      </c>
      <c r="AW438" s="15" t="s">
        <v>1009</v>
      </c>
      <c r="AY438" s="15" t="s">
        <v>413</v>
      </c>
      <c r="AZ438" s="15" t="b">
        <v>0</v>
      </c>
      <c r="BA438" s="15" t="s">
        <v>413</v>
      </c>
      <c r="BB438" s="15" t="b">
        <v>0</v>
      </c>
      <c r="BC438" s="15" t="s">
        <v>5378</v>
      </c>
      <c r="BD438" s="15" t="s">
        <v>709</v>
      </c>
      <c r="BE438" s="15" t="str">
        <f t="shared" ref="BE438:BE462" si="799">"1"</f>
        <v>1</v>
      </c>
      <c r="BF438" s="15" t="s">
        <v>416</v>
      </c>
      <c r="BG438" s="15" t="str">
        <f t="shared" ref="BG438:BG440" si="800">"52.36"</f>
        <v>52.36</v>
      </c>
      <c r="BH438" s="15" t="s">
        <v>5314</v>
      </c>
      <c r="BI438" s="15" t="str">
        <f t="shared" ref="BI438:BI440" si="801">"40.16"</f>
        <v>40.16</v>
      </c>
      <c r="BJ438" s="15" t="s">
        <v>667</v>
      </c>
      <c r="BK438" s="15" t="str">
        <f t="shared" ref="BK438:BK440" si="802">"18.11"</f>
        <v>18.11</v>
      </c>
      <c r="BL438" s="15" t="s">
        <v>3773</v>
      </c>
      <c r="BM438" s="15" t="str">
        <f t="shared" ref="BM438:BM440" si="803">"72.75"</f>
        <v>72.75</v>
      </c>
      <c r="BN438" s="15" t="s">
        <v>3022</v>
      </c>
      <c r="BQ438" s="15" t="s">
        <v>444</v>
      </c>
      <c r="BS438" s="15" t="s">
        <v>444</v>
      </c>
      <c r="BU438" s="15" t="s">
        <v>444</v>
      </c>
      <c r="BW438" s="15" t="s">
        <v>444</v>
      </c>
      <c r="BZ438" s="15" t="s">
        <v>444</v>
      </c>
      <c r="CB438" s="15" t="s">
        <v>444</v>
      </c>
      <c r="CD438" s="15" t="s">
        <v>444</v>
      </c>
      <c r="CF438" s="15" t="s">
        <v>444</v>
      </c>
      <c r="CI438" s="15" t="s">
        <v>444</v>
      </c>
      <c r="CK438" s="15" t="s">
        <v>444</v>
      </c>
      <c r="CM438" s="15" t="s">
        <v>444</v>
      </c>
      <c r="CO438" s="15" t="s">
        <v>444</v>
      </c>
      <c r="CP438" s="15" t="str">
        <f t="shared" ref="CP438:CP440" si="804">"22.04"</f>
        <v>22.04</v>
      </c>
      <c r="CQ438" s="15" t="str">
        <f t="shared" ref="CQ438:CQ440" si="805">"0.624"</f>
        <v>0.624</v>
      </c>
      <c r="CR438" s="15" t="s">
        <v>465</v>
      </c>
      <c r="CY438" s="15" t="s">
        <v>2403</v>
      </c>
      <c r="CZ438" s="15" t="s">
        <v>429</v>
      </c>
      <c r="DA438" s="15" t="s">
        <v>2931</v>
      </c>
      <c r="DB438" s="15" t="s">
        <v>2403</v>
      </c>
      <c r="DC438" s="15" t="str">
        <f>IFERROR(__xludf.DUMMYFUNCTION("""COMPUTED_VALUE"""),"{""value"":37.00,""unit"":""in""}")</f>
        <v>{"value":37.00,"unit":"in"}</v>
      </c>
      <c r="DD438" s="15" t="s">
        <v>2618</v>
      </c>
      <c r="DE438" s="15" t="str">
        <f>IFERROR(__xludf.DUMMYFUNCTION("""COMPUTED_VALUE"""),"{""value"":15.25,""unit"":""in""}")</f>
        <v>{"value":15.25,"unit":"in"}</v>
      </c>
      <c r="DF438" s="15" t="s">
        <v>2931</v>
      </c>
      <c r="DG438" s="15" t="str">
        <f>IFERROR(__xludf.DUMMYFUNCTION("""COMPUTED_VALUE"""),"{""value"":49.00,""unit"":""in""}")</f>
        <v>{"value":49.00,"unit":"in"}</v>
      </c>
      <c r="DI438" s="15">
        <v>0.0</v>
      </c>
      <c r="DK438" s="15" t="s">
        <v>718</v>
      </c>
      <c r="DL438" s="15" t="str">
        <f>IFERROR(__xludf.DUMMYFUNCTION("""COMPUTED_VALUE"""),"Vacuum or light brush only. Do not use water or any cleaning products.")</f>
        <v>Vacuum or light brush only. Do not use water or any cleaning products.</v>
      </c>
      <c r="DM438" s="15" t="s">
        <v>719</v>
      </c>
      <c r="DT438" s="15" t="s">
        <v>721</v>
      </c>
      <c r="DU438" s="15" t="s">
        <v>419</v>
      </c>
      <c r="DV438" s="15">
        <v>0.0</v>
      </c>
      <c r="DZ438" s="15">
        <v>0.0</v>
      </c>
      <c r="EA438" s="15" t="s">
        <v>470</v>
      </c>
      <c r="EB438" s="15" t="s">
        <v>2927</v>
      </c>
      <c r="EC438" s="15" t="s">
        <v>3514</v>
      </c>
      <c r="ED438" s="15">
        <v>1.0</v>
      </c>
      <c r="EE438" s="15">
        <v>2.0</v>
      </c>
      <c r="EF438" s="15" t="s">
        <v>471</v>
      </c>
      <c r="EG438" s="15" t="s">
        <v>472</v>
      </c>
      <c r="EH438" s="15" t="s">
        <v>5303</v>
      </c>
      <c r="EI438" s="15">
        <v>0.0</v>
      </c>
      <c r="EJ438" s="15" t="s">
        <v>1545</v>
      </c>
      <c r="EK438" s="15" t="s">
        <v>1546</v>
      </c>
      <c r="EM438" s="15" t="str">
        <f>IFERROR(__xludf.DUMMYFUNCTION("""COMPUTED_VALUE"""),"")</f>
        <v/>
      </c>
      <c r="EW438" s="15" t="s">
        <v>2899</v>
      </c>
      <c r="EX438" s="15" t="s">
        <v>1064</v>
      </c>
      <c r="EY438" s="15" t="s">
        <v>2931</v>
      </c>
      <c r="FF438" s="15" t="s">
        <v>937</v>
      </c>
      <c r="FS438" s="15" t="s">
        <v>3362</v>
      </c>
    </row>
    <row r="439" ht="15.75" customHeight="1">
      <c r="A439" s="14" t="s">
        <v>391</v>
      </c>
      <c r="B439" s="15" t="s">
        <v>5371</v>
      </c>
      <c r="C439" s="16"/>
      <c r="D439" s="15" t="s">
        <v>432</v>
      </c>
      <c r="G439" s="14" t="s">
        <v>393</v>
      </c>
      <c r="H439" s="14" t="s">
        <v>394</v>
      </c>
      <c r="I439" s="14" t="b">
        <v>1</v>
      </c>
      <c r="J439" s="14" t="s">
        <v>395</v>
      </c>
      <c r="L439" s="14" t="b">
        <v>0</v>
      </c>
      <c r="M439" s="15" t="s">
        <v>5379</v>
      </c>
      <c r="N439" s="14" t="s">
        <v>393</v>
      </c>
      <c r="O439" s="14" t="s">
        <v>393</v>
      </c>
      <c r="P439" s="15" t="s">
        <v>397</v>
      </c>
      <c r="Q439" s="15" t="s">
        <v>1596</v>
      </c>
      <c r="T439" s="14" t="b">
        <v>0</v>
      </c>
      <c r="U439" s="15" t="s">
        <v>5380</v>
      </c>
      <c r="V439" s="15" t="s">
        <v>3868</v>
      </c>
      <c r="W439" s="15" t="s">
        <v>401</v>
      </c>
      <c r="X439" s="15" t="s">
        <v>695</v>
      </c>
      <c r="Y439" s="15">
        <v>1755.0</v>
      </c>
      <c r="AA439" s="15" t="str">
        <f t="shared" si="798"/>
        <v>675</v>
      </c>
      <c r="AB439" s="14" t="b">
        <v>1</v>
      </c>
      <c r="AC439" s="14" t="b">
        <v>1</v>
      </c>
      <c r="AD439" s="15" t="str">
        <f>"801542066789"</f>
        <v>801542066789</v>
      </c>
      <c r="AE439" s="15" t="s">
        <v>5381</v>
      </c>
      <c r="AF439" s="14" t="s">
        <v>404</v>
      </c>
      <c r="AG439" s="14" t="s">
        <v>405</v>
      </c>
      <c r="AH439" s="14" t="s">
        <v>406</v>
      </c>
      <c r="AI439" s="15">
        <v>0.0</v>
      </c>
      <c r="AL439" s="15" t="s">
        <v>1341</v>
      </c>
      <c r="AM439" s="15" t="s">
        <v>5375</v>
      </c>
      <c r="AN439" s="15" t="s">
        <v>5376</v>
      </c>
      <c r="AO439" s="15" t="s">
        <v>698</v>
      </c>
      <c r="AP439" s="15" t="s">
        <v>699</v>
      </c>
      <c r="AQ439" s="15" t="s">
        <v>5377</v>
      </c>
      <c r="AR439" s="15" t="s">
        <v>4405</v>
      </c>
      <c r="AS439" s="15" t="s">
        <v>915</v>
      </c>
      <c r="AT439" s="15" t="s">
        <v>1596</v>
      </c>
      <c r="AU439" s="15" t="s">
        <v>3557</v>
      </c>
      <c r="AW439" s="15" t="s">
        <v>1009</v>
      </c>
      <c r="AY439" s="15" t="s">
        <v>413</v>
      </c>
      <c r="AZ439" s="15" t="b">
        <v>0</v>
      </c>
      <c r="BA439" s="15" t="s">
        <v>413</v>
      </c>
      <c r="BB439" s="15" t="b">
        <v>0</v>
      </c>
      <c r="BC439" s="15" t="s">
        <v>5378</v>
      </c>
      <c r="BD439" s="15" t="s">
        <v>709</v>
      </c>
      <c r="BE439" s="15" t="str">
        <f t="shared" si="799"/>
        <v>1</v>
      </c>
      <c r="BF439" s="15" t="s">
        <v>416</v>
      </c>
      <c r="BG439" s="15" t="str">
        <f t="shared" si="800"/>
        <v>52.36</v>
      </c>
      <c r="BH439" s="15" t="s">
        <v>5314</v>
      </c>
      <c r="BI439" s="15" t="str">
        <f t="shared" si="801"/>
        <v>40.16</v>
      </c>
      <c r="BJ439" s="15" t="s">
        <v>667</v>
      </c>
      <c r="BK439" s="15" t="str">
        <f t="shared" si="802"/>
        <v>18.11</v>
      </c>
      <c r="BL439" s="15" t="s">
        <v>3773</v>
      </c>
      <c r="BM439" s="15" t="str">
        <f t="shared" si="803"/>
        <v>72.75</v>
      </c>
      <c r="BN439" s="15" t="s">
        <v>3022</v>
      </c>
      <c r="BQ439" s="15" t="s">
        <v>444</v>
      </c>
      <c r="BS439" s="15" t="s">
        <v>444</v>
      </c>
      <c r="BU439" s="15" t="s">
        <v>444</v>
      </c>
      <c r="BW439" s="15" t="s">
        <v>444</v>
      </c>
      <c r="BZ439" s="15" t="s">
        <v>444</v>
      </c>
      <c r="CB439" s="15" t="s">
        <v>444</v>
      </c>
      <c r="CD439" s="15" t="s">
        <v>444</v>
      </c>
      <c r="CF439" s="15" t="s">
        <v>444</v>
      </c>
      <c r="CI439" s="15" t="s">
        <v>444</v>
      </c>
      <c r="CK439" s="15" t="s">
        <v>444</v>
      </c>
      <c r="CM439" s="15" t="s">
        <v>444</v>
      </c>
      <c r="CO439" s="15" t="s">
        <v>444</v>
      </c>
      <c r="CP439" s="15" t="str">
        <f t="shared" si="804"/>
        <v>22.04</v>
      </c>
      <c r="CQ439" s="15" t="str">
        <f t="shared" si="805"/>
        <v>0.624</v>
      </c>
      <c r="CR439" s="15" t="s">
        <v>497</v>
      </c>
      <c r="CY439" s="15" t="s">
        <v>2403</v>
      </c>
      <c r="CZ439" s="15" t="s">
        <v>429</v>
      </c>
      <c r="DA439" s="15" t="s">
        <v>2931</v>
      </c>
      <c r="DB439" s="15" t="s">
        <v>2403</v>
      </c>
      <c r="DC439" s="15" t="str">
        <f>IFERROR(__xludf.DUMMYFUNCTION("""COMPUTED_VALUE"""),"{""value"":37.00,""unit"":""in""}")</f>
        <v>{"value":37.00,"unit":"in"}</v>
      </c>
      <c r="DD439" s="15" t="s">
        <v>2618</v>
      </c>
      <c r="DE439" s="15" t="str">
        <f>IFERROR(__xludf.DUMMYFUNCTION("""COMPUTED_VALUE"""),"{""value"":15.25,""unit"":""in""}")</f>
        <v>{"value":15.25,"unit":"in"}</v>
      </c>
      <c r="DF439" s="15" t="s">
        <v>2931</v>
      </c>
      <c r="DG439" s="15" t="str">
        <f>IFERROR(__xludf.DUMMYFUNCTION("""COMPUTED_VALUE"""),"{""value"":49.00,""unit"":""in""}")</f>
        <v>{"value":49.00,"unit":"in"}</v>
      </c>
      <c r="DI439" s="15">
        <v>0.0</v>
      </c>
      <c r="DK439" s="15" t="s">
        <v>718</v>
      </c>
      <c r="DL439" s="15" t="str">
        <f>IFERROR(__xludf.DUMMYFUNCTION("""COMPUTED_VALUE"""),"Vacuum or light brush only. Do not use water or any cleaning products.")</f>
        <v>Vacuum or light brush only. Do not use water or any cleaning products.</v>
      </c>
      <c r="DM439" s="15" t="s">
        <v>719</v>
      </c>
      <c r="DT439" s="15" t="s">
        <v>721</v>
      </c>
      <c r="DU439" s="15" t="s">
        <v>419</v>
      </c>
      <c r="DV439" s="15">
        <v>0.0</v>
      </c>
      <c r="DZ439" s="15">
        <v>0.0</v>
      </c>
      <c r="EA439" s="15" t="s">
        <v>470</v>
      </c>
      <c r="EB439" s="15" t="s">
        <v>2927</v>
      </c>
      <c r="EC439" s="15" t="s">
        <v>3514</v>
      </c>
      <c r="ED439" s="15">
        <v>1.0</v>
      </c>
      <c r="EE439" s="15">
        <v>2.0</v>
      </c>
      <c r="EF439" s="15" t="s">
        <v>471</v>
      </c>
      <c r="EG439" s="15" t="s">
        <v>472</v>
      </c>
      <c r="EH439" s="15" t="s">
        <v>5303</v>
      </c>
      <c r="EI439" s="15">
        <v>0.0</v>
      </c>
      <c r="EJ439" s="15" t="s">
        <v>1545</v>
      </c>
      <c r="EK439" s="15" t="s">
        <v>1546</v>
      </c>
      <c r="EM439" s="15" t="str">
        <f>IFERROR(__xludf.DUMMYFUNCTION("""COMPUTED_VALUE"""),"")</f>
        <v/>
      </c>
      <c r="EW439" s="15" t="s">
        <v>2899</v>
      </c>
      <c r="EX439" s="15" t="s">
        <v>1064</v>
      </c>
      <c r="EY439" s="15" t="s">
        <v>2931</v>
      </c>
      <c r="FF439" s="15" t="s">
        <v>937</v>
      </c>
      <c r="FS439" s="15" t="s">
        <v>3362</v>
      </c>
    </row>
    <row r="440" ht="15.75" customHeight="1">
      <c r="A440" s="14" t="s">
        <v>391</v>
      </c>
      <c r="B440" s="15" t="s">
        <v>5371</v>
      </c>
      <c r="C440" s="16"/>
      <c r="D440" s="15" t="s">
        <v>432</v>
      </c>
      <c r="G440" s="14" t="s">
        <v>393</v>
      </c>
      <c r="H440" s="14" t="s">
        <v>394</v>
      </c>
      <c r="I440" s="14" t="b">
        <v>1</v>
      </c>
      <c r="J440" s="14" t="s">
        <v>395</v>
      </c>
      <c r="L440" s="14" t="b">
        <v>0</v>
      </c>
      <c r="M440" s="15" t="s">
        <v>5382</v>
      </c>
      <c r="N440" s="14" t="s">
        <v>393</v>
      </c>
      <c r="O440" s="14" t="s">
        <v>393</v>
      </c>
      <c r="P440" s="15" t="s">
        <v>397</v>
      </c>
      <c r="Q440" s="15" t="s">
        <v>1658</v>
      </c>
      <c r="T440" s="14" t="b">
        <v>0</v>
      </c>
      <c r="U440" s="15" t="s">
        <v>5383</v>
      </c>
      <c r="V440" s="15" t="s">
        <v>3868</v>
      </c>
      <c r="W440" s="15" t="s">
        <v>401</v>
      </c>
      <c r="X440" s="15" t="s">
        <v>695</v>
      </c>
      <c r="Y440" s="15">
        <v>1755.0</v>
      </c>
      <c r="AA440" s="15" t="str">
        <f t="shared" si="798"/>
        <v>675</v>
      </c>
      <c r="AB440" s="14" t="b">
        <v>1</v>
      </c>
      <c r="AC440" s="14" t="b">
        <v>1</v>
      </c>
      <c r="AD440" s="15" t="str">
        <f>"801542993467"</f>
        <v>801542993467</v>
      </c>
      <c r="AE440" s="15" t="s">
        <v>5384</v>
      </c>
      <c r="AF440" s="14" t="s">
        <v>404</v>
      </c>
      <c r="AG440" s="14" t="s">
        <v>405</v>
      </c>
      <c r="AH440" s="14" t="s">
        <v>406</v>
      </c>
      <c r="AI440" s="15">
        <v>0.0</v>
      </c>
      <c r="AL440" s="15" t="s">
        <v>1341</v>
      </c>
      <c r="AM440" s="15" t="s">
        <v>5375</v>
      </c>
      <c r="AN440" s="15" t="s">
        <v>5376</v>
      </c>
      <c r="AO440" s="15" t="s">
        <v>698</v>
      </c>
      <c r="AP440" s="15" t="s">
        <v>699</v>
      </c>
      <c r="AQ440" s="15" t="s">
        <v>5377</v>
      </c>
      <c r="AR440" s="15" t="s">
        <v>4405</v>
      </c>
      <c r="AS440" s="15" t="s">
        <v>915</v>
      </c>
      <c r="AT440" s="15" t="s">
        <v>1658</v>
      </c>
      <c r="AU440" s="15" t="s">
        <v>3557</v>
      </c>
      <c r="AW440" s="15" t="s">
        <v>1009</v>
      </c>
      <c r="AY440" s="15" t="s">
        <v>413</v>
      </c>
      <c r="AZ440" s="15" t="b">
        <v>0</v>
      </c>
      <c r="BA440" s="15" t="s">
        <v>413</v>
      </c>
      <c r="BB440" s="15" t="b">
        <v>0</v>
      </c>
      <c r="BC440" s="15" t="s">
        <v>5385</v>
      </c>
      <c r="BD440" s="15" t="s">
        <v>709</v>
      </c>
      <c r="BE440" s="15" t="str">
        <f t="shared" si="799"/>
        <v>1</v>
      </c>
      <c r="BF440" s="15" t="s">
        <v>416</v>
      </c>
      <c r="BG440" s="15" t="str">
        <f t="shared" si="800"/>
        <v>52.36</v>
      </c>
      <c r="BH440" s="15" t="s">
        <v>5314</v>
      </c>
      <c r="BI440" s="15" t="str">
        <f t="shared" si="801"/>
        <v>40.16</v>
      </c>
      <c r="BJ440" s="15" t="s">
        <v>667</v>
      </c>
      <c r="BK440" s="15" t="str">
        <f t="shared" si="802"/>
        <v>18.11</v>
      </c>
      <c r="BL440" s="15" t="s">
        <v>3773</v>
      </c>
      <c r="BM440" s="15" t="str">
        <f t="shared" si="803"/>
        <v>72.75</v>
      </c>
      <c r="BN440" s="15" t="s">
        <v>3022</v>
      </c>
      <c r="BQ440" s="15" t="s">
        <v>444</v>
      </c>
      <c r="BS440" s="15" t="s">
        <v>444</v>
      </c>
      <c r="BU440" s="15" t="s">
        <v>444</v>
      </c>
      <c r="BW440" s="15" t="s">
        <v>444</v>
      </c>
      <c r="BZ440" s="15" t="s">
        <v>444</v>
      </c>
      <c r="CB440" s="15" t="s">
        <v>444</v>
      </c>
      <c r="CD440" s="15" t="s">
        <v>444</v>
      </c>
      <c r="CF440" s="15" t="s">
        <v>444</v>
      </c>
      <c r="CI440" s="15" t="s">
        <v>444</v>
      </c>
      <c r="CK440" s="15" t="s">
        <v>444</v>
      </c>
      <c r="CM440" s="15" t="s">
        <v>444</v>
      </c>
      <c r="CO440" s="15" t="s">
        <v>444</v>
      </c>
      <c r="CP440" s="15" t="str">
        <f t="shared" si="804"/>
        <v>22.04</v>
      </c>
      <c r="CQ440" s="15" t="str">
        <f t="shared" si="805"/>
        <v>0.624</v>
      </c>
      <c r="CR440" s="15" t="s">
        <v>465</v>
      </c>
      <c r="CY440" s="15" t="s">
        <v>2403</v>
      </c>
      <c r="CZ440" s="15" t="s">
        <v>429</v>
      </c>
      <c r="DA440" s="15" t="s">
        <v>2931</v>
      </c>
      <c r="DB440" s="15" t="s">
        <v>2403</v>
      </c>
      <c r="DC440" s="15" t="str">
        <f>IFERROR(__xludf.DUMMYFUNCTION("""COMPUTED_VALUE"""),"{""value"":37.00,""unit"":""in""}")</f>
        <v>{"value":37.00,"unit":"in"}</v>
      </c>
      <c r="DD440" s="15" t="s">
        <v>2618</v>
      </c>
      <c r="DE440" s="15" t="str">
        <f>IFERROR(__xludf.DUMMYFUNCTION("""COMPUTED_VALUE"""),"{""value"":15.25,""unit"":""in""}")</f>
        <v>{"value":15.25,"unit":"in"}</v>
      </c>
      <c r="DF440" s="15" t="s">
        <v>2931</v>
      </c>
      <c r="DG440" s="15" t="str">
        <f>IFERROR(__xludf.DUMMYFUNCTION("""COMPUTED_VALUE"""),"{""value"":49.00,""unit"":""in""}")</f>
        <v>{"value":49.00,"unit":"in"}</v>
      </c>
      <c r="DI440" s="15">
        <v>0.0</v>
      </c>
      <c r="DK440" s="15" t="s">
        <v>718</v>
      </c>
      <c r="DL440" s="15" t="str">
        <f>IFERROR(__xludf.DUMMYFUNCTION("""COMPUTED_VALUE"""),"Vacuum or light brush only. Do not use water or any cleaning products.")</f>
        <v>Vacuum or light brush only. Do not use water or any cleaning products.</v>
      </c>
      <c r="DM440" s="15" t="s">
        <v>719</v>
      </c>
      <c r="DT440" s="15" t="s">
        <v>721</v>
      </c>
      <c r="DU440" s="15" t="s">
        <v>419</v>
      </c>
      <c r="DV440" s="15">
        <v>0.0</v>
      </c>
      <c r="DZ440" s="15">
        <v>0.0</v>
      </c>
      <c r="EA440" s="15" t="s">
        <v>470</v>
      </c>
      <c r="EB440" s="15" t="s">
        <v>2927</v>
      </c>
      <c r="EC440" s="15" t="s">
        <v>3514</v>
      </c>
      <c r="ED440" s="15">
        <v>1.0</v>
      </c>
      <c r="EE440" s="15">
        <v>2.0</v>
      </c>
      <c r="EF440" s="15" t="s">
        <v>471</v>
      </c>
      <c r="EG440" s="15" t="s">
        <v>472</v>
      </c>
      <c r="EH440" s="15" t="s">
        <v>5303</v>
      </c>
      <c r="EI440" s="15">
        <v>0.0</v>
      </c>
      <c r="EJ440" s="15" t="s">
        <v>1545</v>
      </c>
      <c r="EK440" s="15" t="s">
        <v>1546</v>
      </c>
      <c r="EM440" s="15" t="str">
        <f>IFERROR(__xludf.DUMMYFUNCTION("""COMPUTED_VALUE"""),"")</f>
        <v/>
      </c>
      <c r="EW440" s="15" t="s">
        <v>2899</v>
      </c>
      <c r="EX440" s="15" t="s">
        <v>1064</v>
      </c>
      <c r="EY440" s="15" t="s">
        <v>2931</v>
      </c>
      <c r="FF440" s="15" t="s">
        <v>937</v>
      </c>
      <c r="FS440" s="15" t="s">
        <v>3362</v>
      </c>
    </row>
    <row r="441" ht="15.75" customHeight="1">
      <c r="A441" s="14" t="s">
        <v>391</v>
      </c>
      <c r="B441" s="15" t="s">
        <v>5386</v>
      </c>
      <c r="C441" s="16"/>
      <c r="D441" s="15" t="s">
        <v>432</v>
      </c>
      <c r="G441" s="14" t="s">
        <v>393</v>
      </c>
      <c r="H441" s="14" t="s">
        <v>394</v>
      </c>
      <c r="I441" s="14" t="b">
        <v>1</v>
      </c>
      <c r="J441" s="14" t="s">
        <v>395</v>
      </c>
      <c r="L441" s="14" t="b">
        <v>0</v>
      </c>
      <c r="M441" s="15" t="s">
        <v>5387</v>
      </c>
      <c r="N441" s="14" t="s">
        <v>393</v>
      </c>
      <c r="O441" s="14" t="s">
        <v>393</v>
      </c>
      <c r="P441" s="15" t="s">
        <v>397</v>
      </c>
      <c r="Q441" s="15" t="s">
        <v>5296</v>
      </c>
      <c r="T441" s="14" t="b">
        <v>0</v>
      </c>
      <c r="U441" s="15" t="s">
        <v>5388</v>
      </c>
      <c r="V441" s="15" t="s">
        <v>1598</v>
      </c>
      <c r="W441" s="15" t="s">
        <v>401</v>
      </c>
      <c r="X441" s="15" t="s">
        <v>742</v>
      </c>
      <c r="Y441" s="15">
        <v>767.0</v>
      </c>
      <c r="AA441" s="15" t="str">
        <f>"295"</f>
        <v>295</v>
      </c>
      <c r="AB441" s="14" t="b">
        <v>1</v>
      </c>
      <c r="AC441" s="14" t="b">
        <v>1</v>
      </c>
      <c r="AD441" s="15" t="str">
        <f>"801542028299"</f>
        <v>801542028299</v>
      </c>
      <c r="AE441" s="15" t="s">
        <v>5389</v>
      </c>
      <c r="AF441" s="14" t="s">
        <v>404</v>
      </c>
      <c r="AG441" s="14" t="s">
        <v>405</v>
      </c>
      <c r="AH441" s="14" t="s">
        <v>406</v>
      </c>
      <c r="AI441" s="15">
        <v>0.0</v>
      </c>
      <c r="AL441" s="15" t="s">
        <v>5299</v>
      </c>
      <c r="AM441" s="15" t="s">
        <v>1175</v>
      </c>
      <c r="AN441" s="15" t="s">
        <v>1176</v>
      </c>
      <c r="AO441" s="15" t="s">
        <v>1007</v>
      </c>
      <c r="AP441" s="15" t="s">
        <v>1008</v>
      </c>
      <c r="AQ441" s="15" t="s">
        <v>2213</v>
      </c>
      <c r="AR441" s="15" t="s">
        <v>2214</v>
      </c>
      <c r="AS441" s="15" t="s">
        <v>2063</v>
      </c>
      <c r="AT441" s="15" t="s">
        <v>5296</v>
      </c>
      <c r="AU441" s="15" t="s">
        <v>2575</v>
      </c>
      <c r="AW441" s="15" t="s">
        <v>628</v>
      </c>
      <c r="AY441" s="15" t="s">
        <v>413</v>
      </c>
      <c r="AZ441" s="15" t="b">
        <v>0</v>
      </c>
      <c r="BA441" s="15" t="s">
        <v>413</v>
      </c>
      <c r="BB441" s="15" t="b">
        <v>0</v>
      </c>
      <c r="BC441" s="15" t="s">
        <v>5390</v>
      </c>
      <c r="BD441" s="15" t="s">
        <v>742</v>
      </c>
      <c r="BE441" s="15" t="str">
        <f t="shared" si="799"/>
        <v>1</v>
      </c>
      <c r="BF441" s="15" t="s">
        <v>2043</v>
      </c>
      <c r="BG441" s="15" t="str">
        <f>"31.69"</f>
        <v>31.69</v>
      </c>
      <c r="BH441" s="15" t="s">
        <v>3110</v>
      </c>
      <c r="BI441" s="15" t="str">
        <f>"29.33"</f>
        <v>29.33</v>
      </c>
      <c r="BJ441" s="15" t="s">
        <v>1090</v>
      </c>
      <c r="BK441" s="15" t="str">
        <f>"21.85"</f>
        <v>21.85</v>
      </c>
      <c r="BL441" s="15" t="s">
        <v>1405</v>
      </c>
      <c r="BM441" s="15" t="str">
        <f>"90.39"</f>
        <v>90.39</v>
      </c>
      <c r="BN441" s="15" t="s">
        <v>1525</v>
      </c>
      <c r="BQ441" s="15" t="s">
        <v>444</v>
      </c>
      <c r="BS441" s="15" t="s">
        <v>444</v>
      </c>
      <c r="BU441" s="15" t="s">
        <v>444</v>
      </c>
      <c r="BW441" s="15" t="s">
        <v>444</v>
      </c>
      <c r="BZ441" s="15" t="s">
        <v>444</v>
      </c>
      <c r="CB441" s="15" t="s">
        <v>444</v>
      </c>
      <c r="CD441" s="15" t="s">
        <v>444</v>
      </c>
      <c r="CF441" s="15" t="s">
        <v>444</v>
      </c>
      <c r="CI441" s="15" t="s">
        <v>444</v>
      </c>
      <c r="CK441" s="15" t="s">
        <v>444</v>
      </c>
      <c r="CM441" s="15" t="s">
        <v>444</v>
      </c>
      <c r="CO441" s="15" t="s">
        <v>444</v>
      </c>
      <c r="CP441" s="15" t="str">
        <f>"11.76"</f>
        <v>11.76</v>
      </c>
      <c r="CQ441" s="15" t="str">
        <f>"0.333"</f>
        <v>0.333</v>
      </c>
      <c r="CR441" s="15" t="s">
        <v>465</v>
      </c>
      <c r="DC441" s="15" t="str">
        <f>IFERROR(__xludf.DUMMYFUNCTION("""COMPUTED_VALUE"""),"")</f>
        <v/>
      </c>
      <c r="DE441" s="15" t="str">
        <f>IFERROR(__xludf.DUMMYFUNCTION("""COMPUTED_VALUE"""),"")</f>
        <v/>
      </c>
      <c r="DG441" s="15" t="str">
        <f>IFERROR(__xludf.DUMMYFUNCTION("""COMPUTED_VALUE"""),"")</f>
        <v/>
      </c>
      <c r="DL441" s="15" t="str">
        <f>IFERROR(__xludf.DUMMYFUNCTION("""COMPUTED_VALUE"""),"")</f>
        <v/>
      </c>
      <c r="DM441" s="15" t="s">
        <v>444</v>
      </c>
      <c r="DN441" s="15" t="s">
        <v>1371</v>
      </c>
      <c r="DO441" s="15">
        <v>2.0</v>
      </c>
      <c r="DP441" s="15" t="s">
        <v>1185</v>
      </c>
      <c r="DR441" s="15">
        <v>0.0</v>
      </c>
      <c r="DT441" s="15" t="s">
        <v>1186</v>
      </c>
      <c r="DU441" s="15" t="s">
        <v>421</v>
      </c>
      <c r="DY441" s="15">
        <v>0.0</v>
      </c>
      <c r="EF441" s="15" t="s">
        <v>471</v>
      </c>
      <c r="EG441" s="15" t="s">
        <v>472</v>
      </c>
      <c r="EH441" s="15" t="s">
        <v>5303</v>
      </c>
      <c r="EJ441" s="15" t="s">
        <v>500</v>
      </c>
      <c r="EK441" s="15" t="s">
        <v>501</v>
      </c>
      <c r="EM441" s="15" t="str">
        <f>IFERROR(__xludf.DUMMYFUNCTION("""COMPUTED_VALUE"""),"")</f>
        <v/>
      </c>
      <c r="EW441" s="15" t="s">
        <v>5304</v>
      </c>
      <c r="FM441" s="15">
        <v>0.0</v>
      </c>
      <c r="GH441" s="15">
        <v>0.0</v>
      </c>
      <c r="GI441" s="15" t="s">
        <v>427</v>
      </c>
      <c r="GQ441" s="15" t="s">
        <v>3781</v>
      </c>
      <c r="GS441" s="15" t="s">
        <v>5391</v>
      </c>
      <c r="GU441" s="15" t="s">
        <v>5392</v>
      </c>
      <c r="GW441" s="15" t="s">
        <v>838</v>
      </c>
      <c r="GY441" s="15" t="s">
        <v>1190</v>
      </c>
    </row>
    <row r="442" ht="15.75" customHeight="1">
      <c r="A442" s="14" t="s">
        <v>391</v>
      </c>
      <c r="B442" s="15" t="s">
        <v>5393</v>
      </c>
      <c r="C442" s="16"/>
      <c r="D442" s="15" t="s">
        <v>432</v>
      </c>
      <c r="G442" s="14" t="s">
        <v>393</v>
      </c>
      <c r="H442" s="14" t="s">
        <v>394</v>
      </c>
      <c r="I442" s="14" t="b">
        <v>1</v>
      </c>
      <c r="J442" s="14" t="s">
        <v>395</v>
      </c>
      <c r="L442" s="14" t="b">
        <v>0</v>
      </c>
      <c r="M442" s="15" t="s">
        <v>5394</v>
      </c>
      <c r="N442" s="14" t="s">
        <v>393</v>
      </c>
      <c r="O442" s="14" t="s">
        <v>393</v>
      </c>
      <c r="P442" s="15" t="s">
        <v>397</v>
      </c>
      <c r="Q442" s="15" t="s">
        <v>2575</v>
      </c>
      <c r="T442" s="14" t="b">
        <v>0</v>
      </c>
      <c r="U442" s="15" t="s">
        <v>5395</v>
      </c>
      <c r="V442" s="15" t="s">
        <v>5396</v>
      </c>
      <c r="W442" s="15" t="s">
        <v>401</v>
      </c>
      <c r="X442" s="15" t="s">
        <v>695</v>
      </c>
      <c r="Y442" s="15">
        <v>936.0</v>
      </c>
      <c r="AA442" s="15" t="str">
        <f t="shared" ref="AA442:AA444" si="806">"360"</f>
        <v>360</v>
      </c>
      <c r="AB442" s="14" t="b">
        <v>1</v>
      </c>
      <c r="AC442" s="14" t="b">
        <v>1</v>
      </c>
      <c r="AD442" s="15" t="str">
        <f>"801542066796"</f>
        <v>801542066796</v>
      </c>
      <c r="AE442" s="15" t="s">
        <v>5397</v>
      </c>
      <c r="AF442" s="14" t="s">
        <v>404</v>
      </c>
      <c r="AG442" s="14" t="s">
        <v>405</v>
      </c>
      <c r="AH442" s="14" t="s">
        <v>406</v>
      </c>
      <c r="AI442" s="15">
        <v>0.0</v>
      </c>
      <c r="AL442" s="15" t="s">
        <v>1341</v>
      </c>
      <c r="AM442" s="15" t="s">
        <v>772</v>
      </c>
      <c r="AN442" s="15" t="s">
        <v>773</v>
      </c>
      <c r="AO442" s="15" t="s">
        <v>2059</v>
      </c>
      <c r="AP442" s="15" t="s">
        <v>2060</v>
      </c>
      <c r="AQ442" s="15" t="s">
        <v>5398</v>
      </c>
      <c r="AR442" s="15" t="s">
        <v>5399</v>
      </c>
      <c r="AS442" s="15" t="s">
        <v>915</v>
      </c>
      <c r="AT442" s="15" t="s">
        <v>2575</v>
      </c>
      <c r="AU442" s="15" t="s">
        <v>3557</v>
      </c>
      <c r="AW442" s="15" t="s">
        <v>1009</v>
      </c>
      <c r="AY442" s="15" t="s">
        <v>413</v>
      </c>
      <c r="AZ442" s="15" t="b">
        <v>0</v>
      </c>
      <c r="BA442" s="15" t="s">
        <v>413</v>
      </c>
      <c r="BB442" s="15" t="b">
        <v>0</v>
      </c>
      <c r="BC442" s="15" t="s">
        <v>5378</v>
      </c>
      <c r="BD442" s="15" t="s">
        <v>709</v>
      </c>
      <c r="BE442" s="15" t="str">
        <f t="shared" si="799"/>
        <v>1</v>
      </c>
      <c r="BF442" s="15" t="s">
        <v>416</v>
      </c>
      <c r="BG442" s="15" t="str">
        <f t="shared" ref="BG442:BG444" si="807">"31.5"</f>
        <v>31.5</v>
      </c>
      <c r="BH442" s="15" t="s">
        <v>1322</v>
      </c>
      <c r="BI442" s="15" t="str">
        <f t="shared" ref="BI442:BI444" si="808">"27.95"</f>
        <v>27.95</v>
      </c>
      <c r="BJ442" s="15" t="s">
        <v>5361</v>
      </c>
      <c r="BK442" s="15" t="str">
        <f t="shared" ref="BK442:BK444" si="809">"14.96"</f>
        <v>14.96</v>
      </c>
      <c r="BL442" s="15" t="s">
        <v>5362</v>
      </c>
      <c r="BM442" s="15" t="str">
        <f t="shared" ref="BM442:BM444" si="810">"34.17"</f>
        <v>34.17</v>
      </c>
      <c r="BN442" s="15" t="s">
        <v>5363</v>
      </c>
      <c r="BQ442" s="15" t="s">
        <v>444</v>
      </c>
      <c r="BS442" s="15" t="s">
        <v>444</v>
      </c>
      <c r="BU442" s="15" t="s">
        <v>444</v>
      </c>
      <c r="BW442" s="15" t="s">
        <v>444</v>
      </c>
      <c r="BZ442" s="15" t="s">
        <v>444</v>
      </c>
      <c r="CB442" s="15" t="s">
        <v>444</v>
      </c>
      <c r="CD442" s="15" t="s">
        <v>444</v>
      </c>
      <c r="CF442" s="15" t="s">
        <v>444</v>
      </c>
      <c r="CI442" s="15" t="s">
        <v>444</v>
      </c>
      <c r="CK442" s="15" t="s">
        <v>444</v>
      </c>
      <c r="CM442" s="15" t="s">
        <v>444</v>
      </c>
      <c r="CO442" s="15" t="s">
        <v>444</v>
      </c>
      <c r="CP442" s="15" t="str">
        <f t="shared" ref="CP442:CP444" si="811">"7.63"</f>
        <v>7.63</v>
      </c>
      <c r="CQ442" s="15" t="str">
        <f t="shared" ref="CQ442:CQ444" si="812">"0.216"</f>
        <v>0.216</v>
      </c>
      <c r="CR442" s="15" t="s">
        <v>497</v>
      </c>
      <c r="CY442" s="15" t="s">
        <v>1286</v>
      </c>
      <c r="CZ442" s="15" t="s">
        <v>429</v>
      </c>
      <c r="DA442" s="15" t="s">
        <v>1283</v>
      </c>
      <c r="DB442" s="15" t="s">
        <v>1286</v>
      </c>
      <c r="DC442" s="15" t="str">
        <f>IFERROR(__xludf.DUMMYFUNCTION("""COMPUTED_VALUE"""),"{""value"":23.50,""unit"":""in""}")</f>
        <v>{"value":23.50,"unit":"in"}</v>
      </c>
      <c r="DD442" s="15" t="s">
        <v>1238</v>
      </c>
      <c r="DE442" s="15" t="str">
        <f>IFERROR(__xludf.DUMMYFUNCTION("""COMPUTED_VALUE"""),"{""value"":13.50,""unit"":""in""}")</f>
        <v>{"value":13.50,"unit":"in"}</v>
      </c>
      <c r="DF442" s="15" t="s">
        <v>1283</v>
      </c>
      <c r="DG442" s="15" t="str">
        <f>IFERROR(__xludf.DUMMYFUNCTION("""COMPUTED_VALUE"""),"{""value"":26.50,""unit"":""in""}")</f>
        <v>{"value":26.50,"unit":"in"}</v>
      </c>
      <c r="DI442" s="15">
        <v>0.0</v>
      </c>
      <c r="DK442" s="15" t="s">
        <v>718</v>
      </c>
      <c r="DL442" s="15" t="str">
        <f>IFERROR(__xludf.DUMMYFUNCTION("""COMPUTED_VALUE"""),"Vacuum or light brush only. Do not use water or any cleaning products.")</f>
        <v>Vacuum or light brush only. Do not use water or any cleaning products.</v>
      </c>
      <c r="DM442" s="15" t="s">
        <v>719</v>
      </c>
      <c r="DT442" s="15" t="s">
        <v>721</v>
      </c>
      <c r="DU442" s="15" t="s">
        <v>419</v>
      </c>
      <c r="DV442" s="15">
        <v>0.0</v>
      </c>
      <c r="DZ442" s="15">
        <v>0.0</v>
      </c>
      <c r="EA442" s="15" t="s">
        <v>470</v>
      </c>
      <c r="EB442" s="15" t="s">
        <v>2927</v>
      </c>
      <c r="EC442" s="15" t="s">
        <v>3514</v>
      </c>
      <c r="ED442" s="15">
        <v>1.0</v>
      </c>
      <c r="EE442" s="15">
        <v>1.0</v>
      </c>
      <c r="EF442" s="15" t="s">
        <v>471</v>
      </c>
      <c r="EG442" s="15" t="s">
        <v>472</v>
      </c>
      <c r="EH442" s="15" t="s">
        <v>5303</v>
      </c>
      <c r="EI442" s="15">
        <v>0.0</v>
      </c>
      <c r="EJ442" s="15" t="s">
        <v>726</v>
      </c>
      <c r="EK442" s="15" t="s">
        <v>727</v>
      </c>
      <c r="EM442" s="15" t="str">
        <f>IFERROR(__xludf.DUMMYFUNCTION("""COMPUTED_VALUE"""),"")</f>
        <v/>
      </c>
      <c r="EW442" s="15" t="s">
        <v>2899</v>
      </c>
      <c r="EX442" s="15" t="s">
        <v>1288</v>
      </c>
      <c r="EY442" s="15" t="s">
        <v>1306</v>
      </c>
      <c r="FF442" s="15" t="s">
        <v>937</v>
      </c>
      <c r="FS442" s="15" t="s">
        <v>3362</v>
      </c>
    </row>
    <row r="443" ht="15.75" customHeight="1">
      <c r="A443" s="14" t="s">
        <v>391</v>
      </c>
      <c r="B443" s="15" t="s">
        <v>5393</v>
      </c>
      <c r="C443" s="16"/>
      <c r="D443" s="15" t="s">
        <v>432</v>
      </c>
      <c r="G443" s="14" t="s">
        <v>393</v>
      </c>
      <c r="H443" s="14" t="s">
        <v>394</v>
      </c>
      <c r="I443" s="14" t="b">
        <v>1</v>
      </c>
      <c r="J443" s="14" t="s">
        <v>395</v>
      </c>
      <c r="L443" s="14" t="b">
        <v>0</v>
      </c>
      <c r="M443" s="15" t="s">
        <v>5400</v>
      </c>
      <c r="N443" s="14" t="s">
        <v>393</v>
      </c>
      <c r="O443" s="14" t="s">
        <v>393</v>
      </c>
      <c r="P443" s="15" t="s">
        <v>397</v>
      </c>
      <c r="Q443" s="15" t="s">
        <v>1596</v>
      </c>
      <c r="T443" s="14" t="b">
        <v>0</v>
      </c>
      <c r="U443" s="15" t="s">
        <v>5401</v>
      </c>
      <c r="V443" s="15" t="s">
        <v>5396</v>
      </c>
      <c r="W443" s="15" t="s">
        <v>401</v>
      </c>
      <c r="X443" s="15" t="s">
        <v>695</v>
      </c>
      <c r="Y443" s="15">
        <v>936.0</v>
      </c>
      <c r="AA443" s="15" t="str">
        <f t="shared" si="806"/>
        <v>360</v>
      </c>
      <c r="AB443" s="14" t="b">
        <v>1</v>
      </c>
      <c r="AC443" s="14" t="b">
        <v>1</v>
      </c>
      <c r="AD443" s="15" t="str">
        <f>"801542066802"</f>
        <v>801542066802</v>
      </c>
      <c r="AE443" s="15" t="s">
        <v>5402</v>
      </c>
      <c r="AF443" s="14" t="s">
        <v>404</v>
      </c>
      <c r="AG443" s="14" t="s">
        <v>405</v>
      </c>
      <c r="AH443" s="14" t="s">
        <v>406</v>
      </c>
      <c r="AI443" s="15">
        <v>0.0</v>
      </c>
      <c r="AL443" s="15" t="s">
        <v>1341</v>
      </c>
      <c r="AM443" s="15" t="s">
        <v>772</v>
      </c>
      <c r="AN443" s="15" t="s">
        <v>773</v>
      </c>
      <c r="AO443" s="15" t="s">
        <v>2059</v>
      </c>
      <c r="AP443" s="15" t="s">
        <v>2060</v>
      </c>
      <c r="AQ443" s="15" t="s">
        <v>5398</v>
      </c>
      <c r="AR443" s="15" t="s">
        <v>5399</v>
      </c>
      <c r="AS443" s="15" t="s">
        <v>915</v>
      </c>
      <c r="AT443" s="15" t="s">
        <v>1596</v>
      </c>
      <c r="AU443" s="15" t="s">
        <v>3557</v>
      </c>
      <c r="AW443" s="15" t="s">
        <v>1009</v>
      </c>
      <c r="AY443" s="15" t="s">
        <v>413</v>
      </c>
      <c r="AZ443" s="15" t="b">
        <v>0</v>
      </c>
      <c r="BA443" s="15" t="s">
        <v>413</v>
      </c>
      <c r="BB443" s="15" t="b">
        <v>0</v>
      </c>
      <c r="BC443" s="15" t="s">
        <v>5378</v>
      </c>
      <c r="BD443" s="15" t="s">
        <v>709</v>
      </c>
      <c r="BE443" s="15" t="str">
        <f t="shared" si="799"/>
        <v>1</v>
      </c>
      <c r="BF443" s="15" t="s">
        <v>416</v>
      </c>
      <c r="BG443" s="15" t="str">
        <f t="shared" si="807"/>
        <v>31.5</v>
      </c>
      <c r="BH443" s="15" t="s">
        <v>1322</v>
      </c>
      <c r="BI443" s="15" t="str">
        <f t="shared" si="808"/>
        <v>27.95</v>
      </c>
      <c r="BJ443" s="15" t="s">
        <v>5361</v>
      </c>
      <c r="BK443" s="15" t="str">
        <f t="shared" si="809"/>
        <v>14.96</v>
      </c>
      <c r="BL443" s="15" t="s">
        <v>5362</v>
      </c>
      <c r="BM443" s="15" t="str">
        <f t="shared" si="810"/>
        <v>34.17</v>
      </c>
      <c r="BN443" s="15" t="s">
        <v>5363</v>
      </c>
      <c r="BQ443" s="15" t="s">
        <v>444</v>
      </c>
      <c r="BS443" s="15" t="s">
        <v>444</v>
      </c>
      <c r="BU443" s="15" t="s">
        <v>444</v>
      </c>
      <c r="BW443" s="15" t="s">
        <v>444</v>
      </c>
      <c r="BZ443" s="15" t="s">
        <v>444</v>
      </c>
      <c r="CB443" s="15" t="s">
        <v>444</v>
      </c>
      <c r="CD443" s="15" t="s">
        <v>444</v>
      </c>
      <c r="CF443" s="15" t="s">
        <v>444</v>
      </c>
      <c r="CI443" s="15" t="s">
        <v>444</v>
      </c>
      <c r="CK443" s="15" t="s">
        <v>444</v>
      </c>
      <c r="CM443" s="15" t="s">
        <v>444</v>
      </c>
      <c r="CO443" s="15" t="s">
        <v>444</v>
      </c>
      <c r="CP443" s="15" t="str">
        <f t="shared" si="811"/>
        <v>7.63</v>
      </c>
      <c r="CQ443" s="15" t="str">
        <f t="shared" si="812"/>
        <v>0.216</v>
      </c>
      <c r="CR443" s="15" t="s">
        <v>465</v>
      </c>
      <c r="CY443" s="15" t="s">
        <v>1286</v>
      </c>
      <c r="CZ443" s="15" t="s">
        <v>429</v>
      </c>
      <c r="DA443" s="15" t="s">
        <v>1283</v>
      </c>
      <c r="DB443" s="15" t="s">
        <v>1286</v>
      </c>
      <c r="DC443" s="15" t="str">
        <f>IFERROR(__xludf.DUMMYFUNCTION("""COMPUTED_VALUE"""),"{""value"":23.50,""unit"":""in""}")</f>
        <v>{"value":23.50,"unit":"in"}</v>
      </c>
      <c r="DD443" s="15" t="s">
        <v>1238</v>
      </c>
      <c r="DE443" s="15" t="str">
        <f>IFERROR(__xludf.DUMMYFUNCTION("""COMPUTED_VALUE"""),"{""value"":13.50,""unit"":""in""}")</f>
        <v>{"value":13.50,"unit":"in"}</v>
      </c>
      <c r="DF443" s="15" t="s">
        <v>1283</v>
      </c>
      <c r="DG443" s="15" t="str">
        <f>IFERROR(__xludf.DUMMYFUNCTION("""COMPUTED_VALUE"""),"{""value"":26.50,""unit"":""in""}")</f>
        <v>{"value":26.50,"unit":"in"}</v>
      </c>
      <c r="DI443" s="15">
        <v>0.0</v>
      </c>
      <c r="DK443" s="15" t="s">
        <v>718</v>
      </c>
      <c r="DL443" s="15" t="str">
        <f>IFERROR(__xludf.DUMMYFUNCTION("""COMPUTED_VALUE"""),"Vacuum or light brush only. Do not use water or any cleaning products.")</f>
        <v>Vacuum or light brush only. Do not use water or any cleaning products.</v>
      </c>
      <c r="DM443" s="15" t="s">
        <v>719</v>
      </c>
      <c r="DT443" s="15" t="s">
        <v>721</v>
      </c>
      <c r="DU443" s="15" t="s">
        <v>419</v>
      </c>
      <c r="DV443" s="15">
        <v>0.0</v>
      </c>
      <c r="DZ443" s="15">
        <v>0.0</v>
      </c>
      <c r="EA443" s="15" t="s">
        <v>470</v>
      </c>
      <c r="EB443" s="15" t="s">
        <v>2927</v>
      </c>
      <c r="EC443" s="15" t="s">
        <v>3514</v>
      </c>
      <c r="ED443" s="15">
        <v>1.0</v>
      </c>
      <c r="EE443" s="15">
        <v>1.0</v>
      </c>
      <c r="EF443" s="15" t="s">
        <v>471</v>
      </c>
      <c r="EG443" s="15" t="s">
        <v>472</v>
      </c>
      <c r="EH443" s="15" t="s">
        <v>5303</v>
      </c>
      <c r="EI443" s="15">
        <v>0.0</v>
      </c>
      <c r="EJ443" s="15" t="s">
        <v>726</v>
      </c>
      <c r="EK443" s="15" t="s">
        <v>727</v>
      </c>
      <c r="EM443" s="15" t="str">
        <f>IFERROR(__xludf.DUMMYFUNCTION("""COMPUTED_VALUE"""),"")</f>
        <v/>
      </c>
      <c r="EW443" s="15" t="s">
        <v>2899</v>
      </c>
      <c r="EX443" s="15" t="s">
        <v>1288</v>
      </c>
      <c r="EY443" s="15" t="s">
        <v>1306</v>
      </c>
      <c r="FF443" s="15" t="s">
        <v>937</v>
      </c>
      <c r="FS443" s="15" t="s">
        <v>3362</v>
      </c>
    </row>
    <row r="444" ht="15.75" customHeight="1">
      <c r="A444" s="14" t="s">
        <v>391</v>
      </c>
      <c r="B444" s="15" t="s">
        <v>5393</v>
      </c>
      <c r="C444" s="16"/>
      <c r="D444" s="15" t="s">
        <v>432</v>
      </c>
      <c r="G444" s="14" t="s">
        <v>393</v>
      </c>
      <c r="H444" s="14" t="s">
        <v>394</v>
      </c>
      <c r="I444" s="14" t="b">
        <v>1</v>
      </c>
      <c r="J444" s="14" t="s">
        <v>395</v>
      </c>
      <c r="L444" s="14" t="b">
        <v>0</v>
      </c>
      <c r="M444" s="15" t="s">
        <v>5403</v>
      </c>
      <c r="N444" s="14" t="s">
        <v>393</v>
      </c>
      <c r="O444" s="14" t="s">
        <v>393</v>
      </c>
      <c r="P444" s="15" t="s">
        <v>397</v>
      </c>
      <c r="Q444" s="15" t="s">
        <v>1658</v>
      </c>
      <c r="T444" s="14" t="b">
        <v>0</v>
      </c>
      <c r="U444" s="15" t="s">
        <v>5404</v>
      </c>
      <c r="V444" s="15" t="s">
        <v>5396</v>
      </c>
      <c r="W444" s="15" t="s">
        <v>401</v>
      </c>
      <c r="X444" s="15" t="s">
        <v>695</v>
      </c>
      <c r="Y444" s="15">
        <v>936.0</v>
      </c>
      <c r="AA444" s="15" t="str">
        <f t="shared" si="806"/>
        <v>360</v>
      </c>
      <c r="AB444" s="14" t="b">
        <v>1</v>
      </c>
      <c r="AC444" s="14" t="b">
        <v>1</v>
      </c>
      <c r="AD444" s="15" t="str">
        <f>"801542993474"</f>
        <v>801542993474</v>
      </c>
      <c r="AE444" s="15" t="s">
        <v>5405</v>
      </c>
      <c r="AF444" s="14" t="s">
        <v>404</v>
      </c>
      <c r="AG444" s="14" t="s">
        <v>405</v>
      </c>
      <c r="AH444" s="14" t="s">
        <v>406</v>
      </c>
      <c r="AI444" s="15">
        <v>0.0</v>
      </c>
      <c r="AL444" s="15" t="s">
        <v>1341</v>
      </c>
      <c r="AM444" s="15" t="s">
        <v>772</v>
      </c>
      <c r="AN444" s="15" t="s">
        <v>773</v>
      </c>
      <c r="AO444" s="15" t="s">
        <v>2059</v>
      </c>
      <c r="AP444" s="15" t="s">
        <v>2060</v>
      </c>
      <c r="AQ444" s="15" t="s">
        <v>5398</v>
      </c>
      <c r="AR444" s="15" t="s">
        <v>5399</v>
      </c>
      <c r="AS444" s="15" t="s">
        <v>915</v>
      </c>
      <c r="AT444" s="15" t="s">
        <v>1658</v>
      </c>
      <c r="AU444" s="15" t="s">
        <v>3557</v>
      </c>
      <c r="AW444" s="15" t="s">
        <v>1009</v>
      </c>
      <c r="AY444" s="15" t="s">
        <v>413</v>
      </c>
      <c r="AZ444" s="15" t="b">
        <v>0</v>
      </c>
      <c r="BA444" s="15" t="s">
        <v>413</v>
      </c>
      <c r="BB444" s="15" t="b">
        <v>0</v>
      </c>
      <c r="BC444" s="15" t="s">
        <v>5406</v>
      </c>
      <c r="BD444" s="15" t="s">
        <v>709</v>
      </c>
      <c r="BE444" s="15" t="str">
        <f t="shared" si="799"/>
        <v>1</v>
      </c>
      <c r="BF444" s="15" t="s">
        <v>416</v>
      </c>
      <c r="BG444" s="15" t="str">
        <f t="shared" si="807"/>
        <v>31.5</v>
      </c>
      <c r="BH444" s="15" t="s">
        <v>1322</v>
      </c>
      <c r="BI444" s="15" t="str">
        <f t="shared" si="808"/>
        <v>27.95</v>
      </c>
      <c r="BJ444" s="15" t="s">
        <v>5361</v>
      </c>
      <c r="BK444" s="15" t="str">
        <f t="shared" si="809"/>
        <v>14.96</v>
      </c>
      <c r="BL444" s="15" t="s">
        <v>5362</v>
      </c>
      <c r="BM444" s="15" t="str">
        <f t="shared" si="810"/>
        <v>34.17</v>
      </c>
      <c r="BN444" s="15" t="s">
        <v>5363</v>
      </c>
      <c r="BQ444" s="15" t="s">
        <v>444</v>
      </c>
      <c r="BS444" s="15" t="s">
        <v>444</v>
      </c>
      <c r="BU444" s="15" t="s">
        <v>444</v>
      </c>
      <c r="BW444" s="15" t="s">
        <v>444</v>
      </c>
      <c r="BZ444" s="15" t="s">
        <v>444</v>
      </c>
      <c r="CB444" s="15" t="s">
        <v>444</v>
      </c>
      <c r="CD444" s="15" t="s">
        <v>444</v>
      </c>
      <c r="CF444" s="15" t="s">
        <v>444</v>
      </c>
      <c r="CI444" s="15" t="s">
        <v>444</v>
      </c>
      <c r="CK444" s="15" t="s">
        <v>444</v>
      </c>
      <c r="CM444" s="15" t="s">
        <v>444</v>
      </c>
      <c r="CO444" s="15" t="s">
        <v>444</v>
      </c>
      <c r="CP444" s="15" t="str">
        <f t="shared" si="811"/>
        <v>7.63</v>
      </c>
      <c r="CQ444" s="15" t="str">
        <f t="shared" si="812"/>
        <v>0.216</v>
      </c>
      <c r="CR444" s="15" t="s">
        <v>465</v>
      </c>
      <c r="CY444" s="15" t="s">
        <v>1286</v>
      </c>
      <c r="CZ444" s="15" t="s">
        <v>429</v>
      </c>
      <c r="DA444" s="15" t="s">
        <v>1283</v>
      </c>
      <c r="DB444" s="15" t="s">
        <v>1286</v>
      </c>
      <c r="DC444" s="15" t="str">
        <f>IFERROR(__xludf.DUMMYFUNCTION("""COMPUTED_VALUE"""),"{""value"":23.50,""unit"":""in""}")</f>
        <v>{"value":23.50,"unit":"in"}</v>
      </c>
      <c r="DD444" s="15" t="s">
        <v>1238</v>
      </c>
      <c r="DE444" s="15" t="str">
        <f>IFERROR(__xludf.DUMMYFUNCTION("""COMPUTED_VALUE"""),"{""value"":13.50,""unit"":""in""}")</f>
        <v>{"value":13.50,"unit":"in"}</v>
      </c>
      <c r="DF444" s="15" t="s">
        <v>1283</v>
      </c>
      <c r="DG444" s="15" t="str">
        <f>IFERROR(__xludf.DUMMYFUNCTION("""COMPUTED_VALUE"""),"{""value"":26.50,""unit"":""in""}")</f>
        <v>{"value":26.50,"unit":"in"}</v>
      </c>
      <c r="DI444" s="15">
        <v>0.0</v>
      </c>
      <c r="DK444" s="15" t="s">
        <v>718</v>
      </c>
      <c r="DL444" s="15" t="str">
        <f>IFERROR(__xludf.DUMMYFUNCTION("""COMPUTED_VALUE"""),"Vacuum or light brush only. Do not use water or any cleaning products.")</f>
        <v>Vacuum or light brush only. Do not use water or any cleaning products.</v>
      </c>
      <c r="DM444" s="15" t="s">
        <v>719</v>
      </c>
      <c r="DT444" s="15" t="s">
        <v>721</v>
      </c>
      <c r="DU444" s="15" t="s">
        <v>419</v>
      </c>
      <c r="DV444" s="15">
        <v>0.0</v>
      </c>
      <c r="DZ444" s="15">
        <v>0.0</v>
      </c>
      <c r="EA444" s="15" t="s">
        <v>470</v>
      </c>
      <c r="EB444" s="15" t="s">
        <v>2927</v>
      </c>
      <c r="EC444" s="15" t="s">
        <v>3514</v>
      </c>
      <c r="ED444" s="15">
        <v>1.0</v>
      </c>
      <c r="EE444" s="15">
        <v>1.0</v>
      </c>
      <c r="EF444" s="15" t="s">
        <v>471</v>
      </c>
      <c r="EG444" s="15" t="s">
        <v>472</v>
      </c>
      <c r="EH444" s="15" t="s">
        <v>5303</v>
      </c>
      <c r="EI444" s="15">
        <v>0.0</v>
      </c>
      <c r="EJ444" s="15" t="s">
        <v>726</v>
      </c>
      <c r="EK444" s="15" t="s">
        <v>727</v>
      </c>
      <c r="EM444" s="15" t="str">
        <f>IFERROR(__xludf.DUMMYFUNCTION("""COMPUTED_VALUE"""),"")</f>
        <v/>
      </c>
      <c r="EW444" s="15" t="s">
        <v>2899</v>
      </c>
      <c r="EX444" s="15" t="s">
        <v>1288</v>
      </c>
      <c r="EY444" s="15" t="s">
        <v>1306</v>
      </c>
      <c r="FF444" s="15" t="s">
        <v>937</v>
      </c>
      <c r="FS444" s="15" t="s">
        <v>3362</v>
      </c>
    </row>
    <row r="445" ht="15.75" customHeight="1">
      <c r="A445" s="14" t="s">
        <v>391</v>
      </c>
      <c r="B445" s="15" t="s">
        <v>5407</v>
      </c>
      <c r="C445" s="16"/>
      <c r="D445" s="15" t="s">
        <v>432</v>
      </c>
      <c r="G445" s="14" t="s">
        <v>393</v>
      </c>
      <c r="H445" s="14" t="s">
        <v>394</v>
      </c>
      <c r="I445" s="14" t="b">
        <v>1</v>
      </c>
      <c r="J445" s="14" t="s">
        <v>395</v>
      </c>
      <c r="L445" s="14" t="b">
        <v>0</v>
      </c>
      <c r="M445" s="15" t="s">
        <v>5408</v>
      </c>
      <c r="N445" s="14" t="s">
        <v>393</v>
      </c>
      <c r="O445" s="14" t="s">
        <v>393</v>
      </c>
      <c r="P445" s="15" t="s">
        <v>397</v>
      </c>
      <c r="Q445" s="15" t="s">
        <v>4501</v>
      </c>
      <c r="T445" s="14" t="b">
        <v>0</v>
      </c>
      <c r="U445" s="15" t="s">
        <v>5409</v>
      </c>
      <c r="V445" s="15" t="s">
        <v>1224</v>
      </c>
      <c r="W445" s="15" t="s">
        <v>401</v>
      </c>
      <c r="X445" s="15" t="s">
        <v>3827</v>
      </c>
      <c r="Y445" s="15">
        <v>2522.0</v>
      </c>
      <c r="AA445" s="15" t="str">
        <f t="shared" ref="AA445:AA446" si="813">"970"</f>
        <v>970</v>
      </c>
      <c r="AB445" s="14" t="b">
        <v>1</v>
      </c>
      <c r="AC445" s="14" t="b">
        <v>1</v>
      </c>
      <c r="AD445" s="15" t="str">
        <f>"801542948627"</f>
        <v>801542948627</v>
      </c>
      <c r="AE445" s="15" t="s">
        <v>5410</v>
      </c>
      <c r="AF445" s="14" t="s">
        <v>404</v>
      </c>
      <c r="AG445" s="14" t="s">
        <v>405</v>
      </c>
      <c r="AH445" s="14" t="s">
        <v>406</v>
      </c>
      <c r="AI445" s="15">
        <v>0.0</v>
      </c>
      <c r="AL445" s="15" t="s">
        <v>5411</v>
      </c>
      <c r="AM445" s="15" t="s">
        <v>3442</v>
      </c>
      <c r="AN445" s="15" t="s">
        <v>3443</v>
      </c>
      <c r="AO445" s="15" t="s">
        <v>679</v>
      </c>
      <c r="AP445" s="15" t="s">
        <v>680</v>
      </c>
      <c r="AQ445" s="15" t="s">
        <v>517</v>
      </c>
      <c r="AR445" s="15" t="s">
        <v>518</v>
      </c>
      <c r="AS445" s="15" t="s">
        <v>3832</v>
      </c>
      <c r="AT445" s="15" t="s">
        <v>4501</v>
      </c>
      <c r="AW445" s="15" t="s">
        <v>706</v>
      </c>
      <c r="AX445" s="15" t="s">
        <v>707</v>
      </c>
      <c r="AY445" s="15" t="s">
        <v>413</v>
      </c>
      <c r="AZ445" s="15" t="b">
        <v>0</v>
      </c>
      <c r="BA445" s="15" t="s">
        <v>426</v>
      </c>
      <c r="BB445" s="15" t="b">
        <v>1</v>
      </c>
      <c r="BD445" s="15" t="s">
        <v>3835</v>
      </c>
      <c r="BE445" s="15" t="str">
        <f t="shared" si="799"/>
        <v>1</v>
      </c>
      <c r="BF445" s="15" t="s">
        <v>5412</v>
      </c>
      <c r="BG445" s="15" t="str">
        <f t="shared" ref="BG445:BG446" si="814">"39"</f>
        <v>39</v>
      </c>
      <c r="BH445" s="15" t="s">
        <v>3443</v>
      </c>
      <c r="BI445" s="15" t="str">
        <f t="shared" ref="BI445:BI448" si="815">"45"</f>
        <v>45</v>
      </c>
      <c r="BJ445" s="15" t="s">
        <v>4615</v>
      </c>
      <c r="BK445" s="15" t="str">
        <f t="shared" ref="BK445:BK446" si="816">"32.5"</f>
        <v>32.5</v>
      </c>
      <c r="BL445" s="15" t="s">
        <v>2893</v>
      </c>
      <c r="BM445" s="15" t="str">
        <f t="shared" ref="BM445:BM446" si="817">"113.32"</f>
        <v>113.32</v>
      </c>
      <c r="BN445" s="15" t="s">
        <v>5413</v>
      </c>
      <c r="BQ445" s="15" t="s">
        <v>444</v>
      </c>
      <c r="BS445" s="15" t="s">
        <v>444</v>
      </c>
      <c r="BU445" s="15" t="s">
        <v>444</v>
      </c>
      <c r="BW445" s="15" t="s">
        <v>444</v>
      </c>
      <c r="BZ445" s="15" t="s">
        <v>444</v>
      </c>
      <c r="CB445" s="15" t="s">
        <v>444</v>
      </c>
      <c r="CD445" s="15" t="s">
        <v>444</v>
      </c>
      <c r="CF445" s="15" t="s">
        <v>444</v>
      </c>
      <c r="CI445" s="15" t="s">
        <v>444</v>
      </c>
      <c r="CK445" s="15" t="s">
        <v>444</v>
      </c>
      <c r="CM445" s="15" t="s">
        <v>444</v>
      </c>
      <c r="CO445" s="15" t="s">
        <v>444</v>
      </c>
      <c r="CP445" s="15" t="str">
        <f t="shared" ref="CP445:CP446" si="818">"33.02"</f>
        <v>33.02</v>
      </c>
      <c r="CQ445" s="15" t="str">
        <f t="shared" ref="CQ445:CQ446" si="819">"0.935"</f>
        <v>0.935</v>
      </c>
      <c r="CR445" s="15" t="s">
        <v>417</v>
      </c>
      <c r="CY445" s="15" t="s">
        <v>2839</v>
      </c>
      <c r="CZ445" s="15" t="s">
        <v>1738</v>
      </c>
      <c r="DA445" s="15" t="s">
        <v>2314</v>
      </c>
      <c r="DB445" s="15" t="s">
        <v>1995</v>
      </c>
      <c r="DC445" s="15" t="str">
        <f>IFERROR(__xludf.DUMMYFUNCTION("""COMPUTED_VALUE"""),"{""value"":24.75,""unit"":""in""}")</f>
        <v>{"value":24.75,"unit":"in"}</v>
      </c>
      <c r="DD445" s="15" t="s">
        <v>1065</v>
      </c>
      <c r="DE445" s="15" t="str">
        <f>IFERROR(__xludf.DUMMYFUNCTION("""COMPUTED_VALUE"""),"{""value"":18.00,""unit"":""in""}")</f>
        <v>{"value":18.00,"unit":"in"}</v>
      </c>
      <c r="DF445" s="15" t="s">
        <v>2314</v>
      </c>
      <c r="DG445" s="15" t="str">
        <f>IFERROR(__xludf.DUMMYFUNCTION("""COMPUTED_VALUE"""),"{""value"":29.50,""unit"":""in""}")</f>
        <v>{"value":29.50,"unit":"in"}</v>
      </c>
      <c r="DH445" s="15">
        <v>0.0</v>
      </c>
      <c r="DI445" s="15">
        <v>1.0</v>
      </c>
      <c r="DJ445" s="15" t="s">
        <v>717</v>
      </c>
      <c r="DK445" s="15" t="s">
        <v>855</v>
      </c>
      <c r="DL445" s="15" t="str">
        <f>IFERROR(__xludf.DUMMYFUNCTION("""COMPUTED_VALUE"""),"Clean with solvent-based (dry clean only) products. Do not use water.")</f>
        <v>Clean with solvent-based (dry clean only) products. Do not use water.</v>
      </c>
      <c r="DM445" s="15" t="s">
        <v>856</v>
      </c>
      <c r="DQ445" s="15" t="s">
        <v>1066</v>
      </c>
      <c r="DT445" s="15" t="s">
        <v>420</v>
      </c>
      <c r="DU445" s="15" t="s">
        <v>936</v>
      </c>
      <c r="DV445" s="15">
        <v>0.0</v>
      </c>
      <c r="DZ445" s="15">
        <v>30000.0</v>
      </c>
      <c r="EA445" s="15" t="s">
        <v>470</v>
      </c>
      <c r="EB445" s="15" t="s">
        <v>723</v>
      </c>
      <c r="EC445" s="15" t="s">
        <v>724</v>
      </c>
      <c r="ED445" s="15">
        <v>1.0</v>
      </c>
      <c r="EE445" s="15">
        <v>1.0</v>
      </c>
      <c r="EG445" s="15" t="s">
        <v>444</v>
      </c>
      <c r="EH445" s="15" t="s">
        <v>5414</v>
      </c>
      <c r="EI445" s="15">
        <v>0.0</v>
      </c>
      <c r="EJ445" s="15" t="s">
        <v>726</v>
      </c>
      <c r="EK445" s="15" t="s">
        <v>727</v>
      </c>
      <c r="EL445" s="15" t="s">
        <v>2384</v>
      </c>
      <c r="EM445" s="15" t="str">
        <f>IFERROR(__xludf.DUMMYFUNCTION("""COMPUTED_VALUE"""),"{""value"":24.50,""unit"":""in""}")</f>
        <v>{"value":24.50,"unit":"in"}</v>
      </c>
      <c r="EN445" s="15" t="s">
        <v>762</v>
      </c>
      <c r="EO445" s="15" t="s">
        <v>1575</v>
      </c>
      <c r="ES445" s="15" t="s">
        <v>3305</v>
      </c>
      <c r="ET445" s="15" t="s">
        <v>3241</v>
      </c>
      <c r="EU445" s="15" t="s">
        <v>788</v>
      </c>
      <c r="EV445" s="15" t="s">
        <v>558</v>
      </c>
      <c r="EZ445" s="15" t="s">
        <v>1738</v>
      </c>
      <c r="FC445" s="15" t="s">
        <v>723</v>
      </c>
      <c r="FD445" s="15" t="s">
        <v>724</v>
      </c>
      <c r="FE445" s="15" t="s">
        <v>1289</v>
      </c>
      <c r="FF445" s="15" t="s">
        <v>3844</v>
      </c>
      <c r="FQ445" s="15">
        <v>0.0</v>
      </c>
      <c r="FR445" s="15">
        <v>0.0</v>
      </c>
      <c r="FS445" s="15" t="s">
        <v>2436</v>
      </c>
      <c r="FT445" s="15">
        <v>0.0</v>
      </c>
      <c r="IL445" s="15" t="s">
        <v>1610</v>
      </c>
    </row>
    <row r="446" ht="15.75" customHeight="1">
      <c r="A446" s="14" t="s">
        <v>391</v>
      </c>
      <c r="B446" s="15" t="s">
        <v>5407</v>
      </c>
      <c r="C446" s="16"/>
      <c r="D446" s="15" t="s">
        <v>432</v>
      </c>
      <c r="G446" s="14" t="s">
        <v>393</v>
      </c>
      <c r="H446" s="14" t="s">
        <v>394</v>
      </c>
      <c r="I446" s="14" t="b">
        <v>1</v>
      </c>
      <c r="J446" s="14" t="s">
        <v>395</v>
      </c>
      <c r="L446" s="14" t="b">
        <v>0</v>
      </c>
      <c r="M446" s="15" t="s">
        <v>5415</v>
      </c>
      <c r="N446" s="14" t="s">
        <v>393</v>
      </c>
      <c r="O446" s="14" t="s">
        <v>393</v>
      </c>
      <c r="P446" s="15" t="s">
        <v>397</v>
      </c>
      <c r="Q446" s="15" t="s">
        <v>3824</v>
      </c>
      <c r="T446" s="14" t="b">
        <v>0</v>
      </c>
      <c r="U446" s="15" t="s">
        <v>5416</v>
      </c>
      <c r="V446" s="15" t="s">
        <v>1224</v>
      </c>
      <c r="W446" s="15" t="s">
        <v>401</v>
      </c>
      <c r="X446" s="15" t="s">
        <v>3827</v>
      </c>
      <c r="Y446" s="15">
        <v>2522.0</v>
      </c>
      <c r="AA446" s="15" t="str">
        <f t="shared" si="813"/>
        <v>970</v>
      </c>
      <c r="AB446" s="14" t="b">
        <v>1</v>
      </c>
      <c r="AC446" s="14" t="b">
        <v>1</v>
      </c>
      <c r="AD446" s="15" t="str">
        <f>"801542162849"</f>
        <v>801542162849</v>
      </c>
      <c r="AE446" s="15" t="s">
        <v>5417</v>
      </c>
      <c r="AF446" s="14" t="s">
        <v>404</v>
      </c>
      <c r="AG446" s="14" t="s">
        <v>405</v>
      </c>
      <c r="AH446" s="14" t="s">
        <v>406</v>
      </c>
      <c r="AI446" s="15">
        <v>0.0</v>
      </c>
      <c r="AL446" s="15" t="s">
        <v>5418</v>
      </c>
      <c r="AM446" s="15" t="s">
        <v>3442</v>
      </c>
      <c r="AN446" s="15" t="s">
        <v>3443</v>
      </c>
      <c r="AO446" s="15" t="s">
        <v>679</v>
      </c>
      <c r="AP446" s="15" t="s">
        <v>680</v>
      </c>
      <c r="AQ446" s="15" t="s">
        <v>517</v>
      </c>
      <c r="AR446" s="15" t="s">
        <v>518</v>
      </c>
      <c r="AS446" s="15" t="s">
        <v>3832</v>
      </c>
      <c r="AT446" s="15" t="s">
        <v>3824</v>
      </c>
      <c r="AW446" s="15" t="s">
        <v>706</v>
      </c>
      <c r="AX446" s="15" t="s">
        <v>707</v>
      </c>
      <c r="AY446" s="15" t="s">
        <v>413</v>
      </c>
      <c r="AZ446" s="15" t="b">
        <v>0</v>
      </c>
      <c r="BA446" s="15" t="s">
        <v>426</v>
      </c>
      <c r="BB446" s="15" t="b">
        <v>1</v>
      </c>
      <c r="BC446" s="15" t="s">
        <v>5419</v>
      </c>
      <c r="BD446" s="15" t="s">
        <v>3835</v>
      </c>
      <c r="BE446" s="15" t="str">
        <f t="shared" si="799"/>
        <v>1</v>
      </c>
      <c r="BF446" s="15" t="s">
        <v>5412</v>
      </c>
      <c r="BG446" s="15" t="str">
        <f t="shared" si="814"/>
        <v>39</v>
      </c>
      <c r="BH446" s="15" t="s">
        <v>3443</v>
      </c>
      <c r="BI446" s="15" t="str">
        <f t="shared" si="815"/>
        <v>45</v>
      </c>
      <c r="BJ446" s="15" t="s">
        <v>4615</v>
      </c>
      <c r="BK446" s="15" t="str">
        <f t="shared" si="816"/>
        <v>32.5</v>
      </c>
      <c r="BL446" s="15" t="s">
        <v>2893</v>
      </c>
      <c r="BM446" s="15" t="str">
        <f t="shared" si="817"/>
        <v>113.32</v>
      </c>
      <c r="BN446" s="15" t="s">
        <v>5413</v>
      </c>
      <c r="BQ446" s="15" t="s">
        <v>444</v>
      </c>
      <c r="BS446" s="15" t="s">
        <v>444</v>
      </c>
      <c r="BU446" s="15" t="s">
        <v>444</v>
      </c>
      <c r="BW446" s="15" t="s">
        <v>444</v>
      </c>
      <c r="BZ446" s="15" t="s">
        <v>444</v>
      </c>
      <c r="CB446" s="15" t="s">
        <v>444</v>
      </c>
      <c r="CD446" s="15" t="s">
        <v>444</v>
      </c>
      <c r="CF446" s="15" t="s">
        <v>444</v>
      </c>
      <c r="CI446" s="15" t="s">
        <v>444</v>
      </c>
      <c r="CK446" s="15" t="s">
        <v>444</v>
      </c>
      <c r="CM446" s="15" t="s">
        <v>444</v>
      </c>
      <c r="CO446" s="15" t="s">
        <v>444</v>
      </c>
      <c r="CP446" s="15" t="str">
        <f t="shared" si="818"/>
        <v>33.02</v>
      </c>
      <c r="CQ446" s="15" t="str">
        <f t="shared" si="819"/>
        <v>0.935</v>
      </c>
      <c r="CR446" s="15" t="s">
        <v>465</v>
      </c>
      <c r="CY446" s="15" t="s">
        <v>2839</v>
      </c>
      <c r="CZ446" s="15" t="s">
        <v>1738</v>
      </c>
      <c r="DA446" s="15" t="s">
        <v>2314</v>
      </c>
      <c r="DB446" s="15" t="s">
        <v>1995</v>
      </c>
      <c r="DC446" s="15" t="str">
        <f>IFERROR(__xludf.DUMMYFUNCTION("""COMPUTED_VALUE"""),"{""value"":24.75,""unit"":""in""}")</f>
        <v>{"value":24.75,"unit":"in"}</v>
      </c>
      <c r="DD446" s="15" t="s">
        <v>1065</v>
      </c>
      <c r="DE446" s="15" t="str">
        <f>IFERROR(__xludf.DUMMYFUNCTION("""COMPUTED_VALUE"""),"{""value"":18.00,""unit"":""in""}")</f>
        <v>{"value":18.00,"unit":"in"}</v>
      </c>
      <c r="DF446" s="15" t="s">
        <v>2314</v>
      </c>
      <c r="DG446" s="15" t="str">
        <f>IFERROR(__xludf.DUMMYFUNCTION("""COMPUTED_VALUE"""),"{""value"":29.50,""unit"":""in""}")</f>
        <v>{"value":29.50,"unit":"in"}</v>
      </c>
      <c r="DH446" s="15">
        <v>0.0</v>
      </c>
      <c r="DI446" s="15">
        <v>1.0</v>
      </c>
      <c r="DJ446" s="15" t="s">
        <v>717</v>
      </c>
      <c r="DK446" s="15" t="s">
        <v>855</v>
      </c>
      <c r="DL446" s="15" t="str">
        <f>IFERROR(__xludf.DUMMYFUNCTION("""COMPUTED_VALUE"""),"Clean with solvent-based (dry clean only) products. Do not use water.")</f>
        <v>Clean with solvent-based (dry clean only) products. Do not use water.</v>
      </c>
      <c r="DM446" s="15" t="s">
        <v>856</v>
      </c>
      <c r="DQ446" s="15" t="s">
        <v>1066</v>
      </c>
      <c r="DT446" s="15" t="s">
        <v>420</v>
      </c>
      <c r="DU446" s="15" t="s">
        <v>936</v>
      </c>
      <c r="DV446" s="15">
        <v>0.0</v>
      </c>
      <c r="DZ446" s="15">
        <v>18000.0</v>
      </c>
      <c r="EA446" s="15" t="s">
        <v>470</v>
      </c>
      <c r="EB446" s="15" t="s">
        <v>723</v>
      </c>
      <c r="EC446" s="15" t="s">
        <v>724</v>
      </c>
      <c r="ED446" s="15">
        <v>1.0</v>
      </c>
      <c r="EE446" s="15">
        <v>1.0</v>
      </c>
      <c r="EG446" s="15" t="s">
        <v>444</v>
      </c>
      <c r="EH446" s="15" t="s">
        <v>5414</v>
      </c>
      <c r="EI446" s="15">
        <v>0.0</v>
      </c>
      <c r="EJ446" s="15" t="s">
        <v>726</v>
      </c>
      <c r="EK446" s="15" t="s">
        <v>727</v>
      </c>
      <c r="EL446" s="15" t="s">
        <v>2384</v>
      </c>
      <c r="EM446" s="15" t="str">
        <f>IFERROR(__xludf.DUMMYFUNCTION("""COMPUTED_VALUE"""),"{""value"":24.50,""unit"":""in""}")</f>
        <v>{"value":24.50,"unit":"in"}</v>
      </c>
      <c r="EN446" s="15" t="s">
        <v>762</v>
      </c>
      <c r="EO446" s="15" t="s">
        <v>1575</v>
      </c>
      <c r="ES446" s="15" t="s">
        <v>3305</v>
      </c>
      <c r="ET446" s="15" t="s">
        <v>3241</v>
      </c>
      <c r="EU446" s="15" t="s">
        <v>788</v>
      </c>
      <c r="EV446" s="15" t="s">
        <v>558</v>
      </c>
      <c r="EZ446" s="15" t="s">
        <v>1738</v>
      </c>
      <c r="FC446" s="15" t="s">
        <v>723</v>
      </c>
      <c r="FD446" s="15" t="s">
        <v>724</v>
      </c>
      <c r="FE446" s="15" t="s">
        <v>1289</v>
      </c>
      <c r="FF446" s="15" t="s">
        <v>3844</v>
      </c>
      <c r="FQ446" s="15">
        <v>0.0</v>
      </c>
      <c r="FR446" s="15">
        <v>0.0</v>
      </c>
      <c r="FS446" s="15" t="s">
        <v>2436</v>
      </c>
      <c r="FT446" s="15">
        <v>0.0</v>
      </c>
      <c r="IL446" s="15" t="s">
        <v>1610</v>
      </c>
    </row>
    <row r="447" ht="15.75" customHeight="1">
      <c r="A447" s="14" t="s">
        <v>391</v>
      </c>
      <c r="B447" s="15" t="s">
        <v>5420</v>
      </c>
      <c r="C447" s="16"/>
      <c r="D447" s="15" t="s">
        <v>432</v>
      </c>
      <c r="G447" s="14" t="s">
        <v>393</v>
      </c>
      <c r="H447" s="14" t="s">
        <v>394</v>
      </c>
      <c r="I447" s="14" t="b">
        <v>1</v>
      </c>
      <c r="J447" s="14" t="s">
        <v>395</v>
      </c>
      <c r="L447" s="14" t="b">
        <v>0</v>
      </c>
      <c r="M447" s="15" t="s">
        <v>5421</v>
      </c>
      <c r="N447" s="14" t="s">
        <v>393</v>
      </c>
      <c r="O447" s="14" t="s">
        <v>393</v>
      </c>
      <c r="P447" s="15" t="s">
        <v>397</v>
      </c>
      <c r="Q447" s="15" t="s">
        <v>5422</v>
      </c>
      <c r="T447" s="14" t="b">
        <v>0</v>
      </c>
      <c r="U447" s="15" t="s">
        <v>5423</v>
      </c>
      <c r="V447" s="15" t="s">
        <v>5424</v>
      </c>
      <c r="W447" s="15" t="s">
        <v>401</v>
      </c>
      <c r="X447" s="15" t="s">
        <v>3827</v>
      </c>
      <c r="Y447" s="15">
        <v>3939.0</v>
      </c>
      <c r="AA447" s="15" t="str">
        <f>"1515"</f>
        <v>1515</v>
      </c>
      <c r="AB447" s="14" t="b">
        <v>1</v>
      </c>
      <c r="AC447" s="14" t="b">
        <v>1</v>
      </c>
      <c r="AD447" s="15" t="str">
        <f>"801542162856"</f>
        <v>801542162856</v>
      </c>
      <c r="AE447" s="15" t="s">
        <v>5425</v>
      </c>
      <c r="AF447" s="14" t="s">
        <v>404</v>
      </c>
      <c r="AG447" s="14" t="s">
        <v>405</v>
      </c>
      <c r="AH447" s="14" t="s">
        <v>406</v>
      </c>
      <c r="AI447" s="15">
        <v>0.0</v>
      </c>
      <c r="AL447" s="15" t="s">
        <v>5426</v>
      </c>
      <c r="AM447" s="15" t="s">
        <v>5427</v>
      </c>
      <c r="AN447" s="15" t="s">
        <v>5284</v>
      </c>
      <c r="AO447" s="15" t="s">
        <v>679</v>
      </c>
      <c r="AP447" s="15" t="s">
        <v>680</v>
      </c>
      <c r="AQ447" s="15" t="s">
        <v>517</v>
      </c>
      <c r="AR447" s="15" t="s">
        <v>518</v>
      </c>
      <c r="AS447" s="15" t="s">
        <v>3832</v>
      </c>
      <c r="AT447" s="15" t="s">
        <v>5422</v>
      </c>
      <c r="AU447" s="15" t="s">
        <v>3833</v>
      </c>
      <c r="AW447" s="15" t="s">
        <v>1732</v>
      </c>
      <c r="AY447" s="15" t="s">
        <v>413</v>
      </c>
      <c r="AZ447" s="15" t="b">
        <v>0</v>
      </c>
      <c r="BA447" s="15" t="s">
        <v>426</v>
      </c>
      <c r="BB447" s="15" t="b">
        <v>1</v>
      </c>
      <c r="BC447" s="15" t="s">
        <v>5428</v>
      </c>
      <c r="BD447" s="15" t="s">
        <v>3835</v>
      </c>
      <c r="BE447" s="15" t="str">
        <f t="shared" si="799"/>
        <v>1</v>
      </c>
      <c r="BF447" s="15" t="s">
        <v>5429</v>
      </c>
      <c r="BG447" s="15" t="str">
        <f>"94.5"</f>
        <v>94.5</v>
      </c>
      <c r="BH447" s="15" t="s">
        <v>597</v>
      </c>
      <c r="BI447" s="15" t="str">
        <f t="shared" si="815"/>
        <v>45</v>
      </c>
      <c r="BJ447" s="15" t="s">
        <v>4615</v>
      </c>
      <c r="BK447" s="15" t="str">
        <f>"33.46"</f>
        <v>33.46</v>
      </c>
      <c r="BL447" s="15" t="s">
        <v>1109</v>
      </c>
      <c r="BM447" s="15" t="str">
        <f>"167.99"</f>
        <v>167.99</v>
      </c>
      <c r="BN447" s="15" t="s">
        <v>5430</v>
      </c>
      <c r="BQ447" s="15" t="s">
        <v>444</v>
      </c>
      <c r="BS447" s="15" t="s">
        <v>444</v>
      </c>
      <c r="BU447" s="15" t="s">
        <v>444</v>
      </c>
      <c r="BW447" s="15" t="s">
        <v>444</v>
      </c>
      <c r="BZ447" s="15" t="s">
        <v>444</v>
      </c>
      <c r="CB447" s="15" t="s">
        <v>444</v>
      </c>
      <c r="CD447" s="15" t="s">
        <v>444</v>
      </c>
      <c r="CF447" s="15" t="s">
        <v>444</v>
      </c>
      <c r="CI447" s="15" t="s">
        <v>444</v>
      </c>
      <c r="CK447" s="15" t="s">
        <v>444</v>
      </c>
      <c r="CM447" s="15" t="s">
        <v>444</v>
      </c>
      <c r="CO447" s="15" t="s">
        <v>444</v>
      </c>
      <c r="CP447" s="15" t="str">
        <f>"82.35"</f>
        <v>82.35</v>
      </c>
      <c r="CQ447" s="15" t="str">
        <f>"2.332"</f>
        <v>2.332</v>
      </c>
      <c r="CR447" s="15" t="s">
        <v>465</v>
      </c>
      <c r="CY447" s="15" t="s">
        <v>2839</v>
      </c>
      <c r="CZ447" s="15" t="s">
        <v>1738</v>
      </c>
      <c r="DA447" s="15" t="s">
        <v>3332</v>
      </c>
      <c r="DB447" s="15" t="s">
        <v>1995</v>
      </c>
      <c r="DC447" s="15" t="str">
        <f>IFERROR(__xludf.DUMMYFUNCTION("""COMPUTED_VALUE"""),"{""value"":24.75,""unit"":""in""}")</f>
        <v>{"value":24.75,"unit":"in"}</v>
      </c>
      <c r="DD447" s="15" t="s">
        <v>1065</v>
      </c>
      <c r="DE447" s="15" t="str">
        <f>IFERROR(__xludf.DUMMYFUNCTION("""COMPUTED_VALUE"""),"{""value"":18.00,""unit"":""in""}")</f>
        <v>{"value":18.00,"unit":"in"}</v>
      </c>
      <c r="DF447" s="15" t="s">
        <v>4865</v>
      </c>
      <c r="DG447" s="15" t="str">
        <f>IFERROR(__xludf.DUMMYFUNCTION("""COMPUTED_VALUE"""),"{""value"":83.00,""unit"":""in""}")</f>
        <v>{"value":83.00,"unit":"in"}</v>
      </c>
      <c r="DH447" s="15">
        <v>0.0</v>
      </c>
      <c r="DI447" s="15">
        <v>2.0</v>
      </c>
      <c r="DJ447" s="15" t="s">
        <v>717</v>
      </c>
      <c r="DK447" s="15" t="s">
        <v>934</v>
      </c>
      <c r="DL447" s="15" t="str">
        <f>IFERROR(__xludf.DUMMYFUNCTION("""COMPUTED_VALUE"""),"Spot clean with water-based or solvent-based cleaner. Use mild detergent or upholstery shampoo.")</f>
        <v>Spot clean with water-based or solvent-based cleaner. Use mild detergent or upholstery shampoo.</v>
      </c>
      <c r="DM447" s="15" t="s">
        <v>935</v>
      </c>
      <c r="DQ447" s="15" t="s">
        <v>1066</v>
      </c>
      <c r="DT447" s="15" t="s">
        <v>420</v>
      </c>
      <c r="DU447" s="15" t="s">
        <v>419</v>
      </c>
      <c r="DV447" s="15">
        <v>0.0</v>
      </c>
      <c r="DZ447" s="15">
        <v>51000.0</v>
      </c>
      <c r="EA447" s="15" t="s">
        <v>470</v>
      </c>
      <c r="EB447" s="15" t="s">
        <v>723</v>
      </c>
      <c r="EC447" s="15" t="s">
        <v>724</v>
      </c>
      <c r="ED447" s="15">
        <v>2.0</v>
      </c>
      <c r="EE447" s="15">
        <v>4.0</v>
      </c>
      <c r="EG447" s="15" t="s">
        <v>444</v>
      </c>
      <c r="EH447" s="15" t="s">
        <v>5414</v>
      </c>
      <c r="EI447" s="15">
        <v>0.0</v>
      </c>
      <c r="EJ447" s="15" t="s">
        <v>588</v>
      </c>
      <c r="EK447" s="15" t="s">
        <v>589</v>
      </c>
      <c r="EL447" s="15" t="s">
        <v>2384</v>
      </c>
      <c r="EM447" s="15" t="str">
        <f>IFERROR(__xludf.DUMMYFUNCTION("""COMPUTED_VALUE"""),"{""value"":24.50,""unit"":""in""}")</f>
        <v>{"value":24.50,"unit":"in"}</v>
      </c>
      <c r="EN447" s="15" t="s">
        <v>762</v>
      </c>
      <c r="EO447" s="15" t="s">
        <v>1575</v>
      </c>
      <c r="ES447" s="15" t="s">
        <v>3305</v>
      </c>
      <c r="ET447" s="15" t="s">
        <v>3241</v>
      </c>
      <c r="EU447" s="15" t="s">
        <v>788</v>
      </c>
      <c r="EV447" s="15" t="s">
        <v>3332</v>
      </c>
      <c r="EW447" s="15" t="s">
        <v>425</v>
      </c>
      <c r="EX447" s="15" t="s">
        <v>1994</v>
      </c>
      <c r="EY447" s="15" t="s">
        <v>5431</v>
      </c>
      <c r="EZ447" s="15" t="s">
        <v>1738</v>
      </c>
      <c r="FC447" s="15" t="s">
        <v>723</v>
      </c>
      <c r="FD447" s="15" t="s">
        <v>724</v>
      </c>
      <c r="FE447" s="15" t="s">
        <v>1289</v>
      </c>
      <c r="FF447" s="15" t="s">
        <v>3844</v>
      </c>
      <c r="FL447" s="15" t="s">
        <v>426</v>
      </c>
      <c r="FS447" s="15" t="s">
        <v>2436</v>
      </c>
    </row>
    <row r="448" ht="15.75" customHeight="1">
      <c r="A448" s="14" t="s">
        <v>391</v>
      </c>
      <c r="B448" s="15" t="s">
        <v>5432</v>
      </c>
      <c r="C448" s="16"/>
      <c r="D448" s="15" t="s">
        <v>432</v>
      </c>
      <c r="G448" s="14" t="s">
        <v>393</v>
      </c>
      <c r="H448" s="14" t="s">
        <v>394</v>
      </c>
      <c r="I448" s="14" t="b">
        <v>1</v>
      </c>
      <c r="J448" s="14" t="s">
        <v>395</v>
      </c>
      <c r="L448" s="14" t="b">
        <v>0</v>
      </c>
      <c r="M448" s="15" t="s">
        <v>5433</v>
      </c>
      <c r="N448" s="14" t="s">
        <v>393</v>
      </c>
      <c r="O448" s="14" t="s">
        <v>393</v>
      </c>
      <c r="P448" s="15" t="s">
        <v>397</v>
      </c>
      <c r="Q448" s="15" t="s">
        <v>5422</v>
      </c>
      <c r="T448" s="14" t="b">
        <v>0</v>
      </c>
      <c r="U448" s="15" t="s">
        <v>5434</v>
      </c>
      <c r="V448" s="15" t="s">
        <v>1224</v>
      </c>
      <c r="W448" s="15" t="s">
        <v>401</v>
      </c>
      <c r="X448" s="15" t="s">
        <v>3827</v>
      </c>
      <c r="Y448" s="15">
        <v>2080.0</v>
      </c>
      <c r="AA448" s="15" t="str">
        <f>"800"</f>
        <v>800</v>
      </c>
      <c r="AB448" s="14" t="b">
        <v>1</v>
      </c>
      <c r="AC448" s="14" t="b">
        <v>1</v>
      </c>
      <c r="AD448" s="15" t="str">
        <f>"801542162993"</f>
        <v>801542162993</v>
      </c>
      <c r="AE448" s="15" t="s">
        <v>5435</v>
      </c>
      <c r="AF448" s="14" t="s">
        <v>404</v>
      </c>
      <c r="AG448" s="14" t="s">
        <v>405</v>
      </c>
      <c r="AH448" s="14" t="s">
        <v>406</v>
      </c>
      <c r="AI448" s="15">
        <v>0.0</v>
      </c>
      <c r="AL448" s="15" t="s">
        <v>5436</v>
      </c>
      <c r="AM448" s="15" t="s">
        <v>3442</v>
      </c>
      <c r="AN448" s="15" t="s">
        <v>3443</v>
      </c>
      <c r="AO448" s="15" t="s">
        <v>679</v>
      </c>
      <c r="AP448" s="15" t="s">
        <v>680</v>
      </c>
      <c r="AQ448" s="15" t="s">
        <v>517</v>
      </c>
      <c r="AR448" s="15" t="s">
        <v>518</v>
      </c>
      <c r="AS448" s="15" t="s">
        <v>3832</v>
      </c>
      <c r="AT448" s="15" t="s">
        <v>5422</v>
      </c>
      <c r="AW448" s="15" t="s">
        <v>706</v>
      </c>
      <c r="AX448" s="15" t="s">
        <v>707</v>
      </c>
      <c r="AY448" s="15" t="s">
        <v>413</v>
      </c>
      <c r="AZ448" s="15" t="b">
        <v>0</v>
      </c>
      <c r="BA448" s="15" t="s">
        <v>426</v>
      </c>
      <c r="BB448" s="15" t="b">
        <v>1</v>
      </c>
      <c r="BC448" s="15" t="s">
        <v>5437</v>
      </c>
      <c r="BD448" s="15" t="s">
        <v>3835</v>
      </c>
      <c r="BE448" s="15" t="str">
        <f t="shared" si="799"/>
        <v>1</v>
      </c>
      <c r="BF448" s="15" t="s">
        <v>5412</v>
      </c>
      <c r="BG448" s="15" t="str">
        <f>"40.5"</f>
        <v>40.5</v>
      </c>
      <c r="BH448" s="15" t="s">
        <v>2417</v>
      </c>
      <c r="BI448" s="15" t="str">
        <f t="shared" si="815"/>
        <v>45</v>
      </c>
      <c r="BJ448" s="15" t="s">
        <v>4615</v>
      </c>
      <c r="BK448" s="15" t="str">
        <f>"32.5"</f>
        <v>32.5</v>
      </c>
      <c r="BL448" s="15" t="s">
        <v>2893</v>
      </c>
      <c r="BM448" s="15" t="str">
        <f>"113.32"</f>
        <v>113.32</v>
      </c>
      <c r="BN448" s="15" t="s">
        <v>5413</v>
      </c>
      <c r="BQ448" s="15" t="s">
        <v>444</v>
      </c>
      <c r="BS448" s="15" t="s">
        <v>444</v>
      </c>
      <c r="BU448" s="15" t="s">
        <v>444</v>
      </c>
      <c r="BW448" s="15" t="s">
        <v>444</v>
      </c>
      <c r="BZ448" s="15" t="s">
        <v>444</v>
      </c>
      <c r="CB448" s="15" t="s">
        <v>444</v>
      </c>
      <c r="CD448" s="15" t="s">
        <v>444</v>
      </c>
      <c r="CF448" s="15" t="s">
        <v>444</v>
      </c>
      <c r="CI448" s="15" t="s">
        <v>444</v>
      </c>
      <c r="CK448" s="15" t="s">
        <v>444</v>
      </c>
      <c r="CM448" s="15" t="s">
        <v>444</v>
      </c>
      <c r="CO448" s="15" t="s">
        <v>444</v>
      </c>
      <c r="CP448" s="15" t="str">
        <f>"34.29"</f>
        <v>34.29</v>
      </c>
      <c r="CQ448" s="15" t="str">
        <f>"0.971"</f>
        <v>0.971</v>
      </c>
      <c r="CR448" s="15" t="s">
        <v>417</v>
      </c>
      <c r="CY448" s="15" t="s">
        <v>2839</v>
      </c>
      <c r="CZ448" s="15" t="s">
        <v>1738</v>
      </c>
      <c r="DA448" s="15" t="s">
        <v>2314</v>
      </c>
      <c r="DB448" s="15" t="s">
        <v>1995</v>
      </c>
      <c r="DC448" s="15" t="str">
        <f>IFERROR(__xludf.DUMMYFUNCTION("""COMPUTED_VALUE"""),"{""value"":24.75,""unit"":""in""}")</f>
        <v>{"value":24.75,"unit":"in"}</v>
      </c>
      <c r="DD448" s="15" t="s">
        <v>1065</v>
      </c>
      <c r="DE448" s="15" t="str">
        <f>IFERROR(__xludf.DUMMYFUNCTION("""COMPUTED_VALUE"""),"{""value"":18.00,""unit"":""in""}")</f>
        <v>{"value":18.00,"unit":"in"}</v>
      </c>
      <c r="DF448" s="15" t="s">
        <v>2314</v>
      </c>
      <c r="DG448" s="15" t="str">
        <f>IFERROR(__xludf.DUMMYFUNCTION("""COMPUTED_VALUE"""),"{""value"":29.50,""unit"":""in""}")</f>
        <v>{"value":29.50,"unit":"in"}</v>
      </c>
      <c r="DH448" s="15">
        <v>0.0</v>
      </c>
      <c r="DI448" s="15">
        <v>1.0</v>
      </c>
      <c r="DJ448" s="15" t="s">
        <v>717</v>
      </c>
      <c r="DK448" s="15" t="s">
        <v>934</v>
      </c>
      <c r="DL448" s="15" t="str">
        <f>IFERROR(__xludf.DUMMYFUNCTION("""COMPUTED_VALUE"""),"Spot clean with water-based or solvent-based cleaner. Use mild detergent or upholstery shampoo.")</f>
        <v>Spot clean with water-based or solvent-based cleaner. Use mild detergent or upholstery shampoo.</v>
      </c>
      <c r="DM448" s="15" t="s">
        <v>935</v>
      </c>
      <c r="DQ448" s="15" t="s">
        <v>1066</v>
      </c>
      <c r="DT448" s="15" t="s">
        <v>420</v>
      </c>
      <c r="DU448" s="15" t="s">
        <v>1605</v>
      </c>
      <c r="DV448" s="15">
        <v>0.0</v>
      </c>
      <c r="DZ448" s="15">
        <v>51000.0</v>
      </c>
      <c r="EA448" s="15" t="s">
        <v>470</v>
      </c>
      <c r="EB448" s="15" t="s">
        <v>723</v>
      </c>
      <c r="EC448" s="15" t="s">
        <v>724</v>
      </c>
      <c r="ED448" s="15">
        <v>1.0</v>
      </c>
      <c r="EE448" s="15">
        <v>1.0</v>
      </c>
      <c r="EG448" s="15" t="s">
        <v>444</v>
      </c>
      <c r="EH448" s="15" t="s">
        <v>5414</v>
      </c>
      <c r="EI448" s="15">
        <v>0.0</v>
      </c>
      <c r="EJ448" s="15" t="s">
        <v>726</v>
      </c>
      <c r="EK448" s="15" t="s">
        <v>727</v>
      </c>
      <c r="EL448" s="15" t="s">
        <v>2384</v>
      </c>
      <c r="EM448" s="15" t="str">
        <f>IFERROR(__xludf.DUMMYFUNCTION("""COMPUTED_VALUE"""),"{""value"":24.50,""unit"":""in""}")</f>
        <v>{"value":24.50,"unit":"in"}</v>
      </c>
      <c r="EN448" s="15" t="s">
        <v>762</v>
      </c>
      <c r="EO448" s="15" t="s">
        <v>1575</v>
      </c>
      <c r="ES448" s="15" t="s">
        <v>3305</v>
      </c>
      <c r="ET448" s="15" t="s">
        <v>3241</v>
      </c>
      <c r="EU448" s="15" t="s">
        <v>788</v>
      </c>
      <c r="EV448" s="15" t="s">
        <v>2314</v>
      </c>
      <c r="EW448" s="15" t="s">
        <v>3545</v>
      </c>
      <c r="EZ448" s="15" t="s">
        <v>1738</v>
      </c>
      <c r="FC448" s="15" t="s">
        <v>723</v>
      </c>
      <c r="FD448" s="15" t="s">
        <v>724</v>
      </c>
      <c r="FE448" s="15" t="s">
        <v>1289</v>
      </c>
      <c r="FF448" s="15" t="s">
        <v>3844</v>
      </c>
      <c r="FQ448" s="15">
        <v>0.0</v>
      </c>
      <c r="FR448" s="15">
        <v>0.0</v>
      </c>
      <c r="FS448" s="15" t="s">
        <v>2436</v>
      </c>
      <c r="FT448" s="15">
        <v>0.0</v>
      </c>
      <c r="IL448" s="15" t="s">
        <v>1610</v>
      </c>
    </row>
    <row r="449" ht="15.75" customHeight="1">
      <c r="A449" s="14" t="s">
        <v>391</v>
      </c>
      <c r="B449" s="15" t="s">
        <v>5438</v>
      </c>
      <c r="C449" s="16"/>
      <c r="D449" s="15" t="s">
        <v>432</v>
      </c>
      <c r="G449" s="14" t="s">
        <v>393</v>
      </c>
      <c r="H449" s="14" t="s">
        <v>394</v>
      </c>
      <c r="I449" s="14" t="b">
        <v>1</v>
      </c>
      <c r="J449" s="14" t="s">
        <v>395</v>
      </c>
      <c r="L449" s="14" t="b">
        <v>0</v>
      </c>
      <c r="M449" s="15" t="s">
        <v>5439</v>
      </c>
      <c r="N449" s="14" t="s">
        <v>393</v>
      </c>
      <c r="O449" s="14" t="s">
        <v>393</v>
      </c>
      <c r="P449" s="15" t="s">
        <v>397</v>
      </c>
      <c r="Q449" s="15" t="s">
        <v>5440</v>
      </c>
      <c r="T449" s="14" t="b">
        <v>0</v>
      </c>
      <c r="U449" s="15" t="s">
        <v>5441</v>
      </c>
      <c r="V449" s="15" t="s">
        <v>5442</v>
      </c>
      <c r="W449" s="15" t="s">
        <v>401</v>
      </c>
      <c r="X449" s="15" t="s">
        <v>742</v>
      </c>
      <c r="Y449" s="15">
        <v>1976.0</v>
      </c>
      <c r="AA449" s="15" t="str">
        <f>"760"</f>
        <v>760</v>
      </c>
      <c r="AB449" s="14" t="b">
        <v>1</v>
      </c>
      <c r="AC449" s="14" t="b">
        <v>1</v>
      </c>
      <c r="AD449" s="15" t="str">
        <f>"198394084963"</f>
        <v>198394084963</v>
      </c>
      <c r="AE449" s="15" t="s">
        <v>5443</v>
      </c>
      <c r="AF449" s="14" t="s">
        <v>404</v>
      </c>
      <c r="AG449" s="14" t="s">
        <v>405</v>
      </c>
      <c r="AH449" s="14" t="s">
        <v>406</v>
      </c>
      <c r="AI449" s="15">
        <v>0.0</v>
      </c>
      <c r="AL449" s="15" t="s">
        <v>4955</v>
      </c>
      <c r="AM449" s="15" t="s">
        <v>2151</v>
      </c>
      <c r="AN449" s="15" t="s">
        <v>2152</v>
      </c>
      <c r="AO449" s="15" t="s">
        <v>2372</v>
      </c>
      <c r="AP449" s="15" t="s">
        <v>2373</v>
      </c>
      <c r="AQ449" s="15" t="s">
        <v>546</v>
      </c>
      <c r="AR449" s="15" t="s">
        <v>547</v>
      </c>
      <c r="AS449" s="15" t="s">
        <v>5444</v>
      </c>
      <c r="AT449" s="15" t="s">
        <v>5440</v>
      </c>
      <c r="AU449" s="15" t="s">
        <v>5445</v>
      </c>
      <c r="AW449" s="15" t="s">
        <v>548</v>
      </c>
      <c r="AX449" s="15" t="s">
        <v>549</v>
      </c>
      <c r="AY449" s="15" t="s">
        <v>413</v>
      </c>
      <c r="AZ449" s="15" t="b">
        <v>0</v>
      </c>
      <c r="BA449" s="15" t="s">
        <v>413</v>
      </c>
      <c r="BB449" s="15" t="b">
        <v>0</v>
      </c>
      <c r="BC449" s="15" t="s">
        <v>5446</v>
      </c>
      <c r="BD449" s="15" t="s">
        <v>742</v>
      </c>
      <c r="BE449" s="15" t="str">
        <f t="shared" si="799"/>
        <v>1</v>
      </c>
      <c r="BF449" s="15" t="s">
        <v>416</v>
      </c>
      <c r="BG449" s="15" t="str">
        <f t="shared" ref="BG449:BG450" si="820">"88.98"</f>
        <v>88.98</v>
      </c>
      <c r="BH449" s="15" t="s">
        <v>1752</v>
      </c>
      <c r="BI449" s="15" t="str">
        <f t="shared" ref="BI449:BI450" si="821">"9.65"</f>
        <v>9.65</v>
      </c>
      <c r="BJ449" s="15" t="s">
        <v>5182</v>
      </c>
      <c r="BK449" s="15" t="str">
        <f t="shared" ref="BK449:BK450" si="822">"43.11"</f>
        <v>43.11</v>
      </c>
      <c r="BL449" s="15" t="s">
        <v>5447</v>
      </c>
      <c r="BM449" s="15" t="str">
        <f>"187.39"</f>
        <v>187.39</v>
      </c>
      <c r="BN449" s="15" t="s">
        <v>5448</v>
      </c>
      <c r="BQ449" s="15" t="s">
        <v>444</v>
      </c>
      <c r="BS449" s="15" t="s">
        <v>444</v>
      </c>
      <c r="BU449" s="15" t="s">
        <v>444</v>
      </c>
      <c r="BW449" s="15" t="s">
        <v>444</v>
      </c>
      <c r="BZ449" s="15" t="s">
        <v>444</v>
      </c>
      <c r="CB449" s="15" t="s">
        <v>444</v>
      </c>
      <c r="CD449" s="15" t="s">
        <v>444</v>
      </c>
      <c r="CF449" s="15" t="s">
        <v>444</v>
      </c>
      <c r="CI449" s="15" t="s">
        <v>444</v>
      </c>
      <c r="CK449" s="15" t="s">
        <v>444</v>
      </c>
      <c r="CM449" s="15" t="s">
        <v>444</v>
      </c>
      <c r="CO449" s="15" t="s">
        <v>444</v>
      </c>
      <c r="CP449" s="15" t="str">
        <f t="shared" ref="CP449:CP450" si="823">"21.4"</f>
        <v>21.4</v>
      </c>
      <c r="CQ449" s="15" t="str">
        <f t="shared" ref="CQ449:CQ450" si="824">"0.606"</f>
        <v>0.606</v>
      </c>
      <c r="CR449" s="15" t="s">
        <v>497</v>
      </c>
      <c r="DC449" s="15" t="str">
        <f>IFERROR(__xludf.DUMMYFUNCTION("""COMPUTED_VALUE"""),"")</f>
        <v/>
      </c>
      <c r="DE449" s="15" t="str">
        <f>IFERROR(__xludf.DUMMYFUNCTION("""COMPUTED_VALUE"""),"")</f>
        <v/>
      </c>
      <c r="DG449" s="15" t="str">
        <f>IFERROR(__xludf.DUMMYFUNCTION("""COMPUTED_VALUE"""),"")</f>
        <v/>
      </c>
      <c r="DL449" s="15" t="str">
        <f>IFERROR(__xludf.DUMMYFUNCTION("""COMPUTED_VALUE"""),"")</f>
        <v/>
      </c>
      <c r="DM449" s="15" t="s">
        <v>444</v>
      </c>
      <c r="DN449" s="15" t="s">
        <v>419</v>
      </c>
      <c r="DO449" s="15">
        <v>0.0</v>
      </c>
      <c r="DP449" s="15" t="s">
        <v>419</v>
      </c>
      <c r="DR449" s="15">
        <v>0.0</v>
      </c>
      <c r="DT449" s="15" t="s">
        <v>1509</v>
      </c>
      <c r="DU449" s="15" t="s">
        <v>4548</v>
      </c>
      <c r="DW449" s="15">
        <v>0.0</v>
      </c>
      <c r="DX449" s="15">
        <v>0.0</v>
      </c>
      <c r="DY449" s="15">
        <v>0.0</v>
      </c>
      <c r="EE449" s="15">
        <v>12.0</v>
      </c>
      <c r="EF449" s="15" t="s">
        <v>471</v>
      </c>
      <c r="EG449" s="15" t="s">
        <v>472</v>
      </c>
      <c r="EH449" s="15" t="s">
        <v>5449</v>
      </c>
      <c r="EJ449" s="15" t="s">
        <v>424</v>
      </c>
      <c r="EK449" s="15" t="s">
        <v>446</v>
      </c>
      <c r="EM449" s="15" t="str">
        <f>IFERROR(__xludf.DUMMYFUNCTION("""COMPUTED_VALUE"""),"")</f>
        <v/>
      </c>
      <c r="EW449" s="15" t="s">
        <v>2647</v>
      </c>
      <c r="EX449" s="15" t="s">
        <v>5450</v>
      </c>
      <c r="EY449" s="15" t="s">
        <v>5451</v>
      </c>
      <c r="FH449" s="15" t="s">
        <v>3911</v>
      </c>
      <c r="FI449" s="15" t="s">
        <v>3908</v>
      </c>
      <c r="FJ449" s="15" t="s">
        <v>3911</v>
      </c>
      <c r="FK449" s="15" t="s">
        <v>1517</v>
      </c>
      <c r="FL449" s="15" t="s">
        <v>426</v>
      </c>
      <c r="FM449" s="15">
        <v>0.0</v>
      </c>
      <c r="FN449" s="15">
        <v>1.0</v>
      </c>
      <c r="FU449" s="15" t="s">
        <v>1122</v>
      </c>
      <c r="FV449" s="15" t="s">
        <v>3908</v>
      </c>
      <c r="FW449" s="15" t="s">
        <v>5452</v>
      </c>
      <c r="FX449" s="15" t="s">
        <v>559</v>
      </c>
      <c r="KP449" s="15" t="s">
        <v>5453</v>
      </c>
      <c r="KQ449" s="15" t="s">
        <v>5454</v>
      </c>
      <c r="KR449" s="15" t="s">
        <v>5455</v>
      </c>
      <c r="KS449" s="15" t="s">
        <v>4556</v>
      </c>
    </row>
    <row r="450" ht="15.75" customHeight="1">
      <c r="A450" s="14" t="s">
        <v>391</v>
      </c>
      <c r="B450" s="15" t="s">
        <v>5438</v>
      </c>
      <c r="C450" s="16"/>
      <c r="D450" s="15" t="s">
        <v>432</v>
      </c>
      <c r="G450" s="14" t="s">
        <v>393</v>
      </c>
      <c r="H450" s="14" t="s">
        <v>394</v>
      </c>
      <c r="I450" s="14" t="b">
        <v>1</v>
      </c>
      <c r="J450" s="14" t="s">
        <v>395</v>
      </c>
      <c r="L450" s="14" t="b">
        <v>0</v>
      </c>
      <c r="M450" s="15" t="s">
        <v>5456</v>
      </c>
      <c r="N450" s="14" t="s">
        <v>393</v>
      </c>
      <c r="O450" s="14" t="s">
        <v>393</v>
      </c>
      <c r="P450" s="15" t="s">
        <v>397</v>
      </c>
      <c r="Q450" s="15" t="s">
        <v>5457</v>
      </c>
      <c r="T450" s="14" t="b">
        <v>0</v>
      </c>
      <c r="U450" s="15" t="s">
        <v>5458</v>
      </c>
      <c r="V450" s="15" t="s">
        <v>5459</v>
      </c>
      <c r="W450" s="15" t="s">
        <v>401</v>
      </c>
      <c r="X450" s="15" t="s">
        <v>742</v>
      </c>
      <c r="Y450" s="15">
        <v>1534.0</v>
      </c>
      <c r="AA450" s="15" t="str">
        <f>"590"</f>
        <v>590</v>
      </c>
      <c r="AB450" s="14" t="b">
        <v>1</v>
      </c>
      <c r="AC450" s="14" t="b">
        <v>1</v>
      </c>
      <c r="AD450" s="15" t="str">
        <f>"801542387747"</f>
        <v>801542387747</v>
      </c>
      <c r="AE450" s="15" t="s">
        <v>5460</v>
      </c>
      <c r="AF450" s="14" t="s">
        <v>404</v>
      </c>
      <c r="AG450" s="14" t="s">
        <v>405</v>
      </c>
      <c r="AH450" s="14" t="s">
        <v>406</v>
      </c>
      <c r="AI450" s="15">
        <v>0.0</v>
      </c>
      <c r="AL450" s="15" t="s">
        <v>5461</v>
      </c>
      <c r="AM450" s="15" t="s">
        <v>2151</v>
      </c>
      <c r="AN450" s="15" t="s">
        <v>2152</v>
      </c>
      <c r="AO450" s="15" t="s">
        <v>2372</v>
      </c>
      <c r="AP450" s="15" t="s">
        <v>2373</v>
      </c>
      <c r="AQ450" s="15" t="s">
        <v>546</v>
      </c>
      <c r="AR450" s="15" t="s">
        <v>547</v>
      </c>
      <c r="AS450" s="15" t="s">
        <v>5444</v>
      </c>
      <c r="AT450" s="15" t="s">
        <v>5457</v>
      </c>
      <c r="AU450" s="15" t="s">
        <v>5462</v>
      </c>
      <c r="AV450" s="15" t="s">
        <v>5445</v>
      </c>
      <c r="AW450" s="15" t="s">
        <v>548</v>
      </c>
      <c r="AX450" s="15" t="s">
        <v>549</v>
      </c>
      <c r="AY450" s="15" t="s">
        <v>413</v>
      </c>
      <c r="AZ450" s="15" t="b">
        <v>0</v>
      </c>
      <c r="BA450" s="15" t="s">
        <v>413</v>
      </c>
      <c r="BB450" s="15" t="b">
        <v>0</v>
      </c>
      <c r="BC450" s="15" t="s">
        <v>5463</v>
      </c>
      <c r="BD450" s="15" t="s">
        <v>742</v>
      </c>
      <c r="BE450" s="15" t="str">
        <f t="shared" si="799"/>
        <v>1</v>
      </c>
      <c r="BF450" s="15" t="s">
        <v>416</v>
      </c>
      <c r="BG450" s="15" t="str">
        <f t="shared" si="820"/>
        <v>88.98</v>
      </c>
      <c r="BH450" s="15" t="s">
        <v>1752</v>
      </c>
      <c r="BI450" s="15" t="str">
        <f t="shared" si="821"/>
        <v>9.65</v>
      </c>
      <c r="BJ450" s="15" t="s">
        <v>5182</v>
      </c>
      <c r="BK450" s="15" t="str">
        <f t="shared" si="822"/>
        <v>43.11</v>
      </c>
      <c r="BL450" s="15" t="s">
        <v>5447</v>
      </c>
      <c r="BM450" s="15" t="str">
        <f>"157.63"</f>
        <v>157.63</v>
      </c>
      <c r="BN450" s="15" t="s">
        <v>3067</v>
      </c>
      <c r="BQ450" s="15" t="s">
        <v>444</v>
      </c>
      <c r="BS450" s="15" t="s">
        <v>444</v>
      </c>
      <c r="BU450" s="15" t="s">
        <v>444</v>
      </c>
      <c r="BW450" s="15" t="s">
        <v>444</v>
      </c>
      <c r="BZ450" s="15" t="s">
        <v>444</v>
      </c>
      <c r="CB450" s="15" t="s">
        <v>444</v>
      </c>
      <c r="CD450" s="15" t="s">
        <v>444</v>
      </c>
      <c r="CF450" s="15" t="s">
        <v>444</v>
      </c>
      <c r="CI450" s="15" t="s">
        <v>444</v>
      </c>
      <c r="CK450" s="15" t="s">
        <v>444</v>
      </c>
      <c r="CM450" s="15" t="s">
        <v>444</v>
      </c>
      <c r="CO450" s="15" t="s">
        <v>444</v>
      </c>
      <c r="CP450" s="15" t="str">
        <f t="shared" si="823"/>
        <v>21.4</v>
      </c>
      <c r="CQ450" s="15" t="str">
        <f t="shared" si="824"/>
        <v>0.606</v>
      </c>
      <c r="CR450" s="15" t="s">
        <v>497</v>
      </c>
      <c r="DC450" s="15" t="str">
        <f>IFERROR(__xludf.DUMMYFUNCTION("""COMPUTED_VALUE"""),"")</f>
        <v/>
      </c>
      <c r="DE450" s="15" t="str">
        <f>IFERROR(__xludf.DUMMYFUNCTION("""COMPUTED_VALUE"""),"")</f>
        <v/>
      </c>
      <c r="DG450" s="15" t="str">
        <f>IFERROR(__xludf.DUMMYFUNCTION("""COMPUTED_VALUE"""),"")</f>
        <v/>
      </c>
      <c r="DL450" s="15" t="str">
        <f>IFERROR(__xludf.DUMMYFUNCTION("""COMPUTED_VALUE"""),"")</f>
        <v/>
      </c>
      <c r="DM450" s="15" t="s">
        <v>444</v>
      </c>
      <c r="DN450" s="15" t="s">
        <v>419</v>
      </c>
      <c r="DO450" s="15">
        <v>0.0</v>
      </c>
      <c r="DP450" s="15" t="s">
        <v>419</v>
      </c>
      <c r="DR450" s="15">
        <v>0.0</v>
      </c>
      <c r="DT450" s="15" t="s">
        <v>1509</v>
      </c>
      <c r="DU450" s="15" t="s">
        <v>4548</v>
      </c>
      <c r="DW450" s="15">
        <v>0.0</v>
      </c>
      <c r="DX450" s="15">
        <v>0.0</v>
      </c>
      <c r="DY450" s="15">
        <v>0.0</v>
      </c>
      <c r="EE450" s="15">
        <v>12.0</v>
      </c>
      <c r="EF450" s="15" t="s">
        <v>471</v>
      </c>
      <c r="EG450" s="15" t="s">
        <v>472</v>
      </c>
      <c r="EH450" s="15" t="s">
        <v>5449</v>
      </c>
      <c r="EJ450" s="15" t="s">
        <v>424</v>
      </c>
      <c r="EK450" s="15" t="s">
        <v>446</v>
      </c>
      <c r="EM450" s="15" t="str">
        <f>IFERROR(__xludf.DUMMYFUNCTION("""COMPUTED_VALUE"""),"")</f>
        <v/>
      </c>
      <c r="EW450" s="15" t="s">
        <v>2647</v>
      </c>
      <c r="EX450" s="15" t="s">
        <v>5450</v>
      </c>
      <c r="EY450" s="15" t="s">
        <v>5451</v>
      </c>
      <c r="FH450" s="15" t="s">
        <v>3911</v>
      </c>
      <c r="FI450" s="15" t="s">
        <v>3908</v>
      </c>
      <c r="FJ450" s="15" t="s">
        <v>3911</v>
      </c>
      <c r="FK450" s="15" t="s">
        <v>1517</v>
      </c>
      <c r="FL450" s="15" t="s">
        <v>426</v>
      </c>
      <c r="FM450" s="15">
        <v>0.0</v>
      </c>
      <c r="FN450" s="15">
        <v>1.0</v>
      </c>
      <c r="FU450" s="15" t="s">
        <v>1122</v>
      </c>
      <c r="FV450" s="15" t="s">
        <v>3908</v>
      </c>
      <c r="FW450" s="15" t="s">
        <v>5452</v>
      </c>
      <c r="FX450" s="15" t="s">
        <v>559</v>
      </c>
      <c r="KP450" s="15" t="s">
        <v>5453</v>
      </c>
      <c r="KQ450" s="15" t="s">
        <v>5454</v>
      </c>
      <c r="KR450" s="15" t="s">
        <v>5455</v>
      </c>
      <c r="KS450" s="15" t="s">
        <v>4556</v>
      </c>
    </row>
    <row r="451" ht="15.75" customHeight="1">
      <c r="A451" s="14" t="s">
        <v>391</v>
      </c>
      <c r="B451" s="15" t="s">
        <v>5464</v>
      </c>
      <c r="C451" s="16"/>
      <c r="D451" s="15" t="s">
        <v>432</v>
      </c>
      <c r="G451" s="14" t="s">
        <v>393</v>
      </c>
      <c r="H451" s="14" t="s">
        <v>394</v>
      </c>
      <c r="I451" s="14" t="b">
        <v>1</v>
      </c>
      <c r="J451" s="14" t="s">
        <v>395</v>
      </c>
      <c r="L451" s="14" t="b">
        <v>0</v>
      </c>
      <c r="M451" s="15" t="s">
        <v>5465</v>
      </c>
      <c r="N451" s="14" t="s">
        <v>393</v>
      </c>
      <c r="O451" s="14" t="s">
        <v>393</v>
      </c>
      <c r="P451" s="15" t="s">
        <v>397</v>
      </c>
      <c r="Q451" s="15" t="s">
        <v>4832</v>
      </c>
      <c r="T451" s="14" t="b">
        <v>0</v>
      </c>
      <c r="U451" s="15" t="s">
        <v>5466</v>
      </c>
      <c r="V451" s="15" t="s">
        <v>1148</v>
      </c>
      <c r="W451" s="15" t="s">
        <v>401</v>
      </c>
      <c r="X451" s="15" t="s">
        <v>742</v>
      </c>
      <c r="Y451" s="15">
        <v>1430.0</v>
      </c>
      <c r="AA451" s="15" t="str">
        <f>"550"</f>
        <v>550</v>
      </c>
      <c r="AB451" s="14" t="b">
        <v>1</v>
      </c>
      <c r="AC451" s="14" t="b">
        <v>1</v>
      </c>
      <c r="AD451" s="15" t="str">
        <f>"801542724269"</f>
        <v>801542724269</v>
      </c>
      <c r="AE451" s="15" t="s">
        <v>5467</v>
      </c>
      <c r="AF451" s="14" t="s">
        <v>404</v>
      </c>
      <c r="AG451" s="14" t="s">
        <v>405</v>
      </c>
      <c r="AH451" s="14" t="s">
        <v>406</v>
      </c>
      <c r="AI451" s="15">
        <v>0.0</v>
      </c>
      <c r="AL451" s="15" t="s">
        <v>5468</v>
      </c>
      <c r="AM451" s="15" t="s">
        <v>749</v>
      </c>
      <c r="AN451" s="15" t="s">
        <v>750</v>
      </c>
      <c r="AO451" s="15" t="s">
        <v>1028</v>
      </c>
      <c r="AP451" s="15" t="s">
        <v>1029</v>
      </c>
      <c r="AQ451" s="15" t="s">
        <v>1399</v>
      </c>
      <c r="AR451" s="15" t="s">
        <v>1400</v>
      </c>
      <c r="AS451" s="15" t="s">
        <v>1539</v>
      </c>
      <c r="AT451" s="15" t="s">
        <v>4832</v>
      </c>
      <c r="AU451" s="15" t="s">
        <v>5469</v>
      </c>
      <c r="AV451" s="15" t="s">
        <v>5470</v>
      </c>
      <c r="AW451" s="15" t="s">
        <v>706</v>
      </c>
      <c r="AX451" s="15" t="s">
        <v>707</v>
      </c>
      <c r="AY451" s="15" t="s">
        <v>413</v>
      </c>
      <c r="AZ451" s="15" t="b">
        <v>0</v>
      </c>
      <c r="BA451" s="15" t="s">
        <v>426</v>
      </c>
      <c r="BB451" s="15" t="b">
        <v>1</v>
      </c>
      <c r="BC451" s="15" t="s">
        <v>5471</v>
      </c>
      <c r="BD451" s="15" t="s">
        <v>742</v>
      </c>
      <c r="BE451" s="15" t="str">
        <f t="shared" si="799"/>
        <v>1</v>
      </c>
      <c r="BF451" s="15" t="s">
        <v>416</v>
      </c>
      <c r="BG451" s="15" t="str">
        <f t="shared" ref="BG451:BG453" si="825">"37.6"</f>
        <v>37.6</v>
      </c>
      <c r="BH451" s="15" t="s">
        <v>5472</v>
      </c>
      <c r="BI451" s="15" t="str">
        <f t="shared" ref="BI451:BI453" si="826">"33.27"</f>
        <v>33.27</v>
      </c>
      <c r="BJ451" s="15" t="s">
        <v>3223</v>
      </c>
      <c r="BK451" s="15" t="str">
        <f t="shared" ref="BK451:BK453" si="827">"27.36"</f>
        <v>27.36</v>
      </c>
      <c r="BL451" s="15" t="s">
        <v>2065</v>
      </c>
      <c r="BM451" s="15" t="str">
        <f t="shared" ref="BM451:BM453" si="828">"52.25"</f>
        <v>52.25</v>
      </c>
      <c r="BN451" s="15" t="s">
        <v>5473</v>
      </c>
      <c r="BQ451" s="15" t="s">
        <v>444</v>
      </c>
      <c r="BS451" s="15" t="s">
        <v>444</v>
      </c>
      <c r="BU451" s="15" t="s">
        <v>444</v>
      </c>
      <c r="BW451" s="15" t="s">
        <v>444</v>
      </c>
      <c r="BZ451" s="15" t="s">
        <v>444</v>
      </c>
      <c r="CB451" s="15" t="s">
        <v>444</v>
      </c>
      <c r="CD451" s="15" t="s">
        <v>444</v>
      </c>
      <c r="CF451" s="15" t="s">
        <v>444</v>
      </c>
      <c r="CI451" s="15" t="s">
        <v>444</v>
      </c>
      <c r="CK451" s="15" t="s">
        <v>444</v>
      </c>
      <c r="CM451" s="15" t="s">
        <v>444</v>
      </c>
      <c r="CO451" s="15" t="s">
        <v>444</v>
      </c>
      <c r="CP451" s="15" t="str">
        <f t="shared" ref="CP451:CP453" si="829">"19.81"</f>
        <v>19.81</v>
      </c>
      <c r="CQ451" s="15" t="str">
        <f t="shared" ref="CQ451:CQ453" si="830">"0.561"</f>
        <v>0.561</v>
      </c>
      <c r="CR451" s="15" t="s">
        <v>465</v>
      </c>
      <c r="CY451" s="15" t="s">
        <v>2017</v>
      </c>
      <c r="CZ451" s="15" t="s">
        <v>5474</v>
      </c>
      <c r="DA451" s="15" t="s">
        <v>4987</v>
      </c>
      <c r="DB451" s="15" t="s">
        <v>1074</v>
      </c>
      <c r="DC451" s="15" t="str">
        <f>IFERROR(__xludf.DUMMYFUNCTION("""COMPUTED_VALUE"""),"{""value"":22.05,""unit"":""in""}")</f>
        <v>{"value":22.05,"unit":"in"}</v>
      </c>
      <c r="DD451" s="15" t="s">
        <v>4568</v>
      </c>
      <c r="DE451" s="15" t="str">
        <f>IFERROR(__xludf.DUMMYFUNCTION("""COMPUTED_VALUE"""),"{""value"":18.31,""unit"":""in""}")</f>
        <v>{"value":18.31,"unit":"in"}</v>
      </c>
      <c r="DF451" s="15" t="s">
        <v>1068</v>
      </c>
      <c r="DG451" s="15" t="str">
        <f>IFERROR(__xludf.DUMMYFUNCTION("""COMPUTED_VALUE"""),"{""value"":24.80,""unit"":""in""}")</f>
        <v>{"value":24.80,"unit":"in"}</v>
      </c>
      <c r="DH451" s="15">
        <v>0.0</v>
      </c>
      <c r="DI451" s="15">
        <v>1.0</v>
      </c>
      <c r="DJ451" s="15" t="s">
        <v>717</v>
      </c>
      <c r="DK451" s="15" t="s">
        <v>855</v>
      </c>
      <c r="DL451" s="15" t="str">
        <f>IFERROR(__xludf.DUMMYFUNCTION("""COMPUTED_VALUE"""),"Clean with solvent-based (dry clean only) products. Do not use water.")</f>
        <v>Clean with solvent-based (dry clean only) products. Do not use water.</v>
      </c>
      <c r="DM451" s="15" t="s">
        <v>856</v>
      </c>
      <c r="DQ451" s="15" t="s">
        <v>5475</v>
      </c>
      <c r="DR451" s="15" t="s">
        <v>5476</v>
      </c>
      <c r="DS451" s="15" t="s">
        <v>5477</v>
      </c>
      <c r="DV451" s="15" t="s">
        <v>721</v>
      </c>
      <c r="DW451" s="15" t="s">
        <v>419</v>
      </c>
      <c r="DX451" s="15">
        <v>0.0</v>
      </c>
      <c r="EB451" s="15">
        <v>25000.0</v>
      </c>
      <c r="EC451" s="15" t="s">
        <v>3384</v>
      </c>
      <c r="ED451" s="15" t="s">
        <v>2927</v>
      </c>
      <c r="EE451" s="15" t="s">
        <v>724</v>
      </c>
      <c r="EF451" s="15">
        <v>1.0</v>
      </c>
      <c r="EG451" s="15" t="s">
        <v>5478</v>
      </c>
      <c r="EH451" s="15">
        <v>1.0</v>
      </c>
      <c r="EJ451" s="15" t="s">
        <v>5479</v>
      </c>
      <c r="EK451" s="15" t="s">
        <v>5480</v>
      </c>
      <c r="EL451" s="15">
        <v>0.0</v>
      </c>
      <c r="EM451" s="15" t="str">
        <f>IFERROR(__xludf.DUMMYFUNCTION("""COMPUTED_VALUE"""),"#VALUE!")</f>
        <v>#VALUE!</v>
      </c>
      <c r="EN451" s="15" t="s">
        <v>726</v>
      </c>
      <c r="EO451" s="15" t="s">
        <v>4201</v>
      </c>
      <c r="EP451" s="15" t="s">
        <v>5481</v>
      </c>
      <c r="EQ451" s="15" t="s">
        <v>4028</v>
      </c>
      <c r="EU451" s="15" t="s">
        <v>2050</v>
      </c>
      <c r="EV451" s="15" t="s">
        <v>870</v>
      </c>
      <c r="EW451" s="15" t="s">
        <v>2020</v>
      </c>
      <c r="EX451" s="15" t="s">
        <v>3858</v>
      </c>
      <c r="EY451" s="15" t="s">
        <v>5482</v>
      </c>
      <c r="EZ451" s="15" t="s">
        <v>4987</v>
      </c>
      <c r="FA451" s="15" t="s">
        <v>3858</v>
      </c>
      <c r="FB451" s="15" t="s">
        <v>2020</v>
      </c>
      <c r="FE451" s="15" t="s">
        <v>723</v>
      </c>
      <c r="FF451" s="15" t="s">
        <v>724</v>
      </c>
      <c r="FG451" s="15" t="s">
        <v>5483</v>
      </c>
      <c r="FH451" s="15" t="s">
        <v>860</v>
      </c>
      <c r="FQ451" s="15" t="s">
        <v>1068</v>
      </c>
      <c r="FR451" s="15" t="s">
        <v>4987</v>
      </c>
      <c r="FS451" s="15">
        <v>0.0</v>
      </c>
      <c r="FT451" s="15">
        <v>0.0</v>
      </c>
      <c r="FV451" s="15">
        <v>0.0</v>
      </c>
    </row>
    <row r="452" ht="15.75" customHeight="1">
      <c r="A452" s="14" t="s">
        <v>391</v>
      </c>
      <c r="B452" s="15" t="s">
        <v>5464</v>
      </c>
      <c r="C452" s="16"/>
      <c r="D452" s="15" t="s">
        <v>432</v>
      </c>
      <c r="G452" s="14" t="s">
        <v>393</v>
      </c>
      <c r="H452" s="14" t="s">
        <v>394</v>
      </c>
      <c r="I452" s="14" t="b">
        <v>1</v>
      </c>
      <c r="J452" s="14" t="s">
        <v>395</v>
      </c>
      <c r="L452" s="14" t="b">
        <v>0</v>
      </c>
      <c r="M452" s="15" t="s">
        <v>5484</v>
      </c>
      <c r="N452" s="14" t="s">
        <v>393</v>
      </c>
      <c r="O452" s="14" t="s">
        <v>393</v>
      </c>
      <c r="P452" s="15" t="s">
        <v>397</v>
      </c>
      <c r="Q452" s="15" t="s">
        <v>3262</v>
      </c>
      <c r="T452" s="14" t="b">
        <v>0</v>
      </c>
      <c r="U452" s="15" t="s">
        <v>5485</v>
      </c>
      <c r="V452" s="15" t="s">
        <v>1148</v>
      </c>
      <c r="W452" s="15" t="s">
        <v>401</v>
      </c>
      <c r="X452" s="15" t="s">
        <v>742</v>
      </c>
      <c r="Y452" s="15">
        <v>2405.0</v>
      </c>
      <c r="AA452" s="15" t="str">
        <f>"925"</f>
        <v>925</v>
      </c>
      <c r="AB452" s="14" t="b">
        <v>1</v>
      </c>
      <c r="AC452" s="14" t="b">
        <v>1</v>
      </c>
      <c r="AD452" s="15" t="str">
        <f>"801542761899"</f>
        <v>801542761899</v>
      </c>
      <c r="AE452" s="15" t="s">
        <v>5486</v>
      </c>
      <c r="AF452" s="14" t="s">
        <v>404</v>
      </c>
      <c r="AG452" s="14" t="s">
        <v>405</v>
      </c>
      <c r="AH452" s="14" t="s">
        <v>406</v>
      </c>
      <c r="AI452" s="15">
        <v>0.0</v>
      </c>
      <c r="AL452" s="15" t="s">
        <v>5487</v>
      </c>
      <c r="AM452" s="15" t="s">
        <v>749</v>
      </c>
      <c r="AN452" s="15" t="s">
        <v>750</v>
      </c>
      <c r="AO452" s="15" t="s">
        <v>1028</v>
      </c>
      <c r="AP452" s="15" t="s">
        <v>1029</v>
      </c>
      <c r="AQ452" s="15" t="s">
        <v>1399</v>
      </c>
      <c r="AR452" s="15" t="s">
        <v>1400</v>
      </c>
      <c r="AS452" s="15" t="s">
        <v>1539</v>
      </c>
      <c r="AT452" s="15" t="s">
        <v>3262</v>
      </c>
      <c r="AU452" s="15" t="s">
        <v>4488</v>
      </c>
      <c r="AV452" s="15" t="s">
        <v>5470</v>
      </c>
      <c r="AW452" s="15" t="s">
        <v>706</v>
      </c>
      <c r="AX452" s="15" t="s">
        <v>707</v>
      </c>
      <c r="AY452" s="15" t="s">
        <v>413</v>
      </c>
      <c r="AZ452" s="15" t="b">
        <v>0</v>
      </c>
      <c r="BA452" s="15" t="s">
        <v>413</v>
      </c>
      <c r="BB452" s="15" t="b">
        <v>0</v>
      </c>
      <c r="BC452" s="15" t="s">
        <v>5488</v>
      </c>
      <c r="BD452" s="15" t="s">
        <v>742</v>
      </c>
      <c r="BE452" s="15" t="str">
        <f t="shared" si="799"/>
        <v>1</v>
      </c>
      <c r="BF452" s="15" t="s">
        <v>4490</v>
      </c>
      <c r="BG452" s="15" t="str">
        <f t="shared" si="825"/>
        <v>37.6</v>
      </c>
      <c r="BH452" s="15" t="s">
        <v>5472</v>
      </c>
      <c r="BI452" s="15" t="str">
        <f t="shared" si="826"/>
        <v>33.27</v>
      </c>
      <c r="BJ452" s="15" t="s">
        <v>3223</v>
      </c>
      <c r="BK452" s="15" t="str">
        <f t="shared" si="827"/>
        <v>27.36</v>
      </c>
      <c r="BL452" s="15" t="s">
        <v>2065</v>
      </c>
      <c r="BM452" s="15" t="str">
        <f t="shared" si="828"/>
        <v>52.25</v>
      </c>
      <c r="BN452" s="15" t="s">
        <v>5473</v>
      </c>
      <c r="BQ452" s="15" t="s">
        <v>444</v>
      </c>
      <c r="BS452" s="15" t="s">
        <v>444</v>
      </c>
      <c r="BU452" s="15" t="s">
        <v>444</v>
      </c>
      <c r="BW452" s="15" t="s">
        <v>444</v>
      </c>
      <c r="BZ452" s="15" t="s">
        <v>444</v>
      </c>
      <c r="CB452" s="15" t="s">
        <v>444</v>
      </c>
      <c r="CD452" s="15" t="s">
        <v>444</v>
      </c>
      <c r="CF452" s="15" t="s">
        <v>444</v>
      </c>
      <c r="CI452" s="15" t="s">
        <v>444</v>
      </c>
      <c r="CK452" s="15" t="s">
        <v>444</v>
      </c>
      <c r="CM452" s="15" t="s">
        <v>444</v>
      </c>
      <c r="CO452" s="15" t="s">
        <v>444</v>
      </c>
      <c r="CP452" s="15" t="str">
        <f t="shared" si="829"/>
        <v>19.81</v>
      </c>
      <c r="CQ452" s="15" t="str">
        <f t="shared" si="830"/>
        <v>0.561</v>
      </c>
      <c r="CR452" s="15" t="s">
        <v>497</v>
      </c>
      <c r="CY452" s="15" t="s">
        <v>2017</v>
      </c>
      <c r="CZ452" s="15" t="s">
        <v>5474</v>
      </c>
      <c r="DA452" s="15" t="s">
        <v>4987</v>
      </c>
      <c r="DB452" s="15" t="s">
        <v>1074</v>
      </c>
      <c r="DC452" s="15" t="str">
        <f>IFERROR(__xludf.DUMMYFUNCTION("""COMPUTED_VALUE"""),"{""value"":22.05,""unit"":""in""}")</f>
        <v>{"value":22.05,"unit":"in"}</v>
      </c>
      <c r="DD452" s="15" t="s">
        <v>4568</v>
      </c>
      <c r="DE452" s="15" t="str">
        <f>IFERROR(__xludf.DUMMYFUNCTION("""COMPUTED_VALUE"""),"{""value"":18.31,""unit"":""in""}")</f>
        <v>{"value":18.31,"unit":"in"}</v>
      </c>
      <c r="DF452" s="15" t="s">
        <v>1068</v>
      </c>
      <c r="DG452" s="15" t="str">
        <f>IFERROR(__xludf.DUMMYFUNCTION("""COMPUTED_VALUE"""),"{""value"":24.80,""unit"":""in""}")</f>
        <v>{"value":24.80,"unit":"in"}</v>
      </c>
      <c r="DH452" s="15">
        <v>0.0</v>
      </c>
      <c r="DI452" s="15">
        <v>1.0</v>
      </c>
      <c r="DJ452" s="15" t="s">
        <v>717</v>
      </c>
      <c r="DK452" s="15" t="s">
        <v>718</v>
      </c>
      <c r="DL452" s="15" t="str">
        <f>IFERROR(__xludf.DUMMYFUNCTION("""COMPUTED_VALUE"""),"Vacuum or light brush only. Do not use water or any cleaning products.")</f>
        <v>Vacuum or light brush only. Do not use water or any cleaning products.</v>
      </c>
      <c r="DM452" s="15" t="s">
        <v>719</v>
      </c>
      <c r="DQ452" s="15" t="s">
        <v>5475</v>
      </c>
      <c r="DR452" s="15" t="s">
        <v>5476</v>
      </c>
      <c r="DS452" s="15" t="s">
        <v>5477</v>
      </c>
      <c r="DV452" s="15" t="s">
        <v>721</v>
      </c>
      <c r="DW452" s="15" t="s">
        <v>419</v>
      </c>
      <c r="DX452" s="15">
        <v>0.0</v>
      </c>
      <c r="EB452" s="15">
        <v>0.0</v>
      </c>
      <c r="EC452" s="15" t="s">
        <v>3384</v>
      </c>
      <c r="ED452" s="15" t="s">
        <v>2927</v>
      </c>
      <c r="EE452" s="15" t="s">
        <v>724</v>
      </c>
      <c r="EF452" s="15">
        <v>1.0</v>
      </c>
      <c r="EG452" s="15" t="s">
        <v>5478</v>
      </c>
      <c r="EH452" s="15">
        <v>1.0</v>
      </c>
      <c r="EJ452" s="15" t="s">
        <v>5479</v>
      </c>
      <c r="EK452" s="15" t="s">
        <v>5480</v>
      </c>
      <c r="EL452" s="15">
        <v>0.0</v>
      </c>
      <c r="EM452" s="15" t="str">
        <f>IFERROR(__xludf.DUMMYFUNCTION("""COMPUTED_VALUE"""),"#VALUE!")</f>
        <v>#VALUE!</v>
      </c>
      <c r="EN452" s="15" t="s">
        <v>726</v>
      </c>
      <c r="EO452" s="15" t="s">
        <v>4201</v>
      </c>
      <c r="EP452" s="15" t="s">
        <v>5481</v>
      </c>
      <c r="EQ452" s="15" t="s">
        <v>4028</v>
      </c>
      <c r="EU452" s="15" t="s">
        <v>2050</v>
      </c>
      <c r="EV452" s="15" t="s">
        <v>870</v>
      </c>
      <c r="EW452" s="15" t="s">
        <v>2020</v>
      </c>
      <c r="EX452" s="15" t="s">
        <v>3858</v>
      </c>
      <c r="EY452" s="15" t="s">
        <v>5482</v>
      </c>
      <c r="EZ452" s="15" t="s">
        <v>4987</v>
      </c>
      <c r="FA452" s="15" t="s">
        <v>3858</v>
      </c>
      <c r="FB452" s="15" t="s">
        <v>2020</v>
      </c>
      <c r="FE452" s="15" t="s">
        <v>723</v>
      </c>
      <c r="FF452" s="15" t="s">
        <v>724</v>
      </c>
      <c r="FG452" s="15" t="s">
        <v>5483</v>
      </c>
      <c r="FH452" s="15" t="s">
        <v>860</v>
      </c>
      <c r="FQ452" s="15" t="s">
        <v>1068</v>
      </c>
      <c r="FR452" s="15" t="s">
        <v>4987</v>
      </c>
      <c r="FS452" s="15">
        <v>0.0</v>
      </c>
      <c r="FT452" s="15">
        <v>0.0</v>
      </c>
      <c r="FV452" s="15">
        <v>0.0</v>
      </c>
    </row>
    <row r="453" ht="15.75" customHeight="1">
      <c r="A453" s="14" t="s">
        <v>391</v>
      </c>
      <c r="B453" s="15" t="s">
        <v>5464</v>
      </c>
      <c r="C453" s="16"/>
      <c r="D453" s="15" t="s">
        <v>432</v>
      </c>
      <c r="G453" s="14" t="s">
        <v>393</v>
      </c>
      <c r="H453" s="14" t="s">
        <v>394</v>
      </c>
      <c r="I453" s="14" t="b">
        <v>1</v>
      </c>
      <c r="J453" s="14" t="s">
        <v>395</v>
      </c>
      <c r="L453" s="14" t="b">
        <v>0</v>
      </c>
      <c r="M453" s="15" t="s">
        <v>5489</v>
      </c>
      <c r="N453" s="14" t="s">
        <v>393</v>
      </c>
      <c r="O453" s="14" t="s">
        <v>393</v>
      </c>
      <c r="P453" s="15" t="s">
        <v>397</v>
      </c>
      <c r="Q453" s="15" t="s">
        <v>5490</v>
      </c>
      <c r="T453" s="14" t="b">
        <v>0</v>
      </c>
      <c r="U453" s="15" t="s">
        <v>5491</v>
      </c>
      <c r="V453" s="15" t="s">
        <v>1148</v>
      </c>
      <c r="W453" s="15" t="s">
        <v>401</v>
      </c>
      <c r="X453" s="15" t="s">
        <v>742</v>
      </c>
      <c r="Y453" s="15">
        <v>1430.0</v>
      </c>
      <c r="AA453" s="15" t="str">
        <f>"550"</f>
        <v>550</v>
      </c>
      <c r="AB453" s="14" t="b">
        <v>1</v>
      </c>
      <c r="AC453" s="14" t="b">
        <v>1</v>
      </c>
      <c r="AD453" s="15" t="str">
        <f>"801542619992"</f>
        <v>801542619992</v>
      </c>
      <c r="AE453" s="15" t="s">
        <v>5492</v>
      </c>
      <c r="AF453" s="14" t="s">
        <v>404</v>
      </c>
      <c r="AG453" s="14" t="s">
        <v>405</v>
      </c>
      <c r="AH453" s="14" t="s">
        <v>406</v>
      </c>
      <c r="AI453" s="15">
        <v>0.0</v>
      </c>
      <c r="AL453" s="15" t="s">
        <v>5493</v>
      </c>
      <c r="AM453" s="15" t="s">
        <v>749</v>
      </c>
      <c r="AN453" s="15" t="s">
        <v>750</v>
      </c>
      <c r="AO453" s="15" t="s">
        <v>1028</v>
      </c>
      <c r="AP453" s="15" t="s">
        <v>1029</v>
      </c>
      <c r="AQ453" s="15" t="s">
        <v>1399</v>
      </c>
      <c r="AR453" s="15" t="s">
        <v>1400</v>
      </c>
      <c r="AS453" s="15" t="s">
        <v>1539</v>
      </c>
      <c r="AT453" s="15" t="s">
        <v>5490</v>
      </c>
      <c r="AU453" s="15" t="s">
        <v>5494</v>
      </c>
      <c r="AV453" s="15" t="s">
        <v>5470</v>
      </c>
      <c r="AW453" s="15" t="s">
        <v>706</v>
      </c>
      <c r="AX453" s="15" t="s">
        <v>707</v>
      </c>
      <c r="AY453" s="15" t="s">
        <v>413</v>
      </c>
      <c r="AZ453" s="15" t="b">
        <v>0</v>
      </c>
      <c r="BA453" s="15" t="s">
        <v>413</v>
      </c>
      <c r="BB453" s="15" t="b">
        <v>0</v>
      </c>
      <c r="BC453" s="15" t="s">
        <v>5495</v>
      </c>
      <c r="BD453" s="15" t="s">
        <v>742</v>
      </c>
      <c r="BE453" s="15" t="str">
        <f t="shared" si="799"/>
        <v>1</v>
      </c>
      <c r="BF453" s="15" t="s">
        <v>4490</v>
      </c>
      <c r="BG453" s="15" t="str">
        <f t="shared" si="825"/>
        <v>37.6</v>
      </c>
      <c r="BH453" s="15" t="s">
        <v>5472</v>
      </c>
      <c r="BI453" s="15" t="str">
        <f t="shared" si="826"/>
        <v>33.27</v>
      </c>
      <c r="BJ453" s="15" t="s">
        <v>3223</v>
      </c>
      <c r="BK453" s="15" t="str">
        <f t="shared" si="827"/>
        <v>27.36</v>
      </c>
      <c r="BL453" s="15" t="s">
        <v>2065</v>
      </c>
      <c r="BM453" s="15" t="str">
        <f t="shared" si="828"/>
        <v>52.25</v>
      </c>
      <c r="BN453" s="15" t="s">
        <v>5473</v>
      </c>
      <c r="BQ453" s="15" t="s">
        <v>444</v>
      </c>
      <c r="BS453" s="15" t="s">
        <v>444</v>
      </c>
      <c r="BU453" s="15" t="s">
        <v>444</v>
      </c>
      <c r="BW453" s="15" t="s">
        <v>444</v>
      </c>
      <c r="BZ453" s="15" t="s">
        <v>444</v>
      </c>
      <c r="CB453" s="15" t="s">
        <v>444</v>
      </c>
      <c r="CD453" s="15" t="s">
        <v>444</v>
      </c>
      <c r="CF453" s="15" t="s">
        <v>444</v>
      </c>
      <c r="CI453" s="15" t="s">
        <v>444</v>
      </c>
      <c r="CK453" s="15" t="s">
        <v>444</v>
      </c>
      <c r="CM453" s="15" t="s">
        <v>444</v>
      </c>
      <c r="CO453" s="15" t="s">
        <v>444</v>
      </c>
      <c r="CP453" s="15" t="str">
        <f t="shared" si="829"/>
        <v>19.81</v>
      </c>
      <c r="CQ453" s="15" t="str">
        <f t="shared" si="830"/>
        <v>0.561</v>
      </c>
      <c r="CR453" s="15" t="s">
        <v>465</v>
      </c>
      <c r="CY453" s="15" t="s">
        <v>2017</v>
      </c>
      <c r="CZ453" s="15" t="s">
        <v>5474</v>
      </c>
      <c r="DA453" s="15" t="s">
        <v>4987</v>
      </c>
      <c r="DB453" s="15" t="s">
        <v>1074</v>
      </c>
      <c r="DC453" s="15" t="str">
        <f>IFERROR(__xludf.DUMMYFUNCTION("""COMPUTED_VALUE"""),"{""value"":22.05,""unit"":""in""}")</f>
        <v>{"value":22.05,"unit":"in"}</v>
      </c>
      <c r="DD453" s="15" t="s">
        <v>4568</v>
      </c>
      <c r="DE453" s="15" t="str">
        <f>IFERROR(__xludf.DUMMYFUNCTION("""COMPUTED_VALUE"""),"{""value"":18.31,""unit"":""in""}")</f>
        <v>{"value":18.31,"unit":"in"}</v>
      </c>
      <c r="DF453" s="15" t="s">
        <v>1068</v>
      </c>
      <c r="DG453" s="15" t="str">
        <f>IFERROR(__xludf.DUMMYFUNCTION("""COMPUTED_VALUE"""),"{""value"":24.80,""unit"":""in""}")</f>
        <v>{"value":24.80,"unit":"in"}</v>
      </c>
      <c r="DH453" s="15">
        <v>0.0</v>
      </c>
      <c r="DI453" s="15">
        <v>1.0</v>
      </c>
      <c r="DJ453" s="15" t="s">
        <v>717</v>
      </c>
      <c r="DK453" s="15" t="s">
        <v>1837</v>
      </c>
      <c r="DL453" s="15" t="str">
        <f>IFERROR(__xludf.DUMMYFUNCTION("""COMPUTED_VALUE"""),"Dry clean only. Professional cleaning recommended.")</f>
        <v>Dry clean only. Professional cleaning recommended.</v>
      </c>
      <c r="DM453" s="15" t="s">
        <v>1838</v>
      </c>
      <c r="DQ453" s="15" t="s">
        <v>5475</v>
      </c>
      <c r="DR453" s="15" t="s">
        <v>5476</v>
      </c>
      <c r="DS453" s="15" t="s">
        <v>5477</v>
      </c>
      <c r="DV453" s="15" t="s">
        <v>721</v>
      </c>
      <c r="DW453" s="15" t="s">
        <v>419</v>
      </c>
      <c r="DX453" s="15">
        <v>0.0</v>
      </c>
      <c r="EB453" s="15">
        <v>89000.0</v>
      </c>
      <c r="EC453" s="15" t="s">
        <v>3384</v>
      </c>
      <c r="ED453" s="15" t="s">
        <v>2927</v>
      </c>
      <c r="EE453" s="15" t="s">
        <v>724</v>
      </c>
      <c r="EF453" s="15">
        <v>1.0</v>
      </c>
      <c r="EG453" s="15" t="s">
        <v>5478</v>
      </c>
      <c r="EH453" s="15">
        <v>1.0</v>
      </c>
      <c r="EJ453" s="15" t="s">
        <v>5479</v>
      </c>
      <c r="EK453" s="15" t="s">
        <v>5480</v>
      </c>
      <c r="EL453" s="15">
        <v>0.0</v>
      </c>
      <c r="EM453" s="15" t="str">
        <f>IFERROR(__xludf.DUMMYFUNCTION("""COMPUTED_VALUE"""),"#VALUE!")</f>
        <v>#VALUE!</v>
      </c>
      <c r="EN453" s="15" t="s">
        <v>726</v>
      </c>
      <c r="EO453" s="15" t="s">
        <v>4201</v>
      </c>
      <c r="EP453" s="15" t="s">
        <v>5481</v>
      </c>
      <c r="EQ453" s="15" t="s">
        <v>4028</v>
      </c>
      <c r="EU453" s="15" t="s">
        <v>2050</v>
      </c>
      <c r="EV453" s="15" t="s">
        <v>870</v>
      </c>
      <c r="EW453" s="15" t="s">
        <v>2020</v>
      </c>
      <c r="EX453" s="15" t="s">
        <v>3858</v>
      </c>
      <c r="EY453" s="15" t="s">
        <v>5482</v>
      </c>
      <c r="EZ453" s="15" t="s">
        <v>4987</v>
      </c>
      <c r="FA453" s="15" t="s">
        <v>3858</v>
      </c>
      <c r="FB453" s="15" t="s">
        <v>2020</v>
      </c>
      <c r="FE453" s="15" t="s">
        <v>723</v>
      </c>
      <c r="FF453" s="15" t="s">
        <v>724</v>
      </c>
      <c r="FG453" s="15" t="s">
        <v>5483</v>
      </c>
      <c r="FH453" s="15" t="s">
        <v>860</v>
      </c>
      <c r="FQ453" s="15" t="s">
        <v>1068</v>
      </c>
      <c r="FR453" s="15" t="s">
        <v>4987</v>
      </c>
      <c r="FS453" s="15">
        <v>0.0</v>
      </c>
      <c r="FT453" s="15">
        <v>0.0</v>
      </c>
      <c r="FV453" s="15">
        <v>0.0</v>
      </c>
    </row>
    <row r="454" ht="15.75" customHeight="1">
      <c r="A454" s="14" t="s">
        <v>391</v>
      </c>
      <c r="B454" s="15" t="s">
        <v>5496</v>
      </c>
      <c r="C454" s="16"/>
      <c r="D454" s="15" t="s">
        <v>432</v>
      </c>
      <c r="G454" s="14" t="s">
        <v>393</v>
      </c>
      <c r="H454" s="14" t="s">
        <v>394</v>
      </c>
      <c r="I454" s="14" t="b">
        <v>1</v>
      </c>
      <c r="J454" s="14" t="s">
        <v>395</v>
      </c>
      <c r="L454" s="14" t="b">
        <v>0</v>
      </c>
      <c r="M454" s="15" t="s">
        <v>5497</v>
      </c>
      <c r="N454" s="14" t="s">
        <v>393</v>
      </c>
      <c r="O454" s="14" t="s">
        <v>393</v>
      </c>
      <c r="P454" s="15" t="s">
        <v>397</v>
      </c>
      <c r="Q454" s="15" t="s">
        <v>1612</v>
      </c>
      <c r="T454" s="14" t="b">
        <v>0</v>
      </c>
      <c r="U454" s="15" t="s">
        <v>5498</v>
      </c>
      <c r="V454" s="15" t="s">
        <v>4963</v>
      </c>
      <c r="W454" s="15" t="s">
        <v>401</v>
      </c>
      <c r="X454" s="15" t="s">
        <v>695</v>
      </c>
      <c r="Y454" s="15">
        <v>1638.0</v>
      </c>
      <c r="AA454" s="15" t="str">
        <f>"630"</f>
        <v>630</v>
      </c>
      <c r="AB454" s="14" t="b">
        <v>1</v>
      </c>
      <c r="AC454" s="14" t="b">
        <v>1</v>
      </c>
      <c r="AD454" s="15" t="str">
        <f>"801542995232"</f>
        <v>801542995232</v>
      </c>
      <c r="AE454" s="15" t="s">
        <v>5499</v>
      </c>
      <c r="AF454" s="14" t="s">
        <v>404</v>
      </c>
      <c r="AG454" s="14" t="s">
        <v>405</v>
      </c>
      <c r="AH454" s="14" t="s">
        <v>406</v>
      </c>
      <c r="AI454" s="15">
        <v>0.0</v>
      </c>
      <c r="AL454" s="15" t="s">
        <v>1615</v>
      </c>
      <c r="AM454" s="15" t="s">
        <v>2557</v>
      </c>
      <c r="AN454" s="15" t="s">
        <v>2558</v>
      </c>
      <c r="AO454" s="15" t="s">
        <v>3442</v>
      </c>
      <c r="AP454" s="15" t="s">
        <v>3443</v>
      </c>
      <c r="AQ454" s="15" t="s">
        <v>2306</v>
      </c>
      <c r="AR454" s="15" t="s">
        <v>2307</v>
      </c>
      <c r="AS454" s="15" t="s">
        <v>1628</v>
      </c>
      <c r="AT454" s="15" t="s">
        <v>1612</v>
      </c>
      <c r="AW454" s="15" t="s">
        <v>706</v>
      </c>
      <c r="AX454" s="15" t="s">
        <v>707</v>
      </c>
      <c r="AY454" s="15" t="s">
        <v>413</v>
      </c>
      <c r="AZ454" s="15" t="b">
        <v>0</v>
      </c>
      <c r="BA454" s="15" t="s">
        <v>413</v>
      </c>
      <c r="BB454" s="15" t="b">
        <v>0</v>
      </c>
      <c r="BC454" s="15" t="s">
        <v>5500</v>
      </c>
      <c r="BD454" s="15" t="s">
        <v>709</v>
      </c>
      <c r="BE454" s="15" t="str">
        <f t="shared" si="799"/>
        <v>1</v>
      </c>
      <c r="BF454" s="15" t="s">
        <v>416</v>
      </c>
      <c r="BG454" s="15" t="str">
        <f>"43.31"</f>
        <v>43.31</v>
      </c>
      <c r="BH454" s="15" t="s">
        <v>3446</v>
      </c>
      <c r="BI454" s="15" t="str">
        <f>"39.76"</f>
        <v>39.76</v>
      </c>
      <c r="BJ454" s="15" t="s">
        <v>5501</v>
      </c>
      <c r="BK454" s="15" t="str">
        <f>"31.1"</f>
        <v>31.1</v>
      </c>
      <c r="BL454" s="15" t="s">
        <v>1386</v>
      </c>
      <c r="BM454" s="15" t="str">
        <f>"111.33"</f>
        <v>111.33</v>
      </c>
      <c r="BN454" s="15" t="s">
        <v>5502</v>
      </c>
      <c r="BQ454" s="15" t="s">
        <v>444</v>
      </c>
      <c r="BS454" s="15" t="s">
        <v>444</v>
      </c>
      <c r="BU454" s="15" t="s">
        <v>444</v>
      </c>
      <c r="BW454" s="15" t="s">
        <v>444</v>
      </c>
      <c r="BZ454" s="15" t="s">
        <v>444</v>
      </c>
      <c r="CB454" s="15" t="s">
        <v>444</v>
      </c>
      <c r="CD454" s="15" t="s">
        <v>444</v>
      </c>
      <c r="CF454" s="15" t="s">
        <v>444</v>
      </c>
      <c r="CI454" s="15" t="s">
        <v>444</v>
      </c>
      <c r="CK454" s="15" t="s">
        <v>444</v>
      </c>
      <c r="CM454" s="15" t="s">
        <v>444</v>
      </c>
      <c r="CO454" s="15" t="s">
        <v>444</v>
      </c>
      <c r="CP454" s="15" t="str">
        <f>"31.01"</f>
        <v>31.01</v>
      </c>
      <c r="CQ454" s="15" t="str">
        <f>"0.878"</f>
        <v>0.878</v>
      </c>
      <c r="CR454" s="15" t="s">
        <v>497</v>
      </c>
      <c r="DB454" s="15" t="s">
        <v>555</v>
      </c>
      <c r="DC454" s="15" t="str">
        <f>IFERROR(__xludf.DUMMYFUNCTION("""COMPUTED_VALUE"""),"{""value"":25.00,""unit"":""in""}")</f>
        <v>{"value":25.00,"unit":"in"}</v>
      </c>
      <c r="DD454" s="15" t="s">
        <v>1065</v>
      </c>
      <c r="DE454" s="15" t="str">
        <f>IFERROR(__xludf.DUMMYFUNCTION("""COMPUTED_VALUE"""),"{""value"":18.00,""unit"":""in""}")</f>
        <v>{"value":18.00,"unit":"in"}</v>
      </c>
      <c r="DG454" s="15" t="str">
        <f>IFERROR(__xludf.DUMMYFUNCTION("""COMPUTED_VALUE"""),"")</f>
        <v/>
      </c>
      <c r="DH454" s="15">
        <v>0.0</v>
      </c>
      <c r="DI454" s="15">
        <v>1.0</v>
      </c>
      <c r="DJ454" s="15" t="s">
        <v>717</v>
      </c>
      <c r="DK454" s="15" t="s">
        <v>718</v>
      </c>
      <c r="DL454" s="15" t="str">
        <f>IFERROR(__xludf.DUMMYFUNCTION("""COMPUTED_VALUE"""),"Vacuum or light brush only. Do not use water or any cleaning products.")</f>
        <v>Vacuum or light brush only. Do not use water or any cleaning products.</v>
      </c>
      <c r="DM454" s="15" t="s">
        <v>719</v>
      </c>
      <c r="DT454" s="15" t="s">
        <v>721</v>
      </c>
      <c r="DU454" s="15" t="s">
        <v>419</v>
      </c>
      <c r="DV454" s="15">
        <v>0.0</v>
      </c>
      <c r="DZ454" s="15">
        <v>30000.0</v>
      </c>
      <c r="EA454" s="15" t="s">
        <v>990</v>
      </c>
      <c r="EB454" s="15" t="s">
        <v>1016</v>
      </c>
      <c r="ED454" s="15">
        <v>1.0</v>
      </c>
      <c r="EE454" s="15">
        <v>1.0</v>
      </c>
      <c r="EG454" s="15" t="s">
        <v>444</v>
      </c>
      <c r="EH454" s="15" t="s">
        <v>5503</v>
      </c>
      <c r="EI454" s="15">
        <v>0.0</v>
      </c>
      <c r="EJ454" s="15" t="s">
        <v>726</v>
      </c>
      <c r="EK454" s="15" t="s">
        <v>727</v>
      </c>
      <c r="EL454" s="15" t="s">
        <v>2839</v>
      </c>
      <c r="EM454" s="15" t="str">
        <f>IFERROR(__xludf.DUMMYFUNCTION("""COMPUTED_VALUE"""),"{""value"":29.00,""unit"":""in""}")</f>
        <v>{"value":29.00,"unit":"in"}</v>
      </c>
      <c r="EN454" s="15" t="s">
        <v>1576</v>
      </c>
      <c r="EO454" s="15" t="s">
        <v>1072</v>
      </c>
      <c r="ES454" s="15" t="s">
        <v>2547</v>
      </c>
      <c r="EW454" s="15" t="s">
        <v>672</v>
      </c>
      <c r="EZ454" s="15" t="s">
        <v>1593</v>
      </c>
      <c r="FC454" s="15" t="s">
        <v>1016</v>
      </c>
      <c r="FF454" s="15" t="s">
        <v>997</v>
      </c>
      <c r="FO454" s="15" t="s">
        <v>467</v>
      </c>
      <c r="FP454" s="15" t="s">
        <v>1286</v>
      </c>
      <c r="FQ454" s="15">
        <v>0.0</v>
      </c>
      <c r="FR454" s="15">
        <v>0.0</v>
      </c>
      <c r="FT454" s="15">
        <v>0.0</v>
      </c>
    </row>
    <row r="455" ht="15.75" customHeight="1">
      <c r="A455" s="14" t="s">
        <v>391</v>
      </c>
      <c r="B455" s="15" t="s">
        <v>5504</v>
      </c>
      <c r="C455" s="16"/>
      <c r="D455" s="15" t="s">
        <v>432</v>
      </c>
      <c r="G455" s="14" t="s">
        <v>393</v>
      </c>
      <c r="H455" s="14" t="s">
        <v>394</v>
      </c>
      <c r="I455" s="14" t="b">
        <v>1</v>
      </c>
      <c r="J455" s="14" t="s">
        <v>395</v>
      </c>
      <c r="L455" s="14" t="b">
        <v>0</v>
      </c>
      <c r="M455" s="15" t="s">
        <v>5505</v>
      </c>
      <c r="N455" s="14" t="s">
        <v>393</v>
      </c>
      <c r="O455" s="14" t="s">
        <v>393</v>
      </c>
      <c r="P455" s="15" t="s">
        <v>397</v>
      </c>
      <c r="Q455" s="15" t="s">
        <v>5506</v>
      </c>
      <c r="T455" s="14" t="b">
        <v>0</v>
      </c>
      <c r="U455" s="15" t="s">
        <v>5507</v>
      </c>
      <c r="V455" s="15" t="s">
        <v>5508</v>
      </c>
      <c r="W455" s="15" t="s">
        <v>401</v>
      </c>
      <c r="X455" s="15" t="s">
        <v>1172</v>
      </c>
      <c r="Y455" s="15">
        <v>2301.0</v>
      </c>
      <c r="AA455" s="15" t="str">
        <f>"885"</f>
        <v>885</v>
      </c>
      <c r="AB455" s="14" t="b">
        <v>1</v>
      </c>
      <c r="AC455" s="14" t="b">
        <v>1</v>
      </c>
      <c r="AD455" s="15" t="str">
        <f>"801542275099"</f>
        <v>801542275099</v>
      </c>
      <c r="AE455" s="15" t="s">
        <v>5509</v>
      </c>
      <c r="AF455" s="14" t="s">
        <v>404</v>
      </c>
      <c r="AG455" s="14" t="s">
        <v>405</v>
      </c>
      <c r="AH455" s="14" t="s">
        <v>406</v>
      </c>
      <c r="AI455" s="15">
        <v>0.0</v>
      </c>
      <c r="AL455" s="15" t="s">
        <v>5510</v>
      </c>
      <c r="AM455" s="15" t="s">
        <v>745</v>
      </c>
      <c r="AN455" s="15" t="s">
        <v>746</v>
      </c>
      <c r="AO455" s="15" t="s">
        <v>1675</v>
      </c>
      <c r="AP455" s="15" t="s">
        <v>1676</v>
      </c>
      <c r="AQ455" s="15" t="s">
        <v>1276</v>
      </c>
      <c r="AR455" s="15" t="s">
        <v>1277</v>
      </c>
      <c r="AS455" s="15" t="s">
        <v>5511</v>
      </c>
      <c r="AT455" s="15" t="s">
        <v>5506</v>
      </c>
      <c r="AU455" s="15" t="s">
        <v>5512</v>
      </c>
      <c r="AV455" s="15" t="s">
        <v>5513</v>
      </c>
      <c r="AW455" s="15" t="s">
        <v>664</v>
      </c>
      <c r="AY455" s="15" t="s">
        <v>413</v>
      </c>
      <c r="AZ455" s="15" t="b">
        <v>0</v>
      </c>
      <c r="BA455" s="15" t="s">
        <v>413</v>
      </c>
      <c r="BB455" s="15" t="b">
        <v>0</v>
      </c>
      <c r="BC455" s="15" t="s">
        <v>5514</v>
      </c>
      <c r="BD455" s="15" t="s">
        <v>1181</v>
      </c>
      <c r="BE455" s="15" t="str">
        <f t="shared" si="799"/>
        <v>1</v>
      </c>
      <c r="BF455" s="15" t="s">
        <v>416</v>
      </c>
      <c r="BG455" s="15" t="str">
        <f>"76.77"</f>
        <v>76.77</v>
      </c>
      <c r="BH455" s="15" t="s">
        <v>5515</v>
      </c>
      <c r="BI455" s="15" t="str">
        <f>"25.2"</f>
        <v>25.2</v>
      </c>
      <c r="BJ455" s="15" t="s">
        <v>585</v>
      </c>
      <c r="BK455" s="15" t="str">
        <f>"37.01"</f>
        <v>37.01</v>
      </c>
      <c r="BL455" s="15" t="s">
        <v>1990</v>
      </c>
      <c r="BM455" s="15" t="str">
        <f>"228.18"</f>
        <v>228.18</v>
      </c>
      <c r="BN455" s="15" t="s">
        <v>5516</v>
      </c>
      <c r="BQ455" s="15" t="s">
        <v>444</v>
      </c>
      <c r="BS455" s="15" t="s">
        <v>444</v>
      </c>
      <c r="BU455" s="15" t="s">
        <v>444</v>
      </c>
      <c r="BW455" s="15" t="s">
        <v>444</v>
      </c>
      <c r="BZ455" s="15" t="s">
        <v>444</v>
      </c>
      <c r="CB455" s="15" t="s">
        <v>444</v>
      </c>
      <c r="CD455" s="15" t="s">
        <v>444</v>
      </c>
      <c r="CF455" s="15" t="s">
        <v>444</v>
      </c>
      <c r="CI455" s="15" t="s">
        <v>444</v>
      </c>
      <c r="CK455" s="15" t="s">
        <v>444</v>
      </c>
      <c r="CM455" s="15" t="s">
        <v>444</v>
      </c>
      <c r="CO455" s="15" t="s">
        <v>444</v>
      </c>
      <c r="CP455" s="15" t="str">
        <f>"41.42"</f>
        <v>41.42</v>
      </c>
      <c r="CQ455" s="15" t="str">
        <f>"1.173"</f>
        <v>1.173</v>
      </c>
      <c r="CR455" s="15" t="s">
        <v>497</v>
      </c>
      <c r="CV455" s="15" t="s">
        <v>4812</v>
      </c>
      <c r="CW455" s="15" t="s">
        <v>5517</v>
      </c>
      <c r="CX455" s="15" t="s">
        <v>5518</v>
      </c>
      <c r="DC455" s="15" t="str">
        <f>IFERROR(__xludf.DUMMYFUNCTION("""COMPUTED_VALUE"""),"")</f>
        <v/>
      </c>
      <c r="DE455" s="15" t="str">
        <f>IFERROR(__xludf.DUMMYFUNCTION("""COMPUTED_VALUE"""),"")</f>
        <v/>
      </c>
      <c r="DG455" s="15" t="str">
        <f>IFERROR(__xludf.DUMMYFUNCTION("""COMPUTED_VALUE"""),"")</f>
        <v/>
      </c>
      <c r="DL455" s="15" t="str">
        <f>IFERROR(__xludf.DUMMYFUNCTION("""COMPUTED_VALUE"""),"")</f>
        <v/>
      </c>
      <c r="DM455" s="15" t="s">
        <v>444</v>
      </c>
      <c r="DN455" s="15" t="s">
        <v>419</v>
      </c>
      <c r="DO455" s="15">
        <v>0.0</v>
      </c>
      <c r="DP455" s="15" t="s">
        <v>419</v>
      </c>
      <c r="DR455" s="15">
        <v>0.0</v>
      </c>
      <c r="DT455" s="15" t="s">
        <v>1186</v>
      </c>
      <c r="DU455" s="15" t="s">
        <v>610</v>
      </c>
      <c r="DW455" s="15">
        <v>18.14</v>
      </c>
      <c r="DX455" s="15">
        <v>40.0</v>
      </c>
      <c r="DY455" s="15">
        <v>2.0</v>
      </c>
      <c r="EG455" s="15" t="s">
        <v>444</v>
      </c>
      <c r="EH455" s="15" t="s">
        <v>5519</v>
      </c>
      <c r="EJ455" s="15" t="s">
        <v>424</v>
      </c>
      <c r="EK455" s="15" t="s">
        <v>446</v>
      </c>
      <c r="EM455" s="15" t="str">
        <f>IFERROR(__xludf.DUMMYFUNCTION("""COMPUTED_VALUE"""),"")</f>
        <v/>
      </c>
      <c r="EW455" s="15" t="s">
        <v>429</v>
      </c>
      <c r="FM455" s="15">
        <v>2.0</v>
      </c>
      <c r="FY455" s="15" t="s">
        <v>5520</v>
      </c>
      <c r="FZ455" s="15" t="s">
        <v>782</v>
      </c>
      <c r="GA455" s="15" t="s">
        <v>5521</v>
      </c>
      <c r="GB455" s="15" t="s">
        <v>1426</v>
      </c>
      <c r="GC455" s="15" t="s">
        <v>782</v>
      </c>
      <c r="GD455" s="15" t="s">
        <v>5518</v>
      </c>
      <c r="GE455" s="15">
        <v>0.0</v>
      </c>
      <c r="GF455" s="15" t="s">
        <v>426</v>
      </c>
      <c r="GH455" s="15">
        <v>4.0</v>
      </c>
      <c r="GI455" s="15" t="s">
        <v>614</v>
      </c>
      <c r="GJ455" s="15" t="s">
        <v>1045</v>
      </c>
      <c r="GK455" s="15">
        <v>0.0</v>
      </c>
      <c r="GL455" s="15" t="s">
        <v>426</v>
      </c>
      <c r="GN455" s="15" t="s">
        <v>616</v>
      </c>
      <c r="HW455" s="15" t="s">
        <v>3658</v>
      </c>
      <c r="IH455" s="15" t="s">
        <v>426</v>
      </c>
    </row>
    <row r="456" ht="15.75" customHeight="1">
      <c r="A456" s="14" t="s">
        <v>391</v>
      </c>
      <c r="B456" s="15" t="s">
        <v>5522</v>
      </c>
      <c r="C456" s="16"/>
      <c r="D456" s="15" t="s">
        <v>432</v>
      </c>
      <c r="G456" s="14" t="s">
        <v>393</v>
      </c>
      <c r="H456" s="14" t="s">
        <v>394</v>
      </c>
      <c r="I456" s="14" t="b">
        <v>1</v>
      </c>
      <c r="J456" s="14" t="s">
        <v>395</v>
      </c>
      <c r="L456" s="14" t="b">
        <v>0</v>
      </c>
      <c r="M456" s="15" t="s">
        <v>5523</v>
      </c>
      <c r="N456" s="14" t="s">
        <v>393</v>
      </c>
      <c r="O456" s="14" t="s">
        <v>393</v>
      </c>
      <c r="P456" s="15" t="s">
        <v>397</v>
      </c>
      <c r="Q456" s="15" t="s">
        <v>5524</v>
      </c>
      <c r="T456" s="14" t="b">
        <v>0</v>
      </c>
      <c r="U456" s="15" t="s">
        <v>5525</v>
      </c>
      <c r="V456" s="15" t="s">
        <v>5010</v>
      </c>
      <c r="W456" s="15" t="s">
        <v>401</v>
      </c>
      <c r="X456" s="15" t="s">
        <v>742</v>
      </c>
      <c r="Y456" s="15">
        <v>3822.0</v>
      </c>
      <c r="AA456" s="15" t="str">
        <f>"1470"</f>
        <v>1470</v>
      </c>
      <c r="AB456" s="14" t="b">
        <v>1</v>
      </c>
      <c r="AC456" s="14" t="b">
        <v>1</v>
      </c>
      <c r="AD456" s="15" t="str">
        <f>"198394058537"</f>
        <v>198394058537</v>
      </c>
      <c r="AE456" s="15" t="s">
        <v>5526</v>
      </c>
      <c r="AF456" s="14" t="s">
        <v>404</v>
      </c>
      <c r="AG456" s="14" t="s">
        <v>405</v>
      </c>
      <c r="AH456" s="14" t="s">
        <v>406</v>
      </c>
      <c r="AI456" s="15">
        <v>0.0</v>
      </c>
      <c r="AL456" s="15" t="s">
        <v>5527</v>
      </c>
      <c r="AM456" s="15" t="s">
        <v>5528</v>
      </c>
      <c r="AN456" s="15" t="s">
        <v>5529</v>
      </c>
      <c r="AO456" s="15" t="s">
        <v>1675</v>
      </c>
      <c r="AP456" s="15" t="s">
        <v>1676</v>
      </c>
      <c r="AQ456" s="15" t="s">
        <v>1026</v>
      </c>
      <c r="AR456" s="15" t="s">
        <v>1027</v>
      </c>
      <c r="AS456" s="15" t="s">
        <v>1502</v>
      </c>
      <c r="AT456" s="15" t="s">
        <v>5524</v>
      </c>
      <c r="AU456" s="15" t="s">
        <v>2752</v>
      </c>
      <c r="AW456" s="15" t="s">
        <v>1899</v>
      </c>
      <c r="AY456" s="15" t="s">
        <v>413</v>
      </c>
      <c r="AZ456" s="15" t="b">
        <v>0</v>
      </c>
      <c r="BA456" s="15" t="s">
        <v>413</v>
      </c>
      <c r="BB456" s="15" t="b">
        <v>0</v>
      </c>
      <c r="BC456" s="15" t="s">
        <v>5530</v>
      </c>
      <c r="BD456" s="15" t="s">
        <v>742</v>
      </c>
      <c r="BE456" s="15" t="str">
        <f t="shared" si="799"/>
        <v>1</v>
      </c>
      <c r="BF456" s="15" t="s">
        <v>416</v>
      </c>
      <c r="BG456" s="15" t="str">
        <f>"56.3"</f>
        <v>56.3</v>
      </c>
      <c r="BH456" s="15" t="s">
        <v>3400</v>
      </c>
      <c r="BI456" s="15" t="str">
        <f>"26.77"</f>
        <v>26.77</v>
      </c>
      <c r="BJ456" s="15" t="s">
        <v>2322</v>
      </c>
      <c r="BK456" s="15" t="str">
        <f>"87.99"</f>
        <v>87.99</v>
      </c>
      <c r="BL456" s="15" t="s">
        <v>2266</v>
      </c>
      <c r="BM456" s="15" t="str">
        <f>"263.45"</f>
        <v>263.45</v>
      </c>
      <c r="BN456" s="15" t="s">
        <v>5531</v>
      </c>
      <c r="BQ456" s="15" t="s">
        <v>444</v>
      </c>
      <c r="BS456" s="15" t="s">
        <v>444</v>
      </c>
      <c r="BU456" s="15" t="s">
        <v>444</v>
      </c>
      <c r="BW456" s="15" t="s">
        <v>444</v>
      </c>
      <c r="BZ456" s="15" t="s">
        <v>444</v>
      </c>
      <c r="CB456" s="15" t="s">
        <v>444</v>
      </c>
      <c r="CD456" s="15" t="s">
        <v>444</v>
      </c>
      <c r="CF456" s="15" t="s">
        <v>444</v>
      </c>
      <c r="CI456" s="15" t="s">
        <v>444</v>
      </c>
      <c r="CK456" s="15" t="s">
        <v>444</v>
      </c>
      <c r="CM456" s="15" t="s">
        <v>444</v>
      </c>
      <c r="CO456" s="15" t="s">
        <v>444</v>
      </c>
      <c r="CP456" s="15" t="str">
        <f>"76.74"</f>
        <v>76.74</v>
      </c>
      <c r="CQ456" s="15" t="str">
        <f>"2.173"</f>
        <v>2.173</v>
      </c>
      <c r="CR456" s="15" t="s">
        <v>465</v>
      </c>
      <c r="CS456" s="15" t="s">
        <v>5532</v>
      </c>
      <c r="CT456" s="15" t="s">
        <v>1607</v>
      </c>
      <c r="CU456" s="15" t="s">
        <v>1074</v>
      </c>
      <c r="CV456" s="15" t="s">
        <v>5533</v>
      </c>
      <c r="CW456" s="15" t="s">
        <v>5534</v>
      </c>
      <c r="CX456" s="15" t="s">
        <v>799</v>
      </c>
      <c r="DC456" s="15" t="str">
        <f>IFERROR(__xludf.DUMMYFUNCTION("""COMPUTED_VALUE"""),"")</f>
        <v/>
      </c>
      <c r="DE456" s="15" t="str">
        <f>IFERROR(__xludf.DUMMYFUNCTION("""COMPUTED_VALUE"""),"")</f>
        <v/>
      </c>
      <c r="DG456" s="15" t="str">
        <f>IFERROR(__xludf.DUMMYFUNCTION("""COMPUTED_VALUE"""),"")</f>
        <v/>
      </c>
      <c r="DL456" s="15" t="str">
        <f>IFERROR(__xludf.DUMMYFUNCTION("""COMPUTED_VALUE"""),"")</f>
        <v/>
      </c>
      <c r="DM456" s="15" t="s">
        <v>444</v>
      </c>
      <c r="DN456" s="15" t="s">
        <v>419</v>
      </c>
      <c r="DO456" s="15">
        <v>0.0</v>
      </c>
      <c r="DP456" s="15" t="s">
        <v>419</v>
      </c>
      <c r="DR456" s="15">
        <v>4.0</v>
      </c>
      <c r="DS456" s="15" t="s">
        <v>426</v>
      </c>
      <c r="DT456" s="15" t="s">
        <v>1307</v>
      </c>
      <c r="DU456" s="15" t="s">
        <v>610</v>
      </c>
      <c r="DW456" s="15">
        <v>18.14</v>
      </c>
      <c r="DX456" s="15">
        <v>40.0</v>
      </c>
      <c r="DY456" s="15">
        <v>1.0</v>
      </c>
      <c r="EF456" s="15" t="s">
        <v>1906</v>
      </c>
      <c r="EG456" s="15" t="s">
        <v>1907</v>
      </c>
      <c r="EH456" s="15" t="s">
        <v>5535</v>
      </c>
      <c r="EK456" s="15" t="s">
        <v>444</v>
      </c>
      <c r="EM456" s="15" t="str">
        <f>IFERROR(__xludf.DUMMYFUNCTION("""COMPUTED_VALUE"""),"")</f>
        <v/>
      </c>
      <c r="EW456" s="15" t="s">
        <v>3856</v>
      </c>
      <c r="FL456" s="15" t="s">
        <v>426</v>
      </c>
      <c r="FM456" s="15">
        <v>7.0</v>
      </c>
      <c r="FY456" s="15" t="s">
        <v>3129</v>
      </c>
      <c r="FZ456" s="15" t="s">
        <v>612</v>
      </c>
      <c r="GA456" s="15" t="s">
        <v>5536</v>
      </c>
      <c r="GB456" s="15" t="s">
        <v>5533</v>
      </c>
      <c r="GC456" s="15" t="s">
        <v>612</v>
      </c>
      <c r="GD456" s="15" t="s">
        <v>799</v>
      </c>
      <c r="GF456" s="15" t="s">
        <v>426</v>
      </c>
      <c r="GG456" s="15" t="s">
        <v>785</v>
      </c>
      <c r="GH456" s="15">
        <v>2.0</v>
      </c>
      <c r="GI456" s="15" t="s">
        <v>614</v>
      </c>
      <c r="GJ456" s="15" t="s">
        <v>615</v>
      </c>
      <c r="GL456" s="15" t="s">
        <v>426</v>
      </c>
      <c r="GN456" s="15" t="s">
        <v>616</v>
      </c>
      <c r="HA456" s="15" t="s">
        <v>5532</v>
      </c>
      <c r="HB456" s="15" t="s">
        <v>2156</v>
      </c>
      <c r="HC456" s="15" t="s">
        <v>1074</v>
      </c>
      <c r="HQ456" s="15" t="s">
        <v>5532</v>
      </c>
      <c r="HR456" s="15" t="s">
        <v>5532</v>
      </c>
      <c r="HS456" s="15" t="s">
        <v>2156</v>
      </c>
      <c r="HT456" s="15" t="s">
        <v>1951</v>
      </c>
      <c r="HU456" s="15" t="s">
        <v>1074</v>
      </c>
      <c r="HV456" s="15" t="s">
        <v>1074</v>
      </c>
      <c r="HW456" s="15" t="s">
        <v>1517</v>
      </c>
      <c r="IH456" s="15" t="s">
        <v>426</v>
      </c>
      <c r="KX456" s="15" t="s">
        <v>5532</v>
      </c>
      <c r="KY456" s="15" t="s">
        <v>1951</v>
      </c>
      <c r="KZ456" s="15" t="s">
        <v>1074</v>
      </c>
      <c r="LK456" s="15" t="s">
        <v>5532</v>
      </c>
      <c r="LL456" s="15" t="s">
        <v>5532</v>
      </c>
      <c r="LM456" s="15" t="s">
        <v>2156</v>
      </c>
      <c r="LN456" s="15" t="s">
        <v>2156</v>
      </c>
      <c r="LO456" s="15" t="s">
        <v>1074</v>
      </c>
      <c r="LP456" s="15" t="s">
        <v>1074</v>
      </c>
    </row>
    <row r="457" ht="15.75" customHeight="1">
      <c r="A457" s="14" t="s">
        <v>391</v>
      </c>
      <c r="B457" s="15" t="s">
        <v>5537</v>
      </c>
      <c r="C457" s="16"/>
      <c r="D457" s="15" t="s">
        <v>432</v>
      </c>
      <c r="G457" s="14" t="s">
        <v>393</v>
      </c>
      <c r="H457" s="14" t="s">
        <v>394</v>
      </c>
      <c r="I457" s="14" t="b">
        <v>1</v>
      </c>
      <c r="J457" s="14" t="s">
        <v>395</v>
      </c>
      <c r="L457" s="14" t="b">
        <v>0</v>
      </c>
      <c r="M457" s="15" t="s">
        <v>5538</v>
      </c>
      <c r="N457" s="14" t="s">
        <v>393</v>
      </c>
      <c r="O457" s="14" t="s">
        <v>393</v>
      </c>
      <c r="P457" s="15" t="s">
        <v>397</v>
      </c>
      <c r="Q457" s="15" t="s">
        <v>2752</v>
      </c>
      <c r="T457" s="14" t="b">
        <v>0</v>
      </c>
      <c r="U457" s="15" t="s">
        <v>5539</v>
      </c>
      <c r="V457" s="15" t="s">
        <v>2426</v>
      </c>
      <c r="W457" s="15" t="s">
        <v>401</v>
      </c>
      <c r="X457" s="15" t="s">
        <v>742</v>
      </c>
      <c r="Y457" s="15">
        <v>2522.0</v>
      </c>
      <c r="AA457" s="15" t="str">
        <f>"970"</f>
        <v>970</v>
      </c>
      <c r="AB457" s="14" t="b">
        <v>1</v>
      </c>
      <c r="AC457" s="14" t="b">
        <v>1</v>
      </c>
      <c r="AD457" s="15" t="str">
        <f>"198394055222"</f>
        <v>198394055222</v>
      </c>
      <c r="AE457" s="15" t="s">
        <v>5540</v>
      </c>
      <c r="AF457" s="14" t="s">
        <v>404</v>
      </c>
      <c r="AG457" s="14" t="s">
        <v>405</v>
      </c>
      <c r="AH457" s="14" t="s">
        <v>406</v>
      </c>
      <c r="AI457" s="15">
        <v>0.0</v>
      </c>
      <c r="AL457" s="15" t="s">
        <v>1361</v>
      </c>
      <c r="AM457" s="15" t="s">
        <v>2355</v>
      </c>
      <c r="AN457" s="15" t="s">
        <v>2356</v>
      </c>
      <c r="AO457" s="15" t="s">
        <v>1007</v>
      </c>
      <c r="AP457" s="15" t="s">
        <v>1008</v>
      </c>
      <c r="AQ457" s="15" t="s">
        <v>600</v>
      </c>
      <c r="AR457" s="15" t="s">
        <v>601</v>
      </c>
      <c r="AS457" s="15" t="s">
        <v>1502</v>
      </c>
      <c r="AT457" s="15" t="s">
        <v>2752</v>
      </c>
      <c r="AU457" s="15" t="s">
        <v>5524</v>
      </c>
      <c r="AW457" s="15" t="s">
        <v>519</v>
      </c>
      <c r="AY457" s="15" t="s">
        <v>413</v>
      </c>
      <c r="AZ457" s="15" t="b">
        <v>0</v>
      </c>
      <c r="BA457" s="15" t="s">
        <v>413</v>
      </c>
      <c r="BB457" s="15" t="b">
        <v>0</v>
      </c>
      <c r="BC457" s="15" t="s">
        <v>5541</v>
      </c>
      <c r="BD457" s="15" t="s">
        <v>742</v>
      </c>
      <c r="BE457" s="15" t="str">
        <f t="shared" si="799"/>
        <v>1</v>
      </c>
      <c r="BF457" s="15" t="s">
        <v>416</v>
      </c>
      <c r="BG457" s="15" t="str">
        <f>"83.86"</f>
        <v>83.86</v>
      </c>
      <c r="BH457" s="15" t="s">
        <v>5542</v>
      </c>
      <c r="BI457" s="15" t="str">
        <f>"23.43"</f>
        <v>23.43</v>
      </c>
      <c r="BJ457" s="15" t="s">
        <v>2091</v>
      </c>
      <c r="BK457" s="15" t="str">
        <f>"33.07"</f>
        <v>33.07</v>
      </c>
      <c r="BL457" s="15" t="s">
        <v>1091</v>
      </c>
      <c r="BM457" s="15" t="str">
        <f>"159.84"</f>
        <v>159.84</v>
      </c>
      <c r="BN457" s="15" t="s">
        <v>5543</v>
      </c>
      <c r="BQ457" s="15" t="s">
        <v>444</v>
      </c>
      <c r="BS457" s="15" t="s">
        <v>444</v>
      </c>
      <c r="BU457" s="15" t="s">
        <v>444</v>
      </c>
      <c r="BW457" s="15" t="s">
        <v>444</v>
      </c>
      <c r="BZ457" s="15" t="s">
        <v>444</v>
      </c>
      <c r="CB457" s="15" t="s">
        <v>444</v>
      </c>
      <c r="CD457" s="15" t="s">
        <v>444</v>
      </c>
      <c r="CF457" s="15" t="s">
        <v>444</v>
      </c>
      <c r="CI457" s="15" t="s">
        <v>444</v>
      </c>
      <c r="CK457" s="15" t="s">
        <v>444</v>
      </c>
      <c r="CM457" s="15" t="s">
        <v>444</v>
      </c>
      <c r="CO457" s="15" t="s">
        <v>444</v>
      </c>
      <c r="CP457" s="15" t="str">
        <f>"37.61"</f>
        <v>37.61</v>
      </c>
      <c r="CQ457" s="15" t="str">
        <f>"1.065"</f>
        <v>1.065</v>
      </c>
      <c r="CR457" s="15" t="s">
        <v>465</v>
      </c>
      <c r="CS457" s="15" t="s">
        <v>5544</v>
      </c>
      <c r="CT457" s="15" t="s">
        <v>1607</v>
      </c>
      <c r="CU457" s="15" t="s">
        <v>5545</v>
      </c>
      <c r="CV457" s="15" t="s">
        <v>5544</v>
      </c>
      <c r="CW457" s="15" t="s">
        <v>5319</v>
      </c>
      <c r="CX457" s="15" t="s">
        <v>5546</v>
      </c>
      <c r="DC457" s="15" t="str">
        <f>IFERROR(__xludf.DUMMYFUNCTION("""COMPUTED_VALUE"""),"")</f>
        <v/>
      </c>
      <c r="DE457" s="15" t="str">
        <f>IFERROR(__xludf.DUMMYFUNCTION("""COMPUTED_VALUE"""),"")</f>
        <v/>
      </c>
      <c r="DG457" s="15" t="str">
        <f>IFERROR(__xludf.DUMMYFUNCTION("""COMPUTED_VALUE"""),"")</f>
        <v/>
      </c>
      <c r="DL457" s="15" t="str">
        <f>IFERROR(__xludf.DUMMYFUNCTION("""COMPUTED_VALUE"""),"")</f>
        <v/>
      </c>
      <c r="DM457" s="15" t="s">
        <v>444</v>
      </c>
      <c r="DN457" s="15" t="s">
        <v>419</v>
      </c>
      <c r="DO457" s="15">
        <v>0.0</v>
      </c>
      <c r="DP457" s="15" t="s">
        <v>419</v>
      </c>
      <c r="DR457" s="15">
        <v>1.0</v>
      </c>
      <c r="DS457" s="15" t="s">
        <v>426</v>
      </c>
      <c r="DT457" s="15" t="s">
        <v>1307</v>
      </c>
      <c r="DU457" s="15" t="s">
        <v>1914</v>
      </c>
      <c r="DY457" s="15">
        <v>0.0</v>
      </c>
      <c r="EF457" s="15" t="s">
        <v>471</v>
      </c>
      <c r="EG457" s="15" t="s">
        <v>472</v>
      </c>
      <c r="EH457" s="15" t="s">
        <v>5535</v>
      </c>
      <c r="EJ457" s="15" t="s">
        <v>424</v>
      </c>
      <c r="EK457" s="15" t="s">
        <v>446</v>
      </c>
      <c r="EM457" s="15" t="str">
        <f>IFERROR(__xludf.DUMMYFUNCTION("""COMPUTED_VALUE"""),"")</f>
        <v/>
      </c>
      <c r="EW457" s="15" t="s">
        <v>3856</v>
      </c>
      <c r="EX457" s="15" t="s">
        <v>5544</v>
      </c>
      <c r="EY457" s="15" t="s">
        <v>5547</v>
      </c>
      <c r="FH457" s="15" t="s">
        <v>1957</v>
      </c>
      <c r="FI457" s="15" t="s">
        <v>1234</v>
      </c>
      <c r="FJ457" s="15" t="s">
        <v>1607</v>
      </c>
      <c r="FK457" s="15" t="s">
        <v>1957</v>
      </c>
      <c r="FL457" s="15" t="s">
        <v>426</v>
      </c>
      <c r="FM457" s="15">
        <v>6.0</v>
      </c>
      <c r="FN457" s="15">
        <v>0.0</v>
      </c>
      <c r="GH457" s="15">
        <v>0.0</v>
      </c>
      <c r="GI457" s="15" t="s">
        <v>427</v>
      </c>
      <c r="HA457" s="15" t="s">
        <v>5544</v>
      </c>
      <c r="HB457" s="15" t="s">
        <v>5319</v>
      </c>
      <c r="HC457" s="15" t="s">
        <v>5546</v>
      </c>
      <c r="HQ457" s="15" t="s">
        <v>5544</v>
      </c>
      <c r="HR457" s="15" t="s">
        <v>5544</v>
      </c>
      <c r="HS457" s="15" t="s">
        <v>5319</v>
      </c>
      <c r="HT457" s="15" t="s">
        <v>5319</v>
      </c>
      <c r="HU457" s="15" t="s">
        <v>5546</v>
      </c>
      <c r="HV457" s="15" t="s">
        <v>5546</v>
      </c>
      <c r="KX457" s="15" t="s">
        <v>5544</v>
      </c>
      <c r="KY457" s="15" t="s">
        <v>5319</v>
      </c>
      <c r="KZ457" s="15" t="s">
        <v>5546</v>
      </c>
      <c r="LK457" s="15" t="s">
        <v>5544</v>
      </c>
      <c r="LM457" s="15" t="s">
        <v>5319</v>
      </c>
      <c r="LO457" s="15" t="s">
        <v>5546</v>
      </c>
    </row>
    <row r="458" ht="15.75" customHeight="1">
      <c r="A458" s="14" t="s">
        <v>391</v>
      </c>
      <c r="B458" s="15" t="s">
        <v>5548</v>
      </c>
      <c r="C458" s="16"/>
      <c r="D458" s="15" t="s">
        <v>432</v>
      </c>
      <c r="G458" s="14" t="s">
        <v>393</v>
      </c>
      <c r="H458" s="14" t="s">
        <v>394</v>
      </c>
      <c r="I458" s="14" t="b">
        <v>1</v>
      </c>
      <c r="J458" s="14" t="s">
        <v>395</v>
      </c>
      <c r="L458" s="14" t="b">
        <v>0</v>
      </c>
      <c r="M458" s="15" t="s">
        <v>5549</v>
      </c>
      <c r="N458" s="14" t="s">
        <v>393</v>
      </c>
      <c r="O458" s="14" t="s">
        <v>393</v>
      </c>
      <c r="P458" s="15" t="s">
        <v>397</v>
      </c>
      <c r="Q458" s="15" t="s">
        <v>5524</v>
      </c>
      <c r="T458" s="14" t="b">
        <v>0</v>
      </c>
      <c r="U458" s="15" t="s">
        <v>5550</v>
      </c>
      <c r="V458" s="15" t="s">
        <v>5551</v>
      </c>
      <c r="W458" s="15" t="s">
        <v>401</v>
      </c>
      <c r="X458" s="15" t="s">
        <v>742</v>
      </c>
      <c r="Y458" s="15">
        <v>2847.0</v>
      </c>
      <c r="AA458" s="15" t="str">
        <f>"1095"</f>
        <v>1095</v>
      </c>
      <c r="AB458" s="14" t="b">
        <v>1</v>
      </c>
      <c r="AC458" s="14" t="b">
        <v>1</v>
      </c>
      <c r="AD458" s="15" t="str">
        <f>"198394058544"</f>
        <v>198394058544</v>
      </c>
      <c r="AE458" s="15" t="s">
        <v>5552</v>
      </c>
      <c r="AF458" s="14" t="s">
        <v>404</v>
      </c>
      <c r="AG458" s="14" t="s">
        <v>405</v>
      </c>
      <c r="AH458" s="14" t="s">
        <v>406</v>
      </c>
      <c r="AI458" s="15">
        <v>0.0</v>
      </c>
      <c r="AL458" s="15" t="s">
        <v>5527</v>
      </c>
      <c r="AM458" s="15" t="s">
        <v>4293</v>
      </c>
      <c r="AN458" s="15" t="s">
        <v>4294</v>
      </c>
      <c r="AO458" s="15" t="s">
        <v>1675</v>
      </c>
      <c r="AP458" s="15" t="s">
        <v>1676</v>
      </c>
      <c r="AQ458" s="15" t="s">
        <v>1175</v>
      </c>
      <c r="AR458" s="15" t="s">
        <v>1176</v>
      </c>
      <c r="AS458" s="15" t="s">
        <v>1502</v>
      </c>
      <c r="AT458" s="15" t="s">
        <v>5524</v>
      </c>
      <c r="AU458" s="15" t="s">
        <v>2752</v>
      </c>
      <c r="AW458" s="15" t="s">
        <v>602</v>
      </c>
      <c r="AY458" s="15" t="s">
        <v>413</v>
      </c>
      <c r="AZ458" s="15" t="b">
        <v>0</v>
      </c>
      <c r="BA458" s="15" t="s">
        <v>413</v>
      </c>
      <c r="BB458" s="15" t="b">
        <v>0</v>
      </c>
      <c r="BC458" s="15" t="s">
        <v>5553</v>
      </c>
      <c r="BD458" s="15" t="s">
        <v>742</v>
      </c>
      <c r="BE458" s="15" t="str">
        <f t="shared" si="799"/>
        <v>1</v>
      </c>
      <c r="BF458" s="15" t="s">
        <v>416</v>
      </c>
      <c r="BG458" s="15" t="str">
        <f>"98.03"</f>
        <v>98.03</v>
      </c>
      <c r="BH458" s="15" t="s">
        <v>5554</v>
      </c>
      <c r="BI458" s="15" t="str">
        <f>"26.38"</f>
        <v>26.38</v>
      </c>
      <c r="BJ458" s="15" t="s">
        <v>1735</v>
      </c>
      <c r="BK458" s="15" t="str">
        <f>"31.69"</f>
        <v>31.69</v>
      </c>
      <c r="BL458" s="15" t="s">
        <v>3110</v>
      </c>
      <c r="BM458" s="15" t="str">
        <f>"216.05"</f>
        <v>216.05</v>
      </c>
      <c r="BN458" s="15" t="s">
        <v>5555</v>
      </c>
      <c r="BQ458" s="15" t="s">
        <v>444</v>
      </c>
      <c r="BS458" s="15" t="s">
        <v>444</v>
      </c>
      <c r="BU458" s="15" t="s">
        <v>444</v>
      </c>
      <c r="BW458" s="15" t="s">
        <v>444</v>
      </c>
      <c r="BZ458" s="15" t="s">
        <v>444</v>
      </c>
      <c r="CB458" s="15" t="s">
        <v>444</v>
      </c>
      <c r="CD458" s="15" t="s">
        <v>444</v>
      </c>
      <c r="CF458" s="15" t="s">
        <v>444</v>
      </c>
      <c r="CI458" s="15" t="s">
        <v>444</v>
      </c>
      <c r="CK458" s="15" t="s">
        <v>444</v>
      </c>
      <c r="CM458" s="15" t="s">
        <v>444</v>
      </c>
      <c r="CO458" s="15" t="s">
        <v>444</v>
      </c>
      <c r="CP458" s="15" t="str">
        <f>"47.43"</f>
        <v>47.43</v>
      </c>
      <c r="CQ458" s="15" t="str">
        <f>"1.343"</f>
        <v>1.343</v>
      </c>
      <c r="CR458" s="15" t="s">
        <v>465</v>
      </c>
      <c r="CS458" s="15" t="s">
        <v>5533</v>
      </c>
      <c r="CT458" s="15" t="s">
        <v>1607</v>
      </c>
      <c r="CU458" s="15" t="s">
        <v>5556</v>
      </c>
      <c r="CV458" s="15" t="s">
        <v>5533</v>
      </c>
      <c r="CW458" s="15" t="s">
        <v>3052</v>
      </c>
      <c r="CX458" s="15" t="s">
        <v>5556</v>
      </c>
      <c r="DC458" s="15" t="str">
        <f>IFERROR(__xludf.DUMMYFUNCTION("""COMPUTED_VALUE"""),"")</f>
        <v/>
      </c>
      <c r="DE458" s="15" t="str">
        <f>IFERROR(__xludf.DUMMYFUNCTION("""COMPUTED_VALUE"""),"")</f>
        <v/>
      </c>
      <c r="DG458" s="15" t="str">
        <f>IFERROR(__xludf.DUMMYFUNCTION("""COMPUTED_VALUE"""),"")</f>
        <v/>
      </c>
      <c r="DL458" s="15" t="str">
        <f>IFERROR(__xludf.DUMMYFUNCTION("""COMPUTED_VALUE"""),"")</f>
        <v/>
      </c>
      <c r="DM458" s="15" t="s">
        <v>444</v>
      </c>
      <c r="DN458" s="15" t="s">
        <v>419</v>
      </c>
      <c r="DO458" s="15">
        <v>0.0</v>
      </c>
      <c r="DP458" s="15" t="s">
        <v>419</v>
      </c>
      <c r="DR458" s="15">
        <v>2.0</v>
      </c>
      <c r="DS458" s="15" t="s">
        <v>426</v>
      </c>
      <c r="DT458" s="15" t="s">
        <v>1307</v>
      </c>
      <c r="DU458" s="15" t="s">
        <v>610</v>
      </c>
      <c r="DW458" s="15">
        <v>18.14</v>
      </c>
      <c r="DX458" s="15">
        <v>40.0</v>
      </c>
      <c r="DY458" s="15">
        <v>1.0</v>
      </c>
      <c r="EG458" s="15" t="s">
        <v>444</v>
      </c>
      <c r="EH458" s="15" t="s">
        <v>5535</v>
      </c>
      <c r="EK458" s="15" t="s">
        <v>444</v>
      </c>
      <c r="EM458" s="15" t="str">
        <f>IFERROR(__xludf.DUMMYFUNCTION("""COMPUTED_VALUE"""),"")</f>
        <v/>
      </c>
      <c r="EW458" s="15" t="s">
        <v>3856</v>
      </c>
      <c r="FL458" s="15" t="s">
        <v>426</v>
      </c>
      <c r="FM458" s="15">
        <v>5.0</v>
      </c>
      <c r="FY458" s="15" t="s">
        <v>5557</v>
      </c>
      <c r="FZ458" s="15" t="s">
        <v>612</v>
      </c>
      <c r="GA458" s="15" t="s">
        <v>5005</v>
      </c>
      <c r="GB458" s="15" t="s">
        <v>5558</v>
      </c>
      <c r="GC458" s="15" t="s">
        <v>612</v>
      </c>
      <c r="GD458" s="15" t="s">
        <v>5559</v>
      </c>
      <c r="GF458" s="15" t="s">
        <v>426</v>
      </c>
      <c r="GG458" s="15" t="s">
        <v>785</v>
      </c>
      <c r="GH458" s="15">
        <v>2.0</v>
      </c>
      <c r="GI458" s="15" t="s">
        <v>614</v>
      </c>
      <c r="GJ458" s="15" t="s">
        <v>615</v>
      </c>
      <c r="GL458" s="15" t="s">
        <v>426</v>
      </c>
      <c r="GN458" s="15" t="s">
        <v>616</v>
      </c>
      <c r="HA458" s="15" t="s">
        <v>5533</v>
      </c>
      <c r="HB458" s="15" t="s">
        <v>3052</v>
      </c>
      <c r="HC458" s="15" t="s">
        <v>5556</v>
      </c>
      <c r="HD458" s="15">
        <v>0.0</v>
      </c>
      <c r="HQ458" s="15" t="s">
        <v>2842</v>
      </c>
      <c r="HR458" s="15" t="s">
        <v>2842</v>
      </c>
      <c r="HS458" s="15" t="s">
        <v>3052</v>
      </c>
      <c r="HT458" s="15" t="s">
        <v>3052</v>
      </c>
      <c r="HU458" s="15" t="s">
        <v>5556</v>
      </c>
      <c r="HV458" s="15" t="s">
        <v>5556</v>
      </c>
      <c r="HW458" s="15" t="s">
        <v>1517</v>
      </c>
      <c r="IH458" s="15" t="s">
        <v>426</v>
      </c>
      <c r="KX458" s="15" t="s">
        <v>5558</v>
      </c>
      <c r="KY458" s="15" t="s">
        <v>2598</v>
      </c>
      <c r="KZ458" s="15" t="s">
        <v>5559</v>
      </c>
    </row>
    <row r="459" ht="15.75" customHeight="1">
      <c r="A459" s="14" t="s">
        <v>391</v>
      </c>
      <c r="B459" s="15" t="s">
        <v>5560</v>
      </c>
      <c r="C459" s="16"/>
      <c r="D459" s="15" t="s">
        <v>432</v>
      </c>
      <c r="G459" s="14" t="s">
        <v>393</v>
      </c>
      <c r="H459" s="14" t="s">
        <v>394</v>
      </c>
      <c r="I459" s="14" t="b">
        <v>1</v>
      </c>
      <c r="J459" s="14" t="s">
        <v>395</v>
      </c>
      <c r="L459" s="14" t="b">
        <v>0</v>
      </c>
      <c r="M459" s="15" t="s">
        <v>5561</v>
      </c>
      <c r="N459" s="14" t="s">
        <v>393</v>
      </c>
      <c r="O459" s="14" t="s">
        <v>393</v>
      </c>
      <c r="P459" s="15" t="s">
        <v>397</v>
      </c>
      <c r="Q459" s="15" t="s">
        <v>3874</v>
      </c>
      <c r="T459" s="14" t="b">
        <v>0</v>
      </c>
      <c r="U459" s="15" t="s">
        <v>5562</v>
      </c>
      <c r="V459" s="15" t="s">
        <v>5563</v>
      </c>
      <c r="W459" s="15" t="s">
        <v>401</v>
      </c>
      <c r="X459" s="15" t="s">
        <v>695</v>
      </c>
      <c r="Y459" s="15">
        <v>2080.0</v>
      </c>
      <c r="AA459" s="15" t="str">
        <f>"800"</f>
        <v>800</v>
      </c>
      <c r="AB459" s="14" t="b">
        <v>1</v>
      </c>
      <c r="AC459" s="14" t="b">
        <v>1</v>
      </c>
      <c r="AD459" s="15" t="str">
        <f>"801542689469"</f>
        <v>801542689469</v>
      </c>
      <c r="AE459" s="15" t="s">
        <v>5564</v>
      </c>
      <c r="AF459" s="14" t="s">
        <v>404</v>
      </c>
      <c r="AG459" s="14" t="s">
        <v>405</v>
      </c>
      <c r="AH459" s="14" t="s">
        <v>406</v>
      </c>
      <c r="AI459" s="15">
        <v>0.0</v>
      </c>
      <c r="AL459" s="15" t="s">
        <v>1600</v>
      </c>
      <c r="AM459" s="15" t="s">
        <v>487</v>
      </c>
      <c r="AN459" s="15" t="s">
        <v>488</v>
      </c>
      <c r="AO459" s="15" t="s">
        <v>1177</v>
      </c>
      <c r="AP459" s="15" t="s">
        <v>1178</v>
      </c>
      <c r="AQ459" s="15" t="s">
        <v>1276</v>
      </c>
      <c r="AR459" s="15" t="s">
        <v>1277</v>
      </c>
      <c r="AS459" s="15" t="s">
        <v>2800</v>
      </c>
      <c r="AT459" s="15" t="s">
        <v>3874</v>
      </c>
      <c r="AW459" s="15" t="s">
        <v>458</v>
      </c>
      <c r="AX459" s="15" t="s">
        <v>5565</v>
      </c>
      <c r="AY459" s="15" t="s">
        <v>413</v>
      </c>
      <c r="AZ459" s="15" t="b">
        <v>0</v>
      </c>
      <c r="BA459" s="15" t="s">
        <v>413</v>
      </c>
      <c r="BB459" s="15" t="b">
        <v>0</v>
      </c>
      <c r="BC459" s="15" t="s">
        <v>5566</v>
      </c>
      <c r="BD459" s="15" t="s">
        <v>709</v>
      </c>
      <c r="BE459" s="15" t="str">
        <f t="shared" si="799"/>
        <v>1</v>
      </c>
      <c r="BF459" s="15" t="s">
        <v>416</v>
      </c>
      <c r="BG459" s="15" t="str">
        <f>"56.89"</f>
        <v>56.89</v>
      </c>
      <c r="BH459" s="15" t="s">
        <v>5567</v>
      </c>
      <c r="BI459" s="15" t="str">
        <f>"25"</f>
        <v>25</v>
      </c>
      <c r="BJ459" s="15" t="s">
        <v>2214</v>
      </c>
      <c r="BK459" s="15" t="str">
        <f>"33.07"</f>
        <v>33.07</v>
      </c>
      <c r="BL459" s="15" t="s">
        <v>1091</v>
      </c>
      <c r="BM459" s="15" t="str">
        <f>"65.7"</f>
        <v>65.7</v>
      </c>
      <c r="BN459" s="15" t="s">
        <v>5568</v>
      </c>
      <c r="BQ459" s="15" t="s">
        <v>444</v>
      </c>
      <c r="BS459" s="15" t="s">
        <v>444</v>
      </c>
      <c r="BU459" s="15" t="s">
        <v>444</v>
      </c>
      <c r="BW459" s="15" t="s">
        <v>444</v>
      </c>
      <c r="BZ459" s="15" t="s">
        <v>444</v>
      </c>
      <c r="CB459" s="15" t="s">
        <v>444</v>
      </c>
      <c r="CD459" s="15" t="s">
        <v>444</v>
      </c>
      <c r="CF459" s="15" t="s">
        <v>444</v>
      </c>
      <c r="CI459" s="15" t="s">
        <v>444</v>
      </c>
      <c r="CK459" s="15" t="s">
        <v>444</v>
      </c>
      <c r="CM459" s="15" t="s">
        <v>444</v>
      </c>
      <c r="CO459" s="15" t="s">
        <v>444</v>
      </c>
      <c r="CP459" s="15" t="str">
        <f>"27.23"</f>
        <v>27.23</v>
      </c>
      <c r="CQ459" s="15" t="str">
        <f>"0.771"</f>
        <v>0.771</v>
      </c>
      <c r="CR459" s="15" t="s">
        <v>465</v>
      </c>
      <c r="DB459" s="15" t="s">
        <v>3129</v>
      </c>
      <c r="DC459" s="15" t="str">
        <f>IFERROR(__xludf.DUMMYFUNCTION("""COMPUTED_VALUE"""),"{""value"":19.69,""unit"":""in""}")</f>
        <v>{"value":19.69,"unit":"in"}</v>
      </c>
      <c r="DD459" s="15" t="s">
        <v>2738</v>
      </c>
      <c r="DE459" s="15" t="str">
        <f>IFERROR(__xludf.DUMMYFUNCTION("""COMPUTED_VALUE"""),"{""value"":19.29,""unit"":""in""}")</f>
        <v>{"value":19.29,"unit":"in"}</v>
      </c>
      <c r="DF459" s="15" t="s">
        <v>5569</v>
      </c>
      <c r="DG459" s="15" t="str">
        <f>IFERROR(__xludf.DUMMYFUNCTION("""COMPUTED_VALUE"""),"{""value"":51.18,""unit"":""in""}")</f>
        <v>{"value":51.18,"unit":"in"}</v>
      </c>
      <c r="DH459" s="15">
        <v>0.0</v>
      </c>
      <c r="DI459" s="15">
        <v>1.0</v>
      </c>
      <c r="DJ459" s="15" t="s">
        <v>717</v>
      </c>
      <c r="DK459" s="15" t="s">
        <v>718</v>
      </c>
      <c r="DL459" s="15" t="str">
        <f>IFERROR(__xludf.DUMMYFUNCTION("""COMPUTED_VALUE"""),"Vacuum or light brush only. Do not use water or any cleaning products.")</f>
        <v>Vacuum or light brush only. Do not use water or any cleaning products.</v>
      </c>
      <c r="DM459" s="15" t="s">
        <v>719</v>
      </c>
      <c r="DN459" s="15" t="s">
        <v>419</v>
      </c>
      <c r="DO459" s="15">
        <v>0.0</v>
      </c>
      <c r="DP459" s="15" t="s">
        <v>419</v>
      </c>
      <c r="DR459" s="15">
        <v>0.0</v>
      </c>
      <c r="DT459" s="15" t="s">
        <v>721</v>
      </c>
      <c r="DU459" s="15" t="s">
        <v>419</v>
      </c>
      <c r="DV459" s="15">
        <v>0.0</v>
      </c>
      <c r="DW459" s="15">
        <v>0.0</v>
      </c>
      <c r="DX459" s="15">
        <v>0.0</v>
      </c>
      <c r="DY459" s="15">
        <v>0.0</v>
      </c>
      <c r="DZ459" s="15">
        <v>0.0</v>
      </c>
      <c r="EA459" s="15" t="s">
        <v>722</v>
      </c>
      <c r="EB459" s="15" t="s">
        <v>1016</v>
      </c>
      <c r="EC459" s="15" t="s">
        <v>724</v>
      </c>
      <c r="ED459" s="15">
        <v>1.0</v>
      </c>
      <c r="EE459" s="15">
        <v>2.0</v>
      </c>
      <c r="EG459" s="15" t="s">
        <v>444</v>
      </c>
      <c r="EH459" s="15" t="s">
        <v>5570</v>
      </c>
      <c r="EI459" s="15">
        <v>0.0</v>
      </c>
      <c r="EJ459" s="15" t="s">
        <v>1545</v>
      </c>
      <c r="EK459" s="15" t="s">
        <v>1546</v>
      </c>
      <c r="EL459" s="15" t="s">
        <v>3512</v>
      </c>
      <c r="EM459" s="15" t="str">
        <f>IFERROR(__xludf.DUMMYFUNCTION("""COMPUTED_VALUE"""),"{""value"":28.35,""unit"":""in""}")</f>
        <v>{"value":28.35,"unit":"in"}</v>
      </c>
      <c r="EN459" s="15" t="s">
        <v>3857</v>
      </c>
      <c r="EO459" s="15" t="s">
        <v>1070</v>
      </c>
      <c r="ES459" s="15" t="s">
        <v>1957</v>
      </c>
      <c r="EW459" s="15" t="s">
        <v>5571</v>
      </c>
      <c r="EX459" s="15" t="s">
        <v>3129</v>
      </c>
      <c r="EY459" s="15" t="s">
        <v>5572</v>
      </c>
      <c r="EZ459" s="15" t="s">
        <v>866</v>
      </c>
      <c r="FC459" s="15" t="s">
        <v>1016</v>
      </c>
      <c r="FF459" s="15" t="s">
        <v>1255</v>
      </c>
      <c r="FO459" s="15" t="s">
        <v>5573</v>
      </c>
      <c r="FP459" s="15" t="s">
        <v>5569</v>
      </c>
    </row>
    <row r="460" ht="15.75" customHeight="1">
      <c r="A460" s="14" t="s">
        <v>391</v>
      </c>
      <c r="B460" s="15" t="s">
        <v>5574</v>
      </c>
      <c r="C460" s="16"/>
      <c r="D460" s="15" t="s">
        <v>432</v>
      </c>
      <c r="G460" s="14" t="s">
        <v>393</v>
      </c>
      <c r="H460" s="14" t="s">
        <v>394</v>
      </c>
      <c r="I460" s="14" t="b">
        <v>1</v>
      </c>
      <c r="J460" s="14" t="s">
        <v>395</v>
      </c>
      <c r="L460" s="14" t="b">
        <v>0</v>
      </c>
      <c r="M460" s="15" t="s">
        <v>5575</v>
      </c>
      <c r="N460" s="14" t="s">
        <v>393</v>
      </c>
      <c r="O460" s="14" t="s">
        <v>393</v>
      </c>
      <c r="P460" s="15" t="s">
        <v>397</v>
      </c>
      <c r="Q460" s="15" t="s">
        <v>5576</v>
      </c>
      <c r="T460" s="14" t="b">
        <v>0</v>
      </c>
      <c r="U460" s="15" t="s">
        <v>5577</v>
      </c>
      <c r="V460" s="15" t="s">
        <v>5578</v>
      </c>
      <c r="W460" s="15" t="s">
        <v>401</v>
      </c>
      <c r="X460" s="15" t="s">
        <v>695</v>
      </c>
      <c r="Y460" s="15">
        <v>1911.0</v>
      </c>
      <c r="AA460" s="15" t="str">
        <f>"735"</f>
        <v>735</v>
      </c>
      <c r="AB460" s="14" t="b">
        <v>1</v>
      </c>
      <c r="AC460" s="14" t="b">
        <v>1</v>
      </c>
      <c r="AD460" s="15" t="str">
        <f>"801542146139"</f>
        <v>801542146139</v>
      </c>
      <c r="AE460" s="15" t="s">
        <v>5579</v>
      </c>
      <c r="AF460" s="14" t="s">
        <v>404</v>
      </c>
      <c r="AG460" s="14" t="s">
        <v>405</v>
      </c>
      <c r="AH460" s="14" t="s">
        <v>406</v>
      </c>
      <c r="AI460" s="15">
        <v>0.0</v>
      </c>
      <c r="AL460" s="15" t="s">
        <v>5580</v>
      </c>
      <c r="AM460" s="15" t="s">
        <v>582</v>
      </c>
      <c r="AN460" s="15" t="s">
        <v>583</v>
      </c>
      <c r="AO460" s="15" t="s">
        <v>2213</v>
      </c>
      <c r="AP460" s="15" t="s">
        <v>2214</v>
      </c>
      <c r="AQ460" s="15" t="s">
        <v>3184</v>
      </c>
      <c r="AR460" s="15" t="s">
        <v>2878</v>
      </c>
      <c r="AS460" s="15" t="s">
        <v>1317</v>
      </c>
      <c r="AT460" s="15" t="s">
        <v>5576</v>
      </c>
      <c r="AU460" s="15" t="s">
        <v>2801</v>
      </c>
      <c r="AW460" s="15" t="s">
        <v>458</v>
      </c>
      <c r="AX460" s="15" t="s">
        <v>459</v>
      </c>
      <c r="AY460" s="15" t="s">
        <v>413</v>
      </c>
      <c r="AZ460" s="15" t="b">
        <v>0</v>
      </c>
      <c r="BA460" s="15" t="s">
        <v>426</v>
      </c>
      <c r="BB460" s="15" t="b">
        <v>1</v>
      </c>
      <c r="BC460" s="15" t="s">
        <v>5581</v>
      </c>
      <c r="BD460" s="15" t="s">
        <v>709</v>
      </c>
      <c r="BE460" s="15" t="str">
        <f t="shared" si="799"/>
        <v>1</v>
      </c>
      <c r="BF460" s="15" t="s">
        <v>416</v>
      </c>
      <c r="BG460" s="15" t="str">
        <f>"95.28"</f>
        <v>95.28</v>
      </c>
      <c r="BH460" s="15" t="s">
        <v>5582</v>
      </c>
      <c r="BI460" s="15" t="str">
        <f>"27.95"</f>
        <v>27.95</v>
      </c>
      <c r="BJ460" s="15" t="s">
        <v>5361</v>
      </c>
      <c r="BK460" s="15" t="str">
        <f>"26.18"</f>
        <v>26.18</v>
      </c>
      <c r="BL460" s="15" t="s">
        <v>5583</v>
      </c>
      <c r="BM460" s="15" t="str">
        <f>"202.83"</f>
        <v>202.83</v>
      </c>
      <c r="BN460" s="15" t="s">
        <v>5584</v>
      </c>
      <c r="BQ460" s="15" t="s">
        <v>444</v>
      </c>
      <c r="BS460" s="15" t="s">
        <v>444</v>
      </c>
      <c r="BU460" s="15" t="s">
        <v>444</v>
      </c>
      <c r="BW460" s="15" t="s">
        <v>444</v>
      </c>
      <c r="BZ460" s="15" t="s">
        <v>444</v>
      </c>
      <c r="CB460" s="15" t="s">
        <v>444</v>
      </c>
      <c r="CD460" s="15" t="s">
        <v>444</v>
      </c>
      <c r="CF460" s="15" t="s">
        <v>444</v>
      </c>
      <c r="CI460" s="15" t="s">
        <v>444</v>
      </c>
      <c r="CK460" s="15" t="s">
        <v>444</v>
      </c>
      <c r="CM460" s="15" t="s">
        <v>444</v>
      </c>
      <c r="CO460" s="15" t="s">
        <v>444</v>
      </c>
      <c r="CP460" s="15" t="str">
        <f>"40.36"</f>
        <v>40.36</v>
      </c>
      <c r="CQ460" s="15" t="str">
        <f>"1.143"</f>
        <v>1.143</v>
      </c>
      <c r="CR460" s="15" t="s">
        <v>465</v>
      </c>
      <c r="CY460" s="15" t="s">
        <v>555</v>
      </c>
      <c r="CZ460" s="15" t="s">
        <v>2736</v>
      </c>
      <c r="DA460" s="15" t="s">
        <v>3481</v>
      </c>
      <c r="DB460" s="15" t="s">
        <v>555</v>
      </c>
      <c r="DC460" s="15" t="str">
        <f>IFERROR(__xludf.DUMMYFUNCTION("""COMPUTED_VALUE"""),"{""value"":25.00,""unit"":""in""}")</f>
        <v>{"value":25.00,"unit":"in"}</v>
      </c>
      <c r="DD460" s="15" t="s">
        <v>650</v>
      </c>
      <c r="DE460" s="15" t="str">
        <f>IFERROR(__xludf.DUMMYFUNCTION("""COMPUTED_VALUE"""),"{""value"":19.50,""unit"":""in""}")</f>
        <v>{"value":19.50,"unit":"in"}</v>
      </c>
      <c r="DF460" s="15" t="s">
        <v>3481</v>
      </c>
      <c r="DG460" s="15" t="str">
        <f>IFERROR(__xludf.DUMMYFUNCTION("""COMPUTED_VALUE"""),"{""value"":78.00,""unit"":""in""}")</f>
        <v>{"value":78.00,"unit":"in"}</v>
      </c>
      <c r="DH460" s="15">
        <v>0.0</v>
      </c>
      <c r="DI460" s="15">
        <v>0.0</v>
      </c>
      <c r="DJ460" s="15" t="s">
        <v>469</v>
      </c>
      <c r="DK460" s="15" t="s">
        <v>855</v>
      </c>
      <c r="DL460" s="15" t="str">
        <f>IFERROR(__xludf.DUMMYFUNCTION("""COMPUTED_VALUE"""),"Clean with solvent-based (dry clean only) products. Do not use water.")</f>
        <v>Clean with solvent-based (dry clean only) products. Do not use water.</v>
      </c>
      <c r="DM460" s="15" t="s">
        <v>856</v>
      </c>
      <c r="DN460" s="15" t="s">
        <v>419</v>
      </c>
      <c r="DO460" s="15">
        <v>0.0</v>
      </c>
      <c r="DP460" s="15" t="s">
        <v>419</v>
      </c>
      <c r="DQ460" s="15" t="s">
        <v>1255</v>
      </c>
      <c r="DR460" s="15">
        <v>0.0</v>
      </c>
      <c r="DT460" s="15" t="s">
        <v>721</v>
      </c>
      <c r="DU460" s="15" t="s">
        <v>419</v>
      </c>
      <c r="DV460" s="15">
        <v>0.0</v>
      </c>
      <c r="DW460" s="15">
        <v>0.0</v>
      </c>
      <c r="DX460" s="15">
        <v>0.0</v>
      </c>
      <c r="DY460" s="15">
        <v>0.0</v>
      </c>
      <c r="DZ460" s="15">
        <v>25000.0</v>
      </c>
      <c r="EA460" s="15" t="s">
        <v>722</v>
      </c>
      <c r="EB460" s="15" t="s">
        <v>723</v>
      </c>
      <c r="EC460" s="15" t="s">
        <v>724</v>
      </c>
      <c r="ED460" s="15">
        <v>1.0</v>
      </c>
      <c r="EE460" s="15">
        <v>4.0</v>
      </c>
      <c r="EF460" s="15" t="s">
        <v>471</v>
      </c>
      <c r="EG460" s="15" t="s">
        <v>472</v>
      </c>
      <c r="EH460" s="15" t="s">
        <v>5585</v>
      </c>
      <c r="EI460" s="15">
        <v>0.0</v>
      </c>
      <c r="EJ460" s="15" t="s">
        <v>588</v>
      </c>
      <c r="EK460" s="15" t="s">
        <v>589</v>
      </c>
      <c r="EL460" s="15" t="s">
        <v>1214</v>
      </c>
      <c r="EM460" s="15" t="str">
        <f>IFERROR(__xludf.DUMMYFUNCTION("""COMPUTED_VALUE"""),"{""value"":21.75,""unit"":""in""}")</f>
        <v>{"value":21.75,"unit":"in"}</v>
      </c>
      <c r="EN460" s="15" t="s">
        <v>5586</v>
      </c>
      <c r="EO460" s="15" t="s">
        <v>1738</v>
      </c>
      <c r="ES460" s="15" t="s">
        <v>505</v>
      </c>
      <c r="EW460" s="15" t="s">
        <v>2805</v>
      </c>
      <c r="EX460" s="15" t="s">
        <v>672</v>
      </c>
      <c r="EY460" s="15" t="s">
        <v>3481</v>
      </c>
    </row>
    <row r="461" ht="15.75" customHeight="1">
      <c r="A461" s="14" t="s">
        <v>391</v>
      </c>
      <c r="B461" s="15" t="s">
        <v>5587</v>
      </c>
      <c r="C461" s="16"/>
      <c r="D461" s="15" t="s">
        <v>432</v>
      </c>
      <c r="G461" s="14" t="s">
        <v>393</v>
      </c>
      <c r="H461" s="14" t="s">
        <v>394</v>
      </c>
      <c r="I461" s="14" t="b">
        <v>1</v>
      </c>
      <c r="J461" s="14" t="s">
        <v>395</v>
      </c>
      <c r="L461" s="14" t="b">
        <v>0</v>
      </c>
      <c r="M461" s="15" t="s">
        <v>5588</v>
      </c>
      <c r="N461" s="14" t="s">
        <v>393</v>
      </c>
      <c r="O461" s="14" t="s">
        <v>393</v>
      </c>
      <c r="P461" s="15" t="s">
        <v>397</v>
      </c>
      <c r="Q461" s="15" t="s">
        <v>5589</v>
      </c>
      <c r="T461" s="14" t="b">
        <v>0</v>
      </c>
      <c r="U461" s="15" t="s">
        <v>5590</v>
      </c>
      <c r="V461" s="15" t="s">
        <v>5591</v>
      </c>
      <c r="W461" s="15" t="s">
        <v>401</v>
      </c>
      <c r="X461" s="15" t="s">
        <v>742</v>
      </c>
      <c r="Y461" s="15">
        <v>3068.0</v>
      </c>
      <c r="AA461" s="15" t="str">
        <f t="shared" ref="AA461:AA462" si="831">"1180"</f>
        <v>1180</v>
      </c>
      <c r="AB461" s="14" t="b">
        <v>1</v>
      </c>
      <c r="AC461" s="14" t="b">
        <v>1</v>
      </c>
      <c r="AD461" s="15" t="str">
        <f>"198394080231"</f>
        <v>198394080231</v>
      </c>
      <c r="AE461" s="15" t="s">
        <v>5592</v>
      </c>
      <c r="AF461" s="14" t="s">
        <v>404</v>
      </c>
      <c r="AG461" s="14" t="s">
        <v>405</v>
      </c>
      <c r="AH461" s="14" t="s">
        <v>406</v>
      </c>
      <c r="AI461" s="15">
        <v>0.0</v>
      </c>
      <c r="AL461" s="15" t="s">
        <v>5593</v>
      </c>
      <c r="AM461" s="15" t="s">
        <v>452</v>
      </c>
      <c r="AN461" s="15" t="s">
        <v>453</v>
      </c>
      <c r="AO461" s="15" t="s">
        <v>2213</v>
      </c>
      <c r="AP461" s="15" t="s">
        <v>2214</v>
      </c>
      <c r="AQ461" s="15" t="s">
        <v>1276</v>
      </c>
      <c r="AR461" s="15" t="s">
        <v>1277</v>
      </c>
      <c r="AS461" s="15" t="s">
        <v>2759</v>
      </c>
      <c r="AT461" s="15" t="s">
        <v>5589</v>
      </c>
      <c r="AU461" s="15" t="s">
        <v>5594</v>
      </c>
      <c r="AW461" s="15" t="s">
        <v>2134</v>
      </c>
      <c r="AX461" s="15" t="s">
        <v>2171</v>
      </c>
      <c r="AY461" s="15" t="s">
        <v>413</v>
      </c>
      <c r="AZ461" s="15" t="b">
        <v>0</v>
      </c>
      <c r="BA461" s="15" t="s">
        <v>413</v>
      </c>
      <c r="BB461" s="15" t="b">
        <v>0</v>
      </c>
      <c r="BC461" s="15" t="s">
        <v>5595</v>
      </c>
      <c r="BD461" s="15" t="s">
        <v>742</v>
      </c>
      <c r="BE461" s="15" t="str">
        <f t="shared" si="799"/>
        <v>1</v>
      </c>
      <c r="BF461" s="15" t="s">
        <v>5596</v>
      </c>
      <c r="BG461" s="15" t="str">
        <f t="shared" ref="BG461:BG462" si="832">"73.5"</f>
        <v>73.5</v>
      </c>
      <c r="BH461" s="15" t="s">
        <v>5597</v>
      </c>
      <c r="BI461" s="15" t="str">
        <f t="shared" ref="BI461:BI462" si="833">"28.74"</f>
        <v>28.74</v>
      </c>
      <c r="BJ461" s="15" t="s">
        <v>2113</v>
      </c>
      <c r="BK461" s="15" t="str">
        <f t="shared" ref="BK461:BK462" si="834">"38.86"</f>
        <v>38.86</v>
      </c>
      <c r="BL461" s="15" t="s">
        <v>5598</v>
      </c>
      <c r="BM461" s="15" t="str">
        <f t="shared" ref="BM461:BM462" si="835">"222.67"</f>
        <v>222.67</v>
      </c>
      <c r="BN461" s="15" t="s">
        <v>5599</v>
      </c>
      <c r="BQ461" s="15" t="s">
        <v>444</v>
      </c>
      <c r="BS461" s="15" t="s">
        <v>444</v>
      </c>
      <c r="BU461" s="15" t="s">
        <v>444</v>
      </c>
      <c r="BW461" s="15" t="s">
        <v>444</v>
      </c>
      <c r="BZ461" s="15" t="s">
        <v>444</v>
      </c>
      <c r="CB461" s="15" t="s">
        <v>444</v>
      </c>
      <c r="CD461" s="15" t="s">
        <v>444</v>
      </c>
      <c r="CF461" s="15" t="s">
        <v>444</v>
      </c>
      <c r="CI461" s="15" t="s">
        <v>444</v>
      </c>
      <c r="CK461" s="15" t="s">
        <v>444</v>
      </c>
      <c r="CM461" s="15" t="s">
        <v>444</v>
      </c>
      <c r="CO461" s="15" t="s">
        <v>444</v>
      </c>
      <c r="CP461" s="15" t="str">
        <f t="shared" ref="CP461:CP462" si="836">"47.5"</f>
        <v>47.5</v>
      </c>
      <c r="CQ461" s="15" t="str">
        <f t="shared" ref="CQ461:CQ462" si="837">"1.345"</f>
        <v>1.345</v>
      </c>
      <c r="CR461" s="15" t="s">
        <v>497</v>
      </c>
      <c r="DC461" s="15" t="str">
        <f>IFERROR(__xludf.DUMMYFUNCTION("""COMPUTED_VALUE"""),"")</f>
        <v/>
      </c>
      <c r="DE461" s="15" t="str">
        <f>IFERROR(__xludf.DUMMYFUNCTION("""COMPUTED_VALUE"""),"")</f>
        <v/>
      </c>
      <c r="DG461" s="15" t="str">
        <f>IFERROR(__xludf.DUMMYFUNCTION("""COMPUTED_VALUE"""),"")</f>
        <v/>
      </c>
      <c r="DL461" s="15" t="str">
        <f>IFERROR(__xludf.DUMMYFUNCTION("""COMPUTED_VALUE"""),"")</f>
        <v/>
      </c>
      <c r="DM461" s="15" t="s">
        <v>444</v>
      </c>
      <c r="DN461" s="15" t="s">
        <v>418</v>
      </c>
      <c r="DO461" s="15">
        <v>3.0</v>
      </c>
      <c r="DP461" s="15" t="s">
        <v>419</v>
      </c>
      <c r="DR461" s="15">
        <v>0.0</v>
      </c>
      <c r="DT461" s="15" t="s">
        <v>420</v>
      </c>
      <c r="DU461" s="15" t="s">
        <v>421</v>
      </c>
      <c r="DY461" s="15">
        <v>0.0</v>
      </c>
      <c r="EF461" s="15" t="s">
        <v>4768</v>
      </c>
      <c r="EG461" s="15" t="s">
        <v>4769</v>
      </c>
      <c r="EH461" s="15" t="s">
        <v>5600</v>
      </c>
      <c r="EJ461" s="15" t="s">
        <v>500</v>
      </c>
      <c r="EK461" s="15" t="s">
        <v>501</v>
      </c>
      <c r="EM461" s="15" t="str">
        <f>IFERROR(__xludf.DUMMYFUNCTION("""COMPUTED_VALUE"""),"")</f>
        <v/>
      </c>
      <c r="EW461" s="15" t="s">
        <v>555</v>
      </c>
      <c r="EY461" s="15" t="s">
        <v>5601</v>
      </c>
      <c r="FH461" s="15" t="s">
        <v>555</v>
      </c>
      <c r="FI461" s="15" t="s">
        <v>4947</v>
      </c>
      <c r="FJ461" s="15" t="s">
        <v>1957</v>
      </c>
      <c r="FK461" s="15" t="s">
        <v>1957</v>
      </c>
      <c r="FM461" s="15">
        <v>0.0</v>
      </c>
      <c r="FV461" s="15" t="s">
        <v>555</v>
      </c>
      <c r="GH461" s="15">
        <v>0.0</v>
      </c>
      <c r="GI461" s="15" t="s">
        <v>427</v>
      </c>
      <c r="GQ461" s="15" t="s">
        <v>1933</v>
      </c>
      <c r="GS461" s="15" t="s">
        <v>2162</v>
      </c>
      <c r="GU461" s="15" t="s">
        <v>5602</v>
      </c>
      <c r="GW461" s="15" t="s">
        <v>431</v>
      </c>
      <c r="GY461" s="15" t="s">
        <v>764</v>
      </c>
      <c r="HD461" s="15">
        <v>0.0</v>
      </c>
      <c r="IG461" s="15" t="s">
        <v>426</v>
      </c>
    </row>
    <row r="462" ht="15.75" customHeight="1">
      <c r="A462" s="14" t="s">
        <v>391</v>
      </c>
      <c r="B462" s="15" t="s">
        <v>5587</v>
      </c>
      <c r="C462" s="16"/>
      <c r="D462" s="15" t="s">
        <v>432</v>
      </c>
      <c r="G462" s="14" t="s">
        <v>393</v>
      </c>
      <c r="H462" s="14" t="s">
        <v>394</v>
      </c>
      <c r="I462" s="14" t="b">
        <v>1</v>
      </c>
      <c r="J462" s="14" t="s">
        <v>395</v>
      </c>
      <c r="L462" s="14" t="b">
        <v>0</v>
      </c>
      <c r="M462" s="15" t="s">
        <v>5603</v>
      </c>
      <c r="N462" s="14" t="s">
        <v>393</v>
      </c>
      <c r="O462" s="14" t="s">
        <v>393</v>
      </c>
      <c r="P462" s="15" t="s">
        <v>397</v>
      </c>
      <c r="Q462" s="15" t="s">
        <v>5604</v>
      </c>
      <c r="T462" s="14" t="b">
        <v>0</v>
      </c>
      <c r="U462" s="15" t="s">
        <v>5605</v>
      </c>
      <c r="V462" s="15" t="s">
        <v>5591</v>
      </c>
      <c r="W462" s="15" t="s">
        <v>401</v>
      </c>
      <c r="X462" s="15" t="s">
        <v>742</v>
      </c>
      <c r="Y462" s="15">
        <v>3068.0</v>
      </c>
      <c r="AA462" s="15" t="str">
        <f t="shared" si="831"/>
        <v>1180</v>
      </c>
      <c r="AB462" s="14" t="b">
        <v>1</v>
      </c>
      <c r="AC462" s="14" t="b">
        <v>1</v>
      </c>
      <c r="AD462" s="15" t="str">
        <f>"801542792985"</f>
        <v>801542792985</v>
      </c>
      <c r="AE462" s="15" t="s">
        <v>5606</v>
      </c>
      <c r="AF462" s="14" t="s">
        <v>404</v>
      </c>
      <c r="AG462" s="14" t="s">
        <v>405</v>
      </c>
      <c r="AH462" s="14" t="s">
        <v>406</v>
      </c>
      <c r="AI462" s="15">
        <v>0.0</v>
      </c>
      <c r="AL462" s="15" t="s">
        <v>5593</v>
      </c>
      <c r="AM462" s="15" t="s">
        <v>452</v>
      </c>
      <c r="AN462" s="15" t="s">
        <v>453</v>
      </c>
      <c r="AO462" s="15" t="s">
        <v>2213</v>
      </c>
      <c r="AP462" s="15" t="s">
        <v>2214</v>
      </c>
      <c r="AQ462" s="15" t="s">
        <v>1276</v>
      </c>
      <c r="AR462" s="15" t="s">
        <v>1277</v>
      </c>
      <c r="AS462" s="15" t="s">
        <v>2759</v>
      </c>
      <c r="AT462" s="15" t="s">
        <v>5604</v>
      </c>
      <c r="AW462" s="15" t="s">
        <v>2134</v>
      </c>
      <c r="AX462" s="15" t="s">
        <v>2171</v>
      </c>
      <c r="AY462" s="15" t="s">
        <v>413</v>
      </c>
      <c r="AZ462" s="15" t="b">
        <v>0</v>
      </c>
      <c r="BA462" s="15" t="s">
        <v>413</v>
      </c>
      <c r="BB462" s="15" t="b">
        <v>0</v>
      </c>
      <c r="BC462" s="15" t="s">
        <v>5607</v>
      </c>
      <c r="BD462" s="15" t="s">
        <v>742</v>
      </c>
      <c r="BE462" s="15" t="str">
        <f t="shared" si="799"/>
        <v>1</v>
      </c>
      <c r="BF462" s="15" t="s">
        <v>5596</v>
      </c>
      <c r="BG462" s="15" t="str">
        <f t="shared" si="832"/>
        <v>73.5</v>
      </c>
      <c r="BH462" s="15" t="s">
        <v>5597</v>
      </c>
      <c r="BI462" s="15" t="str">
        <f t="shared" si="833"/>
        <v>28.74</v>
      </c>
      <c r="BJ462" s="15" t="s">
        <v>2113</v>
      </c>
      <c r="BK462" s="15" t="str">
        <f t="shared" si="834"/>
        <v>38.86</v>
      </c>
      <c r="BL462" s="15" t="s">
        <v>5598</v>
      </c>
      <c r="BM462" s="15" t="str">
        <f t="shared" si="835"/>
        <v>222.67</v>
      </c>
      <c r="BN462" s="15" t="s">
        <v>5599</v>
      </c>
      <c r="BQ462" s="15" t="s">
        <v>444</v>
      </c>
      <c r="BS462" s="15" t="s">
        <v>444</v>
      </c>
      <c r="BU462" s="15" t="s">
        <v>444</v>
      </c>
      <c r="BW462" s="15" t="s">
        <v>444</v>
      </c>
      <c r="BZ462" s="15" t="s">
        <v>444</v>
      </c>
      <c r="CB462" s="15" t="s">
        <v>444</v>
      </c>
      <c r="CD462" s="15" t="s">
        <v>444</v>
      </c>
      <c r="CF462" s="15" t="s">
        <v>444</v>
      </c>
      <c r="CI462" s="15" t="s">
        <v>444</v>
      </c>
      <c r="CK462" s="15" t="s">
        <v>444</v>
      </c>
      <c r="CM462" s="15" t="s">
        <v>444</v>
      </c>
      <c r="CO462" s="15" t="s">
        <v>444</v>
      </c>
      <c r="CP462" s="15" t="str">
        <f t="shared" si="836"/>
        <v>47.5</v>
      </c>
      <c r="CQ462" s="15" t="str">
        <f t="shared" si="837"/>
        <v>1.345</v>
      </c>
      <c r="CR462" s="15" t="s">
        <v>497</v>
      </c>
      <c r="DC462" s="15" t="str">
        <f>IFERROR(__xludf.DUMMYFUNCTION("""COMPUTED_VALUE"""),"")</f>
        <v/>
      </c>
      <c r="DE462" s="15" t="str">
        <f>IFERROR(__xludf.DUMMYFUNCTION("""COMPUTED_VALUE"""),"")</f>
        <v/>
      </c>
      <c r="DG462" s="15" t="str">
        <f>IFERROR(__xludf.DUMMYFUNCTION("""COMPUTED_VALUE"""),"")</f>
        <v/>
      </c>
      <c r="DL462" s="15" t="str">
        <f>IFERROR(__xludf.DUMMYFUNCTION("""COMPUTED_VALUE"""),"")</f>
        <v/>
      </c>
      <c r="DM462" s="15" t="s">
        <v>444</v>
      </c>
      <c r="DN462" s="15" t="s">
        <v>418</v>
      </c>
      <c r="DO462" s="15">
        <v>3.0</v>
      </c>
      <c r="DP462" s="15" t="s">
        <v>419</v>
      </c>
      <c r="DR462" s="15">
        <v>0.0</v>
      </c>
      <c r="DT462" s="15" t="s">
        <v>420</v>
      </c>
      <c r="DU462" s="15" t="s">
        <v>421</v>
      </c>
      <c r="DY462" s="15">
        <v>0.0</v>
      </c>
      <c r="EF462" s="15" t="s">
        <v>4768</v>
      </c>
      <c r="EG462" s="15" t="s">
        <v>4769</v>
      </c>
      <c r="EH462" s="15" t="s">
        <v>5600</v>
      </c>
      <c r="EJ462" s="15" t="s">
        <v>500</v>
      </c>
      <c r="EK462" s="15" t="s">
        <v>501</v>
      </c>
      <c r="EM462" s="15" t="str">
        <f>IFERROR(__xludf.DUMMYFUNCTION("""COMPUTED_VALUE"""),"")</f>
        <v/>
      </c>
      <c r="EW462" s="15" t="s">
        <v>555</v>
      </c>
      <c r="EY462" s="15" t="s">
        <v>5601</v>
      </c>
      <c r="FH462" s="15" t="s">
        <v>555</v>
      </c>
      <c r="FI462" s="15" t="s">
        <v>4947</v>
      </c>
      <c r="FJ462" s="15" t="s">
        <v>1957</v>
      </c>
      <c r="FK462" s="15" t="s">
        <v>1957</v>
      </c>
      <c r="FM462" s="15">
        <v>0.0</v>
      </c>
      <c r="FV462" s="15" t="s">
        <v>555</v>
      </c>
      <c r="GH462" s="15">
        <v>0.0</v>
      </c>
      <c r="GI462" s="15" t="s">
        <v>427</v>
      </c>
      <c r="GQ462" s="15" t="s">
        <v>1933</v>
      </c>
      <c r="GS462" s="15" t="s">
        <v>2162</v>
      </c>
      <c r="GU462" s="15" t="s">
        <v>5602</v>
      </c>
      <c r="GW462" s="15" t="s">
        <v>431</v>
      </c>
      <c r="GY462" s="15" t="s">
        <v>764</v>
      </c>
      <c r="HD462" s="15">
        <v>0.0</v>
      </c>
      <c r="IG462" s="15" t="s">
        <v>426</v>
      </c>
    </row>
    <row r="463" ht="15.75" customHeight="1">
      <c r="A463" s="14" t="s">
        <v>391</v>
      </c>
      <c r="B463" s="15" t="s">
        <v>5608</v>
      </c>
      <c r="C463" s="16"/>
      <c r="D463" s="15" t="s">
        <v>432</v>
      </c>
      <c r="G463" s="14" t="s">
        <v>393</v>
      </c>
      <c r="H463" s="14" t="s">
        <v>394</v>
      </c>
      <c r="I463" s="14" t="b">
        <v>1</v>
      </c>
      <c r="J463" s="14" t="s">
        <v>395</v>
      </c>
      <c r="L463" s="14" t="b">
        <v>0</v>
      </c>
      <c r="M463" s="15" t="s">
        <v>5609</v>
      </c>
      <c r="N463" s="14" t="s">
        <v>393</v>
      </c>
      <c r="O463" s="14" t="s">
        <v>393</v>
      </c>
      <c r="P463" s="15" t="s">
        <v>397</v>
      </c>
      <c r="Q463" s="15" t="s">
        <v>5604</v>
      </c>
      <c r="T463" s="14" t="b">
        <v>0</v>
      </c>
      <c r="U463" s="15" t="s">
        <v>5610</v>
      </c>
      <c r="V463" s="15" t="s">
        <v>5611</v>
      </c>
      <c r="W463" s="15" t="s">
        <v>401</v>
      </c>
      <c r="X463" s="15" t="s">
        <v>742</v>
      </c>
      <c r="Y463" s="15">
        <v>3718.0</v>
      </c>
      <c r="AA463" s="15" t="str">
        <f>"1430"</f>
        <v>1430</v>
      </c>
      <c r="AB463" s="14" t="b">
        <v>1</v>
      </c>
      <c r="AC463" s="14" t="b">
        <v>1</v>
      </c>
      <c r="AD463" s="15" t="str">
        <f>"801542000080"</f>
        <v>801542000080</v>
      </c>
      <c r="AE463" s="15" t="s">
        <v>5612</v>
      </c>
      <c r="AF463" s="14" t="s">
        <v>404</v>
      </c>
      <c r="AG463" s="14" t="s">
        <v>405</v>
      </c>
      <c r="AH463" s="14" t="s">
        <v>406</v>
      </c>
      <c r="AI463" s="15">
        <v>0.0</v>
      </c>
      <c r="AL463" s="15" t="s">
        <v>5593</v>
      </c>
      <c r="AM463" s="15" t="s">
        <v>770</v>
      </c>
      <c r="AN463" s="15" t="s">
        <v>771</v>
      </c>
      <c r="AO463" s="15" t="s">
        <v>2557</v>
      </c>
      <c r="AP463" s="15" t="s">
        <v>2558</v>
      </c>
      <c r="AQ463" s="15" t="s">
        <v>546</v>
      </c>
      <c r="AR463" s="15" t="s">
        <v>547</v>
      </c>
      <c r="AS463" s="15" t="s">
        <v>2759</v>
      </c>
      <c r="AT463" s="15" t="s">
        <v>5604</v>
      </c>
      <c r="AW463" s="15" t="s">
        <v>548</v>
      </c>
      <c r="AX463" s="15" t="s">
        <v>549</v>
      </c>
      <c r="AY463" s="15" t="s">
        <v>413</v>
      </c>
      <c r="AZ463" s="15" t="b">
        <v>0</v>
      </c>
      <c r="BA463" s="15" t="s">
        <v>413</v>
      </c>
      <c r="BB463" s="15" t="b">
        <v>0</v>
      </c>
      <c r="BC463" s="15" t="s">
        <v>5613</v>
      </c>
      <c r="BD463" s="15" t="s">
        <v>742</v>
      </c>
      <c r="BE463" s="15" t="str">
        <f>"2"</f>
        <v>2</v>
      </c>
      <c r="BF463" s="15" t="s">
        <v>1564</v>
      </c>
      <c r="BG463" s="15" t="str">
        <f>"98.62"</f>
        <v>98.62</v>
      </c>
      <c r="BH463" s="15" t="s">
        <v>5614</v>
      </c>
      <c r="BI463" s="15" t="str">
        <f>"7.09"</f>
        <v>7.09</v>
      </c>
      <c r="BJ463" s="15" t="s">
        <v>5615</v>
      </c>
      <c r="BK463" s="15" t="str">
        <f>"40.47"</f>
        <v>40.47</v>
      </c>
      <c r="BL463" s="15" t="s">
        <v>5616</v>
      </c>
      <c r="BM463" s="15" t="str">
        <f>"123.46"</f>
        <v>123.46</v>
      </c>
      <c r="BN463" s="15" t="s">
        <v>5318</v>
      </c>
      <c r="BO463" s="15" t="s">
        <v>5617</v>
      </c>
      <c r="BP463" s="15" t="str">
        <f>"99.61"</f>
        <v>99.61</v>
      </c>
      <c r="BQ463" s="15" t="s">
        <v>775</v>
      </c>
      <c r="BR463" s="15" t="str">
        <f>"12.6"</f>
        <v>12.6</v>
      </c>
      <c r="BS463" s="15" t="s">
        <v>819</v>
      </c>
      <c r="BT463" s="15" t="str">
        <f>"36.42"</f>
        <v>36.42</v>
      </c>
      <c r="BU463" s="15" t="s">
        <v>3046</v>
      </c>
      <c r="BV463" s="15" t="str">
        <f>"141.1"</f>
        <v>141.1</v>
      </c>
      <c r="BW463" s="15" t="s">
        <v>5618</v>
      </c>
      <c r="BZ463" s="15" t="s">
        <v>444</v>
      </c>
      <c r="CB463" s="15" t="s">
        <v>444</v>
      </c>
      <c r="CD463" s="15" t="s">
        <v>444</v>
      </c>
      <c r="CF463" s="15" t="s">
        <v>444</v>
      </c>
      <c r="CI463" s="15" t="s">
        <v>444</v>
      </c>
      <c r="CK463" s="15" t="s">
        <v>444</v>
      </c>
      <c r="CM463" s="15" t="s">
        <v>444</v>
      </c>
      <c r="CO463" s="15" t="s">
        <v>444</v>
      </c>
      <c r="CP463" s="15" t="str">
        <f>"42.84"</f>
        <v>42.84</v>
      </c>
      <c r="CQ463" s="15" t="str">
        <f>"1.213"</f>
        <v>1.213</v>
      </c>
      <c r="CR463" s="15" t="s">
        <v>465</v>
      </c>
      <c r="DC463" s="15" t="str">
        <f>IFERROR(__xludf.DUMMYFUNCTION("""COMPUTED_VALUE"""),"")</f>
        <v/>
      </c>
      <c r="DE463" s="15" t="str">
        <f>IFERROR(__xludf.DUMMYFUNCTION("""COMPUTED_VALUE"""),"")</f>
        <v/>
      </c>
      <c r="DG463" s="15" t="str">
        <f>IFERROR(__xludf.DUMMYFUNCTION("""COMPUTED_VALUE"""),"")</f>
        <v/>
      </c>
      <c r="DL463" s="15" t="str">
        <f>IFERROR(__xludf.DUMMYFUNCTION("""COMPUTED_VALUE"""),"")</f>
        <v/>
      </c>
      <c r="DM463" s="15" t="s">
        <v>444</v>
      </c>
      <c r="DN463" s="15" t="s">
        <v>419</v>
      </c>
      <c r="DO463" s="15">
        <v>0.0</v>
      </c>
      <c r="DP463" s="15" t="s">
        <v>419</v>
      </c>
      <c r="DR463" s="15">
        <v>0.0</v>
      </c>
      <c r="DT463" s="15" t="s">
        <v>420</v>
      </c>
      <c r="DU463" s="15" t="s">
        <v>419</v>
      </c>
      <c r="DW463" s="15">
        <v>0.0</v>
      </c>
      <c r="DX463" s="15">
        <v>0.0</v>
      </c>
      <c r="DY463" s="15">
        <v>0.0</v>
      </c>
      <c r="EE463" s="15">
        <v>10.0</v>
      </c>
      <c r="EF463" s="15" t="s">
        <v>471</v>
      </c>
      <c r="EG463" s="15" t="s">
        <v>472</v>
      </c>
      <c r="EH463" s="15" t="s">
        <v>5600</v>
      </c>
      <c r="EJ463" s="15" t="s">
        <v>424</v>
      </c>
      <c r="EK463" s="15" t="s">
        <v>446</v>
      </c>
      <c r="EM463" s="15" t="str">
        <f>IFERROR(__xludf.DUMMYFUNCTION("""COMPUTED_VALUE"""),"")</f>
        <v/>
      </c>
      <c r="EW463" s="15" t="s">
        <v>987</v>
      </c>
      <c r="EX463" s="15" t="s">
        <v>5619</v>
      </c>
      <c r="EY463" s="15" t="s">
        <v>5620</v>
      </c>
      <c r="FH463" s="15" t="s">
        <v>2603</v>
      </c>
      <c r="FI463" s="15" t="s">
        <v>558</v>
      </c>
      <c r="FJ463" s="15" t="s">
        <v>5621</v>
      </c>
      <c r="FK463" s="15" t="s">
        <v>5622</v>
      </c>
      <c r="FL463" s="15" t="s">
        <v>426</v>
      </c>
      <c r="FM463" s="15">
        <v>0.0</v>
      </c>
      <c r="FN463" s="15">
        <v>0.0</v>
      </c>
      <c r="FV463" s="15" t="s">
        <v>987</v>
      </c>
      <c r="FX463" s="15" t="s">
        <v>559</v>
      </c>
    </row>
    <row r="464" ht="15.75" customHeight="1">
      <c r="A464" s="14" t="s">
        <v>391</v>
      </c>
      <c r="B464" s="15" t="s">
        <v>5623</v>
      </c>
      <c r="C464" s="16"/>
      <c r="D464" s="15" t="s">
        <v>432</v>
      </c>
      <c r="G464" s="14" t="s">
        <v>393</v>
      </c>
      <c r="H464" s="14" t="s">
        <v>394</v>
      </c>
      <c r="I464" s="14" t="b">
        <v>1</v>
      </c>
      <c r="J464" s="14" t="s">
        <v>395</v>
      </c>
      <c r="L464" s="14" t="b">
        <v>0</v>
      </c>
      <c r="M464" s="15" t="s">
        <v>5624</v>
      </c>
      <c r="N464" s="14" t="s">
        <v>393</v>
      </c>
      <c r="O464" s="14" t="s">
        <v>393</v>
      </c>
      <c r="P464" s="15" t="s">
        <v>397</v>
      </c>
      <c r="Q464" s="15" t="s">
        <v>5604</v>
      </c>
      <c r="T464" s="14" t="b">
        <v>0</v>
      </c>
      <c r="U464" s="15" t="s">
        <v>5625</v>
      </c>
      <c r="V464" s="15" t="s">
        <v>5626</v>
      </c>
      <c r="W464" s="15" t="s">
        <v>401</v>
      </c>
      <c r="X464" s="15" t="s">
        <v>742</v>
      </c>
      <c r="Y464" s="15">
        <v>3822.0</v>
      </c>
      <c r="AA464" s="15" t="str">
        <f t="shared" ref="AA464:AA465" si="838">"1470"</f>
        <v>1470</v>
      </c>
      <c r="AB464" s="14" t="b">
        <v>1</v>
      </c>
      <c r="AC464" s="14" t="b">
        <v>1</v>
      </c>
      <c r="AD464" s="15" t="str">
        <f>"801542792992"</f>
        <v>801542792992</v>
      </c>
      <c r="AE464" s="15" t="s">
        <v>5627</v>
      </c>
      <c r="AF464" s="14" t="s">
        <v>404</v>
      </c>
      <c r="AG464" s="14" t="s">
        <v>405</v>
      </c>
      <c r="AH464" s="14" t="s">
        <v>406</v>
      </c>
      <c r="AI464" s="15">
        <v>0.0</v>
      </c>
      <c r="AL464" s="15" t="s">
        <v>5593</v>
      </c>
      <c r="AM464" s="15" t="s">
        <v>408</v>
      </c>
      <c r="AN464" s="15" t="s">
        <v>437</v>
      </c>
      <c r="AO464" s="15" t="s">
        <v>409</v>
      </c>
      <c r="AP464" s="15" t="s">
        <v>438</v>
      </c>
      <c r="AQ464" s="15" t="s">
        <v>546</v>
      </c>
      <c r="AR464" s="15" t="s">
        <v>547</v>
      </c>
      <c r="AS464" s="15" t="s">
        <v>2759</v>
      </c>
      <c r="AT464" s="15" t="s">
        <v>5604</v>
      </c>
      <c r="AW464" s="15" t="s">
        <v>664</v>
      </c>
      <c r="AY464" s="15" t="s">
        <v>413</v>
      </c>
      <c r="AZ464" s="15" t="b">
        <v>0</v>
      </c>
      <c r="BA464" s="15" t="s">
        <v>413</v>
      </c>
      <c r="BB464" s="15" t="b">
        <v>0</v>
      </c>
      <c r="BC464" s="15" t="s">
        <v>5628</v>
      </c>
      <c r="BD464" s="15" t="s">
        <v>742</v>
      </c>
      <c r="BE464" s="15" t="str">
        <f t="shared" ref="BE464:BE486" si="839">"1"</f>
        <v>1</v>
      </c>
      <c r="BF464" s="15" t="s">
        <v>1455</v>
      </c>
      <c r="BG464" s="15" t="str">
        <f>"84"</f>
        <v>84</v>
      </c>
      <c r="BH464" s="15" t="s">
        <v>2152</v>
      </c>
      <c r="BI464" s="15" t="str">
        <f>"23.5"</f>
        <v>23.5</v>
      </c>
      <c r="BJ464" s="15" t="s">
        <v>2060</v>
      </c>
      <c r="BK464" s="15" t="str">
        <f>"34.84"</f>
        <v>34.84</v>
      </c>
      <c r="BL464" s="15" t="s">
        <v>5629</v>
      </c>
      <c r="BM464" s="15" t="str">
        <f>"304.24"</f>
        <v>304.24</v>
      </c>
      <c r="BN464" s="15" t="s">
        <v>5630</v>
      </c>
      <c r="BQ464" s="15" t="s">
        <v>444</v>
      </c>
      <c r="BS464" s="15" t="s">
        <v>444</v>
      </c>
      <c r="BU464" s="15" t="s">
        <v>444</v>
      </c>
      <c r="BW464" s="15" t="s">
        <v>444</v>
      </c>
      <c r="BZ464" s="15" t="s">
        <v>444</v>
      </c>
      <c r="CB464" s="15" t="s">
        <v>444</v>
      </c>
      <c r="CD464" s="15" t="s">
        <v>444</v>
      </c>
      <c r="CF464" s="15" t="s">
        <v>444</v>
      </c>
      <c r="CI464" s="15" t="s">
        <v>444</v>
      </c>
      <c r="CK464" s="15" t="s">
        <v>444</v>
      </c>
      <c r="CM464" s="15" t="s">
        <v>444</v>
      </c>
      <c r="CO464" s="15" t="s">
        <v>444</v>
      </c>
      <c r="CP464" s="15" t="str">
        <f>"39.8"</f>
        <v>39.8</v>
      </c>
      <c r="CQ464" s="15" t="str">
        <f>"1.127"</f>
        <v>1.127</v>
      </c>
      <c r="CR464" s="15" t="s">
        <v>417</v>
      </c>
      <c r="CV464" s="15" t="s">
        <v>2766</v>
      </c>
      <c r="CW464" s="15" t="s">
        <v>1074</v>
      </c>
      <c r="CX464" s="15" t="s">
        <v>5631</v>
      </c>
      <c r="DC464" s="15" t="str">
        <f>IFERROR(__xludf.DUMMYFUNCTION("""COMPUTED_VALUE"""),"")</f>
        <v/>
      </c>
      <c r="DE464" s="15" t="str">
        <f>IFERROR(__xludf.DUMMYFUNCTION("""COMPUTED_VALUE"""),"")</f>
        <v/>
      </c>
      <c r="DG464" s="15" t="str">
        <f>IFERROR(__xludf.DUMMYFUNCTION("""COMPUTED_VALUE"""),"")</f>
        <v/>
      </c>
      <c r="DL464" s="15" t="str">
        <f>IFERROR(__xludf.DUMMYFUNCTION("""COMPUTED_VALUE"""),"")</f>
        <v/>
      </c>
      <c r="DM464" s="15" t="s">
        <v>444</v>
      </c>
      <c r="DN464" s="15" t="s">
        <v>418</v>
      </c>
      <c r="DO464" s="15">
        <v>2.0</v>
      </c>
      <c r="DP464" s="15" t="s">
        <v>419</v>
      </c>
      <c r="DR464" s="15">
        <v>0.0</v>
      </c>
      <c r="DT464" s="15" t="s">
        <v>420</v>
      </c>
      <c r="DU464" s="15" t="s">
        <v>610</v>
      </c>
      <c r="DW464" s="15">
        <v>18.14</v>
      </c>
      <c r="DX464" s="15">
        <v>40.0</v>
      </c>
      <c r="DY464" s="15">
        <v>2.0</v>
      </c>
      <c r="EG464" s="15" t="s">
        <v>444</v>
      </c>
      <c r="EH464" s="15" t="s">
        <v>5600</v>
      </c>
      <c r="EJ464" s="15" t="s">
        <v>424</v>
      </c>
      <c r="EK464" s="15" t="s">
        <v>446</v>
      </c>
      <c r="EM464" s="15" t="str">
        <f>IFERROR(__xludf.DUMMYFUNCTION("""COMPUTED_VALUE"""),"")</f>
        <v/>
      </c>
      <c r="EW464" s="15" t="s">
        <v>2603</v>
      </c>
      <c r="FL464" s="15" t="s">
        <v>426</v>
      </c>
      <c r="FM464" s="15">
        <v>2.0</v>
      </c>
      <c r="FY464" s="15" t="s">
        <v>5632</v>
      </c>
      <c r="FZ464" s="15" t="s">
        <v>782</v>
      </c>
      <c r="GA464" s="15" t="s">
        <v>5633</v>
      </c>
      <c r="GB464" s="15" t="s">
        <v>2766</v>
      </c>
      <c r="GC464" s="15" t="s">
        <v>4469</v>
      </c>
      <c r="GD464" s="15" t="s">
        <v>5631</v>
      </c>
      <c r="GE464" s="15">
        <v>0.0</v>
      </c>
      <c r="GF464" s="15" t="s">
        <v>426</v>
      </c>
      <c r="GH464" s="15">
        <v>2.0</v>
      </c>
      <c r="GI464" s="15" t="s">
        <v>614</v>
      </c>
      <c r="GJ464" s="15" t="s">
        <v>1045</v>
      </c>
      <c r="GK464" s="15">
        <v>0.0</v>
      </c>
      <c r="GL464" s="15" t="s">
        <v>426</v>
      </c>
      <c r="GN464" s="15" t="s">
        <v>616</v>
      </c>
      <c r="GQ464" s="15" t="s">
        <v>1933</v>
      </c>
      <c r="GS464" s="15" t="s">
        <v>5634</v>
      </c>
      <c r="GU464" s="15" t="s">
        <v>5635</v>
      </c>
      <c r="GW464" s="15" t="s">
        <v>431</v>
      </c>
      <c r="HW464" s="15" t="s">
        <v>789</v>
      </c>
      <c r="IH464" s="15" t="s">
        <v>426</v>
      </c>
      <c r="KF464" s="15" t="s">
        <v>2766</v>
      </c>
    </row>
    <row r="465" ht="15.75" customHeight="1">
      <c r="A465" s="14" t="s">
        <v>391</v>
      </c>
      <c r="B465" s="15" t="s">
        <v>5636</v>
      </c>
      <c r="C465" s="16"/>
      <c r="D465" s="15" t="s">
        <v>432</v>
      </c>
      <c r="G465" s="14" t="s">
        <v>393</v>
      </c>
      <c r="H465" s="14" t="s">
        <v>394</v>
      </c>
      <c r="I465" s="14" t="b">
        <v>1</v>
      </c>
      <c r="J465" s="14" t="s">
        <v>395</v>
      </c>
      <c r="L465" s="14" t="b">
        <v>0</v>
      </c>
      <c r="M465" s="15" t="s">
        <v>5637</v>
      </c>
      <c r="N465" s="14" t="s">
        <v>393</v>
      </c>
      <c r="O465" s="14" t="s">
        <v>393</v>
      </c>
      <c r="P465" s="15" t="s">
        <v>397</v>
      </c>
      <c r="Q465" s="15" t="s">
        <v>5638</v>
      </c>
      <c r="T465" s="14" t="b">
        <v>0</v>
      </c>
      <c r="U465" s="15" t="s">
        <v>5639</v>
      </c>
      <c r="V465" s="15" t="s">
        <v>5640</v>
      </c>
      <c r="W465" s="15" t="s">
        <v>401</v>
      </c>
      <c r="X465" s="15" t="s">
        <v>695</v>
      </c>
      <c r="Y465" s="15">
        <v>3822.0</v>
      </c>
      <c r="AA465" s="15" t="str">
        <f t="shared" si="838"/>
        <v>1470</v>
      </c>
      <c r="AB465" s="14" t="b">
        <v>1</v>
      </c>
      <c r="AC465" s="14" t="b">
        <v>1</v>
      </c>
      <c r="AD465" s="15" t="str">
        <f>"198394058551"</f>
        <v>198394058551</v>
      </c>
      <c r="AE465" s="15" t="s">
        <v>5641</v>
      </c>
      <c r="AF465" s="14" t="s">
        <v>404</v>
      </c>
      <c r="AG465" s="14" t="s">
        <v>405</v>
      </c>
      <c r="AH465" s="14" t="s">
        <v>406</v>
      </c>
      <c r="AI465" s="15">
        <v>0.0</v>
      </c>
      <c r="AL465" s="15" t="s">
        <v>4955</v>
      </c>
      <c r="AM465" s="15" t="s">
        <v>408</v>
      </c>
      <c r="AN465" s="15" t="s">
        <v>437</v>
      </c>
      <c r="AO465" s="15" t="s">
        <v>1007</v>
      </c>
      <c r="AP465" s="15" t="s">
        <v>1008</v>
      </c>
      <c r="AQ465" s="15" t="s">
        <v>1085</v>
      </c>
      <c r="AR465" s="15" t="s">
        <v>1086</v>
      </c>
      <c r="AS465" s="15" t="s">
        <v>1474</v>
      </c>
      <c r="AT465" s="15" t="s">
        <v>5638</v>
      </c>
      <c r="AU465" s="15" t="s">
        <v>4996</v>
      </c>
      <c r="AW465" s="15" t="s">
        <v>602</v>
      </c>
      <c r="AY465" s="15" t="s">
        <v>413</v>
      </c>
      <c r="AZ465" s="15" t="b">
        <v>0</v>
      </c>
      <c r="BA465" s="15" t="s">
        <v>413</v>
      </c>
      <c r="BB465" s="15" t="b">
        <v>0</v>
      </c>
      <c r="BC465" s="15" t="s">
        <v>5642</v>
      </c>
      <c r="BD465" s="15" t="s">
        <v>709</v>
      </c>
      <c r="BE465" s="15" t="str">
        <f t="shared" si="839"/>
        <v>1</v>
      </c>
      <c r="BF465" s="15" t="s">
        <v>416</v>
      </c>
      <c r="BG465" s="15" t="str">
        <f>"84.25"</f>
        <v>84.25</v>
      </c>
      <c r="BH465" s="15" t="s">
        <v>910</v>
      </c>
      <c r="BI465" s="15" t="str">
        <f>"21.26"</f>
        <v>21.26</v>
      </c>
      <c r="BJ465" s="15" t="s">
        <v>684</v>
      </c>
      <c r="BK465" s="15" t="str">
        <f>"33.07"</f>
        <v>33.07</v>
      </c>
      <c r="BL465" s="15" t="s">
        <v>1091</v>
      </c>
      <c r="BM465" s="15" t="str">
        <f>"182.98"</f>
        <v>182.98</v>
      </c>
      <c r="BN465" s="15" t="s">
        <v>5643</v>
      </c>
      <c r="BQ465" s="15" t="s">
        <v>444</v>
      </c>
      <c r="BS465" s="15" t="s">
        <v>444</v>
      </c>
      <c r="BU465" s="15" t="s">
        <v>444</v>
      </c>
      <c r="BW465" s="15" t="s">
        <v>444</v>
      </c>
      <c r="BZ465" s="15" t="s">
        <v>444</v>
      </c>
      <c r="CB465" s="15" t="s">
        <v>444</v>
      </c>
      <c r="CD465" s="15" t="s">
        <v>444</v>
      </c>
      <c r="CF465" s="15" t="s">
        <v>444</v>
      </c>
      <c r="CI465" s="15" t="s">
        <v>444</v>
      </c>
      <c r="CK465" s="15" t="s">
        <v>444</v>
      </c>
      <c r="CM465" s="15" t="s">
        <v>444</v>
      </c>
      <c r="CO465" s="15" t="s">
        <v>444</v>
      </c>
      <c r="CP465" s="15" t="str">
        <f>"34.29"</f>
        <v>34.29</v>
      </c>
      <c r="CQ465" s="15" t="str">
        <f>"0.971"</f>
        <v>0.971</v>
      </c>
      <c r="CR465" s="15" t="s">
        <v>465</v>
      </c>
      <c r="CV465" s="15" t="s">
        <v>4918</v>
      </c>
      <c r="CW465" s="15" t="s">
        <v>525</v>
      </c>
      <c r="CX465" s="15" t="s">
        <v>5644</v>
      </c>
      <c r="DC465" s="15" t="str">
        <f>IFERROR(__xludf.DUMMYFUNCTION("""COMPUTED_VALUE"""),"")</f>
        <v/>
      </c>
      <c r="DE465" s="15" t="str">
        <f>IFERROR(__xludf.DUMMYFUNCTION("""COMPUTED_VALUE"""),"")</f>
        <v/>
      </c>
      <c r="DG465" s="15" t="str">
        <f>IFERROR(__xludf.DUMMYFUNCTION("""COMPUTED_VALUE"""),"")</f>
        <v/>
      </c>
      <c r="DL465" s="15" t="str">
        <f>IFERROR(__xludf.DUMMYFUNCTION("""COMPUTED_VALUE"""),"")</f>
        <v/>
      </c>
      <c r="DM465" s="15" t="s">
        <v>444</v>
      </c>
      <c r="DN465" s="15" t="s">
        <v>419</v>
      </c>
      <c r="DO465" s="15">
        <v>0.0</v>
      </c>
      <c r="DP465" s="15" t="s">
        <v>419</v>
      </c>
      <c r="DR465" s="15">
        <v>0.0</v>
      </c>
      <c r="DT465" s="15" t="s">
        <v>721</v>
      </c>
      <c r="DU465" s="15" t="s">
        <v>610</v>
      </c>
      <c r="DW465" s="15">
        <v>18.14</v>
      </c>
      <c r="DX465" s="15">
        <v>40.0</v>
      </c>
      <c r="DY465" s="15">
        <v>2.0</v>
      </c>
      <c r="EG465" s="15" t="s">
        <v>444</v>
      </c>
      <c r="EH465" s="15" t="s">
        <v>5645</v>
      </c>
      <c r="EK465" s="15" t="s">
        <v>444</v>
      </c>
      <c r="EM465" s="15" t="str">
        <f>IFERROR(__xludf.DUMMYFUNCTION("""COMPUTED_VALUE"""),"")</f>
        <v/>
      </c>
      <c r="EW465" s="15" t="s">
        <v>1808</v>
      </c>
      <c r="FL465" s="15" t="s">
        <v>426</v>
      </c>
      <c r="FM465" s="15">
        <v>2.0</v>
      </c>
      <c r="FY465" s="15" t="s">
        <v>2732</v>
      </c>
      <c r="FZ465" s="15" t="s">
        <v>1188</v>
      </c>
      <c r="GA465" s="15" t="s">
        <v>5646</v>
      </c>
      <c r="GB465" s="15" t="s">
        <v>4918</v>
      </c>
      <c r="GC465" s="15" t="s">
        <v>784</v>
      </c>
      <c r="GD465" s="15" t="s">
        <v>5644</v>
      </c>
      <c r="GF465" s="15" t="s">
        <v>426</v>
      </c>
      <c r="GG465" s="15" t="s">
        <v>1044</v>
      </c>
      <c r="GH465" s="15">
        <v>4.0</v>
      </c>
      <c r="GI465" s="15" t="s">
        <v>614</v>
      </c>
      <c r="GJ465" s="15" t="s">
        <v>786</v>
      </c>
      <c r="GL465" s="15" t="s">
        <v>426</v>
      </c>
      <c r="GN465" s="15" t="s">
        <v>3722</v>
      </c>
      <c r="HA465" s="15" t="s">
        <v>4918</v>
      </c>
      <c r="HB465" s="15" t="s">
        <v>525</v>
      </c>
      <c r="HC465" s="15" t="s">
        <v>5644</v>
      </c>
      <c r="HD465" s="15">
        <v>0.0</v>
      </c>
      <c r="HW465" s="15" t="s">
        <v>1807</v>
      </c>
      <c r="IH465" s="15" t="s">
        <v>426</v>
      </c>
    </row>
    <row r="466" ht="15.75" customHeight="1">
      <c r="A466" s="14" t="s">
        <v>391</v>
      </c>
      <c r="B466" s="15" t="s">
        <v>5647</v>
      </c>
      <c r="C466" s="16"/>
      <c r="D466" s="15" t="s">
        <v>432</v>
      </c>
      <c r="G466" s="14" t="s">
        <v>393</v>
      </c>
      <c r="H466" s="14" t="s">
        <v>394</v>
      </c>
      <c r="I466" s="14" t="b">
        <v>1</v>
      </c>
      <c r="J466" s="14" t="s">
        <v>395</v>
      </c>
      <c r="L466" s="14" t="b">
        <v>0</v>
      </c>
      <c r="M466" s="15" t="s">
        <v>5648</v>
      </c>
      <c r="N466" s="14" t="s">
        <v>393</v>
      </c>
      <c r="O466" s="14" t="s">
        <v>393</v>
      </c>
      <c r="P466" s="15" t="s">
        <v>397</v>
      </c>
      <c r="Q466" s="15" t="s">
        <v>5649</v>
      </c>
      <c r="T466" s="14" t="b">
        <v>0</v>
      </c>
      <c r="U466" s="15" t="s">
        <v>5650</v>
      </c>
      <c r="V466" s="15" t="s">
        <v>3219</v>
      </c>
      <c r="W466" s="15" t="s">
        <v>401</v>
      </c>
      <c r="X466" s="15" t="s">
        <v>742</v>
      </c>
      <c r="Y466" s="15">
        <v>2080.0</v>
      </c>
      <c r="AA466" s="15" t="str">
        <f t="shared" ref="AA466:AA467" si="840">"800"</f>
        <v>800</v>
      </c>
      <c r="AB466" s="14" t="b">
        <v>1</v>
      </c>
      <c r="AC466" s="14" t="b">
        <v>1</v>
      </c>
      <c r="AD466" s="15" t="str">
        <f>"801542013622"</f>
        <v>801542013622</v>
      </c>
      <c r="AE466" s="15" t="s">
        <v>5651</v>
      </c>
      <c r="AF466" s="14" t="s">
        <v>404</v>
      </c>
      <c r="AG466" s="14" t="s">
        <v>405</v>
      </c>
      <c r="AH466" s="14" t="s">
        <v>406</v>
      </c>
      <c r="AI466" s="15">
        <v>0.0</v>
      </c>
      <c r="AL466" s="15" t="s">
        <v>2354</v>
      </c>
      <c r="AM466" s="15" t="s">
        <v>2834</v>
      </c>
      <c r="AN466" s="15" t="s">
        <v>2239</v>
      </c>
      <c r="AO466" s="15" t="s">
        <v>1007</v>
      </c>
      <c r="AP466" s="15" t="s">
        <v>1008</v>
      </c>
      <c r="AQ466" s="15" t="s">
        <v>2151</v>
      </c>
      <c r="AR466" s="15" t="s">
        <v>2152</v>
      </c>
      <c r="AS466" s="15" t="s">
        <v>5652</v>
      </c>
      <c r="AT466" s="15" t="s">
        <v>5649</v>
      </c>
      <c r="AW466" s="15" t="s">
        <v>1899</v>
      </c>
      <c r="AY466" s="15" t="s">
        <v>413</v>
      </c>
      <c r="AZ466" s="15" t="b">
        <v>0</v>
      </c>
      <c r="BA466" s="15" t="s">
        <v>413</v>
      </c>
      <c r="BB466" s="15" t="b">
        <v>0</v>
      </c>
      <c r="BC466" s="15" t="s">
        <v>5653</v>
      </c>
      <c r="BD466" s="15" t="s">
        <v>742</v>
      </c>
      <c r="BE466" s="15" t="str">
        <f t="shared" si="839"/>
        <v>1</v>
      </c>
      <c r="BF466" s="15" t="s">
        <v>4803</v>
      </c>
      <c r="BG466" s="15" t="str">
        <f t="shared" ref="BG466:BG467" si="841">"39.17"</f>
        <v>39.17</v>
      </c>
      <c r="BH466" s="15" t="s">
        <v>1105</v>
      </c>
      <c r="BI466" s="15" t="str">
        <f t="shared" ref="BI466:BI467" si="842">"22.05"</f>
        <v>22.05</v>
      </c>
      <c r="BJ466" s="15" t="s">
        <v>2310</v>
      </c>
      <c r="BK466" s="15" t="str">
        <f t="shared" ref="BK466:BK467" si="843">"90.94"</f>
        <v>90.94</v>
      </c>
      <c r="BL466" s="15" t="s">
        <v>1130</v>
      </c>
      <c r="BM466" s="15" t="str">
        <f t="shared" ref="BM466:BM467" si="844">"235.89"</f>
        <v>235.89</v>
      </c>
      <c r="BN466" s="15" t="s">
        <v>3643</v>
      </c>
      <c r="BQ466" s="15" t="s">
        <v>444</v>
      </c>
      <c r="BS466" s="15" t="s">
        <v>444</v>
      </c>
      <c r="BU466" s="15" t="s">
        <v>444</v>
      </c>
      <c r="BW466" s="15" t="s">
        <v>444</v>
      </c>
      <c r="BZ466" s="15" t="s">
        <v>444</v>
      </c>
      <c r="CB466" s="15" t="s">
        <v>444</v>
      </c>
      <c r="CD466" s="15" t="s">
        <v>444</v>
      </c>
      <c r="CF466" s="15" t="s">
        <v>444</v>
      </c>
      <c r="CI466" s="15" t="s">
        <v>444</v>
      </c>
      <c r="CK466" s="15" t="s">
        <v>444</v>
      </c>
      <c r="CM466" s="15" t="s">
        <v>444</v>
      </c>
      <c r="CO466" s="15" t="s">
        <v>444</v>
      </c>
      <c r="CP466" s="15" t="str">
        <f t="shared" ref="CP466:CP467" si="845">"45.45"</f>
        <v>45.45</v>
      </c>
      <c r="CQ466" s="15" t="str">
        <f t="shared" ref="CQ466:CQ467" si="846">"1.287"</f>
        <v>1.287</v>
      </c>
      <c r="CR466" s="15" t="s">
        <v>465</v>
      </c>
      <c r="CS466" s="15" t="s">
        <v>4180</v>
      </c>
      <c r="CT466" s="15" t="s">
        <v>1042</v>
      </c>
      <c r="CU466" s="15" t="s">
        <v>5654</v>
      </c>
      <c r="CV466" s="15" t="s">
        <v>4180</v>
      </c>
      <c r="CW466" s="15" t="s">
        <v>3720</v>
      </c>
      <c r="CX466" s="15" t="s">
        <v>5654</v>
      </c>
      <c r="DC466" s="15" t="str">
        <f>IFERROR(__xludf.DUMMYFUNCTION("""COMPUTED_VALUE"""),"")</f>
        <v/>
      </c>
      <c r="DE466" s="15" t="str">
        <f>IFERROR(__xludf.DUMMYFUNCTION("""COMPUTED_VALUE"""),"")</f>
        <v/>
      </c>
      <c r="DG466" s="15" t="str">
        <f>IFERROR(__xludf.DUMMYFUNCTION("""COMPUTED_VALUE"""),"")</f>
        <v/>
      </c>
      <c r="DL466" s="15" t="str">
        <f>IFERROR(__xludf.DUMMYFUNCTION("""COMPUTED_VALUE"""),"")</f>
        <v/>
      </c>
      <c r="DM466" s="15" t="s">
        <v>444</v>
      </c>
      <c r="DN466" s="15" t="s">
        <v>419</v>
      </c>
      <c r="DO466" s="15">
        <v>0.0</v>
      </c>
      <c r="DP466" s="15" t="s">
        <v>419</v>
      </c>
      <c r="DR466" s="15">
        <v>2.0</v>
      </c>
      <c r="DS466" s="15" t="s">
        <v>426</v>
      </c>
      <c r="DT466" s="15" t="s">
        <v>1509</v>
      </c>
      <c r="DU466" s="15" t="s">
        <v>1914</v>
      </c>
      <c r="DW466" s="15">
        <v>18.14</v>
      </c>
      <c r="DX466" s="15">
        <v>40.0</v>
      </c>
      <c r="DY466" s="15">
        <v>2.0</v>
      </c>
      <c r="EF466" s="15" t="s">
        <v>1906</v>
      </c>
      <c r="EG466" s="15" t="s">
        <v>1907</v>
      </c>
      <c r="EH466" s="15" t="s">
        <v>5655</v>
      </c>
      <c r="EK466" s="15" t="s">
        <v>444</v>
      </c>
      <c r="EM466" s="15" t="str">
        <f>IFERROR(__xludf.DUMMYFUNCTION("""COMPUTED_VALUE"""),"")</f>
        <v/>
      </c>
      <c r="FL466" s="15" t="s">
        <v>426</v>
      </c>
      <c r="FM466" s="15">
        <v>3.0</v>
      </c>
      <c r="GB466" s="15" t="s">
        <v>4180</v>
      </c>
      <c r="GC466" s="15" t="s">
        <v>1042</v>
      </c>
      <c r="GD466" s="15" t="s">
        <v>5654</v>
      </c>
      <c r="GH466" s="15">
        <v>0.0</v>
      </c>
      <c r="GI466" s="15" t="s">
        <v>427</v>
      </c>
      <c r="GL466" s="15" t="s">
        <v>426</v>
      </c>
      <c r="HA466" s="15" t="s">
        <v>4180</v>
      </c>
      <c r="HB466" s="15" t="s">
        <v>3720</v>
      </c>
      <c r="HC466" s="15" t="s">
        <v>5654</v>
      </c>
      <c r="HQ466" s="15" t="s">
        <v>4180</v>
      </c>
      <c r="HS466" s="15" t="s">
        <v>1425</v>
      </c>
      <c r="HU466" s="15" t="s">
        <v>5654</v>
      </c>
      <c r="IH466" s="15" t="s">
        <v>426</v>
      </c>
      <c r="KI466" s="15" t="s">
        <v>1957</v>
      </c>
    </row>
    <row r="467" ht="15.75" customHeight="1">
      <c r="A467" s="14" t="s">
        <v>391</v>
      </c>
      <c r="B467" s="15" t="s">
        <v>5647</v>
      </c>
      <c r="C467" s="16"/>
      <c r="D467" s="15" t="s">
        <v>432</v>
      </c>
      <c r="G467" s="14" t="s">
        <v>393</v>
      </c>
      <c r="H467" s="14" t="s">
        <v>394</v>
      </c>
      <c r="I467" s="14" t="b">
        <v>1</v>
      </c>
      <c r="J467" s="14" t="s">
        <v>395</v>
      </c>
      <c r="L467" s="14" t="b">
        <v>0</v>
      </c>
      <c r="M467" s="15" t="s">
        <v>5656</v>
      </c>
      <c r="N467" s="14" t="s">
        <v>393</v>
      </c>
      <c r="O467" s="14" t="s">
        <v>393</v>
      </c>
      <c r="P467" s="15" t="s">
        <v>397</v>
      </c>
      <c r="Q467" s="15" t="s">
        <v>5657</v>
      </c>
      <c r="T467" s="14" t="b">
        <v>0</v>
      </c>
      <c r="U467" s="15" t="s">
        <v>5658</v>
      </c>
      <c r="V467" s="15" t="s">
        <v>3219</v>
      </c>
      <c r="W467" s="15" t="s">
        <v>401</v>
      </c>
      <c r="X467" s="15" t="s">
        <v>742</v>
      </c>
      <c r="Y467" s="15">
        <v>2080.0</v>
      </c>
      <c r="AA467" s="15" t="str">
        <f t="shared" si="840"/>
        <v>800</v>
      </c>
      <c r="AB467" s="14" t="b">
        <v>1</v>
      </c>
      <c r="AC467" s="14" t="b">
        <v>1</v>
      </c>
      <c r="AD467" s="15" t="str">
        <f>"801542624392"</f>
        <v>801542624392</v>
      </c>
      <c r="AE467" s="15" t="s">
        <v>5659</v>
      </c>
      <c r="AF467" s="14" t="s">
        <v>404</v>
      </c>
      <c r="AG467" s="14" t="s">
        <v>405</v>
      </c>
      <c r="AH467" s="14" t="s">
        <v>406</v>
      </c>
      <c r="AI467" s="15">
        <v>0.0</v>
      </c>
      <c r="AL467" s="15" t="s">
        <v>2354</v>
      </c>
      <c r="AM467" s="15" t="s">
        <v>2834</v>
      </c>
      <c r="AN467" s="15" t="s">
        <v>2239</v>
      </c>
      <c r="AO467" s="15" t="s">
        <v>1007</v>
      </c>
      <c r="AP467" s="15" t="s">
        <v>1008</v>
      </c>
      <c r="AQ467" s="15" t="s">
        <v>2151</v>
      </c>
      <c r="AR467" s="15" t="s">
        <v>2152</v>
      </c>
      <c r="AS467" s="15" t="s">
        <v>5652</v>
      </c>
      <c r="AT467" s="15" t="s">
        <v>5657</v>
      </c>
      <c r="AW467" s="15" t="s">
        <v>1899</v>
      </c>
      <c r="AY467" s="15" t="s">
        <v>413</v>
      </c>
      <c r="AZ467" s="15" t="b">
        <v>0</v>
      </c>
      <c r="BA467" s="15" t="s">
        <v>413</v>
      </c>
      <c r="BB467" s="15" t="b">
        <v>0</v>
      </c>
      <c r="BC467" s="15" t="s">
        <v>5660</v>
      </c>
      <c r="BD467" s="15" t="s">
        <v>742</v>
      </c>
      <c r="BE467" s="15" t="str">
        <f t="shared" si="839"/>
        <v>1</v>
      </c>
      <c r="BF467" s="15" t="s">
        <v>4803</v>
      </c>
      <c r="BG467" s="15" t="str">
        <f t="shared" si="841"/>
        <v>39.17</v>
      </c>
      <c r="BH467" s="15" t="s">
        <v>1105</v>
      </c>
      <c r="BI467" s="15" t="str">
        <f t="shared" si="842"/>
        <v>22.05</v>
      </c>
      <c r="BJ467" s="15" t="s">
        <v>2310</v>
      </c>
      <c r="BK467" s="15" t="str">
        <f t="shared" si="843"/>
        <v>90.94</v>
      </c>
      <c r="BL467" s="15" t="s">
        <v>1130</v>
      </c>
      <c r="BM467" s="15" t="str">
        <f t="shared" si="844"/>
        <v>235.89</v>
      </c>
      <c r="BN467" s="15" t="s">
        <v>3643</v>
      </c>
      <c r="BQ467" s="15" t="s">
        <v>444</v>
      </c>
      <c r="BS467" s="15" t="s">
        <v>444</v>
      </c>
      <c r="BU467" s="15" t="s">
        <v>444</v>
      </c>
      <c r="BW467" s="15" t="s">
        <v>444</v>
      </c>
      <c r="BZ467" s="15" t="s">
        <v>444</v>
      </c>
      <c r="CB467" s="15" t="s">
        <v>444</v>
      </c>
      <c r="CD467" s="15" t="s">
        <v>444</v>
      </c>
      <c r="CF467" s="15" t="s">
        <v>444</v>
      </c>
      <c r="CI467" s="15" t="s">
        <v>444</v>
      </c>
      <c r="CK467" s="15" t="s">
        <v>444</v>
      </c>
      <c r="CM467" s="15" t="s">
        <v>444</v>
      </c>
      <c r="CO467" s="15" t="s">
        <v>444</v>
      </c>
      <c r="CP467" s="15" t="str">
        <f t="shared" si="845"/>
        <v>45.45</v>
      </c>
      <c r="CQ467" s="15" t="str">
        <f t="shared" si="846"/>
        <v>1.287</v>
      </c>
      <c r="CR467" s="15" t="s">
        <v>497</v>
      </c>
      <c r="CS467" s="15" t="s">
        <v>4180</v>
      </c>
      <c r="CT467" s="15" t="s">
        <v>1042</v>
      </c>
      <c r="CU467" s="15" t="s">
        <v>5654</v>
      </c>
      <c r="CV467" s="15" t="s">
        <v>4180</v>
      </c>
      <c r="CW467" s="15" t="s">
        <v>3720</v>
      </c>
      <c r="CX467" s="15" t="s">
        <v>5654</v>
      </c>
      <c r="DC467" s="15" t="str">
        <f>IFERROR(__xludf.DUMMYFUNCTION("""COMPUTED_VALUE"""),"")</f>
        <v/>
      </c>
      <c r="DE467" s="15" t="str">
        <f>IFERROR(__xludf.DUMMYFUNCTION("""COMPUTED_VALUE"""),"")</f>
        <v/>
      </c>
      <c r="DG467" s="15" t="str">
        <f>IFERROR(__xludf.DUMMYFUNCTION("""COMPUTED_VALUE"""),"")</f>
        <v/>
      </c>
      <c r="DL467" s="15" t="str">
        <f>IFERROR(__xludf.DUMMYFUNCTION("""COMPUTED_VALUE"""),"")</f>
        <v/>
      </c>
      <c r="DM467" s="15" t="s">
        <v>444</v>
      </c>
      <c r="DN467" s="15" t="s">
        <v>419</v>
      </c>
      <c r="DO467" s="15">
        <v>0.0</v>
      </c>
      <c r="DP467" s="15" t="s">
        <v>419</v>
      </c>
      <c r="DR467" s="15">
        <v>2.0</v>
      </c>
      <c r="DS467" s="15" t="s">
        <v>426</v>
      </c>
      <c r="DT467" s="15" t="s">
        <v>1509</v>
      </c>
      <c r="DU467" s="15" t="s">
        <v>1914</v>
      </c>
      <c r="DW467" s="15">
        <v>18.14</v>
      </c>
      <c r="DX467" s="15">
        <v>40.0</v>
      </c>
      <c r="DY467" s="15">
        <v>2.0</v>
      </c>
      <c r="EF467" s="15" t="s">
        <v>1906</v>
      </c>
      <c r="EG467" s="15" t="s">
        <v>1907</v>
      </c>
      <c r="EH467" s="15" t="s">
        <v>5655</v>
      </c>
      <c r="EK467" s="15" t="s">
        <v>444</v>
      </c>
      <c r="EM467" s="15" t="str">
        <f>IFERROR(__xludf.DUMMYFUNCTION("""COMPUTED_VALUE"""),"")</f>
        <v/>
      </c>
      <c r="FL467" s="15" t="s">
        <v>426</v>
      </c>
      <c r="FM467" s="15">
        <v>3.0</v>
      </c>
      <c r="GB467" s="15" t="s">
        <v>4180</v>
      </c>
      <c r="GC467" s="15" t="s">
        <v>1042</v>
      </c>
      <c r="GD467" s="15" t="s">
        <v>5654</v>
      </c>
      <c r="GH467" s="15">
        <v>0.0</v>
      </c>
      <c r="GI467" s="15" t="s">
        <v>427</v>
      </c>
      <c r="GL467" s="15" t="s">
        <v>426</v>
      </c>
      <c r="HA467" s="15" t="s">
        <v>4180</v>
      </c>
      <c r="HB467" s="15" t="s">
        <v>3720</v>
      </c>
      <c r="HC467" s="15" t="s">
        <v>5654</v>
      </c>
      <c r="HQ467" s="15" t="s">
        <v>4180</v>
      </c>
      <c r="HS467" s="15" t="s">
        <v>1425</v>
      </c>
      <c r="HU467" s="15" t="s">
        <v>5654</v>
      </c>
      <c r="IH467" s="15" t="s">
        <v>426</v>
      </c>
      <c r="KI467" s="15" t="s">
        <v>1957</v>
      </c>
    </row>
    <row r="468" ht="15.75" customHeight="1">
      <c r="A468" s="14" t="s">
        <v>391</v>
      </c>
      <c r="B468" s="15" t="s">
        <v>5661</v>
      </c>
      <c r="C468" s="16"/>
      <c r="D468" s="15" t="s">
        <v>432</v>
      </c>
      <c r="G468" s="14" t="s">
        <v>393</v>
      </c>
      <c r="H468" s="14" t="s">
        <v>394</v>
      </c>
      <c r="I468" s="14" t="b">
        <v>1</v>
      </c>
      <c r="J468" s="14" t="s">
        <v>395</v>
      </c>
      <c r="L468" s="14" t="b">
        <v>0</v>
      </c>
      <c r="M468" s="15" t="s">
        <v>5662</v>
      </c>
      <c r="N468" s="14" t="s">
        <v>393</v>
      </c>
      <c r="O468" s="14" t="s">
        <v>393</v>
      </c>
      <c r="P468" s="15" t="s">
        <v>397</v>
      </c>
      <c r="Q468" s="15" t="s">
        <v>5663</v>
      </c>
      <c r="T468" s="14" t="b">
        <v>0</v>
      </c>
      <c r="U468" s="15" t="s">
        <v>5664</v>
      </c>
      <c r="V468" s="15" t="s">
        <v>3525</v>
      </c>
      <c r="W468" s="15" t="s">
        <v>401</v>
      </c>
      <c r="X468" s="15" t="s">
        <v>695</v>
      </c>
      <c r="Y468" s="15">
        <v>3068.0</v>
      </c>
      <c r="AA468" s="15" t="str">
        <f>"1180"</f>
        <v>1180</v>
      </c>
      <c r="AB468" s="14" t="b">
        <v>1</v>
      </c>
      <c r="AC468" s="14" t="b">
        <v>1</v>
      </c>
      <c r="AD468" s="15" t="str">
        <f>"801542119829"</f>
        <v>801542119829</v>
      </c>
      <c r="AE468" s="15" t="s">
        <v>5665</v>
      </c>
      <c r="AF468" s="14" t="s">
        <v>404</v>
      </c>
      <c r="AG468" s="14" t="s">
        <v>405</v>
      </c>
      <c r="AH468" s="14" t="s">
        <v>406</v>
      </c>
      <c r="AI468" s="15">
        <v>0.0</v>
      </c>
      <c r="AL468" s="15" t="s">
        <v>2611</v>
      </c>
      <c r="AM468" s="15" t="s">
        <v>5666</v>
      </c>
      <c r="AN468" s="15" t="s">
        <v>5667</v>
      </c>
      <c r="AO468" s="15" t="s">
        <v>1007</v>
      </c>
      <c r="AP468" s="15" t="s">
        <v>1008</v>
      </c>
      <c r="AQ468" s="15" t="s">
        <v>546</v>
      </c>
      <c r="AR468" s="15" t="s">
        <v>547</v>
      </c>
      <c r="AS468" s="15" t="s">
        <v>2612</v>
      </c>
      <c r="AT468" s="15" t="s">
        <v>5663</v>
      </c>
      <c r="AU468" s="15" t="s">
        <v>2613</v>
      </c>
      <c r="AW468" s="15" t="s">
        <v>602</v>
      </c>
      <c r="AY468" s="15" t="s">
        <v>413</v>
      </c>
      <c r="AZ468" s="15" t="b">
        <v>0</v>
      </c>
      <c r="BA468" s="15" t="s">
        <v>413</v>
      </c>
      <c r="BB468" s="15" t="b">
        <v>0</v>
      </c>
      <c r="BC468" s="15" t="s">
        <v>5668</v>
      </c>
      <c r="BD468" s="15" t="s">
        <v>709</v>
      </c>
      <c r="BE468" s="15" t="str">
        <f t="shared" si="839"/>
        <v>1</v>
      </c>
      <c r="BF468" s="15" t="s">
        <v>5669</v>
      </c>
      <c r="BG468" s="15" t="str">
        <f>"80.71"</f>
        <v>80.71</v>
      </c>
      <c r="BH468" s="15" t="s">
        <v>5670</v>
      </c>
      <c r="BI468" s="15" t="str">
        <f>"22.83"</f>
        <v>22.83</v>
      </c>
      <c r="BJ468" s="15" t="s">
        <v>1543</v>
      </c>
      <c r="BK468" s="15" t="str">
        <f>"34.25"</f>
        <v>34.25</v>
      </c>
      <c r="BL468" s="15" t="s">
        <v>605</v>
      </c>
      <c r="BM468" s="15" t="str">
        <f>"134.48"</f>
        <v>134.48</v>
      </c>
      <c r="BN468" s="15" t="s">
        <v>983</v>
      </c>
      <c r="BQ468" s="15" t="s">
        <v>444</v>
      </c>
      <c r="BS468" s="15" t="s">
        <v>444</v>
      </c>
      <c r="BU468" s="15" t="s">
        <v>444</v>
      </c>
      <c r="BW468" s="15" t="s">
        <v>444</v>
      </c>
      <c r="BZ468" s="15" t="s">
        <v>444</v>
      </c>
      <c r="CB468" s="15" t="s">
        <v>444</v>
      </c>
      <c r="CD468" s="15" t="s">
        <v>444</v>
      </c>
      <c r="CF468" s="15" t="s">
        <v>444</v>
      </c>
      <c r="CI468" s="15" t="s">
        <v>444</v>
      </c>
      <c r="CK468" s="15" t="s">
        <v>444</v>
      </c>
      <c r="CM468" s="15" t="s">
        <v>444</v>
      </c>
      <c r="CO468" s="15" t="s">
        <v>444</v>
      </c>
      <c r="CP468" s="15" t="str">
        <f>"36.52"</f>
        <v>36.52</v>
      </c>
      <c r="CQ468" s="15" t="str">
        <f>"1.034"</f>
        <v>1.034</v>
      </c>
      <c r="CR468" s="15" t="s">
        <v>497</v>
      </c>
      <c r="CV468" s="15" t="s">
        <v>2179</v>
      </c>
      <c r="CW468" s="15" t="s">
        <v>1331</v>
      </c>
      <c r="CX468" s="15" t="s">
        <v>5671</v>
      </c>
      <c r="DC468" s="15" t="str">
        <f>IFERROR(__xludf.DUMMYFUNCTION("""COMPUTED_VALUE"""),"")</f>
        <v/>
      </c>
      <c r="DE468" s="15" t="str">
        <f>IFERROR(__xludf.DUMMYFUNCTION("""COMPUTED_VALUE"""),"")</f>
        <v/>
      </c>
      <c r="DG468" s="15" t="str">
        <f>IFERROR(__xludf.DUMMYFUNCTION("""COMPUTED_VALUE"""),"")</f>
        <v/>
      </c>
      <c r="DL468" s="15" t="str">
        <f>IFERROR(__xludf.DUMMYFUNCTION("""COMPUTED_VALUE"""),"")</f>
        <v/>
      </c>
      <c r="DM468" s="15" t="s">
        <v>444</v>
      </c>
      <c r="DN468" s="15" t="s">
        <v>419</v>
      </c>
      <c r="DO468" s="15">
        <v>0.0</v>
      </c>
      <c r="DP468" s="15" t="s">
        <v>419</v>
      </c>
      <c r="DR468" s="15">
        <v>0.0</v>
      </c>
      <c r="DT468" s="15" t="s">
        <v>721</v>
      </c>
      <c r="DU468" s="15" t="s">
        <v>610</v>
      </c>
      <c r="DW468" s="15">
        <v>18.14</v>
      </c>
      <c r="DX468" s="15">
        <v>40.0</v>
      </c>
      <c r="DY468" s="15">
        <v>2.0</v>
      </c>
      <c r="EG468" s="15" t="s">
        <v>444</v>
      </c>
      <c r="EH468" s="15" t="s">
        <v>5672</v>
      </c>
      <c r="EK468" s="15" t="s">
        <v>444</v>
      </c>
      <c r="EM468" s="15" t="str">
        <f>IFERROR(__xludf.DUMMYFUNCTION("""COMPUTED_VALUE"""),"")</f>
        <v/>
      </c>
      <c r="EW468" s="15" t="s">
        <v>429</v>
      </c>
      <c r="FL468" s="15" t="s">
        <v>426</v>
      </c>
      <c r="FM468" s="15">
        <v>2.0</v>
      </c>
      <c r="FY468" s="15" t="s">
        <v>1331</v>
      </c>
      <c r="FZ468" s="15" t="s">
        <v>1188</v>
      </c>
      <c r="GA468" s="15" t="s">
        <v>3238</v>
      </c>
      <c r="GB468" s="15" t="s">
        <v>2179</v>
      </c>
      <c r="GC468" s="15" t="s">
        <v>1188</v>
      </c>
      <c r="GD468" s="15" t="s">
        <v>5671</v>
      </c>
      <c r="GF468" s="15" t="s">
        <v>426</v>
      </c>
      <c r="GG468" s="15" t="s">
        <v>1044</v>
      </c>
      <c r="GH468" s="15">
        <v>4.0</v>
      </c>
      <c r="GI468" s="15" t="s">
        <v>614</v>
      </c>
      <c r="GJ468" s="15" t="s">
        <v>786</v>
      </c>
      <c r="GL468" s="15" t="s">
        <v>426</v>
      </c>
      <c r="GN468" s="15" t="s">
        <v>616</v>
      </c>
      <c r="HD468" s="15">
        <v>0.0</v>
      </c>
      <c r="HW468" s="15" t="s">
        <v>789</v>
      </c>
      <c r="IH468" s="15" t="s">
        <v>426</v>
      </c>
    </row>
    <row r="469" ht="15.75" customHeight="1">
      <c r="A469" s="14" t="s">
        <v>391</v>
      </c>
      <c r="B469" s="15" t="s">
        <v>5673</v>
      </c>
      <c r="C469" s="16"/>
      <c r="D469" s="15" t="s">
        <v>432</v>
      </c>
      <c r="G469" s="14" t="s">
        <v>393</v>
      </c>
      <c r="H469" s="14" t="s">
        <v>394</v>
      </c>
      <c r="I469" s="14" t="b">
        <v>1</v>
      </c>
      <c r="J469" s="14" t="s">
        <v>395</v>
      </c>
      <c r="L469" s="14" t="b">
        <v>0</v>
      </c>
      <c r="M469" s="15" t="s">
        <v>5674</v>
      </c>
      <c r="N469" s="14" t="s">
        <v>393</v>
      </c>
      <c r="O469" s="14" t="s">
        <v>393</v>
      </c>
      <c r="P469" s="15" t="s">
        <v>397</v>
      </c>
      <c r="Q469" s="15" t="s">
        <v>2697</v>
      </c>
      <c r="T469" s="14" t="b">
        <v>0</v>
      </c>
      <c r="U469" s="15" t="s">
        <v>5675</v>
      </c>
      <c r="V469" s="15" t="s">
        <v>5676</v>
      </c>
      <c r="W469" s="15" t="s">
        <v>401</v>
      </c>
      <c r="X469" s="15" t="s">
        <v>402</v>
      </c>
      <c r="Y469" s="15">
        <v>1482.0</v>
      </c>
      <c r="AA469" s="15" t="str">
        <f t="shared" ref="AA469:AA471" si="847">"570"</f>
        <v>570</v>
      </c>
      <c r="AB469" s="14" t="b">
        <v>1</v>
      </c>
      <c r="AC469" s="14" t="b">
        <v>1</v>
      </c>
      <c r="AD469" s="15" t="str">
        <f>"801542614287"</f>
        <v>801542614287</v>
      </c>
      <c r="AE469" s="15" t="s">
        <v>5677</v>
      </c>
      <c r="AF469" s="14" t="s">
        <v>404</v>
      </c>
      <c r="AG469" s="14" t="s">
        <v>405</v>
      </c>
      <c r="AH469" s="14" t="s">
        <v>406</v>
      </c>
      <c r="AI469" s="15">
        <v>0.0</v>
      </c>
      <c r="AL469" s="15" t="s">
        <v>5678</v>
      </c>
      <c r="AM469" s="15" t="s">
        <v>1452</v>
      </c>
      <c r="AN469" s="15" t="s">
        <v>1453</v>
      </c>
      <c r="AO469" s="15" t="s">
        <v>3702</v>
      </c>
      <c r="AP469" s="15" t="s">
        <v>3703</v>
      </c>
      <c r="AQ469" s="15" t="s">
        <v>1561</v>
      </c>
      <c r="AR469" s="15" t="s">
        <v>1562</v>
      </c>
      <c r="AS469" s="15" t="s">
        <v>411</v>
      </c>
      <c r="AT469" s="15" t="s">
        <v>2697</v>
      </c>
      <c r="AU469" s="15" t="s">
        <v>1850</v>
      </c>
      <c r="AW469" s="15" t="s">
        <v>1154</v>
      </c>
      <c r="AY469" s="15" t="s">
        <v>413</v>
      </c>
      <c r="AZ469" s="15" t="b">
        <v>0</v>
      </c>
      <c r="BA469" s="15" t="s">
        <v>413</v>
      </c>
      <c r="BB469" s="15" t="b">
        <v>0</v>
      </c>
      <c r="BC469" s="15" t="s">
        <v>5679</v>
      </c>
      <c r="BD469" s="15" t="s">
        <v>415</v>
      </c>
      <c r="BE469" s="15" t="str">
        <f t="shared" si="839"/>
        <v>1</v>
      </c>
      <c r="BF469" s="15" t="s">
        <v>416</v>
      </c>
      <c r="BG469" s="15" t="str">
        <f t="shared" ref="BG469:BG470" si="848">"23.23"</f>
        <v>23.23</v>
      </c>
      <c r="BH469" s="15" t="s">
        <v>2616</v>
      </c>
      <c r="BI469" s="15" t="str">
        <f t="shared" ref="BI469:BI470" si="849">"20.08"</f>
        <v>20.08</v>
      </c>
      <c r="BJ469" s="15" t="s">
        <v>4825</v>
      </c>
      <c r="BK469" s="15" t="str">
        <f t="shared" ref="BK469:BK471" si="850">"28.74"</f>
        <v>28.74</v>
      </c>
      <c r="BL469" s="15" t="s">
        <v>2113</v>
      </c>
      <c r="BM469" s="15" t="str">
        <f t="shared" ref="BM469:BM470" si="851">"45.72"</f>
        <v>45.72</v>
      </c>
      <c r="BN469" s="15" t="s">
        <v>5680</v>
      </c>
      <c r="BQ469" s="15" t="s">
        <v>444</v>
      </c>
      <c r="BS469" s="15" t="s">
        <v>444</v>
      </c>
      <c r="BU469" s="15" t="s">
        <v>444</v>
      </c>
      <c r="BW469" s="15" t="s">
        <v>444</v>
      </c>
      <c r="BZ469" s="15" t="s">
        <v>444</v>
      </c>
      <c r="CB469" s="15" t="s">
        <v>444</v>
      </c>
      <c r="CD469" s="15" t="s">
        <v>444</v>
      </c>
      <c r="CF469" s="15" t="s">
        <v>444</v>
      </c>
      <c r="CI469" s="15" t="s">
        <v>444</v>
      </c>
      <c r="CK469" s="15" t="s">
        <v>444</v>
      </c>
      <c r="CM469" s="15" t="s">
        <v>444</v>
      </c>
      <c r="CO469" s="15" t="s">
        <v>444</v>
      </c>
      <c r="CP469" s="15" t="str">
        <f t="shared" ref="CP469:CP470" si="852">"7.77"</f>
        <v>7.77</v>
      </c>
      <c r="CQ469" s="15" t="str">
        <f t="shared" ref="CQ469:CQ470" si="853">"0.22"</f>
        <v>0.22</v>
      </c>
      <c r="CR469" s="15" t="s">
        <v>417</v>
      </c>
      <c r="CV469" s="15" t="s">
        <v>1592</v>
      </c>
      <c r="CW469" s="15" t="s">
        <v>466</v>
      </c>
      <c r="CX469" s="15" t="s">
        <v>504</v>
      </c>
      <c r="DC469" s="15" t="str">
        <f>IFERROR(__xludf.DUMMYFUNCTION("""COMPUTED_VALUE"""),"")</f>
        <v/>
      </c>
      <c r="DE469" s="15" t="str">
        <f>IFERROR(__xludf.DUMMYFUNCTION("""COMPUTED_VALUE"""),"")</f>
        <v/>
      </c>
      <c r="DG469" s="15" t="str">
        <f>IFERROR(__xludf.DUMMYFUNCTION("""COMPUTED_VALUE"""),"")</f>
        <v/>
      </c>
      <c r="DL469" s="15" t="str">
        <f>IFERROR(__xludf.DUMMYFUNCTION("""COMPUTED_VALUE"""),"")</f>
        <v/>
      </c>
      <c r="DM469" s="15" t="s">
        <v>444</v>
      </c>
      <c r="DN469" s="15" t="s">
        <v>419</v>
      </c>
      <c r="DO469" s="15">
        <v>0.0</v>
      </c>
      <c r="DP469" s="15" t="s">
        <v>419</v>
      </c>
      <c r="DR469" s="15">
        <v>0.0</v>
      </c>
      <c r="DT469" s="15" t="s">
        <v>1388</v>
      </c>
      <c r="DU469" s="15" t="s">
        <v>419</v>
      </c>
      <c r="DY469" s="15">
        <v>0.0</v>
      </c>
      <c r="EF469" s="15" t="s">
        <v>471</v>
      </c>
      <c r="EG469" s="15" t="s">
        <v>472</v>
      </c>
      <c r="EH469" s="15" t="s">
        <v>5681</v>
      </c>
      <c r="EJ469" s="15" t="s">
        <v>500</v>
      </c>
      <c r="EK469" s="15" t="s">
        <v>501</v>
      </c>
      <c r="EM469" s="15" t="str">
        <f>IFERROR(__xludf.DUMMYFUNCTION("""COMPUTED_VALUE"""),"")</f>
        <v/>
      </c>
      <c r="EW469" s="15" t="s">
        <v>1309</v>
      </c>
      <c r="FH469" s="15" t="s">
        <v>1430</v>
      </c>
      <c r="FI469" s="15" t="s">
        <v>4683</v>
      </c>
      <c r="FJ469" s="15" t="s">
        <v>1161</v>
      </c>
      <c r="FK469" s="15" t="s">
        <v>4685</v>
      </c>
      <c r="FL469" s="15" t="s">
        <v>426</v>
      </c>
      <c r="FM469" s="15">
        <v>1.0</v>
      </c>
      <c r="FN469" s="15">
        <v>0.0</v>
      </c>
      <c r="FW469" s="15" t="s">
        <v>1309</v>
      </c>
    </row>
    <row r="470" ht="15.75" customHeight="1">
      <c r="A470" s="14" t="s">
        <v>391</v>
      </c>
      <c r="B470" s="15" t="s">
        <v>5673</v>
      </c>
      <c r="C470" s="16"/>
      <c r="D470" s="15" t="s">
        <v>432</v>
      </c>
      <c r="G470" s="14" t="s">
        <v>393</v>
      </c>
      <c r="H470" s="14" t="s">
        <v>394</v>
      </c>
      <c r="I470" s="14" t="b">
        <v>1</v>
      </c>
      <c r="J470" s="14" t="s">
        <v>395</v>
      </c>
      <c r="L470" s="14" t="b">
        <v>0</v>
      </c>
      <c r="M470" s="15" t="s">
        <v>5682</v>
      </c>
      <c r="N470" s="14" t="s">
        <v>393</v>
      </c>
      <c r="O470" s="14" t="s">
        <v>393</v>
      </c>
      <c r="P470" s="15" t="s">
        <v>397</v>
      </c>
      <c r="Q470" s="15" t="s">
        <v>1978</v>
      </c>
      <c r="T470" s="14" t="b">
        <v>0</v>
      </c>
      <c r="U470" s="15" t="s">
        <v>5683</v>
      </c>
      <c r="V470" s="15" t="s">
        <v>5676</v>
      </c>
      <c r="W470" s="15" t="s">
        <v>401</v>
      </c>
      <c r="X470" s="15" t="s">
        <v>402</v>
      </c>
      <c r="Y470" s="15">
        <v>1482.0</v>
      </c>
      <c r="AA470" s="15" t="str">
        <f t="shared" si="847"/>
        <v>570</v>
      </c>
      <c r="AB470" s="14" t="b">
        <v>1</v>
      </c>
      <c r="AC470" s="14" t="b">
        <v>1</v>
      </c>
      <c r="AD470" s="15" t="str">
        <f>"801542359492"</f>
        <v>801542359492</v>
      </c>
      <c r="AE470" s="15" t="s">
        <v>5684</v>
      </c>
      <c r="AF470" s="14" t="s">
        <v>404</v>
      </c>
      <c r="AG470" s="14" t="s">
        <v>405</v>
      </c>
      <c r="AH470" s="14" t="s">
        <v>406</v>
      </c>
      <c r="AI470" s="15">
        <v>0.0</v>
      </c>
      <c r="AL470" s="15" t="s">
        <v>5685</v>
      </c>
      <c r="AM470" s="15" t="s">
        <v>1452</v>
      </c>
      <c r="AN470" s="15" t="s">
        <v>1453</v>
      </c>
      <c r="AO470" s="15" t="s">
        <v>3702</v>
      </c>
      <c r="AP470" s="15" t="s">
        <v>3703</v>
      </c>
      <c r="AQ470" s="15" t="s">
        <v>1561</v>
      </c>
      <c r="AR470" s="15" t="s">
        <v>1562</v>
      </c>
      <c r="AS470" s="15" t="s">
        <v>411</v>
      </c>
      <c r="AT470" s="15" t="s">
        <v>1978</v>
      </c>
      <c r="AU470" s="15" t="s">
        <v>5686</v>
      </c>
      <c r="AW470" s="15" t="s">
        <v>1154</v>
      </c>
      <c r="AY470" s="15" t="s">
        <v>413</v>
      </c>
      <c r="AZ470" s="15" t="b">
        <v>0</v>
      </c>
      <c r="BA470" s="15" t="s">
        <v>413</v>
      </c>
      <c r="BB470" s="15" t="b">
        <v>0</v>
      </c>
      <c r="BC470" s="15" t="s">
        <v>5687</v>
      </c>
      <c r="BD470" s="15" t="s">
        <v>415</v>
      </c>
      <c r="BE470" s="15" t="str">
        <f t="shared" si="839"/>
        <v>1</v>
      </c>
      <c r="BF470" s="15" t="s">
        <v>416</v>
      </c>
      <c r="BG470" s="15" t="str">
        <f t="shared" si="848"/>
        <v>23.23</v>
      </c>
      <c r="BH470" s="15" t="s">
        <v>2616</v>
      </c>
      <c r="BI470" s="15" t="str">
        <f t="shared" si="849"/>
        <v>20.08</v>
      </c>
      <c r="BJ470" s="15" t="s">
        <v>4825</v>
      </c>
      <c r="BK470" s="15" t="str">
        <f t="shared" si="850"/>
        <v>28.74</v>
      </c>
      <c r="BL470" s="15" t="s">
        <v>2113</v>
      </c>
      <c r="BM470" s="15" t="str">
        <f t="shared" si="851"/>
        <v>45.72</v>
      </c>
      <c r="BN470" s="15" t="s">
        <v>5680</v>
      </c>
      <c r="BQ470" s="15" t="s">
        <v>444</v>
      </c>
      <c r="BS470" s="15" t="s">
        <v>444</v>
      </c>
      <c r="BU470" s="15" t="s">
        <v>444</v>
      </c>
      <c r="BW470" s="15" t="s">
        <v>444</v>
      </c>
      <c r="BZ470" s="15" t="s">
        <v>444</v>
      </c>
      <c r="CB470" s="15" t="s">
        <v>444</v>
      </c>
      <c r="CD470" s="15" t="s">
        <v>444</v>
      </c>
      <c r="CF470" s="15" t="s">
        <v>444</v>
      </c>
      <c r="CI470" s="15" t="s">
        <v>444</v>
      </c>
      <c r="CK470" s="15" t="s">
        <v>444</v>
      </c>
      <c r="CM470" s="15" t="s">
        <v>444</v>
      </c>
      <c r="CO470" s="15" t="s">
        <v>444</v>
      </c>
      <c r="CP470" s="15" t="str">
        <f t="shared" si="852"/>
        <v>7.77</v>
      </c>
      <c r="CQ470" s="15" t="str">
        <f t="shared" si="853"/>
        <v>0.22</v>
      </c>
      <c r="CR470" s="15" t="s">
        <v>465</v>
      </c>
      <c r="CV470" s="15" t="s">
        <v>1592</v>
      </c>
      <c r="CW470" s="15" t="s">
        <v>466</v>
      </c>
      <c r="CX470" s="15" t="s">
        <v>504</v>
      </c>
      <c r="DC470" s="15" t="str">
        <f>IFERROR(__xludf.DUMMYFUNCTION("""COMPUTED_VALUE"""),"")</f>
        <v/>
      </c>
      <c r="DE470" s="15" t="str">
        <f>IFERROR(__xludf.DUMMYFUNCTION("""COMPUTED_VALUE"""),"")</f>
        <v/>
      </c>
      <c r="DG470" s="15" t="str">
        <f>IFERROR(__xludf.DUMMYFUNCTION("""COMPUTED_VALUE"""),"")</f>
        <v/>
      </c>
      <c r="DL470" s="15" t="str">
        <f>IFERROR(__xludf.DUMMYFUNCTION("""COMPUTED_VALUE"""),"")</f>
        <v/>
      </c>
      <c r="DM470" s="15" t="s">
        <v>444</v>
      </c>
      <c r="DN470" s="15" t="s">
        <v>419</v>
      </c>
      <c r="DO470" s="15">
        <v>0.0</v>
      </c>
      <c r="DP470" s="15" t="s">
        <v>419</v>
      </c>
      <c r="DR470" s="15">
        <v>0.0</v>
      </c>
      <c r="DT470" s="15" t="s">
        <v>1388</v>
      </c>
      <c r="DU470" s="15" t="s">
        <v>419</v>
      </c>
      <c r="DY470" s="15">
        <v>0.0</v>
      </c>
      <c r="EF470" s="15" t="s">
        <v>471</v>
      </c>
      <c r="EG470" s="15" t="s">
        <v>472</v>
      </c>
      <c r="EH470" s="15" t="s">
        <v>5681</v>
      </c>
      <c r="EJ470" s="15" t="s">
        <v>500</v>
      </c>
      <c r="EK470" s="15" t="s">
        <v>501</v>
      </c>
      <c r="EM470" s="15" t="str">
        <f>IFERROR(__xludf.DUMMYFUNCTION("""COMPUTED_VALUE"""),"")</f>
        <v/>
      </c>
      <c r="EW470" s="15" t="s">
        <v>1309</v>
      </c>
      <c r="FH470" s="15" t="s">
        <v>1430</v>
      </c>
      <c r="FI470" s="15" t="s">
        <v>4683</v>
      </c>
      <c r="FJ470" s="15" t="s">
        <v>1161</v>
      </c>
      <c r="FK470" s="15" t="s">
        <v>4685</v>
      </c>
      <c r="FL470" s="15" t="s">
        <v>426</v>
      </c>
      <c r="FM470" s="15">
        <v>1.0</v>
      </c>
      <c r="FN470" s="15">
        <v>0.0</v>
      </c>
      <c r="FW470" s="15" t="s">
        <v>1309</v>
      </c>
    </row>
    <row r="471" ht="15.75" customHeight="1">
      <c r="A471" s="14" t="s">
        <v>391</v>
      </c>
      <c r="B471" s="15" t="s">
        <v>5673</v>
      </c>
      <c r="C471" s="16"/>
      <c r="D471" s="15" t="s">
        <v>432</v>
      </c>
      <c r="G471" s="14" t="s">
        <v>393</v>
      </c>
      <c r="H471" s="14" t="s">
        <v>394</v>
      </c>
      <c r="I471" s="14" t="b">
        <v>1</v>
      </c>
      <c r="J471" s="14" t="s">
        <v>395</v>
      </c>
      <c r="L471" s="14" t="b">
        <v>0</v>
      </c>
      <c r="M471" s="15" t="s">
        <v>5688</v>
      </c>
      <c r="N471" s="14" t="s">
        <v>393</v>
      </c>
      <c r="O471" s="14" t="s">
        <v>393</v>
      </c>
      <c r="P471" s="15" t="s">
        <v>397</v>
      </c>
      <c r="Q471" s="15" t="s">
        <v>5689</v>
      </c>
      <c r="T471" s="14" t="b">
        <v>0</v>
      </c>
      <c r="U471" s="15" t="s">
        <v>5690</v>
      </c>
      <c r="V471" s="15" t="s">
        <v>5691</v>
      </c>
      <c r="W471" s="15" t="s">
        <v>401</v>
      </c>
      <c r="X471" s="15" t="s">
        <v>402</v>
      </c>
      <c r="Y471" s="15">
        <v>1482.0</v>
      </c>
      <c r="AA471" s="15" t="str">
        <f t="shared" si="847"/>
        <v>570</v>
      </c>
      <c r="AB471" s="14" t="b">
        <v>1</v>
      </c>
      <c r="AC471" s="14" t="b">
        <v>1</v>
      </c>
      <c r="AD471" s="15" t="str">
        <f>"801542287467"</f>
        <v>801542287467</v>
      </c>
      <c r="AE471" s="15" t="s">
        <v>5692</v>
      </c>
      <c r="AF471" s="14" t="s">
        <v>404</v>
      </c>
      <c r="AG471" s="14" t="s">
        <v>405</v>
      </c>
      <c r="AH471" s="14" t="s">
        <v>406</v>
      </c>
      <c r="AI471" s="15">
        <v>0.0</v>
      </c>
      <c r="AL471" s="15" t="s">
        <v>3683</v>
      </c>
      <c r="AM471" s="15" t="s">
        <v>1452</v>
      </c>
      <c r="AN471" s="15" t="s">
        <v>1453</v>
      </c>
      <c r="AO471" s="15" t="s">
        <v>3702</v>
      </c>
      <c r="AP471" s="15" t="s">
        <v>3703</v>
      </c>
      <c r="AQ471" s="15" t="s">
        <v>1561</v>
      </c>
      <c r="AR471" s="15" t="s">
        <v>1562</v>
      </c>
      <c r="AS471" s="15" t="s">
        <v>411</v>
      </c>
      <c r="AT471" s="15" t="s">
        <v>5689</v>
      </c>
      <c r="AU471" s="15" t="s">
        <v>5686</v>
      </c>
      <c r="AW471" s="15" t="s">
        <v>1154</v>
      </c>
      <c r="AY471" s="15" t="s">
        <v>413</v>
      </c>
      <c r="AZ471" s="15" t="b">
        <v>0</v>
      </c>
      <c r="BA471" s="15" t="s">
        <v>413</v>
      </c>
      <c r="BB471" s="15" t="b">
        <v>0</v>
      </c>
      <c r="BC471" s="15" t="s">
        <v>5693</v>
      </c>
      <c r="BD471" s="15" t="s">
        <v>415</v>
      </c>
      <c r="BE471" s="15" t="str">
        <f t="shared" si="839"/>
        <v>1</v>
      </c>
      <c r="BF471" s="15" t="s">
        <v>416</v>
      </c>
      <c r="BG471" s="15" t="str">
        <f>"23.43"</f>
        <v>23.43</v>
      </c>
      <c r="BH471" s="15" t="s">
        <v>2091</v>
      </c>
      <c r="BI471" s="15" t="str">
        <f>"19.69"</f>
        <v>19.69</v>
      </c>
      <c r="BJ471" s="15" t="s">
        <v>1680</v>
      </c>
      <c r="BK471" s="15" t="str">
        <f t="shared" si="850"/>
        <v>28.74</v>
      </c>
      <c r="BL471" s="15" t="s">
        <v>2113</v>
      </c>
      <c r="BM471" s="15" t="str">
        <f>"66.14"</f>
        <v>66.14</v>
      </c>
      <c r="BN471" s="15" t="s">
        <v>958</v>
      </c>
      <c r="BQ471" s="15" t="s">
        <v>444</v>
      </c>
      <c r="BS471" s="15" t="s">
        <v>444</v>
      </c>
      <c r="BU471" s="15" t="s">
        <v>444</v>
      </c>
      <c r="BW471" s="15" t="s">
        <v>444</v>
      </c>
      <c r="BZ471" s="15" t="s">
        <v>444</v>
      </c>
      <c r="CB471" s="15" t="s">
        <v>444</v>
      </c>
      <c r="CD471" s="15" t="s">
        <v>444</v>
      </c>
      <c r="CF471" s="15" t="s">
        <v>444</v>
      </c>
      <c r="CI471" s="15" t="s">
        <v>444</v>
      </c>
      <c r="CK471" s="15" t="s">
        <v>444</v>
      </c>
      <c r="CM471" s="15" t="s">
        <v>444</v>
      </c>
      <c r="CO471" s="15" t="s">
        <v>444</v>
      </c>
      <c r="CP471" s="15" t="str">
        <f>"7.66"</f>
        <v>7.66</v>
      </c>
      <c r="CQ471" s="15" t="str">
        <f>"0.217"</f>
        <v>0.217</v>
      </c>
      <c r="CR471" s="15" t="s">
        <v>417</v>
      </c>
      <c r="CV471" s="15" t="s">
        <v>1592</v>
      </c>
      <c r="CW471" s="15" t="s">
        <v>466</v>
      </c>
      <c r="CX471" s="15" t="s">
        <v>504</v>
      </c>
      <c r="DC471" s="15" t="str">
        <f>IFERROR(__xludf.DUMMYFUNCTION("""COMPUTED_VALUE"""),"")</f>
        <v/>
      </c>
      <c r="DE471" s="15" t="str">
        <f>IFERROR(__xludf.DUMMYFUNCTION("""COMPUTED_VALUE"""),"")</f>
        <v/>
      </c>
      <c r="DG471" s="15" t="str">
        <f>IFERROR(__xludf.DUMMYFUNCTION("""COMPUTED_VALUE"""),"")</f>
        <v/>
      </c>
      <c r="DL471" s="15" t="str">
        <f>IFERROR(__xludf.DUMMYFUNCTION("""COMPUTED_VALUE"""),"")</f>
        <v/>
      </c>
      <c r="DM471" s="15" t="s">
        <v>444</v>
      </c>
      <c r="DN471" s="15" t="s">
        <v>419</v>
      </c>
      <c r="DO471" s="15">
        <v>0.0</v>
      </c>
      <c r="DP471" s="15" t="s">
        <v>419</v>
      </c>
      <c r="DR471" s="15">
        <v>0.0</v>
      </c>
      <c r="DT471" s="15" t="s">
        <v>1388</v>
      </c>
      <c r="DU471" s="15" t="s">
        <v>419</v>
      </c>
      <c r="DY471" s="15">
        <v>0.0</v>
      </c>
      <c r="EF471" s="15" t="s">
        <v>471</v>
      </c>
      <c r="EG471" s="15" t="s">
        <v>472</v>
      </c>
      <c r="EH471" s="15" t="s">
        <v>5681</v>
      </c>
      <c r="EJ471" s="15" t="s">
        <v>500</v>
      </c>
      <c r="EK471" s="15" t="s">
        <v>501</v>
      </c>
      <c r="EM471" s="15" t="str">
        <f>IFERROR(__xludf.DUMMYFUNCTION("""COMPUTED_VALUE"""),"")</f>
        <v/>
      </c>
      <c r="EW471" s="15" t="s">
        <v>1309</v>
      </c>
      <c r="FH471" s="15" t="s">
        <v>1430</v>
      </c>
      <c r="FI471" s="15" t="s">
        <v>4683</v>
      </c>
      <c r="FJ471" s="15" t="s">
        <v>1161</v>
      </c>
      <c r="FK471" s="15" t="s">
        <v>4685</v>
      </c>
      <c r="FL471" s="15" t="s">
        <v>426</v>
      </c>
      <c r="FM471" s="15">
        <v>1.0</v>
      </c>
      <c r="FN471" s="15">
        <v>0.0</v>
      </c>
      <c r="FW471" s="15" t="s">
        <v>1309</v>
      </c>
    </row>
    <row r="472" ht="15.75" customHeight="1">
      <c r="A472" s="14" t="s">
        <v>391</v>
      </c>
      <c r="B472" s="15" t="s">
        <v>5694</v>
      </c>
      <c r="C472" s="16"/>
      <c r="D472" s="15" t="s">
        <v>432</v>
      </c>
      <c r="G472" s="14" t="s">
        <v>393</v>
      </c>
      <c r="H472" s="14" t="s">
        <v>394</v>
      </c>
      <c r="I472" s="14" t="b">
        <v>1</v>
      </c>
      <c r="J472" s="14" t="s">
        <v>395</v>
      </c>
      <c r="L472" s="14" t="b">
        <v>0</v>
      </c>
      <c r="M472" s="15" t="s">
        <v>5695</v>
      </c>
      <c r="N472" s="14" t="s">
        <v>393</v>
      </c>
      <c r="O472" s="14" t="s">
        <v>393</v>
      </c>
      <c r="P472" s="15" t="s">
        <v>397</v>
      </c>
      <c r="Q472" s="15" t="s">
        <v>2697</v>
      </c>
      <c r="T472" s="14" t="b">
        <v>0</v>
      </c>
      <c r="U472" s="15" t="s">
        <v>5696</v>
      </c>
      <c r="V472" s="15" t="s">
        <v>5697</v>
      </c>
      <c r="W472" s="15" t="s">
        <v>401</v>
      </c>
      <c r="X472" s="15" t="s">
        <v>402</v>
      </c>
      <c r="Y472" s="15">
        <v>2626.0</v>
      </c>
      <c r="AA472" s="15" t="str">
        <f t="shared" ref="AA472:AA474" si="854">"1010"</f>
        <v>1010</v>
      </c>
      <c r="AB472" s="14" t="b">
        <v>1</v>
      </c>
      <c r="AC472" s="14" t="b">
        <v>1</v>
      </c>
      <c r="AD472" s="15" t="str">
        <f>"801542114114"</f>
        <v>801542114114</v>
      </c>
      <c r="AE472" s="15" t="s">
        <v>5698</v>
      </c>
      <c r="AF472" s="14" t="s">
        <v>404</v>
      </c>
      <c r="AG472" s="14" t="s">
        <v>405</v>
      </c>
      <c r="AH472" s="14" t="s">
        <v>406</v>
      </c>
      <c r="AI472" s="15">
        <v>0.0</v>
      </c>
      <c r="AL472" s="15" t="s">
        <v>5699</v>
      </c>
      <c r="AM472" s="15" t="s">
        <v>487</v>
      </c>
      <c r="AN472" s="15" t="s">
        <v>488</v>
      </c>
      <c r="AO472" s="15" t="s">
        <v>487</v>
      </c>
      <c r="AP472" s="15" t="s">
        <v>488</v>
      </c>
      <c r="AQ472" s="15" t="s">
        <v>5377</v>
      </c>
      <c r="AR472" s="15" t="s">
        <v>4405</v>
      </c>
      <c r="AS472" s="15" t="s">
        <v>411</v>
      </c>
      <c r="AT472" s="15" t="s">
        <v>2697</v>
      </c>
      <c r="AU472" s="15" t="s">
        <v>1095</v>
      </c>
      <c r="AW472" s="15" t="s">
        <v>491</v>
      </c>
      <c r="AY472" s="15" t="s">
        <v>413</v>
      </c>
      <c r="AZ472" s="15" t="b">
        <v>0</v>
      </c>
      <c r="BA472" s="15" t="s">
        <v>413</v>
      </c>
      <c r="BB472" s="15" t="b">
        <v>0</v>
      </c>
      <c r="BC472" s="15" t="s">
        <v>5700</v>
      </c>
      <c r="BD472" s="15" t="s">
        <v>415</v>
      </c>
      <c r="BE472" s="15" t="str">
        <f t="shared" si="839"/>
        <v>1</v>
      </c>
      <c r="BF472" s="15" t="s">
        <v>416</v>
      </c>
      <c r="BG472" s="15" t="str">
        <f t="shared" ref="BG472:BG474" si="855">"63.78"</f>
        <v>63.78</v>
      </c>
      <c r="BH472" s="15" t="s">
        <v>3772</v>
      </c>
      <c r="BI472" s="15" t="str">
        <f t="shared" ref="BI472:BI474" si="856">"62.2"</f>
        <v>62.2</v>
      </c>
      <c r="BJ472" s="15" t="s">
        <v>5701</v>
      </c>
      <c r="BK472" s="15" t="str">
        <f t="shared" ref="BK472:BK474" si="857">"22.05"</f>
        <v>22.05</v>
      </c>
      <c r="BL472" s="15" t="s">
        <v>2310</v>
      </c>
      <c r="BM472" s="15" t="str">
        <f t="shared" ref="BM472:BM474" si="858">"152.89"</f>
        <v>152.89</v>
      </c>
      <c r="BN472" s="15" t="s">
        <v>5702</v>
      </c>
      <c r="BQ472" s="15" t="s">
        <v>444</v>
      </c>
      <c r="BS472" s="15" t="s">
        <v>444</v>
      </c>
      <c r="BU472" s="15" t="s">
        <v>444</v>
      </c>
      <c r="BW472" s="15" t="s">
        <v>444</v>
      </c>
      <c r="BZ472" s="15" t="s">
        <v>444</v>
      </c>
      <c r="CB472" s="15" t="s">
        <v>444</v>
      </c>
      <c r="CD472" s="15" t="s">
        <v>444</v>
      </c>
      <c r="CF472" s="15" t="s">
        <v>444</v>
      </c>
      <c r="CI472" s="15" t="s">
        <v>444</v>
      </c>
      <c r="CK472" s="15" t="s">
        <v>444</v>
      </c>
      <c r="CM472" s="15" t="s">
        <v>444</v>
      </c>
      <c r="CO472" s="15" t="s">
        <v>444</v>
      </c>
      <c r="CP472" s="15" t="str">
        <f t="shared" ref="CP472:CP474" si="859">"50.61"</f>
        <v>50.61</v>
      </c>
      <c r="CQ472" s="15" t="str">
        <f t="shared" ref="CQ472:CQ474" si="860">"1.433"</f>
        <v>1.433</v>
      </c>
      <c r="CR472" s="15" t="s">
        <v>417</v>
      </c>
      <c r="DC472" s="15" t="str">
        <f>IFERROR(__xludf.DUMMYFUNCTION("""COMPUTED_VALUE"""),"")</f>
        <v/>
      </c>
      <c r="DE472" s="15" t="str">
        <f>IFERROR(__xludf.DUMMYFUNCTION("""COMPUTED_VALUE"""),"")</f>
        <v/>
      </c>
      <c r="DG472" s="15" t="str">
        <f>IFERROR(__xludf.DUMMYFUNCTION("""COMPUTED_VALUE"""),"")</f>
        <v/>
      </c>
      <c r="DL472" s="15" t="str">
        <f>IFERROR(__xludf.DUMMYFUNCTION("""COMPUTED_VALUE"""),"")</f>
        <v/>
      </c>
      <c r="DM472" s="15" t="s">
        <v>444</v>
      </c>
      <c r="DN472" s="15" t="s">
        <v>419</v>
      </c>
      <c r="DO472" s="15">
        <v>0.0</v>
      </c>
      <c r="DP472" s="15" t="s">
        <v>419</v>
      </c>
      <c r="DR472" s="15">
        <v>0.0</v>
      </c>
      <c r="DT472" s="15" t="s">
        <v>1388</v>
      </c>
      <c r="DU472" s="15" t="s">
        <v>419</v>
      </c>
      <c r="DY472" s="15">
        <v>0.0</v>
      </c>
      <c r="EF472" s="15" t="s">
        <v>1157</v>
      </c>
      <c r="EG472" s="15" t="s">
        <v>1158</v>
      </c>
      <c r="EH472" s="15" t="s">
        <v>5681</v>
      </c>
      <c r="EJ472" s="15" t="s">
        <v>500</v>
      </c>
      <c r="EK472" s="15" t="s">
        <v>501</v>
      </c>
      <c r="EM472" s="15" t="str">
        <f>IFERROR(__xludf.DUMMYFUNCTION("""COMPUTED_VALUE"""),"")</f>
        <v/>
      </c>
      <c r="EW472" s="15" t="s">
        <v>5703</v>
      </c>
      <c r="FH472" s="15" t="s">
        <v>5704</v>
      </c>
      <c r="FI472" s="15" t="s">
        <v>5703</v>
      </c>
      <c r="FJ472" s="15" t="s">
        <v>5704</v>
      </c>
      <c r="FK472" s="15" t="s">
        <v>5705</v>
      </c>
      <c r="FL472" s="15" t="s">
        <v>426</v>
      </c>
      <c r="FM472" s="15">
        <v>0.0</v>
      </c>
      <c r="FN472" s="15">
        <v>0.0</v>
      </c>
      <c r="FW472" s="15" t="s">
        <v>5586</v>
      </c>
    </row>
    <row r="473" ht="15.75" customHeight="1">
      <c r="A473" s="14" t="s">
        <v>391</v>
      </c>
      <c r="B473" s="15" t="s">
        <v>5694</v>
      </c>
      <c r="C473" s="16"/>
      <c r="D473" s="15" t="s">
        <v>432</v>
      </c>
      <c r="G473" s="14" t="s">
        <v>393</v>
      </c>
      <c r="H473" s="14" t="s">
        <v>394</v>
      </c>
      <c r="I473" s="14" t="b">
        <v>1</v>
      </c>
      <c r="J473" s="14" t="s">
        <v>395</v>
      </c>
      <c r="L473" s="14" t="b">
        <v>0</v>
      </c>
      <c r="M473" s="15" t="s">
        <v>5706</v>
      </c>
      <c r="N473" s="14" t="s">
        <v>393</v>
      </c>
      <c r="O473" s="14" t="s">
        <v>393</v>
      </c>
      <c r="P473" s="15" t="s">
        <v>397</v>
      </c>
      <c r="Q473" s="15" t="s">
        <v>1978</v>
      </c>
      <c r="T473" s="14" t="b">
        <v>0</v>
      </c>
      <c r="U473" s="15" t="s">
        <v>5707</v>
      </c>
      <c r="V473" s="15" t="s">
        <v>5697</v>
      </c>
      <c r="W473" s="15" t="s">
        <v>401</v>
      </c>
      <c r="X473" s="15" t="s">
        <v>402</v>
      </c>
      <c r="Y473" s="15">
        <v>2626.0</v>
      </c>
      <c r="AA473" s="15" t="str">
        <f t="shared" si="854"/>
        <v>1010</v>
      </c>
      <c r="AB473" s="14" t="b">
        <v>1</v>
      </c>
      <c r="AC473" s="14" t="b">
        <v>1</v>
      </c>
      <c r="AD473" s="15" t="str">
        <f>"801542114138"</f>
        <v>801542114138</v>
      </c>
      <c r="AE473" s="15" t="s">
        <v>5708</v>
      </c>
      <c r="AF473" s="14" t="s">
        <v>404</v>
      </c>
      <c r="AG473" s="14" t="s">
        <v>405</v>
      </c>
      <c r="AH473" s="14" t="s">
        <v>406</v>
      </c>
      <c r="AI473" s="15">
        <v>0.0</v>
      </c>
      <c r="AL473" s="15" t="s">
        <v>5709</v>
      </c>
      <c r="AM473" s="15" t="s">
        <v>487</v>
      </c>
      <c r="AN473" s="15" t="s">
        <v>488</v>
      </c>
      <c r="AO473" s="15" t="s">
        <v>487</v>
      </c>
      <c r="AP473" s="15" t="s">
        <v>488</v>
      </c>
      <c r="AQ473" s="15" t="s">
        <v>5377</v>
      </c>
      <c r="AR473" s="15" t="s">
        <v>4405</v>
      </c>
      <c r="AS473" s="15" t="s">
        <v>411</v>
      </c>
      <c r="AT473" s="15" t="s">
        <v>1978</v>
      </c>
      <c r="AU473" s="15" t="s">
        <v>1095</v>
      </c>
      <c r="AW473" s="15" t="s">
        <v>491</v>
      </c>
      <c r="AY473" s="15" t="s">
        <v>413</v>
      </c>
      <c r="AZ473" s="15" t="b">
        <v>0</v>
      </c>
      <c r="BA473" s="15" t="s">
        <v>413</v>
      </c>
      <c r="BB473" s="15" t="b">
        <v>0</v>
      </c>
      <c r="BC473" s="15" t="s">
        <v>5710</v>
      </c>
      <c r="BD473" s="15" t="s">
        <v>415</v>
      </c>
      <c r="BE473" s="15" t="str">
        <f t="shared" si="839"/>
        <v>1</v>
      </c>
      <c r="BF473" s="15" t="s">
        <v>416</v>
      </c>
      <c r="BG473" s="15" t="str">
        <f t="shared" si="855"/>
        <v>63.78</v>
      </c>
      <c r="BH473" s="15" t="s">
        <v>3772</v>
      </c>
      <c r="BI473" s="15" t="str">
        <f t="shared" si="856"/>
        <v>62.2</v>
      </c>
      <c r="BJ473" s="15" t="s">
        <v>5701</v>
      </c>
      <c r="BK473" s="15" t="str">
        <f t="shared" si="857"/>
        <v>22.05</v>
      </c>
      <c r="BL473" s="15" t="s">
        <v>2310</v>
      </c>
      <c r="BM473" s="15" t="str">
        <f t="shared" si="858"/>
        <v>152.89</v>
      </c>
      <c r="BN473" s="15" t="s">
        <v>5702</v>
      </c>
      <c r="BQ473" s="15" t="s">
        <v>444</v>
      </c>
      <c r="BS473" s="15" t="s">
        <v>444</v>
      </c>
      <c r="BU473" s="15" t="s">
        <v>444</v>
      </c>
      <c r="BW473" s="15" t="s">
        <v>444</v>
      </c>
      <c r="BZ473" s="15" t="s">
        <v>444</v>
      </c>
      <c r="CB473" s="15" t="s">
        <v>444</v>
      </c>
      <c r="CD473" s="15" t="s">
        <v>444</v>
      </c>
      <c r="CF473" s="15" t="s">
        <v>444</v>
      </c>
      <c r="CI473" s="15" t="s">
        <v>444</v>
      </c>
      <c r="CK473" s="15" t="s">
        <v>444</v>
      </c>
      <c r="CM473" s="15" t="s">
        <v>444</v>
      </c>
      <c r="CO473" s="15" t="s">
        <v>444</v>
      </c>
      <c r="CP473" s="15" t="str">
        <f t="shared" si="859"/>
        <v>50.61</v>
      </c>
      <c r="CQ473" s="15" t="str">
        <f t="shared" si="860"/>
        <v>1.433</v>
      </c>
      <c r="CR473" s="15" t="s">
        <v>465</v>
      </c>
      <c r="DC473" s="15" t="str">
        <f>IFERROR(__xludf.DUMMYFUNCTION("""COMPUTED_VALUE"""),"")</f>
        <v/>
      </c>
      <c r="DE473" s="15" t="str">
        <f>IFERROR(__xludf.DUMMYFUNCTION("""COMPUTED_VALUE"""),"")</f>
        <v/>
      </c>
      <c r="DG473" s="15" t="str">
        <f>IFERROR(__xludf.DUMMYFUNCTION("""COMPUTED_VALUE"""),"")</f>
        <v/>
      </c>
      <c r="DL473" s="15" t="str">
        <f>IFERROR(__xludf.DUMMYFUNCTION("""COMPUTED_VALUE"""),"")</f>
        <v/>
      </c>
      <c r="DM473" s="15" t="s">
        <v>444</v>
      </c>
      <c r="DN473" s="15" t="s">
        <v>419</v>
      </c>
      <c r="DO473" s="15">
        <v>0.0</v>
      </c>
      <c r="DP473" s="15" t="s">
        <v>419</v>
      </c>
      <c r="DR473" s="15">
        <v>0.0</v>
      </c>
      <c r="DT473" s="15" t="s">
        <v>1388</v>
      </c>
      <c r="DU473" s="15" t="s">
        <v>419</v>
      </c>
      <c r="DY473" s="15">
        <v>0.0</v>
      </c>
      <c r="EF473" s="15" t="s">
        <v>1157</v>
      </c>
      <c r="EG473" s="15" t="s">
        <v>1158</v>
      </c>
      <c r="EH473" s="15" t="s">
        <v>5681</v>
      </c>
      <c r="EJ473" s="15" t="s">
        <v>500</v>
      </c>
      <c r="EK473" s="15" t="s">
        <v>501</v>
      </c>
      <c r="EM473" s="15" t="str">
        <f>IFERROR(__xludf.DUMMYFUNCTION("""COMPUTED_VALUE"""),"")</f>
        <v/>
      </c>
      <c r="EW473" s="15" t="s">
        <v>5703</v>
      </c>
      <c r="FH473" s="15" t="s">
        <v>5704</v>
      </c>
      <c r="FI473" s="15" t="s">
        <v>5703</v>
      </c>
      <c r="FJ473" s="15" t="s">
        <v>5704</v>
      </c>
      <c r="FK473" s="15" t="s">
        <v>5705</v>
      </c>
      <c r="FL473" s="15" t="s">
        <v>426</v>
      </c>
      <c r="FM473" s="15">
        <v>0.0</v>
      </c>
      <c r="FN473" s="15">
        <v>0.0</v>
      </c>
      <c r="FW473" s="15" t="s">
        <v>5586</v>
      </c>
    </row>
    <row r="474" ht="15.75" customHeight="1">
      <c r="A474" s="14" t="s">
        <v>391</v>
      </c>
      <c r="B474" s="15" t="s">
        <v>5694</v>
      </c>
      <c r="C474" s="16"/>
      <c r="D474" s="15" t="s">
        <v>432</v>
      </c>
      <c r="G474" s="14" t="s">
        <v>393</v>
      </c>
      <c r="H474" s="14" t="s">
        <v>394</v>
      </c>
      <c r="I474" s="14" t="b">
        <v>1</v>
      </c>
      <c r="J474" s="14" t="s">
        <v>395</v>
      </c>
      <c r="L474" s="14" t="b">
        <v>0</v>
      </c>
      <c r="M474" s="15" t="s">
        <v>5711</v>
      </c>
      <c r="N474" s="14" t="s">
        <v>393</v>
      </c>
      <c r="O474" s="14" t="s">
        <v>393</v>
      </c>
      <c r="P474" s="15" t="s">
        <v>397</v>
      </c>
      <c r="Q474" s="15" t="s">
        <v>5689</v>
      </c>
      <c r="T474" s="14" t="b">
        <v>0</v>
      </c>
      <c r="U474" s="15" t="s">
        <v>5712</v>
      </c>
      <c r="V474" s="15" t="s">
        <v>5697</v>
      </c>
      <c r="W474" s="15" t="s">
        <v>401</v>
      </c>
      <c r="X474" s="15" t="s">
        <v>402</v>
      </c>
      <c r="Y474" s="15">
        <v>2626.0</v>
      </c>
      <c r="AA474" s="15" t="str">
        <f t="shared" si="854"/>
        <v>1010</v>
      </c>
      <c r="AB474" s="14" t="b">
        <v>1</v>
      </c>
      <c r="AC474" s="14" t="b">
        <v>1</v>
      </c>
      <c r="AD474" s="15" t="str">
        <f>"801542114145"</f>
        <v>801542114145</v>
      </c>
      <c r="AE474" s="15" t="s">
        <v>5713</v>
      </c>
      <c r="AF474" s="14" t="s">
        <v>404</v>
      </c>
      <c r="AG474" s="14" t="s">
        <v>405</v>
      </c>
      <c r="AH474" s="14" t="s">
        <v>406</v>
      </c>
      <c r="AI474" s="15">
        <v>0.0</v>
      </c>
      <c r="AL474" s="15" t="s">
        <v>5714</v>
      </c>
      <c r="AM474" s="15" t="s">
        <v>487</v>
      </c>
      <c r="AN474" s="15" t="s">
        <v>488</v>
      </c>
      <c r="AO474" s="15" t="s">
        <v>487</v>
      </c>
      <c r="AP474" s="15" t="s">
        <v>488</v>
      </c>
      <c r="AQ474" s="15" t="s">
        <v>5377</v>
      </c>
      <c r="AR474" s="15" t="s">
        <v>4405</v>
      </c>
      <c r="AS474" s="15" t="s">
        <v>411</v>
      </c>
      <c r="AT474" s="15" t="s">
        <v>5689</v>
      </c>
      <c r="AU474" s="15" t="s">
        <v>1095</v>
      </c>
      <c r="AW474" s="15" t="s">
        <v>491</v>
      </c>
      <c r="AY474" s="15" t="s">
        <v>413</v>
      </c>
      <c r="AZ474" s="15" t="b">
        <v>0</v>
      </c>
      <c r="BA474" s="15" t="s">
        <v>413</v>
      </c>
      <c r="BB474" s="15" t="b">
        <v>0</v>
      </c>
      <c r="BC474" s="15" t="s">
        <v>5715</v>
      </c>
      <c r="BD474" s="15" t="s">
        <v>415</v>
      </c>
      <c r="BE474" s="15" t="str">
        <f t="shared" si="839"/>
        <v>1</v>
      </c>
      <c r="BF474" s="15" t="s">
        <v>416</v>
      </c>
      <c r="BG474" s="15" t="str">
        <f t="shared" si="855"/>
        <v>63.78</v>
      </c>
      <c r="BH474" s="15" t="s">
        <v>3772</v>
      </c>
      <c r="BI474" s="15" t="str">
        <f t="shared" si="856"/>
        <v>62.2</v>
      </c>
      <c r="BJ474" s="15" t="s">
        <v>5701</v>
      </c>
      <c r="BK474" s="15" t="str">
        <f t="shared" si="857"/>
        <v>22.05</v>
      </c>
      <c r="BL474" s="15" t="s">
        <v>2310</v>
      </c>
      <c r="BM474" s="15" t="str">
        <f t="shared" si="858"/>
        <v>152.89</v>
      </c>
      <c r="BN474" s="15" t="s">
        <v>5702</v>
      </c>
      <c r="BQ474" s="15" t="s">
        <v>444</v>
      </c>
      <c r="BS474" s="15" t="s">
        <v>444</v>
      </c>
      <c r="BU474" s="15" t="s">
        <v>444</v>
      </c>
      <c r="BW474" s="15" t="s">
        <v>444</v>
      </c>
      <c r="BZ474" s="15" t="s">
        <v>444</v>
      </c>
      <c r="CB474" s="15" t="s">
        <v>444</v>
      </c>
      <c r="CD474" s="15" t="s">
        <v>444</v>
      </c>
      <c r="CF474" s="15" t="s">
        <v>444</v>
      </c>
      <c r="CI474" s="15" t="s">
        <v>444</v>
      </c>
      <c r="CK474" s="15" t="s">
        <v>444</v>
      </c>
      <c r="CM474" s="15" t="s">
        <v>444</v>
      </c>
      <c r="CO474" s="15" t="s">
        <v>444</v>
      </c>
      <c r="CP474" s="15" t="str">
        <f t="shared" si="859"/>
        <v>50.61</v>
      </c>
      <c r="CQ474" s="15" t="str">
        <f t="shared" si="860"/>
        <v>1.433</v>
      </c>
      <c r="CR474" s="15" t="s">
        <v>465</v>
      </c>
      <c r="DC474" s="15" t="str">
        <f>IFERROR(__xludf.DUMMYFUNCTION("""COMPUTED_VALUE"""),"")</f>
        <v/>
      </c>
      <c r="DE474" s="15" t="str">
        <f>IFERROR(__xludf.DUMMYFUNCTION("""COMPUTED_VALUE"""),"")</f>
        <v/>
      </c>
      <c r="DG474" s="15" t="str">
        <f>IFERROR(__xludf.DUMMYFUNCTION("""COMPUTED_VALUE"""),"")</f>
        <v/>
      </c>
      <c r="DL474" s="15" t="str">
        <f>IFERROR(__xludf.DUMMYFUNCTION("""COMPUTED_VALUE"""),"")</f>
        <v/>
      </c>
      <c r="DM474" s="15" t="s">
        <v>444</v>
      </c>
      <c r="DN474" s="15" t="s">
        <v>419</v>
      </c>
      <c r="DO474" s="15">
        <v>0.0</v>
      </c>
      <c r="DP474" s="15" t="s">
        <v>419</v>
      </c>
      <c r="DR474" s="15">
        <v>0.0</v>
      </c>
      <c r="DT474" s="15" t="s">
        <v>1388</v>
      </c>
      <c r="DU474" s="15" t="s">
        <v>419</v>
      </c>
      <c r="DY474" s="15">
        <v>0.0</v>
      </c>
      <c r="EF474" s="15" t="s">
        <v>1157</v>
      </c>
      <c r="EG474" s="15" t="s">
        <v>1158</v>
      </c>
      <c r="EH474" s="15" t="s">
        <v>5681</v>
      </c>
      <c r="EJ474" s="15" t="s">
        <v>500</v>
      </c>
      <c r="EK474" s="15" t="s">
        <v>501</v>
      </c>
      <c r="EM474" s="15" t="str">
        <f>IFERROR(__xludf.DUMMYFUNCTION("""COMPUTED_VALUE"""),"")</f>
        <v/>
      </c>
      <c r="EW474" s="15" t="s">
        <v>5703</v>
      </c>
      <c r="FH474" s="15" t="s">
        <v>5704</v>
      </c>
      <c r="FI474" s="15" t="s">
        <v>5703</v>
      </c>
      <c r="FJ474" s="15" t="s">
        <v>5704</v>
      </c>
      <c r="FK474" s="15" t="s">
        <v>5705</v>
      </c>
      <c r="FL474" s="15" t="s">
        <v>426</v>
      </c>
      <c r="FM474" s="15">
        <v>0.0</v>
      </c>
      <c r="FN474" s="15">
        <v>0.0</v>
      </c>
      <c r="FW474" s="15" t="s">
        <v>5586</v>
      </c>
    </row>
    <row r="475" ht="15.75" customHeight="1">
      <c r="A475" s="14" t="s">
        <v>391</v>
      </c>
      <c r="B475" s="15" t="s">
        <v>5716</v>
      </c>
      <c r="C475" s="16"/>
      <c r="D475" s="15" t="s">
        <v>432</v>
      </c>
      <c r="G475" s="14" t="s">
        <v>393</v>
      </c>
      <c r="H475" s="14" t="s">
        <v>394</v>
      </c>
      <c r="I475" s="14" t="b">
        <v>1</v>
      </c>
      <c r="J475" s="14" t="s">
        <v>395</v>
      </c>
      <c r="L475" s="14" t="b">
        <v>0</v>
      </c>
      <c r="M475" s="15" t="s">
        <v>5717</v>
      </c>
      <c r="N475" s="14" t="s">
        <v>393</v>
      </c>
      <c r="O475" s="14" t="s">
        <v>393</v>
      </c>
      <c r="P475" s="15" t="s">
        <v>397</v>
      </c>
      <c r="Q475" s="15" t="s">
        <v>2697</v>
      </c>
      <c r="T475" s="14" t="b">
        <v>0</v>
      </c>
      <c r="U475" s="15" t="s">
        <v>5718</v>
      </c>
      <c r="V475" s="15" t="s">
        <v>5719</v>
      </c>
      <c r="W475" s="15" t="s">
        <v>401</v>
      </c>
      <c r="X475" s="15" t="s">
        <v>402</v>
      </c>
      <c r="Y475" s="15">
        <v>3068.0</v>
      </c>
      <c r="AA475" s="15" t="str">
        <f t="shared" ref="AA475:AA477" si="861">"1180"</f>
        <v>1180</v>
      </c>
      <c r="AB475" s="14" t="b">
        <v>1</v>
      </c>
      <c r="AC475" s="14" t="b">
        <v>1</v>
      </c>
      <c r="AD475" s="15" t="str">
        <f>"801542242732"</f>
        <v>801542242732</v>
      </c>
      <c r="AE475" s="15" t="s">
        <v>5720</v>
      </c>
      <c r="AF475" s="14" t="s">
        <v>404</v>
      </c>
      <c r="AG475" s="14" t="s">
        <v>405</v>
      </c>
      <c r="AH475" s="14" t="s">
        <v>406</v>
      </c>
      <c r="AI475" s="15">
        <v>0.0</v>
      </c>
      <c r="AL475" s="15" t="s">
        <v>5699</v>
      </c>
      <c r="AM475" s="15" t="s">
        <v>487</v>
      </c>
      <c r="AN475" s="15" t="s">
        <v>488</v>
      </c>
      <c r="AO475" s="15" t="s">
        <v>487</v>
      </c>
      <c r="AP475" s="15" t="s">
        <v>488</v>
      </c>
      <c r="AQ475" s="15" t="s">
        <v>489</v>
      </c>
      <c r="AR475" s="15" t="s">
        <v>490</v>
      </c>
      <c r="AS475" s="15" t="s">
        <v>411</v>
      </c>
      <c r="AT475" s="15" t="s">
        <v>2697</v>
      </c>
      <c r="AU475" s="15" t="s">
        <v>1095</v>
      </c>
      <c r="AW475" s="15" t="s">
        <v>491</v>
      </c>
      <c r="AY475" s="15" t="s">
        <v>413</v>
      </c>
      <c r="AZ475" s="15" t="b">
        <v>0</v>
      </c>
      <c r="BA475" s="15" t="s">
        <v>413</v>
      </c>
      <c r="BB475" s="15" t="b">
        <v>0</v>
      </c>
      <c r="BD475" s="15" t="s">
        <v>415</v>
      </c>
      <c r="BE475" s="15" t="str">
        <f t="shared" si="839"/>
        <v>1</v>
      </c>
      <c r="BF475" s="15" t="s">
        <v>416</v>
      </c>
      <c r="BG475" s="15" t="str">
        <f t="shared" ref="BG475:BG477" si="862">"61.42"</f>
        <v>61.42</v>
      </c>
      <c r="BH475" s="15" t="s">
        <v>3304</v>
      </c>
      <c r="BI475" s="15" t="str">
        <f t="shared" ref="BI475:BI477" si="863">"61.42"</f>
        <v>61.42</v>
      </c>
      <c r="BJ475" s="15" t="s">
        <v>3304</v>
      </c>
      <c r="BK475" s="15" t="str">
        <f t="shared" ref="BK475:BK477" si="864">"21.65"</f>
        <v>21.65</v>
      </c>
      <c r="BL475" s="15" t="s">
        <v>1506</v>
      </c>
      <c r="BM475" s="15" t="str">
        <f t="shared" ref="BM475:BM477" si="865">"192.9"</f>
        <v>192.9</v>
      </c>
      <c r="BN475" s="15" t="s">
        <v>5721</v>
      </c>
      <c r="BQ475" s="15" t="s">
        <v>444</v>
      </c>
      <c r="BS475" s="15" t="s">
        <v>444</v>
      </c>
      <c r="BU475" s="15" t="s">
        <v>444</v>
      </c>
      <c r="BW475" s="15" t="s">
        <v>444</v>
      </c>
      <c r="BZ475" s="15" t="s">
        <v>444</v>
      </c>
      <c r="CB475" s="15" t="s">
        <v>444</v>
      </c>
      <c r="CD475" s="15" t="s">
        <v>444</v>
      </c>
      <c r="CF475" s="15" t="s">
        <v>444</v>
      </c>
      <c r="CI475" s="15" t="s">
        <v>444</v>
      </c>
      <c r="CK475" s="15" t="s">
        <v>444</v>
      </c>
      <c r="CM475" s="15" t="s">
        <v>444</v>
      </c>
      <c r="CO475" s="15" t="s">
        <v>444</v>
      </c>
      <c r="CP475" s="15" t="str">
        <f t="shared" ref="CP475:CP477" si="866">"47.25"</f>
        <v>47.25</v>
      </c>
      <c r="CQ475" s="15" t="str">
        <f t="shared" ref="CQ475:CQ477" si="867">"1.338"</f>
        <v>1.338</v>
      </c>
      <c r="CR475" s="15" t="s">
        <v>465</v>
      </c>
      <c r="DC475" s="15" t="str">
        <f>IFERROR(__xludf.DUMMYFUNCTION("""COMPUTED_VALUE"""),"")</f>
        <v/>
      </c>
      <c r="DE475" s="15" t="str">
        <f>IFERROR(__xludf.DUMMYFUNCTION("""COMPUTED_VALUE"""),"")</f>
        <v/>
      </c>
      <c r="DG475" s="15" t="str">
        <f>IFERROR(__xludf.DUMMYFUNCTION("""COMPUTED_VALUE"""),"")</f>
        <v/>
      </c>
      <c r="DL475" s="15" t="str">
        <f>IFERROR(__xludf.DUMMYFUNCTION("""COMPUTED_VALUE"""),"")</f>
        <v/>
      </c>
      <c r="DM475" s="15" t="s">
        <v>444</v>
      </c>
      <c r="DN475" s="15" t="s">
        <v>419</v>
      </c>
      <c r="DO475" s="15">
        <v>0.0</v>
      </c>
      <c r="DP475" s="15" t="s">
        <v>419</v>
      </c>
      <c r="DR475" s="15">
        <v>0.0</v>
      </c>
      <c r="DT475" s="15" t="s">
        <v>1388</v>
      </c>
      <c r="DU475" s="15" t="s">
        <v>419</v>
      </c>
      <c r="DY475" s="15">
        <v>0.0</v>
      </c>
      <c r="EF475" s="15" t="s">
        <v>498</v>
      </c>
      <c r="EG475" s="15" t="s">
        <v>499</v>
      </c>
      <c r="EH475" s="15" t="s">
        <v>5681</v>
      </c>
      <c r="EJ475" s="15" t="s">
        <v>500</v>
      </c>
      <c r="EK475" s="15" t="s">
        <v>501</v>
      </c>
      <c r="EM475" s="15" t="str">
        <f>IFERROR(__xludf.DUMMYFUNCTION("""COMPUTED_VALUE"""),"")</f>
        <v/>
      </c>
      <c r="EW475" s="15" t="s">
        <v>5722</v>
      </c>
      <c r="FH475" s="15" t="s">
        <v>1683</v>
      </c>
      <c r="FI475" s="15" t="s">
        <v>5722</v>
      </c>
      <c r="FJ475" s="15" t="s">
        <v>1683</v>
      </c>
      <c r="FK475" s="15" t="s">
        <v>5705</v>
      </c>
      <c r="FL475" s="15" t="s">
        <v>426</v>
      </c>
      <c r="FM475" s="15">
        <v>0.0</v>
      </c>
      <c r="FN475" s="15">
        <v>0.0</v>
      </c>
      <c r="FW475" s="15" t="s">
        <v>672</v>
      </c>
    </row>
    <row r="476" ht="15.75" customHeight="1">
      <c r="A476" s="14" t="s">
        <v>391</v>
      </c>
      <c r="B476" s="15" t="s">
        <v>5716</v>
      </c>
      <c r="C476" s="16"/>
      <c r="D476" s="15" t="s">
        <v>432</v>
      </c>
      <c r="G476" s="14" t="s">
        <v>393</v>
      </c>
      <c r="H476" s="14" t="s">
        <v>394</v>
      </c>
      <c r="I476" s="14" t="b">
        <v>1</v>
      </c>
      <c r="J476" s="14" t="s">
        <v>395</v>
      </c>
      <c r="L476" s="14" t="b">
        <v>0</v>
      </c>
      <c r="M476" s="15" t="s">
        <v>5723</v>
      </c>
      <c r="N476" s="14" t="s">
        <v>393</v>
      </c>
      <c r="O476" s="14" t="s">
        <v>393</v>
      </c>
      <c r="P476" s="15" t="s">
        <v>397</v>
      </c>
      <c r="Q476" s="15" t="s">
        <v>1978</v>
      </c>
      <c r="T476" s="14" t="b">
        <v>0</v>
      </c>
      <c r="U476" s="15" t="s">
        <v>5724</v>
      </c>
      <c r="V476" s="15" t="s">
        <v>5719</v>
      </c>
      <c r="W476" s="15" t="s">
        <v>401</v>
      </c>
      <c r="X476" s="15" t="s">
        <v>402</v>
      </c>
      <c r="Y476" s="15">
        <v>3068.0</v>
      </c>
      <c r="AA476" s="15" t="str">
        <f t="shared" si="861"/>
        <v>1180</v>
      </c>
      <c r="AB476" s="14" t="b">
        <v>1</v>
      </c>
      <c r="AC476" s="14" t="b">
        <v>1</v>
      </c>
      <c r="AD476" s="15" t="str">
        <f>"801542142032"</f>
        <v>801542142032</v>
      </c>
      <c r="AE476" s="15" t="s">
        <v>5725</v>
      </c>
      <c r="AF476" s="14" t="s">
        <v>404</v>
      </c>
      <c r="AG476" s="14" t="s">
        <v>405</v>
      </c>
      <c r="AH476" s="14" t="s">
        <v>406</v>
      </c>
      <c r="AI476" s="15">
        <v>0.0</v>
      </c>
      <c r="AL476" s="15" t="s">
        <v>5709</v>
      </c>
      <c r="AM476" s="15" t="s">
        <v>487</v>
      </c>
      <c r="AN476" s="15" t="s">
        <v>488</v>
      </c>
      <c r="AO476" s="15" t="s">
        <v>487</v>
      </c>
      <c r="AP476" s="15" t="s">
        <v>488</v>
      </c>
      <c r="AQ476" s="15" t="s">
        <v>489</v>
      </c>
      <c r="AR476" s="15" t="s">
        <v>490</v>
      </c>
      <c r="AS476" s="15" t="s">
        <v>411</v>
      </c>
      <c r="AT476" s="15" t="s">
        <v>1978</v>
      </c>
      <c r="AU476" s="15" t="s">
        <v>1095</v>
      </c>
      <c r="AW476" s="15" t="s">
        <v>491</v>
      </c>
      <c r="AY476" s="15" t="s">
        <v>413</v>
      </c>
      <c r="AZ476" s="15" t="b">
        <v>0</v>
      </c>
      <c r="BA476" s="15" t="s">
        <v>413</v>
      </c>
      <c r="BB476" s="15" t="b">
        <v>0</v>
      </c>
      <c r="BC476" s="15" t="s">
        <v>5726</v>
      </c>
      <c r="BD476" s="15" t="s">
        <v>415</v>
      </c>
      <c r="BE476" s="15" t="str">
        <f t="shared" si="839"/>
        <v>1</v>
      </c>
      <c r="BF476" s="15" t="s">
        <v>416</v>
      </c>
      <c r="BG476" s="15" t="str">
        <f t="shared" si="862"/>
        <v>61.42</v>
      </c>
      <c r="BH476" s="15" t="s">
        <v>3304</v>
      </c>
      <c r="BI476" s="15" t="str">
        <f t="shared" si="863"/>
        <v>61.42</v>
      </c>
      <c r="BJ476" s="15" t="s">
        <v>3304</v>
      </c>
      <c r="BK476" s="15" t="str">
        <f t="shared" si="864"/>
        <v>21.65</v>
      </c>
      <c r="BL476" s="15" t="s">
        <v>1506</v>
      </c>
      <c r="BM476" s="15" t="str">
        <f t="shared" si="865"/>
        <v>192.9</v>
      </c>
      <c r="BN476" s="15" t="s">
        <v>5721</v>
      </c>
      <c r="BQ476" s="15" t="s">
        <v>444</v>
      </c>
      <c r="BS476" s="15" t="s">
        <v>444</v>
      </c>
      <c r="BU476" s="15" t="s">
        <v>444</v>
      </c>
      <c r="BW476" s="15" t="s">
        <v>444</v>
      </c>
      <c r="BZ476" s="15" t="s">
        <v>444</v>
      </c>
      <c r="CB476" s="15" t="s">
        <v>444</v>
      </c>
      <c r="CD476" s="15" t="s">
        <v>444</v>
      </c>
      <c r="CF476" s="15" t="s">
        <v>444</v>
      </c>
      <c r="CI476" s="15" t="s">
        <v>444</v>
      </c>
      <c r="CK476" s="15" t="s">
        <v>444</v>
      </c>
      <c r="CM476" s="15" t="s">
        <v>444</v>
      </c>
      <c r="CO476" s="15" t="s">
        <v>444</v>
      </c>
      <c r="CP476" s="15" t="str">
        <f t="shared" si="866"/>
        <v>47.25</v>
      </c>
      <c r="CQ476" s="15" t="str">
        <f t="shared" si="867"/>
        <v>1.338</v>
      </c>
      <c r="CR476" s="15" t="s">
        <v>417</v>
      </c>
      <c r="DC476" s="15" t="str">
        <f>IFERROR(__xludf.DUMMYFUNCTION("""COMPUTED_VALUE"""),"")</f>
        <v/>
      </c>
      <c r="DE476" s="15" t="str">
        <f>IFERROR(__xludf.DUMMYFUNCTION("""COMPUTED_VALUE"""),"")</f>
        <v/>
      </c>
      <c r="DG476" s="15" t="str">
        <f>IFERROR(__xludf.DUMMYFUNCTION("""COMPUTED_VALUE"""),"")</f>
        <v/>
      </c>
      <c r="DL476" s="15" t="str">
        <f>IFERROR(__xludf.DUMMYFUNCTION("""COMPUTED_VALUE"""),"")</f>
        <v/>
      </c>
      <c r="DM476" s="15" t="s">
        <v>444</v>
      </c>
      <c r="DN476" s="15" t="s">
        <v>419</v>
      </c>
      <c r="DO476" s="15">
        <v>0.0</v>
      </c>
      <c r="DP476" s="15" t="s">
        <v>419</v>
      </c>
      <c r="DR476" s="15">
        <v>0.0</v>
      </c>
      <c r="DT476" s="15" t="s">
        <v>1388</v>
      </c>
      <c r="DU476" s="15" t="s">
        <v>419</v>
      </c>
      <c r="DY476" s="15">
        <v>0.0</v>
      </c>
      <c r="EF476" s="15" t="s">
        <v>498</v>
      </c>
      <c r="EG476" s="15" t="s">
        <v>499</v>
      </c>
      <c r="EH476" s="15" t="s">
        <v>5681</v>
      </c>
      <c r="EJ476" s="15" t="s">
        <v>500</v>
      </c>
      <c r="EK476" s="15" t="s">
        <v>501</v>
      </c>
      <c r="EM476" s="15" t="str">
        <f>IFERROR(__xludf.DUMMYFUNCTION("""COMPUTED_VALUE"""),"")</f>
        <v/>
      </c>
      <c r="EW476" s="15" t="s">
        <v>5722</v>
      </c>
      <c r="FH476" s="15" t="s">
        <v>1683</v>
      </c>
      <c r="FI476" s="15" t="s">
        <v>5722</v>
      </c>
      <c r="FJ476" s="15" t="s">
        <v>1683</v>
      </c>
      <c r="FK476" s="15" t="s">
        <v>5705</v>
      </c>
      <c r="FL476" s="15" t="s">
        <v>426</v>
      </c>
      <c r="FM476" s="15">
        <v>0.0</v>
      </c>
      <c r="FN476" s="15">
        <v>0.0</v>
      </c>
      <c r="FW476" s="15" t="s">
        <v>672</v>
      </c>
    </row>
    <row r="477" ht="15.75" customHeight="1">
      <c r="A477" s="14" t="s">
        <v>391</v>
      </c>
      <c r="B477" s="15" t="s">
        <v>5716</v>
      </c>
      <c r="C477" s="16"/>
      <c r="D477" s="15" t="s">
        <v>432</v>
      </c>
      <c r="G477" s="14" t="s">
        <v>393</v>
      </c>
      <c r="H477" s="14" t="s">
        <v>394</v>
      </c>
      <c r="I477" s="14" t="b">
        <v>1</v>
      </c>
      <c r="J477" s="14" t="s">
        <v>395</v>
      </c>
      <c r="L477" s="14" t="b">
        <v>0</v>
      </c>
      <c r="M477" s="15" t="s">
        <v>5727</v>
      </c>
      <c r="N477" s="14" t="s">
        <v>393</v>
      </c>
      <c r="O477" s="14" t="s">
        <v>393</v>
      </c>
      <c r="P477" s="15" t="s">
        <v>397</v>
      </c>
      <c r="Q477" s="15" t="s">
        <v>5689</v>
      </c>
      <c r="T477" s="14" t="b">
        <v>0</v>
      </c>
      <c r="U477" s="15" t="s">
        <v>5728</v>
      </c>
      <c r="V477" s="15" t="s">
        <v>5719</v>
      </c>
      <c r="W477" s="15" t="s">
        <v>401</v>
      </c>
      <c r="X477" s="15" t="s">
        <v>402</v>
      </c>
      <c r="Y477" s="15">
        <v>3068.0</v>
      </c>
      <c r="AA477" s="15" t="str">
        <f t="shared" si="861"/>
        <v>1180</v>
      </c>
      <c r="AB477" s="14" t="b">
        <v>1</v>
      </c>
      <c r="AC477" s="14" t="b">
        <v>1</v>
      </c>
      <c r="AD477" s="15" t="str">
        <f>"801542242763"</f>
        <v>801542242763</v>
      </c>
      <c r="AE477" s="15" t="s">
        <v>5729</v>
      </c>
      <c r="AF477" s="14" t="s">
        <v>404</v>
      </c>
      <c r="AG477" s="14" t="s">
        <v>405</v>
      </c>
      <c r="AH477" s="14" t="s">
        <v>406</v>
      </c>
      <c r="AI477" s="15">
        <v>0.0</v>
      </c>
      <c r="AL477" s="15" t="s">
        <v>5714</v>
      </c>
      <c r="AM477" s="15" t="s">
        <v>487</v>
      </c>
      <c r="AN477" s="15" t="s">
        <v>488</v>
      </c>
      <c r="AO477" s="15" t="s">
        <v>487</v>
      </c>
      <c r="AP477" s="15" t="s">
        <v>488</v>
      </c>
      <c r="AQ477" s="15" t="s">
        <v>489</v>
      </c>
      <c r="AR477" s="15" t="s">
        <v>490</v>
      </c>
      <c r="AS477" s="15" t="s">
        <v>411</v>
      </c>
      <c r="AT477" s="15" t="s">
        <v>5689</v>
      </c>
      <c r="AU477" s="15" t="s">
        <v>1095</v>
      </c>
      <c r="AW477" s="15" t="s">
        <v>491</v>
      </c>
      <c r="AY477" s="15" t="s">
        <v>413</v>
      </c>
      <c r="AZ477" s="15" t="b">
        <v>0</v>
      </c>
      <c r="BA477" s="15" t="s">
        <v>413</v>
      </c>
      <c r="BB477" s="15" t="b">
        <v>0</v>
      </c>
      <c r="BD477" s="15" t="s">
        <v>415</v>
      </c>
      <c r="BE477" s="15" t="str">
        <f t="shared" si="839"/>
        <v>1</v>
      </c>
      <c r="BF477" s="15" t="s">
        <v>416</v>
      </c>
      <c r="BG477" s="15" t="str">
        <f t="shared" si="862"/>
        <v>61.42</v>
      </c>
      <c r="BH477" s="15" t="s">
        <v>3304</v>
      </c>
      <c r="BI477" s="15" t="str">
        <f t="shared" si="863"/>
        <v>61.42</v>
      </c>
      <c r="BJ477" s="15" t="s">
        <v>3304</v>
      </c>
      <c r="BK477" s="15" t="str">
        <f t="shared" si="864"/>
        <v>21.65</v>
      </c>
      <c r="BL477" s="15" t="s">
        <v>1506</v>
      </c>
      <c r="BM477" s="15" t="str">
        <f t="shared" si="865"/>
        <v>192.9</v>
      </c>
      <c r="BN477" s="15" t="s">
        <v>5721</v>
      </c>
      <c r="BQ477" s="15" t="s">
        <v>444</v>
      </c>
      <c r="BS477" s="15" t="s">
        <v>444</v>
      </c>
      <c r="BU477" s="15" t="s">
        <v>444</v>
      </c>
      <c r="BW477" s="15" t="s">
        <v>444</v>
      </c>
      <c r="BZ477" s="15" t="s">
        <v>444</v>
      </c>
      <c r="CB477" s="15" t="s">
        <v>444</v>
      </c>
      <c r="CD477" s="15" t="s">
        <v>444</v>
      </c>
      <c r="CF477" s="15" t="s">
        <v>444</v>
      </c>
      <c r="CI477" s="15" t="s">
        <v>444</v>
      </c>
      <c r="CK477" s="15" t="s">
        <v>444</v>
      </c>
      <c r="CM477" s="15" t="s">
        <v>444</v>
      </c>
      <c r="CO477" s="15" t="s">
        <v>444</v>
      </c>
      <c r="CP477" s="15" t="str">
        <f t="shared" si="866"/>
        <v>47.25</v>
      </c>
      <c r="CQ477" s="15" t="str">
        <f t="shared" si="867"/>
        <v>1.338</v>
      </c>
      <c r="CR477" s="15" t="s">
        <v>417</v>
      </c>
      <c r="DC477" s="15" t="str">
        <f>IFERROR(__xludf.DUMMYFUNCTION("""COMPUTED_VALUE"""),"")</f>
        <v/>
      </c>
      <c r="DE477" s="15" t="str">
        <f>IFERROR(__xludf.DUMMYFUNCTION("""COMPUTED_VALUE"""),"")</f>
        <v/>
      </c>
      <c r="DG477" s="15" t="str">
        <f>IFERROR(__xludf.DUMMYFUNCTION("""COMPUTED_VALUE"""),"")</f>
        <v/>
      </c>
      <c r="DL477" s="15" t="str">
        <f>IFERROR(__xludf.DUMMYFUNCTION("""COMPUTED_VALUE"""),"")</f>
        <v/>
      </c>
      <c r="DM477" s="15" t="s">
        <v>444</v>
      </c>
      <c r="DN477" s="15" t="s">
        <v>419</v>
      </c>
      <c r="DO477" s="15">
        <v>0.0</v>
      </c>
      <c r="DP477" s="15" t="s">
        <v>419</v>
      </c>
      <c r="DR477" s="15">
        <v>0.0</v>
      </c>
      <c r="DT477" s="15" t="s">
        <v>1388</v>
      </c>
      <c r="DU477" s="15" t="s">
        <v>419</v>
      </c>
      <c r="DY477" s="15">
        <v>0.0</v>
      </c>
      <c r="EF477" s="15" t="s">
        <v>498</v>
      </c>
      <c r="EG477" s="15" t="s">
        <v>499</v>
      </c>
      <c r="EH477" s="15" t="s">
        <v>5681</v>
      </c>
      <c r="EJ477" s="15" t="s">
        <v>500</v>
      </c>
      <c r="EK477" s="15" t="s">
        <v>501</v>
      </c>
      <c r="EM477" s="15" t="str">
        <f>IFERROR(__xludf.DUMMYFUNCTION("""COMPUTED_VALUE"""),"")</f>
        <v/>
      </c>
      <c r="EW477" s="15" t="s">
        <v>5722</v>
      </c>
      <c r="FH477" s="15" t="s">
        <v>1683</v>
      </c>
      <c r="FI477" s="15" t="s">
        <v>5722</v>
      </c>
      <c r="FJ477" s="15" t="s">
        <v>1683</v>
      </c>
      <c r="FK477" s="15" t="s">
        <v>5705</v>
      </c>
      <c r="FL477" s="15" t="s">
        <v>426</v>
      </c>
      <c r="FM477" s="15">
        <v>0.0</v>
      </c>
      <c r="FN477" s="15">
        <v>0.0</v>
      </c>
      <c r="FW477" s="15" t="s">
        <v>672</v>
      </c>
    </row>
    <row r="478" ht="15.75" customHeight="1">
      <c r="A478" s="14" t="s">
        <v>391</v>
      </c>
      <c r="B478" s="15" t="s">
        <v>5730</v>
      </c>
      <c r="C478" s="16"/>
      <c r="D478" s="15" t="s">
        <v>432</v>
      </c>
      <c r="G478" s="14" t="s">
        <v>393</v>
      </c>
      <c r="H478" s="14" t="s">
        <v>394</v>
      </c>
      <c r="I478" s="14" t="b">
        <v>1</v>
      </c>
      <c r="J478" s="14" t="s">
        <v>395</v>
      </c>
      <c r="L478" s="14" t="b">
        <v>0</v>
      </c>
      <c r="M478" s="15" t="s">
        <v>5731</v>
      </c>
      <c r="N478" s="14" t="s">
        <v>393</v>
      </c>
      <c r="O478" s="14" t="s">
        <v>393</v>
      </c>
      <c r="P478" s="15" t="s">
        <v>397</v>
      </c>
      <c r="Q478" s="15" t="s">
        <v>2697</v>
      </c>
      <c r="T478" s="14" t="b">
        <v>0</v>
      </c>
      <c r="U478" s="15" t="s">
        <v>5732</v>
      </c>
      <c r="V478" s="15" t="s">
        <v>3245</v>
      </c>
      <c r="W478" s="15" t="s">
        <v>401</v>
      </c>
      <c r="X478" s="15" t="s">
        <v>402</v>
      </c>
      <c r="Y478" s="15">
        <v>2301.0</v>
      </c>
      <c r="AA478" s="15" t="str">
        <f t="shared" ref="AA478:AA480" si="868">"885"</f>
        <v>885</v>
      </c>
      <c r="AB478" s="14" t="b">
        <v>1</v>
      </c>
      <c r="AC478" s="14" t="b">
        <v>1</v>
      </c>
      <c r="AD478" s="15" t="str">
        <f>"801542605506"</f>
        <v>801542605506</v>
      </c>
      <c r="AE478" s="15" t="s">
        <v>5733</v>
      </c>
      <c r="AF478" s="14" t="s">
        <v>404</v>
      </c>
      <c r="AG478" s="14" t="s">
        <v>405</v>
      </c>
      <c r="AH478" s="14" t="s">
        <v>406</v>
      </c>
      <c r="AI478" s="15">
        <v>0.0</v>
      </c>
      <c r="AL478" s="15" t="s">
        <v>5699</v>
      </c>
      <c r="AM478" s="15" t="s">
        <v>679</v>
      </c>
      <c r="AN478" s="15" t="s">
        <v>680</v>
      </c>
      <c r="AO478" s="15" t="s">
        <v>679</v>
      </c>
      <c r="AP478" s="15" t="s">
        <v>680</v>
      </c>
      <c r="AQ478" s="15" t="s">
        <v>489</v>
      </c>
      <c r="AR478" s="15" t="s">
        <v>490</v>
      </c>
      <c r="AS478" s="15" t="s">
        <v>411</v>
      </c>
      <c r="AT478" s="15" t="s">
        <v>2697</v>
      </c>
      <c r="AU478" s="15" t="s">
        <v>1095</v>
      </c>
      <c r="AW478" s="15" t="s">
        <v>491</v>
      </c>
      <c r="AY478" s="15" t="s">
        <v>413</v>
      </c>
      <c r="AZ478" s="15" t="b">
        <v>0</v>
      </c>
      <c r="BA478" s="15" t="s">
        <v>413</v>
      </c>
      <c r="BB478" s="15" t="b">
        <v>0</v>
      </c>
      <c r="BC478" s="15" t="s">
        <v>5734</v>
      </c>
      <c r="BD478" s="15" t="s">
        <v>415</v>
      </c>
      <c r="BE478" s="15" t="str">
        <f t="shared" si="839"/>
        <v>1</v>
      </c>
      <c r="BF478" s="15" t="s">
        <v>416</v>
      </c>
      <c r="BG478" s="15" t="str">
        <f>"42.52"</f>
        <v>42.52</v>
      </c>
      <c r="BH478" s="15" t="s">
        <v>5735</v>
      </c>
      <c r="BI478" s="15" t="str">
        <f>"42.91"</f>
        <v>42.91</v>
      </c>
      <c r="BJ478" s="15" t="s">
        <v>4755</v>
      </c>
      <c r="BK478" s="15" t="str">
        <f>"19.29"</f>
        <v>19.29</v>
      </c>
      <c r="BL478" s="15" t="s">
        <v>566</v>
      </c>
      <c r="BM478" s="15" t="str">
        <f>"92.15"</f>
        <v>92.15</v>
      </c>
      <c r="BN478" s="15" t="s">
        <v>5736</v>
      </c>
      <c r="BQ478" s="15" t="s">
        <v>444</v>
      </c>
      <c r="BS478" s="15" t="s">
        <v>444</v>
      </c>
      <c r="BU478" s="15" t="s">
        <v>444</v>
      </c>
      <c r="BW478" s="15" t="s">
        <v>444</v>
      </c>
      <c r="BZ478" s="15" t="s">
        <v>444</v>
      </c>
      <c r="CB478" s="15" t="s">
        <v>444</v>
      </c>
      <c r="CD478" s="15" t="s">
        <v>444</v>
      </c>
      <c r="CF478" s="15" t="s">
        <v>444</v>
      </c>
      <c r="CI478" s="15" t="s">
        <v>444</v>
      </c>
      <c r="CK478" s="15" t="s">
        <v>444</v>
      </c>
      <c r="CM478" s="15" t="s">
        <v>444</v>
      </c>
      <c r="CO478" s="15" t="s">
        <v>444</v>
      </c>
      <c r="CP478" s="15" t="str">
        <f>"20.38"</f>
        <v>20.38</v>
      </c>
      <c r="CQ478" s="15" t="str">
        <f>"0.577"</f>
        <v>0.577</v>
      </c>
      <c r="CR478" s="15" t="s">
        <v>417</v>
      </c>
      <c r="DC478" s="15" t="str">
        <f>IFERROR(__xludf.DUMMYFUNCTION("""COMPUTED_VALUE"""),"")</f>
        <v/>
      </c>
      <c r="DE478" s="15" t="str">
        <f>IFERROR(__xludf.DUMMYFUNCTION("""COMPUTED_VALUE"""),"")</f>
        <v/>
      </c>
      <c r="DG478" s="15" t="str">
        <f>IFERROR(__xludf.DUMMYFUNCTION("""COMPUTED_VALUE"""),"")</f>
        <v/>
      </c>
      <c r="DL478" s="15" t="str">
        <f>IFERROR(__xludf.DUMMYFUNCTION("""COMPUTED_VALUE"""),"")</f>
        <v/>
      </c>
      <c r="DM478" s="15" t="s">
        <v>444</v>
      </c>
      <c r="DN478" s="15" t="s">
        <v>419</v>
      </c>
      <c r="DO478" s="15">
        <v>0.0</v>
      </c>
      <c r="DP478" s="15" t="s">
        <v>419</v>
      </c>
      <c r="DR478" s="15">
        <v>0.0</v>
      </c>
      <c r="DT478" s="15" t="s">
        <v>1388</v>
      </c>
      <c r="DU478" s="15" t="s">
        <v>419</v>
      </c>
      <c r="DY478" s="15">
        <v>0.0</v>
      </c>
      <c r="EF478" s="15" t="s">
        <v>1157</v>
      </c>
      <c r="EG478" s="15" t="s">
        <v>1158</v>
      </c>
      <c r="EH478" s="15" t="s">
        <v>5681</v>
      </c>
      <c r="EJ478" s="15" t="s">
        <v>500</v>
      </c>
      <c r="EK478" s="15" t="s">
        <v>501</v>
      </c>
      <c r="EM478" s="15" t="str">
        <f>IFERROR(__xludf.DUMMYFUNCTION("""COMPUTED_VALUE"""),"")</f>
        <v/>
      </c>
      <c r="EW478" s="15" t="s">
        <v>2465</v>
      </c>
      <c r="EX478" s="15" t="s">
        <v>1211</v>
      </c>
      <c r="EY478" s="15" t="s">
        <v>1211</v>
      </c>
      <c r="FH478" s="15" t="s">
        <v>5737</v>
      </c>
      <c r="FI478" s="15" t="s">
        <v>2465</v>
      </c>
      <c r="FJ478" s="15" t="s">
        <v>5737</v>
      </c>
      <c r="FK478" s="15" t="s">
        <v>5738</v>
      </c>
      <c r="FL478" s="15" t="s">
        <v>426</v>
      </c>
      <c r="FM478" s="15">
        <v>0.0</v>
      </c>
      <c r="FN478" s="15">
        <v>0.0</v>
      </c>
    </row>
    <row r="479" ht="15.75" customHeight="1">
      <c r="A479" s="14" t="s">
        <v>391</v>
      </c>
      <c r="B479" s="15" t="s">
        <v>5730</v>
      </c>
      <c r="C479" s="16"/>
      <c r="D479" s="15" t="s">
        <v>432</v>
      </c>
      <c r="G479" s="14" t="s">
        <v>393</v>
      </c>
      <c r="H479" s="14" t="s">
        <v>394</v>
      </c>
      <c r="I479" s="14" t="b">
        <v>1</v>
      </c>
      <c r="J479" s="14" t="s">
        <v>395</v>
      </c>
      <c r="L479" s="14" t="b">
        <v>0</v>
      </c>
      <c r="M479" s="15" t="s">
        <v>5739</v>
      </c>
      <c r="N479" s="14" t="s">
        <v>393</v>
      </c>
      <c r="O479" s="14" t="s">
        <v>393</v>
      </c>
      <c r="P479" s="15" t="s">
        <v>397</v>
      </c>
      <c r="Q479" s="15" t="s">
        <v>5740</v>
      </c>
      <c r="T479" s="14" t="b">
        <v>0</v>
      </c>
      <c r="U479" s="15" t="s">
        <v>5741</v>
      </c>
      <c r="V479" s="15" t="s">
        <v>3245</v>
      </c>
      <c r="W479" s="15" t="s">
        <v>401</v>
      </c>
      <c r="X479" s="15" t="s">
        <v>402</v>
      </c>
      <c r="Y479" s="15">
        <v>2301.0</v>
      </c>
      <c r="AA479" s="15" t="str">
        <f t="shared" si="868"/>
        <v>885</v>
      </c>
      <c r="AB479" s="14" t="b">
        <v>1</v>
      </c>
      <c r="AC479" s="14" t="b">
        <v>1</v>
      </c>
      <c r="AD479" s="15" t="str">
        <f>"801542307639"</f>
        <v>801542307639</v>
      </c>
      <c r="AE479" s="15" t="s">
        <v>5742</v>
      </c>
      <c r="AF479" s="14" t="s">
        <v>404</v>
      </c>
      <c r="AG479" s="14" t="s">
        <v>405</v>
      </c>
      <c r="AH479" s="14" t="s">
        <v>406</v>
      </c>
      <c r="AI479" s="15">
        <v>0.0</v>
      </c>
      <c r="AL479" s="15" t="s">
        <v>5709</v>
      </c>
      <c r="AM479" s="15" t="s">
        <v>679</v>
      </c>
      <c r="AN479" s="15" t="s">
        <v>680</v>
      </c>
      <c r="AO479" s="15" t="s">
        <v>679</v>
      </c>
      <c r="AP479" s="15" t="s">
        <v>680</v>
      </c>
      <c r="AQ479" s="15" t="s">
        <v>489</v>
      </c>
      <c r="AR479" s="15" t="s">
        <v>490</v>
      </c>
      <c r="AS479" s="15" t="s">
        <v>411</v>
      </c>
      <c r="AT479" s="15" t="s">
        <v>5740</v>
      </c>
      <c r="AU479" s="15" t="s">
        <v>1095</v>
      </c>
      <c r="AW479" s="15" t="s">
        <v>491</v>
      </c>
      <c r="AY479" s="15" t="s">
        <v>413</v>
      </c>
      <c r="AZ479" s="15" t="b">
        <v>0</v>
      </c>
      <c r="BA479" s="15" t="s">
        <v>413</v>
      </c>
      <c r="BB479" s="15" t="b">
        <v>0</v>
      </c>
      <c r="BC479" s="15" t="s">
        <v>5743</v>
      </c>
      <c r="BD479" s="15" t="s">
        <v>415</v>
      </c>
      <c r="BE479" s="15" t="str">
        <f t="shared" si="839"/>
        <v>1</v>
      </c>
      <c r="BF479" s="15" t="s">
        <v>416</v>
      </c>
      <c r="BG479" s="15" t="str">
        <f t="shared" ref="BG479:BG480" si="869">"44.88"</f>
        <v>44.88</v>
      </c>
      <c r="BH479" s="15" t="s">
        <v>3445</v>
      </c>
      <c r="BI479" s="15" t="str">
        <f t="shared" ref="BI479:BI480" si="870">"45.28"</f>
        <v>45.28</v>
      </c>
      <c r="BJ479" s="15" t="s">
        <v>682</v>
      </c>
      <c r="BK479" s="15" t="str">
        <f t="shared" ref="BK479:BK480" si="871">"22.83"</f>
        <v>22.83</v>
      </c>
      <c r="BL479" s="15" t="s">
        <v>1543</v>
      </c>
      <c r="BM479" s="15" t="str">
        <f t="shared" ref="BM479:BM480" si="872">"98.99"</f>
        <v>98.99</v>
      </c>
      <c r="BN479" s="15" t="s">
        <v>5744</v>
      </c>
      <c r="BQ479" s="15" t="s">
        <v>444</v>
      </c>
      <c r="BS479" s="15" t="s">
        <v>444</v>
      </c>
      <c r="BU479" s="15" t="s">
        <v>444</v>
      </c>
      <c r="BW479" s="15" t="s">
        <v>444</v>
      </c>
      <c r="BZ479" s="15" t="s">
        <v>444</v>
      </c>
      <c r="CB479" s="15" t="s">
        <v>444</v>
      </c>
      <c r="CD479" s="15" t="s">
        <v>444</v>
      </c>
      <c r="CF479" s="15" t="s">
        <v>444</v>
      </c>
      <c r="CI479" s="15" t="s">
        <v>444</v>
      </c>
      <c r="CK479" s="15" t="s">
        <v>444</v>
      </c>
      <c r="CM479" s="15" t="s">
        <v>444</v>
      </c>
      <c r="CO479" s="15" t="s">
        <v>444</v>
      </c>
      <c r="CP479" s="15" t="str">
        <f t="shared" ref="CP479:CP480" si="873">"26.84"</f>
        <v>26.84</v>
      </c>
      <c r="CQ479" s="15" t="str">
        <f t="shared" ref="CQ479:CQ480" si="874">"0.76"</f>
        <v>0.76</v>
      </c>
      <c r="CR479" s="15" t="s">
        <v>497</v>
      </c>
      <c r="DC479" s="15" t="str">
        <f>IFERROR(__xludf.DUMMYFUNCTION("""COMPUTED_VALUE"""),"")</f>
        <v/>
      </c>
      <c r="DE479" s="15" t="str">
        <f>IFERROR(__xludf.DUMMYFUNCTION("""COMPUTED_VALUE"""),"")</f>
        <v/>
      </c>
      <c r="DG479" s="15" t="str">
        <f>IFERROR(__xludf.DUMMYFUNCTION("""COMPUTED_VALUE"""),"")</f>
        <v/>
      </c>
      <c r="DL479" s="15" t="str">
        <f>IFERROR(__xludf.DUMMYFUNCTION("""COMPUTED_VALUE"""),"")</f>
        <v/>
      </c>
      <c r="DM479" s="15" t="s">
        <v>444</v>
      </c>
      <c r="DN479" s="15" t="s">
        <v>419</v>
      </c>
      <c r="DO479" s="15">
        <v>0.0</v>
      </c>
      <c r="DP479" s="15" t="s">
        <v>419</v>
      </c>
      <c r="DR479" s="15">
        <v>0.0</v>
      </c>
      <c r="DT479" s="15" t="s">
        <v>1388</v>
      </c>
      <c r="DU479" s="15" t="s">
        <v>419</v>
      </c>
      <c r="DY479" s="15">
        <v>0.0</v>
      </c>
      <c r="EF479" s="15" t="s">
        <v>1157</v>
      </c>
      <c r="EG479" s="15" t="s">
        <v>1158</v>
      </c>
      <c r="EH479" s="15" t="s">
        <v>5681</v>
      </c>
      <c r="EJ479" s="15" t="s">
        <v>500</v>
      </c>
      <c r="EK479" s="15" t="s">
        <v>501</v>
      </c>
      <c r="EM479" s="15" t="str">
        <f>IFERROR(__xludf.DUMMYFUNCTION("""COMPUTED_VALUE"""),"")</f>
        <v/>
      </c>
      <c r="EW479" s="15" t="s">
        <v>2465</v>
      </c>
      <c r="EX479" s="15" t="s">
        <v>1211</v>
      </c>
      <c r="EY479" s="15" t="s">
        <v>1211</v>
      </c>
      <c r="FH479" s="15" t="s">
        <v>5737</v>
      </c>
      <c r="FI479" s="15" t="s">
        <v>2465</v>
      </c>
      <c r="FJ479" s="15" t="s">
        <v>5737</v>
      </c>
      <c r="FK479" s="15" t="s">
        <v>5738</v>
      </c>
      <c r="FL479" s="15" t="s">
        <v>426</v>
      </c>
      <c r="FM479" s="15">
        <v>0.0</v>
      </c>
      <c r="FN479" s="15">
        <v>0.0</v>
      </c>
    </row>
    <row r="480" ht="15.75" customHeight="1">
      <c r="A480" s="14" t="s">
        <v>391</v>
      </c>
      <c r="B480" s="15" t="s">
        <v>5730</v>
      </c>
      <c r="C480" s="16"/>
      <c r="D480" s="15" t="s">
        <v>432</v>
      </c>
      <c r="G480" s="14" t="s">
        <v>393</v>
      </c>
      <c r="H480" s="14" t="s">
        <v>394</v>
      </c>
      <c r="I480" s="14" t="b">
        <v>1</v>
      </c>
      <c r="J480" s="14" t="s">
        <v>395</v>
      </c>
      <c r="L480" s="14" t="b">
        <v>0</v>
      </c>
      <c r="M480" s="15" t="s">
        <v>5745</v>
      </c>
      <c r="N480" s="14" t="s">
        <v>393</v>
      </c>
      <c r="O480" s="14" t="s">
        <v>393</v>
      </c>
      <c r="P480" s="15" t="s">
        <v>397</v>
      </c>
      <c r="Q480" s="15" t="s">
        <v>5689</v>
      </c>
      <c r="T480" s="14" t="b">
        <v>0</v>
      </c>
      <c r="U480" s="15" t="s">
        <v>5746</v>
      </c>
      <c r="V480" s="15" t="s">
        <v>3245</v>
      </c>
      <c r="W480" s="15" t="s">
        <v>401</v>
      </c>
      <c r="X480" s="15" t="s">
        <v>402</v>
      </c>
      <c r="Y480" s="15">
        <v>2301.0</v>
      </c>
      <c r="AA480" s="15" t="str">
        <f t="shared" si="868"/>
        <v>885</v>
      </c>
      <c r="AB480" s="14" t="b">
        <v>1</v>
      </c>
      <c r="AC480" s="14" t="b">
        <v>1</v>
      </c>
      <c r="AD480" s="15" t="str">
        <f>"801542258061"</f>
        <v>801542258061</v>
      </c>
      <c r="AE480" s="15" t="s">
        <v>5747</v>
      </c>
      <c r="AF480" s="14" t="s">
        <v>404</v>
      </c>
      <c r="AG480" s="14" t="s">
        <v>405</v>
      </c>
      <c r="AH480" s="14" t="s">
        <v>406</v>
      </c>
      <c r="AI480" s="15">
        <v>0.0</v>
      </c>
      <c r="AL480" s="15" t="s">
        <v>5714</v>
      </c>
      <c r="AM480" s="15" t="s">
        <v>679</v>
      </c>
      <c r="AN480" s="15" t="s">
        <v>680</v>
      </c>
      <c r="AO480" s="15" t="s">
        <v>679</v>
      </c>
      <c r="AP480" s="15" t="s">
        <v>680</v>
      </c>
      <c r="AQ480" s="15" t="s">
        <v>489</v>
      </c>
      <c r="AR480" s="15" t="s">
        <v>490</v>
      </c>
      <c r="AS480" s="15" t="s">
        <v>411</v>
      </c>
      <c r="AT480" s="15" t="s">
        <v>5689</v>
      </c>
      <c r="AU480" s="15" t="s">
        <v>1095</v>
      </c>
      <c r="AW480" s="15" t="s">
        <v>491</v>
      </c>
      <c r="AY480" s="15" t="s">
        <v>413</v>
      </c>
      <c r="AZ480" s="15" t="b">
        <v>0</v>
      </c>
      <c r="BA480" s="15" t="s">
        <v>413</v>
      </c>
      <c r="BB480" s="15" t="b">
        <v>0</v>
      </c>
      <c r="BC480" s="15" t="s">
        <v>5715</v>
      </c>
      <c r="BD480" s="15" t="s">
        <v>415</v>
      </c>
      <c r="BE480" s="15" t="str">
        <f t="shared" si="839"/>
        <v>1</v>
      </c>
      <c r="BF480" s="15" t="s">
        <v>416</v>
      </c>
      <c r="BG480" s="15" t="str">
        <f t="shared" si="869"/>
        <v>44.88</v>
      </c>
      <c r="BH480" s="15" t="s">
        <v>3445</v>
      </c>
      <c r="BI480" s="15" t="str">
        <f t="shared" si="870"/>
        <v>45.28</v>
      </c>
      <c r="BJ480" s="15" t="s">
        <v>682</v>
      </c>
      <c r="BK480" s="15" t="str">
        <f t="shared" si="871"/>
        <v>22.83</v>
      </c>
      <c r="BL480" s="15" t="s">
        <v>1543</v>
      </c>
      <c r="BM480" s="15" t="str">
        <f t="shared" si="872"/>
        <v>98.99</v>
      </c>
      <c r="BN480" s="15" t="s">
        <v>5744</v>
      </c>
      <c r="BQ480" s="15" t="s">
        <v>444</v>
      </c>
      <c r="BS480" s="15" t="s">
        <v>444</v>
      </c>
      <c r="BU480" s="15" t="s">
        <v>444</v>
      </c>
      <c r="BW480" s="15" t="s">
        <v>444</v>
      </c>
      <c r="BZ480" s="15" t="s">
        <v>444</v>
      </c>
      <c r="CB480" s="15" t="s">
        <v>444</v>
      </c>
      <c r="CD480" s="15" t="s">
        <v>444</v>
      </c>
      <c r="CF480" s="15" t="s">
        <v>444</v>
      </c>
      <c r="CI480" s="15" t="s">
        <v>444</v>
      </c>
      <c r="CK480" s="15" t="s">
        <v>444</v>
      </c>
      <c r="CM480" s="15" t="s">
        <v>444</v>
      </c>
      <c r="CO480" s="15" t="s">
        <v>444</v>
      </c>
      <c r="CP480" s="15" t="str">
        <f t="shared" si="873"/>
        <v>26.84</v>
      </c>
      <c r="CQ480" s="15" t="str">
        <f t="shared" si="874"/>
        <v>0.76</v>
      </c>
      <c r="CR480" s="15" t="s">
        <v>497</v>
      </c>
      <c r="DC480" s="15" t="str">
        <f>IFERROR(__xludf.DUMMYFUNCTION("""COMPUTED_VALUE"""),"")</f>
        <v/>
      </c>
      <c r="DE480" s="15" t="str">
        <f>IFERROR(__xludf.DUMMYFUNCTION("""COMPUTED_VALUE"""),"")</f>
        <v/>
      </c>
      <c r="DG480" s="15" t="str">
        <f>IFERROR(__xludf.DUMMYFUNCTION("""COMPUTED_VALUE"""),"")</f>
        <v/>
      </c>
      <c r="DL480" s="15" t="str">
        <f>IFERROR(__xludf.DUMMYFUNCTION("""COMPUTED_VALUE"""),"")</f>
        <v/>
      </c>
      <c r="DM480" s="15" t="s">
        <v>444</v>
      </c>
      <c r="DN480" s="15" t="s">
        <v>419</v>
      </c>
      <c r="DO480" s="15">
        <v>0.0</v>
      </c>
      <c r="DP480" s="15" t="s">
        <v>419</v>
      </c>
      <c r="DR480" s="15">
        <v>0.0</v>
      </c>
      <c r="DT480" s="15" t="s">
        <v>1388</v>
      </c>
      <c r="DU480" s="15" t="s">
        <v>419</v>
      </c>
      <c r="DY480" s="15">
        <v>0.0</v>
      </c>
      <c r="EF480" s="15" t="s">
        <v>1157</v>
      </c>
      <c r="EG480" s="15" t="s">
        <v>1158</v>
      </c>
      <c r="EH480" s="15" t="s">
        <v>5681</v>
      </c>
      <c r="EJ480" s="15" t="s">
        <v>500</v>
      </c>
      <c r="EK480" s="15" t="s">
        <v>501</v>
      </c>
      <c r="EM480" s="15" t="str">
        <f>IFERROR(__xludf.DUMMYFUNCTION("""COMPUTED_VALUE"""),"")</f>
        <v/>
      </c>
      <c r="EW480" s="15" t="s">
        <v>2465</v>
      </c>
      <c r="EX480" s="15" t="s">
        <v>1211</v>
      </c>
      <c r="EY480" s="15" t="s">
        <v>1211</v>
      </c>
      <c r="FH480" s="15" t="s">
        <v>5737</v>
      </c>
      <c r="FI480" s="15" t="s">
        <v>2465</v>
      </c>
      <c r="FJ480" s="15" t="s">
        <v>5737</v>
      </c>
      <c r="FK480" s="15" t="s">
        <v>5738</v>
      </c>
      <c r="FL480" s="15" t="s">
        <v>426</v>
      </c>
      <c r="FM480" s="15">
        <v>0.0</v>
      </c>
      <c r="FN480" s="15">
        <v>0.0</v>
      </c>
    </row>
    <row r="481" ht="15.75" customHeight="1">
      <c r="A481" s="14" t="s">
        <v>391</v>
      </c>
      <c r="B481" s="15" t="s">
        <v>5748</v>
      </c>
      <c r="C481" s="16"/>
      <c r="D481" s="15" t="s">
        <v>432</v>
      </c>
      <c r="G481" s="14" t="s">
        <v>393</v>
      </c>
      <c r="H481" s="14" t="s">
        <v>394</v>
      </c>
      <c r="I481" s="14" t="b">
        <v>1</v>
      </c>
      <c r="J481" s="14" t="s">
        <v>395</v>
      </c>
      <c r="L481" s="14" t="b">
        <v>0</v>
      </c>
      <c r="M481" s="15" t="s">
        <v>5749</v>
      </c>
      <c r="N481" s="14" t="s">
        <v>393</v>
      </c>
      <c r="O481" s="14" t="s">
        <v>393</v>
      </c>
      <c r="P481" s="15" t="s">
        <v>397</v>
      </c>
      <c r="Q481" s="15" t="s">
        <v>2697</v>
      </c>
      <c r="T481" s="14" t="b">
        <v>0</v>
      </c>
      <c r="U481" s="15" t="s">
        <v>5750</v>
      </c>
      <c r="V481" s="15" t="s">
        <v>3665</v>
      </c>
      <c r="W481" s="15" t="s">
        <v>401</v>
      </c>
      <c r="X481" s="15" t="s">
        <v>402</v>
      </c>
      <c r="Y481" s="15">
        <v>1209.0</v>
      </c>
      <c r="AA481" s="15" t="str">
        <f t="shared" ref="AA481:AA483" si="875">"465"</f>
        <v>465</v>
      </c>
      <c r="AB481" s="14" t="b">
        <v>1</v>
      </c>
      <c r="AC481" s="14" t="b">
        <v>1</v>
      </c>
      <c r="AD481" s="15" t="str">
        <f>"801542614294"</f>
        <v>801542614294</v>
      </c>
      <c r="AE481" s="15" t="s">
        <v>5751</v>
      </c>
      <c r="AF481" s="14" t="s">
        <v>404</v>
      </c>
      <c r="AG481" s="14" t="s">
        <v>405</v>
      </c>
      <c r="AH481" s="14" t="s">
        <v>406</v>
      </c>
      <c r="AI481" s="15">
        <v>0.0</v>
      </c>
      <c r="AL481" s="15" t="s">
        <v>5699</v>
      </c>
      <c r="AM481" s="15" t="s">
        <v>409</v>
      </c>
      <c r="AN481" s="15" t="s">
        <v>438</v>
      </c>
      <c r="AO481" s="15" t="s">
        <v>409</v>
      </c>
      <c r="AP481" s="15" t="s">
        <v>438</v>
      </c>
      <c r="AQ481" s="15" t="s">
        <v>1675</v>
      </c>
      <c r="AR481" s="15" t="s">
        <v>1676</v>
      </c>
      <c r="AS481" s="15" t="s">
        <v>411</v>
      </c>
      <c r="AT481" s="15" t="s">
        <v>2697</v>
      </c>
      <c r="AU481" s="15" t="s">
        <v>1095</v>
      </c>
      <c r="AW481" s="15" t="s">
        <v>1154</v>
      </c>
      <c r="AY481" s="15" t="s">
        <v>413</v>
      </c>
      <c r="AZ481" s="15" t="b">
        <v>0</v>
      </c>
      <c r="BA481" s="15" t="s">
        <v>413</v>
      </c>
      <c r="BB481" s="15" t="b">
        <v>0</v>
      </c>
      <c r="BC481" s="15" t="s">
        <v>5752</v>
      </c>
      <c r="BD481" s="15" t="s">
        <v>415</v>
      </c>
      <c r="BE481" s="15" t="str">
        <f t="shared" si="839"/>
        <v>1</v>
      </c>
      <c r="BF481" s="15" t="s">
        <v>416</v>
      </c>
      <c r="BG481" s="15" t="str">
        <f t="shared" ref="BG481:BG483" si="876">"25.98"</f>
        <v>25.98</v>
      </c>
      <c r="BH481" s="15" t="s">
        <v>522</v>
      </c>
      <c r="BI481" s="15" t="str">
        <f t="shared" ref="BI481:BI483" si="877">"25.59"</f>
        <v>25.59</v>
      </c>
      <c r="BJ481" s="15" t="s">
        <v>441</v>
      </c>
      <c r="BK481" s="15" t="str">
        <f t="shared" ref="BK481:BK483" si="878">"27.56"</f>
        <v>27.56</v>
      </c>
      <c r="BL481" s="15" t="s">
        <v>1780</v>
      </c>
      <c r="BM481" s="15" t="str">
        <f t="shared" ref="BM481:BM483" si="879">"41.01"</f>
        <v>41.01</v>
      </c>
      <c r="BN481" s="15" t="s">
        <v>5753</v>
      </c>
      <c r="BQ481" s="15" t="s">
        <v>444</v>
      </c>
      <c r="BS481" s="15" t="s">
        <v>444</v>
      </c>
      <c r="BU481" s="15" t="s">
        <v>444</v>
      </c>
      <c r="BW481" s="15" t="s">
        <v>444</v>
      </c>
      <c r="BZ481" s="15" t="s">
        <v>444</v>
      </c>
      <c r="CB481" s="15" t="s">
        <v>444</v>
      </c>
      <c r="CD481" s="15" t="s">
        <v>444</v>
      </c>
      <c r="CF481" s="15" t="s">
        <v>444</v>
      </c>
      <c r="CI481" s="15" t="s">
        <v>444</v>
      </c>
      <c r="CK481" s="15" t="s">
        <v>444</v>
      </c>
      <c r="CM481" s="15" t="s">
        <v>444</v>
      </c>
      <c r="CO481" s="15" t="s">
        <v>444</v>
      </c>
      <c r="CP481" s="15" t="str">
        <f t="shared" ref="CP481:CP483" si="880">"10.59"</f>
        <v>10.59</v>
      </c>
      <c r="CQ481" s="15" t="str">
        <f t="shared" ref="CQ481:CQ483" si="881">"0.3"</f>
        <v>0.3</v>
      </c>
      <c r="CR481" s="15" t="s">
        <v>465</v>
      </c>
      <c r="DC481" s="15" t="str">
        <f>IFERROR(__xludf.DUMMYFUNCTION("""COMPUTED_VALUE"""),"")</f>
        <v/>
      </c>
      <c r="DE481" s="15" t="str">
        <f>IFERROR(__xludf.DUMMYFUNCTION("""COMPUTED_VALUE"""),"")</f>
        <v/>
      </c>
      <c r="DG481" s="15" t="str">
        <f>IFERROR(__xludf.DUMMYFUNCTION("""COMPUTED_VALUE"""),"")</f>
        <v/>
      </c>
      <c r="DL481" s="15" t="str">
        <f>IFERROR(__xludf.DUMMYFUNCTION("""COMPUTED_VALUE"""),"")</f>
        <v/>
      </c>
      <c r="DM481" s="15" t="s">
        <v>444</v>
      </c>
      <c r="DN481" s="15" t="s">
        <v>419</v>
      </c>
      <c r="DO481" s="15">
        <v>0.0</v>
      </c>
      <c r="DP481" s="15" t="s">
        <v>419</v>
      </c>
      <c r="DR481" s="15">
        <v>0.0</v>
      </c>
      <c r="DT481" s="15" t="s">
        <v>1388</v>
      </c>
      <c r="DU481" s="15" t="s">
        <v>419</v>
      </c>
      <c r="DY481" s="15">
        <v>0.0</v>
      </c>
      <c r="EF481" s="15" t="s">
        <v>1157</v>
      </c>
      <c r="EG481" s="15" t="s">
        <v>1158</v>
      </c>
      <c r="EH481" s="15" t="s">
        <v>5681</v>
      </c>
      <c r="EJ481" s="15" t="s">
        <v>500</v>
      </c>
      <c r="EK481" s="15" t="s">
        <v>501</v>
      </c>
      <c r="EM481" s="15" t="str">
        <f>IFERROR(__xludf.DUMMYFUNCTION("""COMPUTED_VALUE"""),"")</f>
        <v/>
      </c>
      <c r="EW481" s="15" t="s">
        <v>5722</v>
      </c>
      <c r="EX481" s="15" t="s">
        <v>3241</v>
      </c>
      <c r="EY481" s="15" t="s">
        <v>3241</v>
      </c>
      <c r="FH481" s="15" t="s">
        <v>5754</v>
      </c>
      <c r="FI481" s="15" t="s">
        <v>5722</v>
      </c>
      <c r="FJ481" s="15" t="s">
        <v>5754</v>
      </c>
      <c r="FK481" s="15" t="s">
        <v>4409</v>
      </c>
      <c r="FL481" s="15" t="s">
        <v>426</v>
      </c>
      <c r="FM481" s="15">
        <v>0.0</v>
      </c>
      <c r="FN481" s="15">
        <v>0.0</v>
      </c>
    </row>
    <row r="482" ht="15.75" customHeight="1">
      <c r="A482" s="14" t="s">
        <v>391</v>
      </c>
      <c r="B482" s="15" t="s">
        <v>5748</v>
      </c>
      <c r="C482" s="16"/>
      <c r="D482" s="15" t="s">
        <v>432</v>
      </c>
      <c r="G482" s="14" t="s">
        <v>393</v>
      </c>
      <c r="H482" s="14" t="s">
        <v>394</v>
      </c>
      <c r="I482" s="14" t="b">
        <v>1</v>
      </c>
      <c r="J482" s="14" t="s">
        <v>395</v>
      </c>
      <c r="L482" s="14" t="b">
        <v>0</v>
      </c>
      <c r="M482" s="15" t="s">
        <v>5755</v>
      </c>
      <c r="N482" s="14" t="s">
        <v>393</v>
      </c>
      <c r="O482" s="14" t="s">
        <v>393</v>
      </c>
      <c r="P482" s="15" t="s">
        <v>397</v>
      </c>
      <c r="Q482" s="15" t="s">
        <v>5740</v>
      </c>
      <c r="T482" s="14" t="b">
        <v>0</v>
      </c>
      <c r="U482" s="15" t="s">
        <v>5756</v>
      </c>
      <c r="V482" s="15" t="s">
        <v>3665</v>
      </c>
      <c r="W482" s="15" t="s">
        <v>401</v>
      </c>
      <c r="X482" s="15" t="s">
        <v>402</v>
      </c>
      <c r="Y482" s="15">
        <v>1209.0</v>
      </c>
      <c r="AA482" s="15" t="str">
        <f t="shared" si="875"/>
        <v>465</v>
      </c>
      <c r="AB482" s="14" t="b">
        <v>1</v>
      </c>
      <c r="AC482" s="14" t="b">
        <v>1</v>
      </c>
      <c r="AD482" s="15" t="str">
        <f>"801542402556"</f>
        <v>801542402556</v>
      </c>
      <c r="AE482" s="15" t="s">
        <v>5757</v>
      </c>
      <c r="AF482" s="14" t="s">
        <v>404</v>
      </c>
      <c r="AG482" s="14" t="s">
        <v>405</v>
      </c>
      <c r="AH482" s="14" t="s">
        <v>406</v>
      </c>
      <c r="AI482" s="15">
        <v>0.0</v>
      </c>
      <c r="AL482" s="15" t="s">
        <v>5709</v>
      </c>
      <c r="AM482" s="15" t="s">
        <v>409</v>
      </c>
      <c r="AN482" s="15" t="s">
        <v>438</v>
      </c>
      <c r="AO482" s="15" t="s">
        <v>409</v>
      </c>
      <c r="AP482" s="15" t="s">
        <v>438</v>
      </c>
      <c r="AQ482" s="15" t="s">
        <v>1675</v>
      </c>
      <c r="AR482" s="15" t="s">
        <v>1676</v>
      </c>
      <c r="AS482" s="15" t="s">
        <v>411</v>
      </c>
      <c r="AT482" s="15" t="s">
        <v>5740</v>
      </c>
      <c r="AU482" s="15" t="s">
        <v>1095</v>
      </c>
      <c r="AW482" s="15" t="s">
        <v>1154</v>
      </c>
      <c r="AY482" s="15" t="s">
        <v>413</v>
      </c>
      <c r="AZ482" s="15" t="b">
        <v>0</v>
      </c>
      <c r="BA482" s="15" t="s">
        <v>413</v>
      </c>
      <c r="BB482" s="15" t="b">
        <v>0</v>
      </c>
      <c r="BD482" s="15" t="s">
        <v>415</v>
      </c>
      <c r="BE482" s="15" t="str">
        <f t="shared" si="839"/>
        <v>1</v>
      </c>
      <c r="BF482" s="15" t="s">
        <v>416</v>
      </c>
      <c r="BG482" s="15" t="str">
        <f t="shared" si="876"/>
        <v>25.98</v>
      </c>
      <c r="BH482" s="15" t="s">
        <v>522</v>
      </c>
      <c r="BI482" s="15" t="str">
        <f t="shared" si="877"/>
        <v>25.59</v>
      </c>
      <c r="BJ482" s="15" t="s">
        <v>441</v>
      </c>
      <c r="BK482" s="15" t="str">
        <f t="shared" si="878"/>
        <v>27.56</v>
      </c>
      <c r="BL482" s="15" t="s">
        <v>1780</v>
      </c>
      <c r="BM482" s="15" t="str">
        <f t="shared" si="879"/>
        <v>41.01</v>
      </c>
      <c r="BN482" s="15" t="s">
        <v>5753</v>
      </c>
      <c r="BQ482" s="15" t="s">
        <v>444</v>
      </c>
      <c r="BS482" s="15" t="s">
        <v>444</v>
      </c>
      <c r="BU482" s="15" t="s">
        <v>444</v>
      </c>
      <c r="BW482" s="15" t="s">
        <v>444</v>
      </c>
      <c r="BZ482" s="15" t="s">
        <v>444</v>
      </c>
      <c r="CB482" s="15" t="s">
        <v>444</v>
      </c>
      <c r="CD482" s="15" t="s">
        <v>444</v>
      </c>
      <c r="CF482" s="15" t="s">
        <v>444</v>
      </c>
      <c r="CI482" s="15" t="s">
        <v>444</v>
      </c>
      <c r="CK482" s="15" t="s">
        <v>444</v>
      </c>
      <c r="CM482" s="15" t="s">
        <v>444</v>
      </c>
      <c r="CO482" s="15" t="s">
        <v>444</v>
      </c>
      <c r="CP482" s="15" t="str">
        <f t="shared" si="880"/>
        <v>10.59</v>
      </c>
      <c r="CQ482" s="15" t="str">
        <f t="shared" si="881"/>
        <v>0.3</v>
      </c>
      <c r="CR482" s="15" t="s">
        <v>465</v>
      </c>
      <c r="DC482" s="15" t="str">
        <f>IFERROR(__xludf.DUMMYFUNCTION("""COMPUTED_VALUE"""),"")</f>
        <v/>
      </c>
      <c r="DE482" s="15" t="str">
        <f>IFERROR(__xludf.DUMMYFUNCTION("""COMPUTED_VALUE"""),"")</f>
        <v/>
      </c>
      <c r="DG482" s="15" t="str">
        <f>IFERROR(__xludf.DUMMYFUNCTION("""COMPUTED_VALUE"""),"")</f>
        <v/>
      </c>
      <c r="DL482" s="15" t="str">
        <f>IFERROR(__xludf.DUMMYFUNCTION("""COMPUTED_VALUE"""),"")</f>
        <v/>
      </c>
      <c r="DM482" s="15" t="s">
        <v>444</v>
      </c>
      <c r="DN482" s="15" t="s">
        <v>419</v>
      </c>
      <c r="DO482" s="15">
        <v>0.0</v>
      </c>
      <c r="DP482" s="15" t="s">
        <v>419</v>
      </c>
      <c r="DR482" s="15">
        <v>0.0</v>
      </c>
      <c r="DT482" s="15" t="s">
        <v>1388</v>
      </c>
      <c r="DU482" s="15" t="s">
        <v>419</v>
      </c>
      <c r="DY482" s="15">
        <v>0.0</v>
      </c>
      <c r="EF482" s="15" t="s">
        <v>1157</v>
      </c>
      <c r="EG482" s="15" t="s">
        <v>1158</v>
      </c>
      <c r="EH482" s="15" t="s">
        <v>5681</v>
      </c>
      <c r="EJ482" s="15" t="s">
        <v>500</v>
      </c>
      <c r="EK482" s="15" t="s">
        <v>501</v>
      </c>
      <c r="EM482" s="15" t="str">
        <f>IFERROR(__xludf.DUMMYFUNCTION("""COMPUTED_VALUE"""),"")</f>
        <v/>
      </c>
      <c r="EW482" s="15" t="s">
        <v>5722</v>
      </c>
      <c r="EX482" s="15" t="s">
        <v>3241</v>
      </c>
      <c r="EY482" s="15" t="s">
        <v>3241</v>
      </c>
      <c r="FH482" s="15" t="s">
        <v>5754</v>
      </c>
      <c r="FI482" s="15" t="s">
        <v>5722</v>
      </c>
      <c r="FJ482" s="15" t="s">
        <v>5754</v>
      </c>
      <c r="FK482" s="15" t="s">
        <v>4409</v>
      </c>
      <c r="FL482" s="15" t="s">
        <v>426</v>
      </c>
      <c r="FM482" s="15">
        <v>0.0</v>
      </c>
      <c r="FN482" s="15">
        <v>0.0</v>
      </c>
    </row>
    <row r="483" ht="15.75" customHeight="1">
      <c r="A483" s="14" t="s">
        <v>391</v>
      </c>
      <c r="B483" s="15" t="s">
        <v>5748</v>
      </c>
      <c r="C483" s="16"/>
      <c r="D483" s="15" t="s">
        <v>432</v>
      </c>
      <c r="G483" s="14" t="s">
        <v>393</v>
      </c>
      <c r="H483" s="14" t="s">
        <v>394</v>
      </c>
      <c r="I483" s="14" t="b">
        <v>1</v>
      </c>
      <c r="J483" s="14" t="s">
        <v>395</v>
      </c>
      <c r="L483" s="14" t="b">
        <v>0</v>
      </c>
      <c r="M483" s="15" t="s">
        <v>5758</v>
      </c>
      <c r="N483" s="14" t="s">
        <v>393</v>
      </c>
      <c r="O483" s="14" t="s">
        <v>393</v>
      </c>
      <c r="P483" s="15" t="s">
        <v>397</v>
      </c>
      <c r="Q483" s="15" t="s">
        <v>5689</v>
      </c>
      <c r="T483" s="14" t="b">
        <v>0</v>
      </c>
      <c r="U483" s="15" t="s">
        <v>5759</v>
      </c>
      <c r="V483" s="15" t="s">
        <v>3665</v>
      </c>
      <c r="W483" s="15" t="s">
        <v>401</v>
      </c>
      <c r="X483" s="15" t="s">
        <v>402</v>
      </c>
      <c r="Y483" s="15">
        <v>1209.0</v>
      </c>
      <c r="AA483" s="15" t="str">
        <f t="shared" si="875"/>
        <v>465</v>
      </c>
      <c r="AB483" s="14" t="b">
        <v>1</v>
      </c>
      <c r="AC483" s="14" t="b">
        <v>1</v>
      </c>
      <c r="AD483" s="15" t="str">
        <f>"801542382384"</f>
        <v>801542382384</v>
      </c>
      <c r="AE483" s="15" t="s">
        <v>5760</v>
      </c>
      <c r="AF483" s="14" t="s">
        <v>404</v>
      </c>
      <c r="AG483" s="14" t="s">
        <v>405</v>
      </c>
      <c r="AH483" s="14" t="s">
        <v>406</v>
      </c>
      <c r="AI483" s="15">
        <v>0.0</v>
      </c>
      <c r="AL483" s="15" t="s">
        <v>5714</v>
      </c>
      <c r="AM483" s="15" t="s">
        <v>409</v>
      </c>
      <c r="AN483" s="15" t="s">
        <v>438</v>
      </c>
      <c r="AO483" s="15" t="s">
        <v>409</v>
      </c>
      <c r="AP483" s="15" t="s">
        <v>438</v>
      </c>
      <c r="AQ483" s="15" t="s">
        <v>1675</v>
      </c>
      <c r="AR483" s="15" t="s">
        <v>1676</v>
      </c>
      <c r="AS483" s="15" t="s">
        <v>411</v>
      </c>
      <c r="AT483" s="15" t="s">
        <v>5689</v>
      </c>
      <c r="AU483" s="15" t="s">
        <v>1095</v>
      </c>
      <c r="AW483" s="15" t="s">
        <v>1154</v>
      </c>
      <c r="AY483" s="15" t="s">
        <v>413</v>
      </c>
      <c r="AZ483" s="15" t="b">
        <v>0</v>
      </c>
      <c r="BA483" s="15" t="s">
        <v>413</v>
      </c>
      <c r="BB483" s="15" t="b">
        <v>0</v>
      </c>
      <c r="BD483" s="15" t="s">
        <v>415</v>
      </c>
      <c r="BE483" s="15" t="str">
        <f t="shared" si="839"/>
        <v>1</v>
      </c>
      <c r="BF483" s="15" t="s">
        <v>416</v>
      </c>
      <c r="BG483" s="15" t="str">
        <f t="shared" si="876"/>
        <v>25.98</v>
      </c>
      <c r="BH483" s="15" t="s">
        <v>522</v>
      </c>
      <c r="BI483" s="15" t="str">
        <f t="shared" si="877"/>
        <v>25.59</v>
      </c>
      <c r="BJ483" s="15" t="s">
        <v>441</v>
      </c>
      <c r="BK483" s="15" t="str">
        <f t="shared" si="878"/>
        <v>27.56</v>
      </c>
      <c r="BL483" s="15" t="s">
        <v>1780</v>
      </c>
      <c r="BM483" s="15" t="str">
        <f t="shared" si="879"/>
        <v>41.01</v>
      </c>
      <c r="BN483" s="15" t="s">
        <v>5753</v>
      </c>
      <c r="BQ483" s="15" t="s">
        <v>444</v>
      </c>
      <c r="BS483" s="15" t="s">
        <v>444</v>
      </c>
      <c r="BU483" s="15" t="s">
        <v>444</v>
      </c>
      <c r="BW483" s="15" t="s">
        <v>444</v>
      </c>
      <c r="BZ483" s="15" t="s">
        <v>444</v>
      </c>
      <c r="CB483" s="15" t="s">
        <v>444</v>
      </c>
      <c r="CD483" s="15" t="s">
        <v>444</v>
      </c>
      <c r="CF483" s="15" t="s">
        <v>444</v>
      </c>
      <c r="CI483" s="15" t="s">
        <v>444</v>
      </c>
      <c r="CK483" s="15" t="s">
        <v>444</v>
      </c>
      <c r="CM483" s="15" t="s">
        <v>444</v>
      </c>
      <c r="CO483" s="15" t="s">
        <v>444</v>
      </c>
      <c r="CP483" s="15" t="str">
        <f t="shared" si="880"/>
        <v>10.59</v>
      </c>
      <c r="CQ483" s="15" t="str">
        <f t="shared" si="881"/>
        <v>0.3</v>
      </c>
      <c r="CR483" s="15" t="s">
        <v>417</v>
      </c>
      <c r="DC483" s="15" t="str">
        <f>IFERROR(__xludf.DUMMYFUNCTION("""COMPUTED_VALUE"""),"")</f>
        <v/>
      </c>
      <c r="DE483" s="15" t="str">
        <f>IFERROR(__xludf.DUMMYFUNCTION("""COMPUTED_VALUE"""),"")</f>
        <v/>
      </c>
      <c r="DG483" s="15" t="str">
        <f>IFERROR(__xludf.DUMMYFUNCTION("""COMPUTED_VALUE"""),"")</f>
        <v/>
      </c>
      <c r="DL483" s="15" t="str">
        <f>IFERROR(__xludf.DUMMYFUNCTION("""COMPUTED_VALUE"""),"")</f>
        <v/>
      </c>
      <c r="DM483" s="15" t="s">
        <v>444</v>
      </c>
      <c r="DN483" s="15" t="s">
        <v>419</v>
      </c>
      <c r="DO483" s="15">
        <v>0.0</v>
      </c>
      <c r="DP483" s="15" t="s">
        <v>419</v>
      </c>
      <c r="DR483" s="15">
        <v>0.0</v>
      </c>
      <c r="DT483" s="15" t="s">
        <v>1388</v>
      </c>
      <c r="DU483" s="15" t="s">
        <v>419</v>
      </c>
      <c r="DY483" s="15">
        <v>0.0</v>
      </c>
      <c r="EF483" s="15" t="s">
        <v>1157</v>
      </c>
      <c r="EG483" s="15" t="s">
        <v>1158</v>
      </c>
      <c r="EH483" s="15" t="s">
        <v>5681</v>
      </c>
      <c r="EJ483" s="15" t="s">
        <v>500</v>
      </c>
      <c r="EK483" s="15" t="s">
        <v>501</v>
      </c>
      <c r="EM483" s="15" t="str">
        <f>IFERROR(__xludf.DUMMYFUNCTION("""COMPUTED_VALUE"""),"")</f>
        <v/>
      </c>
      <c r="EW483" s="15" t="s">
        <v>5722</v>
      </c>
      <c r="EX483" s="15" t="s">
        <v>3241</v>
      </c>
      <c r="EY483" s="15" t="s">
        <v>3241</v>
      </c>
      <c r="FH483" s="15" t="s">
        <v>5754</v>
      </c>
      <c r="FI483" s="15" t="s">
        <v>5722</v>
      </c>
      <c r="FJ483" s="15" t="s">
        <v>5754</v>
      </c>
      <c r="FK483" s="15" t="s">
        <v>4409</v>
      </c>
      <c r="FL483" s="15" t="s">
        <v>426</v>
      </c>
      <c r="FM483" s="15">
        <v>0.0</v>
      </c>
      <c r="FN483" s="15">
        <v>0.0</v>
      </c>
    </row>
    <row r="484" ht="15.75" customHeight="1">
      <c r="A484" s="14" t="s">
        <v>391</v>
      </c>
      <c r="B484" s="15" t="s">
        <v>5761</v>
      </c>
      <c r="C484" s="16"/>
      <c r="D484" s="15" t="s">
        <v>432</v>
      </c>
      <c r="G484" s="14" t="s">
        <v>393</v>
      </c>
      <c r="H484" s="14" t="s">
        <v>394</v>
      </c>
      <c r="I484" s="14" t="b">
        <v>1</v>
      </c>
      <c r="J484" s="14" t="s">
        <v>395</v>
      </c>
      <c r="L484" s="14" t="b">
        <v>0</v>
      </c>
      <c r="M484" s="15" t="s">
        <v>5762</v>
      </c>
      <c r="N484" s="14" t="s">
        <v>393</v>
      </c>
      <c r="O484" s="14" t="s">
        <v>393</v>
      </c>
      <c r="P484" s="15" t="s">
        <v>397</v>
      </c>
      <c r="Q484" s="15" t="s">
        <v>2697</v>
      </c>
      <c r="T484" s="14" t="b">
        <v>0</v>
      </c>
      <c r="U484" s="15" t="s">
        <v>5763</v>
      </c>
      <c r="V484" s="15" t="s">
        <v>2918</v>
      </c>
      <c r="W484" s="15" t="s">
        <v>401</v>
      </c>
      <c r="X484" s="15" t="s">
        <v>402</v>
      </c>
      <c r="Y484" s="15">
        <v>2301.0</v>
      </c>
      <c r="AA484" s="15" t="str">
        <f t="shared" ref="AA484:AA486" si="882">"885"</f>
        <v>885</v>
      </c>
      <c r="AB484" s="14" t="b">
        <v>1</v>
      </c>
      <c r="AC484" s="14" t="b">
        <v>1</v>
      </c>
      <c r="AD484" s="15" t="str">
        <f>"801542615383"</f>
        <v>801542615383</v>
      </c>
      <c r="AE484" s="15" t="s">
        <v>5764</v>
      </c>
      <c r="AF484" s="14" t="s">
        <v>404</v>
      </c>
      <c r="AG484" s="14" t="s">
        <v>405</v>
      </c>
      <c r="AH484" s="14" t="s">
        <v>406</v>
      </c>
      <c r="AI484" s="15">
        <v>0.0</v>
      </c>
      <c r="AL484" s="15" t="s">
        <v>5699</v>
      </c>
      <c r="AM484" s="15" t="s">
        <v>679</v>
      </c>
      <c r="AN484" s="15" t="s">
        <v>680</v>
      </c>
      <c r="AO484" s="15" t="s">
        <v>679</v>
      </c>
      <c r="AP484" s="15" t="s">
        <v>680</v>
      </c>
      <c r="AQ484" s="15" t="s">
        <v>489</v>
      </c>
      <c r="AR484" s="15" t="s">
        <v>490</v>
      </c>
      <c r="AS484" s="15" t="s">
        <v>411</v>
      </c>
      <c r="AT484" s="15" t="s">
        <v>2697</v>
      </c>
      <c r="AU484" s="15" t="s">
        <v>1095</v>
      </c>
      <c r="AW484" s="15" t="s">
        <v>491</v>
      </c>
      <c r="AY484" s="15" t="s">
        <v>413</v>
      </c>
      <c r="AZ484" s="15" t="b">
        <v>0</v>
      </c>
      <c r="BA484" s="15" t="s">
        <v>413</v>
      </c>
      <c r="BB484" s="15" t="b">
        <v>0</v>
      </c>
      <c r="BC484" s="15" t="s">
        <v>5765</v>
      </c>
      <c r="BD484" s="15" t="s">
        <v>415</v>
      </c>
      <c r="BE484" s="15" t="str">
        <f t="shared" si="839"/>
        <v>1</v>
      </c>
      <c r="BF484" s="15" t="s">
        <v>416</v>
      </c>
      <c r="BG484" s="15" t="str">
        <f t="shared" ref="BG484:BG486" si="883">"46.46"</f>
        <v>46.46</v>
      </c>
      <c r="BH484" s="15" t="s">
        <v>4113</v>
      </c>
      <c r="BI484" s="15" t="str">
        <f t="shared" ref="BI484:BI486" si="884">"46.85"</f>
        <v>46.85</v>
      </c>
      <c r="BJ484" s="15" t="s">
        <v>2286</v>
      </c>
      <c r="BK484" s="15" t="str">
        <f t="shared" ref="BK484:BK486" si="885">"21.26"</f>
        <v>21.26</v>
      </c>
      <c r="BL484" s="15" t="s">
        <v>684</v>
      </c>
      <c r="BM484" s="15" t="str">
        <f t="shared" ref="BM484:BM486" si="886">"142.64"</f>
        <v>142.64</v>
      </c>
      <c r="BN484" s="15" t="s">
        <v>464</v>
      </c>
      <c r="BQ484" s="15" t="s">
        <v>444</v>
      </c>
      <c r="BS484" s="15" t="s">
        <v>444</v>
      </c>
      <c r="BU484" s="15" t="s">
        <v>444</v>
      </c>
      <c r="BW484" s="15" t="s">
        <v>444</v>
      </c>
      <c r="BZ484" s="15" t="s">
        <v>444</v>
      </c>
      <c r="CB484" s="15" t="s">
        <v>444</v>
      </c>
      <c r="CD484" s="15" t="s">
        <v>444</v>
      </c>
      <c r="CF484" s="15" t="s">
        <v>444</v>
      </c>
      <c r="CI484" s="15" t="s">
        <v>444</v>
      </c>
      <c r="CK484" s="15" t="s">
        <v>444</v>
      </c>
      <c r="CM484" s="15" t="s">
        <v>444</v>
      </c>
      <c r="CO484" s="15" t="s">
        <v>444</v>
      </c>
      <c r="CP484" s="15" t="str">
        <f t="shared" ref="CP484:CP486" si="887">"26.77"</f>
        <v>26.77</v>
      </c>
      <c r="CQ484" s="15" t="str">
        <f t="shared" ref="CQ484:CQ486" si="888">"0.758"</f>
        <v>0.758</v>
      </c>
      <c r="CR484" s="15" t="s">
        <v>417</v>
      </c>
      <c r="DC484" s="15" t="str">
        <f>IFERROR(__xludf.DUMMYFUNCTION("""COMPUTED_VALUE"""),"")</f>
        <v/>
      </c>
      <c r="DE484" s="15" t="str">
        <f>IFERROR(__xludf.DUMMYFUNCTION("""COMPUTED_VALUE"""),"")</f>
        <v/>
      </c>
      <c r="DG484" s="15" t="str">
        <f>IFERROR(__xludf.DUMMYFUNCTION("""COMPUTED_VALUE"""),"")</f>
        <v/>
      </c>
      <c r="DL484" s="15" t="str">
        <f>IFERROR(__xludf.DUMMYFUNCTION("""COMPUTED_VALUE"""),"")</f>
        <v/>
      </c>
      <c r="DM484" s="15" t="s">
        <v>444</v>
      </c>
      <c r="DN484" s="15" t="s">
        <v>419</v>
      </c>
      <c r="DO484" s="15">
        <v>0.0</v>
      </c>
      <c r="DP484" s="15" t="s">
        <v>419</v>
      </c>
      <c r="DR484" s="15">
        <v>0.0</v>
      </c>
      <c r="DT484" s="15" t="s">
        <v>1388</v>
      </c>
      <c r="DU484" s="15" t="s">
        <v>419</v>
      </c>
      <c r="DY484" s="15">
        <v>0.0</v>
      </c>
      <c r="EF484" s="15" t="s">
        <v>498</v>
      </c>
      <c r="EG484" s="15" t="s">
        <v>499</v>
      </c>
      <c r="EH484" s="15" t="s">
        <v>5681</v>
      </c>
      <c r="EJ484" s="15" t="s">
        <v>500</v>
      </c>
      <c r="EK484" s="15" t="s">
        <v>501</v>
      </c>
      <c r="EM484" s="15" t="str">
        <f>IFERROR(__xludf.DUMMYFUNCTION("""COMPUTED_VALUE"""),"")</f>
        <v/>
      </c>
      <c r="EW484" s="15" t="s">
        <v>1807</v>
      </c>
      <c r="EX484" s="15" t="s">
        <v>4339</v>
      </c>
      <c r="EY484" s="15" t="s">
        <v>4339</v>
      </c>
      <c r="FH484" s="15" t="s">
        <v>4277</v>
      </c>
      <c r="FI484" s="15" t="s">
        <v>1807</v>
      </c>
      <c r="FJ484" s="15" t="s">
        <v>4277</v>
      </c>
      <c r="FK484" s="15" t="s">
        <v>1982</v>
      </c>
      <c r="FL484" s="15" t="s">
        <v>426</v>
      </c>
      <c r="FM484" s="15">
        <v>0.0</v>
      </c>
      <c r="FN484" s="15">
        <v>0.0</v>
      </c>
      <c r="FW484" s="15" t="s">
        <v>672</v>
      </c>
    </row>
    <row r="485" ht="15.75" customHeight="1">
      <c r="A485" s="14" t="s">
        <v>391</v>
      </c>
      <c r="B485" s="15" t="s">
        <v>5761</v>
      </c>
      <c r="C485" s="16"/>
      <c r="D485" s="15" t="s">
        <v>432</v>
      </c>
      <c r="G485" s="14" t="s">
        <v>393</v>
      </c>
      <c r="H485" s="14" t="s">
        <v>394</v>
      </c>
      <c r="I485" s="14" t="b">
        <v>1</v>
      </c>
      <c r="J485" s="14" t="s">
        <v>395</v>
      </c>
      <c r="L485" s="14" t="b">
        <v>0</v>
      </c>
      <c r="M485" s="15" t="s">
        <v>5766</v>
      </c>
      <c r="N485" s="14" t="s">
        <v>393</v>
      </c>
      <c r="O485" s="14" t="s">
        <v>393</v>
      </c>
      <c r="P485" s="15" t="s">
        <v>397</v>
      </c>
      <c r="Q485" s="15" t="s">
        <v>5740</v>
      </c>
      <c r="T485" s="14" t="b">
        <v>0</v>
      </c>
      <c r="U485" s="15" t="s">
        <v>5767</v>
      </c>
      <c r="V485" s="15" t="s">
        <v>2918</v>
      </c>
      <c r="W485" s="15" t="s">
        <v>401</v>
      </c>
      <c r="X485" s="15" t="s">
        <v>402</v>
      </c>
      <c r="Y485" s="15">
        <v>2301.0</v>
      </c>
      <c r="AA485" s="15" t="str">
        <f t="shared" si="882"/>
        <v>885</v>
      </c>
      <c r="AB485" s="14" t="b">
        <v>1</v>
      </c>
      <c r="AC485" s="14" t="b">
        <v>1</v>
      </c>
      <c r="AD485" s="15" t="str">
        <f>"801542437497"</f>
        <v>801542437497</v>
      </c>
      <c r="AE485" s="15" t="s">
        <v>5768</v>
      </c>
      <c r="AF485" s="14" t="s">
        <v>404</v>
      </c>
      <c r="AG485" s="14" t="s">
        <v>405</v>
      </c>
      <c r="AH485" s="14" t="s">
        <v>406</v>
      </c>
      <c r="AI485" s="15">
        <v>0.0</v>
      </c>
      <c r="AL485" s="15" t="s">
        <v>5709</v>
      </c>
      <c r="AM485" s="15" t="s">
        <v>679</v>
      </c>
      <c r="AN485" s="15" t="s">
        <v>680</v>
      </c>
      <c r="AO485" s="15" t="s">
        <v>679</v>
      </c>
      <c r="AP485" s="15" t="s">
        <v>680</v>
      </c>
      <c r="AQ485" s="15" t="s">
        <v>489</v>
      </c>
      <c r="AR485" s="15" t="s">
        <v>490</v>
      </c>
      <c r="AS485" s="15" t="s">
        <v>411</v>
      </c>
      <c r="AT485" s="15" t="s">
        <v>5740</v>
      </c>
      <c r="AU485" s="15" t="s">
        <v>1095</v>
      </c>
      <c r="AW485" s="15" t="s">
        <v>491</v>
      </c>
      <c r="AY485" s="15" t="s">
        <v>413</v>
      </c>
      <c r="AZ485" s="15" t="b">
        <v>0</v>
      </c>
      <c r="BA485" s="15" t="s">
        <v>413</v>
      </c>
      <c r="BB485" s="15" t="b">
        <v>0</v>
      </c>
      <c r="BD485" s="15" t="s">
        <v>415</v>
      </c>
      <c r="BE485" s="15" t="str">
        <f t="shared" si="839"/>
        <v>1</v>
      </c>
      <c r="BF485" s="15" t="s">
        <v>416</v>
      </c>
      <c r="BG485" s="15" t="str">
        <f t="shared" si="883"/>
        <v>46.46</v>
      </c>
      <c r="BH485" s="15" t="s">
        <v>4113</v>
      </c>
      <c r="BI485" s="15" t="str">
        <f t="shared" si="884"/>
        <v>46.85</v>
      </c>
      <c r="BJ485" s="15" t="s">
        <v>2286</v>
      </c>
      <c r="BK485" s="15" t="str">
        <f t="shared" si="885"/>
        <v>21.26</v>
      </c>
      <c r="BL485" s="15" t="s">
        <v>684</v>
      </c>
      <c r="BM485" s="15" t="str">
        <f t="shared" si="886"/>
        <v>142.64</v>
      </c>
      <c r="BN485" s="15" t="s">
        <v>464</v>
      </c>
      <c r="BQ485" s="15" t="s">
        <v>444</v>
      </c>
      <c r="BS485" s="15" t="s">
        <v>444</v>
      </c>
      <c r="BU485" s="15" t="s">
        <v>444</v>
      </c>
      <c r="BW485" s="15" t="s">
        <v>444</v>
      </c>
      <c r="BZ485" s="15" t="s">
        <v>444</v>
      </c>
      <c r="CB485" s="15" t="s">
        <v>444</v>
      </c>
      <c r="CD485" s="15" t="s">
        <v>444</v>
      </c>
      <c r="CF485" s="15" t="s">
        <v>444</v>
      </c>
      <c r="CI485" s="15" t="s">
        <v>444</v>
      </c>
      <c r="CK485" s="15" t="s">
        <v>444</v>
      </c>
      <c r="CM485" s="15" t="s">
        <v>444</v>
      </c>
      <c r="CO485" s="15" t="s">
        <v>444</v>
      </c>
      <c r="CP485" s="15" t="str">
        <f t="shared" si="887"/>
        <v>26.77</v>
      </c>
      <c r="CQ485" s="15" t="str">
        <f t="shared" si="888"/>
        <v>0.758</v>
      </c>
      <c r="CR485" s="15" t="s">
        <v>417</v>
      </c>
      <c r="DC485" s="15" t="str">
        <f>IFERROR(__xludf.DUMMYFUNCTION("""COMPUTED_VALUE"""),"")</f>
        <v/>
      </c>
      <c r="DE485" s="15" t="str">
        <f>IFERROR(__xludf.DUMMYFUNCTION("""COMPUTED_VALUE"""),"")</f>
        <v/>
      </c>
      <c r="DG485" s="15" t="str">
        <f>IFERROR(__xludf.DUMMYFUNCTION("""COMPUTED_VALUE"""),"")</f>
        <v/>
      </c>
      <c r="DL485" s="15" t="str">
        <f>IFERROR(__xludf.DUMMYFUNCTION("""COMPUTED_VALUE"""),"")</f>
        <v/>
      </c>
      <c r="DM485" s="15" t="s">
        <v>444</v>
      </c>
      <c r="DN485" s="15" t="s">
        <v>419</v>
      </c>
      <c r="DO485" s="15">
        <v>0.0</v>
      </c>
      <c r="DP485" s="15" t="s">
        <v>419</v>
      </c>
      <c r="DR485" s="15">
        <v>0.0</v>
      </c>
      <c r="DT485" s="15" t="s">
        <v>1388</v>
      </c>
      <c r="DU485" s="15" t="s">
        <v>419</v>
      </c>
      <c r="DY485" s="15">
        <v>0.0</v>
      </c>
      <c r="EF485" s="15" t="s">
        <v>498</v>
      </c>
      <c r="EG485" s="15" t="s">
        <v>499</v>
      </c>
      <c r="EH485" s="15" t="s">
        <v>5681</v>
      </c>
      <c r="EJ485" s="15" t="s">
        <v>500</v>
      </c>
      <c r="EK485" s="15" t="s">
        <v>501</v>
      </c>
      <c r="EM485" s="15" t="str">
        <f>IFERROR(__xludf.DUMMYFUNCTION("""COMPUTED_VALUE"""),"")</f>
        <v/>
      </c>
      <c r="EW485" s="15" t="s">
        <v>1807</v>
      </c>
      <c r="EX485" s="15" t="s">
        <v>4339</v>
      </c>
      <c r="EY485" s="15" t="s">
        <v>4339</v>
      </c>
      <c r="FH485" s="15" t="s">
        <v>4277</v>
      </c>
      <c r="FI485" s="15" t="s">
        <v>1807</v>
      </c>
      <c r="FJ485" s="15" t="s">
        <v>4277</v>
      </c>
      <c r="FK485" s="15" t="s">
        <v>1982</v>
      </c>
      <c r="FL485" s="15" t="s">
        <v>426</v>
      </c>
      <c r="FM485" s="15">
        <v>0.0</v>
      </c>
      <c r="FN485" s="15">
        <v>0.0</v>
      </c>
      <c r="FW485" s="15" t="s">
        <v>672</v>
      </c>
    </row>
    <row r="486" ht="15.75" customHeight="1">
      <c r="A486" s="14" t="s">
        <v>391</v>
      </c>
      <c r="B486" s="15" t="s">
        <v>5761</v>
      </c>
      <c r="C486" s="16"/>
      <c r="D486" s="15" t="s">
        <v>432</v>
      </c>
      <c r="G486" s="14" t="s">
        <v>393</v>
      </c>
      <c r="H486" s="14" t="s">
        <v>394</v>
      </c>
      <c r="I486" s="14" t="b">
        <v>1</v>
      </c>
      <c r="J486" s="14" t="s">
        <v>395</v>
      </c>
      <c r="L486" s="14" t="b">
        <v>0</v>
      </c>
      <c r="M486" s="15" t="s">
        <v>5769</v>
      </c>
      <c r="N486" s="14" t="s">
        <v>393</v>
      </c>
      <c r="O486" s="14" t="s">
        <v>393</v>
      </c>
      <c r="P486" s="15" t="s">
        <v>397</v>
      </c>
      <c r="Q486" s="15" t="s">
        <v>5689</v>
      </c>
      <c r="T486" s="14" t="b">
        <v>0</v>
      </c>
      <c r="U486" s="15" t="s">
        <v>5770</v>
      </c>
      <c r="V486" s="15" t="s">
        <v>2918</v>
      </c>
      <c r="W486" s="15" t="s">
        <v>401</v>
      </c>
      <c r="X486" s="15" t="s">
        <v>402</v>
      </c>
      <c r="Y486" s="15">
        <v>2301.0</v>
      </c>
      <c r="AA486" s="15" t="str">
        <f t="shared" si="882"/>
        <v>885</v>
      </c>
      <c r="AB486" s="14" t="b">
        <v>1</v>
      </c>
      <c r="AC486" s="14" t="b">
        <v>1</v>
      </c>
      <c r="AD486" s="15" t="str">
        <f>"801542390815"</f>
        <v>801542390815</v>
      </c>
      <c r="AE486" s="15" t="s">
        <v>5771</v>
      </c>
      <c r="AF486" s="14" t="s">
        <v>404</v>
      </c>
      <c r="AG486" s="14" t="s">
        <v>405</v>
      </c>
      <c r="AH486" s="14" t="s">
        <v>406</v>
      </c>
      <c r="AI486" s="15">
        <v>0.0</v>
      </c>
      <c r="AL486" s="15" t="s">
        <v>5714</v>
      </c>
      <c r="AM486" s="15" t="s">
        <v>679</v>
      </c>
      <c r="AN486" s="15" t="s">
        <v>680</v>
      </c>
      <c r="AO486" s="15" t="s">
        <v>679</v>
      </c>
      <c r="AP486" s="15" t="s">
        <v>680</v>
      </c>
      <c r="AQ486" s="15" t="s">
        <v>489</v>
      </c>
      <c r="AR486" s="15" t="s">
        <v>490</v>
      </c>
      <c r="AS486" s="15" t="s">
        <v>411</v>
      </c>
      <c r="AT486" s="15" t="s">
        <v>5689</v>
      </c>
      <c r="AU486" s="15" t="s">
        <v>1095</v>
      </c>
      <c r="AW486" s="15" t="s">
        <v>491</v>
      </c>
      <c r="AY486" s="15" t="s">
        <v>413</v>
      </c>
      <c r="AZ486" s="15" t="b">
        <v>0</v>
      </c>
      <c r="BA486" s="15" t="s">
        <v>413</v>
      </c>
      <c r="BB486" s="15" t="b">
        <v>0</v>
      </c>
      <c r="BC486" s="15" t="s">
        <v>5772</v>
      </c>
      <c r="BD486" s="15" t="s">
        <v>415</v>
      </c>
      <c r="BE486" s="15" t="str">
        <f t="shared" si="839"/>
        <v>1</v>
      </c>
      <c r="BF486" s="15" t="s">
        <v>416</v>
      </c>
      <c r="BG486" s="15" t="str">
        <f t="shared" si="883"/>
        <v>46.46</v>
      </c>
      <c r="BH486" s="15" t="s">
        <v>4113</v>
      </c>
      <c r="BI486" s="15" t="str">
        <f t="shared" si="884"/>
        <v>46.85</v>
      </c>
      <c r="BJ486" s="15" t="s">
        <v>2286</v>
      </c>
      <c r="BK486" s="15" t="str">
        <f t="shared" si="885"/>
        <v>21.26</v>
      </c>
      <c r="BL486" s="15" t="s">
        <v>684</v>
      </c>
      <c r="BM486" s="15" t="str">
        <f t="shared" si="886"/>
        <v>142.64</v>
      </c>
      <c r="BN486" s="15" t="s">
        <v>464</v>
      </c>
      <c r="BQ486" s="15" t="s">
        <v>444</v>
      </c>
      <c r="BS486" s="15" t="s">
        <v>444</v>
      </c>
      <c r="BU486" s="15" t="s">
        <v>444</v>
      </c>
      <c r="BW486" s="15" t="s">
        <v>444</v>
      </c>
      <c r="BZ486" s="15" t="s">
        <v>444</v>
      </c>
      <c r="CB486" s="15" t="s">
        <v>444</v>
      </c>
      <c r="CD486" s="15" t="s">
        <v>444</v>
      </c>
      <c r="CF486" s="15" t="s">
        <v>444</v>
      </c>
      <c r="CI486" s="15" t="s">
        <v>444</v>
      </c>
      <c r="CK486" s="15" t="s">
        <v>444</v>
      </c>
      <c r="CM486" s="15" t="s">
        <v>444</v>
      </c>
      <c r="CO486" s="15" t="s">
        <v>444</v>
      </c>
      <c r="CP486" s="15" t="str">
        <f t="shared" si="887"/>
        <v>26.77</v>
      </c>
      <c r="CQ486" s="15" t="str">
        <f t="shared" si="888"/>
        <v>0.758</v>
      </c>
      <c r="CR486" s="15" t="s">
        <v>465</v>
      </c>
      <c r="DC486" s="15" t="str">
        <f>IFERROR(__xludf.DUMMYFUNCTION("""COMPUTED_VALUE"""),"")</f>
        <v/>
      </c>
      <c r="DE486" s="15" t="str">
        <f>IFERROR(__xludf.DUMMYFUNCTION("""COMPUTED_VALUE"""),"")</f>
        <v/>
      </c>
      <c r="DG486" s="15" t="str">
        <f>IFERROR(__xludf.DUMMYFUNCTION("""COMPUTED_VALUE"""),"")</f>
        <v/>
      </c>
      <c r="DL486" s="15" t="str">
        <f>IFERROR(__xludf.DUMMYFUNCTION("""COMPUTED_VALUE"""),"")</f>
        <v/>
      </c>
      <c r="DM486" s="15" t="s">
        <v>444</v>
      </c>
      <c r="DN486" s="15" t="s">
        <v>419</v>
      </c>
      <c r="DO486" s="15">
        <v>0.0</v>
      </c>
      <c r="DP486" s="15" t="s">
        <v>419</v>
      </c>
      <c r="DR486" s="15">
        <v>0.0</v>
      </c>
      <c r="DT486" s="15" t="s">
        <v>1388</v>
      </c>
      <c r="DU486" s="15" t="s">
        <v>419</v>
      </c>
      <c r="DY486" s="15">
        <v>0.0</v>
      </c>
      <c r="EF486" s="15" t="s">
        <v>498</v>
      </c>
      <c r="EG486" s="15" t="s">
        <v>499</v>
      </c>
      <c r="EH486" s="15" t="s">
        <v>5681</v>
      </c>
      <c r="EJ486" s="15" t="s">
        <v>500</v>
      </c>
      <c r="EK486" s="15" t="s">
        <v>501</v>
      </c>
      <c r="EM486" s="15" t="str">
        <f>IFERROR(__xludf.DUMMYFUNCTION("""COMPUTED_VALUE"""),"")</f>
        <v/>
      </c>
      <c r="EW486" s="15" t="s">
        <v>1807</v>
      </c>
      <c r="EX486" s="15" t="s">
        <v>4339</v>
      </c>
      <c r="EY486" s="15" t="s">
        <v>4339</v>
      </c>
      <c r="FH486" s="15" t="s">
        <v>4277</v>
      </c>
      <c r="FI486" s="15" t="s">
        <v>1807</v>
      </c>
      <c r="FJ486" s="15" t="s">
        <v>4277</v>
      </c>
      <c r="FK486" s="15" t="s">
        <v>1982</v>
      </c>
      <c r="FL486" s="15" t="s">
        <v>426</v>
      </c>
      <c r="FM486" s="15">
        <v>0.0</v>
      </c>
      <c r="FN486" s="15">
        <v>0.0</v>
      </c>
      <c r="FW486" s="15" t="s">
        <v>672</v>
      </c>
    </row>
    <row r="487" ht="15.75" customHeight="1">
      <c r="A487" s="14" t="s">
        <v>391</v>
      </c>
      <c r="B487" s="15" t="s">
        <v>5773</v>
      </c>
      <c r="C487" s="16"/>
      <c r="D487" s="15" t="s">
        <v>432</v>
      </c>
      <c r="G487" s="14" t="s">
        <v>393</v>
      </c>
      <c r="H487" s="14" t="s">
        <v>394</v>
      </c>
      <c r="I487" s="14" t="b">
        <v>1</v>
      </c>
      <c r="J487" s="14" t="s">
        <v>395</v>
      </c>
      <c r="L487" s="14" t="b">
        <v>0</v>
      </c>
      <c r="M487" s="15" t="s">
        <v>5774</v>
      </c>
      <c r="N487" s="14" t="s">
        <v>393</v>
      </c>
      <c r="O487" s="14" t="s">
        <v>393</v>
      </c>
      <c r="P487" s="15" t="s">
        <v>397</v>
      </c>
      <c r="Q487" s="15" t="s">
        <v>3638</v>
      </c>
      <c r="T487" s="14" t="b">
        <v>0</v>
      </c>
      <c r="U487" s="15" t="s">
        <v>5775</v>
      </c>
      <c r="V487" s="15" t="s">
        <v>5776</v>
      </c>
      <c r="W487" s="15" t="s">
        <v>401</v>
      </c>
      <c r="X487" s="15" t="s">
        <v>742</v>
      </c>
      <c r="Y487" s="15">
        <v>1261.0</v>
      </c>
      <c r="AA487" s="15" t="str">
        <f>"485"</f>
        <v>485</v>
      </c>
      <c r="AB487" s="14" t="b">
        <v>1</v>
      </c>
      <c r="AC487" s="14" t="b">
        <v>1</v>
      </c>
      <c r="AD487" s="15" t="str">
        <f>"198394060653"</f>
        <v>198394060653</v>
      </c>
      <c r="AE487" s="15" t="s">
        <v>5777</v>
      </c>
      <c r="AF487" s="14" t="s">
        <v>404</v>
      </c>
      <c r="AG487" s="14" t="s">
        <v>405</v>
      </c>
      <c r="AH487" s="14" t="s">
        <v>406</v>
      </c>
      <c r="AI487" s="15">
        <v>0.0</v>
      </c>
      <c r="AL487" s="15" t="s">
        <v>1025</v>
      </c>
      <c r="AM487" s="15" t="s">
        <v>1224</v>
      </c>
      <c r="AN487" s="15" t="s">
        <v>1225</v>
      </c>
      <c r="AO487" s="15" t="s">
        <v>645</v>
      </c>
      <c r="AP487" s="15" t="s">
        <v>646</v>
      </c>
      <c r="AQ487" s="15" t="s">
        <v>2039</v>
      </c>
      <c r="AR487" s="15" t="s">
        <v>2040</v>
      </c>
      <c r="AS487" s="15" t="s">
        <v>1896</v>
      </c>
      <c r="AT487" s="15" t="s">
        <v>3638</v>
      </c>
      <c r="AW487" s="15" t="s">
        <v>491</v>
      </c>
      <c r="AY487" s="15" t="s">
        <v>413</v>
      </c>
      <c r="AZ487" s="15" t="b">
        <v>0</v>
      </c>
      <c r="BA487" s="15" t="s">
        <v>413</v>
      </c>
      <c r="BB487" s="15" t="b">
        <v>0</v>
      </c>
      <c r="BD487" s="15" t="s">
        <v>742</v>
      </c>
      <c r="BE487" s="15" t="str">
        <f t="shared" ref="BE487:BE488" si="889">"2"</f>
        <v>2</v>
      </c>
      <c r="BF487" s="15" t="s">
        <v>5778</v>
      </c>
      <c r="BG487" s="15" t="str">
        <f>"69.69"</f>
        <v>69.69</v>
      </c>
      <c r="BH487" s="15" t="s">
        <v>4211</v>
      </c>
      <c r="BI487" s="15" t="str">
        <f>"7.87"</f>
        <v>7.87</v>
      </c>
      <c r="BJ487" s="15" t="s">
        <v>923</v>
      </c>
      <c r="BK487" s="15" t="str">
        <f>"39.76"</f>
        <v>39.76</v>
      </c>
      <c r="BL487" s="15" t="s">
        <v>5501</v>
      </c>
      <c r="BM487" s="15" t="str">
        <f>"80.47"</f>
        <v>80.47</v>
      </c>
      <c r="BN487" s="15" t="s">
        <v>3249</v>
      </c>
      <c r="BO487" s="15" t="s">
        <v>2238</v>
      </c>
      <c r="BP487" s="15" t="str">
        <f>"25.39"</f>
        <v>25.39</v>
      </c>
      <c r="BQ487" s="15" t="s">
        <v>5779</v>
      </c>
      <c r="BR487" s="15" t="str">
        <f>"17.91"</f>
        <v>17.91</v>
      </c>
      <c r="BS487" s="15" t="s">
        <v>5780</v>
      </c>
      <c r="BT487" s="15" t="str">
        <f>"20.08"</f>
        <v>20.08</v>
      </c>
      <c r="BU487" s="15" t="s">
        <v>4825</v>
      </c>
      <c r="BV487" s="15" t="str">
        <f>"44.09"</f>
        <v>44.09</v>
      </c>
      <c r="BW487" s="15" t="s">
        <v>5781</v>
      </c>
      <c r="BZ487" s="15" t="s">
        <v>444</v>
      </c>
      <c r="CB487" s="15" t="s">
        <v>444</v>
      </c>
      <c r="CD487" s="15" t="s">
        <v>444</v>
      </c>
      <c r="CF487" s="15" t="s">
        <v>444</v>
      </c>
      <c r="CI487" s="15" t="s">
        <v>444</v>
      </c>
      <c r="CK487" s="15" t="s">
        <v>444</v>
      </c>
      <c r="CM487" s="15" t="s">
        <v>444</v>
      </c>
      <c r="CO487" s="15" t="s">
        <v>444</v>
      </c>
      <c r="CP487" s="15" t="str">
        <f>"17.94"</f>
        <v>17.94</v>
      </c>
      <c r="CQ487" s="15" t="str">
        <f>"0.508"</f>
        <v>0.508</v>
      </c>
      <c r="CR487" s="15" t="s">
        <v>417</v>
      </c>
      <c r="DC487" s="15" t="str">
        <f>IFERROR(__xludf.DUMMYFUNCTION("""COMPUTED_VALUE"""),"")</f>
        <v/>
      </c>
      <c r="DE487" s="15" t="str">
        <f>IFERROR(__xludf.DUMMYFUNCTION("""COMPUTED_VALUE"""),"")</f>
        <v/>
      </c>
      <c r="DG487" s="15" t="str">
        <f>IFERROR(__xludf.DUMMYFUNCTION("""COMPUTED_VALUE"""),"")</f>
        <v/>
      </c>
      <c r="DL487" s="15" t="str">
        <f>IFERROR(__xludf.DUMMYFUNCTION("""COMPUTED_VALUE"""),"")</f>
        <v/>
      </c>
      <c r="DM487" s="15" t="s">
        <v>444</v>
      </c>
      <c r="DN487" s="15" t="s">
        <v>419</v>
      </c>
      <c r="DO487" s="15">
        <v>0.0</v>
      </c>
      <c r="DP487" s="15" t="s">
        <v>419</v>
      </c>
      <c r="DR487" s="15">
        <v>0.0</v>
      </c>
      <c r="DT487" s="15" t="s">
        <v>1186</v>
      </c>
      <c r="DU487" s="15" t="s">
        <v>419</v>
      </c>
      <c r="DY487" s="15">
        <v>0.0</v>
      </c>
      <c r="EF487" s="15" t="s">
        <v>471</v>
      </c>
      <c r="EG487" s="15" t="s">
        <v>472</v>
      </c>
      <c r="EH487" s="15" t="s">
        <v>5782</v>
      </c>
      <c r="EJ487" s="15" t="s">
        <v>500</v>
      </c>
      <c r="EK487" s="15" t="s">
        <v>501</v>
      </c>
      <c r="EM487" s="15" t="str">
        <f>IFERROR(__xludf.DUMMYFUNCTION("""COMPUTED_VALUE"""),"")</f>
        <v/>
      </c>
      <c r="EW487" s="15" t="s">
        <v>5129</v>
      </c>
      <c r="EY487" s="15" t="s">
        <v>728</v>
      </c>
      <c r="FH487" s="15" t="s">
        <v>5783</v>
      </c>
      <c r="FI487" s="15" t="s">
        <v>5784</v>
      </c>
      <c r="FJ487" s="15" t="s">
        <v>5785</v>
      </c>
      <c r="FK487" s="15" t="s">
        <v>1517</v>
      </c>
      <c r="FL487" s="15" t="s">
        <v>426</v>
      </c>
      <c r="FM487" s="15">
        <v>0.0</v>
      </c>
      <c r="FN487" s="15">
        <v>0.0</v>
      </c>
      <c r="FW487" s="15" t="s">
        <v>4377</v>
      </c>
    </row>
    <row r="488" ht="15.75" customHeight="1">
      <c r="A488" s="14" t="s">
        <v>391</v>
      </c>
      <c r="B488" s="15" t="s">
        <v>5786</v>
      </c>
      <c r="C488" s="16"/>
      <c r="D488" s="15" t="s">
        <v>432</v>
      </c>
      <c r="G488" s="14" t="s">
        <v>393</v>
      </c>
      <c r="H488" s="14" t="s">
        <v>394</v>
      </c>
      <c r="I488" s="14" t="b">
        <v>1</v>
      </c>
      <c r="J488" s="14" t="s">
        <v>395</v>
      </c>
      <c r="L488" s="14" t="b">
        <v>0</v>
      </c>
      <c r="M488" s="15" t="s">
        <v>5787</v>
      </c>
      <c r="N488" s="14" t="s">
        <v>393</v>
      </c>
      <c r="O488" s="14" t="s">
        <v>393</v>
      </c>
      <c r="P488" s="15" t="s">
        <v>397</v>
      </c>
      <c r="Q488" s="15" t="s">
        <v>3638</v>
      </c>
      <c r="T488" s="14" t="b">
        <v>0</v>
      </c>
      <c r="U488" s="15" t="s">
        <v>5788</v>
      </c>
      <c r="V488" s="15" t="s">
        <v>5789</v>
      </c>
      <c r="W488" s="15" t="s">
        <v>401</v>
      </c>
      <c r="X488" s="15" t="s">
        <v>742</v>
      </c>
      <c r="Y488" s="15">
        <v>2847.0</v>
      </c>
      <c r="AA488" s="15" t="str">
        <f>"1095"</f>
        <v>1095</v>
      </c>
      <c r="AB488" s="14" t="b">
        <v>1</v>
      </c>
      <c r="AC488" s="14" t="b">
        <v>1</v>
      </c>
      <c r="AD488" s="15" t="str">
        <f>"198394078412"</f>
        <v>198394078412</v>
      </c>
      <c r="AE488" s="15" t="s">
        <v>5790</v>
      </c>
      <c r="AF488" s="14" t="s">
        <v>404</v>
      </c>
      <c r="AG488" s="14" t="s">
        <v>405</v>
      </c>
      <c r="AH488" s="14" t="s">
        <v>406</v>
      </c>
      <c r="AI488" s="15">
        <v>0.0</v>
      </c>
      <c r="AL488" s="15" t="s">
        <v>1025</v>
      </c>
      <c r="AM488" s="15" t="s">
        <v>2151</v>
      </c>
      <c r="AN488" s="15" t="s">
        <v>2152</v>
      </c>
      <c r="AO488" s="15" t="s">
        <v>2557</v>
      </c>
      <c r="AP488" s="15" t="s">
        <v>2558</v>
      </c>
      <c r="AQ488" s="15" t="s">
        <v>546</v>
      </c>
      <c r="AR488" s="15" t="s">
        <v>547</v>
      </c>
      <c r="AS488" s="15" t="s">
        <v>1896</v>
      </c>
      <c r="AT488" s="15" t="s">
        <v>3638</v>
      </c>
      <c r="AW488" s="15" t="s">
        <v>548</v>
      </c>
      <c r="AX488" s="15" t="s">
        <v>549</v>
      </c>
      <c r="AY488" s="15" t="s">
        <v>413</v>
      </c>
      <c r="AZ488" s="15" t="b">
        <v>0</v>
      </c>
      <c r="BA488" s="15" t="s">
        <v>413</v>
      </c>
      <c r="BB488" s="15" t="b">
        <v>0</v>
      </c>
      <c r="BD488" s="15" t="s">
        <v>742</v>
      </c>
      <c r="BE488" s="15" t="str">
        <f t="shared" si="889"/>
        <v>2</v>
      </c>
      <c r="BF488" s="15" t="s">
        <v>5791</v>
      </c>
      <c r="BG488" s="15" t="str">
        <f>"31.5"</f>
        <v>31.5</v>
      </c>
      <c r="BH488" s="15" t="s">
        <v>1322</v>
      </c>
      <c r="BI488" s="15" t="str">
        <f>"24.8"</f>
        <v>24.8</v>
      </c>
      <c r="BJ488" s="15" t="s">
        <v>711</v>
      </c>
      <c r="BK488" s="15" t="str">
        <f>"33.86"</f>
        <v>33.86</v>
      </c>
      <c r="BL488" s="15" t="s">
        <v>1209</v>
      </c>
      <c r="BM488" s="15" t="str">
        <f>"119.05"</f>
        <v>119.05</v>
      </c>
      <c r="BN488" s="15" t="s">
        <v>5792</v>
      </c>
      <c r="BO488" s="15" t="s">
        <v>5793</v>
      </c>
      <c r="BP488" s="15" t="str">
        <f>"88.58"</f>
        <v>88.58</v>
      </c>
      <c r="BQ488" s="15" t="s">
        <v>5317</v>
      </c>
      <c r="BR488" s="15" t="str">
        <f>"9.84"</f>
        <v>9.84</v>
      </c>
      <c r="BS488" s="15" t="s">
        <v>2964</v>
      </c>
      <c r="BT488" s="15" t="str">
        <f>"46.46"</f>
        <v>46.46</v>
      </c>
      <c r="BU488" s="15" t="s">
        <v>4113</v>
      </c>
      <c r="BV488" s="15" t="str">
        <f>"132.28"</f>
        <v>132.28</v>
      </c>
      <c r="BW488" s="15" t="s">
        <v>2175</v>
      </c>
      <c r="BZ488" s="15" t="s">
        <v>444</v>
      </c>
      <c r="CB488" s="15" t="s">
        <v>444</v>
      </c>
      <c r="CD488" s="15" t="s">
        <v>444</v>
      </c>
      <c r="CF488" s="15" t="s">
        <v>444</v>
      </c>
      <c r="CI488" s="15" t="s">
        <v>444</v>
      </c>
      <c r="CK488" s="15" t="s">
        <v>444</v>
      </c>
      <c r="CM488" s="15" t="s">
        <v>444</v>
      </c>
      <c r="CO488" s="15" t="s">
        <v>444</v>
      </c>
      <c r="CP488" s="15" t="str">
        <f>"38.74"</f>
        <v>38.74</v>
      </c>
      <c r="CQ488" s="15" t="str">
        <f>"1.097"</f>
        <v>1.097</v>
      </c>
      <c r="CR488" s="15" t="s">
        <v>497</v>
      </c>
      <c r="DC488" s="15" t="str">
        <f>IFERROR(__xludf.DUMMYFUNCTION("""COMPUTED_VALUE"""),"")</f>
        <v/>
      </c>
      <c r="DE488" s="15" t="str">
        <f>IFERROR(__xludf.DUMMYFUNCTION("""COMPUTED_VALUE"""),"")</f>
        <v/>
      </c>
      <c r="DG488" s="15" t="str">
        <f>IFERROR(__xludf.DUMMYFUNCTION("""COMPUTED_VALUE"""),"")</f>
        <v/>
      </c>
      <c r="DL488" s="15" t="str">
        <f>IFERROR(__xludf.DUMMYFUNCTION("""COMPUTED_VALUE"""),"")</f>
        <v/>
      </c>
      <c r="DM488" s="15" t="s">
        <v>444</v>
      </c>
      <c r="DN488" s="15" t="s">
        <v>419</v>
      </c>
      <c r="DO488" s="15">
        <v>0.0</v>
      </c>
      <c r="DP488" s="15" t="s">
        <v>419</v>
      </c>
      <c r="DR488" s="15">
        <v>0.0</v>
      </c>
      <c r="DT488" s="15" t="s">
        <v>1186</v>
      </c>
      <c r="DU488" s="15" t="s">
        <v>419</v>
      </c>
      <c r="DW488" s="15">
        <v>0.0</v>
      </c>
      <c r="DX488" s="15">
        <v>0.0</v>
      </c>
      <c r="DY488" s="15">
        <v>0.0</v>
      </c>
      <c r="EE488" s="15">
        <v>6.0</v>
      </c>
      <c r="EF488" s="15" t="s">
        <v>471</v>
      </c>
      <c r="EG488" s="15" t="s">
        <v>472</v>
      </c>
      <c r="EH488" s="15" t="s">
        <v>5782</v>
      </c>
      <c r="EJ488" s="15" t="s">
        <v>424</v>
      </c>
      <c r="EK488" s="15" t="s">
        <v>446</v>
      </c>
      <c r="EM488" s="15" t="str">
        <f>IFERROR(__xludf.DUMMYFUNCTION("""COMPUTED_VALUE"""),"")</f>
        <v/>
      </c>
      <c r="EW488" s="15" t="s">
        <v>984</v>
      </c>
      <c r="EY488" s="15" t="s">
        <v>5794</v>
      </c>
      <c r="FH488" s="15" t="s">
        <v>728</v>
      </c>
      <c r="FI488" s="15" t="s">
        <v>5795</v>
      </c>
      <c r="FJ488" s="15" t="s">
        <v>1390</v>
      </c>
      <c r="FK488" s="15" t="s">
        <v>1517</v>
      </c>
      <c r="FL488" s="15" t="s">
        <v>426</v>
      </c>
      <c r="FM488" s="15">
        <v>0.0</v>
      </c>
      <c r="FN488" s="15">
        <v>0.0</v>
      </c>
      <c r="FU488" s="15" t="s">
        <v>5796</v>
      </c>
      <c r="FV488" s="15" t="s">
        <v>3908</v>
      </c>
      <c r="FW488" s="15" t="s">
        <v>985</v>
      </c>
      <c r="FX488" s="15" t="s">
        <v>3694</v>
      </c>
    </row>
    <row r="489" ht="15.75" customHeight="1">
      <c r="A489" s="14" t="s">
        <v>391</v>
      </c>
      <c r="B489" s="15" t="s">
        <v>5797</v>
      </c>
      <c r="C489" s="16"/>
      <c r="D489" s="15" t="s">
        <v>432</v>
      </c>
      <c r="G489" s="14" t="s">
        <v>393</v>
      </c>
      <c r="H489" s="14" t="s">
        <v>394</v>
      </c>
      <c r="I489" s="14" t="b">
        <v>1</v>
      </c>
      <c r="J489" s="14" t="s">
        <v>395</v>
      </c>
      <c r="L489" s="14" t="b">
        <v>0</v>
      </c>
      <c r="M489" s="15" t="s">
        <v>5798</v>
      </c>
      <c r="N489" s="14" t="s">
        <v>393</v>
      </c>
      <c r="O489" s="14" t="s">
        <v>393</v>
      </c>
      <c r="P489" s="15" t="s">
        <v>397</v>
      </c>
      <c r="Q489" s="15" t="s">
        <v>5799</v>
      </c>
      <c r="T489" s="14" t="b">
        <v>0</v>
      </c>
      <c r="U489" s="15" t="s">
        <v>5800</v>
      </c>
      <c r="V489" s="15" t="s">
        <v>5801</v>
      </c>
      <c r="W489" s="15" t="s">
        <v>401</v>
      </c>
      <c r="X489" s="15" t="s">
        <v>1172</v>
      </c>
      <c r="Y489" s="15">
        <v>3497.0</v>
      </c>
      <c r="AA489" s="15" t="str">
        <f>"1345"</f>
        <v>1345</v>
      </c>
      <c r="AB489" s="14" t="b">
        <v>1</v>
      </c>
      <c r="AC489" s="14" t="b">
        <v>1</v>
      </c>
      <c r="AD489" s="15" t="str">
        <f>"801542748432"</f>
        <v>801542748432</v>
      </c>
      <c r="AE489" s="15" t="s">
        <v>5802</v>
      </c>
      <c r="AF489" s="14" t="s">
        <v>404</v>
      </c>
      <c r="AG489" s="14" t="s">
        <v>405</v>
      </c>
      <c r="AH489" s="14" t="s">
        <v>406</v>
      </c>
      <c r="AI489" s="15">
        <v>0.0</v>
      </c>
      <c r="AL489" s="15" t="s">
        <v>5803</v>
      </c>
      <c r="AM489" s="15" t="s">
        <v>679</v>
      </c>
      <c r="AN489" s="15" t="s">
        <v>680</v>
      </c>
      <c r="AO489" s="15" t="s">
        <v>1007</v>
      </c>
      <c r="AP489" s="15" t="s">
        <v>1008</v>
      </c>
      <c r="AQ489" s="15" t="s">
        <v>582</v>
      </c>
      <c r="AR489" s="15" t="s">
        <v>583</v>
      </c>
      <c r="AS489" s="15" t="s">
        <v>5804</v>
      </c>
      <c r="AT489" s="15" t="s">
        <v>5799</v>
      </c>
      <c r="AW489" s="15" t="s">
        <v>2891</v>
      </c>
      <c r="AX489" s="15" t="s">
        <v>5805</v>
      </c>
      <c r="AY489" s="15" t="s">
        <v>413</v>
      </c>
      <c r="AZ489" s="15" t="b">
        <v>0</v>
      </c>
      <c r="BA489" s="15" t="s">
        <v>413</v>
      </c>
      <c r="BB489" s="15" t="b">
        <v>0</v>
      </c>
      <c r="BC489" s="15" t="s">
        <v>5806</v>
      </c>
      <c r="BD489" s="15" t="s">
        <v>1181</v>
      </c>
      <c r="BE489" s="15" t="str">
        <f t="shared" ref="BE489:BE491" si="890">"1"</f>
        <v>1</v>
      </c>
      <c r="BF489" s="15" t="s">
        <v>416</v>
      </c>
      <c r="BG489" s="15" t="str">
        <f>"44.33"</f>
        <v>44.33</v>
      </c>
      <c r="BH489" s="15" t="s">
        <v>5807</v>
      </c>
      <c r="BI489" s="15" t="str">
        <f>"21.73"</f>
        <v>21.73</v>
      </c>
      <c r="BJ489" s="15" t="s">
        <v>5808</v>
      </c>
      <c r="BK489" s="15" t="str">
        <f>"95.67"</f>
        <v>95.67</v>
      </c>
      <c r="BL489" s="15" t="s">
        <v>5809</v>
      </c>
      <c r="BM489" s="15" t="str">
        <f>"287.7"</f>
        <v>287.7</v>
      </c>
      <c r="BN489" s="15" t="s">
        <v>5810</v>
      </c>
      <c r="BQ489" s="15" t="s">
        <v>444</v>
      </c>
      <c r="BS489" s="15" t="s">
        <v>444</v>
      </c>
      <c r="BU489" s="15" t="s">
        <v>444</v>
      </c>
      <c r="BW489" s="15" t="s">
        <v>444</v>
      </c>
      <c r="BZ489" s="15" t="s">
        <v>444</v>
      </c>
      <c r="CB489" s="15" t="s">
        <v>444</v>
      </c>
      <c r="CD489" s="15" t="s">
        <v>444</v>
      </c>
      <c r="CF489" s="15" t="s">
        <v>444</v>
      </c>
      <c r="CI489" s="15" t="s">
        <v>444</v>
      </c>
      <c r="CK489" s="15" t="s">
        <v>444</v>
      </c>
      <c r="CM489" s="15" t="s">
        <v>444</v>
      </c>
      <c r="CO489" s="15" t="s">
        <v>444</v>
      </c>
      <c r="CP489" s="15" t="str">
        <f>"53.33"</f>
        <v>53.33</v>
      </c>
      <c r="CQ489" s="15" t="str">
        <f>"1.51"</f>
        <v>1.51</v>
      </c>
      <c r="CR489" s="15" t="s">
        <v>497</v>
      </c>
      <c r="CS489" s="15" t="s">
        <v>4162</v>
      </c>
      <c r="CT489" s="15" t="s">
        <v>612</v>
      </c>
      <c r="CU489" s="15" t="s">
        <v>5811</v>
      </c>
      <c r="CV489" s="15" t="s">
        <v>5123</v>
      </c>
      <c r="CW489" s="15" t="s">
        <v>5812</v>
      </c>
      <c r="CX489" s="15" t="s">
        <v>5811</v>
      </c>
      <c r="DC489" s="15" t="str">
        <f>IFERROR(__xludf.DUMMYFUNCTION("""COMPUTED_VALUE"""),"")</f>
        <v/>
      </c>
      <c r="DE489" s="15" t="str">
        <f>IFERROR(__xludf.DUMMYFUNCTION("""COMPUTED_VALUE"""),"")</f>
        <v/>
      </c>
      <c r="DG489" s="15" t="str">
        <f>IFERROR(__xludf.DUMMYFUNCTION("""COMPUTED_VALUE"""),"")</f>
        <v/>
      </c>
      <c r="DL489" s="15" t="str">
        <f>IFERROR(__xludf.DUMMYFUNCTION("""COMPUTED_VALUE"""),"")</f>
        <v/>
      </c>
      <c r="DM489" s="15" t="s">
        <v>444</v>
      </c>
      <c r="DN489" s="15" t="s">
        <v>419</v>
      </c>
      <c r="DO489" s="15">
        <v>0.0</v>
      </c>
      <c r="DP489" s="15" t="s">
        <v>419</v>
      </c>
      <c r="DR489" s="15">
        <v>4.0</v>
      </c>
      <c r="DS489" s="15" t="s">
        <v>426</v>
      </c>
      <c r="DT489" s="15" t="s">
        <v>1186</v>
      </c>
      <c r="DU489" s="15" t="s">
        <v>610</v>
      </c>
      <c r="DW489" s="15">
        <v>18.14</v>
      </c>
      <c r="DX489" s="15">
        <v>40.0</v>
      </c>
      <c r="DY489" s="15">
        <v>0.0</v>
      </c>
      <c r="EF489" s="15" t="s">
        <v>1906</v>
      </c>
      <c r="EG489" s="15" t="s">
        <v>1907</v>
      </c>
      <c r="EH489" s="15" t="s">
        <v>5813</v>
      </c>
      <c r="EK489" s="15" t="s">
        <v>444</v>
      </c>
      <c r="EM489" s="15" t="str">
        <f>IFERROR(__xludf.DUMMYFUNCTION("""COMPUTED_VALUE"""),"")</f>
        <v/>
      </c>
      <c r="EW489" s="15" t="s">
        <v>1955</v>
      </c>
      <c r="FL489" s="15" t="s">
        <v>426</v>
      </c>
      <c r="FM489" s="15">
        <v>5.0</v>
      </c>
      <c r="FY489" s="15" t="s">
        <v>5814</v>
      </c>
      <c r="FZ489" s="15" t="s">
        <v>1042</v>
      </c>
      <c r="GA489" s="15" t="s">
        <v>5815</v>
      </c>
      <c r="GE489" s="15">
        <v>0.0</v>
      </c>
      <c r="GG489" s="15" t="s">
        <v>785</v>
      </c>
      <c r="GH489" s="15">
        <v>2.0</v>
      </c>
      <c r="GI489" s="15" t="s">
        <v>614</v>
      </c>
      <c r="GJ489" s="15" t="s">
        <v>786</v>
      </c>
      <c r="GK489" s="15">
        <v>0.0</v>
      </c>
      <c r="GL489" s="15" t="s">
        <v>426</v>
      </c>
      <c r="GM489" s="15" t="s">
        <v>5816</v>
      </c>
      <c r="GP489" s="15">
        <v>0.0</v>
      </c>
      <c r="HA489" s="15" t="s">
        <v>5123</v>
      </c>
      <c r="HB489" s="15" t="s">
        <v>5817</v>
      </c>
      <c r="HC489" s="15" t="s">
        <v>5811</v>
      </c>
      <c r="HQ489" s="15" t="s">
        <v>5123</v>
      </c>
      <c r="HR489" s="15" t="s">
        <v>5123</v>
      </c>
      <c r="HS489" s="15" t="s">
        <v>824</v>
      </c>
      <c r="HT489" s="15" t="s">
        <v>5817</v>
      </c>
      <c r="HU489" s="15" t="s">
        <v>5811</v>
      </c>
      <c r="HV489" s="15" t="s">
        <v>5811</v>
      </c>
      <c r="KX489" s="15" t="s">
        <v>5123</v>
      </c>
      <c r="KY489" s="15" t="s">
        <v>5812</v>
      </c>
      <c r="KZ489" s="15" t="s">
        <v>5811</v>
      </c>
    </row>
    <row r="490" ht="15.75" customHeight="1">
      <c r="A490" s="14" t="s">
        <v>391</v>
      </c>
      <c r="B490" s="15" t="s">
        <v>5818</v>
      </c>
      <c r="C490" s="16"/>
      <c r="D490" s="15" t="s">
        <v>432</v>
      </c>
      <c r="G490" s="14" t="s">
        <v>393</v>
      </c>
      <c r="H490" s="14" t="s">
        <v>394</v>
      </c>
      <c r="I490" s="14" t="b">
        <v>1</v>
      </c>
      <c r="J490" s="14" t="s">
        <v>395</v>
      </c>
      <c r="L490" s="14" t="b">
        <v>0</v>
      </c>
      <c r="M490" s="15" t="s">
        <v>5819</v>
      </c>
      <c r="N490" s="14" t="s">
        <v>393</v>
      </c>
      <c r="O490" s="14" t="s">
        <v>393</v>
      </c>
      <c r="P490" s="15" t="s">
        <v>397</v>
      </c>
      <c r="Q490" s="15" t="s">
        <v>1095</v>
      </c>
      <c r="T490" s="14" t="b">
        <v>0</v>
      </c>
      <c r="U490" s="15" t="s">
        <v>5820</v>
      </c>
      <c r="V490" s="15" t="s">
        <v>5821</v>
      </c>
      <c r="W490" s="15" t="s">
        <v>401</v>
      </c>
      <c r="X490" s="15" t="s">
        <v>695</v>
      </c>
      <c r="Y490" s="15">
        <v>767.0</v>
      </c>
      <c r="AA490" s="15" t="str">
        <f t="shared" ref="AA490:AA491" si="891">"295"</f>
        <v>295</v>
      </c>
      <c r="AB490" s="14" t="b">
        <v>1</v>
      </c>
      <c r="AC490" s="14" t="b">
        <v>1</v>
      </c>
      <c r="AD490" s="15" t="str">
        <f>"801542728441"</f>
        <v>801542728441</v>
      </c>
      <c r="AE490" s="15" t="s">
        <v>5822</v>
      </c>
      <c r="AF490" s="14" t="s">
        <v>404</v>
      </c>
      <c r="AG490" s="14" t="s">
        <v>405</v>
      </c>
      <c r="AH490" s="14" t="s">
        <v>406</v>
      </c>
      <c r="AI490" s="15">
        <v>0.0</v>
      </c>
      <c r="AL490" s="15" t="s">
        <v>1099</v>
      </c>
      <c r="AM490" s="15" t="s">
        <v>2039</v>
      </c>
      <c r="AN490" s="15" t="s">
        <v>2040</v>
      </c>
      <c r="AO490" s="15" t="s">
        <v>2039</v>
      </c>
      <c r="AP490" s="15" t="s">
        <v>2040</v>
      </c>
      <c r="AQ490" s="15" t="s">
        <v>1007</v>
      </c>
      <c r="AR490" s="15" t="s">
        <v>1008</v>
      </c>
      <c r="AS490" s="15" t="s">
        <v>813</v>
      </c>
      <c r="AT490" s="15" t="s">
        <v>1095</v>
      </c>
      <c r="AW490" s="15" t="s">
        <v>1154</v>
      </c>
      <c r="AY490" s="15" t="s">
        <v>426</v>
      </c>
      <c r="AZ490" s="15" t="b">
        <v>1</v>
      </c>
      <c r="BA490" s="15" t="s">
        <v>413</v>
      </c>
      <c r="BB490" s="15" t="b">
        <v>0</v>
      </c>
      <c r="BC490" s="15" t="s">
        <v>5823</v>
      </c>
      <c r="BD490" s="15" t="s">
        <v>709</v>
      </c>
      <c r="BE490" s="15" t="str">
        <f t="shared" si="890"/>
        <v>1</v>
      </c>
      <c r="BF490" s="15" t="s">
        <v>416</v>
      </c>
      <c r="BG490" s="15" t="str">
        <f t="shared" ref="BG490:BG491" si="892">"18.5"</f>
        <v>18.5</v>
      </c>
      <c r="BH490" s="15" t="s">
        <v>810</v>
      </c>
      <c r="BI490" s="15" t="str">
        <f t="shared" ref="BI490:BI491" si="893">"18.5"</f>
        <v>18.5</v>
      </c>
      <c r="BJ490" s="15" t="s">
        <v>810</v>
      </c>
      <c r="BK490" s="15" t="str">
        <f t="shared" ref="BK490:BK491" si="894">"22.44"</f>
        <v>22.44</v>
      </c>
      <c r="BL490" s="15" t="s">
        <v>1156</v>
      </c>
      <c r="BM490" s="15" t="str">
        <f t="shared" ref="BM490:BM491" si="895">"52.91"</f>
        <v>52.91</v>
      </c>
      <c r="BN490" s="15" t="s">
        <v>921</v>
      </c>
      <c r="BQ490" s="15" t="s">
        <v>444</v>
      </c>
      <c r="BS490" s="15" t="s">
        <v>444</v>
      </c>
      <c r="BU490" s="15" t="s">
        <v>444</v>
      </c>
      <c r="BW490" s="15" t="s">
        <v>444</v>
      </c>
      <c r="BZ490" s="15" t="s">
        <v>444</v>
      </c>
      <c r="CB490" s="15" t="s">
        <v>444</v>
      </c>
      <c r="CD490" s="15" t="s">
        <v>444</v>
      </c>
      <c r="CF490" s="15" t="s">
        <v>444</v>
      </c>
      <c r="CI490" s="15" t="s">
        <v>444</v>
      </c>
      <c r="CK490" s="15" t="s">
        <v>444</v>
      </c>
      <c r="CM490" s="15" t="s">
        <v>444</v>
      </c>
      <c r="CO490" s="15" t="s">
        <v>444</v>
      </c>
      <c r="CP490" s="15" t="str">
        <f t="shared" ref="CP490:CP491" si="896">"4.45"</f>
        <v>4.45</v>
      </c>
      <c r="CQ490" s="15" t="str">
        <f t="shared" ref="CQ490:CQ491" si="897">"0.126"</f>
        <v>0.126</v>
      </c>
      <c r="CR490" s="15" t="s">
        <v>497</v>
      </c>
      <c r="DC490" s="15" t="str">
        <f>IFERROR(__xludf.DUMMYFUNCTION("""COMPUTED_VALUE"""),"")</f>
        <v/>
      </c>
      <c r="DE490" s="15" t="str">
        <f>IFERROR(__xludf.DUMMYFUNCTION("""COMPUTED_VALUE"""),"")</f>
        <v/>
      </c>
      <c r="DG490" s="15" t="str">
        <f>IFERROR(__xludf.DUMMYFUNCTION("""COMPUTED_VALUE"""),"")</f>
        <v/>
      </c>
      <c r="DL490" s="15" t="str">
        <f>IFERROR(__xludf.DUMMYFUNCTION("""COMPUTED_VALUE"""),"")</f>
        <v/>
      </c>
      <c r="DM490" s="15" t="s">
        <v>444</v>
      </c>
      <c r="DN490" s="15" t="s">
        <v>419</v>
      </c>
      <c r="DO490" s="15">
        <v>0.0</v>
      </c>
      <c r="DP490" s="15" t="s">
        <v>419</v>
      </c>
      <c r="DR490" s="15">
        <v>0.0</v>
      </c>
      <c r="DU490" s="15" t="s">
        <v>419</v>
      </c>
      <c r="DY490" s="15">
        <v>0.0</v>
      </c>
      <c r="EF490" s="15" t="s">
        <v>1157</v>
      </c>
      <c r="EG490" s="15" t="s">
        <v>1158</v>
      </c>
      <c r="EH490" s="15" t="s">
        <v>5824</v>
      </c>
      <c r="EJ490" s="15" t="s">
        <v>500</v>
      </c>
      <c r="EK490" s="15" t="s">
        <v>501</v>
      </c>
      <c r="EM490" s="15" t="str">
        <f>IFERROR(__xludf.DUMMYFUNCTION("""COMPUTED_VALUE"""),"")</f>
        <v/>
      </c>
      <c r="FH490" s="15" t="s">
        <v>1213</v>
      </c>
      <c r="FI490" s="15" t="s">
        <v>1065</v>
      </c>
      <c r="FJ490" s="15" t="s">
        <v>1213</v>
      </c>
      <c r="FK490" s="15" t="s">
        <v>1807</v>
      </c>
      <c r="FL490" s="15" t="s">
        <v>426</v>
      </c>
      <c r="FM490" s="15">
        <v>0.0</v>
      </c>
      <c r="FN490" s="15">
        <v>0.0</v>
      </c>
    </row>
    <row r="491" ht="15.75" customHeight="1">
      <c r="A491" s="14" t="s">
        <v>391</v>
      </c>
      <c r="B491" s="15" t="s">
        <v>5818</v>
      </c>
      <c r="C491" s="16"/>
      <c r="D491" s="15" t="s">
        <v>432</v>
      </c>
      <c r="G491" s="14" t="s">
        <v>393</v>
      </c>
      <c r="H491" s="14" t="s">
        <v>394</v>
      </c>
      <c r="I491" s="14" t="b">
        <v>1</v>
      </c>
      <c r="J491" s="14" t="s">
        <v>395</v>
      </c>
      <c r="L491" s="14" t="b">
        <v>0</v>
      </c>
      <c r="M491" s="15" t="s">
        <v>5825</v>
      </c>
      <c r="N491" s="14" t="s">
        <v>393</v>
      </c>
      <c r="O491" s="14" t="s">
        <v>393</v>
      </c>
      <c r="P491" s="15" t="s">
        <v>397</v>
      </c>
      <c r="Q491" s="15" t="s">
        <v>1163</v>
      </c>
      <c r="T491" s="14" t="b">
        <v>0</v>
      </c>
      <c r="U491" s="15" t="s">
        <v>5826</v>
      </c>
      <c r="V491" s="15" t="s">
        <v>5821</v>
      </c>
      <c r="W491" s="15" t="s">
        <v>401</v>
      </c>
      <c r="X491" s="15" t="s">
        <v>695</v>
      </c>
      <c r="Y491" s="15">
        <v>767.0</v>
      </c>
      <c r="AA491" s="15" t="str">
        <f t="shared" si="891"/>
        <v>295</v>
      </c>
      <c r="AB491" s="14" t="b">
        <v>1</v>
      </c>
      <c r="AC491" s="14" t="b">
        <v>1</v>
      </c>
      <c r="AD491" s="15" t="str">
        <f>"801542002862"</f>
        <v>801542002862</v>
      </c>
      <c r="AE491" s="15" t="s">
        <v>5827</v>
      </c>
      <c r="AF491" s="14" t="s">
        <v>404</v>
      </c>
      <c r="AG491" s="14" t="s">
        <v>405</v>
      </c>
      <c r="AH491" s="14" t="s">
        <v>406</v>
      </c>
      <c r="AI491" s="15">
        <v>0.0</v>
      </c>
      <c r="AL491" s="15" t="s">
        <v>1099</v>
      </c>
      <c r="AM491" s="15" t="s">
        <v>2039</v>
      </c>
      <c r="AN491" s="15" t="s">
        <v>2040</v>
      </c>
      <c r="AO491" s="15" t="s">
        <v>2039</v>
      </c>
      <c r="AP491" s="15" t="s">
        <v>2040</v>
      </c>
      <c r="AQ491" s="15" t="s">
        <v>1007</v>
      </c>
      <c r="AR491" s="15" t="s">
        <v>1008</v>
      </c>
      <c r="AS491" s="15" t="s">
        <v>813</v>
      </c>
      <c r="AT491" s="15" t="s">
        <v>1163</v>
      </c>
      <c r="AU491" s="15" t="s">
        <v>1095</v>
      </c>
      <c r="AW491" s="15" t="s">
        <v>1154</v>
      </c>
      <c r="AY491" s="15" t="s">
        <v>426</v>
      </c>
      <c r="AZ491" s="15" t="b">
        <v>1</v>
      </c>
      <c r="BA491" s="15" t="s">
        <v>413</v>
      </c>
      <c r="BB491" s="15" t="b">
        <v>0</v>
      </c>
      <c r="BC491" s="15" t="s">
        <v>5828</v>
      </c>
      <c r="BD491" s="15" t="s">
        <v>709</v>
      </c>
      <c r="BE491" s="15" t="str">
        <f t="shared" si="890"/>
        <v>1</v>
      </c>
      <c r="BF491" s="15" t="s">
        <v>416</v>
      </c>
      <c r="BG491" s="15" t="str">
        <f t="shared" si="892"/>
        <v>18.5</v>
      </c>
      <c r="BH491" s="15" t="s">
        <v>810</v>
      </c>
      <c r="BI491" s="15" t="str">
        <f t="shared" si="893"/>
        <v>18.5</v>
      </c>
      <c r="BJ491" s="15" t="s">
        <v>810</v>
      </c>
      <c r="BK491" s="15" t="str">
        <f t="shared" si="894"/>
        <v>22.44</v>
      </c>
      <c r="BL491" s="15" t="s">
        <v>1156</v>
      </c>
      <c r="BM491" s="15" t="str">
        <f t="shared" si="895"/>
        <v>52.91</v>
      </c>
      <c r="BN491" s="15" t="s">
        <v>921</v>
      </c>
      <c r="BQ491" s="15" t="s">
        <v>444</v>
      </c>
      <c r="BS491" s="15" t="s">
        <v>444</v>
      </c>
      <c r="BU491" s="15" t="s">
        <v>444</v>
      </c>
      <c r="BW491" s="15" t="s">
        <v>444</v>
      </c>
      <c r="BZ491" s="15" t="s">
        <v>444</v>
      </c>
      <c r="CB491" s="15" t="s">
        <v>444</v>
      </c>
      <c r="CD491" s="15" t="s">
        <v>444</v>
      </c>
      <c r="CF491" s="15" t="s">
        <v>444</v>
      </c>
      <c r="CI491" s="15" t="s">
        <v>444</v>
      </c>
      <c r="CK491" s="15" t="s">
        <v>444</v>
      </c>
      <c r="CM491" s="15" t="s">
        <v>444</v>
      </c>
      <c r="CO491" s="15" t="s">
        <v>444</v>
      </c>
      <c r="CP491" s="15" t="str">
        <f t="shared" si="896"/>
        <v>4.45</v>
      </c>
      <c r="CQ491" s="15" t="str">
        <f t="shared" si="897"/>
        <v>0.126</v>
      </c>
      <c r="CR491" s="15" t="s">
        <v>465</v>
      </c>
      <c r="DC491" s="15" t="str">
        <f>IFERROR(__xludf.DUMMYFUNCTION("""COMPUTED_VALUE"""),"")</f>
        <v/>
      </c>
      <c r="DE491" s="15" t="str">
        <f>IFERROR(__xludf.DUMMYFUNCTION("""COMPUTED_VALUE"""),"")</f>
        <v/>
      </c>
      <c r="DG491" s="15" t="str">
        <f>IFERROR(__xludf.DUMMYFUNCTION("""COMPUTED_VALUE"""),"")</f>
        <v/>
      </c>
      <c r="DL491" s="15" t="str">
        <f>IFERROR(__xludf.DUMMYFUNCTION("""COMPUTED_VALUE"""),"")</f>
        <v/>
      </c>
      <c r="DM491" s="15" t="s">
        <v>444</v>
      </c>
      <c r="DN491" s="15" t="s">
        <v>419</v>
      </c>
      <c r="DO491" s="15">
        <v>0.0</v>
      </c>
      <c r="DP491" s="15" t="s">
        <v>419</v>
      </c>
      <c r="DR491" s="15">
        <v>0.0</v>
      </c>
      <c r="DU491" s="15" t="s">
        <v>419</v>
      </c>
      <c r="DY491" s="15">
        <v>0.0</v>
      </c>
      <c r="EF491" s="15" t="s">
        <v>1157</v>
      </c>
      <c r="EG491" s="15" t="s">
        <v>1158</v>
      </c>
      <c r="EH491" s="15" t="s">
        <v>5824</v>
      </c>
      <c r="EJ491" s="15" t="s">
        <v>500</v>
      </c>
      <c r="EK491" s="15" t="s">
        <v>501</v>
      </c>
      <c r="EM491" s="15" t="str">
        <f>IFERROR(__xludf.DUMMYFUNCTION("""COMPUTED_VALUE"""),"")</f>
        <v/>
      </c>
      <c r="FH491" s="15" t="s">
        <v>1213</v>
      </c>
      <c r="FI491" s="15" t="s">
        <v>1065</v>
      </c>
      <c r="FJ491" s="15" t="s">
        <v>1213</v>
      </c>
      <c r="FK491" s="15" t="s">
        <v>1807</v>
      </c>
      <c r="FL491" s="15" t="s">
        <v>426</v>
      </c>
      <c r="FM491" s="15">
        <v>0.0</v>
      </c>
      <c r="FN491" s="15">
        <v>0.0</v>
      </c>
    </row>
    <row r="492" ht="15.75" customHeight="1">
      <c r="A492" s="14" t="s">
        <v>391</v>
      </c>
      <c r="B492" s="15" t="s">
        <v>5829</v>
      </c>
      <c r="C492" s="16"/>
      <c r="D492" s="15" t="s">
        <v>432</v>
      </c>
      <c r="G492" s="14" t="s">
        <v>393</v>
      </c>
      <c r="H492" s="14" t="s">
        <v>394</v>
      </c>
      <c r="I492" s="14" t="b">
        <v>1</v>
      </c>
      <c r="J492" s="14" t="s">
        <v>395</v>
      </c>
      <c r="L492" s="14" t="b">
        <v>0</v>
      </c>
      <c r="M492" s="15" t="s">
        <v>5830</v>
      </c>
      <c r="N492" s="14" t="s">
        <v>393</v>
      </c>
      <c r="O492" s="14" t="s">
        <v>393</v>
      </c>
      <c r="P492" s="15" t="s">
        <v>397</v>
      </c>
      <c r="Q492" s="15" t="s">
        <v>5831</v>
      </c>
      <c r="R492" s="15" t="s">
        <v>265</v>
      </c>
      <c r="S492" s="15" t="s">
        <v>877</v>
      </c>
      <c r="T492" s="14" t="b">
        <v>0</v>
      </c>
      <c r="U492" s="15" t="s">
        <v>5832</v>
      </c>
      <c r="V492" s="15" t="s">
        <v>5833</v>
      </c>
      <c r="W492" s="15" t="s">
        <v>401</v>
      </c>
      <c r="X492" s="15" t="s">
        <v>742</v>
      </c>
      <c r="Y492" s="15">
        <v>1430.0</v>
      </c>
      <c r="AA492" s="15" t="str">
        <f>"550"</f>
        <v>550</v>
      </c>
      <c r="AB492" s="14" t="b">
        <v>1</v>
      </c>
      <c r="AC492" s="14" t="b">
        <v>1</v>
      </c>
      <c r="AD492" s="15" t="str">
        <f>"801542682385"</f>
        <v>801542682385</v>
      </c>
      <c r="AE492" s="15" t="s">
        <v>5834</v>
      </c>
      <c r="AF492" s="14" t="s">
        <v>404</v>
      </c>
      <c r="AG492" s="14" t="s">
        <v>405</v>
      </c>
      <c r="AH492" s="14" t="s">
        <v>406</v>
      </c>
      <c r="AI492" s="15">
        <v>0.0</v>
      </c>
      <c r="AL492" s="15" t="s">
        <v>5213</v>
      </c>
      <c r="AM492" s="15" t="s">
        <v>5835</v>
      </c>
      <c r="AN492" s="15" t="s">
        <v>5836</v>
      </c>
      <c r="AO492" s="15" t="s">
        <v>5837</v>
      </c>
      <c r="AP492" s="15" t="s">
        <v>4297</v>
      </c>
      <c r="AQ492" s="15" t="s">
        <v>5838</v>
      </c>
      <c r="AR492" s="15" t="s">
        <v>3032</v>
      </c>
      <c r="AS492" s="15" t="s">
        <v>837</v>
      </c>
      <c r="AT492" s="15" t="s">
        <v>5831</v>
      </c>
      <c r="AU492" s="15" t="s">
        <v>1850</v>
      </c>
      <c r="AW492" s="15" t="s">
        <v>839</v>
      </c>
      <c r="AX492" s="15" t="s">
        <v>877</v>
      </c>
      <c r="AY492" s="15" t="s">
        <v>413</v>
      </c>
      <c r="AZ492" s="15" t="b">
        <v>0</v>
      </c>
      <c r="BA492" s="15" t="s">
        <v>426</v>
      </c>
      <c r="BB492" s="15" t="b">
        <v>1</v>
      </c>
      <c r="BC492" s="15" t="s">
        <v>5839</v>
      </c>
      <c r="BD492" s="15" t="s">
        <v>742</v>
      </c>
      <c r="BE492" s="15" t="str">
        <f t="shared" ref="BE492:BE497" si="898">"3"</f>
        <v>3</v>
      </c>
      <c r="BF492" s="15" t="s">
        <v>5840</v>
      </c>
      <c r="BG492" s="15" t="str">
        <f t="shared" ref="BG492:BG497" si="899">"82.28"</f>
        <v>82.28</v>
      </c>
      <c r="BH492" s="15" t="s">
        <v>5841</v>
      </c>
      <c r="BI492" s="15" t="str">
        <f>"6.89"</f>
        <v>6.89</v>
      </c>
      <c r="BJ492" s="15" t="s">
        <v>5842</v>
      </c>
      <c r="BK492" s="15" t="str">
        <f t="shared" ref="BK492:BK497" si="900">"12.01"</f>
        <v>12.01</v>
      </c>
      <c r="BL492" s="15" t="s">
        <v>844</v>
      </c>
      <c r="BM492" s="15" t="str">
        <f>"56.22"</f>
        <v>56.22</v>
      </c>
      <c r="BN492" s="15" t="s">
        <v>5843</v>
      </c>
      <c r="BO492" s="15" t="s">
        <v>841</v>
      </c>
      <c r="BP492" s="15" t="str">
        <f>"71.26"</f>
        <v>71.26</v>
      </c>
      <c r="BQ492" s="15" t="s">
        <v>5844</v>
      </c>
      <c r="BR492" s="15" t="str">
        <f t="shared" ref="BR492:BR497" si="901">"12.4"</f>
        <v>12.4</v>
      </c>
      <c r="BS492" s="15" t="s">
        <v>5845</v>
      </c>
      <c r="BT492" s="15" t="str">
        <f t="shared" ref="BT492:BT497" si="902">"40.94"</f>
        <v>40.94</v>
      </c>
      <c r="BU492" s="15" t="s">
        <v>648</v>
      </c>
      <c r="BV492" s="15" t="str">
        <f>"85.98"</f>
        <v>85.98</v>
      </c>
      <c r="BW492" s="15" t="s">
        <v>928</v>
      </c>
      <c r="BX492" s="15" t="s">
        <v>5846</v>
      </c>
      <c r="BY492" s="15" t="str">
        <f>"70.08"</f>
        <v>70.08</v>
      </c>
      <c r="BZ492" s="15" t="s">
        <v>957</v>
      </c>
      <c r="CA492" s="15" t="str">
        <f t="shared" ref="CA492:CA497" si="903">"6.89"</f>
        <v>6.89</v>
      </c>
      <c r="CB492" s="15" t="s">
        <v>5842</v>
      </c>
      <c r="CC492" s="15" t="str">
        <f t="shared" ref="CC492:CC497" si="904">"12.4"</f>
        <v>12.4</v>
      </c>
      <c r="CD492" s="15" t="s">
        <v>5845</v>
      </c>
      <c r="CE492" s="15" t="str">
        <f>"55.12"</f>
        <v>55.12</v>
      </c>
      <c r="CF492" s="15" t="s">
        <v>5847</v>
      </c>
      <c r="CI492" s="15" t="s">
        <v>444</v>
      </c>
      <c r="CK492" s="15" t="s">
        <v>444</v>
      </c>
      <c r="CM492" s="15" t="s">
        <v>444</v>
      </c>
      <c r="CO492" s="15" t="s">
        <v>444</v>
      </c>
      <c r="CP492" s="15" t="str">
        <f>"28.36"</f>
        <v>28.36</v>
      </c>
      <c r="CQ492" s="15" t="str">
        <f>"0.803"</f>
        <v>0.803</v>
      </c>
      <c r="CR492" s="15" t="s">
        <v>465</v>
      </c>
      <c r="DC492" s="15" t="str">
        <f>IFERROR(__xludf.DUMMYFUNCTION("""COMPUTED_VALUE"""),"")</f>
        <v/>
      </c>
      <c r="DE492" s="15" t="str">
        <f>IFERROR(__xludf.DUMMYFUNCTION("""COMPUTED_VALUE"""),"")</f>
        <v/>
      </c>
      <c r="DG492" s="15" t="str">
        <f>IFERROR(__xludf.DUMMYFUNCTION("""COMPUTED_VALUE"""),"")</f>
        <v/>
      </c>
      <c r="DK492" s="15" t="s">
        <v>934</v>
      </c>
      <c r="DL492" s="15" t="str">
        <f>IFERROR(__xludf.DUMMYFUNCTION("""COMPUTED_VALUE"""),"Spot clean with water-based or solvent-based cleaner. Use mild detergent or upholstery shampoo.")</f>
        <v>Spot clean with water-based or solvent-based cleaner. Use mild detergent or upholstery shampoo.</v>
      </c>
      <c r="DM492" s="15" t="s">
        <v>935</v>
      </c>
      <c r="DN492" s="15" t="s">
        <v>419</v>
      </c>
      <c r="DO492" s="15">
        <v>0.0</v>
      </c>
      <c r="DP492" s="15" t="s">
        <v>419</v>
      </c>
      <c r="DR492" s="15">
        <v>0.0</v>
      </c>
      <c r="DT492" s="15" t="s">
        <v>989</v>
      </c>
      <c r="DU492" s="15" t="s">
        <v>419</v>
      </c>
      <c r="DW492" s="15">
        <v>0.0</v>
      </c>
      <c r="DX492" s="15">
        <v>0.0</v>
      </c>
      <c r="DY492" s="15">
        <v>0.0</v>
      </c>
      <c r="DZ492" s="15">
        <v>15000.0</v>
      </c>
      <c r="EG492" s="15" t="s">
        <v>444</v>
      </c>
      <c r="EH492" s="15" t="s">
        <v>5848</v>
      </c>
      <c r="EJ492" s="15" t="s">
        <v>858</v>
      </c>
      <c r="EK492" s="15" t="s">
        <v>859</v>
      </c>
      <c r="EM492" s="15" t="str">
        <f>IFERROR(__xludf.DUMMYFUNCTION("""COMPUTED_VALUE"""),"")</f>
        <v/>
      </c>
      <c r="FF492" s="15" t="s">
        <v>860</v>
      </c>
      <c r="FM492" s="15">
        <v>0.0</v>
      </c>
      <c r="IM492" s="15" t="s">
        <v>2050</v>
      </c>
      <c r="IN492" s="15" t="s">
        <v>2050</v>
      </c>
      <c r="IO492" s="15" t="s">
        <v>2050</v>
      </c>
      <c r="IP492" s="15" t="s">
        <v>729</v>
      </c>
      <c r="IQ492" s="15" t="s">
        <v>526</v>
      </c>
      <c r="IR492" s="15" t="s">
        <v>5849</v>
      </c>
      <c r="IS492" s="15" t="s">
        <v>5850</v>
      </c>
      <c r="IT492" s="15" t="s">
        <v>670</v>
      </c>
      <c r="IU492" s="15" t="s">
        <v>5851</v>
      </c>
      <c r="IV492" s="15" t="s">
        <v>2971</v>
      </c>
      <c r="IW492" s="15" t="s">
        <v>1957</v>
      </c>
      <c r="IX492" s="15" t="s">
        <v>5852</v>
      </c>
      <c r="IY492" s="15" t="s">
        <v>5481</v>
      </c>
      <c r="IZ492" s="15" t="s">
        <v>2971</v>
      </c>
      <c r="JA492" s="15" t="s">
        <v>526</v>
      </c>
      <c r="JB492" s="15" t="s">
        <v>426</v>
      </c>
      <c r="JC492" s="15" t="s">
        <v>947</v>
      </c>
      <c r="JD492" s="15" t="s">
        <v>872</v>
      </c>
      <c r="JE492" s="15" t="s">
        <v>873</v>
      </c>
      <c r="JF492" s="15" t="s">
        <v>877</v>
      </c>
      <c r="JL492" s="15" t="s">
        <v>759</v>
      </c>
      <c r="JM492" s="15" t="s">
        <v>4493</v>
      </c>
      <c r="JN492" s="15" t="s">
        <v>759</v>
      </c>
      <c r="JO492" s="15" t="s">
        <v>426</v>
      </c>
      <c r="JP492" s="15" t="s">
        <v>875</v>
      </c>
    </row>
    <row r="493" ht="15.75" customHeight="1">
      <c r="A493" s="14" t="s">
        <v>391</v>
      </c>
      <c r="B493" s="15" t="s">
        <v>5829</v>
      </c>
      <c r="C493" s="16"/>
      <c r="D493" s="15" t="s">
        <v>432</v>
      </c>
      <c r="G493" s="14" t="s">
        <v>393</v>
      </c>
      <c r="H493" s="14" t="s">
        <v>394</v>
      </c>
      <c r="I493" s="14" t="b">
        <v>1</v>
      </c>
      <c r="J493" s="14" t="s">
        <v>395</v>
      </c>
      <c r="L493" s="14" t="b">
        <v>0</v>
      </c>
      <c r="M493" s="15" t="s">
        <v>5853</v>
      </c>
      <c r="N493" s="14" t="s">
        <v>393</v>
      </c>
      <c r="O493" s="14" t="s">
        <v>393</v>
      </c>
      <c r="P493" s="15" t="s">
        <v>397</v>
      </c>
      <c r="Q493" s="15" t="s">
        <v>5831</v>
      </c>
      <c r="R493" s="15" t="s">
        <v>265</v>
      </c>
      <c r="S493" s="15" t="s">
        <v>828</v>
      </c>
      <c r="T493" s="14" t="b">
        <v>0</v>
      </c>
      <c r="U493" s="15" t="s">
        <v>5854</v>
      </c>
      <c r="V493" s="15" t="s">
        <v>5855</v>
      </c>
      <c r="W493" s="15" t="s">
        <v>401</v>
      </c>
      <c r="X493" s="15" t="s">
        <v>742</v>
      </c>
      <c r="Y493" s="15">
        <v>1638.0</v>
      </c>
      <c r="AA493" s="15" t="str">
        <f>"630"</f>
        <v>630</v>
      </c>
      <c r="AB493" s="14" t="b">
        <v>1</v>
      </c>
      <c r="AC493" s="14" t="b">
        <v>1</v>
      </c>
      <c r="AD493" s="15" t="str">
        <f>"801542682347"</f>
        <v>801542682347</v>
      </c>
      <c r="AE493" s="15" t="s">
        <v>5856</v>
      </c>
      <c r="AF493" s="14" t="s">
        <v>404</v>
      </c>
      <c r="AG493" s="14" t="s">
        <v>405</v>
      </c>
      <c r="AH493" s="14" t="s">
        <v>406</v>
      </c>
      <c r="AI493" s="15">
        <v>0.0</v>
      </c>
      <c r="AL493" s="15" t="s">
        <v>5213</v>
      </c>
      <c r="AM493" s="15" t="s">
        <v>5857</v>
      </c>
      <c r="AN493" s="15" t="s">
        <v>5858</v>
      </c>
      <c r="AO493" s="15" t="s">
        <v>5837</v>
      </c>
      <c r="AP493" s="15" t="s">
        <v>4297</v>
      </c>
      <c r="AQ493" s="15" t="s">
        <v>5838</v>
      </c>
      <c r="AR493" s="15" t="s">
        <v>3032</v>
      </c>
      <c r="AS493" s="15" t="s">
        <v>837</v>
      </c>
      <c r="AT493" s="15" t="s">
        <v>5831</v>
      </c>
      <c r="AU493" s="15" t="s">
        <v>1850</v>
      </c>
      <c r="AW493" s="15" t="s">
        <v>839</v>
      </c>
      <c r="AX493" s="15" t="s">
        <v>828</v>
      </c>
      <c r="AY493" s="15" t="s">
        <v>413</v>
      </c>
      <c r="AZ493" s="15" t="b">
        <v>0</v>
      </c>
      <c r="BA493" s="15" t="s">
        <v>426</v>
      </c>
      <c r="BB493" s="15" t="b">
        <v>1</v>
      </c>
      <c r="BC493" s="15" t="s">
        <v>5839</v>
      </c>
      <c r="BD493" s="15" t="s">
        <v>742</v>
      </c>
      <c r="BE493" s="15" t="str">
        <f t="shared" si="898"/>
        <v>3</v>
      </c>
      <c r="BF493" s="15" t="s">
        <v>5840</v>
      </c>
      <c r="BG493" s="15" t="str">
        <f t="shared" si="899"/>
        <v>82.28</v>
      </c>
      <c r="BH493" s="15" t="s">
        <v>5841</v>
      </c>
      <c r="BI493" s="15" t="str">
        <f>"8.07"</f>
        <v>8.07</v>
      </c>
      <c r="BJ493" s="15" t="s">
        <v>849</v>
      </c>
      <c r="BK493" s="15" t="str">
        <f t="shared" si="900"/>
        <v>12.01</v>
      </c>
      <c r="BL493" s="15" t="s">
        <v>844</v>
      </c>
      <c r="BM493" s="15" t="str">
        <f>"60.63"</f>
        <v>60.63</v>
      </c>
      <c r="BN493" s="15" t="s">
        <v>5859</v>
      </c>
      <c r="BO493" s="15" t="s">
        <v>841</v>
      </c>
      <c r="BP493" s="15" t="str">
        <f>"87.4"</f>
        <v>87.4</v>
      </c>
      <c r="BQ493" s="15" t="s">
        <v>1032</v>
      </c>
      <c r="BR493" s="15" t="str">
        <f t="shared" si="901"/>
        <v>12.4</v>
      </c>
      <c r="BS493" s="15" t="s">
        <v>5845</v>
      </c>
      <c r="BT493" s="15" t="str">
        <f t="shared" si="902"/>
        <v>40.94</v>
      </c>
      <c r="BU493" s="15" t="s">
        <v>648</v>
      </c>
      <c r="BV493" s="15" t="str">
        <f>"101.41"</f>
        <v>101.41</v>
      </c>
      <c r="BW493" s="15" t="s">
        <v>5860</v>
      </c>
      <c r="BX493" s="15" t="s">
        <v>5846</v>
      </c>
      <c r="BY493" s="15" t="str">
        <f>"86.22"</f>
        <v>86.22</v>
      </c>
      <c r="BZ493" s="15" t="s">
        <v>5861</v>
      </c>
      <c r="CA493" s="15" t="str">
        <f t="shared" si="903"/>
        <v>6.89</v>
      </c>
      <c r="CB493" s="15" t="s">
        <v>5842</v>
      </c>
      <c r="CC493" s="15" t="str">
        <f t="shared" si="904"/>
        <v>12.4</v>
      </c>
      <c r="CD493" s="15" t="s">
        <v>5845</v>
      </c>
      <c r="CE493" s="15" t="str">
        <f>"69.45"</f>
        <v>69.45</v>
      </c>
      <c r="CF493" s="15" t="s">
        <v>5862</v>
      </c>
      <c r="CI493" s="15" t="s">
        <v>444</v>
      </c>
      <c r="CK493" s="15" t="s">
        <v>444</v>
      </c>
      <c r="CM493" s="15" t="s">
        <v>444</v>
      </c>
      <c r="CO493" s="15" t="s">
        <v>444</v>
      </c>
      <c r="CP493" s="15" t="str">
        <f>"34.57"</f>
        <v>34.57</v>
      </c>
      <c r="CQ493" s="15" t="str">
        <f>"0.979"</f>
        <v>0.979</v>
      </c>
      <c r="CR493" s="15" t="s">
        <v>465</v>
      </c>
      <c r="DC493" s="15" t="str">
        <f>IFERROR(__xludf.DUMMYFUNCTION("""COMPUTED_VALUE"""),"")</f>
        <v/>
      </c>
      <c r="DE493" s="15" t="str">
        <f>IFERROR(__xludf.DUMMYFUNCTION("""COMPUTED_VALUE"""),"")</f>
        <v/>
      </c>
      <c r="DG493" s="15" t="str">
        <f>IFERROR(__xludf.DUMMYFUNCTION("""COMPUTED_VALUE"""),"")</f>
        <v/>
      </c>
      <c r="DK493" s="15" t="s">
        <v>934</v>
      </c>
      <c r="DL493" s="15" t="str">
        <f>IFERROR(__xludf.DUMMYFUNCTION("""COMPUTED_VALUE"""),"Spot clean with water-based or solvent-based cleaner. Use mild detergent or upholstery shampoo.")</f>
        <v>Spot clean with water-based or solvent-based cleaner. Use mild detergent or upholstery shampoo.</v>
      </c>
      <c r="DM493" s="15" t="s">
        <v>935</v>
      </c>
      <c r="DN493" s="15" t="s">
        <v>419</v>
      </c>
      <c r="DO493" s="15">
        <v>0.0</v>
      </c>
      <c r="DP493" s="15" t="s">
        <v>419</v>
      </c>
      <c r="DR493" s="15">
        <v>0.0</v>
      </c>
      <c r="DT493" s="15" t="s">
        <v>989</v>
      </c>
      <c r="DU493" s="15" t="s">
        <v>419</v>
      </c>
      <c r="DW493" s="15">
        <v>0.0</v>
      </c>
      <c r="DX493" s="15">
        <v>0.0</v>
      </c>
      <c r="DY493" s="15">
        <v>0.0</v>
      </c>
      <c r="DZ493" s="15">
        <v>15000.0</v>
      </c>
      <c r="EG493" s="15" t="s">
        <v>444</v>
      </c>
      <c r="EH493" s="15" t="s">
        <v>5848</v>
      </c>
      <c r="EJ493" s="15" t="s">
        <v>858</v>
      </c>
      <c r="EK493" s="15" t="s">
        <v>859</v>
      </c>
      <c r="EM493" s="15" t="str">
        <f>IFERROR(__xludf.DUMMYFUNCTION("""COMPUTED_VALUE"""),"")</f>
        <v/>
      </c>
      <c r="FF493" s="15" t="s">
        <v>860</v>
      </c>
      <c r="FM493" s="15">
        <v>0.0</v>
      </c>
      <c r="IM493" s="15" t="s">
        <v>2050</v>
      </c>
      <c r="IN493" s="15" t="s">
        <v>2050</v>
      </c>
      <c r="IO493" s="15" t="s">
        <v>2050</v>
      </c>
      <c r="IP493" s="15" t="s">
        <v>729</v>
      </c>
      <c r="IQ493" s="15" t="s">
        <v>526</v>
      </c>
      <c r="IR493" s="15" t="s">
        <v>5863</v>
      </c>
      <c r="IS493" s="15" t="s">
        <v>5850</v>
      </c>
      <c r="IT493" s="15" t="s">
        <v>670</v>
      </c>
      <c r="IU493" s="15" t="s">
        <v>5864</v>
      </c>
      <c r="IV493" s="15" t="s">
        <v>2971</v>
      </c>
      <c r="IW493" s="15" t="s">
        <v>1957</v>
      </c>
      <c r="IX493" s="15" t="s">
        <v>4384</v>
      </c>
      <c r="IY493" s="15" t="s">
        <v>5481</v>
      </c>
      <c r="IZ493" s="15" t="s">
        <v>2971</v>
      </c>
      <c r="JA493" s="15" t="s">
        <v>526</v>
      </c>
      <c r="JB493" s="15" t="s">
        <v>426</v>
      </c>
      <c r="JC493" s="15" t="s">
        <v>947</v>
      </c>
      <c r="JD493" s="15" t="s">
        <v>872</v>
      </c>
      <c r="JE493" s="15" t="s">
        <v>873</v>
      </c>
      <c r="JF493" s="15" t="s">
        <v>828</v>
      </c>
      <c r="JL493" s="15" t="s">
        <v>759</v>
      </c>
      <c r="JM493" s="15" t="s">
        <v>4493</v>
      </c>
      <c r="JN493" s="15" t="s">
        <v>759</v>
      </c>
      <c r="JO493" s="15" t="s">
        <v>426</v>
      </c>
      <c r="JP493" s="15" t="s">
        <v>875</v>
      </c>
    </row>
    <row r="494" ht="15.75" customHeight="1">
      <c r="A494" s="14" t="s">
        <v>391</v>
      </c>
      <c r="B494" s="15" t="s">
        <v>5829</v>
      </c>
      <c r="C494" s="16"/>
      <c r="D494" s="15" t="s">
        <v>432</v>
      </c>
      <c r="G494" s="14" t="s">
        <v>393</v>
      </c>
      <c r="H494" s="14" t="s">
        <v>394</v>
      </c>
      <c r="I494" s="14" t="b">
        <v>1</v>
      </c>
      <c r="J494" s="14" t="s">
        <v>395</v>
      </c>
      <c r="L494" s="14" t="b">
        <v>0</v>
      </c>
      <c r="M494" s="15" t="s">
        <v>5865</v>
      </c>
      <c r="N494" s="14" t="s">
        <v>393</v>
      </c>
      <c r="O494" s="14" t="s">
        <v>393</v>
      </c>
      <c r="P494" s="15" t="s">
        <v>397</v>
      </c>
      <c r="Q494" s="15" t="s">
        <v>2120</v>
      </c>
      <c r="R494" s="15" t="s">
        <v>265</v>
      </c>
      <c r="S494" s="15" t="s">
        <v>877</v>
      </c>
      <c r="T494" s="14" t="b">
        <v>0</v>
      </c>
      <c r="U494" s="15" t="s">
        <v>5866</v>
      </c>
      <c r="V494" s="15" t="s">
        <v>5833</v>
      </c>
      <c r="W494" s="15" t="s">
        <v>401</v>
      </c>
      <c r="X494" s="15" t="s">
        <v>742</v>
      </c>
      <c r="Y494" s="15">
        <v>1534.0</v>
      </c>
      <c r="AA494" s="15" t="str">
        <f>"590"</f>
        <v>590</v>
      </c>
      <c r="AB494" s="14" t="b">
        <v>1</v>
      </c>
      <c r="AC494" s="14" t="b">
        <v>1</v>
      </c>
      <c r="AD494" s="15" t="str">
        <f>"801542275297"</f>
        <v>801542275297</v>
      </c>
      <c r="AE494" s="15" t="s">
        <v>5867</v>
      </c>
      <c r="AF494" s="14" t="s">
        <v>404</v>
      </c>
      <c r="AG494" s="14" t="s">
        <v>405</v>
      </c>
      <c r="AH494" s="14" t="s">
        <v>406</v>
      </c>
      <c r="AI494" s="15">
        <v>0.0</v>
      </c>
      <c r="AL494" s="15" t="s">
        <v>5868</v>
      </c>
      <c r="AM494" s="15" t="s">
        <v>5835</v>
      </c>
      <c r="AN494" s="15" t="s">
        <v>5836</v>
      </c>
      <c r="AO494" s="15" t="s">
        <v>5837</v>
      </c>
      <c r="AP494" s="15" t="s">
        <v>4297</v>
      </c>
      <c r="AQ494" s="15" t="s">
        <v>5838</v>
      </c>
      <c r="AR494" s="15" t="s">
        <v>3032</v>
      </c>
      <c r="AS494" s="15" t="s">
        <v>837</v>
      </c>
      <c r="AT494" s="15" t="s">
        <v>2120</v>
      </c>
      <c r="AU494" s="15" t="s">
        <v>1850</v>
      </c>
      <c r="AW494" s="15" t="s">
        <v>839</v>
      </c>
      <c r="AX494" s="15" t="s">
        <v>877</v>
      </c>
      <c r="AY494" s="15" t="s">
        <v>413</v>
      </c>
      <c r="AZ494" s="15" t="b">
        <v>0</v>
      </c>
      <c r="BA494" s="15" t="s">
        <v>413</v>
      </c>
      <c r="BB494" s="15" t="b">
        <v>0</v>
      </c>
      <c r="BC494" s="15" t="s">
        <v>5869</v>
      </c>
      <c r="BD494" s="15" t="s">
        <v>742</v>
      </c>
      <c r="BE494" s="15" t="str">
        <f t="shared" si="898"/>
        <v>3</v>
      </c>
      <c r="BF494" s="15" t="s">
        <v>5840</v>
      </c>
      <c r="BG494" s="15" t="str">
        <f t="shared" si="899"/>
        <v>82.28</v>
      </c>
      <c r="BH494" s="15" t="s">
        <v>5841</v>
      </c>
      <c r="BI494" s="15" t="str">
        <f>"6.89"</f>
        <v>6.89</v>
      </c>
      <c r="BJ494" s="15" t="s">
        <v>5842</v>
      </c>
      <c r="BK494" s="15" t="str">
        <f t="shared" si="900"/>
        <v>12.01</v>
      </c>
      <c r="BL494" s="15" t="s">
        <v>844</v>
      </c>
      <c r="BM494" s="15" t="str">
        <f>"56.22"</f>
        <v>56.22</v>
      </c>
      <c r="BN494" s="15" t="s">
        <v>5843</v>
      </c>
      <c r="BO494" s="15" t="s">
        <v>841</v>
      </c>
      <c r="BP494" s="15" t="str">
        <f>"71.26"</f>
        <v>71.26</v>
      </c>
      <c r="BQ494" s="15" t="s">
        <v>5844</v>
      </c>
      <c r="BR494" s="15" t="str">
        <f t="shared" si="901"/>
        <v>12.4</v>
      </c>
      <c r="BS494" s="15" t="s">
        <v>5845</v>
      </c>
      <c r="BT494" s="15" t="str">
        <f t="shared" si="902"/>
        <v>40.94</v>
      </c>
      <c r="BU494" s="15" t="s">
        <v>648</v>
      </c>
      <c r="BV494" s="15" t="str">
        <f>"85.98"</f>
        <v>85.98</v>
      </c>
      <c r="BW494" s="15" t="s">
        <v>928</v>
      </c>
      <c r="BX494" s="15" t="s">
        <v>5870</v>
      </c>
      <c r="BY494" s="15" t="str">
        <f>"70.08"</f>
        <v>70.08</v>
      </c>
      <c r="BZ494" s="15" t="s">
        <v>957</v>
      </c>
      <c r="CA494" s="15" t="str">
        <f t="shared" si="903"/>
        <v>6.89</v>
      </c>
      <c r="CB494" s="15" t="s">
        <v>5842</v>
      </c>
      <c r="CC494" s="15" t="str">
        <f t="shared" si="904"/>
        <v>12.4</v>
      </c>
      <c r="CD494" s="15" t="s">
        <v>5845</v>
      </c>
      <c r="CE494" s="15" t="str">
        <f>"55.12"</f>
        <v>55.12</v>
      </c>
      <c r="CF494" s="15" t="s">
        <v>5847</v>
      </c>
      <c r="CI494" s="15" t="s">
        <v>444</v>
      </c>
      <c r="CK494" s="15" t="s">
        <v>444</v>
      </c>
      <c r="CM494" s="15" t="s">
        <v>444</v>
      </c>
      <c r="CO494" s="15" t="s">
        <v>444</v>
      </c>
      <c r="CP494" s="15" t="str">
        <f>"28.36"</f>
        <v>28.36</v>
      </c>
      <c r="CQ494" s="15" t="str">
        <f>"0.803"</f>
        <v>0.803</v>
      </c>
      <c r="CR494" s="15" t="s">
        <v>417</v>
      </c>
      <c r="DC494" s="15" t="str">
        <f>IFERROR(__xludf.DUMMYFUNCTION("""COMPUTED_VALUE"""),"")</f>
        <v/>
      </c>
      <c r="DE494" s="15" t="str">
        <f>IFERROR(__xludf.DUMMYFUNCTION("""COMPUTED_VALUE"""),"")</f>
        <v/>
      </c>
      <c r="DG494" s="15" t="str">
        <f>IFERROR(__xludf.DUMMYFUNCTION("""COMPUTED_VALUE"""),"")</f>
        <v/>
      </c>
      <c r="DK494" s="15" t="s">
        <v>718</v>
      </c>
      <c r="DL494" s="15" t="str">
        <f>IFERROR(__xludf.DUMMYFUNCTION("""COMPUTED_VALUE"""),"Vacuum or light brush only. Do not use water or any cleaning products.")</f>
        <v>Vacuum or light brush only. Do not use water or any cleaning products.</v>
      </c>
      <c r="DM494" s="15" t="s">
        <v>719</v>
      </c>
      <c r="DN494" s="15" t="s">
        <v>419</v>
      </c>
      <c r="DO494" s="15">
        <v>0.0</v>
      </c>
      <c r="DP494" s="15" t="s">
        <v>419</v>
      </c>
      <c r="DR494" s="15">
        <v>0.0</v>
      </c>
      <c r="DT494" s="15" t="s">
        <v>989</v>
      </c>
      <c r="DU494" s="15" t="s">
        <v>419</v>
      </c>
      <c r="DW494" s="15">
        <v>0.0</v>
      </c>
      <c r="DX494" s="15">
        <v>0.0</v>
      </c>
      <c r="DY494" s="15">
        <v>0.0</v>
      </c>
      <c r="DZ494" s="15">
        <v>30000.0</v>
      </c>
      <c r="EG494" s="15" t="s">
        <v>444</v>
      </c>
      <c r="EH494" s="15" t="s">
        <v>5848</v>
      </c>
      <c r="EJ494" s="15" t="s">
        <v>858</v>
      </c>
      <c r="EK494" s="15" t="s">
        <v>859</v>
      </c>
      <c r="EM494" s="15" t="str">
        <f>IFERROR(__xludf.DUMMYFUNCTION("""COMPUTED_VALUE"""),"")</f>
        <v/>
      </c>
      <c r="FF494" s="15" t="s">
        <v>860</v>
      </c>
      <c r="FM494" s="15">
        <v>0.0</v>
      </c>
      <c r="IM494" s="15" t="s">
        <v>2050</v>
      </c>
      <c r="IN494" s="15" t="s">
        <v>2050</v>
      </c>
      <c r="IO494" s="15" t="s">
        <v>2050</v>
      </c>
      <c r="IP494" s="15" t="s">
        <v>729</v>
      </c>
      <c r="IQ494" s="15" t="s">
        <v>526</v>
      </c>
      <c r="IR494" s="15" t="s">
        <v>5849</v>
      </c>
      <c r="IS494" s="15" t="s">
        <v>5850</v>
      </c>
      <c r="IT494" s="15" t="s">
        <v>670</v>
      </c>
      <c r="IU494" s="15" t="s">
        <v>5851</v>
      </c>
      <c r="IV494" s="15" t="s">
        <v>2971</v>
      </c>
      <c r="IW494" s="15" t="s">
        <v>1957</v>
      </c>
      <c r="IX494" s="15" t="s">
        <v>5852</v>
      </c>
      <c r="IY494" s="15" t="s">
        <v>5481</v>
      </c>
      <c r="IZ494" s="15" t="s">
        <v>2971</v>
      </c>
      <c r="JA494" s="15" t="s">
        <v>526</v>
      </c>
      <c r="JB494" s="15" t="s">
        <v>426</v>
      </c>
      <c r="JC494" s="15" t="s">
        <v>947</v>
      </c>
      <c r="JD494" s="15" t="s">
        <v>872</v>
      </c>
      <c r="JE494" s="15" t="s">
        <v>873</v>
      </c>
      <c r="JF494" s="15" t="s">
        <v>877</v>
      </c>
      <c r="JL494" s="15" t="s">
        <v>759</v>
      </c>
      <c r="JM494" s="15" t="s">
        <v>4493</v>
      </c>
      <c r="JN494" s="15" t="s">
        <v>759</v>
      </c>
      <c r="JO494" s="15" t="s">
        <v>426</v>
      </c>
      <c r="JP494" s="15" t="s">
        <v>875</v>
      </c>
    </row>
    <row r="495" ht="15.75" customHeight="1">
      <c r="A495" s="14" t="s">
        <v>391</v>
      </c>
      <c r="B495" s="15" t="s">
        <v>5829</v>
      </c>
      <c r="C495" s="16"/>
      <c r="D495" s="15" t="s">
        <v>432</v>
      </c>
      <c r="G495" s="14" t="s">
        <v>393</v>
      </c>
      <c r="H495" s="14" t="s">
        <v>394</v>
      </c>
      <c r="I495" s="14" t="b">
        <v>1</v>
      </c>
      <c r="J495" s="14" t="s">
        <v>395</v>
      </c>
      <c r="L495" s="14" t="b">
        <v>0</v>
      </c>
      <c r="M495" s="15" t="s">
        <v>5871</v>
      </c>
      <c r="N495" s="14" t="s">
        <v>393</v>
      </c>
      <c r="O495" s="14" t="s">
        <v>393</v>
      </c>
      <c r="P495" s="15" t="s">
        <v>397</v>
      </c>
      <c r="Q495" s="15" t="s">
        <v>2120</v>
      </c>
      <c r="R495" s="15" t="s">
        <v>265</v>
      </c>
      <c r="S495" s="15" t="s">
        <v>828</v>
      </c>
      <c r="T495" s="14" t="b">
        <v>0</v>
      </c>
      <c r="U495" s="15" t="s">
        <v>5872</v>
      </c>
      <c r="V495" s="15" t="s">
        <v>5855</v>
      </c>
      <c r="W495" s="15" t="s">
        <v>401</v>
      </c>
      <c r="X495" s="15" t="s">
        <v>742</v>
      </c>
      <c r="Y495" s="15">
        <v>1755.0</v>
      </c>
      <c r="AA495" s="15" t="str">
        <f>"675"</f>
        <v>675</v>
      </c>
      <c r="AB495" s="14" t="b">
        <v>1</v>
      </c>
      <c r="AC495" s="14" t="b">
        <v>1</v>
      </c>
      <c r="AD495" s="15" t="str">
        <f>"801542275280"</f>
        <v>801542275280</v>
      </c>
      <c r="AE495" s="15" t="s">
        <v>5873</v>
      </c>
      <c r="AF495" s="14" t="s">
        <v>404</v>
      </c>
      <c r="AG495" s="14" t="s">
        <v>405</v>
      </c>
      <c r="AH495" s="14" t="s">
        <v>406</v>
      </c>
      <c r="AI495" s="15">
        <v>0.0</v>
      </c>
      <c r="AL495" s="15" t="s">
        <v>5868</v>
      </c>
      <c r="AM495" s="15" t="s">
        <v>5857</v>
      </c>
      <c r="AN495" s="15" t="s">
        <v>5858</v>
      </c>
      <c r="AO495" s="15" t="s">
        <v>5837</v>
      </c>
      <c r="AP495" s="15" t="s">
        <v>4297</v>
      </c>
      <c r="AQ495" s="15" t="s">
        <v>5838</v>
      </c>
      <c r="AR495" s="15" t="s">
        <v>3032</v>
      </c>
      <c r="AS495" s="15" t="s">
        <v>837</v>
      </c>
      <c r="AT495" s="15" t="s">
        <v>2120</v>
      </c>
      <c r="AU495" s="15" t="s">
        <v>1850</v>
      </c>
      <c r="AW495" s="15" t="s">
        <v>839</v>
      </c>
      <c r="AX495" s="15" t="s">
        <v>828</v>
      </c>
      <c r="AY495" s="15" t="s">
        <v>413</v>
      </c>
      <c r="AZ495" s="15" t="b">
        <v>0</v>
      </c>
      <c r="BA495" s="15" t="s">
        <v>413</v>
      </c>
      <c r="BB495" s="15" t="b">
        <v>0</v>
      </c>
      <c r="BC495" s="15" t="s">
        <v>5869</v>
      </c>
      <c r="BD495" s="15" t="s">
        <v>742</v>
      </c>
      <c r="BE495" s="15" t="str">
        <f t="shared" si="898"/>
        <v>3</v>
      </c>
      <c r="BF495" s="15" t="s">
        <v>5840</v>
      </c>
      <c r="BG495" s="15" t="str">
        <f t="shared" si="899"/>
        <v>82.28</v>
      </c>
      <c r="BH495" s="15" t="s">
        <v>5841</v>
      </c>
      <c r="BI495" s="15" t="str">
        <f>"8.07"</f>
        <v>8.07</v>
      </c>
      <c r="BJ495" s="15" t="s">
        <v>849</v>
      </c>
      <c r="BK495" s="15" t="str">
        <f t="shared" si="900"/>
        <v>12.01</v>
      </c>
      <c r="BL495" s="15" t="s">
        <v>844</v>
      </c>
      <c r="BM495" s="15" t="str">
        <f>"60.63"</f>
        <v>60.63</v>
      </c>
      <c r="BN495" s="15" t="s">
        <v>5859</v>
      </c>
      <c r="BO495" s="15" t="s">
        <v>841</v>
      </c>
      <c r="BP495" s="15" t="str">
        <f>"87.4"</f>
        <v>87.4</v>
      </c>
      <c r="BQ495" s="15" t="s">
        <v>1032</v>
      </c>
      <c r="BR495" s="15" t="str">
        <f t="shared" si="901"/>
        <v>12.4</v>
      </c>
      <c r="BS495" s="15" t="s">
        <v>5845</v>
      </c>
      <c r="BT495" s="15" t="str">
        <f t="shared" si="902"/>
        <v>40.94</v>
      </c>
      <c r="BU495" s="15" t="s">
        <v>648</v>
      </c>
      <c r="BV495" s="15" t="str">
        <f>"101.41"</f>
        <v>101.41</v>
      </c>
      <c r="BW495" s="15" t="s">
        <v>5860</v>
      </c>
      <c r="BX495" s="15" t="s">
        <v>5870</v>
      </c>
      <c r="BY495" s="15" t="str">
        <f>"86.22"</f>
        <v>86.22</v>
      </c>
      <c r="BZ495" s="15" t="s">
        <v>5861</v>
      </c>
      <c r="CA495" s="15" t="str">
        <f t="shared" si="903"/>
        <v>6.89</v>
      </c>
      <c r="CB495" s="15" t="s">
        <v>5842</v>
      </c>
      <c r="CC495" s="15" t="str">
        <f t="shared" si="904"/>
        <v>12.4</v>
      </c>
      <c r="CD495" s="15" t="s">
        <v>5845</v>
      </c>
      <c r="CE495" s="15" t="str">
        <f>"69.45"</f>
        <v>69.45</v>
      </c>
      <c r="CF495" s="15" t="s">
        <v>5862</v>
      </c>
      <c r="CI495" s="15" t="s">
        <v>444</v>
      </c>
      <c r="CK495" s="15" t="s">
        <v>444</v>
      </c>
      <c r="CM495" s="15" t="s">
        <v>444</v>
      </c>
      <c r="CO495" s="15" t="s">
        <v>444</v>
      </c>
      <c r="CP495" s="15" t="str">
        <f>"34.57"</f>
        <v>34.57</v>
      </c>
      <c r="CQ495" s="15" t="str">
        <f>"0.979"</f>
        <v>0.979</v>
      </c>
      <c r="CR495" s="15" t="s">
        <v>465</v>
      </c>
      <c r="DC495" s="15" t="str">
        <f>IFERROR(__xludf.DUMMYFUNCTION("""COMPUTED_VALUE"""),"")</f>
        <v/>
      </c>
      <c r="DE495" s="15" t="str">
        <f>IFERROR(__xludf.DUMMYFUNCTION("""COMPUTED_VALUE"""),"")</f>
        <v/>
      </c>
      <c r="DG495" s="15" t="str">
        <f>IFERROR(__xludf.DUMMYFUNCTION("""COMPUTED_VALUE"""),"")</f>
        <v/>
      </c>
      <c r="DK495" s="15" t="s">
        <v>718</v>
      </c>
      <c r="DL495" s="15" t="str">
        <f>IFERROR(__xludf.DUMMYFUNCTION("""COMPUTED_VALUE"""),"Vacuum or light brush only. Do not use water or any cleaning products.")</f>
        <v>Vacuum or light brush only. Do not use water or any cleaning products.</v>
      </c>
      <c r="DM495" s="15" t="s">
        <v>719</v>
      </c>
      <c r="DN495" s="15" t="s">
        <v>419</v>
      </c>
      <c r="DO495" s="15">
        <v>0.0</v>
      </c>
      <c r="DP495" s="15" t="s">
        <v>419</v>
      </c>
      <c r="DR495" s="15">
        <v>0.0</v>
      </c>
      <c r="DT495" s="15" t="s">
        <v>989</v>
      </c>
      <c r="DU495" s="15" t="s">
        <v>419</v>
      </c>
      <c r="DW495" s="15">
        <v>0.0</v>
      </c>
      <c r="DX495" s="15">
        <v>0.0</v>
      </c>
      <c r="DY495" s="15">
        <v>0.0</v>
      </c>
      <c r="DZ495" s="15">
        <v>30000.0</v>
      </c>
      <c r="EG495" s="15" t="s">
        <v>444</v>
      </c>
      <c r="EH495" s="15" t="s">
        <v>5848</v>
      </c>
      <c r="EJ495" s="15" t="s">
        <v>858</v>
      </c>
      <c r="EK495" s="15" t="s">
        <v>859</v>
      </c>
      <c r="EM495" s="15" t="str">
        <f>IFERROR(__xludf.DUMMYFUNCTION("""COMPUTED_VALUE"""),"")</f>
        <v/>
      </c>
      <c r="FF495" s="15" t="s">
        <v>860</v>
      </c>
      <c r="FM495" s="15">
        <v>0.0</v>
      </c>
      <c r="IM495" s="15" t="s">
        <v>2050</v>
      </c>
      <c r="IN495" s="15" t="s">
        <v>2050</v>
      </c>
      <c r="IO495" s="15" t="s">
        <v>2050</v>
      </c>
      <c r="IP495" s="15" t="s">
        <v>729</v>
      </c>
      <c r="IQ495" s="15" t="s">
        <v>526</v>
      </c>
      <c r="IR495" s="15" t="s">
        <v>5863</v>
      </c>
      <c r="IS495" s="15" t="s">
        <v>5850</v>
      </c>
      <c r="IT495" s="15" t="s">
        <v>670</v>
      </c>
      <c r="IU495" s="15" t="s">
        <v>5864</v>
      </c>
      <c r="IV495" s="15" t="s">
        <v>2971</v>
      </c>
      <c r="IW495" s="15" t="s">
        <v>1957</v>
      </c>
      <c r="IX495" s="15" t="s">
        <v>4384</v>
      </c>
      <c r="IY495" s="15" t="s">
        <v>5481</v>
      </c>
      <c r="IZ495" s="15" t="s">
        <v>2971</v>
      </c>
      <c r="JA495" s="15" t="s">
        <v>526</v>
      </c>
      <c r="JB495" s="15" t="s">
        <v>426</v>
      </c>
      <c r="JC495" s="15" t="s">
        <v>947</v>
      </c>
      <c r="JD495" s="15" t="s">
        <v>872</v>
      </c>
      <c r="JE495" s="15" t="s">
        <v>873</v>
      </c>
      <c r="JF495" s="15" t="s">
        <v>828</v>
      </c>
      <c r="JL495" s="15" t="s">
        <v>759</v>
      </c>
      <c r="JM495" s="15" t="s">
        <v>4493</v>
      </c>
      <c r="JN495" s="15" t="s">
        <v>759</v>
      </c>
      <c r="JO495" s="15" t="s">
        <v>426</v>
      </c>
      <c r="JP495" s="15" t="s">
        <v>875</v>
      </c>
    </row>
    <row r="496" ht="15.75" customHeight="1">
      <c r="A496" s="14" t="s">
        <v>391</v>
      </c>
      <c r="B496" s="15" t="s">
        <v>5829</v>
      </c>
      <c r="C496" s="16"/>
      <c r="D496" s="15" t="s">
        <v>432</v>
      </c>
      <c r="G496" s="14" t="s">
        <v>393</v>
      </c>
      <c r="H496" s="14" t="s">
        <v>394</v>
      </c>
      <c r="I496" s="14" t="b">
        <v>1</v>
      </c>
      <c r="J496" s="14" t="s">
        <v>395</v>
      </c>
      <c r="L496" s="14" t="b">
        <v>0</v>
      </c>
      <c r="M496" s="15" t="s">
        <v>5874</v>
      </c>
      <c r="N496" s="14" t="s">
        <v>393</v>
      </c>
      <c r="O496" s="14" t="s">
        <v>393</v>
      </c>
      <c r="P496" s="15" t="s">
        <v>397</v>
      </c>
      <c r="Q496" s="15" t="s">
        <v>5875</v>
      </c>
      <c r="R496" s="15" t="s">
        <v>265</v>
      </c>
      <c r="S496" s="15" t="s">
        <v>877</v>
      </c>
      <c r="T496" s="14" t="b">
        <v>0</v>
      </c>
      <c r="U496" s="15" t="s">
        <v>5876</v>
      </c>
      <c r="V496" s="15" t="s">
        <v>5833</v>
      </c>
      <c r="W496" s="15" t="s">
        <v>401</v>
      </c>
      <c r="X496" s="15" t="s">
        <v>742</v>
      </c>
      <c r="Y496" s="15">
        <v>1534.0</v>
      </c>
      <c r="AA496" s="15" t="str">
        <f>"590"</f>
        <v>590</v>
      </c>
      <c r="AB496" s="14" t="b">
        <v>1</v>
      </c>
      <c r="AC496" s="14" t="b">
        <v>1</v>
      </c>
      <c r="AD496" s="15" t="str">
        <f>"801542926007"</f>
        <v>801542926007</v>
      </c>
      <c r="AE496" s="15" t="s">
        <v>5877</v>
      </c>
      <c r="AF496" s="14" t="s">
        <v>404</v>
      </c>
      <c r="AG496" s="14" t="s">
        <v>405</v>
      </c>
      <c r="AH496" s="14" t="s">
        <v>406</v>
      </c>
      <c r="AI496" s="15">
        <v>0.0</v>
      </c>
      <c r="AL496" s="15" t="s">
        <v>5868</v>
      </c>
      <c r="AM496" s="15" t="s">
        <v>5835</v>
      </c>
      <c r="AN496" s="15" t="s">
        <v>5836</v>
      </c>
      <c r="AO496" s="15" t="s">
        <v>5837</v>
      </c>
      <c r="AP496" s="15" t="s">
        <v>4297</v>
      </c>
      <c r="AQ496" s="15" t="s">
        <v>5838</v>
      </c>
      <c r="AR496" s="15" t="s">
        <v>3032</v>
      </c>
      <c r="AS496" s="15" t="s">
        <v>837</v>
      </c>
      <c r="AT496" s="15" t="s">
        <v>5875</v>
      </c>
      <c r="AU496" s="15" t="s">
        <v>1850</v>
      </c>
      <c r="AW496" s="15" t="s">
        <v>839</v>
      </c>
      <c r="AX496" s="15" t="s">
        <v>877</v>
      </c>
      <c r="AY496" s="15" t="s">
        <v>413</v>
      </c>
      <c r="AZ496" s="15" t="b">
        <v>0</v>
      </c>
      <c r="BA496" s="15" t="s">
        <v>413</v>
      </c>
      <c r="BB496" s="15" t="b">
        <v>0</v>
      </c>
      <c r="BC496" s="15" t="s">
        <v>5869</v>
      </c>
      <c r="BD496" s="15" t="s">
        <v>742</v>
      </c>
      <c r="BE496" s="15" t="str">
        <f t="shared" si="898"/>
        <v>3</v>
      </c>
      <c r="BF496" s="15" t="s">
        <v>5840</v>
      </c>
      <c r="BG496" s="15" t="str">
        <f t="shared" si="899"/>
        <v>82.28</v>
      </c>
      <c r="BH496" s="15" t="s">
        <v>5841</v>
      </c>
      <c r="BI496" s="15" t="str">
        <f>"6.89"</f>
        <v>6.89</v>
      </c>
      <c r="BJ496" s="15" t="s">
        <v>5842</v>
      </c>
      <c r="BK496" s="15" t="str">
        <f t="shared" si="900"/>
        <v>12.01</v>
      </c>
      <c r="BL496" s="15" t="s">
        <v>844</v>
      </c>
      <c r="BM496" s="15" t="str">
        <f>"56.22"</f>
        <v>56.22</v>
      </c>
      <c r="BN496" s="15" t="s">
        <v>5843</v>
      </c>
      <c r="BO496" s="15" t="s">
        <v>841</v>
      </c>
      <c r="BP496" s="15" t="str">
        <f>"71.26"</f>
        <v>71.26</v>
      </c>
      <c r="BQ496" s="15" t="s">
        <v>5844</v>
      </c>
      <c r="BR496" s="15" t="str">
        <f t="shared" si="901"/>
        <v>12.4</v>
      </c>
      <c r="BS496" s="15" t="s">
        <v>5845</v>
      </c>
      <c r="BT496" s="15" t="str">
        <f t="shared" si="902"/>
        <v>40.94</v>
      </c>
      <c r="BU496" s="15" t="s">
        <v>648</v>
      </c>
      <c r="BV496" s="15" t="str">
        <f>"85.98"</f>
        <v>85.98</v>
      </c>
      <c r="BW496" s="15" t="s">
        <v>928</v>
      </c>
      <c r="BX496" s="15" t="s">
        <v>5846</v>
      </c>
      <c r="BY496" s="15" t="str">
        <f>"70.08"</f>
        <v>70.08</v>
      </c>
      <c r="BZ496" s="15" t="s">
        <v>957</v>
      </c>
      <c r="CA496" s="15" t="str">
        <f t="shared" si="903"/>
        <v>6.89</v>
      </c>
      <c r="CB496" s="15" t="s">
        <v>5842</v>
      </c>
      <c r="CC496" s="15" t="str">
        <f t="shared" si="904"/>
        <v>12.4</v>
      </c>
      <c r="CD496" s="15" t="s">
        <v>5845</v>
      </c>
      <c r="CE496" s="15" t="str">
        <f>"55.12"</f>
        <v>55.12</v>
      </c>
      <c r="CF496" s="15" t="s">
        <v>5847</v>
      </c>
      <c r="CI496" s="15" t="s">
        <v>444</v>
      </c>
      <c r="CK496" s="15" t="s">
        <v>444</v>
      </c>
      <c r="CM496" s="15" t="s">
        <v>444</v>
      </c>
      <c r="CO496" s="15" t="s">
        <v>444</v>
      </c>
      <c r="CP496" s="15" t="str">
        <f>"28.36"</f>
        <v>28.36</v>
      </c>
      <c r="CQ496" s="15" t="str">
        <f>"0.803"</f>
        <v>0.803</v>
      </c>
      <c r="CR496" s="15" t="s">
        <v>465</v>
      </c>
      <c r="DC496" s="15" t="str">
        <f>IFERROR(__xludf.DUMMYFUNCTION("""COMPUTED_VALUE"""),"")</f>
        <v/>
      </c>
      <c r="DE496" s="15" t="str">
        <f>IFERROR(__xludf.DUMMYFUNCTION("""COMPUTED_VALUE"""),"")</f>
        <v/>
      </c>
      <c r="DG496" s="15" t="str">
        <f>IFERROR(__xludf.DUMMYFUNCTION("""COMPUTED_VALUE"""),"")</f>
        <v/>
      </c>
      <c r="DK496" s="15" t="s">
        <v>718</v>
      </c>
      <c r="DL496" s="15" t="str">
        <f>IFERROR(__xludf.DUMMYFUNCTION("""COMPUTED_VALUE"""),"Vacuum or light brush only. Do not use water or any cleaning products.")</f>
        <v>Vacuum or light brush only. Do not use water or any cleaning products.</v>
      </c>
      <c r="DM496" s="15" t="s">
        <v>719</v>
      </c>
      <c r="DN496" s="15" t="s">
        <v>419</v>
      </c>
      <c r="DO496" s="15">
        <v>0.0</v>
      </c>
      <c r="DP496" s="15" t="s">
        <v>419</v>
      </c>
      <c r="DR496" s="15">
        <v>0.0</v>
      </c>
      <c r="DT496" s="15" t="s">
        <v>989</v>
      </c>
      <c r="DU496" s="15" t="s">
        <v>419</v>
      </c>
      <c r="DW496" s="15">
        <v>0.0</v>
      </c>
      <c r="DX496" s="15">
        <v>0.0</v>
      </c>
      <c r="DY496" s="15">
        <v>0.0</v>
      </c>
      <c r="DZ496" s="15">
        <v>30000.0</v>
      </c>
      <c r="EG496" s="15" t="s">
        <v>444</v>
      </c>
      <c r="EH496" s="15" t="s">
        <v>5848</v>
      </c>
      <c r="EJ496" s="15" t="s">
        <v>858</v>
      </c>
      <c r="EK496" s="15" t="s">
        <v>859</v>
      </c>
      <c r="EM496" s="15" t="str">
        <f>IFERROR(__xludf.DUMMYFUNCTION("""COMPUTED_VALUE"""),"")</f>
        <v/>
      </c>
      <c r="FF496" s="15" t="s">
        <v>860</v>
      </c>
      <c r="FM496" s="15">
        <v>0.0</v>
      </c>
      <c r="IM496" s="15" t="s">
        <v>2050</v>
      </c>
      <c r="IN496" s="15" t="s">
        <v>2050</v>
      </c>
      <c r="IO496" s="15" t="s">
        <v>2050</v>
      </c>
      <c r="IP496" s="15" t="s">
        <v>729</v>
      </c>
      <c r="IQ496" s="15" t="s">
        <v>526</v>
      </c>
      <c r="IR496" s="15" t="s">
        <v>5849</v>
      </c>
      <c r="IS496" s="15" t="s">
        <v>5850</v>
      </c>
      <c r="IT496" s="15" t="s">
        <v>670</v>
      </c>
      <c r="IU496" s="15" t="s">
        <v>5851</v>
      </c>
      <c r="IV496" s="15" t="s">
        <v>2971</v>
      </c>
      <c r="IW496" s="15" t="s">
        <v>1957</v>
      </c>
      <c r="IX496" s="15" t="s">
        <v>5852</v>
      </c>
      <c r="IY496" s="15" t="s">
        <v>5481</v>
      </c>
      <c r="IZ496" s="15" t="s">
        <v>2971</v>
      </c>
      <c r="JA496" s="15" t="s">
        <v>526</v>
      </c>
      <c r="JB496" s="15" t="s">
        <v>426</v>
      </c>
      <c r="JC496" s="15" t="s">
        <v>947</v>
      </c>
      <c r="JD496" s="15" t="s">
        <v>872</v>
      </c>
      <c r="JE496" s="15" t="s">
        <v>873</v>
      </c>
      <c r="JF496" s="15" t="s">
        <v>877</v>
      </c>
      <c r="JL496" s="15" t="s">
        <v>759</v>
      </c>
      <c r="JM496" s="15" t="s">
        <v>4493</v>
      </c>
      <c r="JN496" s="15" t="s">
        <v>759</v>
      </c>
      <c r="JO496" s="15" t="s">
        <v>426</v>
      </c>
      <c r="JP496" s="15" t="s">
        <v>875</v>
      </c>
    </row>
    <row r="497" ht="15.75" customHeight="1">
      <c r="A497" s="14" t="s">
        <v>391</v>
      </c>
      <c r="B497" s="15" t="s">
        <v>5829</v>
      </c>
      <c r="C497" s="16"/>
      <c r="D497" s="15" t="s">
        <v>432</v>
      </c>
      <c r="G497" s="14" t="s">
        <v>393</v>
      </c>
      <c r="H497" s="14" t="s">
        <v>394</v>
      </c>
      <c r="I497" s="14" t="b">
        <v>1</v>
      </c>
      <c r="J497" s="14" t="s">
        <v>395</v>
      </c>
      <c r="L497" s="14" t="b">
        <v>0</v>
      </c>
      <c r="M497" s="15" t="s">
        <v>5878</v>
      </c>
      <c r="N497" s="14" t="s">
        <v>393</v>
      </c>
      <c r="O497" s="14" t="s">
        <v>393</v>
      </c>
      <c r="P497" s="15" t="s">
        <v>397</v>
      </c>
      <c r="Q497" s="15" t="s">
        <v>5875</v>
      </c>
      <c r="R497" s="15" t="s">
        <v>265</v>
      </c>
      <c r="S497" s="15" t="s">
        <v>828</v>
      </c>
      <c r="T497" s="14" t="b">
        <v>0</v>
      </c>
      <c r="U497" s="15" t="s">
        <v>5879</v>
      </c>
      <c r="V497" s="15" t="s">
        <v>5855</v>
      </c>
      <c r="W497" s="15" t="s">
        <v>401</v>
      </c>
      <c r="X497" s="15" t="s">
        <v>742</v>
      </c>
      <c r="Y497" s="15">
        <v>1755.0</v>
      </c>
      <c r="AA497" s="15" t="str">
        <f>"675"</f>
        <v>675</v>
      </c>
      <c r="AB497" s="14" t="b">
        <v>1</v>
      </c>
      <c r="AC497" s="14" t="b">
        <v>1</v>
      </c>
      <c r="AD497" s="15" t="str">
        <f>"801542925697"</f>
        <v>801542925697</v>
      </c>
      <c r="AE497" s="15" t="s">
        <v>5880</v>
      </c>
      <c r="AF497" s="14" t="s">
        <v>404</v>
      </c>
      <c r="AG497" s="14" t="s">
        <v>405</v>
      </c>
      <c r="AH497" s="14" t="s">
        <v>406</v>
      </c>
      <c r="AI497" s="15">
        <v>0.0</v>
      </c>
      <c r="AL497" s="15" t="s">
        <v>5868</v>
      </c>
      <c r="AM497" s="15" t="s">
        <v>5857</v>
      </c>
      <c r="AN497" s="15" t="s">
        <v>5858</v>
      </c>
      <c r="AO497" s="15" t="s">
        <v>5837</v>
      </c>
      <c r="AP497" s="15" t="s">
        <v>4297</v>
      </c>
      <c r="AQ497" s="15" t="s">
        <v>5838</v>
      </c>
      <c r="AR497" s="15" t="s">
        <v>3032</v>
      </c>
      <c r="AS497" s="15" t="s">
        <v>837</v>
      </c>
      <c r="AT497" s="15" t="s">
        <v>5875</v>
      </c>
      <c r="AU497" s="15" t="s">
        <v>1850</v>
      </c>
      <c r="AW497" s="15" t="s">
        <v>839</v>
      </c>
      <c r="AX497" s="15" t="s">
        <v>828</v>
      </c>
      <c r="AY497" s="15" t="s">
        <v>413</v>
      </c>
      <c r="AZ497" s="15" t="b">
        <v>0</v>
      </c>
      <c r="BA497" s="15" t="s">
        <v>413</v>
      </c>
      <c r="BB497" s="15" t="b">
        <v>0</v>
      </c>
      <c r="BC497" s="15" t="s">
        <v>5869</v>
      </c>
      <c r="BD497" s="15" t="s">
        <v>742</v>
      </c>
      <c r="BE497" s="15" t="str">
        <f t="shared" si="898"/>
        <v>3</v>
      </c>
      <c r="BF497" s="15" t="s">
        <v>5840</v>
      </c>
      <c r="BG497" s="15" t="str">
        <f t="shared" si="899"/>
        <v>82.28</v>
      </c>
      <c r="BH497" s="15" t="s">
        <v>5841</v>
      </c>
      <c r="BI497" s="15" t="str">
        <f>"8.07"</f>
        <v>8.07</v>
      </c>
      <c r="BJ497" s="15" t="s">
        <v>849</v>
      </c>
      <c r="BK497" s="15" t="str">
        <f t="shared" si="900"/>
        <v>12.01</v>
      </c>
      <c r="BL497" s="15" t="s">
        <v>844</v>
      </c>
      <c r="BM497" s="15" t="str">
        <f>"60.63"</f>
        <v>60.63</v>
      </c>
      <c r="BN497" s="15" t="s">
        <v>5859</v>
      </c>
      <c r="BO497" s="15" t="s">
        <v>841</v>
      </c>
      <c r="BP497" s="15" t="str">
        <f>"87.4"</f>
        <v>87.4</v>
      </c>
      <c r="BQ497" s="15" t="s">
        <v>1032</v>
      </c>
      <c r="BR497" s="15" t="str">
        <f t="shared" si="901"/>
        <v>12.4</v>
      </c>
      <c r="BS497" s="15" t="s">
        <v>5845</v>
      </c>
      <c r="BT497" s="15" t="str">
        <f t="shared" si="902"/>
        <v>40.94</v>
      </c>
      <c r="BU497" s="15" t="s">
        <v>648</v>
      </c>
      <c r="BV497" s="15" t="str">
        <f>"101.41"</f>
        <v>101.41</v>
      </c>
      <c r="BW497" s="15" t="s">
        <v>5860</v>
      </c>
      <c r="BX497" s="15" t="s">
        <v>5846</v>
      </c>
      <c r="BY497" s="15" t="str">
        <f>"86.22"</f>
        <v>86.22</v>
      </c>
      <c r="BZ497" s="15" t="s">
        <v>5861</v>
      </c>
      <c r="CA497" s="15" t="str">
        <f t="shared" si="903"/>
        <v>6.89</v>
      </c>
      <c r="CB497" s="15" t="s">
        <v>5842</v>
      </c>
      <c r="CC497" s="15" t="str">
        <f t="shared" si="904"/>
        <v>12.4</v>
      </c>
      <c r="CD497" s="15" t="s">
        <v>5845</v>
      </c>
      <c r="CE497" s="15" t="str">
        <f>"69.45"</f>
        <v>69.45</v>
      </c>
      <c r="CF497" s="15" t="s">
        <v>5862</v>
      </c>
      <c r="CI497" s="15" t="s">
        <v>444</v>
      </c>
      <c r="CK497" s="15" t="s">
        <v>444</v>
      </c>
      <c r="CM497" s="15" t="s">
        <v>444</v>
      </c>
      <c r="CO497" s="15" t="s">
        <v>444</v>
      </c>
      <c r="CP497" s="15" t="str">
        <f>"34.57"</f>
        <v>34.57</v>
      </c>
      <c r="CQ497" s="15" t="str">
        <f>"0.979"</f>
        <v>0.979</v>
      </c>
      <c r="CR497" s="15" t="s">
        <v>465</v>
      </c>
      <c r="DC497" s="15" t="str">
        <f>IFERROR(__xludf.DUMMYFUNCTION("""COMPUTED_VALUE"""),"")</f>
        <v/>
      </c>
      <c r="DE497" s="15" t="str">
        <f>IFERROR(__xludf.DUMMYFUNCTION("""COMPUTED_VALUE"""),"")</f>
        <v/>
      </c>
      <c r="DG497" s="15" t="str">
        <f>IFERROR(__xludf.DUMMYFUNCTION("""COMPUTED_VALUE"""),"")</f>
        <v/>
      </c>
      <c r="DK497" s="15" t="s">
        <v>718</v>
      </c>
      <c r="DL497" s="15" t="str">
        <f>IFERROR(__xludf.DUMMYFUNCTION("""COMPUTED_VALUE"""),"Vacuum or light brush only. Do not use water or any cleaning products.")</f>
        <v>Vacuum or light brush only. Do not use water or any cleaning products.</v>
      </c>
      <c r="DM497" s="15" t="s">
        <v>719</v>
      </c>
      <c r="DN497" s="15" t="s">
        <v>419</v>
      </c>
      <c r="DO497" s="15">
        <v>0.0</v>
      </c>
      <c r="DP497" s="15" t="s">
        <v>419</v>
      </c>
      <c r="DR497" s="15">
        <v>0.0</v>
      </c>
      <c r="DT497" s="15" t="s">
        <v>989</v>
      </c>
      <c r="DU497" s="15" t="s">
        <v>419</v>
      </c>
      <c r="DW497" s="15">
        <v>0.0</v>
      </c>
      <c r="DX497" s="15">
        <v>0.0</v>
      </c>
      <c r="DY497" s="15">
        <v>0.0</v>
      </c>
      <c r="DZ497" s="15">
        <v>30000.0</v>
      </c>
      <c r="EG497" s="15" t="s">
        <v>444</v>
      </c>
      <c r="EH497" s="15" t="s">
        <v>5848</v>
      </c>
      <c r="EJ497" s="15" t="s">
        <v>858</v>
      </c>
      <c r="EK497" s="15" t="s">
        <v>859</v>
      </c>
      <c r="EM497" s="15" t="str">
        <f>IFERROR(__xludf.DUMMYFUNCTION("""COMPUTED_VALUE"""),"")</f>
        <v/>
      </c>
      <c r="FF497" s="15" t="s">
        <v>860</v>
      </c>
      <c r="FM497" s="15">
        <v>0.0</v>
      </c>
      <c r="IM497" s="15" t="s">
        <v>2050</v>
      </c>
      <c r="IN497" s="15" t="s">
        <v>2050</v>
      </c>
      <c r="IO497" s="15" t="s">
        <v>2050</v>
      </c>
      <c r="IP497" s="15" t="s">
        <v>729</v>
      </c>
      <c r="IQ497" s="15" t="s">
        <v>526</v>
      </c>
      <c r="IR497" s="15" t="s">
        <v>5863</v>
      </c>
      <c r="IS497" s="15" t="s">
        <v>5850</v>
      </c>
      <c r="IT497" s="15" t="s">
        <v>670</v>
      </c>
      <c r="IU497" s="15" t="s">
        <v>5864</v>
      </c>
      <c r="IV497" s="15" t="s">
        <v>2971</v>
      </c>
      <c r="IW497" s="15" t="s">
        <v>1957</v>
      </c>
      <c r="IX497" s="15" t="s">
        <v>4384</v>
      </c>
      <c r="IY497" s="15" t="s">
        <v>5481</v>
      </c>
      <c r="IZ497" s="15" t="s">
        <v>2971</v>
      </c>
      <c r="JA497" s="15" t="s">
        <v>526</v>
      </c>
      <c r="JB497" s="15" t="s">
        <v>426</v>
      </c>
      <c r="JC497" s="15" t="s">
        <v>947</v>
      </c>
      <c r="JD497" s="15" t="s">
        <v>872</v>
      </c>
      <c r="JE497" s="15" t="s">
        <v>873</v>
      </c>
      <c r="JF497" s="15" t="s">
        <v>828</v>
      </c>
      <c r="JL497" s="15" t="s">
        <v>759</v>
      </c>
      <c r="JM497" s="15" t="s">
        <v>4493</v>
      </c>
      <c r="JN497" s="15" t="s">
        <v>759</v>
      </c>
      <c r="JO497" s="15" t="s">
        <v>426</v>
      </c>
      <c r="JP497" s="15" t="s">
        <v>875</v>
      </c>
    </row>
    <row r="498" ht="15.75" customHeight="1">
      <c r="A498" s="14" t="s">
        <v>391</v>
      </c>
      <c r="B498" s="15" t="s">
        <v>5881</v>
      </c>
      <c r="C498" s="16"/>
      <c r="D498" s="15" t="s">
        <v>432</v>
      </c>
      <c r="G498" s="14" t="s">
        <v>393</v>
      </c>
      <c r="H498" s="14" t="s">
        <v>394</v>
      </c>
      <c r="I498" s="14" t="b">
        <v>1</v>
      </c>
      <c r="J498" s="14" t="s">
        <v>395</v>
      </c>
      <c r="L498" s="14" t="b">
        <v>0</v>
      </c>
      <c r="M498" s="15" t="s">
        <v>5882</v>
      </c>
      <c r="N498" s="14" t="s">
        <v>393</v>
      </c>
      <c r="O498" s="14" t="s">
        <v>393</v>
      </c>
      <c r="P498" s="15" t="s">
        <v>397</v>
      </c>
      <c r="Q498" s="15" t="s">
        <v>5883</v>
      </c>
      <c r="T498" s="14" t="b">
        <v>0</v>
      </c>
      <c r="U498" s="15" t="s">
        <v>5884</v>
      </c>
      <c r="V498" s="15" t="s">
        <v>1220</v>
      </c>
      <c r="W498" s="15" t="s">
        <v>401</v>
      </c>
      <c r="X498" s="15" t="s">
        <v>695</v>
      </c>
      <c r="Y498" s="15">
        <v>1482.0</v>
      </c>
      <c r="AA498" s="15" t="str">
        <f>"570"</f>
        <v>570</v>
      </c>
      <c r="AB498" s="14" t="b">
        <v>1</v>
      </c>
      <c r="AC498" s="14" t="b">
        <v>1</v>
      </c>
      <c r="AD498" s="15" t="str">
        <f>"801542192457"</f>
        <v>801542192457</v>
      </c>
      <c r="AE498" s="15" t="s">
        <v>5885</v>
      </c>
      <c r="AF498" s="14" t="s">
        <v>404</v>
      </c>
      <c r="AG498" s="14" t="s">
        <v>405</v>
      </c>
      <c r="AH498" s="14" t="s">
        <v>406</v>
      </c>
      <c r="AI498" s="15">
        <v>0.0</v>
      </c>
      <c r="AL498" s="15" t="s">
        <v>1830</v>
      </c>
      <c r="AM498" s="15" t="s">
        <v>3830</v>
      </c>
      <c r="AN498" s="15" t="s">
        <v>3831</v>
      </c>
      <c r="AO498" s="15" t="s">
        <v>645</v>
      </c>
      <c r="AP498" s="15" t="s">
        <v>646</v>
      </c>
      <c r="AQ498" s="15" t="s">
        <v>2012</v>
      </c>
      <c r="AR498" s="15" t="s">
        <v>2013</v>
      </c>
      <c r="AS498" s="15" t="s">
        <v>1317</v>
      </c>
      <c r="AT498" s="15" t="s">
        <v>5883</v>
      </c>
      <c r="AU498" s="15" t="s">
        <v>1318</v>
      </c>
      <c r="AW498" s="15" t="s">
        <v>706</v>
      </c>
      <c r="AX498" s="15" t="s">
        <v>707</v>
      </c>
      <c r="AY498" s="15" t="s">
        <v>413</v>
      </c>
      <c r="AZ498" s="15" t="b">
        <v>0</v>
      </c>
      <c r="BA498" s="15" t="s">
        <v>426</v>
      </c>
      <c r="BB498" s="15" t="b">
        <v>1</v>
      </c>
      <c r="BD498" s="15" t="s">
        <v>709</v>
      </c>
      <c r="BE498" s="15" t="str">
        <f t="shared" ref="BE498:BE527" si="905">"1"</f>
        <v>1</v>
      </c>
      <c r="BF498" s="15" t="s">
        <v>416</v>
      </c>
      <c r="BG498" s="15" t="str">
        <f>"44.88"</f>
        <v>44.88</v>
      </c>
      <c r="BH498" s="15" t="s">
        <v>3445</v>
      </c>
      <c r="BI498" s="15" t="str">
        <f>"37.01"</f>
        <v>37.01</v>
      </c>
      <c r="BJ498" s="15" t="s">
        <v>1990</v>
      </c>
      <c r="BK498" s="15" t="str">
        <f>"31.5"</f>
        <v>31.5</v>
      </c>
      <c r="BL498" s="15" t="s">
        <v>1322</v>
      </c>
      <c r="BM498" s="15" t="str">
        <f>"97"</f>
        <v>97</v>
      </c>
      <c r="BN498" s="15" t="s">
        <v>5886</v>
      </c>
      <c r="BQ498" s="15" t="s">
        <v>444</v>
      </c>
      <c r="BS498" s="15" t="s">
        <v>444</v>
      </c>
      <c r="BU498" s="15" t="s">
        <v>444</v>
      </c>
      <c r="BW498" s="15" t="s">
        <v>444</v>
      </c>
      <c r="BZ498" s="15" t="s">
        <v>444</v>
      </c>
      <c r="CB498" s="15" t="s">
        <v>444</v>
      </c>
      <c r="CD498" s="15" t="s">
        <v>444</v>
      </c>
      <c r="CF498" s="15" t="s">
        <v>444</v>
      </c>
      <c r="CI498" s="15" t="s">
        <v>444</v>
      </c>
      <c r="CK498" s="15" t="s">
        <v>444</v>
      </c>
      <c r="CM498" s="15" t="s">
        <v>444</v>
      </c>
      <c r="CO498" s="15" t="s">
        <v>444</v>
      </c>
      <c r="CP498" s="15" t="str">
        <f>"30.26"</f>
        <v>30.26</v>
      </c>
      <c r="CQ498" s="15" t="str">
        <f>"0.857"</f>
        <v>0.857</v>
      </c>
      <c r="CR498" s="15" t="s">
        <v>417</v>
      </c>
      <c r="DB498" s="15" t="s">
        <v>2384</v>
      </c>
      <c r="DC498" s="15" t="str">
        <f>IFERROR(__xludf.DUMMYFUNCTION("""COMPUTED_VALUE"""),"{""value"":24.50,""unit"":""in""}")</f>
        <v>{"value":24.50,"unit":"in"}</v>
      </c>
      <c r="DD498" s="15" t="s">
        <v>1804</v>
      </c>
      <c r="DE498" s="15" t="str">
        <f>IFERROR(__xludf.DUMMYFUNCTION("""COMPUTED_VALUE"""),"{""value"":17.50,""unit"":""in""}")</f>
        <v>{"value":17.50,"unit":"in"}</v>
      </c>
      <c r="DG498" s="15" t="str">
        <f>IFERROR(__xludf.DUMMYFUNCTION("""COMPUTED_VALUE"""),"")</f>
        <v/>
      </c>
      <c r="DH498" s="15">
        <v>0.0</v>
      </c>
      <c r="DI498" s="15">
        <v>1.0</v>
      </c>
      <c r="DJ498" s="15" t="s">
        <v>717</v>
      </c>
      <c r="DK498" s="15" t="s">
        <v>855</v>
      </c>
      <c r="DL498" s="15" t="str">
        <f>IFERROR(__xludf.DUMMYFUNCTION("""COMPUTED_VALUE"""),"Clean with solvent-based (dry clean only) products. Do not use water.")</f>
        <v>Clean with solvent-based (dry clean only) products. Do not use water.</v>
      </c>
      <c r="DM498" s="15" t="s">
        <v>856</v>
      </c>
      <c r="DT498" s="15" t="s">
        <v>721</v>
      </c>
      <c r="DU498" s="15" t="s">
        <v>419</v>
      </c>
      <c r="DV498" s="15">
        <v>0.0</v>
      </c>
      <c r="DZ498" s="15">
        <v>25000.0</v>
      </c>
      <c r="EA498" s="15" t="s">
        <v>990</v>
      </c>
      <c r="EB498" s="15" t="s">
        <v>1016</v>
      </c>
      <c r="ED498" s="15">
        <v>1.0</v>
      </c>
      <c r="EE498" s="15">
        <v>1.0</v>
      </c>
      <c r="EG498" s="15" t="s">
        <v>444</v>
      </c>
      <c r="EH498" s="15" t="s">
        <v>5887</v>
      </c>
      <c r="EI498" s="15">
        <v>0.0</v>
      </c>
      <c r="EJ498" s="15" t="s">
        <v>726</v>
      </c>
      <c r="EK498" s="15" t="s">
        <v>727</v>
      </c>
      <c r="EL498" s="15" t="s">
        <v>1330</v>
      </c>
      <c r="EM498" s="15" t="str">
        <f>IFERROR(__xludf.DUMMYFUNCTION("""COMPUTED_VALUE"""),"{""value"":28.50,""unit"":""in""}")</f>
        <v>{"value":28.50,"unit":"in"}</v>
      </c>
      <c r="EN498" s="15" t="s">
        <v>1576</v>
      </c>
      <c r="EO498" s="15" t="s">
        <v>1065</v>
      </c>
      <c r="ES498" s="15" t="s">
        <v>531</v>
      </c>
      <c r="EW498" s="15" t="s">
        <v>1327</v>
      </c>
      <c r="EX498" s="15" t="s">
        <v>2292</v>
      </c>
      <c r="EY498" s="15" t="s">
        <v>1880</v>
      </c>
      <c r="EZ498" s="15" t="s">
        <v>1576</v>
      </c>
      <c r="FC498" s="15" t="s">
        <v>1016</v>
      </c>
      <c r="FF498" s="15" t="s">
        <v>860</v>
      </c>
      <c r="FO498" s="15" t="s">
        <v>467</v>
      </c>
      <c r="FP498" s="15" t="s">
        <v>2599</v>
      </c>
      <c r="FQ498" s="15">
        <v>0.0</v>
      </c>
      <c r="FR498" s="15">
        <v>0.0</v>
      </c>
      <c r="FT498" s="15">
        <v>0.0</v>
      </c>
    </row>
    <row r="499" ht="15.75" customHeight="1">
      <c r="A499" s="14" t="s">
        <v>391</v>
      </c>
      <c r="B499" s="15" t="s">
        <v>5888</v>
      </c>
      <c r="C499" s="16"/>
      <c r="D499" s="15" t="s">
        <v>432</v>
      </c>
      <c r="G499" s="14" t="s">
        <v>393</v>
      </c>
      <c r="H499" s="14" t="s">
        <v>394</v>
      </c>
      <c r="I499" s="14" t="b">
        <v>1</v>
      </c>
      <c r="J499" s="14" t="s">
        <v>395</v>
      </c>
      <c r="L499" s="14" t="b">
        <v>0</v>
      </c>
      <c r="M499" s="15" t="s">
        <v>5889</v>
      </c>
      <c r="N499" s="14" t="s">
        <v>393</v>
      </c>
      <c r="O499" s="14" t="s">
        <v>393</v>
      </c>
      <c r="P499" s="15" t="s">
        <v>397</v>
      </c>
      <c r="Q499" s="15" t="s">
        <v>5890</v>
      </c>
      <c r="T499" s="14" t="b">
        <v>0</v>
      </c>
      <c r="U499" s="15" t="s">
        <v>5891</v>
      </c>
      <c r="V499" s="15" t="s">
        <v>4206</v>
      </c>
      <c r="W499" s="15" t="s">
        <v>401</v>
      </c>
      <c r="X499" s="15" t="s">
        <v>742</v>
      </c>
      <c r="Y499" s="15">
        <v>663.0</v>
      </c>
      <c r="AA499" s="15" t="str">
        <f>"255"</f>
        <v>255</v>
      </c>
      <c r="AB499" s="14" t="b">
        <v>1</v>
      </c>
      <c r="AC499" s="14" t="b">
        <v>1</v>
      </c>
      <c r="AD499" s="15" t="str">
        <f>"801542094225"</f>
        <v>801542094225</v>
      </c>
      <c r="AE499" s="15" t="s">
        <v>5892</v>
      </c>
      <c r="AF499" s="14" t="s">
        <v>404</v>
      </c>
      <c r="AG499" s="14" t="s">
        <v>405</v>
      </c>
      <c r="AH499" s="14" t="s">
        <v>406</v>
      </c>
      <c r="AI499" s="15">
        <v>0.0</v>
      </c>
      <c r="AL499" s="15" t="s">
        <v>2689</v>
      </c>
      <c r="AM499" s="15" t="s">
        <v>2956</v>
      </c>
      <c r="AN499" s="15" t="s">
        <v>2957</v>
      </c>
      <c r="AO499" s="15" t="s">
        <v>2703</v>
      </c>
      <c r="AP499" s="15" t="s">
        <v>2704</v>
      </c>
      <c r="AQ499" s="15" t="s">
        <v>2059</v>
      </c>
      <c r="AR499" s="15" t="s">
        <v>2060</v>
      </c>
      <c r="AS499" s="15" t="s">
        <v>4544</v>
      </c>
      <c r="AT499" s="15" t="s">
        <v>5890</v>
      </c>
      <c r="AW499" s="15" t="s">
        <v>602</v>
      </c>
      <c r="AY499" s="15" t="s">
        <v>413</v>
      </c>
      <c r="AZ499" s="15" t="b">
        <v>0</v>
      </c>
      <c r="BA499" s="15" t="s">
        <v>413</v>
      </c>
      <c r="BB499" s="15" t="b">
        <v>0</v>
      </c>
      <c r="BD499" s="15" t="s">
        <v>742</v>
      </c>
      <c r="BE499" s="15" t="str">
        <f t="shared" si="905"/>
        <v>1</v>
      </c>
      <c r="BF499" s="15" t="s">
        <v>416</v>
      </c>
      <c r="BG499" s="15" t="str">
        <f>"51.57"</f>
        <v>51.57</v>
      </c>
      <c r="BH499" s="15" t="s">
        <v>567</v>
      </c>
      <c r="BI499" s="15" t="str">
        <f>"20.67"</f>
        <v>20.67</v>
      </c>
      <c r="BJ499" s="15" t="s">
        <v>5893</v>
      </c>
      <c r="BK499" s="15" t="str">
        <f>"28.74"</f>
        <v>28.74</v>
      </c>
      <c r="BL499" s="15" t="s">
        <v>2113</v>
      </c>
      <c r="BM499" s="15" t="str">
        <f>"77.16"</f>
        <v>77.16</v>
      </c>
      <c r="BN499" s="15" t="s">
        <v>3001</v>
      </c>
      <c r="BQ499" s="15" t="s">
        <v>444</v>
      </c>
      <c r="BS499" s="15" t="s">
        <v>444</v>
      </c>
      <c r="BU499" s="15" t="s">
        <v>444</v>
      </c>
      <c r="BW499" s="15" t="s">
        <v>444</v>
      </c>
      <c r="BZ499" s="15" t="s">
        <v>444</v>
      </c>
      <c r="CB499" s="15" t="s">
        <v>444</v>
      </c>
      <c r="CD499" s="15" t="s">
        <v>444</v>
      </c>
      <c r="CF499" s="15" t="s">
        <v>444</v>
      </c>
      <c r="CI499" s="15" t="s">
        <v>444</v>
      </c>
      <c r="CK499" s="15" t="s">
        <v>444</v>
      </c>
      <c r="CM499" s="15" t="s">
        <v>444</v>
      </c>
      <c r="CO499" s="15" t="s">
        <v>444</v>
      </c>
      <c r="CP499" s="15" t="str">
        <f>"17.73"</f>
        <v>17.73</v>
      </c>
      <c r="CQ499" s="15" t="str">
        <f>"0.502"</f>
        <v>0.502</v>
      </c>
      <c r="CR499" s="15" t="s">
        <v>417</v>
      </c>
      <c r="CV499" s="15" t="s">
        <v>2159</v>
      </c>
      <c r="CW499" s="15" t="s">
        <v>2165</v>
      </c>
      <c r="CX499" s="15" t="s">
        <v>3857</v>
      </c>
      <c r="DC499" s="15" t="str">
        <f>IFERROR(__xludf.DUMMYFUNCTION("""COMPUTED_VALUE"""),"")</f>
        <v/>
      </c>
      <c r="DE499" s="15" t="str">
        <f>IFERROR(__xludf.DUMMYFUNCTION("""COMPUTED_VALUE"""),"")</f>
        <v/>
      </c>
      <c r="DG499" s="15" t="str">
        <f>IFERROR(__xludf.DUMMYFUNCTION("""COMPUTED_VALUE"""),"")</f>
        <v/>
      </c>
      <c r="DL499" s="15" t="str">
        <f>IFERROR(__xludf.DUMMYFUNCTION("""COMPUTED_VALUE"""),"")</f>
        <v/>
      </c>
      <c r="DM499" s="15" t="s">
        <v>444</v>
      </c>
      <c r="DN499" s="15" t="s">
        <v>419</v>
      </c>
      <c r="DO499" s="15">
        <v>3.0</v>
      </c>
      <c r="DP499" s="15" t="s">
        <v>419</v>
      </c>
      <c r="DR499" s="15">
        <v>0.0</v>
      </c>
      <c r="DT499" s="15" t="s">
        <v>1509</v>
      </c>
      <c r="DW499" s="15">
        <v>40.0</v>
      </c>
      <c r="DX499" s="15">
        <v>88.18</v>
      </c>
      <c r="DY499" s="15">
        <v>3.0</v>
      </c>
      <c r="EG499" s="15" t="s">
        <v>444</v>
      </c>
      <c r="EH499" s="15" t="s">
        <v>5894</v>
      </c>
      <c r="EK499" s="15" t="s">
        <v>444</v>
      </c>
      <c r="EM499" s="15" t="str">
        <f>IFERROR(__xludf.DUMMYFUNCTION("""COMPUTED_VALUE"""),"")</f>
        <v/>
      </c>
      <c r="EW499" s="15" t="s">
        <v>759</v>
      </c>
      <c r="FM499" s="15">
        <v>3.0</v>
      </c>
      <c r="FY499" s="15" t="s">
        <v>2165</v>
      </c>
      <c r="FZ499" s="15" t="s">
        <v>3099</v>
      </c>
      <c r="GA499" s="15" t="s">
        <v>3857</v>
      </c>
      <c r="GB499" s="15" t="s">
        <v>2159</v>
      </c>
      <c r="GC499" s="15" t="s">
        <v>2046</v>
      </c>
      <c r="GD499" s="15" t="s">
        <v>3857</v>
      </c>
      <c r="GG499" s="15" t="s">
        <v>785</v>
      </c>
      <c r="GH499" s="15">
        <v>2.0</v>
      </c>
      <c r="GI499" s="15" t="s">
        <v>614</v>
      </c>
      <c r="GJ499" s="15" t="s">
        <v>786</v>
      </c>
      <c r="GL499" s="15" t="s">
        <v>426</v>
      </c>
      <c r="GN499" s="15" t="s">
        <v>616</v>
      </c>
      <c r="GQ499" s="15" t="s">
        <v>4470</v>
      </c>
      <c r="GS499" s="15" t="s">
        <v>1132</v>
      </c>
      <c r="GU499" s="15" t="s">
        <v>2221</v>
      </c>
      <c r="GY499" s="15" t="s">
        <v>420</v>
      </c>
      <c r="HA499" s="15" t="s">
        <v>2179</v>
      </c>
      <c r="HB499" s="15" t="s">
        <v>862</v>
      </c>
      <c r="HC499" s="15" t="s">
        <v>779</v>
      </c>
      <c r="HD499" s="15">
        <v>0.0</v>
      </c>
      <c r="HQ499" s="15" t="s">
        <v>2159</v>
      </c>
      <c r="HS499" s="15" t="s">
        <v>2165</v>
      </c>
      <c r="HU499" s="15" t="s">
        <v>3857</v>
      </c>
      <c r="ID499" s="15" t="s">
        <v>2179</v>
      </c>
      <c r="IE499" s="15" t="s">
        <v>2046</v>
      </c>
      <c r="IF499" s="15" t="s">
        <v>779</v>
      </c>
    </row>
    <row r="500" ht="15.75" customHeight="1">
      <c r="A500" s="14" t="s">
        <v>391</v>
      </c>
      <c r="B500" s="15" t="s">
        <v>5895</v>
      </c>
      <c r="C500" s="16"/>
      <c r="D500" s="15" t="s">
        <v>432</v>
      </c>
      <c r="G500" s="14" t="s">
        <v>393</v>
      </c>
      <c r="H500" s="14" t="s">
        <v>394</v>
      </c>
      <c r="I500" s="14" t="b">
        <v>1</v>
      </c>
      <c r="J500" s="14" t="s">
        <v>395</v>
      </c>
      <c r="L500" s="14" t="b">
        <v>0</v>
      </c>
      <c r="M500" s="15" t="s">
        <v>5896</v>
      </c>
      <c r="N500" s="14" t="s">
        <v>393</v>
      </c>
      <c r="O500" s="14" t="s">
        <v>393</v>
      </c>
      <c r="P500" s="15" t="s">
        <v>397</v>
      </c>
      <c r="Q500" s="15" t="s">
        <v>3638</v>
      </c>
      <c r="T500" s="14" t="b">
        <v>0</v>
      </c>
      <c r="U500" s="15" t="s">
        <v>5897</v>
      </c>
      <c r="V500" s="15" t="s">
        <v>5898</v>
      </c>
      <c r="W500" s="15" t="s">
        <v>401</v>
      </c>
      <c r="X500" s="15" t="s">
        <v>742</v>
      </c>
      <c r="Y500" s="15">
        <v>1755.0</v>
      </c>
      <c r="AA500" s="15" t="str">
        <f t="shared" ref="AA500:AA501" si="906">"675"</f>
        <v>675</v>
      </c>
      <c r="AB500" s="14" t="b">
        <v>1</v>
      </c>
      <c r="AC500" s="14" t="b">
        <v>1</v>
      </c>
      <c r="AD500" s="15" t="str">
        <f>"801542964207"</f>
        <v>801542964207</v>
      </c>
      <c r="AE500" s="15" t="s">
        <v>5899</v>
      </c>
      <c r="AF500" s="14" t="s">
        <v>404</v>
      </c>
      <c r="AG500" s="14" t="s">
        <v>405</v>
      </c>
      <c r="AH500" s="14" t="s">
        <v>406</v>
      </c>
      <c r="AI500" s="15">
        <v>0.0</v>
      </c>
      <c r="AL500" s="15" t="s">
        <v>1025</v>
      </c>
      <c r="AM500" s="15" t="s">
        <v>1224</v>
      </c>
      <c r="AN500" s="15" t="s">
        <v>1225</v>
      </c>
      <c r="AO500" s="15" t="s">
        <v>645</v>
      </c>
      <c r="AP500" s="15" t="s">
        <v>646</v>
      </c>
      <c r="AQ500" s="15" t="s">
        <v>3702</v>
      </c>
      <c r="AR500" s="15" t="s">
        <v>3703</v>
      </c>
      <c r="AS500" s="15" t="s">
        <v>1896</v>
      </c>
      <c r="AT500" s="15" t="s">
        <v>3638</v>
      </c>
      <c r="AW500" s="15" t="s">
        <v>491</v>
      </c>
      <c r="AY500" s="15" t="s">
        <v>413</v>
      </c>
      <c r="AZ500" s="15" t="b">
        <v>0</v>
      </c>
      <c r="BA500" s="15" t="s">
        <v>413</v>
      </c>
      <c r="BB500" s="15" t="b">
        <v>0</v>
      </c>
      <c r="BD500" s="15" t="s">
        <v>742</v>
      </c>
      <c r="BE500" s="15" t="str">
        <f t="shared" si="905"/>
        <v>1</v>
      </c>
      <c r="BF500" s="15" t="s">
        <v>5900</v>
      </c>
      <c r="BG500" s="15" t="str">
        <f t="shared" ref="BG500:BG501" si="907">"69.69"</f>
        <v>69.69</v>
      </c>
      <c r="BH500" s="15" t="s">
        <v>4211</v>
      </c>
      <c r="BI500" s="15" t="str">
        <f t="shared" ref="BI500:BI501" si="908">"39.17"</f>
        <v>39.17</v>
      </c>
      <c r="BJ500" s="15" t="s">
        <v>1105</v>
      </c>
      <c r="BK500" s="15" t="str">
        <f t="shared" ref="BK500:BK501" si="909">"10.04"</f>
        <v>10.04</v>
      </c>
      <c r="BL500" s="15" t="s">
        <v>5901</v>
      </c>
      <c r="BM500" s="15" t="str">
        <f t="shared" ref="BM500:BM501" si="910">"144.4"</f>
        <v>144.4</v>
      </c>
      <c r="BN500" s="15" t="s">
        <v>5902</v>
      </c>
      <c r="BQ500" s="15" t="s">
        <v>444</v>
      </c>
      <c r="BS500" s="15" t="s">
        <v>444</v>
      </c>
      <c r="BU500" s="15" t="s">
        <v>444</v>
      </c>
      <c r="BW500" s="15" t="s">
        <v>444</v>
      </c>
      <c r="BZ500" s="15" t="s">
        <v>444</v>
      </c>
      <c r="CB500" s="15" t="s">
        <v>444</v>
      </c>
      <c r="CD500" s="15" t="s">
        <v>444</v>
      </c>
      <c r="CF500" s="15" t="s">
        <v>444</v>
      </c>
      <c r="CI500" s="15" t="s">
        <v>444</v>
      </c>
      <c r="CK500" s="15" t="s">
        <v>444</v>
      </c>
      <c r="CM500" s="15" t="s">
        <v>444</v>
      </c>
      <c r="CO500" s="15" t="s">
        <v>444</v>
      </c>
      <c r="CP500" s="15" t="str">
        <f t="shared" ref="CP500:CP501" si="911">"15.86"</f>
        <v>15.86</v>
      </c>
      <c r="CQ500" s="15" t="str">
        <f t="shared" ref="CQ500:CQ501" si="912">"0.449"</f>
        <v>0.449</v>
      </c>
      <c r="CR500" s="15" t="s">
        <v>465</v>
      </c>
      <c r="DC500" s="15" t="str">
        <f>IFERROR(__xludf.DUMMYFUNCTION("""COMPUTED_VALUE"""),"")</f>
        <v/>
      </c>
      <c r="DE500" s="15" t="str">
        <f>IFERROR(__xludf.DUMMYFUNCTION("""COMPUTED_VALUE"""),"")</f>
        <v/>
      </c>
      <c r="DG500" s="15" t="str">
        <f>IFERROR(__xludf.DUMMYFUNCTION("""COMPUTED_VALUE"""),"")</f>
        <v/>
      </c>
      <c r="DL500" s="15" t="str">
        <f>IFERROR(__xludf.DUMMYFUNCTION("""COMPUTED_VALUE"""),"")</f>
        <v/>
      </c>
      <c r="DM500" s="15" t="s">
        <v>444</v>
      </c>
      <c r="DN500" s="15" t="s">
        <v>419</v>
      </c>
      <c r="DO500" s="15">
        <v>0.0</v>
      </c>
      <c r="DP500" s="15" t="s">
        <v>419</v>
      </c>
      <c r="DR500" s="15">
        <v>0.0</v>
      </c>
      <c r="DT500" s="15" t="s">
        <v>1186</v>
      </c>
      <c r="DU500" s="15" t="s">
        <v>419</v>
      </c>
      <c r="DY500" s="15">
        <v>0.0</v>
      </c>
      <c r="EF500" s="15" t="s">
        <v>471</v>
      </c>
      <c r="EG500" s="15" t="s">
        <v>472</v>
      </c>
      <c r="EH500" s="15" t="s">
        <v>5903</v>
      </c>
      <c r="EJ500" s="15" t="s">
        <v>500</v>
      </c>
      <c r="EK500" s="15" t="s">
        <v>501</v>
      </c>
      <c r="EM500" s="15" t="str">
        <f>IFERROR(__xludf.DUMMYFUNCTION("""COMPUTED_VALUE"""),"")</f>
        <v/>
      </c>
      <c r="EW500" s="15" t="s">
        <v>866</v>
      </c>
      <c r="EY500" s="15" t="s">
        <v>5904</v>
      </c>
      <c r="FH500" s="15" t="s">
        <v>5905</v>
      </c>
      <c r="FI500" s="15" t="s">
        <v>2156</v>
      </c>
      <c r="FJ500" s="15" t="s">
        <v>4685</v>
      </c>
      <c r="FK500" s="15" t="s">
        <v>4685</v>
      </c>
      <c r="FL500" s="15" t="s">
        <v>426</v>
      </c>
      <c r="FM500" s="15">
        <v>0.0</v>
      </c>
      <c r="FN500" s="15">
        <v>0.0</v>
      </c>
      <c r="FW500" s="15" t="s">
        <v>531</v>
      </c>
    </row>
    <row r="501" ht="15.75" customHeight="1">
      <c r="A501" s="14" t="s">
        <v>391</v>
      </c>
      <c r="B501" s="15" t="s">
        <v>5895</v>
      </c>
      <c r="C501" s="16"/>
      <c r="D501" s="15" t="s">
        <v>432</v>
      </c>
      <c r="G501" s="14" t="s">
        <v>393</v>
      </c>
      <c r="H501" s="14" t="s">
        <v>394</v>
      </c>
      <c r="I501" s="14" t="b">
        <v>1</v>
      </c>
      <c r="J501" s="14" t="s">
        <v>395</v>
      </c>
      <c r="L501" s="14" t="b">
        <v>0</v>
      </c>
      <c r="M501" s="15" t="s">
        <v>5906</v>
      </c>
      <c r="N501" s="14" t="s">
        <v>393</v>
      </c>
      <c r="O501" s="14" t="s">
        <v>393</v>
      </c>
      <c r="P501" s="15" t="s">
        <v>397</v>
      </c>
      <c r="Q501" s="15" t="s">
        <v>4815</v>
      </c>
      <c r="T501" s="14" t="b">
        <v>0</v>
      </c>
      <c r="U501" s="15" t="s">
        <v>5907</v>
      </c>
      <c r="V501" s="15" t="s">
        <v>5898</v>
      </c>
      <c r="W501" s="15" t="s">
        <v>401</v>
      </c>
      <c r="X501" s="15" t="s">
        <v>742</v>
      </c>
      <c r="Y501" s="15">
        <v>1755.0</v>
      </c>
      <c r="AA501" s="15" t="str">
        <f t="shared" si="906"/>
        <v>675</v>
      </c>
      <c r="AB501" s="14" t="b">
        <v>1</v>
      </c>
      <c r="AC501" s="14" t="b">
        <v>1</v>
      </c>
      <c r="AD501" s="15" t="str">
        <f>"801542223694"</f>
        <v>801542223694</v>
      </c>
      <c r="AE501" s="15" t="s">
        <v>5908</v>
      </c>
      <c r="AF501" s="14" t="s">
        <v>404</v>
      </c>
      <c r="AG501" s="14" t="s">
        <v>405</v>
      </c>
      <c r="AH501" s="14" t="s">
        <v>406</v>
      </c>
      <c r="AI501" s="15">
        <v>0.0</v>
      </c>
      <c r="AL501" s="15" t="s">
        <v>1025</v>
      </c>
      <c r="AM501" s="15" t="s">
        <v>1224</v>
      </c>
      <c r="AN501" s="15" t="s">
        <v>1225</v>
      </c>
      <c r="AO501" s="15" t="s">
        <v>645</v>
      </c>
      <c r="AP501" s="15" t="s">
        <v>646</v>
      </c>
      <c r="AQ501" s="15" t="s">
        <v>3702</v>
      </c>
      <c r="AR501" s="15" t="s">
        <v>3703</v>
      </c>
      <c r="AS501" s="15" t="s">
        <v>1896</v>
      </c>
      <c r="AT501" s="15" t="s">
        <v>4815</v>
      </c>
      <c r="AW501" s="15" t="s">
        <v>491</v>
      </c>
      <c r="AY501" s="15" t="s">
        <v>413</v>
      </c>
      <c r="AZ501" s="15" t="b">
        <v>0</v>
      </c>
      <c r="BA501" s="15" t="s">
        <v>413</v>
      </c>
      <c r="BB501" s="15" t="b">
        <v>0</v>
      </c>
      <c r="BC501" s="15" t="s">
        <v>5909</v>
      </c>
      <c r="BD501" s="15" t="s">
        <v>742</v>
      </c>
      <c r="BE501" s="15" t="str">
        <f t="shared" si="905"/>
        <v>1</v>
      </c>
      <c r="BF501" s="15" t="s">
        <v>5900</v>
      </c>
      <c r="BG501" s="15" t="str">
        <f t="shared" si="907"/>
        <v>69.69</v>
      </c>
      <c r="BH501" s="15" t="s">
        <v>4211</v>
      </c>
      <c r="BI501" s="15" t="str">
        <f t="shared" si="908"/>
        <v>39.17</v>
      </c>
      <c r="BJ501" s="15" t="s">
        <v>1105</v>
      </c>
      <c r="BK501" s="15" t="str">
        <f t="shared" si="909"/>
        <v>10.04</v>
      </c>
      <c r="BL501" s="15" t="s">
        <v>5901</v>
      </c>
      <c r="BM501" s="15" t="str">
        <f t="shared" si="910"/>
        <v>144.4</v>
      </c>
      <c r="BN501" s="15" t="s">
        <v>5902</v>
      </c>
      <c r="BQ501" s="15" t="s">
        <v>444</v>
      </c>
      <c r="BS501" s="15" t="s">
        <v>444</v>
      </c>
      <c r="BU501" s="15" t="s">
        <v>444</v>
      </c>
      <c r="BW501" s="15" t="s">
        <v>444</v>
      </c>
      <c r="BZ501" s="15" t="s">
        <v>444</v>
      </c>
      <c r="CB501" s="15" t="s">
        <v>444</v>
      </c>
      <c r="CD501" s="15" t="s">
        <v>444</v>
      </c>
      <c r="CF501" s="15" t="s">
        <v>444</v>
      </c>
      <c r="CI501" s="15" t="s">
        <v>444</v>
      </c>
      <c r="CK501" s="15" t="s">
        <v>444</v>
      </c>
      <c r="CM501" s="15" t="s">
        <v>444</v>
      </c>
      <c r="CO501" s="15" t="s">
        <v>444</v>
      </c>
      <c r="CP501" s="15" t="str">
        <f t="shared" si="911"/>
        <v>15.86</v>
      </c>
      <c r="CQ501" s="15" t="str">
        <f t="shared" si="912"/>
        <v>0.449</v>
      </c>
      <c r="CR501" s="15" t="s">
        <v>465</v>
      </c>
      <c r="DC501" s="15" t="str">
        <f>IFERROR(__xludf.DUMMYFUNCTION("""COMPUTED_VALUE"""),"")</f>
        <v/>
      </c>
      <c r="DE501" s="15" t="str">
        <f>IFERROR(__xludf.DUMMYFUNCTION("""COMPUTED_VALUE"""),"")</f>
        <v/>
      </c>
      <c r="DG501" s="15" t="str">
        <f>IFERROR(__xludf.DUMMYFUNCTION("""COMPUTED_VALUE"""),"")</f>
        <v/>
      </c>
      <c r="DL501" s="15" t="str">
        <f>IFERROR(__xludf.DUMMYFUNCTION("""COMPUTED_VALUE"""),"")</f>
        <v/>
      </c>
      <c r="DM501" s="15" t="s">
        <v>444</v>
      </c>
      <c r="DN501" s="15" t="s">
        <v>419</v>
      </c>
      <c r="DO501" s="15">
        <v>0.0</v>
      </c>
      <c r="DP501" s="15" t="s">
        <v>419</v>
      </c>
      <c r="DR501" s="15">
        <v>0.0</v>
      </c>
      <c r="DT501" s="15" t="s">
        <v>1186</v>
      </c>
      <c r="DU501" s="15" t="s">
        <v>419</v>
      </c>
      <c r="DY501" s="15">
        <v>0.0</v>
      </c>
      <c r="EF501" s="15" t="s">
        <v>471</v>
      </c>
      <c r="EG501" s="15" t="s">
        <v>472</v>
      </c>
      <c r="EH501" s="15" t="s">
        <v>5903</v>
      </c>
      <c r="EJ501" s="15" t="s">
        <v>500</v>
      </c>
      <c r="EK501" s="15" t="s">
        <v>501</v>
      </c>
      <c r="EM501" s="15" t="str">
        <f>IFERROR(__xludf.DUMMYFUNCTION("""COMPUTED_VALUE"""),"")</f>
        <v/>
      </c>
      <c r="EW501" s="15" t="s">
        <v>866</v>
      </c>
      <c r="EY501" s="15" t="s">
        <v>5904</v>
      </c>
      <c r="FH501" s="15" t="s">
        <v>5905</v>
      </c>
      <c r="FI501" s="15" t="s">
        <v>2156</v>
      </c>
      <c r="FJ501" s="15" t="s">
        <v>4685</v>
      </c>
      <c r="FK501" s="15" t="s">
        <v>4685</v>
      </c>
      <c r="FL501" s="15" t="s">
        <v>426</v>
      </c>
      <c r="FM501" s="15">
        <v>0.0</v>
      </c>
      <c r="FN501" s="15">
        <v>0.0</v>
      </c>
      <c r="FW501" s="15" t="s">
        <v>531</v>
      </c>
    </row>
    <row r="502" ht="15.75" customHeight="1">
      <c r="A502" s="14" t="s">
        <v>391</v>
      </c>
      <c r="B502" s="15" t="s">
        <v>5910</v>
      </c>
      <c r="C502" s="16"/>
      <c r="D502" s="15" t="s">
        <v>432</v>
      </c>
      <c r="G502" s="14" t="s">
        <v>393</v>
      </c>
      <c r="H502" s="14" t="s">
        <v>394</v>
      </c>
      <c r="I502" s="14" t="b">
        <v>1</v>
      </c>
      <c r="J502" s="14" t="s">
        <v>395</v>
      </c>
      <c r="L502" s="14" t="b">
        <v>0</v>
      </c>
      <c r="M502" s="15" t="s">
        <v>5911</v>
      </c>
      <c r="N502" s="14" t="s">
        <v>393</v>
      </c>
      <c r="O502" s="14" t="s">
        <v>393</v>
      </c>
      <c r="P502" s="15" t="s">
        <v>397</v>
      </c>
      <c r="Q502" s="15" t="s">
        <v>3638</v>
      </c>
      <c r="T502" s="14" t="b">
        <v>0</v>
      </c>
      <c r="U502" s="15" t="s">
        <v>5912</v>
      </c>
      <c r="V502" s="15" t="s">
        <v>5913</v>
      </c>
      <c r="W502" s="15" t="s">
        <v>401</v>
      </c>
      <c r="X502" s="15" t="s">
        <v>742</v>
      </c>
      <c r="Y502" s="15">
        <v>767.0</v>
      </c>
      <c r="AA502" s="15" t="str">
        <f t="shared" ref="AA502:AA503" si="913">"295"</f>
        <v>295</v>
      </c>
      <c r="AB502" s="14" t="b">
        <v>1</v>
      </c>
      <c r="AC502" s="14" t="b">
        <v>1</v>
      </c>
      <c r="AD502" s="15" t="str">
        <f>"801542964214"</f>
        <v>801542964214</v>
      </c>
      <c r="AE502" s="15" t="s">
        <v>5914</v>
      </c>
      <c r="AF502" s="14" t="s">
        <v>404</v>
      </c>
      <c r="AG502" s="14" t="s">
        <v>405</v>
      </c>
      <c r="AH502" s="14" t="s">
        <v>406</v>
      </c>
      <c r="AI502" s="15">
        <v>0.0</v>
      </c>
      <c r="AL502" s="15" t="s">
        <v>1025</v>
      </c>
      <c r="AM502" s="15" t="s">
        <v>1175</v>
      </c>
      <c r="AN502" s="15" t="s">
        <v>1176</v>
      </c>
      <c r="AO502" s="15" t="s">
        <v>1561</v>
      </c>
      <c r="AP502" s="15" t="s">
        <v>1562</v>
      </c>
      <c r="AQ502" s="15" t="s">
        <v>1007</v>
      </c>
      <c r="AR502" s="15" t="s">
        <v>1008</v>
      </c>
      <c r="AS502" s="15" t="s">
        <v>1896</v>
      </c>
      <c r="AT502" s="15" t="s">
        <v>3638</v>
      </c>
      <c r="AW502" s="15" t="s">
        <v>1154</v>
      </c>
      <c r="AY502" s="15" t="s">
        <v>413</v>
      </c>
      <c r="AZ502" s="15" t="b">
        <v>0</v>
      </c>
      <c r="BA502" s="15" t="s">
        <v>413</v>
      </c>
      <c r="BB502" s="15" t="b">
        <v>0</v>
      </c>
      <c r="BD502" s="15" t="s">
        <v>742</v>
      </c>
      <c r="BE502" s="15" t="str">
        <f t="shared" si="905"/>
        <v>1</v>
      </c>
      <c r="BF502" s="15" t="s">
        <v>5915</v>
      </c>
      <c r="BG502" s="15" t="str">
        <f t="shared" ref="BG502:BG503" si="914">"31.1"</f>
        <v>31.1</v>
      </c>
      <c r="BH502" s="15" t="s">
        <v>1386</v>
      </c>
      <c r="BI502" s="15" t="str">
        <f t="shared" ref="BI502:BI503" si="915">"26.77"</f>
        <v>26.77</v>
      </c>
      <c r="BJ502" s="15" t="s">
        <v>2322</v>
      </c>
      <c r="BK502" s="15" t="str">
        <f t="shared" ref="BK502:BK503" si="916">"12.8"</f>
        <v>12.8</v>
      </c>
      <c r="BL502" s="15" t="s">
        <v>5315</v>
      </c>
      <c r="BM502" s="15" t="str">
        <f t="shared" ref="BM502:BM503" si="917">"60.41"</f>
        <v>60.41</v>
      </c>
      <c r="BN502" s="15" t="s">
        <v>5916</v>
      </c>
      <c r="BQ502" s="15" t="s">
        <v>444</v>
      </c>
      <c r="BS502" s="15" t="s">
        <v>444</v>
      </c>
      <c r="BU502" s="15" t="s">
        <v>444</v>
      </c>
      <c r="BW502" s="15" t="s">
        <v>444</v>
      </c>
      <c r="BZ502" s="15" t="s">
        <v>444</v>
      </c>
      <c r="CB502" s="15" t="s">
        <v>444</v>
      </c>
      <c r="CD502" s="15" t="s">
        <v>444</v>
      </c>
      <c r="CF502" s="15" t="s">
        <v>444</v>
      </c>
      <c r="CI502" s="15" t="s">
        <v>444</v>
      </c>
      <c r="CK502" s="15" t="s">
        <v>444</v>
      </c>
      <c r="CM502" s="15" t="s">
        <v>444</v>
      </c>
      <c r="CO502" s="15" t="s">
        <v>444</v>
      </c>
      <c r="CP502" s="15" t="str">
        <f t="shared" ref="CP502:CP503" si="918">"6.18"</f>
        <v>6.18</v>
      </c>
      <c r="CQ502" s="15" t="str">
        <f t="shared" ref="CQ502:CQ503" si="919">"0.175"</f>
        <v>0.175</v>
      </c>
      <c r="CR502" s="15" t="s">
        <v>417</v>
      </c>
      <c r="DC502" s="15" t="str">
        <f>IFERROR(__xludf.DUMMYFUNCTION("""COMPUTED_VALUE"""),"")</f>
        <v/>
      </c>
      <c r="DE502" s="15" t="str">
        <f>IFERROR(__xludf.DUMMYFUNCTION("""COMPUTED_VALUE"""),"")</f>
        <v/>
      </c>
      <c r="DG502" s="15" t="str">
        <f>IFERROR(__xludf.DUMMYFUNCTION("""COMPUTED_VALUE"""),"")</f>
        <v/>
      </c>
      <c r="DL502" s="15" t="str">
        <f>IFERROR(__xludf.DUMMYFUNCTION("""COMPUTED_VALUE"""),"")</f>
        <v/>
      </c>
      <c r="DM502" s="15" t="s">
        <v>444</v>
      </c>
      <c r="DN502" s="15" t="s">
        <v>419</v>
      </c>
      <c r="DO502" s="15">
        <v>0.0</v>
      </c>
      <c r="DP502" s="15" t="s">
        <v>419</v>
      </c>
      <c r="DR502" s="15">
        <v>0.0</v>
      </c>
      <c r="DT502" s="15" t="s">
        <v>1186</v>
      </c>
      <c r="DU502" s="15" t="s">
        <v>419</v>
      </c>
      <c r="DY502" s="15">
        <v>0.0</v>
      </c>
      <c r="EF502" s="15" t="s">
        <v>471</v>
      </c>
      <c r="EG502" s="15" t="s">
        <v>472</v>
      </c>
      <c r="EH502" s="15" t="s">
        <v>5903</v>
      </c>
      <c r="EJ502" s="15" t="s">
        <v>500</v>
      </c>
      <c r="EK502" s="15" t="s">
        <v>501</v>
      </c>
      <c r="EM502" s="15" t="str">
        <f>IFERROR(__xludf.DUMMYFUNCTION("""COMPUTED_VALUE"""),"")</f>
        <v/>
      </c>
      <c r="EW502" s="15" t="s">
        <v>2051</v>
      </c>
      <c r="EY502" s="15" t="s">
        <v>1592</v>
      </c>
      <c r="FH502" s="15" t="s">
        <v>1484</v>
      </c>
      <c r="FI502" s="15" t="s">
        <v>2648</v>
      </c>
      <c r="FJ502" s="15" t="s">
        <v>4685</v>
      </c>
      <c r="FK502" s="15" t="s">
        <v>4685</v>
      </c>
      <c r="FL502" s="15" t="s">
        <v>426</v>
      </c>
      <c r="FM502" s="15">
        <v>0.0</v>
      </c>
      <c r="FN502" s="15">
        <v>0.0</v>
      </c>
      <c r="FW502" s="15" t="s">
        <v>477</v>
      </c>
    </row>
    <row r="503" ht="15.75" customHeight="1">
      <c r="A503" s="14" t="s">
        <v>391</v>
      </c>
      <c r="B503" s="15" t="s">
        <v>5910</v>
      </c>
      <c r="C503" s="16"/>
      <c r="D503" s="15" t="s">
        <v>432</v>
      </c>
      <c r="G503" s="14" t="s">
        <v>393</v>
      </c>
      <c r="H503" s="14" t="s">
        <v>394</v>
      </c>
      <c r="I503" s="14" t="b">
        <v>1</v>
      </c>
      <c r="J503" s="14" t="s">
        <v>395</v>
      </c>
      <c r="L503" s="14" t="b">
        <v>0</v>
      </c>
      <c r="M503" s="15" t="s">
        <v>5917</v>
      </c>
      <c r="N503" s="14" t="s">
        <v>393</v>
      </c>
      <c r="O503" s="14" t="s">
        <v>393</v>
      </c>
      <c r="P503" s="15" t="s">
        <v>397</v>
      </c>
      <c r="Q503" s="15" t="s">
        <v>4815</v>
      </c>
      <c r="T503" s="14" t="b">
        <v>0</v>
      </c>
      <c r="U503" s="15" t="s">
        <v>5918</v>
      </c>
      <c r="V503" s="15" t="s">
        <v>5913</v>
      </c>
      <c r="W503" s="15" t="s">
        <v>401</v>
      </c>
      <c r="X503" s="15" t="s">
        <v>742</v>
      </c>
      <c r="Y503" s="15">
        <v>767.0</v>
      </c>
      <c r="AA503" s="15" t="str">
        <f t="shared" si="913"/>
        <v>295</v>
      </c>
      <c r="AB503" s="14" t="b">
        <v>1</v>
      </c>
      <c r="AC503" s="14" t="b">
        <v>1</v>
      </c>
      <c r="AD503" s="15" t="str">
        <f>"801542223700"</f>
        <v>801542223700</v>
      </c>
      <c r="AE503" s="15" t="s">
        <v>5919</v>
      </c>
      <c r="AF503" s="14" t="s">
        <v>404</v>
      </c>
      <c r="AG503" s="14" t="s">
        <v>405</v>
      </c>
      <c r="AH503" s="14" t="s">
        <v>406</v>
      </c>
      <c r="AI503" s="15">
        <v>0.0</v>
      </c>
      <c r="AL503" s="15" t="s">
        <v>1025</v>
      </c>
      <c r="AM503" s="15" t="s">
        <v>1175</v>
      </c>
      <c r="AN503" s="15" t="s">
        <v>1176</v>
      </c>
      <c r="AO503" s="15" t="s">
        <v>1561</v>
      </c>
      <c r="AP503" s="15" t="s">
        <v>1562</v>
      </c>
      <c r="AQ503" s="15" t="s">
        <v>1007</v>
      </c>
      <c r="AR503" s="15" t="s">
        <v>1008</v>
      </c>
      <c r="AS503" s="15" t="s">
        <v>1896</v>
      </c>
      <c r="AT503" s="15" t="s">
        <v>4815</v>
      </c>
      <c r="AW503" s="15" t="s">
        <v>1154</v>
      </c>
      <c r="AY503" s="15" t="s">
        <v>413</v>
      </c>
      <c r="AZ503" s="15" t="b">
        <v>0</v>
      </c>
      <c r="BA503" s="15" t="s">
        <v>413</v>
      </c>
      <c r="BB503" s="15" t="b">
        <v>0</v>
      </c>
      <c r="BC503" s="15" t="s">
        <v>5920</v>
      </c>
      <c r="BD503" s="15" t="s">
        <v>742</v>
      </c>
      <c r="BE503" s="15" t="str">
        <f t="shared" si="905"/>
        <v>1</v>
      </c>
      <c r="BF503" s="15" t="s">
        <v>5915</v>
      </c>
      <c r="BG503" s="15" t="str">
        <f t="shared" si="914"/>
        <v>31.1</v>
      </c>
      <c r="BH503" s="15" t="s">
        <v>1386</v>
      </c>
      <c r="BI503" s="15" t="str">
        <f t="shared" si="915"/>
        <v>26.77</v>
      </c>
      <c r="BJ503" s="15" t="s">
        <v>2322</v>
      </c>
      <c r="BK503" s="15" t="str">
        <f t="shared" si="916"/>
        <v>12.8</v>
      </c>
      <c r="BL503" s="15" t="s">
        <v>5315</v>
      </c>
      <c r="BM503" s="15" t="str">
        <f t="shared" si="917"/>
        <v>60.41</v>
      </c>
      <c r="BN503" s="15" t="s">
        <v>5916</v>
      </c>
      <c r="BQ503" s="15" t="s">
        <v>444</v>
      </c>
      <c r="BS503" s="15" t="s">
        <v>444</v>
      </c>
      <c r="BU503" s="15" t="s">
        <v>444</v>
      </c>
      <c r="BW503" s="15" t="s">
        <v>444</v>
      </c>
      <c r="BZ503" s="15" t="s">
        <v>444</v>
      </c>
      <c r="CB503" s="15" t="s">
        <v>444</v>
      </c>
      <c r="CD503" s="15" t="s">
        <v>444</v>
      </c>
      <c r="CF503" s="15" t="s">
        <v>444</v>
      </c>
      <c r="CI503" s="15" t="s">
        <v>444</v>
      </c>
      <c r="CK503" s="15" t="s">
        <v>444</v>
      </c>
      <c r="CM503" s="15" t="s">
        <v>444</v>
      </c>
      <c r="CO503" s="15" t="s">
        <v>444</v>
      </c>
      <c r="CP503" s="15" t="str">
        <f t="shared" si="918"/>
        <v>6.18</v>
      </c>
      <c r="CQ503" s="15" t="str">
        <f t="shared" si="919"/>
        <v>0.175</v>
      </c>
      <c r="CR503" s="15" t="s">
        <v>417</v>
      </c>
      <c r="DC503" s="15" t="str">
        <f>IFERROR(__xludf.DUMMYFUNCTION("""COMPUTED_VALUE"""),"")</f>
        <v/>
      </c>
      <c r="DE503" s="15" t="str">
        <f>IFERROR(__xludf.DUMMYFUNCTION("""COMPUTED_VALUE"""),"")</f>
        <v/>
      </c>
      <c r="DG503" s="15" t="str">
        <f>IFERROR(__xludf.DUMMYFUNCTION("""COMPUTED_VALUE"""),"")</f>
        <v/>
      </c>
      <c r="DL503" s="15" t="str">
        <f>IFERROR(__xludf.DUMMYFUNCTION("""COMPUTED_VALUE"""),"")</f>
        <v/>
      </c>
      <c r="DM503" s="15" t="s">
        <v>444</v>
      </c>
      <c r="DN503" s="15" t="s">
        <v>419</v>
      </c>
      <c r="DO503" s="15">
        <v>0.0</v>
      </c>
      <c r="DP503" s="15" t="s">
        <v>419</v>
      </c>
      <c r="DR503" s="15">
        <v>0.0</v>
      </c>
      <c r="DT503" s="15" t="s">
        <v>1186</v>
      </c>
      <c r="DU503" s="15" t="s">
        <v>419</v>
      </c>
      <c r="DY503" s="15">
        <v>0.0</v>
      </c>
      <c r="EF503" s="15" t="s">
        <v>471</v>
      </c>
      <c r="EG503" s="15" t="s">
        <v>472</v>
      </c>
      <c r="EH503" s="15" t="s">
        <v>5903</v>
      </c>
      <c r="EJ503" s="15" t="s">
        <v>500</v>
      </c>
      <c r="EK503" s="15" t="s">
        <v>501</v>
      </c>
      <c r="EM503" s="15" t="str">
        <f>IFERROR(__xludf.DUMMYFUNCTION("""COMPUTED_VALUE"""),"")</f>
        <v/>
      </c>
      <c r="EW503" s="15" t="s">
        <v>2051</v>
      </c>
      <c r="EY503" s="15" t="s">
        <v>1592</v>
      </c>
      <c r="FH503" s="15" t="s">
        <v>1484</v>
      </c>
      <c r="FI503" s="15" t="s">
        <v>2648</v>
      </c>
      <c r="FJ503" s="15" t="s">
        <v>4685</v>
      </c>
      <c r="FK503" s="15" t="s">
        <v>4685</v>
      </c>
      <c r="FL503" s="15" t="s">
        <v>426</v>
      </c>
      <c r="FM503" s="15">
        <v>0.0</v>
      </c>
      <c r="FN503" s="15">
        <v>0.0</v>
      </c>
      <c r="FW503" s="15" t="s">
        <v>477</v>
      </c>
    </row>
    <row r="504" ht="15.75" customHeight="1">
      <c r="A504" s="14" t="s">
        <v>391</v>
      </c>
      <c r="B504" s="15" t="s">
        <v>5921</v>
      </c>
      <c r="C504" s="16"/>
      <c r="D504" s="15" t="s">
        <v>432</v>
      </c>
      <c r="G504" s="14" t="s">
        <v>393</v>
      </c>
      <c r="H504" s="14" t="s">
        <v>394</v>
      </c>
      <c r="I504" s="14" t="b">
        <v>1</v>
      </c>
      <c r="J504" s="14" t="s">
        <v>395</v>
      </c>
      <c r="L504" s="14" t="b">
        <v>0</v>
      </c>
      <c r="M504" s="15" t="s">
        <v>5922</v>
      </c>
      <c r="N504" s="14" t="s">
        <v>393</v>
      </c>
      <c r="O504" s="14" t="s">
        <v>393</v>
      </c>
      <c r="P504" s="15" t="s">
        <v>397</v>
      </c>
      <c r="Q504" s="15" t="s">
        <v>5923</v>
      </c>
      <c r="T504" s="14" t="b">
        <v>0</v>
      </c>
      <c r="U504" s="15" t="s">
        <v>5924</v>
      </c>
      <c r="V504" s="15" t="s">
        <v>5925</v>
      </c>
      <c r="W504" s="15" t="s">
        <v>401</v>
      </c>
      <c r="X504" s="15" t="s">
        <v>402</v>
      </c>
      <c r="Y504" s="15">
        <v>2080.0</v>
      </c>
      <c r="AA504" s="15" t="str">
        <f>"800"</f>
        <v>800</v>
      </c>
      <c r="AB504" s="14" t="b">
        <v>1</v>
      </c>
      <c r="AC504" s="14" t="b">
        <v>1</v>
      </c>
      <c r="AD504" s="15" t="str">
        <f>"801542190927"</f>
        <v>801542190927</v>
      </c>
      <c r="AE504" s="15" t="s">
        <v>5926</v>
      </c>
      <c r="AF504" s="14" t="s">
        <v>404</v>
      </c>
      <c r="AG504" s="14" t="s">
        <v>405</v>
      </c>
      <c r="AH504" s="14" t="s">
        <v>406</v>
      </c>
      <c r="AI504" s="15">
        <v>0.0</v>
      </c>
      <c r="AL504" s="15" t="s">
        <v>5927</v>
      </c>
      <c r="AM504" s="15" t="s">
        <v>452</v>
      </c>
      <c r="AN504" s="15" t="s">
        <v>453</v>
      </c>
      <c r="AO504" s="15" t="s">
        <v>600</v>
      </c>
      <c r="AP504" s="15" t="s">
        <v>601</v>
      </c>
      <c r="AQ504" s="15" t="s">
        <v>4939</v>
      </c>
      <c r="AR504" s="15" t="s">
        <v>4940</v>
      </c>
      <c r="AS504" s="15" t="s">
        <v>4463</v>
      </c>
      <c r="AT504" s="15" t="s">
        <v>5923</v>
      </c>
      <c r="AU504" s="15" t="s">
        <v>5928</v>
      </c>
      <c r="AW504" s="15" t="s">
        <v>2134</v>
      </c>
      <c r="AX504" s="15" t="s">
        <v>2135</v>
      </c>
      <c r="AY504" s="15" t="s">
        <v>413</v>
      </c>
      <c r="AZ504" s="15" t="b">
        <v>0</v>
      </c>
      <c r="BA504" s="15" t="s">
        <v>413</v>
      </c>
      <c r="BB504" s="15" t="b">
        <v>0</v>
      </c>
      <c r="BC504" s="15" t="s">
        <v>5929</v>
      </c>
      <c r="BD504" s="15" t="s">
        <v>415</v>
      </c>
      <c r="BE504" s="15" t="str">
        <f t="shared" si="905"/>
        <v>1</v>
      </c>
      <c r="BF504" s="15" t="s">
        <v>416</v>
      </c>
      <c r="BG504" s="15" t="str">
        <f>"74.21"</f>
        <v>74.21</v>
      </c>
      <c r="BH504" s="15" t="s">
        <v>5930</v>
      </c>
      <c r="BI504" s="15" t="str">
        <f>"30.91"</f>
        <v>30.91</v>
      </c>
      <c r="BJ504" s="15" t="s">
        <v>3885</v>
      </c>
      <c r="BK504" s="15" t="str">
        <f>"30.51"</f>
        <v>30.51</v>
      </c>
      <c r="BL504" s="15" t="s">
        <v>5931</v>
      </c>
      <c r="BM504" s="15" t="str">
        <f>"177.47"</f>
        <v>177.47</v>
      </c>
      <c r="BN504" s="15" t="s">
        <v>5932</v>
      </c>
      <c r="BQ504" s="15" t="s">
        <v>444</v>
      </c>
      <c r="BS504" s="15" t="s">
        <v>444</v>
      </c>
      <c r="BU504" s="15" t="s">
        <v>444</v>
      </c>
      <c r="BW504" s="15" t="s">
        <v>444</v>
      </c>
      <c r="BZ504" s="15" t="s">
        <v>444</v>
      </c>
      <c r="CB504" s="15" t="s">
        <v>444</v>
      </c>
      <c r="CD504" s="15" t="s">
        <v>444</v>
      </c>
      <c r="CF504" s="15" t="s">
        <v>444</v>
      </c>
      <c r="CI504" s="15" t="s">
        <v>444</v>
      </c>
      <c r="CK504" s="15" t="s">
        <v>444</v>
      </c>
      <c r="CM504" s="15" t="s">
        <v>444</v>
      </c>
      <c r="CO504" s="15" t="s">
        <v>444</v>
      </c>
      <c r="CP504" s="15" t="str">
        <f>"40.51"</f>
        <v>40.51</v>
      </c>
      <c r="CQ504" s="15" t="str">
        <f>"1.147"</f>
        <v>1.147</v>
      </c>
      <c r="CR504" s="15" t="s">
        <v>417</v>
      </c>
      <c r="CV504" s="15" t="s">
        <v>1068</v>
      </c>
      <c r="CW504" s="15" t="s">
        <v>3129</v>
      </c>
      <c r="CX504" s="15" t="s">
        <v>1460</v>
      </c>
      <c r="DC504" s="15" t="str">
        <f>IFERROR(__xludf.DUMMYFUNCTION("""COMPUTED_VALUE"""),"")</f>
        <v/>
      </c>
      <c r="DE504" s="15" t="str">
        <f>IFERROR(__xludf.DUMMYFUNCTION("""COMPUTED_VALUE"""),"")</f>
        <v/>
      </c>
      <c r="DG504" s="15" t="str">
        <f>IFERROR(__xludf.DUMMYFUNCTION("""COMPUTED_VALUE"""),"")</f>
        <v/>
      </c>
      <c r="DL504" s="15" t="str">
        <f>IFERROR(__xludf.DUMMYFUNCTION("""COMPUTED_VALUE"""),"")</f>
        <v/>
      </c>
      <c r="DM504" s="15" t="s">
        <v>444</v>
      </c>
      <c r="DN504" s="15" t="s">
        <v>2600</v>
      </c>
      <c r="DO504" s="15">
        <v>5.0</v>
      </c>
      <c r="DP504" s="15" t="s">
        <v>2601</v>
      </c>
      <c r="DR504" s="15">
        <v>0.0</v>
      </c>
      <c r="DT504" s="15" t="s">
        <v>764</v>
      </c>
      <c r="DU504" s="15" t="s">
        <v>610</v>
      </c>
      <c r="DY504" s="15">
        <v>1.0</v>
      </c>
      <c r="EF504" s="15" t="s">
        <v>2137</v>
      </c>
      <c r="EG504" s="15" t="s">
        <v>2138</v>
      </c>
      <c r="EH504" s="15" t="s">
        <v>5933</v>
      </c>
      <c r="EJ504" s="15" t="s">
        <v>500</v>
      </c>
      <c r="EK504" s="15" t="s">
        <v>501</v>
      </c>
      <c r="EM504" s="15" t="str">
        <f>IFERROR(__xludf.DUMMYFUNCTION("""COMPUTED_VALUE"""),"")</f>
        <v/>
      </c>
      <c r="EW504" s="15" t="s">
        <v>5481</v>
      </c>
      <c r="EX504" s="15" t="s">
        <v>3955</v>
      </c>
      <c r="EY504" s="15" t="s">
        <v>607</v>
      </c>
      <c r="FH504" s="15" t="s">
        <v>1957</v>
      </c>
      <c r="FI504" s="15" t="s">
        <v>5481</v>
      </c>
      <c r="FJ504" s="15" t="s">
        <v>1957</v>
      </c>
      <c r="FK504" s="15" t="s">
        <v>2046</v>
      </c>
      <c r="FL504" s="15" t="s">
        <v>426</v>
      </c>
      <c r="FM504" s="15">
        <v>1.0</v>
      </c>
      <c r="FV504" s="15" t="s">
        <v>1283</v>
      </c>
      <c r="GB504" s="15" t="s">
        <v>3129</v>
      </c>
      <c r="GC504" s="15" t="s">
        <v>2046</v>
      </c>
      <c r="GD504" s="15" t="s">
        <v>1460</v>
      </c>
      <c r="GF504" s="15" t="s">
        <v>426</v>
      </c>
      <c r="GG504" s="15" t="s">
        <v>785</v>
      </c>
      <c r="GH504" s="15">
        <v>1.0</v>
      </c>
      <c r="GI504" s="15" t="s">
        <v>614</v>
      </c>
      <c r="GJ504" s="15" t="s">
        <v>615</v>
      </c>
      <c r="GL504" s="15" t="s">
        <v>426</v>
      </c>
      <c r="GN504" s="15" t="s">
        <v>616</v>
      </c>
      <c r="GQ504" s="15" t="s">
        <v>2598</v>
      </c>
      <c r="GR504" s="15" t="s">
        <v>2598</v>
      </c>
      <c r="GS504" s="15" t="s">
        <v>4376</v>
      </c>
      <c r="GT504" s="15" t="s">
        <v>4376</v>
      </c>
      <c r="GU504" s="15" t="s">
        <v>1070</v>
      </c>
      <c r="GV504" s="15" t="s">
        <v>3659</v>
      </c>
      <c r="GW504" s="15" t="s">
        <v>2604</v>
      </c>
      <c r="GY504" s="15" t="s">
        <v>764</v>
      </c>
      <c r="GZ504" s="15" t="s">
        <v>426</v>
      </c>
      <c r="HD504" s="15">
        <v>1.0</v>
      </c>
      <c r="HX504" s="15" t="s">
        <v>2598</v>
      </c>
      <c r="HY504" s="15" t="s">
        <v>2598</v>
      </c>
      <c r="HZ504" s="15" t="s">
        <v>4553</v>
      </c>
      <c r="IA504" s="15" t="s">
        <v>4181</v>
      </c>
      <c r="IB504" s="15" t="s">
        <v>1070</v>
      </c>
      <c r="IC504" s="15" t="s">
        <v>1070</v>
      </c>
      <c r="IG504" s="15" t="s">
        <v>426</v>
      </c>
    </row>
    <row r="505" ht="15.75" customHeight="1">
      <c r="A505" s="14" t="s">
        <v>391</v>
      </c>
      <c r="B505" s="15" t="s">
        <v>5934</v>
      </c>
      <c r="C505" s="16"/>
      <c r="D505" s="15" t="s">
        <v>432</v>
      </c>
      <c r="G505" s="14" t="s">
        <v>393</v>
      </c>
      <c r="H505" s="14" t="s">
        <v>394</v>
      </c>
      <c r="I505" s="14" t="b">
        <v>1</v>
      </c>
      <c r="J505" s="14" t="s">
        <v>395</v>
      </c>
      <c r="L505" s="14" t="b">
        <v>0</v>
      </c>
      <c r="M505" s="15" t="s">
        <v>5935</v>
      </c>
      <c r="N505" s="14" t="s">
        <v>393</v>
      </c>
      <c r="O505" s="14" t="s">
        <v>393</v>
      </c>
      <c r="P505" s="15" t="s">
        <v>397</v>
      </c>
      <c r="Q505" s="15" t="s">
        <v>5923</v>
      </c>
      <c r="T505" s="14" t="b">
        <v>0</v>
      </c>
      <c r="U505" s="15" t="s">
        <v>5936</v>
      </c>
      <c r="V505" s="15" t="s">
        <v>1926</v>
      </c>
      <c r="W505" s="15" t="s">
        <v>401</v>
      </c>
      <c r="X505" s="15" t="s">
        <v>402</v>
      </c>
      <c r="Y505" s="15">
        <v>1976.0</v>
      </c>
      <c r="AA505" s="15" t="str">
        <f>"760"</f>
        <v>760</v>
      </c>
      <c r="AB505" s="14" t="b">
        <v>1</v>
      </c>
      <c r="AC505" s="14" t="b">
        <v>1</v>
      </c>
      <c r="AD505" s="15" t="str">
        <f>"801542627300"</f>
        <v>801542627300</v>
      </c>
      <c r="AE505" s="15" t="s">
        <v>5937</v>
      </c>
      <c r="AF505" s="14" t="s">
        <v>404</v>
      </c>
      <c r="AG505" s="14" t="s">
        <v>405</v>
      </c>
      <c r="AH505" s="14" t="s">
        <v>406</v>
      </c>
      <c r="AI505" s="15">
        <v>0.0</v>
      </c>
      <c r="AL505" s="15" t="s">
        <v>5927</v>
      </c>
      <c r="AM505" s="15" t="s">
        <v>2757</v>
      </c>
      <c r="AN505" s="15" t="s">
        <v>2758</v>
      </c>
      <c r="AO505" s="15" t="s">
        <v>456</v>
      </c>
      <c r="AP505" s="15" t="s">
        <v>457</v>
      </c>
      <c r="AQ505" s="15" t="s">
        <v>749</v>
      </c>
      <c r="AR505" s="15" t="s">
        <v>750</v>
      </c>
      <c r="AS505" s="15" t="s">
        <v>4463</v>
      </c>
      <c r="AT505" s="15" t="s">
        <v>5923</v>
      </c>
      <c r="AU505" s="15" t="s">
        <v>5928</v>
      </c>
      <c r="AW505" s="15" t="s">
        <v>664</v>
      </c>
      <c r="AY505" s="15" t="s">
        <v>413</v>
      </c>
      <c r="AZ505" s="15" t="b">
        <v>0</v>
      </c>
      <c r="BA505" s="15" t="s">
        <v>413</v>
      </c>
      <c r="BB505" s="15" t="b">
        <v>0</v>
      </c>
      <c r="BC505" s="15" t="s">
        <v>5938</v>
      </c>
      <c r="BD505" s="15" t="s">
        <v>415</v>
      </c>
      <c r="BE505" s="15" t="str">
        <f t="shared" si="905"/>
        <v>1</v>
      </c>
      <c r="BF505" s="15" t="s">
        <v>416</v>
      </c>
      <c r="BG505" s="15" t="str">
        <f>"78.35"</f>
        <v>78.35</v>
      </c>
      <c r="BH505" s="15" t="s">
        <v>4198</v>
      </c>
      <c r="BI505" s="15" t="str">
        <f>"23.62"</f>
        <v>23.62</v>
      </c>
      <c r="BJ505" s="15" t="s">
        <v>1570</v>
      </c>
      <c r="BK505" s="15" t="str">
        <f>"26.77"</f>
        <v>26.77</v>
      </c>
      <c r="BL505" s="15" t="s">
        <v>2322</v>
      </c>
      <c r="BM505" s="15" t="str">
        <f>"165.35"</f>
        <v>165.35</v>
      </c>
      <c r="BN505" s="15" t="s">
        <v>2398</v>
      </c>
      <c r="BQ505" s="15" t="s">
        <v>444</v>
      </c>
      <c r="BS505" s="15" t="s">
        <v>444</v>
      </c>
      <c r="BU505" s="15" t="s">
        <v>444</v>
      </c>
      <c r="BW505" s="15" t="s">
        <v>444</v>
      </c>
      <c r="BZ505" s="15" t="s">
        <v>444</v>
      </c>
      <c r="CB505" s="15" t="s">
        <v>444</v>
      </c>
      <c r="CD505" s="15" t="s">
        <v>444</v>
      </c>
      <c r="CF505" s="15" t="s">
        <v>444</v>
      </c>
      <c r="CI505" s="15" t="s">
        <v>444</v>
      </c>
      <c r="CK505" s="15" t="s">
        <v>444</v>
      </c>
      <c r="CM505" s="15" t="s">
        <v>444</v>
      </c>
      <c r="CO505" s="15" t="s">
        <v>444</v>
      </c>
      <c r="CP505" s="15" t="str">
        <f>"28.68"</f>
        <v>28.68</v>
      </c>
      <c r="CQ505" s="15" t="str">
        <f>"0.812"</f>
        <v>0.812</v>
      </c>
      <c r="CR505" s="15" t="s">
        <v>417</v>
      </c>
      <c r="CV505" s="15" t="s">
        <v>2159</v>
      </c>
      <c r="CW505" s="15" t="s">
        <v>779</v>
      </c>
      <c r="CX505" s="15" t="s">
        <v>5939</v>
      </c>
      <c r="DC505" s="15" t="str">
        <f>IFERROR(__xludf.DUMMYFUNCTION("""COMPUTED_VALUE"""),"")</f>
        <v/>
      </c>
      <c r="DE505" s="15" t="str">
        <f>IFERROR(__xludf.DUMMYFUNCTION("""COMPUTED_VALUE"""),"")</f>
        <v/>
      </c>
      <c r="DG505" s="15" t="str">
        <f>IFERROR(__xludf.DUMMYFUNCTION("""COMPUTED_VALUE"""),"")</f>
        <v/>
      </c>
      <c r="DL505" s="15" t="str">
        <f>IFERROR(__xludf.DUMMYFUNCTION("""COMPUTED_VALUE"""),"")</f>
        <v/>
      </c>
      <c r="DM505" s="15" t="s">
        <v>444</v>
      </c>
      <c r="DN505" s="15" t="s">
        <v>2600</v>
      </c>
      <c r="DO505" s="15">
        <v>3.0</v>
      </c>
      <c r="DP505" s="15" t="s">
        <v>2601</v>
      </c>
      <c r="DR505" s="15">
        <v>0.0</v>
      </c>
      <c r="DT505" s="15" t="s">
        <v>764</v>
      </c>
      <c r="DU505" s="15" t="s">
        <v>610</v>
      </c>
      <c r="DW505" s="15">
        <v>18.14</v>
      </c>
      <c r="DX505" s="15">
        <v>40.0</v>
      </c>
      <c r="DY505" s="15">
        <v>2.0</v>
      </c>
      <c r="EG505" s="15" t="s">
        <v>444</v>
      </c>
      <c r="EH505" s="15" t="s">
        <v>5933</v>
      </c>
      <c r="EJ505" s="15" t="s">
        <v>424</v>
      </c>
      <c r="EK505" s="15" t="s">
        <v>446</v>
      </c>
      <c r="EM505" s="15" t="str">
        <f>IFERROR(__xludf.DUMMYFUNCTION("""COMPUTED_VALUE"""),"")</f>
        <v/>
      </c>
      <c r="EW505" s="15" t="s">
        <v>2974</v>
      </c>
      <c r="FL505" s="15" t="s">
        <v>426</v>
      </c>
      <c r="FM505" s="15">
        <v>2.0</v>
      </c>
      <c r="FY505" s="15" t="s">
        <v>779</v>
      </c>
      <c r="FZ505" s="15" t="s">
        <v>2046</v>
      </c>
      <c r="GA505" s="15" t="s">
        <v>716</v>
      </c>
      <c r="GB505" s="15" t="s">
        <v>2159</v>
      </c>
      <c r="GC505" s="15" t="s">
        <v>2046</v>
      </c>
      <c r="GD505" s="15" t="s">
        <v>5939</v>
      </c>
      <c r="GE505" s="15">
        <v>0.0</v>
      </c>
      <c r="GF505" s="15" t="s">
        <v>426</v>
      </c>
      <c r="GG505" s="15" t="s">
        <v>785</v>
      </c>
      <c r="GH505" s="15">
        <v>3.0</v>
      </c>
      <c r="GI505" s="15" t="s">
        <v>614</v>
      </c>
      <c r="GJ505" s="15" t="s">
        <v>615</v>
      </c>
      <c r="GK505" s="15">
        <v>0.0</v>
      </c>
      <c r="GL505" s="15" t="s">
        <v>426</v>
      </c>
      <c r="GN505" s="15" t="s">
        <v>616</v>
      </c>
      <c r="GQ505" s="15" t="s">
        <v>5940</v>
      </c>
      <c r="GR505" s="15" t="s">
        <v>5940</v>
      </c>
      <c r="GS505" s="15" t="s">
        <v>1444</v>
      </c>
      <c r="GT505" s="15" t="s">
        <v>5941</v>
      </c>
      <c r="GU505" s="15" t="s">
        <v>2178</v>
      </c>
      <c r="GV505" s="15" t="s">
        <v>2178</v>
      </c>
      <c r="GW505" s="15" t="s">
        <v>2604</v>
      </c>
      <c r="GY505" s="15" t="s">
        <v>764</v>
      </c>
      <c r="GZ505" s="15" t="s">
        <v>426</v>
      </c>
      <c r="HA505" s="15" t="s">
        <v>2159</v>
      </c>
      <c r="HB505" s="15" t="s">
        <v>779</v>
      </c>
      <c r="HC505" s="15" t="s">
        <v>1070</v>
      </c>
      <c r="ID505" s="15" t="s">
        <v>2159</v>
      </c>
      <c r="IE505" s="15" t="s">
        <v>2046</v>
      </c>
      <c r="IF505" s="15" t="s">
        <v>1070</v>
      </c>
    </row>
    <row r="506" ht="15.75" customHeight="1">
      <c r="A506" s="14" t="s">
        <v>391</v>
      </c>
      <c r="B506" s="15" t="s">
        <v>5942</v>
      </c>
      <c r="C506" s="16"/>
      <c r="D506" s="15" t="s">
        <v>432</v>
      </c>
      <c r="G506" s="14" t="s">
        <v>393</v>
      </c>
      <c r="H506" s="14" t="s">
        <v>394</v>
      </c>
      <c r="I506" s="14" t="b">
        <v>1</v>
      </c>
      <c r="J506" s="14" t="s">
        <v>395</v>
      </c>
      <c r="L506" s="14" t="b">
        <v>0</v>
      </c>
      <c r="M506" s="15" t="s">
        <v>5943</v>
      </c>
      <c r="N506" s="14" t="s">
        <v>393</v>
      </c>
      <c r="O506" s="14" t="s">
        <v>393</v>
      </c>
      <c r="P506" s="15" t="s">
        <v>397</v>
      </c>
      <c r="Q506" s="15" t="s">
        <v>5944</v>
      </c>
      <c r="T506" s="14" t="b">
        <v>0</v>
      </c>
      <c r="U506" s="15" t="s">
        <v>5945</v>
      </c>
      <c r="V506" s="15" t="s">
        <v>5946</v>
      </c>
      <c r="W506" s="15" t="s">
        <v>401</v>
      </c>
      <c r="X506" s="15" t="s">
        <v>742</v>
      </c>
      <c r="Y506" s="15">
        <v>936.0</v>
      </c>
      <c r="AA506" s="15" t="str">
        <f>"360"</f>
        <v>360</v>
      </c>
      <c r="AB506" s="14" t="b">
        <v>1</v>
      </c>
      <c r="AC506" s="14" t="b">
        <v>1</v>
      </c>
      <c r="AD506" s="15" t="str">
        <f>"801542313135"</f>
        <v>801542313135</v>
      </c>
      <c r="AE506" s="15" t="s">
        <v>5947</v>
      </c>
      <c r="AF506" s="14" t="s">
        <v>404</v>
      </c>
      <c r="AG506" s="14" t="s">
        <v>405</v>
      </c>
      <c r="AH506" s="14" t="s">
        <v>406</v>
      </c>
      <c r="AI506" s="15">
        <v>0.0</v>
      </c>
      <c r="AL506" s="15" t="s">
        <v>975</v>
      </c>
      <c r="AM506" s="15" t="s">
        <v>1470</v>
      </c>
      <c r="AN506" s="15" t="s">
        <v>1471</v>
      </c>
      <c r="AO506" s="15" t="s">
        <v>546</v>
      </c>
      <c r="AP506" s="15" t="s">
        <v>547</v>
      </c>
      <c r="AQ506" s="15" t="s">
        <v>1274</v>
      </c>
      <c r="AR506" s="15" t="s">
        <v>1275</v>
      </c>
      <c r="AS506" s="15" t="s">
        <v>3901</v>
      </c>
      <c r="AT506" s="15" t="s">
        <v>5944</v>
      </c>
      <c r="AU506" s="15" t="s">
        <v>5948</v>
      </c>
      <c r="AW506" s="15" t="s">
        <v>706</v>
      </c>
      <c r="AX506" s="15" t="s">
        <v>707</v>
      </c>
      <c r="AY506" s="15" t="s">
        <v>413</v>
      </c>
      <c r="AZ506" s="15" t="b">
        <v>0</v>
      </c>
      <c r="BA506" s="15" t="s">
        <v>413</v>
      </c>
      <c r="BB506" s="15" t="b">
        <v>0</v>
      </c>
      <c r="BC506" s="15" t="s">
        <v>5949</v>
      </c>
      <c r="BD506" s="15" t="s">
        <v>742</v>
      </c>
      <c r="BE506" s="15" t="str">
        <f t="shared" si="905"/>
        <v>1</v>
      </c>
      <c r="BF506" s="15" t="s">
        <v>1494</v>
      </c>
      <c r="BG506" s="15" t="str">
        <f>"27.56"</f>
        <v>27.56</v>
      </c>
      <c r="BH506" s="15" t="s">
        <v>1780</v>
      </c>
      <c r="BI506" s="15" t="str">
        <f>"32.68"</f>
        <v>32.68</v>
      </c>
      <c r="BJ506" s="15" t="s">
        <v>2066</v>
      </c>
      <c r="BK506" s="15" t="str">
        <f>"33.46"</f>
        <v>33.46</v>
      </c>
      <c r="BL506" s="15" t="s">
        <v>1109</v>
      </c>
      <c r="BM506" s="15" t="str">
        <f>"48.5"</f>
        <v>48.5</v>
      </c>
      <c r="BN506" s="15" t="s">
        <v>3578</v>
      </c>
      <c r="BQ506" s="15" t="s">
        <v>444</v>
      </c>
      <c r="BS506" s="15" t="s">
        <v>444</v>
      </c>
      <c r="BU506" s="15" t="s">
        <v>444</v>
      </c>
      <c r="BW506" s="15" t="s">
        <v>444</v>
      </c>
      <c r="BZ506" s="15" t="s">
        <v>444</v>
      </c>
      <c r="CB506" s="15" t="s">
        <v>444</v>
      </c>
      <c r="CD506" s="15" t="s">
        <v>444</v>
      </c>
      <c r="CF506" s="15" t="s">
        <v>444</v>
      </c>
      <c r="CI506" s="15" t="s">
        <v>444</v>
      </c>
      <c r="CK506" s="15" t="s">
        <v>444</v>
      </c>
      <c r="CM506" s="15" t="s">
        <v>444</v>
      </c>
      <c r="CO506" s="15" t="s">
        <v>444</v>
      </c>
      <c r="CP506" s="15" t="str">
        <f>"14.41"</f>
        <v>14.41</v>
      </c>
      <c r="CQ506" s="15" t="str">
        <f>"0.408"</f>
        <v>0.408</v>
      </c>
      <c r="CR506" s="15" t="s">
        <v>417</v>
      </c>
      <c r="DB506" s="15" t="s">
        <v>5950</v>
      </c>
      <c r="DC506" s="15" t="str">
        <f>IFERROR(__xludf.DUMMYFUNCTION("""COMPUTED_VALUE"""),"{""value"":21.46,""unit"":""in""}")</f>
        <v>{"value":21.46,"unit":"in"}</v>
      </c>
      <c r="DD506" s="15" t="s">
        <v>607</v>
      </c>
      <c r="DE506" s="15" t="str">
        <f>IFERROR(__xludf.DUMMYFUNCTION("""COMPUTED_VALUE"""),"{""value"":17.13,""unit"":""in""}")</f>
        <v>{"value":17.13,"unit":"in"}</v>
      </c>
      <c r="DG506" s="15" t="str">
        <f>IFERROR(__xludf.DUMMYFUNCTION("""COMPUTED_VALUE"""),"")</f>
        <v/>
      </c>
      <c r="DH506" s="15">
        <v>0.0</v>
      </c>
      <c r="DI506" s="15">
        <v>0.0</v>
      </c>
      <c r="DJ506" s="15" t="s">
        <v>469</v>
      </c>
      <c r="DK506" s="15" t="s">
        <v>718</v>
      </c>
      <c r="DL506" s="15" t="str">
        <f>IFERROR(__xludf.DUMMYFUNCTION("""COMPUTED_VALUE"""),"Vacuum or light brush only. Do not use water or any cleaning products.")</f>
        <v>Vacuum or light brush only. Do not use water or any cleaning products.</v>
      </c>
      <c r="DM506" s="15" t="s">
        <v>719</v>
      </c>
      <c r="DT506" s="15" t="s">
        <v>721</v>
      </c>
      <c r="DU506" s="15" t="s">
        <v>419</v>
      </c>
      <c r="DV506" s="15">
        <v>0.0</v>
      </c>
      <c r="DZ506" s="15">
        <v>0.0</v>
      </c>
      <c r="EA506" s="15" t="s">
        <v>990</v>
      </c>
      <c r="EB506" s="15" t="s">
        <v>1016</v>
      </c>
      <c r="EC506" s="15" t="s">
        <v>724</v>
      </c>
      <c r="ED506" s="15">
        <v>1.0</v>
      </c>
      <c r="EE506" s="15">
        <v>1.0</v>
      </c>
      <c r="EG506" s="15" t="s">
        <v>444</v>
      </c>
      <c r="EH506" s="15" t="s">
        <v>5951</v>
      </c>
      <c r="EI506" s="15">
        <v>0.0</v>
      </c>
      <c r="EJ506" s="15" t="s">
        <v>726</v>
      </c>
      <c r="EK506" s="15" t="s">
        <v>727</v>
      </c>
      <c r="EM506" s="15" t="str">
        <f>IFERROR(__xludf.DUMMYFUNCTION("""COMPUTED_VALUE"""),"")</f>
        <v/>
      </c>
      <c r="EW506" s="15" t="s">
        <v>1254</v>
      </c>
      <c r="EX506" s="15" t="s">
        <v>5952</v>
      </c>
      <c r="EY506" s="15" t="s">
        <v>1074</v>
      </c>
      <c r="EZ506" s="15" t="s">
        <v>5953</v>
      </c>
      <c r="FF506" s="15" t="s">
        <v>860</v>
      </c>
      <c r="FL506" s="15" t="s">
        <v>426</v>
      </c>
      <c r="FO506" s="15" t="s">
        <v>1324</v>
      </c>
      <c r="FP506" s="15" t="s">
        <v>1074</v>
      </c>
      <c r="FQ506" s="15">
        <v>0.0</v>
      </c>
      <c r="FR506" s="15">
        <v>0.0</v>
      </c>
      <c r="FT506" s="15">
        <v>0.0</v>
      </c>
    </row>
    <row r="507" ht="15.75" customHeight="1">
      <c r="A507" s="14" t="s">
        <v>391</v>
      </c>
      <c r="B507" s="15" t="s">
        <v>5954</v>
      </c>
      <c r="C507" s="16"/>
      <c r="D507" s="15" t="s">
        <v>432</v>
      </c>
      <c r="G507" s="14" t="s">
        <v>393</v>
      </c>
      <c r="H507" s="14" t="s">
        <v>394</v>
      </c>
      <c r="I507" s="14" t="b">
        <v>1</v>
      </c>
      <c r="J507" s="14" t="s">
        <v>395</v>
      </c>
      <c r="L507" s="14" t="b">
        <v>0</v>
      </c>
      <c r="M507" s="15" t="s">
        <v>5955</v>
      </c>
      <c r="N507" s="14" t="s">
        <v>393</v>
      </c>
      <c r="O507" s="14" t="s">
        <v>393</v>
      </c>
      <c r="P507" s="15" t="s">
        <v>397</v>
      </c>
      <c r="Q507" s="15" t="s">
        <v>5956</v>
      </c>
      <c r="T507" s="14" t="b">
        <v>0</v>
      </c>
      <c r="U507" s="15" t="s">
        <v>5957</v>
      </c>
      <c r="V507" s="15" t="s">
        <v>5958</v>
      </c>
      <c r="W507" s="15" t="s">
        <v>401</v>
      </c>
      <c r="X507" s="15" t="s">
        <v>742</v>
      </c>
      <c r="Y507" s="15">
        <v>5460.0</v>
      </c>
      <c r="AA507" s="15" t="str">
        <f>"2100"</f>
        <v>2100</v>
      </c>
      <c r="AB507" s="14" t="b">
        <v>1</v>
      </c>
      <c r="AC507" s="14" t="b">
        <v>1</v>
      </c>
      <c r="AD507" s="15" t="str">
        <f>"801542374679"</f>
        <v>801542374679</v>
      </c>
      <c r="AE507" s="15" t="s">
        <v>5959</v>
      </c>
      <c r="AF507" s="14" t="s">
        <v>404</v>
      </c>
      <c r="AG507" s="14" t="s">
        <v>405</v>
      </c>
      <c r="AH507" s="14" t="s">
        <v>406</v>
      </c>
      <c r="AI507" s="15">
        <v>0.0</v>
      </c>
      <c r="AL507" s="15" t="s">
        <v>5960</v>
      </c>
      <c r="AM507" s="15" t="s">
        <v>5961</v>
      </c>
      <c r="AN507" s="15" t="s">
        <v>5962</v>
      </c>
      <c r="AO507" s="15" t="s">
        <v>456</v>
      </c>
      <c r="AP507" s="15" t="s">
        <v>457</v>
      </c>
      <c r="AQ507" s="15" t="s">
        <v>4036</v>
      </c>
      <c r="AR507" s="15" t="s">
        <v>2544</v>
      </c>
      <c r="AS507" s="15" t="s">
        <v>5963</v>
      </c>
      <c r="AT507" s="15" t="s">
        <v>5956</v>
      </c>
      <c r="AU507" s="15" t="s">
        <v>5964</v>
      </c>
      <c r="AV507" s="15" t="s">
        <v>5965</v>
      </c>
      <c r="AW507" s="15" t="s">
        <v>664</v>
      </c>
      <c r="AY507" s="15" t="s">
        <v>413</v>
      </c>
      <c r="AZ507" s="15" t="b">
        <v>0</v>
      </c>
      <c r="BA507" s="15" t="s">
        <v>413</v>
      </c>
      <c r="BB507" s="15" t="b">
        <v>0</v>
      </c>
      <c r="BC507" s="15" t="s">
        <v>5966</v>
      </c>
      <c r="BD507" s="15" t="s">
        <v>742</v>
      </c>
      <c r="BE507" s="15" t="str">
        <f t="shared" si="905"/>
        <v>1</v>
      </c>
      <c r="BF507" s="15" t="s">
        <v>416</v>
      </c>
      <c r="BG507" s="15" t="str">
        <f>"128"</f>
        <v>128</v>
      </c>
      <c r="BH507" s="15" t="s">
        <v>5967</v>
      </c>
      <c r="BI507" s="15" t="str">
        <f>"24.75"</f>
        <v>24.75</v>
      </c>
      <c r="BJ507" s="15" t="s">
        <v>4406</v>
      </c>
      <c r="BK507" s="15" t="str">
        <f>"43"</f>
        <v>43</v>
      </c>
      <c r="BL507" s="15" t="s">
        <v>545</v>
      </c>
      <c r="BM507" s="15" t="str">
        <f>"513.68"</f>
        <v>513.68</v>
      </c>
      <c r="BN507" s="15" t="s">
        <v>5968</v>
      </c>
      <c r="BQ507" s="15" t="s">
        <v>444</v>
      </c>
      <c r="BS507" s="15" t="s">
        <v>444</v>
      </c>
      <c r="BU507" s="15" t="s">
        <v>444</v>
      </c>
      <c r="BW507" s="15" t="s">
        <v>444</v>
      </c>
      <c r="BZ507" s="15" t="s">
        <v>444</v>
      </c>
      <c r="CB507" s="15" t="s">
        <v>444</v>
      </c>
      <c r="CD507" s="15" t="s">
        <v>444</v>
      </c>
      <c r="CF507" s="15" t="s">
        <v>444</v>
      </c>
      <c r="CI507" s="15" t="s">
        <v>444</v>
      </c>
      <c r="CK507" s="15" t="s">
        <v>444</v>
      </c>
      <c r="CM507" s="15" t="s">
        <v>444</v>
      </c>
      <c r="CO507" s="15" t="s">
        <v>444</v>
      </c>
      <c r="CP507" s="15" t="str">
        <f>"78.82"</f>
        <v>78.82</v>
      </c>
      <c r="CQ507" s="15" t="str">
        <f>"2.232"</f>
        <v>2.232</v>
      </c>
      <c r="CR507" s="15" t="s">
        <v>417</v>
      </c>
      <c r="CV507" s="15" t="s">
        <v>2143</v>
      </c>
      <c r="CW507" s="15" t="s">
        <v>5969</v>
      </c>
      <c r="CX507" s="15" t="s">
        <v>5970</v>
      </c>
      <c r="DC507" s="15" t="str">
        <f>IFERROR(__xludf.DUMMYFUNCTION("""COMPUTED_VALUE"""),"")</f>
        <v/>
      </c>
      <c r="DE507" s="15" t="str">
        <f>IFERROR(__xludf.DUMMYFUNCTION("""COMPUTED_VALUE"""),"")</f>
        <v/>
      </c>
      <c r="DG507" s="15" t="str">
        <f>IFERROR(__xludf.DUMMYFUNCTION("""COMPUTED_VALUE"""),"")</f>
        <v/>
      </c>
      <c r="DL507" s="15" t="str">
        <f>IFERROR(__xludf.DUMMYFUNCTION("""COMPUTED_VALUE"""),"")</f>
        <v/>
      </c>
      <c r="DM507" s="15" t="s">
        <v>444</v>
      </c>
      <c r="DN507" s="15" t="s">
        <v>419</v>
      </c>
      <c r="DO507" s="15">
        <v>0.0</v>
      </c>
      <c r="DP507" s="15" t="s">
        <v>419</v>
      </c>
      <c r="DR507" s="15">
        <v>0.0</v>
      </c>
      <c r="DT507" s="15" t="s">
        <v>420</v>
      </c>
      <c r="DU507" s="15" t="s">
        <v>610</v>
      </c>
      <c r="DW507" s="15">
        <v>18.14</v>
      </c>
      <c r="DX507" s="15">
        <v>40.0</v>
      </c>
      <c r="DY507" s="15">
        <v>4.0</v>
      </c>
      <c r="EG507" s="15" t="s">
        <v>444</v>
      </c>
      <c r="EH507" s="15" t="s">
        <v>5971</v>
      </c>
      <c r="EJ507" s="15" t="s">
        <v>424</v>
      </c>
      <c r="EK507" s="15" t="s">
        <v>446</v>
      </c>
      <c r="EM507" s="15" t="str">
        <f>IFERROR(__xludf.DUMMYFUNCTION("""COMPUTED_VALUE"""),"")</f>
        <v/>
      </c>
      <c r="EW507" s="15" t="s">
        <v>5972</v>
      </c>
      <c r="FL507" s="15" t="s">
        <v>426</v>
      </c>
      <c r="FM507" s="15">
        <v>4.0</v>
      </c>
      <c r="FY507" s="15" t="s">
        <v>5973</v>
      </c>
      <c r="FZ507" s="15" t="s">
        <v>1042</v>
      </c>
      <c r="GA507" s="15" t="s">
        <v>5974</v>
      </c>
      <c r="GB507" s="15" t="s">
        <v>2143</v>
      </c>
      <c r="GC507" s="15" t="s">
        <v>612</v>
      </c>
      <c r="GD507" s="15" t="s">
        <v>5970</v>
      </c>
      <c r="GE507" s="15">
        <v>0.0</v>
      </c>
      <c r="GF507" s="15" t="s">
        <v>426</v>
      </c>
      <c r="GH507" s="15">
        <v>8.0</v>
      </c>
      <c r="GI507" s="15" t="s">
        <v>614</v>
      </c>
      <c r="GJ507" s="15" t="s">
        <v>786</v>
      </c>
      <c r="GK507" s="15">
        <v>0.0</v>
      </c>
      <c r="GL507" s="15" t="s">
        <v>426</v>
      </c>
      <c r="GN507" s="15" t="s">
        <v>616</v>
      </c>
      <c r="HW507" s="15" t="s">
        <v>1957</v>
      </c>
      <c r="IH507" s="15" t="s">
        <v>426</v>
      </c>
    </row>
    <row r="508" ht="15.75" customHeight="1">
      <c r="A508" s="14" t="s">
        <v>391</v>
      </c>
      <c r="B508" s="15" t="s">
        <v>5975</v>
      </c>
      <c r="C508" s="16"/>
      <c r="D508" s="15" t="s">
        <v>432</v>
      </c>
      <c r="G508" s="14" t="s">
        <v>393</v>
      </c>
      <c r="H508" s="14" t="s">
        <v>394</v>
      </c>
      <c r="I508" s="14" t="b">
        <v>1</v>
      </c>
      <c r="J508" s="14" t="s">
        <v>395</v>
      </c>
      <c r="L508" s="14" t="b">
        <v>0</v>
      </c>
      <c r="M508" s="15" t="s">
        <v>5976</v>
      </c>
      <c r="N508" s="14" t="s">
        <v>393</v>
      </c>
      <c r="O508" s="14" t="s">
        <v>393</v>
      </c>
      <c r="P508" s="15" t="s">
        <v>397</v>
      </c>
      <c r="Q508" s="15" t="s">
        <v>3192</v>
      </c>
      <c r="T508" s="14" t="b">
        <v>0</v>
      </c>
      <c r="U508" s="15" t="s">
        <v>5977</v>
      </c>
      <c r="V508" s="15" t="s">
        <v>1499</v>
      </c>
      <c r="W508" s="15" t="s">
        <v>401</v>
      </c>
      <c r="X508" s="15" t="s">
        <v>695</v>
      </c>
      <c r="Y508" s="15">
        <v>1261.0</v>
      </c>
      <c r="AA508" s="15" t="str">
        <f>"485"</f>
        <v>485</v>
      </c>
      <c r="AB508" s="14" t="b">
        <v>1</v>
      </c>
      <c r="AC508" s="14" t="b">
        <v>1</v>
      </c>
      <c r="AD508" s="15" t="str">
        <f>"198394021920"</f>
        <v>198394021920</v>
      </c>
      <c r="AE508" s="15" t="s">
        <v>5978</v>
      </c>
      <c r="AF508" s="14" t="s">
        <v>404</v>
      </c>
      <c r="AG508" s="14" t="s">
        <v>405</v>
      </c>
      <c r="AH508" s="14" t="s">
        <v>406</v>
      </c>
      <c r="AI508" s="15">
        <v>0.0</v>
      </c>
      <c r="AL508" s="15" t="s">
        <v>5213</v>
      </c>
      <c r="AM508" s="15" t="s">
        <v>1362</v>
      </c>
      <c r="AN508" s="15" t="s">
        <v>1363</v>
      </c>
      <c r="AO508" s="15" t="s">
        <v>1248</v>
      </c>
      <c r="AP508" s="15" t="s">
        <v>1249</v>
      </c>
      <c r="AQ508" s="15" t="s">
        <v>456</v>
      </c>
      <c r="AR508" s="15" t="s">
        <v>457</v>
      </c>
      <c r="AS508" s="15" t="s">
        <v>1317</v>
      </c>
      <c r="AT508" s="15" t="s">
        <v>3192</v>
      </c>
      <c r="AU508" s="15" t="s">
        <v>5979</v>
      </c>
      <c r="AV508" s="15" t="s">
        <v>5980</v>
      </c>
      <c r="AW508" s="15" t="s">
        <v>458</v>
      </c>
      <c r="AX508" s="15" t="s">
        <v>459</v>
      </c>
      <c r="AY508" s="15" t="s">
        <v>413</v>
      </c>
      <c r="AZ508" s="15" t="b">
        <v>0</v>
      </c>
      <c r="BA508" s="15" t="s">
        <v>413</v>
      </c>
      <c r="BB508" s="15" t="b">
        <v>0</v>
      </c>
      <c r="BC508" s="15" t="s">
        <v>5981</v>
      </c>
      <c r="BD508" s="15" t="s">
        <v>709</v>
      </c>
      <c r="BE508" s="15" t="str">
        <f t="shared" si="905"/>
        <v>1</v>
      </c>
      <c r="BF508" s="15" t="s">
        <v>416</v>
      </c>
      <c r="BG508" s="15" t="str">
        <f>"74.41"</f>
        <v>74.41</v>
      </c>
      <c r="BH508" s="15" t="s">
        <v>5246</v>
      </c>
      <c r="BI508" s="15" t="str">
        <f>"23.62"</f>
        <v>23.62</v>
      </c>
      <c r="BJ508" s="15" t="s">
        <v>1570</v>
      </c>
      <c r="BK508" s="15" t="str">
        <f>"22.64"</f>
        <v>22.64</v>
      </c>
      <c r="BL508" s="15" t="s">
        <v>5982</v>
      </c>
      <c r="BM508" s="15" t="str">
        <f>"105.82"</f>
        <v>105.82</v>
      </c>
      <c r="BN508" s="15" t="s">
        <v>2961</v>
      </c>
      <c r="BQ508" s="15" t="s">
        <v>444</v>
      </c>
      <c r="BS508" s="15" t="s">
        <v>444</v>
      </c>
      <c r="BU508" s="15" t="s">
        <v>444</v>
      </c>
      <c r="BW508" s="15" t="s">
        <v>444</v>
      </c>
      <c r="BZ508" s="15" t="s">
        <v>444</v>
      </c>
      <c r="CB508" s="15" t="s">
        <v>444</v>
      </c>
      <c r="CD508" s="15" t="s">
        <v>444</v>
      </c>
      <c r="CF508" s="15" t="s">
        <v>444</v>
      </c>
      <c r="CI508" s="15" t="s">
        <v>444</v>
      </c>
      <c r="CK508" s="15" t="s">
        <v>444</v>
      </c>
      <c r="CM508" s="15" t="s">
        <v>444</v>
      </c>
      <c r="CO508" s="15" t="s">
        <v>444</v>
      </c>
      <c r="CP508" s="15" t="str">
        <f>"23.03"</f>
        <v>23.03</v>
      </c>
      <c r="CQ508" s="15" t="str">
        <f>"0.652"</f>
        <v>0.652</v>
      </c>
      <c r="CR508" s="15" t="s">
        <v>497</v>
      </c>
      <c r="DB508" s="15" t="s">
        <v>1324</v>
      </c>
      <c r="DC508" s="15" t="str">
        <f>IFERROR(__xludf.DUMMYFUNCTION("""COMPUTED_VALUE"""),"{""value"":20.00,""unit"":""in""}")</f>
        <v>{"value":20.00,"unit":"in"}</v>
      </c>
      <c r="DD508" s="15" t="s">
        <v>467</v>
      </c>
      <c r="DE508" s="15" t="str">
        <f>IFERROR(__xludf.DUMMYFUNCTION("""COMPUTED_VALUE"""),"{""value"":19.00,""unit"":""in""}")</f>
        <v>{"value":19.00,"unit":"in"}</v>
      </c>
      <c r="DF508" s="15" t="s">
        <v>468</v>
      </c>
      <c r="DG508" s="15" t="str">
        <f>IFERROR(__xludf.DUMMYFUNCTION("""COMPUTED_VALUE"""),"{""value"":70.00,""unit"":""in""}")</f>
        <v>{"value":70.00,"unit":"in"}</v>
      </c>
      <c r="DH508" s="15">
        <v>0.0</v>
      </c>
      <c r="DI508" s="15">
        <v>0.0</v>
      </c>
      <c r="DJ508" s="15" t="s">
        <v>469</v>
      </c>
      <c r="DK508" s="15" t="s">
        <v>934</v>
      </c>
      <c r="DL508" s="15" t="str">
        <f>IFERROR(__xludf.DUMMYFUNCTION("""COMPUTED_VALUE"""),"Spot clean with water-based or solvent-based cleaner. Use mild detergent or upholstery shampoo.")</f>
        <v>Spot clean with water-based or solvent-based cleaner. Use mild detergent or upholstery shampoo.</v>
      </c>
      <c r="DM508" s="15" t="s">
        <v>935</v>
      </c>
      <c r="DN508" s="15" t="s">
        <v>419</v>
      </c>
      <c r="DO508" s="15">
        <v>0.0</v>
      </c>
      <c r="DP508" s="15" t="s">
        <v>419</v>
      </c>
      <c r="DQ508" s="15" t="s">
        <v>1239</v>
      </c>
      <c r="DR508" s="15">
        <v>0.0</v>
      </c>
      <c r="DU508" s="15" t="s">
        <v>419</v>
      </c>
      <c r="DV508" s="15">
        <v>0.0</v>
      </c>
      <c r="DW508" s="15">
        <v>0.0</v>
      </c>
      <c r="DX508" s="15">
        <v>0.0</v>
      </c>
      <c r="DY508" s="15">
        <v>0.0</v>
      </c>
      <c r="DZ508" s="15">
        <v>50000.0</v>
      </c>
      <c r="EA508" s="15" t="s">
        <v>470</v>
      </c>
      <c r="EB508" s="15" t="s">
        <v>1016</v>
      </c>
      <c r="ED508" s="15">
        <v>1.0</v>
      </c>
      <c r="EE508" s="15">
        <v>3.0</v>
      </c>
      <c r="EF508" s="15" t="s">
        <v>471</v>
      </c>
      <c r="EG508" s="15" t="s">
        <v>472</v>
      </c>
      <c r="EH508" s="15" t="s">
        <v>5983</v>
      </c>
      <c r="EI508" s="15">
        <v>0.0</v>
      </c>
      <c r="EJ508" s="15" t="s">
        <v>473</v>
      </c>
      <c r="EK508" s="15" t="s">
        <v>474</v>
      </c>
      <c r="EM508" s="15" t="str">
        <f>IFERROR(__xludf.DUMMYFUNCTION("""COMPUTED_VALUE"""),"")</f>
        <v/>
      </c>
      <c r="EW508" s="15" t="s">
        <v>3305</v>
      </c>
      <c r="EX508" s="15" t="s">
        <v>824</v>
      </c>
      <c r="EY508" s="15" t="s">
        <v>5984</v>
      </c>
      <c r="FL508" s="15" t="s">
        <v>426</v>
      </c>
    </row>
    <row r="509" ht="15.75" customHeight="1">
      <c r="A509" s="14" t="s">
        <v>391</v>
      </c>
      <c r="B509" s="15" t="s">
        <v>5985</v>
      </c>
      <c r="C509" s="16"/>
      <c r="D509" s="15" t="s">
        <v>432</v>
      </c>
      <c r="G509" s="14" t="s">
        <v>393</v>
      </c>
      <c r="H509" s="14" t="s">
        <v>394</v>
      </c>
      <c r="I509" s="14" t="b">
        <v>1</v>
      </c>
      <c r="J509" s="14" t="s">
        <v>395</v>
      </c>
      <c r="L509" s="14" t="b">
        <v>0</v>
      </c>
      <c r="M509" s="15" t="s">
        <v>5986</v>
      </c>
      <c r="N509" s="14" t="s">
        <v>393</v>
      </c>
      <c r="O509" s="14" t="s">
        <v>393</v>
      </c>
      <c r="P509" s="15" t="s">
        <v>397</v>
      </c>
      <c r="Q509" s="15" t="s">
        <v>1319</v>
      </c>
      <c r="T509" s="14" t="b">
        <v>0</v>
      </c>
      <c r="U509" s="15" t="s">
        <v>5987</v>
      </c>
      <c r="V509" s="15" t="s">
        <v>1598</v>
      </c>
      <c r="W509" s="15" t="s">
        <v>401</v>
      </c>
      <c r="X509" s="15" t="s">
        <v>695</v>
      </c>
      <c r="Y509" s="15">
        <v>2184.0</v>
      </c>
      <c r="AA509" s="15" t="str">
        <f>"840"</f>
        <v>840</v>
      </c>
      <c r="AB509" s="14" t="b">
        <v>1</v>
      </c>
      <c r="AC509" s="14" t="b">
        <v>1</v>
      </c>
      <c r="AD509" s="15" t="str">
        <f>"801542932961"</f>
        <v>801542932961</v>
      </c>
      <c r="AE509" s="15" t="s">
        <v>5988</v>
      </c>
      <c r="AF509" s="14" t="s">
        <v>404</v>
      </c>
      <c r="AG509" s="14" t="s">
        <v>405</v>
      </c>
      <c r="AH509" s="14" t="s">
        <v>406</v>
      </c>
      <c r="AI509" s="15">
        <v>0.0</v>
      </c>
      <c r="AL509" s="15" t="s">
        <v>975</v>
      </c>
      <c r="AM509" s="15" t="s">
        <v>1085</v>
      </c>
      <c r="AN509" s="15" t="s">
        <v>1086</v>
      </c>
      <c r="AO509" s="15" t="s">
        <v>645</v>
      </c>
      <c r="AP509" s="15" t="s">
        <v>646</v>
      </c>
      <c r="AQ509" s="15" t="s">
        <v>2557</v>
      </c>
      <c r="AR509" s="15" t="s">
        <v>2558</v>
      </c>
      <c r="AS509" s="15" t="s">
        <v>915</v>
      </c>
      <c r="AT509" s="15" t="s">
        <v>1319</v>
      </c>
      <c r="AU509" s="15" t="s">
        <v>978</v>
      </c>
      <c r="AW509" s="15" t="s">
        <v>706</v>
      </c>
      <c r="AX509" s="15" t="s">
        <v>707</v>
      </c>
      <c r="AY509" s="15" t="s">
        <v>413</v>
      </c>
      <c r="AZ509" s="15" t="b">
        <v>0</v>
      </c>
      <c r="BA509" s="15" t="s">
        <v>413</v>
      </c>
      <c r="BB509" s="15" t="b">
        <v>0</v>
      </c>
      <c r="BC509" s="15" t="s">
        <v>5989</v>
      </c>
      <c r="BD509" s="15" t="s">
        <v>709</v>
      </c>
      <c r="BE509" s="15" t="str">
        <f t="shared" si="905"/>
        <v>1</v>
      </c>
      <c r="BF509" s="15" t="s">
        <v>1208</v>
      </c>
      <c r="BG509" s="15" t="str">
        <f>"29.92"</f>
        <v>29.92</v>
      </c>
      <c r="BH509" s="15" t="s">
        <v>1321</v>
      </c>
      <c r="BI509" s="15" t="str">
        <f>"35.83"</f>
        <v>35.83</v>
      </c>
      <c r="BJ509" s="15" t="s">
        <v>1505</v>
      </c>
      <c r="BK509" s="15" t="str">
        <f>"44.88"</f>
        <v>44.88</v>
      </c>
      <c r="BL509" s="15" t="s">
        <v>3445</v>
      </c>
      <c r="BM509" s="15" t="str">
        <f>"79.15"</f>
        <v>79.15</v>
      </c>
      <c r="BN509" s="15" t="s">
        <v>5990</v>
      </c>
      <c r="BQ509" s="15" t="s">
        <v>444</v>
      </c>
      <c r="BS509" s="15" t="s">
        <v>444</v>
      </c>
      <c r="BU509" s="15" t="s">
        <v>444</v>
      </c>
      <c r="BW509" s="15" t="s">
        <v>444</v>
      </c>
      <c r="BZ509" s="15" t="s">
        <v>444</v>
      </c>
      <c r="CB509" s="15" t="s">
        <v>444</v>
      </c>
      <c r="CD509" s="15" t="s">
        <v>444</v>
      </c>
      <c r="CF509" s="15" t="s">
        <v>444</v>
      </c>
      <c r="CI509" s="15" t="s">
        <v>444</v>
      </c>
      <c r="CK509" s="15" t="s">
        <v>444</v>
      </c>
      <c r="CM509" s="15" t="s">
        <v>444</v>
      </c>
      <c r="CO509" s="15" t="s">
        <v>444</v>
      </c>
      <c r="CP509" s="15" t="str">
        <f>"22.85"</f>
        <v>22.85</v>
      </c>
      <c r="CQ509" s="15" t="str">
        <f>"0.647"</f>
        <v>0.647</v>
      </c>
      <c r="CR509" s="15" t="s">
        <v>465</v>
      </c>
      <c r="DB509" s="15" t="s">
        <v>525</v>
      </c>
      <c r="DC509" s="15" t="str">
        <f>IFERROR(__xludf.DUMMYFUNCTION("""COMPUTED_VALUE"""),"{""value"":23.00,""unit"":""in""}")</f>
        <v>{"value":23.00,"unit":"in"}</v>
      </c>
      <c r="DD509" s="15" t="s">
        <v>650</v>
      </c>
      <c r="DE509" s="15" t="str">
        <f>IFERROR(__xludf.DUMMYFUNCTION("""COMPUTED_VALUE"""),"{""value"":19.50,""unit"":""in""}")</f>
        <v>{"value":19.50,"unit":"in"}</v>
      </c>
      <c r="DG509" s="15" t="str">
        <f>IFERROR(__xludf.DUMMYFUNCTION("""COMPUTED_VALUE"""),"")</f>
        <v/>
      </c>
      <c r="DH509" s="15">
        <v>0.0</v>
      </c>
      <c r="DI509" s="15">
        <v>0.0</v>
      </c>
      <c r="DJ509" s="15" t="s">
        <v>717</v>
      </c>
      <c r="DK509" s="15" t="s">
        <v>718</v>
      </c>
      <c r="DL509" s="15" t="str">
        <f>IFERROR(__xludf.DUMMYFUNCTION("""COMPUTED_VALUE"""),"Vacuum or light brush only. Do not use water or any cleaning products.")</f>
        <v>Vacuum or light brush only. Do not use water or any cleaning products.</v>
      </c>
      <c r="DM509" s="15" t="s">
        <v>719</v>
      </c>
      <c r="DT509" s="15" t="s">
        <v>721</v>
      </c>
      <c r="DU509" s="15" t="s">
        <v>2546</v>
      </c>
      <c r="DV509" s="15">
        <v>0.0</v>
      </c>
      <c r="DZ509" s="15">
        <v>0.0</v>
      </c>
      <c r="EA509" s="15" t="s">
        <v>990</v>
      </c>
      <c r="ED509" s="15">
        <v>0.0</v>
      </c>
      <c r="EE509" s="15">
        <v>1.0</v>
      </c>
      <c r="EG509" s="15" t="s">
        <v>444</v>
      </c>
      <c r="EH509" s="15" t="s">
        <v>5991</v>
      </c>
      <c r="EI509" s="15">
        <v>0.0</v>
      </c>
      <c r="EJ509" s="15" t="s">
        <v>726</v>
      </c>
      <c r="EK509" s="15" t="s">
        <v>727</v>
      </c>
      <c r="EL509" s="15" t="s">
        <v>2384</v>
      </c>
      <c r="EM509" s="15" t="str">
        <f>IFERROR(__xludf.DUMMYFUNCTION("""COMPUTED_VALUE"""),"{""value"":24.50,""unit"":""in""}")</f>
        <v>{"value":24.50,"unit":"in"}</v>
      </c>
      <c r="EN509" s="15" t="s">
        <v>429</v>
      </c>
      <c r="EO509" s="15" t="s">
        <v>525</v>
      </c>
      <c r="ES509" s="15" t="s">
        <v>1807</v>
      </c>
      <c r="EW509" s="15" t="s">
        <v>429</v>
      </c>
      <c r="EX509" s="15" t="s">
        <v>1328</v>
      </c>
      <c r="EY509" s="15" t="s">
        <v>1995</v>
      </c>
      <c r="EZ509" s="15" t="s">
        <v>1253</v>
      </c>
      <c r="FF509" s="15" t="s">
        <v>860</v>
      </c>
      <c r="FO509" s="15" t="s">
        <v>1331</v>
      </c>
      <c r="FP509" s="15" t="s">
        <v>1211</v>
      </c>
      <c r="FQ509" s="15">
        <v>0.0</v>
      </c>
      <c r="FR509" s="15">
        <v>0.0</v>
      </c>
      <c r="FS509" s="15" t="s">
        <v>3362</v>
      </c>
      <c r="FT509" s="15" t="s">
        <v>1213</v>
      </c>
      <c r="JQ509" s="15" t="s">
        <v>2403</v>
      </c>
      <c r="JR509" s="15" t="s">
        <v>2337</v>
      </c>
    </row>
    <row r="510" ht="15.75" customHeight="1">
      <c r="A510" s="14" t="s">
        <v>391</v>
      </c>
      <c r="B510" s="15" t="s">
        <v>5992</v>
      </c>
      <c r="C510" s="16"/>
      <c r="D510" s="15" t="s">
        <v>432</v>
      </c>
      <c r="G510" s="14" t="s">
        <v>393</v>
      </c>
      <c r="H510" s="14" t="s">
        <v>394</v>
      </c>
      <c r="I510" s="14" t="b">
        <v>1</v>
      </c>
      <c r="J510" s="14" t="s">
        <v>395</v>
      </c>
      <c r="L510" s="14" t="b">
        <v>0</v>
      </c>
      <c r="M510" s="15" t="s">
        <v>5993</v>
      </c>
      <c r="N510" s="14" t="s">
        <v>393</v>
      </c>
      <c r="O510" s="14" t="s">
        <v>393</v>
      </c>
      <c r="P510" s="15" t="s">
        <v>397</v>
      </c>
      <c r="Q510" s="15" t="s">
        <v>892</v>
      </c>
      <c r="T510" s="14" t="b">
        <v>0</v>
      </c>
      <c r="U510" s="15" t="s">
        <v>5994</v>
      </c>
      <c r="V510" s="15" t="s">
        <v>5342</v>
      </c>
      <c r="W510" s="15" t="s">
        <v>401</v>
      </c>
      <c r="X510" s="15" t="s">
        <v>742</v>
      </c>
      <c r="Y510" s="15">
        <v>494.0</v>
      </c>
      <c r="AA510" s="15" t="str">
        <f>"190"</f>
        <v>190</v>
      </c>
      <c r="AB510" s="14" t="b">
        <v>1</v>
      </c>
      <c r="AC510" s="14" t="b">
        <v>1</v>
      </c>
      <c r="AD510" s="15" t="str">
        <f>"801542665838"</f>
        <v>801542665838</v>
      </c>
      <c r="AE510" s="15" t="s">
        <v>5995</v>
      </c>
      <c r="AF510" s="14" t="s">
        <v>404</v>
      </c>
      <c r="AG510" s="14" t="s">
        <v>405</v>
      </c>
      <c r="AH510" s="14" t="s">
        <v>406</v>
      </c>
      <c r="AI510" s="15">
        <v>0.0</v>
      </c>
      <c r="AL510" s="15" t="s">
        <v>895</v>
      </c>
      <c r="AM510" s="15" t="s">
        <v>5996</v>
      </c>
      <c r="AN510" s="15" t="s">
        <v>5997</v>
      </c>
      <c r="AO510" s="15" t="s">
        <v>1007</v>
      </c>
      <c r="AP510" s="15" t="s">
        <v>1008</v>
      </c>
      <c r="AQ510" s="15" t="s">
        <v>454</v>
      </c>
      <c r="AR510" s="15" t="s">
        <v>455</v>
      </c>
      <c r="AS510" s="15" t="s">
        <v>837</v>
      </c>
      <c r="AT510" s="15" t="s">
        <v>892</v>
      </c>
      <c r="AU510" s="15" t="s">
        <v>838</v>
      </c>
      <c r="AW510" s="15" t="s">
        <v>4009</v>
      </c>
      <c r="AY510" s="15" t="s">
        <v>413</v>
      </c>
      <c r="AZ510" s="15" t="b">
        <v>0</v>
      </c>
      <c r="BA510" s="15" t="s">
        <v>413</v>
      </c>
      <c r="BB510" s="15" t="b">
        <v>0</v>
      </c>
      <c r="BC510" s="15" t="s">
        <v>5998</v>
      </c>
      <c r="BD510" s="15" t="s">
        <v>742</v>
      </c>
      <c r="BE510" s="15" t="str">
        <f t="shared" si="905"/>
        <v>1</v>
      </c>
      <c r="BF510" s="15" t="s">
        <v>416</v>
      </c>
      <c r="BG510" s="15" t="str">
        <f>"55.91"</f>
        <v>55.91</v>
      </c>
      <c r="BH510" s="15" t="s">
        <v>5999</v>
      </c>
      <c r="BI510" s="15" t="str">
        <f>"19.09"</f>
        <v>19.09</v>
      </c>
      <c r="BJ510" s="15" t="s">
        <v>1440</v>
      </c>
      <c r="BK510" s="15" t="str">
        <f>"15.16"</f>
        <v>15.16</v>
      </c>
      <c r="BL510" s="15" t="s">
        <v>6000</v>
      </c>
      <c r="BM510" s="15" t="str">
        <f>"57.32"</f>
        <v>57.32</v>
      </c>
      <c r="BN510" s="15" t="s">
        <v>1991</v>
      </c>
      <c r="BQ510" s="15" t="s">
        <v>444</v>
      </c>
      <c r="BS510" s="15" t="s">
        <v>444</v>
      </c>
      <c r="BU510" s="15" t="s">
        <v>444</v>
      </c>
      <c r="BW510" s="15" t="s">
        <v>444</v>
      </c>
      <c r="BZ510" s="15" t="s">
        <v>444</v>
      </c>
      <c r="CB510" s="15" t="s">
        <v>444</v>
      </c>
      <c r="CD510" s="15" t="s">
        <v>444</v>
      </c>
      <c r="CF510" s="15" t="s">
        <v>444</v>
      </c>
      <c r="CI510" s="15" t="s">
        <v>444</v>
      </c>
      <c r="CK510" s="15" t="s">
        <v>444</v>
      </c>
      <c r="CM510" s="15" t="s">
        <v>444</v>
      </c>
      <c r="CO510" s="15" t="s">
        <v>444</v>
      </c>
      <c r="CP510" s="15" t="str">
        <f>"9.36"</f>
        <v>9.36</v>
      </c>
      <c r="CQ510" s="15" t="str">
        <f>"0.265"</f>
        <v>0.265</v>
      </c>
      <c r="CR510" s="15" t="s">
        <v>497</v>
      </c>
      <c r="DC510" s="15" t="str">
        <f>IFERROR(__xludf.DUMMYFUNCTION("""COMPUTED_VALUE"""),"")</f>
        <v/>
      </c>
      <c r="DE510" s="15" t="str">
        <f>IFERROR(__xludf.DUMMYFUNCTION("""COMPUTED_VALUE"""),"")</f>
        <v/>
      </c>
      <c r="DG510" s="15" t="str">
        <f>IFERROR(__xludf.DUMMYFUNCTION("""COMPUTED_VALUE"""),"")</f>
        <v/>
      </c>
      <c r="DK510" s="15" t="s">
        <v>897</v>
      </c>
      <c r="DL510" s="15" t="str">
        <f>IFERROR(__xludf.DUMMYFUNCTION("""COMPUTED_VALUE"""),"Clean with water-based products only. Use mild detergent or upholstery shampoo.")</f>
        <v>Clean with water-based products only. Use mild detergent or upholstery shampoo.</v>
      </c>
      <c r="DM510" s="15" t="s">
        <v>898</v>
      </c>
      <c r="DT510" s="15" t="s">
        <v>989</v>
      </c>
      <c r="DU510" s="15" t="s">
        <v>419</v>
      </c>
      <c r="DZ510" s="15">
        <v>15000.0</v>
      </c>
      <c r="EA510" s="15" t="s">
        <v>722</v>
      </c>
      <c r="EG510" s="15" t="s">
        <v>444</v>
      </c>
      <c r="EH510" s="15" t="s">
        <v>6001</v>
      </c>
      <c r="EK510" s="15" t="s">
        <v>444</v>
      </c>
      <c r="EM510" s="15" t="str">
        <f>IFERROR(__xludf.DUMMYFUNCTION("""COMPUTED_VALUE"""),"")</f>
        <v/>
      </c>
      <c r="EW510" s="15" t="s">
        <v>429</v>
      </c>
      <c r="FF510" s="15" t="s">
        <v>860</v>
      </c>
      <c r="FL510" s="15" t="s">
        <v>426</v>
      </c>
      <c r="GJ510" s="15" t="s">
        <v>786</v>
      </c>
      <c r="II510" s="15" t="s">
        <v>5940</v>
      </c>
      <c r="IJ510" s="15" t="s">
        <v>729</v>
      </c>
      <c r="IK510" s="15" t="s">
        <v>6002</v>
      </c>
    </row>
    <row r="511" ht="15.75" customHeight="1">
      <c r="A511" s="14" t="s">
        <v>391</v>
      </c>
      <c r="B511" s="15" t="s">
        <v>6003</v>
      </c>
      <c r="C511" s="16"/>
      <c r="D511" s="15" t="s">
        <v>432</v>
      </c>
      <c r="G511" s="14" t="s">
        <v>393</v>
      </c>
      <c r="H511" s="14" t="s">
        <v>394</v>
      </c>
      <c r="I511" s="14" t="b">
        <v>1</v>
      </c>
      <c r="J511" s="14" t="s">
        <v>395</v>
      </c>
      <c r="L511" s="14" t="b">
        <v>0</v>
      </c>
      <c r="M511" s="15" t="s">
        <v>6004</v>
      </c>
      <c r="N511" s="14" t="s">
        <v>393</v>
      </c>
      <c r="O511" s="14" t="s">
        <v>393</v>
      </c>
      <c r="P511" s="15" t="s">
        <v>397</v>
      </c>
      <c r="Q511" s="15" t="s">
        <v>6005</v>
      </c>
      <c r="T511" s="14" t="b">
        <v>0</v>
      </c>
      <c r="U511" s="15" t="s">
        <v>6006</v>
      </c>
      <c r="V511" s="15" t="s">
        <v>6007</v>
      </c>
      <c r="W511" s="15" t="s">
        <v>401</v>
      </c>
      <c r="X511" s="15" t="s">
        <v>695</v>
      </c>
      <c r="Y511" s="15">
        <v>1807.0</v>
      </c>
      <c r="AA511" s="15" t="str">
        <f t="shared" ref="AA511:AA512" si="920">"695"</f>
        <v>695</v>
      </c>
      <c r="AB511" s="14" t="b">
        <v>1</v>
      </c>
      <c r="AC511" s="14" t="b">
        <v>1</v>
      </c>
      <c r="AD511" s="15" t="str">
        <f>"198394053914"</f>
        <v>198394053914</v>
      </c>
      <c r="AE511" s="15" t="s">
        <v>6008</v>
      </c>
      <c r="AF511" s="14" t="s">
        <v>404</v>
      </c>
      <c r="AG511" s="14" t="s">
        <v>405</v>
      </c>
      <c r="AH511" s="14" t="s">
        <v>406</v>
      </c>
      <c r="AI511" s="15">
        <v>0.0</v>
      </c>
      <c r="AL511" s="15" t="s">
        <v>6009</v>
      </c>
      <c r="AM511" s="15" t="s">
        <v>2088</v>
      </c>
      <c r="AN511" s="15" t="s">
        <v>2089</v>
      </c>
      <c r="AO511" s="15" t="s">
        <v>2088</v>
      </c>
      <c r="AP511" s="15" t="s">
        <v>2089</v>
      </c>
      <c r="AQ511" s="15" t="s">
        <v>2703</v>
      </c>
      <c r="AR511" s="15" t="s">
        <v>2704</v>
      </c>
      <c r="AS511" s="15" t="s">
        <v>2193</v>
      </c>
      <c r="AT511" s="15" t="s">
        <v>6005</v>
      </c>
      <c r="AU511" s="15" t="s">
        <v>6010</v>
      </c>
      <c r="AV511" s="15" t="s">
        <v>4670</v>
      </c>
      <c r="AW511" s="15" t="s">
        <v>491</v>
      </c>
      <c r="AY511" s="15" t="s">
        <v>413</v>
      </c>
      <c r="AZ511" s="15" t="b">
        <v>0</v>
      </c>
      <c r="BA511" s="15" t="s">
        <v>413</v>
      </c>
      <c r="BB511" s="15" t="b">
        <v>0</v>
      </c>
      <c r="BC511" s="15" t="s">
        <v>6011</v>
      </c>
      <c r="BD511" s="15" t="s">
        <v>709</v>
      </c>
      <c r="BE511" s="15" t="str">
        <f t="shared" si="905"/>
        <v>1</v>
      </c>
      <c r="BF511" s="15" t="s">
        <v>416</v>
      </c>
      <c r="BG511" s="15" t="str">
        <f>"51.57"</f>
        <v>51.57</v>
      </c>
      <c r="BH511" s="15" t="s">
        <v>567</v>
      </c>
      <c r="BI511" s="15" t="str">
        <f>"51.57"</f>
        <v>51.57</v>
      </c>
      <c r="BJ511" s="15" t="s">
        <v>567</v>
      </c>
      <c r="BK511" s="15" t="str">
        <f>"20.47"</f>
        <v>20.47</v>
      </c>
      <c r="BL511" s="15" t="s">
        <v>818</v>
      </c>
      <c r="BM511" s="15" t="str">
        <f>"158.73"</f>
        <v>158.73</v>
      </c>
      <c r="BN511" s="15" t="s">
        <v>4507</v>
      </c>
      <c r="BQ511" s="15" t="s">
        <v>444</v>
      </c>
      <c r="BS511" s="15" t="s">
        <v>444</v>
      </c>
      <c r="BU511" s="15" t="s">
        <v>444</v>
      </c>
      <c r="BW511" s="15" t="s">
        <v>444</v>
      </c>
      <c r="BZ511" s="15" t="s">
        <v>444</v>
      </c>
      <c r="CB511" s="15" t="s">
        <v>444</v>
      </c>
      <c r="CD511" s="15" t="s">
        <v>444</v>
      </c>
      <c r="CF511" s="15" t="s">
        <v>444</v>
      </c>
      <c r="CI511" s="15" t="s">
        <v>444</v>
      </c>
      <c r="CK511" s="15" t="s">
        <v>444</v>
      </c>
      <c r="CM511" s="15" t="s">
        <v>444</v>
      </c>
      <c r="CO511" s="15" t="s">
        <v>444</v>
      </c>
      <c r="CP511" s="15" t="str">
        <f>"31.5"</f>
        <v>31.5</v>
      </c>
      <c r="CQ511" s="15" t="str">
        <f>"0.892"</f>
        <v>0.892</v>
      </c>
      <c r="CR511" s="15" t="s">
        <v>465</v>
      </c>
      <c r="CS511" s="15" t="s">
        <v>2792</v>
      </c>
      <c r="CT511" s="15" t="s">
        <v>612</v>
      </c>
      <c r="CU511" s="15" t="s">
        <v>2792</v>
      </c>
      <c r="CV511" s="15" t="s">
        <v>2792</v>
      </c>
      <c r="CW511" s="15" t="s">
        <v>1576</v>
      </c>
      <c r="CX511" s="15" t="s">
        <v>2792</v>
      </c>
      <c r="DC511" s="15" t="str">
        <f>IFERROR(__xludf.DUMMYFUNCTION("""COMPUTED_VALUE"""),"")</f>
        <v/>
      </c>
      <c r="DE511" s="15" t="str">
        <f>IFERROR(__xludf.DUMMYFUNCTION("""COMPUTED_VALUE"""),"")</f>
        <v/>
      </c>
      <c r="DG511" s="15" t="str">
        <f>IFERROR(__xludf.DUMMYFUNCTION("""COMPUTED_VALUE"""),"")</f>
        <v/>
      </c>
      <c r="DL511" s="15" t="str">
        <f>IFERROR(__xludf.DUMMYFUNCTION("""COMPUTED_VALUE"""),"")</f>
        <v/>
      </c>
      <c r="DM511" s="15" t="s">
        <v>444</v>
      </c>
      <c r="DN511" s="15" t="s">
        <v>419</v>
      </c>
      <c r="DO511" s="15">
        <v>0.0</v>
      </c>
      <c r="DP511" s="15" t="s">
        <v>419</v>
      </c>
      <c r="DR511" s="15">
        <v>1.0</v>
      </c>
      <c r="DS511" s="15" t="s">
        <v>426</v>
      </c>
      <c r="DT511" s="15" t="s">
        <v>1111</v>
      </c>
      <c r="DU511" s="15" t="s">
        <v>1914</v>
      </c>
      <c r="DY511" s="15">
        <v>0.0</v>
      </c>
      <c r="EF511" s="15" t="s">
        <v>498</v>
      </c>
      <c r="EG511" s="15" t="s">
        <v>499</v>
      </c>
      <c r="EH511" s="15" t="s">
        <v>6012</v>
      </c>
      <c r="EJ511" s="15" t="s">
        <v>500</v>
      </c>
      <c r="EK511" s="15" t="s">
        <v>501</v>
      </c>
      <c r="EM511" s="15" t="str">
        <f>IFERROR(__xludf.DUMMYFUNCTION("""COMPUTED_VALUE"""),"")</f>
        <v/>
      </c>
      <c r="EW511" s="15" t="s">
        <v>1807</v>
      </c>
      <c r="EX511" s="15" t="s">
        <v>2840</v>
      </c>
      <c r="EY511" s="15" t="s">
        <v>2840</v>
      </c>
      <c r="FH511" s="15" t="s">
        <v>784</v>
      </c>
      <c r="FI511" s="15" t="s">
        <v>788</v>
      </c>
      <c r="FJ511" s="15" t="s">
        <v>784</v>
      </c>
      <c r="FK511" s="15" t="s">
        <v>784</v>
      </c>
      <c r="FL511" s="15" t="s">
        <v>426</v>
      </c>
      <c r="FM511" s="15">
        <v>1.0</v>
      </c>
      <c r="FN511" s="15">
        <v>0.0</v>
      </c>
    </row>
    <row r="512" ht="15.75" customHeight="1">
      <c r="A512" s="14" t="s">
        <v>391</v>
      </c>
      <c r="B512" s="15" t="s">
        <v>6013</v>
      </c>
      <c r="C512" s="16"/>
      <c r="D512" s="15" t="s">
        <v>432</v>
      </c>
      <c r="G512" s="14" t="s">
        <v>393</v>
      </c>
      <c r="H512" s="14" t="s">
        <v>394</v>
      </c>
      <c r="I512" s="14" t="b">
        <v>1</v>
      </c>
      <c r="J512" s="14" t="s">
        <v>395</v>
      </c>
      <c r="L512" s="14" t="b">
        <v>0</v>
      </c>
      <c r="M512" s="15" t="s">
        <v>6014</v>
      </c>
      <c r="N512" s="14" t="s">
        <v>393</v>
      </c>
      <c r="O512" s="14" t="s">
        <v>393</v>
      </c>
      <c r="P512" s="15" t="s">
        <v>397</v>
      </c>
      <c r="Q512" s="15" t="s">
        <v>1658</v>
      </c>
      <c r="T512" s="14" t="b">
        <v>0</v>
      </c>
      <c r="U512" s="15" t="s">
        <v>6015</v>
      </c>
      <c r="V512" s="15" t="s">
        <v>1671</v>
      </c>
      <c r="W512" s="15" t="s">
        <v>401</v>
      </c>
      <c r="X512" s="15" t="s">
        <v>695</v>
      </c>
      <c r="Y512" s="15">
        <v>1807.0</v>
      </c>
      <c r="AA512" s="15" t="str">
        <f t="shared" si="920"/>
        <v>695</v>
      </c>
      <c r="AB512" s="14" t="b">
        <v>1</v>
      </c>
      <c r="AC512" s="14" t="b">
        <v>1</v>
      </c>
      <c r="AD512" s="15" t="str">
        <f>"801542226138"</f>
        <v>801542226138</v>
      </c>
      <c r="AE512" s="15" t="s">
        <v>6016</v>
      </c>
      <c r="AF512" s="14" t="s">
        <v>404</v>
      </c>
      <c r="AG512" s="14" t="s">
        <v>405</v>
      </c>
      <c r="AH512" s="14" t="s">
        <v>406</v>
      </c>
      <c r="AI512" s="15">
        <v>0.0</v>
      </c>
      <c r="AL512" s="15" t="s">
        <v>1341</v>
      </c>
      <c r="AM512" s="15" t="s">
        <v>546</v>
      </c>
      <c r="AN512" s="15" t="s">
        <v>547</v>
      </c>
      <c r="AO512" s="15" t="s">
        <v>913</v>
      </c>
      <c r="AP512" s="15" t="s">
        <v>914</v>
      </c>
      <c r="AQ512" s="15" t="s">
        <v>546</v>
      </c>
      <c r="AR512" s="15" t="s">
        <v>547</v>
      </c>
      <c r="AS512" s="15" t="s">
        <v>915</v>
      </c>
      <c r="AT512" s="15" t="s">
        <v>1658</v>
      </c>
      <c r="AU512" s="15" t="s">
        <v>3557</v>
      </c>
      <c r="AW512" s="15" t="s">
        <v>706</v>
      </c>
      <c r="AX512" s="15" t="s">
        <v>707</v>
      </c>
      <c r="AY512" s="15" t="s">
        <v>413</v>
      </c>
      <c r="AZ512" s="15" t="b">
        <v>0</v>
      </c>
      <c r="BA512" s="15" t="s">
        <v>413</v>
      </c>
      <c r="BB512" s="15" t="b">
        <v>0</v>
      </c>
      <c r="BC512" s="15" t="s">
        <v>6017</v>
      </c>
      <c r="BD512" s="15" t="s">
        <v>709</v>
      </c>
      <c r="BE512" s="15" t="str">
        <f t="shared" si="905"/>
        <v>1</v>
      </c>
      <c r="BF512" s="15" t="s">
        <v>1477</v>
      </c>
      <c r="BG512" s="15" t="str">
        <f>"32.68"</f>
        <v>32.68</v>
      </c>
      <c r="BH512" s="15" t="s">
        <v>2066</v>
      </c>
      <c r="BI512" s="15" t="str">
        <f>"35.83"</f>
        <v>35.83</v>
      </c>
      <c r="BJ512" s="15" t="s">
        <v>1505</v>
      </c>
      <c r="BK512" s="15" t="str">
        <f>"31.89"</f>
        <v>31.89</v>
      </c>
      <c r="BL512" s="15" t="s">
        <v>1183</v>
      </c>
      <c r="BM512" s="15" t="str">
        <f>"67.24"</f>
        <v>67.24</v>
      </c>
      <c r="BN512" s="15" t="s">
        <v>3589</v>
      </c>
      <c r="BQ512" s="15" t="s">
        <v>444</v>
      </c>
      <c r="BS512" s="15" t="s">
        <v>444</v>
      </c>
      <c r="BU512" s="15" t="s">
        <v>444</v>
      </c>
      <c r="BW512" s="15" t="s">
        <v>444</v>
      </c>
      <c r="BZ512" s="15" t="s">
        <v>444</v>
      </c>
      <c r="CB512" s="15" t="s">
        <v>444</v>
      </c>
      <c r="CD512" s="15" t="s">
        <v>444</v>
      </c>
      <c r="CF512" s="15" t="s">
        <v>444</v>
      </c>
      <c r="CI512" s="15" t="s">
        <v>444</v>
      </c>
      <c r="CK512" s="15" t="s">
        <v>444</v>
      </c>
      <c r="CM512" s="15" t="s">
        <v>444</v>
      </c>
      <c r="CO512" s="15" t="s">
        <v>444</v>
      </c>
      <c r="CP512" s="15" t="str">
        <f>"17.48"</f>
        <v>17.48</v>
      </c>
      <c r="CQ512" s="15" t="str">
        <f>"0.495"</f>
        <v>0.495</v>
      </c>
      <c r="CR512" s="15" t="s">
        <v>465</v>
      </c>
      <c r="DB512" s="15" t="s">
        <v>1072</v>
      </c>
      <c r="DC512" s="15" t="str">
        <f>IFERROR(__xludf.DUMMYFUNCTION("""COMPUTED_VALUE"""),"{""value"":22.00,""unit"":""in""}")</f>
        <v>{"value":22.00,"unit":"in"}</v>
      </c>
      <c r="DD512" s="15" t="s">
        <v>6018</v>
      </c>
      <c r="DE512" s="15" t="str">
        <f>IFERROR(__xludf.DUMMYFUNCTION("""COMPUTED_VALUE"""),"{""value"":17.25,""unit"":""in""}")</f>
        <v>{"value":17.25,"unit":"in"}</v>
      </c>
      <c r="DF512" s="15" t="s">
        <v>1574</v>
      </c>
      <c r="DG512" s="15" t="str">
        <f>IFERROR(__xludf.DUMMYFUNCTION("""COMPUTED_VALUE"""),"{""value"":28.00,""unit"":""in""}")</f>
        <v>{"value":28.00,"unit":"in"}</v>
      </c>
      <c r="DH512" s="15">
        <v>0.0</v>
      </c>
      <c r="DI512" s="15">
        <v>1.0</v>
      </c>
      <c r="DJ512" s="15" t="s">
        <v>469</v>
      </c>
      <c r="DK512" s="15" t="s">
        <v>718</v>
      </c>
      <c r="DL512" s="15" t="str">
        <f>IFERROR(__xludf.DUMMYFUNCTION("""COMPUTED_VALUE"""),"Vacuum or light brush only. Do not use water or any cleaning products.")</f>
        <v>Vacuum or light brush only. Do not use water or any cleaning products.</v>
      </c>
      <c r="DM512" s="15" t="s">
        <v>719</v>
      </c>
      <c r="DT512" s="15" t="s">
        <v>721</v>
      </c>
      <c r="DU512" s="15" t="s">
        <v>419</v>
      </c>
      <c r="DV512" s="15">
        <v>0.0</v>
      </c>
      <c r="DZ512" s="15">
        <v>0.0</v>
      </c>
      <c r="EA512" s="15" t="s">
        <v>990</v>
      </c>
      <c r="EB512" s="15" t="s">
        <v>1016</v>
      </c>
      <c r="EC512" s="15" t="s">
        <v>3514</v>
      </c>
      <c r="ED512" s="15">
        <v>1.0</v>
      </c>
      <c r="EE512" s="15">
        <v>1.0</v>
      </c>
      <c r="EG512" s="15" t="s">
        <v>444</v>
      </c>
      <c r="EH512" s="15" t="s">
        <v>6019</v>
      </c>
      <c r="EI512" s="15">
        <v>0.0</v>
      </c>
      <c r="EJ512" s="15" t="s">
        <v>726</v>
      </c>
      <c r="EK512" s="15" t="s">
        <v>727</v>
      </c>
      <c r="EM512" s="15" t="str">
        <f>IFERROR(__xludf.DUMMYFUNCTION("""COMPUTED_VALUE"""),"")</f>
        <v/>
      </c>
      <c r="EW512" s="15" t="s">
        <v>652</v>
      </c>
      <c r="EX512" s="15" t="s">
        <v>1214</v>
      </c>
      <c r="EY512" s="15" t="s">
        <v>1328</v>
      </c>
      <c r="EZ512" s="15" t="s">
        <v>1982</v>
      </c>
      <c r="FC512" s="15" t="s">
        <v>1016</v>
      </c>
      <c r="FD512" s="15" t="s">
        <v>3514</v>
      </c>
      <c r="FF512" s="15" t="s">
        <v>1239</v>
      </c>
      <c r="FQ512" s="15">
        <v>0.0</v>
      </c>
      <c r="FR512" s="15">
        <v>0.0</v>
      </c>
      <c r="FS512" s="15" t="s">
        <v>3362</v>
      </c>
      <c r="FT512" s="15">
        <v>0.0</v>
      </c>
    </row>
    <row r="513" ht="15.75" customHeight="1">
      <c r="A513" s="14" t="s">
        <v>391</v>
      </c>
      <c r="B513" s="15" t="s">
        <v>6020</v>
      </c>
      <c r="C513" s="16"/>
      <c r="D513" s="15" t="s">
        <v>432</v>
      </c>
      <c r="G513" s="14" t="s">
        <v>393</v>
      </c>
      <c r="H513" s="14" t="s">
        <v>394</v>
      </c>
      <c r="I513" s="14" t="b">
        <v>1</v>
      </c>
      <c r="J513" s="14" t="s">
        <v>395</v>
      </c>
      <c r="L513" s="14" t="b">
        <v>0</v>
      </c>
      <c r="M513" s="15" t="s">
        <v>6021</v>
      </c>
      <c r="N513" s="14" t="s">
        <v>393</v>
      </c>
      <c r="O513" s="14" t="s">
        <v>393</v>
      </c>
      <c r="P513" s="15" t="s">
        <v>397</v>
      </c>
      <c r="Q513" s="15" t="s">
        <v>4231</v>
      </c>
      <c r="T513" s="14" t="b">
        <v>0</v>
      </c>
      <c r="U513" s="15" t="s">
        <v>6022</v>
      </c>
      <c r="V513" s="15" t="s">
        <v>6023</v>
      </c>
      <c r="W513" s="15" t="s">
        <v>401</v>
      </c>
      <c r="X513" s="15" t="s">
        <v>695</v>
      </c>
      <c r="Y513" s="15">
        <v>1755.0</v>
      </c>
      <c r="AA513" s="15" t="str">
        <f>"675"</f>
        <v>675</v>
      </c>
      <c r="AB513" s="14" t="b">
        <v>1</v>
      </c>
      <c r="AC513" s="14" t="b">
        <v>1</v>
      </c>
      <c r="AD513" s="15" t="str">
        <f>"801542065959"</f>
        <v>801542065959</v>
      </c>
      <c r="AE513" s="15" t="s">
        <v>6024</v>
      </c>
      <c r="AF513" s="14" t="s">
        <v>404</v>
      </c>
      <c r="AG513" s="14" t="s">
        <v>405</v>
      </c>
      <c r="AH513" s="14" t="s">
        <v>406</v>
      </c>
      <c r="AI513" s="15">
        <v>0.0</v>
      </c>
      <c r="AL513" s="15" t="s">
        <v>2799</v>
      </c>
      <c r="AM513" s="15" t="s">
        <v>6025</v>
      </c>
      <c r="AN513" s="15" t="s">
        <v>6026</v>
      </c>
      <c r="AO513" s="15" t="s">
        <v>1274</v>
      </c>
      <c r="AP513" s="15" t="s">
        <v>1275</v>
      </c>
      <c r="AQ513" s="15" t="s">
        <v>4051</v>
      </c>
      <c r="AR513" s="15" t="s">
        <v>4052</v>
      </c>
      <c r="AS513" s="15" t="s">
        <v>2800</v>
      </c>
      <c r="AT513" s="15" t="s">
        <v>4231</v>
      </c>
      <c r="AU513" s="15" t="s">
        <v>4226</v>
      </c>
      <c r="AW513" s="15" t="s">
        <v>1226</v>
      </c>
      <c r="AY513" s="15" t="s">
        <v>413</v>
      </c>
      <c r="AZ513" s="15" t="b">
        <v>0</v>
      </c>
      <c r="BA513" s="15" t="s">
        <v>413</v>
      </c>
      <c r="BB513" s="15" t="b">
        <v>0</v>
      </c>
      <c r="BC513" s="15" t="s">
        <v>6027</v>
      </c>
      <c r="BD513" s="15" t="s">
        <v>709</v>
      </c>
      <c r="BE513" s="15" t="str">
        <f t="shared" si="905"/>
        <v>1</v>
      </c>
      <c r="BF513" s="15" t="s">
        <v>416</v>
      </c>
      <c r="BG513" s="15" t="str">
        <f>"72.83"</f>
        <v>72.83</v>
      </c>
      <c r="BH513" s="15" t="s">
        <v>6028</v>
      </c>
      <c r="BI513" s="15" t="str">
        <f>"34.65"</f>
        <v>34.65</v>
      </c>
      <c r="BJ513" s="15" t="s">
        <v>1229</v>
      </c>
      <c r="BK513" s="15" t="str">
        <f>"21.06"</f>
        <v>21.06</v>
      </c>
      <c r="BL513" s="15" t="s">
        <v>3187</v>
      </c>
      <c r="BM513" s="15" t="str">
        <f>"80.58"</f>
        <v>80.58</v>
      </c>
      <c r="BN513" s="15" t="s">
        <v>6029</v>
      </c>
      <c r="BQ513" s="15" t="s">
        <v>444</v>
      </c>
      <c r="BS513" s="15" t="s">
        <v>444</v>
      </c>
      <c r="BU513" s="15" t="s">
        <v>444</v>
      </c>
      <c r="BW513" s="15" t="s">
        <v>444</v>
      </c>
      <c r="BZ513" s="15" t="s">
        <v>444</v>
      </c>
      <c r="CB513" s="15" t="s">
        <v>444</v>
      </c>
      <c r="CD513" s="15" t="s">
        <v>444</v>
      </c>
      <c r="CF513" s="15" t="s">
        <v>444</v>
      </c>
      <c r="CI513" s="15" t="s">
        <v>444</v>
      </c>
      <c r="CK513" s="15" t="s">
        <v>444</v>
      </c>
      <c r="CM513" s="15" t="s">
        <v>444</v>
      </c>
      <c r="CO513" s="15" t="s">
        <v>444</v>
      </c>
      <c r="CP513" s="15" t="str">
        <f>"30.76"</f>
        <v>30.76</v>
      </c>
      <c r="CQ513" s="15" t="str">
        <f>"0.871"</f>
        <v>0.871</v>
      </c>
      <c r="CR513" s="15" t="s">
        <v>465</v>
      </c>
      <c r="DB513" s="15" t="s">
        <v>3512</v>
      </c>
      <c r="DC513" s="15" t="str">
        <f>IFERROR(__xludf.DUMMYFUNCTION("""COMPUTED_VALUE"""),"{""value"":28.35,""unit"":""in""}")</f>
        <v>{"value":28.35,"unit":"in"}</v>
      </c>
      <c r="DD513" s="15" t="s">
        <v>4568</v>
      </c>
      <c r="DE513" s="15" t="str">
        <f>IFERROR(__xludf.DUMMYFUNCTION("""COMPUTED_VALUE"""),"{""value"":18.31,""unit"":""in""}")</f>
        <v>{"value":18.31,"unit":"in"}</v>
      </c>
      <c r="DF513" s="15" t="s">
        <v>4554</v>
      </c>
      <c r="DG513" s="15" t="str">
        <f>IFERROR(__xludf.DUMMYFUNCTION("""COMPUTED_VALUE"""),"{""value"":70.87,""unit"":""in""}")</f>
        <v>{"value":70.87,"unit":"in"}</v>
      </c>
      <c r="DH513" s="15">
        <v>0.0</v>
      </c>
      <c r="DI513" s="15">
        <v>0.0</v>
      </c>
      <c r="DJ513" s="15" t="s">
        <v>469</v>
      </c>
      <c r="DK513" s="15" t="s">
        <v>718</v>
      </c>
      <c r="DL513" s="15" t="str">
        <f>IFERROR(__xludf.DUMMYFUNCTION("""COMPUTED_VALUE"""),"Vacuum or light brush only. Do not use water or any cleaning products.")</f>
        <v>Vacuum or light brush only. Do not use water or any cleaning products.</v>
      </c>
      <c r="DM513" s="15" t="s">
        <v>719</v>
      </c>
      <c r="DT513" s="15" t="s">
        <v>721</v>
      </c>
      <c r="DU513" s="15" t="s">
        <v>419</v>
      </c>
      <c r="DV513" s="15">
        <v>1.0</v>
      </c>
      <c r="DZ513" s="15">
        <v>0.0</v>
      </c>
      <c r="EA513" s="15" t="s">
        <v>990</v>
      </c>
      <c r="EB513" s="15" t="s">
        <v>1016</v>
      </c>
      <c r="EC513" s="15" t="s">
        <v>3514</v>
      </c>
      <c r="ED513" s="15">
        <v>1.0</v>
      </c>
      <c r="EE513" s="15">
        <v>3.0</v>
      </c>
      <c r="EG513" s="15" t="s">
        <v>444</v>
      </c>
      <c r="EH513" s="15" t="s">
        <v>6030</v>
      </c>
      <c r="EI513" s="15">
        <v>0.0</v>
      </c>
      <c r="EJ513" s="15" t="s">
        <v>473</v>
      </c>
      <c r="EK513" s="15" t="s">
        <v>474</v>
      </c>
      <c r="EM513" s="15" t="str">
        <f>IFERROR(__xludf.DUMMYFUNCTION("""COMPUTED_VALUE"""),"")</f>
        <v/>
      </c>
      <c r="EW513" s="15" t="s">
        <v>866</v>
      </c>
      <c r="EX513" s="15" t="s">
        <v>673</v>
      </c>
      <c r="EY513" s="15" t="s">
        <v>6031</v>
      </c>
      <c r="FF513" s="15" t="s">
        <v>1239</v>
      </c>
      <c r="FO513" s="15" t="s">
        <v>4554</v>
      </c>
      <c r="FP513" s="15" t="s">
        <v>4554</v>
      </c>
      <c r="FS513" s="15" t="s">
        <v>3362</v>
      </c>
      <c r="JG513" s="15" t="s">
        <v>762</v>
      </c>
      <c r="JH513" s="15" t="s">
        <v>762</v>
      </c>
      <c r="JI513" s="15" t="s">
        <v>555</v>
      </c>
      <c r="JJ513" s="15" t="s">
        <v>2200</v>
      </c>
      <c r="JK513" s="15" t="s">
        <v>426</v>
      </c>
    </row>
    <row r="514" ht="15.75" customHeight="1">
      <c r="A514" s="14" t="s">
        <v>391</v>
      </c>
      <c r="B514" s="15" t="s">
        <v>6032</v>
      </c>
      <c r="C514" s="16"/>
      <c r="D514" s="15" t="s">
        <v>432</v>
      </c>
      <c r="G514" s="14" t="s">
        <v>393</v>
      </c>
      <c r="H514" s="14" t="s">
        <v>394</v>
      </c>
      <c r="I514" s="14" t="b">
        <v>1</v>
      </c>
      <c r="J514" s="14" t="s">
        <v>395</v>
      </c>
      <c r="L514" s="14" t="b">
        <v>0</v>
      </c>
      <c r="M514" s="15" t="s">
        <v>6033</v>
      </c>
      <c r="N514" s="14" t="s">
        <v>393</v>
      </c>
      <c r="O514" s="14" t="s">
        <v>393</v>
      </c>
      <c r="P514" s="15" t="s">
        <v>397</v>
      </c>
      <c r="Q514" s="15" t="s">
        <v>4832</v>
      </c>
      <c r="T514" s="14" t="b">
        <v>0</v>
      </c>
      <c r="U514" s="15" t="s">
        <v>6034</v>
      </c>
      <c r="V514" s="15" t="s">
        <v>1798</v>
      </c>
      <c r="W514" s="15" t="s">
        <v>401</v>
      </c>
      <c r="X514" s="15" t="s">
        <v>742</v>
      </c>
      <c r="Y514" s="15">
        <v>1209.0</v>
      </c>
      <c r="AA514" s="15" t="str">
        <f>"465"</f>
        <v>465</v>
      </c>
      <c r="AB514" s="14" t="b">
        <v>1</v>
      </c>
      <c r="AC514" s="14" t="b">
        <v>1</v>
      </c>
      <c r="AD514" s="15" t="str">
        <f>"801542382070"</f>
        <v>801542382070</v>
      </c>
      <c r="AE514" s="15" t="s">
        <v>6035</v>
      </c>
      <c r="AF514" s="14" t="s">
        <v>404</v>
      </c>
      <c r="AG514" s="14" t="s">
        <v>405</v>
      </c>
      <c r="AH514" s="14" t="s">
        <v>406</v>
      </c>
      <c r="AI514" s="15">
        <v>0.0</v>
      </c>
      <c r="AL514" s="15" t="s">
        <v>4835</v>
      </c>
      <c r="AM514" s="15" t="s">
        <v>701</v>
      </c>
      <c r="AN514" s="15" t="s">
        <v>702</v>
      </c>
      <c r="AO514" s="15" t="s">
        <v>3234</v>
      </c>
      <c r="AP514" s="15" t="s">
        <v>3235</v>
      </c>
      <c r="AQ514" s="15" t="s">
        <v>546</v>
      </c>
      <c r="AR514" s="15" t="s">
        <v>547</v>
      </c>
      <c r="AS514" s="15" t="s">
        <v>2063</v>
      </c>
      <c r="AT514" s="15" t="s">
        <v>4832</v>
      </c>
      <c r="AU514" s="15" t="s">
        <v>6036</v>
      </c>
      <c r="AW514" s="15" t="s">
        <v>706</v>
      </c>
      <c r="AX514" s="15" t="s">
        <v>707</v>
      </c>
      <c r="AY514" s="15" t="s">
        <v>413</v>
      </c>
      <c r="AZ514" s="15" t="b">
        <v>0</v>
      </c>
      <c r="BA514" s="15" t="s">
        <v>426</v>
      </c>
      <c r="BB514" s="15" t="b">
        <v>1</v>
      </c>
      <c r="BC514" s="15" t="s">
        <v>6037</v>
      </c>
      <c r="BD514" s="15" t="s">
        <v>742</v>
      </c>
      <c r="BE514" s="15" t="str">
        <f t="shared" si="905"/>
        <v>1</v>
      </c>
      <c r="BF514" s="15" t="s">
        <v>6038</v>
      </c>
      <c r="BG514" s="15" t="str">
        <f>"40.35"</f>
        <v>40.35</v>
      </c>
      <c r="BH514" s="15" t="s">
        <v>920</v>
      </c>
      <c r="BI514" s="15" t="str">
        <f>"32.28"</f>
        <v>32.28</v>
      </c>
      <c r="BJ514" s="15" t="s">
        <v>954</v>
      </c>
      <c r="BK514" s="15" t="str">
        <f>"34.06"</f>
        <v>34.06</v>
      </c>
      <c r="BL514" s="15" t="s">
        <v>1571</v>
      </c>
      <c r="BM514" s="15" t="str">
        <f>"85.98"</f>
        <v>85.98</v>
      </c>
      <c r="BN514" s="15" t="s">
        <v>928</v>
      </c>
      <c r="BQ514" s="15" t="s">
        <v>444</v>
      </c>
      <c r="BS514" s="15" t="s">
        <v>444</v>
      </c>
      <c r="BU514" s="15" t="s">
        <v>444</v>
      </c>
      <c r="BW514" s="15" t="s">
        <v>444</v>
      </c>
      <c r="BZ514" s="15" t="s">
        <v>444</v>
      </c>
      <c r="CB514" s="15" t="s">
        <v>444</v>
      </c>
      <c r="CD514" s="15" t="s">
        <v>444</v>
      </c>
      <c r="CF514" s="15" t="s">
        <v>444</v>
      </c>
      <c r="CI514" s="15" t="s">
        <v>444</v>
      </c>
      <c r="CK514" s="15" t="s">
        <v>444</v>
      </c>
      <c r="CM514" s="15" t="s">
        <v>444</v>
      </c>
      <c r="CO514" s="15" t="s">
        <v>444</v>
      </c>
      <c r="CP514" s="15" t="str">
        <f>"25.67"</f>
        <v>25.67</v>
      </c>
      <c r="CQ514" s="15" t="str">
        <f>"0.727"</f>
        <v>0.727</v>
      </c>
      <c r="CR514" s="15" t="s">
        <v>417</v>
      </c>
      <c r="CY514" s="15" t="s">
        <v>4987</v>
      </c>
      <c r="CZ514" s="15" t="s">
        <v>1955</v>
      </c>
      <c r="DA514" s="15" t="s">
        <v>6039</v>
      </c>
      <c r="DB514" s="15" t="s">
        <v>3955</v>
      </c>
      <c r="DC514" s="15" t="str">
        <f>IFERROR(__xludf.DUMMYFUNCTION("""COMPUTED_VALUE"""),"{""value"":23.03,""unit"":""in""}")</f>
        <v>{"value":23.03,"unit":"in"}</v>
      </c>
      <c r="DD514" s="15" t="s">
        <v>1014</v>
      </c>
      <c r="DE514" s="15" t="str">
        <f>IFERROR(__xludf.DUMMYFUNCTION("""COMPUTED_VALUE"""),"{""value"":17.99,""unit"":""in""}")</f>
        <v>{"value":17.99,"unit":"in"}</v>
      </c>
      <c r="DG514" s="15" t="str">
        <f>IFERROR(__xludf.DUMMYFUNCTION("""COMPUTED_VALUE"""),"")</f>
        <v/>
      </c>
      <c r="DH514" s="15">
        <v>0.0</v>
      </c>
      <c r="DI514" s="15">
        <v>1.0</v>
      </c>
      <c r="DJ514" s="15" t="s">
        <v>717</v>
      </c>
      <c r="DK514" s="15" t="s">
        <v>855</v>
      </c>
      <c r="DL514" s="15" t="str">
        <f>IFERROR(__xludf.DUMMYFUNCTION("""COMPUTED_VALUE"""),"Clean with solvent-based (dry clean only) products. Do not use water.")</f>
        <v>Clean with solvent-based (dry clean only) products. Do not use water.</v>
      </c>
      <c r="DM514" s="15" t="s">
        <v>856</v>
      </c>
      <c r="DQ514" s="15" t="s">
        <v>6040</v>
      </c>
      <c r="DT514" s="15" t="s">
        <v>1111</v>
      </c>
      <c r="DU514" s="15" t="s">
        <v>419</v>
      </c>
      <c r="DV514" s="15">
        <v>0.0</v>
      </c>
      <c r="DZ514" s="15">
        <v>25000.0</v>
      </c>
      <c r="EA514" s="15" t="s">
        <v>2733</v>
      </c>
      <c r="EB514" s="15" t="s">
        <v>723</v>
      </c>
      <c r="EC514" s="15" t="s">
        <v>2200</v>
      </c>
      <c r="ED514" s="15">
        <v>1.0</v>
      </c>
      <c r="EE514" s="15">
        <v>1.0</v>
      </c>
      <c r="EG514" s="15" t="s">
        <v>444</v>
      </c>
      <c r="EH514" s="15" t="s">
        <v>6041</v>
      </c>
      <c r="EI514" s="15">
        <v>0.0</v>
      </c>
      <c r="EJ514" s="15" t="s">
        <v>726</v>
      </c>
      <c r="EK514" s="15" t="s">
        <v>727</v>
      </c>
      <c r="EL514" s="15" t="s">
        <v>6042</v>
      </c>
      <c r="EM514" s="15" t="str">
        <f>IFERROR(__xludf.DUMMYFUNCTION("""COMPUTED_VALUE"""),"{""value"":24.17,""unit"":""in""}")</f>
        <v>{"value":24.17,"unit":"in"}</v>
      </c>
      <c r="EN514" s="15" t="s">
        <v>6043</v>
      </c>
      <c r="EO514" s="15" t="s">
        <v>6044</v>
      </c>
      <c r="ES514" s="15" t="s">
        <v>1122</v>
      </c>
      <c r="ET514" s="15" t="s">
        <v>6045</v>
      </c>
      <c r="EU514" s="15" t="s">
        <v>669</v>
      </c>
      <c r="EV514" s="15" t="s">
        <v>4467</v>
      </c>
      <c r="EW514" s="15" t="s">
        <v>6046</v>
      </c>
      <c r="EX514" s="15" t="s">
        <v>2314</v>
      </c>
      <c r="EZ514" s="15" t="s">
        <v>6047</v>
      </c>
      <c r="FC514" s="15" t="s">
        <v>723</v>
      </c>
      <c r="FD514" s="15" t="s">
        <v>2200</v>
      </c>
      <c r="FL514" s="15" t="s">
        <v>426</v>
      </c>
      <c r="FO514" s="15" t="s">
        <v>4467</v>
      </c>
      <c r="FP514" s="15" t="s">
        <v>2346</v>
      </c>
      <c r="FQ514" s="15">
        <v>0.0</v>
      </c>
      <c r="FR514" s="15">
        <v>0.0</v>
      </c>
      <c r="FT514" s="15">
        <v>0.0</v>
      </c>
      <c r="KJ514" s="15" t="s">
        <v>6048</v>
      </c>
      <c r="KK514" s="15" t="s">
        <v>6049</v>
      </c>
    </row>
    <row r="515" ht="15.75" customHeight="1">
      <c r="A515" s="14" t="s">
        <v>391</v>
      </c>
      <c r="B515" s="15" t="s">
        <v>6050</v>
      </c>
      <c r="C515" s="16"/>
      <c r="D515" s="15" t="s">
        <v>432</v>
      </c>
      <c r="G515" s="14" t="s">
        <v>393</v>
      </c>
      <c r="H515" s="14" t="s">
        <v>394</v>
      </c>
      <c r="I515" s="14" t="b">
        <v>1</v>
      </c>
      <c r="J515" s="14" t="s">
        <v>395</v>
      </c>
      <c r="L515" s="14" t="b">
        <v>0</v>
      </c>
      <c r="M515" s="15" t="s">
        <v>6051</v>
      </c>
      <c r="N515" s="14" t="s">
        <v>393</v>
      </c>
      <c r="O515" s="14" t="s">
        <v>393</v>
      </c>
      <c r="P515" s="15" t="s">
        <v>397</v>
      </c>
      <c r="Q515" s="15" t="s">
        <v>2206</v>
      </c>
      <c r="T515" s="14" t="b">
        <v>0</v>
      </c>
      <c r="U515" s="15" t="s">
        <v>6052</v>
      </c>
      <c r="V515" s="15" t="s">
        <v>6053</v>
      </c>
      <c r="W515" s="15" t="s">
        <v>401</v>
      </c>
      <c r="X515" s="15" t="s">
        <v>1172</v>
      </c>
      <c r="Y515" s="15">
        <v>260.0</v>
      </c>
      <c r="AA515" s="15" t="str">
        <f t="shared" ref="AA515:AA516" si="921">"100"</f>
        <v>100</v>
      </c>
      <c r="AB515" s="14" t="b">
        <v>1</v>
      </c>
      <c r="AC515" s="14" t="b">
        <v>1</v>
      </c>
      <c r="AD515" s="15" t="str">
        <f>"801542723354"</f>
        <v>801542723354</v>
      </c>
      <c r="AE515" s="15" t="s">
        <v>6054</v>
      </c>
      <c r="AF515" s="14" t="s">
        <v>404</v>
      </c>
      <c r="AG515" s="14" t="s">
        <v>405</v>
      </c>
      <c r="AH515" s="14" t="s">
        <v>406</v>
      </c>
      <c r="AI515" s="15">
        <v>0.0</v>
      </c>
      <c r="AL515" s="15" t="s">
        <v>2210</v>
      </c>
      <c r="AM515" s="15" t="s">
        <v>6055</v>
      </c>
      <c r="AN515" s="15" t="s">
        <v>6056</v>
      </c>
      <c r="AO515" s="15" t="s">
        <v>6055</v>
      </c>
      <c r="AP515" s="15" t="s">
        <v>6056</v>
      </c>
      <c r="AQ515" s="15" t="s">
        <v>624</v>
      </c>
      <c r="AR515" s="15" t="s">
        <v>625</v>
      </c>
      <c r="AS515" s="15" t="s">
        <v>2215</v>
      </c>
      <c r="AT515" s="15" t="s">
        <v>2206</v>
      </c>
      <c r="AU515" s="15" t="s">
        <v>6057</v>
      </c>
      <c r="AW515" s="15" t="s">
        <v>1154</v>
      </c>
      <c r="AY515" s="15" t="s">
        <v>413</v>
      </c>
      <c r="AZ515" s="15" t="b">
        <v>0</v>
      </c>
      <c r="BA515" s="15" t="s">
        <v>413</v>
      </c>
      <c r="BB515" s="15" t="b">
        <v>0</v>
      </c>
      <c r="BD515" s="15" t="s">
        <v>1181</v>
      </c>
      <c r="BE515" s="15" t="str">
        <f t="shared" si="905"/>
        <v>1</v>
      </c>
      <c r="BF515" s="15" t="s">
        <v>416</v>
      </c>
      <c r="BG515" s="15" t="str">
        <f t="shared" ref="BG515:BG516" si="922">"11.61"</f>
        <v>11.61</v>
      </c>
      <c r="BH515" s="15" t="s">
        <v>4546</v>
      </c>
      <c r="BI515" s="15" t="str">
        <f t="shared" ref="BI515:BI516" si="923">"11.61"</f>
        <v>11.61</v>
      </c>
      <c r="BJ515" s="15" t="s">
        <v>4546</v>
      </c>
      <c r="BK515" s="15" t="str">
        <f t="shared" ref="BK515:BK516" si="924">"24.21"</f>
        <v>24.21</v>
      </c>
      <c r="BL515" s="15" t="s">
        <v>463</v>
      </c>
      <c r="BM515" s="15" t="str">
        <f t="shared" ref="BM515:BM516" si="925">"12.68"</f>
        <v>12.68</v>
      </c>
      <c r="BN515" s="15" t="s">
        <v>6058</v>
      </c>
      <c r="BQ515" s="15" t="s">
        <v>444</v>
      </c>
      <c r="BS515" s="15" t="s">
        <v>444</v>
      </c>
      <c r="BU515" s="15" t="s">
        <v>444</v>
      </c>
      <c r="BW515" s="15" t="s">
        <v>444</v>
      </c>
      <c r="BZ515" s="15" t="s">
        <v>444</v>
      </c>
      <c r="CB515" s="15" t="s">
        <v>444</v>
      </c>
      <c r="CD515" s="15" t="s">
        <v>444</v>
      </c>
      <c r="CF515" s="15" t="s">
        <v>444</v>
      </c>
      <c r="CI515" s="15" t="s">
        <v>444</v>
      </c>
      <c r="CK515" s="15" t="s">
        <v>444</v>
      </c>
      <c r="CM515" s="15" t="s">
        <v>444</v>
      </c>
      <c r="CO515" s="15" t="s">
        <v>444</v>
      </c>
      <c r="CP515" s="15" t="str">
        <f t="shared" ref="CP515:CP516" si="926">"1.91"</f>
        <v>1.91</v>
      </c>
      <c r="CQ515" s="15" t="str">
        <f t="shared" ref="CQ515:CQ516" si="927">"0.054"</f>
        <v>0.054</v>
      </c>
      <c r="CR515" s="15" t="s">
        <v>465</v>
      </c>
      <c r="DC515" s="15" t="str">
        <f>IFERROR(__xludf.DUMMYFUNCTION("""COMPUTED_VALUE"""),"")</f>
        <v/>
      </c>
      <c r="DE515" s="15" t="str">
        <f>IFERROR(__xludf.DUMMYFUNCTION("""COMPUTED_VALUE"""),"")</f>
        <v/>
      </c>
      <c r="DG515" s="15" t="str">
        <f>IFERROR(__xludf.DUMMYFUNCTION("""COMPUTED_VALUE"""),"")</f>
        <v/>
      </c>
      <c r="DL515" s="15" t="str">
        <f>IFERROR(__xludf.DUMMYFUNCTION("""COMPUTED_VALUE"""),"")</f>
        <v/>
      </c>
      <c r="DM515" s="15" t="s">
        <v>444</v>
      </c>
      <c r="DN515" s="15" t="s">
        <v>419</v>
      </c>
      <c r="DO515" s="15">
        <v>0.0</v>
      </c>
      <c r="DP515" s="15" t="s">
        <v>419</v>
      </c>
      <c r="DR515" s="15">
        <v>0.0</v>
      </c>
      <c r="DU515" s="15" t="s">
        <v>419</v>
      </c>
      <c r="DY515" s="15">
        <v>0.0</v>
      </c>
      <c r="EF515" s="15" t="s">
        <v>1157</v>
      </c>
      <c r="EG515" s="15" t="s">
        <v>1158</v>
      </c>
      <c r="EH515" s="15" t="s">
        <v>6059</v>
      </c>
      <c r="EJ515" s="15" t="s">
        <v>500</v>
      </c>
      <c r="EK515" s="15" t="s">
        <v>501</v>
      </c>
      <c r="EM515" s="15" t="str">
        <f>IFERROR(__xludf.DUMMYFUNCTION("""COMPUTED_VALUE"""),"")</f>
        <v/>
      </c>
      <c r="EW515" s="15" t="s">
        <v>2738</v>
      </c>
      <c r="FH515" s="15" t="s">
        <v>2473</v>
      </c>
      <c r="FI515" s="15" t="s">
        <v>4256</v>
      </c>
      <c r="FJ515" s="15" t="s">
        <v>2473</v>
      </c>
      <c r="FK515" s="15" t="s">
        <v>4469</v>
      </c>
      <c r="FM515" s="15">
        <v>0.0</v>
      </c>
      <c r="FN515" s="15">
        <v>0.0</v>
      </c>
      <c r="FW515" s="15" t="s">
        <v>1444</v>
      </c>
    </row>
    <row r="516" ht="15.75" customHeight="1">
      <c r="A516" s="14" t="s">
        <v>391</v>
      </c>
      <c r="B516" s="15" t="s">
        <v>6050</v>
      </c>
      <c r="C516" s="16"/>
      <c r="D516" s="15" t="s">
        <v>432</v>
      </c>
      <c r="G516" s="14" t="s">
        <v>393</v>
      </c>
      <c r="H516" s="14" t="s">
        <v>394</v>
      </c>
      <c r="I516" s="14" t="b">
        <v>1</v>
      </c>
      <c r="J516" s="14" t="s">
        <v>395</v>
      </c>
      <c r="L516" s="14" t="b">
        <v>0</v>
      </c>
      <c r="M516" s="15" t="s">
        <v>6060</v>
      </c>
      <c r="N516" s="14" t="s">
        <v>393</v>
      </c>
      <c r="O516" s="14" t="s">
        <v>393</v>
      </c>
      <c r="P516" s="15" t="s">
        <v>397</v>
      </c>
      <c r="Q516" s="15" t="s">
        <v>4929</v>
      </c>
      <c r="T516" s="14" t="b">
        <v>0</v>
      </c>
      <c r="U516" s="15" t="s">
        <v>6061</v>
      </c>
      <c r="V516" s="15" t="s">
        <v>6053</v>
      </c>
      <c r="W516" s="15" t="s">
        <v>401</v>
      </c>
      <c r="X516" s="15" t="s">
        <v>1172</v>
      </c>
      <c r="Y516" s="15">
        <v>260.0</v>
      </c>
      <c r="AA516" s="15" t="str">
        <f t="shared" si="921"/>
        <v>100</v>
      </c>
      <c r="AB516" s="14" t="b">
        <v>1</v>
      </c>
      <c r="AC516" s="14" t="b">
        <v>1</v>
      </c>
      <c r="AD516" s="15" t="str">
        <f>"801542761011"</f>
        <v>801542761011</v>
      </c>
      <c r="AE516" s="15" t="s">
        <v>6062</v>
      </c>
      <c r="AF516" s="14" t="s">
        <v>404</v>
      </c>
      <c r="AG516" s="14" t="s">
        <v>405</v>
      </c>
      <c r="AH516" s="14" t="s">
        <v>406</v>
      </c>
      <c r="AI516" s="15">
        <v>0.0</v>
      </c>
      <c r="AL516" s="15" t="s">
        <v>2210</v>
      </c>
      <c r="AM516" s="15" t="s">
        <v>6055</v>
      </c>
      <c r="AN516" s="15" t="s">
        <v>6056</v>
      </c>
      <c r="AO516" s="15" t="s">
        <v>6055</v>
      </c>
      <c r="AP516" s="15" t="s">
        <v>6056</v>
      </c>
      <c r="AQ516" s="15" t="s">
        <v>624</v>
      </c>
      <c r="AR516" s="15" t="s">
        <v>625</v>
      </c>
      <c r="AS516" s="15" t="s">
        <v>2215</v>
      </c>
      <c r="AT516" s="15" t="s">
        <v>4929</v>
      </c>
      <c r="AU516" s="15" t="s">
        <v>6057</v>
      </c>
      <c r="AW516" s="15" t="s">
        <v>1154</v>
      </c>
      <c r="AY516" s="15" t="s">
        <v>413</v>
      </c>
      <c r="AZ516" s="15" t="b">
        <v>0</v>
      </c>
      <c r="BA516" s="15" t="s">
        <v>413</v>
      </c>
      <c r="BB516" s="15" t="b">
        <v>0</v>
      </c>
      <c r="BD516" s="15" t="s">
        <v>1181</v>
      </c>
      <c r="BE516" s="15" t="str">
        <f t="shared" si="905"/>
        <v>1</v>
      </c>
      <c r="BF516" s="15" t="s">
        <v>416</v>
      </c>
      <c r="BG516" s="15" t="str">
        <f t="shared" si="922"/>
        <v>11.61</v>
      </c>
      <c r="BH516" s="15" t="s">
        <v>4546</v>
      </c>
      <c r="BI516" s="15" t="str">
        <f t="shared" si="923"/>
        <v>11.61</v>
      </c>
      <c r="BJ516" s="15" t="s">
        <v>4546</v>
      </c>
      <c r="BK516" s="15" t="str">
        <f t="shared" si="924"/>
        <v>24.21</v>
      </c>
      <c r="BL516" s="15" t="s">
        <v>463</v>
      </c>
      <c r="BM516" s="15" t="str">
        <f t="shared" si="925"/>
        <v>12.68</v>
      </c>
      <c r="BN516" s="15" t="s">
        <v>6058</v>
      </c>
      <c r="BQ516" s="15" t="s">
        <v>444</v>
      </c>
      <c r="BS516" s="15" t="s">
        <v>444</v>
      </c>
      <c r="BU516" s="15" t="s">
        <v>444</v>
      </c>
      <c r="BW516" s="15" t="s">
        <v>444</v>
      </c>
      <c r="BZ516" s="15" t="s">
        <v>444</v>
      </c>
      <c r="CB516" s="15" t="s">
        <v>444</v>
      </c>
      <c r="CD516" s="15" t="s">
        <v>444</v>
      </c>
      <c r="CF516" s="15" t="s">
        <v>444</v>
      </c>
      <c r="CI516" s="15" t="s">
        <v>444</v>
      </c>
      <c r="CK516" s="15" t="s">
        <v>444</v>
      </c>
      <c r="CM516" s="15" t="s">
        <v>444</v>
      </c>
      <c r="CO516" s="15" t="s">
        <v>444</v>
      </c>
      <c r="CP516" s="15" t="str">
        <f t="shared" si="926"/>
        <v>1.91</v>
      </c>
      <c r="CQ516" s="15" t="str">
        <f t="shared" si="927"/>
        <v>0.054</v>
      </c>
      <c r="CR516" s="15" t="s">
        <v>465</v>
      </c>
      <c r="DC516" s="15" t="str">
        <f>IFERROR(__xludf.DUMMYFUNCTION("""COMPUTED_VALUE"""),"")</f>
        <v/>
      </c>
      <c r="DE516" s="15" t="str">
        <f>IFERROR(__xludf.DUMMYFUNCTION("""COMPUTED_VALUE"""),"")</f>
        <v/>
      </c>
      <c r="DG516" s="15" t="str">
        <f>IFERROR(__xludf.DUMMYFUNCTION("""COMPUTED_VALUE"""),"")</f>
        <v/>
      </c>
      <c r="DL516" s="15" t="str">
        <f>IFERROR(__xludf.DUMMYFUNCTION("""COMPUTED_VALUE"""),"")</f>
        <v/>
      </c>
      <c r="DM516" s="15" t="s">
        <v>444</v>
      </c>
      <c r="DN516" s="15" t="s">
        <v>419</v>
      </c>
      <c r="DO516" s="15">
        <v>0.0</v>
      </c>
      <c r="DP516" s="15" t="s">
        <v>419</v>
      </c>
      <c r="DR516" s="15">
        <v>0.0</v>
      </c>
      <c r="DU516" s="15" t="s">
        <v>419</v>
      </c>
      <c r="DY516" s="15">
        <v>0.0</v>
      </c>
      <c r="EF516" s="15" t="s">
        <v>1157</v>
      </c>
      <c r="EG516" s="15" t="s">
        <v>1158</v>
      </c>
      <c r="EH516" s="15" t="s">
        <v>6059</v>
      </c>
      <c r="EJ516" s="15" t="s">
        <v>500</v>
      </c>
      <c r="EK516" s="15" t="s">
        <v>501</v>
      </c>
      <c r="EM516" s="15" t="str">
        <f>IFERROR(__xludf.DUMMYFUNCTION("""COMPUTED_VALUE"""),"")</f>
        <v/>
      </c>
      <c r="EW516" s="15" t="s">
        <v>2738</v>
      </c>
      <c r="FH516" s="15" t="s">
        <v>2473</v>
      </c>
      <c r="FI516" s="15" t="s">
        <v>4256</v>
      </c>
      <c r="FJ516" s="15" t="s">
        <v>2473</v>
      </c>
      <c r="FK516" s="15" t="s">
        <v>4469</v>
      </c>
      <c r="FM516" s="15">
        <v>0.0</v>
      </c>
      <c r="FN516" s="15">
        <v>0.0</v>
      </c>
      <c r="FW516" s="15" t="s">
        <v>1444</v>
      </c>
    </row>
    <row r="517" ht="15.75" customHeight="1">
      <c r="A517" s="14" t="s">
        <v>391</v>
      </c>
      <c r="B517" s="15" t="s">
        <v>6063</v>
      </c>
      <c r="C517" s="16"/>
      <c r="D517" s="15" t="s">
        <v>432</v>
      </c>
      <c r="G517" s="14" t="s">
        <v>393</v>
      </c>
      <c r="H517" s="14" t="s">
        <v>394</v>
      </c>
      <c r="I517" s="14" t="b">
        <v>1</v>
      </c>
      <c r="J517" s="14" t="s">
        <v>395</v>
      </c>
      <c r="L517" s="14" t="b">
        <v>0</v>
      </c>
      <c r="M517" s="15" t="s">
        <v>6064</v>
      </c>
      <c r="N517" s="14" t="s">
        <v>393</v>
      </c>
      <c r="O517" s="14" t="s">
        <v>393</v>
      </c>
      <c r="P517" s="15" t="s">
        <v>397</v>
      </c>
      <c r="Q517" s="15" t="s">
        <v>1663</v>
      </c>
      <c r="T517" s="14" t="b">
        <v>0</v>
      </c>
      <c r="U517" s="15" t="s">
        <v>6065</v>
      </c>
      <c r="V517" s="15" t="s">
        <v>6066</v>
      </c>
      <c r="W517" s="15" t="s">
        <v>401</v>
      </c>
      <c r="X517" s="15" t="s">
        <v>695</v>
      </c>
      <c r="Y517" s="15">
        <v>1209.0</v>
      </c>
      <c r="AA517" s="15" t="str">
        <f>"465"</f>
        <v>465</v>
      </c>
      <c r="AB517" s="14" t="b">
        <v>1</v>
      </c>
      <c r="AC517" s="14" t="b">
        <v>1</v>
      </c>
      <c r="AD517" s="15" t="str">
        <f>"801542770488"</f>
        <v>801542770488</v>
      </c>
      <c r="AE517" s="15" t="s">
        <v>6067</v>
      </c>
      <c r="AF517" s="14" t="s">
        <v>404</v>
      </c>
      <c r="AG517" s="14" t="s">
        <v>405</v>
      </c>
      <c r="AH517" s="14" t="s">
        <v>406</v>
      </c>
      <c r="AI517" s="15">
        <v>0.0</v>
      </c>
      <c r="AL517" s="15" t="s">
        <v>1666</v>
      </c>
      <c r="AM517" s="15" t="s">
        <v>1801</v>
      </c>
      <c r="AN517" s="15" t="s">
        <v>1322</v>
      </c>
      <c r="AO517" s="15" t="s">
        <v>2372</v>
      </c>
      <c r="AP517" s="15" t="s">
        <v>2373</v>
      </c>
      <c r="AQ517" s="15" t="s">
        <v>2061</v>
      </c>
      <c r="AR517" s="15" t="s">
        <v>2062</v>
      </c>
      <c r="AS517" s="15" t="s">
        <v>6068</v>
      </c>
      <c r="AT517" s="15" t="s">
        <v>1663</v>
      </c>
      <c r="AW517" s="15" t="s">
        <v>706</v>
      </c>
      <c r="AX517" s="15" t="s">
        <v>707</v>
      </c>
      <c r="AY517" s="15" t="s">
        <v>413</v>
      </c>
      <c r="AZ517" s="15" t="b">
        <v>0</v>
      </c>
      <c r="BA517" s="15" t="s">
        <v>413</v>
      </c>
      <c r="BB517" s="15" t="b">
        <v>0</v>
      </c>
      <c r="BC517" s="15" t="s">
        <v>6069</v>
      </c>
      <c r="BD517" s="15" t="s">
        <v>709</v>
      </c>
      <c r="BE517" s="15" t="str">
        <f t="shared" si="905"/>
        <v>1</v>
      </c>
      <c r="BF517" s="15" t="s">
        <v>416</v>
      </c>
      <c r="BG517" s="15" t="str">
        <f>"38.98"</f>
        <v>38.98</v>
      </c>
      <c r="BH517" s="15" t="s">
        <v>927</v>
      </c>
      <c r="BI517" s="15" t="str">
        <f>"33.46"</f>
        <v>33.46</v>
      </c>
      <c r="BJ517" s="15" t="s">
        <v>1109</v>
      </c>
      <c r="BK517" s="15" t="str">
        <f>"25.98"</f>
        <v>25.98</v>
      </c>
      <c r="BL517" s="15" t="s">
        <v>522</v>
      </c>
      <c r="BM517" s="15" t="str">
        <f>"55.12"</f>
        <v>55.12</v>
      </c>
      <c r="BN517" s="15" t="s">
        <v>5847</v>
      </c>
      <c r="BQ517" s="15" t="s">
        <v>444</v>
      </c>
      <c r="BS517" s="15" t="s">
        <v>444</v>
      </c>
      <c r="BU517" s="15" t="s">
        <v>444</v>
      </c>
      <c r="BW517" s="15" t="s">
        <v>444</v>
      </c>
      <c r="BZ517" s="15" t="s">
        <v>444</v>
      </c>
      <c r="CB517" s="15" t="s">
        <v>444</v>
      </c>
      <c r="CD517" s="15" t="s">
        <v>444</v>
      </c>
      <c r="CF517" s="15" t="s">
        <v>444</v>
      </c>
      <c r="CI517" s="15" t="s">
        <v>444</v>
      </c>
      <c r="CK517" s="15" t="s">
        <v>444</v>
      </c>
      <c r="CM517" s="15" t="s">
        <v>444</v>
      </c>
      <c r="CO517" s="15" t="s">
        <v>444</v>
      </c>
      <c r="CP517" s="15" t="str">
        <f>"19.6"</f>
        <v>19.6</v>
      </c>
      <c r="CQ517" s="15" t="str">
        <f>"0.555"</f>
        <v>0.555</v>
      </c>
      <c r="CR517" s="15" t="s">
        <v>465</v>
      </c>
      <c r="DB517" s="15" t="s">
        <v>525</v>
      </c>
      <c r="DC517" s="15" t="str">
        <f>IFERROR(__xludf.DUMMYFUNCTION("""COMPUTED_VALUE"""),"{""value"":23.00,""unit"":""in""}")</f>
        <v>{"value":23.00,"unit":"in"}</v>
      </c>
      <c r="DD517" s="15" t="s">
        <v>1160</v>
      </c>
      <c r="DE517" s="15" t="str">
        <f>IFERROR(__xludf.DUMMYFUNCTION("""COMPUTED_VALUE"""),"{""value"":15.50,""unit"":""in""}")</f>
        <v>{"value":15.50,"unit":"in"}</v>
      </c>
      <c r="DF517" s="15" t="s">
        <v>1253</v>
      </c>
      <c r="DG517" s="15" t="str">
        <f>IFERROR(__xludf.DUMMYFUNCTION("""COMPUTED_VALUE"""),"{""value"":22.50,""unit"":""in""}")</f>
        <v>{"value":22.50,"unit":"in"}</v>
      </c>
      <c r="DH517" s="15">
        <v>0.0</v>
      </c>
      <c r="DI517" s="15">
        <v>0.0</v>
      </c>
      <c r="DJ517" s="15" t="s">
        <v>717</v>
      </c>
      <c r="DK517" s="15" t="s">
        <v>897</v>
      </c>
      <c r="DL517" s="15" t="str">
        <f>IFERROR(__xludf.DUMMYFUNCTION("""COMPUTED_VALUE"""),"Clean with water-based products only. Use mild detergent or upholstery shampoo.")</f>
        <v>Clean with water-based products only. Use mild detergent or upholstery shampoo.</v>
      </c>
      <c r="DM517" s="15" t="s">
        <v>898</v>
      </c>
      <c r="DT517" s="15" t="s">
        <v>721</v>
      </c>
      <c r="DU517" s="15" t="s">
        <v>419</v>
      </c>
      <c r="DV517" s="15">
        <v>0.0</v>
      </c>
      <c r="DZ517" s="15">
        <v>100000.0</v>
      </c>
      <c r="EA517" s="15" t="s">
        <v>990</v>
      </c>
      <c r="ED517" s="15">
        <v>0.0</v>
      </c>
      <c r="EE517" s="15">
        <v>1.0</v>
      </c>
      <c r="EG517" s="15" t="s">
        <v>444</v>
      </c>
      <c r="EH517" s="15" t="s">
        <v>6070</v>
      </c>
      <c r="EI517" s="15">
        <v>0.0</v>
      </c>
      <c r="EJ517" s="15" t="s">
        <v>726</v>
      </c>
      <c r="EK517" s="15" t="s">
        <v>727</v>
      </c>
      <c r="EL517" s="15" t="s">
        <v>467</v>
      </c>
      <c r="EM517" s="15" t="str">
        <f>IFERROR(__xludf.DUMMYFUNCTION("""COMPUTED_VALUE"""),"{""value"":19.00,""unit"":""in""}")</f>
        <v>{"value":19.00,"unit":"in"}</v>
      </c>
      <c r="EN517" s="15" t="s">
        <v>635</v>
      </c>
      <c r="EO517" s="15" t="s">
        <v>1993</v>
      </c>
      <c r="ES517" s="15" t="s">
        <v>3305</v>
      </c>
      <c r="EX517" s="15" t="s">
        <v>824</v>
      </c>
      <c r="EY517" s="15" t="s">
        <v>1253</v>
      </c>
      <c r="EZ517" s="15" t="s">
        <v>531</v>
      </c>
      <c r="FF517" s="15" t="s">
        <v>1255</v>
      </c>
      <c r="FQ517" s="15">
        <v>0.0</v>
      </c>
      <c r="FR517" s="15">
        <v>0.0</v>
      </c>
      <c r="FT517" s="15">
        <v>0.0</v>
      </c>
    </row>
    <row r="518" ht="15.75" customHeight="1">
      <c r="A518" s="14" t="s">
        <v>391</v>
      </c>
      <c r="B518" s="15" t="s">
        <v>6071</v>
      </c>
      <c r="C518" s="16"/>
      <c r="D518" s="15" t="s">
        <v>432</v>
      </c>
      <c r="G518" s="14" t="s">
        <v>393</v>
      </c>
      <c r="H518" s="14" t="s">
        <v>394</v>
      </c>
      <c r="I518" s="14" t="b">
        <v>1</v>
      </c>
      <c r="J518" s="14" t="s">
        <v>395</v>
      </c>
      <c r="L518" s="14" t="b">
        <v>0</v>
      </c>
      <c r="M518" s="15" t="s">
        <v>6072</v>
      </c>
      <c r="N518" s="14" t="s">
        <v>393</v>
      </c>
      <c r="O518" s="14" t="s">
        <v>393</v>
      </c>
      <c r="P518" s="15" t="s">
        <v>397</v>
      </c>
      <c r="Q518" s="15" t="s">
        <v>5657</v>
      </c>
      <c r="T518" s="14" t="b">
        <v>0</v>
      </c>
      <c r="U518" s="15" t="s">
        <v>6073</v>
      </c>
      <c r="V518" s="15" t="s">
        <v>2977</v>
      </c>
      <c r="W518" s="15" t="s">
        <v>401</v>
      </c>
      <c r="X518" s="15" t="s">
        <v>742</v>
      </c>
      <c r="Y518" s="15">
        <v>1638.0</v>
      </c>
      <c r="AA518" s="15" t="str">
        <f>"630"</f>
        <v>630</v>
      </c>
      <c r="AB518" s="14" t="b">
        <v>1</v>
      </c>
      <c r="AC518" s="14" t="b">
        <v>1</v>
      </c>
      <c r="AD518" s="15" t="str">
        <f>"801542347260"</f>
        <v>801542347260</v>
      </c>
      <c r="AE518" s="15" t="s">
        <v>6074</v>
      </c>
      <c r="AF518" s="14" t="s">
        <v>404</v>
      </c>
      <c r="AG518" s="14" t="s">
        <v>405</v>
      </c>
      <c r="AH518" s="14" t="s">
        <v>406</v>
      </c>
      <c r="AI518" s="15">
        <v>0.0</v>
      </c>
      <c r="AL518" s="15" t="s">
        <v>2354</v>
      </c>
      <c r="AM518" s="15" t="s">
        <v>2355</v>
      </c>
      <c r="AN518" s="15" t="s">
        <v>2356</v>
      </c>
      <c r="AO518" s="15" t="s">
        <v>1007</v>
      </c>
      <c r="AP518" s="15" t="s">
        <v>1008</v>
      </c>
      <c r="AQ518" s="15" t="s">
        <v>546</v>
      </c>
      <c r="AR518" s="15" t="s">
        <v>547</v>
      </c>
      <c r="AS518" s="15" t="s">
        <v>1896</v>
      </c>
      <c r="AT518" s="15" t="s">
        <v>5657</v>
      </c>
      <c r="AW518" s="15" t="s">
        <v>519</v>
      </c>
      <c r="AY518" s="15" t="s">
        <v>413</v>
      </c>
      <c r="AZ518" s="15" t="b">
        <v>0</v>
      </c>
      <c r="BA518" s="15" t="s">
        <v>413</v>
      </c>
      <c r="BB518" s="15" t="b">
        <v>0</v>
      </c>
      <c r="BC518" s="15" t="s">
        <v>6075</v>
      </c>
      <c r="BD518" s="15" t="s">
        <v>742</v>
      </c>
      <c r="BE518" s="15" t="str">
        <f t="shared" si="905"/>
        <v>1</v>
      </c>
      <c r="BF518" s="15" t="s">
        <v>5100</v>
      </c>
      <c r="BG518" s="15" t="str">
        <f>"82.68"</f>
        <v>82.68</v>
      </c>
      <c r="BH518" s="15" t="s">
        <v>6076</v>
      </c>
      <c r="BI518" s="15" t="str">
        <f>"22.83"</f>
        <v>22.83</v>
      </c>
      <c r="BJ518" s="15" t="s">
        <v>1543</v>
      </c>
      <c r="BK518" s="15" t="str">
        <f>"14.96"</f>
        <v>14.96</v>
      </c>
      <c r="BL518" s="15" t="s">
        <v>5362</v>
      </c>
      <c r="BM518" s="15" t="str">
        <f>"185.19"</f>
        <v>185.19</v>
      </c>
      <c r="BN518" s="15" t="s">
        <v>3904</v>
      </c>
      <c r="BQ518" s="15" t="s">
        <v>444</v>
      </c>
      <c r="BS518" s="15" t="s">
        <v>444</v>
      </c>
      <c r="BU518" s="15" t="s">
        <v>444</v>
      </c>
      <c r="BW518" s="15" t="s">
        <v>444</v>
      </c>
      <c r="BZ518" s="15" t="s">
        <v>444</v>
      </c>
      <c r="CB518" s="15" t="s">
        <v>444</v>
      </c>
      <c r="CD518" s="15" t="s">
        <v>444</v>
      </c>
      <c r="CF518" s="15" t="s">
        <v>444</v>
      </c>
      <c r="CI518" s="15" t="s">
        <v>444</v>
      </c>
      <c r="CK518" s="15" t="s">
        <v>444</v>
      </c>
      <c r="CM518" s="15" t="s">
        <v>444</v>
      </c>
      <c r="CO518" s="15" t="s">
        <v>444</v>
      </c>
      <c r="CP518" s="15" t="str">
        <f>"16.35"</f>
        <v>16.35</v>
      </c>
      <c r="CQ518" s="15" t="str">
        <f>"0.463"</f>
        <v>0.463</v>
      </c>
      <c r="CR518" s="15" t="s">
        <v>417</v>
      </c>
      <c r="DC518" s="15" t="str">
        <f>IFERROR(__xludf.DUMMYFUNCTION("""COMPUTED_VALUE"""),"")</f>
        <v/>
      </c>
      <c r="DE518" s="15" t="str">
        <f>IFERROR(__xludf.DUMMYFUNCTION("""COMPUTED_VALUE"""),"")</f>
        <v/>
      </c>
      <c r="DG518" s="15" t="str">
        <f>IFERROR(__xludf.DUMMYFUNCTION("""COMPUTED_VALUE"""),"")</f>
        <v/>
      </c>
      <c r="DL518" s="15" t="str">
        <f>IFERROR(__xludf.DUMMYFUNCTION("""COMPUTED_VALUE"""),"")</f>
        <v/>
      </c>
      <c r="DM518" s="15" t="s">
        <v>444</v>
      </c>
      <c r="DN518" s="15" t="s">
        <v>419</v>
      </c>
      <c r="DO518" s="15">
        <v>0.0</v>
      </c>
      <c r="DP518" s="15" t="s">
        <v>419</v>
      </c>
      <c r="DR518" s="15">
        <v>0.0</v>
      </c>
      <c r="DT518" s="15" t="s">
        <v>420</v>
      </c>
      <c r="DU518" s="15" t="s">
        <v>419</v>
      </c>
      <c r="DY518" s="15">
        <v>0.0</v>
      </c>
      <c r="EF518" s="15" t="s">
        <v>471</v>
      </c>
      <c r="EG518" s="15" t="s">
        <v>472</v>
      </c>
      <c r="EH518" s="15" t="s">
        <v>6077</v>
      </c>
      <c r="EJ518" s="15" t="s">
        <v>424</v>
      </c>
      <c r="EK518" s="15" t="s">
        <v>446</v>
      </c>
      <c r="EM518" s="15" t="str">
        <f>IFERROR(__xludf.DUMMYFUNCTION("""COMPUTED_VALUE"""),"")</f>
        <v/>
      </c>
      <c r="EW518" s="15" t="s">
        <v>2505</v>
      </c>
      <c r="EY518" s="15" t="s">
        <v>6078</v>
      </c>
      <c r="FH518" s="15" t="s">
        <v>1014</v>
      </c>
      <c r="FI518" s="15" t="s">
        <v>6079</v>
      </c>
      <c r="FJ518" s="15" t="s">
        <v>6080</v>
      </c>
      <c r="FK518" s="15" t="s">
        <v>1957</v>
      </c>
      <c r="FL518" s="15" t="s">
        <v>426</v>
      </c>
      <c r="FM518" s="15">
        <v>0.0</v>
      </c>
      <c r="FN518" s="15">
        <v>0.0</v>
      </c>
      <c r="FW518" s="15" t="s">
        <v>6081</v>
      </c>
      <c r="GH518" s="15">
        <v>0.0</v>
      </c>
      <c r="GI518" s="15" t="s">
        <v>427</v>
      </c>
    </row>
    <row r="519" ht="15.75" customHeight="1">
      <c r="A519" s="14" t="s">
        <v>391</v>
      </c>
      <c r="B519" s="15" t="s">
        <v>6082</v>
      </c>
      <c r="C519" s="16"/>
      <c r="D519" s="15" t="s">
        <v>432</v>
      </c>
      <c r="G519" s="14" t="s">
        <v>393</v>
      </c>
      <c r="H519" s="14" t="s">
        <v>394</v>
      </c>
      <c r="I519" s="14" t="b">
        <v>1</v>
      </c>
      <c r="J519" s="14" t="s">
        <v>395</v>
      </c>
      <c r="L519" s="14" t="b">
        <v>0</v>
      </c>
      <c r="M519" s="15" t="s">
        <v>6083</v>
      </c>
      <c r="N519" s="14" t="s">
        <v>393</v>
      </c>
      <c r="O519" s="14" t="s">
        <v>393</v>
      </c>
      <c r="P519" s="15" t="s">
        <v>397</v>
      </c>
      <c r="Q519" s="15" t="s">
        <v>3752</v>
      </c>
      <c r="T519" s="14" t="b">
        <v>0</v>
      </c>
      <c r="U519" s="15" t="s">
        <v>6084</v>
      </c>
      <c r="V519" s="15" t="s">
        <v>6085</v>
      </c>
      <c r="W519" s="15" t="s">
        <v>401</v>
      </c>
      <c r="X519" s="15" t="s">
        <v>402</v>
      </c>
      <c r="Y519" s="15">
        <v>1534.0</v>
      </c>
      <c r="AA519" s="15" t="str">
        <f>"590"</f>
        <v>590</v>
      </c>
      <c r="AB519" s="14" t="b">
        <v>1</v>
      </c>
      <c r="AC519" s="14" t="b">
        <v>1</v>
      </c>
      <c r="AD519" s="15" t="str">
        <f>"801542629335"</f>
        <v>801542629335</v>
      </c>
      <c r="AE519" s="15" t="s">
        <v>6086</v>
      </c>
      <c r="AF519" s="14" t="s">
        <v>404</v>
      </c>
      <c r="AG519" s="14" t="s">
        <v>405</v>
      </c>
      <c r="AH519" s="14" t="s">
        <v>406</v>
      </c>
      <c r="AI519" s="15">
        <v>0.0</v>
      </c>
      <c r="AL519" s="15" t="s">
        <v>3756</v>
      </c>
      <c r="AM519" s="15" t="s">
        <v>1561</v>
      </c>
      <c r="AN519" s="15" t="s">
        <v>1562</v>
      </c>
      <c r="AO519" s="15" t="s">
        <v>1007</v>
      </c>
      <c r="AP519" s="15" t="s">
        <v>1008</v>
      </c>
      <c r="AQ519" s="15" t="s">
        <v>1177</v>
      </c>
      <c r="AR519" s="15" t="s">
        <v>1178</v>
      </c>
      <c r="AS519" s="15" t="s">
        <v>411</v>
      </c>
      <c r="AT519" s="15" t="s">
        <v>3752</v>
      </c>
      <c r="AU519" s="15" t="s">
        <v>3757</v>
      </c>
      <c r="AW519" s="15" t="s">
        <v>628</v>
      </c>
      <c r="AY519" s="15" t="s">
        <v>413</v>
      </c>
      <c r="AZ519" s="15" t="b">
        <v>0</v>
      </c>
      <c r="BA519" s="15" t="s">
        <v>413</v>
      </c>
      <c r="BB519" s="15" t="b">
        <v>0</v>
      </c>
      <c r="BC519" s="15" t="s">
        <v>6087</v>
      </c>
      <c r="BD519" s="15" t="s">
        <v>415</v>
      </c>
      <c r="BE519" s="15" t="str">
        <f t="shared" si="905"/>
        <v>1</v>
      </c>
      <c r="BF519" s="15" t="s">
        <v>416</v>
      </c>
      <c r="BG519" s="15" t="str">
        <f>"26.38"</f>
        <v>26.38</v>
      </c>
      <c r="BH519" s="15" t="s">
        <v>1735</v>
      </c>
      <c r="BI519" s="15" t="str">
        <f>"22.44"</f>
        <v>22.44</v>
      </c>
      <c r="BJ519" s="15" t="s">
        <v>1156</v>
      </c>
      <c r="BK519" s="15" t="str">
        <f>"27.95"</f>
        <v>27.95</v>
      </c>
      <c r="BL519" s="15" t="s">
        <v>5361</v>
      </c>
      <c r="BM519" s="15" t="str">
        <f>"61.73"</f>
        <v>61.73</v>
      </c>
      <c r="BN519" s="15" t="s">
        <v>1948</v>
      </c>
      <c r="BQ519" s="15" t="s">
        <v>444</v>
      </c>
      <c r="BS519" s="15" t="s">
        <v>444</v>
      </c>
      <c r="BU519" s="15" t="s">
        <v>444</v>
      </c>
      <c r="BW519" s="15" t="s">
        <v>444</v>
      </c>
      <c r="BZ519" s="15" t="s">
        <v>444</v>
      </c>
      <c r="CB519" s="15" t="s">
        <v>444</v>
      </c>
      <c r="CD519" s="15" t="s">
        <v>444</v>
      </c>
      <c r="CF519" s="15" t="s">
        <v>444</v>
      </c>
      <c r="CI519" s="15" t="s">
        <v>444</v>
      </c>
      <c r="CK519" s="15" t="s">
        <v>444</v>
      </c>
      <c r="CM519" s="15" t="s">
        <v>444</v>
      </c>
      <c r="CO519" s="15" t="s">
        <v>444</v>
      </c>
      <c r="CP519" s="15" t="str">
        <f>"9.57"</f>
        <v>9.57</v>
      </c>
      <c r="CQ519" s="15" t="str">
        <f>"0.271"</f>
        <v>0.271</v>
      </c>
      <c r="CR519" s="15" t="s">
        <v>465</v>
      </c>
      <c r="CV519" s="15" t="s">
        <v>3238</v>
      </c>
      <c r="CW519" s="15" t="s">
        <v>3308</v>
      </c>
      <c r="CX519" s="15" t="s">
        <v>5392</v>
      </c>
      <c r="DC519" s="15" t="str">
        <f>IFERROR(__xludf.DUMMYFUNCTION("""COMPUTED_VALUE"""),"")</f>
        <v/>
      </c>
      <c r="DE519" s="15" t="str">
        <f>IFERROR(__xludf.DUMMYFUNCTION("""COMPUTED_VALUE"""),"")</f>
        <v/>
      </c>
      <c r="DG519" s="15" t="str">
        <f>IFERROR(__xludf.DUMMYFUNCTION("""COMPUTED_VALUE"""),"")</f>
        <v/>
      </c>
      <c r="DL519" s="15" t="str">
        <f>IFERROR(__xludf.DUMMYFUNCTION("""COMPUTED_VALUE"""),"")</f>
        <v/>
      </c>
      <c r="DM519" s="15" t="s">
        <v>444</v>
      </c>
      <c r="DN519" s="15" t="s">
        <v>418</v>
      </c>
      <c r="DO519" s="15">
        <v>1.0</v>
      </c>
      <c r="DP519" s="15" t="s">
        <v>2601</v>
      </c>
      <c r="DR519" s="15">
        <v>0.0</v>
      </c>
      <c r="DT519" s="15" t="s">
        <v>420</v>
      </c>
      <c r="DU519" s="15" t="s">
        <v>421</v>
      </c>
      <c r="DY519" s="15">
        <v>0.0</v>
      </c>
      <c r="EF519" s="15" t="s">
        <v>471</v>
      </c>
      <c r="EG519" s="15" t="s">
        <v>472</v>
      </c>
      <c r="EH519" s="15" t="s">
        <v>6088</v>
      </c>
      <c r="EJ519" s="15" t="s">
        <v>500</v>
      </c>
      <c r="EK519" s="15" t="s">
        <v>501</v>
      </c>
      <c r="EM519" s="15" t="str">
        <f>IFERROR(__xludf.DUMMYFUNCTION("""COMPUTED_VALUE"""),"")</f>
        <v/>
      </c>
      <c r="EW519" s="15" t="s">
        <v>784</v>
      </c>
      <c r="FL519" s="15" t="s">
        <v>426</v>
      </c>
      <c r="FM519" s="15">
        <v>1.0</v>
      </c>
      <c r="GH519" s="15">
        <v>0.0</v>
      </c>
      <c r="GI519" s="15" t="s">
        <v>427</v>
      </c>
      <c r="GQ519" s="15" t="s">
        <v>634</v>
      </c>
      <c r="GS519" s="15" t="s">
        <v>477</v>
      </c>
      <c r="GU519" s="15" t="s">
        <v>6089</v>
      </c>
      <c r="GW519" s="15" t="s">
        <v>431</v>
      </c>
      <c r="GY519" s="15" t="s">
        <v>420</v>
      </c>
      <c r="GZ519" s="15" t="s">
        <v>426</v>
      </c>
    </row>
    <row r="520" ht="15.75" customHeight="1">
      <c r="A520" s="14" t="s">
        <v>391</v>
      </c>
      <c r="B520" s="15" t="s">
        <v>6090</v>
      </c>
      <c r="C520" s="16"/>
      <c r="D520" s="15" t="s">
        <v>432</v>
      </c>
      <c r="G520" s="14" t="s">
        <v>393</v>
      </c>
      <c r="H520" s="14" t="s">
        <v>394</v>
      </c>
      <c r="I520" s="14" t="b">
        <v>1</v>
      </c>
      <c r="J520" s="14" t="s">
        <v>395</v>
      </c>
      <c r="L520" s="14" t="b">
        <v>0</v>
      </c>
      <c r="M520" s="15" t="s">
        <v>6091</v>
      </c>
      <c r="N520" s="14" t="s">
        <v>393</v>
      </c>
      <c r="O520" s="14" t="s">
        <v>393</v>
      </c>
      <c r="P520" s="15" t="s">
        <v>397</v>
      </c>
      <c r="Q520" s="15" t="s">
        <v>6092</v>
      </c>
      <c r="T520" s="14" t="b">
        <v>0</v>
      </c>
      <c r="U520" s="15" t="s">
        <v>6093</v>
      </c>
      <c r="V520" s="15" t="s">
        <v>1436</v>
      </c>
      <c r="W520" s="15" t="s">
        <v>401</v>
      </c>
      <c r="X520" s="15" t="s">
        <v>695</v>
      </c>
      <c r="Y520" s="15">
        <v>2301.0</v>
      </c>
      <c r="AA520" s="15" t="str">
        <f>"885"</f>
        <v>885</v>
      </c>
      <c r="AB520" s="14" t="b">
        <v>1</v>
      </c>
      <c r="AC520" s="14" t="b">
        <v>1</v>
      </c>
      <c r="AD520" s="15" t="str">
        <f>"801542394929"</f>
        <v>801542394929</v>
      </c>
      <c r="AE520" s="15" t="s">
        <v>6094</v>
      </c>
      <c r="AF520" s="14" t="s">
        <v>404</v>
      </c>
      <c r="AG520" s="14" t="s">
        <v>405</v>
      </c>
      <c r="AH520" s="14" t="s">
        <v>406</v>
      </c>
      <c r="AI520" s="15">
        <v>0.0</v>
      </c>
      <c r="AL520" s="15" t="s">
        <v>975</v>
      </c>
      <c r="AM520" s="15" t="s">
        <v>645</v>
      </c>
      <c r="AN520" s="15" t="s">
        <v>646</v>
      </c>
      <c r="AO520" s="15" t="s">
        <v>622</v>
      </c>
      <c r="AP520" s="15" t="s">
        <v>623</v>
      </c>
      <c r="AQ520" s="15" t="s">
        <v>2306</v>
      </c>
      <c r="AR520" s="15" t="s">
        <v>2307</v>
      </c>
      <c r="AS520" s="15" t="s">
        <v>1317</v>
      </c>
      <c r="AT520" s="15" t="s">
        <v>6092</v>
      </c>
      <c r="AU520" s="15" t="s">
        <v>2801</v>
      </c>
      <c r="AW520" s="15" t="s">
        <v>706</v>
      </c>
      <c r="AX520" s="15" t="s">
        <v>707</v>
      </c>
      <c r="AY520" s="15" t="s">
        <v>413</v>
      </c>
      <c r="AZ520" s="15" t="b">
        <v>0</v>
      </c>
      <c r="BA520" s="15" t="s">
        <v>413</v>
      </c>
      <c r="BB520" s="15" t="b">
        <v>0</v>
      </c>
      <c r="BD520" s="15" t="s">
        <v>709</v>
      </c>
      <c r="BE520" s="15" t="str">
        <f t="shared" si="905"/>
        <v>1</v>
      </c>
      <c r="BF520" s="15" t="s">
        <v>1477</v>
      </c>
      <c r="BG520" s="15" t="str">
        <f t="shared" ref="BG520:BG523" si="928">"36.61"</f>
        <v>36.61</v>
      </c>
      <c r="BH520" s="15" t="s">
        <v>1734</v>
      </c>
      <c r="BI520" s="15" t="str">
        <f t="shared" ref="BI520:BI523" si="929">"36.61"</f>
        <v>36.61</v>
      </c>
      <c r="BJ520" s="15" t="s">
        <v>1734</v>
      </c>
      <c r="BK520" s="15" t="str">
        <f t="shared" ref="BK520:BK523" si="930">"33.07"</f>
        <v>33.07</v>
      </c>
      <c r="BL520" s="15" t="s">
        <v>1091</v>
      </c>
      <c r="BM520" s="15" t="str">
        <f t="shared" ref="BM520:BM523" si="931">"95.24"</f>
        <v>95.24</v>
      </c>
      <c r="BN520" s="15" t="s">
        <v>6095</v>
      </c>
      <c r="BQ520" s="15" t="s">
        <v>444</v>
      </c>
      <c r="BS520" s="15" t="s">
        <v>444</v>
      </c>
      <c r="BU520" s="15" t="s">
        <v>444</v>
      </c>
      <c r="BW520" s="15" t="s">
        <v>444</v>
      </c>
      <c r="BZ520" s="15" t="s">
        <v>444</v>
      </c>
      <c r="CB520" s="15" t="s">
        <v>444</v>
      </c>
      <c r="CD520" s="15" t="s">
        <v>444</v>
      </c>
      <c r="CF520" s="15" t="s">
        <v>444</v>
      </c>
      <c r="CI520" s="15" t="s">
        <v>444</v>
      </c>
      <c r="CK520" s="15" t="s">
        <v>444</v>
      </c>
      <c r="CM520" s="15" t="s">
        <v>444</v>
      </c>
      <c r="CO520" s="15" t="s">
        <v>444</v>
      </c>
      <c r="CP520" s="15" t="str">
        <f t="shared" ref="CP520:CP523" si="932">"23.38"</f>
        <v>23.38</v>
      </c>
      <c r="CQ520" s="15" t="str">
        <f t="shared" ref="CQ520:CQ523" si="933">"0.662"</f>
        <v>0.662</v>
      </c>
      <c r="CR520" s="15" t="s">
        <v>497</v>
      </c>
      <c r="DB520" s="15" t="s">
        <v>1211</v>
      </c>
      <c r="DC520" s="15" t="str">
        <f>IFERROR(__xludf.DUMMYFUNCTION("""COMPUTED_VALUE"""),"{""value"":24.00,""unit"":""in""}")</f>
        <v>{"value":24.00,"unit":"in"}</v>
      </c>
      <c r="DD520" s="15" t="s">
        <v>1161</v>
      </c>
      <c r="DE520" s="15" t="str">
        <f>IFERROR(__xludf.DUMMYFUNCTION("""COMPUTED_VALUE"""),"{""value"":17.00,""unit"":""in""}")</f>
        <v>{"value":17.00,"unit":"in"}</v>
      </c>
      <c r="DG520" s="15" t="str">
        <f>IFERROR(__xludf.DUMMYFUNCTION("""COMPUTED_VALUE"""),"")</f>
        <v/>
      </c>
      <c r="DH520" s="15">
        <v>0.0</v>
      </c>
      <c r="DI520" s="15">
        <v>1.0</v>
      </c>
      <c r="DJ520" s="15" t="s">
        <v>717</v>
      </c>
      <c r="DK520" s="15" t="s">
        <v>718</v>
      </c>
      <c r="DL520" s="15" t="str">
        <f>IFERROR(__xludf.DUMMYFUNCTION("""COMPUTED_VALUE"""),"Vacuum or light brush only. Do not use water or any cleaning products.")</f>
        <v>Vacuum or light brush only. Do not use water or any cleaning products.</v>
      </c>
      <c r="DM520" s="15" t="s">
        <v>719</v>
      </c>
      <c r="DT520" s="15" t="s">
        <v>721</v>
      </c>
      <c r="DU520" s="15" t="s">
        <v>1605</v>
      </c>
      <c r="DV520" s="15">
        <v>0.0</v>
      </c>
      <c r="DZ520" s="15">
        <v>0.0</v>
      </c>
      <c r="EA520" s="15" t="s">
        <v>990</v>
      </c>
      <c r="EB520" s="15" t="s">
        <v>1016</v>
      </c>
      <c r="ED520" s="15">
        <v>1.0</v>
      </c>
      <c r="EE520" s="15">
        <v>1.0</v>
      </c>
      <c r="EG520" s="15" t="s">
        <v>444</v>
      </c>
      <c r="EH520" s="15" t="s">
        <v>6096</v>
      </c>
      <c r="EI520" s="15">
        <v>0.0</v>
      </c>
      <c r="EJ520" s="15" t="s">
        <v>726</v>
      </c>
      <c r="EK520" s="15" t="s">
        <v>727</v>
      </c>
      <c r="EL520" s="15" t="s">
        <v>2384</v>
      </c>
      <c r="EM520" s="15" t="str">
        <f>IFERROR(__xludf.DUMMYFUNCTION("""COMPUTED_VALUE"""),"{""value"":24.50,""unit"":""in""}")</f>
        <v>{"value":24.50,"unit":"in"}</v>
      </c>
      <c r="EN520" s="15" t="s">
        <v>2547</v>
      </c>
      <c r="EO520" s="15" t="s">
        <v>1213</v>
      </c>
      <c r="ES520" s="15" t="s">
        <v>505</v>
      </c>
      <c r="EW520" s="15" t="s">
        <v>1188</v>
      </c>
      <c r="EZ520" s="15" t="s">
        <v>1329</v>
      </c>
      <c r="FC520" s="15" t="s">
        <v>1016</v>
      </c>
      <c r="FF520" s="15" t="s">
        <v>860</v>
      </c>
      <c r="FO520" s="15" t="s">
        <v>1065</v>
      </c>
      <c r="FP520" s="15" t="s">
        <v>1211</v>
      </c>
      <c r="FQ520" s="15">
        <v>0.0</v>
      </c>
      <c r="FR520" s="15">
        <v>0.0</v>
      </c>
      <c r="FT520" s="15">
        <v>0.0</v>
      </c>
      <c r="IL520" s="15" t="s">
        <v>1610</v>
      </c>
    </row>
    <row r="521" ht="15.75" customHeight="1">
      <c r="A521" s="14" t="s">
        <v>391</v>
      </c>
      <c r="B521" s="15" t="s">
        <v>6090</v>
      </c>
      <c r="C521" s="16"/>
      <c r="D521" s="15" t="s">
        <v>432</v>
      </c>
      <c r="G521" s="14" t="s">
        <v>393</v>
      </c>
      <c r="H521" s="14" t="s">
        <v>394</v>
      </c>
      <c r="I521" s="14" t="b">
        <v>1</v>
      </c>
      <c r="J521" s="14" t="s">
        <v>395</v>
      </c>
      <c r="L521" s="14" t="b">
        <v>0</v>
      </c>
      <c r="M521" s="15" t="s">
        <v>6097</v>
      </c>
      <c r="N521" s="14" t="s">
        <v>393</v>
      </c>
      <c r="O521" s="14" t="s">
        <v>393</v>
      </c>
      <c r="P521" s="15" t="s">
        <v>397</v>
      </c>
      <c r="Q521" s="15" t="s">
        <v>2663</v>
      </c>
      <c r="T521" s="14" t="b">
        <v>0</v>
      </c>
      <c r="U521" s="15" t="s">
        <v>6098</v>
      </c>
      <c r="V521" s="15" t="s">
        <v>1436</v>
      </c>
      <c r="W521" s="15" t="s">
        <v>401</v>
      </c>
      <c r="X521" s="15" t="s">
        <v>695</v>
      </c>
      <c r="Y521" s="15">
        <v>1365.0</v>
      </c>
      <c r="AA521" s="15" t="str">
        <f t="shared" ref="AA521:AA522" si="934">"525"</f>
        <v>525</v>
      </c>
      <c r="AB521" s="14" t="b">
        <v>1</v>
      </c>
      <c r="AC521" s="14" t="b">
        <v>1</v>
      </c>
      <c r="AD521" s="15" t="str">
        <f>"801542192488"</f>
        <v>801542192488</v>
      </c>
      <c r="AE521" s="15" t="s">
        <v>6099</v>
      </c>
      <c r="AF521" s="14" t="s">
        <v>404</v>
      </c>
      <c r="AG521" s="14" t="s">
        <v>405</v>
      </c>
      <c r="AH521" s="14" t="s">
        <v>406</v>
      </c>
      <c r="AI521" s="15">
        <v>0.0</v>
      </c>
      <c r="AL521" s="15" t="s">
        <v>4064</v>
      </c>
      <c r="AM521" s="15" t="s">
        <v>645</v>
      </c>
      <c r="AN521" s="15" t="s">
        <v>646</v>
      </c>
      <c r="AO521" s="15" t="s">
        <v>622</v>
      </c>
      <c r="AP521" s="15" t="s">
        <v>623</v>
      </c>
      <c r="AQ521" s="15" t="s">
        <v>2306</v>
      </c>
      <c r="AR521" s="15" t="s">
        <v>2307</v>
      </c>
      <c r="AS521" s="15" t="s">
        <v>1317</v>
      </c>
      <c r="AT521" s="15" t="s">
        <v>2663</v>
      </c>
      <c r="AU521" s="15" t="s">
        <v>1318</v>
      </c>
      <c r="AW521" s="15" t="s">
        <v>706</v>
      </c>
      <c r="AX521" s="15" t="s">
        <v>707</v>
      </c>
      <c r="AY521" s="15" t="s">
        <v>413</v>
      </c>
      <c r="AZ521" s="15" t="b">
        <v>0</v>
      </c>
      <c r="BA521" s="15" t="s">
        <v>413</v>
      </c>
      <c r="BB521" s="15" t="b">
        <v>0</v>
      </c>
      <c r="BC521" s="15" t="s">
        <v>6100</v>
      </c>
      <c r="BD521" s="15" t="s">
        <v>709</v>
      </c>
      <c r="BE521" s="15" t="str">
        <f t="shared" si="905"/>
        <v>1</v>
      </c>
      <c r="BF521" s="15" t="s">
        <v>1477</v>
      </c>
      <c r="BG521" s="15" t="str">
        <f t="shared" si="928"/>
        <v>36.61</v>
      </c>
      <c r="BH521" s="15" t="s">
        <v>1734</v>
      </c>
      <c r="BI521" s="15" t="str">
        <f t="shared" si="929"/>
        <v>36.61</v>
      </c>
      <c r="BJ521" s="15" t="s">
        <v>1734</v>
      </c>
      <c r="BK521" s="15" t="str">
        <f t="shared" si="930"/>
        <v>33.07</v>
      </c>
      <c r="BL521" s="15" t="s">
        <v>1091</v>
      </c>
      <c r="BM521" s="15" t="str">
        <f t="shared" si="931"/>
        <v>95.24</v>
      </c>
      <c r="BN521" s="15" t="s">
        <v>6095</v>
      </c>
      <c r="BQ521" s="15" t="s">
        <v>444</v>
      </c>
      <c r="BS521" s="15" t="s">
        <v>444</v>
      </c>
      <c r="BU521" s="15" t="s">
        <v>444</v>
      </c>
      <c r="BW521" s="15" t="s">
        <v>444</v>
      </c>
      <c r="BZ521" s="15" t="s">
        <v>444</v>
      </c>
      <c r="CB521" s="15" t="s">
        <v>444</v>
      </c>
      <c r="CD521" s="15" t="s">
        <v>444</v>
      </c>
      <c r="CF521" s="15" t="s">
        <v>444</v>
      </c>
      <c r="CI521" s="15" t="s">
        <v>444</v>
      </c>
      <c r="CK521" s="15" t="s">
        <v>444</v>
      </c>
      <c r="CM521" s="15" t="s">
        <v>444</v>
      </c>
      <c r="CO521" s="15" t="s">
        <v>444</v>
      </c>
      <c r="CP521" s="15" t="str">
        <f t="shared" si="932"/>
        <v>23.38</v>
      </c>
      <c r="CQ521" s="15" t="str">
        <f t="shared" si="933"/>
        <v>0.662</v>
      </c>
      <c r="CR521" s="15" t="s">
        <v>497</v>
      </c>
      <c r="DB521" s="15" t="s">
        <v>1211</v>
      </c>
      <c r="DC521" s="15" t="str">
        <f>IFERROR(__xludf.DUMMYFUNCTION("""COMPUTED_VALUE"""),"{""value"":24.00,""unit"":""in""}")</f>
        <v>{"value":24.00,"unit":"in"}</v>
      </c>
      <c r="DD521" s="15" t="s">
        <v>1161</v>
      </c>
      <c r="DE521" s="15" t="str">
        <f>IFERROR(__xludf.DUMMYFUNCTION("""COMPUTED_VALUE"""),"{""value"":17.00,""unit"":""in""}")</f>
        <v>{"value":17.00,"unit":"in"}</v>
      </c>
      <c r="DG521" s="15" t="str">
        <f>IFERROR(__xludf.DUMMYFUNCTION("""COMPUTED_VALUE"""),"")</f>
        <v/>
      </c>
      <c r="DH521" s="15">
        <v>0.0</v>
      </c>
      <c r="DI521" s="15">
        <v>1.0</v>
      </c>
      <c r="DJ521" s="15" t="s">
        <v>717</v>
      </c>
      <c r="DK521" s="15" t="s">
        <v>855</v>
      </c>
      <c r="DL521" s="15" t="str">
        <f>IFERROR(__xludf.DUMMYFUNCTION("""COMPUTED_VALUE"""),"Clean with solvent-based (dry clean only) products. Do not use water.")</f>
        <v>Clean with solvent-based (dry clean only) products. Do not use water.</v>
      </c>
      <c r="DM521" s="15" t="s">
        <v>856</v>
      </c>
      <c r="DT521" s="15" t="s">
        <v>721</v>
      </c>
      <c r="DU521" s="15" t="s">
        <v>1605</v>
      </c>
      <c r="DV521" s="15">
        <v>0.0</v>
      </c>
      <c r="DZ521" s="15">
        <v>30000.0</v>
      </c>
      <c r="EA521" s="15" t="s">
        <v>990</v>
      </c>
      <c r="EB521" s="15" t="s">
        <v>1016</v>
      </c>
      <c r="ED521" s="15">
        <v>1.0</v>
      </c>
      <c r="EE521" s="15">
        <v>1.0</v>
      </c>
      <c r="EG521" s="15" t="s">
        <v>444</v>
      </c>
      <c r="EH521" s="15" t="s">
        <v>6096</v>
      </c>
      <c r="EI521" s="15">
        <v>0.0</v>
      </c>
      <c r="EJ521" s="15" t="s">
        <v>726</v>
      </c>
      <c r="EK521" s="15" t="s">
        <v>727</v>
      </c>
      <c r="EL521" s="15" t="s">
        <v>2384</v>
      </c>
      <c r="EM521" s="15" t="str">
        <f>IFERROR(__xludf.DUMMYFUNCTION("""COMPUTED_VALUE"""),"{""value"":24.50,""unit"":""in""}")</f>
        <v>{"value":24.50,"unit":"in"}</v>
      </c>
      <c r="EN521" s="15" t="s">
        <v>2547</v>
      </c>
      <c r="EO521" s="15" t="s">
        <v>1213</v>
      </c>
      <c r="ES521" s="15" t="s">
        <v>505</v>
      </c>
      <c r="EW521" s="15" t="s">
        <v>1188</v>
      </c>
      <c r="EZ521" s="15" t="s">
        <v>1329</v>
      </c>
      <c r="FC521" s="15" t="s">
        <v>1016</v>
      </c>
      <c r="FF521" s="15" t="s">
        <v>860</v>
      </c>
      <c r="FO521" s="15" t="s">
        <v>1065</v>
      </c>
      <c r="FP521" s="15" t="s">
        <v>1211</v>
      </c>
      <c r="FQ521" s="15">
        <v>0.0</v>
      </c>
      <c r="FR521" s="15">
        <v>0.0</v>
      </c>
      <c r="FT521" s="15">
        <v>0.0</v>
      </c>
      <c r="IL521" s="15" t="s">
        <v>1610</v>
      </c>
    </row>
    <row r="522" ht="15.75" customHeight="1">
      <c r="A522" s="14" t="s">
        <v>391</v>
      </c>
      <c r="B522" s="15" t="s">
        <v>6090</v>
      </c>
      <c r="C522" s="16"/>
      <c r="D522" s="15" t="s">
        <v>432</v>
      </c>
      <c r="G522" s="14" t="s">
        <v>393</v>
      </c>
      <c r="H522" s="14" t="s">
        <v>394</v>
      </c>
      <c r="I522" s="14" t="b">
        <v>1</v>
      </c>
      <c r="J522" s="14" t="s">
        <v>395</v>
      </c>
      <c r="L522" s="14" t="b">
        <v>0</v>
      </c>
      <c r="M522" s="15" t="s">
        <v>6101</v>
      </c>
      <c r="N522" s="14" t="s">
        <v>393</v>
      </c>
      <c r="O522" s="14" t="s">
        <v>393</v>
      </c>
      <c r="P522" s="15" t="s">
        <v>397</v>
      </c>
      <c r="Q522" s="15" t="s">
        <v>2120</v>
      </c>
      <c r="T522" s="14" t="b">
        <v>0</v>
      </c>
      <c r="U522" s="15" t="s">
        <v>6102</v>
      </c>
      <c r="V522" s="15" t="s">
        <v>1436</v>
      </c>
      <c r="W522" s="15" t="s">
        <v>401</v>
      </c>
      <c r="X522" s="15" t="s">
        <v>695</v>
      </c>
      <c r="Y522" s="15">
        <v>1365.0</v>
      </c>
      <c r="AA522" s="15" t="str">
        <f t="shared" si="934"/>
        <v>525</v>
      </c>
      <c r="AB522" s="14" t="b">
        <v>1</v>
      </c>
      <c r="AC522" s="14" t="b">
        <v>1</v>
      </c>
      <c r="AD522" s="15" t="str">
        <f>"801542192501"</f>
        <v>801542192501</v>
      </c>
      <c r="AE522" s="15" t="s">
        <v>6103</v>
      </c>
      <c r="AF522" s="14" t="s">
        <v>404</v>
      </c>
      <c r="AG522" s="14" t="s">
        <v>405</v>
      </c>
      <c r="AH522" s="14" t="s">
        <v>406</v>
      </c>
      <c r="AI522" s="15">
        <v>0.0</v>
      </c>
      <c r="AL522" s="15" t="s">
        <v>6104</v>
      </c>
      <c r="AM522" s="15" t="s">
        <v>645</v>
      </c>
      <c r="AN522" s="15" t="s">
        <v>646</v>
      </c>
      <c r="AO522" s="15" t="s">
        <v>622</v>
      </c>
      <c r="AP522" s="15" t="s">
        <v>623</v>
      </c>
      <c r="AQ522" s="15" t="s">
        <v>2306</v>
      </c>
      <c r="AR522" s="15" t="s">
        <v>2307</v>
      </c>
      <c r="AS522" s="15" t="s">
        <v>1317</v>
      </c>
      <c r="AT522" s="15" t="s">
        <v>2120</v>
      </c>
      <c r="AU522" s="15" t="s">
        <v>2801</v>
      </c>
      <c r="AW522" s="15" t="s">
        <v>706</v>
      </c>
      <c r="AX522" s="15" t="s">
        <v>707</v>
      </c>
      <c r="AY522" s="15" t="s">
        <v>413</v>
      </c>
      <c r="AZ522" s="15" t="b">
        <v>0</v>
      </c>
      <c r="BA522" s="15" t="s">
        <v>413</v>
      </c>
      <c r="BB522" s="15" t="b">
        <v>0</v>
      </c>
      <c r="BC522" s="15" t="s">
        <v>6105</v>
      </c>
      <c r="BD522" s="15" t="s">
        <v>709</v>
      </c>
      <c r="BE522" s="15" t="str">
        <f t="shared" si="905"/>
        <v>1</v>
      </c>
      <c r="BF522" s="15" t="s">
        <v>1477</v>
      </c>
      <c r="BG522" s="15" t="str">
        <f t="shared" si="928"/>
        <v>36.61</v>
      </c>
      <c r="BH522" s="15" t="s">
        <v>1734</v>
      </c>
      <c r="BI522" s="15" t="str">
        <f t="shared" si="929"/>
        <v>36.61</v>
      </c>
      <c r="BJ522" s="15" t="s">
        <v>1734</v>
      </c>
      <c r="BK522" s="15" t="str">
        <f t="shared" si="930"/>
        <v>33.07</v>
      </c>
      <c r="BL522" s="15" t="s">
        <v>1091</v>
      </c>
      <c r="BM522" s="15" t="str">
        <f t="shared" si="931"/>
        <v>95.24</v>
      </c>
      <c r="BN522" s="15" t="s">
        <v>6095</v>
      </c>
      <c r="BQ522" s="15" t="s">
        <v>444</v>
      </c>
      <c r="BS522" s="15" t="s">
        <v>444</v>
      </c>
      <c r="BU522" s="15" t="s">
        <v>444</v>
      </c>
      <c r="BW522" s="15" t="s">
        <v>444</v>
      </c>
      <c r="BZ522" s="15" t="s">
        <v>444</v>
      </c>
      <c r="CB522" s="15" t="s">
        <v>444</v>
      </c>
      <c r="CD522" s="15" t="s">
        <v>444</v>
      </c>
      <c r="CF522" s="15" t="s">
        <v>444</v>
      </c>
      <c r="CI522" s="15" t="s">
        <v>444</v>
      </c>
      <c r="CK522" s="15" t="s">
        <v>444</v>
      </c>
      <c r="CM522" s="15" t="s">
        <v>444</v>
      </c>
      <c r="CO522" s="15" t="s">
        <v>444</v>
      </c>
      <c r="CP522" s="15" t="str">
        <f t="shared" si="932"/>
        <v>23.38</v>
      </c>
      <c r="CQ522" s="15" t="str">
        <f t="shared" si="933"/>
        <v>0.662</v>
      </c>
      <c r="CR522" s="15" t="s">
        <v>497</v>
      </c>
      <c r="DB522" s="15" t="s">
        <v>1211</v>
      </c>
      <c r="DC522" s="15" t="str">
        <f>IFERROR(__xludf.DUMMYFUNCTION("""COMPUTED_VALUE"""),"{""value"":24.00,""unit"":""in""}")</f>
        <v>{"value":24.00,"unit":"in"}</v>
      </c>
      <c r="DD522" s="15" t="s">
        <v>1161</v>
      </c>
      <c r="DE522" s="15" t="str">
        <f>IFERROR(__xludf.DUMMYFUNCTION("""COMPUTED_VALUE"""),"{""value"":17.00,""unit"":""in""}")</f>
        <v>{"value":17.00,"unit":"in"}</v>
      </c>
      <c r="DG522" s="15" t="str">
        <f>IFERROR(__xludf.DUMMYFUNCTION("""COMPUTED_VALUE"""),"")</f>
        <v/>
      </c>
      <c r="DH522" s="15">
        <v>0.0</v>
      </c>
      <c r="DI522" s="15">
        <v>1.0</v>
      </c>
      <c r="DJ522" s="15" t="s">
        <v>717</v>
      </c>
      <c r="DK522" s="15" t="s">
        <v>718</v>
      </c>
      <c r="DL522" s="15" t="str">
        <f>IFERROR(__xludf.DUMMYFUNCTION("""COMPUTED_VALUE"""),"Vacuum or light brush only. Do not use water or any cleaning products.")</f>
        <v>Vacuum or light brush only. Do not use water or any cleaning products.</v>
      </c>
      <c r="DM522" s="15" t="s">
        <v>719</v>
      </c>
      <c r="DT522" s="15" t="s">
        <v>721</v>
      </c>
      <c r="DU522" s="15" t="s">
        <v>1605</v>
      </c>
      <c r="DV522" s="15">
        <v>0.0</v>
      </c>
      <c r="DZ522" s="15">
        <v>30000.0</v>
      </c>
      <c r="EA522" s="15" t="s">
        <v>990</v>
      </c>
      <c r="EB522" s="15" t="s">
        <v>1016</v>
      </c>
      <c r="ED522" s="15">
        <v>1.0</v>
      </c>
      <c r="EE522" s="15">
        <v>1.0</v>
      </c>
      <c r="EG522" s="15" t="s">
        <v>444</v>
      </c>
      <c r="EH522" s="15" t="s">
        <v>6096</v>
      </c>
      <c r="EI522" s="15">
        <v>0.0</v>
      </c>
      <c r="EJ522" s="15" t="s">
        <v>726</v>
      </c>
      <c r="EK522" s="15" t="s">
        <v>727</v>
      </c>
      <c r="EL522" s="15" t="s">
        <v>2384</v>
      </c>
      <c r="EM522" s="15" t="str">
        <f>IFERROR(__xludf.DUMMYFUNCTION("""COMPUTED_VALUE"""),"{""value"":24.50,""unit"":""in""}")</f>
        <v>{"value":24.50,"unit":"in"}</v>
      </c>
      <c r="EN522" s="15" t="s">
        <v>2547</v>
      </c>
      <c r="EO522" s="15" t="s">
        <v>1213</v>
      </c>
      <c r="ES522" s="15" t="s">
        <v>505</v>
      </c>
      <c r="EW522" s="15" t="s">
        <v>1188</v>
      </c>
      <c r="EZ522" s="15" t="s">
        <v>1329</v>
      </c>
      <c r="FC522" s="15" t="s">
        <v>1016</v>
      </c>
      <c r="FF522" s="15" t="s">
        <v>860</v>
      </c>
      <c r="FO522" s="15" t="s">
        <v>1065</v>
      </c>
      <c r="FP522" s="15" t="s">
        <v>1211</v>
      </c>
      <c r="FQ522" s="15">
        <v>0.0</v>
      </c>
      <c r="FR522" s="15">
        <v>0.0</v>
      </c>
      <c r="FT522" s="15">
        <v>0.0</v>
      </c>
      <c r="IL522" s="15" t="s">
        <v>1610</v>
      </c>
    </row>
    <row r="523" ht="15.75" customHeight="1">
      <c r="A523" s="14" t="s">
        <v>391</v>
      </c>
      <c r="B523" s="15" t="s">
        <v>6090</v>
      </c>
      <c r="C523" s="16"/>
      <c r="D523" s="15" t="s">
        <v>432</v>
      </c>
      <c r="G523" s="14" t="s">
        <v>393</v>
      </c>
      <c r="H523" s="14" t="s">
        <v>394</v>
      </c>
      <c r="I523" s="14" t="b">
        <v>1</v>
      </c>
      <c r="J523" s="14" t="s">
        <v>395</v>
      </c>
      <c r="L523" s="14" t="b">
        <v>0</v>
      </c>
      <c r="M523" s="15" t="s">
        <v>6106</v>
      </c>
      <c r="N523" s="14" t="s">
        <v>393</v>
      </c>
      <c r="O523" s="14" t="s">
        <v>393</v>
      </c>
      <c r="P523" s="15" t="s">
        <v>397</v>
      </c>
      <c r="Q523" s="15" t="s">
        <v>6107</v>
      </c>
      <c r="T523" s="14" t="b">
        <v>0</v>
      </c>
      <c r="U523" s="15" t="s">
        <v>6108</v>
      </c>
      <c r="V523" s="15" t="s">
        <v>1436</v>
      </c>
      <c r="W523" s="15" t="s">
        <v>401</v>
      </c>
      <c r="X523" s="15" t="s">
        <v>695</v>
      </c>
      <c r="Y523" s="15">
        <v>3497.0</v>
      </c>
      <c r="AA523" s="15" t="str">
        <f>"1345"</f>
        <v>1345</v>
      </c>
      <c r="AB523" s="14" t="b">
        <v>1</v>
      </c>
      <c r="AC523" s="14" t="b">
        <v>1</v>
      </c>
      <c r="AD523" s="15" t="str">
        <f>"198394021715"</f>
        <v>198394021715</v>
      </c>
      <c r="AE523" s="15" t="s">
        <v>6109</v>
      </c>
      <c r="AF523" s="14" t="s">
        <v>404</v>
      </c>
      <c r="AG523" s="14" t="s">
        <v>405</v>
      </c>
      <c r="AH523" s="14" t="s">
        <v>406</v>
      </c>
      <c r="AI523" s="15">
        <v>0.0</v>
      </c>
      <c r="AL523" s="15" t="s">
        <v>6110</v>
      </c>
      <c r="AM523" s="15" t="s">
        <v>645</v>
      </c>
      <c r="AN523" s="15" t="s">
        <v>646</v>
      </c>
      <c r="AO523" s="15" t="s">
        <v>622</v>
      </c>
      <c r="AP523" s="15" t="s">
        <v>623</v>
      </c>
      <c r="AQ523" s="15" t="s">
        <v>2306</v>
      </c>
      <c r="AR523" s="15" t="s">
        <v>2307</v>
      </c>
      <c r="AS523" s="15" t="s">
        <v>1317</v>
      </c>
      <c r="AT523" s="15" t="s">
        <v>6107</v>
      </c>
      <c r="AU523" s="15" t="s">
        <v>2801</v>
      </c>
      <c r="AW523" s="15" t="s">
        <v>706</v>
      </c>
      <c r="AX523" s="15" t="s">
        <v>707</v>
      </c>
      <c r="AY523" s="15" t="s">
        <v>413</v>
      </c>
      <c r="AZ523" s="15" t="b">
        <v>0</v>
      </c>
      <c r="BA523" s="15" t="s">
        <v>413</v>
      </c>
      <c r="BB523" s="15" t="b">
        <v>0</v>
      </c>
      <c r="BC523" s="15" t="s">
        <v>6111</v>
      </c>
      <c r="BD523" s="15" t="s">
        <v>709</v>
      </c>
      <c r="BE523" s="15" t="str">
        <f t="shared" si="905"/>
        <v>1</v>
      </c>
      <c r="BF523" s="15" t="s">
        <v>1477</v>
      </c>
      <c r="BG523" s="15" t="str">
        <f t="shared" si="928"/>
        <v>36.61</v>
      </c>
      <c r="BH523" s="15" t="s">
        <v>1734</v>
      </c>
      <c r="BI523" s="15" t="str">
        <f t="shared" si="929"/>
        <v>36.61</v>
      </c>
      <c r="BJ523" s="15" t="s">
        <v>1734</v>
      </c>
      <c r="BK523" s="15" t="str">
        <f t="shared" si="930"/>
        <v>33.07</v>
      </c>
      <c r="BL523" s="15" t="s">
        <v>1091</v>
      </c>
      <c r="BM523" s="15" t="str">
        <f t="shared" si="931"/>
        <v>95.24</v>
      </c>
      <c r="BN523" s="15" t="s">
        <v>6095</v>
      </c>
      <c r="BQ523" s="15" t="s">
        <v>444</v>
      </c>
      <c r="BS523" s="15" t="s">
        <v>444</v>
      </c>
      <c r="BU523" s="15" t="s">
        <v>444</v>
      </c>
      <c r="BW523" s="15" t="s">
        <v>444</v>
      </c>
      <c r="BZ523" s="15" t="s">
        <v>444</v>
      </c>
      <c r="CB523" s="15" t="s">
        <v>444</v>
      </c>
      <c r="CD523" s="15" t="s">
        <v>444</v>
      </c>
      <c r="CF523" s="15" t="s">
        <v>444</v>
      </c>
      <c r="CI523" s="15" t="s">
        <v>444</v>
      </c>
      <c r="CK523" s="15" t="s">
        <v>444</v>
      </c>
      <c r="CM523" s="15" t="s">
        <v>444</v>
      </c>
      <c r="CO523" s="15" t="s">
        <v>444</v>
      </c>
      <c r="CP523" s="15" t="str">
        <f t="shared" si="932"/>
        <v>23.38</v>
      </c>
      <c r="CQ523" s="15" t="str">
        <f t="shared" si="933"/>
        <v>0.662</v>
      </c>
      <c r="CR523" s="15" t="s">
        <v>497</v>
      </c>
      <c r="DB523" s="15" t="s">
        <v>1211</v>
      </c>
      <c r="DC523" s="15" t="str">
        <f>IFERROR(__xludf.DUMMYFUNCTION("""COMPUTED_VALUE"""),"{""value"":24.00,""unit"":""in""}")</f>
        <v>{"value":24.00,"unit":"in"}</v>
      </c>
      <c r="DD523" s="15" t="s">
        <v>1161</v>
      </c>
      <c r="DE523" s="15" t="str">
        <f>IFERROR(__xludf.DUMMYFUNCTION("""COMPUTED_VALUE"""),"{""value"":17.00,""unit"":""in""}")</f>
        <v>{"value":17.00,"unit":"in"}</v>
      </c>
      <c r="DG523" s="15" t="str">
        <f>IFERROR(__xludf.DUMMYFUNCTION("""COMPUTED_VALUE"""),"")</f>
        <v/>
      </c>
      <c r="DH523" s="15">
        <v>0.0</v>
      </c>
      <c r="DI523" s="15">
        <v>1.0</v>
      </c>
      <c r="DJ523" s="15" t="s">
        <v>717</v>
      </c>
      <c r="DK523" s="15" t="s">
        <v>718</v>
      </c>
      <c r="DL523" s="15" t="str">
        <f>IFERROR(__xludf.DUMMYFUNCTION("""COMPUTED_VALUE"""),"Vacuum or light brush only. Do not use water or any cleaning products.")</f>
        <v>Vacuum or light brush only. Do not use water or any cleaning products.</v>
      </c>
      <c r="DM523" s="15" t="s">
        <v>719</v>
      </c>
      <c r="DT523" s="15" t="s">
        <v>721</v>
      </c>
      <c r="DU523" s="15" t="s">
        <v>1605</v>
      </c>
      <c r="DV523" s="15">
        <v>0.0</v>
      </c>
      <c r="DZ523" s="15">
        <v>0.0</v>
      </c>
      <c r="EA523" s="15" t="s">
        <v>990</v>
      </c>
      <c r="EB523" s="15" t="s">
        <v>1016</v>
      </c>
      <c r="ED523" s="15">
        <v>1.0</v>
      </c>
      <c r="EE523" s="15">
        <v>1.0</v>
      </c>
      <c r="EG523" s="15" t="s">
        <v>444</v>
      </c>
      <c r="EH523" s="15" t="s">
        <v>6096</v>
      </c>
      <c r="EI523" s="15">
        <v>0.0</v>
      </c>
      <c r="EJ523" s="15" t="s">
        <v>726</v>
      </c>
      <c r="EK523" s="15" t="s">
        <v>727</v>
      </c>
      <c r="EL523" s="15" t="s">
        <v>2384</v>
      </c>
      <c r="EM523" s="15" t="str">
        <f>IFERROR(__xludf.DUMMYFUNCTION("""COMPUTED_VALUE"""),"{""value"":24.50,""unit"":""in""}")</f>
        <v>{"value":24.50,"unit":"in"}</v>
      </c>
      <c r="EN523" s="15" t="s">
        <v>2547</v>
      </c>
      <c r="EO523" s="15" t="s">
        <v>1213</v>
      </c>
      <c r="ES523" s="15" t="s">
        <v>505</v>
      </c>
      <c r="EW523" s="15" t="s">
        <v>1188</v>
      </c>
      <c r="EZ523" s="15" t="s">
        <v>1329</v>
      </c>
      <c r="FC523" s="15" t="s">
        <v>1016</v>
      </c>
      <c r="FF523" s="15" t="s">
        <v>860</v>
      </c>
      <c r="FO523" s="15" t="s">
        <v>1065</v>
      </c>
      <c r="FP523" s="15" t="s">
        <v>1211</v>
      </c>
      <c r="FQ523" s="15">
        <v>0.0</v>
      </c>
      <c r="FR523" s="15">
        <v>0.0</v>
      </c>
      <c r="FT523" s="15">
        <v>0.0</v>
      </c>
      <c r="IL523" s="15" t="s">
        <v>1610</v>
      </c>
    </row>
    <row r="524" ht="15.75" customHeight="1">
      <c r="A524" s="14" t="s">
        <v>391</v>
      </c>
      <c r="B524" s="15" t="s">
        <v>6112</v>
      </c>
      <c r="C524" s="16"/>
      <c r="D524" s="15" t="s">
        <v>432</v>
      </c>
      <c r="G524" s="14" t="s">
        <v>393</v>
      </c>
      <c r="H524" s="14" t="s">
        <v>394</v>
      </c>
      <c r="I524" s="14" t="b">
        <v>1</v>
      </c>
      <c r="J524" s="14" t="s">
        <v>395</v>
      </c>
      <c r="L524" s="14" t="b">
        <v>0</v>
      </c>
      <c r="M524" s="15" t="s">
        <v>6113</v>
      </c>
      <c r="N524" s="14" t="s">
        <v>393</v>
      </c>
      <c r="O524" s="14" t="s">
        <v>393</v>
      </c>
      <c r="P524" s="15" t="s">
        <v>397</v>
      </c>
      <c r="Q524" s="15" t="s">
        <v>4322</v>
      </c>
      <c r="T524" s="14" t="b">
        <v>0</v>
      </c>
      <c r="U524" s="15" t="s">
        <v>6114</v>
      </c>
      <c r="V524" s="15" t="s">
        <v>6115</v>
      </c>
      <c r="W524" s="15" t="s">
        <v>401</v>
      </c>
      <c r="X524" s="15" t="s">
        <v>695</v>
      </c>
      <c r="Y524" s="15">
        <v>1365.0</v>
      </c>
      <c r="AA524" s="15" t="str">
        <f t="shared" ref="AA524:AA525" si="935">"525"</f>
        <v>525</v>
      </c>
      <c r="AB524" s="14" t="b">
        <v>1</v>
      </c>
      <c r="AC524" s="14" t="b">
        <v>1</v>
      </c>
      <c r="AD524" s="15" t="str">
        <f>"801542032616"</f>
        <v>801542032616</v>
      </c>
      <c r="AE524" s="15" t="s">
        <v>6116</v>
      </c>
      <c r="AF524" s="14" t="s">
        <v>404</v>
      </c>
      <c r="AG524" s="14" t="s">
        <v>405</v>
      </c>
      <c r="AH524" s="14" t="s">
        <v>406</v>
      </c>
      <c r="AI524" s="15">
        <v>0.0</v>
      </c>
      <c r="AL524" s="15" t="s">
        <v>832</v>
      </c>
      <c r="AM524" s="15" t="s">
        <v>913</v>
      </c>
      <c r="AN524" s="15" t="s">
        <v>914</v>
      </c>
      <c r="AO524" s="15" t="s">
        <v>3442</v>
      </c>
      <c r="AP524" s="15" t="s">
        <v>3443</v>
      </c>
      <c r="AQ524" s="15" t="s">
        <v>1944</v>
      </c>
      <c r="AR524" s="15" t="s">
        <v>1945</v>
      </c>
      <c r="AS524" s="15" t="s">
        <v>2343</v>
      </c>
      <c r="AT524" s="15" t="s">
        <v>4322</v>
      </c>
      <c r="AU524" s="15" t="s">
        <v>978</v>
      </c>
      <c r="AW524" s="15" t="s">
        <v>706</v>
      </c>
      <c r="AX524" s="15" t="s">
        <v>707</v>
      </c>
      <c r="AY524" s="15" t="s">
        <v>426</v>
      </c>
      <c r="AZ524" s="15" t="b">
        <v>1</v>
      </c>
      <c r="BA524" s="15" t="s">
        <v>413</v>
      </c>
      <c r="BB524" s="15" t="b">
        <v>0</v>
      </c>
      <c r="BC524" s="15" t="s">
        <v>6117</v>
      </c>
      <c r="BD524" s="15" t="s">
        <v>709</v>
      </c>
      <c r="BE524" s="15" t="str">
        <f t="shared" si="905"/>
        <v>1</v>
      </c>
      <c r="BF524" s="15" t="s">
        <v>1477</v>
      </c>
      <c r="BG524" s="15" t="str">
        <f t="shared" ref="BG524:BG526" si="936">"35.83"</f>
        <v>35.83</v>
      </c>
      <c r="BH524" s="15" t="s">
        <v>1505</v>
      </c>
      <c r="BI524" s="15" t="str">
        <f t="shared" ref="BI524:BI525" si="937">"38.98"</f>
        <v>38.98</v>
      </c>
      <c r="BJ524" s="15" t="s">
        <v>927</v>
      </c>
      <c r="BK524" s="15" t="str">
        <f t="shared" ref="BK524:BK525" si="938">"31.89"</f>
        <v>31.89</v>
      </c>
      <c r="BL524" s="15" t="s">
        <v>1183</v>
      </c>
      <c r="BM524" s="15" t="str">
        <f t="shared" ref="BM524:BM525" si="939">"78.48"</f>
        <v>78.48</v>
      </c>
      <c r="BN524" s="15" t="s">
        <v>6118</v>
      </c>
      <c r="BQ524" s="15" t="s">
        <v>444</v>
      </c>
      <c r="BS524" s="15" t="s">
        <v>444</v>
      </c>
      <c r="BU524" s="15" t="s">
        <v>444</v>
      </c>
      <c r="BW524" s="15" t="s">
        <v>444</v>
      </c>
      <c r="BZ524" s="15" t="s">
        <v>444</v>
      </c>
      <c r="CB524" s="15" t="s">
        <v>444</v>
      </c>
      <c r="CD524" s="15" t="s">
        <v>444</v>
      </c>
      <c r="CF524" s="15" t="s">
        <v>444</v>
      </c>
      <c r="CI524" s="15" t="s">
        <v>444</v>
      </c>
      <c r="CK524" s="15" t="s">
        <v>444</v>
      </c>
      <c r="CM524" s="15" t="s">
        <v>444</v>
      </c>
      <c r="CO524" s="15" t="s">
        <v>444</v>
      </c>
      <c r="CP524" s="15" t="str">
        <f t="shared" ref="CP524:CP525" si="940">"21.01"</f>
        <v>21.01</v>
      </c>
      <c r="CQ524" s="15" t="str">
        <f t="shared" ref="CQ524:CQ525" si="941">"0.595"</f>
        <v>0.595</v>
      </c>
      <c r="CR524" s="15" t="s">
        <v>465</v>
      </c>
      <c r="DB524" s="15" t="s">
        <v>2384</v>
      </c>
      <c r="DC524" s="15" t="str">
        <f>IFERROR(__xludf.DUMMYFUNCTION("""COMPUTED_VALUE"""),"{""value"":24.50,""unit"":""in""}")</f>
        <v>{"value":24.50,"unit":"in"}</v>
      </c>
      <c r="DD524" s="15" t="s">
        <v>1804</v>
      </c>
      <c r="DE524" s="15" t="str">
        <f>IFERROR(__xludf.DUMMYFUNCTION("""COMPUTED_VALUE"""),"{""value"":17.50,""unit"":""in""}")</f>
        <v>{"value":17.50,"unit":"in"}</v>
      </c>
      <c r="DG524" s="15" t="str">
        <f>IFERROR(__xludf.DUMMYFUNCTION("""COMPUTED_VALUE"""),"")</f>
        <v/>
      </c>
      <c r="DH524" s="15">
        <v>0.0</v>
      </c>
      <c r="DI524" s="15">
        <v>0.0</v>
      </c>
      <c r="DJ524" s="15" t="s">
        <v>717</v>
      </c>
      <c r="DK524" s="15" t="s">
        <v>897</v>
      </c>
      <c r="DL524" s="15" t="str">
        <f>IFERROR(__xludf.DUMMYFUNCTION("""COMPUTED_VALUE"""),"Clean with water-based products only. Use mild detergent or upholstery shampoo.")</f>
        <v>Clean with water-based products only. Use mild detergent or upholstery shampoo.</v>
      </c>
      <c r="DM524" s="15" t="s">
        <v>898</v>
      </c>
      <c r="DT524" s="15" t="s">
        <v>721</v>
      </c>
      <c r="DU524" s="15" t="s">
        <v>419</v>
      </c>
      <c r="DV524" s="15">
        <v>0.0</v>
      </c>
      <c r="DZ524" s="15">
        <v>100000.0</v>
      </c>
      <c r="EA524" s="15" t="s">
        <v>990</v>
      </c>
      <c r="ED524" s="15">
        <v>0.0</v>
      </c>
      <c r="EE524" s="15">
        <v>1.0</v>
      </c>
      <c r="EG524" s="15" t="s">
        <v>444</v>
      </c>
      <c r="EH524" s="15" t="s">
        <v>6119</v>
      </c>
      <c r="EI524" s="15">
        <v>0.0</v>
      </c>
      <c r="EJ524" s="15" t="s">
        <v>726</v>
      </c>
      <c r="EK524" s="15" t="s">
        <v>727</v>
      </c>
      <c r="EL524" s="15" t="s">
        <v>1214</v>
      </c>
      <c r="EM524" s="15" t="str">
        <f>IFERROR(__xludf.DUMMYFUNCTION("""COMPUTED_VALUE"""),"{""value"":21.75,""unit"":""in""}")</f>
        <v>{"value":21.75,"unit":"in"}</v>
      </c>
      <c r="EN524" s="15" t="s">
        <v>2498</v>
      </c>
      <c r="EO524" s="15" t="s">
        <v>2020</v>
      </c>
      <c r="ES524" s="15" t="s">
        <v>2116</v>
      </c>
      <c r="EW524" s="15" t="s">
        <v>672</v>
      </c>
      <c r="EX524" s="15" t="s">
        <v>1592</v>
      </c>
      <c r="EY524" s="15" t="s">
        <v>3748</v>
      </c>
      <c r="EZ524" s="15" t="s">
        <v>2618</v>
      </c>
      <c r="FF524" s="15" t="s">
        <v>1255</v>
      </c>
      <c r="FO524" s="15" t="s">
        <v>467</v>
      </c>
      <c r="FP524" s="15" t="s">
        <v>2384</v>
      </c>
      <c r="FQ524" s="15">
        <v>0.0</v>
      </c>
      <c r="FR524" s="15">
        <v>0.0</v>
      </c>
      <c r="FT524" s="15">
        <v>0.0</v>
      </c>
    </row>
    <row r="525" ht="15.75" customHeight="1">
      <c r="A525" s="14" t="s">
        <v>391</v>
      </c>
      <c r="B525" s="15" t="s">
        <v>6112</v>
      </c>
      <c r="C525" s="16"/>
      <c r="D525" s="15" t="s">
        <v>432</v>
      </c>
      <c r="G525" s="14" t="s">
        <v>393</v>
      </c>
      <c r="H525" s="14" t="s">
        <v>394</v>
      </c>
      <c r="I525" s="14" t="b">
        <v>1</v>
      </c>
      <c r="J525" s="14" t="s">
        <v>395</v>
      </c>
      <c r="L525" s="14" t="b">
        <v>0</v>
      </c>
      <c r="M525" s="15" t="s">
        <v>6120</v>
      </c>
      <c r="N525" s="14" t="s">
        <v>393</v>
      </c>
      <c r="O525" s="14" t="s">
        <v>393</v>
      </c>
      <c r="P525" s="15" t="s">
        <v>397</v>
      </c>
      <c r="Q525" s="15" t="s">
        <v>2443</v>
      </c>
      <c r="T525" s="14" t="b">
        <v>0</v>
      </c>
      <c r="U525" s="15" t="s">
        <v>6121</v>
      </c>
      <c r="V525" s="15" t="s">
        <v>6115</v>
      </c>
      <c r="W525" s="15" t="s">
        <v>401</v>
      </c>
      <c r="X525" s="15" t="s">
        <v>695</v>
      </c>
      <c r="Y525" s="15">
        <v>1365.0</v>
      </c>
      <c r="AA525" s="15" t="str">
        <f t="shared" si="935"/>
        <v>525</v>
      </c>
      <c r="AB525" s="14" t="b">
        <v>1</v>
      </c>
      <c r="AC525" s="14" t="b">
        <v>1</v>
      </c>
      <c r="AD525" s="15" t="str">
        <f>"801542032623"</f>
        <v>801542032623</v>
      </c>
      <c r="AE525" s="15" t="s">
        <v>6122</v>
      </c>
      <c r="AF525" s="14" t="s">
        <v>404</v>
      </c>
      <c r="AG525" s="14" t="s">
        <v>405</v>
      </c>
      <c r="AH525" s="14" t="s">
        <v>406</v>
      </c>
      <c r="AI525" s="15">
        <v>0.0</v>
      </c>
      <c r="AL525" s="15" t="s">
        <v>832</v>
      </c>
      <c r="AM525" s="15" t="s">
        <v>913</v>
      </c>
      <c r="AN525" s="15" t="s">
        <v>914</v>
      </c>
      <c r="AO525" s="15" t="s">
        <v>3442</v>
      </c>
      <c r="AP525" s="15" t="s">
        <v>3443</v>
      </c>
      <c r="AQ525" s="15" t="s">
        <v>1944</v>
      </c>
      <c r="AR525" s="15" t="s">
        <v>1945</v>
      </c>
      <c r="AS525" s="15" t="s">
        <v>2343</v>
      </c>
      <c r="AT525" s="15" t="s">
        <v>2443</v>
      </c>
      <c r="AU525" s="15" t="s">
        <v>978</v>
      </c>
      <c r="AW525" s="15" t="s">
        <v>706</v>
      </c>
      <c r="AX525" s="15" t="s">
        <v>707</v>
      </c>
      <c r="AY525" s="15" t="s">
        <v>413</v>
      </c>
      <c r="AZ525" s="15" t="b">
        <v>0</v>
      </c>
      <c r="BA525" s="15" t="s">
        <v>413</v>
      </c>
      <c r="BB525" s="15" t="b">
        <v>0</v>
      </c>
      <c r="BC525" s="15" t="s">
        <v>6123</v>
      </c>
      <c r="BD525" s="15" t="s">
        <v>709</v>
      </c>
      <c r="BE525" s="15" t="str">
        <f t="shared" si="905"/>
        <v>1</v>
      </c>
      <c r="BF525" s="15" t="s">
        <v>1477</v>
      </c>
      <c r="BG525" s="15" t="str">
        <f t="shared" si="936"/>
        <v>35.83</v>
      </c>
      <c r="BH525" s="15" t="s">
        <v>1505</v>
      </c>
      <c r="BI525" s="15" t="str">
        <f t="shared" si="937"/>
        <v>38.98</v>
      </c>
      <c r="BJ525" s="15" t="s">
        <v>927</v>
      </c>
      <c r="BK525" s="15" t="str">
        <f t="shared" si="938"/>
        <v>31.89</v>
      </c>
      <c r="BL525" s="15" t="s">
        <v>1183</v>
      </c>
      <c r="BM525" s="15" t="str">
        <f t="shared" si="939"/>
        <v>78.48</v>
      </c>
      <c r="BN525" s="15" t="s">
        <v>6118</v>
      </c>
      <c r="BQ525" s="15" t="s">
        <v>444</v>
      </c>
      <c r="BS525" s="15" t="s">
        <v>444</v>
      </c>
      <c r="BU525" s="15" t="s">
        <v>444</v>
      </c>
      <c r="BW525" s="15" t="s">
        <v>444</v>
      </c>
      <c r="BZ525" s="15" t="s">
        <v>444</v>
      </c>
      <c r="CB525" s="15" t="s">
        <v>444</v>
      </c>
      <c r="CD525" s="15" t="s">
        <v>444</v>
      </c>
      <c r="CF525" s="15" t="s">
        <v>444</v>
      </c>
      <c r="CI525" s="15" t="s">
        <v>444</v>
      </c>
      <c r="CK525" s="15" t="s">
        <v>444</v>
      </c>
      <c r="CM525" s="15" t="s">
        <v>444</v>
      </c>
      <c r="CO525" s="15" t="s">
        <v>444</v>
      </c>
      <c r="CP525" s="15" t="str">
        <f t="shared" si="940"/>
        <v>21.01</v>
      </c>
      <c r="CQ525" s="15" t="str">
        <f t="shared" si="941"/>
        <v>0.595</v>
      </c>
      <c r="CR525" s="15" t="s">
        <v>465</v>
      </c>
      <c r="DB525" s="15" t="s">
        <v>2384</v>
      </c>
      <c r="DC525" s="15" t="str">
        <f>IFERROR(__xludf.DUMMYFUNCTION("""COMPUTED_VALUE"""),"{""value"":24.50,""unit"":""in""}")</f>
        <v>{"value":24.50,"unit":"in"}</v>
      </c>
      <c r="DD525" s="15" t="s">
        <v>1804</v>
      </c>
      <c r="DE525" s="15" t="str">
        <f>IFERROR(__xludf.DUMMYFUNCTION("""COMPUTED_VALUE"""),"{""value"":17.50,""unit"":""in""}")</f>
        <v>{"value":17.50,"unit":"in"}</v>
      </c>
      <c r="DG525" s="15" t="str">
        <f>IFERROR(__xludf.DUMMYFUNCTION("""COMPUTED_VALUE"""),"")</f>
        <v/>
      </c>
      <c r="DH525" s="15">
        <v>0.0</v>
      </c>
      <c r="DI525" s="15">
        <v>0.0</v>
      </c>
      <c r="DJ525" s="15" t="s">
        <v>717</v>
      </c>
      <c r="DK525" s="15" t="s">
        <v>897</v>
      </c>
      <c r="DL525" s="15" t="str">
        <f>IFERROR(__xludf.DUMMYFUNCTION("""COMPUTED_VALUE"""),"Clean with water-based products only. Use mild detergent or upholstery shampoo.")</f>
        <v>Clean with water-based products only. Use mild detergent or upholstery shampoo.</v>
      </c>
      <c r="DM525" s="15" t="s">
        <v>898</v>
      </c>
      <c r="DT525" s="15" t="s">
        <v>721</v>
      </c>
      <c r="DU525" s="15" t="s">
        <v>419</v>
      </c>
      <c r="DV525" s="15">
        <v>0.0</v>
      </c>
      <c r="DZ525" s="15">
        <v>100000.0</v>
      </c>
      <c r="EA525" s="15" t="s">
        <v>990</v>
      </c>
      <c r="ED525" s="15">
        <v>0.0</v>
      </c>
      <c r="EE525" s="15">
        <v>1.0</v>
      </c>
      <c r="EG525" s="15" t="s">
        <v>444</v>
      </c>
      <c r="EH525" s="15" t="s">
        <v>6119</v>
      </c>
      <c r="EI525" s="15">
        <v>0.0</v>
      </c>
      <c r="EJ525" s="15" t="s">
        <v>726</v>
      </c>
      <c r="EK525" s="15" t="s">
        <v>727</v>
      </c>
      <c r="EL525" s="15" t="s">
        <v>1214</v>
      </c>
      <c r="EM525" s="15" t="str">
        <f>IFERROR(__xludf.DUMMYFUNCTION("""COMPUTED_VALUE"""),"{""value"":21.75,""unit"":""in""}")</f>
        <v>{"value":21.75,"unit":"in"}</v>
      </c>
      <c r="EN525" s="15" t="s">
        <v>2498</v>
      </c>
      <c r="EO525" s="15" t="s">
        <v>2020</v>
      </c>
      <c r="ES525" s="15" t="s">
        <v>2116</v>
      </c>
      <c r="EW525" s="15" t="s">
        <v>672</v>
      </c>
      <c r="EX525" s="15" t="s">
        <v>1592</v>
      </c>
      <c r="EY525" s="15" t="s">
        <v>3748</v>
      </c>
      <c r="EZ525" s="15" t="s">
        <v>2618</v>
      </c>
      <c r="FF525" s="15" t="s">
        <v>1255</v>
      </c>
      <c r="FO525" s="15" t="s">
        <v>467</v>
      </c>
      <c r="FP525" s="15" t="s">
        <v>2384</v>
      </c>
      <c r="FQ525" s="15">
        <v>0.0</v>
      </c>
      <c r="FR525" s="15">
        <v>0.0</v>
      </c>
      <c r="FT525" s="15">
        <v>0.0</v>
      </c>
    </row>
    <row r="526" ht="15.75" customHeight="1">
      <c r="A526" s="14" t="s">
        <v>391</v>
      </c>
      <c r="B526" s="15" t="s">
        <v>6124</v>
      </c>
      <c r="C526" s="16"/>
      <c r="D526" s="15" t="s">
        <v>432</v>
      </c>
      <c r="G526" s="14" t="s">
        <v>393</v>
      </c>
      <c r="H526" s="14" t="s">
        <v>394</v>
      </c>
      <c r="I526" s="14" t="b">
        <v>1</v>
      </c>
      <c r="J526" s="14" t="s">
        <v>395</v>
      </c>
      <c r="L526" s="14" t="b">
        <v>0</v>
      </c>
      <c r="M526" s="15" t="s">
        <v>6125</v>
      </c>
      <c r="N526" s="14" t="s">
        <v>393</v>
      </c>
      <c r="O526" s="14" t="s">
        <v>393</v>
      </c>
      <c r="P526" s="15" t="s">
        <v>397</v>
      </c>
      <c r="Q526" s="15" t="s">
        <v>4322</v>
      </c>
      <c r="T526" s="14" t="b">
        <v>0</v>
      </c>
      <c r="U526" s="15" t="s">
        <v>6126</v>
      </c>
      <c r="V526" s="15" t="s">
        <v>6127</v>
      </c>
      <c r="W526" s="15" t="s">
        <v>401</v>
      </c>
      <c r="X526" s="15" t="s">
        <v>695</v>
      </c>
      <c r="Y526" s="15">
        <v>1911.0</v>
      </c>
      <c r="AA526" s="15" t="str">
        <f>"735"</f>
        <v>735</v>
      </c>
      <c r="AB526" s="14" t="b">
        <v>1</v>
      </c>
      <c r="AC526" s="14" t="b">
        <v>1</v>
      </c>
      <c r="AD526" s="15" t="str">
        <f>"801542066840"</f>
        <v>801542066840</v>
      </c>
      <c r="AE526" s="15" t="s">
        <v>6128</v>
      </c>
      <c r="AF526" s="14" t="s">
        <v>404</v>
      </c>
      <c r="AG526" s="14" t="s">
        <v>405</v>
      </c>
      <c r="AH526" s="14" t="s">
        <v>406</v>
      </c>
      <c r="AI526" s="15">
        <v>0.0</v>
      </c>
      <c r="AL526" s="15" t="s">
        <v>832</v>
      </c>
      <c r="AM526" s="15" t="s">
        <v>622</v>
      </c>
      <c r="AN526" s="15" t="s">
        <v>623</v>
      </c>
      <c r="AO526" s="15" t="s">
        <v>3301</v>
      </c>
      <c r="AP526" s="15" t="s">
        <v>3302</v>
      </c>
      <c r="AQ526" s="15" t="s">
        <v>1944</v>
      </c>
      <c r="AR526" s="15" t="s">
        <v>1945</v>
      </c>
      <c r="AS526" s="15" t="s">
        <v>2343</v>
      </c>
      <c r="AT526" s="15" t="s">
        <v>4322</v>
      </c>
      <c r="AU526" s="15" t="s">
        <v>978</v>
      </c>
      <c r="AW526" s="15" t="s">
        <v>1226</v>
      </c>
      <c r="AY526" s="15" t="s">
        <v>426</v>
      </c>
      <c r="AZ526" s="15" t="b">
        <v>1</v>
      </c>
      <c r="BA526" s="15" t="s">
        <v>413</v>
      </c>
      <c r="BB526" s="15" t="b">
        <v>0</v>
      </c>
      <c r="BC526" s="15" t="s">
        <v>6129</v>
      </c>
      <c r="BD526" s="15" t="s">
        <v>709</v>
      </c>
      <c r="BE526" s="15" t="str">
        <f t="shared" si="905"/>
        <v>1</v>
      </c>
      <c r="BF526" s="15" t="s">
        <v>1477</v>
      </c>
      <c r="BG526" s="15" t="str">
        <f t="shared" si="936"/>
        <v>35.83</v>
      </c>
      <c r="BH526" s="15" t="s">
        <v>1505</v>
      </c>
      <c r="BI526" s="15" t="str">
        <f>"60.24"</f>
        <v>60.24</v>
      </c>
      <c r="BJ526" s="15" t="s">
        <v>6130</v>
      </c>
      <c r="BK526" s="15" t="str">
        <f>"31.5"</f>
        <v>31.5</v>
      </c>
      <c r="BL526" s="15" t="s">
        <v>1322</v>
      </c>
      <c r="BM526" s="15" t="str">
        <f>"105.38"</f>
        <v>105.38</v>
      </c>
      <c r="BN526" s="15" t="s">
        <v>6131</v>
      </c>
      <c r="BQ526" s="15" t="s">
        <v>444</v>
      </c>
      <c r="BS526" s="15" t="s">
        <v>444</v>
      </c>
      <c r="BU526" s="15" t="s">
        <v>444</v>
      </c>
      <c r="BW526" s="15" t="s">
        <v>444</v>
      </c>
      <c r="BZ526" s="15" t="s">
        <v>444</v>
      </c>
      <c r="CB526" s="15" t="s">
        <v>444</v>
      </c>
      <c r="CD526" s="15" t="s">
        <v>444</v>
      </c>
      <c r="CF526" s="15" t="s">
        <v>444</v>
      </c>
      <c r="CI526" s="15" t="s">
        <v>444</v>
      </c>
      <c r="CK526" s="15" t="s">
        <v>444</v>
      </c>
      <c r="CM526" s="15" t="s">
        <v>444</v>
      </c>
      <c r="CO526" s="15" t="s">
        <v>444</v>
      </c>
      <c r="CP526" s="15" t="str">
        <f>"32.45"</f>
        <v>32.45</v>
      </c>
      <c r="CQ526" s="15" t="str">
        <f>"0.919"</f>
        <v>0.919</v>
      </c>
      <c r="CR526" s="15" t="s">
        <v>497</v>
      </c>
      <c r="DB526" s="15" t="s">
        <v>996</v>
      </c>
      <c r="DC526" s="15" t="str">
        <f>IFERROR(__xludf.DUMMYFUNCTION("""COMPUTED_VALUE"""),"{""value"":45.00,""unit"":""in""}")</f>
        <v>{"value":45.00,"unit":"in"}</v>
      </c>
      <c r="DD526" s="15" t="s">
        <v>1804</v>
      </c>
      <c r="DE526" s="15" t="str">
        <f>IFERROR(__xludf.DUMMYFUNCTION("""COMPUTED_VALUE"""),"{""value"":17.50,""unit"":""in""}")</f>
        <v>{"value":17.50,"unit":"in"}</v>
      </c>
      <c r="DG526" s="15" t="str">
        <f>IFERROR(__xludf.DUMMYFUNCTION("""COMPUTED_VALUE"""),"")</f>
        <v/>
      </c>
      <c r="DH526" s="15">
        <v>0.0</v>
      </c>
      <c r="DI526" s="15">
        <v>0.0</v>
      </c>
      <c r="DJ526" s="15" t="s">
        <v>717</v>
      </c>
      <c r="DK526" s="15" t="s">
        <v>897</v>
      </c>
      <c r="DL526" s="15" t="str">
        <f>IFERROR(__xludf.DUMMYFUNCTION("""COMPUTED_VALUE"""),"Clean with water-based products only. Use mild detergent or upholstery shampoo.")</f>
        <v>Clean with water-based products only. Use mild detergent or upholstery shampoo.</v>
      </c>
      <c r="DM526" s="15" t="s">
        <v>898</v>
      </c>
      <c r="DT526" s="15" t="s">
        <v>721</v>
      </c>
      <c r="DU526" s="15" t="s">
        <v>419</v>
      </c>
      <c r="DV526" s="15">
        <v>0.0</v>
      </c>
      <c r="DZ526" s="15">
        <v>100000.0</v>
      </c>
      <c r="EA526" s="15" t="s">
        <v>990</v>
      </c>
      <c r="ED526" s="15">
        <v>0.0</v>
      </c>
      <c r="EE526" s="15">
        <v>1.0</v>
      </c>
      <c r="EG526" s="15" t="s">
        <v>444</v>
      </c>
      <c r="EH526" s="15" t="s">
        <v>6119</v>
      </c>
      <c r="EI526" s="15">
        <v>0.0</v>
      </c>
      <c r="EJ526" s="15" t="s">
        <v>726</v>
      </c>
      <c r="EK526" s="15" t="s">
        <v>727</v>
      </c>
      <c r="EL526" s="15" t="s">
        <v>1214</v>
      </c>
      <c r="EM526" s="15" t="str">
        <f>IFERROR(__xludf.DUMMYFUNCTION("""COMPUTED_VALUE"""),"{""value"":21.75,""unit"":""in""}")</f>
        <v>{"value":21.75,"unit":"in"}</v>
      </c>
      <c r="EN526" s="15" t="s">
        <v>2498</v>
      </c>
      <c r="EO526" s="15" t="s">
        <v>2020</v>
      </c>
      <c r="ES526" s="15" t="s">
        <v>2116</v>
      </c>
      <c r="EW526" s="15" t="s">
        <v>672</v>
      </c>
      <c r="EX526" s="15" t="s">
        <v>1739</v>
      </c>
      <c r="EY526" s="15" t="s">
        <v>1324</v>
      </c>
      <c r="EZ526" s="15" t="s">
        <v>2618</v>
      </c>
      <c r="FF526" s="15" t="s">
        <v>1255</v>
      </c>
      <c r="FO526" s="15" t="s">
        <v>467</v>
      </c>
      <c r="FP526" s="15" t="s">
        <v>4339</v>
      </c>
    </row>
    <row r="527" ht="15.75" customHeight="1">
      <c r="A527" s="14" t="s">
        <v>391</v>
      </c>
      <c r="B527" s="15" t="s">
        <v>6132</v>
      </c>
      <c r="C527" s="16"/>
      <c r="D527" s="15" t="s">
        <v>432</v>
      </c>
      <c r="G527" s="14" t="s">
        <v>393</v>
      </c>
      <c r="H527" s="14" t="s">
        <v>394</v>
      </c>
      <c r="I527" s="14" t="b">
        <v>1</v>
      </c>
      <c r="J527" s="14" t="s">
        <v>395</v>
      </c>
      <c r="L527" s="14" t="b">
        <v>0</v>
      </c>
      <c r="M527" s="15" t="s">
        <v>6133</v>
      </c>
      <c r="N527" s="14" t="s">
        <v>393</v>
      </c>
      <c r="O527" s="14" t="s">
        <v>393</v>
      </c>
      <c r="P527" s="15" t="s">
        <v>397</v>
      </c>
      <c r="Q527" s="15" t="s">
        <v>6134</v>
      </c>
      <c r="T527" s="14" t="b">
        <v>0</v>
      </c>
      <c r="U527" s="15" t="s">
        <v>6135</v>
      </c>
      <c r="V527" s="15" t="s">
        <v>3381</v>
      </c>
      <c r="W527" s="15" t="s">
        <v>401</v>
      </c>
      <c r="X527" s="15" t="s">
        <v>695</v>
      </c>
      <c r="Y527" s="15">
        <v>2301.0</v>
      </c>
      <c r="AA527" s="15" t="str">
        <f>"885"</f>
        <v>885</v>
      </c>
      <c r="AB527" s="14" t="b">
        <v>1</v>
      </c>
      <c r="AC527" s="14" t="b">
        <v>1</v>
      </c>
      <c r="AD527" s="15" t="str">
        <f>"801542577865"</f>
        <v>801542577865</v>
      </c>
      <c r="AE527" s="15" t="s">
        <v>6136</v>
      </c>
      <c r="AF527" s="14" t="s">
        <v>404</v>
      </c>
      <c r="AG527" s="14" t="s">
        <v>405</v>
      </c>
      <c r="AH527" s="14" t="s">
        <v>406</v>
      </c>
      <c r="AI527" s="15">
        <v>0.0</v>
      </c>
      <c r="AL527" s="15" t="s">
        <v>975</v>
      </c>
      <c r="AM527" s="15" t="s">
        <v>2012</v>
      </c>
      <c r="AN527" s="15" t="s">
        <v>2013</v>
      </c>
      <c r="AO527" s="15" t="s">
        <v>517</v>
      </c>
      <c r="AP527" s="15" t="s">
        <v>518</v>
      </c>
      <c r="AQ527" s="15" t="s">
        <v>2306</v>
      </c>
      <c r="AR527" s="15" t="s">
        <v>2307</v>
      </c>
      <c r="AS527" s="15" t="s">
        <v>915</v>
      </c>
      <c r="AT527" s="15" t="s">
        <v>6134</v>
      </c>
      <c r="AU527" s="15" t="s">
        <v>1087</v>
      </c>
      <c r="AW527" s="15" t="s">
        <v>706</v>
      </c>
      <c r="AX527" s="15" t="s">
        <v>707</v>
      </c>
      <c r="AY527" s="15" t="s">
        <v>413</v>
      </c>
      <c r="AZ527" s="15" t="b">
        <v>0</v>
      </c>
      <c r="BA527" s="15" t="s">
        <v>413</v>
      </c>
      <c r="BB527" s="15" t="b">
        <v>0</v>
      </c>
      <c r="BC527" s="15" t="s">
        <v>6137</v>
      </c>
      <c r="BD527" s="15" t="s">
        <v>709</v>
      </c>
      <c r="BE527" s="15" t="str">
        <f t="shared" si="905"/>
        <v>1</v>
      </c>
      <c r="BF527" s="15" t="s">
        <v>416</v>
      </c>
      <c r="BG527" s="15" t="str">
        <f>"32.68"</f>
        <v>32.68</v>
      </c>
      <c r="BH527" s="15" t="s">
        <v>2066</v>
      </c>
      <c r="BI527" s="15" t="str">
        <f>"29.33"</f>
        <v>29.33</v>
      </c>
      <c r="BJ527" s="15" t="s">
        <v>1090</v>
      </c>
      <c r="BK527" s="15" t="str">
        <f>"26.18"</f>
        <v>26.18</v>
      </c>
      <c r="BL527" s="15" t="s">
        <v>5583</v>
      </c>
      <c r="BM527" s="15" t="str">
        <f>"64.37"</f>
        <v>64.37</v>
      </c>
      <c r="BN527" s="15" t="s">
        <v>6138</v>
      </c>
      <c r="BQ527" s="15" t="s">
        <v>444</v>
      </c>
      <c r="BS527" s="15" t="s">
        <v>444</v>
      </c>
      <c r="BU527" s="15" t="s">
        <v>444</v>
      </c>
      <c r="BW527" s="15" t="s">
        <v>444</v>
      </c>
      <c r="BZ527" s="15" t="s">
        <v>444</v>
      </c>
      <c r="CB527" s="15" t="s">
        <v>444</v>
      </c>
      <c r="CD527" s="15" t="s">
        <v>444</v>
      </c>
      <c r="CF527" s="15" t="s">
        <v>444</v>
      </c>
      <c r="CI527" s="15" t="s">
        <v>444</v>
      </c>
      <c r="CK527" s="15" t="s">
        <v>444</v>
      </c>
      <c r="CM527" s="15" t="s">
        <v>444</v>
      </c>
      <c r="CO527" s="15" t="s">
        <v>444</v>
      </c>
      <c r="CP527" s="15" t="str">
        <f>"14.51"</f>
        <v>14.51</v>
      </c>
      <c r="CQ527" s="15" t="str">
        <f>"0.411"</f>
        <v>0.411</v>
      </c>
      <c r="CR527" s="15" t="s">
        <v>465</v>
      </c>
      <c r="CY527" s="15" t="s">
        <v>1283</v>
      </c>
      <c r="CZ527" s="15" t="s">
        <v>429</v>
      </c>
      <c r="DA527" s="15" t="s">
        <v>1072</v>
      </c>
      <c r="DB527" s="15" t="s">
        <v>1331</v>
      </c>
      <c r="DC527" s="15" t="str">
        <f>IFERROR(__xludf.DUMMYFUNCTION("""COMPUTED_VALUE"""),"{""value"":21.00,""unit"":""in""}")</f>
        <v>{"value":21.00,"unit":"in"}</v>
      </c>
      <c r="DD527" s="15" t="s">
        <v>467</v>
      </c>
      <c r="DE527" s="15" t="str">
        <f>IFERROR(__xludf.DUMMYFUNCTION("""COMPUTED_VALUE"""),"{""value"":19.00,""unit"":""in""}")</f>
        <v>{"value":19.00,"unit":"in"}</v>
      </c>
      <c r="DF527" s="15" t="s">
        <v>1237</v>
      </c>
      <c r="DG527" s="15" t="str">
        <f>IFERROR(__xludf.DUMMYFUNCTION("""COMPUTED_VALUE"""),"{""value"":20.50,""unit"":""in""}")</f>
        <v>{"value":20.50,"unit":"in"}</v>
      </c>
      <c r="DH527" s="15">
        <v>0.0</v>
      </c>
      <c r="DI527" s="15">
        <v>1.0</v>
      </c>
      <c r="DJ527" s="15" t="s">
        <v>717</v>
      </c>
      <c r="DK527" s="15" t="s">
        <v>718</v>
      </c>
      <c r="DL527" s="15" t="str">
        <f>IFERROR(__xludf.DUMMYFUNCTION("""COMPUTED_VALUE"""),"Vacuum or light brush only. Do not use water or any cleaning products.")</f>
        <v>Vacuum or light brush only. Do not use water or any cleaning products.</v>
      </c>
      <c r="DM527" s="15" t="s">
        <v>719</v>
      </c>
      <c r="DQ527" s="15" t="s">
        <v>2431</v>
      </c>
      <c r="DT527" s="15" t="s">
        <v>721</v>
      </c>
      <c r="DU527" s="15" t="s">
        <v>1605</v>
      </c>
      <c r="DV527" s="15">
        <v>0.0</v>
      </c>
      <c r="DZ527" s="15">
        <v>0.0</v>
      </c>
      <c r="EA527" s="15" t="s">
        <v>990</v>
      </c>
      <c r="EB527" s="15" t="s">
        <v>723</v>
      </c>
      <c r="EC527" s="15" t="s">
        <v>724</v>
      </c>
      <c r="ED527" s="15">
        <v>1.0</v>
      </c>
      <c r="EE527" s="15">
        <v>1.0</v>
      </c>
      <c r="EG527" s="15" t="s">
        <v>444</v>
      </c>
      <c r="EH527" s="15" t="s">
        <v>6139</v>
      </c>
      <c r="EI527" s="15">
        <v>0.0</v>
      </c>
      <c r="EJ527" s="15" t="s">
        <v>726</v>
      </c>
      <c r="EK527" s="15" t="s">
        <v>727</v>
      </c>
      <c r="EL527" s="15" t="s">
        <v>555</v>
      </c>
      <c r="EM527" s="15" t="str">
        <f>IFERROR(__xludf.DUMMYFUNCTION("""COMPUTED_VALUE"""),"{""value"":25.00,""unit"":""in""}")</f>
        <v>{"value":25.00,"unit":"in"}</v>
      </c>
      <c r="EN527" s="15" t="s">
        <v>505</v>
      </c>
      <c r="EO527" s="15" t="s">
        <v>1574</v>
      </c>
      <c r="ES527" s="15" t="s">
        <v>635</v>
      </c>
      <c r="ET527" s="15" t="s">
        <v>429</v>
      </c>
      <c r="EU527" s="15" t="s">
        <v>504</v>
      </c>
      <c r="EV527" s="15" t="s">
        <v>1331</v>
      </c>
      <c r="EW527" s="15" t="s">
        <v>505</v>
      </c>
      <c r="EX527" s="15" t="s">
        <v>1213</v>
      </c>
      <c r="EY527" s="15" t="s">
        <v>1213</v>
      </c>
      <c r="EZ527" s="15" t="s">
        <v>504</v>
      </c>
      <c r="FC527" s="15" t="s">
        <v>723</v>
      </c>
      <c r="FD527" s="15" t="s">
        <v>1076</v>
      </c>
      <c r="FE527" s="15" t="s">
        <v>3386</v>
      </c>
      <c r="FF527" s="15" t="s">
        <v>997</v>
      </c>
      <c r="FO527" s="15" t="s">
        <v>1237</v>
      </c>
      <c r="FP527" s="15" t="s">
        <v>1331</v>
      </c>
      <c r="FQ527" s="15">
        <v>0.0</v>
      </c>
      <c r="FR527" s="15">
        <v>0.0</v>
      </c>
      <c r="FS527" s="15" t="s">
        <v>2436</v>
      </c>
      <c r="FT527" s="15">
        <v>0.0</v>
      </c>
      <c r="IL527" s="15" t="s">
        <v>1610</v>
      </c>
    </row>
    <row r="528" ht="15.75" customHeight="1">
      <c r="A528" s="14" t="s">
        <v>391</v>
      </c>
      <c r="B528" s="15" t="s">
        <v>6140</v>
      </c>
      <c r="C528" s="16"/>
      <c r="D528" s="15" t="s">
        <v>432</v>
      </c>
      <c r="G528" s="14" t="s">
        <v>393</v>
      </c>
      <c r="H528" s="14" t="s">
        <v>394</v>
      </c>
      <c r="I528" s="14" t="b">
        <v>1</v>
      </c>
      <c r="J528" s="14" t="s">
        <v>395</v>
      </c>
      <c r="L528" s="14" t="b">
        <v>0</v>
      </c>
      <c r="M528" s="15" t="s">
        <v>6141</v>
      </c>
      <c r="N528" s="14" t="s">
        <v>393</v>
      </c>
      <c r="O528" s="14" t="s">
        <v>393</v>
      </c>
      <c r="P528" s="15" t="s">
        <v>397</v>
      </c>
      <c r="Q528" s="15" t="s">
        <v>6142</v>
      </c>
      <c r="T528" s="14" t="b">
        <v>0</v>
      </c>
      <c r="U528" s="15" t="s">
        <v>6143</v>
      </c>
      <c r="V528" s="15" t="s">
        <v>6144</v>
      </c>
      <c r="W528" s="15" t="s">
        <v>401</v>
      </c>
      <c r="X528" s="15" t="s">
        <v>695</v>
      </c>
      <c r="Y528" s="15">
        <v>2730.0</v>
      </c>
      <c r="AA528" s="15" t="str">
        <f t="shared" ref="AA528:AA529" si="942">"1050"</f>
        <v>1050</v>
      </c>
      <c r="AB528" s="14" t="b">
        <v>1</v>
      </c>
      <c r="AC528" s="14" t="b">
        <v>1</v>
      </c>
      <c r="AD528" s="15" t="str">
        <f>"801542072681"</f>
        <v>801542072681</v>
      </c>
      <c r="AE528" s="15" t="s">
        <v>6145</v>
      </c>
      <c r="AF528" s="14" t="s">
        <v>404</v>
      </c>
      <c r="AG528" s="14" t="s">
        <v>405</v>
      </c>
      <c r="AH528" s="14" t="s">
        <v>406</v>
      </c>
      <c r="AI528" s="15">
        <v>0.0</v>
      </c>
      <c r="AL528" s="15" t="s">
        <v>6146</v>
      </c>
      <c r="AM528" s="15" t="s">
        <v>2355</v>
      </c>
      <c r="AN528" s="15" t="s">
        <v>2356</v>
      </c>
      <c r="AO528" s="15" t="s">
        <v>1007</v>
      </c>
      <c r="AP528" s="15" t="s">
        <v>1008</v>
      </c>
      <c r="AQ528" s="15" t="s">
        <v>546</v>
      </c>
      <c r="AR528" s="15" t="s">
        <v>547</v>
      </c>
      <c r="AS528" s="15" t="s">
        <v>2594</v>
      </c>
      <c r="AT528" s="15" t="s">
        <v>6142</v>
      </c>
      <c r="AU528" s="15" t="s">
        <v>6147</v>
      </c>
      <c r="AW528" s="15" t="s">
        <v>519</v>
      </c>
      <c r="AY528" s="15" t="s">
        <v>413</v>
      </c>
      <c r="AZ528" s="15" t="b">
        <v>0</v>
      </c>
      <c r="BA528" s="15" t="s">
        <v>413</v>
      </c>
      <c r="BB528" s="15" t="b">
        <v>0</v>
      </c>
      <c r="BD528" s="15" t="s">
        <v>709</v>
      </c>
      <c r="BE528" s="15" t="str">
        <f t="shared" ref="BE528:BE529" si="943">"2"</f>
        <v>2</v>
      </c>
      <c r="BF528" s="15" t="s">
        <v>1564</v>
      </c>
      <c r="BG528" s="15" t="str">
        <f t="shared" ref="BG528:BG529" si="944">"81.1"</f>
        <v>81.1</v>
      </c>
      <c r="BH528" s="15" t="s">
        <v>6148</v>
      </c>
      <c r="BI528" s="15" t="str">
        <f t="shared" ref="BI528:BI529" si="945">"7.87"</f>
        <v>7.87</v>
      </c>
      <c r="BJ528" s="15" t="s">
        <v>923</v>
      </c>
      <c r="BK528" s="15" t="str">
        <f t="shared" ref="BK528:BK529" si="946">"21.65"</f>
        <v>21.65</v>
      </c>
      <c r="BL528" s="15" t="s">
        <v>1506</v>
      </c>
      <c r="BM528" s="15" t="str">
        <f t="shared" ref="BM528:BM529" si="947">"61.51"</f>
        <v>61.51</v>
      </c>
      <c r="BN528" s="15" t="s">
        <v>6149</v>
      </c>
      <c r="BO528" s="15" t="s">
        <v>2238</v>
      </c>
      <c r="BP528" s="15" t="str">
        <f t="shared" ref="BP528:BP529" si="948">"27.56"</f>
        <v>27.56</v>
      </c>
      <c r="BQ528" s="15" t="s">
        <v>1780</v>
      </c>
      <c r="BR528" s="15" t="str">
        <f t="shared" ref="BR528:BR529" si="949">"17.72"</f>
        <v>17.72</v>
      </c>
      <c r="BS528" s="15" t="s">
        <v>3633</v>
      </c>
      <c r="BT528" s="15" t="str">
        <f t="shared" ref="BT528:BT529" si="950">"29.13"</f>
        <v>29.13</v>
      </c>
      <c r="BU528" s="15" t="s">
        <v>1566</v>
      </c>
      <c r="BV528" s="15" t="str">
        <f t="shared" ref="BV528:BV529" si="951">"85.54"</f>
        <v>85.54</v>
      </c>
      <c r="BW528" s="15" t="s">
        <v>6150</v>
      </c>
      <c r="BZ528" s="15" t="s">
        <v>444</v>
      </c>
      <c r="CB528" s="15" t="s">
        <v>444</v>
      </c>
      <c r="CD528" s="15" t="s">
        <v>444</v>
      </c>
      <c r="CF528" s="15" t="s">
        <v>444</v>
      </c>
      <c r="CI528" s="15" t="s">
        <v>444</v>
      </c>
      <c r="CK528" s="15" t="s">
        <v>444</v>
      </c>
      <c r="CM528" s="15" t="s">
        <v>444</v>
      </c>
      <c r="CO528" s="15" t="s">
        <v>444</v>
      </c>
      <c r="CP528" s="15" t="str">
        <f t="shared" ref="CP528:CP529" si="952">"16.21"</f>
        <v>16.21</v>
      </c>
      <c r="CQ528" s="15" t="str">
        <f t="shared" ref="CQ528:CQ529" si="953">"0.459"</f>
        <v>0.459</v>
      </c>
      <c r="CR528" s="15" t="s">
        <v>465</v>
      </c>
      <c r="DC528" s="15" t="str">
        <f>IFERROR(__xludf.DUMMYFUNCTION("""COMPUTED_VALUE"""),"")</f>
        <v/>
      </c>
      <c r="DE528" s="15" t="str">
        <f>IFERROR(__xludf.DUMMYFUNCTION("""COMPUTED_VALUE"""),"")</f>
        <v/>
      </c>
      <c r="DG528" s="15" t="str">
        <f>IFERROR(__xludf.DUMMYFUNCTION("""COMPUTED_VALUE"""),"")</f>
        <v/>
      </c>
      <c r="DL528" s="15" t="str">
        <f>IFERROR(__xludf.DUMMYFUNCTION("""COMPUTED_VALUE"""),"")</f>
        <v/>
      </c>
      <c r="DM528" s="15" t="s">
        <v>444</v>
      </c>
      <c r="DN528" s="15" t="s">
        <v>419</v>
      </c>
      <c r="DO528" s="15">
        <v>0.0</v>
      </c>
      <c r="DP528" s="15" t="s">
        <v>419</v>
      </c>
      <c r="DR528" s="15">
        <v>0.0</v>
      </c>
      <c r="DT528" s="15" t="s">
        <v>420</v>
      </c>
      <c r="DU528" s="15" t="s">
        <v>419</v>
      </c>
      <c r="DY528" s="15">
        <v>0.0</v>
      </c>
      <c r="EF528" s="15" t="s">
        <v>471</v>
      </c>
      <c r="EG528" s="15" t="s">
        <v>472</v>
      </c>
      <c r="EH528" s="15" t="s">
        <v>6151</v>
      </c>
      <c r="EJ528" s="15" t="s">
        <v>424</v>
      </c>
      <c r="EK528" s="15" t="s">
        <v>446</v>
      </c>
      <c r="EM528" s="15" t="str">
        <f>IFERROR(__xludf.DUMMYFUNCTION("""COMPUTED_VALUE"""),"")</f>
        <v/>
      </c>
      <c r="EW528" s="15" t="s">
        <v>1212</v>
      </c>
      <c r="EY528" s="15" t="s">
        <v>6152</v>
      </c>
      <c r="FH528" s="15" t="s">
        <v>1459</v>
      </c>
      <c r="FI528" s="15" t="s">
        <v>1212</v>
      </c>
      <c r="FJ528" s="15" t="s">
        <v>1996</v>
      </c>
      <c r="FK528" s="15" t="s">
        <v>3305</v>
      </c>
      <c r="FL528" s="15" t="s">
        <v>426</v>
      </c>
      <c r="FM528" s="15">
        <v>0.0</v>
      </c>
      <c r="FN528" s="15">
        <v>0.0</v>
      </c>
      <c r="FW528" s="15" t="s">
        <v>429</v>
      </c>
      <c r="GH528" s="15">
        <v>0.0</v>
      </c>
      <c r="GI528" s="15" t="s">
        <v>427</v>
      </c>
    </row>
    <row r="529" ht="15.75" customHeight="1">
      <c r="A529" s="14" t="s">
        <v>391</v>
      </c>
      <c r="B529" s="15" t="s">
        <v>6140</v>
      </c>
      <c r="C529" s="16"/>
      <c r="D529" s="15" t="s">
        <v>432</v>
      </c>
      <c r="G529" s="14" t="s">
        <v>393</v>
      </c>
      <c r="H529" s="14" t="s">
        <v>394</v>
      </c>
      <c r="I529" s="14" t="b">
        <v>1</v>
      </c>
      <c r="J529" s="14" t="s">
        <v>395</v>
      </c>
      <c r="L529" s="14" t="b">
        <v>0</v>
      </c>
      <c r="M529" s="15" t="s">
        <v>6153</v>
      </c>
      <c r="N529" s="14" t="s">
        <v>393</v>
      </c>
      <c r="O529" s="14" t="s">
        <v>393</v>
      </c>
      <c r="P529" s="15" t="s">
        <v>397</v>
      </c>
      <c r="Q529" s="15" t="s">
        <v>6154</v>
      </c>
      <c r="T529" s="14" t="b">
        <v>0</v>
      </c>
      <c r="U529" s="15" t="s">
        <v>6155</v>
      </c>
      <c r="V529" s="15" t="s">
        <v>6144</v>
      </c>
      <c r="W529" s="15" t="s">
        <v>401</v>
      </c>
      <c r="X529" s="15" t="s">
        <v>695</v>
      </c>
      <c r="Y529" s="15">
        <v>2730.0</v>
      </c>
      <c r="AA529" s="15" t="str">
        <f t="shared" si="942"/>
        <v>1050</v>
      </c>
      <c r="AB529" s="14" t="b">
        <v>1</v>
      </c>
      <c r="AC529" s="14" t="b">
        <v>1</v>
      </c>
      <c r="AD529" s="15" t="str">
        <f>"801542072650"</f>
        <v>801542072650</v>
      </c>
      <c r="AE529" s="15" t="s">
        <v>6156</v>
      </c>
      <c r="AF529" s="14" t="s">
        <v>404</v>
      </c>
      <c r="AG529" s="14" t="s">
        <v>405</v>
      </c>
      <c r="AH529" s="14" t="s">
        <v>406</v>
      </c>
      <c r="AI529" s="15">
        <v>0.0</v>
      </c>
      <c r="AL529" s="15" t="s">
        <v>6146</v>
      </c>
      <c r="AM529" s="15" t="s">
        <v>2355</v>
      </c>
      <c r="AN529" s="15" t="s">
        <v>2356</v>
      </c>
      <c r="AO529" s="15" t="s">
        <v>1007</v>
      </c>
      <c r="AP529" s="15" t="s">
        <v>1008</v>
      </c>
      <c r="AQ529" s="15" t="s">
        <v>546</v>
      </c>
      <c r="AR529" s="15" t="s">
        <v>547</v>
      </c>
      <c r="AS529" s="15" t="s">
        <v>2594</v>
      </c>
      <c r="AT529" s="15" t="s">
        <v>6154</v>
      </c>
      <c r="AU529" s="15" t="s">
        <v>6157</v>
      </c>
      <c r="AW529" s="15" t="s">
        <v>519</v>
      </c>
      <c r="AY529" s="15" t="s">
        <v>413</v>
      </c>
      <c r="AZ529" s="15" t="b">
        <v>0</v>
      </c>
      <c r="BA529" s="15" t="s">
        <v>413</v>
      </c>
      <c r="BB529" s="15" t="b">
        <v>0</v>
      </c>
      <c r="BC529" s="15" t="s">
        <v>6158</v>
      </c>
      <c r="BD529" s="15" t="s">
        <v>709</v>
      </c>
      <c r="BE529" s="15" t="str">
        <f t="shared" si="943"/>
        <v>2</v>
      </c>
      <c r="BF529" s="15" t="s">
        <v>1564</v>
      </c>
      <c r="BG529" s="15" t="str">
        <f t="shared" si="944"/>
        <v>81.1</v>
      </c>
      <c r="BH529" s="15" t="s">
        <v>6148</v>
      </c>
      <c r="BI529" s="15" t="str">
        <f t="shared" si="945"/>
        <v>7.87</v>
      </c>
      <c r="BJ529" s="15" t="s">
        <v>923</v>
      </c>
      <c r="BK529" s="15" t="str">
        <f t="shared" si="946"/>
        <v>21.65</v>
      </c>
      <c r="BL529" s="15" t="s">
        <v>1506</v>
      </c>
      <c r="BM529" s="15" t="str">
        <f t="shared" si="947"/>
        <v>61.51</v>
      </c>
      <c r="BN529" s="15" t="s">
        <v>6149</v>
      </c>
      <c r="BO529" s="15" t="s">
        <v>2238</v>
      </c>
      <c r="BP529" s="15" t="str">
        <f t="shared" si="948"/>
        <v>27.56</v>
      </c>
      <c r="BQ529" s="15" t="s">
        <v>1780</v>
      </c>
      <c r="BR529" s="15" t="str">
        <f t="shared" si="949"/>
        <v>17.72</v>
      </c>
      <c r="BS529" s="15" t="s">
        <v>3633</v>
      </c>
      <c r="BT529" s="15" t="str">
        <f t="shared" si="950"/>
        <v>29.13</v>
      </c>
      <c r="BU529" s="15" t="s">
        <v>1566</v>
      </c>
      <c r="BV529" s="15" t="str">
        <f t="shared" si="951"/>
        <v>85.54</v>
      </c>
      <c r="BW529" s="15" t="s">
        <v>6150</v>
      </c>
      <c r="BZ529" s="15" t="s">
        <v>444</v>
      </c>
      <c r="CB529" s="15" t="s">
        <v>444</v>
      </c>
      <c r="CD529" s="15" t="s">
        <v>444</v>
      </c>
      <c r="CF529" s="15" t="s">
        <v>444</v>
      </c>
      <c r="CI529" s="15" t="s">
        <v>444</v>
      </c>
      <c r="CK529" s="15" t="s">
        <v>444</v>
      </c>
      <c r="CM529" s="15" t="s">
        <v>444</v>
      </c>
      <c r="CO529" s="15" t="s">
        <v>444</v>
      </c>
      <c r="CP529" s="15" t="str">
        <f t="shared" si="952"/>
        <v>16.21</v>
      </c>
      <c r="CQ529" s="15" t="str">
        <f t="shared" si="953"/>
        <v>0.459</v>
      </c>
      <c r="CR529" s="15" t="s">
        <v>465</v>
      </c>
      <c r="DC529" s="15" t="str">
        <f>IFERROR(__xludf.DUMMYFUNCTION("""COMPUTED_VALUE"""),"")</f>
        <v/>
      </c>
      <c r="DE529" s="15" t="str">
        <f>IFERROR(__xludf.DUMMYFUNCTION("""COMPUTED_VALUE"""),"")</f>
        <v/>
      </c>
      <c r="DG529" s="15" t="str">
        <f>IFERROR(__xludf.DUMMYFUNCTION("""COMPUTED_VALUE"""),"")</f>
        <v/>
      </c>
      <c r="DL529" s="15" t="str">
        <f>IFERROR(__xludf.DUMMYFUNCTION("""COMPUTED_VALUE"""),"")</f>
        <v/>
      </c>
      <c r="DM529" s="15" t="s">
        <v>444</v>
      </c>
      <c r="DN529" s="15" t="s">
        <v>419</v>
      </c>
      <c r="DO529" s="15">
        <v>0.0</v>
      </c>
      <c r="DP529" s="15" t="s">
        <v>419</v>
      </c>
      <c r="DR529" s="15">
        <v>0.0</v>
      </c>
      <c r="DT529" s="15" t="s">
        <v>420</v>
      </c>
      <c r="DU529" s="15" t="s">
        <v>419</v>
      </c>
      <c r="DY529" s="15">
        <v>0.0</v>
      </c>
      <c r="EF529" s="15" t="s">
        <v>471</v>
      </c>
      <c r="EG529" s="15" t="s">
        <v>472</v>
      </c>
      <c r="EH529" s="15" t="s">
        <v>6151</v>
      </c>
      <c r="EJ529" s="15" t="s">
        <v>424</v>
      </c>
      <c r="EK529" s="15" t="s">
        <v>446</v>
      </c>
      <c r="EM529" s="15" t="str">
        <f>IFERROR(__xludf.DUMMYFUNCTION("""COMPUTED_VALUE"""),"")</f>
        <v/>
      </c>
      <c r="EW529" s="15" t="s">
        <v>1212</v>
      </c>
      <c r="EY529" s="15" t="s">
        <v>6152</v>
      </c>
      <c r="FH529" s="15" t="s">
        <v>1459</v>
      </c>
      <c r="FI529" s="15" t="s">
        <v>1212</v>
      </c>
      <c r="FJ529" s="15" t="s">
        <v>1996</v>
      </c>
      <c r="FK529" s="15" t="s">
        <v>3305</v>
      </c>
      <c r="FL529" s="15" t="s">
        <v>426</v>
      </c>
      <c r="FM529" s="15">
        <v>0.0</v>
      </c>
      <c r="FN529" s="15">
        <v>0.0</v>
      </c>
      <c r="FW529" s="15" t="s">
        <v>429</v>
      </c>
      <c r="GH529" s="15">
        <v>0.0</v>
      </c>
      <c r="GI529" s="15" t="s">
        <v>427</v>
      </c>
    </row>
    <row r="530" ht="15.75" customHeight="1">
      <c r="A530" s="14" t="s">
        <v>391</v>
      </c>
      <c r="B530" s="15" t="s">
        <v>6159</v>
      </c>
      <c r="C530" s="16"/>
      <c r="D530" s="15" t="s">
        <v>432</v>
      </c>
      <c r="G530" s="14" t="s">
        <v>393</v>
      </c>
      <c r="H530" s="14" t="s">
        <v>394</v>
      </c>
      <c r="I530" s="14" t="b">
        <v>1</v>
      </c>
      <c r="J530" s="14" t="s">
        <v>395</v>
      </c>
      <c r="L530" s="14" t="b">
        <v>0</v>
      </c>
      <c r="M530" s="15" t="s">
        <v>6160</v>
      </c>
      <c r="N530" s="14" t="s">
        <v>393</v>
      </c>
      <c r="O530" s="14" t="s">
        <v>393</v>
      </c>
      <c r="P530" s="15" t="s">
        <v>397</v>
      </c>
      <c r="Q530" s="15" t="s">
        <v>1850</v>
      </c>
      <c r="T530" s="14" t="b">
        <v>0</v>
      </c>
      <c r="U530" s="15" t="s">
        <v>6161</v>
      </c>
      <c r="V530" s="15" t="s">
        <v>6162</v>
      </c>
      <c r="W530" s="15" t="s">
        <v>401</v>
      </c>
      <c r="X530" s="15" t="s">
        <v>1296</v>
      </c>
      <c r="Y530" s="15">
        <v>2184.0</v>
      </c>
      <c r="AA530" s="15" t="str">
        <f>"840"</f>
        <v>840</v>
      </c>
      <c r="AB530" s="14" t="b">
        <v>1</v>
      </c>
      <c r="AC530" s="14" t="b">
        <v>1</v>
      </c>
      <c r="AD530" s="15" t="str">
        <f>"801542117665"</f>
        <v>801542117665</v>
      </c>
      <c r="AE530" s="15" t="s">
        <v>6163</v>
      </c>
      <c r="AF530" s="14" t="s">
        <v>404</v>
      </c>
      <c r="AG530" s="14" t="s">
        <v>405</v>
      </c>
      <c r="AH530" s="14" t="s">
        <v>406</v>
      </c>
      <c r="AI530" s="15">
        <v>0.0</v>
      </c>
      <c r="AL530" s="15" t="s">
        <v>4243</v>
      </c>
      <c r="AM530" s="15" t="s">
        <v>622</v>
      </c>
      <c r="AN530" s="15" t="s">
        <v>623</v>
      </c>
      <c r="AO530" s="15" t="s">
        <v>2039</v>
      </c>
      <c r="AP530" s="15" t="s">
        <v>2040</v>
      </c>
      <c r="AQ530" s="15" t="s">
        <v>5046</v>
      </c>
      <c r="AR530" s="15" t="s">
        <v>5047</v>
      </c>
      <c r="AS530" s="15" t="s">
        <v>4600</v>
      </c>
      <c r="AT530" s="15" t="s">
        <v>1850</v>
      </c>
      <c r="AU530" s="15" t="s">
        <v>6164</v>
      </c>
      <c r="AW530" s="15" t="s">
        <v>1899</v>
      </c>
      <c r="AY530" s="15" t="s">
        <v>413</v>
      </c>
      <c r="AZ530" s="15" t="b">
        <v>0</v>
      </c>
      <c r="BA530" s="15" t="s">
        <v>413</v>
      </c>
      <c r="BB530" s="15" t="b">
        <v>0</v>
      </c>
      <c r="BC530" s="15" t="s">
        <v>6165</v>
      </c>
      <c r="BD530" s="15" t="s">
        <v>1303</v>
      </c>
      <c r="BE530" s="15" t="str">
        <f>"1"</f>
        <v>1</v>
      </c>
      <c r="BF530" s="15" t="s">
        <v>416</v>
      </c>
      <c r="BG530" s="15" t="str">
        <f>"39"</f>
        <v>39</v>
      </c>
      <c r="BH530" s="15" t="s">
        <v>3443</v>
      </c>
      <c r="BI530" s="15" t="str">
        <f>"19.5"</f>
        <v>19.5</v>
      </c>
      <c r="BJ530" s="15" t="s">
        <v>3732</v>
      </c>
      <c r="BK530" s="15" t="str">
        <f>"90"</f>
        <v>90</v>
      </c>
      <c r="BL530" s="15" t="s">
        <v>583</v>
      </c>
      <c r="BM530" s="15" t="str">
        <f>"162.26"</f>
        <v>162.26</v>
      </c>
      <c r="BN530" s="15" t="s">
        <v>6166</v>
      </c>
      <c r="BQ530" s="15" t="s">
        <v>444</v>
      </c>
      <c r="BS530" s="15" t="s">
        <v>444</v>
      </c>
      <c r="BU530" s="15" t="s">
        <v>444</v>
      </c>
      <c r="BW530" s="15" t="s">
        <v>444</v>
      </c>
      <c r="BZ530" s="15" t="s">
        <v>444</v>
      </c>
      <c r="CB530" s="15" t="s">
        <v>444</v>
      </c>
      <c r="CD530" s="15" t="s">
        <v>444</v>
      </c>
      <c r="CF530" s="15" t="s">
        <v>444</v>
      </c>
      <c r="CI530" s="15" t="s">
        <v>444</v>
      </c>
      <c r="CK530" s="15" t="s">
        <v>444</v>
      </c>
      <c r="CM530" s="15" t="s">
        <v>444</v>
      </c>
      <c r="CO530" s="15" t="s">
        <v>444</v>
      </c>
      <c r="CP530" s="15" t="str">
        <f>"39.62"</f>
        <v>39.62</v>
      </c>
      <c r="CQ530" s="15" t="str">
        <f>"1.122"</f>
        <v>1.122</v>
      </c>
      <c r="CR530" s="15" t="s">
        <v>465</v>
      </c>
      <c r="CS530" s="15" t="s">
        <v>504</v>
      </c>
      <c r="CT530" s="15" t="s">
        <v>1309</v>
      </c>
      <c r="CU530" s="15" t="s">
        <v>4339</v>
      </c>
      <c r="CV530" s="15" t="s">
        <v>1238</v>
      </c>
      <c r="CW530" s="15" t="s">
        <v>3308</v>
      </c>
      <c r="CX530" s="15" t="s">
        <v>3798</v>
      </c>
      <c r="DC530" s="15" t="str">
        <f>IFERROR(__xludf.DUMMYFUNCTION("""COMPUTED_VALUE"""),"")</f>
        <v/>
      </c>
      <c r="DE530" s="15" t="str">
        <f>IFERROR(__xludf.DUMMYFUNCTION("""COMPUTED_VALUE"""),"")</f>
        <v/>
      </c>
      <c r="DG530" s="15" t="str">
        <f>IFERROR(__xludf.DUMMYFUNCTION("""COMPUTED_VALUE"""),"")</f>
        <v/>
      </c>
      <c r="DL530" s="15" t="str">
        <f>IFERROR(__xludf.DUMMYFUNCTION("""COMPUTED_VALUE"""),"")</f>
        <v/>
      </c>
      <c r="DM530" s="15" t="s">
        <v>444</v>
      </c>
      <c r="DN530" s="15" t="s">
        <v>419</v>
      </c>
      <c r="DO530" s="15">
        <v>0.0</v>
      </c>
      <c r="DP530" s="15" t="s">
        <v>419</v>
      </c>
      <c r="DR530" s="15">
        <v>3.0</v>
      </c>
      <c r="DS530" s="15" t="s">
        <v>426</v>
      </c>
      <c r="DT530" s="15" t="s">
        <v>420</v>
      </c>
      <c r="DU530" s="15" t="s">
        <v>610</v>
      </c>
      <c r="DW530" s="15">
        <v>18.14</v>
      </c>
      <c r="DX530" s="15">
        <v>40.0</v>
      </c>
      <c r="DY530" s="15">
        <v>1.0</v>
      </c>
      <c r="EF530" s="15" t="s">
        <v>1906</v>
      </c>
      <c r="EG530" s="15" t="s">
        <v>1907</v>
      </c>
      <c r="EH530" s="15" t="s">
        <v>6167</v>
      </c>
      <c r="EK530" s="15" t="s">
        <v>444</v>
      </c>
      <c r="EM530" s="15" t="str">
        <f>IFERROR(__xludf.DUMMYFUNCTION("""COMPUTED_VALUE"""),"")</f>
        <v/>
      </c>
      <c r="FL530" s="15" t="s">
        <v>426</v>
      </c>
      <c r="FM530" s="15">
        <v>5.0</v>
      </c>
      <c r="FY530" s="15" t="s">
        <v>1324</v>
      </c>
      <c r="FZ530" s="15" t="s">
        <v>612</v>
      </c>
      <c r="GA530" s="15" t="s">
        <v>6018</v>
      </c>
      <c r="GB530" s="15" t="s">
        <v>3308</v>
      </c>
      <c r="GC530" s="15" t="s">
        <v>3693</v>
      </c>
      <c r="GD530" s="15" t="s">
        <v>2840</v>
      </c>
      <c r="GF530" s="15" t="s">
        <v>426</v>
      </c>
      <c r="GG530" s="15" t="s">
        <v>785</v>
      </c>
      <c r="GH530" s="15">
        <v>2.0</v>
      </c>
      <c r="GI530" s="15" t="s">
        <v>614</v>
      </c>
      <c r="GJ530" s="15" t="s">
        <v>615</v>
      </c>
      <c r="GL530" s="15" t="s">
        <v>426</v>
      </c>
      <c r="GN530" s="15" t="s">
        <v>616</v>
      </c>
      <c r="HA530" s="15" t="s">
        <v>1238</v>
      </c>
      <c r="HB530" s="15" t="s">
        <v>3308</v>
      </c>
      <c r="HC530" s="15" t="s">
        <v>3798</v>
      </c>
      <c r="HQ530" s="15" t="s">
        <v>1238</v>
      </c>
      <c r="HR530" s="15" t="s">
        <v>1238</v>
      </c>
      <c r="HS530" s="15" t="s">
        <v>3308</v>
      </c>
      <c r="HT530" s="15" t="s">
        <v>1982</v>
      </c>
      <c r="HU530" s="15" t="s">
        <v>3798</v>
      </c>
      <c r="HV530" s="15" t="s">
        <v>3798</v>
      </c>
      <c r="KX530" s="15" t="s">
        <v>1238</v>
      </c>
      <c r="KY530" s="15" t="s">
        <v>467</v>
      </c>
      <c r="KZ530" s="15" t="s">
        <v>2840</v>
      </c>
    </row>
    <row r="531" ht="15.75" customHeight="1">
      <c r="A531" s="14" t="s">
        <v>391</v>
      </c>
      <c r="B531" s="15" t="s">
        <v>6168</v>
      </c>
      <c r="C531" s="16"/>
      <c r="D531" s="15" t="s">
        <v>432</v>
      </c>
      <c r="G531" s="14" t="s">
        <v>393</v>
      </c>
      <c r="H531" s="14" t="s">
        <v>394</v>
      </c>
      <c r="I531" s="14" t="b">
        <v>1</v>
      </c>
      <c r="J531" s="14" t="s">
        <v>395</v>
      </c>
      <c r="L531" s="14" t="b">
        <v>0</v>
      </c>
      <c r="M531" s="15" t="s">
        <v>6169</v>
      </c>
      <c r="N531" s="14" t="s">
        <v>393</v>
      </c>
      <c r="O531" s="14" t="s">
        <v>393</v>
      </c>
      <c r="P531" s="15" t="s">
        <v>397</v>
      </c>
      <c r="Q531" s="15" t="s">
        <v>6170</v>
      </c>
      <c r="T531" s="14" t="b">
        <v>0</v>
      </c>
      <c r="U531" s="15" t="s">
        <v>6171</v>
      </c>
      <c r="V531" s="15" t="s">
        <v>6172</v>
      </c>
      <c r="W531" s="15" t="s">
        <v>401</v>
      </c>
      <c r="X531" s="15" t="s">
        <v>1296</v>
      </c>
      <c r="Y531" s="15">
        <v>2951.0</v>
      </c>
      <c r="AA531" s="15" t="str">
        <f>"1135"</f>
        <v>1135</v>
      </c>
      <c r="AB531" s="14" t="b">
        <v>1</v>
      </c>
      <c r="AC531" s="14" t="b">
        <v>1</v>
      </c>
      <c r="AD531" s="15" t="str">
        <f>"801542668389"</f>
        <v>801542668389</v>
      </c>
      <c r="AE531" s="15" t="s">
        <v>6173</v>
      </c>
      <c r="AF531" s="14" t="s">
        <v>404</v>
      </c>
      <c r="AG531" s="14" t="s">
        <v>405</v>
      </c>
      <c r="AH531" s="14" t="s">
        <v>406</v>
      </c>
      <c r="AI531" s="15">
        <v>0.0</v>
      </c>
      <c r="AL531" s="15" t="s">
        <v>4891</v>
      </c>
      <c r="AM531" s="15" t="s">
        <v>3614</v>
      </c>
      <c r="AN531" s="15" t="s">
        <v>3615</v>
      </c>
      <c r="AO531" s="15" t="s">
        <v>456</v>
      </c>
      <c r="AP531" s="15" t="s">
        <v>457</v>
      </c>
      <c r="AQ531" s="15" t="s">
        <v>2355</v>
      </c>
      <c r="AR531" s="15" t="s">
        <v>2356</v>
      </c>
      <c r="AS531" s="15" t="s">
        <v>4600</v>
      </c>
      <c r="AT531" s="15" t="s">
        <v>6170</v>
      </c>
      <c r="AU531" s="15" t="s">
        <v>1850</v>
      </c>
      <c r="AW531" s="15" t="s">
        <v>2891</v>
      </c>
      <c r="AX531" s="15" t="s">
        <v>4563</v>
      </c>
      <c r="AY531" s="15" t="s">
        <v>413</v>
      </c>
      <c r="AZ531" s="15" t="b">
        <v>0</v>
      </c>
      <c r="BA531" s="15" t="s">
        <v>413</v>
      </c>
      <c r="BB531" s="15" t="b">
        <v>0</v>
      </c>
      <c r="BC531" s="15" t="s">
        <v>6174</v>
      </c>
      <c r="BD531" s="15" t="s">
        <v>1303</v>
      </c>
      <c r="BE531" s="15" t="str">
        <f>"2"</f>
        <v>2</v>
      </c>
      <c r="BF531" s="15" t="s">
        <v>6175</v>
      </c>
      <c r="BG531" s="15" t="str">
        <f>"50.75"</f>
        <v>50.75</v>
      </c>
      <c r="BH531" s="15" t="s">
        <v>2702</v>
      </c>
      <c r="BI531" s="15" t="str">
        <f>"22"</f>
        <v>22</v>
      </c>
      <c r="BJ531" s="15" t="s">
        <v>1562</v>
      </c>
      <c r="BK531" s="15" t="str">
        <f>"14"</f>
        <v>14</v>
      </c>
      <c r="BL531" s="15" t="s">
        <v>3703</v>
      </c>
      <c r="BM531" s="15" t="str">
        <f>"48.06"</f>
        <v>48.06</v>
      </c>
      <c r="BN531" s="15" t="s">
        <v>6176</v>
      </c>
      <c r="BO531" s="15" t="s">
        <v>6177</v>
      </c>
      <c r="BP531" s="15" t="str">
        <f>"72"</f>
        <v>72</v>
      </c>
      <c r="BQ531" s="15" t="s">
        <v>746</v>
      </c>
      <c r="BR531" s="15" t="str">
        <f>"24"</f>
        <v>24</v>
      </c>
      <c r="BS531" s="15" t="s">
        <v>1178</v>
      </c>
      <c r="BT531" s="15" t="str">
        <f>"51.25"</f>
        <v>51.25</v>
      </c>
      <c r="BU531" s="15" t="s">
        <v>6178</v>
      </c>
      <c r="BV531" s="15" t="str">
        <f>"253.75"</f>
        <v>253.75</v>
      </c>
      <c r="BW531" s="15" t="s">
        <v>6179</v>
      </c>
      <c r="BZ531" s="15" t="s">
        <v>444</v>
      </c>
      <c r="CB531" s="15" t="s">
        <v>444</v>
      </c>
      <c r="CD531" s="15" t="s">
        <v>444</v>
      </c>
      <c r="CF531" s="15" t="s">
        <v>444</v>
      </c>
      <c r="CI531" s="15" t="s">
        <v>444</v>
      </c>
      <c r="CK531" s="15" t="s">
        <v>444</v>
      </c>
      <c r="CM531" s="15" t="s">
        <v>444</v>
      </c>
      <c r="CO531" s="15" t="s">
        <v>444</v>
      </c>
      <c r="CP531" s="15" t="str">
        <f>"60.28"</f>
        <v>60.28</v>
      </c>
      <c r="CQ531" s="15" t="str">
        <f>"1.707"</f>
        <v>1.707</v>
      </c>
      <c r="CR531" s="15" t="s">
        <v>465</v>
      </c>
      <c r="CS531" s="15" t="s">
        <v>504</v>
      </c>
      <c r="CT531" s="15" t="s">
        <v>612</v>
      </c>
      <c r="CU531" s="15" t="s">
        <v>2929</v>
      </c>
      <c r="CV531" s="15" t="s">
        <v>1804</v>
      </c>
      <c r="CW531" s="15" t="s">
        <v>1213</v>
      </c>
      <c r="CX531" s="15" t="s">
        <v>2929</v>
      </c>
      <c r="DC531" s="15" t="str">
        <f>IFERROR(__xludf.DUMMYFUNCTION("""COMPUTED_VALUE"""),"")</f>
        <v/>
      </c>
      <c r="DE531" s="15" t="str">
        <f>IFERROR(__xludf.DUMMYFUNCTION("""COMPUTED_VALUE"""),"")</f>
        <v/>
      </c>
      <c r="DG531" s="15" t="str">
        <f>IFERROR(__xludf.DUMMYFUNCTION("""COMPUTED_VALUE"""),"")</f>
        <v/>
      </c>
      <c r="DL531" s="15" t="str">
        <f>IFERROR(__xludf.DUMMYFUNCTION("""COMPUTED_VALUE"""),"")</f>
        <v/>
      </c>
      <c r="DM531" s="15" t="s">
        <v>444</v>
      </c>
      <c r="DN531" s="15" t="s">
        <v>419</v>
      </c>
      <c r="DO531" s="15">
        <v>0.0</v>
      </c>
      <c r="DP531" s="15" t="s">
        <v>419</v>
      </c>
      <c r="DR531" s="15">
        <v>4.0</v>
      </c>
      <c r="DS531" s="15" t="s">
        <v>426</v>
      </c>
      <c r="DT531" s="15" t="s">
        <v>420</v>
      </c>
      <c r="DU531" s="15" t="s">
        <v>610</v>
      </c>
      <c r="DW531" s="15">
        <v>18.14</v>
      </c>
      <c r="DX531" s="15">
        <v>40.0</v>
      </c>
      <c r="DY531" s="15">
        <v>0.0</v>
      </c>
      <c r="EF531" s="15" t="s">
        <v>1906</v>
      </c>
      <c r="EG531" s="15" t="s">
        <v>1907</v>
      </c>
      <c r="EH531" s="15" t="s">
        <v>6167</v>
      </c>
      <c r="EK531" s="15" t="s">
        <v>444</v>
      </c>
      <c r="EM531" s="15" t="str">
        <f>IFERROR(__xludf.DUMMYFUNCTION("""COMPUTED_VALUE"""),"")</f>
        <v/>
      </c>
      <c r="FL531" s="15" t="s">
        <v>426</v>
      </c>
      <c r="FM531" s="15">
        <v>4.0</v>
      </c>
      <c r="FY531" s="15" t="s">
        <v>1739</v>
      </c>
      <c r="FZ531" s="15" t="s">
        <v>612</v>
      </c>
      <c r="GA531" s="15" t="s">
        <v>1286</v>
      </c>
      <c r="GE531" s="15">
        <v>0.0</v>
      </c>
      <c r="GG531" s="15" t="s">
        <v>785</v>
      </c>
      <c r="GH531" s="15">
        <v>4.0</v>
      </c>
      <c r="GI531" s="15" t="s">
        <v>614</v>
      </c>
      <c r="GJ531" s="15" t="s">
        <v>1045</v>
      </c>
      <c r="GK531" s="15">
        <v>0.0</v>
      </c>
      <c r="GM531" s="15" t="s">
        <v>4573</v>
      </c>
      <c r="GN531" s="15" t="s">
        <v>616</v>
      </c>
      <c r="GO531" s="15" t="s">
        <v>426</v>
      </c>
      <c r="GP531" s="15">
        <v>0.0</v>
      </c>
    </row>
    <row r="532" ht="15.75" customHeight="1">
      <c r="A532" s="14" t="s">
        <v>391</v>
      </c>
      <c r="B532" s="15" t="s">
        <v>6180</v>
      </c>
      <c r="C532" s="16"/>
      <c r="D532" s="15" t="s">
        <v>432</v>
      </c>
      <c r="G532" s="14" t="s">
        <v>393</v>
      </c>
      <c r="H532" s="14" t="s">
        <v>394</v>
      </c>
      <c r="I532" s="14" t="b">
        <v>1</v>
      </c>
      <c r="J532" s="14" t="s">
        <v>395</v>
      </c>
      <c r="L532" s="14" t="b">
        <v>0</v>
      </c>
      <c r="M532" s="15" t="s">
        <v>6181</v>
      </c>
      <c r="N532" s="14" t="s">
        <v>393</v>
      </c>
      <c r="O532" s="14" t="s">
        <v>393</v>
      </c>
      <c r="P532" s="15" t="s">
        <v>397</v>
      </c>
      <c r="Q532" s="15" t="s">
        <v>6182</v>
      </c>
      <c r="T532" s="14" t="b">
        <v>0</v>
      </c>
      <c r="U532" s="15" t="s">
        <v>6183</v>
      </c>
      <c r="V532" s="15" t="s">
        <v>6184</v>
      </c>
      <c r="W532" s="15" t="s">
        <v>401</v>
      </c>
      <c r="X532" s="15" t="s">
        <v>1296</v>
      </c>
      <c r="Y532" s="15">
        <v>767.0</v>
      </c>
      <c r="AA532" s="15" t="str">
        <f t="shared" ref="AA532:AA533" si="954">"295"</f>
        <v>295</v>
      </c>
      <c r="AB532" s="14" t="b">
        <v>1</v>
      </c>
      <c r="AC532" s="14" t="b">
        <v>1</v>
      </c>
      <c r="AD532" s="15" t="str">
        <f>"801542882600"</f>
        <v>801542882600</v>
      </c>
      <c r="AE532" s="15" t="s">
        <v>6185</v>
      </c>
      <c r="AF532" s="14" t="s">
        <v>404</v>
      </c>
      <c r="AG532" s="14" t="s">
        <v>405</v>
      </c>
      <c r="AH532" s="14" t="s">
        <v>406</v>
      </c>
      <c r="AI532" s="15">
        <v>0.0</v>
      </c>
      <c r="AL532" s="15" t="s">
        <v>4891</v>
      </c>
      <c r="AM532" s="15" t="s">
        <v>2213</v>
      </c>
      <c r="AN532" s="15" t="s">
        <v>2214</v>
      </c>
      <c r="AO532" s="15" t="s">
        <v>6186</v>
      </c>
      <c r="AP532" s="15" t="s">
        <v>2241</v>
      </c>
      <c r="AQ532" s="15" t="s">
        <v>4051</v>
      </c>
      <c r="AR532" s="15" t="s">
        <v>4052</v>
      </c>
      <c r="AS532" s="15" t="s">
        <v>4600</v>
      </c>
      <c r="AT532" s="15" t="s">
        <v>6182</v>
      </c>
      <c r="AU532" s="15" t="s">
        <v>1850</v>
      </c>
      <c r="AW532" s="15" t="s">
        <v>628</v>
      </c>
      <c r="AY532" s="15" t="s">
        <v>413</v>
      </c>
      <c r="AZ532" s="15" t="b">
        <v>0</v>
      </c>
      <c r="BA532" s="15" t="s">
        <v>413</v>
      </c>
      <c r="BB532" s="15" t="b">
        <v>0</v>
      </c>
      <c r="BC532" s="15" t="s">
        <v>6187</v>
      </c>
      <c r="BD532" s="15" t="s">
        <v>1303</v>
      </c>
      <c r="BE532" s="15" t="str">
        <f t="shared" ref="BE532:BE548" si="955">"1"</f>
        <v>1</v>
      </c>
      <c r="BF532" s="15" t="s">
        <v>416</v>
      </c>
      <c r="BG532" s="15" t="str">
        <f t="shared" ref="BG532:BG533" si="956">"28.5"</f>
        <v>28.5</v>
      </c>
      <c r="BH532" s="15" t="s">
        <v>2013</v>
      </c>
      <c r="BI532" s="15" t="str">
        <f t="shared" ref="BI532:BI533" si="957">"20.75"</f>
        <v>20.75</v>
      </c>
      <c r="BJ532" s="15" t="s">
        <v>625</v>
      </c>
      <c r="BK532" s="15" t="str">
        <f t="shared" ref="BK532:BK533" si="958">"28.5"</f>
        <v>28.5</v>
      </c>
      <c r="BL532" s="15" t="s">
        <v>2013</v>
      </c>
      <c r="BM532" s="15" t="str">
        <f t="shared" ref="BM532:BM533" si="959">"60.63"</f>
        <v>60.63</v>
      </c>
      <c r="BN532" s="15" t="s">
        <v>5859</v>
      </c>
      <c r="BQ532" s="15" t="s">
        <v>444</v>
      </c>
      <c r="BS532" s="15" t="s">
        <v>444</v>
      </c>
      <c r="BU532" s="15" t="s">
        <v>444</v>
      </c>
      <c r="BW532" s="15" t="s">
        <v>444</v>
      </c>
      <c r="BZ532" s="15" t="s">
        <v>444</v>
      </c>
      <c r="CB532" s="15" t="s">
        <v>444</v>
      </c>
      <c r="CD532" s="15" t="s">
        <v>444</v>
      </c>
      <c r="CF532" s="15" t="s">
        <v>444</v>
      </c>
      <c r="CI532" s="15" t="s">
        <v>444</v>
      </c>
      <c r="CK532" s="15" t="s">
        <v>444</v>
      </c>
      <c r="CM532" s="15" t="s">
        <v>444</v>
      </c>
      <c r="CO532" s="15" t="s">
        <v>444</v>
      </c>
      <c r="CP532" s="15" t="str">
        <f t="shared" ref="CP532:CP533" si="960">"9.75"</f>
        <v>9.75</v>
      </c>
      <c r="CQ532" s="15" t="str">
        <f t="shared" ref="CQ532:CQ533" si="961">"0.276"</f>
        <v>0.276</v>
      </c>
      <c r="CR532" s="15" t="s">
        <v>465</v>
      </c>
      <c r="CS532" s="15" t="s">
        <v>1288</v>
      </c>
      <c r="CT532" s="15" t="s">
        <v>1188</v>
      </c>
      <c r="CU532" s="15" t="s">
        <v>1998</v>
      </c>
      <c r="CV532" s="15" t="s">
        <v>2020</v>
      </c>
      <c r="CW532" s="15" t="s">
        <v>2547</v>
      </c>
      <c r="CX532" s="15" t="s">
        <v>1998</v>
      </c>
      <c r="DC532" s="15" t="str">
        <f>IFERROR(__xludf.DUMMYFUNCTION("""COMPUTED_VALUE"""),"")</f>
        <v/>
      </c>
      <c r="DE532" s="15" t="str">
        <f>IFERROR(__xludf.DUMMYFUNCTION("""COMPUTED_VALUE"""),"")</f>
        <v/>
      </c>
      <c r="DG532" s="15" t="str">
        <f>IFERROR(__xludf.DUMMYFUNCTION("""COMPUTED_VALUE"""),"")</f>
        <v/>
      </c>
      <c r="DL532" s="15" t="str">
        <f>IFERROR(__xludf.DUMMYFUNCTION("""COMPUTED_VALUE"""),"")</f>
        <v/>
      </c>
      <c r="DM532" s="15" t="s">
        <v>444</v>
      </c>
      <c r="DN532" s="15" t="s">
        <v>419</v>
      </c>
      <c r="DO532" s="15">
        <v>0.0</v>
      </c>
      <c r="DP532" s="15" t="s">
        <v>419</v>
      </c>
      <c r="DR532" s="15">
        <v>1.0</v>
      </c>
      <c r="DS532" s="15" t="s">
        <v>426</v>
      </c>
      <c r="DT532" s="15" t="s">
        <v>420</v>
      </c>
      <c r="DU532" s="15" t="s">
        <v>610</v>
      </c>
      <c r="DY532" s="15">
        <v>0.0</v>
      </c>
      <c r="EF532" s="15" t="s">
        <v>471</v>
      </c>
      <c r="EG532" s="15" t="s">
        <v>472</v>
      </c>
      <c r="EH532" s="15" t="s">
        <v>6167</v>
      </c>
      <c r="EJ532" s="15" t="s">
        <v>500</v>
      </c>
      <c r="EK532" s="15" t="s">
        <v>501</v>
      </c>
      <c r="EM532" s="15" t="str">
        <f>IFERROR(__xludf.DUMMYFUNCTION("""COMPUTED_VALUE"""),"")</f>
        <v/>
      </c>
      <c r="FL532" s="15" t="s">
        <v>426</v>
      </c>
      <c r="FM532" s="15">
        <v>2.0</v>
      </c>
      <c r="FY532" s="15" t="s">
        <v>1161</v>
      </c>
      <c r="FZ532" s="15" t="s">
        <v>1188</v>
      </c>
      <c r="GA532" s="15" t="s">
        <v>1329</v>
      </c>
      <c r="GF532" s="15" t="s">
        <v>426</v>
      </c>
      <c r="GG532" s="15" t="s">
        <v>785</v>
      </c>
      <c r="GH532" s="15">
        <v>2.0</v>
      </c>
      <c r="GI532" s="15" t="s">
        <v>614</v>
      </c>
      <c r="GJ532" s="15" t="s">
        <v>1045</v>
      </c>
      <c r="GN532" s="15" t="s">
        <v>616</v>
      </c>
    </row>
    <row r="533" ht="15.75" customHeight="1">
      <c r="A533" s="14" t="s">
        <v>391</v>
      </c>
      <c r="B533" s="15" t="s">
        <v>6180</v>
      </c>
      <c r="C533" s="16"/>
      <c r="D533" s="15" t="s">
        <v>432</v>
      </c>
      <c r="G533" s="14" t="s">
        <v>393</v>
      </c>
      <c r="H533" s="14" t="s">
        <v>394</v>
      </c>
      <c r="I533" s="14" t="b">
        <v>1</v>
      </c>
      <c r="J533" s="14" t="s">
        <v>395</v>
      </c>
      <c r="L533" s="14" t="b">
        <v>0</v>
      </c>
      <c r="M533" s="15" t="s">
        <v>6188</v>
      </c>
      <c r="N533" s="14" t="s">
        <v>393</v>
      </c>
      <c r="O533" s="14" t="s">
        <v>393</v>
      </c>
      <c r="P533" s="15" t="s">
        <v>397</v>
      </c>
      <c r="Q533" s="15" t="s">
        <v>6164</v>
      </c>
      <c r="T533" s="14" t="b">
        <v>0</v>
      </c>
      <c r="U533" s="15" t="s">
        <v>6189</v>
      </c>
      <c r="V533" s="15" t="s">
        <v>6184</v>
      </c>
      <c r="W533" s="15" t="s">
        <v>401</v>
      </c>
      <c r="X533" s="15" t="s">
        <v>1296</v>
      </c>
      <c r="Y533" s="15">
        <v>767.0</v>
      </c>
      <c r="AA533" s="15" t="str">
        <f t="shared" si="954"/>
        <v>295</v>
      </c>
      <c r="AB533" s="14" t="b">
        <v>1</v>
      </c>
      <c r="AC533" s="14" t="b">
        <v>1</v>
      </c>
      <c r="AD533" s="15" t="str">
        <f>"801542695330"</f>
        <v>801542695330</v>
      </c>
      <c r="AE533" s="15" t="s">
        <v>6190</v>
      </c>
      <c r="AF533" s="14" t="s">
        <v>404</v>
      </c>
      <c r="AG533" s="14" t="s">
        <v>405</v>
      </c>
      <c r="AH533" s="14" t="s">
        <v>406</v>
      </c>
      <c r="AI533" s="15">
        <v>0.0</v>
      </c>
      <c r="AL533" s="15" t="s">
        <v>4891</v>
      </c>
      <c r="AM533" s="15" t="s">
        <v>2213</v>
      </c>
      <c r="AN533" s="15" t="s">
        <v>2214</v>
      </c>
      <c r="AO533" s="15" t="s">
        <v>6186</v>
      </c>
      <c r="AP533" s="15" t="s">
        <v>2241</v>
      </c>
      <c r="AQ533" s="15" t="s">
        <v>4051</v>
      </c>
      <c r="AR533" s="15" t="s">
        <v>4052</v>
      </c>
      <c r="AS533" s="15" t="s">
        <v>4600</v>
      </c>
      <c r="AT533" s="15" t="s">
        <v>6164</v>
      </c>
      <c r="AU533" s="15" t="s">
        <v>1850</v>
      </c>
      <c r="AW533" s="15" t="s">
        <v>628</v>
      </c>
      <c r="AY533" s="15" t="s">
        <v>413</v>
      </c>
      <c r="AZ533" s="15" t="b">
        <v>0</v>
      </c>
      <c r="BA533" s="15" t="s">
        <v>413</v>
      </c>
      <c r="BB533" s="15" t="b">
        <v>0</v>
      </c>
      <c r="BC533" s="15" t="s">
        <v>6191</v>
      </c>
      <c r="BD533" s="15" t="s">
        <v>1303</v>
      </c>
      <c r="BE533" s="15" t="str">
        <f t="shared" si="955"/>
        <v>1</v>
      </c>
      <c r="BF533" s="15" t="s">
        <v>416</v>
      </c>
      <c r="BG533" s="15" t="str">
        <f t="shared" si="956"/>
        <v>28.5</v>
      </c>
      <c r="BH533" s="15" t="s">
        <v>2013</v>
      </c>
      <c r="BI533" s="15" t="str">
        <f t="shared" si="957"/>
        <v>20.75</v>
      </c>
      <c r="BJ533" s="15" t="s">
        <v>625</v>
      </c>
      <c r="BK533" s="15" t="str">
        <f t="shared" si="958"/>
        <v>28.5</v>
      </c>
      <c r="BL533" s="15" t="s">
        <v>2013</v>
      </c>
      <c r="BM533" s="15" t="str">
        <f t="shared" si="959"/>
        <v>60.63</v>
      </c>
      <c r="BN533" s="15" t="s">
        <v>5859</v>
      </c>
      <c r="BQ533" s="15" t="s">
        <v>444</v>
      </c>
      <c r="BS533" s="15" t="s">
        <v>444</v>
      </c>
      <c r="BU533" s="15" t="s">
        <v>444</v>
      </c>
      <c r="BW533" s="15" t="s">
        <v>444</v>
      </c>
      <c r="BZ533" s="15" t="s">
        <v>444</v>
      </c>
      <c r="CB533" s="15" t="s">
        <v>444</v>
      </c>
      <c r="CD533" s="15" t="s">
        <v>444</v>
      </c>
      <c r="CF533" s="15" t="s">
        <v>444</v>
      </c>
      <c r="CI533" s="15" t="s">
        <v>444</v>
      </c>
      <c r="CK533" s="15" t="s">
        <v>444</v>
      </c>
      <c r="CM533" s="15" t="s">
        <v>444</v>
      </c>
      <c r="CO533" s="15" t="s">
        <v>444</v>
      </c>
      <c r="CP533" s="15" t="str">
        <f t="shared" si="960"/>
        <v>9.75</v>
      </c>
      <c r="CQ533" s="15" t="str">
        <f t="shared" si="961"/>
        <v>0.276</v>
      </c>
      <c r="CR533" s="15" t="s">
        <v>417</v>
      </c>
      <c r="CS533" s="15" t="s">
        <v>1288</v>
      </c>
      <c r="CT533" s="15" t="s">
        <v>1188</v>
      </c>
      <c r="CU533" s="15" t="s">
        <v>1998</v>
      </c>
      <c r="CV533" s="15" t="s">
        <v>2020</v>
      </c>
      <c r="CW533" s="15" t="s">
        <v>2547</v>
      </c>
      <c r="CX533" s="15" t="s">
        <v>1998</v>
      </c>
      <c r="DC533" s="15" t="str">
        <f>IFERROR(__xludf.DUMMYFUNCTION("""COMPUTED_VALUE"""),"")</f>
        <v/>
      </c>
      <c r="DE533" s="15" t="str">
        <f>IFERROR(__xludf.DUMMYFUNCTION("""COMPUTED_VALUE"""),"")</f>
        <v/>
      </c>
      <c r="DG533" s="15" t="str">
        <f>IFERROR(__xludf.DUMMYFUNCTION("""COMPUTED_VALUE"""),"")</f>
        <v/>
      </c>
      <c r="DL533" s="15" t="str">
        <f>IFERROR(__xludf.DUMMYFUNCTION("""COMPUTED_VALUE"""),"")</f>
        <v/>
      </c>
      <c r="DM533" s="15" t="s">
        <v>444</v>
      </c>
      <c r="DN533" s="15" t="s">
        <v>419</v>
      </c>
      <c r="DO533" s="15">
        <v>0.0</v>
      </c>
      <c r="DP533" s="15" t="s">
        <v>419</v>
      </c>
      <c r="DR533" s="15">
        <v>1.0</v>
      </c>
      <c r="DS533" s="15" t="s">
        <v>426</v>
      </c>
      <c r="DT533" s="15" t="s">
        <v>420</v>
      </c>
      <c r="DU533" s="15" t="s">
        <v>610</v>
      </c>
      <c r="DY533" s="15">
        <v>0.0</v>
      </c>
      <c r="EF533" s="15" t="s">
        <v>471</v>
      </c>
      <c r="EG533" s="15" t="s">
        <v>472</v>
      </c>
      <c r="EH533" s="15" t="s">
        <v>6167</v>
      </c>
      <c r="EJ533" s="15" t="s">
        <v>500</v>
      </c>
      <c r="EK533" s="15" t="s">
        <v>501</v>
      </c>
      <c r="EM533" s="15" t="str">
        <f>IFERROR(__xludf.DUMMYFUNCTION("""COMPUTED_VALUE"""),"")</f>
        <v/>
      </c>
      <c r="FL533" s="15" t="s">
        <v>426</v>
      </c>
      <c r="FM533" s="15">
        <v>2.0</v>
      </c>
      <c r="FY533" s="15" t="s">
        <v>1161</v>
      </c>
      <c r="FZ533" s="15" t="s">
        <v>1188</v>
      </c>
      <c r="GA533" s="15" t="s">
        <v>1329</v>
      </c>
      <c r="GF533" s="15" t="s">
        <v>426</v>
      </c>
      <c r="GG533" s="15" t="s">
        <v>785</v>
      </c>
      <c r="GH533" s="15">
        <v>2.0</v>
      </c>
      <c r="GI533" s="15" t="s">
        <v>614</v>
      </c>
      <c r="GJ533" s="15" t="s">
        <v>1045</v>
      </c>
      <c r="GN533" s="15" t="s">
        <v>616</v>
      </c>
    </row>
    <row r="534" ht="15.75" customHeight="1">
      <c r="A534" s="14" t="s">
        <v>391</v>
      </c>
      <c r="B534" s="15" t="s">
        <v>6192</v>
      </c>
      <c r="C534" s="16"/>
      <c r="D534" s="15" t="s">
        <v>432</v>
      </c>
      <c r="G534" s="14" t="s">
        <v>393</v>
      </c>
      <c r="H534" s="14" t="s">
        <v>394</v>
      </c>
      <c r="I534" s="14" t="b">
        <v>1</v>
      </c>
      <c r="J534" s="14" t="s">
        <v>395</v>
      </c>
      <c r="L534" s="14" t="b">
        <v>0</v>
      </c>
      <c r="M534" s="15" t="s">
        <v>6193</v>
      </c>
      <c r="N534" s="14" t="s">
        <v>393</v>
      </c>
      <c r="O534" s="14" t="s">
        <v>393</v>
      </c>
      <c r="P534" s="15" t="s">
        <v>397</v>
      </c>
      <c r="Q534" s="15" t="s">
        <v>6164</v>
      </c>
      <c r="T534" s="14" t="b">
        <v>0</v>
      </c>
      <c r="U534" s="15" t="s">
        <v>6194</v>
      </c>
      <c r="V534" s="15" t="s">
        <v>6195</v>
      </c>
      <c r="W534" s="15" t="s">
        <v>401</v>
      </c>
      <c r="X534" s="15" t="s">
        <v>1296</v>
      </c>
      <c r="Y534" s="15">
        <v>2184.0</v>
      </c>
      <c r="AA534" s="15" t="str">
        <f t="shared" ref="AA534:AA535" si="962">"840"</f>
        <v>840</v>
      </c>
      <c r="AB534" s="14" t="b">
        <v>1</v>
      </c>
      <c r="AC534" s="14" t="b">
        <v>1</v>
      </c>
      <c r="AD534" s="15" t="str">
        <f>"801542056049"</f>
        <v>801542056049</v>
      </c>
      <c r="AE534" s="15" t="s">
        <v>6196</v>
      </c>
      <c r="AF534" s="14" t="s">
        <v>404</v>
      </c>
      <c r="AG534" s="14" t="s">
        <v>405</v>
      </c>
      <c r="AH534" s="14" t="s">
        <v>406</v>
      </c>
      <c r="AI534" s="15">
        <v>0.0</v>
      </c>
      <c r="AL534" s="15" t="s">
        <v>4891</v>
      </c>
      <c r="AM534" s="15" t="s">
        <v>4674</v>
      </c>
      <c r="AN534" s="15" t="s">
        <v>4675</v>
      </c>
      <c r="AO534" s="15" t="s">
        <v>1007</v>
      </c>
      <c r="AP534" s="15" t="s">
        <v>1008</v>
      </c>
      <c r="AQ534" s="15" t="s">
        <v>1085</v>
      </c>
      <c r="AR534" s="15" t="s">
        <v>1086</v>
      </c>
      <c r="AS534" s="15" t="s">
        <v>4600</v>
      </c>
      <c r="AT534" s="15" t="s">
        <v>6164</v>
      </c>
      <c r="AU534" s="15" t="s">
        <v>1850</v>
      </c>
      <c r="AV534" s="15" t="s">
        <v>6170</v>
      </c>
      <c r="AW534" s="15" t="s">
        <v>602</v>
      </c>
      <c r="AY534" s="15" t="s">
        <v>413</v>
      </c>
      <c r="AZ534" s="15" t="b">
        <v>0</v>
      </c>
      <c r="BA534" s="15" t="s">
        <v>413</v>
      </c>
      <c r="BB534" s="15" t="b">
        <v>0</v>
      </c>
      <c r="BC534" s="15" t="s">
        <v>6197</v>
      </c>
      <c r="BD534" s="15" t="s">
        <v>1303</v>
      </c>
      <c r="BE534" s="15" t="str">
        <f t="shared" si="955"/>
        <v>1</v>
      </c>
      <c r="BF534" s="15" t="s">
        <v>416</v>
      </c>
      <c r="BG534" s="15" t="str">
        <f>"82.5"</f>
        <v>82.5</v>
      </c>
      <c r="BH534" s="15" t="s">
        <v>6198</v>
      </c>
      <c r="BI534" s="15" t="str">
        <f>"22.25"</f>
        <v>22.25</v>
      </c>
      <c r="BJ534" s="15" t="s">
        <v>6199</v>
      </c>
      <c r="BK534" s="15" t="str">
        <f t="shared" ref="BK534:BK535" si="963">"31.5"</f>
        <v>31.5</v>
      </c>
      <c r="BL534" s="15" t="s">
        <v>1322</v>
      </c>
      <c r="BM534" s="15" t="str">
        <f>"172.4"</f>
        <v>172.4</v>
      </c>
      <c r="BN534" s="15" t="s">
        <v>6200</v>
      </c>
      <c r="BQ534" s="15" t="s">
        <v>444</v>
      </c>
      <c r="BS534" s="15" t="s">
        <v>444</v>
      </c>
      <c r="BU534" s="15" t="s">
        <v>444</v>
      </c>
      <c r="BW534" s="15" t="s">
        <v>444</v>
      </c>
      <c r="BZ534" s="15" t="s">
        <v>444</v>
      </c>
      <c r="CB534" s="15" t="s">
        <v>444</v>
      </c>
      <c r="CD534" s="15" t="s">
        <v>444</v>
      </c>
      <c r="CF534" s="15" t="s">
        <v>444</v>
      </c>
      <c r="CI534" s="15" t="s">
        <v>444</v>
      </c>
      <c r="CK534" s="15" t="s">
        <v>444</v>
      </c>
      <c r="CM534" s="15" t="s">
        <v>444</v>
      </c>
      <c r="CO534" s="15" t="s">
        <v>444</v>
      </c>
      <c r="CP534" s="15" t="str">
        <f>"33.48"</f>
        <v>33.48</v>
      </c>
      <c r="CQ534" s="15" t="str">
        <f>"0.948"</f>
        <v>0.948</v>
      </c>
      <c r="CR534" s="15" t="s">
        <v>465</v>
      </c>
      <c r="CS534" s="15" t="s">
        <v>1161</v>
      </c>
      <c r="CT534" s="15" t="s">
        <v>1188</v>
      </c>
      <c r="CU534" s="15" t="s">
        <v>6201</v>
      </c>
      <c r="CV534" s="15" t="s">
        <v>1161</v>
      </c>
      <c r="CW534" s="15" t="s">
        <v>3241</v>
      </c>
      <c r="CX534" s="15" t="s">
        <v>6201</v>
      </c>
      <c r="DC534" s="15" t="str">
        <f>IFERROR(__xludf.DUMMYFUNCTION("""COMPUTED_VALUE"""),"")</f>
        <v/>
      </c>
      <c r="DE534" s="15" t="str">
        <f>IFERROR(__xludf.DUMMYFUNCTION("""COMPUTED_VALUE"""),"")</f>
        <v/>
      </c>
      <c r="DG534" s="15" t="str">
        <f>IFERROR(__xludf.DUMMYFUNCTION("""COMPUTED_VALUE"""),"")</f>
        <v/>
      </c>
      <c r="DL534" s="15" t="str">
        <f>IFERROR(__xludf.DUMMYFUNCTION("""COMPUTED_VALUE"""),"")</f>
        <v/>
      </c>
      <c r="DM534" s="15" t="s">
        <v>444</v>
      </c>
      <c r="DN534" s="15" t="s">
        <v>419</v>
      </c>
      <c r="DO534" s="15">
        <v>0.0</v>
      </c>
      <c r="DP534" s="15" t="s">
        <v>419</v>
      </c>
      <c r="DR534" s="15">
        <v>2.0</v>
      </c>
      <c r="DS534" s="15" t="s">
        <v>426</v>
      </c>
      <c r="DT534" s="15" t="s">
        <v>420</v>
      </c>
      <c r="DU534" s="15" t="s">
        <v>610</v>
      </c>
      <c r="DW534" s="15">
        <v>18.14</v>
      </c>
      <c r="DX534" s="15">
        <v>40.0</v>
      </c>
      <c r="DY534" s="15">
        <v>0.0</v>
      </c>
      <c r="EG534" s="15" t="s">
        <v>444</v>
      </c>
      <c r="EH534" s="15" t="s">
        <v>6167</v>
      </c>
      <c r="EK534" s="15" t="s">
        <v>444</v>
      </c>
      <c r="EM534" s="15" t="str">
        <f>IFERROR(__xludf.DUMMYFUNCTION("""COMPUTED_VALUE"""),"")</f>
        <v/>
      </c>
      <c r="EW534" s="15" t="s">
        <v>2402</v>
      </c>
      <c r="FL534" s="15" t="s">
        <v>426</v>
      </c>
      <c r="FM534" s="15">
        <v>4.0</v>
      </c>
      <c r="FY534" s="15" t="s">
        <v>1324</v>
      </c>
      <c r="FZ534" s="15" t="s">
        <v>1188</v>
      </c>
      <c r="GA534" s="15" t="s">
        <v>3748</v>
      </c>
      <c r="GF534" s="15" t="s">
        <v>426</v>
      </c>
      <c r="GG534" s="15" t="s">
        <v>785</v>
      </c>
      <c r="GH534" s="15">
        <v>4.0</v>
      </c>
      <c r="GI534" s="15" t="s">
        <v>614</v>
      </c>
      <c r="GJ534" s="15" t="s">
        <v>615</v>
      </c>
      <c r="GN534" s="15" t="s">
        <v>616</v>
      </c>
      <c r="HD534" s="15">
        <v>0.0</v>
      </c>
    </row>
    <row r="535" ht="15.75" customHeight="1">
      <c r="A535" s="14" t="s">
        <v>391</v>
      </c>
      <c r="B535" s="15" t="s">
        <v>6202</v>
      </c>
      <c r="C535" s="16"/>
      <c r="D535" s="15" t="s">
        <v>432</v>
      </c>
      <c r="G535" s="14" t="s">
        <v>393</v>
      </c>
      <c r="H535" s="14" t="s">
        <v>394</v>
      </c>
      <c r="I535" s="14" t="b">
        <v>1</v>
      </c>
      <c r="J535" s="14" t="s">
        <v>395</v>
      </c>
      <c r="L535" s="14" t="b">
        <v>0</v>
      </c>
      <c r="M535" s="15" t="s">
        <v>6203</v>
      </c>
      <c r="N535" s="14" t="s">
        <v>393</v>
      </c>
      <c r="O535" s="14" t="s">
        <v>393</v>
      </c>
      <c r="P535" s="15" t="s">
        <v>397</v>
      </c>
      <c r="Q535" s="15" t="s">
        <v>6170</v>
      </c>
      <c r="T535" s="14" t="b">
        <v>0</v>
      </c>
      <c r="U535" s="15" t="s">
        <v>6204</v>
      </c>
      <c r="V535" s="15" t="s">
        <v>6205</v>
      </c>
      <c r="W535" s="15" t="s">
        <v>401</v>
      </c>
      <c r="X535" s="15" t="s">
        <v>1296</v>
      </c>
      <c r="Y535" s="15">
        <v>2184.0</v>
      </c>
      <c r="AA535" s="15" t="str">
        <f t="shared" si="962"/>
        <v>840</v>
      </c>
      <c r="AB535" s="14" t="b">
        <v>1</v>
      </c>
      <c r="AC535" s="14" t="b">
        <v>1</v>
      </c>
      <c r="AD535" s="15" t="str">
        <f>"801542669584"</f>
        <v>801542669584</v>
      </c>
      <c r="AE535" s="15" t="s">
        <v>6206</v>
      </c>
      <c r="AF535" s="14" t="s">
        <v>404</v>
      </c>
      <c r="AG535" s="14" t="s">
        <v>405</v>
      </c>
      <c r="AH535" s="14" t="s">
        <v>406</v>
      </c>
      <c r="AI535" s="15">
        <v>0.0</v>
      </c>
      <c r="AL535" s="15" t="s">
        <v>4891</v>
      </c>
      <c r="AM535" s="15" t="s">
        <v>4674</v>
      </c>
      <c r="AN535" s="15" t="s">
        <v>4675</v>
      </c>
      <c r="AO535" s="15" t="s">
        <v>1007</v>
      </c>
      <c r="AP535" s="15" t="s">
        <v>1008</v>
      </c>
      <c r="AQ535" s="15" t="s">
        <v>1085</v>
      </c>
      <c r="AR535" s="15" t="s">
        <v>1086</v>
      </c>
      <c r="AS535" s="15" t="s">
        <v>4600</v>
      </c>
      <c r="AT535" s="15" t="s">
        <v>6170</v>
      </c>
      <c r="AU535" s="15" t="s">
        <v>1850</v>
      </c>
      <c r="AW535" s="15" t="s">
        <v>602</v>
      </c>
      <c r="AY535" s="15" t="s">
        <v>413</v>
      </c>
      <c r="AZ535" s="15" t="b">
        <v>0</v>
      </c>
      <c r="BA535" s="15" t="s">
        <v>413</v>
      </c>
      <c r="BB535" s="15" t="b">
        <v>0</v>
      </c>
      <c r="BC535" s="15" t="s">
        <v>6207</v>
      </c>
      <c r="BD535" s="15" t="s">
        <v>1303</v>
      </c>
      <c r="BE535" s="15" t="str">
        <f t="shared" si="955"/>
        <v>1</v>
      </c>
      <c r="BF535" s="15" t="s">
        <v>416</v>
      </c>
      <c r="BG535" s="15" t="str">
        <f>"82"</f>
        <v>82</v>
      </c>
      <c r="BH535" s="15" t="s">
        <v>1027</v>
      </c>
      <c r="BI535" s="15" t="str">
        <f>"22"</f>
        <v>22</v>
      </c>
      <c r="BJ535" s="15" t="s">
        <v>1562</v>
      </c>
      <c r="BK535" s="15" t="str">
        <f t="shared" si="963"/>
        <v>31.5</v>
      </c>
      <c r="BL535" s="15" t="s">
        <v>1322</v>
      </c>
      <c r="BM535" s="15" t="str">
        <f>"188.49"</f>
        <v>188.49</v>
      </c>
      <c r="BN535" s="15" t="s">
        <v>6208</v>
      </c>
      <c r="BQ535" s="15" t="s">
        <v>444</v>
      </c>
      <c r="BS535" s="15" t="s">
        <v>444</v>
      </c>
      <c r="BU535" s="15" t="s">
        <v>444</v>
      </c>
      <c r="BW535" s="15" t="s">
        <v>444</v>
      </c>
      <c r="BZ535" s="15" t="s">
        <v>444</v>
      </c>
      <c r="CB535" s="15" t="s">
        <v>444</v>
      </c>
      <c r="CD535" s="15" t="s">
        <v>444</v>
      </c>
      <c r="CF535" s="15" t="s">
        <v>444</v>
      </c>
      <c r="CI535" s="15" t="s">
        <v>444</v>
      </c>
      <c r="CK535" s="15" t="s">
        <v>444</v>
      </c>
      <c r="CM535" s="15" t="s">
        <v>444</v>
      </c>
      <c r="CO535" s="15" t="s">
        <v>444</v>
      </c>
      <c r="CP535" s="15" t="str">
        <f>"32.88"</f>
        <v>32.88</v>
      </c>
      <c r="CQ535" s="15" t="str">
        <f>"0.931"</f>
        <v>0.931</v>
      </c>
      <c r="CR535" s="15" t="s">
        <v>465</v>
      </c>
      <c r="CS535" s="15" t="s">
        <v>2020</v>
      </c>
      <c r="CT535" s="15" t="s">
        <v>1188</v>
      </c>
      <c r="CU535" s="15" t="s">
        <v>5646</v>
      </c>
      <c r="CV535" s="15" t="s">
        <v>4918</v>
      </c>
      <c r="CW535" s="15" t="s">
        <v>475</v>
      </c>
      <c r="CX535" s="15" t="s">
        <v>5646</v>
      </c>
      <c r="DC535" s="15" t="str">
        <f>IFERROR(__xludf.DUMMYFUNCTION("""COMPUTED_VALUE"""),"")</f>
        <v/>
      </c>
      <c r="DE535" s="15" t="str">
        <f>IFERROR(__xludf.DUMMYFUNCTION("""COMPUTED_VALUE"""),"")</f>
        <v/>
      </c>
      <c r="DG535" s="15" t="str">
        <f>IFERROR(__xludf.DUMMYFUNCTION("""COMPUTED_VALUE"""),"")</f>
        <v/>
      </c>
      <c r="DL535" s="15" t="str">
        <f>IFERROR(__xludf.DUMMYFUNCTION("""COMPUTED_VALUE"""),"")</f>
        <v/>
      </c>
      <c r="DM535" s="15" t="s">
        <v>444</v>
      </c>
      <c r="DN535" s="15" t="s">
        <v>1371</v>
      </c>
      <c r="DO535" s="15">
        <v>3.0</v>
      </c>
      <c r="DP535" s="15" t="s">
        <v>1185</v>
      </c>
      <c r="DR535" s="15">
        <v>2.0</v>
      </c>
      <c r="DS535" s="15" t="s">
        <v>426</v>
      </c>
      <c r="DT535" s="15" t="s">
        <v>420</v>
      </c>
      <c r="DU535" s="15" t="s">
        <v>610</v>
      </c>
      <c r="DW535" s="15">
        <v>18.14</v>
      </c>
      <c r="DX535" s="15">
        <v>40.0</v>
      </c>
      <c r="DY535" s="15">
        <v>0.0</v>
      </c>
      <c r="EG535" s="15" t="s">
        <v>444</v>
      </c>
      <c r="EH535" s="15" t="s">
        <v>6167</v>
      </c>
      <c r="EK535" s="15" t="s">
        <v>444</v>
      </c>
      <c r="EM535" s="15" t="str">
        <f>IFERROR(__xludf.DUMMYFUNCTION("""COMPUTED_VALUE"""),"")</f>
        <v/>
      </c>
      <c r="EW535" s="15" t="s">
        <v>3240</v>
      </c>
      <c r="FL535" s="15" t="s">
        <v>426</v>
      </c>
      <c r="FM535" s="15">
        <v>4.0</v>
      </c>
      <c r="FY535" s="15" t="s">
        <v>1324</v>
      </c>
      <c r="FZ535" s="15" t="s">
        <v>1188</v>
      </c>
      <c r="GA535" s="15" t="s">
        <v>3748</v>
      </c>
      <c r="GF535" s="15" t="s">
        <v>426</v>
      </c>
      <c r="GG535" s="15" t="s">
        <v>785</v>
      </c>
      <c r="GH535" s="15">
        <v>3.0</v>
      </c>
      <c r="GI535" s="15" t="s">
        <v>614</v>
      </c>
      <c r="GJ535" s="15" t="s">
        <v>1045</v>
      </c>
      <c r="GN535" s="15" t="s">
        <v>3722</v>
      </c>
      <c r="GQ535" s="15" t="s">
        <v>3154</v>
      </c>
      <c r="GS535" s="15" t="s">
        <v>6209</v>
      </c>
      <c r="GU535" s="15" t="s">
        <v>4151</v>
      </c>
      <c r="GW535" s="15" t="s">
        <v>838</v>
      </c>
      <c r="GZ535" s="15" t="s">
        <v>426</v>
      </c>
      <c r="HA535" s="15" t="s">
        <v>4918</v>
      </c>
      <c r="HB535" s="15" t="s">
        <v>475</v>
      </c>
      <c r="HC535" s="15" t="s">
        <v>5644</v>
      </c>
      <c r="HD535" s="15">
        <v>0.0</v>
      </c>
      <c r="KL535" s="15" t="s">
        <v>2020</v>
      </c>
      <c r="KM535" s="15" t="s">
        <v>1188</v>
      </c>
      <c r="KN535" s="15" t="s">
        <v>5644</v>
      </c>
    </row>
    <row r="536" ht="15.75" customHeight="1">
      <c r="A536" s="14" t="s">
        <v>391</v>
      </c>
      <c r="B536" s="15" t="s">
        <v>6210</v>
      </c>
      <c r="C536" s="16"/>
      <c r="D536" s="15" t="s">
        <v>432</v>
      </c>
      <c r="G536" s="14" t="s">
        <v>393</v>
      </c>
      <c r="H536" s="14" t="s">
        <v>394</v>
      </c>
      <c r="I536" s="14" t="b">
        <v>1</v>
      </c>
      <c r="J536" s="14" t="s">
        <v>395</v>
      </c>
      <c r="L536" s="14" t="b">
        <v>0</v>
      </c>
      <c r="M536" s="15" t="s">
        <v>6211</v>
      </c>
      <c r="N536" s="14" t="s">
        <v>393</v>
      </c>
      <c r="O536" s="14" t="s">
        <v>393</v>
      </c>
      <c r="P536" s="15" t="s">
        <v>397</v>
      </c>
      <c r="Q536" s="15" t="s">
        <v>6182</v>
      </c>
      <c r="T536" s="14" t="b">
        <v>0</v>
      </c>
      <c r="U536" s="15" t="s">
        <v>6212</v>
      </c>
      <c r="V536" s="15" t="s">
        <v>6213</v>
      </c>
      <c r="W536" s="15" t="s">
        <v>401</v>
      </c>
      <c r="X536" s="15" t="s">
        <v>1296</v>
      </c>
      <c r="Y536" s="15">
        <v>1859.0</v>
      </c>
      <c r="AA536" s="15" t="str">
        <f>"715"</f>
        <v>715</v>
      </c>
      <c r="AB536" s="14" t="b">
        <v>1</v>
      </c>
      <c r="AC536" s="14" t="b">
        <v>1</v>
      </c>
      <c r="AD536" s="15" t="str">
        <f>"801542882655"</f>
        <v>801542882655</v>
      </c>
      <c r="AE536" s="15" t="s">
        <v>6214</v>
      </c>
      <c r="AF536" s="14" t="s">
        <v>404</v>
      </c>
      <c r="AG536" s="14" t="s">
        <v>405</v>
      </c>
      <c r="AH536" s="14" t="s">
        <v>406</v>
      </c>
      <c r="AI536" s="15">
        <v>0.0</v>
      </c>
      <c r="AL536" s="15" t="s">
        <v>4891</v>
      </c>
      <c r="AM536" s="15" t="s">
        <v>6215</v>
      </c>
      <c r="AN536" s="15" t="s">
        <v>6216</v>
      </c>
      <c r="AO536" s="15" t="s">
        <v>2039</v>
      </c>
      <c r="AP536" s="15" t="s">
        <v>2040</v>
      </c>
      <c r="AQ536" s="15" t="s">
        <v>546</v>
      </c>
      <c r="AR536" s="15" t="s">
        <v>547</v>
      </c>
      <c r="AS536" s="15" t="s">
        <v>4600</v>
      </c>
      <c r="AT536" s="15" t="s">
        <v>6182</v>
      </c>
      <c r="AU536" s="15" t="s">
        <v>1850</v>
      </c>
      <c r="AV536" s="15" t="s">
        <v>6217</v>
      </c>
      <c r="AW536" s="15" t="s">
        <v>664</v>
      </c>
      <c r="AY536" s="15" t="s">
        <v>413</v>
      </c>
      <c r="AZ536" s="15" t="b">
        <v>0</v>
      </c>
      <c r="BA536" s="15" t="s">
        <v>413</v>
      </c>
      <c r="BB536" s="15" t="b">
        <v>0</v>
      </c>
      <c r="BC536" s="15" t="s">
        <v>6218</v>
      </c>
      <c r="BD536" s="15" t="s">
        <v>1303</v>
      </c>
      <c r="BE536" s="15" t="str">
        <f t="shared" si="955"/>
        <v>1</v>
      </c>
      <c r="BF536" s="15" t="s">
        <v>416</v>
      </c>
      <c r="BG536" s="15" t="str">
        <f>"74"</f>
        <v>74</v>
      </c>
      <c r="BH536" s="15" t="s">
        <v>2758</v>
      </c>
      <c r="BI536" s="15" t="str">
        <f>"21"</f>
        <v>21</v>
      </c>
      <c r="BJ536" s="15" t="s">
        <v>1676</v>
      </c>
      <c r="BK536" s="15" t="str">
        <f>"34.75"</f>
        <v>34.75</v>
      </c>
      <c r="BL536" s="15" t="s">
        <v>1029</v>
      </c>
      <c r="BM536" s="15" t="str">
        <f>"168.63"</f>
        <v>168.63</v>
      </c>
      <c r="BN536" s="15" t="s">
        <v>6219</v>
      </c>
      <c r="BQ536" s="15" t="s">
        <v>444</v>
      </c>
      <c r="BS536" s="15" t="s">
        <v>444</v>
      </c>
      <c r="BU536" s="15" t="s">
        <v>444</v>
      </c>
      <c r="BW536" s="15" t="s">
        <v>444</v>
      </c>
      <c r="BZ536" s="15" t="s">
        <v>444</v>
      </c>
      <c r="CB536" s="15" t="s">
        <v>444</v>
      </c>
      <c r="CD536" s="15" t="s">
        <v>444</v>
      </c>
      <c r="CF536" s="15" t="s">
        <v>444</v>
      </c>
      <c r="CI536" s="15" t="s">
        <v>444</v>
      </c>
      <c r="CK536" s="15" t="s">
        <v>444</v>
      </c>
      <c r="CM536" s="15" t="s">
        <v>444</v>
      </c>
      <c r="CO536" s="15" t="s">
        <v>444</v>
      </c>
      <c r="CP536" s="15" t="str">
        <f>"31.25"</f>
        <v>31.25</v>
      </c>
      <c r="CQ536" s="15" t="str">
        <f>"0.885"</f>
        <v>0.885</v>
      </c>
      <c r="CR536" s="15" t="s">
        <v>465</v>
      </c>
      <c r="CV536" s="15" t="s">
        <v>1287</v>
      </c>
      <c r="CW536" s="15" t="s">
        <v>1254</v>
      </c>
      <c r="CX536" s="15" t="s">
        <v>4651</v>
      </c>
      <c r="DC536" s="15" t="str">
        <f>IFERROR(__xludf.DUMMYFUNCTION("""COMPUTED_VALUE"""),"")</f>
        <v/>
      </c>
      <c r="DE536" s="15" t="str">
        <f>IFERROR(__xludf.DUMMYFUNCTION("""COMPUTED_VALUE"""),"")</f>
        <v/>
      </c>
      <c r="DG536" s="15" t="str">
        <f>IFERROR(__xludf.DUMMYFUNCTION("""COMPUTED_VALUE"""),"")</f>
        <v/>
      </c>
      <c r="DL536" s="15" t="str">
        <f>IFERROR(__xludf.DUMMYFUNCTION("""COMPUTED_VALUE"""),"")</f>
        <v/>
      </c>
      <c r="DM536" s="15" t="s">
        <v>444</v>
      </c>
      <c r="DN536" s="15" t="s">
        <v>419</v>
      </c>
      <c r="DO536" s="15">
        <v>0.0</v>
      </c>
      <c r="DP536" s="15" t="s">
        <v>419</v>
      </c>
      <c r="DR536" s="15">
        <v>0.0</v>
      </c>
      <c r="DT536" s="15" t="s">
        <v>420</v>
      </c>
      <c r="DU536" s="15" t="s">
        <v>610</v>
      </c>
      <c r="DW536" s="15">
        <v>20.0</v>
      </c>
      <c r="DX536" s="15">
        <v>44.09</v>
      </c>
      <c r="DY536" s="15">
        <v>2.0</v>
      </c>
      <c r="EG536" s="15" t="s">
        <v>444</v>
      </c>
      <c r="EH536" s="15" t="s">
        <v>6167</v>
      </c>
      <c r="EJ536" s="15" t="s">
        <v>500</v>
      </c>
      <c r="EK536" s="15" t="s">
        <v>501</v>
      </c>
      <c r="EM536" s="15" t="str">
        <f>IFERROR(__xludf.DUMMYFUNCTION("""COMPUTED_VALUE"""),"")</f>
        <v/>
      </c>
      <c r="FL536" s="15" t="s">
        <v>426</v>
      </c>
      <c r="FM536" s="15">
        <v>4.0</v>
      </c>
      <c r="FY536" s="15" t="s">
        <v>1324</v>
      </c>
      <c r="FZ536" s="15" t="s">
        <v>612</v>
      </c>
      <c r="GA536" s="15" t="s">
        <v>6018</v>
      </c>
      <c r="GB536" s="15" t="s">
        <v>1996</v>
      </c>
      <c r="GC536" s="15" t="s">
        <v>612</v>
      </c>
      <c r="GD536" s="15" t="s">
        <v>4651</v>
      </c>
      <c r="GE536" s="15">
        <v>0.0</v>
      </c>
      <c r="GF536" s="15" t="s">
        <v>426</v>
      </c>
      <c r="GG536" s="15" t="s">
        <v>785</v>
      </c>
      <c r="GH536" s="15">
        <v>4.0</v>
      </c>
      <c r="GI536" s="15" t="s">
        <v>614</v>
      </c>
      <c r="GJ536" s="15" t="s">
        <v>1045</v>
      </c>
      <c r="GK536" s="15">
        <v>0.0</v>
      </c>
      <c r="GL536" s="15" t="s">
        <v>426</v>
      </c>
    </row>
    <row r="537" ht="15.75" customHeight="1">
      <c r="A537" s="14" t="s">
        <v>391</v>
      </c>
      <c r="B537" s="15" t="s">
        <v>6220</v>
      </c>
      <c r="C537" s="16"/>
      <c r="D537" s="15" t="s">
        <v>432</v>
      </c>
      <c r="G537" s="14" t="s">
        <v>393</v>
      </c>
      <c r="H537" s="14" t="s">
        <v>394</v>
      </c>
      <c r="I537" s="14" t="b">
        <v>1</v>
      </c>
      <c r="J537" s="14" t="s">
        <v>395</v>
      </c>
      <c r="L537" s="14" t="b">
        <v>0</v>
      </c>
      <c r="M537" s="15" t="s">
        <v>6221</v>
      </c>
      <c r="N537" s="14" t="s">
        <v>393</v>
      </c>
      <c r="O537" s="14" t="s">
        <v>393</v>
      </c>
      <c r="P537" s="15" t="s">
        <v>397</v>
      </c>
      <c r="Q537" s="15" t="s">
        <v>6164</v>
      </c>
      <c r="T537" s="14" t="b">
        <v>0</v>
      </c>
      <c r="U537" s="15" t="s">
        <v>6222</v>
      </c>
      <c r="V537" s="15" t="s">
        <v>6223</v>
      </c>
      <c r="W537" s="15" t="s">
        <v>401</v>
      </c>
      <c r="X537" s="15" t="s">
        <v>1296</v>
      </c>
      <c r="Y537" s="15">
        <v>1482.0</v>
      </c>
      <c r="AA537" s="15" t="str">
        <f>"570"</f>
        <v>570</v>
      </c>
      <c r="AB537" s="14" t="b">
        <v>1</v>
      </c>
      <c r="AC537" s="14" t="b">
        <v>1</v>
      </c>
      <c r="AD537" s="15" t="str">
        <f>"801542669591"</f>
        <v>801542669591</v>
      </c>
      <c r="AE537" s="15" t="s">
        <v>6224</v>
      </c>
      <c r="AF537" s="14" t="s">
        <v>404</v>
      </c>
      <c r="AG537" s="14" t="s">
        <v>405</v>
      </c>
      <c r="AH537" s="14" t="s">
        <v>406</v>
      </c>
      <c r="AI537" s="15">
        <v>0.0</v>
      </c>
      <c r="AL537" s="15" t="s">
        <v>4891</v>
      </c>
      <c r="AM537" s="15" t="s">
        <v>1003</v>
      </c>
      <c r="AN537" s="15" t="s">
        <v>1004</v>
      </c>
      <c r="AO537" s="15" t="s">
        <v>1152</v>
      </c>
      <c r="AP537" s="15" t="s">
        <v>1153</v>
      </c>
      <c r="AQ537" s="15" t="s">
        <v>1274</v>
      </c>
      <c r="AR537" s="15" t="s">
        <v>1275</v>
      </c>
      <c r="AS537" s="15" t="s">
        <v>4600</v>
      </c>
      <c r="AT537" s="15" t="s">
        <v>6164</v>
      </c>
      <c r="AU537" s="15" t="s">
        <v>6170</v>
      </c>
      <c r="AV537" s="15" t="s">
        <v>1850</v>
      </c>
      <c r="AW537" s="15" t="s">
        <v>602</v>
      </c>
      <c r="AY537" s="15" t="s">
        <v>413</v>
      </c>
      <c r="AZ537" s="15" t="b">
        <v>0</v>
      </c>
      <c r="BA537" s="15" t="s">
        <v>413</v>
      </c>
      <c r="BB537" s="15" t="b">
        <v>0</v>
      </c>
      <c r="BC537" s="15" t="s">
        <v>6207</v>
      </c>
      <c r="BD537" s="15" t="s">
        <v>1303</v>
      </c>
      <c r="BE537" s="15" t="str">
        <f t="shared" si="955"/>
        <v>1</v>
      </c>
      <c r="BF537" s="15" t="s">
        <v>416</v>
      </c>
      <c r="BG537" s="15" t="str">
        <f>"61"</f>
        <v>61</v>
      </c>
      <c r="BH537" s="15" t="s">
        <v>1674</v>
      </c>
      <c r="BI537" s="15" t="str">
        <f>"22"</f>
        <v>22</v>
      </c>
      <c r="BJ537" s="15" t="s">
        <v>1562</v>
      </c>
      <c r="BK537" s="15" t="str">
        <f>"33.5"</f>
        <v>33.5</v>
      </c>
      <c r="BL537" s="15" t="s">
        <v>1223</v>
      </c>
      <c r="BM537" s="15" t="str">
        <f>"137.02"</f>
        <v>137.02</v>
      </c>
      <c r="BN537" s="15" t="s">
        <v>6225</v>
      </c>
      <c r="BQ537" s="15" t="s">
        <v>444</v>
      </c>
      <c r="BS537" s="15" t="s">
        <v>444</v>
      </c>
      <c r="BU537" s="15" t="s">
        <v>444</v>
      </c>
      <c r="BW537" s="15" t="s">
        <v>444</v>
      </c>
      <c r="BZ537" s="15" t="s">
        <v>444</v>
      </c>
      <c r="CB537" s="15" t="s">
        <v>444</v>
      </c>
      <c r="CD537" s="15" t="s">
        <v>444</v>
      </c>
      <c r="CF537" s="15" t="s">
        <v>444</v>
      </c>
      <c r="CI537" s="15" t="s">
        <v>444</v>
      </c>
      <c r="CK537" s="15" t="s">
        <v>444</v>
      </c>
      <c r="CM537" s="15" t="s">
        <v>444</v>
      </c>
      <c r="CO537" s="15" t="s">
        <v>444</v>
      </c>
      <c r="CP537" s="15" t="str">
        <f>"26.03"</f>
        <v>26.03</v>
      </c>
      <c r="CQ537" s="15" t="str">
        <f>"0.737"</f>
        <v>0.737</v>
      </c>
      <c r="CR537" s="15" t="s">
        <v>497</v>
      </c>
      <c r="CS537" s="15" t="s">
        <v>504</v>
      </c>
      <c r="CT537" s="15" t="s">
        <v>612</v>
      </c>
      <c r="CU537" s="15" t="s">
        <v>1064</v>
      </c>
      <c r="CV537" s="15" t="s">
        <v>504</v>
      </c>
      <c r="CW537" s="15" t="s">
        <v>995</v>
      </c>
      <c r="CX537" s="15" t="s">
        <v>2930</v>
      </c>
      <c r="DC537" s="15" t="str">
        <f>IFERROR(__xludf.DUMMYFUNCTION("""COMPUTED_VALUE"""),"")</f>
        <v/>
      </c>
      <c r="DE537" s="15" t="str">
        <f>IFERROR(__xludf.DUMMYFUNCTION("""COMPUTED_VALUE"""),"")</f>
        <v/>
      </c>
      <c r="DG537" s="15" t="str">
        <f>IFERROR(__xludf.DUMMYFUNCTION("""COMPUTED_VALUE"""),"")</f>
        <v/>
      </c>
      <c r="DL537" s="15" t="str">
        <f>IFERROR(__xludf.DUMMYFUNCTION("""COMPUTED_VALUE"""),"")</f>
        <v/>
      </c>
      <c r="DM537" s="15" t="s">
        <v>444</v>
      </c>
      <c r="DN537" s="15" t="s">
        <v>419</v>
      </c>
      <c r="DO537" s="15">
        <v>0.0</v>
      </c>
      <c r="DP537" s="15" t="s">
        <v>419</v>
      </c>
      <c r="DR537" s="15">
        <v>1.0</v>
      </c>
      <c r="DS537" s="15" t="s">
        <v>426</v>
      </c>
      <c r="DT537" s="15" t="s">
        <v>420</v>
      </c>
      <c r="DU537" s="15" t="s">
        <v>610</v>
      </c>
      <c r="DW537" s="15">
        <v>18.14</v>
      </c>
      <c r="DX537" s="15">
        <v>40.0</v>
      </c>
      <c r="DY537" s="15">
        <v>0.0</v>
      </c>
      <c r="EG537" s="15" t="s">
        <v>444</v>
      </c>
      <c r="EH537" s="15" t="s">
        <v>6167</v>
      </c>
      <c r="EK537" s="15" t="s">
        <v>444</v>
      </c>
      <c r="EM537" s="15" t="str">
        <f>IFERROR(__xludf.DUMMYFUNCTION("""COMPUTED_VALUE"""),"")</f>
        <v/>
      </c>
      <c r="FL537" s="15" t="s">
        <v>426</v>
      </c>
      <c r="FM537" s="15">
        <v>3.0</v>
      </c>
      <c r="FY537" s="15" t="s">
        <v>1592</v>
      </c>
      <c r="FZ537" s="15" t="s">
        <v>1188</v>
      </c>
      <c r="GA537" s="15" t="s">
        <v>1592</v>
      </c>
      <c r="GF537" s="15" t="s">
        <v>426</v>
      </c>
      <c r="GG537" s="15" t="s">
        <v>785</v>
      </c>
      <c r="GH537" s="15">
        <v>4.0</v>
      </c>
      <c r="GI537" s="15" t="s">
        <v>614</v>
      </c>
      <c r="GJ537" s="15" t="s">
        <v>1045</v>
      </c>
      <c r="GN537" s="15" t="s">
        <v>616</v>
      </c>
      <c r="HA537" s="15" t="s">
        <v>1213</v>
      </c>
      <c r="HB537" s="15" t="s">
        <v>1592</v>
      </c>
      <c r="HC537" s="15" t="s">
        <v>1064</v>
      </c>
      <c r="HD537" s="15">
        <v>0.0</v>
      </c>
    </row>
    <row r="538" ht="15.75" customHeight="1">
      <c r="A538" s="14" t="s">
        <v>391</v>
      </c>
      <c r="B538" s="15" t="s">
        <v>6226</v>
      </c>
      <c r="C538" s="16"/>
      <c r="D538" s="15" t="s">
        <v>432</v>
      </c>
      <c r="G538" s="14" t="s">
        <v>393</v>
      </c>
      <c r="H538" s="14" t="s">
        <v>394</v>
      </c>
      <c r="I538" s="14" t="b">
        <v>1</v>
      </c>
      <c r="J538" s="14" t="s">
        <v>395</v>
      </c>
      <c r="L538" s="14" t="b">
        <v>0</v>
      </c>
      <c r="M538" s="15" t="s">
        <v>6227</v>
      </c>
      <c r="N538" s="14" t="s">
        <v>393</v>
      </c>
      <c r="O538" s="14" t="s">
        <v>393</v>
      </c>
      <c r="P538" s="15" t="s">
        <v>397</v>
      </c>
      <c r="Q538" s="15" t="s">
        <v>1619</v>
      </c>
      <c r="T538" s="14" t="b">
        <v>0</v>
      </c>
      <c r="U538" s="15" t="s">
        <v>6228</v>
      </c>
      <c r="V538" s="15" t="s">
        <v>5342</v>
      </c>
      <c r="W538" s="15" t="s">
        <v>401</v>
      </c>
      <c r="X538" s="15" t="s">
        <v>695</v>
      </c>
      <c r="Y538" s="15">
        <v>1586.0</v>
      </c>
      <c r="AA538" s="15" t="str">
        <f t="shared" ref="AA538:AA540" si="964">"610"</f>
        <v>610</v>
      </c>
      <c r="AB538" s="14" t="b">
        <v>1</v>
      </c>
      <c r="AC538" s="14" t="b">
        <v>1</v>
      </c>
      <c r="AD538" s="15" t="str">
        <f>"198394062695"</f>
        <v>198394062695</v>
      </c>
      <c r="AE538" s="15" t="s">
        <v>6229</v>
      </c>
      <c r="AF538" s="14" t="s">
        <v>404</v>
      </c>
      <c r="AG538" s="14" t="s">
        <v>405</v>
      </c>
      <c r="AH538" s="14" t="s">
        <v>406</v>
      </c>
      <c r="AI538" s="15">
        <v>0.0</v>
      </c>
      <c r="AL538" s="15" t="s">
        <v>6230</v>
      </c>
      <c r="AM538" s="15" t="s">
        <v>2012</v>
      </c>
      <c r="AN538" s="15" t="s">
        <v>2013</v>
      </c>
      <c r="AO538" s="15" t="s">
        <v>622</v>
      </c>
      <c r="AP538" s="15" t="s">
        <v>623</v>
      </c>
      <c r="AQ538" s="15" t="s">
        <v>517</v>
      </c>
      <c r="AR538" s="15" t="s">
        <v>518</v>
      </c>
      <c r="AS538" s="15" t="s">
        <v>1317</v>
      </c>
      <c r="AT538" s="15" t="s">
        <v>1619</v>
      </c>
      <c r="AU538" s="15" t="s">
        <v>1850</v>
      </c>
      <c r="AV538" s="15" t="s">
        <v>3819</v>
      </c>
      <c r="AW538" s="15" t="s">
        <v>706</v>
      </c>
      <c r="AX538" s="15" t="s">
        <v>707</v>
      </c>
      <c r="AY538" s="15" t="s">
        <v>426</v>
      </c>
      <c r="AZ538" s="15" t="b">
        <v>1</v>
      </c>
      <c r="BA538" s="15" t="s">
        <v>426</v>
      </c>
      <c r="BB538" s="15" t="b">
        <v>1</v>
      </c>
      <c r="BC538" s="15" t="s">
        <v>6231</v>
      </c>
      <c r="BD538" s="15" t="s">
        <v>709</v>
      </c>
      <c r="BE538" s="15" t="str">
        <f t="shared" si="955"/>
        <v>1</v>
      </c>
      <c r="BF538" s="15" t="s">
        <v>416</v>
      </c>
      <c r="BG538" s="15" t="str">
        <f>"40.16"</f>
        <v>40.16</v>
      </c>
      <c r="BH538" s="15" t="s">
        <v>667</v>
      </c>
      <c r="BI538" s="15" t="str">
        <f>"33.86"</f>
        <v>33.86</v>
      </c>
      <c r="BJ538" s="15" t="s">
        <v>1209</v>
      </c>
      <c r="BK538" s="15" t="str">
        <f>"31.5"</f>
        <v>31.5</v>
      </c>
      <c r="BL538" s="15" t="s">
        <v>1322</v>
      </c>
      <c r="BM538" s="15" t="str">
        <f>"66.58"</f>
        <v>66.58</v>
      </c>
      <c r="BN538" s="15" t="s">
        <v>3020</v>
      </c>
      <c r="BQ538" s="15" t="s">
        <v>444</v>
      </c>
      <c r="BS538" s="15" t="s">
        <v>444</v>
      </c>
      <c r="BU538" s="15" t="s">
        <v>444</v>
      </c>
      <c r="BW538" s="15" t="s">
        <v>444</v>
      </c>
      <c r="BZ538" s="15" t="s">
        <v>444</v>
      </c>
      <c r="CB538" s="15" t="s">
        <v>444</v>
      </c>
      <c r="CD538" s="15" t="s">
        <v>444</v>
      </c>
      <c r="CF538" s="15" t="s">
        <v>444</v>
      </c>
      <c r="CI538" s="15" t="s">
        <v>444</v>
      </c>
      <c r="CK538" s="15" t="s">
        <v>444</v>
      </c>
      <c r="CM538" s="15" t="s">
        <v>444</v>
      </c>
      <c r="CO538" s="15" t="s">
        <v>444</v>
      </c>
      <c r="CP538" s="15" t="str">
        <f>"24.79"</f>
        <v>24.79</v>
      </c>
      <c r="CQ538" s="15" t="str">
        <f>"0.702"</f>
        <v>0.702</v>
      </c>
      <c r="CR538" s="15" t="s">
        <v>497</v>
      </c>
      <c r="CY538" s="15" t="s">
        <v>1330</v>
      </c>
      <c r="CZ538" s="15" t="s">
        <v>2116</v>
      </c>
      <c r="DA538" s="15" t="s">
        <v>555</v>
      </c>
      <c r="DB538" s="15" t="s">
        <v>1253</v>
      </c>
      <c r="DC538" s="15" t="str">
        <f>IFERROR(__xludf.DUMMYFUNCTION("""COMPUTED_VALUE"""),"{""value"":22.50,""unit"":""in""}")</f>
        <v>{"value":22.50,"unit":"in"}</v>
      </c>
      <c r="DD538" s="15" t="s">
        <v>1324</v>
      </c>
      <c r="DE538" s="15" t="str">
        <f>IFERROR(__xludf.DUMMYFUNCTION("""COMPUTED_VALUE"""),"{""value"":20.00,""unit"":""in""}")</f>
        <v>{"value":20.00,"unit":"in"}</v>
      </c>
      <c r="DG538" s="15" t="str">
        <f>IFERROR(__xludf.DUMMYFUNCTION("""COMPUTED_VALUE"""),"")</f>
        <v/>
      </c>
      <c r="DH538" s="15">
        <v>0.0</v>
      </c>
      <c r="DI538" s="15">
        <v>1.0</v>
      </c>
      <c r="DJ538" s="15" t="s">
        <v>717</v>
      </c>
      <c r="DK538" s="15" t="s">
        <v>897</v>
      </c>
      <c r="DL538" s="15" t="str">
        <f>IFERROR(__xludf.DUMMYFUNCTION("""COMPUTED_VALUE"""),"Clean with water-based products only. Use mild detergent or upholstery shampoo.")</f>
        <v>Clean with water-based products only. Use mild detergent or upholstery shampoo.</v>
      </c>
      <c r="DM538" s="15" t="s">
        <v>898</v>
      </c>
      <c r="DQ538" s="15" t="s">
        <v>1066</v>
      </c>
      <c r="DT538" s="15" t="s">
        <v>721</v>
      </c>
      <c r="DU538" s="15" t="s">
        <v>419</v>
      </c>
      <c r="DV538" s="15">
        <v>0.0</v>
      </c>
      <c r="DZ538" s="15">
        <v>50000.0</v>
      </c>
      <c r="EA538" s="15" t="s">
        <v>722</v>
      </c>
      <c r="EB538" s="15" t="s">
        <v>723</v>
      </c>
      <c r="EC538" s="15" t="s">
        <v>724</v>
      </c>
      <c r="ED538" s="15">
        <v>1.0</v>
      </c>
      <c r="EE538" s="15">
        <v>1.0</v>
      </c>
      <c r="EG538" s="15" t="s">
        <v>444</v>
      </c>
      <c r="EH538" s="15" t="s">
        <v>6232</v>
      </c>
      <c r="EI538" s="15">
        <v>0.0</v>
      </c>
      <c r="EJ538" s="15" t="s">
        <v>726</v>
      </c>
      <c r="EK538" s="15" t="s">
        <v>727</v>
      </c>
      <c r="EL538" s="15" t="s">
        <v>2202</v>
      </c>
      <c r="EM538" s="15" t="str">
        <f>IFERROR(__xludf.DUMMYFUNCTION("""COMPUTED_VALUE"""),"{""value"":22.25,""unit"":""in""}")</f>
        <v>{"value":22.25,"unit":"in"}</v>
      </c>
      <c r="EN538" s="15" t="s">
        <v>5586</v>
      </c>
      <c r="EO538" s="15" t="s">
        <v>4339</v>
      </c>
      <c r="ES538" s="15" t="s">
        <v>672</v>
      </c>
      <c r="ET538" s="15" t="s">
        <v>2116</v>
      </c>
      <c r="EU538" s="15" t="s">
        <v>1161</v>
      </c>
      <c r="EV538" s="15" t="s">
        <v>1211</v>
      </c>
      <c r="EW538" s="15" t="s">
        <v>531</v>
      </c>
      <c r="EX538" s="15" t="s">
        <v>4895</v>
      </c>
      <c r="EY538" s="15" t="s">
        <v>555</v>
      </c>
      <c r="EZ538" s="15" t="s">
        <v>1288</v>
      </c>
      <c r="FC538" s="15" t="s">
        <v>723</v>
      </c>
      <c r="FD538" s="15" t="s">
        <v>724</v>
      </c>
      <c r="FE538" s="15" t="s">
        <v>1289</v>
      </c>
      <c r="FF538" s="15" t="s">
        <v>1290</v>
      </c>
      <c r="FO538" s="15" t="s">
        <v>1211</v>
      </c>
      <c r="FP538" s="15" t="s">
        <v>555</v>
      </c>
      <c r="FQ538" s="15">
        <v>0.0</v>
      </c>
      <c r="FR538" s="15">
        <v>0.0</v>
      </c>
      <c r="FT538" s="15">
        <v>0.0</v>
      </c>
    </row>
    <row r="539" ht="15.75" customHeight="1">
      <c r="A539" s="14" t="s">
        <v>391</v>
      </c>
      <c r="B539" s="15" t="s">
        <v>6226</v>
      </c>
      <c r="C539" s="16"/>
      <c r="D539" s="15" t="s">
        <v>432</v>
      </c>
      <c r="G539" s="14" t="s">
        <v>393</v>
      </c>
      <c r="H539" s="14" t="s">
        <v>394</v>
      </c>
      <c r="I539" s="14" t="b">
        <v>1</v>
      </c>
      <c r="J539" s="14" t="s">
        <v>395</v>
      </c>
      <c r="L539" s="14" t="b">
        <v>0</v>
      </c>
      <c r="M539" s="15" t="s">
        <v>6233</v>
      </c>
      <c r="N539" s="14" t="s">
        <v>393</v>
      </c>
      <c r="O539" s="14" t="s">
        <v>393</v>
      </c>
      <c r="P539" s="15" t="s">
        <v>397</v>
      </c>
      <c r="Q539" s="15" t="s">
        <v>6234</v>
      </c>
      <c r="T539" s="14" t="b">
        <v>0</v>
      </c>
      <c r="U539" s="15" t="s">
        <v>6235</v>
      </c>
      <c r="V539" s="15" t="s">
        <v>5342</v>
      </c>
      <c r="W539" s="15" t="s">
        <v>401</v>
      </c>
      <c r="X539" s="15" t="s">
        <v>695</v>
      </c>
      <c r="Y539" s="15">
        <v>1586.0</v>
      </c>
      <c r="AA539" s="15" t="str">
        <f t="shared" si="964"/>
        <v>610</v>
      </c>
      <c r="AB539" s="14" t="b">
        <v>1</v>
      </c>
      <c r="AC539" s="14" t="b">
        <v>1</v>
      </c>
      <c r="AD539" s="15" t="str">
        <f>"801542672416"</f>
        <v>801542672416</v>
      </c>
      <c r="AE539" s="15" t="s">
        <v>6236</v>
      </c>
      <c r="AF539" s="14" t="s">
        <v>404</v>
      </c>
      <c r="AG539" s="14" t="s">
        <v>405</v>
      </c>
      <c r="AH539" s="14" t="s">
        <v>406</v>
      </c>
      <c r="AI539" s="15">
        <v>0.0</v>
      </c>
      <c r="AL539" s="15" t="s">
        <v>6237</v>
      </c>
      <c r="AM539" s="15" t="s">
        <v>2012</v>
      </c>
      <c r="AN539" s="15" t="s">
        <v>2013</v>
      </c>
      <c r="AO539" s="15" t="s">
        <v>622</v>
      </c>
      <c r="AP539" s="15" t="s">
        <v>623</v>
      </c>
      <c r="AQ539" s="15" t="s">
        <v>517</v>
      </c>
      <c r="AR539" s="15" t="s">
        <v>518</v>
      </c>
      <c r="AS539" s="15" t="s">
        <v>1317</v>
      </c>
      <c r="AT539" s="15" t="s">
        <v>6234</v>
      </c>
      <c r="AU539" s="15" t="s">
        <v>1850</v>
      </c>
      <c r="AV539" s="15" t="s">
        <v>1087</v>
      </c>
      <c r="AW539" s="15" t="s">
        <v>706</v>
      </c>
      <c r="AX539" s="15" t="s">
        <v>707</v>
      </c>
      <c r="AY539" s="15" t="s">
        <v>413</v>
      </c>
      <c r="AZ539" s="15" t="b">
        <v>0</v>
      </c>
      <c r="BA539" s="15" t="s">
        <v>413</v>
      </c>
      <c r="BB539" s="15" t="b">
        <v>0</v>
      </c>
      <c r="BC539" s="15" t="s">
        <v>6238</v>
      </c>
      <c r="BD539" s="15" t="s">
        <v>709</v>
      </c>
      <c r="BE539" s="15" t="str">
        <f t="shared" si="955"/>
        <v>1</v>
      </c>
      <c r="BF539" s="15" t="s">
        <v>416</v>
      </c>
      <c r="BG539" s="15" t="str">
        <f>"37.8"</f>
        <v>37.8</v>
      </c>
      <c r="BH539" s="15" t="s">
        <v>756</v>
      </c>
      <c r="BI539" s="15" t="str">
        <f>"31.5"</f>
        <v>31.5</v>
      </c>
      <c r="BJ539" s="15" t="s">
        <v>1322</v>
      </c>
      <c r="BK539" s="15" t="str">
        <f>"32.28"</f>
        <v>32.28</v>
      </c>
      <c r="BL539" s="15" t="s">
        <v>954</v>
      </c>
      <c r="BM539" s="15" t="str">
        <f>"70.33"</f>
        <v>70.33</v>
      </c>
      <c r="BN539" s="15" t="s">
        <v>6239</v>
      </c>
      <c r="BQ539" s="15" t="s">
        <v>444</v>
      </c>
      <c r="BS539" s="15" t="s">
        <v>444</v>
      </c>
      <c r="BU539" s="15" t="s">
        <v>444</v>
      </c>
      <c r="BW539" s="15" t="s">
        <v>444</v>
      </c>
      <c r="BZ539" s="15" t="s">
        <v>444</v>
      </c>
      <c r="CB539" s="15" t="s">
        <v>444</v>
      </c>
      <c r="CD539" s="15" t="s">
        <v>444</v>
      </c>
      <c r="CF539" s="15" t="s">
        <v>444</v>
      </c>
      <c r="CI539" s="15" t="s">
        <v>444</v>
      </c>
      <c r="CK539" s="15" t="s">
        <v>444</v>
      </c>
      <c r="CM539" s="15" t="s">
        <v>444</v>
      </c>
      <c r="CO539" s="15" t="s">
        <v>444</v>
      </c>
      <c r="CP539" s="15" t="str">
        <f>"22.25"</f>
        <v>22.25</v>
      </c>
      <c r="CQ539" s="15" t="str">
        <f>"0.63"</f>
        <v>0.63</v>
      </c>
      <c r="CR539" s="15" t="s">
        <v>497</v>
      </c>
      <c r="CY539" s="15" t="s">
        <v>1330</v>
      </c>
      <c r="CZ539" s="15" t="s">
        <v>2116</v>
      </c>
      <c r="DA539" s="15" t="s">
        <v>555</v>
      </c>
      <c r="DB539" s="15" t="s">
        <v>1253</v>
      </c>
      <c r="DC539" s="15" t="str">
        <f>IFERROR(__xludf.DUMMYFUNCTION("""COMPUTED_VALUE"""),"{""value"":22.50,""unit"":""in""}")</f>
        <v>{"value":22.50,"unit":"in"}</v>
      </c>
      <c r="DD539" s="15" t="s">
        <v>1324</v>
      </c>
      <c r="DE539" s="15" t="str">
        <f>IFERROR(__xludf.DUMMYFUNCTION("""COMPUTED_VALUE"""),"{""value"":20.00,""unit"":""in""}")</f>
        <v>{"value":20.00,"unit":"in"}</v>
      </c>
      <c r="DG539" s="15" t="str">
        <f>IFERROR(__xludf.DUMMYFUNCTION("""COMPUTED_VALUE"""),"")</f>
        <v/>
      </c>
      <c r="DH539" s="15">
        <v>0.0</v>
      </c>
      <c r="DI539" s="15">
        <v>1.0</v>
      </c>
      <c r="DJ539" s="15" t="s">
        <v>717</v>
      </c>
      <c r="DK539" s="15" t="s">
        <v>855</v>
      </c>
      <c r="DL539" s="15" t="str">
        <f>IFERROR(__xludf.DUMMYFUNCTION("""COMPUTED_VALUE"""),"Clean with solvent-based (dry clean only) products. Do not use water.")</f>
        <v>Clean with solvent-based (dry clean only) products. Do not use water.</v>
      </c>
      <c r="DM539" s="15" t="s">
        <v>856</v>
      </c>
      <c r="DQ539" s="15" t="s">
        <v>1066</v>
      </c>
      <c r="DT539" s="15" t="s">
        <v>721</v>
      </c>
      <c r="DU539" s="15" t="s">
        <v>419</v>
      </c>
      <c r="DV539" s="15">
        <v>0.0</v>
      </c>
      <c r="DZ539" s="15">
        <v>25000.0</v>
      </c>
      <c r="EA539" s="15" t="s">
        <v>722</v>
      </c>
      <c r="EB539" s="15" t="s">
        <v>723</v>
      </c>
      <c r="EC539" s="15" t="s">
        <v>724</v>
      </c>
      <c r="ED539" s="15">
        <v>1.0</v>
      </c>
      <c r="EE539" s="15">
        <v>1.0</v>
      </c>
      <c r="EG539" s="15" t="s">
        <v>444</v>
      </c>
      <c r="EH539" s="15" t="s">
        <v>6232</v>
      </c>
      <c r="EI539" s="15">
        <v>0.0</v>
      </c>
      <c r="EJ539" s="15" t="s">
        <v>726</v>
      </c>
      <c r="EK539" s="15" t="s">
        <v>727</v>
      </c>
      <c r="EL539" s="15" t="s">
        <v>2202</v>
      </c>
      <c r="EM539" s="15" t="str">
        <f>IFERROR(__xludf.DUMMYFUNCTION("""COMPUTED_VALUE"""),"{""value"":22.25,""unit"":""in""}")</f>
        <v>{"value":22.25,"unit":"in"}</v>
      </c>
      <c r="EN539" s="15" t="s">
        <v>5586</v>
      </c>
      <c r="EO539" s="15" t="s">
        <v>4339</v>
      </c>
      <c r="ES539" s="15" t="s">
        <v>672</v>
      </c>
      <c r="ET539" s="15" t="s">
        <v>2116</v>
      </c>
      <c r="EU539" s="15" t="s">
        <v>1161</v>
      </c>
      <c r="EV539" s="15" t="s">
        <v>1211</v>
      </c>
      <c r="EW539" s="15" t="s">
        <v>531</v>
      </c>
      <c r="EX539" s="15" t="s">
        <v>4895</v>
      </c>
      <c r="EY539" s="15" t="s">
        <v>555</v>
      </c>
      <c r="EZ539" s="15" t="s">
        <v>1288</v>
      </c>
      <c r="FC539" s="15" t="s">
        <v>723</v>
      </c>
      <c r="FD539" s="15" t="s">
        <v>724</v>
      </c>
      <c r="FE539" s="15" t="s">
        <v>1289</v>
      </c>
      <c r="FF539" s="15" t="s">
        <v>1290</v>
      </c>
      <c r="FO539" s="15" t="s">
        <v>1211</v>
      </c>
      <c r="FP539" s="15" t="s">
        <v>555</v>
      </c>
      <c r="FQ539" s="15">
        <v>0.0</v>
      </c>
      <c r="FR539" s="15">
        <v>0.0</v>
      </c>
      <c r="FT539" s="15">
        <v>0.0</v>
      </c>
    </row>
    <row r="540" ht="15.75" customHeight="1">
      <c r="A540" s="14" t="s">
        <v>391</v>
      </c>
      <c r="B540" s="15" t="s">
        <v>6226</v>
      </c>
      <c r="C540" s="16"/>
      <c r="D540" s="15" t="s">
        <v>432</v>
      </c>
      <c r="G540" s="14" t="s">
        <v>393</v>
      </c>
      <c r="H540" s="14" t="s">
        <v>394</v>
      </c>
      <c r="I540" s="14" t="b">
        <v>1</v>
      </c>
      <c r="J540" s="14" t="s">
        <v>395</v>
      </c>
      <c r="L540" s="14" t="b">
        <v>0</v>
      </c>
      <c r="M540" s="15" t="s">
        <v>6240</v>
      </c>
      <c r="N540" s="14" t="s">
        <v>393</v>
      </c>
      <c r="O540" s="14" t="s">
        <v>393</v>
      </c>
      <c r="P540" s="15" t="s">
        <v>397</v>
      </c>
      <c r="Q540" s="15" t="s">
        <v>2951</v>
      </c>
      <c r="T540" s="14" t="b">
        <v>0</v>
      </c>
      <c r="U540" s="15" t="s">
        <v>6241</v>
      </c>
      <c r="V540" s="15" t="s">
        <v>5342</v>
      </c>
      <c r="W540" s="15" t="s">
        <v>401</v>
      </c>
      <c r="X540" s="15" t="s">
        <v>695</v>
      </c>
      <c r="Y540" s="15">
        <v>1586.0</v>
      </c>
      <c r="AA540" s="15" t="str">
        <f t="shared" si="964"/>
        <v>610</v>
      </c>
      <c r="AB540" s="14" t="b">
        <v>1</v>
      </c>
      <c r="AC540" s="14" t="b">
        <v>1</v>
      </c>
      <c r="AD540" s="15" t="str">
        <f>"801542719517"</f>
        <v>801542719517</v>
      </c>
      <c r="AE540" s="15" t="s">
        <v>6242</v>
      </c>
      <c r="AF540" s="14" t="s">
        <v>404</v>
      </c>
      <c r="AG540" s="14" t="s">
        <v>405</v>
      </c>
      <c r="AH540" s="14" t="s">
        <v>406</v>
      </c>
      <c r="AI540" s="15">
        <v>0.0</v>
      </c>
      <c r="AL540" s="15" t="s">
        <v>6243</v>
      </c>
      <c r="AM540" s="15" t="s">
        <v>2012</v>
      </c>
      <c r="AN540" s="15" t="s">
        <v>2013</v>
      </c>
      <c r="AO540" s="15" t="s">
        <v>622</v>
      </c>
      <c r="AP540" s="15" t="s">
        <v>623</v>
      </c>
      <c r="AQ540" s="15" t="s">
        <v>517</v>
      </c>
      <c r="AR540" s="15" t="s">
        <v>518</v>
      </c>
      <c r="AS540" s="15" t="s">
        <v>1317</v>
      </c>
      <c r="AT540" s="15" t="s">
        <v>2951</v>
      </c>
      <c r="AU540" s="15" t="s">
        <v>1850</v>
      </c>
      <c r="AV540" s="15" t="s">
        <v>3819</v>
      </c>
      <c r="AW540" s="15" t="s">
        <v>706</v>
      </c>
      <c r="AX540" s="15" t="s">
        <v>707</v>
      </c>
      <c r="AY540" s="15" t="s">
        <v>426</v>
      </c>
      <c r="AZ540" s="15" t="b">
        <v>1</v>
      </c>
      <c r="BA540" s="15" t="s">
        <v>426</v>
      </c>
      <c r="BB540" s="15" t="b">
        <v>1</v>
      </c>
      <c r="BC540" s="15" t="s">
        <v>6244</v>
      </c>
      <c r="BD540" s="15" t="s">
        <v>709</v>
      </c>
      <c r="BE540" s="15" t="str">
        <f t="shared" si="955"/>
        <v>1</v>
      </c>
      <c r="BF540" s="15" t="s">
        <v>416</v>
      </c>
      <c r="BG540" s="15" t="str">
        <f t="shared" ref="BG540:BG542" si="965">"40.16"</f>
        <v>40.16</v>
      </c>
      <c r="BH540" s="15" t="s">
        <v>667</v>
      </c>
      <c r="BI540" s="15" t="str">
        <f t="shared" ref="BI540:BI542" si="966">"33.86"</f>
        <v>33.86</v>
      </c>
      <c r="BJ540" s="15" t="s">
        <v>1209</v>
      </c>
      <c r="BK540" s="15" t="str">
        <f t="shared" ref="BK540:BK542" si="967">"31.5"</f>
        <v>31.5</v>
      </c>
      <c r="BL540" s="15" t="s">
        <v>1322</v>
      </c>
      <c r="BM540" s="15" t="str">
        <f t="shared" ref="BM540:BM542" si="968">"66.58"</f>
        <v>66.58</v>
      </c>
      <c r="BN540" s="15" t="s">
        <v>3020</v>
      </c>
      <c r="BQ540" s="15" t="s">
        <v>444</v>
      </c>
      <c r="BS540" s="15" t="s">
        <v>444</v>
      </c>
      <c r="BU540" s="15" t="s">
        <v>444</v>
      </c>
      <c r="BW540" s="15" t="s">
        <v>444</v>
      </c>
      <c r="BZ540" s="15" t="s">
        <v>444</v>
      </c>
      <c r="CB540" s="15" t="s">
        <v>444</v>
      </c>
      <c r="CD540" s="15" t="s">
        <v>444</v>
      </c>
      <c r="CF540" s="15" t="s">
        <v>444</v>
      </c>
      <c r="CI540" s="15" t="s">
        <v>444</v>
      </c>
      <c r="CK540" s="15" t="s">
        <v>444</v>
      </c>
      <c r="CM540" s="15" t="s">
        <v>444</v>
      </c>
      <c r="CO540" s="15" t="s">
        <v>444</v>
      </c>
      <c r="CP540" s="15" t="str">
        <f t="shared" ref="CP540:CP542" si="969">"24.79"</f>
        <v>24.79</v>
      </c>
      <c r="CQ540" s="15" t="str">
        <f t="shared" ref="CQ540:CQ542" si="970">"0.702"</f>
        <v>0.702</v>
      </c>
      <c r="CR540" s="15" t="s">
        <v>465</v>
      </c>
      <c r="CY540" s="15" t="s">
        <v>1330</v>
      </c>
      <c r="CZ540" s="15" t="s">
        <v>2116</v>
      </c>
      <c r="DA540" s="15" t="s">
        <v>555</v>
      </c>
      <c r="DB540" s="15" t="s">
        <v>1253</v>
      </c>
      <c r="DC540" s="15" t="str">
        <f>IFERROR(__xludf.DUMMYFUNCTION("""COMPUTED_VALUE"""),"{""value"":22.50,""unit"":""in""}")</f>
        <v>{"value":22.50,"unit":"in"}</v>
      </c>
      <c r="DD540" s="15" t="s">
        <v>1324</v>
      </c>
      <c r="DE540" s="15" t="str">
        <f>IFERROR(__xludf.DUMMYFUNCTION("""COMPUTED_VALUE"""),"{""value"":20.00,""unit"":""in""}")</f>
        <v>{"value":20.00,"unit":"in"}</v>
      </c>
      <c r="DG540" s="15" t="str">
        <f>IFERROR(__xludf.DUMMYFUNCTION("""COMPUTED_VALUE"""),"")</f>
        <v/>
      </c>
      <c r="DH540" s="15">
        <v>0.0</v>
      </c>
      <c r="DI540" s="15">
        <v>1.0</v>
      </c>
      <c r="DJ540" s="15" t="s">
        <v>717</v>
      </c>
      <c r="DK540" s="15" t="s">
        <v>855</v>
      </c>
      <c r="DL540" s="15" t="str">
        <f>IFERROR(__xludf.DUMMYFUNCTION("""COMPUTED_VALUE"""),"Clean with solvent-based (dry clean only) products. Do not use water.")</f>
        <v>Clean with solvent-based (dry clean only) products. Do not use water.</v>
      </c>
      <c r="DM540" s="15" t="s">
        <v>856</v>
      </c>
      <c r="DQ540" s="15" t="s">
        <v>1066</v>
      </c>
      <c r="DT540" s="15" t="s">
        <v>721</v>
      </c>
      <c r="DU540" s="15" t="s">
        <v>419</v>
      </c>
      <c r="DV540" s="15">
        <v>0.0</v>
      </c>
      <c r="DZ540" s="15">
        <v>25000.0</v>
      </c>
      <c r="EA540" s="15" t="s">
        <v>722</v>
      </c>
      <c r="EB540" s="15" t="s">
        <v>723</v>
      </c>
      <c r="EC540" s="15" t="s">
        <v>724</v>
      </c>
      <c r="ED540" s="15">
        <v>1.0</v>
      </c>
      <c r="EE540" s="15">
        <v>1.0</v>
      </c>
      <c r="EG540" s="15" t="s">
        <v>444</v>
      </c>
      <c r="EH540" s="15" t="s">
        <v>6232</v>
      </c>
      <c r="EI540" s="15">
        <v>0.0</v>
      </c>
      <c r="EJ540" s="15" t="s">
        <v>726</v>
      </c>
      <c r="EK540" s="15" t="s">
        <v>727</v>
      </c>
      <c r="EL540" s="15" t="s">
        <v>2202</v>
      </c>
      <c r="EM540" s="15" t="str">
        <f>IFERROR(__xludf.DUMMYFUNCTION("""COMPUTED_VALUE"""),"{""value"":22.25,""unit"":""in""}")</f>
        <v>{"value":22.25,"unit":"in"}</v>
      </c>
      <c r="EN540" s="15" t="s">
        <v>5586</v>
      </c>
      <c r="EO540" s="15" t="s">
        <v>4339</v>
      </c>
      <c r="ES540" s="15" t="s">
        <v>672</v>
      </c>
      <c r="ET540" s="15" t="s">
        <v>2116</v>
      </c>
      <c r="EU540" s="15" t="s">
        <v>1161</v>
      </c>
      <c r="EV540" s="15" t="s">
        <v>1211</v>
      </c>
      <c r="EW540" s="15" t="s">
        <v>531</v>
      </c>
      <c r="EX540" s="15" t="s">
        <v>4895</v>
      </c>
      <c r="EY540" s="15" t="s">
        <v>555</v>
      </c>
      <c r="EZ540" s="15" t="s">
        <v>1288</v>
      </c>
      <c r="FC540" s="15" t="s">
        <v>723</v>
      </c>
      <c r="FD540" s="15" t="s">
        <v>724</v>
      </c>
      <c r="FE540" s="15" t="s">
        <v>1289</v>
      </c>
      <c r="FF540" s="15" t="s">
        <v>1290</v>
      </c>
      <c r="FO540" s="15" t="s">
        <v>1211</v>
      </c>
      <c r="FP540" s="15" t="s">
        <v>555</v>
      </c>
      <c r="FQ540" s="15">
        <v>0.0</v>
      </c>
      <c r="FR540" s="15">
        <v>0.0</v>
      </c>
      <c r="FT540" s="15">
        <v>0.0</v>
      </c>
    </row>
    <row r="541" ht="15.75" customHeight="1">
      <c r="A541" s="14" t="s">
        <v>391</v>
      </c>
      <c r="B541" s="15" t="s">
        <v>6226</v>
      </c>
      <c r="C541" s="16"/>
      <c r="D541" s="15" t="s">
        <v>432</v>
      </c>
      <c r="G541" s="14" t="s">
        <v>393</v>
      </c>
      <c r="H541" s="14" t="s">
        <v>394</v>
      </c>
      <c r="I541" s="14" t="b">
        <v>1</v>
      </c>
      <c r="J541" s="14" t="s">
        <v>395</v>
      </c>
      <c r="L541" s="14" t="b">
        <v>0</v>
      </c>
      <c r="M541" s="15" t="s">
        <v>6245</v>
      </c>
      <c r="N541" s="14" t="s">
        <v>393</v>
      </c>
      <c r="O541" s="14" t="s">
        <v>393</v>
      </c>
      <c r="P541" s="15" t="s">
        <v>397</v>
      </c>
      <c r="Q541" s="15" t="s">
        <v>2818</v>
      </c>
      <c r="T541" s="14" t="b">
        <v>0</v>
      </c>
      <c r="U541" s="15" t="s">
        <v>6246</v>
      </c>
      <c r="V541" s="15" t="s">
        <v>5342</v>
      </c>
      <c r="W541" s="15" t="s">
        <v>401</v>
      </c>
      <c r="X541" s="15" t="s">
        <v>695</v>
      </c>
      <c r="Y541" s="15">
        <v>2184.0</v>
      </c>
      <c r="AA541" s="15" t="str">
        <f t="shared" ref="AA541:AA542" si="971">"840"</f>
        <v>840</v>
      </c>
      <c r="AB541" s="14" t="b">
        <v>1</v>
      </c>
      <c r="AC541" s="14" t="b">
        <v>1</v>
      </c>
      <c r="AD541" s="15" t="str">
        <f>"801542032005"</f>
        <v>801542032005</v>
      </c>
      <c r="AE541" s="15" t="s">
        <v>6247</v>
      </c>
      <c r="AF541" s="14" t="s">
        <v>404</v>
      </c>
      <c r="AG541" s="14" t="s">
        <v>405</v>
      </c>
      <c r="AH541" s="14" t="s">
        <v>406</v>
      </c>
      <c r="AI541" s="15">
        <v>0.0</v>
      </c>
      <c r="AL541" s="15" t="s">
        <v>6248</v>
      </c>
      <c r="AM541" s="15" t="s">
        <v>2012</v>
      </c>
      <c r="AN541" s="15" t="s">
        <v>2013</v>
      </c>
      <c r="AO541" s="15" t="s">
        <v>622</v>
      </c>
      <c r="AP541" s="15" t="s">
        <v>623</v>
      </c>
      <c r="AQ541" s="15" t="s">
        <v>517</v>
      </c>
      <c r="AR541" s="15" t="s">
        <v>518</v>
      </c>
      <c r="AS541" s="15" t="s">
        <v>1317</v>
      </c>
      <c r="AT541" s="15" t="s">
        <v>2818</v>
      </c>
      <c r="AU541" s="15" t="s">
        <v>1850</v>
      </c>
      <c r="AV541" s="15" t="s">
        <v>3819</v>
      </c>
      <c r="AW541" s="15" t="s">
        <v>706</v>
      </c>
      <c r="AX541" s="15" t="s">
        <v>707</v>
      </c>
      <c r="AY541" s="15" t="s">
        <v>413</v>
      </c>
      <c r="AZ541" s="15" t="b">
        <v>0</v>
      </c>
      <c r="BA541" s="15" t="s">
        <v>413</v>
      </c>
      <c r="BB541" s="15" t="b">
        <v>0</v>
      </c>
      <c r="BC541" s="15" t="s">
        <v>6249</v>
      </c>
      <c r="BD541" s="15" t="s">
        <v>709</v>
      </c>
      <c r="BE541" s="15" t="str">
        <f t="shared" si="955"/>
        <v>1</v>
      </c>
      <c r="BF541" s="15" t="s">
        <v>416</v>
      </c>
      <c r="BG541" s="15" t="str">
        <f t="shared" si="965"/>
        <v>40.16</v>
      </c>
      <c r="BH541" s="15" t="s">
        <v>667</v>
      </c>
      <c r="BI541" s="15" t="str">
        <f t="shared" si="966"/>
        <v>33.86</v>
      </c>
      <c r="BJ541" s="15" t="s">
        <v>1209</v>
      </c>
      <c r="BK541" s="15" t="str">
        <f t="shared" si="967"/>
        <v>31.5</v>
      </c>
      <c r="BL541" s="15" t="s">
        <v>1322</v>
      </c>
      <c r="BM541" s="15" t="str">
        <f t="shared" si="968"/>
        <v>66.58</v>
      </c>
      <c r="BN541" s="15" t="s">
        <v>3020</v>
      </c>
      <c r="BQ541" s="15" t="s">
        <v>444</v>
      </c>
      <c r="BS541" s="15" t="s">
        <v>444</v>
      </c>
      <c r="BU541" s="15" t="s">
        <v>444</v>
      </c>
      <c r="BW541" s="15" t="s">
        <v>444</v>
      </c>
      <c r="BZ541" s="15" t="s">
        <v>444</v>
      </c>
      <c r="CB541" s="15" t="s">
        <v>444</v>
      </c>
      <c r="CD541" s="15" t="s">
        <v>444</v>
      </c>
      <c r="CF541" s="15" t="s">
        <v>444</v>
      </c>
      <c r="CI541" s="15" t="s">
        <v>444</v>
      </c>
      <c r="CK541" s="15" t="s">
        <v>444</v>
      </c>
      <c r="CM541" s="15" t="s">
        <v>444</v>
      </c>
      <c r="CO541" s="15" t="s">
        <v>444</v>
      </c>
      <c r="CP541" s="15" t="str">
        <f t="shared" si="969"/>
        <v>24.79</v>
      </c>
      <c r="CQ541" s="15" t="str">
        <f t="shared" si="970"/>
        <v>0.702</v>
      </c>
      <c r="CR541" s="15" t="s">
        <v>497</v>
      </c>
      <c r="CY541" s="15" t="s">
        <v>1330</v>
      </c>
      <c r="CZ541" s="15" t="s">
        <v>2116</v>
      </c>
      <c r="DA541" s="15" t="s">
        <v>555</v>
      </c>
      <c r="DB541" s="15" t="s">
        <v>1253</v>
      </c>
      <c r="DC541" s="15" t="str">
        <f>IFERROR(__xludf.DUMMYFUNCTION("""COMPUTED_VALUE"""),"{""value"":22.50,""unit"":""in""}")</f>
        <v>{"value":22.50,"unit":"in"}</v>
      </c>
      <c r="DD541" s="15" t="s">
        <v>1324</v>
      </c>
      <c r="DE541" s="15" t="str">
        <f>IFERROR(__xludf.DUMMYFUNCTION("""COMPUTED_VALUE"""),"{""value"":20.00,""unit"":""in""}")</f>
        <v>{"value":20.00,"unit":"in"}</v>
      </c>
      <c r="DG541" s="15" t="str">
        <f>IFERROR(__xludf.DUMMYFUNCTION("""COMPUTED_VALUE"""),"")</f>
        <v/>
      </c>
      <c r="DH541" s="15">
        <v>0.0</v>
      </c>
      <c r="DI541" s="15">
        <v>1.0</v>
      </c>
      <c r="DJ541" s="15" t="s">
        <v>717</v>
      </c>
      <c r="DK541" s="15" t="s">
        <v>718</v>
      </c>
      <c r="DL541" s="15" t="str">
        <f>IFERROR(__xludf.DUMMYFUNCTION("""COMPUTED_VALUE"""),"Vacuum or light brush only. Do not use water or any cleaning products.")</f>
        <v>Vacuum or light brush only. Do not use water or any cleaning products.</v>
      </c>
      <c r="DM541" s="15" t="s">
        <v>719</v>
      </c>
      <c r="DQ541" s="15" t="s">
        <v>1066</v>
      </c>
      <c r="DT541" s="15" t="s">
        <v>721</v>
      </c>
      <c r="DU541" s="15" t="s">
        <v>419</v>
      </c>
      <c r="DV541" s="15">
        <v>0.0</v>
      </c>
      <c r="DZ541" s="15">
        <v>0.0</v>
      </c>
      <c r="EA541" s="15" t="s">
        <v>722</v>
      </c>
      <c r="EB541" s="15" t="s">
        <v>723</v>
      </c>
      <c r="EC541" s="15" t="s">
        <v>724</v>
      </c>
      <c r="ED541" s="15">
        <v>1.0</v>
      </c>
      <c r="EE541" s="15">
        <v>1.0</v>
      </c>
      <c r="EG541" s="15" t="s">
        <v>444</v>
      </c>
      <c r="EH541" s="15" t="s">
        <v>6232</v>
      </c>
      <c r="EI541" s="15">
        <v>0.0</v>
      </c>
      <c r="EJ541" s="15" t="s">
        <v>726</v>
      </c>
      <c r="EK541" s="15" t="s">
        <v>727</v>
      </c>
      <c r="EL541" s="15" t="s">
        <v>2202</v>
      </c>
      <c r="EM541" s="15" t="str">
        <f>IFERROR(__xludf.DUMMYFUNCTION("""COMPUTED_VALUE"""),"{""value"":22.25,""unit"":""in""}")</f>
        <v>{"value":22.25,"unit":"in"}</v>
      </c>
      <c r="EN541" s="15" t="s">
        <v>5586</v>
      </c>
      <c r="EO541" s="15" t="s">
        <v>4339</v>
      </c>
      <c r="ES541" s="15" t="s">
        <v>672</v>
      </c>
      <c r="ET541" s="15" t="s">
        <v>2116</v>
      </c>
      <c r="EU541" s="15" t="s">
        <v>1161</v>
      </c>
      <c r="EV541" s="15" t="s">
        <v>1211</v>
      </c>
      <c r="EW541" s="15" t="s">
        <v>531</v>
      </c>
      <c r="EX541" s="15" t="s">
        <v>4895</v>
      </c>
      <c r="EY541" s="15" t="s">
        <v>555</v>
      </c>
      <c r="EZ541" s="15" t="s">
        <v>1288</v>
      </c>
      <c r="FC541" s="15" t="s">
        <v>723</v>
      </c>
      <c r="FD541" s="15" t="s">
        <v>724</v>
      </c>
      <c r="FE541" s="15" t="s">
        <v>1289</v>
      </c>
      <c r="FF541" s="15" t="s">
        <v>1290</v>
      </c>
      <c r="FO541" s="15" t="s">
        <v>1211</v>
      </c>
      <c r="FP541" s="15" t="s">
        <v>555</v>
      </c>
      <c r="FQ541" s="15">
        <v>0.0</v>
      </c>
      <c r="FR541" s="15">
        <v>0.0</v>
      </c>
      <c r="FT541" s="15">
        <v>0.0</v>
      </c>
    </row>
    <row r="542" ht="15.75" customHeight="1">
      <c r="A542" s="14" t="s">
        <v>391</v>
      </c>
      <c r="B542" s="15" t="s">
        <v>6226</v>
      </c>
      <c r="C542" s="16"/>
      <c r="D542" s="15" t="s">
        <v>432</v>
      </c>
      <c r="G542" s="14" t="s">
        <v>393</v>
      </c>
      <c r="H542" s="14" t="s">
        <v>394</v>
      </c>
      <c r="I542" s="14" t="b">
        <v>1</v>
      </c>
      <c r="J542" s="14" t="s">
        <v>395</v>
      </c>
      <c r="L542" s="14" t="b">
        <v>0</v>
      </c>
      <c r="M542" s="15" t="s">
        <v>6250</v>
      </c>
      <c r="N542" s="14" t="s">
        <v>393</v>
      </c>
      <c r="O542" s="14" t="s">
        <v>393</v>
      </c>
      <c r="P542" s="15" t="s">
        <v>397</v>
      </c>
      <c r="Q542" s="15" t="s">
        <v>4231</v>
      </c>
      <c r="T542" s="14" t="b">
        <v>0</v>
      </c>
      <c r="U542" s="15" t="s">
        <v>6251</v>
      </c>
      <c r="V542" s="15" t="s">
        <v>5342</v>
      </c>
      <c r="W542" s="15" t="s">
        <v>401</v>
      </c>
      <c r="X542" s="15" t="s">
        <v>695</v>
      </c>
      <c r="Y542" s="15">
        <v>2184.0</v>
      </c>
      <c r="AA542" s="15" t="str">
        <f t="shared" si="971"/>
        <v>840</v>
      </c>
      <c r="AB542" s="14" t="b">
        <v>1</v>
      </c>
      <c r="AC542" s="14" t="b">
        <v>1</v>
      </c>
      <c r="AD542" s="15" t="str">
        <f>"801542737559"</f>
        <v>801542737559</v>
      </c>
      <c r="AE542" s="15" t="s">
        <v>6252</v>
      </c>
      <c r="AF542" s="14" t="s">
        <v>404</v>
      </c>
      <c r="AG542" s="14" t="s">
        <v>405</v>
      </c>
      <c r="AH542" s="14" t="s">
        <v>406</v>
      </c>
      <c r="AI542" s="15">
        <v>0.0</v>
      </c>
      <c r="AL542" s="15" t="s">
        <v>6248</v>
      </c>
      <c r="AM542" s="15" t="s">
        <v>2012</v>
      </c>
      <c r="AN542" s="15" t="s">
        <v>2013</v>
      </c>
      <c r="AO542" s="15" t="s">
        <v>622</v>
      </c>
      <c r="AP542" s="15" t="s">
        <v>623</v>
      </c>
      <c r="AQ542" s="15" t="s">
        <v>517</v>
      </c>
      <c r="AR542" s="15" t="s">
        <v>518</v>
      </c>
      <c r="AS542" s="15" t="s">
        <v>1317</v>
      </c>
      <c r="AT542" s="15" t="s">
        <v>4231</v>
      </c>
      <c r="AU542" s="15" t="s">
        <v>1850</v>
      </c>
      <c r="AV542" s="15" t="s">
        <v>3819</v>
      </c>
      <c r="AW542" s="15" t="s">
        <v>706</v>
      </c>
      <c r="AX542" s="15" t="s">
        <v>707</v>
      </c>
      <c r="AY542" s="15" t="s">
        <v>413</v>
      </c>
      <c r="AZ542" s="15" t="b">
        <v>0</v>
      </c>
      <c r="BA542" s="15" t="s">
        <v>413</v>
      </c>
      <c r="BB542" s="15" t="b">
        <v>0</v>
      </c>
      <c r="BC542" s="15" t="s">
        <v>6253</v>
      </c>
      <c r="BD542" s="15" t="s">
        <v>709</v>
      </c>
      <c r="BE542" s="15" t="str">
        <f t="shared" si="955"/>
        <v>1</v>
      </c>
      <c r="BF542" s="15" t="s">
        <v>416</v>
      </c>
      <c r="BG542" s="15" t="str">
        <f t="shared" si="965"/>
        <v>40.16</v>
      </c>
      <c r="BH542" s="15" t="s">
        <v>667</v>
      </c>
      <c r="BI542" s="15" t="str">
        <f t="shared" si="966"/>
        <v>33.86</v>
      </c>
      <c r="BJ542" s="15" t="s">
        <v>1209</v>
      </c>
      <c r="BK542" s="15" t="str">
        <f t="shared" si="967"/>
        <v>31.5</v>
      </c>
      <c r="BL542" s="15" t="s">
        <v>1322</v>
      </c>
      <c r="BM542" s="15" t="str">
        <f t="shared" si="968"/>
        <v>66.58</v>
      </c>
      <c r="BN542" s="15" t="s">
        <v>3020</v>
      </c>
      <c r="BQ542" s="15" t="s">
        <v>444</v>
      </c>
      <c r="BS542" s="15" t="s">
        <v>444</v>
      </c>
      <c r="BU542" s="15" t="s">
        <v>444</v>
      </c>
      <c r="BW542" s="15" t="s">
        <v>444</v>
      </c>
      <c r="BZ542" s="15" t="s">
        <v>444</v>
      </c>
      <c r="CB542" s="15" t="s">
        <v>444</v>
      </c>
      <c r="CD542" s="15" t="s">
        <v>444</v>
      </c>
      <c r="CF542" s="15" t="s">
        <v>444</v>
      </c>
      <c r="CI542" s="15" t="s">
        <v>444</v>
      </c>
      <c r="CK542" s="15" t="s">
        <v>444</v>
      </c>
      <c r="CM542" s="15" t="s">
        <v>444</v>
      </c>
      <c r="CO542" s="15" t="s">
        <v>444</v>
      </c>
      <c r="CP542" s="15" t="str">
        <f t="shared" si="969"/>
        <v>24.79</v>
      </c>
      <c r="CQ542" s="15" t="str">
        <f t="shared" si="970"/>
        <v>0.702</v>
      </c>
      <c r="CR542" s="15" t="s">
        <v>465</v>
      </c>
      <c r="CY542" s="15" t="s">
        <v>1330</v>
      </c>
      <c r="CZ542" s="15" t="s">
        <v>2116</v>
      </c>
      <c r="DA542" s="15" t="s">
        <v>555</v>
      </c>
      <c r="DB542" s="15" t="s">
        <v>1253</v>
      </c>
      <c r="DC542" s="15" t="str">
        <f>IFERROR(__xludf.DUMMYFUNCTION("""COMPUTED_VALUE"""),"{""value"":22.50,""unit"":""in""}")</f>
        <v>{"value":22.50,"unit":"in"}</v>
      </c>
      <c r="DD542" s="15" t="s">
        <v>1324</v>
      </c>
      <c r="DE542" s="15" t="str">
        <f>IFERROR(__xludf.DUMMYFUNCTION("""COMPUTED_VALUE"""),"{""value"":20.00,""unit"":""in""}")</f>
        <v>{"value":20.00,"unit":"in"}</v>
      </c>
      <c r="DG542" s="15" t="str">
        <f>IFERROR(__xludf.DUMMYFUNCTION("""COMPUTED_VALUE"""),"")</f>
        <v/>
      </c>
      <c r="DH542" s="15">
        <v>0.0</v>
      </c>
      <c r="DI542" s="15">
        <v>1.0</v>
      </c>
      <c r="DJ542" s="15" t="s">
        <v>717</v>
      </c>
      <c r="DK542" s="15" t="s">
        <v>718</v>
      </c>
      <c r="DL542" s="15" t="str">
        <f>IFERROR(__xludf.DUMMYFUNCTION("""COMPUTED_VALUE"""),"Vacuum or light brush only. Do not use water or any cleaning products.")</f>
        <v>Vacuum or light brush only. Do not use water or any cleaning products.</v>
      </c>
      <c r="DM542" s="15" t="s">
        <v>719</v>
      </c>
      <c r="DQ542" s="15" t="s">
        <v>1066</v>
      </c>
      <c r="DT542" s="15" t="s">
        <v>721</v>
      </c>
      <c r="DU542" s="15" t="s">
        <v>419</v>
      </c>
      <c r="DV542" s="15">
        <v>0.0</v>
      </c>
      <c r="DZ542" s="15">
        <v>0.0</v>
      </c>
      <c r="EA542" s="15" t="s">
        <v>722</v>
      </c>
      <c r="EB542" s="15" t="s">
        <v>723</v>
      </c>
      <c r="EC542" s="15" t="s">
        <v>724</v>
      </c>
      <c r="ED542" s="15">
        <v>1.0</v>
      </c>
      <c r="EE542" s="15">
        <v>1.0</v>
      </c>
      <c r="EG542" s="15" t="s">
        <v>444</v>
      </c>
      <c r="EH542" s="15" t="s">
        <v>6232</v>
      </c>
      <c r="EI542" s="15">
        <v>0.0</v>
      </c>
      <c r="EJ542" s="15" t="s">
        <v>726</v>
      </c>
      <c r="EK542" s="15" t="s">
        <v>727</v>
      </c>
      <c r="EL542" s="15" t="s">
        <v>2202</v>
      </c>
      <c r="EM542" s="15" t="str">
        <f>IFERROR(__xludf.DUMMYFUNCTION("""COMPUTED_VALUE"""),"{""value"":22.25,""unit"":""in""}")</f>
        <v>{"value":22.25,"unit":"in"}</v>
      </c>
      <c r="EN542" s="15" t="s">
        <v>5586</v>
      </c>
      <c r="EO542" s="15" t="s">
        <v>4339</v>
      </c>
      <c r="ES542" s="15" t="s">
        <v>672</v>
      </c>
      <c r="ET542" s="15" t="s">
        <v>2116</v>
      </c>
      <c r="EU542" s="15" t="s">
        <v>1161</v>
      </c>
      <c r="EV542" s="15" t="s">
        <v>1211</v>
      </c>
      <c r="EW542" s="15" t="s">
        <v>531</v>
      </c>
      <c r="EX542" s="15" t="s">
        <v>4895</v>
      </c>
      <c r="EY542" s="15" t="s">
        <v>555</v>
      </c>
      <c r="EZ542" s="15" t="s">
        <v>1288</v>
      </c>
      <c r="FC542" s="15" t="s">
        <v>723</v>
      </c>
      <c r="FD542" s="15" t="s">
        <v>724</v>
      </c>
      <c r="FE542" s="15" t="s">
        <v>1289</v>
      </c>
      <c r="FF542" s="15" t="s">
        <v>1290</v>
      </c>
      <c r="FO542" s="15" t="s">
        <v>1211</v>
      </c>
      <c r="FP542" s="15" t="s">
        <v>555</v>
      </c>
      <c r="FQ542" s="15">
        <v>0.0</v>
      </c>
      <c r="FR542" s="15">
        <v>0.0</v>
      </c>
      <c r="FT542" s="15">
        <v>0.0</v>
      </c>
    </row>
    <row r="543" ht="15.75" customHeight="1">
      <c r="A543" s="14" t="s">
        <v>391</v>
      </c>
      <c r="B543" s="15" t="s">
        <v>6254</v>
      </c>
      <c r="C543" s="16"/>
      <c r="D543" s="15" t="s">
        <v>432</v>
      </c>
      <c r="G543" s="14" t="s">
        <v>393</v>
      </c>
      <c r="H543" s="14" t="s">
        <v>394</v>
      </c>
      <c r="I543" s="14" t="b">
        <v>1</v>
      </c>
      <c r="J543" s="14" t="s">
        <v>395</v>
      </c>
      <c r="L543" s="14" t="b">
        <v>0</v>
      </c>
      <c r="M543" s="15" t="s">
        <v>6255</v>
      </c>
      <c r="N543" s="14" t="s">
        <v>393</v>
      </c>
      <c r="O543" s="14" t="s">
        <v>393</v>
      </c>
      <c r="P543" s="15" t="s">
        <v>397</v>
      </c>
      <c r="Q543" s="15" t="s">
        <v>2000</v>
      </c>
      <c r="T543" s="14" t="b">
        <v>0</v>
      </c>
      <c r="U543" s="15" t="s">
        <v>6256</v>
      </c>
      <c r="V543" s="15" t="s">
        <v>2918</v>
      </c>
      <c r="W543" s="15" t="s">
        <v>401</v>
      </c>
      <c r="X543" s="15" t="s">
        <v>695</v>
      </c>
      <c r="Y543" s="15">
        <v>2522.0</v>
      </c>
      <c r="AA543" s="15" t="str">
        <f>"970"</f>
        <v>970</v>
      </c>
      <c r="AB543" s="14" t="b">
        <v>1</v>
      </c>
      <c r="AC543" s="14" t="b">
        <v>1</v>
      </c>
      <c r="AD543" s="15" t="str">
        <f>"801542529697"</f>
        <v>801542529697</v>
      </c>
      <c r="AE543" s="15" t="s">
        <v>6257</v>
      </c>
      <c r="AF543" s="14" t="s">
        <v>404</v>
      </c>
      <c r="AG543" s="14" t="s">
        <v>405</v>
      </c>
      <c r="AH543" s="14" t="s">
        <v>406</v>
      </c>
      <c r="AI543" s="15">
        <v>0.0</v>
      </c>
      <c r="AL543" s="15" t="s">
        <v>2003</v>
      </c>
      <c r="AM543" s="15" t="s">
        <v>1381</v>
      </c>
      <c r="AN543" s="15" t="s">
        <v>1382</v>
      </c>
      <c r="AO543" s="15" t="s">
        <v>645</v>
      </c>
      <c r="AP543" s="15" t="s">
        <v>646</v>
      </c>
      <c r="AQ543" s="15" t="s">
        <v>546</v>
      </c>
      <c r="AR543" s="15" t="s">
        <v>547</v>
      </c>
      <c r="AS543" s="15" t="s">
        <v>915</v>
      </c>
      <c r="AT543" s="15" t="s">
        <v>2000</v>
      </c>
      <c r="AU543" s="15" t="s">
        <v>1087</v>
      </c>
      <c r="AV543" s="15" t="s">
        <v>1985</v>
      </c>
      <c r="AW543" s="15" t="s">
        <v>1226</v>
      </c>
      <c r="AY543" s="15" t="s">
        <v>413</v>
      </c>
      <c r="AZ543" s="15" t="b">
        <v>0</v>
      </c>
      <c r="BA543" s="15" t="s">
        <v>426</v>
      </c>
      <c r="BB543" s="15" t="b">
        <v>1</v>
      </c>
      <c r="BC543" s="15" t="s">
        <v>6258</v>
      </c>
      <c r="BD543" s="15" t="s">
        <v>709</v>
      </c>
      <c r="BE543" s="15" t="str">
        <f t="shared" si="955"/>
        <v>1</v>
      </c>
      <c r="BF543" s="15" t="s">
        <v>416</v>
      </c>
      <c r="BG543" s="15" t="str">
        <f>"90.16"</f>
        <v>90.16</v>
      </c>
      <c r="BH543" s="15" t="s">
        <v>3095</v>
      </c>
      <c r="BI543" s="15" t="str">
        <f>"38.19"</f>
        <v>38.19</v>
      </c>
      <c r="BJ543" s="15" t="s">
        <v>3531</v>
      </c>
      <c r="BK543" s="15" t="str">
        <f>"27.17"</f>
        <v>27.17</v>
      </c>
      <c r="BL543" s="15" t="s">
        <v>1478</v>
      </c>
      <c r="BM543" s="15" t="str">
        <f>"132.28"</f>
        <v>132.28</v>
      </c>
      <c r="BN543" s="15" t="s">
        <v>2175</v>
      </c>
      <c r="BQ543" s="15" t="s">
        <v>444</v>
      </c>
      <c r="BS543" s="15" t="s">
        <v>444</v>
      </c>
      <c r="BU543" s="15" t="s">
        <v>444</v>
      </c>
      <c r="BW543" s="15" t="s">
        <v>444</v>
      </c>
      <c r="BZ543" s="15" t="s">
        <v>444</v>
      </c>
      <c r="CB543" s="15" t="s">
        <v>444</v>
      </c>
      <c r="CD543" s="15" t="s">
        <v>444</v>
      </c>
      <c r="CF543" s="15" t="s">
        <v>444</v>
      </c>
      <c r="CI543" s="15" t="s">
        <v>444</v>
      </c>
      <c r="CK543" s="15" t="s">
        <v>444</v>
      </c>
      <c r="CM543" s="15" t="s">
        <v>444</v>
      </c>
      <c r="CO543" s="15" t="s">
        <v>444</v>
      </c>
      <c r="CP543" s="15" t="str">
        <f>"54.14"</f>
        <v>54.14</v>
      </c>
      <c r="CQ543" s="15" t="str">
        <f>"1.533"</f>
        <v>1.533</v>
      </c>
      <c r="CR543" s="15" t="s">
        <v>497</v>
      </c>
      <c r="CY543" s="15" t="s">
        <v>2434</v>
      </c>
      <c r="CZ543" s="15" t="s">
        <v>2116</v>
      </c>
      <c r="DA543" s="15" t="s">
        <v>1755</v>
      </c>
      <c r="DB543" s="15" t="s">
        <v>2434</v>
      </c>
      <c r="DC543" s="15" t="str">
        <f>IFERROR(__xludf.DUMMYFUNCTION("""COMPUTED_VALUE"""),"{""value"":35.00,""unit"":""in""}")</f>
        <v>{"value":35.00,"unit":"in"}</v>
      </c>
      <c r="DD543" s="15" t="s">
        <v>1331</v>
      </c>
      <c r="DE543" s="15" t="str">
        <f>IFERROR(__xludf.DUMMYFUNCTION("""COMPUTED_VALUE"""),"{""value"":21.00,""unit"":""in""}")</f>
        <v>{"value":21.00,"unit":"in"}</v>
      </c>
      <c r="DF543" s="15" t="s">
        <v>2570</v>
      </c>
      <c r="DG543" s="15" t="str">
        <f>IFERROR(__xludf.DUMMYFUNCTION("""COMPUTED_VALUE"""),"{""value"":66.00,""unit"":""in""}")</f>
        <v>{"value":66.00,"unit":"in"}</v>
      </c>
      <c r="DH543" s="15">
        <v>2.0</v>
      </c>
      <c r="DI543" s="15">
        <v>0.0</v>
      </c>
      <c r="DJ543" s="15" t="s">
        <v>717</v>
      </c>
      <c r="DK543" s="15" t="s">
        <v>855</v>
      </c>
      <c r="DL543" s="15" t="str">
        <f>IFERROR(__xludf.DUMMYFUNCTION("""COMPUTED_VALUE"""),"Clean with solvent-based (dry clean only) products. Do not use water.")</f>
        <v>Clean with solvent-based (dry clean only) products. Do not use water.</v>
      </c>
      <c r="DM543" s="15" t="s">
        <v>856</v>
      </c>
      <c r="DQ543" s="15" t="s">
        <v>1066</v>
      </c>
      <c r="DT543" s="15" t="s">
        <v>721</v>
      </c>
      <c r="DU543" s="15" t="s">
        <v>419</v>
      </c>
      <c r="DV543" s="15">
        <v>0.0</v>
      </c>
      <c r="DZ543" s="15">
        <v>25000.0</v>
      </c>
      <c r="EA543" s="15" t="s">
        <v>990</v>
      </c>
      <c r="EB543" s="15" t="s">
        <v>723</v>
      </c>
      <c r="EC543" s="15" t="s">
        <v>3306</v>
      </c>
      <c r="ED543" s="15">
        <v>1.0</v>
      </c>
      <c r="EE543" s="15">
        <v>3.0</v>
      </c>
      <c r="EG543" s="15" t="s">
        <v>444</v>
      </c>
      <c r="EH543" s="15" t="s">
        <v>6259</v>
      </c>
      <c r="EI543" s="15">
        <v>0.0</v>
      </c>
      <c r="EJ543" s="15" t="s">
        <v>473</v>
      </c>
      <c r="EK543" s="15" t="s">
        <v>474</v>
      </c>
      <c r="EL543" s="15" t="s">
        <v>2384</v>
      </c>
      <c r="EM543" s="15" t="str">
        <f>IFERROR(__xludf.DUMMYFUNCTION("""COMPUTED_VALUE"""),"{""value"":24.50,""unit"":""in""}")</f>
        <v>{"value":24.50,"unit":"in"}</v>
      </c>
      <c r="EN543" s="15" t="s">
        <v>635</v>
      </c>
      <c r="EO543" s="15" t="s">
        <v>2434</v>
      </c>
      <c r="EP543" s="15" t="s">
        <v>2434</v>
      </c>
      <c r="EQ543" s="15" t="s">
        <v>1592</v>
      </c>
      <c r="ER543" s="15" t="s">
        <v>2116</v>
      </c>
      <c r="ES543" s="15" t="s">
        <v>2402</v>
      </c>
      <c r="EW543" s="15" t="s">
        <v>475</v>
      </c>
      <c r="EX543" s="15" t="s">
        <v>2599</v>
      </c>
      <c r="EY543" s="15" t="s">
        <v>6260</v>
      </c>
      <c r="FA543" s="15" t="s">
        <v>3306</v>
      </c>
      <c r="FB543" s="15" t="s">
        <v>426</v>
      </c>
      <c r="FE543" s="15" t="s">
        <v>1289</v>
      </c>
      <c r="FF543" s="15" t="s">
        <v>1290</v>
      </c>
    </row>
    <row r="544" ht="15.75" customHeight="1">
      <c r="A544" s="14" t="s">
        <v>391</v>
      </c>
      <c r="B544" s="15" t="s">
        <v>6261</v>
      </c>
      <c r="C544" s="16"/>
      <c r="D544" s="15" t="s">
        <v>432</v>
      </c>
      <c r="G544" s="14" t="s">
        <v>393</v>
      </c>
      <c r="H544" s="14" t="s">
        <v>394</v>
      </c>
      <c r="I544" s="14" t="b">
        <v>1</v>
      </c>
      <c r="J544" s="14" t="s">
        <v>395</v>
      </c>
      <c r="L544" s="14" t="b">
        <v>0</v>
      </c>
      <c r="M544" s="15" t="s">
        <v>6262</v>
      </c>
      <c r="N544" s="14" t="s">
        <v>393</v>
      </c>
      <c r="O544" s="14" t="s">
        <v>393</v>
      </c>
      <c r="P544" s="15" t="s">
        <v>397</v>
      </c>
      <c r="Q544" s="15" t="s">
        <v>5965</v>
      </c>
      <c r="T544" s="14" t="b">
        <v>0</v>
      </c>
      <c r="U544" s="15" t="s">
        <v>6263</v>
      </c>
      <c r="V544" s="15" t="s">
        <v>1248</v>
      </c>
      <c r="W544" s="15" t="s">
        <v>401</v>
      </c>
      <c r="X544" s="15" t="s">
        <v>742</v>
      </c>
      <c r="Y544" s="15">
        <v>988.0</v>
      </c>
      <c r="AA544" s="15" t="str">
        <f>"380"</f>
        <v>380</v>
      </c>
      <c r="AB544" s="14" t="b">
        <v>1</v>
      </c>
      <c r="AC544" s="14" t="b">
        <v>1</v>
      </c>
      <c r="AD544" s="15" t="str">
        <f>"801542374730"</f>
        <v>801542374730</v>
      </c>
      <c r="AE544" s="15" t="s">
        <v>6264</v>
      </c>
      <c r="AF544" s="14" t="s">
        <v>404</v>
      </c>
      <c r="AG544" s="14" t="s">
        <v>405</v>
      </c>
      <c r="AH544" s="14" t="s">
        <v>406</v>
      </c>
      <c r="AI544" s="15">
        <v>0.0</v>
      </c>
      <c r="AL544" s="15" t="s">
        <v>6265</v>
      </c>
      <c r="AM544" s="15" t="s">
        <v>2061</v>
      </c>
      <c r="AN544" s="15" t="s">
        <v>2062</v>
      </c>
      <c r="AO544" s="15" t="s">
        <v>2061</v>
      </c>
      <c r="AP544" s="15" t="s">
        <v>2062</v>
      </c>
      <c r="AQ544" s="15" t="s">
        <v>2061</v>
      </c>
      <c r="AR544" s="15" t="s">
        <v>2062</v>
      </c>
      <c r="AS544" s="15" t="s">
        <v>5963</v>
      </c>
      <c r="AT544" s="15" t="s">
        <v>5965</v>
      </c>
      <c r="AW544" s="15" t="s">
        <v>1154</v>
      </c>
      <c r="AY544" s="15" t="s">
        <v>413</v>
      </c>
      <c r="AZ544" s="15" t="b">
        <v>0</v>
      </c>
      <c r="BA544" s="15" t="s">
        <v>413</v>
      </c>
      <c r="BB544" s="15" t="b">
        <v>0</v>
      </c>
      <c r="BC544" s="15" t="s">
        <v>6266</v>
      </c>
      <c r="BD544" s="15" t="s">
        <v>742</v>
      </c>
      <c r="BE544" s="15" t="str">
        <f t="shared" si="955"/>
        <v>1</v>
      </c>
      <c r="BF544" s="15" t="s">
        <v>416</v>
      </c>
      <c r="BG544" s="15" t="str">
        <f>"29"</f>
        <v>29</v>
      </c>
      <c r="BH544" s="15" t="s">
        <v>1275</v>
      </c>
      <c r="BI544" s="15" t="str">
        <f>"29"</f>
        <v>29</v>
      </c>
      <c r="BJ544" s="15" t="s">
        <v>1275</v>
      </c>
      <c r="BK544" s="15" t="str">
        <f>"30"</f>
        <v>30</v>
      </c>
      <c r="BL544" s="15" t="s">
        <v>547</v>
      </c>
      <c r="BM544" s="15" t="str">
        <f>"47.84"</f>
        <v>47.84</v>
      </c>
      <c r="BN544" s="15" t="s">
        <v>2496</v>
      </c>
      <c r="BQ544" s="15" t="s">
        <v>444</v>
      </c>
      <c r="BS544" s="15" t="s">
        <v>444</v>
      </c>
      <c r="BU544" s="15" t="s">
        <v>444</v>
      </c>
      <c r="BW544" s="15" t="s">
        <v>444</v>
      </c>
      <c r="BZ544" s="15" t="s">
        <v>444</v>
      </c>
      <c r="CB544" s="15" t="s">
        <v>444</v>
      </c>
      <c r="CD544" s="15" t="s">
        <v>444</v>
      </c>
      <c r="CF544" s="15" t="s">
        <v>444</v>
      </c>
      <c r="CI544" s="15" t="s">
        <v>444</v>
      </c>
      <c r="CK544" s="15" t="s">
        <v>444</v>
      </c>
      <c r="CM544" s="15" t="s">
        <v>444</v>
      </c>
      <c r="CO544" s="15" t="s">
        <v>444</v>
      </c>
      <c r="CP544" s="15" t="str">
        <f>"14.58"</f>
        <v>14.58</v>
      </c>
      <c r="CQ544" s="15" t="str">
        <f>"0.413"</f>
        <v>0.413</v>
      </c>
      <c r="CR544" s="15" t="s">
        <v>497</v>
      </c>
      <c r="CS544" s="15" t="s">
        <v>2968</v>
      </c>
      <c r="CT544" s="15" t="s">
        <v>6267</v>
      </c>
      <c r="CU544" s="15" t="s">
        <v>6268</v>
      </c>
      <c r="CV544" s="15" t="s">
        <v>2968</v>
      </c>
      <c r="CW544" s="15" t="s">
        <v>760</v>
      </c>
      <c r="CX544" s="15" t="s">
        <v>6268</v>
      </c>
      <c r="DC544" s="15" t="str">
        <f>IFERROR(__xludf.DUMMYFUNCTION("""COMPUTED_VALUE"""),"")</f>
        <v/>
      </c>
      <c r="DE544" s="15" t="str">
        <f>IFERROR(__xludf.DUMMYFUNCTION("""COMPUTED_VALUE"""),"")</f>
        <v/>
      </c>
      <c r="DG544" s="15" t="str">
        <f>IFERROR(__xludf.DUMMYFUNCTION("""COMPUTED_VALUE"""),"")</f>
        <v/>
      </c>
      <c r="DL544" s="15" t="str">
        <f>IFERROR(__xludf.DUMMYFUNCTION("""COMPUTED_VALUE"""),"")</f>
        <v/>
      </c>
      <c r="DM544" s="15" t="s">
        <v>444</v>
      </c>
      <c r="DN544" s="15" t="s">
        <v>419</v>
      </c>
      <c r="DO544" s="15">
        <v>0.0</v>
      </c>
      <c r="DP544" s="15" t="s">
        <v>419</v>
      </c>
      <c r="DR544" s="15">
        <v>1.0</v>
      </c>
      <c r="DS544" s="15" t="s">
        <v>426</v>
      </c>
      <c r="DT544" s="15" t="s">
        <v>420</v>
      </c>
      <c r="DU544" s="15" t="s">
        <v>1914</v>
      </c>
      <c r="DY544" s="15">
        <v>0.0</v>
      </c>
      <c r="EF544" s="15" t="s">
        <v>1157</v>
      </c>
      <c r="EG544" s="15" t="s">
        <v>1158</v>
      </c>
      <c r="EH544" s="15" t="s">
        <v>6269</v>
      </c>
      <c r="EJ544" s="15" t="s">
        <v>500</v>
      </c>
      <c r="EK544" s="15" t="s">
        <v>501</v>
      </c>
      <c r="EM544" s="15" t="str">
        <f>IFERROR(__xludf.DUMMYFUNCTION("""COMPUTED_VALUE"""),"")</f>
        <v/>
      </c>
      <c r="EW544" s="15" t="s">
        <v>6270</v>
      </c>
      <c r="EX544" s="15" t="s">
        <v>2348</v>
      </c>
      <c r="EY544" s="15" t="s">
        <v>6271</v>
      </c>
      <c r="FH544" s="15" t="s">
        <v>6272</v>
      </c>
      <c r="FI544" s="15" t="s">
        <v>555</v>
      </c>
      <c r="FJ544" s="15" t="s">
        <v>6273</v>
      </c>
      <c r="FK544" s="15" t="s">
        <v>3132</v>
      </c>
      <c r="FL544" s="15" t="s">
        <v>426</v>
      </c>
      <c r="FM544" s="15">
        <v>1.0</v>
      </c>
      <c r="FN544" s="15">
        <v>0.0</v>
      </c>
      <c r="FW544" s="15" t="s">
        <v>6274</v>
      </c>
    </row>
    <row r="545" ht="15.75" customHeight="1">
      <c r="A545" s="14" t="s">
        <v>391</v>
      </c>
      <c r="B545" s="15" t="s">
        <v>6275</v>
      </c>
      <c r="C545" s="16"/>
      <c r="D545" s="15" t="s">
        <v>432</v>
      </c>
      <c r="G545" s="14" t="s">
        <v>393</v>
      </c>
      <c r="H545" s="14" t="s">
        <v>394</v>
      </c>
      <c r="I545" s="14" t="b">
        <v>1</v>
      </c>
      <c r="J545" s="14" t="s">
        <v>395</v>
      </c>
      <c r="L545" s="14" t="b">
        <v>0</v>
      </c>
      <c r="M545" s="15" t="s">
        <v>6276</v>
      </c>
      <c r="N545" s="14" t="s">
        <v>393</v>
      </c>
      <c r="O545" s="14" t="s">
        <v>393</v>
      </c>
      <c r="P545" s="15" t="s">
        <v>397</v>
      </c>
      <c r="Q545" s="15" t="s">
        <v>2818</v>
      </c>
      <c r="T545" s="14" t="b">
        <v>0</v>
      </c>
      <c r="U545" s="15" t="s">
        <v>6277</v>
      </c>
      <c r="V545" s="15" t="s">
        <v>1171</v>
      </c>
      <c r="W545" s="15" t="s">
        <v>401</v>
      </c>
      <c r="X545" s="15" t="s">
        <v>742</v>
      </c>
      <c r="Y545" s="15">
        <v>1807.0</v>
      </c>
      <c r="AA545" s="15" t="str">
        <f>"695"</f>
        <v>695</v>
      </c>
      <c r="AB545" s="14" t="b">
        <v>1</v>
      </c>
      <c r="AC545" s="14" t="b">
        <v>1</v>
      </c>
      <c r="AD545" s="15" t="str">
        <f>"801542690649"</f>
        <v>801542690649</v>
      </c>
      <c r="AE545" s="15" t="s">
        <v>6278</v>
      </c>
      <c r="AF545" s="14" t="s">
        <v>404</v>
      </c>
      <c r="AG545" s="14" t="s">
        <v>405</v>
      </c>
      <c r="AH545" s="14" t="s">
        <v>406</v>
      </c>
      <c r="AI545" s="15">
        <v>0.0</v>
      </c>
      <c r="AL545" s="15" t="s">
        <v>975</v>
      </c>
      <c r="AM545" s="15" t="s">
        <v>410</v>
      </c>
      <c r="AN545" s="15" t="s">
        <v>439</v>
      </c>
      <c r="AO545" s="15" t="s">
        <v>1944</v>
      </c>
      <c r="AP545" s="15" t="s">
        <v>1945</v>
      </c>
      <c r="AQ545" s="15" t="s">
        <v>2229</v>
      </c>
      <c r="AR545" s="15" t="s">
        <v>2230</v>
      </c>
      <c r="AS545" s="15" t="s">
        <v>837</v>
      </c>
      <c r="AT545" s="15" t="s">
        <v>2818</v>
      </c>
      <c r="AU545" s="15" t="s">
        <v>4364</v>
      </c>
      <c r="AW545" s="15" t="s">
        <v>706</v>
      </c>
      <c r="AX545" s="15" t="s">
        <v>707</v>
      </c>
      <c r="AY545" s="15" t="s">
        <v>413</v>
      </c>
      <c r="AZ545" s="15" t="b">
        <v>0</v>
      </c>
      <c r="BA545" s="15" t="s">
        <v>413</v>
      </c>
      <c r="BB545" s="15" t="b">
        <v>0</v>
      </c>
      <c r="BC545" s="15" t="s">
        <v>6279</v>
      </c>
      <c r="BD545" s="15" t="s">
        <v>742</v>
      </c>
      <c r="BE545" s="15" t="str">
        <f t="shared" si="955"/>
        <v>1</v>
      </c>
      <c r="BF545" s="15" t="s">
        <v>2043</v>
      </c>
      <c r="BG545" s="15" t="str">
        <f>"33.07"</f>
        <v>33.07</v>
      </c>
      <c r="BH545" s="15" t="s">
        <v>1091</v>
      </c>
      <c r="BI545" s="15" t="str">
        <f>"33.07"</f>
        <v>33.07</v>
      </c>
      <c r="BJ545" s="15" t="s">
        <v>1091</v>
      </c>
      <c r="BK545" s="15" t="str">
        <f>"26.38"</f>
        <v>26.38</v>
      </c>
      <c r="BL545" s="15" t="s">
        <v>1735</v>
      </c>
      <c r="BM545" s="15" t="str">
        <f>"97"</f>
        <v>97</v>
      </c>
      <c r="BN545" s="15" t="s">
        <v>5886</v>
      </c>
      <c r="BQ545" s="15" t="s">
        <v>444</v>
      </c>
      <c r="BS545" s="15" t="s">
        <v>444</v>
      </c>
      <c r="BU545" s="15" t="s">
        <v>444</v>
      </c>
      <c r="BW545" s="15" t="s">
        <v>444</v>
      </c>
      <c r="BZ545" s="15" t="s">
        <v>444</v>
      </c>
      <c r="CB545" s="15" t="s">
        <v>444</v>
      </c>
      <c r="CD545" s="15" t="s">
        <v>444</v>
      </c>
      <c r="CF545" s="15" t="s">
        <v>444</v>
      </c>
      <c r="CI545" s="15" t="s">
        <v>444</v>
      </c>
      <c r="CK545" s="15" t="s">
        <v>444</v>
      </c>
      <c r="CM545" s="15" t="s">
        <v>444</v>
      </c>
      <c r="CO545" s="15" t="s">
        <v>444</v>
      </c>
      <c r="CP545" s="15" t="str">
        <f>"16.7"</f>
        <v>16.7</v>
      </c>
      <c r="CQ545" s="15" t="str">
        <f>"0.473"</f>
        <v>0.473</v>
      </c>
      <c r="CR545" s="15" t="s">
        <v>497</v>
      </c>
      <c r="DB545" s="15" t="s">
        <v>1460</v>
      </c>
      <c r="DC545" s="15" t="str">
        <f>IFERROR(__xludf.DUMMYFUNCTION("""COMPUTED_VALUE"""),"{""value"":19.49,""unit"":""in""}")</f>
        <v>{"value":19.49,"unit":"in"}</v>
      </c>
      <c r="DD545" s="15" t="s">
        <v>824</v>
      </c>
      <c r="DE545" s="15" t="str">
        <f>IFERROR(__xludf.DUMMYFUNCTION("""COMPUTED_VALUE"""),"{""value"":18.50,""unit"":""in""}")</f>
        <v>{"value":18.50,"unit":"in"}</v>
      </c>
      <c r="DF545" s="15" t="s">
        <v>1488</v>
      </c>
      <c r="DG545" s="15" t="str">
        <f>IFERROR(__xludf.DUMMYFUNCTION("""COMPUTED_VALUE"""),"{""value"":20.87,""unit"":""in""}")</f>
        <v>{"value":20.87,"unit":"in"}</v>
      </c>
      <c r="DH545" s="15">
        <v>0.0</v>
      </c>
      <c r="DI545" s="15">
        <v>1.0</v>
      </c>
      <c r="DJ545" s="15" t="s">
        <v>717</v>
      </c>
      <c r="DK545" s="15" t="s">
        <v>718</v>
      </c>
      <c r="DL545" s="15" t="str">
        <f>IFERROR(__xludf.DUMMYFUNCTION("""COMPUTED_VALUE"""),"Vacuum or light brush only. Do not use water or any cleaning products.")</f>
        <v>Vacuum or light brush only. Do not use water or any cleaning products.</v>
      </c>
      <c r="DM545" s="15" t="s">
        <v>719</v>
      </c>
      <c r="DT545" s="15" t="s">
        <v>989</v>
      </c>
      <c r="DU545" s="15" t="s">
        <v>1605</v>
      </c>
      <c r="DV545" s="15">
        <v>0.0</v>
      </c>
      <c r="DZ545" s="15">
        <v>0.0</v>
      </c>
      <c r="EA545" s="15" t="s">
        <v>722</v>
      </c>
      <c r="EB545" s="15" t="s">
        <v>1016</v>
      </c>
      <c r="EC545" s="15" t="s">
        <v>3514</v>
      </c>
      <c r="ED545" s="15">
        <v>1.0</v>
      </c>
      <c r="EE545" s="15">
        <v>1.0</v>
      </c>
      <c r="EG545" s="15" t="s">
        <v>444</v>
      </c>
      <c r="EH545" s="15" t="s">
        <v>6280</v>
      </c>
      <c r="EI545" s="15">
        <v>0.0</v>
      </c>
      <c r="EJ545" s="15" t="s">
        <v>726</v>
      </c>
      <c r="EK545" s="15" t="s">
        <v>727</v>
      </c>
      <c r="EL545" s="15" t="s">
        <v>3361</v>
      </c>
      <c r="EM545" s="15" t="str">
        <f>IFERROR(__xludf.DUMMYFUNCTION("""COMPUTED_VALUE"""),"{""value"":25.39,""unit"":""in""}")</f>
        <v>{"value":25.39,"unit":"in"}</v>
      </c>
      <c r="EN545" s="15" t="s">
        <v>3052</v>
      </c>
      <c r="EO545" s="15" t="s">
        <v>2101</v>
      </c>
      <c r="ES545" s="15" t="s">
        <v>761</v>
      </c>
      <c r="ET545" s="15" t="s">
        <v>2841</v>
      </c>
      <c r="EU545" s="15" t="s">
        <v>2159</v>
      </c>
      <c r="EV545" s="15" t="s">
        <v>2019</v>
      </c>
      <c r="EW545" s="15" t="s">
        <v>6281</v>
      </c>
      <c r="EZ545" s="15" t="s">
        <v>3052</v>
      </c>
      <c r="FC545" s="15" t="s">
        <v>723</v>
      </c>
      <c r="FD545" s="15" t="s">
        <v>724</v>
      </c>
      <c r="FE545" s="15" t="s">
        <v>6282</v>
      </c>
      <c r="FF545" s="15" t="s">
        <v>3747</v>
      </c>
      <c r="FQ545" s="15">
        <v>0.0</v>
      </c>
      <c r="FR545" s="15">
        <v>0.0</v>
      </c>
      <c r="FS545" s="15" t="s">
        <v>3362</v>
      </c>
      <c r="FT545" s="15">
        <v>0.0</v>
      </c>
      <c r="IL545" s="15" t="s">
        <v>1610</v>
      </c>
    </row>
    <row r="546" ht="15.75" customHeight="1">
      <c r="A546" s="14" t="s">
        <v>391</v>
      </c>
      <c r="B546" s="15" t="s">
        <v>6283</v>
      </c>
      <c r="C546" s="16"/>
      <c r="D546" s="15" t="s">
        <v>432</v>
      </c>
      <c r="G546" s="14" t="s">
        <v>393</v>
      </c>
      <c r="H546" s="14" t="s">
        <v>394</v>
      </c>
      <c r="I546" s="14" t="b">
        <v>1</v>
      </c>
      <c r="J546" s="14" t="s">
        <v>395</v>
      </c>
      <c r="L546" s="14" t="b">
        <v>0</v>
      </c>
      <c r="M546" s="15" t="s">
        <v>6284</v>
      </c>
      <c r="N546" s="14" t="s">
        <v>393</v>
      </c>
      <c r="O546" s="14" t="s">
        <v>393</v>
      </c>
      <c r="P546" s="15" t="s">
        <v>397</v>
      </c>
      <c r="Q546" s="15" t="s">
        <v>3323</v>
      </c>
      <c r="T546" s="14" t="b">
        <v>0</v>
      </c>
      <c r="U546" s="15" t="s">
        <v>6285</v>
      </c>
      <c r="V546" s="15" t="s">
        <v>3868</v>
      </c>
      <c r="W546" s="15" t="s">
        <v>401</v>
      </c>
      <c r="X546" s="15" t="s">
        <v>402</v>
      </c>
      <c r="Y546" s="15">
        <v>1365.0</v>
      </c>
      <c r="AA546" s="15" t="str">
        <f>"525"</f>
        <v>525</v>
      </c>
      <c r="AB546" s="14" t="b">
        <v>1</v>
      </c>
      <c r="AC546" s="14" t="b">
        <v>1</v>
      </c>
      <c r="AD546" s="15" t="str">
        <f>"801542350086"</f>
        <v>801542350086</v>
      </c>
      <c r="AE546" s="15" t="s">
        <v>6286</v>
      </c>
      <c r="AF546" s="14" t="s">
        <v>404</v>
      </c>
      <c r="AG546" s="14" t="s">
        <v>405</v>
      </c>
      <c r="AH546" s="14" t="s">
        <v>406</v>
      </c>
      <c r="AI546" s="15">
        <v>0.0</v>
      </c>
      <c r="AL546" s="15" t="s">
        <v>1655</v>
      </c>
      <c r="AM546" s="15" t="s">
        <v>2306</v>
      </c>
      <c r="AN546" s="15" t="s">
        <v>2307</v>
      </c>
      <c r="AO546" s="15" t="s">
        <v>1801</v>
      </c>
      <c r="AP546" s="15" t="s">
        <v>1322</v>
      </c>
      <c r="AQ546" s="15" t="s">
        <v>1364</v>
      </c>
      <c r="AR546" s="15" t="s">
        <v>1365</v>
      </c>
      <c r="AS546" s="15" t="s">
        <v>2374</v>
      </c>
      <c r="AT546" s="15" t="s">
        <v>3323</v>
      </c>
      <c r="AW546" s="15" t="s">
        <v>706</v>
      </c>
      <c r="AX546" s="15" t="s">
        <v>707</v>
      </c>
      <c r="AY546" s="15" t="s">
        <v>413</v>
      </c>
      <c r="AZ546" s="15" t="b">
        <v>0</v>
      </c>
      <c r="BA546" s="15" t="s">
        <v>426</v>
      </c>
      <c r="BB546" s="15" t="b">
        <v>1</v>
      </c>
      <c r="BC546" s="15" t="s">
        <v>6287</v>
      </c>
      <c r="BD546" s="15" t="s">
        <v>415</v>
      </c>
      <c r="BE546" s="15" t="str">
        <f t="shared" si="955"/>
        <v>1</v>
      </c>
      <c r="BF546" s="15" t="s">
        <v>416</v>
      </c>
      <c r="BG546" s="15" t="str">
        <f t="shared" ref="BG546:BG547" si="972">"35"</f>
        <v>35</v>
      </c>
      <c r="BH546" s="15" t="s">
        <v>646</v>
      </c>
      <c r="BI546" s="15" t="str">
        <f t="shared" ref="BI546:BI547" si="973">"32"</f>
        <v>32</v>
      </c>
      <c r="BJ546" s="15" t="s">
        <v>439</v>
      </c>
      <c r="BK546" s="15" t="str">
        <f t="shared" ref="BK546:BK547" si="974">"36"</f>
        <v>36</v>
      </c>
      <c r="BL546" s="15" t="s">
        <v>623</v>
      </c>
      <c r="BM546" s="15" t="str">
        <f t="shared" ref="BM546:BM547" si="975">"61.73"</f>
        <v>61.73</v>
      </c>
      <c r="BN546" s="15" t="s">
        <v>1948</v>
      </c>
      <c r="BQ546" s="15" t="s">
        <v>444</v>
      </c>
      <c r="BS546" s="15" t="s">
        <v>444</v>
      </c>
      <c r="BU546" s="15" t="s">
        <v>444</v>
      </c>
      <c r="BW546" s="15" t="s">
        <v>444</v>
      </c>
      <c r="BZ546" s="15" t="s">
        <v>444</v>
      </c>
      <c r="CB546" s="15" t="s">
        <v>444</v>
      </c>
      <c r="CD546" s="15" t="s">
        <v>444</v>
      </c>
      <c r="CF546" s="15" t="s">
        <v>444</v>
      </c>
      <c r="CI546" s="15" t="s">
        <v>444</v>
      </c>
      <c r="CK546" s="15" t="s">
        <v>444</v>
      </c>
      <c r="CM546" s="15" t="s">
        <v>444</v>
      </c>
      <c r="CO546" s="15" t="s">
        <v>444</v>
      </c>
      <c r="CP546" s="15" t="str">
        <f t="shared" ref="CP546:CP547" si="976">"23.34"</f>
        <v>23.34</v>
      </c>
      <c r="CQ546" s="15" t="str">
        <f t="shared" ref="CQ546:CQ547" si="977">"0.661"</f>
        <v>0.661</v>
      </c>
      <c r="CR546" s="15" t="s">
        <v>417</v>
      </c>
      <c r="DB546" s="15" t="s">
        <v>1014</v>
      </c>
      <c r="DC546" s="15" t="str">
        <f>IFERROR(__xludf.DUMMYFUNCTION("""COMPUTED_VALUE"""),"{""value"":17.99,""unit"":""in""}")</f>
        <v>{"value":17.99,"unit":"in"}</v>
      </c>
      <c r="DD546" s="15" t="s">
        <v>1014</v>
      </c>
      <c r="DE546" s="15" t="str">
        <f>IFERROR(__xludf.DUMMYFUNCTION("""COMPUTED_VALUE"""),"{""value"":17.99,""unit"":""in""}")</f>
        <v>{"value":17.99,"unit":"in"}</v>
      </c>
      <c r="DF546" s="15" t="s">
        <v>1700</v>
      </c>
      <c r="DG546" s="15" t="str">
        <f>IFERROR(__xludf.DUMMYFUNCTION("""COMPUTED_VALUE"""),"{""value"":21.50,""unit"":""in""}")</f>
        <v>{"value":21.50,"unit":"in"}</v>
      </c>
      <c r="DH546" s="15">
        <v>0.0</v>
      </c>
      <c r="DI546" s="15">
        <v>1.0</v>
      </c>
      <c r="DJ546" s="15" t="s">
        <v>717</v>
      </c>
      <c r="DK546" s="15" t="s">
        <v>934</v>
      </c>
      <c r="DL546" s="15" t="str">
        <f>IFERROR(__xludf.DUMMYFUNCTION("""COMPUTED_VALUE"""),"Spot clean with water-based or solvent-based cleaner. Use mild detergent or upholstery shampoo.")</f>
        <v>Spot clean with water-based or solvent-based cleaner. Use mild detergent or upholstery shampoo.</v>
      </c>
      <c r="DM546" s="15" t="s">
        <v>935</v>
      </c>
      <c r="DQ546" s="15" t="s">
        <v>3843</v>
      </c>
      <c r="DT546" s="15" t="s">
        <v>721</v>
      </c>
      <c r="DU546" s="15" t="s">
        <v>1605</v>
      </c>
      <c r="DV546" s="15">
        <v>1.0</v>
      </c>
      <c r="DZ546" s="15">
        <v>100000.0</v>
      </c>
      <c r="EA546" s="15" t="s">
        <v>990</v>
      </c>
      <c r="EB546" s="15" t="s">
        <v>1016</v>
      </c>
      <c r="EC546" s="15" t="s">
        <v>1701</v>
      </c>
      <c r="ED546" s="15">
        <v>1.0</v>
      </c>
      <c r="EE546" s="15">
        <v>1.0</v>
      </c>
      <c r="EG546" s="15" t="s">
        <v>444</v>
      </c>
      <c r="EH546" s="15" t="s">
        <v>6288</v>
      </c>
      <c r="EI546" s="15">
        <v>0.0</v>
      </c>
      <c r="EJ546" s="15" t="s">
        <v>726</v>
      </c>
      <c r="EK546" s="15" t="s">
        <v>727</v>
      </c>
      <c r="EL546" s="15" t="s">
        <v>1041</v>
      </c>
      <c r="EM546" s="15" t="str">
        <f>IFERROR(__xludf.DUMMYFUNCTION("""COMPUTED_VALUE"""),"{""value"":24.49,""unit"":""in""}")</f>
        <v>{"value":24.49,"unit":"in"}</v>
      </c>
      <c r="EN546" s="15" t="s">
        <v>762</v>
      </c>
      <c r="EO546" s="15" t="s">
        <v>3111</v>
      </c>
      <c r="ES546" s="15" t="s">
        <v>2505</v>
      </c>
      <c r="EW546" s="15" t="s">
        <v>1607</v>
      </c>
      <c r="EZ546" s="15" t="s">
        <v>1160</v>
      </c>
      <c r="FC546" s="15" t="s">
        <v>1016</v>
      </c>
      <c r="FD546" s="15" t="s">
        <v>1076</v>
      </c>
      <c r="FE546" s="15" t="s">
        <v>3408</v>
      </c>
      <c r="FF546" s="15" t="s">
        <v>3843</v>
      </c>
      <c r="FO546" s="15" t="s">
        <v>1324</v>
      </c>
      <c r="FP546" s="15" t="s">
        <v>6289</v>
      </c>
      <c r="FQ546" s="15">
        <v>0.0</v>
      </c>
      <c r="FR546" s="15">
        <v>0.0</v>
      </c>
      <c r="FT546" s="15">
        <v>0.0</v>
      </c>
      <c r="IL546" s="15" t="s">
        <v>1610</v>
      </c>
      <c r="JG546" s="15" t="s">
        <v>429</v>
      </c>
      <c r="JH546" s="15" t="s">
        <v>995</v>
      </c>
      <c r="JI546" s="15" t="s">
        <v>1065</v>
      </c>
      <c r="JJ546" s="15" t="s">
        <v>1076</v>
      </c>
      <c r="JK546" s="15" t="s">
        <v>426</v>
      </c>
    </row>
    <row r="547" ht="15.75" customHeight="1">
      <c r="A547" s="14" t="s">
        <v>391</v>
      </c>
      <c r="B547" s="15" t="s">
        <v>6283</v>
      </c>
      <c r="C547" s="16"/>
      <c r="D547" s="15" t="s">
        <v>432</v>
      </c>
      <c r="G547" s="14" t="s">
        <v>393</v>
      </c>
      <c r="H547" s="14" t="s">
        <v>394</v>
      </c>
      <c r="I547" s="14" t="b">
        <v>1</v>
      </c>
      <c r="J547" s="14" t="s">
        <v>395</v>
      </c>
      <c r="L547" s="14" t="b">
        <v>0</v>
      </c>
      <c r="M547" s="15" t="s">
        <v>6290</v>
      </c>
      <c r="N547" s="14" t="s">
        <v>393</v>
      </c>
      <c r="O547" s="14" t="s">
        <v>393</v>
      </c>
      <c r="P547" s="15" t="s">
        <v>397</v>
      </c>
      <c r="Q547" s="15" t="s">
        <v>6291</v>
      </c>
      <c r="T547" s="14" t="b">
        <v>0</v>
      </c>
      <c r="U547" s="15" t="s">
        <v>6292</v>
      </c>
      <c r="V547" s="15" t="s">
        <v>3868</v>
      </c>
      <c r="W547" s="15" t="s">
        <v>401</v>
      </c>
      <c r="X547" s="15" t="s">
        <v>402</v>
      </c>
      <c r="Y547" s="15">
        <v>1157.0</v>
      </c>
      <c r="AA547" s="15" t="str">
        <f>"445"</f>
        <v>445</v>
      </c>
      <c r="AB547" s="14" t="b">
        <v>1</v>
      </c>
      <c r="AC547" s="14" t="b">
        <v>1</v>
      </c>
      <c r="AD547" s="15" t="str">
        <f>"801542592691"</f>
        <v>801542592691</v>
      </c>
      <c r="AE547" s="15" t="s">
        <v>6293</v>
      </c>
      <c r="AF547" s="14" t="s">
        <v>404</v>
      </c>
      <c r="AG547" s="14" t="s">
        <v>405</v>
      </c>
      <c r="AH547" s="14" t="s">
        <v>406</v>
      </c>
      <c r="AI547" s="15">
        <v>0.0</v>
      </c>
      <c r="AL547" s="15" t="s">
        <v>1655</v>
      </c>
      <c r="AM547" s="15" t="s">
        <v>2306</v>
      </c>
      <c r="AN547" s="15" t="s">
        <v>2307</v>
      </c>
      <c r="AO547" s="15" t="s">
        <v>1801</v>
      </c>
      <c r="AP547" s="15" t="s">
        <v>1322</v>
      </c>
      <c r="AQ547" s="15" t="s">
        <v>1364</v>
      </c>
      <c r="AR547" s="15" t="s">
        <v>1365</v>
      </c>
      <c r="AS547" s="15" t="s">
        <v>2374</v>
      </c>
      <c r="AT547" s="15" t="s">
        <v>6291</v>
      </c>
      <c r="AW547" s="15" t="s">
        <v>706</v>
      </c>
      <c r="AX547" s="15" t="s">
        <v>707</v>
      </c>
      <c r="AY547" s="15" t="s">
        <v>413</v>
      </c>
      <c r="AZ547" s="15" t="b">
        <v>0</v>
      </c>
      <c r="BA547" s="15" t="s">
        <v>413</v>
      </c>
      <c r="BB547" s="15" t="b">
        <v>0</v>
      </c>
      <c r="BC547" s="15" t="s">
        <v>6287</v>
      </c>
      <c r="BD547" s="15" t="s">
        <v>415</v>
      </c>
      <c r="BE547" s="15" t="str">
        <f t="shared" si="955"/>
        <v>1</v>
      </c>
      <c r="BF547" s="15" t="s">
        <v>416</v>
      </c>
      <c r="BG547" s="15" t="str">
        <f t="shared" si="972"/>
        <v>35</v>
      </c>
      <c r="BH547" s="15" t="s">
        <v>646</v>
      </c>
      <c r="BI547" s="15" t="str">
        <f t="shared" si="973"/>
        <v>32</v>
      </c>
      <c r="BJ547" s="15" t="s">
        <v>439</v>
      </c>
      <c r="BK547" s="15" t="str">
        <f t="shared" si="974"/>
        <v>36</v>
      </c>
      <c r="BL547" s="15" t="s">
        <v>623</v>
      </c>
      <c r="BM547" s="15" t="str">
        <f t="shared" si="975"/>
        <v>61.73</v>
      </c>
      <c r="BN547" s="15" t="s">
        <v>1948</v>
      </c>
      <c r="BQ547" s="15" t="s">
        <v>444</v>
      </c>
      <c r="BS547" s="15" t="s">
        <v>444</v>
      </c>
      <c r="BU547" s="15" t="s">
        <v>444</v>
      </c>
      <c r="BW547" s="15" t="s">
        <v>444</v>
      </c>
      <c r="BZ547" s="15" t="s">
        <v>444</v>
      </c>
      <c r="CB547" s="15" t="s">
        <v>444</v>
      </c>
      <c r="CD547" s="15" t="s">
        <v>444</v>
      </c>
      <c r="CF547" s="15" t="s">
        <v>444</v>
      </c>
      <c r="CI547" s="15" t="s">
        <v>444</v>
      </c>
      <c r="CK547" s="15" t="s">
        <v>444</v>
      </c>
      <c r="CM547" s="15" t="s">
        <v>444</v>
      </c>
      <c r="CO547" s="15" t="s">
        <v>444</v>
      </c>
      <c r="CP547" s="15" t="str">
        <f t="shared" si="976"/>
        <v>23.34</v>
      </c>
      <c r="CQ547" s="15" t="str">
        <f t="shared" si="977"/>
        <v>0.661</v>
      </c>
      <c r="CR547" s="15" t="s">
        <v>465</v>
      </c>
      <c r="DB547" s="15" t="s">
        <v>1014</v>
      </c>
      <c r="DC547" s="15" t="str">
        <f>IFERROR(__xludf.DUMMYFUNCTION("""COMPUTED_VALUE"""),"{""value"":17.99,""unit"":""in""}")</f>
        <v>{"value":17.99,"unit":"in"}</v>
      </c>
      <c r="DD547" s="15" t="s">
        <v>1014</v>
      </c>
      <c r="DE547" s="15" t="str">
        <f>IFERROR(__xludf.DUMMYFUNCTION("""COMPUTED_VALUE"""),"{""value"":17.99,""unit"":""in""}")</f>
        <v>{"value":17.99,"unit":"in"}</v>
      </c>
      <c r="DF547" s="15" t="s">
        <v>1700</v>
      </c>
      <c r="DG547" s="15" t="str">
        <f>IFERROR(__xludf.DUMMYFUNCTION("""COMPUTED_VALUE"""),"{""value"":21.50,""unit"":""in""}")</f>
        <v>{"value":21.50,"unit":"in"}</v>
      </c>
      <c r="DH547" s="15">
        <v>0.0</v>
      </c>
      <c r="DI547" s="15">
        <v>1.0</v>
      </c>
      <c r="DJ547" s="15" t="s">
        <v>717</v>
      </c>
      <c r="DK547" s="15" t="s">
        <v>855</v>
      </c>
      <c r="DL547" s="15" t="str">
        <f>IFERROR(__xludf.DUMMYFUNCTION("""COMPUTED_VALUE"""),"Clean with solvent-based (dry clean only) products. Do not use water.")</f>
        <v>Clean with solvent-based (dry clean only) products. Do not use water.</v>
      </c>
      <c r="DM547" s="15" t="s">
        <v>856</v>
      </c>
      <c r="DQ547" s="15" t="s">
        <v>3843</v>
      </c>
      <c r="DT547" s="15" t="s">
        <v>721</v>
      </c>
      <c r="DU547" s="15" t="s">
        <v>1605</v>
      </c>
      <c r="DV547" s="15">
        <v>1.0</v>
      </c>
      <c r="DZ547" s="15">
        <v>15000.0</v>
      </c>
      <c r="EA547" s="15" t="s">
        <v>990</v>
      </c>
      <c r="EB547" s="15" t="s">
        <v>1016</v>
      </c>
      <c r="EC547" s="15" t="s">
        <v>1701</v>
      </c>
      <c r="ED547" s="15">
        <v>1.0</v>
      </c>
      <c r="EE547" s="15">
        <v>1.0</v>
      </c>
      <c r="EG547" s="15" t="s">
        <v>444</v>
      </c>
      <c r="EH547" s="15" t="s">
        <v>6288</v>
      </c>
      <c r="EI547" s="15">
        <v>0.0</v>
      </c>
      <c r="EJ547" s="15" t="s">
        <v>726</v>
      </c>
      <c r="EK547" s="15" t="s">
        <v>727</v>
      </c>
      <c r="EL547" s="15" t="s">
        <v>1041</v>
      </c>
      <c r="EM547" s="15" t="str">
        <f>IFERROR(__xludf.DUMMYFUNCTION("""COMPUTED_VALUE"""),"{""value"":24.49,""unit"":""in""}")</f>
        <v>{"value":24.49,"unit":"in"}</v>
      </c>
      <c r="EN547" s="15" t="s">
        <v>762</v>
      </c>
      <c r="EO547" s="15" t="s">
        <v>3111</v>
      </c>
      <c r="ES547" s="15" t="s">
        <v>2505</v>
      </c>
      <c r="EW547" s="15" t="s">
        <v>1607</v>
      </c>
      <c r="EZ547" s="15" t="s">
        <v>1160</v>
      </c>
      <c r="FC547" s="15" t="s">
        <v>1016</v>
      </c>
      <c r="FD547" s="15" t="s">
        <v>1076</v>
      </c>
      <c r="FE547" s="15" t="s">
        <v>3408</v>
      </c>
      <c r="FF547" s="15" t="s">
        <v>3843</v>
      </c>
      <c r="FO547" s="15" t="s">
        <v>1324</v>
      </c>
      <c r="FP547" s="15" t="s">
        <v>6289</v>
      </c>
      <c r="FQ547" s="15">
        <v>0.0</v>
      </c>
      <c r="FR547" s="15">
        <v>0.0</v>
      </c>
      <c r="FT547" s="15">
        <v>0.0</v>
      </c>
      <c r="IL547" s="15" t="s">
        <v>1610</v>
      </c>
      <c r="JG547" s="15" t="s">
        <v>429</v>
      </c>
      <c r="JH547" s="15" t="s">
        <v>995</v>
      </c>
      <c r="JI547" s="15" t="s">
        <v>1065</v>
      </c>
      <c r="JJ547" s="15" t="s">
        <v>1076</v>
      </c>
      <c r="JK547" s="15" t="s">
        <v>426</v>
      </c>
    </row>
    <row r="548" ht="15.75" customHeight="1">
      <c r="A548" s="14" t="s">
        <v>391</v>
      </c>
      <c r="B548" s="15" t="s">
        <v>6294</v>
      </c>
      <c r="C548" s="16"/>
      <c r="D548" s="15" t="s">
        <v>432</v>
      </c>
      <c r="G548" s="14" t="s">
        <v>393</v>
      </c>
      <c r="H548" s="14" t="s">
        <v>394</v>
      </c>
      <c r="I548" s="14" t="b">
        <v>1</v>
      </c>
      <c r="J548" s="14" t="s">
        <v>395</v>
      </c>
      <c r="L548" s="14" t="b">
        <v>0</v>
      </c>
      <c r="M548" s="15" t="s">
        <v>6295</v>
      </c>
      <c r="N548" s="14" t="s">
        <v>393</v>
      </c>
      <c r="O548" s="14" t="s">
        <v>393</v>
      </c>
      <c r="P548" s="15" t="s">
        <v>397</v>
      </c>
      <c r="Q548" s="15" t="s">
        <v>6296</v>
      </c>
      <c r="T548" s="14" t="b">
        <v>0</v>
      </c>
      <c r="U548" s="15" t="s">
        <v>6297</v>
      </c>
      <c r="V548" s="15" t="s">
        <v>4672</v>
      </c>
      <c r="W548" s="15" t="s">
        <v>401</v>
      </c>
      <c r="X548" s="15" t="s">
        <v>402</v>
      </c>
      <c r="Y548" s="15">
        <v>2847.0</v>
      </c>
      <c r="AA548" s="15" t="str">
        <f>"1095"</f>
        <v>1095</v>
      </c>
      <c r="AB548" s="14" t="b">
        <v>1</v>
      </c>
      <c r="AC548" s="14" t="b">
        <v>1</v>
      </c>
      <c r="AD548" s="15" t="str">
        <f>"801542993054"</f>
        <v>801542993054</v>
      </c>
      <c r="AE548" s="15" t="s">
        <v>6298</v>
      </c>
      <c r="AF548" s="14" t="s">
        <v>404</v>
      </c>
      <c r="AG548" s="14" t="s">
        <v>405</v>
      </c>
      <c r="AH548" s="14" t="s">
        <v>406</v>
      </c>
      <c r="AI548" s="15">
        <v>0.0</v>
      </c>
      <c r="AL548" s="15" t="s">
        <v>6299</v>
      </c>
      <c r="AM548" s="15" t="s">
        <v>4790</v>
      </c>
      <c r="AN548" s="15" t="s">
        <v>4791</v>
      </c>
      <c r="AO548" s="15" t="s">
        <v>4790</v>
      </c>
      <c r="AP548" s="15" t="s">
        <v>4791</v>
      </c>
      <c r="AQ548" s="15" t="s">
        <v>2039</v>
      </c>
      <c r="AR548" s="15" t="s">
        <v>2040</v>
      </c>
      <c r="AS548" s="15" t="s">
        <v>411</v>
      </c>
      <c r="AT548" s="15" t="s">
        <v>6296</v>
      </c>
      <c r="AU548" s="15" t="s">
        <v>1095</v>
      </c>
      <c r="AV548" s="15" t="s">
        <v>6300</v>
      </c>
      <c r="AW548" s="15" t="s">
        <v>491</v>
      </c>
      <c r="AY548" s="15" t="s">
        <v>413</v>
      </c>
      <c r="AZ548" s="15" t="b">
        <v>0</v>
      </c>
      <c r="BA548" s="15" t="s">
        <v>413</v>
      </c>
      <c r="BB548" s="15" t="b">
        <v>0</v>
      </c>
      <c r="BC548" s="15" t="s">
        <v>6301</v>
      </c>
      <c r="BD548" s="15" t="s">
        <v>415</v>
      </c>
      <c r="BE548" s="15" t="str">
        <f t="shared" si="955"/>
        <v>1</v>
      </c>
      <c r="BF548" s="15" t="s">
        <v>416</v>
      </c>
      <c r="BG548" s="15" t="str">
        <f>"53.15"</f>
        <v>53.15</v>
      </c>
      <c r="BH548" s="15" t="s">
        <v>6302</v>
      </c>
      <c r="BI548" s="15" t="str">
        <f>"52.36"</f>
        <v>52.36</v>
      </c>
      <c r="BJ548" s="15" t="s">
        <v>5314</v>
      </c>
      <c r="BK548" s="15" t="str">
        <f>"22.44"</f>
        <v>22.44</v>
      </c>
      <c r="BL548" s="15" t="s">
        <v>1156</v>
      </c>
      <c r="BM548" s="15" t="str">
        <f>"190.26"</f>
        <v>190.26</v>
      </c>
      <c r="BN548" s="15" t="s">
        <v>6303</v>
      </c>
      <c r="BQ548" s="15" t="s">
        <v>444</v>
      </c>
      <c r="BS548" s="15" t="s">
        <v>444</v>
      </c>
      <c r="BU548" s="15" t="s">
        <v>444</v>
      </c>
      <c r="BW548" s="15" t="s">
        <v>444</v>
      </c>
      <c r="BZ548" s="15" t="s">
        <v>444</v>
      </c>
      <c r="CB548" s="15" t="s">
        <v>444</v>
      </c>
      <c r="CD548" s="15" t="s">
        <v>444</v>
      </c>
      <c r="CF548" s="15" t="s">
        <v>444</v>
      </c>
      <c r="CI548" s="15" t="s">
        <v>444</v>
      </c>
      <c r="CK548" s="15" t="s">
        <v>444</v>
      </c>
      <c r="CM548" s="15" t="s">
        <v>444</v>
      </c>
      <c r="CO548" s="15" t="s">
        <v>444</v>
      </c>
      <c r="CP548" s="15" t="str">
        <f>"36.13"</f>
        <v>36.13</v>
      </c>
      <c r="CQ548" s="15" t="str">
        <f>"1.023"</f>
        <v>1.023</v>
      </c>
      <c r="CR548" s="15" t="s">
        <v>497</v>
      </c>
      <c r="DC548" s="15" t="str">
        <f>IFERROR(__xludf.DUMMYFUNCTION("""COMPUTED_VALUE"""),"")</f>
        <v/>
      </c>
      <c r="DE548" s="15" t="str">
        <f>IFERROR(__xludf.DUMMYFUNCTION("""COMPUTED_VALUE"""),"")</f>
        <v/>
      </c>
      <c r="DG548" s="15" t="str">
        <f>IFERROR(__xludf.DUMMYFUNCTION("""COMPUTED_VALUE"""),"")</f>
        <v/>
      </c>
      <c r="DL548" s="15" t="str">
        <f>IFERROR(__xludf.DUMMYFUNCTION("""COMPUTED_VALUE"""),"")</f>
        <v/>
      </c>
      <c r="DM548" s="15" t="s">
        <v>444</v>
      </c>
      <c r="DN548" s="15" t="s">
        <v>419</v>
      </c>
      <c r="DO548" s="15">
        <v>0.0</v>
      </c>
      <c r="DP548" s="15" t="s">
        <v>419</v>
      </c>
      <c r="DR548" s="15">
        <v>0.0</v>
      </c>
      <c r="DT548" s="15" t="s">
        <v>420</v>
      </c>
      <c r="DU548" s="15" t="s">
        <v>419</v>
      </c>
      <c r="DY548" s="15">
        <v>0.0</v>
      </c>
      <c r="EF548" s="15" t="s">
        <v>1157</v>
      </c>
      <c r="EG548" s="15" t="s">
        <v>1158</v>
      </c>
      <c r="EH548" s="15" t="s">
        <v>6304</v>
      </c>
      <c r="EJ548" s="15" t="s">
        <v>500</v>
      </c>
      <c r="EK548" s="15" t="s">
        <v>501</v>
      </c>
      <c r="EM548" s="15" t="str">
        <f>IFERROR(__xludf.DUMMYFUNCTION("""COMPUTED_VALUE"""),"")</f>
        <v/>
      </c>
      <c r="FH548" s="15" t="s">
        <v>6305</v>
      </c>
      <c r="FI548" s="15" t="s">
        <v>1121</v>
      </c>
      <c r="FJ548" s="15" t="s">
        <v>6305</v>
      </c>
      <c r="FK548" s="15" t="s">
        <v>3762</v>
      </c>
      <c r="FL548" s="15" t="s">
        <v>426</v>
      </c>
      <c r="FM548" s="15">
        <v>0.0</v>
      </c>
      <c r="FN548" s="15">
        <v>0.0</v>
      </c>
      <c r="FW548" s="15" t="s">
        <v>1188</v>
      </c>
    </row>
    <row r="549" ht="15.75" customHeight="1">
      <c r="A549" s="14" t="s">
        <v>391</v>
      </c>
      <c r="B549" s="15" t="s">
        <v>6306</v>
      </c>
      <c r="C549" s="16"/>
      <c r="D549" s="15" t="s">
        <v>432</v>
      </c>
      <c r="G549" s="14" t="s">
        <v>393</v>
      </c>
      <c r="H549" s="14" t="s">
        <v>394</v>
      </c>
      <c r="I549" s="14" t="b">
        <v>1</v>
      </c>
      <c r="J549" s="14" t="s">
        <v>395</v>
      </c>
      <c r="L549" s="14" t="b">
        <v>0</v>
      </c>
      <c r="M549" s="15" t="s">
        <v>6307</v>
      </c>
      <c r="N549" s="14" t="s">
        <v>393</v>
      </c>
      <c r="O549" s="14" t="s">
        <v>393</v>
      </c>
      <c r="P549" s="15" t="s">
        <v>397</v>
      </c>
      <c r="Q549" s="15" t="s">
        <v>6308</v>
      </c>
      <c r="T549" s="14" t="b">
        <v>0</v>
      </c>
      <c r="U549" s="15" t="s">
        <v>6309</v>
      </c>
      <c r="V549" s="15" t="s">
        <v>6310</v>
      </c>
      <c r="W549" s="15" t="s">
        <v>401</v>
      </c>
      <c r="X549" s="15" t="s">
        <v>742</v>
      </c>
      <c r="Y549" s="15">
        <v>4264.0</v>
      </c>
      <c r="AA549" s="15" t="str">
        <f>"1640"</f>
        <v>1640</v>
      </c>
      <c r="AB549" s="14" t="b">
        <v>1</v>
      </c>
      <c r="AC549" s="14" t="b">
        <v>1</v>
      </c>
      <c r="AD549" s="15" t="str">
        <f>"801542004491"</f>
        <v>801542004491</v>
      </c>
      <c r="AE549" s="15" t="s">
        <v>6311</v>
      </c>
      <c r="AF549" s="14" t="s">
        <v>404</v>
      </c>
      <c r="AG549" s="14" t="s">
        <v>405</v>
      </c>
      <c r="AH549" s="14" t="s">
        <v>406</v>
      </c>
      <c r="AI549" s="15">
        <v>0.0</v>
      </c>
      <c r="AL549" s="15" t="s">
        <v>6312</v>
      </c>
      <c r="AM549" s="15" t="s">
        <v>1624</v>
      </c>
      <c r="AN549" s="15" t="s">
        <v>1625</v>
      </c>
      <c r="AO549" s="15" t="s">
        <v>6313</v>
      </c>
      <c r="AP549" s="15" t="s">
        <v>6314</v>
      </c>
      <c r="AQ549" s="15" t="s">
        <v>3851</v>
      </c>
      <c r="AR549" s="15" t="s">
        <v>3852</v>
      </c>
      <c r="AS549" s="15" t="s">
        <v>6315</v>
      </c>
      <c r="AT549" s="15" t="s">
        <v>6308</v>
      </c>
      <c r="AW549" s="15" t="s">
        <v>1629</v>
      </c>
      <c r="AX549" s="15" t="s">
        <v>2933</v>
      </c>
      <c r="AY549" s="15" t="s">
        <v>413</v>
      </c>
      <c r="AZ549" s="15" t="b">
        <v>0</v>
      </c>
      <c r="BA549" s="15" t="s">
        <v>426</v>
      </c>
      <c r="BB549" s="15" t="b">
        <v>1</v>
      </c>
      <c r="BC549" s="15" t="s">
        <v>6316</v>
      </c>
      <c r="BD549" s="15" t="s">
        <v>742</v>
      </c>
      <c r="BE549" s="15" t="str">
        <f>"2"</f>
        <v>2</v>
      </c>
      <c r="BF549" s="15" t="s">
        <v>6317</v>
      </c>
      <c r="BG549" s="15" t="str">
        <f>"94.29"</f>
        <v>94.29</v>
      </c>
      <c r="BH549" s="15" t="s">
        <v>6318</v>
      </c>
      <c r="BI549" s="15" t="str">
        <f>"44.69"</f>
        <v>44.69</v>
      </c>
      <c r="BJ549" s="15" t="s">
        <v>6319</v>
      </c>
      <c r="BK549" s="15" t="str">
        <f>"31.89"</f>
        <v>31.89</v>
      </c>
      <c r="BL549" s="15" t="s">
        <v>1183</v>
      </c>
      <c r="BM549" s="15" t="str">
        <f>"123.46"</f>
        <v>123.46</v>
      </c>
      <c r="BN549" s="15" t="s">
        <v>5318</v>
      </c>
      <c r="BO549" s="15" t="s">
        <v>6317</v>
      </c>
      <c r="BP549" s="15" t="str">
        <f>"73.23"</f>
        <v>73.23</v>
      </c>
      <c r="BQ549" s="15" t="s">
        <v>3759</v>
      </c>
      <c r="BR549" s="15" t="str">
        <f>"39.96"</f>
        <v>39.96</v>
      </c>
      <c r="BS549" s="15" t="s">
        <v>6320</v>
      </c>
      <c r="BT549" s="15" t="str">
        <f>"31.89"</f>
        <v>31.89</v>
      </c>
      <c r="BU549" s="15" t="s">
        <v>1183</v>
      </c>
      <c r="BV549" s="15" t="str">
        <f>"105.82"</f>
        <v>105.82</v>
      </c>
      <c r="BW549" s="15" t="s">
        <v>2961</v>
      </c>
      <c r="BZ549" s="15" t="s">
        <v>444</v>
      </c>
      <c r="CB549" s="15" t="s">
        <v>444</v>
      </c>
      <c r="CD549" s="15" t="s">
        <v>444</v>
      </c>
      <c r="CF549" s="15" t="s">
        <v>444</v>
      </c>
      <c r="CI549" s="15" t="s">
        <v>444</v>
      </c>
      <c r="CK549" s="15" t="s">
        <v>444</v>
      </c>
      <c r="CM549" s="15" t="s">
        <v>444</v>
      </c>
      <c r="CO549" s="15" t="s">
        <v>444</v>
      </c>
      <c r="CP549" s="15" t="str">
        <f>"131.76"</f>
        <v>131.76</v>
      </c>
      <c r="CQ549" s="15" t="str">
        <f>"3.731"</f>
        <v>3.731</v>
      </c>
      <c r="CR549" s="15" t="s">
        <v>497</v>
      </c>
      <c r="DC549" s="15" t="str">
        <f>IFERROR(__xludf.DUMMYFUNCTION("""COMPUTED_VALUE"""),"")</f>
        <v/>
      </c>
      <c r="DE549" s="15" t="str">
        <f>IFERROR(__xludf.DUMMYFUNCTION("""COMPUTED_VALUE"""),"")</f>
        <v/>
      </c>
      <c r="DG549" s="15" t="str">
        <f>IFERROR(__xludf.DUMMYFUNCTION("""COMPUTED_VALUE"""),"")</f>
        <v/>
      </c>
      <c r="DH549" s="15">
        <v>0.0</v>
      </c>
      <c r="DI549" s="15">
        <v>0.0</v>
      </c>
      <c r="DJ549" s="15" t="s">
        <v>717</v>
      </c>
      <c r="DK549" s="15" t="s">
        <v>855</v>
      </c>
      <c r="DL549" s="15" t="str">
        <f>IFERROR(__xludf.DUMMYFUNCTION("""COMPUTED_VALUE"""),"Clean with solvent-based (dry clean only) products. Do not use water.")</f>
        <v>Clean with solvent-based (dry clean only) products. Do not use water.</v>
      </c>
      <c r="DM549" s="15" t="s">
        <v>856</v>
      </c>
      <c r="DQ549" s="15" t="s">
        <v>6321</v>
      </c>
      <c r="DT549" s="15" t="s">
        <v>721</v>
      </c>
      <c r="DU549" s="15" t="s">
        <v>419</v>
      </c>
      <c r="DV549" s="15">
        <v>0.0</v>
      </c>
      <c r="DZ549" s="15">
        <v>25000.0</v>
      </c>
      <c r="EA549" s="15" t="s">
        <v>722</v>
      </c>
      <c r="ED549" s="15">
        <v>0.0</v>
      </c>
      <c r="EE549" s="15">
        <v>3.0</v>
      </c>
      <c r="EF549" s="15" t="s">
        <v>3405</v>
      </c>
      <c r="EG549" s="15" t="s">
        <v>3406</v>
      </c>
      <c r="EH549" s="15" t="s">
        <v>6322</v>
      </c>
      <c r="EI549" s="15">
        <v>0.0</v>
      </c>
      <c r="EJ549" s="15" t="s">
        <v>473</v>
      </c>
      <c r="EK549" s="15" t="s">
        <v>474</v>
      </c>
      <c r="EM549" s="15" t="str">
        <f>IFERROR(__xludf.DUMMYFUNCTION("""COMPUTED_VALUE"""),"")</f>
        <v/>
      </c>
      <c r="FE549" s="15" t="s">
        <v>6321</v>
      </c>
      <c r="FF549" s="15" t="s">
        <v>6321</v>
      </c>
      <c r="FL549" s="15" t="s">
        <v>426</v>
      </c>
      <c r="FQ549" s="15">
        <v>0.0</v>
      </c>
      <c r="FR549" s="15">
        <v>0.0</v>
      </c>
      <c r="FT549" s="15">
        <v>0.0</v>
      </c>
      <c r="HO549" s="15" t="s">
        <v>3409</v>
      </c>
      <c r="HP549" s="15" t="s">
        <v>3415</v>
      </c>
    </row>
    <row r="550" ht="15.75" customHeight="1">
      <c r="A550" s="14" t="s">
        <v>391</v>
      </c>
      <c r="B550" s="15" t="s">
        <v>6323</v>
      </c>
      <c r="C550" s="16"/>
      <c r="D550" s="15" t="s">
        <v>432</v>
      </c>
      <c r="G550" s="14" t="s">
        <v>393</v>
      </c>
      <c r="H550" s="14" t="s">
        <v>394</v>
      </c>
      <c r="I550" s="14" t="b">
        <v>1</v>
      </c>
      <c r="J550" s="14" t="s">
        <v>395</v>
      </c>
      <c r="L550" s="14" t="b">
        <v>0</v>
      </c>
      <c r="M550" s="15" t="s">
        <v>6324</v>
      </c>
      <c r="N550" s="14" t="s">
        <v>393</v>
      </c>
      <c r="O550" s="14" t="s">
        <v>393</v>
      </c>
      <c r="P550" s="15" t="s">
        <v>397</v>
      </c>
      <c r="Q550" s="15" t="s">
        <v>5576</v>
      </c>
      <c r="T550" s="14" t="b">
        <v>0</v>
      </c>
      <c r="U550" s="15" t="s">
        <v>6325</v>
      </c>
      <c r="V550" s="15" t="s">
        <v>6326</v>
      </c>
      <c r="W550" s="15" t="s">
        <v>401</v>
      </c>
      <c r="X550" s="15" t="s">
        <v>695</v>
      </c>
      <c r="Y550" s="15">
        <v>1157.0</v>
      </c>
      <c r="AA550" s="15" t="str">
        <f>"445"</f>
        <v>445</v>
      </c>
      <c r="AB550" s="14" t="b">
        <v>1</v>
      </c>
      <c r="AC550" s="14" t="b">
        <v>1</v>
      </c>
      <c r="AD550" s="15" t="str">
        <f>"198394053952"</f>
        <v>198394053952</v>
      </c>
      <c r="AE550" s="15" t="s">
        <v>6327</v>
      </c>
      <c r="AF550" s="14" t="s">
        <v>404</v>
      </c>
      <c r="AG550" s="14" t="s">
        <v>405</v>
      </c>
      <c r="AH550" s="14" t="s">
        <v>406</v>
      </c>
      <c r="AI550" s="15">
        <v>0.0</v>
      </c>
      <c r="AL550" s="15" t="s">
        <v>5580</v>
      </c>
      <c r="AM550" s="15" t="s">
        <v>4196</v>
      </c>
      <c r="AN550" s="15" t="s">
        <v>3371</v>
      </c>
      <c r="AO550" s="15" t="s">
        <v>1248</v>
      </c>
      <c r="AP550" s="15" t="s">
        <v>1249</v>
      </c>
      <c r="AQ550" s="15" t="s">
        <v>1248</v>
      </c>
      <c r="AR550" s="15" t="s">
        <v>1249</v>
      </c>
      <c r="AS550" s="15" t="s">
        <v>915</v>
      </c>
      <c r="AT550" s="15" t="s">
        <v>5576</v>
      </c>
      <c r="AU550" s="15" t="s">
        <v>6328</v>
      </c>
      <c r="AW550" s="15" t="s">
        <v>458</v>
      </c>
      <c r="AX550" s="15" t="s">
        <v>459</v>
      </c>
      <c r="AY550" s="15" t="s">
        <v>413</v>
      </c>
      <c r="AZ550" s="15" t="b">
        <v>0</v>
      </c>
      <c r="BA550" s="15" t="s">
        <v>426</v>
      </c>
      <c r="BB550" s="15" t="b">
        <v>1</v>
      </c>
      <c r="BC550" s="15" t="s">
        <v>6329</v>
      </c>
      <c r="BD550" s="15" t="s">
        <v>709</v>
      </c>
      <c r="BE550" s="15" t="str">
        <f t="shared" ref="BE550:BE559" si="978">"1"</f>
        <v>1</v>
      </c>
      <c r="BF550" s="15" t="s">
        <v>416</v>
      </c>
      <c r="BG550" s="15" t="str">
        <f t="shared" ref="BG550:BG552" si="979">"76.38"</f>
        <v>76.38</v>
      </c>
      <c r="BH550" s="15" t="s">
        <v>1588</v>
      </c>
      <c r="BI550" s="15" t="str">
        <f t="shared" ref="BI550:BI552" si="980">"22.05"</f>
        <v>22.05</v>
      </c>
      <c r="BJ550" s="15" t="s">
        <v>2310</v>
      </c>
      <c r="BK550" s="15" t="str">
        <f t="shared" ref="BK550:BK553" si="981">"22.83"</f>
        <v>22.83</v>
      </c>
      <c r="BL550" s="15" t="s">
        <v>1543</v>
      </c>
      <c r="BM550" s="15" t="str">
        <f t="shared" ref="BM550:BM552" si="982">"91.49"</f>
        <v>91.49</v>
      </c>
      <c r="BN550" s="15" t="s">
        <v>6330</v>
      </c>
      <c r="BQ550" s="15" t="s">
        <v>444</v>
      </c>
      <c r="BS550" s="15" t="s">
        <v>444</v>
      </c>
      <c r="BU550" s="15" t="s">
        <v>444</v>
      </c>
      <c r="BW550" s="15" t="s">
        <v>444</v>
      </c>
      <c r="BZ550" s="15" t="s">
        <v>444</v>
      </c>
      <c r="CB550" s="15" t="s">
        <v>444</v>
      </c>
      <c r="CD550" s="15" t="s">
        <v>444</v>
      </c>
      <c r="CF550" s="15" t="s">
        <v>444</v>
      </c>
      <c r="CI550" s="15" t="s">
        <v>444</v>
      </c>
      <c r="CK550" s="15" t="s">
        <v>444</v>
      </c>
      <c r="CM550" s="15" t="s">
        <v>444</v>
      </c>
      <c r="CO550" s="15" t="s">
        <v>444</v>
      </c>
      <c r="CP550" s="15" t="str">
        <f t="shared" ref="CP550:CP552" si="983">"22.25"</f>
        <v>22.25</v>
      </c>
      <c r="CQ550" s="15" t="str">
        <f t="shared" ref="CQ550:CQ552" si="984">"0.63"</f>
        <v>0.63</v>
      </c>
      <c r="CR550" s="15" t="s">
        <v>465</v>
      </c>
      <c r="DB550" s="15" t="s">
        <v>1237</v>
      </c>
      <c r="DC550" s="15" t="str">
        <f>IFERROR(__xludf.DUMMYFUNCTION("""COMPUTED_VALUE"""),"{""value"":20.50,""unit"":""in""}")</f>
        <v>{"value":20.50,"unit":"in"}</v>
      </c>
      <c r="DD550" s="15" t="s">
        <v>1237</v>
      </c>
      <c r="DE550" s="15" t="str">
        <f>IFERROR(__xludf.DUMMYFUNCTION("""COMPUTED_VALUE"""),"{""value"":20.50,""unit"":""in""}")</f>
        <v>{"value":20.50,"unit":"in"}</v>
      </c>
      <c r="DF550" s="15" t="s">
        <v>6331</v>
      </c>
      <c r="DG550" s="15" t="str">
        <f>IFERROR(__xludf.DUMMYFUNCTION("""COMPUTED_VALUE"""),"{""value"":75.50,""unit"":""in""}")</f>
        <v>{"value":75.50,"unit":"in"}</v>
      </c>
      <c r="DH550" s="15">
        <v>0.0</v>
      </c>
      <c r="DI550" s="15">
        <v>0.0</v>
      </c>
      <c r="DJ550" s="15" t="s">
        <v>469</v>
      </c>
      <c r="DK550" s="15" t="s">
        <v>855</v>
      </c>
      <c r="DL550" s="15" t="str">
        <f>IFERROR(__xludf.DUMMYFUNCTION("""COMPUTED_VALUE"""),"Clean with solvent-based (dry clean only) products. Do not use water.")</f>
        <v>Clean with solvent-based (dry clean only) products. Do not use water.</v>
      </c>
      <c r="DM550" s="15" t="s">
        <v>856</v>
      </c>
      <c r="DN550" s="15" t="s">
        <v>419</v>
      </c>
      <c r="DO550" s="15">
        <v>0.0</v>
      </c>
      <c r="DP550" s="15" t="s">
        <v>419</v>
      </c>
      <c r="DR550" s="15">
        <v>0.0</v>
      </c>
      <c r="DU550" s="15" t="s">
        <v>419</v>
      </c>
      <c r="DV550" s="15">
        <v>0.0</v>
      </c>
      <c r="DW550" s="15">
        <v>0.0</v>
      </c>
      <c r="DX550" s="15">
        <v>0.0</v>
      </c>
      <c r="DY550" s="15">
        <v>0.0</v>
      </c>
      <c r="DZ550" s="15">
        <v>25000.0</v>
      </c>
      <c r="EA550" s="15" t="s">
        <v>990</v>
      </c>
      <c r="EB550" s="15" t="s">
        <v>1016</v>
      </c>
      <c r="EC550" s="15" t="s">
        <v>724</v>
      </c>
      <c r="ED550" s="15">
        <v>1.0</v>
      </c>
      <c r="EE550" s="15">
        <v>3.0</v>
      </c>
      <c r="EF550" s="15" t="s">
        <v>1112</v>
      </c>
      <c r="EG550" s="15" t="s">
        <v>1113</v>
      </c>
      <c r="EH550" s="15" t="s">
        <v>6332</v>
      </c>
      <c r="EI550" s="15">
        <v>0.0</v>
      </c>
      <c r="EJ550" s="15" t="s">
        <v>473</v>
      </c>
      <c r="EK550" s="15" t="s">
        <v>474</v>
      </c>
      <c r="EM550" s="15" t="str">
        <f>IFERROR(__xludf.DUMMYFUNCTION("""COMPUTED_VALUE"""),"")</f>
        <v/>
      </c>
      <c r="EW550" s="15" t="s">
        <v>2402</v>
      </c>
      <c r="EY550" s="15" t="s">
        <v>960</v>
      </c>
      <c r="FF550" s="15" t="s">
        <v>860</v>
      </c>
    </row>
    <row r="551" ht="15.75" customHeight="1">
      <c r="A551" s="14" t="s">
        <v>391</v>
      </c>
      <c r="B551" s="15" t="s">
        <v>6323</v>
      </c>
      <c r="C551" s="16"/>
      <c r="D551" s="15" t="s">
        <v>432</v>
      </c>
      <c r="G551" s="14" t="s">
        <v>393</v>
      </c>
      <c r="H551" s="14" t="s">
        <v>394</v>
      </c>
      <c r="I551" s="14" t="b">
        <v>1</v>
      </c>
      <c r="J551" s="14" t="s">
        <v>395</v>
      </c>
      <c r="L551" s="14" t="b">
        <v>0</v>
      </c>
      <c r="M551" s="15" t="s">
        <v>6333</v>
      </c>
      <c r="N551" s="14" t="s">
        <v>393</v>
      </c>
      <c r="O551" s="14" t="s">
        <v>393</v>
      </c>
      <c r="P551" s="15" t="s">
        <v>397</v>
      </c>
      <c r="Q551" s="15" t="s">
        <v>1262</v>
      </c>
      <c r="T551" s="14" t="b">
        <v>0</v>
      </c>
      <c r="U551" s="15" t="s">
        <v>6334</v>
      </c>
      <c r="V551" s="15" t="s">
        <v>6326</v>
      </c>
      <c r="W551" s="15" t="s">
        <v>401</v>
      </c>
      <c r="X551" s="15" t="s">
        <v>695</v>
      </c>
      <c r="Y551" s="15">
        <v>1313.0</v>
      </c>
      <c r="AA551" s="15" t="str">
        <f>"505"</f>
        <v>505</v>
      </c>
      <c r="AB551" s="14" t="b">
        <v>1</v>
      </c>
      <c r="AC551" s="14" t="b">
        <v>1</v>
      </c>
      <c r="AD551" s="15" t="str">
        <f>"801542821258"</f>
        <v>801542821258</v>
      </c>
      <c r="AE551" s="15" t="s">
        <v>6335</v>
      </c>
      <c r="AF551" s="14" t="s">
        <v>404</v>
      </c>
      <c r="AG551" s="14" t="s">
        <v>405</v>
      </c>
      <c r="AH551" s="14" t="s">
        <v>406</v>
      </c>
      <c r="AI551" s="15">
        <v>0.0</v>
      </c>
      <c r="AL551" s="15" t="s">
        <v>1265</v>
      </c>
      <c r="AM551" s="15" t="s">
        <v>4196</v>
      </c>
      <c r="AN551" s="15" t="s">
        <v>3371</v>
      </c>
      <c r="AO551" s="15" t="s">
        <v>1248</v>
      </c>
      <c r="AP551" s="15" t="s">
        <v>1249</v>
      </c>
      <c r="AQ551" s="15" t="s">
        <v>1248</v>
      </c>
      <c r="AR551" s="15" t="s">
        <v>1249</v>
      </c>
      <c r="AS551" s="15" t="s">
        <v>915</v>
      </c>
      <c r="AT551" s="15" t="s">
        <v>1262</v>
      </c>
      <c r="AU551" s="15" t="s">
        <v>1087</v>
      </c>
      <c r="AW551" s="15" t="s">
        <v>458</v>
      </c>
      <c r="AX551" s="15" t="s">
        <v>459</v>
      </c>
      <c r="AY551" s="15" t="s">
        <v>413</v>
      </c>
      <c r="AZ551" s="15" t="b">
        <v>0</v>
      </c>
      <c r="BA551" s="15" t="s">
        <v>413</v>
      </c>
      <c r="BB551" s="15" t="b">
        <v>0</v>
      </c>
      <c r="BC551" s="15" t="s">
        <v>6336</v>
      </c>
      <c r="BD551" s="15" t="s">
        <v>709</v>
      </c>
      <c r="BE551" s="15" t="str">
        <f t="shared" si="978"/>
        <v>1</v>
      </c>
      <c r="BF551" s="15" t="s">
        <v>416</v>
      </c>
      <c r="BG551" s="15" t="str">
        <f t="shared" si="979"/>
        <v>76.38</v>
      </c>
      <c r="BH551" s="15" t="s">
        <v>1588</v>
      </c>
      <c r="BI551" s="15" t="str">
        <f t="shared" si="980"/>
        <v>22.05</v>
      </c>
      <c r="BJ551" s="15" t="s">
        <v>2310</v>
      </c>
      <c r="BK551" s="15" t="str">
        <f t="shared" si="981"/>
        <v>22.83</v>
      </c>
      <c r="BL551" s="15" t="s">
        <v>1543</v>
      </c>
      <c r="BM551" s="15" t="str">
        <f t="shared" si="982"/>
        <v>91.49</v>
      </c>
      <c r="BN551" s="15" t="s">
        <v>6330</v>
      </c>
      <c r="BQ551" s="15" t="s">
        <v>444</v>
      </c>
      <c r="BS551" s="15" t="s">
        <v>444</v>
      </c>
      <c r="BU551" s="15" t="s">
        <v>444</v>
      </c>
      <c r="BW551" s="15" t="s">
        <v>444</v>
      </c>
      <c r="BZ551" s="15" t="s">
        <v>444</v>
      </c>
      <c r="CB551" s="15" t="s">
        <v>444</v>
      </c>
      <c r="CD551" s="15" t="s">
        <v>444</v>
      </c>
      <c r="CF551" s="15" t="s">
        <v>444</v>
      </c>
      <c r="CI551" s="15" t="s">
        <v>444</v>
      </c>
      <c r="CK551" s="15" t="s">
        <v>444</v>
      </c>
      <c r="CM551" s="15" t="s">
        <v>444</v>
      </c>
      <c r="CO551" s="15" t="s">
        <v>444</v>
      </c>
      <c r="CP551" s="15" t="str">
        <f t="shared" si="983"/>
        <v>22.25</v>
      </c>
      <c r="CQ551" s="15" t="str">
        <f t="shared" si="984"/>
        <v>0.63</v>
      </c>
      <c r="CR551" s="15" t="s">
        <v>497</v>
      </c>
      <c r="DB551" s="15" t="s">
        <v>1237</v>
      </c>
      <c r="DC551" s="15" t="str">
        <f>IFERROR(__xludf.DUMMYFUNCTION("""COMPUTED_VALUE"""),"{""value"":20.50,""unit"":""in""}")</f>
        <v>{"value":20.50,"unit":"in"}</v>
      </c>
      <c r="DD551" s="15" t="s">
        <v>1237</v>
      </c>
      <c r="DE551" s="15" t="str">
        <f>IFERROR(__xludf.DUMMYFUNCTION("""COMPUTED_VALUE"""),"{""value"":20.50,""unit"":""in""}")</f>
        <v>{"value":20.50,"unit":"in"}</v>
      </c>
      <c r="DF551" s="15" t="s">
        <v>6331</v>
      </c>
      <c r="DG551" s="15" t="str">
        <f>IFERROR(__xludf.DUMMYFUNCTION("""COMPUTED_VALUE"""),"{""value"":75.50,""unit"":""in""}")</f>
        <v>{"value":75.50,"unit":"in"}</v>
      </c>
      <c r="DH551" s="15">
        <v>0.0</v>
      </c>
      <c r="DI551" s="15">
        <v>0.0</v>
      </c>
      <c r="DJ551" s="15" t="s">
        <v>469</v>
      </c>
      <c r="DK551" s="15" t="s">
        <v>897</v>
      </c>
      <c r="DL551" s="15" t="str">
        <f>IFERROR(__xludf.DUMMYFUNCTION("""COMPUTED_VALUE"""),"Clean with water-based products only. Use mild detergent or upholstery shampoo.")</f>
        <v>Clean with water-based products only. Use mild detergent or upholstery shampoo.</v>
      </c>
      <c r="DM551" s="15" t="s">
        <v>898</v>
      </c>
      <c r="DN551" s="15" t="s">
        <v>419</v>
      </c>
      <c r="DO551" s="15">
        <v>0.0</v>
      </c>
      <c r="DP551" s="15" t="s">
        <v>419</v>
      </c>
      <c r="DR551" s="15">
        <v>0.0</v>
      </c>
      <c r="DU551" s="15" t="s">
        <v>419</v>
      </c>
      <c r="DV551" s="15">
        <v>0.0</v>
      </c>
      <c r="DW551" s="15">
        <v>0.0</v>
      </c>
      <c r="DX551" s="15">
        <v>0.0</v>
      </c>
      <c r="DY551" s="15">
        <v>0.0</v>
      </c>
      <c r="DZ551" s="15">
        <v>30000.0</v>
      </c>
      <c r="EA551" s="15" t="s">
        <v>990</v>
      </c>
      <c r="EB551" s="15" t="s">
        <v>1016</v>
      </c>
      <c r="EC551" s="15" t="s">
        <v>724</v>
      </c>
      <c r="ED551" s="15">
        <v>1.0</v>
      </c>
      <c r="EE551" s="15">
        <v>3.0</v>
      </c>
      <c r="EF551" s="15" t="s">
        <v>1112</v>
      </c>
      <c r="EG551" s="15" t="s">
        <v>1113</v>
      </c>
      <c r="EH551" s="15" t="s">
        <v>6332</v>
      </c>
      <c r="EI551" s="15">
        <v>0.0</v>
      </c>
      <c r="EJ551" s="15" t="s">
        <v>473</v>
      </c>
      <c r="EK551" s="15" t="s">
        <v>474</v>
      </c>
      <c r="EM551" s="15" t="str">
        <f>IFERROR(__xludf.DUMMYFUNCTION("""COMPUTED_VALUE"""),"")</f>
        <v/>
      </c>
      <c r="EW551" s="15" t="s">
        <v>2402</v>
      </c>
      <c r="EY551" s="15" t="s">
        <v>960</v>
      </c>
      <c r="FF551" s="15" t="s">
        <v>860</v>
      </c>
    </row>
    <row r="552" ht="15.75" customHeight="1">
      <c r="A552" s="14" t="s">
        <v>391</v>
      </c>
      <c r="B552" s="15" t="s">
        <v>6323</v>
      </c>
      <c r="C552" s="16"/>
      <c r="D552" s="15" t="s">
        <v>432</v>
      </c>
      <c r="G552" s="14" t="s">
        <v>393</v>
      </c>
      <c r="H552" s="14" t="s">
        <v>394</v>
      </c>
      <c r="I552" s="14" t="b">
        <v>1</v>
      </c>
      <c r="J552" s="14" t="s">
        <v>395</v>
      </c>
      <c r="L552" s="14" t="b">
        <v>0</v>
      </c>
      <c r="M552" s="15" t="s">
        <v>6337</v>
      </c>
      <c r="N552" s="14" t="s">
        <v>393</v>
      </c>
      <c r="O552" s="14" t="s">
        <v>393</v>
      </c>
      <c r="P552" s="15" t="s">
        <v>397</v>
      </c>
      <c r="Q552" s="15" t="s">
        <v>6338</v>
      </c>
      <c r="T552" s="14" t="b">
        <v>0</v>
      </c>
      <c r="U552" s="15" t="s">
        <v>6339</v>
      </c>
      <c r="V552" s="15" t="s">
        <v>6326</v>
      </c>
      <c r="W552" s="15" t="s">
        <v>401</v>
      </c>
      <c r="X552" s="15" t="s">
        <v>695</v>
      </c>
      <c r="Y552" s="15">
        <v>1157.0</v>
      </c>
      <c r="AA552" s="15" t="str">
        <f>"445"</f>
        <v>445</v>
      </c>
      <c r="AB552" s="14" t="b">
        <v>1</v>
      </c>
      <c r="AC552" s="14" t="b">
        <v>1</v>
      </c>
      <c r="AD552" s="15" t="str">
        <f>"198394027236"</f>
        <v>198394027236</v>
      </c>
      <c r="AE552" s="15" t="s">
        <v>6340</v>
      </c>
      <c r="AF552" s="14" t="s">
        <v>404</v>
      </c>
      <c r="AG552" s="14" t="s">
        <v>405</v>
      </c>
      <c r="AH552" s="14" t="s">
        <v>406</v>
      </c>
      <c r="AI552" s="15">
        <v>0.0</v>
      </c>
      <c r="AL552" s="15" t="s">
        <v>832</v>
      </c>
      <c r="AM552" s="15" t="s">
        <v>4196</v>
      </c>
      <c r="AN552" s="15" t="s">
        <v>3371</v>
      </c>
      <c r="AO552" s="15" t="s">
        <v>1248</v>
      </c>
      <c r="AP552" s="15" t="s">
        <v>1249</v>
      </c>
      <c r="AQ552" s="15" t="s">
        <v>1248</v>
      </c>
      <c r="AR552" s="15" t="s">
        <v>1249</v>
      </c>
      <c r="AS552" s="15" t="s">
        <v>915</v>
      </c>
      <c r="AT552" s="15" t="s">
        <v>6338</v>
      </c>
      <c r="AU552" s="15" t="s">
        <v>6328</v>
      </c>
      <c r="AW552" s="15" t="s">
        <v>458</v>
      </c>
      <c r="AX552" s="15" t="s">
        <v>459</v>
      </c>
      <c r="AY552" s="15" t="s">
        <v>413</v>
      </c>
      <c r="AZ552" s="15" t="b">
        <v>0</v>
      </c>
      <c r="BA552" s="15" t="s">
        <v>426</v>
      </c>
      <c r="BB552" s="15" t="b">
        <v>1</v>
      </c>
      <c r="BC552" s="15" t="s">
        <v>6336</v>
      </c>
      <c r="BD552" s="15" t="s">
        <v>709</v>
      </c>
      <c r="BE552" s="15" t="str">
        <f t="shared" si="978"/>
        <v>1</v>
      </c>
      <c r="BF552" s="15" t="s">
        <v>416</v>
      </c>
      <c r="BG552" s="15" t="str">
        <f t="shared" si="979"/>
        <v>76.38</v>
      </c>
      <c r="BH552" s="15" t="s">
        <v>1588</v>
      </c>
      <c r="BI552" s="15" t="str">
        <f t="shared" si="980"/>
        <v>22.05</v>
      </c>
      <c r="BJ552" s="15" t="s">
        <v>2310</v>
      </c>
      <c r="BK552" s="15" t="str">
        <f t="shared" si="981"/>
        <v>22.83</v>
      </c>
      <c r="BL552" s="15" t="s">
        <v>1543</v>
      </c>
      <c r="BM552" s="15" t="str">
        <f t="shared" si="982"/>
        <v>91.49</v>
      </c>
      <c r="BN552" s="15" t="s">
        <v>6330</v>
      </c>
      <c r="BQ552" s="15" t="s">
        <v>444</v>
      </c>
      <c r="BS552" s="15" t="s">
        <v>444</v>
      </c>
      <c r="BU552" s="15" t="s">
        <v>444</v>
      </c>
      <c r="BW552" s="15" t="s">
        <v>444</v>
      </c>
      <c r="BZ552" s="15" t="s">
        <v>444</v>
      </c>
      <c r="CB552" s="15" t="s">
        <v>444</v>
      </c>
      <c r="CD552" s="15" t="s">
        <v>444</v>
      </c>
      <c r="CF552" s="15" t="s">
        <v>444</v>
      </c>
      <c r="CI552" s="15" t="s">
        <v>444</v>
      </c>
      <c r="CK552" s="15" t="s">
        <v>444</v>
      </c>
      <c r="CM552" s="15" t="s">
        <v>444</v>
      </c>
      <c r="CO552" s="15" t="s">
        <v>444</v>
      </c>
      <c r="CP552" s="15" t="str">
        <f t="shared" si="983"/>
        <v>22.25</v>
      </c>
      <c r="CQ552" s="15" t="str">
        <f t="shared" si="984"/>
        <v>0.63</v>
      </c>
      <c r="CR552" s="15" t="s">
        <v>497</v>
      </c>
      <c r="DB552" s="15" t="s">
        <v>1237</v>
      </c>
      <c r="DC552" s="15" t="str">
        <f>IFERROR(__xludf.DUMMYFUNCTION("""COMPUTED_VALUE"""),"{""value"":20.50,""unit"":""in""}")</f>
        <v>{"value":20.50,"unit":"in"}</v>
      </c>
      <c r="DD552" s="15" t="s">
        <v>1237</v>
      </c>
      <c r="DE552" s="15" t="str">
        <f>IFERROR(__xludf.DUMMYFUNCTION("""COMPUTED_VALUE"""),"{""value"":20.50,""unit"":""in""}")</f>
        <v>{"value":20.50,"unit":"in"}</v>
      </c>
      <c r="DF552" s="15" t="s">
        <v>6331</v>
      </c>
      <c r="DG552" s="15" t="str">
        <f>IFERROR(__xludf.DUMMYFUNCTION("""COMPUTED_VALUE"""),"{""value"":75.50,""unit"":""in""}")</f>
        <v>{"value":75.50,"unit":"in"}</v>
      </c>
      <c r="DH552" s="15">
        <v>0.0</v>
      </c>
      <c r="DI552" s="15">
        <v>0.0</v>
      </c>
      <c r="DJ552" s="15" t="s">
        <v>469</v>
      </c>
      <c r="DK552" s="15" t="s">
        <v>934</v>
      </c>
      <c r="DL552" s="15" t="str">
        <f>IFERROR(__xludf.DUMMYFUNCTION("""COMPUTED_VALUE"""),"Spot clean with water-based or solvent-based cleaner. Use mild detergent or upholstery shampoo.")</f>
        <v>Spot clean with water-based or solvent-based cleaner. Use mild detergent or upholstery shampoo.</v>
      </c>
      <c r="DM552" s="15" t="s">
        <v>935</v>
      </c>
      <c r="DN552" s="15" t="s">
        <v>419</v>
      </c>
      <c r="DO552" s="15">
        <v>0.0</v>
      </c>
      <c r="DP552" s="15" t="s">
        <v>419</v>
      </c>
      <c r="DR552" s="15">
        <v>0.0</v>
      </c>
      <c r="DU552" s="15" t="s">
        <v>419</v>
      </c>
      <c r="DV552" s="15">
        <v>0.0</v>
      </c>
      <c r="DW552" s="15">
        <v>0.0</v>
      </c>
      <c r="DX552" s="15">
        <v>0.0</v>
      </c>
      <c r="DY552" s="15">
        <v>0.0</v>
      </c>
      <c r="DZ552" s="15">
        <v>100000.0</v>
      </c>
      <c r="EA552" s="15" t="s">
        <v>990</v>
      </c>
      <c r="EB552" s="15" t="s">
        <v>1016</v>
      </c>
      <c r="EC552" s="15" t="s">
        <v>724</v>
      </c>
      <c r="ED552" s="15">
        <v>1.0</v>
      </c>
      <c r="EE552" s="15">
        <v>3.0</v>
      </c>
      <c r="EF552" s="15" t="s">
        <v>1112</v>
      </c>
      <c r="EG552" s="15" t="s">
        <v>1113</v>
      </c>
      <c r="EH552" s="15" t="s">
        <v>6332</v>
      </c>
      <c r="EI552" s="15">
        <v>0.0</v>
      </c>
      <c r="EJ552" s="15" t="s">
        <v>473</v>
      </c>
      <c r="EK552" s="15" t="s">
        <v>474</v>
      </c>
      <c r="EM552" s="15" t="str">
        <f>IFERROR(__xludf.DUMMYFUNCTION("""COMPUTED_VALUE"""),"")</f>
        <v/>
      </c>
      <c r="EW552" s="15" t="s">
        <v>2402</v>
      </c>
      <c r="EY552" s="15" t="s">
        <v>960</v>
      </c>
      <c r="FF552" s="15" t="s">
        <v>860</v>
      </c>
    </row>
    <row r="553" ht="15.75" customHeight="1">
      <c r="A553" s="14" t="s">
        <v>391</v>
      </c>
      <c r="B553" s="15" t="s">
        <v>6341</v>
      </c>
      <c r="C553" s="16"/>
      <c r="D553" s="15" t="s">
        <v>432</v>
      </c>
      <c r="G553" s="14" t="s">
        <v>393</v>
      </c>
      <c r="H553" s="14" t="s">
        <v>394</v>
      </c>
      <c r="I553" s="14" t="b">
        <v>1</v>
      </c>
      <c r="J553" s="14" t="s">
        <v>395</v>
      </c>
      <c r="L553" s="14" t="b">
        <v>0</v>
      </c>
      <c r="M553" s="15" t="s">
        <v>6342</v>
      </c>
      <c r="N553" s="14" t="s">
        <v>393</v>
      </c>
      <c r="O553" s="14" t="s">
        <v>393</v>
      </c>
      <c r="P553" s="15" t="s">
        <v>397</v>
      </c>
      <c r="Q553" s="15" t="s">
        <v>1218</v>
      </c>
      <c r="T553" s="14" t="b">
        <v>0</v>
      </c>
      <c r="U553" s="15" t="s">
        <v>6343</v>
      </c>
      <c r="V553" s="15" t="s">
        <v>6344</v>
      </c>
      <c r="W553" s="15" t="s">
        <v>401</v>
      </c>
      <c r="X553" s="15" t="s">
        <v>695</v>
      </c>
      <c r="Y553" s="15">
        <v>715.0</v>
      </c>
      <c r="AA553" s="15" t="str">
        <f>"275"</f>
        <v>275</v>
      </c>
      <c r="AB553" s="14" t="b">
        <v>1</v>
      </c>
      <c r="AC553" s="14" t="b">
        <v>1</v>
      </c>
      <c r="AD553" s="15" t="str">
        <f>"198394028615"</f>
        <v>198394028615</v>
      </c>
      <c r="AE553" s="15" t="s">
        <v>6345</v>
      </c>
      <c r="AF553" s="14" t="s">
        <v>404</v>
      </c>
      <c r="AG553" s="14" t="s">
        <v>405</v>
      </c>
      <c r="AH553" s="14" t="s">
        <v>406</v>
      </c>
      <c r="AI553" s="15">
        <v>0.0</v>
      </c>
      <c r="AL553" s="15" t="s">
        <v>832</v>
      </c>
      <c r="AM553" s="15" t="s">
        <v>1246</v>
      </c>
      <c r="AN553" s="15" t="s">
        <v>1247</v>
      </c>
      <c r="AO553" s="15" t="s">
        <v>1248</v>
      </c>
      <c r="AP553" s="15" t="s">
        <v>1249</v>
      </c>
      <c r="AQ553" s="15" t="s">
        <v>515</v>
      </c>
      <c r="AR553" s="15" t="s">
        <v>516</v>
      </c>
      <c r="AS553" s="15" t="s">
        <v>915</v>
      </c>
      <c r="AT553" s="15" t="s">
        <v>1218</v>
      </c>
      <c r="AU553" s="15" t="s">
        <v>1087</v>
      </c>
      <c r="AW553" s="15" t="s">
        <v>1009</v>
      </c>
      <c r="AY553" s="15" t="s">
        <v>413</v>
      </c>
      <c r="AZ553" s="15" t="b">
        <v>0</v>
      </c>
      <c r="BA553" s="15" t="s">
        <v>413</v>
      </c>
      <c r="BB553" s="15" t="b">
        <v>0</v>
      </c>
      <c r="BC553" s="15" t="s">
        <v>6346</v>
      </c>
      <c r="BD553" s="15" t="s">
        <v>709</v>
      </c>
      <c r="BE553" s="15" t="str">
        <f t="shared" si="978"/>
        <v>1</v>
      </c>
      <c r="BF553" s="15" t="s">
        <v>416</v>
      </c>
      <c r="BG553" s="15" t="str">
        <f>"24.02"</f>
        <v>24.02</v>
      </c>
      <c r="BH553" s="15" t="s">
        <v>755</v>
      </c>
      <c r="BI553" s="15" t="str">
        <f>"22.44"</f>
        <v>22.44</v>
      </c>
      <c r="BJ553" s="15" t="s">
        <v>1156</v>
      </c>
      <c r="BK553" s="15" t="str">
        <f t="shared" si="981"/>
        <v>22.83</v>
      </c>
      <c r="BL553" s="15" t="s">
        <v>1543</v>
      </c>
      <c r="BM553" s="15" t="str">
        <f>"41.23"</f>
        <v>41.23</v>
      </c>
      <c r="BN553" s="15" t="s">
        <v>6347</v>
      </c>
      <c r="BQ553" s="15" t="s">
        <v>444</v>
      </c>
      <c r="BS553" s="15" t="s">
        <v>444</v>
      </c>
      <c r="BU553" s="15" t="s">
        <v>444</v>
      </c>
      <c r="BW553" s="15" t="s">
        <v>444</v>
      </c>
      <c r="BZ553" s="15" t="s">
        <v>444</v>
      </c>
      <c r="CB553" s="15" t="s">
        <v>444</v>
      </c>
      <c r="CD553" s="15" t="s">
        <v>444</v>
      </c>
      <c r="CF553" s="15" t="s">
        <v>444</v>
      </c>
      <c r="CI553" s="15" t="s">
        <v>444</v>
      </c>
      <c r="CK553" s="15" t="s">
        <v>444</v>
      </c>
      <c r="CM553" s="15" t="s">
        <v>444</v>
      </c>
      <c r="CO553" s="15" t="s">
        <v>444</v>
      </c>
      <c r="CP553" s="15" t="str">
        <f>"7.13"</f>
        <v>7.13</v>
      </c>
      <c r="CQ553" s="15" t="str">
        <f>"0.202"</f>
        <v>0.202</v>
      </c>
      <c r="CR553" s="15" t="s">
        <v>497</v>
      </c>
      <c r="DB553" s="15" t="s">
        <v>1237</v>
      </c>
      <c r="DC553" s="15" t="str">
        <f>IFERROR(__xludf.DUMMYFUNCTION("""COMPUTED_VALUE"""),"{""value"":20.50,""unit"":""in""}")</f>
        <v>{"value":20.50,"unit":"in"}</v>
      </c>
      <c r="DD553" s="15" t="s">
        <v>3203</v>
      </c>
      <c r="DE553" s="15" t="str">
        <f>IFERROR(__xludf.DUMMYFUNCTION("""COMPUTED_VALUE"""),"{""value"":20.25,""unit"":""in""}")</f>
        <v>{"value":20.25,"unit":"in"}</v>
      </c>
      <c r="DF553" s="15" t="s">
        <v>1253</v>
      </c>
      <c r="DG553" s="15" t="str">
        <f>IFERROR(__xludf.DUMMYFUNCTION("""COMPUTED_VALUE"""),"{""value"":22.50,""unit"":""in""}")</f>
        <v>{"value":22.50,"unit":"in"}</v>
      </c>
      <c r="DH553" s="15">
        <v>0.0</v>
      </c>
      <c r="DI553" s="15">
        <v>0.0</v>
      </c>
      <c r="DJ553" s="15" t="s">
        <v>469</v>
      </c>
      <c r="DK553" s="15" t="s">
        <v>897</v>
      </c>
      <c r="DL553" s="15" t="str">
        <f>IFERROR(__xludf.DUMMYFUNCTION("""COMPUTED_VALUE"""),"Clean with water-based products only. Use mild detergent or upholstery shampoo.")</f>
        <v>Clean with water-based products only. Use mild detergent or upholstery shampoo.</v>
      </c>
      <c r="DM553" s="15" t="s">
        <v>898</v>
      </c>
      <c r="DN553" s="15" t="s">
        <v>419</v>
      </c>
      <c r="DO553" s="15">
        <v>0.0</v>
      </c>
      <c r="DP553" s="15" t="s">
        <v>419</v>
      </c>
      <c r="DR553" s="15">
        <v>0.0</v>
      </c>
      <c r="DT553" s="15" t="s">
        <v>721</v>
      </c>
      <c r="DU553" s="15" t="s">
        <v>419</v>
      </c>
      <c r="DV553" s="15">
        <v>0.0</v>
      </c>
      <c r="DW553" s="15">
        <v>0.0</v>
      </c>
      <c r="DX553" s="15">
        <v>0.0</v>
      </c>
      <c r="DY553" s="15">
        <v>0.0</v>
      </c>
      <c r="DZ553" s="15">
        <v>100000.0</v>
      </c>
      <c r="EA553" s="15" t="s">
        <v>990</v>
      </c>
      <c r="ED553" s="15">
        <v>0.0</v>
      </c>
      <c r="EE553" s="15">
        <v>1.0</v>
      </c>
      <c r="EF553" s="15" t="s">
        <v>1112</v>
      </c>
      <c r="EG553" s="15" t="s">
        <v>1113</v>
      </c>
      <c r="EH553" s="15" t="s">
        <v>6332</v>
      </c>
      <c r="EI553" s="15">
        <v>0.0</v>
      </c>
      <c r="EJ553" s="15" t="s">
        <v>726</v>
      </c>
      <c r="EK553" s="15" t="s">
        <v>727</v>
      </c>
      <c r="EM553" s="15" t="str">
        <f>IFERROR(__xludf.DUMMYFUNCTION("""COMPUTED_VALUE"""),"")</f>
        <v/>
      </c>
      <c r="EW553" s="15" t="s">
        <v>2402</v>
      </c>
      <c r="EY553" s="15" t="s">
        <v>428</v>
      </c>
      <c r="FF553" s="15" t="s">
        <v>860</v>
      </c>
    </row>
    <row r="554" ht="15.75" customHeight="1">
      <c r="A554" s="14" t="s">
        <v>391</v>
      </c>
      <c r="B554" s="15" t="s">
        <v>6348</v>
      </c>
      <c r="C554" s="16"/>
      <c r="D554" s="15" t="s">
        <v>432</v>
      </c>
      <c r="G554" s="14" t="s">
        <v>393</v>
      </c>
      <c r="H554" s="14" t="s">
        <v>394</v>
      </c>
      <c r="I554" s="14" t="b">
        <v>1</v>
      </c>
      <c r="J554" s="14" t="s">
        <v>395</v>
      </c>
      <c r="L554" s="14" t="b">
        <v>0</v>
      </c>
      <c r="M554" s="15" t="s">
        <v>6349</v>
      </c>
      <c r="N554" s="14" t="s">
        <v>393</v>
      </c>
      <c r="O554" s="14" t="s">
        <v>393</v>
      </c>
      <c r="P554" s="15" t="s">
        <v>397</v>
      </c>
      <c r="Q554" s="15" t="s">
        <v>3625</v>
      </c>
      <c r="T554" s="14" t="b">
        <v>0</v>
      </c>
      <c r="U554" s="15" t="s">
        <v>6350</v>
      </c>
      <c r="V554" s="15" t="s">
        <v>3583</v>
      </c>
      <c r="W554" s="15" t="s">
        <v>401</v>
      </c>
      <c r="X554" s="15" t="s">
        <v>695</v>
      </c>
      <c r="Y554" s="15">
        <v>1911.0</v>
      </c>
      <c r="AA554" s="15" t="str">
        <f>"735"</f>
        <v>735</v>
      </c>
      <c r="AB554" s="14" t="b">
        <v>1</v>
      </c>
      <c r="AC554" s="14" t="b">
        <v>1</v>
      </c>
      <c r="AD554" s="15" t="str">
        <f>"801542377557"</f>
        <v>801542377557</v>
      </c>
      <c r="AE554" s="15" t="s">
        <v>6351</v>
      </c>
      <c r="AF554" s="14" t="s">
        <v>404</v>
      </c>
      <c r="AG554" s="14" t="s">
        <v>405</v>
      </c>
      <c r="AH554" s="14" t="s">
        <v>406</v>
      </c>
      <c r="AI554" s="15">
        <v>0.0</v>
      </c>
      <c r="AL554" s="15" t="s">
        <v>6352</v>
      </c>
      <c r="AM554" s="15" t="s">
        <v>1561</v>
      </c>
      <c r="AN554" s="15" t="s">
        <v>1562</v>
      </c>
      <c r="AO554" s="15" t="s">
        <v>1561</v>
      </c>
      <c r="AP554" s="15" t="s">
        <v>1562</v>
      </c>
      <c r="AQ554" s="15" t="s">
        <v>409</v>
      </c>
      <c r="AR554" s="15" t="s">
        <v>438</v>
      </c>
      <c r="AS554" s="15" t="s">
        <v>3185</v>
      </c>
      <c r="AT554" s="15" t="s">
        <v>3625</v>
      </c>
      <c r="AW554" s="15" t="s">
        <v>1154</v>
      </c>
      <c r="AY554" s="15" t="s">
        <v>413</v>
      </c>
      <c r="AZ554" s="15" t="b">
        <v>0</v>
      </c>
      <c r="BA554" s="15" t="s">
        <v>413</v>
      </c>
      <c r="BB554" s="15" t="b">
        <v>0</v>
      </c>
      <c r="BC554" s="15" t="s">
        <v>6353</v>
      </c>
      <c r="BD554" s="15" t="s">
        <v>709</v>
      </c>
      <c r="BE554" s="15" t="str">
        <f t="shared" si="978"/>
        <v>1</v>
      </c>
      <c r="BF554" s="15" t="s">
        <v>416</v>
      </c>
      <c r="BG554" s="15" t="str">
        <f>"28.74"</f>
        <v>28.74</v>
      </c>
      <c r="BH554" s="15" t="s">
        <v>2113</v>
      </c>
      <c r="BI554" s="15" t="str">
        <f>"28.74"</f>
        <v>28.74</v>
      </c>
      <c r="BJ554" s="15" t="s">
        <v>2113</v>
      </c>
      <c r="BK554" s="15" t="str">
        <f>"27.36"</f>
        <v>27.36</v>
      </c>
      <c r="BL554" s="15" t="s">
        <v>2065</v>
      </c>
      <c r="BM554" s="15" t="str">
        <f>"194"</f>
        <v>194</v>
      </c>
      <c r="BN554" s="15" t="s">
        <v>2016</v>
      </c>
      <c r="BQ554" s="15" t="s">
        <v>444</v>
      </c>
      <c r="BS554" s="15" t="s">
        <v>444</v>
      </c>
      <c r="BU554" s="15" t="s">
        <v>444</v>
      </c>
      <c r="BW554" s="15" t="s">
        <v>444</v>
      </c>
      <c r="BZ554" s="15" t="s">
        <v>444</v>
      </c>
      <c r="CB554" s="15" t="s">
        <v>444</v>
      </c>
      <c r="CD554" s="15" t="s">
        <v>444</v>
      </c>
      <c r="CF554" s="15" t="s">
        <v>444</v>
      </c>
      <c r="CI554" s="15" t="s">
        <v>444</v>
      </c>
      <c r="CK554" s="15" t="s">
        <v>444</v>
      </c>
      <c r="CM554" s="15" t="s">
        <v>444</v>
      </c>
      <c r="CO554" s="15" t="s">
        <v>444</v>
      </c>
      <c r="CP554" s="15" t="str">
        <f>"13.07"</f>
        <v>13.07</v>
      </c>
      <c r="CQ554" s="15" t="str">
        <f>"0.37"</f>
        <v>0.37</v>
      </c>
      <c r="CR554" s="15" t="s">
        <v>497</v>
      </c>
      <c r="DC554" s="15" t="str">
        <f>IFERROR(__xludf.DUMMYFUNCTION("""COMPUTED_VALUE"""),"")</f>
        <v/>
      </c>
      <c r="DE554" s="15" t="str">
        <f>IFERROR(__xludf.DUMMYFUNCTION("""COMPUTED_VALUE"""),"")</f>
        <v/>
      </c>
      <c r="DG554" s="15" t="str">
        <f>IFERROR(__xludf.DUMMYFUNCTION("""COMPUTED_VALUE"""),"")</f>
        <v/>
      </c>
      <c r="DL554" s="15" t="str">
        <f>IFERROR(__xludf.DUMMYFUNCTION("""COMPUTED_VALUE"""),"")</f>
        <v/>
      </c>
      <c r="DM554" s="15" t="s">
        <v>444</v>
      </c>
      <c r="DN554" s="15" t="s">
        <v>419</v>
      </c>
      <c r="DO554" s="15">
        <v>0.0</v>
      </c>
      <c r="DP554" s="15" t="s">
        <v>419</v>
      </c>
      <c r="DR554" s="15">
        <v>0.0</v>
      </c>
      <c r="DT554" s="15" t="s">
        <v>1186</v>
      </c>
      <c r="DU554" s="15" t="s">
        <v>419</v>
      </c>
      <c r="DY554" s="15">
        <v>0.0</v>
      </c>
      <c r="EF554" s="15" t="s">
        <v>1157</v>
      </c>
      <c r="EG554" s="15" t="s">
        <v>1158</v>
      </c>
      <c r="EH554" s="15" t="s">
        <v>6354</v>
      </c>
      <c r="EJ554" s="15" t="s">
        <v>500</v>
      </c>
      <c r="EK554" s="15" t="s">
        <v>501</v>
      </c>
      <c r="EM554" s="15" t="str">
        <f>IFERROR(__xludf.DUMMYFUNCTION("""COMPUTED_VALUE"""),"")</f>
        <v/>
      </c>
      <c r="EW554" s="15" t="s">
        <v>2046</v>
      </c>
      <c r="FH554" s="15" t="s">
        <v>6355</v>
      </c>
      <c r="FI554" s="15" t="s">
        <v>2046</v>
      </c>
      <c r="FJ554" s="15" t="s">
        <v>6355</v>
      </c>
      <c r="FK554" s="15" t="s">
        <v>5003</v>
      </c>
      <c r="FL554" s="15" t="s">
        <v>426</v>
      </c>
      <c r="FM554" s="15">
        <v>0.0</v>
      </c>
      <c r="FN554" s="15">
        <v>0.0</v>
      </c>
      <c r="FW554" s="15" t="s">
        <v>1042</v>
      </c>
    </row>
    <row r="555" ht="15.75" customHeight="1">
      <c r="A555" s="14" t="s">
        <v>391</v>
      </c>
      <c r="B555" s="15" t="s">
        <v>6356</v>
      </c>
      <c r="C555" s="16"/>
      <c r="D555" s="15" t="s">
        <v>432</v>
      </c>
      <c r="G555" s="14" t="s">
        <v>393</v>
      </c>
      <c r="H555" s="14" t="s">
        <v>394</v>
      </c>
      <c r="I555" s="14" t="b">
        <v>1</v>
      </c>
      <c r="J555" s="14" t="s">
        <v>395</v>
      </c>
      <c r="L555" s="14" t="b">
        <v>0</v>
      </c>
      <c r="M555" s="15" t="s">
        <v>6357</v>
      </c>
      <c r="N555" s="14" t="s">
        <v>393</v>
      </c>
      <c r="O555" s="14" t="s">
        <v>393</v>
      </c>
      <c r="P555" s="15" t="s">
        <v>397</v>
      </c>
      <c r="Q555" s="15" t="s">
        <v>6358</v>
      </c>
      <c r="T555" s="14" t="b">
        <v>0</v>
      </c>
      <c r="U555" s="15" t="s">
        <v>6359</v>
      </c>
      <c r="V555" s="15" t="s">
        <v>4643</v>
      </c>
      <c r="W555" s="15" t="s">
        <v>401</v>
      </c>
      <c r="X555" s="15" t="s">
        <v>695</v>
      </c>
      <c r="Y555" s="15">
        <v>1534.0</v>
      </c>
      <c r="AA555" s="15" t="str">
        <f t="shared" ref="AA555:AA556" si="985">"590"</f>
        <v>590</v>
      </c>
      <c r="AB555" s="14" t="b">
        <v>1</v>
      </c>
      <c r="AC555" s="14" t="b">
        <v>1</v>
      </c>
      <c r="AD555" s="15" t="str">
        <f>"801542717278"</f>
        <v>801542717278</v>
      </c>
      <c r="AE555" s="15" t="s">
        <v>6360</v>
      </c>
      <c r="AF555" s="14" t="s">
        <v>404</v>
      </c>
      <c r="AG555" s="14" t="s">
        <v>405</v>
      </c>
      <c r="AH555" s="14" t="s">
        <v>406</v>
      </c>
      <c r="AI555" s="15">
        <v>0.0</v>
      </c>
      <c r="AL555" s="15" t="s">
        <v>6361</v>
      </c>
      <c r="AM555" s="15" t="s">
        <v>2037</v>
      </c>
      <c r="AN555" s="15" t="s">
        <v>2038</v>
      </c>
      <c r="AO555" s="15" t="s">
        <v>1175</v>
      </c>
      <c r="AP555" s="15" t="s">
        <v>1176</v>
      </c>
      <c r="AQ555" s="15" t="s">
        <v>1801</v>
      </c>
      <c r="AR555" s="15" t="s">
        <v>1322</v>
      </c>
      <c r="AS555" s="15" t="s">
        <v>1628</v>
      </c>
      <c r="AT555" s="15" t="s">
        <v>6358</v>
      </c>
      <c r="AU555" s="15" t="s">
        <v>6362</v>
      </c>
      <c r="AW555" s="15" t="s">
        <v>458</v>
      </c>
      <c r="AX555" s="15" t="s">
        <v>5565</v>
      </c>
      <c r="AY555" s="15" t="s">
        <v>413</v>
      </c>
      <c r="AZ555" s="15" t="b">
        <v>0</v>
      </c>
      <c r="BA555" s="15" t="s">
        <v>426</v>
      </c>
      <c r="BB555" s="15" t="b">
        <v>1</v>
      </c>
      <c r="BC555" s="15" t="s">
        <v>6363</v>
      </c>
      <c r="BD555" s="15" t="s">
        <v>709</v>
      </c>
      <c r="BE555" s="15" t="str">
        <f t="shared" si="978"/>
        <v>1</v>
      </c>
      <c r="BF555" s="15" t="s">
        <v>416</v>
      </c>
      <c r="BG555" s="15" t="str">
        <f t="shared" ref="BG555:BG556" si="986">"61.42"</f>
        <v>61.42</v>
      </c>
      <c r="BH555" s="15" t="s">
        <v>3304</v>
      </c>
      <c r="BI555" s="15" t="str">
        <f t="shared" ref="BI555:BI556" si="987">"26.38"</f>
        <v>26.38</v>
      </c>
      <c r="BJ555" s="15" t="s">
        <v>1735</v>
      </c>
      <c r="BK555" s="15" t="str">
        <f t="shared" ref="BK555:BK556" si="988">"33.46"</f>
        <v>33.46</v>
      </c>
      <c r="BL555" s="15" t="s">
        <v>1109</v>
      </c>
      <c r="BM555" s="15" t="str">
        <f t="shared" ref="BM555:BM556" si="989">"101.41"</f>
        <v>101.41</v>
      </c>
      <c r="BN555" s="15" t="s">
        <v>5860</v>
      </c>
      <c r="BQ555" s="15" t="s">
        <v>444</v>
      </c>
      <c r="BS555" s="15" t="s">
        <v>444</v>
      </c>
      <c r="BU555" s="15" t="s">
        <v>444</v>
      </c>
      <c r="BW555" s="15" t="s">
        <v>444</v>
      </c>
      <c r="BZ555" s="15" t="s">
        <v>444</v>
      </c>
      <c r="CB555" s="15" t="s">
        <v>444</v>
      </c>
      <c r="CD555" s="15" t="s">
        <v>444</v>
      </c>
      <c r="CF555" s="15" t="s">
        <v>444</v>
      </c>
      <c r="CI555" s="15" t="s">
        <v>444</v>
      </c>
      <c r="CK555" s="15" t="s">
        <v>444</v>
      </c>
      <c r="CM555" s="15" t="s">
        <v>444</v>
      </c>
      <c r="CO555" s="15" t="s">
        <v>444</v>
      </c>
      <c r="CP555" s="15" t="str">
        <f>"31.43"</f>
        <v>31.43</v>
      </c>
      <c r="CQ555" s="15" t="str">
        <f>"0.89"</f>
        <v>0.89</v>
      </c>
      <c r="CR555" s="15" t="s">
        <v>465</v>
      </c>
      <c r="DB555" s="15" t="s">
        <v>824</v>
      </c>
      <c r="DC555" s="15" t="str">
        <f>IFERROR(__xludf.DUMMYFUNCTION("""COMPUTED_VALUE"""),"{""value"":18.50,""unit"":""in""}")</f>
        <v>{"value":18.50,"unit":"in"}</v>
      </c>
      <c r="DD555" s="15" t="s">
        <v>650</v>
      </c>
      <c r="DE555" s="15" t="str">
        <f>IFERROR(__xludf.DUMMYFUNCTION("""COMPUTED_VALUE"""),"{""value"":19.50,""unit"":""in""}")</f>
        <v>{"value":19.50,"unit":"in"}</v>
      </c>
      <c r="DG555" s="15" t="str">
        <f>IFERROR(__xludf.DUMMYFUNCTION("""COMPUTED_VALUE"""),"")</f>
        <v/>
      </c>
      <c r="DH555" s="15">
        <v>0.0</v>
      </c>
      <c r="DI555" s="15">
        <v>0.0</v>
      </c>
      <c r="DJ555" s="15" t="s">
        <v>469</v>
      </c>
      <c r="DK555" s="15" t="s">
        <v>855</v>
      </c>
      <c r="DL555" s="15" t="str">
        <f>IFERROR(__xludf.DUMMYFUNCTION("""COMPUTED_VALUE"""),"Clean with solvent-based (dry clean only) products. Do not use water.")</f>
        <v>Clean with solvent-based (dry clean only) products. Do not use water.</v>
      </c>
      <c r="DM555" s="15" t="s">
        <v>856</v>
      </c>
      <c r="DN555" s="15" t="s">
        <v>419</v>
      </c>
      <c r="DO555" s="15">
        <v>0.0</v>
      </c>
      <c r="DP555" s="15" t="s">
        <v>419</v>
      </c>
      <c r="DR555" s="15">
        <v>0.0</v>
      </c>
      <c r="DT555" s="15" t="s">
        <v>721</v>
      </c>
      <c r="DU555" s="15" t="s">
        <v>419</v>
      </c>
      <c r="DV555" s="15">
        <v>0.0</v>
      </c>
      <c r="DW555" s="15">
        <v>0.0</v>
      </c>
      <c r="DX555" s="15">
        <v>0.0</v>
      </c>
      <c r="DY555" s="15">
        <v>0.0</v>
      </c>
      <c r="DZ555" s="15">
        <v>25000.0</v>
      </c>
      <c r="EA555" s="15" t="s">
        <v>990</v>
      </c>
      <c r="ED555" s="15">
        <v>0.0</v>
      </c>
      <c r="EE555" s="15">
        <v>2.0</v>
      </c>
      <c r="EG555" s="15" t="s">
        <v>444</v>
      </c>
      <c r="EH555" s="15" t="s">
        <v>6364</v>
      </c>
      <c r="EI555" s="15">
        <v>0.0</v>
      </c>
      <c r="EJ555" s="15" t="s">
        <v>1545</v>
      </c>
      <c r="EK555" s="15" t="s">
        <v>1546</v>
      </c>
      <c r="EL555" s="15" t="s">
        <v>734</v>
      </c>
      <c r="EM555" s="15" t="str">
        <f>IFERROR(__xludf.DUMMYFUNCTION("""COMPUTED_VALUE"""),"{""value"":31.50,""unit"":""in""}")</f>
        <v>{"value":31.50,"unit":"in"}</v>
      </c>
      <c r="EN555" s="15" t="s">
        <v>1996</v>
      </c>
      <c r="EO555" s="15" t="s">
        <v>531</v>
      </c>
      <c r="ES555" s="15" t="s">
        <v>1236</v>
      </c>
      <c r="EZ555" s="15" t="s">
        <v>1329</v>
      </c>
      <c r="FF555" s="15" t="s">
        <v>997</v>
      </c>
      <c r="FO555" s="15" t="s">
        <v>3841</v>
      </c>
      <c r="FP555" s="15" t="s">
        <v>2388</v>
      </c>
    </row>
    <row r="556" ht="15.75" customHeight="1">
      <c r="A556" s="14" t="s">
        <v>391</v>
      </c>
      <c r="B556" s="15" t="s">
        <v>6356</v>
      </c>
      <c r="C556" s="16"/>
      <c r="D556" s="15" t="s">
        <v>432</v>
      </c>
      <c r="G556" s="14" t="s">
        <v>393</v>
      </c>
      <c r="H556" s="14" t="s">
        <v>394</v>
      </c>
      <c r="I556" s="14" t="b">
        <v>1</v>
      </c>
      <c r="J556" s="14" t="s">
        <v>395</v>
      </c>
      <c r="L556" s="14" t="b">
        <v>0</v>
      </c>
      <c r="M556" s="15" t="s">
        <v>6365</v>
      </c>
      <c r="N556" s="14" t="s">
        <v>393</v>
      </c>
      <c r="O556" s="14" t="s">
        <v>393</v>
      </c>
      <c r="P556" s="15" t="s">
        <v>397</v>
      </c>
      <c r="Q556" s="15" t="s">
        <v>1081</v>
      </c>
      <c r="T556" s="14" t="b">
        <v>0</v>
      </c>
      <c r="U556" s="15" t="s">
        <v>6366</v>
      </c>
      <c r="V556" s="15" t="s">
        <v>4643</v>
      </c>
      <c r="W556" s="15" t="s">
        <v>401</v>
      </c>
      <c r="X556" s="15" t="s">
        <v>695</v>
      </c>
      <c r="Y556" s="15">
        <v>1534.0</v>
      </c>
      <c r="AA556" s="15" t="str">
        <f t="shared" si="985"/>
        <v>590</v>
      </c>
      <c r="AB556" s="14" t="b">
        <v>1</v>
      </c>
      <c r="AC556" s="14" t="b">
        <v>1</v>
      </c>
      <c r="AD556" s="15" t="str">
        <f>"801542100162"</f>
        <v>801542100162</v>
      </c>
      <c r="AE556" s="15" t="s">
        <v>6367</v>
      </c>
      <c r="AF556" s="14" t="s">
        <v>404</v>
      </c>
      <c r="AG556" s="14" t="s">
        <v>405</v>
      </c>
      <c r="AH556" s="14" t="s">
        <v>406</v>
      </c>
      <c r="AI556" s="15">
        <v>0.0</v>
      </c>
      <c r="AL556" s="15" t="s">
        <v>6361</v>
      </c>
      <c r="AM556" s="15" t="s">
        <v>2037</v>
      </c>
      <c r="AN556" s="15" t="s">
        <v>2038</v>
      </c>
      <c r="AO556" s="15" t="s">
        <v>1175</v>
      </c>
      <c r="AP556" s="15" t="s">
        <v>1176</v>
      </c>
      <c r="AQ556" s="15" t="s">
        <v>1801</v>
      </c>
      <c r="AR556" s="15" t="s">
        <v>1322</v>
      </c>
      <c r="AS556" s="15" t="s">
        <v>1628</v>
      </c>
      <c r="AT556" s="15" t="s">
        <v>1081</v>
      </c>
      <c r="AU556" s="15" t="s">
        <v>6362</v>
      </c>
      <c r="AW556" s="15" t="s">
        <v>458</v>
      </c>
      <c r="AX556" s="15" t="s">
        <v>5565</v>
      </c>
      <c r="AY556" s="15" t="s">
        <v>413</v>
      </c>
      <c r="AZ556" s="15" t="b">
        <v>0</v>
      </c>
      <c r="BA556" s="15" t="s">
        <v>426</v>
      </c>
      <c r="BB556" s="15" t="b">
        <v>1</v>
      </c>
      <c r="BC556" s="15" t="s">
        <v>6368</v>
      </c>
      <c r="BD556" s="15" t="s">
        <v>709</v>
      </c>
      <c r="BE556" s="15" t="str">
        <f t="shared" si="978"/>
        <v>1</v>
      </c>
      <c r="BF556" s="15" t="s">
        <v>416</v>
      </c>
      <c r="BG556" s="15" t="str">
        <f t="shared" si="986"/>
        <v>61.42</v>
      </c>
      <c r="BH556" s="15" t="s">
        <v>3304</v>
      </c>
      <c r="BI556" s="15" t="str">
        <f t="shared" si="987"/>
        <v>26.38</v>
      </c>
      <c r="BJ556" s="15" t="s">
        <v>1735</v>
      </c>
      <c r="BK556" s="15" t="str">
        <f t="shared" si="988"/>
        <v>33.46</v>
      </c>
      <c r="BL556" s="15" t="s">
        <v>1109</v>
      </c>
      <c r="BM556" s="15" t="str">
        <f t="shared" si="989"/>
        <v>101.41</v>
      </c>
      <c r="BN556" s="15" t="s">
        <v>5860</v>
      </c>
      <c r="BQ556" s="15" t="s">
        <v>444</v>
      </c>
      <c r="BS556" s="15" t="s">
        <v>444</v>
      </c>
      <c r="BU556" s="15" t="s">
        <v>444</v>
      </c>
      <c r="BW556" s="15" t="s">
        <v>444</v>
      </c>
      <c r="BZ556" s="15" t="s">
        <v>444</v>
      </c>
      <c r="CB556" s="15" t="s">
        <v>444</v>
      </c>
      <c r="CD556" s="15" t="s">
        <v>444</v>
      </c>
      <c r="CF556" s="15" t="s">
        <v>444</v>
      </c>
      <c r="CI556" s="15" t="s">
        <v>444</v>
      </c>
      <c r="CK556" s="15" t="s">
        <v>444</v>
      </c>
      <c r="CM556" s="15" t="s">
        <v>444</v>
      </c>
      <c r="CO556" s="15" t="s">
        <v>444</v>
      </c>
      <c r="CP556" s="15" t="str">
        <f>"31.36"</f>
        <v>31.36</v>
      </c>
      <c r="CQ556" s="15" t="str">
        <f>"0.888"</f>
        <v>0.888</v>
      </c>
      <c r="CR556" s="15" t="s">
        <v>417</v>
      </c>
      <c r="DB556" s="15" t="s">
        <v>824</v>
      </c>
      <c r="DC556" s="15" t="str">
        <f>IFERROR(__xludf.DUMMYFUNCTION("""COMPUTED_VALUE"""),"{""value"":18.50,""unit"":""in""}")</f>
        <v>{"value":18.50,"unit":"in"}</v>
      </c>
      <c r="DD556" s="15" t="s">
        <v>650</v>
      </c>
      <c r="DE556" s="15" t="str">
        <f>IFERROR(__xludf.DUMMYFUNCTION("""COMPUTED_VALUE"""),"{""value"":19.50,""unit"":""in""}")</f>
        <v>{"value":19.50,"unit":"in"}</v>
      </c>
      <c r="DG556" s="15" t="str">
        <f>IFERROR(__xludf.DUMMYFUNCTION("""COMPUTED_VALUE"""),"")</f>
        <v/>
      </c>
      <c r="DH556" s="15">
        <v>0.0</v>
      </c>
      <c r="DI556" s="15">
        <v>0.0</v>
      </c>
      <c r="DJ556" s="15" t="s">
        <v>469</v>
      </c>
      <c r="DK556" s="15" t="s">
        <v>855</v>
      </c>
      <c r="DL556" s="15" t="str">
        <f>IFERROR(__xludf.DUMMYFUNCTION("""COMPUTED_VALUE"""),"Clean with solvent-based (dry clean only) products. Do not use water.")</f>
        <v>Clean with solvent-based (dry clean only) products. Do not use water.</v>
      </c>
      <c r="DM556" s="15" t="s">
        <v>856</v>
      </c>
      <c r="DN556" s="15" t="s">
        <v>419</v>
      </c>
      <c r="DO556" s="15">
        <v>0.0</v>
      </c>
      <c r="DP556" s="15" t="s">
        <v>419</v>
      </c>
      <c r="DR556" s="15">
        <v>0.0</v>
      </c>
      <c r="DT556" s="15" t="s">
        <v>721</v>
      </c>
      <c r="DU556" s="15" t="s">
        <v>419</v>
      </c>
      <c r="DV556" s="15">
        <v>0.0</v>
      </c>
      <c r="DW556" s="15">
        <v>0.0</v>
      </c>
      <c r="DX556" s="15">
        <v>0.0</v>
      </c>
      <c r="DY556" s="15">
        <v>0.0</v>
      </c>
      <c r="DZ556" s="15">
        <v>25000.0</v>
      </c>
      <c r="EA556" s="15" t="s">
        <v>990</v>
      </c>
      <c r="ED556" s="15">
        <v>0.0</v>
      </c>
      <c r="EE556" s="15">
        <v>2.0</v>
      </c>
      <c r="EG556" s="15" t="s">
        <v>444</v>
      </c>
      <c r="EH556" s="15" t="s">
        <v>6364</v>
      </c>
      <c r="EI556" s="15">
        <v>0.0</v>
      </c>
      <c r="EJ556" s="15" t="s">
        <v>1545</v>
      </c>
      <c r="EK556" s="15" t="s">
        <v>1546</v>
      </c>
      <c r="EL556" s="15" t="s">
        <v>734</v>
      </c>
      <c r="EM556" s="15" t="str">
        <f>IFERROR(__xludf.DUMMYFUNCTION("""COMPUTED_VALUE"""),"{""value"":31.50,""unit"":""in""}")</f>
        <v>{"value":31.50,"unit":"in"}</v>
      </c>
      <c r="EN556" s="15" t="s">
        <v>1996</v>
      </c>
      <c r="EO556" s="15" t="s">
        <v>531</v>
      </c>
      <c r="ES556" s="15" t="s">
        <v>1236</v>
      </c>
      <c r="EZ556" s="15" t="s">
        <v>1329</v>
      </c>
      <c r="FF556" s="15" t="s">
        <v>997</v>
      </c>
      <c r="FO556" s="15" t="s">
        <v>3841</v>
      </c>
      <c r="FP556" s="15" t="s">
        <v>2388</v>
      </c>
    </row>
    <row r="557" ht="15.75" customHeight="1">
      <c r="A557" s="14" t="s">
        <v>391</v>
      </c>
      <c r="B557" s="15" t="s">
        <v>6369</v>
      </c>
      <c r="C557" s="16"/>
      <c r="D557" s="15" t="s">
        <v>432</v>
      </c>
      <c r="G557" s="14" t="s">
        <v>393</v>
      </c>
      <c r="H557" s="14" t="s">
        <v>394</v>
      </c>
      <c r="I557" s="14" t="b">
        <v>1</v>
      </c>
      <c r="J557" s="14" t="s">
        <v>395</v>
      </c>
      <c r="L557" s="14" t="b">
        <v>0</v>
      </c>
      <c r="M557" s="15" t="s">
        <v>6370</v>
      </c>
      <c r="N557" s="14" t="s">
        <v>393</v>
      </c>
      <c r="O557" s="14" t="s">
        <v>393</v>
      </c>
      <c r="P557" s="15" t="s">
        <v>397</v>
      </c>
      <c r="Q557" s="15" t="s">
        <v>6371</v>
      </c>
      <c r="T557" s="14" t="b">
        <v>0</v>
      </c>
      <c r="U557" s="15" t="s">
        <v>6372</v>
      </c>
      <c r="V557" s="15" t="s">
        <v>6373</v>
      </c>
      <c r="W557" s="15" t="s">
        <v>401</v>
      </c>
      <c r="X557" s="15" t="s">
        <v>1172</v>
      </c>
      <c r="Y557" s="15">
        <v>221.0</v>
      </c>
      <c r="AA557" s="15" t="str">
        <f>"85"</f>
        <v>85</v>
      </c>
      <c r="AB557" s="14" t="b">
        <v>1</v>
      </c>
      <c r="AC557" s="14" t="b">
        <v>1</v>
      </c>
      <c r="AD557" s="15" t="str">
        <f>"801542169121"</f>
        <v>801542169121</v>
      </c>
      <c r="AE557" s="15" t="s">
        <v>6374</v>
      </c>
      <c r="AF557" s="14" t="s">
        <v>404</v>
      </c>
      <c r="AG557" s="14" t="s">
        <v>405</v>
      </c>
      <c r="AH557" s="14" t="s">
        <v>406</v>
      </c>
      <c r="AI557" s="15">
        <v>0.0</v>
      </c>
      <c r="AL557" s="15" t="s">
        <v>6375</v>
      </c>
      <c r="AM557" s="15" t="s">
        <v>811</v>
      </c>
      <c r="AN557" s="15" t="s">
        <v>812</v>
      </c>
      <c r="AO557" s="15" t="s">
        <v>811</v>
      </c>
      <c r="AP557" s="15" t="s">
        <v>812</v>
      </c>
      <c r="AQ557" s="15" t="s">
        <v>1848</v>
      </c>
      <c r="AR557" s="15" t="s">
        <v>1849</v>
      </c>
      <c r="AS557" s="15" t="s">
        <v>6376</v>
      </c>
      <c r="AT557" s="15" t="s">
        <v>6371</v>
      </c>
      <c r="AW557" s="15" t="s">
        <v>6377</v>
      </c>
      <c r="AX557" s="15" t="s">
        <v>6378</v>
      </c>
      <c r="AY557" s="15" t="s">
        <v>413</v>
      </c>
      <c r="AZ557" s="15" t="b">
        <v>0</v>
      </c>
      <c r="BA557" s="15" t="s">
        <v>413</v>
      </c>
      <c r="BB557" s="15" t="b">
        <v>0</v>
      </c>
      <c r="BC557" s="15" t="s">
        <v>6379</v>
      </c>
      <c r="BD557" s="15" t="s">
        <v>1181</v>
      </c>
      <c r="BE557" s="15" t="str">
        <f t="shared" si="978"/>
        <v>1</v>
      </c>
      <c r="BF557" s="15" t="s">
        <v>416</v>
      </c>
      <c r="BG557" s="15" t="str">
        <f>"14.96"</f>
        <v>14.96</v>
      </c>
      <c r="BH557" s="15" t="s">
        <v>5362</v>
      </c>
      <c r="BI557" s="15" t="str">
        <f>"14.96"</f>
        <v>14.96</v>
      </c>
      <c r="BJ557" s="15" t="s">
        <v>5362</v>
      </c>
      <c r="BK557" s="15" t="str">
        <f>"19.09"</f>
        <v>19.09</v>
      </c>
      <c r="BL557" s="15" t="s">
        <v>1440</v>
      </c>
      <c r="BM557" s="15" t="str">
        <f>"31.75"</f>
        <v>31.75</v>
      </c>
      <c r="BN557" s="15" t="s">
        <v>6380</v>
      </c>
      <c r="BQ557" s="15" t="s">
        <v>444</v>
      </c>
      <c r="BS557" s="15" t="s">
        <v>444</v>
      </c>
      <c r="BU557" s="15" t="s">
        <v>444</v>
      </c>
      <c r="BW557" s="15" t="s">
        <v>444</v>
      </c>
      <c r="BZ557" s="15" t="s">
        <v>444</v>
      </c>
      <c r="CB557" s="15" t="s">
        <v>444</v>
      </c>
      <c r="CD557" s="15" t="s">
        <v>444</v>
      </c>
      <c r="CF557" s="15" t="s">
        <v>444</v>
      </c>
      <c r="CI557" s="15" t="s">
        <v>444</v>
      </c>
      <c r="CK557" s="15" t="s">
        <v>444</v>
      </c>
      <c r="CM557" s="15" t="s">
        <v>444</v>
      </c>
      <c r="CO557" s="15" t="s">
        <v>444</v>
      </c>
      <c r="CP557" s="15" t="str">
        <f>"2.47"</f>
        <v>2.47</v>
      </c>
      <c r="CQ557" s="15" t="str">
        <f>"0.07"</f>
        <v>0.07</v>
      </c>
      <c r="CR557" s="15" t="s">
        <v>497</v>
      </c>
      <c r="DC557" s="15" t="str">
        <f>IFERROR(__xludf.DUMMYFUNCTION("""COMPUTED_VALUE"""),"")</f>
        <v/>
      </c>
      <c r="DE557" s="15" t="str">
        <f>IFERROR(__xludf.DUMMYFUNCTION("""COMPUTED_VALUE"""),"")</f>
        <v/>
      </c>
      <c r="DG557" s="15" t="str">
        <f>IFERROR(__xludf.DUMMYFUNCTION("""COMPUTED_VALUE"""),"")</f>
        <v/>
      </c>
      <c r="DL557" s="15" t="str">
        <f>IFERROR(__xludf.DUMMYFUNCTION("""COMPUTED_VALUE"""),"")</f>
        <v/>
      </c>
      <c r="DM557" s="15" t="s">
        <v>444</v>
      </c>
      <c r="DN557" s="15" t="s">
        <v>419</v>
      </c>
      <c r="DO557" s="15">
        <v>0.0</v>
      </c>
      <c r="DP557" s="15" t="s">
        <v>419</v>
      </c>
      <c r="DR557" s="15">
        <v>0.0</v>
      </c>
      <c r="DU557" s="15" t="s">
        <v>419</v>
      </c>
      <c r="DY557" s="15">
        <v>0.0</v>
      </c>
      <c r="EF557" s="15" t="s">
        <v>1157</v>
      </c>
      <c r="EG557" s="15" t="s">
        <v>1158</v>
      </c>
      <c r="EH557" s="15" t="s">
        <v>6381</v>
      </c>
      <c r="EJ557" s="15" t="s">
        <v>500</v>
      </c>
      <c r="EK557" s="15" t="s">
        <v>501</v>
      </c>
      <c r="EM557" s="15" t="str">
        <f>IFERROR(__xludf.DUMMYFUNCTION("""COMPUTED_VALUE"""),"")</f>
        <v/>
      </c>
      <c r="EW557" s="15" t="s">
        <v>939</v>
      </c>
      <c r="EX557" s="15" t="s">
        <v>477</v>
      </c>
      <c r="EY557" s="15" t="s">
        <v>477</v>
      </c>
      <c r="FH557" s="15" t="s">
        <v>943</v>
      </c>
      <c r="FI557" s="15" t="s">
        <v>2020</v>
      </c>
      <c r="FJ557" s="15" t="s">
        <v>943</v>
      </c>
      <c r="FK557" s="15" t="s">
        <v>429</v>
      </c>
      <c r="FM557" s="15">
        <v>0.0</v>
      </c>
      <c r="FN557" s="15">
        <v>0.0</v>
      </c>
    </row>
    <row r="558" ht="15.75" customHeight="1">
      <c r="A558" s="14" t="s">
        <v>391</v>
      </c>
      <c r="B558" s="15" t="s">
        <v>6382</v>
      </c>
      <c r="C558" s="16"/>
      <c r="D558" s="15" t="s">
        <v>432</v>
      </c>
      <c r="G558" s="14" t="s">
        <v>393</v>
      </c>
      <c r="H558" s="14" t="s">
        <v>394</v>
      </c>
      <c r="I558" s="14" t="b">
        <v>1</v>
      </c>
      <c r="J558" s="14" t="s">
        <v>395</v>
      </c>
      <c r="L558" s="14" t="b">
        <v>0</v>
      </c>
      <c r="M558" s="15" t="s">
        <v>6383</v>
      </c>
      <c r="N558" s="14" t="s">
        <v>393</v>
      </c>
      <c r="O558" s="14" t="s">
        <v>393</v>
      </c>
      <c r="P558" s="15" t="s">
        <v>397</v>
      </c>
      <c r="Q558" s="15" t="s">
        <v>6384</v>
      </c>
      <c r="T558" s="14" t="b">
        <v>0</v>
      </c>
      <c r="U558" s="15" t="s">
        <v>6385</v>
      </c>
      <c r="V558" s="15" t="s">
        <v>6386</v>
      </c>
      <c r="W558" s="15" t="s">
        <v>401</v>
      </c>
      <c r="X558" s="15" t="s">
        <v>742</v>
      </c>
      <c r="Y558" s="15">
        <v>2080.0</v>
      </c>
      <c r="AA558" s="15" t="str">
        <f>"800"</f>
        <v>800</v>
      </c>
      <c r="AB558" s="14" t="b">
        <v>1</v>
      </c>
      <c r="AC558" s="14" t="b">
        <v>1</v>
      </c>
      <c r="AD558" s="15" t="str">
        <f>"801542170080"</f>
        <v>801542170080</v>
      </c>
      <c r="AE558" s="15" t="s">
        <v>6387</v>
      </c>
      <c r="AF558" s="14" t="s">
        <v>404</v>
      </c>
      <c r="AG558" s="14" t="s">
        <v>405</v>
      </c>
      <c r="AH558" s="14" t="s">
        <v>406</v>
      </c>
      <c r="AI558" s="15">
        <v>0.0</v>
      </c>
      <c r="AL558" s="15" t="s">
        <v>6388</v>
      </c>
      <c r="AM558" s="15" t="s">
        <v>6389</v>
      </c>
      <c r="AN558" s="15" t="s">
        <v>6390</v>
      </c>
      <c r="AO558" s="15" t="s">
        <v>1007</v>
      </c>
      <c r="AP558" s="15" t="s">
        <v>1008</v>
      </c>
      <c r="AQ558" s="15" t="s">
        <v>2213</v>
      </c>
      <c r="AR558" s="15" t="s">
        <v>2214</v>
      </c>
      <c r="AS558" s="15" t="s">
        <v>1896</v>
      </c>
      <c r="AT558" s="15" t="s">
        <v>6384</v>
      </c>
      <c r="AU558" s="15" t="s">
        <v>6391</v>
      </c>
      <c r="AW558" s="15" t="s">
        <v>602</v>
      </c>
      <c r="AY558" s="15" t="s">
        <v>413</v>
      </c>
      <c r="AZ558" s="15" t="b">
        <v>0</v>
      </c>
      <c r="BA558" s="15" t="s">
        <v>413</v>
      </c>
      <c r="BB558" s="15" t="b">
        <v>0</v>
      </c>
      <c r="BC558" s="15" t="s">
        <v>6392</v>
      </c>
      <c r="BD558" s="15" t="s">
        <v>742</v>
      </c>
      <c r="BE558" s="15" t="str">
        <f t="shared" si="978"/>
        <v>1</v>
      </c>
      <c r="BF558" s="15" t="s">
        <v>2043</v>
      </c>
      <c r="BG558" s="15" t="str">
        <f>"87.6"</f>
        <v>87.6</v>
      </c>
      <c r="BH558" s="15" t="s">
        <v>6393</v>
      </c>
      <c r="BI558" s="15" t="str">
        <f>"21.85"</f>
        <v>21.85</v>
      </c>
      <c r="BJ558" s="15" t="s">
        <v>1405</v>
      </c>
      <c r="BK558" s="15" t="str">
        <f>"31.1"</f>
        <v>31.1</v>
      </c>
      <c r="BL558" s="15" t="s">
        <v>1386</v>
      </c>
      <c r="BM558" s="15" t="str">
        <f>"199.52"</f>
        <v>199.52</v>
      </c>
      <c r="BN558" s="15" t="s">
        <v>4199</v>
      </c>
      <c r="BQ558" s="15" t="s">
        <v>444</v>
      </c>
      <c r="BS558" s="15" t="s">
        <v>444</v>
      </c>
      <c r="BU558" s="15" t="s">
        <v>444</v>
      </c>
      <c r="BW558" s="15" t="s">
        <v>444</v>
      </c>
      <c r="BZ558" s="15" t="s">
        <v>444</v>
      </c>
      <c r="CB558" s="15" t="s">
        <v>444</v>
      </c>
      <c r="CD558" s="15" t="s">
        <v>444</v>
      </c>
      <c r="CF558" s="15" t="s">
        <v>444</v>
      </c>
      <c r="CI558" s="15" t="s">
        <v>444</v>
      </c>
      <c r="CK558" s="15" t="s">
        <v>444</v>
      </c>
      <c r="CM558" s="15" t="s">
        <v>444</v>
      </c>
      <c r="CO558" s="15" t="s">
        <v>444</v>
      </c>
      <c r="CP558" s="15" t="str">
        <f>"34.47"</f>
        <v>34.47</v>
      </c>
      <c r="CQ558" s="15" t="str">
        <f>"0.976"</f>
        <v>0.976</v>
      </c>
      <c r="CR558" s="15" t="s">
        <v>465</v>
      </c>
      <c r="CV558" s="15" t="s">
        <v>2598</v>
      </c>
      <c r="CW558" s="15" t="s">
        <v>6394</v>
      </c>
      <c r="CX558" s="15" t="s">
        <v>6395</v>
      </c>
      <c r="DC558" s="15" t="str">
        <f>IFERROR(__xludf.DUMMYFUNCTION("""COMPUTED_VALUE"""),"")</f>
        <v/>
      </c>
      <c r="DE558" s="15" t="str">
        <f>IFERROR(__xludf.DUMMYFUNCTION("""COMPUTED_VALUE"""),"")</f>
        <v/>
      </c>
      <c r="DG558" s="15" t="str">
        <f>IFERROR(__xludf.DUMMYFUNCTION("""COMPUTED_VALUE"""),"")</f>
        <v/>
      </c>
      <c r="DL558" s="15" t="str">
        <f>IFERROR(__xludf.DUMMYFUNCTION("""COMPUTED_VALUE"""),"")</f>
        <v/>
      </c>
      <c r="DM558" s="15" t="s">
        <v>444</v>
      </c>
      <c r="DN558" s="15" t="s">
        <v>1371</v>
      </c>
      <c r="DO558" s="15">
        <v>2.0</v>
      </c>
      <c r="DP558" s="15" t="s">
        <v>1185</v>
      </c>
      <c r="DR558" s="15">
        <v>0.0</v>
      </c>
      <c r="DT558" s="15" t="s">
        <v>1186</v>
      </c>
      <c r="DU558" s="15" t="s">
        <v>610</v>
      </c>
      <c r="DW558" s="15">
        <v>18.14</v>
      </c>
      <c r="DX558" s="15">
        <v>40.0</v>
      </c>
      <c r="DY558" s="15">
        <v>2.0</v>
      </c>
      <c r="EG558" s="15" t="s">
        <v>444</v>
      </c>
      <c r="EH558" s="15" t="s">
        <v>6396</v>
      </c>
      <c r="EK558" s="15" t="s">
        <v>444</v>
      </c>
      <c r="EM558" s="15" t="str">
        <f>IFERROR(__xludf.DUMMYFUNCTION("""COMPUTED_VALUE"""),"")</f>
        <v/>
      </c>
      <c r="EW558" s="15" t="s">
        <v>1955</v>
      </c>
      <c r="FL558" s="15" t="s">
        <v>426</v>
      </c>
      <c r="FM558" s="15">
        <v>2.0</v>
      </c>
      <c r="FY558" s="15" t="s">
        <v>6397</v>
      </c>
      <c r="FZ558" s="15" t="s">
        <v>3130</v>
      </c>
      <c r="GA558" s="15" t="s">
        <v>1430</v>
      </c>
      <c r="GB558" s="15" t="s">
        <v>2598</v>
      </c>
      <c r="GC558" s="15" t="s">
        <v>782</v>
      </c>
      <c r="GD558" s="15" t="s">
        <v>6395</v>
      </c>
      <c r="GG558" s="15" t="s">
        <v>785</v>
      </c>
      <c r="GH558" s="15">
        <v>4.0</v>
      </c>
      <c r="GI558" s="15" t="s">
        <v>614</v>
      </c>
      <c r="GJ558" s="15" t="s">
        <v>786</v>
      </c>
      <c r="GL558" s="15" t="s">
        <v>426</v>
      </c>
      <c r="GN558" s="15" t="s">
        <v>3722</v>
      </c>
      <c r="GO558" s="15" t="s">
        <v>426</v>
      </c>
      <c r="GQ558" s="15" t="s">
        <v>3735</v>
      </c>
      <c r="GS558" s="15" t="s">
        <v>1132</v>
      </c>
      <c r="GU558" s="15" t="s">
        <v>6398</v>
      </c>
      <c r="GW558" s="15" t="s">
        <v>838</v>
      </c>
      <c r="GY558" s="15" t="s">
        <v>764</v>
      </c>
      <c r="GZ558" s="15" t="s">
        <v>426</v>
      </c>
      <c r="HD558" s="15">
        <v>0.0</v>
      </c>
      <c r="HW558" s="15" t="s">
        <v>1957</v>
      </c>
      <c r="IH558" s="15" t="s">
        <v>426</v>
      </c>
    </row>
    <row r="559" ht="15.75" customHeight="1">
      <c r="A559" s="14" t="s">
        <v>391</v>
      </c>
      <c r="B559" s="15" t="s">
        <v>6399</v>
      </c>
      <c r="C559" s="16"/>
      <c r="D559" s="15" t="s">
        <v>432</v>
      </c>
      <c r="G559" s="14" t="s">
        <v>393</v>
      </c>
      <c r="H559" s="14" t="s">
        <v>394</v>
      </c>
      <c r="I559" s="14" t="b">
        <v>1</v>
      </c>
      <c r="J559" s="14" t="s">
        <v>395</v>
      </c>
      <c r="L559" s="14" t="b">
        <v>0</v>
      </c>
      <c r="M559" s="15" t="s">
        <v>6400</v>
      </c>
      <c r="N559" s="14" t="s">
        <v>393</v>
      </c>
      <c r="O559" s="14" t="s">
        <v>393</v>
      </c>
      <c r="P559" s="15" t="s">
        <v>397</v>
      </c>
      <c r="Q559" s="15" t="s">
        <v>6010</v>
      </c>
      <c r="T559" s="14" t="b">
        <v>0</v>
      </c>
      <c r="U559" s="15" t="s">
        <v>6401</v>
      </c>
      <c r="V559" s="15" t="s">
        <v>3940</v>
      </c>
      <c r="W559" s="15" t="s">
        <v>401</v>
      </c>
      <c r="X559" s="15" t="s">
        <v>695</v>
      </c>
      <c r="Y559" s="15">
        <v>2522.0</v>
      </c>
      <c r="AA559" s="15" t="str">
        <f>"970"</f>
        <v>970</v>
      </c>
      <c r="AB559" s="14" t="b">
        <v>1</v>
      </c>
      <c r="AC559" s="14" t="b">
        <v>1</v>
      </c>
      <c r="AD559" s="15" t="str">
        <f>"801542987596"</f>
        <v>801542987596</v>
      </c>
      <c r="AE559" s="15" t="s">
        <v>6402</v>
      </c>
      <c r="AF559" s="14" t="s">
        <v>404</v>
      </c>
      <c r="AG559" s="14" t="s">
        <v>405</v>
      </c>
      <c r="AH559" s="14" t="s">
        <v>406</v>
      </c>
      <c r="AI559" s="15">
        <v>0.0</v>
      </c>
      <c r="AL559" s="15" t="s">
        <v>6403</v>
      </c>
      <c r="AM559" s="15" t="s">
        <v>1026</v>
      </c>
      <c r="AN559" s="15" t="s">
        <v>1027</v>
      </c>
      <c r="AO559" s="15" t="s">
        <v>1007</v>
      </c>
      <c r="AP559" s="15" t="s">
        <v>1008</v>
      </c>
      <c r="AQ559" s="15" t="s">
        <v>546</v>
      </c>
      <c r="AR559" s="15" t="s">
        <v>547</v>
      </c>
      <c r="AS559" s="15" t="s">
        <v>2193</v>
      </c>
      <c r="AT559" s="15" t="s">
        <v>6010</v>
      </c>
      <c r="AU559" s="15" t="s">
        <v>4670</v>
      </c>
      <c r="AV559" s="15" t="s">
        <v>1898</v>
      </c>
      <c r="AW559" s="15" t="s">
        <v>664</v>
      </c>
      <c r="AY559" s="15" t="s">
        <v>413</v>
      </c>
      <c r="AZ559" s="15" t="b">
        <v>0</v>
      </c>
      <c r="BA559" s="15" t="s">
        <v>413</v>
      </c>
      <c r="BB559" s="15" t="b">
        <v>0</v>
      </c>
      <c r="BC559" s="15" t="s">
        <v>6404</v>
      </c>
      <c r="BD559" s="15" t="s">
        <v>709</v>
      </c>
      <c r="BE559" s="15" t="str">
        <f t="shared" si="978"/>
        <v>1</v>
      </c>
      <c r="BF559" s="15" t="s">
        <v>416</v>
      </c>
      <c r="BG559" s="15" t="str">
        <f>"85.75"</f>
        <v>85.75</v>
      </c>
      <c r="BH559" s="15" t="s">
        <v>3093</v>
      </c>
      <c r="BI559" s="15" t="str">
        <f>"22.44"</f>
        <v>22.44</v>
      </c>
      <c r="BJ559" s="15" t="s">
        <v>1156</v>
      </c>
      <c r="BK559" s="15" t="str">
        <f>"33.46"</f>
        <v>33.46</v>
      </c>
      <c r="BL559" s="15" t="s">
        <v>1109</v>
      </c>
      <c r="BM559" s="15" t="str">
        <f>"268.08"</f>
        <v>268.08</v>
      </c>
      <c r="BN559" s="15" t="s">
        <v>6405</v>
      </c>
      <c r="BQ559" s="15" t="s">
        <v>444</v>
      </c>
      <c r="BS559" s="15" t="s">
        <v>444</v>
      </c>
      <c r="BU559" s="15" t="s">
        <v>444</v>
      </c>
      <c r="BW559" s="15" t="s">
        <v>444</v>
      </c>
      <c r="BZ559" s="15" t="s">
        <v>444</v>
      </c>
      <c r="CB559" s="15" t="s">
        <v>444</v>
      </c>
      <c r="CD559" s="15" t="s">
        <v>444</v>
      </c>
      <c r="CF559" s="15" t="s">
        <v>444</v>
      </c>
      <c r="CI559" s="15" t="s">
        <v>444</v>
      </c>
      <c r="CK559" s="15" t="s">
        <v>444</v>
      </c>
      <c r="CM559" s="15" t="s">
        <v>444</v>
      </c>
      <c r="CO559" s="15" t="s">
        <v>444</v>
      </c>
      <c r="CP559" s="15" t="str">
        <f>"37.26"</f>
        <v>37.26</v>
      </c>
      <c r="CQ559" s="15" t="str">
        <f>"1.055"</f>
        <v>1.055</v>
      </c>
      <c r="CR559" s="15" t="s">
        <v>465</v>
      </c>
      <c r="CV559" s="15" t="s">
        <v>1161</v>
      </c>
      <c r="CW559" s="15" t="s">
        <v>525</v>
      </c>
      <c r="CX559" s="15" t="s">
        <v>6406</v>
      </c>
      <c r="DC559" s="15" t="str">
        <f>IFERROR(__xludf.DUMMYFUNCTION("""COMPUTED_VALUE"""),"")</f>
        <v/>
      </c>
      <c r="DE559" s="15" t="str">
        <f>IFERROR(__xludf.DUMMYFUNCTION("""COMPUTED_VALUE"""),"")</f>
        <v/>
      </c>
      <c r="DG559" s="15" t="str">
        <f>IFERROR(__xludf.DUMMYFUNCTION("""COMPUTED_VALUE"""),"")</f>
        <v/>
      </c>
      <c r="DL559" s="15" t="str">
        <f>IFERROR(__xludf.DUMMYFUNCTION("""COMPUTED_VALUE"""),"")</f>
        <v/>
      </c>
      <c r="DM559" s="15" t="s">
        <v>444</v>
      </c>
      <c r="DN559" s="15" t="s">
        <v>418</v>
      </c>
      <c r="DO559" s="15">
        <v>3.0</v>
      </c>
      <c r="DP559" s="15" t="s">
        <v>419</v>
      </c>
      <c r="DR559" s="15">
        <v>0.0</v>
      </c>
      <c r="DT559" s="15" t="s">
        <v>1388</v>
      </c>
      <c r="DU559" s="15" t="s">
        <v>610</v>
      </c>
      <c r="DW559" s="15">
        <v>18.14</v>
      </c>
      <c r="DX559" s="15">
        <v>40.0</v>
      </c>
      <c r="DY559" s="15">
        <v>2.0</v>
      </c>
      <c r="EG559" s="15" t="s">
        <v>444</v>
      </c>
      <c r="EH559" s="15" t="s">
        <v>6407</v>
      </c>
      <c r="EJ559" s="15" t="s">
        <v>424</v>
      </c>
      <c r="EK559" s="15" t="s">
        <v>446</v>
      </c>
      <c r="EM559" s="15" t="str">
        <f>IFERROR(__xludf.DUMMYFUNCTION("""COMPUTED_VALUE"""),"")</f>
        <v/>
      </c>
      <c r="EW559" s="15" t="s">
        <v>429</v>
      </c>
      <c r="FL559" s="15" t="s">
        <v>426</v>
      </c>
      <c r="FM559" s="15">
        <v>2.0</v>
      </c>
      <c r="FY559" s="15" t="s">
        <v>2732</v>
      </c>
      <c r="FZ559" s="15" t="s">
        <v>612</v>
      </c>
      <c r="GA559" s="15" t="s">
        <v>1160</v>
      </c>
      <c r="GB559" s="15" t="s">
        <v>504</v>
      </c>
      <c r="GC559" s="15" t="s">
        <v>612</v>
      </c>
      <c r="GD559" s="15" t="s">
        <v>6406</v>
      </c>
      <c r="GE559" s="15">
        <v>0.0</v>
      </c>
      <c r="GF559" s="15" t="s">
        <v>426</v>
      </c>
      <c r="GG559" s="15" t="s">
        <v>785</v>
      </c>
      <c r="GH559" s="15">
        <v>4.0</v>
      </c>
      <c r="GI559" s="15" t="s">
        <v>614</v>
      </c>
      <c r="GJ559" s="15" t="s">
        <v>615</v>
      </c>
      <c r="GK559" s="15">
        <v>0.0</v>
      </c>
      <c r="GL559" s="15" t="s">
        <v>426</v>
      </c>
      <c r="GN559" s="15" t="s">
        <v>3722</v>
      </c>
      <c r="GQ559" s="15" t="s">
        <v>3735</v>
      </c>
      <c r="GS559" s="15" t="s">
        <v>1235</v>
      </c>
      <c r="GU559" s="15" t="s">
        <v>1238</v>
      </c>
      <c r="GW559" s="15" t="s">
        <v>838</v>
      </c>
      <c r="GY559" s="15" t="s">
        <v>420</v>
      </c>
      <c r="HA559" s="15" t="s">
        <v>1161</v>
      </c>
      <c r="HB559" s="15" t="s">
        <v>525</v>
      </c>
      <c r="HC559" s="15" t="s">
        <v>6406</v>
      </c>
      <c r="HW559" s="15" t="s">
        <v>1807</v>
      </c>
      <c r="IH559" s="15" t="s">
        <v>426</v>
      </c>
    </row>
    <row r="560" ht="15.75" customHeight="1">
      <c r="A560" s="14" t="s">
        <v>391</v>
      </c>
      <c r="B560" s="15" t="s">
        <v>6408</v>
      </c>
      <c r="C560" s="16"/>
      <c r="D560" s="15" t="s">
        <v>432</v>
      </c>
      <c r="G560" s="14" t="s">
        <v>393</v>
      </c>
      <c r="H560" s="14" t="s">
        <v>394</v>
      </c>
      <c r="I560" s="14" t="b">
        <v>1</v>
      </c>
      <c r="J560" s="14" t="s">
        <v>395</v>
      </c>
      <c r="L560" s="14" t="b">
        <v>0</v>
      </c>
      <c r="M560" s="15" t="s">
        <v>6409</v>
      </c>
      <c r="N560" s="14" t="s">
        <v>393</v>
      </c>
      <c r="O560" s="14" t="s">
        <v>393</v>
      </c>
      <c r="P560" s="15" t="s">
        <v>397</v>
      </c>
      <c r="Q560" s="15" t="s">
        <v>6410</v>
      </c>
      <c r="R560" s="15" t="s">
        <v>265</v>
      </c>
      <c r="S560" s="15" t="s">
        <v>877</v>
      </c>
      <c r="T560" s="14" t="b">
        <v>0</v>
      </c>
      <c r="U560" s="15" t="s">
        <v>6411</v>
      </c>
      <c r="V560" s="15" t="s">
        <v>6412</v>
      </c>
      <c r="W560" s="15" t="s">
        <v>401</v>
      </c>
      <c r="X560" s="15" t="s">
        <v>742</v>
      </c>
      <c r="Y560" s="15">
        <v>5798.0</v>
      </c>
      <c r="AA560" s="15" t="str">
        <f>"2230"</f>
        <v>2230</v>
      </c>
      <c r="AB560" s="14" t="b">
        <v>1</v>
      </c>
      <c r="AC560" s="14" t="b">
        <v>1</v>
      </c>
      <c r="AD560" s="15" t="str">
        <f>"801542821302"</f>
        <v>801542821302</v>
      </c>
      <c r="AE560" s="15" t="s">
        <v>6413</v>
      </c>
      <c r="AF560" s="14" t="s">
        <v>404</v>
      </c>
      <c r="AG560" s="14" t="s">
        <v>405</v>
      </c>
      <c r="AH560" s="14" t="s">
        <v>406</v>
      </c>
      <c r="AI560" s="15">
        <v>0.0</v>
      </c>
      <c r="AL560" s="15" t="s">
        <v>6414</v>
      </c>
      <c r="AM560" s="15" t="s">
        <v>6415</v>
      </c>
      <c r="AN560" s="15" t="s">
        <v>6416</v>
      </c>
      <c r="AO560" s="15" t="s">
        <v>6417</v>
      </c>
      <c r="AP560" s="15" t="s">
        <v>6418</v>
      </c>
      <c r="AQ560" s="15" t="s">
        <v>2956</v>
      </c>
      <c r="AR560" s="15" t="s">
        <v>2957</v>
      </c>
      <c r="AS560" s="15" t="s">
        <v>2759</v>
      </c>
      <c r="AT560" s="15" t="s">
        <v>6410</v>
      </c>
      <c r="AU560" s="15" t="s">
        <v>3142</v>
      </c>
      <c r="AV560" s="15" t="s">
        <v>6419</v>
      </c>
      <c r="AW560" s="15" t="s">
        <v>839</v>
      </c>
      <c r="AX560" s="15" t="s">
        <v>877</v>
      </c>
      <c r="AY560" s="15" t="s">
        <v>413</v>
      </c>
      <c r="AZ560" s="15" t="b">
        <v>0</v>
      </c>
      <c r="BA560" s="15" t="s">
        <v>413</v>
      </c>
      <c r="BB560" s="15" t="b">
        <v>0</v>
      </c>
      <c r="BC560" s="15" t="s">
        <v>6420</v>
      </c>
      <c r="BD560" s="15" t="s">
        <v>742</v>
      </c>
      <c r="BE560" s="15" t="str">
        <f t="shared" ref="BE560:BE561" si="990">"3"</f>
        <v>3</v>
      </c>
      <c r="BF560" s="15" t="s">
        <v>6421</v>
      </c>
      <c r="BG560" s="15" t="str">
        <f>"52.17"</f>
        <v>52.17</v>
      </c>
      <c r="BH560" s="15" t="s">
        <v>6422</v>
      </c>
      <c r="BI560" s="15" t="str">
        <f>"39.17"</f>
        <v>39.17</v>
      </c>
      <c r="BJ560" s="15" t="s">
        <v>1105</v>
      </c>
      <c r="BK560" s="15" t="str">
        <f>"25.79"</f>
        <v>25.79</v>
      </c>
      <c r="BL560" s="15" t="s">
        <v>631</v>
      </c>
      <c r="BM560" s="15" t="str">
        <f>"266.76"</f>
        <v>266.76</v>
      </c>
      <c r="BN560" s="15" t="s">
        <v>6423</v>
      </c>
      <c r="BO560" s="15" t="s">
        <v>5335</v>
      </c>
      <c r="BP560" s="15" t="str">
        <f t="shared" ref="BP560:BP561" si="991">"94.49"</f>
        <v>94.49</v>
      </c>
      <c r="BQ560" s="15" t="s">
        <v>4839</v>
      </c>
      <c r="BR560" s="15" t="str">
        <f>"27.76"</f>
        <v>27.76</v>
      </c>
      <c r="BS560" s="15" t="s">
        <v>6424</v>
      </c>
      <c r="BT560" s="15" t="str">
        <f t="shared" ref="BT560:BT561" si="992">"19.88"</f>
        <v>19.88</v>
      </c>
      <c r="BU560" s="15" t="s">
        <v>5328</v>
      </c>
      <c r="BV560" s="15" t="str">
        <f>"218.26"</f>
        <v>218.26</v>
      </c>
      <c r="BW560" s="15" t="s">
        <v>3126</v>
      </c>
      <c r="BX560" s="15" t="s">
        <v>6425</v>
      </c>
      <c r="BY560" s="15" t="str">
        <f>"84.65"</f>
        <v>84.65</v>
      </c>
      <c r="BZ560" s="15" t="s">
        <v>852</v>
      </c>
      <c r="CA560" s="15" t="str">
        <f>"12.8"</f>
        <v>12.8</v>
      </c>
      <c r="CB560" s="15" t="s">
        <v>5315</v>
      </c>
      <c r="CC560" s="15" t="str">
        <f t="shared" ref="CC560:CC561" si="993">"20.87"</f>
        <v>20.87</v>
      </c>
      <c r="CD560" s="15" t="s">
        <v>495</v>
      </c>
      <c r="CE560" s="15" t="str">
        <f>"74.96"</f>
        <v>74.96</v>
      </c>
      <c r="CF560" s="15" t="s">
        <v>3559</v>
      </c>
      <c r="CI560" s="15" t="s">
        <v>444</v>
      </c>
      <c r="CK560" s="15" t="s">
        <v>444</v>
      </c>
      <c r="CM560" s="15" t="s">
        <v>444</v>
      </c>
      <c r="CO560" s="15" t="s">
        <v>444</v>
      </c>
      <c r="CP560" s="15" t="str">
        <f>"73.74"</f>
        <v>73.74</v>
      </c>
      <c r="CQ560" s="15" t="str">
        <f>"2.088"</f>
        <v>2.088</v>
      </c>
      <c r="CR560" s="15" t="s">
        <v>417</v>
      </c>
      <c r="DC560" s="15" t="str">
        <f>IFERROR(__xludf.DUMMYFUNCTION("""COMPUTED_VALUE"""),"")</f>
        <v/>
      </c>
      <c r="DE560" s="15" t="str">
        <f>IFERROR(__xludf.DUMMYFUNCTION("""COMPUTED_VALUE"""),"")</f>
        <v/>
      </c>
      <c r="DG560" s="15" t="str">
        <f>IFERROR(__xludf.DUMMYFUNCTION("""COMPUTED_VALUE"""),"")</f>
        <v/>
      </c>
      <c r="DK560" s="15" t="s">
        <v>855</v>
      </c>
      <c r="DL560" s="15" t="str">
        <f>IFERROR(__xludf.DUMMYFUNCTION("""COMPUTED_VALUE"""),"Clean with solvent-based (dry clean only) products. Do not use water.")</f>
        <v>Clean with solvent-based (dry clean only) products. Do not use water.</v>
      </c>
      <c r="DM560" s="15" t="s">
        <v>856</v>
      </c>
      <c r="DN560" s="15" t="s">
        <v>419</v>
      </c>
      <c r="DO560" s="15">
        <v>0.0</v>
      </c>
      <c r="DP560" s="15" t="s">
        <v>419</v>
      </c>
      <c r="DR560" s="15">
        <v>0.0</v>
      </c>
      <c r="DT560" s="15" t="s">
        <v>721</v>
      </c>
      <c r="DU560" s="15" t="s">
        <v>419</v>
      </c>
      <c r="DW560" s="15">
        <v>0.0</v>
      </c>
      <c r="DX560" s="15">
        <v>0.0</v>
      </c>
      <c r="DY560" s="15">
        <v>0.0</v>
      </c>
      <c r="DZ560" s="15">
        <v>25000.0</v>
      </c>
      <c r="EG560" s="15" t="s">
        <v>444</v>
      </c>
      <c r="EH560" s="15" t="s">
        <v>6426</v>
      </c>
      <c r="EJ560" s="15" t="s">
        <v>858</v>
      </c>
      <c r="EK560" s="15" t="s">
        <v>859</v>
      </c>
      <c r="EM560" s="15" t="str">
        <f>IFERROR(__xludf.DUMMYFUNCTION("""COMPUTED_VALUE"""),"")</f>
        <v/>
      </c>
      <c r="FM560" s="15">
        <v>0.0</v>
      </c>
      <c r="IP560" s="15" t="s">
        <v>6427</v>
      </c>
      <c r="IQ560" s="15" t="s">
        <v>6428</v>
      </c>
      <c r="IR560" s="15" t="s">
        <v>6429</v>
      </c>
      <c r="IS560" s="15" t="s">
        <v>1552</v>
      </c>
      <c r="IT560" s="15" t="s">
        <v>2026</v>
      </c>
      <c r="IU560" s="15" t="s">
        <v>6430</v>
      </c>
      <c r="IV560" s="15" t="s">
        <v>2971</v>
      </c>
      <c r="IW560" s="15" t="s">
        <v>2464</v>
      </c>
      <c r="IX560" s="15" t="s">
        <v>6431</v>
      </c>
      <c r="IY560" s="15" t="s">
        <v>6427</v>
      </c>
      <c r="IZ560" s="15" t="s">
        <v>6432</v>
      </c>
      <c r="JA560" s="15" t="s">
        <v>6428</v>
      </c>
      <c r="JB560" s="15" t="s">
        <v>426</v>
      </c>
      <c r="JC560" s="15" t="s">
        <v>2973</v>
      </c>
      <c r="JD560" s="15" t="s">
        <v>2604</v>
      </c>
      <c r="JE560" s="15" t="s">
        <v>873</v>
      </c>
      <c r="JF560" s="15" t="s">
        <v>877</v>
      </c>
      <c r="JL560" s="15" t="s">
        <v>3164</v>
      </c>
      <c r="JM560" s="15" t="s">
        <v>5517</v>
      </c>
      <c r="JO560" s="15" t="s">
        <v>426</v>
      </c>
      <c r="JP560" s="15" t="s">
        <v>2474</v>
      </c>
      <c r="JS560" s="15" t="s">
        <v>6433</v>
      </c>
      <c r="JT560" s="15" t="s">
        <v>6434</v>
      </c>
    </row>
    <row r="561" ht="15.75" customHeight="1">
      <c r="A561" s="14" t="s">
        <v>391</v>
      </c>
      <c r="B561" s="15" t="s">
        <v>6408</v>
      </c>
      <c r="C561" s="16"/>
      <c r="D561" s="15" t="s">
        <v>432</v>
      </c>
      <c r="G561" s="14" t="s">
        <v>393</v>
      </c>
      <c r="H561" s="14" t="s">
        <v>394</v>
      </c>
      <c r="I561" s="14" t="b">
        <v>1</v>
      </c>
      <c r="J561" s="14" t="s">
        <v>395</v>
      </c>
      <c r="L561" s="14" t="b">
        <v>0</v>
      </c>
      <c r="M561" s="15" t="s">
        <v>6435</v>
      </c>
      <c r="N561" s="14" t="s">
        <v>393</v>
      </c>
      <c r="O561" s="14" t="s">
        <v>393</v>
      </c>
      <c r="P561" s="15" t="s">
        <v>397</v>
      </c>
      <c r="Q561" s="15" t="s">
        <v>6410</v>
      </c>
      <c r="R561" s="15" t="s">
        <v>265</v>
      </c>
      <c r="S561" s="15" t="s">
        <v>828</v>
      </c>
      <c r="T561" s="14" t="b">
        <v>0</v>
      </c>
      <c r="U561" s="15" t="s">
        <v>6436</v>
      </c>
      <c r="V561" s="15" t="s">
        <v>6437</v>
      </c>
      <c r="W561" s="15" t="s">
        <v>401</v>
      </c>
      <c r="X561" s="15" t="s">
        <v>742</v>
      </c>
      <c r="Y561" s="15">
        <v>6448.0</v>
      </c>
      <c r="AA561" s="15" t="str">
        <f>"2480"</f>
        <v>2480</v>
      </c>
      <c r="AB561" s="14" t="b">
        <v>1</v>
      </c>
      <c r="AC561" s="14" t="b">
        <v>1</v>
      </c>
      <c r="AD561" s="15" t="str">
        <f>"198394123068"</f>
        <v>198394123068</v>
      </c>
      <c r="AE561" s="15" t="s">
        <v>6438</v>
      </c>
      <c r="AF561" s="14" t="s">
        <v>404</v>
      </c>
      <c r="AG561" s="14" t="s">
        <v>405</v>
      </c>
      <c r="AH561" s="14" t="s">
        <v>406</v>
      </c>
      <c r="AI561" s="15">
        <v>0.0</v>
      </c>
      <c r="AL561" s="15" t="s">
        <v>6414</v>
      </c>
      <c r="AM561" s="15" t="s">
        <v>6439</v>
      </c>
      <c r="AN561" s="15" t="s">
        <v>6440</v>
      </c>
      <c r="AO561" s="15" t="s">
        <v>6417</v>
      </c>
      <c r="AP561" s="15" t="s">
        <v>6418</v>
      </c>
      <c r="AQ561" s="15" t="s">
        <v>4790</v>
      </c>
      <c r="AR561" s="15" t="s">
        <v>4791</v>
      </c>
      <c r="AS561" s="15" t="s">
        <v>2759</v>
      </c>
      <c r="AT561" s="15" t="s">
        <v>6410</v>
      </c>
      <c r="AU561" s="15" t="s">
        <v>3142</v>
      </c>
      <c r="AV561" s="15" t="s">
        <v>6419</v>
      </c>
      <c r="AW561" s="15" t="s">
        <v>839</v>
      </c>
      <c r="AX561" s="15" t="s">
        <v>828</v>
      </c>
      <c r="AY561" s="15" t="s">
        <v>413</v>
      </c>
      <c r="AZ561" s="15" t="b">
        <v>0</v>
      </c>
      <c r="BA561" s="15" t="s">
        <v>413</v>
      </c>
      <c r="BB561" s="15" t="b">
        <v>0</v>
      </c>
      <c r="BC561" s="15" t="s">
        <v>6420</v>
      </c>
      <c r="BD561" s="15" t="s">
        <v>742</v>
      </c>
      <c r="BE561" s="15" t="str">
        <f t="shared" si="990"/>
        <v>3</v>
      </c>
      <c r="BF561" s="15" t="s">
        <v>6441</v>
      </c>
      <c r="BG561" s="15" t="str">
        <f>"52.56"</f>
        <v>52.56</v>
      </c>
      <c r="BH561" s="15" t="s">
        <v>6442</v>
      </c>
      <c r="BI561" s="15" t="str">
        <f>"44.49"</f>
        <v>44.49</v>
      </c>
      <c r="BJ561" s="15" t="s">
        <v>6443</v>
      </c>
      <c r="BK561" s="15" t="str">
        <f>"26.18"</f>
        <v>26.18</v>
      </c>
      <c r="BL561" s="15" t="s">
        <v>5583</v>
      </c>
      <c r="BM561" s="15" t="str">
        <f>"306.44"</f>
        <v>306.44</v>
      </c>
      <c r="BN561" s="15" t="s">
        <v>6444</v>
      </c>
      <c r="BO561" s="15" t="s">
        <v>6445</v>
      </c>
      <c r="BP561" s="15" t="str">
        <f t="shared" si="991"/>
        <v>94.49</v>
      </c>
      <c r="BQ561" s="15" t="s">
        <v>4839</v>
      </c>
      <c r="BR561" s="15" t="str">
        <f>"27.95"</f>
        <v>27.95</v>
      </c>
      <c r="BS561" s="15" t="s">
        <v>5361</v>
      </c>
      <c r="BT561" s="15" t="str">
        <f t="shared" si="992"/>
        <v>19.88</v>
      </c>
      <c r="BU561" s="15" t="s">
        <v>5328</v>
      </c>
      <c r="BV561" s="15" t="str">
        <f>"224.87"</f>
        <v>224.87</v>
      </c>
      <c r="BW561" s="15" t="s">
        <v>1424</v>
      </c>
      <c r="BX561" s="15" t="s">
        <v>6446</v>
      </c>
      <c r="BY561" s="15" t="str">
        <f>"101.57"</f>
        <v>101.57</v>
      </c>
      <c r="BZ561" s="15" t="s">
        <v>6447</v>
      </c>
      <c r="CA561" s="15" t="str">
        <f>"12.99"</f>
        <v>12.99</v>
      </c>
      <c r="CB561" s="15" t="s">
        <v>6448</v>
      </c>
      <c r="CC561" s="15" t="str">
        <f t="shared" si="993"/>
        <v>20.87</v>
      </c>
      <c r="CD561" s="15" t="s">
        <v>495</v>
      </c>
      <c r="CE561" s="15" t="str">
        <f>"85.98"</f>
        <v>85.98</v>
      </c>
      <c r="CF561" s="15" t="s">
        <v>928</v>
      </c>
      <c r="CI561" s="15" t="s">
        <v>444</v>
      </c>
      <c r="CK561" s="15" t="s">
        <v>444</v>
      </c>
      <c r="CM561" s="15" t="s">
        <v>444</v>
      </c>
      <c r="CO561" s="15" t="s">
        <v>444</v>
      </c>
      <c r="CP561" s="15" t="str">
        <f>"81.75"</f>
        <v>81.75</v>
      </c>
      <c r="CQ561" s="15" t="str">
        <f>"2.315"</f>
        <v>2.315</v>
      </c>
      <c r="CR561" s="15" t="s">
        <v>465</v>
      </c>
      <c r="DC561" s="15" t="str">
        <f>IFERROR(__xludf.DUMMYFUNCTION("""COMPUTED_VALUE"""),"")</f>
        <v/>
      </c>
      <c r="DE561" s="15" t="str">
        <f>IFERROR(__xludf.DUMMYFUNCTION("""COMPUTED_VALUE"""),"")</f>
        <v/>
      </c>
      <c r="DG561" s="15" t="str">
        <f>IFERROR(__xludf.DUMMYFUNCTION("""COMPUTED_VALUE"""),"")</f>
        <v/>
      </c>
      <c r="DK561" s="15" t="s">
        <v>855</v>
      </c>
      <c r="DL561" s="15" t="str">
        <f>IFERROR(__xludf.DUMMYFUNCTION("""COMPUTED_VALUE"""),"Clean with solvent-based (dry clean only) products. Do not use water.")</f>
        <v>Clean with solvent-based (dry clean only) products. Do not use water.</v>
      </c>
      <c r="DM561" s="15" t="s">
        <v>856</v>
      </c>
      <c r="DN561" s="15" t="s">
        <v>419</v>
      </c>
      <c r="DO561" s="15">
        <v>0.0</v>
      </c>
      <c r="DP561" s="15" t="s">
        <v>419</v>
      </c>
      <c r="DR561" s="15">
        <v>0.0</v>
      </c>
      <c r="DT561" s="15" t="s">
        <v>721</v>
      </c>
      <c r="DU561" s="15" t="s">
        <v>419</v>
      </c>
      <c r="DW561" s="15">
        <v>0.0</v>
      </c>
      <c r="DX561" s="15">
        <v>0.0</v>
      </c>
      <c r="DY561" s="15">
        <v>0.0</v>
      </c>
      <c r="DZ561" s="15">
        <v>25000.0</v>
      </c>
      <c r="EG561" s="15" t="s">
        <v>444</v>
      </c>
      <c r="EH561" s="15" t="s">
        <v>6426</v>
      </c>
      <c r="EJ561" s="15" t="s">
        <v>858</v>
      </c>
      <c r="EK561" s="15" t="s">
        <v>859</v>
      </c>
      <c r="EM561" s="15" t="str">
        <f>IFERROR(__xludf.DUMMYFUNCTION("""COMPUTED_VALUE"""),"")</f>
        <v/>
      </c>
      <c r="FM561" s="15">
        <v>0.0</v>
      </c>
      <c r="IP561" s="15" t="s">
        <v>3781</v>
      </c>
      <c r="IQ561" s="15" t="s">
        <v>6428</v>
      </c>
      <c r="IR561" s="15" t="s">
        <v>6449</v>
      </c>
      <c r="IS561" s="15" t="s">
        <v>3290</v>
      </c>
      <c r="IT561" s="15" t="s">
        <v>2026</v>
      </c>
      <c r="IU561" s="15" t="s">
        <v>6450</v>
      </c>
      <c r="IV561" s="15" t="s">
        <v>2971</v>
      </c>
      <c r="IW561" s="15" t="s">
        <v>2464</v>
      </c>
      <c r="IX561" s="15" t="s">
        <v>869</v>
      </c>
      <c r="IY561" s="15" t="s">
        <v>6427</v>
      </c>
      <c r="IZ561" s="15" t="s">
        <v>6432</v>
      </c>
      <c r="JA561" s="15" t="s">
        <v>6428</v>
      </c>
      <c r="JB561" s="15" t="s">
        <v>426</v>
      </c>
      <c r="JC561" s="15" t="s">
        <v>2973</v>
      </c>
      <c r="JD561" s="15" t="s">
        <v>2604</v>
      </c>
      <c r="JE561" s="15" t="s">
        <v>873</v>
      </c>
      <c r="JF561" s="15" t="s">
        <v>828</v>
      </c>
      <c r="JL561" s="15" t="s">
        <v>3164</v>
      </c>
      <c r="JM561" s="15" t="s">
        <v>870</v>
      </c>
      <c r="JO561" s="15" t="s">
        <v>426</v>
      </c>
      <c r="JP561" s="15" t="s">
        <v>2474</v>
      </c>
      <c r="JS561" s="15" t="s">
        <v>6433</v>
      </c>
      <c r="JT561" s="15" t="s">
        <v>6451</v>
      </c>
    </row>
    <row r="562" ht="15.75" customHeight="1">
      <c r="A562" s="14" t="s">
        <v>391</v>
      </c>
      <c r="B562" s="15" t="s">
        <v>6452</v>
      </c>
      <c r="C562" s="16"/>
      <c r="D562" s="15" t="s">
        <v>432</v>
      </c>
      <c r="G562" s="14" t="s">
        <v>393</v>
      </c>
      <c r="H562" s="14" t="s">
        <v>394</v>
      </c>
      <c r="I562" s="14" t="b">
        <v>1</v>
      </c>
      <c r="J562" s="14" t="s">
        <v>395</v>
      </c>
      <c r="L562" s="14" t="b">
        <v>0</v>
      </c>
      <c r="M562" s="15" t="s">
        <v>6453</v>
      </c>
      <c r="N562" s="14" t="s">
        <v>393</v>
      </c>
      <c r="O562" s="14" t="s">
        <v>393</v>
      </c>
      <c r="P562" s="15" t="s">
        <v>397</v>
      </c>
      <c r="Q562" s="15" t="s">
        <v>692</v>
      </c>
      <c r="T562" s="14" t="b">
        <v>0</v>
      </c>
      <c r="U562" s="15" t="s">
        <v>6454</v>
      </c>
      <c r="V562" s="15" t="s">
        <v>2034</v>
      </c>
      <c r="W562" s="15" t="s">
        <v>401</v>
      </c>
      <c r="X562" s="15" t="s">
        <v>695</v>
      </c>
      <c r="Y562" s="15">
        <v>3276.0</v>
      </c>
      <c r="AA562" s="15" t="str">
        <f>"1260"</f>
        <v>1260</v>
      </c>
      <c r="AB562" s="14" t="b">
        <v>1</v>
      </c>
      <c r="AC562" s="14" t="b">
        <v>1</v>
      </c>
      <c r="AD562" s="15" t="str">
        <f>"801542849672"</f>
        <v>801542849672</v>
      </c>
      <c r="AE562" s="15" t="s">
        <v>6455</v>
      </c>
      <c r="AF562" s="14" t="s">
        <v>404</v>
      </c>
      <c r="AG562" s="14" t="s">
        <v>405</v>
      </c>
      <c r="AH562" s="14" t="s">
        <v>406</v>
      </c>
      <c r="AI562" s="15">
        <v>0.0</v>
      </c>
      <c r="AL562" s="15" t="s">
        <v>697</v>
      </c>
      <c r="AM562" s="15" t="s">
        <v>5214</v>
      </c>
      <c r="AN562" s="15" t="s">
        <v>5215</v>
      </c>
      <c r="AO562" s="15" t="s">
        <v>5214</v>
      </c>
      <c r="AP562" s="15" t="s">
        <v>5215</v>
      </c>
      <c r="AQ562" s="15" t="s">
        <v>645</v>
      </c>
      <c r="AR562" s="15" t="s">
        <v>646</v>
      </c>
      <c r="AS562" s="15" t="s">
        <v>703</v>
      </c>
      <c r="AT562" s="15" t="s">
        <v>692</v>
      </c>
      <c r="AU562" s="15" t="s">
        <v>704</v>
      </c>
      <c r="AV562" s="15" t="s">
        <v>705</v>
      </c>
      <c r="AW562" s="15" t="s">
        <v>706</v>
      </c>
      <c r="AX562" s="15" t="s">
        <v>707</v>
      </c>
      <c r="AY562" s="15" t="s">
        <v>413</v>
      </c>
      <c r="AZ562" s="15" t="b">
        <v>0</v>
      </c>
      <c r="BA562" s="15" t="s">
        <v>413</v>
      </c>
      <c r="BB562" s="15" t="b">
        <v>0</v>
      </c>
      <c r="BC562" s="15" t="s">
        <v>6456</v>
      </c>
      <c r="BD562" s="15" t="s">
        <v>709</v>
      </c>
      <c r="BE562" s="15" t="str">
        <f t="shared" ref="BE562:BE568" si="994">"1"</f>
        <v>1</v>
      </c>
      <c r="BF562" s="15" t="s">
        <v>416</v>
      </c>
      <c r="BG562" s="15" t="str">
        <f>"41.5"</f>
        <v>41.5</v>
      </c>
      <c r="BH562" s="15" t="s">
        <v>1402</v>
      </c>
      <c r="BI562" s="15" t="str">
        <f>"41.5"</f>
        <v>41.5</v>
      </c>
      <c r="BJ562" s="15" t="s">
        <v>1402</v>
      </c>
      <c r="BK562" s="15" t="str">
        <f>"27.5"</f>
        <v>27.5</v>
      </c>
      <c r="BL562" s="15" t="s">
        <v>1056</v>
      </c>
      <c r="BM562" s="15" t="str">
        <f>"91"</f>
        <v>91</v>
      </c>
      <c r="BN562" s="15" t="s">
        <v>6457</v>
      </c>
      <c r="BQ562" s="15" t="s">
        <v>444</v>
      </c>
      <c r="BS562" s="15" t="s">
        <v>444</v>
      </c>
      <c r="BU562" s="15" t="s">
        <v>444</v>
      </c>
      <c r="BW562" s="15" t="s">
        <v>444</v>
      </c>
      <c r="BZ562" s="15" t="s">
        <v>444</v>
      </c>
      <c r="CB562" s="15" t="s">
        <v>444</v>
      </c>
      <c r="CD562" s="15" t="s">
        <v>444</v>
      </c>
      <c r="CF562" s="15" t="s">
        <v>444</v>
      </c>
      <c r="CI562" s="15" t="s">
        <v>444</v>
      </c>
      <c r="CK562" s="15" t="s">
        <v>444</v>
      </c>
      <c r="CM562" s="15" t="s">
        <v>444</v>
      </c>
      <c r="CO562" s="15" t="s">
        <v>444</v>
      </c>
      <c r="CP562" s="15" t="str">
        <f>"27.4"</f>
        <v>27.4</v>
      </c>
      <c r="CQ562" s="15" t="str">
        <f>"0.776"</f>
        <v>0.776</v>
      </c>
      <c r="CR562" s="15" t="s">
        <v>465</v>
      </c>
      <c r="CY562" s="15" t="s">
        <v>4987</v>
      </c>
      <c r="CZ562" s="15" t="s">
        <v>870</v>
      </c>
      <c r="DA562" s="15" t="s">
        <v>4552</v>
      </c>
      <c r="DB562" s="15" t="s">
        <v>2652</v>
      </c>
      <c r="DC562" s="15" t="str">
        <f>IFERROR(__xludf.DUMMYFUNCTION("""COMPUTED_VALUE"""),"{""value"":24.02,""unit"":""in""}")</f>
        <v>{"value":24.02,"unit":"in"}</v>
      </c>
      <c r="DD562" s="15" t="s">
        <v>2738</v>
      </c>
      <c r="DE562" s="15" t="str">
        <f>IFERROR(__xludf.DUMMYFUNCTION("""COMPUTED_VALUE"""),"{""value"":19.29,""unit"":""in""}")</f>
        <v>{"value":19.29,"unit":"in"}</v>
      </c>
      <c r="DF562" s="15" t="s">
        <v>4552</v>
      </c>
      <c r="DG562" s="15" t="str">
        <f>IFERROR(__xludf.DUMMYFUNCTION("""COMPUTED_VALUE"""),"{""value"":29.92,""unit"":""in""}")</f>
        <v>{"value":29.92,"unit":"in"}</v>
      </c>
      <c r="DH562" s="15">
        <v>0.0</v>
      </c>
      <c r="DI562" s="15">
        <v>1.0</v>
      </c>
      <c r="DJ562" s="15" t="s">
        <v>717</v>
      </c>
      <c r="DK562" s="15" t="s">
        <v>718</v>
      </c>
      <c r="DL562" s="15" t="str">
        <f>IFERROR(__xludf.DUMMYFUNCTION("""COMPUTED_VALUE"""),"Vacuum or light brush only. Do not use water or any cleaning products.")</f>
        <v>Vacuum or light brush only. Do not use water or any cleaning products.</v>
      </c>
      <c r="DM562" s="15" t="s">
        <v>719</v>
      </c>
      <c r="DQ562" s="15" t="s">
        <v>6458</v>
      </c>
      <c r="DT562" s="15" t="s">
        <v>721</v>
      </c>
      <c r="DU562" s="15" t="s">
        <v>419</v>
      </c>
      <c r="DV562" s="15">
        <v>0.0</v>
      </c>
      <c r="DZ562" s="15">
        <v>0.0</v>
      </c>
      <c r="EA562" s="15" t="s">
        <v>990</v>
      </c>
      <c r="EB562" s="15" t="s">
        <v>723</v>
      </c>
      <c r="EC562" s="15" t="s">
        <v>724</v>
      </c>
      <c r="ED562" s="15">
        <v>1.0</v>
      </c>
      <c r="EE562" s="15">
        <v>1.0</v>
      </c>
      <c r="EG562" s="15" t="s">
        <v>444</v>
      </c>
      <c r="EH562" s="15" t="s">
        <v>6459</v>
      </c>
      <c r="EI562" s="15">
        <v>0.0</v>
      </c>
      <c r="EJ562" s="15" t="s">
        <v>726</v>
      </c>
      <c r="EK562" s="15" t="s">
        <v>727</v>
      </c>
      <c r="EL562" s="15" t="s">
        <v>1068</v>
      </c>
      <c r="EM562" s="15" t="str">
        <f>IFERROR(__xludf.DUMMYFUNCTION("""COMPUTED_VALUE"""),"{""value"":24.80,""unit"":""in""}")</f>
        <v>{"value":24.80,"unit":"in"}</v>
      </c>
      <c r="EN562" s="15" t="s">
        <v>761</v>
      </c>
      <c r="EO562" s="15" t="s">
        <v>734</v>
      </c>
      <c r="ES562" s="15" t="s">
        <v>732</v>
      </c>
      <c r="ET562" s="15" t="s">
        <v>714</v>
      </c>
      <c r="EU562" s="15" t="s">
        <v>3129</v>
      </c>
      <c r="EV562" s="15" t="s">
        <v>6460</v>
      </c>
      <c r="EW562" s="15" t="s">
        <v>2465</v>
      </c>
      <c r="EX562" s="15" t="s">
        <v>4552</v>
      </c>
      <c r="EY562" s="15" t="s">
        <v>4552</v>
      </c>
      <c r="EZ562" s="15" t="s">
        <v>3857</v>
      </c>
      <c r="FC562" s="15" t="s">
        <v>723</v>
      </c>
      <c r="FD562" s="15" t="s">
        <v>724</v>
      </c>
      <c r="FE562" s="15" t="s">
        <v>3408</v>
      </c>
      <c r="FF562" s="15" t="s">
        <v>6461</v>
      </c>
      <c r="FL562" s="15" t="s">
        <v>426</v>
      </c>
      <c r="FQ562" s="15">
        <v>0.0</v>
      </c>
      <c r="FR562" s="15">
        <v>0.0</v>
      </c>
      <c r="FS562" s="15" t="s">
        <v>736</v>
      </c>
      <c r="FT562" s="15">
        <v>0.0</v>
      </c>
    </row>
    <row r="563" ht="15.75" customHeight="1">
      <c r="A563" s="14" t="s">
        <v>391</v>
      </c>
      <c r="B563" s="15" t="s">
        <v>6462</v>
      </c>
      <c r="C563" s="16"/>
      <c r="D563" s="15" t="s">
        <v>432</v>
      </c>
      <c r="G563" s="14" t="s">
        <v>393</v>
      </c>
      <c r="H563" s="14" t="s">
        <v>394</v>
      </c>
      <c r="I563" s="14" t="b">
        <v>1</v>
      </c>
      <c r="J563" s="14" t="s">
        <v>395</v>
      </c>
      <c r="L563" s="14" t="b">
        <v>0</v>
      </c>
      <c r="M563" s="15" t="s">
        <v>6463</v>
      </c>
      <c r="N563" s="14" t="s">
        <v>393</v>
      </c>
      <c r="O563" s="14" t="s">
        <v>393</v>
      </c>
      <c r="P563" s="15" t="s">
        <v>397</v>
      </c>
      <c r="Q563" s="15" t="s">
        <v>692</v>
      </c>
      <c r="R563" s="15" t="s">
        <v>265</v>
      </c>
      <c r="S563" s="15" t="s">
        <v>6464</v>
      </c>
      <c r="T563" s="14" t="b">
        <v>0</v>
      </c>
      <c r="U563" s="15" t="s">
        <v>6465</v>
      </c>
      <c r="V563" s="15" t="s">
        <v>6466</v>
      </c>
      <c r="W563" s="15" t="s">
        <v>401</v>
      </c>
      <c r="X563" s="15" t="s">
        <v>695</v>
      </c>
      <c r="Y563" s="15">
        <v>4043.0</v>
      </c>
      <c r="AA563" s="15" t="str">
        <f>"1555"</f>
        <v>1555</v>
      </c>
      <c r="AB563" s="14" t="b">
        <v>1</v>
      </c>
      <c r="AC563" s="14" t="b">
        <v>1</v>
      </c>
      <c r="AD563" s="15" t="str">
        <f>"801542849696"</f>
        <v>801542849696</v>
      </c>
      <c r="AE563" s="15" t="s">
        <v>6467</v>
      </c>
      <c r="AF563" s="14" t="s">
        <v>404</v>
      </c>
      <c r="AG563" s="14" t="s">
        <v>405</v>
      </c>
      <c r="AH563" s="14" t="s">
        <v>406</v>
      </c>
      <c r="AI563" s="15">
        <v>0.0</v>
      </c>
      <c r="AL563" s="15" t="s">
        <v>697</v>
      </c>
      <c r="AM563" s="15" t="s">
        <v>6464</v>
      </c>
      <c r="AN563" s="15" t="s">
        <v>6468</v>
      </c>
      <c r="AO563" s="15" t="s">
        <v>5214</v>
      </c>
      <c r="AP563" s="15" t="s">
        <v>5215</v>
      </c>
      <c r="AQ563" s="15" t="s">
        <v>645</v>
      </c>
      <c r="AR563" s="15" t="s">
        <v>646</v>
      </c>
      <c r="AS563" s="15" t="s">
        <v>703</v>
      </c>
      <c r="AT563" s="15" t="s">
        <v>692</v>
      </c>
      <c r="AU563" s="15" t="s">
        <v>704</v>
      </c>
      <c r="AV563" s="15" t="s">
        <v>705</v>
      </c>
      <c r="AW563" s="15" t="s">
        <v>1732</v>
      </c>
      <c r="AY563" s="15" t="s">
        <v>413</v>
      </c>
      <c r="AZ563" s="15" t="b">
        <v>0</v>
      </c>
      <c r="BA563" s="15" t="s">
        <v>413</v>
      </c>
      <c r="BB563" s="15" t="b">
        <v>0</v>
      </c>
      <c r="BC563" s="15" t="s">
        <v>6469</v>
      </c>
      <c r="BD563" s="15" t="s">
        <v>709</v>
      </c>
      <c r="BE563" s="15" t="str">
        <f t="shared" si="994"/>
        <v>1</v>
      </c>
      <c r="BF563" s="15" t="s">
        <v>416</v>
      </c>
      <c r="BG563" s="15" t="str">
        <f>"73.43"</f>
        <v>73.43</v>
      </c>
      <c r="BH563" s="15" t="s">
        <v>1369</v>
      </c>
      <c r="BI563" s="15" t="str">
        <f>"40.94"</f>
        <v>40.94</v>
      </c>
      <c r="BJ563" s="15" t="s">
        <v>648</v>
      </c>
      <c r="BK563" s="15" t="str">
        <f>"27.76"</f>
        <v>27.76</v>
      </c>
      <c r="BL563" s="15" t="s">
        <v>6424</v>
      </c>
      <c r="BM563" s="15" t="str">
        <f>"160.49"</f>
        <v>160.49</v>
      </c>
      <c r="BN563" s="15" t="s">
        <v>6470</v>
      </c>
      <c r="BQ563" s="15" t="s">
        <v>444</v>
      </c>
      <c r="BS563" s="15" t="s">
        <v>444</v>
      </c>
      <c r="BU563" s="15" t="s">
        <v>444</v>
      </c>
      <c r="BW563" s="15" t="s">
        <v>444</v>
      </c>
      <c r="BZ563" s="15" t="s">
        <v>444</v>
      </c>
      <c r="CB563" s="15" t="s">
        <v>444</v>
      </c>
      <c r="CD563" s="15" t="s">
        <v>444</v>
      </c>
      <c r="CF563" s="15" t="s">
        <v>444</v>
      </c>
      <c r="CI563" s="15" t="s">
        <v>444</v>
      </c>
      <c r="CK563" s="15" t="s">
        <v>444</v>
      </c>
      <c r="CM563" s="15" t="s">
        <v>444</v>
      </c>
      <c r="CO563" s="15" t="s">
        <v>444</v>
      </c>
      <c r="CP563" s="15" t="str">
        <f>"48.28"</f>
        <v>48.28</v>
      </c>
      <c r="CQ563" s="15" t="str">
        <f>"1.367"</f>
        <v>1.367</v>
      </c>
      <c r="CR563" s="15" t="s">
        <v>417</v>
      </c>
      <c r="CY563" s="15" t="s">
        <v>673</v>
      </c>
      <c r="CZ563" s="15" t="s">
        <v>870</v>
      </c>
      <c r="DA563" s="15" t="s">
        <v>4058</v>
      </c>
      <c r="DB563" s="15" t="s">
        <v>2652</v>
      </c>
      <c r="DC563" s="15" t="str">
        <f>IFERROR(__xludf.DUMMYFUNCTION("""COMPUTED_VALUE"""),"{""value"":24.02,""unit"":""in""}")</f>
        <v>{"value":24.02,"unit":"in"}</v>
      </c>
      <c r="DD563" s="15" t="s">
        <v>2738</v>
      </c>
      <c r="DE563" s="15" t="str">
        <f>IFERROR(__xludf.DUMMYFUNCTION("""COMPUTED_VALUE"""),"{""value"":19.29,""unit"":""in""}")</f>
        <v>{"value":19.29,"unit":"in"}</v>
      </c>
      <c r="DF563" s="15" t="s">
        <v>6471</v>
      </c>
      <c r="DG563" s="15" t="str">
        <f>IFERROR(__xludf.DUMMYFUNCTION("""COMPUTED_VALUE"""),"{""value"":61.81,""unit"":""in""}")</f>
        <v>{"value":61.81,"unit":"in"}</v>
      </c>
      <c r="DH563" s="15">
        <v>0.0</v>
      </c>
      <c r="DI563" s="15">
        <v>2.0</v>
      </c>
      <c r="DJ563" s="15" t="s">
        <v>717</v>
      </c>
      <c r="DK563" s="15" t="s">
        <v>718</v>
      </c>
      <c r="DL563" s="15" t="str">
        <f>IFERROR(__xludf.DUMMYFUNCTION("""COMPUTED_VALUE"""),"Vacuum or light brush only. Do not use water or any cleaning products.")</f>
        <v>Vacuum or light brush only. Do not use water or any cleaning products.</v>
      </c>
      <c r="DM563" s="15" t="s">
        <v>719</v>
      </c>
      <c r="DQ563" s="15" t="s">
        <v>6472</v>
      </c>
      <c r="DT563" s="15" t="s">
        <v>721</v>
      </c>
      <c r="DU563" s="15" t="s">
        <v>419</v>
      </c>
      <c r="DV563" s="15">
        <v>0.0</v>
      </c>
      <c r="DZ563" s="15">
        <v>0.0</v>
      </c>
      <c r="EA563" s="15" t="s">
        <v>990</v>
      </c>
      <c r="EB563" s="15" t="s">
        <v>723</v>
      </c>
      <c r="EC563" s="15" t="s">
        <v>724</v>
      </c>
      <c r="ED563" s="15">
        <v>2.0</v>
      </c>
      <c r="EE563" s="15">
        <v>3.0</v>
      </c>
      <c r="EG563" s="15" t="s">
        <v>444</v>
      </c>
      <c r="EH563" s="15" t="s">
        <v>6459</v>
      </c>
      <c r="EI563" s="15">
        <v>0.0</v>
      </c>
      <c r="EJ563" s="15" t="s">
        <v>473</v>
      </c>
      <c r="EK563" s="15" t="s">
        <v>474</v>
      </c>
      <c r="EL563" s="15" t="s">
        <v>1068</v>
      </c>
      <c r="EM563" s="15" t="str">
        <f>IFERROR(__xludf.DUMMYFUNCTION("""COMPUTED_VALUE"""),"{""value"":24.80,""unit"":""in""}")</f>
        <v>{"value":24.80,"unit":"in"}</v>
      </c>
      <c r="EN563" s="15" t="s">
        <v>761</v>
      </c>
      <c r="EO563" s="15" t="s">
        <v>6473</v>
      </c>
      <c r="ES563" s="15" t="s">
        <v>732</v>
      </c>
      <c r="ET563" s="15" t="s">
        <v>1070</v>
      </c>
      <c r="EU563" s="15" t="s">
        <v>714</v>
      </c>
      <c r="EV563" s="15" t="s">
        <v>6474</v>
      </c>
      <c r="EW563" s="15" t="s">
        <v>2465</v>
      </c>
      <c r="EX563" s="15" t="s">
        <v>6475</v>
      </c>
      <c r="EY563" s="15" t="s">
        <v>6476</v>
      </c>
      <c r="EZ563" s="15" t="s">
        <v>2020</v>
      </c>
      <c r="FC563" s="15" t="s">
        <v>723</v>
      </c>
      <c r="FD563" s="15" t="s">
        <v>724</v>
      </c>
      <c r="FE563" s="15" t="s">
        <v>3408</v>
      </c>
      <c r="FF563" s="15" t="s">
        <v>6461</v>
      </c>
      <c r="FL563" s="15" t="s">
        <v>426</v>
      </c>
      <c r="FS563" s="15" t="s">
        <v>736</v>
      </c>
    </row>
    <row r="564" ht="15.75" customHeight="1">
      <c r="A564" s="14" t="s">
        <v>391</v>
      </c>
      <c r="B564" s="15" t="s">
        <v>6462</v>
      </c>
      <c r="C564" s="16"/>
      <c r="D564" s="15" t="s">
        <v>432</v>
      </c>
      <c r="G564" s="14" t="s">
        <v>393</v>
      </c>
      <c r="H564" s="14" t="s">
        <v>394</v>
      </c>
      <c r="I564" s="14" t="b">
        <v>1</v>
      </c>
      <c r="J564" s="14" t="s">
        <v>395</v>
      </c>
      <c r="L564" s="14" t="b">
        <v>0</v>
      </c>
      <c r="M564" s="15" t="s">
        <v>6477</v>
      </c>
      <c r="N564" s="14" t="s">
        <v>393</v>
      </c>
      <c r="O564" s="14" t="s">
        <v>393</v>
      </c>
      <c r="P564" s="15" t="s">
        <v>397</v>
      </c>
      <c r="Q564" s="15" t="s">
        <v>692</v>
      </c>
      <c r="R564" s="15" t="s">
        <v>265</v>
      </c>
      <c r="S564" s="15" t="s">
        <v>6478</v>
      </c>
      <c r="T564" s="14" t="b">
        <v>0</v>
      </c>
      <c r="U564" s="15" t="s">
        <v>6479</v>
      </c>
      <c r="V564" s="15" t="s">
        <v>6480</v>
      </c>
      <c r="W564" s="15" t="s">
        <v>401</v>
      </c>
      <c r="X564" s="15" t="s">
        <v>695</v>
      </c>
      <c r="Y564" s="15">
        <v>5681.0</v>
      </c>
      <c r="AA564" s="15" t="str">
        <f>"2185"</f>
        <v>2185</v>
      </c>
      <c r="AB564" s="14" t="b">
        <v>1</v>
      </c>
      <c r="AC564" s="14" t="b">
        <v>1</v>
      </c>
      <c r="AD564" s="15" t="str">
        <f>"801542849702"</f>
        <v>801542849702</v>
      </c>
      <c r="AE564" s="15" t="s">
        <v>6481</v>
      </c>
      <c r="AF564" s="14" t="s">
        <v>404</v>
      </c>
      <c r="AG564" s="14" t="s">
        <v>405</v>
      </c>
      <c r="AH564" s="14" t="s">
        <v>406</v>
      </c>
      <c r="AI564" s="15">
        <v>0.0</v>
      </c>
      <c r="AL564" s="15" t="s">
        <v>697</v>
      </c>
      <c r="AM564" s="15" t="s">
        <v>6478</v>
      </c>
      <c r="AN564" s="15" t="s">
        <v>6482</v>
      </c>
      <c r="AO564" s="15" t="s">
        <v>6483</v>
      </c>
      <c r="AP564" s="15" t="s">
        <v>6484</v>
      </c>
      <c r="AQ564" s="15" t="s">
        <v>1028</v>
      </c>
      <c r="AR564" s="15" t="s">
        <v>1029</v>
      </c>
      <c r="AS564" s="15" t="s">
        <v>703</v>
      </c>
      <c r="AT564" s="15" t="s">
        <v>692</v>
      </c>
      <c r="AU564" s="15" t="s">
        <v>704</v>
      </c>
      <c r="AV564" s="15" t="s">
        <v>705</v>
      </c>
      <c r="AW564" s="15" t="s">
        <v>1732</v>
      </c>
      <c r="AY564" s="15" t="s">
        <v>413</v>
      </c>
      <c r="AZ564" s="15" t="b">
        <v>0</v>
      </c>
      <c r="BA564" s="15" t="s">
        <v>413</v>
      </c>
      <c r="BB564" s="15" t="b">
        <v>0</v>
      </c>
      <c r="BC564" s="15" t="s">
        <v>6456</v>
      </c>
      <c r="BD564" s="15" t="s">
        <v>709</v>
      </c>
      <c r="BE564" s="15" t="str">
        <f t="shared" si="994"/>
        <v>1</v>
      </c>
      <c r="BF564" s="15" t="s">
        <v>416</v>
      </c>
      <c r="BG564" s="15" t="str">
        <f>"89"</f>
        <v>89</v>
      </c>
      <c r="BH564" s="15" t="s">
        <v>6485</v>
      </c>
      <c r="BI564" s="15" t="str">
        <f>"42"</f>
        <v>42</v>
      </c>
      <c r="BJ564" s="15" t="s">
        <v>2558</v>
      </c>
      <c r="BK564" s="15" t="str">
        <f>"27.75"</f>
        <v>27.75</v>
      </c>
      <c r="BL564" s="15" t="s">
        <v>6486</v>
      </c>
      <c r="BM564" s="15" t="str">
        <f>"182"</f>
        <v>182</v>
      </c>
      <c r="BN564" s="15" t="s">
        <v>6487</v>
      </c>
      <c r="BQ564" s="15" t="s">
        <v>444</v>
      </c>
      <c r="BS564" s="15" t="s">
        <v>444</v>
      </c>
      <c r="BU564" s="15" t="s">
        <v>444</v>
      </c>
      <c r="BW564" s="15" t="s">
        <v>444</v>
      </c>
      <c r="BZ564" s="15" t="s">
        <v>444</v>
      </c>
      <c r="CB564" s="15" t="s">
        <v>444</v>
      </c>
      <c r="CD564" s="15" t="s">
        <v>444</v>
      </c>
      <c r="CF564" s="15" t="s">
        <v>444</v>
      </c>
      <c r="CI564" s="15" t="s">
        <v>444</v>
      </c>
      <c r="CK564" s="15" t="s">
        <v>444</v>
      </c>
      <c r="CM564" s="15" t="s">
        <v>444</v>
      </c>
      <c r="CO564" s="15" t="s">
        <v>444</v>
      </c>
      <c r="CP564" s="15" t="str">
        <f>"60.03"</f>
        <v>60.03</v>
      </c>
      <c r="CQ564" s="15" t="str">
        <f>"1.7"</f>
        <v>1.7</v>
      </c>
      <c r="CR564" s="15" t="s">
        <v>465</v>
      </c>
      <c r="CY564" s="15" t="s">
        <v>4987</v>
      </c>
      <c r="CZ564" s="15" t="s">
        <v>870</v>
      </c>
      <c r="DA564" s="15" t="s">
        <v>6488</v>
      </c>
      <c r="DB564" s="15" t="s">
        <v>1482</v>
      </c>
      <c r="DC564" s="15" t="str">
        <f>IFERROR(__xludf.DUMMYFUNCTION("""COMPUTED_VALUE"""),"{""value"":24.41,""unit"":""in""}")</f>
        <v>{"value":24.41,"unit":"in"}</v>
      </c>
      <c r="DD564" s="15" t="s">
        <v>2738</v>
      </c>
      <c r="DE564" s="15" t="str">
        <f>IFERROR(__xludf.DUMMYFUNCTION("""COMPUTED_VALUE"""),"{""value"":19.29,""unit"":""in""}")</f>
        <v>{"value":19.29,"unit":"in"}</v>
      </c>
      <c r="DF564" s="15" t="s">
        <v>6489</v>
      </c>
      <c r="DG564" s="15" t="str">
        <f>IFERROR(__xludf.DUMMYFUNCTION("""COMPUTED_VALUE"""),"{""value"":78.35,""unit"":""in""}")</f>
        <v>{"value":78.35,"unit":"in"}</v>
      </c>
      <c r="DH564" s="15">
        <v>0.0</v>
      </c>
      <c r="DI564" s="15">
        <v>2.0</v>
      </c>
      <c r="DJ564" s="15" t="s">
        <v>717</v>
      </c>
      <c r="DK564" s="15" t="s">
        <v>718</v>
      </c>
      <c r="DL564" s="15" t="str">
        <f>IFERROR(__xludf.DUMMYFUNCTION("""COMPUTED_VALUE"""),"Vacuum or light brush only. Do not use water or any cleaning products.")</f>
        <v>Vacuum or light brush only. Do not use water or any cleaning products.</v>
      </c>
      <c r="DM564" s="15" t="s">
        <v>719</v>
      </c>
      <c r="DQ564" s="15" t="s">
        <v>6490</v>
      </c>
      <c r="DT564" s="15" t="s">
        <v>721</v>
      </c>
      <c r="DU564" s="15" t="s">
        <v>419</v>
      </c>
      <c r="DV564" s="15">
        <v>0.0</v>
      </c>
      <c r="DZ564" s="15">
        <v>0.0</v>
      </c>
      <c r="EA564" s="15" t="s">
        <v>990</v>
      </c>
      <c r="EB564" s="15" t="s">
        <v>723</v>
      </c>
      <c r="EC564" s="15" t="s">
        <v>724</v>
      </c>
      <c r="ED564" s="15">
        <v>2.0</v>
      </c>
      <c r="EE564" s="15">
        <v>3.0</v>
      </c>
      <c r="EG564" s="15" t="s">
        <v>444</v>
      </c>
      <c r="EH564" s="15" t="s">
        <v>6459</v>
      </c>
      <c r="EI564" s="15">
        <v>0.0</v>
      </c>
      <c r="EJ564" s="15" t="s">
        <v>473</v>
      </c>
      <c r="EK564" s="15" t="s">
        <v>474</v>
      </c>
      <c r="EL564" s="15" t="s">
        <v>1068</v>
      </c>
      <c r="EM564" s="15" t="str">
        <f>IFERROR(__xludf.DUMMYFUNCTION("""COMPUTED_VALUE"""),"{""value"":24.80,""unit"":""in""}")</f>
        <v>{"value":24.80,"unit":"in"}</v>
      </c>
      <c r="EN564" s="15" t="s">
        <v>761</v>
      </c>
      <c r="EO564" s="15" t="s">
        <v>734</v>
      </c>
      <c r="ES564" s="15" t="s">
        <v>732</v>
      </c>
      <c r="ET564" s="15" t="s">
        <v>1070</v>
      </c>
      <c r="EU564" s="15" t="s">
        <v>714</v>
      </c>
      <c r="EV564" s="15" t="s">
        <v>6491</v>
      </c>
      <c r="EW564" s="15" t="s">
        <v>2465</v>
      </c>
      <c r="EX564" s="15" t="s">
        <v>1240</v>
      </c>
      <c r="EY564" s="15" t="s">
        <v>6492</v>
      </c>
      <c r="EZ564" s="15" t="s">
        <v>2598</v>
      </c>
      <c r="FC564" s="15" t="s">
        <v>723</v>
      </c>
      <c r="FD564" s="15" t="s">
        <v>724</v>
      </c>
      <c r="FE564" s="15" t="s">
        <v>3408</v>
      </c>
      <c r="FF564" s="15" t="s">
        <v>6493</v>
      </c>
      <c r="FL564" s="15" t="s">
        <v>426</v>
      </c>
      <c r="FS564" s="15" t="s">
        <v>736</v>
      </c>
    </row>
    <row r="565" ht="15.75" customHeight="1">
      <c r="A565" s="14" t="s">
        <v>391</v>
      </c>
      <c r="B565" s="15" t="s">
        <v>6494</v>
      </c>
      <c r="C565" s="16"/>
      <c r="D565" s="15" t="s">
        <v>432</v>
      </c>
      <c r="G565" s="14" t="s">
        <v>393</v>
      </c>
      <c r="H565" s="14" t="s">
        <v>394</v>
      </c>
      <c r="I565" s="14" t="b">
        <v>1</v>
      </c>
      <c r="J565" s="14" t="s">
        <v>395</v>
      </c>
      <c r="L565" s="14" t="b">
        <v>0</v>
      </c>
      <c r="M565" s="15" t="s">
        <v>6495</v>
      </c>
      <c r="N565" s="14" t="s">
        <v>393</v>
      </c>
      <c r="O565" s="14" t="s">
        <v>393</v>
      </c>
      <c r="P565" s="15" t="s">
        <v>397</v>
      </c>
      <c r="Q565" s="15" t="s">
        <v>6496</v>
      </c>
      <c r="T565" s="14" t="b">
        <v>0</v>
      </c>
      <c r="U565" s="15" t="s">
        <v>6497</v>
      </c>
      <c r="V565" s="15" t="s">
        <v>3787</v>
      </c>
      <c r="W565" s="15" t="s">
        <v>401</v>
      </c>
      <c r="X565" s="15" t="s">
        <v>742</v>
      </c>
      <c r="Y565" s="15">
        <v>3822.0</v>
      </c>
      <c r="AA565" s="15" t="str">
        <f>"1470"</f>
        <v>1470</v>
      </c>
      <c r="AB565" s="14" t="b">
        <v>1</v>
      </c>
      <c r="AC565" s="14" t="b">
        <v>1</v>
      </c>
      <c r="AD565" s="15" t="str">
        <f>"801542414900"</f>
        <v>801542414900</v>
      </c>
      <c r="AE565" s="15" t="s">
        <v>6498</v>
      </c>
      <c r="AF565" s="14" t="s">
        <v>404</v>
      </c>
      <c r="AG565" s="14" t="s">
        <v>405</v>
      </c>
      <c r="AH565" s="14" t="s">
        <v>406</v>
      </c>
      <c r="AI565" s="15">
        <v>0.0</v>
      </c>
      <c r="AL565" s="15" t="s">
        <v>6499</v>
      </c>
      <c r="AM565" s="15" t="s">
        <v>4542</v>
      </c>
      <c r="AN565" s="15" t="s">
        <v>4543</v>
      </c>
      <c r="AO565" s="15" t="s">
        <v>1055</v>
      </c>
      <c r="AP565" s="15" t="s">
        <v>1056</v>
      </c>
      <c r="AQ565" s="15" t="s">
        <v>3275</v>
      </c>
      <c r="AR565" s="15" t="s">
        <v>3276</v>
      </c>
      <c r="AS565" s="15" t="s">
        <v>2759</v>
      </c>
      <c r="AT565" s="15" t="s">
        <v>6496</v>
      </c>
      <c r="AU565" s="15" t="s">
        <v>6500</v>
      </c>
      <c r="AV565" s="15" t="s">
        <v>6501</v>
      </c>
      <c r="AW565" s="15" t="s">
        <v>2134</v>
      </c>
      <c r="AX565" s="15" t="s">
        <v>2135</v>
      </c>
      <c r="AY565" s="15" t="s">
        <v>413</v>
      </c>
      <c r="AZ565" s="15" t="b">
        <v>0</v>
      </c>
      <c r="BA565" s="15" t="s">
        <v>413</v>
      </c>
      <c r="BB565" s="15" t="b">
        <v>0</v>
      </c>
      <c r="BC565" s="15" t="s">
        <v>6502</v>
      </c>
      <c r="BD565" s="15" t="s">
        <v>742</v>
      </c>
      <c r="BE565" s="15" t="str">
        <f t="shared" si="994"/>
        <v>1</v>
      </c>
      <c r="BF565" s="15" t="s">
        <v>416</v>
      </c>
      <c r="BG565" s="15" t="str">
        <f t="shared" ref="BG565:BG567" si="995">"74.61"</f>
        <v>74.61</v>
      </c>
      <c r="BH565" s="15" t="s">
        <v>6503</v>
      </c>
      <c r="BI565" s="15" t="str">
        <f t="shared" ref="BI565:BI567" si="996">"31.5"</f>
        <v>31.5</v>
      </c>
      <c r="BJ565" s="15" t="s">
        <v>1322</v>
      </c>
      <c r="BK565" s="15" t="str">
        <f t="shared" ref="BK565:BK567" si="997">"25.59"</f>
        <v>25.59</v>
      </c>
      <c r="BL565" s="15" t="s">
        <v>441</v>
      </c>
      <c r="BM565" s="15" t="str">
        <f t="shared" ref="BM565:BM567" si="998">"328.49"</f>
        <v>328.49</v>
      </c>
      <c r="BN565" s="15" t="s">
        <v>6504</v>
      </c>
      <c r="BQ565" s="15" t="s">
        <v>444</v>
      </c>
      <c r="BS565" s="15" t="s">
        <v>444</v>
      </c>
      <c r="BU565" s="15" t="s">
        <v>444</v>
      </c>
      <c r="BW565" s="15" t="s">
        <v>444</v>
      </c>
      <c r="BZ565" s="15" t="s">
        <v>444</v>
      </c>
      <c r="CB565" s="15" t="s">
        <v>444</v>
      </c>
      <c r="CD565" s="15" t="s">
        <v>444</v>
      </c>
      <c r="CF565" s="15" t="s">
        <v>444</v>
      </c>
      <c r="CI565" s="15" t="s">
        <v>444</v>
      </c>
      <c r="CK565" s="15" t="s">
        <v>444</v>
      </c>
      <c r="CM565" s="15" t="s">
        <v>444</v>
      </c>
      <c r="CO565" s="15" t="s">
        <v>444</v>
      </c>
      <c r="CP565" s="15" t="str">
        <f t="shared" ref="CP565:CP567" si="999">"34.78"</f>
        <v>34.78</v>
      </c>
      <c r="CQ565" s="15" t="str">
        <f t="shared" ref="CQ565:CQ567" si="1000">"0.985"</f>
        <v>0.985</v>
      </c>
      <c r="CR565" s="15" t="s">
        <v>465</v>
      </c>
      <c r="CV565" s="15" t="s">
        <v>3068</v>
      </c>
      <c r="CW565" s="15" t="s">
        <v>1428</v>
      </c>
      <c r="CX565" s="15" t="s">
        <v>987</v>
      </c>
      <c r="DC565" s="15" t="str">
        <f>IFERROR(__xludf.DUMMYFUNCTION("""COMPUTED_VALUE"""),"")</f>
        <v/>
      </c>
      <c r="DE565" s="15" t="str">
        <f>IFERROR(__xludf.DUMMYFUNCTION("""COMPUTED_VALUE"""),"")</f>
        <v/>
      </c>
      <c r="DG565" s="15" t="str">
        <f>IFERROR(__xludf.DUMMYFUNCTION("""COMPUTED_VALUE"""),"")</f>
        <v/>
      </c>
      <c r="DL565" s="15" t="str">
        <f>IFERROR(__xludf.DUMMYFUNCTION("""COMPUTED_VALUE"""),"")</f>
        <v/>
      </c>
      <c r="DM565" s="15" t="s">
        <v>444</v>
      </c>
      <c r="DN565" s="15" t="s">
        <v>4002</v>
      </c>
      <c r="DO565" s="15">
        <v>4.0</v>
      </c>
      <c r="DP565" s="15" t="s">
        <v>2601</v>
      </c>
      <c r="DR565" s="15">
        <v>0.0</v>
      </c>
      <c r="DT565" s="15" t="s">
        <v>1388</v>
      </c>
      <c r="DU565" s="15" t="s">
        <v>421</v>
      </c>
      <c r="DY565" s="15">
        <v>3.0</v>
      </c>
      <c r="EF565" s="15" t="s">
        <v>2137</v>
      </c>
      <c r="EG565" s="15" t="s">
        <v>2138</v>
      </c>
      <c r="EH565" s="15" t="s">
        <v>6505</v>
      </c>
      <c r="EJ565" s="15" t="s">
        <v>424</v>
      </c>
      <c r="EK565" s="15" t="s">
        <v>446</v>
      </c>
      <c r="EM565" s="15" t="str">
        <f>IFERROR(__xludf.DUMMYFUNCTION("""COMPUTED_VALUE"""),"")</f>
        <v/>
      </c>
      <c r="EW565" s="15" t="s">
        <v>2651</v>
      </c>
      <c r="EX565" s="15" t="s">
        <v>716</v>
      </c>
      <c r="EY565" s="15" t="s">
        <v>6506</v>
      </c>
      <c r="FH565" s="15" t="s">
        <v>2046</v>
      </c>
      <c r="FI565" s="15" t="s">
        <v>1118</v>
      </c>
      <c r="FJ565" s="15" t="s">
        <v>2046</v>
      </c>
      <c r="FK565" s="15" t="s">
        <v>1517</v>
      </c>
      <c r="FL565" s="15" t="s">
        <v>426</v>
      </c>
      <c r="FM565" s="15">
        <v>3.0</v>
      </c>
      <c r="FV565" s="15" t="s">
        <v>1118</v>
      </c>
      <c r="GB565" s="15" t="s">
        <v>2808</v>
      </c>
      <c r="GC565" s="15" t="s">
        <v>612</v>
      </c>
      <c r="GD565" s="15" t="s">
        <v>1550</v>
      </c>
      <c r="GG565" s="15" t="s">
        <v>785</v>
      </c>
      <c r="GH565" s="15">
        <v>2.0</v>
      </c>
      <c r="GI565" s="15" t="s">
        <v>614</v>
      </c>
      <c r="GL565" s="15" t="s">
        <v>426</v>
      </c>
      <c r="GN565" s="15" t="s">
        <v>616</v>
      </c>
      <c r="GQ565" s="15" t="s">
        <v>6507</v>
      </c>
      <c r="GR565" s="15" t="s">
        <v>6507</v>
      </c>
      <c r="GS565" s="15" t="s">
        <v>2974</v>
      </c>
      <c r="GT565" s="15" t="s">
        <v>1121</v>
      </c>
      <c r="GU565" s="15" t="s">
        <v>6508</v>
      </c>
      <c r="GV565" s="15" t="s">
        <v>6508</v>
      </c>
      <c r="GW565" s="15" t="s">
        <v>838</v>
      </c>
      <c r="GY565" s="15" t="s">
        <v>764</v>
      </c>
      <c r="GZ565" s="15" t="s">
        <v>426</v>
      </c>
      <c r="HA565" s="15" t="s">
        <v>3068</v>
      </c>
      <c r="HB565" s="15" t="s">
        <v>1428</v>
      </c>
      <c r="HC565" s="15" t="s">
        <v>1550</v>
      </c>
      <c r="HD565" s="15">
        <v>0.0</v>
      </c>
      <c r="HQ565" s="15" t="s">
        <v>3068</v>
      </c>
      <c r="HS565" s="15" t="s">
        <v>1428</v>
      </c>
      <c r="HU565" s="15" t="s">
        <v>1550</v>
      </c>
      <c r="HW565" s="15" t="s">
        <v>789</v>
      </c>
      <c r="HX565" s="15" t="s">
        <v>6507</v>
      </c>
      <c r="HY565" s="15" t="s">
        <v>6507</v>
      </c>
      <c r="HZ565" s="15" t="s">
        <v>2144</v>
      </c>
      <c r="IA565" s="15" t="s">
        <v>526</v>
      </c>
      <c r="IB565" s="15" t="s">
        <v>6508</v>
      </c>
      <c r="IC565" s="15" t="s">
        <v>6508</v>
      </c>
      <c r="ID565" s="15" t="s">
        <v>2808</v>
      </c>
      <c r="IE565" s="15" t="s">
        <v>612</v>
      </c>
      <c r="IF565" s="15" t="s">
        <v>987</v>
      </c>
      <c r="IG565" s="15" t="s">
        <v>426</v>
      </c>
      <c r="IH565" s="15" t="s">
        <v>426</v>
      </c>
    </row>
    <row r="566" ht="15.75" customHeight="1">
      <c r="A566" s="14" t="s">
        <v>391</v>
      </c>
      <c r="B566" s="15" t="s">
        <v>6494</v>
      </c>
      <c r="C566" s="16"/>
      <c r="D566" s="15" t="s">
        <v>432</v>
      </c>
      <c r="G566" s="14" t="s">
        <v>393</v>
      </c>
      <c r="H566" s="14" t="s">
        <v>394</v>
      </c>
      <c r="I566" s="14" t="b">
        <v>1</v>
      </c>
      <c r="J566" s="14" t="s">
        <v>395</v>
      </c>
      <c r="L566" s="14" t="b">
        <v>0</v>
      </c>
      <c r="M566" s="15" t="s">
        <v>6509</v>
      </c>
      <c r="N566" s="14" t="s">
        <v>393</v>
      </c>
      <c r="O566" s="14" t="s">
        <v>393</v>
      </c>
      <c r="P566" s="15" t="s">
        <v>397</v>
      </c>
      <c r="Q566" s="15" t="s">
        <v>3649</v>
      </c>
      <c r="T566" s="14" t="b">
        <v>0</v>
      </c>
      <c r="U566" s="15" t="s">
        <v>6510</v>
      </c>
      <c r="V566" s="15" t="s">
        <v>3787</v>
      </c>
      <c r="W566" s="15" t="s">
        <v>401</v>
      </c>
      <c r="X566" s="15" t="s">
        <v>742</v>
      </c>
      <c r="Y566" s="15">
        <v>3393.0</v>
      </c>
      <c r="AA566" s="15" t="str">
        <f>"1305"</f>
        <v>1305</v>
      </c>
      <c r="AB566" s="14" t="b">
        <v>1</v>
      </c>
      <c r="AC566" s="14" t="b">
        <v>1</v>
      </c>
      <c r="AD566" s="15" t="str">
        <f>"801542081232"</f>
        <v>801542081232</v>
      </c>
      <c r="AE566" s="15" t="s">
        <v>6511</v>
      </c>
      <c r="AF566" s="14" t="s">
        <v>404</v>
      </c>
      <c r="AG566" s="14" t="s">
        <v>405</v>
      </c>
      <c r="AH566" s="14" t="s">
        <v>406</v>
      </c>
      <c r="AI566" s="15">
        <v>0.0</v>
      </c>
      <c r="AL566" s="15" t="s">
        <v>6512</v>
      </c>
      <c r="AM566" s="15" t="s">
        <v>4542</v>
      </c>
      <c r="AN566" s="15" t="s">
        <v>4543</v>
      </c>
      <c r="AO566" s="15" t="s">
        <v>1055</v>
      </c>
      <c r="AP566" s="15" t="s">
        <v>1056</v>
      </c>
      <c r="AQ566" s="15" t="s">
        <v>3275</v>
      </c>
      <c r="AR566" s="15" t="s">
        <v>3276</v>
      </c>
      <c r="AS566" s="15" t="s">
        <v>2759</v>
      </c>
      <c r="AT566" s="15" t="s">
        <v>3649</v>
      </c>
      <c r="AU566" s="15" t="s">
        <v>6500</v>
      </c>
      <c r="AV566" s="15" t="s">
        <v>6513</v>
      </c>
      <c r="AW566" s="15" t="s">
        <v>2134</v>
      </c>
      <c r="AX566" s="15" t="s">
        <v>2135</v>
      </c>
      <c r="AY566" s="15" t="s">
        <v>413</v>
      </c>
      <c r="AZ566" s="15" t="b">
        <v>0</v>
      </c>
      <c r="BA566" s="15" t="s">
        <v>413</v>
      </c>
      <c r="BB566" s="15" t="b">
        <v>0</v>
      </c>
      <c r="BC566" s="15" t="s">
        <v>6514</v>
      </c>
      <c r="BD566" s="15" t="s">
        <v>742</v>
      </c>
      <c r="BE566" s="15" t="str">
        <f t="shared" si="994"/>
        <v>1</v>
      </c>
      <c r="BF566" s="15" t="s">
        <v>416</v>
      </c>
      <c r="BG566" s="15" t="str">
        <f t="shared" si="995"/>
        <v>74.61</v>
      </c>
      <c r="BH566" s="15" t="s">
        <v>6503</v>
      </c>
      <c r="BI566" s="15" t="str">
        <f t="shared" si="996"/>
        <v>31.5</v>
      </c>
      <c r="BJ566" s="15" t="s">
        <v>1322</v>
      </c>
      <c r="BK566" s="15" t="str">
        <f t="shared" si="997"/>
        <v>25.59</v>
      </c>
      <c r="BL566" s="15" t="s">
        <v>441</v>
      </c>
      <c r="BM566" s="15" t="str">
        <f t="shared" si="998"/>
        <v>328.49</v>
      </c>
      <c r="BN566" s="15" t="s">
        <v>6504</v>
      </c>
      <c r="BQ566" s="15" t="s">
        <v>444</v>
      </c>
      <c r="BS566" s="15" t="s">
        <v>444</v>
      </c>
      <c r="BU566" s="15" t="s">
        <v>444</v>
      </c>
      <c r="BW566" s="15" t="s">
        <v>444</v>
      </c>
      <c r="BZ566" s="15" t="s">
        <v>444</v>
      </c>
      <c r="CB566" s="15" t="s">
        <v>444</v>
      </c>
      <c r="CD566" s="15" t="s">
        <v>444</v>
      </c>
      <c r="CF566" s="15" t="s">
        <v>444</v>
      </c>
      <c r="CI566" s="15" t="s">
        <v>444</v>
      </c>
      <c r="CK566" s="15" t="s">
        <v>444</v>
      </c>
      <c r="CM566" s="15" t="s">
        <v>444</v>
      </c>
      <c r="CO566" s="15" t="s">
        <v>444</v>
      </c>
      <c r="CP566" s="15" t="str">
        <f t="shared" si="999"/>
        <v>34.78</v>
      </c>
      <c r="CQ566" s="15" t="str">
        <f t="shared" si="1000"/>
        <v>0.985</v>
      </c>
      <c r="CR566" s="15" t="s">
        <v>465</v>
      </c>
      <c r="CV566" s="15" t="s">
        <v>3068</v>
      </c>
      <c r="CW566" s="15" t="s">
        <v>1428</v>
      </c>
      <c r="CX566" s="15" t="s">
        <v>987</v>
      </c>
      <c r="DC566" s="15" t="str">
        <f>IFERROR(__xludf.DUMMYFUNCTION("""COMPUTED_VALUE"""),"")</f>
        <v/>
      </c>
      <c r="DE566" s="15" t="str">
        <f>IFERROR(__xludf.DUMMYFUNCTION("""COMPUTED_VALUE"""),"")</f>
        <v/>
      </c>
      <c r="DG566" s="15" t="str">
        <f>IFERROR(__xludf.DUMMYFUNCTION("""COMPUTED_VALUE"""),"")</f>
        <v/>
      </c>
      <c r="DL566" s="15" t="str">
        <f>IFERROR(__xludf.DUMMYFUNCTION("""COMPUTED_VALUE"""),"")</f>
        <v/>
      </c>
      <c r="DM566" s="15" t="s">
        <v>444</v>
      </c>
      <c r="DN566" s="15" t="s">
        <v>4002</v>
      </c>
      <c r="DO566" s="15">
        <v>4.0</v>
      </c>
      <c r="DP566" s="15" t="s">
        <v>2601</v>
      </c>
      <c r="DR566" s="15">
        <v>0.0</v>
      </c>
      <c r="DT566" s="15" t="s">
        <v>1388</v>
      </c>
      <c r="DU566" s="15" t="s">
        <v>421</v>
      </c>
      <c r="DY566" s="15">
        <v>3.0</v>
      </c>
      <c r="EF566" s="15" t="s">
        <v>2137</v>
      </c>
      <c r="EG566" s="15" t="s">
        <v>2138</v>
      </c>
      <c r="EH566" s="15" t="s">
        <v>6505</v>
      </c>
      <c r="EJ566" s="15" t="s">
        <v>424</v>
      </c>
      <c r="EK566" s="15" t="s">
        <v>446</v>
      </c>
      <c r="EM566" s="15" t="str">
        <f>IFERROR(__xludf.DUMMYFUNCTION("""COMPUTED_VALUE"""),"")</f>
        <v/>
      </c>
      <c r="EW566" s="15" t="s">
        <v>2651</v>
      </c>
      <c r="EX566" s="15" t="s">
        <v>716</v>
      </c>
      <c r="EY566" s="15" t="s">
        <v>6506</v>
      </c>
      <c r="FH566" s="15" t="s">
        <v>2046</v>
      </c>
      <c r="FI566" s="15" t="s">
        <v>1118</v>
      </c>
      <c r="FJ566" s="15" t="s">
        <v>2046</v>
      </c>
      <c r="FK566" s="15" t="s">
        <v>1517</v>
      </c>
      <c r="FL566" s="15" t="s">
        <v>426</v>
      </c>
      <c r="FM566" s="15">
        <v>3.0</v>
      </c>
      <c r="FV566" s="15" t="s">
        <v>1118</v>
      </c>
      <c r="GB566" s="15" t="s">
        <v>2808</v>
      </c>
      <c r="GC566" s="15" t="s">
        <v>612</v>
      </c>
      <c r="GD566" s="15" t="s">
        <v>1550</v>
      </c>
      <c r="GG566" s="15" t="s">
        <v>785</v>
      </c>
      <c r="GH566" s="15">
        <v>2.0</v>
      </c>
      <c r="GI566" s="15" t="s">
        <v>614</v>
      </c>
      <c r="GL566" s="15" t="s">
        <v>426</v>
      </c>
      <c r="GN566" s="15" t="s">
        <v>616</v>
      </c>
      <c r="GQ566" s="15" t="s">
        <v>6507</v>
      </c>
      <c r="GR566" s="15" t="s">
        <v>6507</v>
      </c>
      <c r="GS566" s="15" t="s">
        <v>2974</v>
      </c>
      <c r="GT566" s="15" t="s">
        <v>1121</v>
      </c>
      <c r="GU566" s="15" t="s">
        <v>6508</v>
      </c>
      <c r="GV566" s="15" t="s">
        <v>6508</v>
      </c>
      <c r="GW566" s="15" t="s">
        <v>838</v>
      </c>
      <c r="GY566" s="15" t="s">
        <v>764</v>
      </c>
      <c r="GZ566" s="15" t="s">
        <v>426</v>
      </c>
      <c r="HA566" s="15" t="s">
        <v>3068</v>
      </c>
      <c r="HB566" s="15" t="s">
        <v>1428</v>
      </c>
      <c r="HC566" s="15" t="s">
        <v>1550</v>
      </c>
      <c r="HD566" s="15">
        <v>0.0</v>
      </c>
      <c r="HQ566" s="15" t="s">
        <v>3068</v>
      </c>
      <c r="HS566" s="15" t="s">
        <v>1428</v>
      </c>
      <c r="HU566" s="15" t="s">
        <v>1550</v>
      </c>
      <c r="HW566" s="15" t="s">
        <v>789</v>
      </c>
      <c r="HX566" s="15" t="s">
        <v>6507</v>
      </c>
      <c r="HY566" s="15" t="s">
        <v>6507</v>
      </c>
      <c r="HZ566" s="15" t="s">
        <v>2144</v>
      </c>
      <c r="IA566" s="15" t="s">
        <v>526</v>
      </c>
      <c r="IB566" s="15" t="s">
        <v>6508</v>
      </c>
      <c r="IC566" s="15" t="s">
        <v>6508</v>
      </c>
      <c r="ID566" s="15" t="s">
        <v>2808</v>
      </c>
      <c r="IE566" s="15" t="s">
        <v>612</v>
      </c>
      <c r="IF566" s="15" t="s">
        <v>987</v>
      </c>
      <c r="IG566" s="15" t="s">
        <v>426</v>
      </c>
      <c r="IH566" s="15" t="s">
        <v>426</v>
      </c>
    </row>
    <row r="567" ht="15.75" customHeight="1">
      <c r="A567" s="14" t="s">
        <v>391</v>
      </c>
      <c r="B567" s="15" t="s">
        <v>6494</v>
      </c>
      <c r="C567" s="16"/>
      <c r="D567" s="15" t="s">
        <v>432</v>
      </c>
      <c r="G567" s="14" t="s">
        <v>393</v>
      </c>
      <c r="H567" s="14" t="s">
        <v>394</v>
      </c>
      <c r="I567" s="14" t="b">
        <v>1</v>
      </c>
      <c r="J567" s="14" t="s">
        <v>395</v>
      </c>
      <c r="L567" s="14" t="b">
        <v>0</v>
      </c>
      <c r="M567" s="15" t="s">
        <v>6515</v>
      </c>
      <c r="N567" s="14" t="s">
        <v>393</v>
      </c>
      <c r="O567" s="14" t="s">
        <v>393</v>
      </c>
      <c r="P567" s="15" t="s">
        <v>397</v>
      </c>
      <c r="Q567" s="15" t="s">
        <v>3670</v>
      </c>
      <c r="T567" s="14" t="b">
        <v>0</v>
      </c>
      <c r="U567" s="15" t="s">
        <v>6516</v>
      </c>
      <c r="V567" s="15" t="s">
        <v>3787</v>
      </c>
      <c r="W567" s="15" t="s">
        <v>401</v>
      </c>
      <c r="X567" s="15" t="s">
        <v>742</v>
      </c>
      <c r="Y567" s="15">
        <v>3822.0</v>
      </c>
      <c r="AA567" s="15" t="str">
        <f>"1470"</f>
        <v>1470</v>
      </c>
      <c r="AB567" s="14" t="b">
        <v>1</v>
      </c>
      <c r="AC567" s="14" t="b">
        <v>1</v>
      </c>
      <c r="AD567" s="15" t="str">
        <f>"801542761028"</f>
        <v>801542761028</v>
      </c>
      <c r="AE567" s="15" t="s">
        <v>6517</v>
      </c>
      <c r="AF567" s="14" t="s">
        <v>404</v>
      </c>
      <c r="AG567" s="14" t="s">
        <v>405</v>
      </c>
      <c r="AH567" s="14" t="s">
        <v>406</v>
      </c>
      <c r="AI567" s="15">
        <v>0.0</v>
      </c>
      <c r="AL567" s="15" t="s">
        <v>6518</v>
      </c>
      <c r="AM567" s="15" t="s">
        <v>4542</v>
      </c>
      <c r="AN567" s="15" t="s">
        <v>4543</v>
      </c>
      <c r="AO567" s="15" t="s">
        <v>1055</v>
      </c>
      <c r="AP567" s="15" t="s">
        <v>1056</v>
      </c>
      <c r="AQ567" s="15" t="s">
        <v>3275</v>
      </c>
      <c r="AR567" s="15" t="s">
        <v>3276</v>
      </c>
      <c r="AS567" s="15" t="s">
        <v>2759</v>
      </c>
      <c r="AT567" s="15" t="s">
        <v>3670</v>
      </c>
      <c r="AU567" s="15" t="s">
        <v>6519</v>
      </c>
      <c r="AV567" s="15" t="s">
        <v>6520</v>
      </c>
      <c r="AW567" s="15" t="s">
        <v>2134</v>
      </c>
      <c r="AX567" s="15" t="s">
        <v>2135</v>
      </c>
      <c r="AY567" s="15" t="s">
        <v>413</v>
      </c>
      <c r="AZ567" s="15" t="b">
        <v>0</v>
      </c>
      <c r="BA567" s="15" t="s">
        <v>413</v>
      </c>
      <c r="BB567" s="15" t="b">
        <v>0</v>
      </c>
      <c r="BC567" s="15" t="s">
        <v>6521</v>
      </c>
      <c r="BD567" s="15" t="s">
        <v>742</v>
      </c>
      <c r="BE567" s="15" t="str">
        <f t="shared" si="994"/>
        <v>1</v>
      </c>
      <c r="BF567" s="15" t="s">
        <v>416</v>
      </c>
      <c r="BG567" s="15" t="str">
        <f t="shared" si="995"/>
        <v>74.61</v>
      </c>
      <c r="BH567" s="15" t="s">
        <v>6503</v>
      </c>
      <c r="BI567" s="15" t="str">
        <f t="shared" si="996"/>
        <v>31.5</v>
      </c>
      <c r="BJ567" s="15" t="s">
        <v>1322</v>
      </c>
      <c r="BK567" s="15" t="str">
        <f t="shared" si="997"/>
        <v>25.59</v>
      </c>
      <c r="BL567" s="15" t="s">
        <v>441</v>
      </c>
      <c r="BM567" s="15" t="str">
        <f t="shared" si="998"/>
        <v>328.49</v>
      </c>
      <c r="BN567" s="15" t="s">
        <v>6504</v>
      </c>
      <c r="BQ567" s="15" t="s">
        <v>444</v>
      </c>
      <c r="BS567" s="15" t="s">
        <v>444</v>
      </c>
      <c r="BU567" s="15" t="s">
        <v>444</v>
      </c>
      <c r="BW567" s="15" t="s">
        <v>444</v>
      </c>
      <c r="BZ567" s="15" t="s">
        <v>444</v>
      </c>
      <c r="CB567" s="15" t="s">
        <v>444</v>
      </c>
      <c r="CD567" s="15" t="s">
        <v>444</v>
      </c>
      <c r="CF567" s="15" t="s">
        <v>444</v>
      </c>
      <c r="CI567" s="15" t="s">
        <v>444</v>
      </c>
      <c r="CK567" s="15" t="s">
        <v>444</v>
      </c>
      <c r="CM567" s="15" t="s">
        <v>444</v>
      </c>
      <c r="CO567" s="15" t="s">
        <v>444</v>
      </c>
      <c r="CP567" s="15" t="str">
        <f t="shared" si="999"/>
        <v>34.78</v>
      </c>
      <c r="CQ567" s="15" t="str">
        <f t="shared" si="1000"/>
        <v>0.985</v>
      </c>
      <c r="CR567" s="15" t="s">
        <v>465</v>
      </c>
      <c r="CV567" s="15" t="s">
        <v>3068</v>
      </c>
      <c r="CW567" s="15" t="s">
        <v>1428</v>
      </c>
      <c r="CX567" s="15" t="s">
        <v>987</v>
      </c>
      <c r="DC567" s="15" t="str">
        <f>IFERROR(__xludf.DUMMYFUNCTION("""COMPUTED_VALUE"""),"")</f>
        <v/>
      </c>
      <c r="DE567" s="15" t="str">
        <f>IFERROR(__xludf.DUMMYFUNCTION("""COMPUTED_VALUE"""),"")</f>
        <v/>
      </c>
      <c r="DG567" s="15" t="str">
        <f>IFERROR(__xludf.DUMMYFUNCTION("""COMPUTED_VALUE"""),"")</f>
        <v/>
      </c>
      <c r="DL567" s="15" t="str">
        <f>IFERROR(__xludf.DUMMYFUNCTION("""COMPUTED_VALUE"""),"")</f>
        <v/>
      </c>
      <c r="DM567" s="15" t="s">
        <v>444</v>
      </c>
      <c r="DN567" s="15" t="s">
        <v>4002</v>
      </c>
      <c r="DO567" s="15">
        <v>4.0</v>
      </c>
      <c r="DP567" s="15" t="s">
        <v>2601</v>
      </c>
      <c r="DR567" s="15">
        <v>0.0</v>
      </c>
      <c r="DT567" s="15" t="s">
        <v>1388</v>
      </c>
      <c r="DU567" s="15" t="s">
        <v>421</v>
      </c>
      <c r="DY567" s="15">
        <v>3.0</v>
      </c>
      <c r="EF567" s="15" t="s">
        <v>2137</v>
      </c>
      <c r="EG567" s="15" t="s">
        <v>2138</v>
      </c>
      <c r="EH567" s="15" t="s">
        <v>6505</v>
      </c>
      <c r="EJ567" s="15" t="s">
        <v>424</v>
      </c>
      <c r="EK567" s="15" t="s">
        <v>446</v>
      </c>
      <c r="EM567" s="15" t="str">
        <f>IFERROR(__xludf.DUMMYFUNCTION("""COMPUTED_VALUE"""),"")</f>
        <v/>
      </c>
      <c r="EW567" s="15" t="s">
        <v>2651</v>
      </c>
      <c r="EX567" s="15" t="s">
        <v>716</v>
      </c>
      <c r="EY567" s="15" t="s">
        <v>6506</v>
      </c>
      <c r="FH567" s="15" t="s">
        <v>2046</v>
      </c>
      <c r="FI567" s="15" t="s">
        <v>1118</v>
      </c>
      <c r="FJ567" s="15" t="s">
        <v>2046</v>
      </c>
      <c r="FK567" s="15" t="s">
        <v>1517</v>
      </c>
      <c r="FL567" s="15" t="s">
        <v>426</v>
      </c>
      <c r="FM567" s="15">
        <v>3.0</v>
      </c>
      <c r="FV567" s="15" t="s">
        <v>1118</v>
      </c>
      <c r="GB567" s="15" t="s">
        <v>2808</v>
      </c>
      <c r="GC567" s="15" t="s">
        <v>612</v>
      </c>
      <c r="GD567" s="15" t="s">
        <v>1550</v>
      </c>
      <c r="GG567" s="15" t="s">
        <v>785</v>
      </c>
      <c r="GH567" s="15">
        <v>2.0</v>
      </c>
      <c r="GI567" s="15" t="s">
        <v>614</v>
      </c>
      <c r="GL567" s="15" t="s">
        <v>426</v>
      </c>
      <c r="GN567" s="15" t="s">
        <v>616</v>
      </c>
      <c r="GQ567" s="15" t="s">
        <v>6507</v>
      </c>
      <c r="GR567" s="15" t="s">
        <v>6507</v>
      </c>
      <c r="GS567" s="15" t="s">
        <v>2974</v>
      </c>
      <c r="GT567" s="15" t="s">
        <v>1121</v>
      </c>
      <c r="GU567" s="15" t="s">
        <v>6508</v>
      </c>
      <c r="GV567" s="15" t="s">
        <v>6508</v>
      </c>
      <c r="GW567" s="15" t="s">
        <v>838</v>
      </c>
      <c r="GY567" s="15" t="s">
        <v>764</v>
      </c>
      <c r="GZ567" s="15" t="s">
        <v>426</v>
      </c>
      <c r="HA567" s="15" t="s">
        <v>3068</v>
      </c>
      <c r="HB567" s="15" t="s">
        <v>1428</v>
      </c>
      <c r="HC567" s="15" t="s">
        <v>1550</v>
      </c>
      <c r="HD567" s="15">
        <v>0.0</v>
      </c>
      <c r="HQ567" s="15" t="s">
        <v>3068</v>
      </c>
      <c r="HS567" s="15" t="s">
        <v>1428</v>
      </c>
      <c r="HU567" s="15" t="s">
        <v>1550</v>
      </c>
      <c r="HW567" s="15" t="s">
        <v>789</v>
      </c>
      <c r="HX567" s="15" t="s">
        <v>6507</v>
      </c>
      <c r="HY567" s="15" t="s">
        <v>6507</v>
      </c>
      <c r="HZ567" s="15" t="s">
        <v>2144</v>
      </c>
      <c r="IA567" s="15" t="s">
        <v>526</v>
      </c>
      <c r="IB567" s="15" t="s">
        <v>6508</v>
      </c>
      <c r="IC567" s="15" t="s">
        <v>6508</v>
      </c>
      <c r="ID567" s="15" t="s">
        <v>2808</v>
      </c>
      <c r="IE567" s="15" t="s">
        <v>612</v>
      </c>
      <c r="IF567" s="15" t="s">
        <v>987</v>
      </c>
      <c r="IG567" s="15" t="s">
        <v>426</v>
      </c>
      <c r="IH567" s="15" t="s">
        <v>426</v>
      </c>
    </row>
    <row r="568" ht="15.75" customHeight="1">
      <c r="A568" s="14" t="s">
        <v>391</v>
      </c>
      <c r="B568" s="15" t="s">
        <v>6522</v>
      </c>
      <c r="C568" s="16"/>
      <c r="D568" s="15" t="s">
        <v>432</v>
      </c>
      <c r="G568" s="14" t="s">
        <v>393</v>
      </c>
      <c r="H568" s="14" t="s">
        <v>394</v>
      </c>
      <c r="I568" s="14" t="b">
        <v>1</v>
      </c>
      <c r="J568" s="14" t="s">
        <v>395</v>
      </c>
      <c r="L568" s="14" t="b">
        <v>0</v>
      </c>
      <c r="M568" s="15" t="s">
        <v>6523</v>
      </c>
      <c r="N568" s="14" t="s">
        <v>393</v>
      </c>
      <c r="O568" s="14" t="s">
        <v>393</v>
      </c>
      <c r="P568" s="15" t="s">
        <v>397</v>
      </c>
      <c r="Q568" s="15" t="s">
        <v>3142</v>
      </c>
      <c r="T568" s="14" t="b">
        <v>0</v>
      </c>
      <c r="U568" s="15" t="s">
        <v>6524</v>
      </c>
      <c r="V568" s="15" t="s">
        <v>6525</v>
      </c>
      <c r="W568" s="15" t="s">
        <v>401</v>
      </c>
      <c r="X568" s="15" t="s">
        <v>742</v>
      </c>
      <c r="Y568" s="15">
        <v>4368.0</v>
      </c>
      <c r="AA568" s="15" t="str">
        <f>"1680"</f>
        <v>1680</v>
      </c>
      <c r="AB568" s="14" t="b">
        <v>1</v>
      </c>
      <c r="AC568" s="14" t="b">
        <v>1</v>
      </c>
      <c r="AD568" s="15" t="str">
        <f>"801542909048"</f>
        <v>801542909048</v>
      </c>
      <c r="AE568" s="15" t="s">
        <v>6526</v>
      </c>
      <c r="AF568" s="14" t="s">
        <v>404</v>
      </c>
      <c r="AG568" s="14" t="s">
        <v>405</v>
      </c>
      <c r="AH568" s="14" t="s">
        <v>406</v>
      </c>
      <c r="AI568" s="15">
        <v>0.0</v>
      </c>
      <c r="AL568" s="15" t="s">
        <v>6527</v>
      </c>
      <c r="AM568" s="15" t="s">
        <v>487</v>
      </c>
      <c r="AN568" s="15" t="s">
        <v>488</v>
      </c>
      <c r="AO568" s="15" t="s">
        <v>487</v>
      </c>
      <c r="AP568" s="15" t="s">
        <v>488</v>
      </c>
      <c r="AQ568" s="15" t="s">
        <v>3702</v>
      </c>
      <c r="AR568" s="15" t="s">
        <v>3703</v>
      </c>
      <c r="AS568" s="15" t="s">
        <v>2759</v>
      </c>
      <c r="AT568" s="15" t="s">
        <v>3142</v>
      </c>
      <c r="AU568" s="15" t="s">
        <v>6528</v>
      </c>
      <c r="AW568" s="15" t="s">
        <v>491</v>
      </c>
      <c r="AY568" s="15" t="s">
        <v>413</v>
      </c>
      <c r="AZ568" s="15" t="b">
        <v>0</v>
      </c>
      <c r="BA568" s="15" t="s">
        <v>413</v>
      </c>
      <c r="BB568" s="15" t="b">
        <v>0</v>
      </c>
      <c r="BC568" s="15" t="s">
        <v>6529</v>
      </c>
      <c r="BD568" s="15" t="s">
        <v>742</v>
      </c>
      <c r="BE568" s="15" t="str">
        <f t="shared" si="994"/>
        <v>1</v>
      </c>
      <c r="BF568" s="15" t="s">
        <v>416</v>
      </c>
      <c r="BG568" s="15" t="str">
        <f>"58.66"</f>
        <v>58.66</v>
      </c>
      <c r="BH568" s="15" t="s">
        <v>5094</v>
      </c>
      <c r="BI568" s="15" t="str">
        <f>"58.46"</f>
        <v>58.46</v>
      </c>
      <c r="BJ568" s="15" t="s">
        <v>5050</v>
      </c>
      <c r="BK568" s="15" t="str">
        <f>"22.64"</f>
        <v>22.64</v>
      </c>
      <c r="BL568" s="15" t="s">
        <v>5982</v>
      </c>
      <c r="BM568" s="15" t="str">
        <f>"295.42"</f>
        <v>295.42</v>
      </c>
      <c r="BN568" s="15" t="s">
        <v>6530</v>
      </c>
      <c r="BQ568" s="15" t="s">
        <v>444</v>
      </c>
      <c r="BS568" s="15" t="s">
        <v>444</v>
      </c>
      <c r="BU568" s="15" t="s">
        <v>444</v>
      </c>
      <c r="BW568" s="15" t="s">
        <v>444</v>
      </c>
      <c r="BZ568" s="15" t="s">
        <v>444</v>
      </c>
      <c r="CB568" s="15" t="s">
        <v>444</v>
      </c>
      <c r="CD568" s="15" t="s">
        <v>444</v>
      </c>
      <c r="CF568" s="15" t="s">
        <v>444</v>
      </c>
      <c r="CI568" s="15" t="s">
        <v>444</v>
      </c>
      <c r="CK568" s="15" t="s">
        <v>444</v>
      </c>
      <c r="CM568" s="15" t="s">
        <v>444</v>
      </c>
      <c r="CO568" s="15" t="s">
        <v>444</v>
      </c>
      <c r="CP568" s="15" t="str">
        <f>"44.92"</f>
        <v>44.92</v>
      </c>
      <c r="CQ568" s="15" t="str">
        <f>"1.272"</f>
        <v>1.272</v>
      </c>
      <c r="CR568" s="15" t="s">
        <v>497</v>
      </c>
      <c r="DC568" s="15" t="str">
        <f>IFERROR(__xludf.DUMMYFUNCTION("""COMPUTED_VALUE"""),"")</f>
        <v/>
      </c>
      <c r="DE568" s="15" t="str">
        <f>IFERROR(__xludf.DUMMYFUNCTION("""COMPUTED_VALUE"""),"")</f>
        <v/>
      </c>
      <c r="DG568" s="15" t="str">
        <f>IFERROR(__xludf.DUMMYFUNCTION("""COMPUTED_VALUE"""),"")</f>
        <v/>
      </c>
      <c r="DL568" s="15" t="str">
        <f>IFERROR(__xludf.DUMMYFUNCTION("""COMPUTED_VALUE"""),"")</f>
        <v/>
      </c>
      <c r="DM568" s="15" t="s">
        <v>444</v>
      </c>
      <c r="DN568" s="15" t="s">
        <v>419</v>
      </c>
      <c r="DO568" s="15">
        <v>0.0</v>
      </c>
      <c r="DP568" s="15" t="s">
        <v>419</v>
      </c>
      <c r="DR568" s="15">
        <v>0.0</v>
      </c>
      <c r="DT568" s="15" t="s">
        <v>6531</v>
      </c>
      <c r="DU568" s="15" t="s">
        <v>419</v>
      </c>
      <c r="DY568" s="15">
        <v>0.0</v>
      </c>
      <c r="EF568" s="15" t="s">
        <v>498</v>
      </c>
      <c r="EG568" s="15" t="s">
        <v>499</v>
      </c>
      <c r="EH568" s="15" t="s">
        <v>6532</v>
      </c>
      <c r="EJ568" s="15" t="s">
        <v>500</v>
      </c>
      <c r="EK568" s="15" t="s">
        <v>501</v>
      </c>
      <c r="EM568" s="15" t="str">
        <f>IFERROR(__xludf.DUMMYFUNCTION("""COMPUTED_VALUE"""),"")</f>
        <v/>
      </c>
      <c r="EW568" s="15" t="s">
        <v>1444</v>
      </c>
      <c r="FH568" s="15" t="s">
        <v>6533</v>
      </c>
      <c r="FI568" s="15" t="s">
        <v>1444</v>
      </c>
      <c r="FJ568" s="15" t="s">
        <v>6533</v>
      </c>
      <c r="FK568" s="15" t="s">
        <v>1517</v>
      </c>
      <c r="FL568" s="15" t="s">
        <v>426</v>
      </c>
      <c r="FM568" s="15">
        <v>0.0</v>
      </c>
      <c r="FN568" s="15">
        <v>0.0</v>
      </c>
      <c r="FW568" s="15" t="s">
        <v>1512</v>
      </c>
    </row>
    <row r="569" ht="15.75" customHeight="1">
      <c r="A569" s="14" t="s">
        <v>391</v>
      </c>
      <c r="B569" s="15" t="s">
        <v>6534</v>
      </c>
      <c r="C569" s="16"/>
      <c r="D569" s="15" t="s">
        <v>432</v>
      </c>
      <c r="G569" s="14" t="s">
        <v>393</v>
      </c>
      <c r="H569" s="14" t="s">
        <v>394</v>
      </c>
      <c r="I569" s="14" t="b">
        <v>1</v>
      </c>
      <c r="J569" s="14" t="s">
        <v>395</v>
      </c>
      <c r="L569" s="14" t="b">
        <v>0</v>
      </c>
      <c r="M569" s="15" t="s">
        <v>6535</v>
      </c>
      <c r="N569" s="14" t="s">
        <v>393</v>
      </c>
      <c r="O569" s="14" t="s">
        <v>393</v>
      </c>
      <c r="P569" s="15" t="s">
        <v>397</v>
      </c>
      <c r="Q569" s="15" t="s">
        <v>6536</v>
      </c>
      <c r="R569" s="15" t="s">
        <v>265</v>
      </c>
      <c r="S569" s="15" t="s">
        <v>877</v>
      </c>
      <c r="T569" s="14" t="b">
        <v>0</v>
      </c>
      <c r="U569" s="15" t="s">
        <v>6537</v>
      </c>
      <c r="V569" s="15" t="s">
        <v>6538</v>
      </c>
      <c r="W569" s="15" t="s">
        <v>401</v>
      </c>
      <c r="X569" s="15" t="s">
        <v>695</v>
      </c>
      <c r="Y569" s="15">
        <v>2847.0</v>
      </c>
      <c r="AA569" s="15" t="str">
        <f>"1095"</f>
        <v>1095</v>
      </c>
      <c r="AB569" s="14" t="b">
        <v>1</v>
      </c>
      <c r="AC569" s="14" t="b">
        <v>1</v>
      </c>
      <c r="AD569" s="15" t="str">
        <f>"801542735944"</f>
        <v>801542735944</v>
      </c>
      <c r="AE569" s="15" t="s">
        <v>6539</v>
      </c>
      <c r="AF569" s="14" t="s">
        <v>404</v>
      </c>
      <c r="AG569" s="14" t="s">
        <v>405</v>
      </c>
      <c r="AH569" s="14" t="s">
        <v>406</v>
      </c>
      <c r="AI569" s="15">
        <v>0.0</v>
      </c>
      <c r="AL569" s="15" t="s">
        <v>6540</v>
      </c>
      <c r="AM569" s="15" t="s">
        <v>1224</v>
      </c>
      <c r="AN569" s="15" t="s">
        <v>1225</v>
      </c>
      <c r="AO569" s="15" t="s">
        <v>6541</v>
      </c>
      <c r="AP569" s="15" t="s">
        <v>6542</v>
      </c>
      <c r="AQ569" s="15" t="s">
        <v>6543</v>
      </c>
      <c r="AR569" s="15" t="s">
        <v>6544</v>
      </c>
      <c r="AS569" s="15" t="s">
        <v>1474</v>
      </c>
      <c r="AT569" s="15" t="s">
        <v>6536</v>
      </c>
      <c r="AU569" s="15" t="s">
        <v>6545</v>
      </c>
      <c r="AV569" s="15" t="s">
        <v>6546</v>
      </c>
      <c r="AW569" s="15" t="s">
        <v>839</v>
      </c>
      <c r="AX569" s="15" t="s">
        <v>877</v>
      </c>
      <c r="AY569" s="15" t="s">
        <v>426</v>
      </c>
      <c r="AZ569" s="15" t="b">
        <v>1</v>
      </c>
      <c r="BA569" s="15" t="s">
        <v>426</v>
      </c>
      <c r="BB569" s="15" t="b">
        <v>1</v>
      </c>
      <c r="BC569" s="15" t="s">
        <v>6547</v>
      </c>
      <c r="BD569" s="15" t="s">
        <v>709</v>
      </c>
      <c r="BE569" s="15" t="str">
        <f t="shared" ref="BE569:BE574" si="1001">"2"</f>
        <v>2</v>
      </c>
      <c r="BF569" s="15" t="s">
        <v>926</v>
      </c>
      <c r="BG569" s="15" t="str">
        <f>"66.34"</f>
        <v>66.34</v>
      </c>
      <c r="BH569" s="15" t="s">
        <v>6548</v>
      </c>
      <c r="BI569" s="15" t="str">
        <f>"7.68"</f>
        <v>7.68</v>
      </c>
      <c r="BJ569" s="15" t="s">
        <v>6549</v>
      </c>
      <c r="BK569" s="15" t="str">
        <f>"66.34"</f>
        <v>66.34</v>
      </c>
      <c r="BL569" s="15" t="s">
        <v>6548</v>
      </c>
      <c r="BM569" s="15" t="str">
        <f>"106.26"</f>
        <v>106.26</v>
      </c>
      <c r="BN569" s="15" t="s">
        <v>6550</v>
      </c>
      <c r="BO569" s="15" t="s">
        <v>2966</v>
      </c>
      <c r="BP569" s="15" t="str">
        <f t="shared" ref="BP569:BP574" si="1002">"87.01"</f>
        <v>87.01</v>
      </c>
      <c r="BQ569" s="15" t="s">
        <v>3884</v>
      </c>
      <c r="BR569" s="15" t="str">
        <f>"13.39"</f>
        <v>13.39</v>
      </c>
      <c r="BS569" s="15" t="s">
        <v>6551</v>
      </c>
      <c r="BT569" s="15" t="str">
        <f t="shared" ref="BT569:BT574" si="1003">"9.06"</f>
        <v>9.06</v>
      </c>
      <c r="BU569" s="15" t="s">
        <v>2481</v>
      </c>
      <c r="BV569" s="15" t="str">
        <f>"84.66"</f>
        <v>84.66</v>
      </c>
      <c r="BW569" s="15" t="s">
        <v>712</v>
      </c>
      <c r="BZ569" s="15" t="s">
        <v>444</v>
      </c>
      <c r="CB569" s="15" t="s">
        <v>444</v>
      </c>
      <c r="CD569" s="15" t="s">
        <v>444</v>
      </c>
      <c r="CF569" s="15" t="s">
        <v>444</v>
      </c>
      <c r="CI569" s="15" t="s">
        <v>444</v>
      </c>
      <c r="CK569" s="15" t="s">
        <v>444</v>
      </c>
      <c r="CM569" s="15" t="s">
        <v>444</v>
      </c>
      <c r="CO569" s="15" t="s">
        <v>444</v>
      </c>
      <c r="CP569" s="15" t="str">
        <f>"25.67"</f>
        <v>25.67</v>
      </c>
      <c r="CQ569" s="15" t="str">
        <f>"0.727"</f>
        <v>0.727</v>
      </c>
      <c r="CR569" s="15" t="s">
        <v>465</v>
      </c>
      <c r="DC569" s="15" t="str">
        <f>IFERROR(__xludf.DUMMYFUNCTION("""COMPUTED_VALUE"""),"")</f>
        <v/>
      </c>
      <c r="DE569" s="15" t="str">
        <f>IFERROR(__xludf.DUMMYFUNCTION("""COMPUTED_VALUE"""),"")</f>
        <v/>
      </c>
      <c r="DG569" s="15" t="str">
        <f>IFERROR(__xludf.DUMMYFUNCTION("""COMPUTED_VALUE"""),"")</f>
        <v/>
      </c>
      <c r="DK569" s="15" t="s">
        <v>855</v>
      </c>
      <c r="DL569" s="15" t="str">
        <f>IFERROR(__xludf.DUMMYFUNCTION("""COMPUTED_VALUE"""),"Clean with solvent-based (dry clean only) products. Do not use water.")</f>
        <v>Clean with solvent-based (dry clean only) products. Do not use water.</v>
      </c>
      <c r="DM569" s="15" t="s">
        <v>856</v>
      </c>
      <c r="DN569" s="15" t="s">
        <v>419</v>
      </c>
      <c r="DO569" s="15">
        <v>0.0</v>
      </c>
      <c r="DP569" s="15" t="s">
        <v>419</v>
      </c>
      <c r="DR569" s="15">
        <v>0.0</v>
      </c>
      <c r="DT569" s="15" t="s">
        <v>989</v>
      </c>
      <c r="DU569" s="15" t="s">
        <v>419</v>
      </c>
      <c r="DW569" s="15">
        <v>0.0</v>
      </c>
      <c r="DX569" s="15">
        <v>0.0</v>
      </c>
      <c r="DY569" s="15">
        <v>0.0</v>
      </c>
      <c r="DZ569" s="15">
        <v>25000.0</v>
      </c>
      <c r="EG569" s="15" t="s">
        <v>444</v>
      </c>
      <c r="EH569" s="15" t="s">
        <v>6552</v>
      </c>
      <c r="EJ569" s="15" t="s">
        <v>858</v>
      </c>
      <c r="EK569" s="15" t="s">
        <v>859</v>
      </c>
      <c r="EM569" s="15" t="str">
        <f>IFERROR(__xludf.DUMMYFUNCTION("""COMPUTED_VALUE"""),"")</f>
        <v/>
      </c>
      <c r="FF569" s="15" t="s">
        <v>1255</v>
      </c>
      <c r="FM569" s="15">
        <v>0.0</v>
      </c>
      <c r="IM569" s="15" t="s">
        <v>2221</v>
      </c>
      <c r="IN569" s="15" t="s">
        <v>2221</v>
      </c>
      <c r="IO569" s="15" t="s">
        <v>2221</v>
      </c>
      <c r="IP569" s="15" t="s">
        <v>2178</v>
      </c>
      <c r="IQ569" s="15" t="s">
        <v>2162</v>
      </c>
      <c r="IR569" s="15" t="s">
        <v>1134</v>
      </c>
      <c r="IS569" s="15" t="s">
        <v>6553</v>
      </c>
      <c r="IT569" s="15" t="s">
        <v>2498</v>
      </c>
      <c r="IU569" s="15" t="s">
        <v>1134</v>
      </c>
      <c r="IV569" s="15" t="s">
        <v>6554</v>
      </c>
      <c r="IW569" s="15" t="s">
        <v>2974</v>
      </c>
      <c r="IX569" s="15" t="s">
        <v>6555</v>
      </c>
      <c r="IY569" s="15" t="s">
        <v>862</v>
      </c>
      <c r="IZ569" s="15" t="s">
        <v>6556</v>
      </c>
      <c r="JA569" s="15" t="s">
        <v>4685</v>
      </c>
      <c r="JB569" s="15" t="s">
        <v>426</v>
      </c>
      <c r="JC569" s="15" t="s">
        <v>2471</v>
      </c>
      <c r="JD569" s="15" t="s">
        <v>872</v>
      </c>
      <c r="JE569" s="15" t="s">
        <v>6557</v>
      </c>
      <c r="JF569" s="15" t="s">
        <v>877</v>
      </c>
    </row>
    <row r="570" ht="15.75" customHeight="1">
      <c r="A570" s="14" t="s">
        <v>391</v>
      </c>
      <c r="B570" s="15" t="s">
        <v>6534</v>
      </c>
      <c r="C570" s="16"/>
      <c r="D570" s="15" t="s">
        <v>432</v>
      </c>
      <c r="G570" s="14" t="s">
        <v>393</v>
      </c>
      <c r="H570" s="14" t="s">
        <v>394</v>
      </c>
      <c r="I570" s="14" t="b">
        <v>1</v>
      </c>
      <c r="J570" s="14" t="s">
        <v>395</v>
      </c>
      <c r="L570" s="14" t="b">
        <v>0</v>
      </c>
      <c r="M570" s="15" t="s">
        <v>6558</v>
      </c>
      <c r="N570" s="14" t="s">
        <v>393</v>
      </c>
      <c r="O570" s="14" t="s">
        <v>393</v>
      </c>
      <c r="P570" s="15" t="s">
        <v>397</v>
      </c>
      <c r="Q570" s="15" t="s">
        <v>6536</v>
      </c>
      <c r="R570" s="15" t="s">
        <v>265</v>
      </c>
      <c r="S570" s="15" t="s">
        <v>828</v>
      </c>
      <c r="T570" s="14" t="b">
        <v>0</v>
      </c>
      <c r="U570" s="15" t="s">
        <v>6559</v>
      </c>
      <c r="V570" s="15" t="s">
        <v>6560</v>
      </c>
      <c r="W570" s="15" t="s">
        <v>401</v>
      </c>
      <c r="X570" s="15" t="s">
        <v>695</v>
      </c>
      <c r="Y570" s="15">
        <v>3172.0</v>
      </c>
      <c r="AA570" s="15" t="str">
        <f>"1220"</f>
        <v>1220</v>
      </c>
      <c r="AB570" s="14" t="b">
        <v>1</v>
      </c>
      <c r="AC570" s="14" t="b">
        <v>1</v>
      </c>
      <c r="AD570" s="15" t="str">
        <f>"801542735913"</f>
        <v>801542735913</v>
      </c>
      <c r="AE570" s="15" t="s">
        <v>6561</v>
      </c>
      <c r="AF570" s="14" t="s">
        <v>404</v>
      </c>
      <c r="AG570" s="14" t="s">
        <v>405</v>
      </c>
      <c r="AH570" s="14" t="s">
        <v>406</v>
      </c>
      <c r="AI570" s="15">
        <v>0.0</v>
      </c>
      <c r="AL570" s="15" t="s">
        <v>6540</v>
      </c>
      <c r="AM570" s="15" t="s">
        <v>6562</v>
      </c>
      <c r="AN570" s="15" t="s">
        <v>6563</v>
      </c>
      <c r="AO570" s="15" t="s">
        <v>6541</v>
      </c>
      <c r="AP570" s="15" t="s">
        <v>6542</v>
      </c>
      <c r="AQ570" s="15" t="s">
        <v>6543</v>
      </c>
      <c r="AR570" s="15" t="s">
        <v>6544</v>
      </c>
      <c r="AS570" s="15" t="s">
        <v>1474</v>
      </c>
      <c r="AT570" s="15" t="s">
        <v>6536</v>
      </c>
      <c r="AU570" s="15" t="s">
        <v>6545</v>
      </c>
      <c r="AV570" s="15" t="s">
        <v>6546</v>
      </c>
      <c r="AW570" s="15" t="s">
        <v>839</v>
      </c>
      <c r="AX570" s="15" t="s">
        <v>828</v>
      </c>
      <c r="AY570" s="15" t="s">
        <v>426</v>
      </c>
      <c r="AZ570" s="15" t="b">
        <v>1</v>
      </c>
      <c r="BA570" s="15" t="s">
        <v>426</v>
      </c>
      <c r="BB570" s="15" t="b">
        <v>1</v>
      </c>
      <c r="BC570" s="15" t="s">
        <v>6547</v>
      </c>
      <c r="BD570" s="15" t="s">
        <v>709</v>
      </c>
      <c r="BE570" s="15" t="str">
        <f t="shared" si="1001"/>
        <v>2</v>
      </c>
      <c r="BF570" s="15" t="s">
        <v>926</v>
      </c>
      <c r="BG570" s="15" t="str">
        <f>"82.68"</f>
        <v>82.68</v>
      </c>
      <c r="BH570" s="15" t="s">
        <v>6076</v>
      </c>
      <c r="BI570" s="15" t="str">
        <f>"7.09"</f>
        <v>7.09</v>
      </c>
      <c r="BJ570" s="15" t="s">
        <v>5615</v>
      </c>
      <c r="BK570" s="15" t="str">
        <f>"65.35"</f>
        <v>65.35</v>
      </c>
      <c r="BL570" s="15" t="s">
        <v>6564</v>
      </c>
      <c r="BM570" s="15" t="str">
        <f>"115.96"</f>
        <v>115.96</v>
      </c>
      <c r="BN570" s="15" t="s">
        <v>6565</v>
      </c>
      <c r="BO570" s="15" t="s">
        <v>2966</v>
      </c>
      <c r="BP570" s="15" t="str">
        <f t="shared" si="1002"/>
        <v>87.01</v>
      </c>
      <c r="BQ570" s="15" t="s">
        <v>3884</v>
      </c>
      <c r="BR570" s="15" t="str">
        <f>"13.78"</f>
        <v>13.78</v>
      </c>
      <c r="BS570" s="15" t="s">
        <v>6566</v>
      </c>
      <c r="BT570" s="15" t="str">
        <f t="shared" si="1003"/>
        <v>9.06</v>
      </c>
      <c r="BU570" s="15" t="s">
        <v>2481</v>
      </c>
      <c r="BV570" s="15" t="str">
        <f>"91.05"</f>
        <v>91.05</v>
      </c>
      <c r="BW570" s="15" t="s">
        <v>6567</v>
      </c>
      <c r="BZ570" s="15" t="s">
        <v>444</v>
      </c>
      <c r="CB570" s="15" t="s">
        <v>444</v>
      </c>
      <c r="CD570" s="15" t="s">
        <v>444</v>
      </c>
      <c r="CF570" s="15" t="s">
        <v>444</v>
      </c>
      <c r="CI570" s="15" t="s">
        <v>444</v>
      </c>
      <c r="CK570" s="15" t="s">
        <v>444</v>
      </c>
      <c r="CM570" s="15" t="s">
        <v>444</v>
      </c>
      <c r="CO570" s="15" t="s">
        <v>444</v>
      </c>
      <c r="CP570" s="15" t="str">
        <f>"28.43"</f>
        <v>28.43</v>
      </c>
      <c r="CQ570" s="15" t="str">
        <f>"0.805"</f>
        <v>0.805</v>
      </c>
      <c r="CR570" s="15" t="s">
        <v>465</v>
      </c>
      <c r="DC570" s="15" t="str">
        <f>IFERROR(__xludf.DUMMYFUNCTION("""COMPUTED_VALUE"""),"")</f>
        <v/>
      </c>
      <c r="DE570" s="15" t="str">
        <f>IFERROR(__xludf.DUMMYFUNCTION("""COMPUTED_VALUE"""),"")</f>
        <v/>
      </c>
      <c r="DG570" s="15" t="str">
        <f>IFERROR(__xludf.DUMMYFUNCTION("""COMPUTED_VALUE"""),"")</f>
        <v/>
      </c>
      <c r="DK570" s="15" t="s">
        <v>855</v>
      </c>
      <c r="DL570" s="15" t="str">
        <f>IFERROR(__xludf.DUMMYFUNCTION("""COMPUTED_VALUE"""),"Clean with solvent-based (dry clean only) products. Do not use water.")</f>
        <v>Clean with solvent-based (dry clean only) products. Do not use water.</v>
      </c>
      <c r="DM570" s="15" t="s">
        <v>856</v>
      </c>
      <c r="DN570" s="15" t="s">
        <v>419</v>
      </c>
      <c r="DO570" s="15">
        <v>0.0</v>
      </c>
      <c r="DP570" s="15" t="s">
        <v>419</v>
      </c>
      <c r="DR570" s="15">
        <v>0.0</v>
      </c>
      <c r="DT570" s="15" t="s">
        <v>989</v>
      </c>
      <c r="DU570" s="15" t="s">
        <v>419</v>
      </c>
      <c r="DW570" s="15">
        <v>0.0</v>
      </c>
      <c r="DX570" s="15">
        <v>0.0</v>
      </c>
      <c r="DY570" s="15">
        <v>0.0</v>
      </c>
      <c r="DZ570" s="15">
        <v>25000.0</v>
      </c>
      <c r="EG570" s="15" t="s">
        <v>444</v>
      </c>
      <c r="EH570" s="15" t="s">
        <v>6552</v>
      </c>
      <c r="EJ570" s="15" t="s">
        <v>858</v>
      </c>
      <c r="EK570" s="15" t="s">
        <v>859</v>
      </c>
      <c r="EM570" s="15" t="str">
        <f>IFERROR(__xludf.DUMMYFUNCTION("""COMPUTED_VALUE"""),"")</f>
        <v/>
      </c>
      <c r="FF570" s="15" t="s">
        <v>1255</v>
      </c>
      <c r="FM570" s="15">
        <v>0.0</v>
      </c>
      <c r="IM570" s="15" t="s">
        <v>2221</v>
      </c>
      <c r="IN570" s="15" t="s">
        <v>2221</v>
      </c>
      <c r="IO570" s="15" t="s">
        <v>2221</v>
      </c>
      <c r="IP570" s="15" t="s">
        <v>2178</v>
      </c>
      <c r="IQ570" s="15" t="s">
        <v>2162</v>
      </c>
      <c r="IR570" s="15" t="s">
        <v>4696</v>
      </c>
      <c r="IS570" s="15" t="s">
        <v>6553</v>
      </c>
      <c r="IT570" s="15" t="s">
        <v>2498</v>
      </c>
      <c r="IU570" s="15" t="s">
        <v>4696</v>
      </c>
      <c r="IV570" s="15" t="s">
        <v>6554</v>
      </c>
      <c r="IW570" s="15" t="s">
        <v>2974</v>
      </c>
      <c r="IX570" s="15" t="s">
        <v>6568</v>
      </c>
      <c r="IY570" s="15" t="s">
        <v>862</v>
      </c>
      <c r="IZ570" s="15" t="s">
        <v>6556</v>
      </c>
      <c r="JA570" s="15" t="s">
        <v>4685</v>
      </c>
      <c r="JB570" s="15" t="s">
        <v>426</v>
      </c>
      <c r="JC570" s="15" t="s">
        <v>2471</v>
      </c>
      <c r="JD570" s="15" t="s">
        <v>872</v>
      </c>
      <c r="JE570" s="15" t="s">
        <v>6557</v>
      </c>
      <c r="JF570" s="15" t="s">
        <v>828</v>
      </c>
    </row>
    <row r="571" ht="15.75" customHeight="1">
      <c r="A571" s="14" t="s">
        <v>391</v>
      </c>
      <c r="B571" s="15" t="s">
        <v>6534</v>
      </c>
      <c r="C571" s="16"/>
      <c r="D571" s="15" t="s">
        <v>432</v>
      </c>
      <c r="G571" s="14" t="s">
        <v>393</v>
      </c>
      <c r="H571" s="14" t="s">
        <v>394</v>
      </c>
      <c r="I571" s="14" t="b">
        <v>1</v>
      </c>
      <c r="J571" s="14" t="s">
        <v>395</v>
      </c>
      <c r="L571" s="14" t="b">
        <v>0</v>
      </c>
      <c r="M571" s="15" t="s">
        <v>6569</v>
      </c>
      <c r="N571" s="14" t="s">
        <v>393</v>
      </c>
      <c r="O571" s="14" t="s">
        <v>393</v>
      </c>
      <c r="P571" s="15" t="s">
        <v>397</v>
      </c>
      <c r="Q571" s="15" t="s">
        <v>6570</v>
      </c>
      <c r="R571" s="15" t="s">
        <v>265</v>
      </c>
      <c r="S571" s="15" t="s">
        <v>877</v>
      </c>
      <c r="T571" s="14" t="b">
        <v>0</v>
      </c>
      <c r="U571" s="15" t="s">
        <v>6571</v>
      </c>
      <c r="V571" s="15" t="s">
        <v>6572</v>
      </c>
      <c r="W571" s="15" t="s">
        <v>401</v>
      </c>
      <c r="X571" s="15" t="s">
        <v>695</v>
      </c>
      <c r="Y571" s="15">
        <v>2847.0</v>
      </c>
      <c r="AA571" s="15" t="str">
        <f>"1095"</f>
        <v>1095</v>
      </c>
      <c r="AB571" s="14" t="b">
        <v>1</v>
      </c>
      <c r="AC571" s="14" t="b">
        <v>1</v>
      </c>
      <c r="AD571" s="15" t="str">
        <f>"801542341831"</f>
        <v>801542341831</v>
      </c>
      <c r="AE571" s="15" t="s">
        <v>6573</v>
      </c>
      <c r="AF571" s="14" t="s">
        <v>404</v>
      </c>
      <c r="AG571" s="14" t="s">
        <v>405</v>
      </c>
      <c r="AH571" s="14" t="s">
        <v>406</v>
      </c>
      <c r="AI571" s="15">
        <v>0.0</v>
      </c>
      <c r="AL571" s="15" t="s">
        <v>6574</v>
      </c>
      <c r="AM571" s="15" t="s">
        <v>1224</v>
      </c>
      <c r="AN571" s="15" t="s">
        <v>1225</v>
      </c>
      <c r="AO571" s="15" t="s">
        <v>6541</v>
      </c>
      <c r="AP571" s="15" t="s">
        <v>6542</v>
      </c>
      <c r="AQ571" s="15" t="s">
        <v>6543</v>
      </c>
      <c r="AR571" s="15" t="s">
        <v>6544</v>
      </c>
      <c r="AS571" s="15" t="s">
        <v>1474</v>
      </c>
      <c r="AT571" s="15" t="s">
        <v>6570</v>
      </c>
      <c r="AU571" s="15" t="s">
        <v>6545</v>
      </c>
      <c r="AV571" s="15" t="s">
        <v>6575</v>
      </c>
      <c r="AW571" s="15" t="s">
        <v>839</v>
      </c>
      <c r="AX571" s="15" t="s">
        <v>877</v>
      </c>
      <c r="AY571" s="15" t="s">
        <v>413</v>
      </c>
      <c r="AZ571" s="15" t="b">
        <v>0</v>
      </c>
      <c r="BA571" s="15" t="s">
        <v>413</v>
      </c>
      <c r="BB571" s="15" t="b">
        <v>0</v>
      </c>
      <c r="BC571" s="15" t="s">
        <v>6576</v>
      </c>
      <c r="BD571" s="15" t="s">
        <v>709</v>
      </c>
      <c r="BE571" s="15" t="str">
        <f t="shared" si="1001"/>
        <v>2</v>
      </c>
      <c r="BF571" s="15" t="s">
        <v>926</v>
      </c>
      <c r="BG571" s="15" t="str">
        <f>"66.34"</f>
        <v>66.34</v>
      </c>
      <c r="BH571" s="15" t="s">
        <v>6548</v>
      </c>
      <c r="BI571" s="15" t="str">
        <f>"7.68"</f>
        <v>7.68</v>
      </c>
      <c r="BJ571" s="15" t="s">
        <v>6549</v>
      </c>
      <c r="BK571" s="15" t="str">
        <f>"66.34"</f>
        <v>66.34</v>
      </c>
      <c r="BL571" s="15" t="s">
        <v>6548</v>
      </c>
      <c r="BM571" s="15" t="str">
        <f>"106.26"</f>
        <v>106.26</v>
      </c>
      <c r="BN571" s="15" t="s">
        <v>6550</v>
      </c>
      <c r="BO571" s="15" t="s">
        <v>2966</v>
      </c>
      <c r="BP571" s="15" t="str">
        <f t="shared" si="1002"/>
        <v>87.01</v>
      </c>
      <c r="BQ571" s="15" t="s">
        <v>3884</v>
      </c>
      <c r="BR571" s="15" t="str">
        <f>"13.39"</f>
        <v>13.39</v>
      </c>
      <c r="BS571" s="15" t="s">
        <v>6551</v>
      </c>
      <c r="BT571" s="15" t="str">
        <f t="shared" si="1003"/>
        <v>9.06</v>
      </c>
      <c r="BU571" s="15" t="s">
        <v>2481</v>
      </c>
      <c r="BV571" s="15" t="str">
        <f>"84.66"</f>
        <v>84.66</v>
      </c>
      <c r="BW571" s="15" t="s">
        <v>712</v>
      </c>
      <c r="BZ571" s="15" t="s">
        <v>444</v>
      </c>
      <c r="CB571" s="15" t="s">
        <v>444</v>
      </c>
      <c r="CD571" s="15" t="s">
        <v>444</v>
      </c>
      <c r="CF571" s="15" t="s">
        <v>444</v>
      </c>
      <c r="CI571" s="15" t="s">
        <v>444</v>
      </c>
      <c r="CK571" s="15" t="s">
        <v>444</v>
      </c>
      <c r="CM571" s="15" t="s">
        <v>444</v>
      </c>
      <c r="CO571" s="15" t="s">
        <v>444</v>
      </c>
      <c r="CP571" s="15" t="str">
        <f>"25.67"</f>
        <v>25.67</v>
      </c>
      <c r="CQ571" s="15" t="str">
        <f>"0.727"</f>
        <v>0.727</v>
      </c>
      <c r="CR571" s="15" t="s">
        <v>465</v>
      </c>
      <c r="DC571" s="15" t="str">
        <f>IFERROR(__xludf.DUMMYFUNCTION("""COMPUTED_VALUE"""),"")</f>
        <v/>
      </c>
      <c r="DE571" s="15" t="str">
        <f>IFERROR(__xludf.DUMMYFUNCTION("""COMPUTED_VALUE"""),"")</f>
        <v/>
      </c>
      <c r="DG571" s="15" t="str">
        <f>IFERROR(__xludf.DUMMYFUNCTION("""COMPUTED_VALUE"""),"")</f>
        <v/>
      </c>
      <c r="DK571" s="15" t="s">
        <v>855</v>
      </c>
      <c r="DL571" s="15" t="str">
        <f>IFERROR(__xludf.DUMMYFUNCTION("""COMPUTED_VALUE"""),"Clean with solvent-based (dry clean only) products. Do not use water.")</f>
        <v>Clean with solvent-based (dry clean only) products. Do not use water.</v>
      </c>
      <c r="DM571" s="15" t="s">
        <v>856</v>
      </c>
      <c r="DN571" s="15" t="s">
        <v>419</v>
      </c>
      <c r="DO571" s="15">
        <v>0.0</v>
      </c>
      <c r="DP571" s="15" t="s">
        <v>419</v>
      </c>
      <c r="DR571" s="15">
        <v>0.0</v>
      </c>
      <c r="DT571" s="15" t="s">
        <v>989</v>
      </c>
      <c r="DU571" s="15" t="s">
        <v>419</v>
      </c>
      <c r="DW571" s="15">
        <v>0.0</v>
      </c>
      <c r="DX571" s="15">
        <v>0.0</v>
      </c>
      <c r="DY571" s="15">
        <v>0.0</v>
      </c>
      <c r="DZ571" s="15">
        <v>100000.0</v>
      </c>
      <c r="EG571" s="15" t="s">
        <v>444</v>
      </c>
      <c r="EH571" s="15" t="s">
        <v>6552</v>
      </c>
      <c r="EJ571" s="15" t="s">
        <v>858</v>
      </c>
      <c r="EK571" s="15" t="s">
        <v>859</v>
      </c>
      <c r="EM571" s="15" t="str">
        <f>IFERROR(__xludf.DUMMYFUNCTION("""COMPUTED_VALUE"""),"")</f>
        <v/>
      </c>
      <c r="FF571" s="15" t="s">
        <v>1255</v>
      </c>
      <c r="FM571" s="15">
        <v>0.0</v>
      </c>
      <c r="IM571" s="15" t="s">
        <v>2221</v>
      </c>
      <c r="IN571" s="15" t="s">
        <v>2221</v>
      </c>
      <c r="IO571" s="15" t="s">
        <v>2221</v>
      </c>
      <c r="IP571" s="15" t="s">
        <v>2178</v>
      </c>
      <c r="IQ571" s="15" t="s">
        <v>2162</v>
      </c>
      <c r="IR571" s="15" t="s">
        <v>1134</v>
      </c>
      <c r="IS571" s="15" t="s">
        <v>6553</v>
      </c>
      <c r="IT571" s="15" t="s">
        <v>2498</v>
      </c>
      <c r="IU571" s="15" t="s">
        <v>1134</v>
      </c>
      <c r="IV571" s="15" t="s">
        <v>6554</v>
      </c>
      <c r="IW571" s="15" t="s">
        <v>2974</v>
      </c>
      <c r="IX571" s="15" t="s">
        <v>6555</v>
      </c>
      <c r="IY571" s="15" t="s">
        <v>862</v>
      </c>
      <c r="IZ571" s="15" t="s">
        <v>6556</v>
      </c>
      <c r="JA571" s="15" t="s">
        <v>4685</v>
      </c>
      <c r="JB571" s="15" t="s">
        <v>426</v>
      </c>
      <c r="JC571" s="15" t="s">
        <v>2471</v>
      </c>
      <c r="JD571" s="15" t="s">
        <v>872</v>
      </c>
      <c r="JE571" s="15" t="s">
        <v>6557</v>
      </c>
      <c r="JF571" s="15" t="s">
        <v>877</v>
      </c>
    </row>
    <row r="572" ht="15.75" customHeight="1">
      <c r="A572" s="14" t="s">
        <v>391</v>
      </c>
      <c r="B572" s="15" t="s">
        <v>6534</v>
      </c>
      <c r="C572" s="16"/>
      <c r="D572" s="15" t="s">
        <v>432</v>
      </c>
      <c r="G572" s="14" t="s">
        <v>393</v>
      </c>
      <c r="H572" s="14" t="s">
        <v>394</v>
      </c>
      <c r="I572" s="14" t="b">
        <v>1</v>
      </c>
      <c r="J572" s="14" t="s">
        <v>395</v>
      </c>
      <c r="L572" s="14" t="b">
        <v>0</v>
      </c>
      <c r="M572" s="15" t="s">
        <v>6577</v>
      </c>
      <c r="N572" s="14" t="s">
        <v>393</v>
      </c>
      <c r="O572" s="14" t="s">
        <v>393</v>
      </c>
      <c r="P572" s="15" t="s">
        <v>397</v>
      </c>
      <c r="Q572" s="15" t="s">
        <v>6570</v>
      </c>
      <c r="R572" s="15" t="s">
        <v>265</v>
      </c>
      <c r="S572" s="15" t="s">
        <v>828</v>
      </c>
      <c r="T572" s="14" t="b">
        <v>0</v>
      </c>
      <c r="U572" s="15" t="s">
        <v>6578</v>
      </c>
      <c r="V572" s="15" t="s">
        <v>6560</v>
      </c>
      <c r="W572" s="15" t="s">
        <v>401</v>
      </c>
      <c r="X572" s="15" t="s">
        <v>695</v>
      </c>
      <c r="Y572" s="15">
        <v>3172.0</v>
      </c>
      <c r="AA572" s="15" t="str">
        <f t="shared" ref="AA572:AA573" si="1004">"1220"</f>
        <v>1220</v>
      </c>
      <c r="AB572" s="14" t="b">
        <v>1</v>
      </c>
      <c r="AC572" s="14" t="b">
        <v>1</v>
      </c>
      <c r="AD572" s="15" t="str">
        <f>"801542360689"</f>
        <v>801542360689</v>
      </c>
      <c r="AE572" s="15" t="s">
        <v>6579</v>
      </c>
      <c r="AF572" s="14" t="s">
        <v>404</v>
      </c>
      <c r="AG572" s="14" t="s">
        <v>405</v>
      </c>
      <c r="AH572" s="14" t="s">
        <v>406</v>
      </c>
      <c r="AI572" s="15">
        <v>0.0</v>
      </c>
      <c r="AL572" s="15" t="s">
        <v>6574</v>
      </c>
      <c r="AM572" s="15" t="s">
        <v>6562</v>
      </c>
      <c r="AN572" s="15" t="s">
        <v>6563</v>
      </c>
      <c r="AO572" s="15" t="s">
        <v>6541</v>
      </c>
      <c r="AP572" s="15" t="s">
        <v>6542</v>
      </c>
      <c r="AQ572" s="15" t="s">
        <v>6543</v>
      </c>
      <c r="AR572" s="15" t="s">
        <v>6544</v>
      </c>
      <c r="AS572" s="15" t="s">
        <v>1474</v>
      </c>
      <c r="AT572" s="15" t="s">
        <v>6570</v>
      </c>
      <c r="AU572" s="15" t="s">
        <v>6545</v>
      </c>
      <c r="AV572" s="15" t="s">
        <v>6575</v>
      </c>
      <c r="AW572" s="15" t="s">
        <v>839</v>
      </c>
      <c r="AX572" s="15" t="s">
        <v>828</v>
      </c>
      <c r="AY572" s="15" t="s">
        <v>413</v>
      </c>
      <c r="AZ572" s="15" t="b">
        <v>0</v>
      </c>
      <c r="BA572" s="15" t="s">
        <v>413</v>
      </c>
      <c r="BB572" s="15" t="b">
        <v>0</v>
      </c>
      <c r="BC572" s="15" t="s">
        <v>6576</v>
      </c>
      <c r="BD572" s="15" t="s">
        <v>709</v>
      </c>
      <c r="BE572" s="15" t="str">
        <f t="shared" si="1001"/>
        <v>2</v>
      </c>
      <c r="BF572" s="15" t="s">
        <v>926</v>
      </c>
      <c r="BG572" s="15" t="str">
        <f t="shared" ref="BG572:BG573" si="1005">"82.68"</f>
        <v>82.68</v>
      </c>
      <c r="BH572" s="15" t="s">
        <v>6076</v>
      </c>
      <c r="BI572" s="15" t="str">
        <f t="shared" ref="BI572:BI573" si="1006">"7.09"</f>
        <v>7.09</v>
      </c>
      <c r="BJ572" s="15" t="s">
        <v>5615</v>
      </c>
      <c r="BK572" s="15" t="str">
        <f t="shared" ref="BK572:BK573" si="1007">"65.35"</f>
        <v>65.35</v>
      </c>
      <c r="BL572" s="15" t="s">
        <v>6564</v>
      </c>
      <c r="BM572" s="15" t="str">
        <f t="shared" ref="BM572:BM573" si="1008">"115.96"</f>
        <v>115.96</v>
      </c>
      <c r="BN572" s="15" t="s">
        <v>6565</v>
      </c>
      <c r="BO572" s="15" t="s">
        <v>2966</v>
      </c>
      <c r="BP572" s="15" t="str">
        <f t="shared" si="1002"/>
        <v>87.01</v>
      </c>
      <c r="BQ572" s="15" t="s">
        <v>3884</v>
      </c>
      <c r="BR572" s="15" t="str">
        <f t="shared" ref="BR572:BR573" si="1009">"13.78"</f>
        <v>13.78</v>
      </c>
      <c r="BS572" s="15" t="s">
        <v>6566</v>
      </c>
      <c r="BT572" s="15" t="str">
        <f t="shared" si="1003"/>
        <v>9.06</v>
      </c>
      <c r="BU572" s="15" t="s">
        <v>2481</v>
      </c>
      <c r="BV572" s="15" t="str">
        <f t="shared" ref="BV572:BV573" si="1010">"91.05"</f>
        <v>91.05</v>
      </c>
      <c r="BW572" s="15" t="s">
        <v>6567</v>
      </c>
      <c r="BZ572" s="15" t="s">
        <v>444</v>
      </c>
      <c r="CB572" s="15" t="s">
        <v>444</v>
      </c>
      <c r="CD572" s="15" t="s">
        <v>444</v>
      </c>
      <c r="CF572" s="15" t="s">
        <v>444</v>
      </c>
      <c r="CI572" s="15" t="s">
        <v>444</v>
      </c>
      <c r="CK572" s="15" t="s">
        <v>444</v>
      </c>
      <c r="CM572" s="15" t="s">
        <v>444</v>
      </c>
      <c r="CO572" s="15" t="s">
        <v>444</v>
      </c>
      <c r="CP572" s="15" t="str">
        <f t="shared" ref="CP572:CP573" si="1011">"28.43"</f>
        <v>28.43</v>
      </c>
      <c r="CQ572" s="15" t="str">
        <f t="shared" ref="CQ572:CQ573" si="1012">"0.805"</f>
        <v>0.805</v>
      </c>
      <c r="CR572" s="15" t="s">
        <v>465</v>
      </c>
      <c r="DC572" s="15" t="str">
        <f>IFERROR(__xludf.DUMMYFUNCTION("""COMPUTED_VALUE"""),"")</f>
        <v/>
      </c>
      <c r="DE572" s="15" t="str">
        <f>IFERROR(__xludf.DUMMYFUNCTION("""COMPUTED_VALUE"""),"")</f>
        <v/>
      </c>
      <c r="DG572" s="15" t="str">
        <f>IFERROR(__xludf.DUMMYFUNCTION("""COMPUTED_VALUE"""),"")</f>
        <v/>
      </c>
      <c r="DK572" s="15" t="s">
        <v>855</v>
      </c>
      <c r="DL572" s="15" t="str">
        <f>IFERROR(__xludf.DUMMYFUNCTION("""COMPUTED_VALUE"""),"Clean with solvent-based (dry clean only) products. Do not use water.")</f>
        <v>Clean with solvent-based (dry clean only) products. Do not use water.</v>
      </c>
      <c r="DM572" s="15" t="s">
        <v>856</v>
      </c>
      <c r="DN572" s="15" t="s">
        <v>419</v>
      </c>
      <c r="DO572" s="15">
        <v>0.0</v>
      </c>
      <c r="DP572" s="15" t="s">
        <v>419</v>
      </c>
      <c r="DR572" s="15">
        <v>0.0</v>
      </c>
      <c r="DT572" s="15" t="s">
        <v>989</v>
      </c>
      <c r="DU572" s="15" t="s">
        <v>419</v>
      </c>
      <c r="DW572" s="15">
        <v>0.0</v>
      </c>
      <c r="DX572" s="15">
        <v>0.0</v>
      </c>
      <c r="DY572" s="15">
        <v>0.0</v>
      </c>
      <c r="DZ572" s="15">
        <v>100000.0</v>
      </c>
      <c r="EG572" s="15" t="s">
        <v>444</v>
      </c>
      <c r="EH572" s="15" t="s">
        <v>6552</v>
      </c>
      <c r="EJ572" s="15" t="s">
        <v>858</v>
      </c>
      <c r="EK572" s="15" t="s">
        <v>859</v>
      </c>
      <c r="EM572" s="15" t="str">
        <f>IFERROR(__xludf.DUMMYFUNCTION("""COMPUTED_VALUE"""),"")</f>
        <v/>
      </c>
      <c r="FF572" s="15" t="s">
        <v>1255</v>
      </c>
      <c r="FM572" s="15">
        <v>0.0</v>
      </c>
      <c r="IM572" s="15" t="s">
        <v>2221</v>
      </c>
      <c r="IN572" s="15" t="s">
        <v>2221</v>
      </c>
      <c r="IO572" s="15" t="s">
        <v>2221</v>
      </c>
      <c r="IP572" s="15" t="s">
        <v>2178</v>
      </c>
      <c r="IQ572" s="15" t="s">
        <v>2162</v>
      </c>
      <c r="IR572" s="15" t="s">
        <v>4696</v>
      </c>
      <c r="IS572" s="15" t="s">
        <v>6553</v>
      </c>
      <c r="IT572" s="15" t="s">
        <v>2498</v>
      </c>
      <c r="IU572" s="15" t="s">
        <v>4696</v>
      </c>
      <c r="IV572" s="15" t="s">
        <v>6554</v>
      </c>
      <c r="IW572" s="15" t="s">
        <v>2974</v>
      </c>
      <c r="IX572" s="15" t="s">
        <v>6568</v>
      </c>
      <c r="IY572" s="15" t="s">
        <v>862</v>
      </c>
      <c r="IZ572" s="15" t="s">
        <v>6556</v>
      </c>
      <c r="JA572" s="15" t="s">
        <v>4685</v>
      </c>
      <c r="JB572" s="15" t="s">
        <v>426</v>
      </c>
      <c r="JC572" s="15" t="s">
        <v>2471</v>
      </c>
      <c r="JD572" s="15" t="s">
        <v>872</v>
      </c>
      <c r="JE572" s="15" t="s">
        <v>6557</v>
      </c>
      <c r="JF572" s="15" t="s">
        <v>828</v>
      </c>
    </row>
    <row r="573" ht="15.75" customHeight="1">
      <c r="A573" s="14" t="s">
        <v>391</v>
      </c>
      <c r="B573" s="15" t="s">
        <v>6534</v>
      </c>
      <c r="C573" s="16"/>
      <c r="D573" s="15" t="s">
        <v>432</v>
      </c>
      <c r="G573" s="14" t="s">
        <v>393</v>
      </c>
      <c r="H573" s="14" t="s">
        <v>394</v>
      </c>
      <c r="I573" s="14" t="b">
        <v>1</v>
      </c>
      <c r="J573" s="14" t="s">
        <v>395</v>
      </c>
      <c r="L573" s="14" t="b">
        <v>0</v>
      </c>
      <c r="M573" s="15" t="s">
        <v>6580</v>
      </c>
      <c r="N573" s="14" t="s">
        <v>393</v>
      </c>
      <c r="O573" s="14" t="s">
        <v>393</v>
      </c>
      <c r="P573" s="15" t="s">
        <v>397</v>
      </c>
      <c r="Q573" s="15" t="s">
        <v>6581</v>
      </c>
      <c r="R573" s="15" t="s">
        <v>265</v>
      </c>
      <c r="S573" s="15" t="s">
        <v>828</v>
      </c>
      <c r="T573" s="14" t="b">
        <v>0</v>
      </c>
      <c r="U573" s="15" t="s">
        <v>6582</v>
      </c>
      <c r="V573" s="15" t="s">
        <v>6560</v>
      </c>
      <c r="W573" s="15" t="s">
        <v>401</v>
      </c>
      <c r="X573" s="15" t="s">
        <v>695</v>
      </c>
      <c r="Y573" s="15">
        <v>3172.0</v>
      </c>
      <c r="AA573" s="15" t="str">
        <f t="shared" si="1004"/>
        <v>1220</v>
      </c>
      <c r="AB573" s="14" t="b">
        <v>1</v>
      </c>
      <c r="AC573" s="14" t="b">
        <v>1</v>
      </c>
      <c r="AD573" s="15" t="str">
        <f>"801542531454"</f>
        <v>801542531454</v>
      </c>
      <c r="AE573" s="15" t="s">
        <v>6583</v>
      </c>
      <c r="AF573" s="14" t="s">
        <v>404</v>
      </c>
      <c r="AG573" s="14" t="s">
        <v>405</v>
      </c>
      <c r="AH573" s="14" t="s">
        <v>406</v>
      </c>
      <c r="AI573" s="15">
        <v>0.0</v>
      </c>
      <c r="AL573" s="15" t="s">
        <v>6584</v>
      </c>
      <c r="AM573" s="15" t="s">
        <v>6562</v>
      </c>
      <c r="AN573" s="15" t="s">
        <v>6563</v>
      </c>
      <c r="AO573" s="15" t="s">
        <v>6541</v>
      </c>
      <c r="AP573" s="15" t="s">
        <v>6542</v>
      </c>
      <c r="AQ573" s="15" t="s">
        <v>6543</v>
      </c>
      <c r="AR573" s="15" t="s">
        <v>6544</v>
      </c>
      <c r="AS573" s="15" t="s">
        <v>1474</v>
      </c>
      <c r="AT573" s="15" t="s">
        <v>6581</v>
      </c>
      <c r="AU573" s="15" t="s">
        <v>6545</v>
      </c>
      <c r="AV573" s="15" t="s">
        <v>5956</v>
      </c>
      <c r="AW573" s="15" t="s">
        <v>839</v>
      </c>
      <c r="AX573" s="15" t="s">
        <v>828</v>
      </c>
      <c r="AY573" s="15" t="s">
        <v>413</v>
      </c>
      <c r="AZ573" s="15" t="b">
        <v>0</v>
      </c>
      <c r="BA573" s="15" t="s">
        <v>413</v>
      </c>
      <c r="BB573" s="15" t="b">
        <v>0</v>
      </c>
      <c r="BC573" s="15" t="s">
        <v>6585</v>
      </c>
      <c r="BD573" s="15" t="s">
        <v>709</v>
      </c>
      <c r="BE573" s="15" t="str">
        <f t="shared" si="1001"/>
        <v>2</v>
      </c>
      <c r="BF573" s="15" t="s">
        <v>926</v>
      </c>
      <c r="BG573" s="15" t="str">
        <f t="shared" si="1005"/>
        <v>82.68</v>
      </c>
      <c r="BH573" s="15" t="s">
        <v>6076</v>
      </c>
      <c r="BI573" s="15" t="str">
        <f t="shared" si="1006"/>
        <v>7.09</v>
      </c>
      <c r="BJ573" s="15" t="s">
        <v>5615</v>
      </c>
      <c r="BK573" s="15" t="str">
        <f t="shared" si="1007"/>
        <v>65.35</v>
      </c>
      <c r="BL573" s="15" t="s">
        <v>6564</v>
      </c>
      <c r="BM573" s="15" t="str">
        <f t="shared" si="1008"/>
        <v>115.96</v>
      </c>
      <c r="BN573" s="15" t="s">
        <v>6565</v>
      </c>
      <c r="BO573" s="15" t="s">
        <v>2966</v>
      </c>
      <c r="BP573" s="15" t="str">
        <f t="shared" si="1002"/>
        <v>87.01</v>
      </c>
      <c r="BQ573" s="15" t="s">
        <v>3884</v>
      </c>
      <c r="BR573" s="15" t="str">
        <f t="shared" si="1009"/>
        <v>13.78</v>
      </c>
      <c r="BS573" s="15" t="s">
        <v>6566</v>
      </c>
      <c r="BT573" s="15" t="str">
        <f t="shared" si="1003"/>
        <v>9.06</v>
      </c>
      <c r="BU573" s="15" t="s">
        <v>2481</v>
      </c>
      <c r="BV573" s="15" t="str">
        <f t="shared" si="1010"/>
        <v>91.05</v>
      </c>
      <c r="BW573" s="15" t="s">
        <v>6567</v>
      </c>
      <c r="BZ573" s="15" t="s">
        <v>444</v>
      </c>
      <c r="CB573" s="15" t="s">
        <v>444</v>
      </c>
      <c r="CD573" s="15" t="s">
        <v>444</v>
      </c>
      <c r="CF573" s="15" t="s">
        <v>444</v>
      </c>
      <c r="CI573" s="15" t="s">
        <v>444</v>
      </c>
      <c r="CK573" s="15" t="s">
        <v>444</v>
      </c>
      <c r="CM573" s="15" t="s">
        <v>444</v>
      </c>
      <c r="CO573" s="15" t="s">
        <v>444</v>
      </c>
      <c r="CP573" s="15" t="str">
        <f t="shared" si="1011"/>
        <v>28.43</v>
      </c>
      <c r="CQ573" s="15" t="str">
        <f t="shared" si="1012"/>
        <v>0.805</v>
      </c>
      <c r="CR573" s="15" t="s">
        <v>417</v>
      </c>
      <c r="DC573" s="15" t="str">
        <f>IFERROR(__xludf.DUMMYFUNCTION("""COMPUTED_VALUE"""),"")</f>
        <v/>
      </c>
      <c r="DE573" s="15" t="str">
        <f>IFERROR(__xludf.DUMMYFUNCTION("""COMPUTED_VALUE"""),"")</f>
        <v/>
      </c>
      <c r="DG573" s="15" t="str">
        <f>IFERROR(__xludf.DUMMYFUNCTION("""COMPUTED_VALUE"""),"")</f>
        <v/>
      </c>
      <c r="DK573" s="15" t="s">
        <v>855</v>
      </c>
      <c r="DL573" s="15" t="str">
        <f>IFERROR(__xludf.DUMMYFUNCTION("""COMPUTED_VALUE"""),"Clean with solvent-based (dry clean only) products. Do not use water.")</f>
        <v>Clean with solvent-based (dry clean only) products. Do not use water.</v>
      </c>
      <c r="DM573" s="15" t="s">
        <v>856</v>
      </c>
      <c r="DN573" s="15" t="s">
        <v>419</v>
      </c>
      <c r="DO573" s="15">
        <v>0.0</v>
      </c>
      <c r="DP573" s="15" t="s">
        <v>419</v>
      </c>
      <c r="DR573" s="15">
        <v>0.0</v>
      </c>
      <c r="DT573" s="15" t="s">
        <v>989</v>
      </c>
      <c r="DU573" s="15" t="s">
        <v>419</v>
      </c>
      <c r="DW573" s="15">
        <v>0.0</v>
      </c>
      <c r="DX573" s="15">
        <v>0.0</v>
      </c>
      <c r="DY573" s="15">
        <v>0.0</v>
      </c>
      <c r="DZ573" s="15">
        <v>100000.0</v>
      </c>
      <c r="EG573" s="15" t="s">
        <v>444</v>
      </c>
      <c r="EH573" s="15" t="s">
        <v>6552</v>
      </c>
      <c r="EJ573" s="15" t="s">
        <v>858</v>
      </c>
      <c r="EK573" s="15" t="s">
        <v>859</v>
      </c>
      <c r="EM573" s="15" t="str">
        <f>IFERROR(__xludf.DUMMYFUNCTION("""COMPUTED_VALUE"""),"")</f>
        <v/>
      </c>
      <c r="FF573" s="15" t="s">
        <v>1255</v>
      </c>
      <c r="FM573" s="15">
        <v>0.0</v>
      </c>
      <c r="IM573" s="15" t="s">
        <v>2221</v>
      </c>
      <c r="IN573" s="15" t="s">
        <v>2221</v>
      </c>
      <c r="IO573" s="15" t="s">
        <v>2221</v>
      </c>
      <c r="IP573" s="15" t="s">
        <v>2178</v>
      </c>
      <c r="IQ573" s="15" t="s">
        <v>2162</v>
      </c>
      <c r="IR573" s="15" t="s">
        <v>4696</v>
      </c>
      <c r="IS573" s="15" t="s">
        <v>6553</v>
      </c>
      <c r="IT573" s="15" t="s">
        <v>2498</v>
      </c>
      <c r="IU573" s="15" t="s">
        <v>4696</v>
      </c>
      <c r="IV573" s="15" t="s">
        <v>6554</v>
      </c>
      <c r="IW573" s="15" t="s">
        <v>2974</v>
      </c>
      <c r="IX573" s="15" t="s">
        <v>6568</v>
      </c>
      <c r="IY573" s="15" t="s">
        <v>862</v>
      </c>
      <c r="IZ573" s="15" t="s">
        <v>6556</v>
      </c>
      <c r="JA573" s="15" t="s">
        <v>4685</v>
      </c>
      <c r="JB573" s="15" t="s">
        <v>426</v>
      </c>
      <c r="JC573" s="15" t="s">
        <v>2471</v>
      </c>
      <c r="JD573" s="15" t="s">
        <v>872</v>
      </c>
      <c r="JE573" s="15" t="s">
        <v>6557</v>
      </c>
      <c r="JF573" s="15" t="s">
        <v>828</v>
      </c>
    </row>
    <row r="574" ht="15.75" customHeight="1">
      <c r="A574" s="14" t="s">
        <v>391</v>
      </c>
      <c r="B574" s="15" t="s">
        <v>6534</v>
      </c>
      <c r="C574" s="16"/>
      <c r="D574" s="15" t="s">
        <v>432</v>
      </c>
      <c r="G574" s="14" t="s">
        <v>393</v>
      </c>
      <c r="H574" s="14" t="s">
        <v>394</v>
      </c>
      <c r="I574" s="14" t="b">
        <v>1</v>
      </c>
      <c r="J574" s="14" t="s">
        <v>395</v>
      </c>
      <c r="L574" s="14" t="b">
        <v>0</v>
      </c>
      <c r="M574" s="15" t="s">
        <v>6586</v>
      </c>
      <c r="N574" s="14" t="s">
        <v>393</v>
      </c>
      <c r="O574" s="14" t="s">
        <v>393</v>
      </c>
      <c r="P574" s="15" t="s">
        <v>397</v>
      </c>
      <c r="Q574" s="15" t="s">
        <v>6581</v>
      </c>
      <c r="R574" s="15" t="s">
        <v>265</v>
      </c>
      <c r="S574" s="15" t="s">
        <v>877</v>
      </c>
      <c r="T574" s="14" t="b">
        <v>0</v>
      </c>
      <c r="U574" s="15" t="s">
        <v>6587</v>
      </c>
      <c r="V574" s="15" t="s">
        <v>6588</v>
      </c>
      <c r="W574" s="15" t="s">
        <v>401</v>
      </c>
      <c r="X574" s="15" t="s">
        <v>695</v>
      </c>
      <c r="Y574" s="15">
        <v>2847.0</v>
      </c>
      <c r="AA574" s="15" t="str">
        <f>"1095"</f>
        <v>1095</v>
      </c>
      <c r="AB574" s="14" t="b">
        <v>1</v>
      </c>
      <c r="AC574" s="14" t="b">
        <v>1</v>
      </c>
      <c r="AD574" s="15" t="str">
        <f>"801542518714"</f>
        <v>801542518714</v>
      </c>
      <c r="AE574" s="15" t="s">
        <v>6589</v>
      </c>
      <c r="AF574" s="14" t="s">
        <v>404</v>
      </c>
      <c r="AG574" s="14" t="s">
        <v>405</v>
      </c>
      <c r="AH574" s="14" t="s">
        <v>406</v>
      </c>
      <c r="AI574" s="15">
        <v>0.0</v>
      </c>
      <c r="AL574" s="15" t="s">
        <v>6584</v>
      </c>
      <c r="AM574" s="15" t="s">
        <v>1224</v>
      </c>
      <c r="AN574" s="15" t="s">
        <v>1225</v>
      </c>
      <c r="AO574" s="15" t="s">
        <v>6541</v>
      </c>
      <c r="AP574" s="15" t="s">
        <v>6542</v>
      </c>
      <c r="AQ574" s="15" t="s">
        <v>6543</v>
      </c>
      <c r="AR574" s="15" t="s">
        <v>6544</v>
      </c>
      <c r="AS574" s="15" t="s">
        <v>1474</v>
      </c>
      <c r="AT574" s="15" t="s">
        <v>6581</v>
      </c>
      <c r="AU574" s="15" t="s">
        <v>6545</v>
      </c>
      <c r="AV574" s="15" t="s">
        <v>5956</v>
      </c>
      <c r="AW574" s="15" t="s">
        <v>839</v>
      </c>
      <c r="AX574" s="15" t="s">
        <v>877</v>
      </c>
      <c r="AY574" s="15" t="s">
        <v>413</v>
      </c>
      <c r="AZ574" s="15" t="b">
        <v>0</v>
      </c>
      <c r="BA574" s="15" t="s">
        <v>413</v>
      </c>
      <c r="BB574" s="15" t="b">
        <v>0</v>
      </c>
      <c r="BC574" s="15" t="s">
        <v>6585</v>
      </c>
      <c r="BD574" s="15" t="s">
        <v>709</v>
      </c>
      <c r="BE574" s="15" t="str">
        <f t="shared" si="1001"/>
        <v>2</v>
      </c>
      <c r="BF574" s="15" t="s">
        <v>926</v>
      </c>
      <c r="BG574" s="15" t="str">
        <f>"66.34"</f>
        <v>66.34</v>
      </c>
      <c r="BH574" s="15" t="s">
        <v>6548</v>
      </c>
      <c r="BI574" s="15" t="str">
        <f>"7.68"</f>
        <v>7.68</v>
      </c>
      <c r="BJ574" s="15" t="s">
        <v>6549</v>
      </c>
      <c r="BK574" s="15" t="str">
        <f>"66.34"</f>
        <v>66.34</v>
      </c>
      <c r="BL574" s="15" t="s">
        <v>6548</v>
      </c>
      <c r="BM574" s="15" t="str">
        <f>"106"</f>
        <v>106</v>
      </c>
      <c r="BN574" s="15" t="s">
        <v>6590</v>
      </c>
      <c r="BO574" s="15" t="s">
        <v>2966</v>
      </c>
      <c r="BP574" s="15" t="str">
        <f t="shared" si="1002"/>
        <v>87.01</v>
      </c>
      <c r="BQ574" s="15" t="s">
        <v>3884</v>
      </c>
      <c r="BR574" s="15" t="str">
        <f>"13.39"</f>
        <v>13.39</v>
      </c>
      <c r="BS574" s="15" t="s">
        <v>6551</v>
      </c>
      <c r="BT574" s="15" t="str">
        <f t="shared" si="1003"/>
        <v>9.06</v>
      </c>
      <c r="BU574" s="15" t="s">
        <v>2481</v>
      </c>
      <c r="BV574" s="15" t="str">
        <f>"84.7"</f>
        <v>84.7</v>
      </c>
      <c r="BW574" s="15" t="s">
        <v>6591</v>
      </c>
      <c r="BZ574" s="15" t="s">
        <v>444</v>
      </c>
      <c r="CB574" s="15" t="s">
        <v>444</v>
      </c>
      <c r="CD574" s="15" t="s">
        <v>444</v>
      </c>
      <c r="CF574" s="15" t="s">
        <v>444</v>
      </c>
      <c r="CI574" s="15" t="s">
        <v>444</v>
      </c>
      <c r="CK574" s="15" t="s">
        <v>444</v>
      </c>
      <c r="CM574" s="15" t="s">
        <v>444</v>
      </c>
      <c r="CO574" s="15" t="s">
        <v>444</v>
      </c>
      <c r="CP574" s="15" t="str">
        <f>"25.67"</f>
        <v>25.67</v>
      </c>
      <c r="CQ574" s="15" t="str">
        <f>"0.727"</f>
        <v>0.727</v>
      </c>
      <c r="CR574" s="15" t="s">
        <v>465</v>
      </c>
      <c r="DC574" s="15" t="str">
        <f>IFERROR(__xludf.DUMMYFUNCTION("""COMPUTED_VALUE"""),"")</f>
        <v/>
      </c>
      <c r="DE574" s="15" t="str">
        <f>IFERROR(__xludf.DUMMYFUNCTION("""COMPUTED_VALUE"""),"")</f>
        <v/>
      </c>
      <c r="DG574" s="15" t="str">
        <f>IFERROR(__xludf.DUMMYFUNCTION("""COMPUTED_VALUE"""),"")</f>
        <v/>
      </c>
      <c r="DK574" s="15" t="s">
        <v>855</v>
      </c>
      <c r="DL574" s="15" t="str">
        <f>IFERROR(__xludf.DUMMYFUNCTION("""COMPUTED_VALUE"""),"Clean with solvent-based (dry clean only) products. Do not use water.")</f>
        <v>Clean with solvent-based (dry clean only) products. Do not use water.</v>
      </c>
      <c r="DM574" s="15" t="s">
        <v>856</v>
      </c>
      <c r="DN574" s="15" t="s">
        <v>419</v>
      </c>
      <c r="DO574" s="15">
        <v>0.0</v>
      </c>
      <c r="DP574" s="15" t="s">
        <v>419</v>
      </c>
      <c r="DR574" s="15">
        <v>0.0</v>
      </c>
      <c r="DT574" s="15" t="s">
        <v>989</v>
      </c>
      <c r="DU574" s="15" t="s">
        <v>419</v>
      </c>
      <c r="DW574" s="15">
        <v>0.0</v>
      </c>
      <c r="DX574" s="15">
        <v>0.0</v>
      </c>
      <c r="DY574" s="15">
        <v>0.0</v>
      </c>
      <c r="DZ574" s="15">
        <v>100000.0</v>
      </c>
      <c r="EG574" s="15" t="s">
        <v>444</v>
      </c>
      <c r="EH574" s="15" t="s">
        <v>6552</v>
      </c>
      <c r="EJ574" s="15" t="s">
        <v>858</v>
      </c>
      <c r="EK574" s="15" t="s">
        <v>859</v>
      </c>
      <c r="EM574" s="15" t="str">
        <f>IFERROR(__xludf.DUMMYFUNCTION("""COMPUTED_VALUE"""),"")</f>
        <v/>
      </c>
      <c r="FF574" s="15" t="s">
        <v>1255</v>
      </c>
      <c r="FM574" s="15">
        <v>0.0</v>
      </c>
      <c r="IM574" s="15" t="s">
        <v>2221</v>
      </c>
      <c r="IN574" s="15" t="s">
        <v>2221</v>
      </c>
      <c r="IO574" s="15" t="s">
        <v>2221</v>
      </c>
      <c r="IP574" s="15" t="s">
        <v>2178</v>
      </c>
      <c r="IQ574" s="15" t="s">
        <v>2162</v>
      </c>
      <c r="IR574" s="15" t="s">
        <v>1134</v>
      </c>
      <c r="IS574" s="15" t="s">
        <v>6553</v>
      </c>
      <c r="IT574" s="15" t="s">
        <v>2498</v>
      </c>
      <c r="IU574" s="15" t="s">
        <v>1134</v>
      </c>
      <c r="IV574" s="15" t="s">
        <v>6554</v>
      </c>
      <c r="IW574" s="15" t="s">
        <v>2974</v>
      </c>
      <c r="IX574" s="15" t="s">
        <v>6555</v>
      </c>
      <c r="IY574" s="15" t="s">
        <v>862</v>
      </c>
      <c r="IZ574" s="15" t="s">
        <v>6556</v>
      </c>
      <c r="JA574" s="15" t="s">
        <v>4685</v>
      </c>
      <c r="JB574" s="15" t="s">
        <v>426</v>
      </c>
      <c r="JC574" s="15" t="s">
        <v>2471</v>
      </c>
      <c r="JD574" s="15" t="s">
        <v>872</v>
      </c>
      <c r="JE574" s="15" t="s">
        <v>6557</v>
      </c>
      <c r="JF574" s="15" t="s">
        <v>877</v>
      </c>
    </row>
    <row r="575" ht="15.75" customHeight="1">
      <c r="A575" s="14" t="s">
        <v>391</v>
      </c>
      <c r="B575" s="15" t="s">
        <v>6592</v>
      </c>
      <c r="C575" s="16"/>
      <c r="D575" s="15" t="s">
        <v>432</v>
      </c>
      <c r="G575" s="14" t="s">
        <v>393</v>
      </c>
      <c r="H575" s="14" t="s">
        <v>394</v>
      </c>
      <c r="I575" s="14" t="b">
        <v>1</v>
      </c>
      <c r="J575" s="14" t="s">
        <v>395</v>
      </c>
      <c r="L575" s="14" t="b">
        <v>0</v>
      </c>
      <c r="M575" s="15" t="s">
        <v>6593</v>
      </c>
      <c r="N575" s="14" t="s">
        <v>393</v>
      </c>
      <c r="O575" s="14" t="s">
        <v>393</v>
      </c>
      <c r="P575" s="15" t="s">
        <v>397</v>
      </c>
      <c r="Q575" s="15" t="s">
        <v>1961</v>
      </c>
      <c r="T575" s="14" t="b">
        <v>0</v>
      </c>
      <c r="U575" s="15" t="s">
        <v>6594</v>
      </c>
      <c r="V575" s="15" t="s">
        <v>6595</v>
      </c>
      <c r="W575" s="15" t="s">
        <v>401</v>
      </c>
      <c r="X575" s="15" t="s">
        <v>695</v>
      </c>
      <c r="Y575" s="15">
        <v>1586.0</v>
      </c>
      <c r="AA575" s="15" t="str">
        <f>"610"</f>
        <v>610</v>
      </c>
      <c r="AB575" s="14" t="b">
        <v>1</v>
      </c>
      <c r="AC575" s="14" t="b">
        <v>1</v>
      </c>
      <c r="AD575" s="15" t="str">
        <f>"801542668334"</f>
        <v>801542668334</v>
      </c>
      <c r="AE575" s="15" t="s">
        <v>6596</v>
      </c>
      <c r="AF575" s="14" t="s">
        <v>404</v>
      </c>
      <c r="AG575" s="14" t="s">
        <v>405</v>
      </c>
      <c r="AH575" s="14" t="s">
        <v>406</v>
      </c>
      <c r="AI575" s="15">
        <v>0.0</v>
      </c>
      <c r="AL575" s="15" t="s">
        <v>6597</v>
      </c>
      <c r="AM575" s="15" t="s">
        <v>1274</v>
      </c>
      <c r="AN575" s="15" t="s">
        <v>1275</v>
      </c>
      <c r="AO575" s="15" t="s">
        <v>749</v>
      </c>
      <c r="AP575" s="15" t="s">
        <v>750</v>
      </c>
      <c r="AQ575" s="15" t="s">
        <v>6598</v>
      </c>
      <c r="AR575" s="15" t="s">
        <v>6599</v>
      </c>
      <c r="AS575" s="15" t="s">
        <v>1317</v>
      </c>
      <c r="AT575" s="15" t="s">
        <v>1961</v>
      </c>
      <c r="AU575" s="15" t="s">
        <v>6600</v>
      </c>
      <c r="AW575" s="15" t="s">
        <v>706</v>
      </c>
      <c r="AX575" s="15" t="s">
        <v>707</v>
      </c>
      <c r="AY575" s="15" t="s">
        <v>413</v>
      </c>
      <c r="AZ575" s="15" t="b">
        <v>0</v>
      </c>
      <c r="BA575" s="15" t="s">
        <v>426</v>
      </c>
      <c r="BB575" s="15" t="b">
        <v>1</v>
      </c>
      <c r="BC575" s="15" t="s">
        <v>6601</v>
      </c>
      <c r="BD575" s="15" t="s">
        <v>709</v>
      </c>
      <c r="BE575" s="15" t="str">
        <f t="shared" ref="BE575:BE577" si="1013">"1"</f>
        <v>1</v>
      </c>
      <c r="BF575" s="15" t="s">
        <v>1803</v>
      </c>
      <c r="BG575" s="15" t="str">
        <f t="shared" ref="BG575:BG577" si="1014">"31.69"</f>
        <v>31.69</v>
      </c>
      <c r="BH575" s="15" t="s">
        <v>3110</v>
      </c>
      <c r="BI575" s="15" t="str">
        <f t="shared" ref="BI575:BI577" si="1015">"37.01"</f>
        <v>37.01</v>
      </c>
      <c r="BJ575" s="15" t="s">
        <v>1990</v>
      </c>
      <c r="BK575" s="15" t="str">
        <f t="shared" ref="BK575:BK577" si="1016">"40.16"</f>
        <v>40.16</v>
      </c>
      <c r="BL575" s="15" t="s">
        <v>667</v>
      </c>
      <c r="BM575" s="15" t="str">
        <f t="shared" ref="BM575:BM577" si="1017">"63.71"</f>
        <v>63.71</v>
      </c>
      <c r="BN575" s="15" t="s">
        <v>6602</v>
      </c>
      <c r="BQ575" s="15" t="s">
        <v>444</v>
      </c>
      <c r="BS575" s="15" t="s">
        <v>444</v>
      </c>
      <c r="BU575" s="15" t="s">
        <v>444</v>
      </c>
      <c r="BW575" s="15" t="s">
        <v>444</v>
      </c>
      <c r="BZ575" s="15" t="s">
        <v>444</v>
      </c>
      <c r="CB575" s="15" t="s">
        <v>444</v>
      </c>
      <c r="CD575" s="15" t="s">
        <v>444</v>
      </c>
      <c r="CF575" s="15" t="s">
        <v>444</v>
      </c>
      <c r="CI575" s="15" t="s">
        <v>444</v>
      </c>
      <c r="CK575" s="15" t="s">
        <v>444</v>
      </c>
      <c r="CM575" s="15" t="s">
        <v>444</v>
      </c>
      <c r="CO575" s="15" t="s">
        <v>444</v>
      </c>
      <c r="CP575" s="15" t="str">
        <f t="shared" ref="CP575:CP577" si="1018">"23.13"</f>
        <v>23.13</v>
      </c>
      <c r="CQ575" s="15" t="str">
        <f t="shared" ref="CQ575:CQ577" si="1019">"0.655"</f>
        <v>0.655</v>
      </c>
      <c r="CR575" s="15" t="s">
        <v>417</v>
      </c>
      <c r="CY575" s="15" t="s">
        <v>1806</v>
      </c>
      <c r="CZ575" s="15" t="s">
        <v>531</v>
      </c>
      <c r="DA575" s="15" t="s">
        <v>1806</v>
      </c>
      <c r="DB575" s="15" t="s">
        <v>1324</v>
      </c>
      <c r="DC575" s="15" t="str">
        <f>IFERROR(__xludf.DUMMYFUNCTION("""COMPUTED_VALUE"""),"{""value"":20.00,""unit"":""in""}")</f>
        <v>{"value":20.00,"unit":"in"}</v>
      </c>
      <c r="DD575" s="15" t="s">
        <v>1237</v>
      </c>
      <c r="DE575" s="15" t="str">
        <f>IFERROR(__xludf.DUMMYFUNCTION("""COMPUTED_VALUE"""),"{""value"":20.50,""unit"":""in""}")</f>
        <v>{"value":20.50,"unit":"in"}</v>
      </c>
      <c r="DG575" s="15" t="str">
        <f>IFERROR(__xludf.DUMMYFUNCTION("""COMPUTED_VALUE"""),"")</f>
        <v/>
      </c>
      <c r="DH575" s="15">
        <v>0.0</v>
      </c>
      <c r="DI575" s="15">
        <v>1.0</v>
      </c>
      <c r="DJ575" s="15" t="s">
        <v>717</v>
      </c>
      <c r="DK575" s="15" t="s">
        <v>855</v>
      </c>
      <c r="DL575" s="15" t="str">
        <f>IFERROR(__xludf.DUMMYFUNCTION("""COMPUTED_VALUE"""),"Clean with solvent-based (dry clean only) products. Do not use water.")</f>
        <v>Clean with solvent-based (dry clean only) products. Do not use water.</v>
      </c>
      <c r="DM575" s="15" t="s">
        <v>856</v>
      </c>
      <c r="DQ575" s="15" t="s">
        <v>2431</v>
      </c>
      <c r="DT575" s="15" t="s">
        <v>721</v>
      </c>
      <c r="DU575" s="15" t="s">
        <v>419</v>
      </c>
      <c r="DV575" s="15">
        <v>0.0</v>
      </c>
      <c r="DZ575" s="15">
        <v>90000.0</v>
      </c>
      <c r="EA575" s="15" t="s">
        <v>722</v>
      </c>
      <c r="EB575" s="15" t="s">
        <v>723</v>
      </c>
      <c r="EC575" s="15" t="s">
        <v>724</v>
      </c>
      <c r="ED575" s="15">
        <v>1.0</v>
      </c>
      <c r="EE575" s="15">
        <v>1.0</v>
      </c>
      <c r="EG575" s="15" t="s">
        <v>444</v>
      </c>
      <c r="EH575" s="15" t="s">
        <v>6603</v>
      </c>
      <c r="EI575" s="15">
        <v>0.0</v>
      </c>
      <c r="EJ575" s="15" t="s">
        <v>726</v>
      </c>
      <c r="EK575" s="15" t="s">
        <v>727</v>
      </c>
      <c r="EL575" s="15" t="s">
        <v>1211</v>
      </c>
      <c r="EM575" s="15" t="str">
        <f>IFERROR(__xludf.DUMMYFUNCTION("""COMPUTED_VALUE"""),"{""value"":24.00,""unit"":""in""}")</f>
        <v>{"value":24.00,"unit":"in"}</v>
      </c>
      <c r="EN575" s="15" t="s">
        <v>635</v>
      </c>
      <c r="EO575" s="15" t="s">
        <v>1331</v>
      </c>
      <c r="ES575" s="15" t="s">
        <v>1607</v>
      </c>
      <c r="ET575" s="15" t="s">
        <v>2116</v>
      </c>
      <c r="EU575" s="15" t="s">
        <v>1072</v>
      </c>
      <c r="EV575" s="15" t="s">
        <v>1072</v>
      </c>
      <c r="EW575" s="15" t="s">
        <v>1738</v>
      </c>
      <c r="EX575" s="15" t="s">
        <v>2384</v>
      </c>
      <c r="EY575" s="15" t="s">
        <v>2384</v>
      </c>
      <c r="EZ575" s="15" t="s">
        <v>650</v>
      </c>
      <c r="FC575" s="15" t="s">
        <v>723</v>
      </c>
      <c r="FD575" s="15" t="s">
        <v>1076</v>
      </c>
      <c r="FE575" s="15" t="s">
        <v>3386</v>
      </c>
      <c r="FF575" s="15" t="s">
        <v>1079</v>
      </c>
      <c r="FO575" s="15" t="s">
        <v>1214</v>
      </c>
      <c r="FP575" s="15" t="s">
        <v>1882</v>
      </c>
      <c r="FQ575" s="15">
        <v>0.0</v>
      </c>
      <c r="FR575" s="15">
        <v>0.0</v>
      </c>
      <c r="FS575" s="15" t="s">
        <v>2436</v>
      </c>
      <c r="FT575" s="15">
        <v>0.0</v>
      </c>
    </row>
    <row r="576" ht="15.75" customHeight="1">
      <c r="A576" s="14" t="s">
        <v>391</v>
      </c>
      <c r="B576" s="15" t="s">
        <v>6592</v>
      </c>
      <c r="C576" s="16"/>
      <c r="D576" s="15" t="s">
        <v>432</v>
      </c>
      <c r="G576" s="14" t="s">
        <v>393</v>
      </c>
      <c r="H576" s="14" t="s">
        <v>394</v>
      </c>
      <c r="I576" s="14" t="b">
        <v>1</v>
      </c>
      <c r="J576" s="14" t="s">
        <v>395</v>
      </c>
      <c r="L576" s="14" t="b">
        <v>0</v>
      </c>
      <c r="M576" s="15" t="s">
        <v>6604</v>
      </c>
      <c r="N576" s="14" t="s">
        <v>393</v>
      </c>
      <c r="O576" s="14" t="s">
        <v>393</v>
      </c>
      <c r="P576" s="15" t="s">
        <v>397</v>
      </c>
      <c r="Q576" s="15" t="s">
        <v>2575</v>
      </c>
      <c r="T576" s="14" t="b">
        <v>0</v>
      </c>
      <c r="U576" s="15" t="s">
        <v>6605</v>
      </c>
      <c r="V576" s="15" t="s">
        <v>6595</v>
      </c>
      <c r="W576" s="15" t="s">
        <v>401</v>
      </c>
      <c r="X576" s="15" t="s">
        <v>695</v>
      </c>
      <c r="Y576" s="15">
        <v>1807.0</v>
      </c>
      <c r="AA576" s="15" t="str">
        <f>"695"</f>
        <v>695</v>
      </c>
      <c r="AB576" s="14" t="b">
        <v>1</v>
      </c>
      <c r="AC576" s="14" t="b">
        <v>1</v>
      </c>
      <c r="AD576" s="15" t="str">
        <f>"801542976750"</f>
        <v>801542976750</v>
      </c>
      <c r="AE576" s="15" t="s">
        <v>6606</v>
      </c>
      <c r="AF576" s="14" t="s">
        <v>404</v>
      </c>
      <c r="AG576" s="14" t="s">
        <v>405</v>
      </c>
      <c r="AH576" s="14" t="s">
        <v>406</v>
      </c>
      <c r="AI576" s="15">
        <v>0.0</v>
      </c>
      <c r="AL576" s="15" t="s">
        <v>975</v>
      </c>
      <c r="AM576" s="15" t="s">
        <v>1274</v>
      </c>
      <c r="AN576" s="15" t="s">
        <v>1275</v>
      </c>
      <c r="AO576" s="15" t="s">
        <v>749</v>
      </c>
      <c r="AP576" s="15" t="s">
        <v>750</v>
      </c>
      <c r="AQ576" s="15" t="s">
        <v>6598</v>
      </c>
      <c r="AR576" s="15" t="s">
        <v>6599</v>
      </c>
      <c r="AS576" s="15" t="s">
        <v>1317</v>
      </c>
      <c r="AT576" s="15" t="s">
        <v>2575</v>
      </c>
      <c r="AU576" s="15" t="s">
        <v>1087</v>
      </c>
      <c r="AW576" s="15" t="s">
        <v>706</v>
      </c>
      <c r="AX576" s="15" t="s">
        <v>707</v>
      </c>
      <c r="AY576" s="15" t="s">
        <v>413</v>
      </c>
      <c r="AZ576" s="15" t="b">
        <v>0</v>
      </c>
      <c r="BA576" s="15" t="s">
        <v>413</v>
      </c>
      <c r="BB576" s="15" t="b">
        <v>0</v>
      </c>
      <c r="BC576" s="15" t="s">
        <v>6607</v>
      </c>
      <c r="BD576" s="15" t="s">
        <v>709</v>
      </c>
      <c r="BE576" s="15" t="str">
        <f t="shared" si="1013"/>
        <v>1</v>
      </c>
      <c r="BF576" s="15" t="s">
        <v>1477</v>
      </c>
      <c r="BG576" s="15" t="str">
        <f t="shared" si="1014"/>
        <v>31.69</v>
      </c>
      <c r="BH576" s="15" t="s">
        <v>3110</v>
      </c>
      <c r="BI576" s="15" t="str">
        <f t="shared" si="1015"/>
        <v>37.01</v>
      </c>
      <c r="BJ576" s="15" t="s">
        <v>1990</v>
      </c>
      <c r="BK576" s="15" t="str">
        <f t="shared" si="1016"/>
        <v>40.16</v>
      </c>
      <c r="BL576" s="15" t="s">
        <v>667</v>
      </c>
      <c r="BM576" s="15" t="str">
        <f t="shared" si="1017"/>
        <v>63.71</v>
      </c>
      <c r="BN576" s="15" t="s">
        <v>6602</v>
      </c>
      <c r="BQ576" s="15" t="s">
        <v>444</v>
      </c>
      <c r="BS576" s="15" t="s">
        <v>444</v>
      </c>
      <c r="BU576" s="15" t="s">
        <v>444</v>
      </c>
      <c r="BW576" s="15" t="s">
        <v>444</v>
      </c>
      <c r="BZ576" s="15" t="s">
        <v>444</v>
      </c>
      <c r="CB576" s="15" t="s">
        <v>444</v>
      </c>
      <c r="CD576" s="15" t="s">
        <v>444</v>
      </c>
      <c r="CF576" s="15" t="s">
        <v>444</v>
      </c>
      <c r="CI576" s="15" t="s">
        <v>444</v>
      </c>
      <c r="CK576" s="15" t="s">
        <v>444</v>
      </c>
      <c r="CM576" s="15" t="s">
        <v>444</v>
      </c>
      <c r="CO576" s="15" t="s">
        <v>444</v>
      </c>
      <c r="CP576" s="15" t="str">
        <f t="shared" si="1018"/>
        <v>23.13</v>
      </c>
      <c r="CQ576" s="15" t="str">
        <f t="shared" si="1019"/>
        <v>0.655</v>
      </c>
      <c r="CR576" s="15" t="s">
        <v>417</v>
      </c>
      <c r="CY576" s="15" t="s">
        <v>1806</v>
      </c>
      <c r="CZ576" s="15" t="s">
        <v>531</v>
      </c>
      <c r="DA576" s="15" t="s">
        <v>1806</v>
      </c>
      <c r="DB576" s="15" t="s">
        <v>1324</v>
      </c>
      <c r="DC576" s="15" t="str">
        <f>IFERROR(__xludf.DUMMYFUNCTION("""COMPUTED_VALUE"""),"{""value"":20.00,""unit"":""in""}")</f>
        <v>{"value":20.00,"unit":"in"}</v>
      </c>
      <c r="DD576" s="15" t="s">
        <v>1237</v>
      </c>
      <c r="DE576" s="15" t="str">
        <f>IFERROR(__xludf.DUMMYFUNCTION("""COMPUTED_VALUE"""),"{""value"":20.50,""unit"":""in""}")</f>
        <v>{"value":20.50,"unit":"in"}</v>
      </c>
      <c r="DG576" s="15" t="str">
        <f>IFERROR(__xludf.DUMMYFUNCTION("""COMPUTED_VALUE"""),"")</f>
        <v/>
      </c>
      <c r="DH576" s="15">
        <v>0.0</v>
      </c>
      <c r="DI576" s="15">
        <v>1.0</v>
      </c>
      <c r="DJ576" s="15" t="s">
        <v>717</v>
      </c>
      <c r="DK576" s="15" t="s">
        <v>718</v>
      </c>
      <c r="DL576" s="15" t="str">
        <f>IFERROR(__xludf.DUMMYFUNCTION("""COMPUTED_VALUE"""),"Vacuum or light brush only. Do not use water or any cleaning products.")</f>
        <v>Vacuum or light brush only. Do not use water or any cleaning products.</v>
      </c>
      <c r="DM576" s="15" t="s">
        <v>719</v>
      </c>
      <c r="DQ576" s="15" t="s">
        <v>2431</v>
      </c>
      <c r="DT576" s="15" t="s">
        <v>721</v>
      </c>
      <c r="DU576" s="15" t="s">
        <v>419</v>
      </c>
      <c r="DV576" s="15">
        <v>0.0</v>
      </c>
      <c r="DZ576" s="15">
        <v>0.0</v>
      </c>
      <c r="EA576" s="15" t="s">
        <v>722</v>
      </c>
      <c r="EB576" s="15" t="s">
        <v>723</v>
      </c>
      <c r="EC576" s="15" t="s">
        <v>724</v>
      </c>
      <c r="ED576" s="15">
        <v>1.0</v>
      </c>
      <c r="EE576" s="15">
        <v>1.0</v>
      </c>
      <c r="EG576" s="15" t="s">
        <v>444</v>
      </c>
      <c r="EH576" s="15" t="s">
        <v>6603</v>
      </c>
      <c r="EI576" s="15">
        <v>0.0</v>
      </c>
      <c r="EJ576" s="15" t="s">
        <v>726</v>
      </c>
      <c r="EK576" s="15" t="s">
        <v>727</v>
      </c>
      <c r="EL576" s="15" t="s">
        <v>1211</v>
      </c>
      <c r="EM576" s="15" t="str">
        <f>IFERROR(__xludf.DUMMYFUNCTION("""COMPUTED_VALUE"""),"{""value"":24.00,""unit"":""in""}")</f>
        <v>{"value":24.00,"unit":"in"}</v>
      </c>
      <c r="EN576" s="15" t="s">
        <v>635</v>
      </c>
      <c r="EO576" s="15" t="s">
        <v>1331</v>
      </c>
      <c r="ES576" s="15" t="s">
        <v>1607</v>
      </c>
      <c r="ET576" s="15" t="s">
        <v>2116</v>
      </c>
      <c r="EU576" s="15" t="s">
        <v>1072</v>
      </c>
      <c r="EV576" s="15" t="s">
        <v>1072</v>
      </c>
      <c r="EW576" s="15" t="s">
        <v>1738</v>
      </c>
      <c r="EX576" s="15" t="s">
        <v>2384</v>
      </c>
      <c r="EY576" s="15" t="s">
        <v>2384</v>
      </c>
      <c r="EZ576" s="15" t="s">
        <v>650</v>
      </c>
      <c r="FC576" s="15" t="s">
        <v>723</v>
      </c>
      <c r="FD576" s="15" t="s">
        <v>1076</v>
      </c>
      <c r="FE576" s="15" t="s">
        <v>3386</v>
      </c>
      <c r="FF576" s="15" t="s">
        <v>1079</v>
      </c>
      <c r="FO576" s="15" t="s">
        <v>1214</v>
      </c>
      <c r="FP576" s="15" t="s">
        <v>1882</v>
      </c>
      <c r="FQ576" s="15">
        <v>0.0</v>
      </c>
      <c r="FR576" s="15">
        <v>0.0</v>
      </c>
      <c r="FS576" s="15" t="s">
        <v>2436</v>
      </c>
      <c r="FT576" s="15">
        <v>0.0</v>
      </c>
    </row>
    <row r="577" ht="15.75" customHeight="1">
      <c r="A577" s="14" t="s">
        <v>391</v>
      </c>
      <c r="B577" s="15" t="s">
        <v>6592</v>
      </c>
      <c r="C577" s="16"/>
      <c r="D577" s="15" t="s">
        <v>432</v>
      </c>
      <c r="G577" s="14" t="s">
        <v>393</v>
      </c>
      <c r="H577" s="14" t="s">
        <v>394</v>
      </c>
      <c r="I577" s="14" t="b">
        <v>1</v>
      </c>
      <c r="J577" s="14" t="s">
        <v>395</v>
      </c>
      <c r="L577" s="14" t="b">
        <v>0</v>
      </c>
      <c r="M577" s="15" t="s">
        <v>6608</v>
      </c>
      <c r="N577" s="14" t="s">
        <v>393</v>
      </c>
      <c r="O577" s="14" t="s">
        <v>393</v>
      </c>
      <c r="P577" s="15" t="s">
        <v>397</v>
      </c>
      <c r="Q577" s="15" t="s">
        <v>6609</v>
      </c>
      <c r="T577" s="14" t="b">
        <v>0</v>
      </c>
      <c r="U577" s="15" t="s">
        <v>6610</v>
      </c>
      <c r="V577" s="15" t="s">
        <v>6595</v>
      </c>
      <c r="W577" s="15" t="s">
        <v>401</v>
      </c>
      <c r="X577" s="15" t="s">
        <v>695</v>
      </c>
      <c r="Y577" s="15">
        <v>1586.0</v>
      </c>
      <c r="AA577" s="15" t="str">
        <f>"610"</f>
        <v>610</v>
      </c>
      <c r="AB577" s="14" t="b">
        <v>1</v>
      </c>
      <c r="AC577" s="14" t="b">
        <v>1</v>
      </c>
      <c r="AD577" s="15" t="str">
        <f>"801542668174"</f>
        <v>801542668174</v>
      </c>
      <c r="AE577" s="15" t="s">
        <v>6611</v>
      </c>
      <c r="AF577" s="14" t="s">
        <v>404</v>
      </c>
      <c r="AG577" s="14" t="s">
        <v>405</v>
      </c>
      <c r="AH577" s="14" t="s">
        <v>406</v>
      </c>
      <c r="AI577" s="15">
        <v>0.0</v>
      </c>
      <c r="AL577" s="15" t="s">
        <v>832</v>
      </c>
      <c r="AM577" s="15" t="s">
        <v>1274</v>
      </c>
      <c r="AN577" s="15" t="s">
        <v>1275</v>
      </c>
      <c r="AO577" s="15" t="s">
        <v>749</v>
      </c>
      <c r="AP577" s="15" t="s">
        <v>750</v>
      </c>
      <c r="AQ577" s="15" t="s">
        <v>6598</v>
      </c>
      <c r="AR577" s="15" t="s">
        <v>6599</v>
      </c>
      <c r="AS577" s="15" t="s">
        <v>1317</v>
      </c>
      <c r="AT577" s="15" t="s">
        <v>6609</v>
      </c>
      <c r="AU577" s="15" t="s">
        <v>6612</v>
      </c>
      <c r="AW577" s="15" t="s">
        <v>706</v>
      </c>
      <c r="AX577" s="15" t="s">
        <v>707</v>
      </c>
      <c r="AY577" s="15" t="s">
        <v>413</v>
      </c>
      <c r="AZ577" s="15" t="b">
        <v>0</v>
      </c>
      <c r="BA577" s="15" t="s">
        <v>413</v>
      </c>
      <c r="BB577" s="15" t="b">
        <v>0</v>
      </c>
      <c r="BC577" s="15" t="s">
        <v>6613</v>
      </c>
      <c r="BD577" s="15" t="s">
        <v>709</v>
      </c>
      <c r="BE577" s="15" t="str">
        <f t="shared" si="1013"/>
        <v>1</v>
      </c>
      <c r="BF577" s="15" t="s">
        <v>1477</v>
      </c>
      <c r="BG577" s="15" t="str">
        <f t="shared" si="1014"/>
        <v>31.69</v>
      </c>
      <c r="BH577" s="15" t="s">
        <v>3110</v>
      </c>
      <c r="BI577" s="15" t="str">
        <f t="shared" si="1015"/>
        <v>37.01</v>
      </c>
      <c r="BJ577" s="15" t="s">
        <v>1990</v>
      </c>
      <c r="BK577" s="15" t="str">
        <f t="shared" si="1016"/>
        <v>40.16</v>
      </c>
      <c r="BL577" s="15" t="s">
        <v>667</v>
      </c>
      <c r="BM577" s="15" t="str">
        <f t="shared" si="1017"/>
        <v>63.71</v>
      </c>
      <c r="BN577" s="15" t="s">
        <v>6602</v>
      </c>
      <c r="BQ577" s="15" t="s">
        <v>444</v>
      </c>
      <c r="BS577" s="15" t="s">
        <v>444</v>
      </c>
      <c r="BU577" s="15" t="s">
        <v>444</v>
      </c>
      <c r="BW577" s="15" t="s">
        <v>444</v>
      </c>
      <c r="BZ577" s="15" t="s">
        <v>444</v>
      </c>
      <c r="CB577" s="15" t="s">
        <v>444</v>
      </c>
      <c r="CD577" s="15" t="s">
        <v>444</v>
      </c>
      <c r="CF577" s="15" t="s">
        <v>444</v>
      </c>
      <c r="CI577" s="15" t="s">
        <v>444</v>
      </c>
      <c r="CK577" s="15" t="s">
        <v>444</v>
      </c>
      <c r="CM577" s="15" t="s">
        <v>444</v>
      </c>
      <c r="CO577" s="15" t="s">
        <v>444</v>
      </c>
      <c r="CP577" s="15" t="str">
        <f t="shared" si="1018"/>
        <v>23.13</v>
      </c>
      <c r="CQ577" s="15" t="str">
        <f t="shared" si="1019"/>
        <v>0.655</v>
      </c>
      <c r="CR577" s="15" t="s">
        <v>465</v>
      </c>
      <c r="CY577" s="15" t="s">
        <v>1806</v>
      </c>
      <c r="CZ577" s="15" t="s">
        <v>531</v>
      </c>
      <c r="DA577" s="15" t="s">
        <v>1806</v>
      </c>
      <c r="DB577" s="15" t="s">
        <v>1324</v>
      </c>
      <c r="DC577" s="15" t="str">
        <f>IFERROR(__xludf.DUMMYFUNCTION("""COMPUTED_VALUE"""),"{""value"":20.00,""unit"":""in""}")</f>
        <v>{"value":20.00,"unit":"in"}</v>
      </c>
      <c r="DD577" s="15" t="s">
        <v>1237</v>
      </c>
      <c r="DE577" s="15" t="str">
        <f>IFERROR(__xludf.DUMMYFUNCTION("""COMPUTED_VALUE"""),"{""value"":20.50,""unit"":""in""}")</f>
        <v>{"value":20.50,"unit":"in"}</v>
      </c>
      <c r="DG577" s="15" t="str">
        <f>IFERROR(__xludf.DUMMYFUNCTION("""COMPUTED_VALUE"""),"")</f>
        <v/>
      </c>
      <c r="DH577" s="15">
        <v>0.0</v>
      </c>
      <c r="DI577" s="15">
        <v>1.0</v>
      </c>
      <c r="DJ577" s="15" t="s">
        <v>717</v>
      </c>
      <c r="DK577" s="15" t="s">
        <v>897</v>
      </c>
      <c r="DL577" s="15" t="str">
        <f>IFERROR(__xludf.DUMMYFUNCTION("""COMPUTED_VALUE"""),"Clean with water-based products only. Use mild detergent or upholstery shampoo.")</f>
        <v>Clean with water-based products only. Use mild detergent or upholstery shampoo.</v>
      </c>
      <c r="DM577" s="15" t="s">
        <v>898</v>
      </c>
      <c r="DQ577" s="15" t="s">
        <v>2431</v>
      </c>
      <c r="DT577" s="15" t="s">
        <v>721</v>
      </c>
      <c r="DU577" s="15" t="s">
        <v>419</v>
      </c>
      <c r="DV577" s="15">
        <v>0.0</v>
      </c>
      <c r="DZ577" s="15">
        <v>100000.0</v>
      </c>
      <c r="EA577" s="15" t="s">
        <v>722</v>
      </c>
      <c r="EB577" s="15" t="s">
        <v>723</v>
      </c>
      <c r="EC577" s="15" t="s">
        <v>724</v>
      </c>
      <c r="ED577" s="15">
        <v>1.0</v>
      </c>
      <c r="EE577" s="15">
        <v>1.0</v>
      </c>
      <c r="EG577" s="15" t="s">
        <v>444</v>
      </c>
      <c r="EH577" s="15" t="s">
        <v>6603</v>
      </c>
      <c r="EI577" s="15">
        <v>0.0</v>
      </c>
      <c r="EJ577" s="15" t="s">
        <v>726</v>
      </c>
      <c r="EK577" s="15" t="s">
        <v>727</v>
      </c>
      <c r="EL577" s="15" t="s">
        <v>1211</v>
      </c>
      <c r="EM577" s="15" t="str">
        <f>IFERROR(__xludf.DUMMYFUNCTION("""COMPUTED_VALUE"""),"{""value"":24.00,""unit"":""in""}")</f>
        <v>{"value":24.00,"unit":"in"}</v>
      </c>
      <c r="EN577" s="15" t="s">
        <v>635</v>
      </c>
      <c r="EO577" s="15" t="s">
        <v>1331</v>
      </c>
      <c r="ES577" s="15" t="s">
        <v>1607</v>
      </c>
      <c r="ET577" s="15" t="s">
        <v>2116</v>
      </c>
      <c r="EU577" s="15" t="s">
        <v>1072</v>
      </c>
      <c r="EV577" s="15" t="s">
        <v>1072</v>
      </c>
      <c r="EW577" s="15" t="s">
        <v>1738</v>
      </c>
      <c r="EX577" s="15" t="s">
        <v>2384</v>
      </c>
      <c r="EY577" s="15" t="s">
        <v>2384</v>
      </c>
      <c r="EZ577" s="15" t="s">
        <v>650</v>
      </c>
      <c r="FC577" s="15" t="s">
        <v>723</v>
      </c>
      <c r="FD577" s="15" t="s">
        <v>1076</v>
      </c>
      <c r="FE577" s="15" t="s">
        <v>3386</v>
      </c>
      <c r="FF577" s="15" t="s">
        <v>1079</v>
      </c>
      <c r="FO577" s="15" t="s">
        <v>1214</v>
      </c>
      <c r="FP577" s="15" t="s">
        <v>1882</v>
      </c>
      <c r="FQ577" s="15">
        <v>0.0</v>
      </c>
      <c r="FR577" s="15">
        <v>0.0</v>
      </c>
      <c r="FS577" s="15" t="s">
        <v>2436</v>
      </c>
      <c r="FT577" s="15">
        <v>0.0</v>
      </c>
    </row>
    <row r="578" ht="15.75" customHeight="1">
      <c r="A578" s="14" t="s">
        <v>391</v>
      </c>
      <c r="B578" s="15" t="s">
        <v>6614</v>
      </c>
      <c r="C578" s="16"/>
      <c r="D578" s="15" t="s">
        <v>432</v>
      </c>
      <c r="G578" s="14" t="s">
        <v>393</v>
      </c>
      <c r="H578" s="14" t="s">
        <v>394</v>
      </c>
      <c r="I578" s="14" t="b">
        <v>1</v>
      </c>
      <c r="J578" s="14" t="s">
        <v>395</v>
      </c>
      <c r="L578" s="14" t="b">
        <v>0</v>
      </c>
      <c r="M578" s="15" t="s">
        <v>6615</v>
      </c>
      <c r="N578" s="14" t="s">
        <v>393</v>
      </c>
      <c r="O578" s="14" t="s">
        <v>393</v>
      </c>
      <c r="P578" s="15" t="s">
        <v>397</v>
      </c>
      <c r="Q578" s="15" t="s">
        <v>6616</v>
      </c>
      <c r="R578" s="15" t="s">
        <v>265</v>
      </c>
      <c r="S578" s="15" t="s">
        <v>877</v>
      </c>
      <c r="T578" s="14" t="b">
        <v>0</v>
      </c>
      <c r="U578" s="15" t="s">
        <v>6617</v>
      </c>
      <c r="V578" s="15" t="s">
        <v>6618</v>
      </c>
      <c r="W578" s="15" t="s">
        <v>401</v>
      </c>
      <c r="X578" s="15" t="s">
        <v>742</v>
      </c>
      <c r="Y578" s="15">
        <v>3172.0</v>
      </c>
      <c r="AA578" s="15" t="str">
        <f>"1220"</f>
        <v>1220</v>
      </c>
      <c r="AB578" s="14" t="b">
        <v>1</v>
      </c>
      <c r="AC578" s="14" t="b">
        <v>1</v>
      </c>
      <c r="AD578" s="15" t="str">
        <f>"801542188436"</f>
        <v>801542188436</v>
      </c>
      <c r="AE578" s="15" t="s">
        <v>6619</v>
      </c>
      <c r="AF578" s="14" t="s">
        <v>404</v>
      </c>
      <c r="AG578" s="14" t="s">
        <v>405</v>
      </c>
      <c r="AH578" s="14" t="s">
        <v>406</v>
      </c>
      <c r="AI578" s="15">
        <v>0.0</v>
      </c>
      <c r="AL578" s="15" t="s">
        <v>4874</v>
      </c>
      <c r="AM578" s="15" t="s">
        <v>4209</v>
      </c>
      <c r="AN578" s="15" t="s">
        <v>4011</v>
      </c>
      <c r="AO578" s="15" t="s">
        <v>3147</v>
      </c>
      <c r="AP578" s="15" t="s">
        <v>3148</v>
      </c>
      <c r="AQ578" s="15" t="s">
        <v>5528</v>
      </c>
      <c r="AR578" s="15" t="s">
        <v>5529</v>
      </c>
      <c r="AS578" s="15" t="s">
        <v>2759</v>
      </c>
      <c r="AT578" s="15" t="s">
        <v>6616</v>
      </c>
      <c r="AU578" s="15" t="s">
        <v>5604</v>
      </c>
      <c r="AW578" s="15" t="s">
        <v>839</v>
      </c>
      <c r="AX578" s="15" t="s">
        <v>877</v>
      </c>
      <c r="AY578" s="15" t="s">
        <v>413</v>
      </c>
      <c r="AZ578" s="15" t="b">
        <v>0</v>
      </c>
      <c r="BA578" s="15" t="s">
        <v>413</v>
      </c>
      <c r="BB578" s="15" t="b">
        <v>0</v>
      </c>
      <c r="BC578" s="15" t="s">
        <v>6620</v>
      </c>
      <c r="BD578" s="15" t="s">
        <v>742</v>
      </c>
      <c r="BE578" s="15" t="str">
        <f t="shared" ref="BE578:BE583" si="1020">"3"</f>
        <v>3</v>
      </c>
      <c r="BF578" s="15" t="s">
        <v>841</v>
      </c>
      <c r="BG578" s="15" t="str">
        <f>"71.46"</f>
        <v>71.46</v>
      </c>
      <c r="BH578" s="15" t="s">
        <v>6621</v>
      </c>
      <c r="BI578" s="15" t="str">
        <f>"9.45"</f>
        <v>9.45</v>
      </c>
      <c r="BJ578" s="15" t="s">
        <v>3948</v>
      </c>
      <c r="BK578" s="15" t="str">
        <f>"54.72"</f>
        <v>54.72</v>
      </c>
      <c r="BL578" s="15" t="s">
        <v>6622</v>
      </c>
      <c r="BM578" s="15" t="str">
        <f>"145.51"</f>
        <v>145.51</v>
      </c>
      <c r="BN578" s="15" t="s">
        <v>1107</v>
      </c>
      <c r="BO578" s="15" t="s">
        <v>6623</v>
      </c>
      <c r="BP578" s="15" t="str">
        <f>"71.46"</f>
        <v>71.46</v>
      </c>
      <c r="BQ578" s="15" t="s">
        <v>6621</v>
      </c>
      <c r="BR578" s="15" t="str">
        <f t="shared" ref="BR578:BR583" si="1021">"17.32"</f>
        <v>17.32</v>
      </c>
      <c r="BS578" s="15" t="s">
        <v>2776</v>
      </c>
      <c r="BT578" s="15" t="str">
        <f t="shared" ref="BT578:BT583" si="1022">"11.42"</f>
        <v>11.42</v>
      </c>
      <c r="BU578" s="15" t="s">
        <v>853</v>
      </c>
      <c r="BV578" s="15" t="str">
        <f>"85.98"</f>
        <v>85.98</v>
      </c>
      <c r="BW578" s="15" t="s">
        <v>928</v>
      </c>
      <c r="BX578" s="15" t="s">
        <v>6624</v>
      </c>
      <c r="BY578" s="15" t="str">
        <f t="shared" ref="BY578:BY583" si="1023">"85.24"</f>
        <v>85.24</v>
      </c>
      <c r="BZ578" s="15" t="s">
        <v>847</v>
      </c>
      <c r="CA578" s="15" t="str">
        <f t="shared" ref="CA578:CA583" si="1024">"17.52"</f>
        <v>17.52</v>
      </c>
      <c r="CB578" s="15" t="s">
        <v>6625</v>
      </c>
      <c r="CC578" s="15" t="str">
        <f t="shared" ref="CC578:CC583" si="1025">"12.2"</f>
        <v>12.2</v>
      </c>
      <c r="CD578" s="15" t="s">
        <v>4566</v>
      </c>
      <c r="CE578" s="15" t="str">
        <f>"98.11"</f>
        <v>98.11</v>
      </c>
      <c r="CF578" s="15" t="s">
        <v>2804</v>
      </c>
      <c r="CI578" s="15" t="s">
        <v>444</v>
      </c>
      <c r="CK578" s="15" t="s">
        <v>444</v>
      </c>
      <c r="CM578" s="15" t="s">
        <v>444</v>
      </c>
      <c r="CO578" s="15" t="s">
        <v>444</v>
      </c>
      <c r="CP578" s="15" t="str">
        <f>"40.12"</f>
        <v>40.12</v>
      </c>
      <c r="CQ578" s="15" t="str">
        <f>"1.136"</f>
        <v>1.136</v>
      </c>
      <c r="CR578" s="15" t="s">
        <v>465</v>
      </c>
      <c r="DC578" s="15" t="str">
        <f>IFERROR(__xludf.DUMMYFUNCTION("""COMPUTED_VALUE"""),"")</f>
        <v/>
      </c>
      <c r="DE578" s="15" t="str">
        <f>IFERROR(__xludf.DUMMYFUNCTION("""COMPUTED_VALUE"""),"")</f>
        <v/>
      </c>
      <c r="DG578" s="15" t="str">
        <f>IFERROR(__xludf.DUMMYFUNCTION("""COMPUTED_VALUE"""),"")</f>
        <v/>
      </c>
      <c r="DL578" s="15" t="str">
        <f>IFERROR(__xludf.DUMMYFUNCTION("""COMPUTED_VALUE"""),"")</f>
        <v/>
      </c>
      <c r="DM578" s="15" t="s">
        <v>444</v>
      </c>
      <c r="DN578" s="15" t="s">
        <v>419</v>
      </c>
      <c r="DO578" s="15">
        <v>0.0</v>
      </c>
      <c r="DP578" s="15" t="s">
        <v>419</v>
      </c>
      <c r="DR578" s="15">
        <v>0.0</v>
      </c>
      <c r="DT578" s="15" t="s">
        <v>1186</v>
      </c>
      <c r="DU578" s="15" t="s">
        <v>419</v>
      </c>
      <c r="DW578" s="15">
        <v>0.0</v>
      </c>
      <c r="DX578" s="15">
        <v>0.0</v>
      </c>
      <c r="DY578" s="15">
        <v>0.0</v>
      </c>
      <c r="EG578" s="15" t="s">
        <v>444</v>
      </c>
      <c r="EH578" s="15" t="s">
        <v>6626</v>
      </c>
      <c r="EJ578" s="15" t="s">
        <v>858</v>
      </c>
      <c r="EK578" s="15" t="s">
        <v>859</v>
      </c>
      <c r="EM578" s="15" t="str">
        <f>IFERROR(__xludf.DUMMYFUNCTION("""COMPUTED_VALUE"""),"")</f>
        <v/>
      </c>
      <c r="FM578" s="15">
        <v>0.0</v>
      </c>
      <c r="IM578" s="15" t="s">
        <v>1042</v>
      </c>
      <c r="IO578" s="15" t="s">
        <v>1042</v>
      </c>
      <c r="IP578" s="15" t="s">
        <v>2156</v>
      </c>
      <c r="IQ578" s="15" t="s">
        <v>2505</v>
      </c>
      <c r="IR578" s="15" t="s">
        <v>3135</v>
      </c>
      <c r="IS578" s="15" t="s">
        <v>1232</v>
      </c>
      <c r="IT578" s="15" t="s">
        <v>429</v>
      </c>
      <c r="IU578" s="15" t="s">
        <v>3135</v>
      </c>
      <c r="IV578" s="15" t="s">
        <v>2971</v>
      </c>
      <c r="IW578" s="15" t="s">
        <v>1957</v>
      </c>
      <c r="IX578" s="15" t="s">
        <v>890</v>
      </c>
      <c r="IY578" s="15" t="s">
        <v>2156</v>
      </c>
      <c r="IZ578" s="15" t="s">
        <v>2971</v>
      </c>
      <c r="JA578" s="15" t="s">
        <v>2505</v>
      </c>
      <c r="JB578" s="15" t="s">
        <v>426</v>
      </c>
      <c r="JC578" s="15" t="s">
        <v>2973</v>
      </c>
      <c r="JD578" s="15" t="s">
        <v>2604</v>
      </c>
      <c r="JE578" s="15" t="s">
        <v>873</v>
      </c>
      <c r="JF578" s="15" t="s">
        <v>877</v>
      </c>
      <c r="JL578" s="15" t="s">
        <v>759</v>
      </c>
      <c r="JM578" s="15" t="s">
        <v>2651</v>
      </c>
      <c r="JO578" s="15" t="s">
        <v>426</v>
      </c>
      <c r="JP578" s="15" t="s">
        <v>2474</v>
      </c>
    </row>
    <row r="579" ht="15.75" customHeight="1">
      <c r="A579" s="14" t="s">
        <v>391</v>
      </c>
      <c r="B579" s="15" t="s">
        <v>6614</v>
      </c>
      <c r="C579" s="16"/>
      <c r="D579" s="15" t="s">
        <v>432</v>
      </c>
      <c r="G579" s="14" t="s">
        <v>393</v>
      </c>
      <c r="H579" s="14" t="s">
        <v>394</v>
      </c>
      <c r="I579" s="14" t="b">
        <v>1</v>
      </c>
      <c r="J579" s="14" t="s">
        <v>395</v>
      </c>
      <c r="L579" s="14" t="b">
        <v>0</v>
      </c>
      <c r="M579" s="15" t="s">
        <v>6627</v>
      </c>
      <c r="N579" s="14" t="s">
        <v>393</v>
      </c>
      <c r="O579" s="14" t="s">
        <v>393</v>
      </c>
      <c r="P579" s="15" t="s">
        <v>397</v>
      </c>
      <c r="Q579" s="15" t="s">
        <v>6616</v>
      </c>
      <c r="R579" s="15" t="s">
        <v>265</v>
      </c>
      <c r="S579" s="15" t="s">
        <v>828</v>
      </c>
      <c r="T579" s="14" t="b">
        <v>0</v>
      </c>
      <c r="U579" s="15" t="s">
        <v>6628</v>
      </c>
      <c r="V579" s="15" t="s">
        <v>6629</v>
      </c>
      <c r="W579" s="15" t="s">
        <v>401</v>
      </c>
      <c r="X579" s="15" t="s">
        <v>742</v>
      </c>
      <c r="Y579" s="15">
        <v>3718.0</v>
      </c>
      <c r="AA579" s="15" t="str">
        <f>"1430"</f>
        <v>1430</v>
      </c>
      <c r="AB579" s="14" t="b">
        <v>1</v>
      </c>
      <c r="AC579" s="14" t="b">
        <v>1</v>
      </c>
      <c r="AD579" s="15" t="str">
        <f>"801542188429"</f>
        <v>801542188429</v>
      </c>
      <c r="AE579" s="15" t="s">
        <v>6630</v>
      </c>
      <c r="AF579" s="14" t="s">
        <v>404</v>
      </c>
      <c r="AG579" s="14" t="s">
        <v>405</v>
      </c>
      <c r="AH579" s="14" t="s">
        <v>406</v>
      </c>
      <c r="AI579" s="15">
        <v>0.0</v>
      </c>
      <c r="AL579" s="15" t="s">
        <v>4874</v>
      </c>
      <c r="AM579" s="15" t="s">
        <v>6631</v>
      </c>
      <c r="AN579" s="15" t="s">
        <v>3003</v>
      </c>
      <c r="AO579" s="15" t="s">
        <v>3147</v>
      </c>
      <c r="AP579" s="15" t="s">
        <v>3148</v>
      </c>
      <c r="AQ579" s="15" t="s">
        <v>5528</v>
      </c>
      <c r="AR579" s="15" t="s">
        <v>5529</v>
      </c>
      <c r="AS579" s="15" t="s">
        <v>2759</v>
      </c>
      <c r="AT579" s="15" t="s">
        <v>6616</v>
      </c>
      <c r="AU579" s="15" t="s">
        <v>5604</v>
      </c>
      <c r="AW579" s="15" t="s">
        <v>839</v>
      </c>
      <c r="AX579" s="15" t="s">
        <v>828</v>
      </c>
      <c r="AY579" s="15" t="s">
        <v>413</v>
      </c>
      <c r="AZ579" s="15" t="b">
        <v>0</v>
      </c>
      <c r="BA579" s="15" t="s">
        <v>413</v>
      </c>
      <c r="BB579" s="15" t="b">
        <v>0</v>
      </c>
      <c r="BC579" s="15" t="s">
        <v>6620</v>
      </c>
      <c r="BD579" s="15" t="s">
        <v>742</v>
      </c>
      <c r="BE579" s="15" t="str">
        <f t="shared" si="1020"/>
        <v>3</v>
      </c>
      <c r="BF579" s="15" t="s">
        <v>841</v>
      </c>
      <c r="BG579" s="15" t="str">
        <f>"87.6"</f>
        <v>87.6</v>
      </c>
      <c r="BH579" s="15" t="s">
        <v>6393</v>
      </c>
      <c r="BI579" s="15" t="str">
        <f>"54.72"</f>
        <v>54.72</v>
      </c>
      <c r="BJ579" s="15" t="s">
        <v>6622</v>
      </c>
      <c r="BK579" s="15" t="str">
        <f>"9.45"</f>
        <v>9.45</v>
      </c>
      <c r="BL579" s="15" t="s">
        <v>3948</v>
      </c>
      <c r="BM579" s="15" t="str">
        <f>"163.14"</f>
        <v>163.14</v>
      </c>
      <c r="BN579" s="15" t="s">
        <v>6632</v>
      </c>
      <c r="BO579" s="15" t="s">
        <v>6623</v>
      </c>
      <c r="BP579" s="15" t="str">
        <f>"87.6"</f>
        <v>87.6</v>
      </c>
      <c r="BQ579" s="15" t="s">
        <v>6393</v>
      </c>
      <c r="BR579" s="15" t="str">
        <f t="shared" si="1021"/>
        <v>17.32</v>
      </c>
      <c r="BS579" s="15" t="s">
        <v>2776</v>
      </c>
      <c r="BT579" s="15" t="str">
        <f t="shared" si="1022"/>
        <v>11.42</v>
      </c>
      <c r="BU579" s="15" t="s">
        <v>853</v>
      </c>
      <c r="BV579" s="15" t="str">
        <f>"100.31"</f>
        <v>100.31</v>
      </c>
      <c r="BW579" s="15" t="s">
        <v>2420</v>
      </c>
      <c r="BX579" s="15" t="s">
        <v>6624</v>
      </c>
      <c r="BY579" s="15" t="str">
        <f t="shared" si="1023"/>
        <v>85.24</v>
      </c>
      <c r="BZ579" s="15" t="s">
        <v>847</v>
      </c>
      <c r="CA579" s="15" t="str">
        <f t="shared" si="1024"/>
        <v>17.52</v>
      </c>
      <c r="CB579" s="15" t="s">
        <v>6625</v>
      </c>
      <c r="CC579" s="15" t="str">
        <f t="shared" si="1025"/>
        <v>12.2</v>
      </c>
      <c r="CD579" s="15" t="s">
        <v>4566</v>
      </c>
      <c r="CE579" s="15" t="str">
        <f>"99.21"</f>
        <v>99.21</v>
      </c>
      <c r="CF579" s="15" t="s">
        <v>1507</v>
      </c>
      <c r="CI579" s="15" t="s">
        <v>444</v>
      </c>
      <c r="CK579" s="15" t="s">
        <v>444</v>
      </c>
      <c r="CM579" s="15" t="s">
        <v>444</v>
      </c>
      <c r="CO579" s="15" t="s">
        <v>444</v>
      </c>
      <c r="CP579" s="15" t="str">
        <f>"46.79"</f>
        <v>46.79</v>
      </c>
      <c r="CQ579" s="15" t="str">
        <f>"1.325"</f>
        <v>1.325</v>
      </c>
      <c r="CR579" s="15" t="s">
        <v>497</v>
      </c>
      <c r="DC579" s="15" t="str">
        <f>IFERROR(__xludf.DUMMYFUNCTION("""COMPUTED_VALUE"""),"")</f>
        <v/>
      </c>
      <c r="DE579" s="15" t="str">
        <f>IFERROR(__xludf.DUMMYFUNCTION("""COMPUTED_VALUE"""),"")</f>
        <v/>
      </c>
      <c r="DG579" s="15" t="str">
        <f>IFERROR(__xludf.DUMMYFUNCTION("""COMPUTED_VALUE"""),"")</f>
        <v/>
      </c>
      <c r="DL579" s="15" t="str">
        <f>IFERROR(__xludf.DUMMYFUNCTION("""COMPUTED_VALUE"""),"")</f>
        <v/>
      </c>
      <c r="DM579" s="15" t="s">
        <v>444</v>
      </c>
      <c r="DN579" s="15" t="s">
        <v>419</v>
      </c>
      <c r="DO579" s="15">
        <v>0.0</v>
      </c>
      <c r="DP579" s="15" t="s">
        <v>419</v>
      </c>
      <c r="DR579" s="15">
        <v>0.0</v>
      </c>
      <c r="DT579" s="15" t="s">
        <v>1186</v>
      </c>
      <c r="DU579" s="15" t="s">
        <v>419</v>
      </c>
      <c r="DW579" s="15">
        <v>0.0</v>
      </c>
      <c r="DX579" s="15">
        <v>0.0</v>
      </c>
      <c r="DY579" s="15">
        <v>0.0</v>
      </c>
      <c r="EG579" s="15" t="s">
        <v>444</v>
      </c>
      <c r="EH579" s="15" t="s">
        <v>6626</v>
      </c>
      <c r="EJ579" s="15" t="s">
        <v>858</v>
      </c>
      <c r="EK579" s="15" t="s">
        <v>859</v>
      </c>
      <c r="EM579" s="15" t="str">
        <f>IFERROR(__xludf.DUMMYFUNCTION("""COMPUTED_VALUE"""),"")</f>
        <v/>
      </c>
      <c r="FM579" s="15">
        <v>0.0</v>
      </c>
      <c r="IM579" s="15" t="s">
        <v>1042</v>
      </c>
      <c r="IO579" s="15" t="s">
        <v>1042</v>
      </c>
      <c r="IP579" s="15" t="s">
        <v>2156</v>
      </c>
      <c r="IQ579" s="15" t="s">
        <v>2505</v>
      </c>
      <c r="IR579" s="15" t="s">
        <v>6633</v>
      </c>
      <c r="IS579" s="15" t="s">
        <v>1232</v>
      </c>
      <c r="IT579" s="15" t="s">
        <v>429</v>
      </c>
      <c r="IU579" s="15" t="s">
        <v>6633</v>
      </c>
      <c r="IV579" s="15" t="s">
        <v>2971</v>
      </c>
      <c r="IW579" s="15" t="s">
        <v>1957</v>
      </c>
      <c r="IX579" s="15" t="s">
        <v>6634</v>
      </c>
      <c r="IY579" s="15" t="s">
        <v>2156</v>
      </c>
      <c r="IZ579" s="15" t="s">
        <v>2971</v>
      </c>
      <c r="JA579" s="15" t="s">
        <v>2505</v>
      </c>
      <c r="JB579" s="15" t="s">
        <v>426</v>
      </c>
      <c r="JC579" s="15" t="s">
        <v>2973</v>
      </c>
      <c r="JD579" s="15" t="s">
        <v>2604</v>
      </c>
      <c r="JE579" s="15" t="s">
        <v>873</v>
      </c>
      <c r="JF579" s="15" t="s">
        <v>828</v>
      </c>
      <c r="JL579" s="15" t="s">
        <v>759</v>
      </c>
      <c r="JM579" s="15" t="s">
        <v>2651</v>
      </c>
      <c r="JO579" s="15" t="s">
        <v>426</v>
      </c>
      <c r="JP579" s="15" t="s">
        <v>2474</v>
      </c>
    </row>
    <row r="580" ht="15.75" customHeight="1">
      <c r="A580" s="14" t="s">
        <v>391</v>
      </c>
      <c r="B580" s="15" t="s">
        <v>6614</v>
      </c>
      <c r="C580" s="16"/>
      <c r="D580" s="15" t="s">
        <v>432</v>
      </c>
      <c r="G580" s="14" t="s">
        <v>393</v>
      </c>
      <c r="H580" s="14" t="s">
        <v>394</v>
      </c>
      <c r="I580" s="14" t="b">
        <v>1</v>
      </c>
      <c r="J580" s="14" t="s">
        <v>395</v>
      </c>
      <c r="L580" s="14" t="b">
        <v>0</v>
      </c>
      <c r="M580" s="15" t="s">
        <v>6635</v>
      </c>
      <c r="N580" s="14" t="s">
        <v>393</v>
      </c>
      <c r="O580" s="14" t="s">
        <v>393</v>
      </c>
      <c r="P580" s="15" t="s">
        <v>397</v>
      </c>
      <c r="Q580" s="15" t="s">
        <v>6636</v>
      </c>
      <c r="R580" s="15" t="s">
        <v>265</v>
      </c>
      <c r="S580" s="15" t="s">
        <v>877</v>
      </c>
      <c r="T580" s="14" t="b">
        <v>0</v>
      </c>
      <c r="U580" s="15" t="s">
        <v>6637</v>
      </c>
      <c r="V580" s="15" t="s">
        <v>6618</v>
      </c>
      <c r="W580" s="15" t="s">
        <v>401</v>
      </c>
      <c r="X580" s="15" t="s">
        <v>742</v>
      </c>
      <c r="Y580" s="15">
        <v>3172.0</v>
      </c>
      <c r="AA580" s="15" t="str">
        <f>"1220"</f>
        <v>1220</v>
      </c>
      <c r="AB580" s="14" t="b">
        <v>1</v>
      </c>
      <c r="AC580" s="14" t="b">
        <v>1</v>
      </c>
      <c r="AD580" s="15" t="str">
        <f>"198394091169"</f>
        <v>198394091169</v>
      </c>
      <c r="AE580" s="15" t="s">
        <v>6638</v>
      </c>
      <c r="AF580" s="14" t="s">
        <v>404</v>
      </c>
      <c r="AG580" s="14" t="s">
        <v>405</v>
      </c>
      <c r="AH580" s="14" t="s">
        <v>406</v>
      </c>
      <c r="AI580" s="15">
        <v>0.0</v>
      </c>
      <c r="AL580" s="15" t="s">
        <v>4874</v>
      </c>
      <c r="AM580" s="15" t="s">
        <v>4209</v>
      </c>
      <c r="AN580" s="15" t="s">
        <v>4011</v>
      </c>
      <c r="AO580" s="15" t="s">
        <v>3147</v>
      </c>
      <c r="AP580" s="15" t="s">
        <v>3148</v>
      </c>
      <c r="AQ580" s="15" t="s">
        <v>5528</v>
      </c>
      <c r="AR580" s="15" t="s">
        <v>5529</v>
      </c>
      <c r="AS580" s="15" t="s">
        <v>2759</v>
      </c>
      <c r="AT580" s="15" t="s">
        <v>6636</v>
      </c>
      <c r="AU580" s="15" t="s">
        <v>6639</v>
      </c>
      <c r="AW580" s="15" t="s">
        <v>839</v>
      </c>
      <c r="AX580" s="15" t="s">
        <v>877</v>
      </c>
      <c r="AY580" s="15" t="s">
        <v>413</v>
      </c>
      <c r="AZ580" s="15" t="b">
        <v>0</v>
      </c>
      <c r="BA580" s="15" t="s">
        <v>413</v>
      </c>
      <c r="BB580" s="15" t="b">
        <v>0</v>
      </c>
      <c r="BC580" s="15" t="s">
        <v>6640</v>
      </c>
      <c r="BD580" s="15" t="s">
        <v>742</v>
      </c>
      <c r="BE580" s="15" t="str">
        <f t="shared" si="1020"/>
        <v>3</v>
      </c>
      <c r="BF580" s="15" t="s">
        <v>841</v>
      </c>
      <c r="BG580" s="15" t="str">
        <f>"71.46"</f>
        <v>71.46</v>
      </c>
      <c r="BH580" s="15" t="s">
        <v>6621</v>
      </c>
      <c r="BI580" s="15" t="str">
        <f>"9.45"</f>
        <v>9.45</v>
      </c>
      <c r="BJ580" s="15" t="s">
        <v>3948</v>
      </c>
      <c r="BK580" s="15" t="str">
        <f>"54.72"</f>
        <v>54.72</v>
      </c>
      <c r="BL580" s="15" t="s">
        <v>6622</v>
      </c>
      <c r="BM580" s="15" t="str">
        <f>"145.51"</f>
        <v>145.51</v>
      </c>
      <c r="BN580" s="15" t="s">
        <v>1107</v>
      </c>
      <c r="BO580" s="15" t="s">
        <v>846</v>
      </c>
      <c r="BP580" s="15" t="str">
        <f>"71.46"</f>
        <v>71.46</v>
      </c>
      <c r="BQ580" s="15" t="s">
        <v>6621</v>
      </c>
      <c r="BR580" s="15" t="str">
        <f t="shared" si="1021"/>
        <v>17.32</v>
      </c>
      <c r="BS580" s="15" t="s">
        <v>2776</v>
      </c>
      <c r="BT580" s="15" t="str">
        <f t="shared" si="1022"/>
        <v>11.42</v>
      </c>
      <c r="BU580" s="15" t="s">
        <v>853</v>
      </c>
      <c r="BV580" s="15" t="str">
        <f>"85.98"</f>
        <v>85.98</v>
      </c>
      <c r="BW580" s="15" t="s">
        <v>928</v>
      </c>
      <c r="BX580" s="15" t="s">
        <v>6641</v>
      </c>
      <c r="BY580" s="15" t="str">
        <f t="shared" si="1023"/>
        <v>85.24</v>
      </c>
      <c r="BZ580" s="15" t="s">
        <v>847</v>
      </c>
      <c r="CA580" s="15" t="str">
        <f t="shared" si="1024"/>
        <v>17.52</v>
      </c>
      <c r="CB580" s="15" t="s">
        <v>6625</v>
      </c>
      <c r="CC580" s="15" t="str">
        <f t="shared" si="1025"/>
        <v>12.2</v>
      </c>
      <c r="CD580" s="15" t="s">
        <v>4566</v>
      </c>
      <c r="CE580" s="15" t="str">
        <f>"98.11"</f>
        <v>98.11</v>
      </c>
      <c r="CF580" s="15" t="s">
        <v>2804</v>
      </c>
      <c r="CI580" s="15" t="s">
        <v>444</v>
      </c>
      <c r="CK580" s="15" t="s">
        <v>444</v>
      </c>
      <c r="CM580" s="15" t="s">
        <v>444</v>
      </c>
      <c r="CO580" s="15" t="s">
        <v>444</v>
      </c>
      <c r="CP580" s="15" t="str">
        <f>"40.12"</f>
        <v>40.12</v>
      </c>
      <c r="CQ580" s="15" t="str">
        <f>"1.136"</f>
        <v>1.136</v>
      </c>
      <c r="CR580" s="15" t="s">
        <v>497</v>
      </c>
      <c r="DC580" s="15" t="str">
        <f>IFERROR(__xludf.DUMMYFUNCTION("""COMPUTED_VALUE"""),"")</f>
        <v/>
      </c>
      <c r="DE580" s="15" t="str">
        <f>IFERROR(__xludf.DUMMYFUNCTION("""COMPUTED_VALUE"""),"")</f>
        <v/>
      </c>
      <c r="DG580" s="15" t="str">
        <f>IFERROR(__xludf.DUMMYFUNCTION("""COMPUTED_VALUE"""),"")</f>
        <v/>
      </c>
      <c r="DL580" s="15" t="str">
        <f>IFERROR(__xludf.DUMMYFUNCTION("""COMPUTED_VALUE"""),"")</f>
        <v/>
      </c>
      <c r="DM580" s="15" t="s">
        <v>444</v>
      </c>
      <c r="DN580" s="15" t="s">
        <v>419</v>
      </c>
      <c r="DO580" s="15">
        <v>0.0</v>
      </c>
      <c r="DP580" s="15" t="s">
        <v>419</v>
      </c>
      <c r="DR580" s="15">
        <v>0.0</v>
      </c>
      <c r="DT580" s="15" t="s">
        <v>1186</v>
      </c>
      <c r="DU580" s="15" t="s">
        <v>419</v>
      </c>
      <c r="DW580" s="15">
        <v>0.0</v>
      </c>
      <c r="DX580" s="15">
        <v>0.0</v>
      </c>
      <c r="DY580" s="15">
        <v>0.0</v>
      </c>
      <c r="EG580" s="15" t="s">
        <v>444</v>
      </c>
      <c r="EH580" s="15" t="s">
        <v>6626</v>
      </c>
      <c r="EJ580" s="15" t="s">
        <v>858</v>
      </c>
      <c r="EK580" s="15" t="s">
        <v>859</v>
      </c>
      <c r="EM580" s="15" t="str">
        <f>IFERROR(__xludf.DUMMYFUNCTION("""COMPUTED_VALUE"""),"")</f>
        <v/>
      </c>
      <c r="FM580" s="15">
        <v>0.0</v>
      </c>
      <c r="IM580" s="15" t="s">
        <v>1042</v>
      </c>
      <c r="IO580" s="15" t="s">
        <v>1042</v>
      </c>
      <c r="IP580" s="15" t="s">
        <v>2156</v>
      </c>
      <c r="IQ580" s="15" t="s">
        <v>2505</v>
      </c>
      <c r="IR580" s="15" t="s">
        <v>3135</v>
      </c>
      <c r="IS580" s="15" t="s">
        <v>1232</v>
      </c>
      <c r="IT580" s="15" t="s">
        <v>429</v>
      </c>
      <c r="IU580" s="15" t="s">
        <v>3135</v>
      </c>
      <c r="IV580" s="15" t="s">
        <v>2971</v>
      </c>
      <c r="IW580" s="15" t="s">
        <v>1957</v>
      </c>
      <c r="IX580" s="15" t="s">
        <v>890</v>
      </c>
      <c r="IY580" s="15" t="s">
        <v>2156</v>
      </c>
      <c r="IZ580" s="15" t="s">
        <v>2971</v>
      </c>
      <c r="JA580" s="15" t="s">
        <v>2505</v>
      </c>
      <c r="JB580" s="15" t="s">
        <v>426</v>
      </c>
      <c r="JC580" s="15" t="s">
        <v>2973</v>
      </c>
      <c r="JD580" s="15" t="s">
        <v>2604</v>
      </c>
      <c r="JE580" s="15" t="s">
        <v>873</v>
      </c>
      <c r="JF580" s="15" t="s">
        <v>877</v>
      </c>
      <c r="JL580" s="15" t="s">
        <v>759</v>
      </c>
      <c r="JM580" s="15" t="s">
        <v>2651</v>
      </c>
      <c r="JO580" s="15" t="s">
        <v>426</v>
      </c>
      <c r="JP580" s="15" t="s">
        <v>2474</v>
      </c>
    </row>
    <row r="581" ht="15.75" customHeight="1">
      <c r="A581" s="14" t="s">
        <v>391</v>
      </c>
      <c r="B581" s="15" t="s">
        <v>6614</v>
      </c>
      <c r="C581" s="16"/>
      <c r="D581" s="15" t="s">
        <v>432</v>
      </c>
      <c r="G581" s="14" t="s">
        <v>393</v>
      </c>
      <c r="H581" s="14" t="s">
        <v>394</v>
      </c>
      <c r="I581" s="14" t="b">
        <v>1</v>
      </c>
      <c r="J581" s="14" t="s">
        <v>395</v>
      </c>
      <c r="L581" s="14" t="b">
        <v>0</v>
      </c>
      <c r="M581" s="15" t="s">
        <v>6642</v>
      </c>
      <c r="N581" s="14" t="s">
        <v>393</v>
      </c>
      <c r="O581" s="14" t="s">
        <v>393</v>
      </c>
      <c r="P581" s="15" t="s">
        <v>397</v>
      </c>
      <c r="Q581" s="15" t="s">
        <v>6636</v>
      </c>
      <c r="R581" s="15" t="s">
        <v>265</v>
      </c>
      <c r="S581" s="15" t="s">
        <v>828</v>
      </c>
      <c r="T581" s="14" t="b">
        <v>0</v>
      </c>
      <c r="U581" s="15" t="s">
        <v>6643</v>
      </c>
      <c r="V581" s="15" t="s">
        <v>6629</v>
      </c>
      <c r="W581" s="15" t="s">
        <v>401</v>
      </c>
      <c r="X581" s="15" t="s">
        <v>742</v>
      </c>
      <c r="Y581" s="15">
        <v>3718.0</v>
      </c>
      <c r="AA581" s="15" t="str">
        <f>"1430"</f>
        <v>1430</v>
      </c>
      <c r="AB581" s="14" t="b">
        <v>1</v>
      </c>
      <c r="AC581" s="14" t="b">
        <v>1</v>
      </c>
      <c r="AD581" s="15" t="str">
        <f>"198394091152"</f>
        <v>198394091152</v>
      </c>
      <c r="AE581" s="15" t="s">
        <v>6644</v>
      </c>
      <c r="AF581" s="14" t="s">
        <v>404</v>
      </c>
      <c r="AG581" s="14" t="s">
        <v>405</v>
      </c>
      <c r="AH581" s="14" t="s">
        <v>406</v>
      </c>
      <c r="AI581" s="15">
        <v>0.0</v>
      </c>
      <c r="AL581" s="15" t="s">
        <v>4874</v>
      </c>
      <c r="AM581" s="15" t="s">
        <v>6631</v>
      </c>
      <c r="AN581" s="15" t="s">
        <v>3003</v>
      </c>
      <c r="AO581" s="15" t="s">
        <v>3147</v>
      </c>
      <c r="AP581" s="15" t="s">
        <v>3148</v>
      </c>
      <c r="AQ581" s="15" t="s">
        <v>5528</v>
      </c>
      <c r="AR581" s="15" t="s">
        <v>5529</v>
      </c>
      <c r="AS581" s="15" t="s">
        <v>2759</v>
      </c>
      <c r="AT581" s="15" t="s">
        <v>6636</v>
      </c>
      <c r="AU581" s="15" t="s">
        <v>6639</v>
      </c>
      <c r="AW581" s="15" t="s">
        <v>839</v>
      </c>
      <c r="AX581" s="15" t="s">
        <v>828</v>
      </c>
      <c r="AY581" s="15" t="s">
        <v>413</v>
      </c>
      <c r="AZ581" s="15" t="b">
        <v>0</v>
      </c>
      <c r="BA581" s="15" t="s">
        <v>413</v>
      </c>
      <c r="BB581" s="15" t="b">
        <v>0</v>
      </c>
      <c r="BD581" s="15" t="s">
        <v>742</v>
      </c>
      <c r="BE581" s="15" t="str">
        <f t="shared" si="1020"/>
        <v>3</v>
      </c>
      <c r="BF581" s="15" t="s">
        <v>841</v>
      </c>
      <c r="BG581" s="15" t="str">
        <f>"87.6"</f>
        <v>87.6</v>
      </c>
      <c r="BH581" s="15" t="s">
        <v>6393</v>
      </c>
      <c r="BI581" s="15" t="str">
        <f>"54.72"</f>
        <v>54.72</v>
      </c>
      <c r="BJ581" s="15" t="s">
        <v>6622</v>
      </c>
      <c r="BK581" s="15" t="str">
        <f>"9.45"</f>
        <v>9.45</v>
      </c>
      <c r="BL581" s="15" t="s">
        <v>3948</v>
      </c>
      <c r="BM581" s="15" t="str">
        <f>"163.14"</f>
        <v>163.14</v>
      </c>
      <c r="BN581" s="15" t="s">
        <v>6632</v>
      </c>
      <c r="BO581" s="15" t="s">
        <v>846</v>
      </c>
      <c r="BP581" s="15" t="str">
        <f>"87.6"</f>
        <v>87.6</v>
      </c>
      <c r="BQ581" s="15" t="s">
        <v>6393</v>
      </c>
      <c r="BR581" s="15" t="str">
        <f t="shared" si="1021"/>
        <v>17.32</v>
      </c>
      <c r="BS581" s="15" t="s">
        <v>2776</v>
      </c>
      <c r="BT581" s="15" t="str">
        <f t="shared" si="1022"/>
        <v>11.42</v>
      </c>
      <c r="BU581" s="15" t="s">
        <v>853</v>
      </c>
      <c r="BV581" s="15" t="str">
        <f>"100.31"</f>
        <v>100.31</v>
      </c>
      <c r="BW581" s="15" t="s">
        <v>2420</v>
      </c>
      <c r="BX581" s="15" t="s">
        <v>6641</v>
      </c>
      <c r="BY581" s="15" t="str">
        <f t="shared" si="1023"/>
        <v>85.24</v>
      </c>
      <c r="BZ581" s="15" t="s">
        <v>847</v>
      </c>
      <c r="CA581" s="15" t="str">
        <f t="shared" si="1024"/>
        <v>17.52</v>
      </c>
      <c r="CB581" s="15" t="s">
        <v>6625</v>
      </c>
      <c r="CC581" s="15" t="str">
        <f t="shared" si="1025"/>
        <v>12.2</v>
      </c>
      <c r="CD581" s="15" t="s">
        <v>4566</v>
      </c>
      <c r="CE581" s="15" t="str">
        <f>"99.21"</f>
        <v>99.21</v>
      </c>
      <c r="CF581" s="15" t="s">
        <v>1507</v>
      </c>
      <c r="CI581" s="15" t="s">
        <v>444</v>
      </c>
      <c r="CK581" s="15" t="s">
        <v>444</v>
      </c>
      <c r="CM581" s="15" t="s">
        <v>444</v>
      </c>
      <c r="CO581" s="15" t="s">
        <v>444</v>
      </c>
      <c r="CP581" s="15" t="str">
        <f>"46.79"</f>
        <v>46.79</v>
      </c>
      <c r="CQ581" s="15" t="str">
        <f>"1.325"</f>
        <v>1.325</v>
      </c>
      <c r="CR581" s="15" t="s">
        <v>465</v>
      </c>
      <c r="DC581" s="15" t="str">
        <f>IFERROR(__xludf.DUMMYFUNCTION("""COMPUTED_VALUE"""),"")</f>
        <v/>
      </c>
      <c r="DE581" s="15" t="str">
        <f>IFERROR(__xludf.DUMMYFUNCTION("""COMPUTED_VALUE"""),"")</f>
        <v/>
      </c>
      <c r="DG581" s="15" t="str">
        <f>IFERROR(__xludf.DUMMYFUNCTION("""COMPUTED_VALUE"""),"")</f>
        <v/>
      </c>
      <c r="DL581" s="15" t="str">
        <f>IFERROR(__xludf.DUMMYFUNCTION("""COMPUTED_VALUE"""),"")</f>
        <v/>
      </c>
      <c r="DM581" s="15" t="s">
        <v>444</v>
      </c>
      <c r="DN581" s="15" t="s">
        <v>419</v>
      </c>
      <c r="DO581" s="15">
        <v>0.0</v>
      </c>
      <c r="DP581" s="15" t="s">
        <v>419</v>
      </c>
      <c r="DR581" s="15">
        <v>0.0</v>
      </c>
      <c r="DT581" s="15" t="s">
        <v>1186</v>
      </c>
      <c r="DU581" s="15" t="s">
        <v>419</v>
      </c>
      <c r="DW581" s="15">
        <v>0.0</v>
      </c>
      <c r="DX581" s="15">
        <v>0.0</v>
      </c>
      <c r="DY581" s="15">
        <v>0.0</v>
      </c>
      <c r="EG581" s="15" t="s">
        <v>444</v>
      </c>
      <c r="EH581" s="15" t="s">
        <v>6626</v>
      </c>
      <c r="EJ581" s="15" t="s">
        <v>858</v>
      </c>
      <c r="EK581" s="15" t="s">
        <v>859</v>
      </c>
      <c r="EM581" s="15" t="str">
        <f>IFERROR(__xludf.DUMMYFUNCTION("""COMPUTED_VALUE"""),"")</f>
        <v/>
      </c>
      <c r="FM581" s="15">
        <v>0.0</v>
      </c>
      <c r="IM581" s="15" t="s">
        <v>1042</v>
      </c>
      <c r="IO581" s="15" t="s">
        <v>1042</v>
      </c>
      <c r="IP581" s="15" t="s">
        <v>2156</v>
      </c>
      <c r="IQ581" s="15" t="s">
        <v>2505</v>
      </c>
      <c r="IR581" s="15" t="s">
        <v>6633</v>
      </c>
      <c r="IS581" s="15" t="s">
        <v>1232</v>
      </c>
      <c r="IT581" s="15" t="s">
        <v>429</v>
      </c>
      <c r="IU581" s="15" t="s">
        <v>6633</v>
      </c>
      <c r="IV581" s="15" t="s">
        <v>2971</v>
      </c>
      <c r="IW581" s="15" t="s">
        <v>1957</v>
      </c>
      <c r="IX581" s="15" t="s">
        <v>6634</v>
      </c>
      <c r="IY581" s="15" t="s">
        <v>2156</v>
      </c>
      <c r="IZ581" s="15" t="s">
        <v>2971</v>
      </c>
      <c r="JA581" s="15" t="s">
        <v>2505</v>
      </c>
      <c r="JB581" s="15" t="s">
        <v>426</v>
      </c>
      <c r="JC581" s="15" t="s">
        <v>2973</v>
      </c>
      <c r="JD581" s="15" t="s">
        <v>2604</v>
      </c>
      <c r="JE581" s="15" t="s">
        <v>873</v>
      </c>
      <c r="JF581" s="15" t="s">
        <v>828</v>
      </c>
      <c r="JL581" s="15" t="s">
        <v>759</v>
      </c>
      <c r="JM581" s="15" t="s">
        <v>2651</v>
      </c>
      <c r="JO581" s="15" t="s">
        <v>426</v>
      </c>
      <c r="JP581" s="15" t="s">
        <v>2474</v>
      </c>
    </row>
    <row r="582" ht="15.75" customHeight="1">
      <c r="A582" s="14" t="s">
        <v>391</v>
      </c>
      <c r="B582" s="15" t="s">
        <v>6614</v>
      </c>
      <c r="C582" s="16"/>
      <c r="D582" s="15" t="s">
        <v>432</v>
      </c>
      <c r="G582" s="14" t="s">
        <v>393</v>
      </c>
      <c r="H582" s="14" t="s">
        <v>394</v>
      </c>
      <c r="I582" s="14" t="b">
        <v>1</v>
      </c>
      <c r="J582" s="14" t="s">
        <v>395</v>
      </c>
      <c r="L582" s="14" t="b">
        <v>0</v>
      </c>
      <c r="M582" s="15" t="s">
        <v>6645</v>
      </c>
      <c r="N582" s="14" t="s">
        <v>393</v>
      </c>
      <c r="O582" s="14" t="s">
        <v>393</v>
      </c>
      <c r="P582" s="15" t="s">
        <v>397</v>
      </c>
      <c r="Q582" s="15" t="s">
        <v>6646</v>
      </c>
      <c r="R582" s="15" t="s">
        <v>265</v>
      </c>
      <c r="S582" s="15" t="s">
        <v>877</v>
      </c>
      <c r="T582" s="14" t="b">
        <v>0</v>
      </c>
      <c r="U582" s="15" t="s">
        <v>6647</v>
      </c>
      <c r="V582" s="15" t="s">
        <v>6618</v>
      </c>
      <c r="W582" s="15" t="s">
        <v>401</v>
      </c>
      <c r="X582" s="15" t="s">
        <v>742</v>
      </c>
      <c r="Y582" s="15">
        <v>3172.0</v>
      </c>
      <c r="AA582" s="15" t="str">
        <f>"1220"</f>
        <v>1220</v>
      </c>
      <c r="AB582" s="14" t="b">
        <v>1</v>
      </c>
      <c r="AC582" s="14" t="b">
        <v>1</v>
      </c>
      <c r="AD582" s="15" t="str">
        <f>"198394016643"</f>
        <v>198394016643</v>
      </c>
      <c r="AE582" s="15" t="s">
        <v>6648</v>
      </c>
      <c r="AF582" s="14" t="s">
        <v>404</v>
      </c>
      <c r="AG582" s="14" t="s">
        <v>405</v>
      </c>
      <c r="AH582" s="14" t="s">
        <v>406</v>
      </c>
      <c r="AI582" s="15">
        <v>0.0</v>
      </c>
      <c r="AL582" s="15" t="s">
        <v>4874</v>
      </c>
      <c r="AM582" s="15" t="s">
        <v>4209</v>
      </c>
      <c r="AN582" s="15" t="s">
        <v>4011</v>
      </c>
      <c r="AO582" s="15" t="s">
        <v>3147</v>
      </c>
      <c r="AP582" s="15" t="s">
        <v>3148</v>
      </c>
      <c r="AQ582" s="15" t="s">
        <v>5528</v>
      </c>
      <c r="AR582" s="15" t="s">
        <v>5529</v>
      </c>
      <c r="AS582" s="15" t="s">
        <v>2759</v>
      </c>
      <c r="AT582" s="15" t="s">
        <v>6646</v>
      </c>
      <c r="AU582" s="15" t="s">
        <v>4815</v>
      </c>
      <c r="AW582" s="15" t="s">
        <v>839</v>
      </c>
      <c r="AX582" s="15" t="s">
        <v>877</v>
      </c>
      <c r="AY582" s="15" t="s">
        <v>413</v>
      </c>
      <c r="AZ582" s="15" t="b">
        <v>0</v>
      </c>
      <c r="BA582" s="15" t="s">
        <v>413</v>
      </c>
      <c r="BB582" s="15" t="b">
        <v>0</v>
      </c>
      <c r="BC582" s="15" t="s">
        <v>6620</v>
      </c>
      <c r="BD582" s="15" t="s">
        <v>742</v>
      </c>
      <c r="BE582" s="15" t="str">
        <f t="shared" si="1020"/>
        <v>3</v>
      </c>
      <c r="BF582" s="15" t="s">
        <v>841</v>
      </c>
      <c r="BG582" s="15" t="str">
        <f>"71.46"</f>
        <v>71.46</v>
      </c>
      <c r="BH582" s="15" t="s">
        <v>6621</v>
      </c>
      <c r="BI582" s="15" t="str">
        <f>"9.45"</f>
        <v>9.45</v>
      </c>
      <c r="BJ582" s="15" t="s">
        <v>3948</v>
      </c>
      <c r="BK582" s="15" t="str">
        <f>"54.72"</f>
        <v>54.72</v>
      </c>
      <c r="BL582" s="15" t="s">
        <v>6622</v>
      </c>
      <c r="BM582" s="15" t="str">
        <f>"145.51"</f>
        <v>145.51</v>
      </c>
      <c r="BN582" s="15" t="s">
        <v>1107</v>
      </c>
      <c r="BO582" s="15" t="s">
        <v>6623</v>
      </c>
      <c r="BP582" s="15" t="str">
        <f>"71.46"</f>
        <v>71.46</v>
      </c>
      <c r="BQ582" s="15" t="s">
        <v>6621</v>
      </c>
      <c r="BR582" s="15" t="str">
        <f t="shared" si="1021"/>
        <v>17.32</v>
      </c>
      <c r="BS582" s="15" t="s">
        <v>2776</v>
      </c>
      <c r="BT582" s="15" t="str">
        <f t="shared" si="1022"/>
        <v>11.42</v>
      </c>
      <c r="BU582" s="15" t="s">
        <v>853</v>
      </c>
      <c r="BV582" s="15" t="str">
        <f>"85.98"</f>
        <v>85.98</v>
      </c>
      <c r="BW582" s="15" t="s">
        <v>928</v>
      </c>
      <c r="BX582" s="15" t="s">
        <v>6624</v>
      </c>
      <c r="BY582" s="15" t="str">
        <f t="shared" si="1023"/>
        <v>85.24</v>
      </c>
      <c r="BZ582" s="15" t="s">
        <v>847</v>
      </c>
      <c r="CA582" s="15" t="str">
        <f t="shared" si="1024"/>
        <v>17.52</v>
      </c>
      <c r="CB582" s="15" t="s">
        <v>6625</v>
      </c>
      <c r="CC582" s="15" t="str">
        <f t="shared" si="1025"/>
        <v>12.2</v>
      </c>
      <c r="CD582" s="15" t="s">
        <v>4566</v>
      </c>
      <c r="CE582" s="15" t="str">
        <f>"98.11"</f>
        <v>98.11</v>
      </c>
      <c r="CF582" s="15" t="s">
        <v>2804</v>
      </c>
      <c r="CI582" s="15" t="s">
        <v>444</v>
      </c>
      <c r="CK582" s="15" t="s">
        <v>444</v>
      </c>
      <c r="CM582" s="15" t="s">
        <v>444</v>
      </c>
      <c r="CO582" s="15" t="s">
        <v>444</v>
      </c>
      <c r="CP582" s="15" t="str">
        <f>"40.12"</f>
        <v>40.12</v>
      </c>
      <c r="CQ582" s="15" t="str">
        <f>"1.136"</f>
        <v>1.136</v>
      </c>
      <c r="CR582" s="15" t="s">
        <v>417</v>
      </c>
      <c r="DC582" s="15" t="str">
        <f>IFERROR(__xludf.DUMMYFUNCTION("""COMPUTED_VALUE"""),"")</f>
        <v/>
      </c>
      <c r="DE582" s="15" t="str">
        <f>IFERROR(__xludf.DUMMYFUNCTION("""COMPUTED_VALUE"""),"")</f>
        <v/>
      </c>
      <c r="DG582" s="15" t="str">
        <f>IFERROR(__xludf.DUMMYFUNCTION("""COMPUTED_VALUE"""),"")</f>
        <v/>
      </c>
      <c r="DL582" s="15" t="str">
        <f>IFERROR(__xludf.DUMMYFUNCTION("""COMPUTED_VALUE"""),"")</f>
        <v/>
      </c>
      <c r="DM582" s="15" t="s">
        <v>444</v>
      </c>
      <c r="DN582" s="15" t="s">
        <v>419</v>
      </c>
      <c r="DO582" s="15">
        <v>0.0</v>
      </c>
      <c r="DP582" s="15" t="s">
        <v>419</v>
      </c>
      <c r="DR582" s="15">
        <v>0.0</v>
      </c>
      <c r="DT582" s="15" t="s">
        <v>1186</v>
      </c>
      <c r="DU582" s="15" t="s">
        <v>419</v>
      </c>
      <c r="DW582" s="15">
        <v>0.0</v>
      </c>
      <c r="DX582" s="15">
        <v>0.0</v>
      </c>
      <c r="DY582" s="15">
        <v>0.0</v>
      </c>
      <c r="EG582" s="15" t="s">
        <v>444</v>
      </c>
      <c r="EH582" s="15" t="s">
        <v>6626</v>
      </c>
      <c r="EJ582" s="15" t="s">
        <v>858</v>
      </c>
      <c r="EK582" s="15" t="s">
        <v>859</v>
      </c>
      <c r="EM582" s="15" t="str">
        <f>IFERROR(__xludf.DUMMYFUNCTION("""COMPUTED_VALUE"""),"")</f>
        <v/>
      </c>
      <c r="FM582" s="15">
        <v>0.0</v>
      </c>
      <c r="IM582" s="15" t="s">
        <v>1042</v>
      </c>
      <c r="IO582" s="15" t="s">
        <v>1042</v>
      </c>
      <c r="IP582" s="15" t="s">
        <v>2156</v>
      </c>
      <c r="IQ582" s="15" t="s">
        <v>2505</v>
      </c>
      <c r="IR582" s="15" t="s">
        <v>3135</v>
      </c>
      <c r="IS582" s="15" t="s">
        <v>1232</v>
      </c>
      <c r="IT582" s="15" t="s">
        <v>429</v>
      </c>
      <c r="IU582" s="15" t="s">
        <v>3135</v>
      </c>
      <c r="IV582" s="15" t="s">
        <v>2971</v>
      </c>
      <c r="IW582" s="15" t="s">
        <v>1957</v>
      </c>
      <c r="IX582" s="15" t="s">
        <v>890</v>
      </c>
      <c r="IY582" s="15" t="s">
        <v>2156</v>
      </c>
      <c r="IZ582" s="15" t="s">
        <v>2971</v>
      </c>
      <c r="JA582" s="15" t="s">
        <v>2505</v>
      </c>
      <c r="JB582" s="15" t="s">
        <v>426</v>
      </c>
      <c r="JC582" s="15" t="s">
        <v>2973</v>
      </c>
      <c r="JD582" s="15" t="s">
        <v>2604</v>
      </c>
      <c r="JE582" s="15" t="s">
        <v>873</v>
      </c>
      <c r="JF582" s="15" t="s">
        <v>877</v>
      </c>
      <c r="JL582" s="15" t="s">
        <v>759</v>
      </c>
      <c r="JM582" s="15" t="s">
        <v>2651</v>
      </c>
      <c r="JO582" s="15" t="s">
        <v>426</v>
      </c>
      <c r="JP582" s="15" t="s">
        <v>2474</v>
      </c>
    </row>
    <row r="583" ht="15.75" customHeight="1">
      <c r="A583" s="14" t="s">
        <v>391</v>
      </c>
      <c r="B583" s="15" t="s">
        <v>6614</v>
      </c>
      <c r="C583" s="16"/>
      <c r="D583" s="15" t="s">
        <v>432</v>
      </c>
      <c r="G583" s="14" t="s">
        <v>393</v>
      </c>
      <c r="H583" s="14" t="s">
        <v>394</v>
      </c>
      <c r="I583" s="14" t="b">
        <v>1</v>
      </c>
      <c r="J583" s="14" t="s">
        <v>395</v>
      </c>
      <c r="L583" s="14" t="b">
        <v>0</v>
      </c>
      <c r="M583" s="15" t="s">
        <v>6649</v>
      </c>
      <c r="N583" s="14" t="s">
        <v>393</v>
      </c>
      <c r="O583" s="14" t="s">
        <v>393</v>
      </c>
      <c r="P583" s="15" t="s">
        <v>397</v>
      </c>
      <c r="Q583" s="15" t="s">
        <v>6646</v>
      </c>
      <c r="R583" s="15" t="s">
        <v>265</v>
      </c>
      <c r="S583" s="15" t="s">
        <v>828</v>
      </c>
      <c r="T583" s="14" t="b">
        <v>0</v>
      </c>
      <c r="U583" s="15" t="s">
        <v>6650</v>
      </c>
      <c r="V583" s="15" t="s">
        <v>6629</v>
      </c>
      <c r="W583" s="15" t="s">
        <v>401</v>
      </c>
      <c r="X583" s="15" t="s">
        <v>742</v>
      </c>
      <c r="Y583" s="15">
        <v>3718.0</v>
      </c>
      <c r="AA583" s="15" t="str">
        <f>"1430"</f>
        <v>1430</v>
      </c>
      <c r="AB583" s="14" t="b">
        <v>1</v>
      </c>
      <c r="AC583" s="14" t="b">
        <v>1</v>
      </c>
      <c r="AD583" s="15" t="str">
        <f>"198394016650"</f>
        <v>198394016650</v>
      </c>
      <c r="AE583" s="15" t="s">
        <v>6651</v>
      </c>
      <c r="AF583" s="14" t="s">
        <v>404</v>
      </c>
      <c r="AG583" s="14" t="s">
        <v>405</v>
      </c>
      <c r="AH583" s="14" t="s">
        <v>406</v>
      </c>
      <c r="AI583" s="15">
        <v>0.0</v>
      </c>
      <c r="AL583" s="15" t="s">
        <v>4874</v>
      </c>
      <c r="AM583" s="15" t="s">
        <v>6631</v>
      </c>
      <c r="AN583" s="15" t="s">
        <v>3003</v>
      </c>
      <c r="AO583" s="15" t="s">
        <v>3147</v>
      </c>
      <c r="AP583" s="15" t="s">
        <v>3148</v>
      </c>
      <c r="AQ583" s="15" t="s">
        <v>5528</v>
      </c>
      <c r="AR583" s="15" t="s">
        <v>5529</v>
      </c>
      <c r="AS583" s="15" t="s">
        <v>2759</v>
      </c>
      <c r="AT583" s="15" t="s">
        <v>6646</v>
      </c>
      <c r="AU583" s="15" t="s">
        <v>4815</v>
      </c>
      <c r="AW583" s="15" t="s">
        <v>839</v>
      </c>
      <c r="AX583" s="15" t="s">
        <v>828</v>
      </c>
      <c r="AY583" s="15" t="s">
        <v>413</v>
      </c>
      <c r="AZ583" s="15" t="b">
        <v>0</v>
      </c>
      <c r="BA583" s="15" t="s">
        <v>413</v>
      </c>
      <c r="BB583" s="15" t="b">
        <v>0</v>
      </c>
      <c r="BC583" s="15" t="s">
        <v>6620</v>
      </c>
      <c r="BD583" s="15" t="s">
        <v>742</v>
      </c>
      <c r="BE583" s="15" t="str">
        <f t="shared" si="1020"/>
        <v>3</v>
      </c>
      <c r="BF583" s="15" t="s">
        <v>841</v>
      </c>
      <c r="BG583" s="15" t="str">
        <f>"87.6"</f>
        <v>87.6</v>
      </c>
      <c r="BH583" s="15" t="s">
        <v>6393</v>
      </c>
      <c r="BI583" s="15" t="str">
        <f>"54.72"</f>
        <v>54.72</v>
      </c>
      <c r="BJ583" s="15" t="s">
        <v>6622</v>
      </c>
      <c r="BK583" s="15" t="str">
        <f>"9.45"</f>
        <v>9.45</v>
      </c>
      <c r="BL583" s="15" t="s">
        <v>3948</v>
      </c>
      <c r="BM583" s="15" t="str">
        <f>"163.14"</f>
        <v>163.14</v>
      </c>
      <c r="BN583" s="15" t="s">
        <v>6632</v>
      </c>
      <c r="BO583" s="15" t="s">
        <v>6623</v>
      </c>
      <c r="BP583" s="15" t="str">
        <f>"87.6"</f>
        <v>87.6</v>
      </c>
      <c r="BQ583" s="15" t="s">
        <v>6393</v>
      </c>
      <c r="BR583" s="15" t="str">
        <f t="shared" si="1021"/>
        <v>17.32</v>
      </c>
      <c r="BS583" s="15" t="s">
        <v>2776</v>
      </c>
      <c r="BT583" s="15" t="str">
        <f t="shared" si="1022"/>
        <v>11.42</v>
      </c>
      <c r="BU583" s="15" t="s">
        <v>853</v>
      </c>
      <c r="BV583" s="15" t="str">
        <f>"100.31"</f>
        <v>100.31</v>
      </c>
      <c r="BW583" s="15" t="s">
        <v>2420</v>
      </c>
      <c r="BX583" s="15" t="s">
        <v>6624</v>
      </c>
      <c r="BY583" s="15" t="str">
        <f t="shared" si="1023"/>
        <v>85.24</v>
      </c>
      <c r="BZ583" s="15" t="s">
        <v>847</v>
      </c>
      <c r="CA583" s="15" t="str">
        <f t="shared" si="1024"/>
        <v>17.52</v>
      </c>
      <c r="CB583" s="15" t="s">
        <v>6625</v>
      </c>
      <c r="CC583" s="15" t="str">
        <f t="shared" si="1025"/>
        <v>12.2</v>
      </c>
      <c r="CD583" s="15" t="s">
        <v>4566</v>
      </c>
      <c r="CE583" s="15" t="str">
        <f>"99.21"</f>
        <v>99.21</v>
      </c>
      <c r="CF583" s="15" t="s">
        <v>1507</v>
      </c>
      <c r="CI583" s="15" t="s">
        <v>444</v>
      </c>
      <c r="CK583" s="15" t="s">
        <v>444</v>
      </c>
      <c r="CM583" s="15" t="s">
        <v>444</v>
      </c>
      <c r="CO583" s="15" t="s">
        <v>444</v>
      </c>
      <c r="CP583" s="15" t="str">
        <f>"46.79"</f>
        <v>46.79</v>
      </c>
      <c r="CQ583" s="15" t="str">
        <f>"1.325"</f>
        <v>1.325</v>
      </c>
      <c r="CR583" s="15" t="s">
        <v>497</v>
      </c>
      <c r="DC583" s="15" t="str">
        <f>IFERROR(__xludf.DUMMYFUNCTION("""COMPUTED_VALUE"""),"")</f>
        <v/>
      </c>
      <c r="DE583" s="15" t="str">
        <f>IFERROR(__xludf.DUMMYFUNCTION("""COMPUTED_VALUE"""),"")</f>
        <v/>
      </c>
      <c r="DG583" s="15" t="str">
        <f>IFERROR(__xludf.DUMMYFUNCTION("""COMPUTED_VALUE"""),"")</f>
        <v/>
      </c>
      <c r="DL583" s="15" t="str">
        <f>IFERROR(__xludf.DUMMYFUNCTION("""COMPUTED_VALUE"""),"")</f>
        <v/>
      </c>
      <c r="DM583" s="15" t="s">
        <v>444</v>
      </c>
      <c r="DN583" s="15" t="s">
        <v>419</v>
      </c>
      <c r="DO583" s="15">
        <v>0.0</v>
      </c>
      <c r="DP583" s="15" t="s">
        <v>419</v>
      </c>
      <c r="DR583" s="15">
        <v>0.0</v>
      </c>
      <c r="DT583" s="15" t="s">
        <v>1186</v>
      </c>
      <c r="DU583" s="15" t="s">
        <v>419</v>
      </c>
      <c r="DW583" s="15">
        <v>0.0</v>
      </c>
      <c r="DX583" s="15">
        <v>0.0</v>
      </c>
      <c r="DY583" s="15">
        <v>0.0</v>
      </c>
      <c r="EG583" s="15" t="s">
        <v>444</v>
      </c>
      <c r="EH583" s="15" t="s">
        <v>6626</v>
      </c>
      <c r="EJ583" s="15" t="s">
        <v>858</v>
      </c>
      <c r="EK583" s="15" t="s">
        <v>859</v>
      </c>
      <c r="EM583" s="15" t="str">
        <f>IFERROR(__xludf.DUMMYFUNCTION("""COMPUTED_VALUE"""),"")</f>
        <v/>
      </c>
      <c r="FM583" s="15">
        <v>0.0</v>
      </c>
      <c r="IM583" s="15" t="s">
        <v>1042</v>
      </c>
      <c r="IO583" s="15" t="s">
        <v>1042</v>
      </c>
      <c r="IP583" s="15" t="s">
        <v>2156</v>
      </c>
      <c r="IQ583" s="15" t="s">
        <v>2505</v>
      </c>
      <c r="IR583" s="15" t="s">
        <v>6633</v>
      </c>
      <c r="IS583" s="15" t="s">
        <v>1232</v>
      </c>
      <c r="IT583" s="15" t="s">
        <v>429</v>
      </c>
      <c r="IU583" s="15" t="s">
        <v>6633</v>
      </c>
      <c r="IV583" s="15" t="s">
        <v>2971</v>
      </c>
      <c r="IW583" s="15" t="s">
        <v>1957</v>
      </c>
      <c r="IX583" s="15" t="s">
        <v>6634</v>
      </c>
      <c r="IY583" s="15" t="s">
        <v>2156</v>
      </c>
      <c r="IZ583" s="15" t="s">
        <v>2971</v>
      </c>
      <c r="JA583" s="15" t="s">
        <v>2505</v>
      </c>
      <c r="JB583" s="15" t="s">
        <v>426</v>
      </c>
      <c r="JC583" s="15" t="s">
        <v>2973</v>
      </c>
      <c r="JD583" s="15" t="s">
        <v>2604</v>
      </c>
      <c r="JE583" s="15" t="s">
        <v>873</v>
      </c>
      <c r="JF583" s="15" t="s">
        <v>828</v>
      </c>
      <c r="JL583" s="15" t="s">
        <v>759</v>
      </c>
      <c r="JM583" s="15" t="s">
        <v>2651</v>
      </c>
      <c r="JO583" s="15" t="s">
        <v>426</v>
      </c>
      <c r="JP583" s="15" t="s">
        <v>2474</v>
      </c>
    </row>
    <row r="584" ht="15.75" customHeight="1">
      <c r="A584" s="14" t="s">
        <v>391</v>
      </c>
      <c r="B584" s="15" t="s">
        <v>6652</v>
      </c>
      <c r="C584" s="16"/>
      <c r="D584" s="15" t="s">
        <v>432</v>
      </c>
      <c r="G584" s="14" t="s">
        <v>393</v>
      </c>
      <c r="H584" s="14" t="s">
        <v>394</v>
      </c>
      <c r="I584" s="14" t="b">
        <v>1</v>
      </c>
      <c r="J584" s="14" t="s">
        <v>395</v>
      </c>
      <c r="L584" s="14" t="b">
        <v>0</v>
      </c>
      <c r="M584" s="15" t="s">
        <v>6653</v>
      </c>
      <c r="N584" s="14" t="s">
        <v>393</v>
      </c>
      <c r="O584" s="14" t="s">
        <v>393</v>
      </c>
      <c r="P584" s="15" t="s">
        <v>397</v>
      </c>
      <c r="Q584" s="15" t="s">
        <v>6616</v>
      </c>
      <c r="T584" s="14" t="b">
        <v>0</v>
      </c>
      <c r="U584" s="15" t="s">
        <v>6654</v>
      </c>
      <c r="V584" s="15" t="s">
        <v>2169</v>
      </c>
      <c r="W584" s="15" t="s">
        <v>401</v>
      </c>
      <c r="X584" s="15" t="s">
        <v>742</v>
      </c>
      <c r="Y584" s="15">
        <v>2184.0</v>
      </c>
      <c r="AA584" s="15" t="str">
        <f>"840"</f>
        <v>840</v>
      </c>
      <c r="AB584" s="14" t="b">
        <v>1</v>
      </c>
      <c r="AC584" s="14" t="b">
        <v>1</v>
      </c>
      <c r="AD584" s="15" t="str">
        <f>"801542188474"</f>
        <v>801542188474</v>
      </c>
      <c r="AE584" s="15" t="s">
        <v>6655</v>
      </c>
      <c r="AF584" s="14" t="s">
        <v>404</v>
      </c>
      <c r="AG584" s="14" t="s">
        <v>405</v>
      </c>
      <c r="AH584" s="14" t="s">
        <v>406</v>
      </c>
      <c r="AI584" s="15">
        <v>0.0</v>
      </c>
      <c r="AL584" s="15" t="s">
        <v>4874</v>
      </c>
      <c r="AM584" s="15" t="s">
        <v>408</v>
      </c>
      <c r="AN584" s="15" t="s">
        <v>437</v>
      </c>
      <c r="AO584" s="15" t="s">
        <v>1561</v>
      </c>
      <c r="AP584" s="15" t="s">
        <v>1562</v>
      </c>
      <c r="AQ584" s="15" t="s">
        <v>546</v>
      </c>
      <c r="AR584" s="15" t="s">
        <v>547</v>
      </c>
      <c r="AS584" s="15" t="s">
        <v>2759</v>
      </c>
      <c r="AT584" s="15" t="s">
        <v>6616</v>
      </c>
      <c r="AU584" s="15" t="s">
        <v>5604</v>
      </c>
      <c r="AW584" s="15" t="s">
        <v>519</v>
      </c>
      <c r="AY584" s="15" t="s">
        <v>413</v>
      </c>
      <c r="AZ584" s="15" t="b">
        <v>0</v>
      </c>
      <c r="BA584" s="15" t="s">
        <v>413</v>
      </c>
      <c r="BB584" s="15" t="b">
        <v>0</v>
      </c>
      <c r="BC584" s="15" t="s">
        <v>6656</v>
      </c>
      <c r="BD584" s="15" t="s">
        <v>742</v>
      </c>
      <c r="BE584" s="15" t="str">
        <f t="shared" ref="BE584:BE590" si="1026">"1"</f>
        <v>1</v>
      </c>
      <c r="BF584" s="15" t="s">
        <v>416</v>
      </c>
      <c r="BG584" s="15" t="str">
        <f>"83.86"</f>
        <v>83.86</v>
      </c>
      <c r="BH584" s="15" t="s">
        <v>5542</v>
      </c>
      <c r="BI584" s="15" t="str">
        <f>"25.98"</f>
        <v>25.98</v>
      </c>
      <c r="BJ584" s="15" t="s">
        <v>522</v>
      </c>
      <c r="BK584" s="15" t="str">
        <f>"40.55"</f>
        <v>40.55</v>
      </c>
      <c r="BL584" s="15" t="s">
        <v>6657</v>
      </c>
      <c r="BM584" s="15" t="str">
        <f>"180.78"</f>
        <v>180.78</v>
      </c>
      <c r="BN584" s="15" t="s">
        <v>6658</v>
      </c>
      <c r="BQ584" s="15" t="s">
        <v>444</v>
      </c>
      <c r="BS584" s="15" t="s">
        <v>444</v>
      </c>
      <c r="BU584" s="15" t="s">
        <v>444</v>
      </c>
      <c r="BW584" s="15" t="s">
        <v>444</v>
      </c>
      <c r="BZ584" s="15" t="s">
        <v>444</v>
      </c>
      <c r="CB584" s="15" t="s">
        <v>444</v>
      </c>
      <c r="CD584" s="15" t="s">
        <v>444</v>
      </c>
      <c r="CF584" s="15" t="s">
        <v>444</v>
      </c>
      <c r="CI584" s="15" t="s">
        <v>444</v>
      </c>
      <c r="CK584" s="15" t="s">
        <v>444</v>
      </c>
      <c r="CM584" s="15" t="s">
        <v>444</v>
      </c>
      <c r="CO584" s="15" t="s">
        <v>444</v>
      </c>
      <c r="CP584" s="15" t="str">
        <f>"51.14"</f>
        <v>51.14</v>
      </c>
      <c r="CQ584" s="15" t="str">
        <f>"1.448"</f>
        <v>1.448</v>
      </c>
      <c r="CR584" s="15" t="s">
        <v>497</v>
      </c>
      <c r="DC584" s="15" t="str">
        <f>IFERROR(__xludf.DUMMYFUNCTION("""COMPUTED_VALUE"""),"")</f>
        <v/>
      </c>
      <c r="DE584" s="15" t="str">
        <f>IFERROR(__xludf.DUMMYFUNCTION("""COMPUTED_VALUE"""),"")</f>
        <v/>
      </c>
      <c r="DG584" s="15" t="str">
        <f>IFERROR(__xludf.DUMMYFUNCTION("""COMPUTED_VALUE"""),"")</f>
        <v/>
      </c>
      <c r="DL584" s="15" t="str">
        <f>IFERROR(__xludf.DUMMYFUNCTION("""COMPUTED_VALUE"""),"")</f>
        <v/>
      </c>
      <c r="DM584" s="15" t="s">
        <v>444</v>
      </c>
      <c r="DN584" s="15" t="s">
        <v>419</v>
      </c>
      <c r="DO584" s="15">
        <v>0.0</v>
      </c>
      <c r="DP584" s="15" t="s">
        <v>419</v>
      </c>
      <c r="DR584" s="15">
        <v>0.0</v>
      </c>
      <c r="DT584" s="15" t="s">
        <v>1186</v>
      </c>
      <c r="DU584" s="15" t="s">
        <v>419</v>
      </c>
      <c r="DY584" s="15">
        <v>0.0</v>
      </c>
      <c r="EF584" s="15" t="s">
        <v>471</v>
      </c>
      <c r="EG584" s="15" t="s">
        <v>472</v>
      </c>
      <c r="EH584" s="15" t="s">
        <v>6626</v>
      </c>
      <c r="EJ584" s="15" t="s">
        <v>424</v>
      </c>
      <c r="EK584" s="15" t="s">
        <v>446</v>
      </c>
      <c r="EM584" s="15" t="str">
        <f>IFERROR(__xludf.DUMMYFUNCTION("""COMPUTED_VALUE"""),"")</f>
        <v/>
      </c>
      <c r="EW584" s="15" t="s">
        <v>5450</v>
      </c>
      <c r="EY584" s="15" t="s">
        <v>6659</v>
      </c>
      <c r="FH584" s="15" t="s">
        <v>3924</v>
      </c>
      <c r="FI584" s="15" t="s">
        <v>558</v>
      </c>
      <c r="FJ584" s="15" t="s">
        <v>4685</v>
      </c>
      <c r="FK584" s="15" t="s">
        <v>1485</v>
      </c>
      <c r="FL584" s="15" t="s">
        <v>426</v>
      </c>
      <c r="FM584" s="15">
        <v>0.0</v>
      </c>
      <c r="FN584" s="15">
        <v>0.0</v>
      </c>
      <c r="GH584" s="15">
        <v>0.0</v>
      </c>
      <c r="GI584" s="15" t="s">
        <v>427</v>
      </c>
    </row>
    <row r="585" ht="15.75" customHeight="1">
      <c r="A585" s="14" t="s">
        <v>391</v>
      </c>
      <c r="B585" s="15" t="s">
        <v>6660</v>
      </c>
      <c r="C585" s="16"/>
      <c r="D585" s="15" t="s">
        <v>432</v>
      </c>
      <c r="G585" s="14" t="s">
        <v>393</v>
      </c>
      <c r="H585" s="14" t="s">
        <v>394</v>
      </c>
      <c r="I585" s="14" t="b">
        <v>1</v>
      </c>
      <c r="J585" s="14" t="s">
        <v>395</v>
      </c>
      <c r="L585" s="14" t="b">
        <v>0</v>
      </c>
      <c r="M585" s="15" t="s">
        <v>6661</v>
      </c>
      <c r="N585" s="14" t="s">
        <v>393</v>
      </c>
      <c r="O585" s="14" t="s">
        <v>393</v>
      </c>
      <c r="P585" s="15" t="s">
        <v>397</v>
      </c>
      <c r="Q585" s="15" t="s">
        <v>5604</v>
      </c>
      <c r="T585" s="14" t="b">
        <v>0</v>
      </c>
      <c r="U585" s="15" t="s">
        <v>6662</v>
      </c>
      <c r="V585" s="15" t="s">
        <v>2918</v>
      </c>
      <c r="W585" s="15" t="s">
        <v>401</v>
      </c>
      <c r="X585" s="15" t="s">
        <v>742</v>
      </c>
      <c r="Y585" s="15">
        <v>1261.0</v>
      </c>
      <c r="AA585" s="15" t="str">
        <f t="shared" ref="AA585:AA586" si="1027">"485"</f>
        <v>485</v>
      </c>
      <c r="AB585" s="14" t="b">
        <v>1</v>
      </c>
      <c r="AC585" s="14" t="b">
        <v>1</v>
      </c>
      <c r="AD585" s="15" t="str">
        <f>"801542188498"</f>
        <v>801542188498</v>
      </c>
      <c r="AE585" s="15" t="s">
        <v>6663</v>
      </c>
      <c r="AF585" s="14" t="s">
        <v>404</v>
      </c>
      <c r="AG585" s="14" t="s">
        <v>405</v>
      </c>
      <c r="AH585" s="14" t="s">
        <v>406</v>
      </c>
      <c r="AI585" s="15">
        <v>0.0</v>
      </c>
      <c r="AL585" s="15" t="s">
        <v>1025</v>
      </c>
      <c r="AM585" s="15" t="s">
        <v>645</v>
      </c>
      <c r="AN585" s="15" t="s">
        <v>646</v>
      </c>
      <c r="AO585" s="15" t="s">
        <v>4800</v>
      </c>
      <c r="AP585" s="15" t="s">
        <v>4801</v>
      </c>
      <c r="AQ585" s="15" t="s">
        <v>1561</v>
      </c>
      <c r="AR585" s="15" t="s">
        <v>1562</v>
      </c>
      <c r="AS585" s="15" t="s">
        <v>2759</v>
      </c>
      <c r="AT585" s="15" t="s">
        <v>5604</v>
      </c>
      <c r="AW585" s="15" t="s">
        <v>628</v>
      </c>
      <c r="AY585" s="15" t="s">
        <v>413</v>
      </c>
      <c r="AZ585" s="15" t="b">
        <v>0</v>
      </c>
      <c r="BA585" s="15" t="s">
        <v>413</v>
      </c>
      <c r="BB585" s="15" t="b">
        <v>0</v>
      </c>
      <c r="BC585" s="15" t="s">
        <v>6664</v>
      </c>
      <c r="BD585" s="15" t="s">
        <v>742</v>
      </c>
      <c r="BE585" s="15" t="str">
        <f t="shared" si="1026"/>
        <v>1</v>
      </c>
      <c r="BF585" s="15" t="s">
        <v>1439</v>
      </c>
      <c r="BG585" s="15" t="str">
        <f t="shared" ref="BG585:BG586" si="1028">"39.57"</f>
        <v>39.57</v>
      </c>
      <c r="BH585" s="15" t="s">
        <v>6665</v>
      </c>
      <c r="BI585" s="15" t="str">
        <f t="shared" ref="BI585:BI586" si="1029">"22.83"</f>
        <v>22.83</v>
      </c>
      <c r="BJ585" s="15" t="s">
        <v>1543</v>
      </c>
      <c r="BK585" s="15" t="str">
        <f t="shared" ref="BK585:BK586" si="1030">"28.94"</f>
        <v>28.94</v>
      </c>
      <c r="BL585" s="15" t="s">
        <v>632</v>
      </c>
      <c r="BM585" s="15" t="str">
        <f t="shared" ref="BM585:BM586" si="1031">"110.23"</f>
        <v>110.23</v>
      </c>
      <c r="BN585" s="15" t="s">
        <v>1131</v>
      </c>
      <c r="BQ585" s="15" t="s">
        <v>444</v>
      </c>
      <c r="BS585" s="15" t="s">
        <v>444</v>
      </c>
      <c r="BU585" s="15" t="s">
        <v>444</v>
      </c>
      <c r="BW585" s="15" t="s">
        <v>444</v>
      </c>
      <c r="BZ585" s="15" t="s">
        <v>444</v>
      </c>
      <c r="CB585" s="15" t="s">
        <v>444</v>
      </c>
      <c r="CD585" s="15" t="s">
        <v>444</v>
      </c>
      <c r="CF585" s="15" t="s">
        <v>444</v>
      </c>
      <c r="CI585" s="15" t="s">
        <v>444</v>
      </c>
      <c r="CK585" s="15" t="s">
        <v>444</v>
      </c>
      <c r="CM585" s="15" t="s">
        <v>444</v>
      </c>
      <c r="CO585" s="15" t="s">
        <v>444</v>
      </c>
      <c r="CP585" s="15" t="str">
        <f t="shared" ref="CP585:CP586" si="1032">"15.11"</f>
        <v>15.11</v>
      </c>
      <c r="CQ585" s="15" t="str">
        <f t="shared" ref="CQ585:CQ586" si="1033">"0.428"</f>
        <v>0.428</v>
      </c>
      <c r="CR585" s="15" t="s">
        <v>497</v>
      </c>
      <c r="DC585" s="15" t="str">
        <f>IFERROR(__xludf.DUMMYFUNCTION("""COMPUTED_VALUE"""),"")</f>
        <v/>
      </c>
      <c r="DE585" s="15" t="str">
        <f>IFERROR(__xludf.DUMMYFUNCTION("""COMPUTED_VALUE"""),"")</f>
        <v/>
      </c>
      <c r="DG585" s="15" t="str">
        <f>IFERROR(__xludf.DUMMYFUNCTION("""COMPUTED_VALUE"""),"")</f>
        <v/>
      </c>
      <c r="DL585" s="15" t="str">
        <f>IFERROR(__xludf.DUMMYFUNCTION("""COMPUTED_VALUE"""),"")</f>
        <v/>
      </c>
      <c r="DM585" s="15" t="s">
        <v>444</v>
      </c>
      <c r="DN585" s="15" t="s">
        <v>418</v>
      </c>
      <c r="DO585" s="15">
        <v>3.0</v>
      </c>
      <c r="DP585" s="15" t="s">
        <v>419</v>
      </c>
      <c r="DR585" s="15">
        <v>0.0</v>
      </c>
      <c r="DT585" s="15" t="s">
        <v>1186</v>
      </c>
      <c r="DU585" s="15" t="s">
        <v>421</v>
      </c>
      <c r="DY585" s="15">
        <v>0.0</v>
      </c>
      <c r="EF585" s="15" t="s">
        <v>471</v>
      </c>
      <c r="EG585" s="15" t="s">
        <v>472</v>
      </c>
      <c r="EH585" s="15" t="s">
        <v>6626</v>
      </c>
      <c r="EJ585" s="15" t="s">
        <v>500</v>
      </c>
      <c r="EK585" s="15" t="s">
        <v>501</v>
      </c>
      <c r="EM585" s="15" t="str">
        <f>IFERROR(__xludf.DUMMYFUNCTION("""COMPUTED_VALUE"""),"")</f>
        <v/>
      </c>
      <c r="EW585" s="15" t="s">
        <v>1042</v>
      </c>
      <c r="FL585" s="15" t="s">
        <v>426</v>
      </c>
      <c r="FM585" s="15">
        <v>0.0</v>
      </c>
      <c r="GH585" s="15">
        <v>0.0</v>
      </c>
      <c r="GI585" s="15" t="s">
        <v>427</v>
      </c>
      <c r="GO585" s="15" t="s">
        <v>426</v>
      </c>
      <c r="GQ585" s="15" t="s">
        <v>1430</v>
      </c>
      <c r="GS585" s="15" t="s">
        <v>6666</v>
      </c>
      <c r="GU585" s="15" t="s">
        <v>2082</v>
      </c>
      <c r="GW585" s="15" t="s">
        <v>838</v>
      </c>
      <c r="GY585" s="15" t="s">
        <v>764</v>
      </c>
    </row>
    <row r="586" ht="15.75" customHeight="1">
      <c r="A586" s="14" t="s">
        <v>391</v>
      </c>
      <c r="B586" s="15" t="s">
        <v>6660</v>
      </c>
      <c r="C586" s="16"/>
      <c r="D586" s="15" t="s">
        <v>432</v>
      </c>
      <c r="G586" s="14" t="s">
        <v>393</v>
      </c>
      <c r="H586" s="14" t="s">
        <v>394</v>
      </c>
      <c r="I586" s="14" t="b">
        <v>1</v>
      </c>
      <c r="J586" s="14" t="s">
        <v>395</v>
      </c>
      <c r="L586" s="14" t="b">
        <v>0</v>
      </c>
      <c r="M586" s="15" t="s">
        <v>6667</v>
      </c>
      <c r="N586" s="14" t="s">
        <v>393</v>
      </c>
      <c r="O586" s="14" t="s">
        <v>393</v>
      </c>
      <c r="P586" s="15" t="s">
        <v>397</v>
      </c>
      <c r="Q586" s="15" t="s">
        <v>4815</v>
      </c>
      <c r="T586" s="14" t="b">
        <v>0</v>
      </c>
      <c r="U586" s="15" t="s">
        <v>6668</v>
      </c>
      <c r="V586" s="15" t="s">
        <v>2918</v>
      </c>
      <c r="W586" s="15" t="s">
        <v>401</v>
      </c>
      <c r="X586" s="15" t="s">
        <v>742</v>
      </c>
      <c r="Y586" s="15">
        <v>1261.0</v>
      </c>
      <c r="AA586" s="15" t="str">
        <f t="shared" si="1027"/>
        <v>485</v>
      </c>
      <c r="AB586" s="14" t="b">
        <v>1</v>
      </c>
      <c r="AC586" s="14" t="b">
        <v>1</v>
      </c>
      <c r="AD586" s="15" t="str">
        <f>"198394017572"</f>
        <v>198394017572</v>
      </c>
      <c r="AE586" s="15" t="s">
        <v>6669</v>
      </c>
      <c r="AF586" s="14" t="s">
        <v>404</v>
      </c>
      <c r="AG586" s="14" t="s">
        <v>405</v>
      </c>
      <c r="AH586" s="14" t="s">
        <v>406</v>
      </c>
      <c r="AI586" s="15">
        <v>0.0</v>
      </c>
      <c r="AL586" s="15" t="s">
        <v>1025</v>
      </c>
      <c r="AM586" s="15" t="s">
        <v>645</v>
      </c>
      <c r="AN586" s="15" t="s">
        <v>646</v>
      </c>
      <c r="AO586" s="15" t="s">
        <v>4800</v>
      </c>
      <c r="AP586" s="15" t="s">
        <v>4801</v>
      </c>
      <c r="AQ586" s="15" t="s">
        <v>1561</v>
      </c>
      <c r="AR586" s="15" t="s">
        <v>1562</v>
      </c>
      <c r="AS586" s="15" t="s">
        <v>2759</v>
      </c>
      <c r="AT586" s="15" t="s">
        <v>4815</v>
      </c>
      <c r="AW586" s="15" t="s">
        <v>628</v>
      </c>
      <c r="AY586" s="15" t="s">
        <v>413</v>
      </c>
      <c r="AZ586" s="15" t="b">
        <v>0</v>
      </c>
      <c r="BA586" s="15" t="s">
        <v>413</v>
      </c>
      <c r="BB586" s="15" t="b">
        <v>0</v>
      </c>
      <c r="BC586" s="15" t="s">
        <v>6664</v>
      </c>
      <c r="BD586" s="15" t="s">
        <v>742</v>
      </c>
      <c r="BE586" s="15" t="str">
        <f t="shared" si="1026"/>
        <v>1</v>
      </c>
      <c r="BF586" s="15" t="s">
        <v>1439</v>
      </c>
      <c r="BG586" s="15" t="str">
        <f t="shared" si="1028"/>
        <v>39.57</v>
      </c>
      <c r="BH586" s="15" t="s">
        <v>6665</v>
      </c>
      <c r="BI586" s="15" t="str">
        <f t="shared" si="1029"/>
        <v>22.83</v>
      </c>
      <c r="BJ586" s="15" t="s">
        <v>1543</v>
      </c>
      <c r="BK586" s="15" t="str">
        <f t="shared" si="1030"/>
        <v>28.94</v>
      </c>
      <c r="BL586" s="15" t="s">
        <v>632</v>
      </c>
      <c r="BM586" s="15" t="str">
        <f t="shared" si="1031"/>
        <v>110.23</v>
      </c>
      <c r="BN586" s="15" t="s">
        <v>1131</v>
      </c>
      <c r="BQ586" s="15" t="s">
        <v>444</v>
      </c>
      <c r="BS586" s="15" t="s">
        <v>444</v>
      </c>
      <c r="BU586" s="15" t="s">
        <v>444</v>
      </c>
      <c r="BW586" s="15" t="s">
        <v>444</v>
      </c>
      <c r="BZ586" s="15" t="s">
        <v>444</v>
      </c>
      <c r="CB586" s="15" t="s">
        <v>444</v>
      </c>
      <c r="CD586" s="15" t="s">
        <v>444</v>
      </c>
      <c r="CF586" s="15" t="s">
        <v>444</v>
      </c>
      <c r="CI586" s="15" t="s">
        <v>444</v>
      </c>
      <c r="CK586" s="15" t="s">
        <v>444</v>
      </c>
      <c r="CM586" s="15" t="s">
        <v>444</v>
      </c>
      <c r="CO586" s="15" t="s">
        <v>444</v>
      </c>
      <c r="CP586" s="15" t="str">
        <f t="shared" si="1032"/>
        <v>15.11</v>
      </c>
      <c r="CQ586" s="15" t="str">
        <f t="shared" si="1033"/>
        <v>0.428</v>
      </c>
      <c r="CR586" s="15" t="s">
        <v>497</v>
      </c>
      <c r="DC586" s="15" t="str">
        <f>IFERROR(__xludf.DUMMYFUNCTION("""COMPUTED_VALUE"""),"")</f>
        <v/>
      </c>
      <c r="DE586" s="15" t="str">
        <f>IFERROR(__xludf.DUMMYFUNCTION("""COMPUTED_VALUE"""),"")</f>
        <v/>
      </c>
      <c r="DG586" s="15" t="str">
        <f>IFERROR(__xludf.DUMMYFUNCTION("""COMPUTED_VALUE"""),"")</f>
        <v/>
      </c>
      <c r="DL586" s="15" t="str">
        <f>IFERROR(__xludf.DUMMYFUNCTION("""COMPUTED_VALUE"""),"")</f>
        <v/>
      </c>
      <c r="DM586" s="15" t="s">
        <v>444</v>
      </c>
      <c r="DN586" s="15" t="s">
        <v>418</v>
      </c>
      <c r="DO586" s="15">
        <v>3.0</v>
      </c>
      <c r="DP586" s="15" t="s">
        <v>419</v>
      </c>
      <c r="DR586" s="15">
        <v>0.0</v>
      </c>
      <c r="DT586" s="15" t="s">
        <v>1186</v>
      </c>
      <c r="DU586" s="15" t="s">
        <v>421</v>
      </c>
      <c r="DY586" s="15">
        <v>0.0</v>
      </c>
      <c r="EF586" s="15" t="s">
        <v>471</v>
      </c>
      <c r="EG586" s="15" t="s">
        <v>472</v>
      </c>
      <c r="EH586" s="15" t="s">
        <v>6626</v>
      </c>
      <c r="EJ586" s="15" t="s">
        <v>500</v>
      </c>
      <c r="EK586" s="15" t="s">
        <v>501</v>
      </c>
      <c r="EM586" s="15" t="str">
        <f>IFERROR(__xludf.DUMMYFUNCTION("""COMPUTED_VALUE"""),"")</f>
        <v/>
      </c>
      <c r="EW586" s="15" t="s">
        <v>1042</v>
      </c>
      <c r="FL586" s="15" t="s">
        <v>426</v>
      </c>
      <c r="FM586" s="15">
        <v>0.0</v>
      </c>
      <c r="GH586" s="15">
        <v>0.0</v>
      </c>
      <c r="GI586" s="15" t="s">
        <v>427</v>
      </c>
      <c r="GO586" s="15" t="s">
        <v>426</v>
      </c>
      <c r="GQ586" s="15" t="s">
        <v>1430</v>
      </c>
      <c r="GS586" s="15" t="s">
        <v>6666</v>
      </c>
      <c r="GU586" s="15" t="s">
        <v>2082</v>
      </c>
      <c r="GW586" s="15" t="s">
        <v>838</v>
      </c>
      <c r="GY586" s="15" t="s">
        <v>764</v>
      </c>
    </row>
    <row r="587" ht="15.75" customHeight="1">
      <c r="A587" s="14" t="s">
        <v>391</v>
      </c>
      <c r="B587" s="15" t="s">
        <v>6670</v>
      </c>
      <c r="C587" s="16"/>
      <c r="D587" s="15" t="s">
        <v>432</v>
      </c>
      <c r="G587" s="14" t="s">
        <v>393</v>
      </c>
      <c r="H587" s="14" t="s">
        <v>394</v>
      </c>
      <c r="I587" s="14" t="b">
        <v>1</v>
      </c>
      <c r="J587" s="14" t="s">
        <v>395</v>
      </c>
      <c r="L587" s="14" t="b">
        <v>0</v>
      </c>
      <c r="M587" s="15" t="s">
        <v>6671</v>
      </c>
      <c r="N587" s="14" t="s">
        <v>393</v>
      </c>
      <c r="O587" s="14" t="s">
        <v>393</v>
      </c>
      <c r="P587" s="15" t="s">
        <v>397</v>
      </c>
      <c r="Q587" s="15" t="s">
        <v>6616</v>
      </c>
      <c r="T587" s="14" t="b">
        <v>0</v>
      </c>
      <c r="U587" s="15" t="s">
        <v>6672</v>
      </c>
      <c r="V587" s="15" t="s">
        <v>6673</v>
      </c>
      <c r="W587" s="15" t="s">
        <v>401</v>
      </c>
      <c r="X587" s="15" t="s">
        <v>742</v>
      </c>
      <c r="Y587" s="15">
        <v>2951.0</v>
      </c>
      <c r="AA587" s="15" t="str">
        <f t="shared" ref="AA587:AA588" si="1034">"1135"</f>
        <v>1135</v>
      </c>
      <c r="AB587" s="14" t="b">
        <v>1</v>
      </c>
      <c r="AC587" s="14" t="b">
        <v>1</v>
      </c>
      <c r="AD587" s="15" t="str">
        <f>"801542192112"</f>
        <v>801542192112</v>
      </c>
      <c r="AE587" s="15" t="s">
        <v>6674</v>
      </c>
      <c r="AF587" s="14" t="s">
        <v>404</v>
      </c>
      <c r="AG587" s="14" t="s">
        <v>405</v>
      </c>
      <c r="AH587" s="14" t="s">
        <v>406</v>
      </c>
      <c r="AI587" s="15">
        <v>0.0</v>
      </c>
      <c r="AL587" s="15" t="s">
        <v>2872</v>
      </c>
      <c r="AM587" s="15" t="s">
        <v>1026</v>
      </c>
      <c r="AN587" s="15" t="s">
        <v>1027</v>
      </c>
      <c r="AO587" s="15" t="s">
        <v>1246</v>
      </c>
      <c r="AP587" s="15" t="s">
        <v>1247</v>
      </c>
      <c r="AQ587" s="15" t="s">
        <v>546</v>
      </c>
      <c r="AR587" s="15" t="s">
        <v>547</v>
      </c>
      <c r="AS587" s="15" t="s">
        <v>2759</v>
      </c>
      <c r="AT587" s="15" t="s">
        <v>6616</v>
      </c>
      <c r="AW587" s="15" t="s">
        <v>664</v>
      </c>
      <c r="AY587" s="15" t="s">
        <v>413</v>
      </c>
      <c r="AZ587" s="15" t="b">
        <v>0</v>
      </c>
      <c r="BA587" s="15" t="s">
        <v>413</v>
      </c>
      <c r="BB587" s="15" t="b">
        <v>0</v>
      </c>
      <c r="BC587" s="15" t="s">
        <v>6675</v>
      </c>
      <c r="BD587" s="15" t="s">
        <v>742</v>
      </c>
      <c r="BE587" s="15" t="str">
        <f t="shared" si="1026"/>
        <v>1</v>
      </c>
      <c r="BF587" s="15" t="s">
        <v>416</v>
      </c>
      <c r="BG587" s="15" t="str">
        <f t="shared" ref="BG587:BG588" si="1035">"86.22"</f>
        <v>86.22</v>
      </c>
      <c r="BH587" s="15" t="s">
        <v>5861</v>
      </c>
      <c r="BI587" s="15" t="str">
        <f t="shared" ref="BI587:BI588" si="1036">"25.79"</f>
        <v>25.79</v>
      </c>
      <c r="BJ587" s="15" t="s">
        <v>631</v>
      </c>
      <c r="BK587" s="15" t="str">
        <f t="shared" ref="BK587:BK588" si="1037">"39.76"</f>
        <v>39.76</v>
      </c>
      <c r="BL587" s="15" t="s">
        <v>5501</v>
      </c>
      <c r="BM587" s="15" t="str">
        <f t="shared" ref="BM587:BM588" si="1038">"242.51"</f>
        <v>242.51</v>
      </c>
      <c r="BN587" s="15" t="s">
        <v>6676</v>
      </c>
      <c r="BQ587" s="15" t="s">
        <v>444</v>
      </c>
      <c r="BS587" s="15" t="s">
        <v>444</v>
      </c>
      <c r="BU587" s="15" t="s">
        <v>444</v>
      </c>
      <c r="BW587" s="15" t="s">
        <v>444</v>
      </c>
      <c r="BZ587" s="15" t="s">
        <v>444</v>
      </c>
      <c r="CB587" s="15" t="s">
        <v>444</v>
      </c>
      <c r="CD587" s="15" t="s">
        <v>444</v>
      </c>
      <c r="CF587" s="15" t="s">
        <v>444</v>
      </c>
      <c r="CI587" s="15" t="s">
        <v>444</v>
      </c>
      <c r="CK587" s="15" t="s">
        <v>444</v>
      </c>
      <c r="CM587" s="15" t="s">
        <v>444</v>
      </c>
      <c r="CO587" s="15" t="s">
        <v>444</v>
      </c>
      <c r="CP587" s="15" t="str">
        <f t="shared" ref="CP587:CP588" si="1039">"51.17"</f>
        <v>51.17</v>
      </c>
      <c r="CQ587" s="15" t="str">
        <f t="shared" ref="CQ587:CQ588" si="1040">"1.449"</f>
        <v>1.449</v>
      </c>
      <c r="CR587" s="15" t="s">
        <v>497</v>
      </c>
      <c r="CV587" s="15" t="s">
        <v>3129</v>
      </c>
      <c r="CW587" s="15" t="s">
        <v>4987</v>
      </c>
      <c r="CX587" s="15" t="s">
        <v>6677</v>
      </c>
      <c r="DC587" s="15" t="str">
        <f>IFERROR(__xludf.DUMMYFUNCTION("""COMPUTED_VALUE"""),"")</f>
        <v/>
      </c>
      <c r="DE587" s="15" t="str">
        <f>IFERROR(__xludf.DUMMYFUNCTION("""COMPUTED_VALUE"""),"")</f>
        <v/>
      </c>
      <c r="DG587" s="15" t="str">
        <f>IFERROR(__xludf.DUMMYFUNCTION("""COMPUTED_VALUE"""),"")</f>
        <v/>
      </c>
      <c r="DL587" s="15" t="str">
        <f>IFERROR(__xludf.DUMMYFUNCTION("""COMPUTED_VALUE"""),"")</f>
        <v/>
      </c>
      <c r="DM587" s="15" t="s">
        <v>444</v>
      </c>
      <c r="DN587" s="15" t="s">
        <v>419</v>
      </c>
      <c r="DO587" s="15">
        <v>0.0</v>
      </c>
      <c r="DP587" s="15" t="s">
        <v>419</v>
      </c>
      <c r="DR587" s="15">
        <v>0.0</v>
      </c>
      <c r="DT587" s="15" t="s">
        <v>1186</v>
      </c>
      <c r="DU587" s="15" t="s">
        <v>610</v>
      </c>
      <c r="DW587" s="15">
        <v>18.14</v>
      </c>
      <c r="DX587" s="15">
        <v>40.0</v>
      </c>
      <c r="DY587" s="15">
        <v>2.0</v>
      </c>
      <c r="EG587" s="15" t="s">
        <v>444</v>
      </c>
      <c r="EH587" s="15" t="s">
        <v>6626</v>
      </c>
      <c r="EJ587" s="15" t="s">
        <v>424</v>
      </c>
      <c r="EK587" s="15" t="s">
        <v>446</v>
      </c>
      <c r="EM587" s="15" t="str">
        <f>IFERROR(__xludf.DUMMYFUNCTION("""COMPUTED_VALUE"""),"")</f>
        <v/>
      </c>
      <c r="EW587" s="15" t="s">
        <v>1042</v>
      </c>
      <c r="FL587" s="15" t="s">
        <v>426</v>
      </c>
      <c r="FM587" s="15">
        <v>2.0</v>
      </c>
      <c r="FY587" s="15" t="s">
        <v>1411</v>
      </c>
      <c r="FZ587" s="15" t="s">
        <v>6678</v>
      </c>
      <c r="GA587" s="15" t="s">
        <v>3165</v>
      </c>
      <c r="GB587" s="15" t="s">
        <v>3129</v>
      </c>
      <c r="GC587" s="15" t="s">
        <v>612</v>
      </c>
      <c r="GD587" s="15" t="s">
        <v>6677</v>
      </c>
      <c r="GE587" s="15">
        <v>0.0</v>
      </c>
      <c r="GF587" s="15" t="s">
        <v>426</v>
      </c>
      <c r="GG587" s="15" t="s">
        <v>1044</v>
      </c>
      <c r="GH587" s="15">
        <v>4.0</v>
      </c>
      <c r="GI587" s="15" t="s">
        <v>614</v>
      </c>
      <c r="GJ587" s="15" t="s">
        <v>615</v>
      </c>
      <c r="GK587" s="15">
        <v>0.0</v>
      </c>
      <c r="GL587" s="15" t="s">
        <v>426</v>
      </c>
      <c r="GN587" s="15" t="s">
        <v>616</v>
      </c>
      <c r="HW587" s="15" t="s">
        <v>1957</v>
      </c>
      <c r="IH587" s="15" t="s">
        <v>426</v>
      </c>
    </row>
    <row r="588" ht="15.75" customHeight="1">
      <c r="A588" s="14" t="s">
        <v>391</v>
      </c>
      <c r="B588" s="15" t="s">
        <v>6670</v>
      </c>
      <c r="C588" s="16"/>
      <c r="D588" s="15" t="s">
        <v>432</v>
      </c>
      <c r="G588" s="14" t="s">
        <v>393</v>
      </c>
      <c r="H588" s="14" t="s">
        <v>394</v>
      </c>
      <c r="I588" s="14" t="b">
        <v>1</v>
      </c>
      <c r="J588" s="14" t="s">
        <v>395</v>
      </c>
      <c r="L588" s="14" t="b">
        <v>0</v>
      </c>
      <c r="M588" s="15" t="s">
        <v>6679</v>
      </c>
      <c r="N588" s="14" t="s">
        <v>393</v>
      </c>
      <c r="O588" s="14" t="s">
        <v>393</v>
      </c>
      <c r="P588" s="15" t="s">
        <v>397</v>
      </c>
      <c r="Q588" s="15" t="s">
        <v>6646</v>
      </c>
      <c r="T588" s="14" t="b">
        <v>0</v>
      </c>
      <c r="U588" s="15" t="s">
        <v>6680</v>
      </c>
      <c r="V588" s="15" t="s">
        <v>6673</v>
      </c>
      <c r="W588" s="15" t="s">
        <v>401</v>
      </c>
      <c r="X588" s="15" t="s">
        <v>742</v>
      </c>
      <c r="Y588" s="15">
        <v>2951.0</v>
      </c>
      <c r="AA588" s="15" t="str">
        <f t="shared" si="1034"/>
        <v>1135</v>
      </c>
      <c r="AB588" s="14" t="b">
        <v>1</v>
      </c>
      <c r="AC588" s="14" t="b">
        <v>1</v>
      </c>
      <c r="AD588" s="15" t="str">
        <f>"198394016049"</f>
        <v>198394016049</v>
      </c>
      <c r="AE588" s="15" t="s">
        <v>6681</v>
      </c>
      <c r="AF588" s="14" t="s">
        <v>404</v>
      </c>
      <c r="AG588" s="14" t="s">
        <v>405</v>
      </c>
      <c r="AH588" s="14" t="s">
        <v>406</v>
      </c>
      <c r="AI588" s="15">
        <v>0.0</v>
      </c>
      <c r="AL588" s="15" t="s">
        <v>2872</v>
      </c>
      <c r="AM588" s="15" t="s">
        <v>1026</v>
      </c>
      <c r="AN588" s="15" t="s">
        <v>1027</v>
      </c>
      <c r="AO588" s="15" t="s">
        <v>1246</v>
      </c>
      <c r="AP588" s="15" t="s">
        <v>1247</v>
      </c>
      <c r="AQ588" s="15" t="s">
        <v>546</v>
      </c>
      <c r="AR588" s="15" t="s">
        <v>547</v>
      </c>
      <c r="AS588" s="15" t="s">
        <v>2759</v>
      </c>
      <c r="AT588" s="15" t="s">
        <v>6646</v>
      </c>
      <c r="AW588" s="15" t="s">
        <v>664</v>
      </c>
      <c r="AY588" s="15" t="s">
        <v>413</v>
      </c>
      <c r="AZ588" s="15" t="b">
        <v>0</v>
      </c>
      <c r="BA588" s="15" t="s">
        <v>413</v>
      </c>
      <c r="BB588" s="15" t="b">
        <v>0</v>
      </c>
      <c r="BC588" s="15" t="s">
        <v>6675</v>
      </c>
      <c r="BD588" s="15" t="s">
        <v>742</v>
      </c>
      <c r="BE588" s="15" t="str">
        <f t="shared" si="1026"/>
        <v>1</v>
      </c>
      <c r="BF588" s="15" t="s">
        <v>416</v>
      </c>
      <c r="BG588" s="15" t="str">
        <f t="shared" si="1035"/>
        <v>86.22</v>
      </c>
      <c r="BH588" s="15" t="s">
        <v>5861</v>
      </c>
      <c r="BI588" s="15" t="str">
        <f t="shared" si="1036"/>
        <v>25.79</v>
      </c>
      <c r="BJ588" s="15" t="s">
        <v>631</v>
      </c>
      <c r="BK588" s="15" t="str">
        <f t="shared" si="1037"/>
        <v>39.76</v>
      </c>
      <c r="BL588" s="15" t="s">
        <v>5501</v>
      </c>
      <c r="BM588" s="15" t="str">
        <f t="shared" si="1038"/>
        <v>242.51</v>
      </c>
      <c r="BN588" s="15" t="s">
        <v>6676</v>
      </c>
      <c r="BQ588" s="15" t="s">
        <v>444</v>
      </c>
      <c r="BS588" s="15" t="s">
        <v>444</v>
      </c>
      <c r="BU588" s="15" t="s">
        <v>444</v>
      </c>
      <c r="BW588" s="15" t="s">
        <v>444</v>
      </c>
      <c r="BZ588" s="15" t="s">
        <v>444</v>
      </c>
      <c r="CB588" s="15" t="s">
        <v>444</v>
      </c>
      <c r="CD588" s="15" t="s">
        <v>444</v>
      </c>
      <c r="CF588" s="15" t="s">
        <v>444</v>
      </c>
      <c r="CI588" s="15" t="s">
        <v>444</v>
      </c>
      <c r="CK588" s="15" t="s">
        <v>444</v>
      </c>
      <c r="CM588" s="15" t="s">
        <v>444</v>
      </c>
      <c r="CO588" s="15" t="s">
        <v>444</v>
      </c>
      <c r="CP588" s="15" t="str">
        <f t="shared" si="1039"/>
        <v>51.17</v>
      </c>
      <c r="CQ588" s="15" t="str">
        <f t="shared" si="1040"/>
        <v>1.449</v>
      </c>
      <c r="CR588" s="15" t="s">
        <v>465</v>
      </c>
      <c r="CV588" s="15" t="s">
        <v>3129</v>
      </c>
      <c r="CW588" s="15" t="s">
        <v>4987</v>
      </c>
      <c r="CX588" s="15" t="s">
        <v>6677</v>
      </c>
      <c r="DC588" s="15" t="str">
        <f>IFERROR(__xludf.DUMMYFUNCTION("""COMPUTED_VALUE"""),"")</f>
        <v/>
      </c>
      <c r="DE588" s="15" t="str">
        <f>IFERROR(__xludf.DUMMYFUNCTION("""COMPUTED_VALUE"""),"")</f>
        <v/>
      </c>
      <c r="DG588" s="15" t="str">
        <f>IFERROR(__xludf.DUMMYFUNCTION("""COMPUTED_VALUE"""),"")</f>
        <v/>
      </c>
      <c r="DL588" s="15" t="str">
        <f>IFERROR(__xludf.DUMMYFUNCTION("""COMPUTED_VALUE"""),"")</f>
        <v/>
      </c>
      <c r="DM588" s="15" t="s">
        <v>444</v>
      </c>
      <c r="DN588" s="15" t="s">
        <v>419</v>
      </c>
      <c r="DO588" s="15">
        <v>0.0</v>
      </c>
      <c r="DP588" s="15" t="s">
        <v>419</v>
      </c>
      <c r="DR588" s="15">
        <v>0.0</v>
      </c>
      <c r="DT588" s="15" t="s">
        <v>1186</v>
      </c>
      <c r="DU588" s="15" t="s">
        <v>610</v>
      </c>
      <c r="DW588" s="15">
        <v>18.14</v>
      </c>
      <c r="DX588" s="15">
        <v>40.0</v>
      </c>
      <c r="DY588" s="15">
        <v>2.0</v>
      </c>
      <c r="EG588" s="15" t="s">
        <v>444</v>
      </c>
      <c r="EH588" s="15" t="s">
        <v>6626</v>
      </c>
      <c r="EJ588" s="15" t="s">
        <v>424</v>
      </c>
      <c r="EK588" s="15" t="s">
        <v>446</v>
      </c>
      <c r="EM588" s="15" t="str">
        <f>IFERROR(__xludf.DUMMYFUNCTION("""COMPUTED_VALUE"""),"")</f>
        <v/>
      </c>
      <c r="EW588" s="15" t="s">
        <v>1042</v>
      </c>
      <c r="FL588" s="15" t="s">
        <v>426</v>
      </c>
      <c r="FM588" s="15">
        <v>2.0</v>
      </c>
      <c r="FY588" s="15" t="s">
        <v>1411</v>
      </c>
      <c r="FZ588" s="15" t="s">
        <v>6678</v>
      </c>
      <c r="GA588" s="15" t="s">
        <v>3165</v>
      </c>
      <c r="GB588" s="15" t="s">
        <v>3129</v>
      </c>
      <c r="GC588" s="15" t="s">
        <v>612</v>
      </c>
      <c r="GD588" s="15" t="s">
        <v>6677</v>
      </c>
      <c r="GE588" s="15">
        <v>0.0</v>
      </c>
      <c r="GF588" s="15" t="s">
        <v>426</v>
      </c>
      <c r="GG588" s="15" t="s">
        <v>1044</v>
      </c>
      <c r="GH588" s="15">
        <v>4.0</v>
      </c>
      <c r="GI588" s="15" t="s">
        <v>614</v>
      </c>
      <c r="GJ588" s="15" t="s">
        <v>615</v>
      </c>
      <c r="GK588" s="15">
        <v>0.0</v>
      </c>
      <c r="GL588" s="15" t="s">
        <v>426</v>
      </c>
      <c r="GN588" s="15" t="s">
        <v>616</v>
      </c>
      <c r="HW588" s="15" t="s">
        <v>1957</v>
      </c>
      <c r="IH588" s="15" t="s">
        <v>426</v>
      </c>
    </row>
    <row r="589" ht="15.75" customHeight="1">
      <c r="A589" s="14" t="s">
        <v>391</v>
      </c>
      <c r="B589" s="15" t="s">
        <v>6682</v>
      </c>
      <c r="C589" s="16"/>
      <c r="D589" s="15" t="s">
        <v>432</v>
      </c>
      <c r="G589" s="14" t="s">
        <v>393</v>
      </c>
      <c r="H589" s="14" t="s">
        <v>394</v>
      </c>
      <c r="I589" s="14" t="b">
        <v>1</v>
      </c>
      <c r="J589" s="14" t="s">
        <v>395</v>
      </c>
      <c r="L589" s="14" t="b">
        <v>0</v>
      </c>
      <c r="M589" s="15" t="s">
        <v>6683</v>
      </c>
      <c r="N589" s="14" t="s">
        <v>393</v>
      </c>
      <c r="O589" s="14" t="s">
        <v>393</v>
      </c>
      <c r="P589" s="15" t="s">
        <v>397</v>
      </c>
      <c r="Q589" s="15" t="s">
        <v>1081</v>
      </c>
      <c r="T589" s="14" t="b">
        <v>0</v>
      </c>
      <c r="U589" s="15" t="s">
        <v>6684</v>
      </c>
      <c r="V589" s="15" t="s">
        <v>6685</v>
      </c>
      <c r="W589" s="15" t="s">
        <v>401</v>
      </c>
      <c r="X589" s="15" t="s">
        <v>695</v>
      </c>
      <c r="Y589" s="15">
        <v>1092.0</v>
      </c>
      <c r="AA589" s="15" t="str">
        <f>"420"</f>
        <v>420</v>
      </c>
      <c r="AB589" s="14" t="b">
        <v>1</v>
      </c>
      <c r="AC589" s="14" t="b">
        <v>1</v>
      </c>
      <c r="AD589" s="15" t="str">
        <f>"801542368876"</f>
        <v>801542368876</v>
      </c>
      <c r="AE589" s="15" t="s">
        <v>6686</v>
      </c>
      <c r="AF589" s="14" t="s">
        <v>404</v>
      </c>
      <c r="AG589" s="14" t="s">
        <v>405</v>
      </c>
      <c r="AH589" s="14" t="s">
        <v>406</v>
      </c>
      <c r="AI589" s="15">
        <v>0.0</v>
      </c>
      <c r="AL589" s="15" t="s">
        <v>1830</v>
      </c>
      <c r="AM589" s="15" t="s">
        <v>1005</v>
      </c>
      <c r="AN589" s="15" t="s">
        <v>1006</v>
      </c>
      <c r="AO589" s="15" t="s">
        <v>410</v>
      </c>
      <c r="AP589" s="15" t="s">
        <v>439</v>
      </c>
      <c r="AQ589" s="15" t="s">
        <v>2012</v>
      </c>
      <c r="AR589" s="15" t="s">
        <v>2013</v>
      </c>
      <c r="AS589" s="15" t="s">
        <v>915</v>
      </c>
      <c r="AT589" s="15" t="s">
        <v>1081</v>
      </c>
      <c r="AU589" s="15" t="s">
        <v>1087</v>
      </c>
      <c r="AW589" s="15" t="s">
        <v>706</v>
      </c>
      <c r="AX589" s="15" t="s">
        <v>707</v>
      </c>
      <c r="AY589" s="15" t="s">
        <v>413</v>
      </c>
      <c r="AZ589" s="15" t="b">
        <v>0</v>
      </c>
      <c r="BA589" s="15" t="s">
        <v>426</v>
      </c>
      <c r="BB589" s="15" t="b">
        <v>1</v>
      </c>
      <c r="BC589" s="15" t="s">
        <v>6687</v>
      </c>
      <c r="BD589" s="15" t="s">
        <v>709</v>
      </c>
      <c r="BE589" s="15" t="str">
        <f t="shared" si="1026"/>
        <v>1</v>
      </c>
      <c r="BF589" s="15" t="s">
        <v>6688</v>
      </c>
      <c r="BG589" s="15" t="str">
        <f>"32.68"</f>
        <v>32.68</v>
      </c>
      <c r="BH589" s="15" t="s">
        <v>2066</v>
      </c>
      <c r="BI589" s="15" t="str">
        <f>"35.04"</f>
        <v>35.04</v>
      </c>
      <c r="BJ589" s="15" t="s">
        <v>1404</v>
      </c>
      <c r="BK589" s="15" t="str">
        <f>"29.72"</f>
        <v>29.72</v>
      </c>
      <c r="BL589" s="15" t="s">
        <v>4694</v>
      </c>
      <c r="BM589" s="15" t="str">
        <f>"56.66"</f>
        <v>56.66</v>
      </c>
      <c r="BN589" s="15" t="s">
        <v>6689</v>
      </c>
      <c r="BQ589" s="15" t="s">
        <v>444</v>
      </c>
      <c r="BS589" s="15" t="s">
        <v>444</v>
      </c>
      <c r="BU589" s="15" t="s">
        <v>444</v>
      </c>
      <c r="BW589" s="15" t="s">
        <v>444</v>
      </c>
      <c r="BZ589" s="15" t="s">
        <v>444</v>
      </c>
      <c r="CB589" s="15" t="s">
        <v>444</v>
      </c>
      <c r="CD589" s="15" t="s">
        <v>444</v>
      </c>
      <c r="CF589" s="15" t="s">
        <v>444</v>
      </c>
      <c r="CI589" s="15" t="s">
        <v>444</v>
      </c>
      <c r="CK589" s="15" t="s">
        <v>444</v>
      </c>
      <c r="CM589" s="15" t="s">
        <v>444</v>
      </c>
      <c r="CO589" s="15" t="s">
        <v>444</v>
      </c>
      <c r="CP589" s="15" t="str">
        <f>"16.03"</f>
        <v>16.03</v>
      </c>
      <c r="CQ589" s="15" t="str">
        <f>"0.454"</f>
        <v>0.454</v>
      </c>
      <c r="CR589" s="15" t="s">
        <v>417</v>
      </c>
      <c r="DB589" s="15" t="s">
        <v>2732</v>
      </c>
      <c r="DC589" s="15" t="str">
        <f>IFERROR(__xludf.DUMMYFUNCTION("""COMPUTED_VALUE"""),"{""value"":22.75,""unit"":""in""}")</f>
        <v>{"value":22.75,"unit":"in"}</v>
      </c>
      <c r="DD589" s="15" t="s">
        <v>1161</v>
      </c>
      <c r="DE589" s="15" t="str">
        <f>IFERROR(__xludf.DUMMYFUNCTION("""COMPUTED_VALUE"""),"{""value"":17.00,""unit"":""in""}")</f>
        <v>{"value":17.00,"unit":"in"}</v>
      </c>
      <c r="DF589" s="15" t="s">
        <v>3546</v>
      </c>
      <c r="DG589" s="15" t="str">
        <f>IFERROR(__xludf.DUMMYFUNCTION("""COMPUTED_VALUE"""),"{""value"":29.75,""unit"":""in""}")</f>
        <v>{"value":29.75,"unit":"in"}</v>
      </c>
      <c r="DH589" s="15">
        <v>0.0</v>
      </c>
      <c r="DI589" s="15">
        <v>0.0</v>
      </c>
      <c r="DJ589" s="15" t="s">
        <v>469</v>
      </c>
      <c r="DK589" s="15" t="s">
        <v>855</v>
      </c>
      <c r="DL589" s="15" t="str">
        <f>IFERROR(__xludf.DUMMYFUNCTION("""COMPUTED_VALUE"""),"Clean with solvent-based (dry clean only) products. Do not use water.")</f>
        <v>Clean with solvent-based (dry clean only) products. Do not use water.</v>
      </c>
      <c r="DM589" s="15" t="s">
        <v>856</v>
      </c>
      <c r="DT589" s="15" t="s">
        <v>721</v>
      </c>
      <c r="DU589" s="15" t="s">
        <v>419</v>
      </c>
      <c r="DV589" s="15">
        <v>0.0</v>
      </c>
      <c r="DZ589" s="15">
        <v>25000.0</v>
      </c>
      <c r="EA589" s="15" t="s">
        <v>990</v>
      </c>
      <c r="ED589" s="15">
        <v>0.0</v>
      </c>
      <c r="EE589" s="15">
        <v>1.0</v>
      </c>
      <c r="EG589" s="15" t="s">
        <v>444</v>
      </c>
      <c r="EH589" s="15" t="s">
        <v>6690</v>
      </c>
      <c r="EI589" s="15">
        <v>0.0</v>
      </c>
      <c r="EJ589" s="15" t="s">
        <v>726</v>
      </c>
      <c r="EK589" s="15" t="s">
        <v>727</v>
      </c>
      <c r="EM589" s="15" t="str">
        <f>IFERROR(__xludf.DUMMYFUNCTION("""COMPUTED_VALUE"""),"")</f>
        <v/>
      </c>
      <c r="EX589" s="15" t="s">
        <v>1808</v>
      </c>
      <c r="EY589" s="15" t="s">
        <v>1808</v>
      </c>
      <c r="EZ589" s="15" t="s">
        <v>1593</v>
      </c>
      <c r="FF589" s="15" t="s">
        <v>1239</v>
      </c>
      <c r="FQ589" s="15">
        <v>0.0</v>
      </c>
      <c r="FR589" s="15">
        <v>0.0</v>
      </c>
      <c r="FT589" s="15">
        <v>0.0</v>
      </c>
    </row>
    <row r="590" ht="15.75" customHeight="1">
      <c r="A590" s="14" t="s">
        <v>391</v>
      </c>
      <c r="B590" s="15" t="s">
        <v>6691</v>
      </c>
      <c r="C590" s="16"/>
      <c r="D590" s="15" t="s">
        <v>432</v>
      </c>
      <c r="G590" s="14" t="s">
        <v>393</v>
      </c>
      <c r="H590" s="14" t="s">
        <v>394</v>
      </c>
      <c r="I590" s="14" t="b">
        <v>1</v>
      </c>
      <c r="J590" s="14" t="s">
        <v>395</v>
      </c>
      <c r="L590" s="14" t="b">
        <v>0</v>
      </c>
      <c r="M590" s="15" t="s">
        <v>6692</v>
      </c>
      <c r="N590" s="14" t="s">
        <v>393</v>
      </c>
      <c r="O590" s="14" t="s">
        <v>393</v>
      </c>
      <c r="P590" s="15" t="s">
        <v>397</v>
      </c>
      <c r="Q590" s="15" t="s">
        <v>3217</v>
      </c>
      <c r="T590" s="14" t="b">
        <v>0</v>
      </c>
      <c r="U590" s="15" t="s">
        <v>6693</v>
      </c>
      <c r="V590" s="15" t="s">
        <v>6694</v>
      </c>
      <c r="W590" s="15" t="s">
        <v>401</v>
      </c>
      <c r="X590" s="15" t="s">
        <v>742</v>
      </c>
      <c r="Y590" s="15">
        <v>2847.0</v>
      </c>
      <c r="AA590" s="15" t="str">
        <f>"1095"</f>
        <v>1095</v>
      </c>
      <c r="AB590" s="14" t="b">
        <v>1</v>
      </c>
      <c r="AC590" s="14" t="b">
        <v>1</v>
      </c>
      <c r="AD590" s="15" t="str">
        <f>"801542086503"</f>
        <v>801542086503</v>
      </c>
      <c r="AE590" s="15" t="s">
        <v>6695</v>
      </c>
      <c r="AF590" s="14" t="s">
        <v>404</v>
      </c>
      <c r="AG590" s="14" t="s">
        <v>405</v>
      </c>
      <c r="AH590" s="14" t="s">
        <v>406</v>
      </c>
      <c r="AI590" s="15">
        <v>0.0</v>
      </c>
      <c r="AL590" s="15" t="s">
        <v>1025</v>
      </c>
      <c r="AM590" s="15" t="s">
        <v>1381</v>
      </c>
      <c r="AN590" s="15" t="s">
        <v>1382</v>
      </c>
      <c r="AO590" s="15" t="s">
        <v>515</v>
      </c>
      <c r="AP590" s="15" t="s">
        <v>516</v>
      </c>
      <c r="AQ590" s="15" t="s">
        <v>1364</v>
      </c>
      <c r="AR590" s="15" t="s">
        <v>1365</v>
      </c>
      <c r="AS590" s="15" t="s">
        <v>5444</v>
      </c>
      <c r="AT590" s="15" t="s">
        <v>3217</v>
      </c>
      <c r="AW590" s="15" t="s">
        <v>664</v>
      </c>
      <c r="AY590" s="15" t="s">
        <v>413</v>
      </c>
      <c r="AZ590" s="15" t="b">
        <v>0</v>
      </c>
      <c r="BA590" s="15" t="s">
        <v>413</v>
      </c>
      <c r="BB590" s="15" t="b">
        <v>0</v>
      </c>
      <c r="BC590" s="15" t="s">
        <v>6696</v>
      </c>
      <c r="BD590" s="15" t="s">
        <v>742</v>
      </c>
      <c r="BE590" s="15" t="str">
        <f t="shared" si="1026"/>
        <v>1</v>
      </c>
      <c r="BF590" s="15" t="s">
        <v>1455</v>
      </c>
      <c r="BG590" s="15" t="str">
        <f>"89.37"</f>
        <v>89.37</v>
      </c>
      <c r="BH590" s="15" t="s">
        <v>6697</v>
      </c>
      <c r="BI590" s="15" t="str">
        <f>"24.61"</f>
        <v>24.61</v>
      </c>
      <c r="BJ590" s="15" t="s">
        <v>1033</v>
      </c>
      <c r="BK590" s="15" t="str">
        <f>"44.29"</f>
        <v>44.29</v>
      </c>
      <c r="BL590" s="15" t="s">
        <v>4112</v>
      </c>
      <c r="BM590" s="15" t="str">
        <f>"308.65"</f>
        <v>308.65</v>
      </c>
      <c r="BN590" s="15" t="s">
        <v>6698</v>
      </c>
      <c r="BQ590" s="15" t="s">
        <v>444</v>
      </c>
      <c r="BS590" s="15" t="s">
        <v>444</v>
      </c>
      <c r="BU590" s="15" t="s">
        <v>444</v>
      </c>
      <c r="BW590" s="15" t="s">
        <v>444</v>
      </c>
      <c r="BZ590" s="15" t="s">
        <v>444</v>
      </c>
      <c r="CB590" s="15" t="s">
        <v>444</v>
      </c>
      <c r="CD590" s="15" t="s">
        <v>444</v>
      </c>
      <c r="CF590" s="15" t="s">
        <v>444</v>
      </c>
      <c r="CI590" s="15" t="s">
        <v>444</v>
      </c>
      <c r="CK590" s="15" t="s">
        <v>444</v>
      </c>
      <c r="CM590" s="15" t="s">
        <v>444</v>
      </c>
      <c r="CO590" s="15" t="s">
        <v>444</v>
      </c>
      <c r="CP590" s="15" t="str">
        <f>"56.36"</f>
        <v>56.36</v>
      </c>
      <c r="CQ590" s="15" t="str">
        <f>"1.596"</f>
        <v>1.596</v>
      </c>
      <c r="CR590" s="15" t="s">
        <v>465</v>
      </c>
      <c r="CV590" s="15" t="s">
        <v>1070</v>
      </c>
      <c r="CW590" s="15" t="s">
        <v>1116</v>
      </c>
      <c r="CX590" s="15" t="s">
        <v>6078</v>
      </c>
      <c r="DC590" s="15" t="str">
        <f>IFERROR(__xludf.DUMMYFUNCTION("""COMPUTED_VALUE"""),"")</f>
        <v/>
      </c>
      <c r="DE590" s="15" t="str">
        <f>IFERROR(__xludf.DUMMYFUNCTION("""COMPUTED_VALUE"""),"")</f>
        <v/>
      </c>
      <c r="DG590" s="15" t="str">
        <f>IFERROR(__xludf.DUMMYFUNCTION("""COMPUTED_VALUE"""),"")</f>
        <v/>
      </c>
      <c r="DL590" s="15" t="str">
        <f>IFERROR(__xludf.DUMMYFUNCTION("""COMPUTED_VALUE"""),"")</f>
        <v/>
      </c>
      <c r="DM590" s="15" t="s">
        <v>444</v>
      </c>
      <c r="DN590" s="15" t="s">
        <v>419</v>
      </c>
      <c r="DO590" s="15">
        <v>0.0</v>
      </c>
      <c r="DP590" s="15" t="s">
        <v>419</v>
      </c>
      <c r="DR590" s="15">
        <v>0.0</v>
      </c>
      <c r="DT590" s="15" t="s">
        <v>1388</v>
      </c>
      <c r="DU590" s="15" t="s">
        <v>610</v>
      </c>
      <c r="DW590" s="15">
        <v>18.14</v>
      </c>
      <c r="DX590" s="15">
        <v>40.0</v>
      </c>
      <c r="DY590" s="15">
        <v>3.0</v>
      </c>
      <c r="EG590" s="15" t="s">
        <v>444</v>
      </c>
      <c r="EH590" s="15" t="s">
        <v>6699</v>
      </c>
      <c r="EJ590" s="15" t="s">
        <v>424</v>
      </c>
      <c r="EK590" s="15" t="s">
        <v>446</v>
      </c>
      <c r="EM590" s="15" t="str">
        <f>IFERROR(__xludf.DUMMYFUNCTION("""COMPUTED_VALUE"""),"")</f>
        <v/>
      </c>
      <c r="EW590" s="15" t="s">
        <v>429</v>
      </c>
      <c r="FL590" s="15" t="s">
        <v>426</v>
      </c>
      <c r="FM590" s="15">
        <v>3.0</v>
      </c>
      <c r="FY590" s="15" t="s">
        <v>6700</v>
      </c>
      <c r="FZ590" s="15" t="s">
        <v>2046</v>
      </c>
      <c r="GA590" s="15" t="s">
        <v>2497</v>
      </c>
      <c r="GB590" s="15" t="s">
        <v>1070</v>
      </c>
      <c r="GC590" s="15" t="s">
        <v>782</v>
      </c>
      <c r="GD590" s="15" t="s">
        <v>6078</v>
      </c>
      <c r="GE590" s="15">
        <v>0.0</v>
      </c>
      <c r="GF590" s="15" t="s">
        <v>426</v>
      </c>
      <c r="GG590" s="15" t="s">
        <v>785</v>
      </c>
      <c r="GH590" s="15">
        <v>4.0</v>
      </c>
      <c r="GI590" s="15" t="s">
        <v>614</v>
      </c>
      <c r="GJ590" s="15" t="s">
        <v>1045</v>
      </c>
      <c r="GK590" s="15">
        <v>0.0</v>
      </c>
      <c r="GL590" s="15" t="s">
        <v>426</v>
      </c>
      <c r="GN590" s="15" t="s">
        <v>616</v>
      </c>
      <c r="HA590" s="15" t="s">
        <v>1442</v>
      </c>
      <c r="HB590" s="15" t="s">
        <v>1116</v>
      </c>
      <c r="HC590" s="15" t="s">
        <v>3111</v>
      </c>
      <c r="HQ590" s="15" t="s">
        <v>1442</v>
      </c>
      <c r="HS590" s="15" t="s">
        <v>1116</v>
      </c>
      <c r="HU590" s="15" t="s">
        <v>3111</v>
      </c>
      <c r="HW590" s="15" t="s">
        <v>1957</v>
      </c>
      <c r="ID590" s="15" t="s">
        <v>1442</v>
      </c>
      <c r="IE590" s="15" t="s">
        <v>782</v>
      </c>
      <c r="IF590" s="15" t="s">
        <v>3111</v>
      </c>
      <c r="IH590" s="15" t="s">
        <v>426</v>
      </c>
      <c r="LH590" s="15" t="s">
        <v>6700</v>
      </c>
      <c r="LI590" s="15" t="s">
        <v>612</v>
      </c>
      <c r="LJ590" s="15" t="s">
        <v>6701</v>
      </c>
    </row>
    <row r="591" ht="15.75" customHeight="1">
      <c r="A591" s="14" t="s">
        <v>391</v>
      </c>
      <c r="B591" s="15" t="s">
        <v>6702</v>
      </c>
      <c r="C591" s="16"/>
      <c r="D591" s="15" t="s">
        <v>432</v>
      </c>
      <c r="G591" s="14" t="s">
        <v>393</v>
      </c>
      <c r="H591" s="14" t="s">
        <v>394</v>
      </c>
      <c r="I591" s="14" t="b">
        <v>1</v>
      </c>
      <c r="J591" s="14" t="s">
        <v>395</v>
      </c>
      <c r="L591" s="14" t="b">
        <v>0</v>
      </c>
      <c r="M591" s="15" t="s">
        <v>6703</v>
      </c>
      <c r="N591" s="14" t="s">
        <v>393</v>
      </c>
      <c r="O591" s="14" t="s">
        <v>393</v>
      </c>
      <c r="P591" s="15" t="s">
        <v>397</v>
      </c>
      <c r="Q591" s="15" t="s">
        <v>3142</v>
      </c>
      <c r="R591" s="15" t="s">
        <v>265</v>
      </c>
      <c r="S591" s="15" t="s">
        <v>877</v>
      </c>
      <c r="T591" s="14" t="b">
        <v>0</v>
      </c>
      <c r="U591" s="15" t="s">
        <v>6704</v>
      </c>
      <c r="V591" s="15" t="s">
        <v>5958</v>
      </c>
      <c r="W591" s="15" t="s">
        <v>401</v>
      </c>
      <c r="X591" s="15" t="s">
        <v>742</v>
      </c>
      <c r="Y591" s="15">
        <v>5798.0</v>
      </c>
      <c r="AA591" s="15" t="str">
        <f>"2230"</f>
        <v>2230</v>
      </c>
      <c r="AB591" s="14" t="b">
        <v>1</v>
      </c>
      <c r="AC591" s="14" t="b">
        <v>1</v>
      </c>
      <c r="AD591" s="15" t="str">
        <f>"801542821432"</f>
        <v>801542821432</v>
      </c>
      <c r="AE591" s="15" t="s">
        <v>6705</v>
      </c>
      <c r="AF591" s="14" t="s">
        <v>404</v>
      </c>
      <c r="AG591" s="14" t="s">
        <v>405</v>
      </c>
      <c r="AH591" s="14" t="s">
        <v>406</v>
      </c>
      <c r="AI591" s="15">
        <v>0.0</v>
      </c>
      <c r="AL591" s="15" t="s">
        <v>6706</v>
      </c>
      <c r="AM591" s="15" t="s">
        <v>6215</v>
      </c>
      <c r="AN591" s="15" t="s">
        <v>6216</v>
      </c>
      <c r="AO591" s="15" t="s">
        <v>3147</v>
      </c>
      <c r="AP591" s="15" t="s">
        <v>3148</v>
      </c>
      <c r="AQ591" s="15" t="s">
        <v>6707</v>
      </c>
      <c r="AR591" s="15" t="s">
        <v>6708</v>
      </c>
      <c r="AS591" s="15" t="s">
        <v>2759</v>
      </c>
      <c r="AT591" s="15" t="s">
        <v>3142</v>
      </c>
      <c r="AW591" s="15" t="s">
        <v>839</v>
      </c>
      <c r="AX591" s="15" t="s">
        <v>877</v>
      </c>
      <c r="AY591" s="15" t="s">
        <v>413</v>
      </c>
      <c r="AZ591" s="15" t="b">
        <v>0</v>
      </c>
      <c r="BA591" s="15" t="s">
        <v>413</v>
      </c>
      <c r="BB591" s="15" t="b">
        <v>0</v>
      </c>
      <c r="BC591" s="15" t="s">
        <v>6709</v>
      </c>
      <c r="BD591" s="15" t="s">
        <v>742</v>
      </c>
      <c r="BE591" s="15" t="str">
        <f t="shared" ref="BE591:BE593" si="1041">"2"</f>
        <v>2</v>
      </c>
      <c r="BF591" s="15" t="s">
        <v>6421</v>
      </c>
      <c r="BG591" s="15" t="str">
        <f>"74.8"</f>
        <v>74.8</v>
      </c>
      <c r="BH591" s="15" t="s">
        <v>6710</v>
      </c>
      <c r="BI591" s="15" t="str">
        <f>"7.48"</f>
        <v>7.48</v>
      </c>
      <c r="BJ591" s="15" t="s">
        <v>6711</v>
      </c>
      <c r="BK591" s="15" t="str">
        <f t="shared" ref="BK591:BK592" si="1042">"49.21"</f>
        <v>49.21</v>
      </c>
      <c r="BL591" s="15" t="s">
        <v>6712</v>
      </c>
      <c r="BM591" s="15" t="str">
        <f>"187.39"</f>
        <v>187.39</v>
      </c>
      <c r="BN591" s="15" t="s">
        <v>5448</v>
      </c>
      <c r="BO591" s="15" t="s">
        <v>6713</v>
      </c>
      <c r="BP591" s="15" t="str">
        <f>"93.31"</f>
        <v>93.31</v>
      </c>
      <c r="BQ591" s="15" t="s">
        <v>6714</v>
      </c>
      <c r="BR591" s="15" t="str">
        <f>"24.21"</f>
        <v>24.21</v>
      </c>
      <c r="BS591" s="15" t="s">
        <v>463</v>
      </c>
      <c r="BT591" s="15" t="str">
        <f>"17.52"</f>
        <v>17.52</v>
      </c>
      <c r="BU591" s="15" t="s">
        <v>6625</v>
      </c>
      <c r="BV591" s="15" t="str">
        <f>"271.17"</f>
        <v>271.17</v>
      </c>
      <c r="BW591" s="15" t="s">
        <v>6715</v>
      </c>
      <c r="BZ591" s="15" t="s">
        <v>444</v>
      </c>
      <c r="CB591" s="15" t="s">
        <v>444</v>
      </c>
      <c r="CD591" s="15" t="s">
        <v>444</v>
      </c>
      <c r="CF591" s="15" t="s">
        <v>444</v>
      </c>
      <c r="CI591" s="15" t="s">
        <v>444</v>
      </c>
      <c r="CK591" s="15" t="s">
        <v>444</v>
      </c>
      <c r="CM591" s="15" t="s">
        <v>444</v>
      </c>
      <c r="CO591" s="15" t="s">
        <v>444</v>
      </c>
      <c r="CP591" s="15" t="str">
        <f>"38.85"</f>
        <v>38.85</v>
      </c>
      <c r="CQ591" s="15" t="str">
        <f>"1.1"</f>
        <v>1.1</v>
      </c>
      <c r="CR591" s="15" t="s">
        <v>417</v>
      </c>
      <c r="DC591" s="15" t="str">
        <f>IFERROR(__xludf.DUMMYFUNCTION("""COMPUTED_VALUE"""),"")</f>
        <v/>
      </c>
      <c r="DE591" s="15" t="str">
        <f>IFERROR(__xludf.DUMMYFUNCTION("""COMPUTED_VALUE"""),"")</f>
        <v/>
      </c>
      <c r="DG591" s="15" t="str">
        <f>IFERROR(__xludf.DUMMYFUNCTION("""COMPUTED_VALUE"""),"")</f>
        <v/>
      </c>
      <c r="DL591" s="15" t="str">
        <f>IFERROR(__xludf.DUMMYFUNCTION("""COMPUTED_VALUE"""),"")</f>
        <v/>
      </c>
      <c r="DM591" s="15" t="s">
        <v>444</v>
      </c>
      <c r="DN591" s="15" t="s">
        <v>419</v>
      </c>
      <c r="DO591" s="15">
        <v>0.0</v>
      </c>
      <c r="DP591" s="15" t="s">
        <v>419</v>
      </c>
      <c r="DR591" s="15">
        <v>0.0</v>
      </c>
      <c r="DT591" s="15" t="s">
        <v>721</v>
      </c>
      <c r="DU591" s="15" t="s">
        <v>419</v>
      </c>
      <c r="DW591" s="15">
        <v>0.0</v>
      </c>
      <c r="DX591" s="15">
        <v>0.0</v>
      </c>
      <c r="DY591" s="15">
        <v>0.0</v>
      </c>
      <c r="EG591" s="15" t="s">
        <v>444</v>
      </c>
      <c r="EH591" s="15" t="s">
        <v>6716</v>
      </c>
      <c r="EJ591" s="15" t="s">
        <v>858</v>
      </c>
      <c r="EK591" s="15" t="s">
        <v>859</v>
      </c>
      <c r="EM591" s="15" t="str">
        <f>IFERROR(__xludf.DUMMYFUNCTION("""COMPUTED_VALUE"""),"")</f>
        <v/>
      </c>
      <c r="FM591" s="15">
        <v>0.0</v>
      </c>
      <c r="IO591" s="15" t="s">
        <v>2464</v>
      </c>
      <c r="IP591" s="15" t="s">
        <v>6717</v>
      </c>
      <c r="IQ591" s="15" t="s">
        <v>2050</v>
      </c>
      <c r="IR591" s="15" t="s">
        <v>6718</v>
      </c>
      <c r="IS591" s="15" t="s">
        <v>6719</v>
      </c>
      <c r="IT591" s="15" t="s">
        <v>2050</v>
      </c>
      <c r="IU591" s="15" t="s">
        <v>6718</v>
      </c>
      <c r="IV591" s="15" t="s">
        <v>2971</v>
      </c>
      <c r="IW591" s="15" t="s">
        <v>1483</v>
      </c>
      <c r="IX591" s="15" t="s">
        <v>6720</v>
      </c>
      <c r="IY591" s="15" t="s">
        <v>6721</v>
      </c>
      <c r="IZ591" s="15" t="s">
        <v>6722</v>
      </c>
      <c r="JA591" s="15" t="s">
        <v>2050</v>
      </c>
      <c r="JB591" s="15" t="s">
        <v>426</v>
      </c>
      <c r="JC591" s="15" t="s">
        <v>2973</v>
      </c>
      <c r="JD591" s="15" t="s">
        <v>2604</v>
      </c>
      <c r="JE591" s="15" t="s">
        <v>873</v>
      </c>
      <c r="JF591" s="15" t="s">
        <v>877</v>
      </c>
      <c r="JL591" s="15" t="s">
        <v>2144</v>
      </c>
      <c r="JM591" s="15" t="s">
        <v>5634</v>
      </c>
      <c r="JO591" s="15" t="s">
        <v>426</v>
      </c>
      <c r="JP591" s="15" t="s">
        <v>2474</v>
      </c>
      <c r="JS591" s="15" t="s">
        <v>6723</v>
      </c>
      <c r="JT591" s="15" t="s">
        <v>6724</v>
      </c>
    </row>
    <row r="592" ht="15.75" customHeight="1">
      <c r="A592" s="14" t="s">
        <v>391</v>
      </c>
      <c r="B592" s="15" t="s">
        <v>6702</v>
      </c>
      <c r="C592" s="16"/>
      <c r="D592" s="15" t="s">
        <v>432</v>
      </c>
      <c r="G592" s="14" t="s">
        <v>393</v>
      </c>
      <c r="H592" s="14" t="s">
        <v>394</v>
      </c>
      <c r="I592" s="14" t="b">
        <v>1</v>
      </c>
      <c r="J592" s="14" t="s">
        <v>395</v>
      </c>
      <c r="L592" s="14" t="b">
        <v>0</v>
      </c>
      <c r="M592" s="15" t="s">
        <v>6725</v>
      </c>
      <c r="N592" s="14" t="s">
        <v>393</v>
      </c>
      <c r="O592" s="14" t="s">
        <v>393</v>
      </c>
      <c r="P592" s="15" t="s">
        <v>397</v>
      </c>
      <c r="Q592" s="15" t="s">
        <v>3142</v>
      </c>
      <c r="R592" s="15" t="s">
        <v>265</v>
      </c>
      <c r="S592" s="15" t="s">
        <v>828</v>
      </c>
      <c r="T592" s="14" t="b">
        <v>0</v>
      </c>
      <c r="U592" s="15" t="s">
        <v>6726</v>
      </c>
      <c r="V592" s="15" t="s">
        <v>6727</v>
      </c>
      <c r="W592" s="15" t="s">
        <v>401</v>
      </c>
      <c r="X592" s="15" t="s">
        <v>742</v>
      </c>
      <c r="Y592" s="15">
        <v>6006.0</v>
      </c>
      <c r="AA592" s="15" t="str">
        <f>"2310"</f>
        <v>2310</v>
      </c>
      <c r="AB592" s="14" t="b">
        <v>1</v>
      </c>
      <c r="AC592" s="14" t="b">
        <v>1</v>
      </c>
      <c r="AD592" s="15" t="str">
        <f>"801542805487"</f>
        <v>801542805487</v>
      </c>
      <c r="AE592" s="15" t="s">
        <v>6728</v>
      </c>
      <c r="AF592" s="14" t="s">
        <v>404</v>
      </c>
      <c r="AG592" s="14" t="s">
        <v>405</v>
      </c>
      <c r="AH592" s="14" t="s">
        <v>406</v>
      </c>
      <c r="AI592" s="15">
        <v>0.0</v>
      </c>
      <c r="AL592" s="15" t="s">
        <v>6706</v>
      </c>
      <c r="AM592" s="15" t="s">
        <v>1381</v>
      </c>
      <c r="AN592" s="15" t="s">
        <v>1382</v>
      </c>
      <c r="AO592" s="15" t="s">
        <v>3147</v>
      </c>
      <c r="AP592" s="15" t="s">
        <v>3148</v>
      </c>
      <c r="AQ592" s="15" t="s">
        <v>6707</v>
      </c>
      <c r="AR592" s="15" t="s">
        <v>6708</v>
      </c>
      <c r="AS592" s="15" t="s">
        <v>2759</v>
      </c>
      <c r="AT592" s="15" t="s">
        <v>3142</v>
      </c>
      <c r="AW592" s="15" t="s">
        <v>839</v>
      </c>
      <c r="AX592" s="15" t="s">
        <v>828</v>
      </c>
      <c r="AY592" s="15" t="s">
        <v>413</v>
      </c>
      <c r="AZ592" s="15" t="b">
        <v>0</v>
      </c>
      <c r="BA592" s="15" t="s">
        <v>413</v>
      </c>
      <c r="BB592" s="15" t="b">
        <v>0</v>
      </c>
      <c r="BC592" s="15" t="s">
        <v>6709</v>
      </c>
      <c r="BD592" s="15" t="s">
        <v>742</v>
      </c>
      <c r="BE592" s="15" t="str">
        <f t="shared" si="1041"/>
        <v>2</v>
      </c>
      <c r="BF592" s="15" t="s">
        <v>6421</v>
      </c>
      <c r="BG592" s="15" t="str">
        <f>"91.34"</f>
        <v>91.34</v>
      </c>
      <c r="BH592" s="15" t="s">
        <v>3151</v>
      </c>
      <c r="BI592" s="15" t="str">
        <f>"7.87"</f>
        <v>7.87</v>
      </c>
      <c r="BJ592" s="15" t="s">
        <v>923</v>
      </c>
      <c r="BK592" s="15" t="str">
        <f t="shared" si="1042"/>
        <v>49.21</v>
      </c>
      <c r="BL592" s="15" t="s">
        <v>6712</v>
      </c>
      <c r="BM592" s="15" t="str">
        <f>"249.12"</f>
        <v>249.12</v>
      </c>
      <c r="BN592" s="15" t="s">
        <v>1035</v>
      </c>
      <c r="BO592" s="15" t="s">
        <v>6713</v>
      </c>
      <c r="BP592" s="15" t="str">
        <f>"94.49"</f>
        <v>94.49</v>
      </c>
      <c r="BQ592" s="15" t="s">
        <v>4839</v>
      </c>
      <c r="BR592" s="15" t="str">
        <f>"24.02"</f>
        <v>24.02</v>
      </c>
      <c r="BS592" s="15" t="s">
        <v>755</v>
      </c>
      <c r="BT592" s="15" t="str">
        <f>"17.13"</f>
        <v>17.13</v>
      </c>
      <c r="BU592" s="15" t="s">
        <v>6729</v>
      </c>
      <c r="BV592" s="15" t="str">
        <f>"304.24"</f>
        <v>304.24</v>
      </c>
      <c r="BW592" s="15" t="s">
        <v>5630</v>
      </c>
      <c r="BZ592" s="15" t="s">
        <v>444</v>
      </c>
      <c r="CB592" s="15" t="s">
        <v>444</v>
      </c>
      <c r="CD592" s="15" t="s">
        <v>444</v>
      </c>
      <c r="CF592" s="15" t="s">
        <v>444</v>
      </c>
      <c r="CI592" s="15" t="s">
        <v>444</v>
      </c>
      <c r="CK592" s="15" t="s">
        <v>444</v>
      </c>
      <c r="CM592" s="15" t="s">
        <v>444</v>
      </c>
      <c r="CO592" s="15" t="s">
        <v>444</v>
      </c>
      <c r="CP592" s="15" t="str">
        <f>"42.98"</f>
        <v>42.98</v>
      </c>
      <c r="CQ592" s="15" t="str">
        <f>"1.217"</f>
        <v>1.217</v>
      </c>
      <c r="CR592" s="15" t="s">
        <v>497</v>
      </c>
      <c r="DC592" s="15" t="str">
        <f>IFERROR(__xludf.DUMMYFUNCTION("""COMPUTED_VALUE"""),"")</f>
        <v/>
      </c>
      <c r="DE592" s="15" t="str">
        <f>IFERROR(__xludf.DUMMYFUNCTION("""COMPUTED_VALUE"""),"")</f>
        <v/>
      </c>
      <c r="DG592" s="15" t="str">
        <f>IFERROR(__xludf.DUMMYFUNCTION("""COMPUTED_VALUE"""),"")</f>
        <v/>
      </c>
      <c r="DL592" s="15" t="str">
        <f>IFERROR(__xludf.DUMMYFUNCTION("""COMPUTED_VALUE"""),"")</f>
        <v/>
      </c>
      <c r="DM592" s="15" t="s">
        <v>444</v>
      </c>
      <c r="DN592" s="15" t="s">
        <v>419</v>
      </c>
      <c r="DO592" s="15">
        <v>0.0</v>
      </c>
      <c r="DP592" s="15" t="s">
        <v>419</v>
      </c>
      <c r="DR592" s="15">
        <v>0.0</v>
      </c>
      <c r="DT592" s="15" t="s">
        <v>721</v>
      </c>
      <c r="DU592" s="15" t="s">
        <v>419</v>
      </c>
      <c r="DW592" s="15">
        <v>0.0</v>
      </c>
      <c r="DX592" s="15">
        <v>0.0</v>
      </c>
      <c r="DY592" s="15">
        <v>0.0</v>
      </c>
      <c r="EG592" s="15" t="s">
        <v>444</v>
      </c>
      <c r="EH592" s="15" t="s">
        <v>6716</v>
      </c>
      <c r="EJ592" s="15" t="s">
        <v>858</v>
      </c>
      <c r="EK592" s="15" t="s">
        <v>859</v>
      </c>
      <c r="EM592" s="15" t="str">
        <f>IFERROR(__xludf.DUMMYFUNCTION("""COMPUTED_VALUE"""),"")</f>
        <v/>
      </c>
      <c r="FM592" s="15">
        <v>0.0</v>
      </c>
      <c r="IO592" s="15" t="s">
        <v>2464</v>
      </c>
      <c r="IP592" s="15" t="s">
        <v>6717</v>
      </c>
      <c r="IQ592" s="15" t="s">
        <v>2050</v>
      </c>
      <c r="IR592" s="15" t="s">
        <v>6730</v>
      </c>
      <c r="IS592" s="15" t="s">
        <v>6719</v>
      </c>
      <c r="IT592" s="15" t="s">
        <v>2050</v>
      </c>
      <c r="IU592" s="15" t="s">
        <v>6730</v>
      </c>
      <c r="IV592" s="15" t="s">
        <v>2971</v>
      </c>
      <c r="IW592" s="15" t="s">
        <v>1483</v>
      </c>
      <c r="IX592" s="15" t="s">
        <v>869</v>
      </c>
      <c r="IY592" s="15" t="s">
        <v>6721</v>
      </c>
      <c r="IZ592" s="15" t="s">
        <v>6722</v>
      </c>
      <c r="JA592" s="15" t="s">
        <v>2050</v>
      </c>
      <c r="JB592" s="15" t="s">
        <v>426</v>
      </c>
      <c r="JC592" s="15" t="s">
        <v>2973</v>
      </c>
      <c r="JD592" s="15" t="s">
        <v>2604</v>
      </c>
      <c r="JE592" s="15" t="s">
        <v>873</v>
      </c>
      <c r="JF592" s="15" t="s">
        <v>828</v>
      </c>
      <c r="JL592" s="15" t="s">
        <v>2144</v>
      </c>
      <c r="JM592" s="15" t="s">
        <v>5634</v>
      </c>
      <c r="JO592" s="15" t="s">
        <v>426</v>
      </c>
      <c r="JP592" s="15" t="s">
        <v>2474</v>
      </c>
      <c r="JS592" s="15" t="s">
        <v>6723</v>
      </c>
      <c r="JT592" s="15" t="s">
        <v>4554</v>
      </c>
    </row>
    <row r="593" ht="15.75" customHeight="1">
      <c r="A593" s="14" t="s">
        <v>391</v>
      </c>
      <c r="B593" s="15" t="s">
        <v>6731</v>
      </c>
      <c r="C593" s="16"/>
      <c r="D593" s="15" t="s">
        <v>432</v>
      </c>
      <c r="G593" s="14" t="s">
        <v>393</v>
      </c>
      <c r="H593" s="14" t="s">
        <v>394</v>
      </c>
      <c r="I593" s="14" t="b">
        <v>1</v>
      </c>
      <c r="J593" s="14" t="s">
        <v>395</v>
      </c>
      <c r="L593" s="14" t="b">
        <v>0</v>
      </c>
      <c r="M593" s="15" t="s">
        <v>6732</v>
      </c>
      <c r="N593" s="14" t="s">
        <v>393</v>
      </c>
      <c r="O593" s="14" t="s">
        <v>393</v>
      </c>
      <c r="P593" s="15" t="s">
        <v>397</v>
      </c>
      <c r="Q593" s="15" t="s">
        <v>6733</v>
      </c>
      <c r="T593" s="14" t="b">
        <v>0</v>
      </c>
      <c r="U593" s="15" t="s">
        <v>6734</v>
      </c>
      <c r="V593" s="15" t="s">
        <v>6735</v>
      </c>
      <c r="W593" s="15" t="s">
        <v>401</v>
      </c>
      <c r="X593" s="15" t="s">
        <v>695</v>
      </c>
      <c r="Y593" s="15">
        <v>1586.0</v>
      </c>
      <c r="AA593" s="15" t="str">
        <f>"610"</f>
        <v>610</v>
      </c>
      <c r="AB593" s="14" t="b">
        <v>1</v>
      </c>
      <c r="AC593" s="14" t="b">
        <v>1</v>
      </c>
      <c r="AD593" s="15" t="str">
        <f>"801542750251"</f>
        <v>801542750251</v>
      </c>
      <c r="AE593" s="15" t="s">
        <v>6736</v>
      </c>
      <c r="AF593" s="14" t="s">
        <v>404</v>
      </c>
      <c r="AG593" s="14" t="s">
        <v>405</v>
      </c>
      <c r="AH593" s="14" t="s">
        <v>406</v>
      </c>
      <c r="AI593" s="15">
        <v>0.0</v>
      </c>
      <c r="AL593" s="15" t="s">
        <v>6737</v>
      </c>
      <c r="AM593" s="15" t="s">
        <v>1892</v>
      </c>
      <c r="AN593" s="15" t="s">
        <v>1893</v>
      </c>
      <c r="AO593" s="15" t="s">
        <v>1892</v>
      </c>
      <c r="AP593" s="15" t="s">
        <v>1893</v>
      </c>
      <c r="AQ593" s="15" t="s">
        <v>489</v>
      </c>
      <c r="AR593" s="15" t="s">
        <v>490</v>
      </c>
      <c r="AS593" s="15" t="s">
        <v>2594</v>
      </c>
      <c r="AT593" s="15" t="s">
        <v>6733</v>
      </c>
      <c r="AW593" s="15" t="s">
        <v>491</v>
      </c>
      <c r="AY593" s="15" t="s">
        <v>413</v>
      </c>
      <c r="AZ593" s="15" t="b">
        <v>0</v>
      </c>
      <c r="BA593" s="15" t="s">
        <v>413</v>
      </c>
      <c r="BB593" s="15" t="b">
        <v>0</v>
      </c>
      <c r="BC593" s="15" t="s">
        <v>6738</v>
      </c>
      <c r="BD593" s="15" t="s">
        <v>709</v>
      </c>
      <c r="BE593" s="15" t="str">
        <f t="shared" si="1041"/>
        <v>2</v>
      </c>
      <c r="BF593" s="15" t="s">
        <v>1564</v>
      </c>
      <c r="BG593" s="15" t="str">
        <f>"42.72"</f>
        <v>42.72</v>
      </c>
      <c r="BH593" s="15" t="s">
        <v>6739</v>
      </c>
      <c r="BI593" s="15" t="str">
        <f>"4.72"</f>
        <v>4.72</v>
      </c>
      <c r="BJ593" s="15" t="s">
        <v>6740</v>
      </c>
      <c r="BK593" s="15" t="str">
        <f>"42.72"</f>
        <v>42.72</v>
      </c>
      <c r="BL593" s="15" t="s">
        <v>6739</v>
      </c>
      <c r="BM593" s="15" t="str">
        <f>"71.21"</f>
        <v>71.21</v>
      </c>
      <c r="BN593" s="15" t="s">
        <v>4054</v>
      </c>
      <c r="BO593" s="15" t="s">
        <v>2238</v>
      </c>
      <c r="BP593" s="15" t="str">
        <f>"26.57"</f>
        <v>26.57</v>
      </c>
      <c r="BQ593" s="15" t="s">
        <v>3718</v>
      </c>
      <c r="BR593" s="15" t="str">
        <f>"26.57"</f>
        <v>26.57</v>
      </c>
      <c r="BS593" s="15" t="s">
        <v>3718</v>
      </c>
      <c r="BT593" s="15" t="str">
        <f>"17.72"</f>
        <v>17.72</v>
      </c>
      <c r="BU593" s="15" t="s">
        <v>3633</v>
      </c>
      <c r="BV593" s="15" t="str">
        <f>"35.27"</f>
        <v>35.27</v>
      </c>
      <c r="BW593" s="15" t="s">
        <v>6741</v>
      </c>
      <c r="BZ593" s="15" t="s">
        <v>444</v>
      </c>
      <c r="CB593" s="15" t="s">
        <v>444</v>
      </c>
      <c r="CD593" s="15" t="s">
        <v>444</v>
      </c>
      <c r="CF593" s="15" t="s">
        <v>444</v>
      </c>
      <c r="CI593" s="15" t="s">
        <v>444</v>
      </c>
      <c r="CK593" s="15" t="s">
        <v>444</v>
      </c>
      <c r="CM593" s="15" t="s">
        <v>444</v>
      </c>
      <c r="CO593" s="15" t="s">
        <v>444</v>
      </c>
      <c r="CP593" s="15" t="str">
        <f>"12.22"</f>
        <v>12.22</v>
      </c>
      <c r="CQ593" s="15" t="str">
        <f>"0.346"</f>
        <v>0.346</v>
      </c>
      <c r="CR593" s="15" t="s">
        <v>465</v>
      </c>
      <c r="DC593" s="15" t="str">
        <f>IFERROR(__xludf.DUMMYFUNCTION("""COMPUTED_VALUE"""),"")</f>
        <v/>
      </c>
      <c r="DE593" s="15" t="str">
        <f>IFERROR(__xludf.DUMMYFUNCTION("""COMPUTED_VALUE"""),"")</f>
        <v/>
      </c>
      <c r="DG593" s="15" t="str">
        <f>IFERROR(__xludf.DUMMYFUNCTION("""COMPUTED_VALUE"""),"")</f>
        <v/>
      </c>
      <c r="DL593" s="15" t="str">
        <f>IFERROR(__xludf.DUMMYFUNCTION("""COMPUTED_VALUE"""),"")</f>
        <v/>
      </c>
      <c r="DM593" s="15" t="s">
        <v>444</v>
      </c>
      <c r="DN593" s="15" t="s">
        <v>419</v>
      </c>
      <c r="DO593" s="15">
        <v>0.0</v>
      </c>
      <c r="DP593" s="15" t="s">
        <v>419</v>
      </c>
      <c r="DR593" s="15">
        <v>0.0</v>
      </c>
      <c r="DT593" s="15" t="s">
        <v>1111</v>
      </c>
      <c r="DU593" s="15" t="s">
        <v>419</v>
      </c>
      <c r="DY593" s="15">
        <v>0.0</v>
      </c>
      <c r="EF593" s="15" t="s">
        <v>1157</v>
      </c>
      <c r="EG593" s="15" t="s">
        <v>1158</v>
      </c>
      <c r="EH593" s="15" t="s">
        <v>6742</v>
      </c>
      <c r="EJ593" s="15" t="s">
        <v>500</v>
      </c>
      <c r="EK593" s="15" t="s">
        <v>501</v>
      </c>
      <c r="EM593" s="15" t="str">
        <f>IFERROR(__xludf.DUMMYFUNCTION("""COMPUTED_VALUE"""),"")</f>
        <v/>
      </c>
      <c r="EW593" s="15" t="s">
        <v>6743</v>
      </c>
      <c r="FH593" s="15" t="s">
        <v>4552</v>
      </c>
      <c r="FI593" s="15" t="s">
        <v>6743</v>
      </c>
      <c r="FJ593" s="15" t="s">
        <v>4552</v>
      </c>
      <c r="FK593" s="15" t="s">
        <v>2144</v>
      </c>
      <c r="FL593" s="15" t="s">
        <v>426</v>
      </c>
      <c r="FM593" s="15">
        <v>0.0</v>
      </c>
      <c r="FN593" s="15">
        <v>0.0</v>
      </c>
      <c r="FW593" s="15" t="s">
        <v>732</v>
      </c>
    </row>
    <row r="594" ht="15.75" customHeight="1">
      <c r="A594" s="14" t="s">
        <v>391</v>
      </c>
      <c r="B594" s="15" t="s">
        <v>6744</v>
      </c>
      <c r="C594" s="16"/>
      <c r="D594" s="15" t="s">
        <v>432</v>
      </c>
      <c r="G594" s="14" t="s">
        <v>393</v>
      </c>
      <c r="H594" s="14" t="s">
        <v>394</v>
      </c>
      <c r="I594" s="14" t="b">
        <v>1</v>
      </c>
      <c r="J594" s="14" t="s">
        <v>395</v>
      </c>
      <c r="L594" s="14" t="b">
        <v>0</v>
      </c>
      <c r="M594" s="15" t="s">
        <v>6745</v>
      </c>
      <c r="N594" s="14" t="s">
        <v>393</v>
      </c>
      <c r="O594" s="14" t="s">
        <v>393</v>
      </c>
      <c r="P594" s="15" t="s">
        <v>397</v>
      </c>
      <c r="Q594" s="15" t="s">
        <v>6746</v>
      </c>
      <c r="T594" s="14" t="b">
        <v>0</v>
      </c>
      <c r="U594" s="15" t="s">
        <v>6747</v>
      </c>
      <c r="V594" s="15" t="s">
        <v>6748</v>
      </c>
      <c r="W594" s="15" t="s">
        <v>401</v>
      </c>
      <c r="X594" s="15" t="s">
        <v>3827</v>
      </c>
      <c r="Y594" s="15">
        <v>4368.0</v>
      </c>
      <c r="AA594" s="15" t="str">
        <f>"1680"</f>
        <v>1680</v>
      </c>
      <c r="AB594" s="14" t="b">
        <v>1</v>
      </c>
      <c r="AC594" s="14" t="b">
        <v>1</v>
      </c>
      <c r="AD594" s="15" t="str">
        <f>"198394122863"</f>
        <v>198394122863</v>
      </c>
      <c r="AE594" s="15" t="s">
        <v>6749</v>
      </c>
      <c r="AF594" s="14" t="s">
        <v>404</v>
      </c>
      <c r="AG594" s="14" t="s">
        <v>405</v>
      </c>
      <c r="AH594" s="14" t="s">
        <v>406</v>
      </c>
      <c r="AI594" s="15">
        <v>0.0</v>
      </c>
      <c r="AL594" s="15" t="s">
        <v>6750</v>
      </c>
      <c r="AM594" s="15" t="s">
        <v>1450</v>
      </c>
      <c r="AN594" s="15" t="s">
        <v>1451</v>
      </c>
      <c r="AO594" s="15" t="s">
        <v>976</v>
      </c>
      <c r="AP594" s="15" t="s">
        <v>977</v>
      </c>
      <c r="AQ594" s="15" t="s">
        <v>1085</v>
      </c>
      <c r="AR594" s="15" t="s">
        <v>1086</v>
      </c>
      <c r="AS594" s="15" t="s">
        <v>6751</v>
      </c>
      <c r="AT594" s="15" t="s">
        <v>6746</v>
      </c>
      <c r="AU594" s="15" t="s">
        <v>6752</v>
      </c>
      <c r="AW594" s="15" t="s">
        <v>1732</v>
      </c>
      <c r="AY594" s="15" t="s">
        <v>413</v>
      </c>
      <c r="AZ594" s="15" t="b">
        <v>0</v>
      </c>
      <c r="BA594" s="15" t="s">
        <v>413</v>
      </c>
      <c r="BB594" s="15" t="b">
        <v>0</v>
      </c>
      <c r="BC594" s="15" t="s">
        <v>6753</v>
      </c>
      <c r="BD594" s="15" t="s">
        <v>3835</v>
      </c>
      <c r="BE594" s="15" t="str">
        <f t="shared" ref="BE594:BE596" si="1043">"1"</f>
        <v>1</v>
      </c>
      <c r="BF594" s="15" t="s">
        <v>6754</v>
      </c>
      <c r="BG594" s="15" t="str">
        <f t="shared" ref="BG594:BG595" si="1044">"92"</f>
        <v>92</v>
      </c>
      <c r="BH594" s="15" t="s">
        <v>4294</v>
      </c>
      <c r="BI594" s="15" t="str">
        <f t="shared" ref="BI594:BI595" si="1045">"38"</f>
        <v>38</v>
      </c>
      <c r="BJ594" s="15" t="s">
        <v>2373</v>
      </c>
      <c r="BK594" s="15" t="str">
        <f t="shared" ref="BK594:BK595" si="1046">"32"</f>
        <v>32</v>
      </c>
      <c r="BL594" s="15" t="s">
        <v>439</v>
      </c>
      <c r="BM594" s="15" t="str">
        <f>"252"</f>
        <v>252</v>
      </c>
      <c r="BN594" s="15" t="s">
        <v>6755</v>
      </c>
      <c r="BQ594" s="15" t="s">
        <v>444</v>
      </c>
      <c r="BS594" s="15" t="s">
        <v>444</v>
      </c>
      <c r="BU594" s="15" t="s">
        <v>444</v>
      </c>
      <c r="BW594" s="15" t="s">
        <v>444</v>
      </c>
      <c r="BZ594" s="15" t="s">
        <v>444</v>
      </c>
      <c r="CB594" s="15" t="s">
        <v>444</v>
      </c>
      <c r="CD594" s="15" t="s">
        <v>444</v>
      </c>
      <c r="CF594" s="15" t="s">
        <v>444</v>
      </c>
      <c r="CI594" s="15" t="s">
        <v>444</v>
      </c>
      <c r="CK594" s="15" t="s">
        <v>444</v>
      </c>
      <c r="CM594" s="15" t="s">
        <v>444</v>
      </c>
      <c r="CO594" s="15" t="s">
        <v>444</v>
      </c>
      <c r="CP594" s="15" t="str">
        <f t="shared" ref="CP594:CP595" si="1047">"64.73"</f>
        <v>64.73</v>
      </c>
      <c r="CQ594" s="15" t="str">
        <f t="shared" ref="CQ594:CQ595" si="1048">"1.833"</f>
        <v>1.833</v>
      </c>
      <c r="CR594" s="15" t="s">
        <v>465</v>
      </c>
      <c r="DB594" s="15" t="s">
        <v>1286</v>
      </c>
      <c r="DC594" s="15" t="str">
        <f>IFERROR(__xludf.DUMMYFUNCTION("""COMPUTED_VALUE"""),"{""value"":23.50,""unit"":""in""}")</f>
        <v>{"value":23.50,"unit":"in"}</v>
      </c>
      <c r="DD594" s="15" t="s">
        <v>466</v>
      </c>
      <c r="DE594" s="15" t="str">
        <f>IFERROR(__xludf.DUMMYFUNCTION("""COMPUTED_VALUE"""),"{""value"":19.25,""unit"":""in""}")</f>
        <v>{"value":19.25,"unit":"in"}</v>
      </c>
      <c r="DF594" s="15" t="s">
        <v>4590</v>
      </c>
      <c r="DG594" s="15" t="str">
        <f>IFERROR(__xludf.DUMMYFUNCTION("""COMPUTED_VALUE"""),"{""value"":62.00,""unit"":""in""}")</f>
        <v>{"value":62.00,"unit":"in"}</v>
      </c>
      <c r="DH594" s="15">
        <v>2.0</v>
      </c>
      <c r="DI594" s="15">
        <v>1.0</v>
      </c>
      <c r="DJ594" s="15" t="s">
        <v>717</v>
      </c>
      <c r="DK594" s="15" t="s">
        <v>855</v>
      </c>
      <c r="DL594" s="15" t="str">
        <f>IFERROR(__xludf.DUMMYFUNCTION("""COMPUTED_VALUE"""),"Clean with solvent-based (dry clean only) products. Do not use water.")</f>
        <v>Clean with solvent-based (dry clean only) products. Do not use water.</v>
      </c>
      <c r="DM594" s="15" t="s">
        <v>856</v>
      </c>
      <c r="DQ594" s="15" t="s">
        <v>2502</v>
      </c>
      <c r="DT594" s="15" t="s">
        <v>1111</v>
      </c>
      <c r="DU594" s="15" t="s">
        <v>2381</v>
      </c>
      <c r="DV594" s="15">
        <v>0.0</v>
      </c>
      <c r="DZ594" s="15">
        <v>27000.0</v>
      </c>
      <c r="EA594" s="15" t="s">
        <v>470</v>
      </c>
      <c r="EB594" s="15" t="s">
        <v>1016</v>
      </c>
      <c r="EC594" s="15" t="s">
        <v>724</v>
      </c>
      <c r="ED594" s="15">
        <v>1.0</v>
      </c>
      <c r="EE594" s="15">
        <v>5.0</v>
      </c>
      <c r="EG594" s="15" t="s">
        <v>444</v>
      </c>
      <c r="EH594" s="15" t="s">
        <v>6756</v>
      </c>
      <c r="EI594" s="15">
        <v>0.0</v>
      </c>
      <c r="EJ594" s="15" t="s">
        <v>1636</v>
      </c>
      <c r="EK594" s="15" t="s">
        <v>1637</v>
      </c>
      <c r="EL594" s="15" t="s">
        <v>1574</v>
      </c>
      <c r="EM594" s="15" t="str">
        <f>IFERROR(__xludf.DUMMYFUNCTION("""COMPUTED_VALUE"""),"{""value"":28.00,""unit"":""in""}")</f>
        <v>{"value":28.00,"unit":"in"}</v>
      </c>
      <c r="EN594" s="15" t="s">
        <v>3241</v>
      </c>
      <c r="EO594" s="15" t="s">
        <v>5081</v>
      </c>
      <c r="EP594" s="15" t="s">
        <v>2735</v>
      </c>
      <c r="EQ594" s="15" t="s">
        <v>1996</v>
      </c>
      <c r="ER594" s="15" t="s">
        <v>2402</v>
      </c>
      <c r="ES594" s="15" t="s">
        <v>2737</v>
      </c>
      <c r="ET594" s="15" t="s">
        <v>2402</v>
      </c>
      <c r="EU594" s="15" t="s">
        <v>2618</v>
      </c>
      <c r="EV594" s="15" t="s">
        <v>3481</v>
      </c>
      <c r="EW594" s="15" t="s">
        <v>863</v>
      </c>
      <c r="EX594" s="15" t="s">
        <v>2599</v>
      </c>
      <c r="EY594" s="15" t="s">
        <v>6757</v>
      </c>
      <c r="EZ594" s="15" t="s">
        <v>3241</v>
      </c>
      <c r="FA594" s="15" t="s">
        <v>724</v>
      </c>
      <c r="FB594" s="15" t="s">
        <v>426</v>
      </c>
      <c r="FC594" s="15" t="s">
        <v>723</v>
      </c>
      <c r="FD594" s="15" t="s">
        <v>724</v>
      </c>
      <c r="FE594" s="15" t="s">
        <v>2502</v>
      </c>
      <c r="FF594" s="15" t="s">
        <v>2502</v>
      </c>
      <c r="FS594" s="15" t="s">
        <v>2436</v>
      </c>
      <c r="JF594" s="15" t="s">
        <v>877</v>
      </c>
      <c r="KC594" s="15" t="s">
        <v>1065</v>
      </c>
      <c r="KD594" s="15" t="s">
        <v>3023</v>
      </c>
      <c r="KE594" s="15" t="s">
        <v>3481</v>
      </c>
      <c r="LV594" s="15" t="s">
        <v>3023</v>
      </c>
      <c r="LW594" s="15" t="s">
        <v>2116</v>
      </c>
      <c r="LX594" s="15" t="s">
        <v>1576</v>
      </c>
    </row>
    <row r="595" ht="15.75" customHeight="1">
      <c r="A595" s="14" t="s">
        <v>391</v>
      </c>
      <c r="B595" s="15" t="s">
        <v>6758</v>
      </c>
      <c r="C595" s="16"/>
      <c r="D595" s="15" t="s">
        <v>432</v>
      </c>
      <c r="G595" s="14" t="s">
        <v>393</v>
      </c>
      <c r="H595" s="14" t="s">
        <v>394</v>
      </c>
      <c r="I595" s="14" t="b">
        <v>1</v>
      </c>
      <c r="J595" s="14" t="s">
        <v>395</v>
      </c>
      <c r="L595" s="14" t="b">
        <v>0</v>
      </c>
      <c r="M595" s="15" t="s">
        <v>6759</v>
      </c>
      <c r="N595" s="14" t="s">
        <v>393</v>
      </c>
      <c r="O595" s="14" t="s">
        <v>393</v>
      </c>
      <c r="P595" s="15" t="s">
        <v>397</v>
      </c>
      <c r="Q595" s="15" t="s">
        <v>6746</v>
      </c>
      <c r="T595" s="14" t="b">
        <v>0</v>
      </c>
      <c r="U595" s="15" t="s">
        <v>6760</v>
      </c>
      <c r="V595" s="15" t="s">
        <v>6761</v>
      </c>
      <c r="W595" s="15" t="s">
        <v>401</v>
      </c>
      <c r="X595" s="15" t="s">
        <v>3827</v>
      </c>
      <c r="Y595" s="15">
        <v>3276.0</v>
      </c>
      <c r="AA595" s="15" t="str">
        <f>"1260"</f>
        <v>1260</v>
      </c>
      <c r="AB595" s="14" t="b">
        <v>1</v>
      </c>
      <c r="AC595" s="14" t="b">
        <v>1</v>
      </c>
      <c r="AD595" s="15" t="str">
        <f>"198394122870"</f>
        <v>198394122870</v>
      </c>
      <c r="AE595" s="15" t="s">
        <v>6762</v>
      </c>
      <c r="AF595" s="14" t="s">
        <v>404</v>
      </c>
      <c r="AG595" s="14" t="s">
        <v>405</v>
      </c>
      <c r="AH595" s="14" t="s">
        <v>406</v>
      </c>
      <c r="AI595" s="15">
        <v>0.0</v>
      </c>
      <c r="AL595" s="15" t="s">
        <v>6750</v>
      </c>
      <c r="AM595" s="15" t="s">
        <v>513</v>
      </c>
      <c r="AN595" s="15" t="s">
        <v>514</v>
      </c>
      <c r="AO595" s="15" t="s">
        <v>976</v>
      </c>
      <c r="AP595" s="15" t="s">
        <v>977</v>
      </c>
      <c r="AQ595" s="15" t="s">
        <v>1085</v>
      </c>
      <c r="AR595" s="15" t="s">
        <v>1086</v>
      </c>
      <c r="AS595" s="15" t="s">
        <v>6751</v>
      </c>
      <c r="AT595" s="15" t="s">
        <v>6746</v>
      </c>
      <c r="AU595" s="15" t="s">
        <v>6752</v>
      </c>
      <c r="AW595" s="15" t="s">
        <v>1732</v>
      </c>
      <c r="AY595" s="15" t="s">
        <v>413</v>
      </c>
      <c r="AZ595" s="15" t="b">
        <v>0</v>
      </c>
      <c r="BA595" s="15" t="s">
        <v>413</v>
      </c>
      <c r="BB595" s="15" t="b">
        <v>0</v>
      </c>
      <c r="BC595" s="15" t="s">
        <v>6763</v>
      </c>
      <c r="BD595" s="15" t="s">
        <v>3835</v>
      </c>
      <c r="BE595" s="15" t="str">
        <f t="shared" si="1043"/>
        <v>1</v>
      </c>
      <c r="BF595" s="15" t="s">
        <v>5429</v>
      </c>
      <c r="BG595" s="15" t="str">
        <f t="shared" si="1044"/>
        <v>92</v>
      </c>
      <c r="BH595" s="15" t="s">
        <v>4294</v>
      </c>
      <c r="BI595" s="15" t="str">
        <f t="shared" si="1045"/>
        <v>38</v>
      </c>
      <c r="BJ595" s="15" t="s">
        <v>2373</v>
      </c>
      <c r="BK595" s="15" t="str">
        <f t="shared" si="1046"/>
        <v>32</v>
      </c>
      <c r="BL595" s="15" t="s">
        <v>439</v>
      </c>
      <c r="BM595" s="15" t="str">
        <f>"178"</f>
        <v>178</v>
      </c>
      <c r="BN595" s="15" t="s">
        <v>6764</v>
      </c>
      <c r="BQ595" s="15" t="s">
        <v>444</v>
      </c>
      <c r="BS595" s="15" t="s">
        <v>444</v>
      </c>
      <c r="BU595" s="15" t="s">
        <v>444</v>
      </c>
      <c r="BW595" s="15" t="s">
        <v>444</v>
      </c>
      <c r="BZ595" s="15" t="s">
        <v>444</v>
      </c>
      <c r="CB595" s="15" t="s">
        <v>444</v>
      </c>
      <c r="CD595" s="15" t="s">
        <v>444</v>
      </c>
      <c r="CF595" s="15" t="s">
        <v>444</v>
      </c>
      <c r="CI595" s="15" t="s">
        <v>444</v>
      </c>
      <c r="CK595" s="15" t="s">
        <v>444</v>
      </c>
      <c r="CM595" s="15" t="s">
        <v>444</v>
      </c>
      <c r="CO595" s="15" t="s">
        <v>444</v>
      </c>
      <c r="CP595" s="15" t="str">
        <f t="shared" si="1047"/>
        <v>64.73</v>
      </c>
      <c r="CQ595" s="15" t="str">
        <f t="shared" si="1048"/>
        <v>1.833</v>
      </c>
      <c r="CR595" s="15" t="s">
        <v>465</v>
      </c>
      <c r="CY595" s="15" t="s">
        <v>2314</v>
      </c>
      <c r="CZ595" s="15" t="s">
        <v>2116</v>
      </c>
      <c r="DA595" s="15" t="s">
        <v>3481</v>
      </c>
      <c r="DB595" s="15" t="s">
        <v>2735</v>
      </c>
      <c r="DC595" s="15" t="str">
        <f>IFERROR(__xludf.DUMMYFUNCTION("""COMPUTED_VALUE"""),"{""value"":23.25,""unit"":""in""}")</f>
        <v>{"value":23.25,"unit":"in"}</v>
      </c>
      <c r="DD595" s="15" t="s">
        <v>1065</v>
      </c>
      <c r="DE595" s="15" t="str">
        <f>IFERROR(__xludf.DUMMYFUNCTION("""COMPUTED_VALUE"""),"{""value"":18.00,""unit"":""in""}")</f>
        <v>{"value":18.00,"unit":"in"}</v>
      </c>
      <c r="DF595" s="15" t="s">
        <v>4590</v>
      </c>
      <c r="DG595" s="15" t="str">
        <f>IFERROR(__xludf.DUMMYFUNCTION("""COMPUTED_VALUE"""),"{""value"":62.00,""unit"":""in""}")</f>
        <v>{"value":62.00,"unit":"in"}</v>
      </c>
      <c r="DH595" s="15">
        <v>2.0</v>
      </c>
      <c r="DI595" s="15">
        <v>1.0</v>
      </c>
      <c r="DJ595" s="15" t="s">
        <v>717</v>
      </c>
      <c r="DK595" s="15" t="s">
        <v>855</v>
      </c>
      <c r="DL595" s="15" t="str">
        <f>IFERROR(__xludf.DUMMYFUNCTION("""COMPUTED_VALUE"""),"Clean with solvent-based (dry clean only) products. Do not use water.")</f>
        <v>Clean with solvent-based (dry clean only) products. Do not use water.</v>
      </c>
      <c r="DM595" s="15" t="s">
        <v>856</v>
      </c>
      <c r="DQ595" s="15" t="s">
        <v>2502</v>
      </c>
      <c r="DT595" s="15" t="s">
        <v>1111</v>
      </c>
      <c r="DU595" s="15" t="s">
        <v>419</v>
      </c>
      <c r="DV595" s="15">
        <v>0.0</v>
      </c>
      <c r="DZ595" s="15">
        <v>27000.0</v>
      </c>
      <c r="EA595" s="15" t="s">
        <v>470</v>
      </c>
      <c r="EB595" s="15" t="s">
        <v>723</v>
      </c>
      <c r="EC595" s="15" t="s">
        <v>724</v>
      </c>
      <c r="ED595" s="15">
        <v>1.0</v>
      </c>
      <c r="EE595" s="15">
        <v>3.0</v>
      </c>
      <c r="EG595" s="15" t="s">
        <v>444</v>
      </c>
      <c r="EH595" s="15" t="s">
        <v>6756</v>
      </c>
      <c r="EI595" s="15">
        <v>0.0</v>
      </c>
      <c r="EJ595" s="15" t="s">
        <v>473</v>
      </c>
      <c r="EK595" s="15" t="s">
        <v>474</v>
      </c>
      <c r="EL595" s="15" t="s">
        <v>1574</v>
      </c>
      <c r="EM595" s="15" t="str">
        <f>IFERROR(__xludf.DUMMYFUNCTION("""COMPUTED_VALUE"""),"{""value"":28.00,""unit"":""in""}")</f>
        <v>{"value":28.00,"unit":"in"}</v>
      </c>
      <c r="EN595" s="15" t="s">
        <v>531</v>
      </c>
      <c r="EO595" s="15" t="s">
        <v>5081</v>
      </c>
      <c r="EP595" s="15" t="s">
        <v>2735</v>
      </c>
      <c r="EQ595" s="15" t="s">
        <v>1576</v>
      </c>
      <c r="ER595" s="15" t="s">
        <v>2402</v>
      </c>
      <c r="ES595" s="15" t="s">
        <v>2737</v>
      </c>
      <c r="ET595" s="15" t="s">
        <v>995</v>
      </c>
      <c r="EU595" s="15" t="s">
        <v>504</v>
      </c>
      <c r="EV595" s="15" t="s">
        <v>3481</v>
      </c>
      <c r="EW595" s="15" t="s">
        <v>5586</v>
      </c>
      <c r="EX595" s="15" t="s">
        <v>1240</v>
      </c>
      <c r="EY595" s="15" t="s">
        <v>6757</v>
      </c>
      <c r="EZ595" s="15" t="s">
        <v>531</v>
      </c>
      <c r="FA595" s="15" t="s">
        <v>724</v>
      </c>
      <c r="FB595" s="15" t="s">
        <v>426</v>
      </c>
      <c r="FC595" s="15" t="s">
        <v>723</v>
      </c>
      <c r="FD595" s="15" t="s">
        <v>724</v>
      </c>
      <c r="FE595" s="15" t="s">
        <v>2502</v>
      </c>
      <c r="FF595" s="15" t="s">
        <v>2502</v>
      </c>
      <c r="FS595" s="15" t="s">
        <v>2436</v>
      </c>
    </row>
    <row r="596" ht="15.75" customHeight="1">
      <c r="A596" s="14" t="s">
        <v>391</v>
      </c>
      <c r="B596" s="15" t="s">
        <v>6765</v>
      </c>
      <c r="C596" s="16"/>
      <c r="D596" s="15" t="s">
        <v>432</v>
      </c>
      <c r="G596" s="14" t="s">
        <v>393</v>
      </c>
      <c r="H596" s="14" t="s">
        <v>394</v>
      </c>
      <c r="I596" s="14" t="b">
        <v>1</v>
      </c>
      <c r="J596" s="14" t="s">
        <v>395</v>
      </c>
      <c r="L596" s="14" t="b">
        <v>0</v>
      </c>
      <c r="M596" s="15" t="s">
        <v>6766</v>
      </c>
      <c r="N596" s="14" t="s">
        <v>393</v>
      </c>
      <c r="O596" s="14" t="s">
        <v>393</v>
      </c>
      <c r="P596" s="15" t="s">
        <v>397</v>
      </c>
      <c r="Q596" s="15" t="s">
        <v>6767</v>
      </c>
      <c r="T596" s="14" t="b">
        <v>0</v>
      </c>
      <c r="U596" s="15" t="s">
        <v>6768</v>
      </c>
      <c r="V596" s="15" t="s">
        <v>2330</v>
      </c>
      <c r="W596" s="15" t="s">
        <v>401</v>
      </c>
      <c r="X596" s="15" t="s">
        <v>402</v>
      </c>
      <c r="Y596" s="15">
        <v>3822.0</v>
      </c>
      <c r="AA596" s="15" t="str">
        <f>"1470"</f>
        <v>1470</v>
      </c>
      <c r="AB596" s="14" t="b">
        <v>1</v>
      </c>
      <c r="AC596" s="14" t="b">
        <v>1</v>
      </c>
      <c r="AD596" s="15" t="str">
        <f>"801542308865"</f>
        <v>801542308865</v>
      </c>
      <c r="AE596" s="15" t="s">
        <v>6769</v>
      </c>
      <c r="AF596" s="14" t="s">
        <v>404</v>
      </c>
      <c r="AG596" s="14" t="s">
        <v>405</v>
      </c>
      <c r="AH596" s="14" t="s">
        <v>406</v>
      </c>
      <c r="AI596" s="15">
        <v>0.0</v>
      </c>
      <c r="AL596" s="15" t="s">
        <v>6770</v>
      </c>
      <c r="AM596" s="15" t="s">
        <v>452</v>
      </c>
      <c r="AN596" s="15" t="s">
        <v>453</v>
      </c>
      <c r="AO596" s="15" t="s">
        <v>1874</v>
      </c>
      <c r="AP596" s="15" t="s">
        <v>1875</v>
      </c>
      <c r="AQ596" s="15" t="s">
        <v>1801</v>
      </c>
      <c r="AR596" s="15" t="s">
        <v>1322</v>
      </c>
      <c r="AS596" s="15" t="s">
        <v>411</v>
      </c>
      <c r="AT596" s="15" t="s">
        <v>6767</v>
      </c>
      <c r="AU596" s="15" t="s">
        <v>5686</v>
      </c>
      <c r="AW596" s="15" t="s">
        <v>664</v>
      </c>
      <c r="AY596" s="15" t="s">
        <v>413</v>
      </c>
      <c r="AZ596" s="15" t="b">
        <v>0</v>
      </c>
      <c r="BA596" s="15" t="s">
        <v>413</v>
      </c>
      <c r="BB596" s="15" t="b">
        <v>0</v>
      </c>
      <c r="BC596" s="15" t="s">
        <v>6771</v>
      </c>
      <c r="BD596" s="15" t="s">
        <v>415</v>
      </c>
      <c r="BE596" s="15" t="str">
        <f t="shared" si="1043"/>
        <v>1</v>
      </c>
      <c r="BF596" s="15" t="s">
        <v>416</v>
      </c>
      <c r="BG596" s="15" t="str">
        <f>"77.56"</f>
        <v>77.56</v>
      </c>
      <c r="BH596" s="15" t="s">
        <v>6772</v>
      </c>
      <c r="BI596" s="15" t="str">
        <f>"24.8"</f>
        <v>24.8</v>
      </c>
      <c r="BJ596" s="15" t="s">
        <v>711</v>
      </c>
      <c r="BK596" s="15" t="str">
        <f>"38.58"</f>
        <v>38.58</v>
      </c>
      <c r="BL596" s="15" t="s">
        <v>442</v>
      </c>
      <c r="BM596" s="15" t="str">
        <f>"212.3"</f>
        <v>212.3</v>
      </c>
      <c r="BN596" s="15" t="s">
        <v>6773</v>
      </c>
      <c r="BQ596" s="15" t="s">
        <v>444</v>
      </c>
      <c r="BS596" s="15" t="s">
        <v>444</v>
      </c>
      <c r="BU596" s="15" t="s">
        <v>444</v>
      </c>
      <c r="BW596" s="15" t="s">
        <v>444</v>
      </c>
      <c r="BZ596" s="15" t="s">
        <v>444</v>
      </c>
      <c r="CB596" s="15" t="s">
        <v>444</v>
      </c>
      <c r="CD596" s="15" t="s">
        <v>444</v>
      </c>
      <c r="CF596" s="15" t="s">
        <v>444</v>
      </c>
      <c r="CI596" s="15" t="s">
        <v>444</v>
      </c>
      <c r="CK596" s="15" t="s">
        <v>444</v>
      </c>
      <c r="CM596" s="15" t="s">
        <v>444</v>
      </c>
      <c r="CO596" s="15" t="s">
        <v>444</v>
      </c>
      <c r="CP596" s="15" t="str">
        <f>"42.94"</f>
        <v>42.94</v>
      </c>
      <c r="CQ596" s="15" t="str">
        <f>"1.216"</f>
        <v>1.216</v>
      </c>
      <c r="CR596" s="15" t="s">
        <v>417</v>
      </c>
      <c r="CV596" s="15" t="s">
        <v>2020</v>
      </c>
      <c r="CW596" s="15" t="s">
        <v>5754</v>
      </c>
      <c r="CX596" s="15" t="s">
        <v>1739</v>
      </c>
      <c r="DC596" s="15" t="str">
        <f>IFERROR(__xludf.DUMMYFUNCTION("""COMPUTED_VALUE"""),"")</f>
        <v/>
      </c>
      <c r="DE596" s="15" t="str">
        <f>IFERROR(__xludf.DUMMYFUNCTION("""COMPUTED_VALUE"""),"")</f>
        <v/>
      </c>
      <c r="DG596" s="15" t="str">
        <f>IFERROR(__xludf.DUMMYFUNCTION("""COMPUTED_VALUE"""),"")</f>
        <v/>
      </c>
      <c r="DL596" s="15" t="str">
        <f>IFERROR(__xludf.DUMMYFUNCTION("""COMPUTED_VALUE"""),"")</f>
        <v/>
      </c>
      <c r="DM596" s="15" t="s">
        <v>444</v>
      </c>
      <c r="DN596" s="15" t="s">
        <v>419</v>
      </c>
      <c r="DO596" s="15">
        <v>0.0</v>
      </c>
      <c r="DP596" s="15" t="s">
        <v>419</v>
      </c>
      <c r="DR596" s="15">
        <v>0.0</v>
      </c>
      <c r="DT596" s="15" t="s">
        <v>1388</v>
      </c>
      <c r="DU596" s="15" t="s">
        <v>610</v>
      </c>
      <c r="DW596" s="15">
        <v>18.14</v>
      </c>
      <c r="DX596" s="15">
        <v>40.0</v>
      </c>
      <c r="DY596" s="15">
        <v>2.0</v>
      </c>
      <c r="EG596" s="15" t="s">
        <v>444</v>
      </c>
      <c r="EH596" s="15" t="s">
        <v>6774</v>
      </c>
      <c r="EJ596" s="15" t="s">
        <v>500</v>
      </c>
      <c r="EK596" s="15" t="s">
        <v>501</v>
      </c>
      <c r="EM596" s="15" t="str">
        <f>IFERROR(__xludf.DUMMYFUNCTION("""COMPUTED_VALUE"""),"")</f>
        <v/>
      </c>
      <c r="EW596" s="15" t="s">
        <v>429</v>
      </c>
      <c r="FM596" s="15">
        <v>2.0</v>
      </c>
      <c r="FY596" s="15" t="s">
        <v>6775</v>
      </c>
      <c r="FZ596" s="15" t="s">
        <v>2046</v>
      </c>
      <c r="GA596" s="15" t="s">
        <v>1804</v>
      </c>
      <c r="GB596" s="15" t="s">
        <v>2156</v>
      </c>
      <c r="GC596" s="15" t="s">
        <v>4469</v>
      </c>
      <c r="GD596" s="15" t="s">
        <v>6776</v>
      </c>
      <c r="GE596" s="15">
        <v>0.0</v>
      </c>
      <c r="GF596" s="15" t="s">
        <v>426</v>
      </c>
      <c r="GH596" s="15">
        <v>4.0</v>
      </c>
      <c r="GI596" s="15" t="s">
        <v>614</v>
      </c>
      <c r="GJ596" s="15" t="s">
        <v>615</v>
      </c>
      <c r="GK596" s="15">
        <v>0.0</v>
      </c>
      <c r="GL596" s="15" t="s">
        <v>426</v>
      </c>
      <c r="GN596" s="15" t="s">
        <v>616</v>
      </c>
    </row>
    <row r="597" ht="15.75" customHeight="1">
      <c r="A597" s="14" t="s">
        <v>391</v>
      </c>
      <c r="B597" s="15" t="s">
        <v>6777</v>
      </c>
      <c r="C597" s="16"/>
      <c r="D597" s="15" t="s">
        <v>432</v>
      </c>
      <c r="G597" s="14" t="s">
        <v>393</v>
      </c>
      <c r="H597" s="14" t="s">
        <v>394</v>
      </c>
      <c r="I597" s="14" t="b">
        <v>1</v>
      </c>
      <c r="J597" s="14" t="s">
        <v>395</v>
      </c>
      <c r="L597" s="14" t="b">
        <v>0</v>
      </c>
      <c r="M597" s="15" t="s">
        <v>6778</v>
      </c>
      <c r="N597" s="14" t="s">
        <v>393</v>
      </c>
      <c r="O597" s="14" t="s">
        <v>393</v>
      </c>
      <c r="P597" s="15" t="s">
        <v>397</v>
      </c>
      <c r="Q597" s="15" t="s">
        <v>6328</v>
      </c>
      <c r="R597" s="15" t="s">
        <v>265</v>
      </c>
      <c r="S597" s="15" t="s">
        <v>877</v>
      </c>
      <c r="T597" s="14" t="b">
        <v>0</v>
      </c>
      <c r="U597" s="15" t="s">
        <v>6779</v>
      </c>
      <c r="V597" s="15" t="s">
        <v>6780</v>
      </c>
      <c r="W597" s="15" t="s">
        <v>401</v>
      </c>
      <c r="X597" s="15" t="s">
        <v>1172</v>
      </c>
      <c r="Y597" s="15">
        <v>2405.0</v>
      </c>
      <c r="AA597" s="15" t="str">
        <f>"925"</f>
        <v>925</v>
      </c>
      <c r="AB597" s="14" t="b">
        <v>1</v>
      </c>
      <c r="AC597" s="14" t="b">
        <v>1</v>
      </c>
      <c r="AD597" s="15" t="str">
        <f>"801542759117"</f>
        <v>801542759117</v>
      </c>
      <c r="AE597" s="15" t="s">
        <v>6781</v>
      </c>
      <c r="AF597" s="14" t="s">
        <v>404</v>
      </c>
      <c r="AG597" s="14" t="s">
        <v>405</v>
      </c>
      <c r="AH597" s="14" t="s">
        <v>406</v>
      </c>
      <c r="AI597" s="15">
        <v>0.0</v>
      </c>
      <c r="AL597" s="15" t="s">
        <v>6782</v>
      </c>
      <c r="AM597" s="15" t="s">
        <v>6783</v>
      </c>
      <c r="AN597" s="15" t="s">
        <v>6784</v>
      </c>
      <c r="AO597" s="15" t="s">
        <v>6541</v>
      </c>
      <c r="AP597" s="15" t="s">
        <v>6542</v>
      </c>
      <c r="AQ597" s="15" t="s">
        <v>2675</v>
      </c>
      <c r="AR597" s="15" t="s">
        <v>2676</v>
      </c>
      <c r="AS597" s="15" t="s">
        <v>6785</v>
      </c>
      <c r="AT597" s="15" t="s">
        <v>6328</v>
      </c>
      <c r="AU597" s="15" t="s">
        <v>6786</v>
      </c>
      <c r="AW597" s="15" t="s">
        <v>839</v>
      </c>
      <c r="AX597" s="15" t="s">
        <v>877</v>
      </c>
      <c r="AY597" s="15" t="s">
        <v>413</v>
      </c>
      <c r="AZ597" s="15" t="b">
        <v>0</v>
      </c>
      <c r="BA597" s="15" t="s">
        <v>413</v>
      </c>
      <c r="BB597" s="15" t="b">
        <v>0</v>
      </c>
      <c r="BC597" s="15" t="s">
        <v>6787</v>
      </c>
      <c r="BD597" s="15" t="s">
        <v>1181</v>
      </c>
      <c r="BE597" s="15" t="str">
        <f t="shared" ref="BE597:BE598" si="1049">"2"</f>
        <v>2</v>
      </c>
      <c r="BF597" s="15" t="s">
        <v>6788</v>
      </c>
      <c r="BG597" s="15" t="str">
        <f>"90"</f>
        <v>90</v>
      </c>
      <c r="BH597" s="15" t="s">
        <v>583</v>
      </c>
      <c r="BI597" s="15" t="str">
        <f>"17.75"</f>
        <v>17.75</v>
      </c>
      <c r="BJ597" s="15" t="s">
        <v>1875</v>
      </c>
      <c r="BK597" s="15" t="str">
        <f>"15.25"</f>
        <v>15.25</v>
      </c>
      <c r="BL597" s="15" t="s">
        <v>4405</v>
      </c>
      <c r="BM597" s="15" t="str">
        <f>"158.07"</f>
        <v>158.07</v>
      </c>
      <c r="BN597" s="15" t="s">
        <v>6789</v>
      </c>
      <c r="BO597" s="15" t="s">
        <v>6790</v>
      </c>
      <c r="BP597" s="15" t="str">
        <f>"69.69"</f>
        <v>69.69</v>
      </c>
      <c r="BQ597" s="15" t="s">
        <v>4211</v>
      </c>
      <c r="BR597" s="15" t="str">
        <f>"10.24"</f>
        <v>10.24</v>
      </c>
      <c r="BS597" s="15" t="s">
        <v>6791</v>
      </c>
      <c r="BT597" s="15" t="str">
        <f>"58.66"</f>
        <v>58.66</v>
      </c>
      <c r="BU597" s="15" t="s">
        <v>5094</v>
      </c>
      <c r="BV597" s="15" t="str">
        <f>"102.73"</f>
        <v>102.73</v>
      </c>
      <c r="BW597" s="15" t="s">
        <v>6792</v>
      </c>
      <c r="BZ597" s="15" t="s">
        <v>444</v>
      </c>
      <c r="CB597" s="15" t="s">
        <v>444</v>
      </c>
      <c r="CD597" s="15" t="s">
        <v>444</v>
      </c>
      <c r="CF597" s="15" t="s">
        <v>444</v>
      </c>
      <c r="CI597" s="15" t="s">
        <v>444</v>
      </c>
      <c r="CK597" s="15" t="s">
        <v>444</v>
      </c>
      <c r="CM597" s="15" t="s">
        <v>444</v>
      </c>
      <c r="CO597" s="15" t="s">
        <v>444</v>
      </c>
      <c r="CP597" s="15" t="str">
        <f>"38.32"</f>
        <v>38.32</v>
      </c>
      <c r="CQ597" s="15" t="str">
        <f>"1.085"</f>
        <v>1.085</v>
      </c>
      <c r="CR597" s="15" t="s">
        <v>465</v>
      </c>
      <c r="DC597" s="15" t="str">
        <f>IFERROR(__xludf.DUMMYFUNCTION("""COMPUTED_VALUE"""),"")</f>
        <v/>
      </c>
      <c r="DE597" s="15" t="str">
        <f>IFERROR(__xludf.DUMMYFUNCTION("""COMPUTED_VALUE"""),"")</f>
        <v/>
      </c>
      <c r="DG597" s="15" t="str">
        <f>IFERROR(__xludf.DUMMYFUNCTION("""COMPUTED_VALUE"""),"")</f>
        <v/>
      </c>
      <c r="DK597" s="15" t="s">
        <v>718</v>
      </c>
      <c r="DL597" s="15" t="str">
        <f>IFERROR(__xludf.DUMMYFUNCTION("""COMPUTED_VALUE"""),"Vacuum or light brush only. Do not use water or any cleaning products.")</f>
        <v>Vacuum or light brush only. Do not use water or any cleaning products.</v>
      </c>
      <c r="DM597" s="15" t="s">
        <v>719</v>
      </c>
      <c r="DN597" s="15" t="s">
        <v>419</v>
      </c>
      <c r="DO597" s="15">
        <v>0.0</v>
      </c>
      <c r="DP597" s="15" t="s">
        <v>419</v>
      </c>
      <c r="DR597" s="15">
        <v>0.0</v>
      </c>
      <c r="DT597" s="15" t="s">
        <v>1186</v>
      </c>
      <c r="DU597" s="15" t="s">
        <v>419</v>
      </c>
      <c r="DW597" s="15">
        <v>0.0</v>
      </c>
      <c r="DX597" s="15">
        <v>0.0</v>
      </c>
      <c r="DY597" s="15">
        <v>0.0</v>
      </c>
      <c r="DZ597" s="15">
        <v>0.0</v>
      </c>
      <c r="EG597" s="15" t="s">
        <v>444</v>
      </c>
      <c r="EH597" s="15" t="s">
        <v>6793</v>
      </c>
      <c r="EJ597" s="15" t="s">
        <v>858</v>
      </c>
      <c r="EK597" s="15" t="s">
        <v>859</v>
      </c>
      <c r="EM597" s="15" t="str">
        <f>IFERROR(__xludf.DUMMYFUNCTION("""COMPUTED_VALUE"""),"")</f>
        <v/>
      </c>
      <c r="FM597" s="15">
        <v>0.0</v>
      </c>
      <c r="IM597" s="15" t="s">
        <v>2402</v>
      </c>
      <c r="IN597" s="15" t="s">
        <v>2402</v>
      </c>
      <c r="IO597" s="15" t="s">
        <v>2402</v>
      </c>
      <c r="IP597" s="15" t="s">
        <v>555</v>
      </c>
      <c r="IQ597" s="15" t="s">
        <v>672</v>
      </c>
      <c r="IR597" s="15" t="s">
        <v>5184</v>
      </c>
      <c r="IS597" s="15" t="s">
        <v>3338</v>
      </c>
      <c r="IT597" s="15" t="s">
        <v>672</v>
      </c>
      <c r="IU597" s="15" t="s">
        <v>5184</v>
      </c>
      <c r="IV597" s="15" t="s">
        <v>945</v>
      </c>
      <c r="IW597" s="15" t="s">
        <v>2638</v>
      </c>
      <c r="IX597" s="15" t="s">
        <v>1682</v>
      </c>
      <c r="IY597" s="15" t="s">
        <v>475</v>
      </c>
      <c r="IZ597" s="15" t="s">
        <v>945</v>
      </c>
      <c r="JA597" s="15" t="s">
        <v>784</v>
      </c>
      <c r="JB597" s="15" t="s">
        <v>426</v>
      </c>
      <c r="JC597" s="15" t="s">
        <v>2973</v>
      </c>
      <c r="JD597" s="15" t="s">
        <v>6794</v>
      </c>
      <c r="JE597" s="15" t="s">
        <v>873</v>
      </c>
      <c r="JF597" s="15" t="s">
        <v>877</v>
      </c>
      <c r="JL597" s="15" t="s">
        <v>940</v>
      </c>
      <c r="JM597" s="15" t="s">
        <v>1160</v>
      </c>
      <c r="JN597" s="15" t="s">
        <v>940</v>
      </c>
      <c r="JO597" s="15" t="s">
        <v>426</v>
      </c>
      <c r="JP597" s="15" t="s">
        <v>2474</v>
      </c>
    </row>
    <row r="598" ht="15.75" customHeight="1">
      <c r="A598" s="14" t="s">
        <v>391</v>
      </c>
      <c r="B598" s="15" t="s">
        <v>6777</v>
      </c>
      <c r="C598" s="16"/>
      <c r="D598" s="15" t="s">
        <v>432</v>
      </c>
      <c r="G598" s="14" t="s">
        <v>393</v>
      </c>
      <c r="H598" s="14" t="s">
        <v>394</v>
      </c>
      <c r="I598" s="14" t="b">
        <v>1</v>
      </c>
      <c r="J598" s="14" t="s">
        <v>395</v>
      </c>
      <c r="L598" s="14" t="b">
        <v>0</v>
      </c>
      <c r="M598" s="15" t="s">
        <v>6795</v>
      </c>
      <c r="N598" s="14" t="s">
        <v>393</v>
      </c>
      <c r="O598" s="14" t="s">
        <v>393</v>
      </c>
      <c r="P598" s="15" t="s">
        <v>397</v>
      </c>
      <c r="Q598" s="15" t="s">
        <v>6328</v>
      </c>
      <c r="R598" s="15" t="s">
        <v>265</v>
      </c>
      <c r="S598" s="15" t="s">
        <v>828</v>
      </c>
      <c r="T598" s="14" t="b">
        <v>0</v>
      </c>
      <c r="U598" s="15" t="s">
        <v>6796</v>
      </c>
      <c r="V598" s="15" t="s">
        <v>6797</v>
      </c>
      <c r="W598" s="15" t="s">
        <v>401</v>
      </c>
      <c r="X598" s="15" t="s">
        <v>1172</v>
      </c>
      <c r="Y598" s="15">
        <v>2847.0</v>
      </c>
      <c r="AA598" s="15" t="str">
        <f>"1095"</f>
        <v>1095</v>
      </c>
      <c r="AB598" s="14" t="b">
        <v>1</v>
      </c>
      <c r="AC598" s="14" t="b">
        <v>1</v>
      </c>
      <c r="AD598" s="15" t="str">
        <f>"801542759087"</f>
        <v>801542759087</v>
      </c>
      <c r="AE598" s="15" t="s">
        <v>6798</v>
      </c>
      <c r="AF598" s="14" t="s">
        <v>404</v>
      </c>
      <c r="AG598" s="14" t="s">
        <v>405</v>
      </c>
      <c r="AH598" s="14" t="s">
        <v>406</v>
      </c>
      <c r="AI598" s="15">
        <v>0.0</v>
      </c>
      <c r="AL598" s="15" t="s">
        <v>6782</v>
      </c>
      <c r="AM598" s="15" t="s">
        <v>6799</v>
      </c>
      <c r="AN598" s="15" t="s">
        <v>6800</v>
      </c>
      <c r="AO598" s="15" t="s">
        <v>6541</v>
      </c>
      <c r="AP598" s="15" t="s">
        <v>6542</v>
      </c>
      <c r="AQ598" s="15" t="s">
        <v>2675</v>
      </c>
      <c r="AR598" s="15" t="s">
        <v>2676</v>
      </c>
      <c r="AS598" s="15" t="s">
        <v>6785</v>
      </c>
      <c r="AT598" s="15" t="s">
        <v>6328</v>
      </c>
      <c r="AU598" s="15" t="s">
        <v>6786</v>
      </c>
      <c r="AW598" s="15" t="s">
        <v>839</v>
      </c>
      <c r="AX598" s="15" t="s">
        <v>828</v>
      </c>
      <c r="AY598" s="15" t="s">
        <v>413</v>
      </c>
      <c r="AZ598" s="15" t="b">
        <v>0</v>
      </c>
      <c r="BA598" s="15" t="s">
        <v>413</v>
      </c>
      <c r="BB598" s="15" t="b">
        <v>0</v>
      </c>
      <c r="BC598" s="15" t="s">
        <v>6787</v>
      </c>
      <c r="BD598" s="15" t="s">
        <v>1181</v>
      </c>
      <c r="BE598" s="15" t="str">
        <f t="shared" si="1049"/>
        <v>2</v>
      </c>
      <c r="BF598" s="15" t="s">
        <v>6788</v>
      </c>
      <c r="BG598" s="15" t="str">
        <f>"89.5"</f>
        <v>89.5</v>
      </c>
      <c r="BH598" s="15" t="s">
        <v>6801</v>
      </c>
      <c r="BI598" s="15" t="str">
        <f>"18.5"</f>
        <v>18.5</v>
      </c>
      <c r="BJ598" s="15" t="s">
        <v>810</v>
      </c>
      <c r="BK598" s="15" t="str">
        <f>"14.75"</f>
        <v>14.75</v>
      </c>
      <c r="BL598" s="15" t="s">
        <v>6802</v>
      </c>
      <c r="BM598" s="15" t="str">
        <f>"154.87"</f>
        <v>154.87</v>
      </c>
      <c r="BN598" s="15" t="s">
        <v>6803</v>
      </c>
      <c r="BO598" s="15" t="s">
        <v>6790</v>
      </c>
      <c r="BP598" s="15" t="str">
        <f>"86.75"</f>
        <v>86.75</v>
      </c>
      <c r="BQ598" s="15" t="s">
        <v>6804</v>
      </c>
      <c r="BR598" s="15" t="str">
        <f>"11.5"</f>
        <v>11.5</v>
      </c>
      <c r="BS598" s="15" t="s">
        <v>6805</v>
      </c>
      <c r="BT598" s="15" t="str">
        <f>"60.75"</f>
        <v>60.75</v>
      </c>
      <c r="BU598" s="15" t="s">
        <v>6806</v>
      </c>
      <c r="BV598" s="15" t="str">
        <f>"122.91"</f>
        <v>122.91</v>
      </c>
      <c r="BW598" s="15" t="s">
        <v>6807</v>
      </c>
      <c r="BZ598" s="15" t="s">
        <v>444</v>
      </c>
      <c r="CB598" s="15" t="s">
        <v>444</v>
      </c>
      <c r="CD598" s="15" t="s">
        <v>444</v>
      </c>
      <c r="CF598" s="15" t="s">
        <v>444</v>
      </c>
      <c r="CI598" s="15" t="s">
        <v>444</v>
      </c>
      <c r="CK598" s="15" t="s">
        <v>444</v>
      </c>
      <c r="CM598" s="15" t="s">
        <v>444</v>
      </c>
      <c r="CO598" s="15" t="s">
        <v>444</v>
      </c>
      <c r="CP598" s="15" t="str">
        <f>"49.19"</f>
        <v>49.19</v>
      </c>
      <c r="CQ598" s="15" t="str">
        <f>"1.393"</f>
        <v>1.393</v>
      </c>
      <c r="CR598" s="15" t="s">
        <v>417</v>
      </c>
      <c r="DC598" s="15" t="str">
        <f>IFERROR(__xludf.DUMMYFUNCTION("""COMPUTED_VALUE"""),"")</f>
        <v/>
      </c>
      <c r="DE598" s="15" t="str">
        <f>IFERROR(__xludf.DUMMYFUNCTION("""COMPUTED_VALUE"""),"")</f>
        <v/>
      </c>
      <c r="DG598" s="15" t="str">
        <f>IFERROR(__xludf.DUMMYFUNCTION("""COMPUTED_VALUE"""),"")</f>
        <v/>
      </c>
      <c r="DK598" s="15" t="s">
        <v>718</v>
      </c>
      <c r="DL598" s="15" t="str">
        <f>IFERROR(__xludf.DUMMYFUNCTION("""COMPUTED_VALUE"""),"Vacuum or light brush only. Do not use water or any cleaning products.")</f>
        <v>Vacuum or light brush only. Do not use water or any cleaning products.</v>
      </c>
      <c r="DM598" s="15" t="s">
        <v>719</v>
      </c>
      <c r="DN598" s="15" t="s">
        <v>419</v>
      </c>
      <c r="DO598" s="15">
        <v>0.0</v>
      </c>
      <c r="DP598" s="15" t="s">
        <v>419</v>
      </c>
      <c r="DR598" s="15">
        <v>0.0</v>
      </c>
      <c r="DT598" s="15" t="s">
        <v>1186</v>
      </c>
      <c r="DU598" s="15" t="s">
        <v>419</v>
      </c>
      <c r="DW598" s="15">
        <v>0.0</v>
      </c>
      <c r="DX598" s="15">
        <v>0.0</v>
      </c>
      <c r="DY598" s="15">
        <v>0.0</v>
      </c>
      <c r="DZ598" s="15">
        <v>0.0</v>
      </c>
      <c r="EG598" s="15" t="s">
        <v>444</v>
      </c>
      <c r="EH598" s="15" t="s">
        <v>6793</v>
      </c>
      <c r="EJ598" s="15" t="s">
        <v>858</v>
      </c>
      <c r="EK598" s="15" t="s">
        <v>859</v>
      </c>
      <c r="EM598" s="15" t="str">
        <f>IFERROR(__xludf.DUMMYFUNCTION("""COMPUTED_VALUE"""),"")</f>
        <v/>
      </c>
      <c r="FM598" s="15">
        <v>0.0</v>
      </c>
      <c r="IM598" s="15" t="s">
        <v>2402</v>
      </c>
      <c r="IN598" s="15" t="s">
        <v>2402</v>
      </c>
      <c r="IO598" s="15" t="s">
        <v>2402</v>
      </c>
      <c r="IP598" s="15" t="s">
        <v>555</v>
      </c>
      <c r="IQ598" s="15" t="s">
        <v>672</v>
      </c>
      <c r="IR598" s="15" t="s">
        <v>6260</v>
      </c>
      <c r="IS598" s="15" t="s">
        <v>3338</v>
      </c>
      <c r="IT598" s="15" t="s">
        <v>672</v>
      </c>
      <c r="IU598" s="15" t="s">
        <v>6260</v>
      </c>
      <c r="IV598" s="15" t="s">
        <v>945</v>
      </c>
      <c r="IW598" s="15" t="s">
        <v>2638</v>
      </c>
      <c r="IX598" s="15" t="s">
        <v>1754</v>
      </c>
      <c r="IY598" s="15" t="s">
        <v>475</v>
      </c>
      <c r="IZ598" s="15" t="s">
        <v>945</v>
      </c>
      <c r="JA598" s="15" t="s">
        <v>784</v>
      </c>
      <c r="JB598" s="15" t="s">
        <v>426</v>
      </c>
      <c r="JC598" s="15" t="s">
        <v>2973</v>
      </c>
      <c r="JD598" s="15" t="s">
        <v>6794</v>
      </c>
      <c r="JE598" s="15" t="s">
        <v>873</v>
      </c>
      <c r="JF598" s="15" t="s">
        <v>828</v>
      </c>
      <c r="JL598" s="15" t="s">
        <v>940</v>
      </c>
      <c r="JM598" s="15" t="s">
        <v>4943</v>
      </c>
      <c r="JN598" s="15" t="s">
        <v>940</v>
      </c>
      <c r="JO598" s="15" t="s">
        <v>426</v>
      </c>
      <c r="JP598" s="15" t="s">
        <v>2474</v>
      </c>
    </row>
    <row r="599" ht="15.75" customHeight="1">
      <c r="A599" s="14" t="s">
        <v>391</v>
      </c>
      <c r="B599" s="15" t="s">
        <v>6808</v>
      </c>
      <c r="C599" s="16"/>
      <c r="D599" s="15" t="s">
        <v>432</v>
      </c>
      <c r="G599" s="14" t="s">
        <v>393</v>
      </c>
      <c r="H599" s="14" t="s">
        <v>394</v>
      </c>
      <c r="I599" s="14" t="b">
        <v>1</v>
      </c>
      <c r="J599" s="14" t="s">
        <v>395</v>
      </c>
      <c r="L599" s="14" t="b">
        <v>0</v>
      </c>
      <c r="M599" s="15" t="s">
        <v>6809</v>
      </c>
      <c r="N599" s="14" t="s">
        <v>393</v>
      </c>
      <c r="O599" s="14" t="s">
        <v>393</v>
      </c>
      <c r="P599" s="15" t="s">
        <v>397</v>
      </c>
      <c r="Q599" s="15" t="s">
        <v>6810</v>
      </c>
      <c r="T599" s="14" t="b">
        <v>0</v>
      </c>
      <c r="U599" s="15" t="s">
        <v>6811</v>
      </c>
      <c r="V599" s="15" t="s">
        <v>6373</v>
      </c>
      <c r="W599" s="15" t="s">
        <v>401</v>
      </c>
      <c r="X599" s="15" t="s">
        <v>695</v>
      </c>
      <c r="Y599" s="15">
        <v>715.0</v>
      </c>
      <c r="AA599" s="15" t="str">
        <f>"275"</f>
        <v>275</v>
      </c>
      <c r="AB599" s="14" t="b">
        <v>1</v>
      </c>
      <c r="AC599" s="14" t="b">
        <v>1</v>
      </c>
      <c r="AD599" s="15" t="str">
        <f>"801542313173"</f>
        <v>801542313173</v>
      </c>
      <c r="AE599" s="15" t="s">
        <v>6812</v>
      </c>
      <c r="AF599" s="14" t="s">
        <v>404</v>
      </c>
      <c r="AG599" s="14" t="s">
        <v>405</v>
      </c>
      <c r="AH599" s="14" t="s">
        <v>406</v>
      </c>
      <c r="AI599" s="15">
        <v>0.0</v>
      </c>
      <c r="AL599" s="15" t="s">
        <v>6813</v>
      </c>
      <c r="AM599" s="15" t="s">
        <v>456</v>
      </c>
      <c r="AN599" s="15" t="s">
        <v>457</v>
      </c>
      <c r="AO599" s="15" t="s">
        <v>456</v>
      </c>
      <c r="AP599" s="15" t="s">
        <v>457</v>
      </c>
      <c r="AQ599" s="15" t="s">
        <v>454</v>
      </c>
      <c r="AR599" s="15" t="s">
        <v>455</v>
      </c>
      <c r="AS599" s="15" t="s">
        <v>2800</v>
      </c>
      <c r="AT599" s="15" t="s">
        <v>6810</v>
      </c>
      <c r="AU599" s="15" t="s">
        <v>6814</v>
      </c>
      <c r="AW599" s="15" t="s">
        <v>1009</v>
      </c>
      <c r="AY599" s="15" t="s">
        <v>413</v>
      </c>
      <c r="AZ599" s="15" t="b">
        <v>0</v>
      </c>
      <c r="BA599" s="15" t="s">
        <v>413</v>
      </c>
      <c r="BB599" s="15" t="b">
        <v>0</v>
      </c>
      <c r="BC599" s="15" t="s">
        <v>6815</v>
      </c>
      <c r="BD599" s="15" t="s">
        <v>709</v>
      </c>
      <c r="BE599" s="15" t="str">
        <f t="shared" ref="BE599:BE612" si="1050">"1"</f>
        <v>1</v>
      </c>
      <c r="BF599" s="15" t="s">
        <v>416</v>
      </c>
      <c r="BG599" s="15" t="str">
        <f>"20.08"</f>
        <v>20.08</v>
      </c>
      <c r="BH599" s="15" t="s">
        <v>4825</v>
      </c>
      <c r="BI599" s="15" t="str">
        <f>"20.08"</f>
        <v>20.08</v>
      </c>
      <c r="BJ599" s="15" t="s">
        <v>4825</v>
      </c>
      <c r="BK599" s="15" t="str">
        <f>"21.46"</f>
        <v>21.46</v>
      </c>
      <c r="BL599" s="15" t="s">
        <v>1385</v>
      </c>
      <c r="BM599" s="15" t="str">
        <f>"29.76"</f>
        <v>29.76</v>
      </c>
      <c r="BN599" s="15" t="s">
        <v>6816</v>
      </c>
      <c r="BQ599" s="15" t="s">
        <v>444</v>
      </c>
      <c r="BS599" s="15" t="s">
        <v>444</v>
      </c>
      <c r="BU599" s="15" t="s">
        <v>444</v>
      </c>
      <c r="BW599" s="15" t="s">
        <v>444</v>
      </c>
      <c r="BZ599" s="15" t="s">
        <v>444</v>
      </c>
      <c r="CB599" s="15" t="s">
        <v>444</v>
      </c>
      <c r="CD599" s="15" t="s">
        <v>444</v>
      </c>
      <c r="CF599" s="15" t="s">
        <v>444</v>
      </c>
      <c r="CI599" s="15" t="s">
        <v>444</v>
      </c>
      <c r="CK599" s="15" t="s">
        <v>444</v>
      </c>
      <c r="CM599" s="15" t="s">
        <v>444</v>
      </c>
      <c r="CO599" s="15" t="s">
        <v>444</v>
      </c>
      <c r="CP599" s="15" t="str">
        <f>"5.01"</f>
        <v>5.01</v>
      </c>
      <c r="CQ599" s="15" t="str">
        <f>"0.142"</f>
        <v>0.142</v>
      </c>
      <c r="CR599" s="15" t="s">
        <v>465</v>
      </c>
      <c r="DB599" s="15" t="s">
        <v>1065</v>
      </c>
      <c r="DC599" s="15" t="str">
        <f>IFERROR(__xludf.DUMMYFUNCTION("""COMPUTED_VALUE"""),"{""value"":18.00,""unit"":""in""}")</f>
        <v>{"value":18.00,"unit":"in"}</v>
      </c>
      <c r="DD599" s="15" t="s">
        <v>466</v>
      </c>
      <c r="DE599" s="15" t="str">
        <f>IFERROR(__xludf.DUMMYFUNCTION("""COMPUTED_VALUE"""),"{""value"":19.25,""unit"":""in""}")</f>
        <v>{"value":19.25,"unit":"in"}</v>
      </c>
      <c r="DF599" s="15" t="s">
        <v>1065</v>
      </c>
      <c r="DG599" s="15" t="str">
        <f>IFERROR(__xludf.DUMMYFUNCTION("""COMPUTED_VALUE"""),"{""value"":18.00,""unit"":""in""}")</f>
        <v>{"value":18.00,"unit":"in"}</v>
      </c>
      <c r="DH599" s="15">
        <v>0.0</v>
      </c>
      <c r="DI599" s="15">
        <v>0.0</v>
      </c>
      <c r="DJ599" s="15" t="s">
        <v>469</v>
      </c>
      <c r="DK599" s="15" t="s">
        <v>934</v>
      </c>
      <c r="DL599" s="15" t="str">
        <f>IFERROR(__xludf.DUMMYFUNCTION("""COMPUTED_VALUE"""),"Spot clean with water-based or solvent-based cleaner. Use mild detergent or upholstery shampoo.")</f>
        <v>Spot clean with water-based or solvent-based cleaner. Use mild detergent or upholstery shampoo.</v>
      </c>
      <c r="DM599" s="15" t="s">
        <v>935</v>
      </c>
      <c r="DN599" s="15" t="s">
        <v>419</v>
      </c>
      <c r="DO599" s="15">
        <v>0.0</v>
      </c>
      <c r="DP599" s="15" t="s">
        <v>419</v>
      </c>
      <c r="DQ599" s="15" t="s">
        <v>1255</v>
      </c>
      <c r="DR599" s="15">
        <v>0.0</v>
      </c>
      <c r="DT599" s="15" t="s">
        <v>420</v>
      </c>
      <c r="DU599" s="15" t="s">
        <v>419</v>
      </c>
      <c r="DV599" s="15">
        <v>0.0</v>
      </c>
      <c r="DW599" s="15">
        <v>0.0</v>
      </c>
      <c r="DX599" s="15">
        <v>0.0</v>
      </c>
      <c r="DY599" s="15">
        <v>0.0</v>
      </c>
      <c r="DZ599" s="15">
        <v>30000.0</v>
      </c>
      <c r="EA599" s="15" t="s">
        <v>722</v>
      </c>
      <c r="EB599" s="15" t="s">
        <v>1016</v>
      </c>
      <c r="ED599" s="15">
        <v>1.0</v>
      </c>
      <c r="EE599" s="15">
        <v>1.0</v>
      </c>
      <c r="EF599" s="15" t="s">
        <v>1157</v>
      </c>
      <c r="EG599" s="15" t="s">
        <v>1158</v>
      </c>
      <c r="EH599" s="15" t="s">
        <v>6817</v>
      </c>
      <c r="EI599" s="15">
        <v>0.0</v>
      </c>
      <c r="EJ599" s="15" t="s">
        <v>726</v>
      </c>
      <c r="EK599" s="15" t="s">
        <v>727</v>
      </c>
      <c r="EM599" s="15" t="str">
        <f>IFERROR(__xludf.DUMMYFUNCTION("""COMPUTED_VALUE"""),"")</f>
        <v/>
      </c>
      <c r="EW599" s="15" t="s">
        <v>6743</v>
      </c>
      <c r="EX599" s="15" t="s">
        <v>2736</v>
      </c>
      <c r="EY599" s="15" t="s">
        <v>2736</v>
      </c>
    </row>
    <row r="600" ht="15.75" customHeight="1">
      <c r="A600" s="14" t="s">
        <v>391</v>
      </c>
      <c r="B600" s="15" t="s">
        <v>6818</v>
      </c>
      <c r="C600" s="16"/>
      <c r="D600" s="15" t="s">
        <v>432</v>
      </c>
      <c r="G600" s="14" t="s">
        <v>393</v>
      </c>
      <c r="H600" s="14" t="s">
        <v>394</v>
      </c>
      <c r="I600" s="14" t="b">
        <v>1</v>
      </c>
      <c r="J600" s="14" t="s">
        <v>395</v>
      </c>
      <c r="L600" s="14" t="b">
        <v>0</v>
      </c>
      <c r="M600" s="15" t="s">
        <v>6819</v>
      </c>
      <c r="N600" s="14" t="s">
        <v>393</v>
      </c>
      <c r="O600" s="14" t="s">
        <v>393</v>
      </c>
      <c r="P600" s="15" t="s">
        <v>397</v>
      </c>
      <c r="Q600" s="15" t="s">
        <v>6820</v>
      </c>
      <c r="T600" s="14" t="b">
        <v>0</v>
      </c>
      <c r="U600" s="15" t="s">
        <v>6821</v>
      </c>
      <c r="V600" s="15" t="s">
        <v>6822</v>
      </c>
      <c r="W600" s="15" t="s">
        <v>401</v>
      </c>
      <c r="X600" s="15" t="s">
        <v>695</v>
      </c>
      <c r="Y600" s="15">
        <v>1703.0</v>
      </c>
      <c r="AA600" s="15" t="str">
        <f>"655"</f>
        <v>655</v>
      </c>
      <c r="AB600" s="14" t="b">
        <v>1</v>
      </c>
      <c r="AC600" s="14" t="b">
        <v>1</v>
      </c>
      <c r="AD600" s="15" t="str">
        <f>"801542451196"</f>
        <v>801542451196</v>
      </c>
      <c r="AE600" s="15" t="s">
        <v>6823</v>
      </c>
      <c r="AF600" s="14" t="s">
        <v>404</v>
      </c>
      <c r="AG600" s="14" t="s">
        <v>405</v>
      </c>
      <c r="AH600" s="14" t="s">
        <v>406</v>
      </c>
      <c r="AI600" s="15">
        <v>0.0</v>
      </c>
      <c r="AL600" s="15" t="s">
        <v>2527</v>
      </c>
      <c r="AM600" s="15" t="s">
        <v>452</v>
      </c>
      <c r="AN600" s="15" t="s">
        <v>453</v>
      </c>
      <c r="AO600" s="15" t="s">
        <v>645</v>
      </c>
      <c r="AP600" s="15" t="s">
        <v>646</v>
      </c>
      <c r="AQ600" s="15" t="s">
        <v>546</v>
      </c>
      <c r="AR600" s="15" t="s">
        <v>547</v>
      </c>
      <c r="AS600" s="15" t="s">
        <v>1628</v>
      </c>
      <c r="AT600" s="15" t="s">
        <v>6820</v>
      </c>
      <c r="AU600" s="15" t="s">
        <v>2801</v>
      </c>
      <c r="AW600" s="15" t="s">
        <v>1226</v>
      </c>
      <c r="AY600" s="15" t="s">
        <v>413</v>
      </c>
      <c r="AZ600" s="15" t="b">
        <v>0</v>
      </c>
      <c r="BA600" s="15" t="s">
        <v>426</v>
      </c>
      <c r="BB600" s="15" t="b">
        <v>1</v>
      </c>
      <c r="BC600" s="15" t="s">
        <v>6824</v>
      </c>
      <c r="BD600" s="15" t="s">
        <v>709</v>
      </c>
      <c r="BE600" s="15" t="str">
        <f t="shared" si="1050"/>
        <v>1</v>
      </c>
      <c r="BF600" s="15" t="s">
        <v>416</v>
      </c>
      <c r="BG600" s="15" t="str">
        <f>"70.28"</f>
        <v>70.28</v>
      </c>
      <c r="BH600" s="15" t="s">
        <v>3947</v>
      </c>
      <c r="BI600" s="15" t="str">
        <f>"36.02"</f>
        <v>36.02</v>
      </c>
      <c r="BJ600" s="15" t="s">
        <v>4053</v>
      </c>
      <c r="BK600" s="15" t="str">
        <f>"22.44"</f>
        <v>22.44</v>
      </c>
      <c r="BL600" s="15" t="s">
        <v>1156</v>
      </c>
      <c r="BM600" s="15" t="str">
        <f>"88.18"</f>
        <v>88.18</v>
      </c>
      <c r="BN600" s="15" t="s">
        <v>5169</v>
      </c>
      <c r="BQ600" s="15" t="s">
        <v>444</v>
      </c>
      <c r="BS600" s="15" t="s">
        <v>444</v>
      </c>
      <c r="BU600" s="15" t="s">
        <v>444</v>
      </c>
      <c r="BW600" s="15" t="s">
        <v>444</v>
      </c>
      <c r="BZ600" s="15" t="s">
        <v>444</v>
      </c>
      <c r="CB600" s="15" t="s">
        <v>444</v>
      </c>
      <c r="CD600" s="15" t="s">
        <v>444</v>
      </c>
      <c r="CF600" s="15" t="s">
        <v>444</v>
      </c>
      <c r="CI600" s="15" t="s">
        <v>444</v>
      </c>
      <c r="CK600" s="15" t="s">
        <v>444</v>
      </c>
      <c r="CM600" s="15" t="s">
        <v>444</v>
      </c>
      <c r="CO600" s="15" t="s">
        <v>444</v>
      </c>
      <c r="CP600" s="15" t="str">
        <f>"32.88"</f>
        <v>32.88</v>
      </c>
      <c r="CQ600" s="15" t="str">
        <f>"0.931"</f>
        <v>0.931</v>
      </c>
      <c r="CR600" s="15" t="s">
        <v>497</v>
      </c>
      <c r="DB600" s="15" t="s">
        <v>1072</v>
      </c>
      <c r="DC600" s="15" t="str">
        <f>IFERROR(__xludf.DUMMYFUNCTION("""COMPUTED_VALUE"""),"{""value"":22.00,""unit"":""in""}")</f>
        <v>{"value":22.00,"unit":"in"}</v>
      </c>
      <c r="DD600" s="15" t="s">
        <v>1804</v>
      </c>
      <c r="DE600" s="15" t="str">
        <f>IFERROR(__xludf.DUMMYFUNCTION("""COMPUTED_VALUE"""),"{""value"":17.50,""unit"":""in""}")</f>
        <v>{"value":17.50,"unit":"in"}</v>
      </c>
      <c r="DG600" s="15" t="str">
        <f>IFERROR(__xludf.DUMMYFUNCTION("""COMPUTED_VALUE"""),"")</f>
        <v/>
      </c>
      <c r="DH600" s="15">
        <v>0.0</v>
      </c>
      <c r="DI600" s="15">
        <v>0.0</v>
      </c>
      <c r="DJ600" s="15" t="s">
        <v>469</v>
      </c>
      <c r="DK600" s="15" t="s">
        <v>855</v>
      </c>
      <c r="DL600" s="15" t="str">
        <f>IFERROR(__xludf.DUMMYFUNCTION("""COMPUTED_VALUE"""),"Clean with solvent-based (dry clean only) products. Do not use water.")</f>
        <v>Clean with solvent-based (dry clean only) products. Do not use water.</v>
      </c>
      <c r="DM600" s="15" t="s">
        <v>856</v>
      </c>
      <c r="DT600" s="15" t="s">
        <v>721</v>
      </c>
      <c r="DU600" s="15" t="s">
        <v>419</v>
      </c>
      <c r="DV600" s="15">
        <v>0.0</v>
      </c>
      <c r="DZ600" s="15">
        <v>25000.0</v>
      </c>
      <c r="EA600" s="15" t="s">
        <v>990</v>
      </c>
      <c r="ED600" s="15">
        <v>0.0</v>
      </c>
      <c r="EE600" s="15">
        <v>1.0</v>
      </c>
      <c r="EG600" s="15" t="s">
        <v>444</v>
      </c>
      <c r="EH600" s="15" t="s">
        <v>6825</v>
      </c>
      <c r="EI600" s="15">
        <v>2.0</v>
      </c>
      <c r="EJ600" s="15" t="s">
        <v>726</v>
      </c>
      <c r="EK600" s="15" t="s">
        <v>727</v>
      </c>
      <c r="EL600" s="15" t="s">
        <v>558</v>
      </c>
      <c r="EM600" s="15" t="str">
        <f>IFERROR(__xludf.DUMMYFUNCTION("""COMPUTED_VALUE"""),"{""value"":30.00,""unit"":""in""}")</f>
        <v>{"value":30.00,"unit":"in"}</v>
      </c>
      <c r="EN600" s="15" t="s">
        <v>1329</v>
      </c>
      <c r="EO600" s="15" t="s">
        <v>1212</v>
      </c>
      <c r="ES600" s="15" t="s">
        <v>477</v>
      </c>
      <c r="EW600" s="15" t="s">
        <v>475</v>
      </c>
      <c r="EX600" s="15" t="s">
        <v>1253</v>
      </c>
      <c r="EY600" s="15" t="s">
        <v>4528</v>
      </c>
      <c r="EZ600" s="15" t="s">
        <v>1329</v>
      </c>
      <c r="FE600" s="15" t="s">
        <v>2028</v>
      </c>
      <c r="FF600" s="15" t="s">
        <v>997</v>
      </c>
      <c r="FG600" s="15" t="s">
        <v>1076</v>
      </c>
      <c r="FO600" s="15" t="s">
        <v>2930</v>
      </c>
      <c r="FP600" s="15" t="s">
        <v>6826</v>
      </c>
      <c r="JW600" s="15" t="s">
        <v>505</v>
      </c>
      <c r="JX600" s="15" t="s">
        <v>1161</v>
      </c>
      <c r="JY600" s="15" t="s">
        <v>1161</v>
      </c>
      <c r="KB600" s="15" t="s">
        <v>426</v>
      </c>
    </row>
    <row r="601" ht="15.75" customHeight="1">
      <c r="A601" s="14" t="s">
        <v>391</v>
      </c>
      <c r="B601" s="15" t="s">
        <v>6827</v>
      </c>
      <c r="C601" s="16"/>
      <c r="D601" s="15" t="s">
        <v>432</v>
      </c>
      <c r="G601" s="14" t="s">
        <v>393</v>
      </c>
      <c r="H601" s="14" t="s">
        <v>394</v>
      </c>
      <c r="I601" s="14" t="b">
        <v>1</v>
      </c>
      <c r="J601" s="14" t="s">
        <v>395</v>
      </c>
      <c r="L601" s="14" t="b">
        <v>0</v>
      </c>
      <c r="M601" s="15" t="s">
        <v>6828</v>
      </c>
      <c r="N601" s="14" t="s">
        <v>393</v>
      </c>
      <c r="O601" s="14" t="s">
        <v>393</v>
      </c>
      <c r="P601" s="15" t="s">
        <v>397</v>
      </c>
      <c r="Q601" s="15" t="s">
        <v>6829</v>
      </c>
      <c r="T601" s="14" t="b">
        <v>0</v>
      </c>
      <c r="U601" s="15" t="s">
        <v>6830</v>
      </c>
      <c r="V601" s="15" t="s">
        <v>6831</v>
      </c>
      <c r="W601" s="15" t="s">
        <v>401</v>
      </c>
      <c r="X601" s="15" t="s">
        <v>402</v>
      </c>
      <c r="Y601" s="15">
        <v>4368.0</v>
      </c>
      <c r="AA601" s="15" t="str">
        <f>"1680"</f>
        <v>1680</v>
      </c>
      <c r="AB601" s="14" t="b">
        <v>1</v>
      </c>
      <c r="AC601" s="14" t="b">
        <v>1</v>
      </c>
      <c r="AD601" s="15" t="str">
        <f>"801542663711"</f>
        <v>801542663711</v>
      </c>
      <c r="AE601" s="15" t="s">
        <v>6832</v>
      </c>
      <c r="AF601" s="14" t="s">
        <v>404</v>
      </c>
      <c r="AG601" s="14" t="s">
        <v>405</v>
      </c>
      <c r="AH601" s="14" t="s">
        <v>406</v>
      </c>
      <c r="AI601" s="15">
        <v>0.0</v>
      </c>
      <c r="AL601" s="15" t="s">
        <v>6833</v>
      </c>
      <c r="AM601" s="15" t="s">
        <v>2921</v>
      </c>
      <c r="AN601" s="15" t="s">
        <v>2922</v>
      </c>
      <c r="AO601" s="15" t="s">
        <v>1007</v>
      </c>
      <c r="AP601" s="15" t="s">
        <v>1008</v>
      </c>
      <c r="AQ601" s="15" t="s">
        <v>2229</v>
      </c>
      <c r="AR601" s="15" t="s">
        <v>2230</v>
      </c>
      <c r="AS601" s="15" t="s">
        <v>411</v>
      </c>
      <c r="AT601" s="15" t="s">
        <v>6829</v>
      </c>
      <c r="AU601" s="15" t="s">
        <v>5686</v>
      </c>
      <c r="AW601" s="15" t="s">
        <v>664</v>
      </c>
      <c r="AY601" s="15" t="s">
        <v>413</v>
      </c>
      <c r="AZ601" s="15" t="b">
        <v>0</v>
      </c>
      <c r="BA601" s="15" t="s">
        <v>413</v>
      </c>
      <c r="BB601" s="15" t="b">
        <v>0</v>
      </c>
      <c r="BC601" s="15" t="s">
        <v>6834</v>
      </c>
      <c r="BD601" s="15" t="s">
        <v>415</v>
      </c>
      <c r="BE601" s="15" t="str">
        <f t="shared" si="1050"/>
        <v>1</v>
      </c>
      <c r="BF601" s="15" t="s">
        <v>416</v>
      </c>
      <c r="BG601" s="15" t="str">
        <f>"82.48"</f>
        <v>82.48</v>
      </c>
      <c r="BH601" s="15" t="s">
        <v>6835</v>
      </c>
      <c r="BI601" s="15" t="str">
        <f>"23.98"</f>
        <v>23.98</v>
      </c>
      <c r="BJ601" s="15" t="s">
        <v>6836</v>
      </c>
      <c r="BK601" s="15" t="str">
        <f>"31.69"</f>
        <v>31.69</v>
      </c>
      <c r="BL601" s="15" t="s">
        <v>3110</v>
      </c>
      <c r="BM601" s="15" t="str">
        <f>"229.5"</f>
        <v>229.5</v>
      </c>
      <c r="BN601" s="15" t="s">
        <v>6837</v>
      </c>
      <c r="BQ601" s="15" t="s">
        <v>444</v>
      </c>
      <c r="BS601" s="15" t="s">
        <v>444</v>
      </c>
      <c r="BU601" s="15" t="s">
        <v>444</v>
      </c>
      <c r="BW601" s="15" t="s">
        <v>444</v>
      </c>
      <c r="BZ601" s="15" t="s">
        <v>444</v>
      </c>
      <c r="CB601" s="15" t="s">
        <v>444</v>
      </c>
      <c r="CD601" s="15" t="s">
        <v>444</v>
      </c>
      <c r="CF601" s="15" t="s">
        <v>444</v>
      </c>
      <c r="CI601" s="15" t="s">
        <v>444</v>
      </c>
      <c r="CK601" s="15" t="s">
        <v>444</v>
      </c>
      <c r="CM601" s="15" t="s">
        <v>444</v>
      </c>
      <c r="CO601" s="15" t="s">
        <v>444</v>
      </c>
      <c r="CP601" s="15" t="str">
        <f>"36.27"</f>
        <v>36.27</v>
      </c>
      <c r="CQ601" s="15" t="str">
        <f>"1.027"</f>
        <v>1.027</v>
      </c>
      <c r="CR601" s="15" t="s">
        <v>497</v>
      </c>
      <c r="CS601" s="15" t="s">
        <v>1287</v>
      </c>
      <c r="CT601" s="15" t="s">
        <v>612</v>
      </c>
      <c r="CU601" s="15" t="s">
        <v>1324</v>
      </c>
      <c r="CV601" s="15" t="s">
        <v>1287</v>
      </c>
      <c r="CW601" s="15" t="s">
        <v>939</v>
      </c>
      <c r="CX601" s="15" t="s">
        <v>1324</v>
      </c>
      <c r="DC601" s="15" t="str">
        <f>IFERROR(__xludf.DUMMYFUNCTION("""COMPUTED_VALUE"""),"")</f>
        <v/>
      </c>
      <c r="DE601" s="15" t="str">
        <f>IFERROR(__xludf.DUMMYFUNCTION("""COMPUTED_VALUE"""),"")</f>
        <v/>
      </c>
      <c r="DG601" s="15" t="str">
        <f>IFERROR(__xludf.DUMMYFUNCTION("""COMPUTED_VALUE"""),"")</f>
        <v/>
      </c>
      <c r="DL601" s="15" t="str">
        <f>IFERROR(__xludf.DUMMYFUNCTION("""COMPUTED_VALUE"""),"")</f>
        <v/>
      </c>
      <c r="DM601" s="15" t="s">
        <v>444</v>
      </c>
      <c r="DN601" s="15" t="s">
        <v>419</v>
      </c>
      <c r="DO601" s="15">
        <v>0.0</v>
      </c>
      <c r="DP601" s="15" t="s">
        <v>419</v>
      </c>
      <c r="DR601" s="15">
        <v>2.0</v>
      </c>
      <c r="DS601" s="15" t="s">
        <v>426</v>
      </c>
      <c r="DT601" s="15" t="s">
        <v>1388</v>
      </c>
      <c r="DU601" s="15" t="s">
        <v>610</v>
      </c>
      <c r="DW601" s="15">
        <v>18.14</v>
      </c>
      <c r="DX601" s="15">
        <v>40.0</v>
      </c>
      <c r="DY601" s="15">
        <v>0.0</v>
      </c>
      <c r="EG601" s="15" t="s">
        <v>444</v>
      </c>
      <c r="EH601" s="15" t="s">
        <v>6838</v>
      </c>
      <c r="EJ601" s="15" t="s">
        <v>424</v>
      </c>
      <c r="EK601" s="15" t="s">
        <v>446</v>
      </c>
      <c r="EM601" s="15" t="str">
        <f>IFERROR(__xludf.DUMMYFUNCTION("""COMPUTED_VALUE"""),"")</f>
        <v/>
      </c>
      <c r="EW601" s="15" t="s">
        <v>6839</v>
      </c>
      <c r="FL601" s="15" t="s">
        <v>426</v>
      </c>
      <c r="FM601" s="15">
        <v>4.0</v>
      </c>
      <c r="FY601" s="15" t="s">
        <v>1306</v>
      </c>
      <c r="FZ601" s="15" t="s">
        <v>612</v>
      </c>
      <c r="GA601" s="15" t="s">
        <v>6840</v>
      </c>
      <c r="GE601" s="15">
        <v>0.0</v>
      </c>
      <c r="GF601" s="15" t="s">
        <v>426</v>
      </c>
      <c r="GG601" s="15" t="s">
        <v>1883</v>
      </c>
      <c r="GH601" s="15">
        <v>2.0</v>
      </c>
      <c r="GI601" s="15" t="s">
        <v>614</v>
      </c>
      <c r="GJ601" s="15" t="s">
        <v>615</v>
      </c>
      <c r="GK601" s="15">
        <v>0.0</v>
      </c>
      <c r="GN601" s="15" t="s">
        <v>616</v>
      </c>
      <c r="HA601" s="15" t="s">
        <v>1287</v>
      </c>
      <c r="HB601" s="15" t="s">
        <v>939</v>
      </c>
      <c r="HC601" s="15" t="s">
        <v>1324</v>
      </c>
      <c r="HQ601" s="15" t="s">
        <v>1287</v>
      </c>
      <c r="HR601" s="15" t="s">
        <v>1287</v>
      </c>
      <c r="HS601" s="15" t="s">
        <v>939</v>
      </c>
      <c r="HT601" s="15" t="s">
        <v>939</v>
      </c>
      <c r="HU601" s="15" t="s">
        <v>1324</v>
      </c>
      <c r="HV601" s="15" t="s">
        <v>1324</v>
      </c>
    </row>
    <row r="602" ht="15.75" customHeight="1">
      <c r="A602" s="14" t="s">
        <v>391</v>
      </c>
      <c r="B602" s="15" t="s">
        <v>6841</v>
      </c>
      <c r="C602" s="16"/>
      <c r="D602" s="15" t="s">
        <v>432</v>
      </c>
      <c r="G602" s="14" t="s">
        <v>393</v>
      </c>
      <c r="H602" s="14" t="s">
        <v>394</v>
      </c>
      <c r="I602" s="14" t="b">
        <v>1</v>
      </c>
      <c r="J602" s="14" t="s">
        <v>395</v>
      </c>
      <c r="L602" s="14" t="b">
        <v>0</v>
      </c>
      <c r="M602" s="15" t="s">
        <v>6842</v>
      </c>
      <c r="N602" s="14" t="s">
        <v>393</v>
      </c>
      <c r="O602" s="14" t="s">
        <v>393</v>
      </c>
      <c r="P602" s="15" t="s">
        <v>397</v>
      </c>
      <c r="Q602" s="15" t="s">
        <v>6843</v>
      </c>
      <c r="T602" s="14" t="b">
        <v>0</v>
      </c>
      <c r="U602" s="15" t="s">
        <v>6844</v>
      </c>
      <c r="V602" s="15" t="s">
        <v>6845</v>
      </c>
      <c r="W602" s="15" t="s">
        <v>401</v>
      </c>
      <c r="X602" s="15" t="s">
        <v>695</v>
      </c>
      <c r="Y602" s="15">
        <v>1261.0</v>
      </c>
      <c r="AA602" s="15" t="str">
        <f>"485"</f>
        <v>485</v>
      </c>
      <c r="AB602" s="14" t="b">
        <v>1</v>
      </c>
      <c r="AC602" s="14" t="b">
        <v>1</v>
      </c>
      <c r="AD602" s="15" t="str">
        <f>"801542710279"</f>
        <v>801542710279</v>
      </c>
      <c r="AE602" s="15" t="s">
        <v>6846</v>
      </c>
      <c r="AF602" s="14" t="s">
        <v>404</v>
      </c>
      <c r="AG602" s="14" t="s">
        <v>405</v>
      </c>
      <c r="AH602" s="14" t="s">
        <v>406</v>
      </c>
      <c r="AI602" s="15">
        <v>0.0</v>
      </c>
      <c r="AL602" s="15" t="s">
        <v>832</v>
      </c>
      <c r="AM602" s="15" t="s">
        <v>2372</v>
      </c>
      <c r="AN602" s="15" t="s">
        <v>2373</v>
      </c>
      <c r="AO602" s="15" t="s">
        <v>517</v>
      </c>
      <c r="AP602" s="15" t="s">
        <v>518</v>
      </c>
      <c r="AQ602" s="15" t="s">
        <v>1085</v>
      </c>
      <c r="AR602" s="15" t="s">
        <v>1086</v>
      </c>
      <c r="AS602" s="15" t="s">
        <v>6068</v>
      </c>
      <c r="AT602" s="15" t="s">
        <v>6843</v>
      </c>
      <c r="AU602" s="15" t="s">
        <v>1087</v>
      </c>
      <c r="AW602" s="15" t="s">
        <v>706</v>
      </c>
      <c r="AX602" s="15" t="s">
        <v>707</v>
      </c>
      <c r="AY602" s="15" t="s">
        <v>413</v>
      </c>
      <c r="AZ602" s="15" t="b">
        <v>0</v>
      </c>
      <c r="BA602" s="15" t="s">
        <v>426</v>
      </c>
      <c r="BB602" s="15" t="b">
        <v>1</v>
      </c>
      <c r="BC602" s="15" t="s">
        <v>6847</v>
      </c>
      <c r="BD602" s="15" t="s">
        <v>709</v>
      </c>
      <c r="BE602" s="15" t="str">
        <f t="shared" si="1050"/>
        <v>1</v>
      </c>
      <c r="BF602" s="15" t="s">
        <v>416</v>
      </c>
      <c r="BG602" s="15" t="str">
        <f t="shared" ref="BG602:BG603" si="1051">"38.58"</f>
        <v>38.58</v>
      </c>
      <c r="BH602" s="15" t="s">
        <v>442</v>
      </c>
      <c r="BI602" s="15" t="str">
        <f t="shared" ref="BI602:BI603" si="1052">"33.86"</f>
        <v>33.86</v>
      </c>
      <c r="BJ602" s="15" t="s">
        <v>1209</v>
      </c>
      <c r="BK602" s="15" t="str">
        <f t="shared" ref="BK602:BK606" si="1053">"29.13"</f>
        <v>29.13</v>
      </c>
      <c r="BL602" s="15" t="s">
        <v>1566</v>
      </c>
      <c r="BM602" s="15" t="str">
        <f t="shared" ref="BM602:BM606" si="1054">"77.16"</f>
        <v>77.16</v>
      </c>
      <c r="BN602" s="15" t="s">
        <v>3001</v>
      </c>
      <c r="BQ602" s="15" t="s">
        <v>444</v>
      </c>
      <c r="BS602" s="15" t="s">
        <v>444</v>
      </c>
      <c r="BU602" s="15" t="s">
        <v>444</v>
      </c>
      <c r="BW602" s="15" t="s">
        <v>444</v>
      </c>
      <c r="BZ602" s="15" t="s">
        <v>444</v>
      </c>
      <c r="CB602" s="15" t="s">
        <v>444</v>
      </c>
      <c r="CD602" s="15" t="s">
        <v>444</v>
      </c>
      <c r="CF602" s="15" t="s">
        <v>444</v>
      </c>
      <c r="CI602" s="15" t="s">
        <v>444</v>
      </c>
      <c r="CK602" s="15" t="s">
        <v>444</v>
      </c>
      <c r="CM602" s="15" t="s">
        <v>444</v>
      </c>
      <c r="CO602" s="15" t="s">
        <v>444</v>
      </c>
      <c r="CP602" s="15" t="str">
        <f t="shared" ref="CP602:CP606" si="1055">"22.04"</f>
        <v>22.04</v>
      </c>
      <c r="CQ602" s="15" t="str">
        <f t="shared" ref="CQ602:CQ606" si="1056">"0.624"</f>
        <v>0.624</v>
      </c>
      <c r="CR602" s="15" t="s">
        <v>465</v>
      </c>
      <c r="CY602" s="15" t="s">
        <v>525</v>
      </c>
      <c r="CZ602" s="15" t="s">
        <v>505</v>
      </c>
      <c r="DA602" s="15" t="s">
        <v>1324</v>
      </c>
      <c r="DB602" s="15" t="s">
        <v>1072</v>
      </c>
      <c r="DC602" s="15" t="str">
        <f>IFERROR(__xludf.DUMMYFUNCTION("""COMPUTED_VALUE"""),"{""value"":22.00,""unit"":""in""}")</f>
        <v>{"value":22.00,"unit":"in"}</v>
      </c>
      <c r="DD602" s="15" t="s">
        <v>1065</v>
      </c>
      <c r="DE602" s="15" t="str">
        <f>IFERROR(__xludf.DUMMYFUNCTION("""COMPUTED_VALUE"""),"{""value"":18.00,""unit"":""in""}")</f>
        <v>{"value":18.00,"unit":"in"}</v>
      </c>
      <c r="DG602" s="15" t="str">
        <f>IFERROR(__xludf.DUMMYFUNCTION("""COMPUTED_VALUE"""),"")</f>
        <v/>
      </c>
      <c r="DH602" s="15">
        <v>0.0</v>
      </c>
      <c r="DI602" s="15">
        <v>1.0</v>
      </c>
      <c r="DJ602" s="15" t="s">
        <v>717</v>
      </c>
      <c r="DK602" s="15" t="s">
        <v>855</v>
      </c>
      <c r="DL602" s="15" t="str">
        <f>IFERROR(__xludf.DUMMYFUNCTION("""COMPUTED_VALUE"""),"Clean with solvent-based (dry clean only) products. Do not use water.")</f>
        <v>Clean with solvent-based (dry clean only) products. Do not use water.</v>
      </c>
      <c r="DM602" s="15" t="s">
        <v>856</v>
      </c>
      <c r="DQ602" s="15" t="s">
        <v>6848</v>
      </c>
      <c r="DT602" s="15" t="s">
        <v>721</v>
      </c>
      <c r="DU602" s="15" t="s">
        <v>419</v>
      </c>
      <c r="DV602" s="15">
        <v>0.0</v>
      </c>
      <c r="DZ602" s="15">
        <v>25000.0</v>
      </c>
      <c r="EA602" s="15" t="s">
        <v>722</v>
      </c>
      <c r="EB602" s="15" t="s">
        <v>723</v>
      </c>
      <c r="EC602" s="15" t="s">
        <v>724</v>
      </c>
      <c r="ED602" s="15">
        <v>1.0</v>
      </c>
      <c r="EE602" s="15">
        <v>1.0</v>
      </c>
      <c r="EG602" s="15" t="s">
        <v>444</v>
      </c>
      <c r="EH602" s="15" t="s">
        <v>6849</v>
      </c>
      <c r="EI602" s="15">
        <v>0.0</v>
      </c>
      <c r="EJ602" s="15" t="s">
        <v>726</v>
      </c>
      <c r="EK602" s="15" t="s">
        <v>727</v>
      </c>
      <c r="EL602" s="15" t="s">
        <v>2735</v>
      </c>
      <c r="EM602" s="15" t="str">
        <f>IFERROR(__xludf.DUMMYFUNCTION("""COMPUTED_VALUE"""),"{""value"":23.25,""unit"":""in""}")</f>
        <v>{"value":23.25,"unit":"in"}</v>
      </c>
      <c r="EN602" s="15" t="s">
        <v>1327</v>
      </c>
      <c r="EO602" s="15" t="s">
        <v>1211</v>
      </c>
      <c r="ES602" s="15" t="s">
        <v>995</v>
      </c>
      <c r="EW602" s="15" t="s">
        <v>1236</v>
      </c>
      <c r="EX602" s="15" t="s">
        <v>2735</v>
      </c>
      <c r="EY602" s="15" t="s">
        <v>1064</v>
      </c>
      <c r="EZ602" s="15" t="s">
        <v>1288</v>
      </c>
      <c r="FC602" s="15" t="s">
        <v>1016</v>
      </c>
      <c r="FF602" s="15" t="s">
        <v>1079</v>
      </c>
      <c r="FO602" s="15" t="s">
        <v>1213</v>
      </c>
      <c r="FP602" s="15" t="s">
        <v>650</v>
      </c>
      <c r="FQ602" s="15">
        <v>0.0</v>
      </c>
      <c r="FR602" s="15">
        <v>0.0</v>
      </c>
      <c r="FT602" s="15">
        <v>0.0</v>
      </c>
    </row>
    <row r="603" ht="15.75" customHeight="1">
      <c r="A603" s="14" t="s">
        <v>391</v>
      </c>
      <c r="B603" s="15" t="s">
        <v>6841</v>
      </c>
      <c r="C603" s="16"/>
      <c r="D603" s="15" t="s">
        <v>432</v>
      </c>
      <c r="G603" s="14" t="s">
        <v>393</v>
      </c>
      <c r="H603" s="14" t="s">
        <v>394</v>
      </c>
      <c r="I603" s="14" t="b">
        <v>1</v>
      </c>
      <c r="J603" s="14" t="s">
        <v>395</v>
      </c>
      <c r="L603" s="14" t="b">
        <v>0</v>
      </c>
      <c r="M603" s="15" t="s">
        <v>6850</v>
      </c>
      <c r="N603" s="14" t="s">
        <v>393</v>
      </c>
      <c r="O603" s="14" t="s">
        <v>393</v>
      </c>
      <c r="P603" s="15" t="s">
        <v>397</v>
      </c>
      <c r="Q603" s="15" t="s">
        <v>2575</v>
      </c>
      <c r="T603" s="14" t="b">
        <v>0</v>
      </c>
      <c r="U603" s="15" t="s">
        <v>6851</v>
      </c>
      <c r="V603" s="15" t="s">
        <v>6845</v>
      </c>
      <c r="W603" s="15" t="s">
        <v>401</v>
      </c>
      <c r="X603" s="15" t="s">
        <v>695</v>
      </c>
      <c r="Y603" s="15">
        <v>2301.0</v>
      </c>
      <c r="AA603" s="15" t="str">
        <f>"885"</f>
        <v>885</v>
      </c>
      <c r="AB603" s="14" t="b">
        <v>1</v>
      </c>
      <c r="AC603" s="14" t="b">
        <v>1</v>
      </c>
      <c r="AD603" s="15" t="str">
        <f>"801542067991"</f>
        <v>801542067991</v>
      </c>
      <c r="AE603" s="15" t="s">
        <v>6852</v>
      </c>
      <c r="AF603" s="14" t="s">
        <v>404</v>
      </c>
      <c r="AG603" s="14" t="s">
        <v>405</v>
      </c>
      <c r="AH603" s="14" t="s">
        <v>406</v>
      </c>
      <c r="AI603" s="15">
        <v>0.0</v>
      </c>
      <c r="AL603" s="15" t="s">
        <v>1341</v>
      </c>
      <c r="AM603" s="15" t="s">
        <v>2372</v>
      </c>
      <c r="AN603" s="15" t="s">
        <v>2373</v>
      </c>
      <c r="AO603" s="15" t="s">
        <v>517</v>
      </c>
      <c r="AP603" s="15" t="s">
        <v>518</v>
      </c>
      <c r="AQ603" s="15" t="s">
        <v>1085</v>
      </c>
      <c r="AR603" s="15" t="s">
        <v>1086</v>
      </c>
      <c r="AS603" s="15" t="s">
        <v>6068</v>
      </c>
      <c r="AT603" s="15" t="s">
        <v>2575</v>
      </c>
      <c r="AU603" s="15" t="s">
        <v>3557</v>
      </c>
      <c r="AW603" s="15" t="s">
        <v>706</v>
      </c>
      <c r="AX603" s="15" t="s">
        <v>707</v>
      </c>
      <c r="AY603" s="15" t="s">
        <v>413</v>
      </c>
      <c r="AZ603" s="15" t="b">
        <v>0</v>
      </c>
      <c r="BA603" s="15" t="s">
        <v>413</v>
      </c>
      <c r="BB603" s="15" t="b">
        <v>0</v>
      </c>
      <c r="BC603" s="15" t="s">
        <v>6853</v>
      </c>
      <c r="BD603" s="15" t="s">
        <v>709</v>
      </c>
      <c r="BE603" s="15" t="str">
        <f t="shared" si="1050"/>
        <v>1</v>
      </c>
      <c r="BF603" s="15" t="s">
        <v>416</v>
      </c>
      <c r="BG603" s="15" t="str">
        <f t="shared" si="1051"/>
        <v>38.58</v>
      </c>
      <c r="BH603" s="15" t="s">
        <v>442</v>
      </c>
      <c r="BI603" s="15" t="str">
        <f t="shared" si="1052"/>
        <v>33.86</v>
      </c>
      <c r="BJ603" s="15" t="s">
        <v>1209</v>
      </c>
      <c r="BK603" s="15" t="str">
        <f t="shared" si="1053"/>
        <v>29.13</v>
      </c>
      <c r="BL603" s="15" t="s">
        <v>1566</v>
      </c>
      <c r="BM603" s="15" t="str">
        <f t="shared" si="1054"/>
        <v>77.16</v>
      </c>
      <c r="BN603" s="15" t="s">
        <v>3001</v>
      </c>
      <c r="BQ603" s="15" t="s">
        <v>444</v>
      </c>
      <c r="BS603" s="15" t="s">
        <v>444</v>
      </c>
      <c r="BU603" s="15" t="s">
        <v>444</v>
      </c>
      <c r="BW603" s="15" t="s">
        <v>444</v>
      </c>
      <c r="BZ603" s="15" t="s">
        <v>444</v>
      </c>
      <c r="CB603" s="15" t="s">
        <v>444</v>
      </c>
      <c r="CD603" s="15" t="s">
        <v>444</v>
      </c>
      <c r="CF603" s="15" t="s">
        <v>444</v>
      </c>
      <c r="CI603" s="15" t="s">
        <v>444</v>
      </c>
      <c r="CK603" s="15" t="s">
        <v>444</v>
      </c>
      <c r="CM603" s="15" t="s">
        <v>444</v>
      </c>
      <c r="CO603" s="15" t="s">
        <v>444</v>
      </c>
      <c r="CP603" s="15" t="str">
        <f t="shared" si="1055"/>
        <v>22.04</v>
      </c>
      <c r="CQ603" s="15" t="str">
        <f t="shared" si="1056"/>
        <v>0.624</v>
      </c>
      <c r="CR603" s="15" t="s">
        <v>465</v>
      </c>
      <c r="CY603" s="15" t="s">
        <v>525</v>
      </c>
      <c r="CZ603" s="15" t="s">
        <v>505</v>
      </c>
      <c r="DA603" s="15" t="s">
        <v>1324</v>
      </c>
      <c r="DB603" s="15" t="s">
        <v>1072</v>
      </c>
      <c r="DC603" s="15" t="str">
        <f>IFERROR(__xludf.DUMMYFUNCTION("""COMPUTED_VALUE"""),"{""value"":22.00,""unit"":""in""}")</f>
        <v>{"value":22.00,"unit":"in"}</v>
      </c>
      <c r="DD603" s="15" t="s">
        <v>1065</v>
      </c>
      <c r="DE603" s="15" t="str">
        <f>IFERROR(__xludf.DUMMYFUNCTION("""COMPUTED_VALUE"""),"{""value"":18.00,""unit"":""in""}")</f>
        <v>{"value":18.00,"unit":"in"}</v>
      </c>
      <c r="DG603" s="15" t="str">
        <f>IFERROR(__xludf.DUMMYFUNCTION("""COMPUTED_VALUE"""),"")</f>
        <v/>
      </c>
      <c r="DH603" s="15">
        <v>0.0</v>
      </c>
      <c r="DI603" s="15">
        <v>1.0</v>
      </c>
      <c r="DJ603" s="15" t="s">
        <v>717</v>
      </c>
      <c r="DK603" s="15" t="s">
        <v>718</v>
      </c>
      <c r="DL603" s="15" t="str">
        <f>IFERROR(__xludf.DUMMYFUNCTION("""COMPUTED_VALUE"""),"Vacuum or light brush only. Do not use water or any cleaning products.")</f>
        <v>Vacuum or light brush only. Do not use water or any cleaning products.</v>
      </c>
      <c r="DM603" s="15" t="s">
        <v>719</v>
      </c>
      <c r="DQ603" s="15" t="s">
        <v>6848</v>
      </c>
      <c r="DT603" s="15" t="s">
        <v>721</v>
      </c>
      <c r="DU603" s="15" t="s">
        <v>419</v>
      </c>
      <c r="DV603" s="15">
        <v>0.0</v>
      </c>
      <c r="DZ603" s="15">
        <v>0.0</v>
      </c>
      <c r="EA603" s="15" t="s">
        <v>722</v>
      </c>
      <c r="EB603" s="15" t="s">
        <v>723</v>
      </c>
      <c r="EC603" s="15" t="s">
        <v>724</v>
      </c>
      <c r="ED603" s="15">
        <v>1.0</v>
      </c>
      <c r="EE603" s="15">
        <v>1.0</v>
      </c>
      <c r="EG603" s="15" t="s">
        <v>444</v>
      </c>
      <c r="EH603" s="15" t="s">
        <v>6849</v>
      </c>
      <c r="EI603" s="15">
        <v>0.0</v>
      </c>
      <c r="EJ603" s="15" t="s">
        <v>726</v>
      </c>
      <c r="EK603" s="15" t="s">
        <v>727</v>
      </c>
      <c r="EL603" s="15" t="s">
        <v>2735</v>
      </c>
      <c r="EM603" s="15" t="str">
        <f>IFERROR(__xludf.DUMMYFUNCTION("""COMPUTED_VALUE"""),"{""value"":23.25,""unit"":""in""}")</f>
        <v>{"value":23.25,"unit":"in"}</v>
      </c>
      <c r="EN603" s="15" t="s">
        <v>1327</v>
      </c>
      <c r="EO603" s="15" t="s">
        <v>1211</v>
      </c>
      <c r="ES603" s="15" t="s">
        <v>995</v>
      </c>
      <c r="EW603" s="15" t="s">
        <v>1236</v>
      </c>
      <c r="EX603" s="15" t="s">
        <v>2735</v>
      </c>
      <c r="EY603" s="15" t="s">
        <v>1064</v>
      </c>
      <c r="EZ603" s="15" t="s">
        <v>1288</v>
      </c>
      <c r="FC603" s="15" t="s">
        <v>1016</v>
      </c>
      <c r="FF603" s="15" t="s">
        <v>1079</v>
      </c>
      <c r="FO603" s="15" t="s">
        <v>1213</v>
      </c>
      <c r="FP603" s="15" t="s">
        <v>650</v>
      </c>
      <c r="FQ603" s="15">
        <v>0.0</v>
      </c>
      <c r="FR603" s="15">
        <v>0.0</v>
      </c>
      <c r="FT603" s="15">
        <v>0.0</v>
      </c>
    </row>
    <row r="604" ht="15.75" customHeight="1">
      <c r="A604" s="14" t="s">
        <v>391</v>
      </c>
      <c r="B604" s="15" t="s">
        <v>6841</v>
      </c>
      <c r="C604" s="16"/>
      <c r="D604" s="15" t="s">
        <v>432</v>
      </c>
      <c r="G604" s="14" t="s">
        <v>393</v>
      </c>
      <c r="H604" s="14" t="s">
        <v>394</v>
      </c>
      <c r="I604" s="14" t="b">
        <v>1</v>
      </c>
      <c r="J604" s="14" t="s">
        <v>395</v>
      </c>
      <c r="L604" s="14" t="b">
        <v>0</v>
      </c>
      <c r="M604" s="15" t="s">
        <v>6854</v>
      </c>
      <c r="N604" s="14" t="s">
        <v>393</v>
      </c>
      <c r="O604" s="14" t="s">
        <v>393</v>
      </c>
      <c r="P604" s="15" t="s">
        <v>397</v>
      </c>
      <c r="Q604" s="15" t="s">
        <v>2951</v>
      </c>
      <c r="T604" s="14" t="b">
        <v>0</v>
      </c>
      <c r="U604" s="15" t="s">
        <v>6855</v>
      </c>
      <c r="V604" s="15" t="s">
        <v>6845</v>
      </c>
      <c r="W604" s="15" t="s">
        <v>401</v>
      </c>
      <c r="X604" s="15" t="s">
        <v>695</v>
      </c>
      <c r="Y604" s="15">
        <v>1261.0</v>
      </c>
      <c r="AA604" s="15" t="str">
        <f t="shared" ref="AA604:AA605" si="1057">"485"</f>
        <v>485</v>
      </c>
      <c r="AB604" s="14" t="b">
        <v>1</v>
      </c>
      <c r="AC604" s="14" t="b">
        <v>1</v>
      </c>
      <c r="AD604" s="15" t="str">
        <f>"801542710286"</f>
        <v>801542710286</v>
      </c>
      <c r="AE604" s="15" t="s">
        <v>6856</v>
      </c>
      <c r="AF604" s="14" t="s">
        <v>404</v>
      </c>
      <c r="AG604" s="14" t="s">
        <v>405</v>
      </c>
      <c r="AH604" s="14" t="s">
        <v>406</v>
      </c>
      <c r="AI604" s="15">
        <v>0.0</v>
      </c>
      <c r="AL604" s="15" t="s">
        <v>2540</v>
      </c>
      <c r="AM604" s="15" t="s">
        <v>2372</v>
      </c>
      <c r="AN604" s="15" t="s">
        <v>2373</v>
      </c>
      <c r="AO604" s="15" t="s">
        <v>517</v>
      </c>
      <c r="AP604" s="15" t="s">
        <v>518</v>
      </c>
      <c r="AQ604" s="15" t="s">
        <v>1085</v>
      </c>
      <c r="AR604" s="15" t="s">
        <v>1086</v>
      </c>
      <c r="AS604" s="15" t="s">
        <v>6068</v>
      </c>
      <c r="AT604" s="15" t="s">
        <v>2951</v>
      </c>
      <c r="AU604" s="15" t="s">
        <v>1087</v>
      </c>
      <c r="AW604" s="15" t="s">
        <v>706</v>
      </c>
      <c r="AX604" s="15" t="s">
        <v>707</v>
      </c>
      <c r="AY604" s="15" t="s">
        <v>426</v>
      </c>
      <c r="AZ604" s="15" t="b">
        <v>1</v>
      </c>
      <c r="BA604" s="15" t="s">
        <v>426</v>
      </c>
      <c r="BB604" s="15" t="b">
        <v>1</v>
      </c>
      <c r="BC604" s="15" t="s">
        <v>6857</v>
      </c>
      <c r="BD604" s="15" t="s">
        <v>709</v>
      </c>
      <c r="BE604" s="15" t="str">
        <f t="shared" si="1050"/>
        <v>1</v>
      </c>
      <c r="BF604" s="15" t="s">
        <v>416</v>
      </c>
      <c r="BG604" s="15" t="str">
        <f>"33.86"</f>
        <v>33.86</v>
      </c>
      <c r="BH604" s="15" t="s">
        <v>1209</v>
      </c>
      <c r="BI604" s="15" t="str">
        <f>"38.58"</f>
        <v>38.58</v>
      </c>
      <c r="BJ604" s="15" t="s">
        <v>442</v>
      </c>
      <c r="BK604" s="15" t="str">
        <f t="shared" si="1053"/>
        <v>29.13</v>
      </c>
      <c r="BL604" s="15" t="s">
        <v>1566</v>
      </c>
      <c r="BM604" s="15" t="str">
        <f t="shared" si="1054"/>
        <v>77.16</v>
      </c>
      <c r="BN604" s="15" t="s">
        <v>3001</v>
      </c>
      <c r="BQ604" s="15" t="s">
        <v>444</v>
      </c>
      <c r="BS604" s="15" t="s">
        <v>444</v>
      </c>
      <c r="BU604" s="15" t="s">
        <v>444</v>
      </c>
      <c r="BW604" s="15" t="s">
        <v>444</v>
      </c>
      <c r="BZ604" s="15" t="s">
        <v>444</v>
      </c>
      <c r="CB604" s="15" t="s">
        <v>444</v>
      </c>
      <c r="CD604" s="15" t="s">
        <v>444</v>
      </c>
      <c r="CF604" s="15" t="s">
        <v>444</v>
      </c>
      <c r="CI604" s="15" t="s">
        <v>444</v>
      </c>
      <c r="CK604" s="15" t="s">
        <v>444</v>
      </c>
      <c r="CM604" s="15" t="s">
        <v>444</v>
      </c>
      <c r="CO604" s="15" t="s">
        <v>444</v>
      </c>
      <c r="CP604" s="15" t="str">
        <f t="shared" si="1055"/>
        <v>22.04</v>
      </c>
      <c r="CQ604" s="15" t="str">
        <f t="shared" si="1056"/>
        <v>0.624</v>
      </c>
      <c r="CR604" s="15" t="s">
        <v>497</v>
      </c>
      <c r="CY604" s="15" t="s">
        <v>525</v>
      </c>
      <c r="CZ604" s="15" t="s">
        <v>505</v>
      </c>
      <c r="DA604" s="15" t="s">
        <v>1324</v>
      </c>
      <c r="DB604" s="15" t="s">
        <v>1072</v>
      </c>
      <c r="DC604" s="15" t="str">
        <f>IFERROR(__xludf.DUMMYFUNCTION("""COMPUTED_VALUE"""),"{""value"":22.00,""unit"":""in""}")</f>
        <v>{"value":22.00,"unit":"in"}</v>
      </c>
      <c r="DD604" s="15" t="s">
        <v>1065</v>
      </c>
      <c r="DE604" s="15" t="str">
        <f>IFERROR(__xludf.DUMMYFUNCTION("""COMPUTED_VALUE"""),"{""value"":18.00,""unit"":""in""}")</f>
        <v>{"value":18.00,"unit":"in"}</v>
      </c>
      <c r="DG604" s="15" t="str">
        <f>IFERROR(__xludf.DUMMYFUNCTION("""COMPUTED_VALUE"""),"")</f>
        <v/>
      </c>
      <c r="DH604" s="15">
        <v>0.0</v>
      </c>
      <c r="DI604" s="15">
        <v>1.0</v>
      </c>
      <c r="DJ604" s="15" t="s">
        <v>717</v>
      </c>
      <c r="DK604" s="15" t="s">
        <v>855</v>
      </c>
      <c r="DL604" s="15" t="str">
        <f>IFERROR(__xludf.DUMMYFUNCTION("""COMPUTED_VALUE"""),"Clean with solvent-based (dry clean only) products. Do not use water.")</f>
        <v>Clean with solvent-based (dry clean only) products. Do not use water.</v>
      </c>
      <c r="DM604" s="15" t="s">
        <v>856</v>
      </c>
      <c r="DQ604" s="15" t="s">
        <v>6848</v>
      </c>
      <c r="DT604" s="15" t="s">
        <v>721</v>
      </c>
      <c r="DU604" s="15" t="s">
        <v>419</v>
      </c>
      <c r="DV604" s="15">
        <v>0.0</v>
      </c>
      <c r="DZ604" s="15">
        <v>25000.0</v>
      </c>
      <c r="EA604" s="15" t="s">
        <v>722</v>
      </c>
      <c r="EB604" s="15" t="s">
        <v>723</v>
      </c>
      <c r="EC604" s="15" t="s">
        <v>724</v>
      </c>
      <c r="ED604" s="15">
        <v>1.0</v>
      </c>
      <c r="EE604" s="15">
        <v>1.0</v>
      </c>
      <c r="EG604" s="15" t="s">
        <v>444</v>
      </c>
      <c r="EH604" s="15" t="s">
        <v>6849</v>
      </c>
      <c r="EI604" s="15">
        <v>0.0</v>
      </c>
      <c r="EJ604" s="15" t="s">
        <v>726</v>
      </c>
      <c r="EK604" s="15" t="s">
        <v>727</v>
      </c>
      <c r="EL604" s="15" t="s">
        <v>2735</v>
      </c>
      <c r="EM604" s="15" t="str">
        <f>IFERROR(__xludf.DUMMYFUNCTION("""COMPUTED_VALUE"""),"{""value"":23.25,""unit"":""in""}")</f>
        <v>{"value":23.25,"unit":"in"}</v>
      </c>
      <c r="EN604" s="15" t="s">
        <v>1327</v>
      </c>
      <c r="EO604" s="15" t="s">
        <v>1211</v>
      </c>
      <c r="ES604" s="15" t="s">
        <v>995</v>
      </c>
      <c r="EW604" s="15" t="s">
        <v>1236</v>
      </c>
      <c r="EX604" s="15" t="s">
        <v>2735</v>
      </c>
      <c r="EY604" s="15" t="s">
        <v>1064</v>
      </c>
      <c r="EZ604" s="15" t="s">
        <v>1288</v>
      </c>
      <c r="FC604" s="15" t="s">
        <v>1016</v>
      </c>
      <c r="FF604" s="15" t="s">
        <v>1079</v>
      </c>
      <c r="FO604" s="15" t="s">
        <v>1213</v>
      </c>
      <c r="FP604" s="15" t="s">
        <v>650</v>
      </c>
      <c r="FQ604" s="15">
        <v>0.0</v>
      </c>
      <c r="FR604" s="15">
        <v>0.0</v>
      </c>
      <c r="FT604" s="15">
        <v>0.0</v>
      </c>
    </row>
    <row r="605" ht="15.75" customHeight="1">
      <c r="A605" s="14" t="s">
        <v>391</v>
      </c>
      <c r="B605" s="15" t="s">
        <v>6841</v>
      </c>
      <c r="C605" s="16"/>
      <c r="D605" s="15" t="s">
        <v>432</v>
      </c>
      <c r="G605" s="14" t="s">
        <v>393</v>
      </c>
      <c r="H605" s="14" t="s">
        <v>394</v>
      </c>
      <c r="I605" s="14" t="b">
        <v>1</v>
      </c>
      <c r="J605" s="14" t="s">
        <v>395</v>
      </c>
      <c r="L605" s="14" t="b">
        <v>0</v>
      </c>
      <c r="M605" s="15" t="s">
        <v>6858</v>
      </c>
      <c r="N605" s="14" t="s">
        <v>393</v>
      </c>
      <c r="O605" s="14" t="s">
        <v>393</v>
      </c>
      <c r="P605" s="15" t="s">
        <v>397</v>
      </c>
      <c r="Q605" s="15" t="s">
        <v>4322</v>
      </c>
      <c r="T605" s="14" t="b">
        <v>0</v>
      </c>
      <c r="U605" s="15" t="s">
        <v>6859</v>
      </c>
      <c r="V605" s="15" t="s">
        <v>6845</v>
      </c>
      <c r="W605" s="15" t="s">
        <v>401</v>
      </c>
      <c r="X605" s="15" t="s">
        <v>695</v>
      </c>
      <c r="Y605" s="15">
        <v>1261.0</v>
      </c>
      <c r="AA605" s="15" t="str">
        <f t="shared" si="1057"/>
        <v>485</v>
      </c>
      <c r="AB605" s="14" t="b">
        <v>1</v>
      </c>
      <c r="AC605" s="14" t="b">
        <v>1</v>
      </c>
      <c r="AD605" s="15" t="str">
        <f>"801542035402"</f>
        <v>801542035402</v>
      </c>
      <c r="AE605" s="15" t="s">
        <v>6860</v>
      </c>
      <c r="AF605" s="14" t="s">
        <v>404</v>
      </c>
      <c r="AG605" s="14" t="s">
        <v>405</v>
      </c>
      <c r="AH605" s="14" t="s">
        <v>406</v>
      </c>
      <c r="AI605" s="15">
        <v>0.0</v>
      </c>
      <c r="AL605" s="15" t="s">
        <v>832</v>
      </c>
      <c r="AM605" s="15" t="s">
        <v>2372</v>
      </c>
      <c r="AN605" s="15" t="s">
        <v>2373</v>
      </c>
      <c r="AO605" s="15" t="s">
        <v>517</v>
      </c>
      <c r="AP605" s="15" t="s">
        <v>518</v>
      </c>
      <c r="AQ605" s="15" t="s">
        <v>1085</v>
      </c>
      <c r="AR605" s="15" t="s">
        <v>1086</v>
      </c>
      <c r="AS605" s="15" t="s">
        <v>6068</v>
      </c>
      <c r="AT605" s="15" t="s">
        <v>4322</v>
      </c>
      <c r="AU605" s="15" t="s">
        <v>1087</v>
      </c>
      <c r="AW605" s="15" t="s">
        <v>706</v>
      </c>
      <c r="AX605" s="15" t="s">
        <v>707</v>
      </c>
      <c r="AY605" s="15" t="s">
        <v>426</v>
      </c>
      <c r="AZ605" s="15" t="b">
        <v>1</v>
      </c>
      <c r="BA605" s="15" t="s">
        <v>413</v>
      </c>
      <c r="BB605" s="15" t="b">
        <v>0</v>
      </c>
      <c r="BC605" s="15" t="s">
        <v>6861</v>
      </c>
      <c r="BD605" s="15" t="s">
        <v>709</v>
      </c>
      <c r="BE605" s="15" t="str">
        <f t="shared" si="1050"/>
        <v>1</v>
      </c>
      <c r="BF605" s="15" t="s">
        <v>416</v>
      </c>
      <c r="BG605" s="15" t="str">
        <f t="shared" ref="BG605:BG606" si="1058">"38.58"</f>
        <v>38.58</v>
      </c>
      <c r="BH605" s="15" t="s">
        <v>442</v>
      </c>
      <c r="BI605" s="15" t="str">
        <f t="shared" ref="BI605:BI606" si="1059">"33.86"</f>
        <v>33.86</v>
      </c>
      <c r="BJ605" s="15" t="s">
        <v>1209</v>
      </c>
      <c r="BK605" s="15" t="str">
        <f t="shared" si="1053"/>
        <v>29.13</v>
      </c>
      <c r="BL605" s="15" t="s">
        <v>1566</v>
      </c>
      <c r="BM605" s="15" t="str">
        <f t="shared" si="1054"/>
        <v>77.16</v>
      </c>
      <c r="BN605" s="15" t="s">
        <v>3001</v>
      </c>
      <c r="BQ605" s="15" t="s">
        <v>444</v>
      </c>
      <c r="BS605" s="15" t="s">
        <v>444</v>
      </c>
      <c r="BU605" s="15" t="s">
        <v>444</v>
      </c>
      <c r="BW605" s="15" t="s">
        <v>444</v>
      </c>
      <c r="BZ605" s="15" t="s">
        <v>444</v>
      </c>
      <c r="CB605" s="15" t="s">
        <v>444</v>
      </c>
      <c r="CD605" s="15" t="s">
        <v>444</v>
      </c>
      <c r="CF605" s="15" t="s">
        <v>444</v>
      </c>
      <c r="CI605" s="15" t="s">
        <v>444</v>
      </c>
      <c r="CK605" s="15" t="s">
        <v>444</v>
      </c>
      <c r="CM605" s="15" t="s">
        <v>444</v>
      </c>
      <c r="CO605" s="15" t="s">
        <v>444</v>
      </c>
      <c r="CP605" s="15" t="str">
        <f t="shared" si="1055"/>
        <v>22.04</v>
      </c>
      <c r="CQ605" s="15" t="str">
        <f t="shared" si="1056"/>
        <v>0.624</v>
      </c>
      <c r="CR605" s="15" t="s">
        <v>497</v>
      </c>
      <c r="CY605" s="15" t="s">
        <v>525</v>
      </c>
      <c r="CZ605" s="15" t="s">
        <v>505</v>
      </c>
      <c r="DA605" s="15" t="s">
        <v>1324</v>
      </c>
      <c r="DB605" s="15" t="s">
        <v>1072</v>
      </c>
      <c r="DC605" s="15" t="str">
        <f>IFERROR(__xludf.DUMMYFUNCTION("""COMPUTED_VALUE"""),"{""value"":22.00,""unit"":""in""}")</f>
        <v>{"value":22.00,"unit":"in"}</v>
      </c>
      <c r="DD605" s="15" t="s">
        <v>1065</v>
      </c>
      <c r="DE605" s="15" t="str">
        <f>IFERROR(__xludf.DUMMYFUNCTION("""COMPUTED_VALUE"""),"{""value"":18.00,""unit"":""in""}")</f>
        <v>{"value":18.00,"unit":"in"}</v>
      </c>
      <c r="DG605" s="15" t="str">
        <f>IFERROR(__xludf.DUMMYFUNCTION("""COMPUTED_VALUE"""),"")</f>
        <v/>
      </c>
      <c r="DH605" s="15">
        <v>0.0</v>
      </c>
      <c r="DI605" s="15">
        <v>1.0</v>
      </c>
      <c r="DJ605" s="15" t="s">
        <v>717</v>
      </c>
      <c r="DK605" s="15" t="s">
        <v>897</v>
      </c>
      <c r="DL605" s="15" t="str">
        <f>IFERROR(__xludf.DUMMYFUNCTION("""COMPUTED_VALUE"""),"Clean with water-based products only. Use mild detergent or upholstery shampoo.")</f>
        <v>Clean with water-based products only. Use mild detergent or upholstery shampoo.</v>
      </c>
      <c r="DM605" s="15" t="s">
        <v>898</v>
      </c>
      <c r="DQ605" s="15" t="s">
        <v>6848</v>
      </c>
      <c r="DT605" s="15" t="s">
        <v>721</v>
      </c>
      <c r="DU605" s="15" t="s">
        <v>419</v>
      </c>
      <c r="DV605" s="15">
        <v>0.0</v>
      </c>
      <c r="DZ605" s="15">
        <v>100000.0</v>
      </c>
      <c r="EA605" s="15" t="s">
        <v>722</v>
      </c>
      <c r="EB605" s="15" t="s">
        <v>723</v>
      </c>
      <c r="EC605" s="15" t="s">
        <v>724</v>
      </c>
      <c r="ED605" s="15">
        <v>1.0</v>
      </c>
      <c r="EE605" s="15">
        <v>1.0</v>
      </c>
      <c r="EG605" s="15" t="s">
        <v>444</v>
      </c>
      <c r="EH605" s="15" t="s">
        <v>6849</v>
      </c>
      <c r="EI605" s="15">
        <v>0.0</v>
      </c>
      <c r="EJ605" s="15" t="s">
        <v>726</v>
      </c>
      <c r="EK605" s="15" t="s">
        <v>727</v>
      </c>
      <c r="EL605" s="15" t="s">
        <v>2735</v>
      </c>
      <c r="EM605" s="15" t="str">
        <f>IFERROR(__xludf.DUMMYFUNCTION("""COMPUTED_VALUE"""),"{""value"":23.25,""unit"":""in""}")</f>
        <v>{"value":23.25,"unit":"in"}</v>
      </c>
      <c r="EN605" s="15" t="s">
        <v>1327</v>
      </c>
      <c r="EO605" s="15" t="s">
        <v>1211</v>
      </c>
      <c r="ES605" s="15" t="s">
        <v>995</v>
      </c>
      <c r="EW605" s="15" t="s">
        <v>1236</v>
      </c>
      <c r="EX605" s="15" t="s">
        <v>2735</v>
      </c>
      <c r="EY605" s="15" t="s">
        <v>1064</v>
      </c>
      <c r="EZ605" s="15" t="s">
        <v>1288</v>
      </c>
      <c r="FC605" s="15" t="s">
        <v>1016</v>
      </c>
      <c r="FF605" s="15" t="s">
        <v>1079</v>
      </c>
      <c r="FO605" s="15" t="s">
        <v>1213</v>
      </c>
      <c r="FP605" s="15" t="s">
        <v>650</v>
      </c>
      <c r="FQ605" s="15">
        <v>0.0</v>
      </c>
      <c r="FR605" s="15">
        <v>0.0</v>
      </c>
      <c r="FT605" s="15">
        <v>0.0</v>
      </c>
    </row>
    <row r="606" ht="15.75" customHeight="1">
      <c r="A606" s="14" t="s">
        <v>391</v>
      </c>
      <c r="B606" s="15" t="s">
        <v>6841</v>
      </c>
      <c r="C606" s="16"/>
      <c r="D606" s="15" t="s">
        <v>432</v>
      </c>
      <c r="G606" s="14" t="s">
        <v>393</v>
      </c>
      <c r="H606" s="14" t="s">
        <v>394</v>
      </c>
      <c r="I606" s="14" t="b">
        <v>1</v>
      </c>
      <c r="J606" s="14" t="s">
        <v>395</v>
      </c>
      <c r="L606" s="14" t="b">
        <v>0</v>
      </c>
      <c r="M606" s="15" t="s">
        <v>6862</v>
      </c>
      <c r="N606" s="14" t="s">
        <v>393</v>
      </c>
      <c r="O606" s="14" t="s">
        <v>393</v>
      </c>
      <c r="P606" s="15" t="s">
        <v>397</v>
      </c>
      <c r="Q606" s="15" t="s">
        <v>6863</v>
      </c>
      <c r="T606" s="14" t="b">
        <v>0</v>
      </c>
      <c r="U606" s="15" t="s">
        <v>6864</v>
      </c>
      <c r="V606" s="15" t="s">
        <v>6845</v>
      </c>
      <c r="W606" s="15" t="s">
        <v>401</v>
      </c>
      <c r="X606" s="15" t="s">
        <v>695</v>
      </c>
      <c r="Y606" s="15">
        <v>2301.0</v>
      </c>
      <c r="AA606" s="15" t="str">
        <f>"885"</f>
        <v>885</v>
      </c>
      <c r="AB606" s="14" t="b">
        <v>1</v>
      </c>
      <c r="AC606" s="14" t="b">
        <v>1</v>
      </c>
      <c r="AD606" s="15" t="str">
        <f>"801542030278"</f>
        <v>801542030278</v>
      </c>
      <c r="AE606" s="15" t="s">
        <v>6865</v>
      </c>
      <c r="AF606" s="14" t="s">
        <v>404</v>
      </c>
      <c r="AG606" s="14" t="s">
        <v>405</v>
      </c>
      <c r="AH606" s="14" t="s">
        <v>406</v>
      </c>
      <c r="AI606" s="15">
        <v>0.0</v>
      </c>
      <c r="AL606" s="15" t="s">
        <v>1341</v>
      </c>
      <c r="AM606" s="15" t="s">
        <v>2372</v>
      </c>
      <c r="AN606" s="15" t="s">
        <v>2373</v>
      </c>
      <c r="AO606" s="15" t="s">
        <v>517</v>
      </c>
      <c r="AP606" s="15" t="s">
        <v>518</v>
      </c>
      <c r="AQ606" s="15" t="s">
        <v>1085</v>
      </c>
      <c r="AR606" s="15" t="s">
        <v>1086</v>
      </c>
      <c r="AS606" s="15" t="s">
        <v>6068</v>
      </c>
      <c r="AT606" s="15" t="s">
        <v>6863</v>
      </c>
      <c r="AU606" s="15" t="s">
        <v>3557</v>
      </c>
      <c r="AW606" s="15" t="s">
        <v>706</v>
      </c>
      <c r="AX606" s="15" t="s">
        <v>707</v>
      </c>
      <c r="AY606" s="15" t="s">
        <v>413</v>
      </c>
      <c r="AZ606" s="15" t="b">
        <v>0</v>
      </c>
      <c r="BA606" s="15" t="s">
        <v>413</v>
      </c>
      <c r="BB606" s="15" t="b">
        <v>0</v>
      </c>
      <c r="BC606" s="15" t="s">
        <v>6866</v>
      </c>
      <c r="BD606" s="15" t="s">
        <v>709</v>
      </c>
      <c r="BE606" s="15" t="str">
        <f t="shared" si="1050"/>
        <v>1</v>
      </c>
      <c r="BF606" s="15" t="s">
        <v>416</v>
      </c>
      <c r="BG606" s="15" t="str">
        <f t="shared" si="1058"/>
        <v>38.58</v>
      </c>
      <c r="BH606" s="15" t="s">
        <v>442</v>
      </c>
      <c r="BI606" s="15" t="str">
        <f t="shared" si="1059"/>
        <v>33.86</v>
      </c>
      <c r="BJ606" s="15" t="s">
        <v>1209</v>
      </c>
      <c r="BK606" s="15" t="str">
        <f t="shared" si="1053"/>
        <v>29.13</v>
      </c>
      <c r="BL606" s="15" t="s">
        <v>1566</v>
      </c>
      <c r="BM606" s="15" t="str">
        <f t="shared" si="1054"/>
        <v>77.16</v>
      </c>
      <c r="BN606" s="15" t="s">
        <v>3001</v>
      </c>
      <c r="BQ606" s="15" t="s">
        <v>444</v>
      </c>
      <c r="BS606" s="15" t="s">
        <v>444</v>
      </c>
      <c r="BU606" s="15" t="s">
        <v>444</v>
      </c>
      <c r="BW606" s="15" t="s">
        <v>444</v>
      </c>
      <c r="BZ606" s="15" t="s">
        <v>444</v>
      </c>
      <c r="CB606" s="15" t="s">
        <v>444</v>
      </c>
      <c r="CD606" s="15" t="s">
        <v>444</v>
      </c>
      <c r="CF606" s="15" t="s">
        <v>444</v>
      </c>
      <c r="CI606" s="15" t="s">
        <v>444</v>
      </c>
      <c r="CK606" s="15" t="s">
        <v>444</v>
      </c>
      <c r="CM606" s="15" t="s">
        <v>444</v>
      </c>
      <c r="CO606" s="15" t="s">
        <v>444</v>
      </c>
      <c r="CP606" s="15" t="str">
        <f t="shared" si="1055"/>
        <v>22.04</v>
      </c>
      <c r="CQ606" s="15" t="str">
        <f t="shared" si="1056"/>
        <v>0.624</v>
      </c>
      <c r="CR606" s="15" t="s">
        <v>417</v>
      </c>
      <c r="CY606" s="15" t="s">
        <v>525</v>
      </c>
      <c r="CZ606" s="15" t="s">
        <v>505</v>
      </c>
      <c r="DA606" s="15" t="s">
        <v>1324</v>
      </c>
      <c r="DB606" s="15" t="s">
        <v>1072</v>
      </c>
      <c r="DC606" s="15" t="str">
        <f>IFERROR(__xludf.DUMMYFUNCTION("""COMPUTED_VALUE"""),"{""value"":22.00,""unit"":""in""}")</f>
        <v>{"value":22.00,"unit":"in"}</v>
      </c>
      <c r="DD606" s="15" t="s">
        <v>1065</v>
      </c>
      <c r="DE606" s="15" t="str">
        <f>IFERROR(__xludf.DUMMYFUNCTION("""COMPUTED_VALUE"""),"{""value"":18.00,""unit"":""in""}")</f>
        <v>{"value":18.00,"unit":"in"}</v>
      </c>
      <c r="DG606" s="15" t="str">
        <f>IFERROR(__xludf.DUMMYFUNCTION("""COMPUTED_VALUE"""),"")</f>
        <v/>
      </c>
      <c r="DH606" s="15">
        <v>0.0</v>
      </c>
      <c r="DI606" s="15">
        <v>1.0</v>
      </c>
      <c r="DJ606" s="15" t="s">
        <v>717</v>
      </c>
      <c r="DK606" s="15" t="s">
        <v>718</v>
      </c>
      <c r="DL606" s="15" t="str">
        <f>IFERROR(__xludf.DUMMYFUNCTION("""COMPUTED_VALUE"""),"Vacuum or light brush only. Do not use water or any cleaning products.")</f>
        <v>Vacuum or light brush only. Do not use water or any cleaning products.</v>
      </c>
      <c r="DM606" s="15" t="s">
        <v>719</v>
      </c>
      <c r="DQ606" s="15" t="s">
        <v>6848</v>
      </c>
      <c r="DT606" s="15" t="s">
        <v>721</v>
      </c>
      <c r="DU606" s="15" t="s">
        <v>419</v>
      </c>
      <c r="DV606" s="15">
        <v>0.0</v>
      </c>
      <c r="DZ606" s="15">
        <v>0.0</v>
      </c>
      <c r="EA606" s="15" t="s">
        <v>722</v>
      </c>
      <c r="EB606" s="15" t="s">
        <v>723</v>
      </c>
      <c r="EC606" s="15" t="s">
        <v>724</v>
      </c>
      <c r="ED606" s="15">
        <v>1.0</v>
      </c>
      <c r="EE606" s="15">
        <v>1.0</v>
      </c>
      <c r="EG606" s="15" t="s">
        <v>444</v>
      </c>
      <c r="EH606" s="15" t="s">
        <v>6849</v>
      </c>
      <c r="EI606" s="15">
        <v>0.0</v>
      </c>
      <c r="EJ606" s="15" t="s">
        <v>726</v>
      </c>
      <c r="EK606" s="15" t="s">
        <v>727</v>
      </c>
      <c r="EL606" s="15" t="s">
        <v>2735</v>
      </c>
      <c r="EM606" s="15" t="str">
        <f>IFERROR(__xludf.DUMMYFUNCTION("""COMPUTED_VALUE"""),"{""value"":23.25,""unit"":""in""}")</f>
        <v>{"value":23.25,"unit":"in"}</v>
      </c>
      <c r="EN606" s="15" t="s">
        <v>1327</v>
      </c>
      <c r="EO606" s="15" t="s">
        <v>1211</v>
      </c>
      <c r="ES606" s="15" t="s">
        <v>995</v>
      </c>
      <c r="EW606" s="15" t="s">
        <v>1236</v>
      </c>
      <c r="EX606" s="15" t="s">
        <v>2735</v>
      </c>
      <c r="EY606" s="15" t="s">
        <v>1064</v>
      </c>
      <c r="EZ606" s="15" t="s">
        <v>1288</v>
      </c>
      <c r="FC606" s="15" t="s">
        <v>1016</v>
      </c>
      <c r="FF606" s="15" t="s">
        <v>1079</v>
      </c>
      <c r="FO606" s="15" t="s">
        <v>1213</v>
      </c>
      <c r="FP606" s="15" t="s">
        <v>650</v>
      </c>
      <c r="FQ606" s="15">
        <v>0.0</v>
      </c>
      <c r="FR606" s="15">
        <v>0.0</v>
      </c>
      <c r="FT606" s="15">
        <v>0.0</v>
      </c>
    </row>
    <row r="607" ht="15.75" customHeight="1">
      <c r="A607" s="14" t="s">
        <v>391</v>
      </c>
      <c r="B607" s="15" t="s">
        <v>6867</v>
      </c>
      <c r="C607" s="16"/>
      <c r="D607" s="15" t="s">
        <v>432</v>
      </c>
      <c r="G607" s="14" t="s">
        <v>393</v>
      </c>
      <c r="H607" s="14" t="s">
        <v>394</v>
      </c>
      <c r="I607" s="14" t="b">
        <v>1</v>
      </c>
      <c r="J607" s="14" t="s">
        <v>395</v>
      </c>
      <c r="L607" s="14" t="b">
        <v>0</v>
      </c>
      <c r="M607" s="15" t="s">
        <v>6868</v>
      </c>
      <c r="N607" s="14" t="s">
        <v>393</v>
      </c>
      <c r="O607" s="14" t="s">
        <v>393</v>
      </c>
      <c r="P607" s="15" t="s">
        <v>397</v>
      </c>
      <c r="Q607" s="15" t="s">
        <v>6843</v>
      </c>
      <c r="T607" s="14" t="b">
        <v>0</v>
      </c>
      <c r="U607" s="15" t="s">
        <v>6869</v>
      </c>
      <c r="V607" s="15" t="s">
        <v>3583</v>
      </c>
      <c r="W607" s="15" t="s">
        <v>401</v>
      </c>
      <c r="X607" s="15" t="s">
        <v>695</v>
      </c>
      <c r="Y607" s="15">
        <v>2405.0</v>
      </c>
      <c r="AA607" s="15" t="str">
        <f t="shared" ref="AA607:AA609" si="1060">"925"</f>
        <v>925</v>
      </c>
      <c r="AB607" s="14" t="b">
        <v>1</v>
      </c>
      <c r="AC607" s="14" t="b">
        <v>1</v>
      </c>
      <c r="AD607" s="15" t="str">
        <f>"801542710316"</f>
        <v>801542710316</v>
      </c>
      <c r="AE607" s="15" t="s">
        <v>6870</v>
      </c>
      <c r="AF607" s="14" t="s">
        <v>404</v>
      </c>
      <c r="AG607" s="14" t="s">
        <v>405</v>
      </c>
      <c r="AH607" s="14" t="s">
        <v>406</v>
      </c>
      <c r="AI607" s="15">
        <v>0.0</v>
      </c>
      <c r="AL607" s="15" t="s">
        <v>832</v>
      </c>
      <c r="AM607" s="15" t="s">
        <v>1125</v>
      </c>
      <c r="AN607" s="15" t="s">
        <v>1129</v>
      </c>
      <c r="AO607" s="15" t="s">
        <v>2834</v>
      </c>
      <c r="AP607" s="15" t="s">
        <v>2239</v>
      </c>
      <c r="AQ607" s="15" t="s">
        <v>1085</v>
      </c>
      <c r="AR607" s="15" t="s">
        <v>1086</v>
      </c>
      <c r="AS607" s="15" t="s">
        <v>6068</v>
      </c>
      <c r="AT607" s="15" t="s">
        <v>6843</v>
      </c>
      <c r="AU607" s="15" t="s">
        <v>1087</v>
      </c>
      <c r="AW607" s="15" t="s">
        <v>1732</v>
      </c>
      <c r="AY607" s="15" t="s">
        <v>413</v>
      </c>
      <c r="AZ607" s="15" t="b">
        <v>0</v>
      </c>
      <c r="BA607" s="15" t="s">
        <v>426</v>
      </c>
      <c r="BB607" s="15" t="b">
        <v>1</v>
      </c>
      <c r="BC607" s="15" t="s">
        <v>6871</v>
      </c>
      <c r="BD607" s="15" t="s">
        <v>709</v>
      </c>
      <c r="BE607" s="15" t="str">
        <f t="shared" si="1050"/>
        <v>1</v>
      </c>
      <c r="BF607" s="15" t="s">
        <v>416</v>
      </c>
      <c r="BG607" s="15" t="str">
        <f t="shared" ref="BG607:BG610" si="1061">"87.8"</f>
        <v>87.8</v>
      </c>
      <c r="BH607" s="15" t="s">
        <v>2615</v>
      </c>
      <c r="BI607" s="15" t="str">
        <f t="shared" ref="BI607:BI610" si="1062">"35.83"</f>
        <v>35.83</v>
      </c>
      <c r="BJ607" s="15" t="s">
        <v>1505</v>
      </c>
      <c r="BK607" s="15" t="str">
        <f t="shared" ref="BK607:BK610" si="1063">"30.31"</f>
        <v>30.31</v>
      </c>
      <c r="BL607" s="15" t="s">
        <v>982</v>
      </c>
      <c r="BM607" s="15" t="str">
        <f t="shared" ref="BM607:BM610" si="1064">"158.73"</f>
        <v>158.73</v>
      </c>
      <c r="BN607" s="15" t="s">
        <v>4507</v>
      </c>
      <c r="BQ607" s="15" t="s">
        <v>444</v>
      </c>
      <c r="BS607" s="15" t="s">
        <v>444</v>
      </c>
      <c r="BU607" s="15" t="s">
        <v>444</v>
      </c>
      <c r="BW607" s="15" t="s">
        <v>444</v>
      </c>
      <c r="BZ607" s="15" t="s">
        <v>444</v>
      </c>
      <c r="CB607" s="15" t="s">
        <v>444</v>
      </c>
      <c r="CD607" s="15" t="s">
        <v>444</v>
      </c>
      <c r="CF607" s="15" t="s">
        <v>444</v>
      </c>
      <c r="CI607" s="15" t="s">
        <v>444</v>
      </c>
      <c r="CK607" s="15" t="s">
        <v>444</v>
      </c>
      <c r="CM607" s="15" t="s">
        <v>444</v>
      </c>
      <c r="CO607" s="15" t="s">
        <v>444</v>
      </c>
      <c r="CP607" s="15" t="str">
        <f t="shared" ref="CP607:CP610" si="1065">"55.2"</f>
        <v>55.2</v>
      </c>
      <c r="CQ607" s="15" t="str">
        <f t="shared" ref="CQ607:CQ610" si="1066">"1.563"</f>
        <v>1.563</v>
      </c>
      <c r="CR607" s="15" t="s">
        <v>465</v>
      </c>
      <c r="CY607" s="15" t="s">
        <v>1211</v>
      </c>
      <c r="CZ607" s="15" t="s">
        <v>505</v>
      </c>
      <c r="DA607" s="15" t="s">
        <v>6872</v>
      </c>
      <c r="DB607" s="15" t="s">
        <v>1211</v>
      </c>
      <c r="DC607" s="15" t="str">
        <f>IFERROR(__xludf.DUMMYFUNCTION("""COMPUTED_VALUE"""),"{""value"":24.00,""unit"":""in""}")</f>
        <v>{"value":24.00,"unit":"in"}</v>
      </c>
      <c r="DD607" s="15" t="s">
        <v>1065</v>
      </c>
      <c r="DE607" s="15" t="str">
        <f>IFERROR(__xludf.DUMMYFUNCTION("""COMPUTED_VALUE"""),"{""value"":18.00,""unit"":""in""}")</f>
        <v>{"value":18.00,"unit":"in"}</v>
      </c>
      <c r="DF607" s="15" t="s">
        <v>960</v>
      </c>
      <c r="DG607" s="15" t="str">
        <f>IFERROR(__xludf.DUMMYFUNCTION("""COMPUTED_VALUE"""),"{""value"":68.00,""unit"":""in""}")</f>
        <v>{"value":68.00,"unit":"in"}</v>
      </c>
      <c r="DH607" s="15">
        <v>0.0</v>
      </c>
      <c r="DI607" s="15">
        <v>0.0</v>
      </c>
      <c r="DJ607" s="15" t="s">
        <v>717</v>
      </c>
      <c r="DK607" s="15" t="s">
        <v>855</v>
      </c>
      <c r="DL607" s="15" t="str">
        <f>IFERROR(__xludf.DUMMYFUNCTION("""COMPUTED_VALUE"""),"Clean with solvent-based (dry clean only) products. Do not use water.")</f>
        <v>Clean with solvent-based (dry clean only) products. Do not use water.</v>
      </c>
      <c r="DM607" s="15" t="s">
        <v>856</v>
      </c>
      <c r="DQ607" s="15" t="s">
        <v>6873</v>
      </c>
      <c r="DT607" s="15" t="s">
        <v>721</v>
      </c>
      <c r="DU607" s="15" t="s">
        <v>419</v>
      </c>
      <c r="DV607" s="15">
        <v>0.0</v>
      </c>
      <c r="DZ607" s="15">
        <v>25000.0</v>
      </c>
      <c r="EA607" s="15" t="s">
        <v>722</v>
      </c>
      <c r="EB607" s="15" t="s">
        <v>723</v>
      </c>
      <c r="EC607" s="15" t="s">
        <v>724</v>
      </c>
      <c r="ED607" s="15">
        <v>1.0</v>
      </c>
      <c r="EE607" s="15">
        <v>3.0</v>
      </c>
      <c r="EG607" s="15" t="s">
        <v>444</v>
      </c>
      <c r="EH607" s="15" t="s">
        <v>6849</v>
      </c>
      <c r="EI607" s="15">
        <v>0.0</v>
      </c>
      <c r="EJ607" s="15" t="s">
        <v>473</v>
      </c>
      <c r="EK607" s="15" t="s">
        <v>474</v>
      </c>
      <c r="EL607" s="15" t="s">
        <v>2735</v>
      </c>
      <c r="EM607" s="15" t="str">
        <f>IFERROR(__xludf.DUMMYFUNCTION("""COMPUTED_VALUE"""),"{""value"":23.25,""unit"":""in""}")</f>
        <v>{"value":23.25,"unit":"in"}</v>
      </c>
      <c r="EN607" s="15" t="s">
        <v>1327</v>
      </c>
      <c r="EO607" s="15" t="s">
        <v>555</v>
      </c>
      <c r="ES607" s="15" t="s">
        <v>995</v>
      </c>
      <c r="EW607" s="15" t="s">
        <v>1236</v>
      </c>
      <c r="EX607" s="15" t="s">
        <v>2384</v>
      </c>
      <c r="EY607" s="15" t="s">
        <v>6331</v>
      </c>
      <c r="EZ607" s="15" t="s">
        <v>1288</v>
      </c>
      <c r="FF607" s="15" t="s">
        <v>1290</v>
      </c>
    </row>
    <row r="608" ht="15.75" customHeight="1">
      <c r="A608" s="14" t="s">
        <v>391</v>
      </c>
      <c r="B608" s="15" t="s">
        <v>6867</v>
      </c>
      <c r="C608" s="16"/>
      <c r="D608" s="15" t="s">
        <v>432</v>
      </c>
      <c r="G608" s="14" t="s">
        <v>393</v>
      </c>
      <c r="H608" s="14" t="s">
        <v>394</v>
      </c>
      <c r="I608" s="14" t="b">
        <v>1</v>
      </c>
      <c r="J608" s="14" t="s">
        <v>395</v>
      </c>
      <c r="L608" s="14" t="b">
        <v>0</v>
      </c>
      <c r="M608" s="15" t="s">
        <v>6874</v>
      </c>
      <c r="N608" s="14" t="s">
        <v>393</v>
      </c>
      <c r="O608" s="14" t="s">
        <v>393</v>
      </c>
      <c r="P608" s="15" t="s">
        <v>397</v>
      </c>
      <c r="Q608" s="15" t="s">
        <v>2951</v>
      </c>
      <c r="T608" s="14" t="b">
        <v>0</v>
      </c>
      <c r="U608" s="15" t="s">
        <v>6875</v>
      </c>
      <c r="V608" s="15" t="s">
        <v>3583</v>
      </c>
      <c r="W608" s="15" t="s">
        <v>401</v>
      </c>
      <c r="X608" s="15" t="s">
        <v>695</v>
      </c>
      <c r="Y608" s="15">
        <v>2405.0</v>
      </c>
      <c r="AA608" s="15" t="str">
        <f t="shared" si="1060"/>
        <v>925</v>
      </c>
      <c r="AB608" s="14" t="b">
        <v>1</v>
      </c>
      <c r="AC608" s="14" t="b">
        <v>1</v>
      </c>
      <c r="AD608" s="15" t="str">
        <f>"801542710323"</f>
        <v>801542710323</v>
      </c>
      <c r="AE608" s="15" t="s">
        <v>6876</v>
      </c>
      <c r="AF608" s="14" t="s">
        <v>404</v>
      </c>
      <c r="AG608" s="14" t="s">
        <v>405</v>
      </c>
      <c r="AH608" s="14" t="s">
        <v>406</v>
      </c>
      <c r="AI608" s="15">
        <v>0.0</v>
      </c>
      <c r="AL608" s="15" t="s">
        <v>2540</v>
      </c>
      <c r="AM608" s="15" t="s">
        <v>1125</v>
      </c>
      <c r="AN608" s="15" t="s">
        <v>1129</v>
      </c>
      <c r="AO608" s="15" t="s">
        <v>2834</v>
      </c>
      <c r="AP608" s="15" t="s">
        <v>2239</v>
      </c>
      <c r="AQ608" s="15" t="s">
        <v>1085</v>
      </c>
      <c r="AR608" s="15" t="s">
        <v>1086</v>
      </c>
      <c r="AS608" s="15" t="s">
        <v>6068</v>
      </c>
      <c r="AT608" s="15" t="s">
        <v>2951</v>
      </c>
      <c r="AU608" s="15" t="s">
        <v>1087</v>
      </c>
      <c r="AW608" s="15" t="s">
        <v>1732</v>
      </c>
      <c r="AY608" s="15" t="s">
        <v>426</v>
      </c>
      <c r="AZ608" s="15" t="b">
        <v>1</v>
      </c>
      <c r="BA608" s="15" t="s">
        <v>426</v>
      </c>
      <c r="BB608" s="15" t="b">
        <v>1</v>
      </c>
      <c r="BC608" s="15" t="s">
        <v>6877</v>
      </c>
      <c r="BD608" s="15" t="s">
        <v>709</v>
      </c>
      <c r="BE608" s="15" t="str">
        <f t="shared" si="1050"/>
        <v>1</v>
      </c>
      <c r="BF608" s="15" t="s">
        <v>416</v>
      </c>
      <c r="BG608" s="15" t="str">
        <f t="shared" si="1061"/>
        <v>87.8</v>
      </c>
      <c r="BH608" s="15" t="s">
        <v>2615</v>
      </c>
      <c r="BI608" s="15" t="str">
        <f t="shared" si="1062"/>
        <v>35.83</v>
      </c>
      <c r="BJ608" s="15" t="s">
        <v>1505</v>
      </c>
      <c r="BK608" s="15" t="str">
        <f t="shared" si="1063"/>
        <v>30.31</v>
      </c>
      <c r="BL608" s="15" t="s">
        <v>982</v>
      </c>
      <c r="BM608" s="15" t="str">
        <f t="shared" si="1064"/>
        <v>158.73</v>
      </c>
      <c r="BN608" s="15" t="s">
        <v>4507</v>
      </c>
      <c r="BQ608" s="15" t="s">
        <v>444</v>
      </c>
      <c r="BS608" s="15" t="s">
        <v>444</v>
      </c>
      <c r="BU608" s="15" t="s">
        <v>444</v>
      </c>
      <c r="BW608" s="15" t="s">
        <v>444</v>
      </c>
      <c r="BZ608" s="15" t="s">
        <v>444</v>
      </c>
      <c r="CB608" s="15" t="s">
        <v>444</v>
      </c>
      <c r="CD608" s="15" t="s">
        <v>444</v>
      </c>
      <c r="CF608" s="15" t="s">
        <v>444</v>
      </c>
      <c r="CI608" s="15" t="s">
        <v>444</v>
      </c>
      <c r="CK608" s="15" t="s">
        <v>444</v>
      </c>
      <c r="CM608" s="15" t="s">
        <v>444</v>
      </c>
      <c r="CO608" s="15" t="s">
        <v>444</v>
      </c>
      <c r="CP608" s="15" t="str">
        <f t="shared" si="1065"/>
        <v>55.2</v>
      </c>
      <c r="CQ608" s="15" t="str">
        <f t="shared" si="1066"/>
        <v>1.563</v>
      </c>
      <c r="CR608" s="15" t="s">
        <v>497</v>
      </c>
      <c r="CY608" s="15" t="s">
        <v>1211</v>
      </c>
      <c r="CZ608" s="15" t="s">
        <v>505</v>
      </c>
      <c r="DA608" s="15" t="s">
        <v>6872</v>
      </c>
      <c r="DB608" s="15" t="s">
        <v>1211</v>
      </c>
      <c r="DC608" s="15" t="str">
        <f>IFERROR(__xludf.DUMMYFUNCTION("""COMPUTED_VALUE"""),"{""value"":24.00,""unit"":""in""}")</f>
        <v>{"value":24.00,"unit":"in"}</v>
      </c>
      <c r="DD608" s="15" t="s">
        <v>1065</v>
      </c>
      <c r="DE608" s="15" t="str">
        <f>IFERROR(__xludf.DUMMYFUNCTION("""COMPUTED_VALUE"""),"{""value"":18.00,""unit"":""in""}")</f>
        <v>{"value":18.00,"unit":"in"}</v>
      </c>
      <c r="DF608" s="15" t="s">
        <v>960</v>
      </c>
      <c r="DG608" s="15" t="str">
        <f>IFERROR(__xludf.DUMMYFUNCTION("""COMPUTED_VALUE"""),"{""value"":68.00,""unit"":""in""}")</f>
        <v>{"value":68.00,"unit":"in"}</v>
      </c>
      <c r="DH608" s="15">
        <v>0.0</v>
      </c>
      <c r="DI608" s="15">
        <v>0.0</v>
      </c>
      <c r="DJ608" s="15" t="s">
        <v>717</v>
      </c>
      <c r="DK608" s="15" t="s">
        <v>855</v>
      </c>
      <c r="DL608" s="15" t="str">
        <f>IFERROR(__xludf.DUMMYFUNCTION("""COMPUTED_VALUE"""),"Clean with solvent-based (dry clean only) products. Do not use water.")</f>
        <v>Clean with solvent-based (dry clean only) products. Do not use water.</v>
      </c>
      <c r="DM608" s="15" t="s">
        <v>856</v>
      </c>
      <c r="DQ608" s="15" t="s">
        <v>6873</v>
      </c>
      <c r="DT608" s="15" t="s">
        <v>721</v>
      </c>
      <c r="DU608" s="15" t="s">
        <v>419</v>
      </c>
      <c r="DV608" s="15">
        <v>0.0</v>
      </c>
      <c r="DZ608" s="15">
        <v>25000.0</v>
      </c>
      <c r="EA608" s="15" t="s">
        <v>722</v>
      </c>
      <c r="EB608" s="15" t="s">
        <v>723</v>
      </c>
      <c r="EC608" s="15" t="s">
        <v>724</v>
      </c>
      <c r="ED608" s="15">
        <v>1.0</v>
      </c>
      <c r="EE608" s="15">
        <v>3.0</v>
      </c>
      <c r="EG608" s="15" t="s">
        <v>444</v>
      </c>
      <c r="EH608" s="15" t="s">
        <v>6849</v>
      </c>
      <c r="EI608" s="15">
        <v>0.0</v>
      </c>
      <c r="EJ608" s="15" t="s">
        <v>473</v>
      </c>
      <c r="EK608" s="15" t="s">
        <v>474</v>
      </c>
      <c r="EL608" s="15" t="s">
        <v>2735</v>
      </c>
      <c r="EM608" s="15" t="str">
        <f>IFERROR(__xludf.DUMMYFUNCTION("""COMPUTED_VALUE"""),"{""value"":23.25,""unit"":""in""}")</f>
        <v>{"value":23.25,"unit":"in"}</v>
      </c>
      <c r="EN608" s="15" t="s">
        <v>1327</v>
      </c>
      <c r="EO608" s="15" t="s">
        <v>555</v>
      </c>
      <c r="ES608" s="15" t="s">
        <v>995</v>
      </c>
      <c r="EW608" s="15" t="s">
        <v>1236</v>
      </c>
      <c r="EX608" s="15" t="s">
        <v>2384</v>
      </c>
      <c r="EY608" s="15" t="s">
        <v>6331</v>
      </c>
      <c r="EZ608" s="15" t="s">
        <v>1288</v>
      </c>
      <c r="FF608" s="15" t="s">
        <v>1290</v>
      </c>
    </row>
    <row r="609" ht="15.75" customHeight="1">
      <c r="A609" s="14" t="s">
        <v>391</v>
      </c>
      <c r="B609" s="15" t="s">
        <v>6867</v>
      </c>
      <c r="C609" s="16"/>
      <c r="D609" s="15" t="s">
        <v>432</v>
      </c>
      <c r="G609" s="14" t="s">
        <v>393</v>
      </c>
      <c r="H609" s="14" t="s">
        <v>394</v>
      </c>
      <c r="I609" s="14" t="b">
        <v>1</v>
      </c>
      <c r="J609" s="14" t="s">
        <v>395</v>
      </c>
      <c r="L609" s="14" t="b">
        <v>0</v>
      </c>
      <c r="M609" s="15" t="s">
        <v>6878</v>
      </c>
      <c r="N609" s="14" t="s">
        <v>393</v>
      </c>
      <c r="O609" s="14" t="s">
        <v>393</v>
      </c>
      <c r="P609" s="15" t="s">
        <v>397</v>
      </c>
      <c r="Q609" s="15" t="s">
        <v>4322</v>
      </c>
      <c r="T609" s="14" t="b">
        <v>0</v>
      </c>
      <c r="U609" s="15" t="s">
        <v>6879</v>
      </c>
      <c r="V609" s="15" t="s">
        <v>3583</v>
      </c>
      <c r="W609" s="15" t="s">
        <v>401</v>
      </c>
      <c r="X609" s="15" t="s">
        <v>695</v>
      </c>
      <c r="Y609" s="15">
        <v>2405.0</v>
      </c>
      <c r="AA609" s="15" t="str">
        <f t="shared" si="1060"/>
        <v>925</v>
      </c>
      <c r="AB609" s="14" t="b">
        <v>1</v>
      </c>
      <c r="AC609" s="14" t="b">
        <v>1</v>
      </c>
      <c r="AD609" s="15" t="str">
        <f>"801542046699"</f>
        <v>801542046699</v>
      </c>
      <c r="AE609" s="15" t="s">
        <v>6880</v>
      </c>
      <c r="AF609" s="14" t="s">
        <v>404</v>
      </c>
      <c r="AG609" s="14" t="s">
        <v>405</v>
      </c>
      <c r="AH609" s="14" t="s">
        <v>406</v>
      </c>
      <c r="AI609" s="15">
        <v>0.0</v>
      </c>
      <c r="AL609" s="15" t="s">
        <v>832</v>
      </c>
      <c r="AM609" s="15" t="s">
        <v>1125</v>
      </c>
      <c r="AN609" s="15" t="s">
        <v>1129</v>
      </c>
      <c r="AO609" s="15" t="s">
        <v>2834</v>
      </c>
      <c r="AP609" s="15" t="s">
        <v>2239</v>
      </c>
      <c r="AQ609" s="15" t="s">
        <v>1085</v>
      </c>
      <c r="AR609" s="15" t="s">
        <v>1086</v>
      </c>
      <c r="AS609" s="15" t="s">
        <v>6068</v>
      </c>
      <c r="AT609" s="15" t="s">
        <v>4322</v>
      </c>
      <c r="AU609" s="15" t="s">
        <v>1087</v>
      </c>
      <c r="AW609" s="15" t="s">
        <v>1732</v>
      </c>
      <c r="AY609" s="15" t="s">
        <v>426</v>
      </c>
      <c r="AZ609" s="15" t="b">
        <v>1</v>
      </c>
      <c r="BA609" s="15" t="s">
        <v>413</v>
      </c>
      <c r="BB609" s="15" t="b">
        <v>0</v>
      </c>
      <c r="BC609" s="15" t="s">
        <v>6881</v>
      </c>
      <c r="BD609" s="15" t="s">
        <v>709</v>
      </c>
      <c r="BE609" s="15" t="str">
        <f t="shared" si="1050"/>
        <v>1</v>
      </c>
      <c r="BF609" s="15" t="s">
        <v>416</v>
      </c>
      <c r="BG609" s="15" t="str">
        <f t="shared" si="1061"/>
        <v>87.8</v>
      </c>
      <c r="BH609" s="15" t="s">
        <v>2615</v>
      </c>
      <c r="BI609" s="15" t="str">
        <f t="shared" si="1062"/>
        <v>35.83</v>
      </c>
      <c r="BJ609" s="15" t="s">
        <v>1505</v>
      </c>
      <c r="BK609" s="15" t="str">
        <f t="shared" si="1063"/>
        <v>30.31</v>
      </c>
      <c r="BL609" s="15" t="s">
        <v>982</v>
      </c>
      <c r="BM609" s="15" t="str">
        <f t="shared" si="1064"/>
        <v>158.73</v>
      </c>
      <c r="BN609" s="15" t="s">
        <v>4507</v>
      </c>
      <c r="BQ609" s="15" t="s">
        <v>444</v>
      </c>
      <c r="BS609" s="15" t="s">
        <v>444</v>
      </c>
      <c r="BU609" s="15" t="s">
        <v>444</v>
      </c>
      <c r="BW609" s="15" t="s">
        <v>444</v>
      </c>
      <c r="BZ609" s="15" t="s">
        <v>444</v>
      </c>
      <c r="CB609" s="15" t="s">
        <v>444</v>
      </c>
      <c r="CD609" s="15" t="s">
        <v>444</v>
      </c>
      <c r="CF609" s="15" t="s">
        <v>444</v>
      </c>
      <c r="CI609" s="15" t="s">
        <v>444</v>
      </c>
      <c r="CK609" s="15" t="s">
        <v>444</v>
      </c>
      <c r="CM609" s="15" t="s">
        <v>444</v>
      </c>
      <c r="CO609" s="15" t="s">
        <v>444</v>
      </c>
      <c r="CP609" s="15" t="str">
        <f t="shared" si="1065"/>
        <v>55.2</v>
      </c>
      <c r="CQ609" s="15" t="str">
        <f t="shared" si="1066"/>
        <v>1.563</v>
      </c>
      <c r="CR609" s="15" t="s">
        <v>497</v>
      </c>
      <c r="CY609" s="15" t="s">
        <v>1211</v>
      </c>
      <c r="CZ609" s="15" t="s">
        <v>505</v>
      </c>
      <c r="DA609" s="15" t="s">
        <v>6872</v>
      </c>
      <c r="DB609" s="15" t="s">
        <v>1211</v>
      </c>
      <c r="DC609" s="15" t="str">
        <f>IFERROR(__xludf.DUMMYFUNCTION("""COMPUTED_VALUE"""),"{""value"":24.00,""unit"":""in""}")</f>
        <v>{"value":24.00,"unit":"in"}</v>
      </c>
      <c r="DD609" s="15" t="s">
        <v>1065</v>
      </c>
      <c r="DE609" s="15" t="str">
        <f>IFERROR(__xludf.DUMMYFUNCTION("""COMPUTED_VALUE"""),"{""value"":18.00,""unit"":""in""}")</f>
        <v>{"value":18.00,"unit":"in"}</v>
      </c>
      <c r="DF609" s="15" t="s">
        <v>960</v>
      </c>
      <c r="DG609" s="15" t="str">
        <f>IFERROR(__xludf.DUMMYFUNCTION("""COMPUTED_VALUE"""),"{""value"":68.00,""unit"":""in""}")</f>
        <v>{"value":68.00,"unit":"in"}</v>
      </c>
      <c r="DH609" s="15">
        <v>0.0</v>
      </c>
      <c r="DI609" s="15">
        <v>0.0</v>
      </c>
      <c r="DJ609" s="15" t="s">
        <v>717</v>
      </c>
      <c r="DK609" s="15" t="s">
        <v>897</v>
      </c>
      <c r="DL609" s="15" t="str">
        <f>IFERROR(__xludf.DUMMYFUNCTION("""COMPUTED_VALUE"""),"Clean with water-based products only. Use mild detergent or upholstery shampoo.")</f>
        <v>Clean with water-based products only. Use mild detergent or upholstery shampoo.</v>
      </c>
      <c r="DM609" s="15" t="s">
        <v>898</v>
      </c>
      <c r="DQ609" s="15" t="s">
        <v>6873</v>
      </c>
      <c r="DT609" s="15" t="s">
        <v>721</v>
      </c>
      <c r="DU609" s="15" t="s">
        <v>419</v>
      </c>
      <c r="DV609" s="15">
        <v>0.0</v>
      </c>
      <c r="DZ609" s="15">
        <v>100000.0</v>
      </c>
      <c r="EA609" s="15" t="s">
        <v>722</v>
      </c>
      <c r="EB609" s="15" t="s">
        <v>723</v>
      </c>
      <c r="EC609" s="15" t="s">
        <v>724</v>
      </c>
      <c r="ED609" s="15">
        <v>1.0</v>
      </c>
      <c r="EE609" s="15">
        <v>3.0</v>
      </c>
      <c r="EG609" s="15" t="s">
        <v>444</v>
      </c>
      <c r="EH609" s="15" t="s">
        <v>6849</v>
      </c>
      <c r="EI609" s="15">
        <v>0.0</v>
      </c>
      <c r="EJ609" s="15" t="s">
        <v>473</v>
      </c>
      <c r="EK609" s="15" t="s">
        <v>474</v>
      </c>
      <c r="EL609" s="15" t="s">
        <v>2735</v>
      </c>
      <c r="EM609" s="15" t="str">
        <f>IFERROR(__xludf.DUMMYFUNCTION("""COMPUTED_VALUE"""),"{""value"":23.25,""unit"":""in""}")</f>
        <v>{"value":23.25,"unit":"in"}</v>
      </c>
      <c r="EN609" s="15" t="s">
        <v>1327</v>
      </c>
      <c r="EO609" s="15" t="s">
        <v>555</v>
      </c>
      <c r="ES609" s="15" t="s">
        <v>995</v>
      </c>
      <c r="EW609" s="15" t="s">
        <v>1236</v>
      </c>
      <c r="EX609" s="15" t="s">
        <v>2384</v>
      </c>
      <c r="EY609" s="15" t="s">
        <v>6331</v>
      </c>
      <c r="EZ609" s="15" t="s">
        <v>1288</v>
      </c>
      <c r="FF609" s="15" t="s">
        <v>1290</v>
      </c>
    </row>
    <row r="610" ht="15.75" customHeight="1">
      <c r="A610" s="14" t="s">
        <v>391</v>
      </c>
      <c r="B610" s="15" t="s">
        <v>6867</v>
      </c>
      <c r="C610" s="16"/>
      <c r="D610" s="15" t="s">
        <v>432</v>
      </c>
      <c r="G610" s="14" t="s">
        <v>393</v>
      </c>
      <c r="H610" s="14" t="s">
        <v>394</v>
      </c>
      <c r="I610" s="14" t="b">
        <v>1</v>
      </c>
      <c r="J610" s="14" t="s">
        <v>395</v>
      </c>
      <c r="L610" s="14" t="b">
        <v>0</v>
      </c>
      <c r="M610" s="15" t="s">
        <v>6882</v>
      </c>
      <c r="N610" s="14" t="s">
        <v>393</v>
      </c>
      <c r="O610" s="14" t="s">
        <v>393</v>
      </c>
      <c r="P610" s="15" t="s">
        <v>397</v>
      </c>
      <c r="Q610" s="15" t="s">
        <v>6863</v>
      </c>
      <c r="T610" s="14" t="b">
        <v>0</v>
      </c>
      <c r="U610" s="15" t="s">
        <v>6883</v>
      </c>
      <c r="V610" s="15" t="s">
        <v>3583</v>
      </c>
      <c r="W610" s="15" t="s">
        <v>401</v>
      </c>
      <c r="X610" s="15" t="s">
        <v>695</v>
      </c>
      <c r="Y610" s="15">
        <v>4706.0</v>
      </c>
      <c r="AA610" s="15" t="str">
        <f>"1810"</f>
        <v>1810</v>
      </c>
      <c r="AB610" s="14" t="b">
        <v>1</v>
      </c>
      <c r="AC610" s="14" t="b">
        <v>1</v>
      </c>
      <c r="AD610" s="15" t="str">
        <f>"801542030285"</f>
        <v>801542030285</v>
      </c>
      <c r="AE610" s="15" t="s">
        <v>6884</v>
      </c>
      <c r="AF610" s="14" t="s">
        <v>404</v>
      </c>
      <c r="AG610" s="14" t="s">
        <v>405</v>
      </c>
      <c r="AH610" s="14" t="s">
        <v>406</v>
      </c>
      <c r="AI610" s="15">
        <v>0.0</v>
      </c>
      <c r="AL610" s="15" t="s">
        <v>1341</v>
      </c>
      <c r="AM610" s="15" t="s">
        <v>1125</v>
      </c>
      <c r="AN610" s="15" t="s">
        <v>1129</v>
      </c>
      <c r="AO610" s="15" t="s">
        <v>2834</v>
      </c>
      <c r="AP610" s="15" t="s">
        <v>2239</v>
      </c>
      <c r="AQ610" s="15" t="s">
        <v>1085</v>
      </c>
      <c r="AR610" s="15" t="s">
        <v>1086</v>
      </c>
      <c r="AS610" s="15" t="s">
        <v>6068</v>
      </c>
      <c r="AT610" s="15" t="s">
        <v>6863</v>
      </c>
      <c r="AU610" s="15" t="s">
        <v>3557</v>
      </c>
      <c r="AW610" s="15" t="s">
        <v>1732</v>
      </c>
      <c r="AY610" s="15" t="s">
        <v>413</v>
      </c>
      <c r="AZ610" s="15" t="b">
        <v>0</v>
      </c>
      <c r="BA610" s="15" t="s">
        <v>413</v>
      </c>
      <c r="BB610" s="15" t="b">
        <v>0</v>
      </c>
      <c r="BC610" s="15" t="s">
        <v>6885</v>
      </c>
      <c r="BD610" s="15" t="s">
        <v>709</v>
      </c>
      <c r="BE610" s="15" t="str">
        <f t="shared" si="1050"/>
        <v>1</v>
      </c>
      <c r="BF610" s="15" t="s">
        <v>416</v>
      </c>
      <c r="BG610" s="15" t="str">
        <f t="shared" si="1061"/>
        <v>87.8</v>
      </c>
      <c r="BH610" s="15" t="s">
        <v>2615</v>
      </c>
      <c r="BI610" s="15" t="str">
        <f t="shared" si="1062"/>
        <v>35.83</v>
      </c>
      <c r="BJ610" s="15" t="s">
        <v>1505</v>
      </c>
      <c r="BK610" s="15" t="str">
        <f t="shared" si="1063"/>
        <v>30.31</v>
      </c>
      <c r="BL610" s="15" t="s">
        <v>982</v>
      </c>
      <c r="BM610" s="15" t="str">
        <f t="shared" si="1064"/>
        <v>158.73</v>
      </c>
      <c r="BN610" s="15" t="s">
        <v>4507</v>
      </c>
      <c r="BQ610" s="15" t="s">
        <v>444</v>
      </c>
      <c r="BS610" s="15" t="s">
        <v>444</v>
      </c>
      <c r="BU610" s="15" t="s">
        <v>444</v>
      </c>
      <c r="BW610" s="15" t="s">
        <v>444</v>
      </c>
      <c r="BZ610" s="15" t="s">
        <v>444</v>
      </c>
      <c r="CB610" s="15" t="s">
        <v>444</v>
      </c>
      <c r="CD610" s="15" t="s">
        <v>444</v>
      </c>
      <c r="CF610" s="15" t="s">
        <v>444</v>
      </c>
      <c r="CI610" s="15" t="s">
        <v>444</v>
      </c>
      <c r="CK610" s="15" t="s">
        <v>444</v>
      </c>
      <c r="CM610" s="15" t="s">
        <v>444</v>
      </c>
      <c r="CO610" s="15" t="s">
        <v>444</v>
      </c>
      <c r="CP610" s="15" t="str">
        <f t="shared" si="1065"/>
        <v>55.2</v>
      </c>
      <c r="CQ610" s="15" t="str">
        <f t="shared" si="1066"/>
        <v>1.563</v>
      </c>
      <c r="CR610" s="15" t="s">
        <v>497</v>
      </c>
      <c r="CY610" s="15" t="s">
        <v>1211</v>
      </c>
      <c r="CZ610" s="15" t="s">
        <v>505</v>
      </c>
      <c r="DA610" s="15" t="s">
        <v>6872</v>
      </c>
      <c r="DB610" s="15" t="s">
        <v>1211</v>
      </c>
      <c r="DC610" s="15" t="str">
        <f>IFERROR(__xludf.DUMMYFUNCTION("""COMPUTED_VALUE"""),"{""value"":24.00,""unit"":""in""}")</f>
        <v>{"value":24.00,"unit":"in"}</v>
      </c>
      <c r="DD610" s="15" t="s">
        <v>1065</v>
      </c>
      <c r="DE610" s="15" t="str">
        <f>IFERROR(__xludf.DUMMYFUNCTION("""COMPUTED_VALUE"""),"{""value"":18.00,""unit"":""in""}")</f>
        <v>{"value":18.00,"unit":"in"}</v>
      </c>
      <c r="DF610" s="15" t="s">
        <v>960</v>
      </c>
      <c r="DG610" s="15" t="str">
        <f>IFERROR(__xludf.DUMMYFUNCTION("""COMPUTED_VALUE"""),"{""value"":68.00,""unit"":""in""}")</f>
        <v>{"value":68.00,"unit":"in"}</v>
      </c>
      <c r="DH610" s="15">
        <v>0.0</v>
      </c>
      <c r="DI610" s="15">
        <v>0.0</v>
      </c>
      <c r="DJ610" s="15" t="s">
        <v>717</v>
      </c>
      <c r="DK610" s="15" t="s">
        <v>718</v>
      </c>
      <c r="DL610" s="15" t="str">
        <f>IFERROR(__xludf.DUMMYFUNCTION("""COMPUTED_VALUE"""),"Vacuum or light brush only. Do not use water or any cleaning products.")</f>
        <v>Vacuum or light brush only. Do not use water or any cleaning products.</v>
      </c>
      <c r="DM610" s="15" t="s">
        <v>719</v>
      </c>
      <c r="DQ610" s="15" t="s">
        <v>6873</v>
      </c>
      <c r="DT610" s="15" t="s">
        <v>721</v>
      </c>
      <c r="DU610" s="15" t="s">
        <v>419</v>
      </c>
      <c r="DV610" s="15">
        <v>0.0</v>
      </c>
      <c r="DZ610" s="15">
        <v>0.0</v>
      </c>
      <c r="EA610" s="15" t="s">
        <v>722</v>
      </c>
      <c r="EB610" s="15" t="s">
        <v>723</v>
      </c>
      <c r="EC610" s="15" t="s">
        <v>724</v>
      </c>
      <c r="ED610" s="15">
        <v>1.0</v>
      </c>
      <c r="EE610" s="15">
        <v>3.0</v>
      </c>
      <c r="EG610" s="15" t="s">
        <v>444</v>
      </c>
      <c r="EH610" s="15" t="s">
        <v>6849</v>
      </c>
      <c r="EI610" s="15">
        <v>0.0</v>
      </c>
      <c r="EJ610" s="15" t="s">
        <v>473</v>
      </c>
      <c r="EK610" s="15" t="s">
        <v>474</v>
      </c>
      <c r="EL610" s="15" t="s">
        <v>2735</v>
      </c>
      <c r="EM610" s="15" t="str">
        <f>IFERROR(__xludf.DUMMYFUNCTION("""COMPUTED_VALUE"""),"{""value"":23.25,""unit"":""in""}")</f>
        <v>{"value":23.25,"unit":"in"}</v>
      </c>
      <c r="EN610" s="15" t="s">
        <v>1327</v>
      </c>
      <c r="EO610" s="15" t="s">
        <v>555</v>
      </c>
      <c r="ES610" s="15" t="s">
        <v>995</v>
      </c>
      <c r="EW610" s="15" t="s">
        <v>1236</v>
      </c>
      <c r="EX610" s="15" t="s">
        <v>2384</v>
      </c>
      <c r="EY610" s="15" t="s">
        <v>6331</v>
      </c>
      <c r="EZ610" s="15" t="s">
        <v>1288</v>
      </c>
      <c r="FF610" s="15" t="s">
        <v>1290</v>
      </c>
    </row>
    <row r="611" ht="15.75" customHeight="1">
      <c r="A611" s="14" t="s">
        <v>391</v>
      </c>
      <c r="B611" s="15" t="s">
        <v>6886</v>
      </c>
      <c r="C611" s="16"/>
      <c r="D611" s="15" t="s">
        <v>432</v>
      </c>
      <c r="G611" s="14" t="s">
        <v>393</v>
      </c>
      <c r="H611" s="14" t="s">
        <v>394</v>
      </c>
      <c r="I611" s="14" t="b">
        <v>1</v>
      </c>
      <c r="J611" s="14" t="s">
        <v>395</v>
      </c>
      <c r="L611" s="14" t="b">
        <v>0</v>
      </c>
      <c r="M611" s="15" t="s">
        <v>6887</v>
      </c>
      <c r="N611" s="14" t="s">
        <v>393</v>
      </c>
      <c r="O611" s="14" t="s">
        <v>393</v>
      </c>
      <c r="P611" s="15" t="s">
        <v>397</v>
      </c>
      <c r="Q611" s="15" t="s">
        <v>2195</v>
      </c>
      <c r="T611" s="14" t="b">
        <v>0</v>
      </c>
      <c r="U611" s="15" t="s">
        <v>6888</v>
      </c>
      <c r="V611" s="15" t="s">
        <v>6889</v>
      </c>
      <c r="W611" s="15" t="s">
        <v>401</v>
      </c>
      <c r="X611" s="15" t="s">
        <v>1172</v>
      </c>
      <c r="Y611" s="15">
        <v>3068.0</v>
      </c>
      <c r="AA611" s="15" t="str">
        <f>"1180"</f>
        <v>1180</v>
      </c>
      <c r="AB611" s="14" t="b">
        <v>1</v>
      </c>
      <c r="AC611" s="14" t="b">
        <v>1</v>
      </c>
      <c r="AD611" s="15" t="str">
        <f>"801542874988"</f>
        <v>801542874988</v>
      </c>
      <c r="AE611" s="15" t="s">
        <v>6890</v>
      </c>
      <c r="AF611" s="14" t="s">
        <v>404</v>
      </c>
      <c r="AG611" s="14" t="s">
        <v>405</v>
      </c>
      <c r="AH611" s="14" t="s">
        <v>406</v>
      </c>
      <c r="AI611" s="15">
        <v>0.0</v>
      </c>
      <c r="AL611" s="15" t="s">
        <v>6891</v>
      </c>
      <c r="AM611" s="15" t="s">
        <v>2355</v>
      </c>
      <c r="AN611" s="15" t="s">
        <v>2356</v>
      </c>
      <c r="AO611" s="15" t="s">
        <v>1007</v>
      </c>
      <c r="AP611" s="15" t="s">
        <v>1008</v>
      </c>
      <c r="AQ611" s="15" t="s">
        <v>1177</v>
      </c>
      <c r="AR611" s="15" t="s">
        <v>1178</v>
      </c>
      <c r="AS611" s="15" t="s">
        <v>5804</v>
      </c>
      <c r="AT611" s="15" t="s">
        <v>2195</v>
      </c>
      <c r="AU611" s="15" t="s">
        <v>6892</v>
      </c>
      <c r="AV611" s="15" t="s">
        <v>6893</v>
      </c>
      <c r="AW611" s="15" t="s">
        <v>602</v>
      </c>
      <c r="AY611" s="15" t="s">
        <v>413</v>
      </c>
      <c r="AZ611" s="15" t="b">
        <v>0</v>
      </c>
      <c r="BA611" s="15" t="s">
        <v>413</v>
      </c>
      <c r="BB611" s="15" t="b">
        <v>0</v>
      </c>
      <c r="BC611" s="15" t="s">
        <v>6894</v>
      </c>
      <c r="BD611" s="15" t="s">
        <v>1181</v>
      </c>
      <c r="BE611" s="15" t="str">
        <f t="shared" si="1050"/>
        <v>1</v>
      </c>
      <c r="BF611" s="15" t="s">
        <v>416</v>
      </c>
      <c r="BG611" s="15" t="str">
        <f>"82.28"</f>
        <v>82.28</v>
      </c>
      <c r="BH611" s="15" t="s">
        <v>5841</v>
      </c>
      <c r="BI611" s="15" t="str">
        <f>"22.44"</f>
        <v>22.44</v>
      </c>
      <c r="BJ611" s="15" t="s">
        <v>1156</v>
      </c>
      <c r="BK611" s="15" t="str">
        <f>"29.92"</f>
        <v>29.92</v>
      </c>
      <c r="BL611" s="15" t="s">
        <v>1321</v>
      </c>
      <c r="BM611" s="15" t="str">
        <f>"220.46"</f>
        <v>220.46</v>
      </c>
      <c r="BN611" s="15" t="s">
        <v>2777</v>
      </c>
      <c r="BQ611" s="15" t="s">
        <v>444</v>
      </c>
      <c r="BS611" s="15" t="s">
        <v>444</v>
      </c>
      <c r="BU611" s="15" t="s">
        <v>444</v>
      </c>
      <c r="BW611" s="15" t="s">
        <v>444</v>
      </c>
      <c r="BZ611" s="15" t="s">
        <v>444</v>
      </c>
      <c r="CB611" s="15" t="s">
        <v>444</v>
      </c>
      <c r="CD611" s="15" t="s">
        <v>444</v>
      </c>
      <c r="CF611" s="15" t="s">
        <v>444</v>
      </c>
      <c r="CI611" s="15" t="s">
        <v>444</v>
      </c>
      <c r="CK611" s="15" t="s">
        <v>444</v>
      </c>
      <c r="CM611" s="15" t="s">
        <v>444</v>
      </c>
      <c r="CO611" s="15" t="s">
        <v>444</v>
      </c>
      <c r="CP611" s="15" t="str">
        <f>"31.96"</f>
        <v>31.96</v>
      </c>
      <c r="CQ611" s="15" t="str">
        <f>"0.905"</f>
        <v>0.905</v>
      </c>
      <c r="CR611" s="15" t="s">
        <v>465</v>
      </c>
      <c r="CV611" s="15" t="s">
        <v>4918</v>
      </c>
      <c r="CW611" s="15" t="s">
        <v>6895</v>
      </c>
      <c r="CX611" s="15" t="s">
        <v>6896</v>
      </c>
      <c r="DC611" s="15" t="str">
        <f>IFERROR(__xludf.DUMMYFUNCTION("""COMPUTED_VALUE"""),"")</f>
        <v/>
      </c>
      <c r="DE611" s="15" t="str">
        <f>IFERROR(__xludf.DUMMYFUNCTION("""COMPUTED_VALUE"""),"")</f>
        <v/>
      </c>
      <c r="DG611" s="15" t="str">
        <f>IFERROR(__xludf.DUMMYFUNCTION("""COMPUTED_VALUE"""),"")</f>
        <v/>
      </c>
      <c r="DK611" s="15" t="s">
        <v>718</v>
      </c>
      <c r="DL611" s="15" t="str">
        <f>IFERROR(__xludf.DUMMYFUNCTION("""COMPUTED_VALUE"""),"Vacuum or light brush only. Do not use water or any cleaning products.")</f>
        <v>Vacuum or light brush only. Do not use water or any cleaning products.</v>
      </c>
      <c r="DM611" s="15" t="s">
        <v>719</v>
      </c>
      <c r="DN611" s="15" t="s">
        <v>419</v>
      </c>
      <c r="DO611" s="15">
        <v>0.0</v>
      </c>
      <c r="DP611" s="15" t="s">
        <v>419</v>
      </c>
      <c r="DR611" s="15">
        <v>0.0</v>
      </c>
      <c r="DT611" s="15" t="s">
        <v>1186</v>
      </c>
      <c r="DU611" s="15" t="s">
        <v>610</v>
      </c>
      <c r="DW611" s="15">
        <v>18.14</v>
      </c>
      <c r="DX611" s="15">
        <v>40.0</v>
      </c>
      <c r="DY611" s="15">
        <v>3.0</v>
      </c>
      <c r="DZ611" s="15">
        <v>0.0</v>
      </c>
      <c r="EG611" s="15" t="s">
        <v>444</v>
      </c>
      <c r="EH611" s="15" t="s">
        <v>6897</v>
      </c>
      <c r="EK611" s="15" t="s">
        <v>444</v>
      </c>
      <c r="EM611" s="15" t="str">
        <f>IFERROR(__xludf.DUMMYFUNCTION("""COMPUTED_VALUE"""),"")</f>
        <v/>
      </c>
      <c r="EW611" s="15" t="s">
        <v>1807</v>
      </c>
      <c r="FM611" s="15">
        <v>3.0</v>
      </c>
      <c r="FY611" s="15" t="s">
        <v>6898</v>
      </c>
      <c r="FZ611" s="15" t="s">
        <v>1188</v>
      </c>
      <c r="GA611" s="15" t="s">
        <v>5705</v>
      </c>
      <c r="GB611" s="15" t="s">
        <v>504</v>
      </c>
      <c r="GC611" s="15" t="s">
        <v>1188</v>
      </c>
      <c r="GD611" s="15" t="s">
        <v>6896</v>
      </c>
      <c r="GF611" s="15" t="s">
        <v>426</v>
      </c>
      <c r="GG611" s="15" t="s">
        <v>785</v>
      </c>
      <c r="GH611" s="15">
        <v>6.0</v>
      </c>
      <c r="GI611" s="15" t="s">
        <v>614</v>
      </c>
      <c r="GJ611" s="15" t="s">
        <v>1045</v>
      </c>
      <c r="GL611" s="15" t="s">
        <v>426</v>
      </c>
      <c r="GN611" s="15" t="s">
        <v>616</v>
      </c>
      <c r="HA611" s="15" t="s">
        <v>4918</v>
      </c>
      <c r="HB611" s="15" t="s">
        <v>6895</v>
      </c>
      <c r="HC611" s="15" t="s">
        <v>1995</v>
      </c>
      <c r="HD611" s="15">
        <v>0.0</v>
      </c>
      <c r="HW611" s="15" t="s">
        <v>1807</v>
      </c>
      <c r="ID611" s="15" t="s">
        <v>504</v>
      </c>
      <c r="IE611" s="15" t="s">
        <v>1188</v>
      </c>
      <c r="IF611" s="15" t="s">
        <v>1995</v>
      </c>
      <c r="IH611" s="15" t="s">
        <v>426</v>
      </c>
    </row>
    <row r="612" ht="15.75" customHeight="1">
      <c r="A612" s="14" t="s">
        <v>391</v>
      </c>
      <c r="B612" s="15" t="s">
        <v>6899</v>
      </c>
      <c r="C612" s="16"/>
      <c r="D612" s="15" t="s">
        <v>432</v>
      </c>
      <c r="G612" s="14" t="s">
        <v>393</v>
      </c>
      <c r="H612" s="14" t="s">
        <v>394</v>
      </c>
      <c r="I612" s="14" t="b">
        <v>1</v>
      </c>
      <c r="J612" s="14" t="s">
        <v>395</v>
      </c>
      <c r="L612" s="14" t="b">
        <v>0</v>
      </c>
      <c r="M612" s="15" t="s">
        <v>6900</v>
      </c>
      <c r="N612" s="14" t="s">
        <v>393</v>
      </c>
      <c r="O612" s="14" t="s">
        <v>393</v>
      </c>
      <c r="P612" s="15" t="s">
        <v>397</v>
      </c>
      <c r="Q612" s="15" t="s">
        <v>6893</v>
      </c>
      <c r="T612" s="14" t="b">
        <v>0</v>
      </c>
      <c r="U612" s="15" t="s">
        <v>6901</v>
      </c>
      <c r="V612" s="15" t="s">
        <v>6902</v>
      </c>
      <c r="W612" s="15" t="s">
        <v>401</v>
      </c>
      <c r="X612" s="15" t="s">
        <v>1172</v>
      </c>
      <c r="Y612" s="15">
        <v>3614.0</v>
      </c>
      <c r="AA612" s="15" t="str">
        <f>"1390"</f>
        <v>1390</v>
      </c>
      <c r="AB612" s="14" t="b">
        <v>1</v>
      </c>
      <c r="AC612" s="14" t="b">
        <v>1</v>
      </c>
      <c r="AD612" s="15" t="str">
        <f>"801542090760"</f>
        <v>801542090760</v>
      </c>
      <c r="AE612" s="15" t="s">
        <v>6903</v>
      </c>
      <c r="AF612" s="14" t="s">
        <v>404</v>
      </c>
      <c r="AG612" s="14" t="s">
        <v>405</v>
      </c>
      <c r="AH612" s="14" t="s">
        <v>406</v>
      </c>
      <c r="AI612" s="15">
        <v>0.0</v>
      </c>
      <c r="AL612" s="15" t="s">
        <v>6904</v>
      </c>
      <c r="AM612" s="15" t="s">
        <v>1026</v>
      </c>
      <c r="AN612" s="15" t="s">
        <v>1027</v>
      </c>
      <c r="AO612" s="15" t="s">
        <v>1007</v>
      </c>
      <c r="AP612" s="15" t="s">
        <v>1008</v>
      </c>
      <c r="AQ612" s="15" t="s">
        <v>546</v>
      </c>
      <c r="AR612" s="15" t="s">
        <v>547</v>
      </c>
      <c r="AS612" s="15" t="s">
        <v>5804</v>
      </c>
      <c r="AT612" s="15" t="s">
        <v>6893</v>
      </c>
      <c r="AU612" s="15" t="s">
        <v>2195</v>
      </c>
      <c r="AW612" s="15" t="s">
        <v>664</v>
      </c>
      <c r="AY612" s="15" t="s">
        <v>413</v>
      </c>
      <c r="AZ612" s="15" t="b">
        <v>0</v>
      </c>
      <c r="BA612" s="15" t="s">
        <v>413</v>
      </c>
      <c r="BB612" s="15" t="b">
        <v>0</v>
      </c>
      <c r="BC612" s="15" t="s">
        <v>6894</v>
      </c>
      <c r="BD612" s="15" t="s">
        <v>1181</v>
      </c>
      <c r="BE612" s="15" t="str">
        <f t="shared" si="1050"/>
        <v>1</v>
      </c>
      <c r="BF612" s="15" t="s">
        <v>416</v>
      </c>
      <c r="BG612" s="15" t="str">
        <f>"86.22"</f>
        <v>86.22</v>
      </c>
      <c r="BH612" s="15" t="s">
        <v>5861</v>
      </c>
      <c r="BI612" s="15" t="str">
        <f>"22.64"</f>
        <v>22.64</v>
      </c>
      <c r="BJ612" s="15" t="s">
        <v>5982</v>
      </c>
      <c r="BK612" s="15" t="str">
        <f>"35.43"</f>
        <v>35.43</v>
      </c>
      <c r="BL612" s="15" t="s">
        <v>1034</v>
      </c>
      <c r="BM612" s="15" t="str">
        <f>"246.92"</f>
        <v>246.92</v>
      </c>
      <c r="BN612" s="15" t="s">
        <v>6905</v>
      </c>
      <c r="BQ612" s="15" t="s">
        <v>444</v>
      </c>
      <c r="BS612" s="15" t="s">
        <v>444</v>
      </c>
      <c r="BU612" s="15" t="s">
        <v>444</v>
      </c>
      <c r="BW612" s="15" t="s">
        <v>444</v>
      </c>
      <c r="BZ612" s="15" t="s">
        <v>444</v>
      </c>
      <c r="CB612" s="15" t="s">
        <v>444</v>
      </c>
      <c r="CD612" s="15" t="s">
        <v>444</v>
      </c>
      <c r="CF612" s="15" t="s">
        <v>444</v>
      </c>
      <c r="CI612" s="15" t="s">
        <v>444</v>
      </c>
      <c r="CK612" s="15" t="s">
        <v>444</v>
      </c>
      <c r="CM612" s="15" t="s">
        <v>444</v>
      </c>
      <c r="CO612" s="15" t="s">
        <v>444</v>
      </c>
      <c r="CP612" s="15" t="str">
        <f>"40.01"</f>
        <v>40.01</v>
      </c>
      <c r="CQ612" s="15" t="str">
        <f>"1.133"</f>
        <v>1.133</v>
      </c>
      <c r="CR612" s="15" t="s">
        <v>465</v>
      </c>
      <c r="CV612" s="15" t="s">
        <v>1213</v>
      </c>
      <c r="CW612" s="15" t="s">
        <v>733</v>
      </c>
      <c r="CX612" s="15" t="s">
        <v>3659</v>
      </c>
      <c r="DC612" s="15" t="str">
        <f>IFERROR(__xludf.DUMMYFUNCTION("""COMPUTED_VALUE"""),"")</f>
        <v/>
      </c>
      <c r="DE612" s="15" t="str">
        <f>IFERROR(__xludf.DUMMYFUNCTION("""COMPUTED_VALUE"""),"")</f>
        <v/>
      </c>
      <c r="DG612" s="15" t="str">
        <f>IFERROR(__xludf.DUMMYFUNCTION("""COMPUTED_VALUE"""),"")</f>
        <v/>
      </c>
      <c r="DL612" s="15" t="str">
        <f>IFERROR(__xludf.DUMMYFUNCTION("""COMPUTED_VALUE"""),"")</f>
        <v/>
      </c>
      <c r="DM612" s="15" t="s">
        <v>444</v>
      </c>
      <c r="DN612" s="15" t="s">
        <v>419</v>
      </c>
      <c r="DO612" s="15">
        <v>0.0</v>
      </c>
      <c r="DP612" s="15" t="s">
        <v>419</v>
      </c>
      <c r="DR612" s="15">
        <v>0.0</v>
      </c>
      <c r="DT612" s="15" t="s">
        <v>1186</v>
      </c>
      <c r="DU612" s="15" t="s">
        <v>610</v>
      </c>
      <c r="DW612" s="15">
        <v>18.14</v>
      </c>
      <c r="DX612" s="15">
        <v>40.0</v>
      </c>
      <c r="DY612" s="15">
        <v>3.0</v>
      </c>
      <c r="EG612" s="15" t="s">
        <v>444</v>
      </c>
      <c r="EH612" s="15" t="s">
        <v>6897</v>
      </c>
      <c r="EJ612" s="15" t="s">
        <v>424</v>
      </c>
      <c r="EK612" s="15" t="s">
        <v>446</v>
      </c>
      <c r="EM612" s="15" t="str">
        <f>IFERROR(__xludf.DUMMYFUNCTION("""COMPUTED_VALUE"""),"")</f>
        <v/>
      </c>
      <c r="FL612" s="15" t="s">
        <v>426</v>
      </c>
      <c r="FM612" s="15">
        <v>3.0</v>
      </c>
      <c r="FY612" s="15" t="s">
        <v>1806</v>
      </c>
      <c r="FZ612" s="15" t="s">
        <v>612</v>
      </c>
      <c r="GA612" s="15" t="s">
        <v>3308</v>
      </c>
      <c r="GB612" s="15" t="s">
        <v>2020</v>
      </c>
      <c r="GC612" s="15" t="s">
        <v>612</v>
      </c>
      <c r="GD612" s="15" t="s">
        <v>6906</v>
      </c>
      <c r="GE612" s="15">
        <v>0.0</v>
      </c>
      <c r="GF612" s="15" t="s">
        <v>426</v>
      </c>
      <c r="GG612" s="15" t="s">
        <v>785</v>
      </c>
      <c r="GH612" s="15">
        <v>6.0</v>
      </c>
      <c r="GI612" s="15" t="s">
        <v>614</v>
      </c>
      <c r="GJ612" s="15" t="s">
        <v>6907</v>
      </c>
      <c r="GK612" s="15">
        <v>0.0</v>
      </c>
      <c r="GL612" s="15" t="s">
        <v>426</v>
      </c>
      <c r="GN612" s="15" t="s">
        <v>616</v>
      </c>
      <c r="HW612" s="15" t="s">
        <v>1807</v>
      </c>
      <c r="IH612" s="15" t="s">
        <v>426</v>
      </c>
    </row>
    <row r="613" ht="15.75" customHeight="1">
      <c r="A613" s="14" t="s">
        <v>391</v>
      </c>
      <c r="B613" s="15" t="s">
        <v>6908</v>
      </c>
      <c r="C613" s="16"/>
      <c r="D613" s="15" t="s">
        <v>432</v>
      </c>
      <c r="G613" s="14" t="s">
        <v>393</v>
      </c>
      <c r="H613" s="14" t="s">
        <v>394</v>
      </c>
      <c r="I613" s="14" t="b">
        <v>1</v>
      </c>
      <c r="J613" s="14" t="s">
        <v>395</v>
      </c>
      <c r="L613" s="14" t="b">
        <v>0</v>
      </c>
      <c r="M613" s="15" t="s">
        <v>6909</v>
      </c>
      <c r="N613" s="14" t="s">
        <v>393</v>
      </c>
      <c r="O613" s="14" t="s">
        <v>393</v>
      </c>
      <c r="P613" s="15" t="s">
        <v>397</v>
      </c>
      <c r="Q613" s="15" t="s">
        <v>6910</v>
      </c>
      <c r="R613" s="15" t="s">
        <v>265</v>
      </c>
      <c r="S613" s="15" t="s">
        <v>877</v>
      </c>
      <c r="T613" s="14" t="b">
        <v>0</v>
      </c>
      <c r="U613" s="15" t="s">
        <v>6911</v>
      </c>
      <c r="V613" s="15" t="s">
        <v>6912</v>
      </c>
      <c r="W613" s="15" t="s">
        <v>401</v>
      </c>
      <c r="X613" s="15" t="s">
        <v>742</v>
      </c>
      <c r="Y613" s="15">
        <v>2847.0</v>
      </c>
      <c r="AA613" s="15" t="str">
        <f>"1095"</f>
        <v>1095</v>
      </c>
      <c r="AB613" s="14" t="b">
        <v>1</v>
      </c>
      <c r="AC613" s="14" t="b">
        <v>1</v>
      </c>
      <c r="AD613" s="15" t="str">
        <f>"198394076128"</f>
        <v>198394076128</v>
      </c>
      <c r="AE613" s="15" t="s">
        <v>6913</v>
      </c>
      <c r="AF613" s="14" t="s">
        <v>404</v>
      </c>
      <c r="AG613" s="14" t="s">
        <v>405</v>
      </c>
      <c r="AH613" s="14" t="s">
        <v>406</v>
      </c>
      <c r="AI613" s="15">
        <v>0.0</v>
      </c>
      <c r="AL613" s="15" t="s">
        <v>6914</v>
      </c>
      <c r="AM613" s="15" t="s">
        <v>1362</v>
      </c>
      <c r="AN613" s="15" t="s">
        <v>1363</v>
      </c>
      <c r="AO613" s="15" t="s">
        <v>5046</v>
      </c>
      <c r="AP613" s="15" t="s">
        <v>5047</v>
      </c>
      <c r="AQ613" s="15" t="s">
        <v>1798</v>
      </c>
      <c r="AR613" s="15" t="s">
        <v>6915</v>
      </c>
      <c r="AS613" s="15" t="s">
        <v>1030</v>
      </c>
      <c r="AT613" s="15" t="s">
        <v>6910</v>
      </c>
      <c r="AU613" s="15" t="s">
        <v>6520</v>
      </c>
      <c r="AW613" s="15" t="s">
        <v>839</v>
      </c>
      <c r="AX613" s="15" t="s">
        <v>877</v>
      </c>
      <c r="AY613" s="15" t="s">
        <v>413</v>
      </c>
      <c r="AZ613" s="15" t="b">
        <v>0</v>
      </c>
      <c r="BA613" s="15" t="s">
        <v>413</v>
      </c>
      <c r="BB613" s="15" t="b">
        <v>0</v>
      </c>
      <c r="BC613" s="15" t="s">
        <v>6916</v>
      </c>
      <c r="BD613" s="15" t="s">
        <v>742</v>
      </c>
      <c r="BE613" s="15" t="str">
        <f t="shared" ref="BE613:BE616" si="1067">"2"</f>
        <v>2</v>
      </c>
      <c r="BF613" s="15" t="s">
        <v>6917</v>
      </c>
      <c r="BG613" s="15" t="str">
        <f>"76.57"</f>
        <v>76.57</v>
      </c>
      <c r="BH613" s="15" t="s">
        <v>6918</v>
      </c>
      <c r="BI613" s="15" t="str">
        <f>"16.54"</f>
        <v>16.54</v>
      </c>
      <c r="BJ613" s="15" t="s">
        <v>6919</v>
      </c>
      <c r="BK613" s="15" t="str">
        <f>"51.97"</f>
        <v>51.97</v>
      </c>
      <c r="BL613" s="15" t="s">
        <v>6920</v>
      </c>
      <c r="BM613" s="15" t="str">
        <f>"143.3"</f>
        <v>143.3</v>
      </c>
      <c r="BN613" s="15" t="s">
        <v>3950</v>
      </c>
      <c r="BO613" s="15" t="s">
        <v>6921</v>
      </c>
      <c r="BP613" s="15" t="str">
        <f>"88.78"</f>
        <v>88.78</v>
      </c>
      <c r="BQ613" s="15" t="s">
        <v>6922</v>
      </c>
      <c r="BR613" s="15" t="str">
        <f>"11.22"</f>
        <v>11.22</v>
      </c>
      <c r="BS613" s="15" t="s">
        <v>848</v>
      </c>
      <c r="BT613" s="15" t="str">
        <f>"18.11"</f>
        <v>18.11</v>
      </c>
      <c r="BU613" s="15" t="s">
        <v>3773</v>
      </c>
      <c r="BV613" s="15" t="str">
        <f>"121.25"</f>
        <v>121.25</v>
      </c>
      <c r="BW613" s="15" t="s">
        <v>6923</v>
      </c>
      <c r="BZ613" s="15" t="s">
        <v>444</v>
      </c>
      <c r="CB613" s="15" t="s">
        <v>444</v>
      </c>
      <c r="CD613" s="15" t="s">
        <v>444</v>
      </c>
      <c r="CF613" s="15" t="s">
        <v>444</v>
      </c>
      <c r="CI613" s="15" t="s">
        <v>444</v>
      </c>
      <c r="CK613" s="15" t="s">
        <v>444</v>
      </c>
      <c r="CM613" s="15" t="s">
        <v>444</v>
      </c>
      <c r="CO613" s="15" t="s">
        <v>444</v>
      </c>
      <c r="CP613" s="15" t="str">
        <f>"48.52"</f>
        <v>48.52</v>
      </c>
      <c r="CQ613" s="15" t="str">
        <f>"1.374"</f>
        <v>1.374</v>
      </c>
      <c r="CR613" s="15" t="s">
        <v>465</v>
      </c>
      <c r="DC613" s="15" t="str">
        <f>IFERROR(__xludf.DUMMYFUNCTION("""COMPUTED_VALUE"""),"")</f>
        <v/>
      </c>
      <c r="DE613" s="15" t="str">
        <f>IFERROR(__xludf.DUMMYFUNCTION("""COMPUTED_VALUE"""),"")</f>
        <v/>
      </c>
      <c r="DG613" s="15" t="str">
        <f>IFERROR(__xludf.DUMMYFUNCTION("""COMPUTED_VALUE"""),"")</f>
        <v/>
      </c>
      <c r="DK613" s="15" t="s">
        <v>934</v>
      </c>
      <c r="DL613" s="15" t="str">
        <f>IFERROR(__xludf.DUMMYFUNCTION("""COMPUTED_VALUE"""),"Spot clean with water-based or solvent-based cleaner. Use mild detergent or upholstery shampoo.")</f>
        <v>Spot clean with water-based or solvent-based cleaner. Use mild detergent or upholstery shampoo.</v>
      </c>
      <c r="DM613" s="15" t="s">
        <v>935</v>
      </c>
      <c r="DN613" s="15" t="s">
        <v>419</v>
      </c>
      <c r="DO613" s="15">
        <v>0.0</v>
      </c>
      <c r="DP613" s="15" t="s">
        <v>419</v>
      </c>
      <c r="DR613" s="15">
        <v>0.0</v>
      </c>
      <c r="DT613" s="15" t="s">
        <v>3952</v>
      </c>
      <c r="DU613" s="15" t="s">
        <v>419</v>
      </c>
      <c r="DW613" s="15">
        <v>0.0</v>
      </c>
      <c r="DX613" s="15">
        <v>0.0</v>
      </c>
      <c r="DY613" s="15">
        <v>0.0</v>
      </c>
      <c r="DZ613" s="15">
        <v>15000.0</v>
      </c>
      <c r="EG613" s="15" t="s">
        <v>444</v>
      </c>
      <c r="EH613" s="15" t="s">
        <v>6924</v>
      </c>
      <c r="EJ613" s="15" t="s">
        <v>858</v>
      </c>
      <c r="EK613" s="15" t="s">
        <v>859</v>
      </c>
      <c r="EM613" s="15" t="str">
        <f>IFERROR(__xludf.DUMMYFUNCTION("""COMPUTED_VALUE"""),"")</f>
        <v/>
      </c>
      <c r="FF613" s="15" t="s">
        <v>1239</v>
      </c>
      <c r="FM613" s="15">
        <v>0.0</v>
      </c>
      <c r="IP613" s="15" t="s">
        <v>6925</v>
      </c>
      <c r="IQ613" s="15" t="s">
        <v>2505</v>
      </c>
      <c r="IR613" s="15" t="s">
        <v>6926</v>
      </c>
      <c r="IS613" s="15" t="s">
        <v>6927</v>
      </c>
      <c r="IT613" s="15" t="s">
        <v>1430</v>
      </c>
      <c r="IU613" s="15" t="s">
        <v>6928</v>
      </c>
      <c r="IV613" s="15" t="s">
        <v>2971</v>
      </c>
      <c r="IW613" s="15" t="s">
        <v>1957</v>
      </c>
      <c r="IX613" s="15" t="s">
        <v>890</v>
      </c>
      <c r="IY613" s="15" t="s">
        <v>6925</v>
      </c>
      <c r="IZ613" s="15" t="s">
        <v>6929</v>
      </c>
      <c r="JA613" s="15" t="s">
        <v>1042</v>
      </c>
      <c r="JB613" s="15" t="s">
        <v>426</v>
      </c>
      <c r="JC613" s="15" t="s">
        <v>2471</v>
      </c>
      <c r="JD613" s="15" t="s">
        <v>2604</v>
      </c>
      <c r="JE613" s="15" t="s">
        <v>873</v>
      </c>
      <c r="JF613" s="15" t="s">
        <v>877</v>
      </c>
      <c r="JL613" s="15" t="s">
        <v>2505</v>
      </c>
      <c r="JM613" s="15" t="s">
        <v>531</v>
      </c>
      <c r="JO613" s="15" t="s">
        <v>426</v>
      </c>
      <c r="JP613" s="15" t="s">
        <v>2474</v>
      </c>
      <c r="JS613" s="15" t="s">
        <v>3960</v>
      </c>
      <c r="JT613" s="15" t="s">
        <v>3961</v>
      </c>
    </row>
    <row r="614" ht="15.75" customHeight="1">
      <c r="A614" s="14" t="s">
        <v>391</v>
      </c>
      <c r="B614" s="15" t="s">
        <v>6908</v>
      </c>
      <c r="C614" s="16"/>
      <c r="D614" s="15" t="s">
        <v>432</v>
      </c>
      <c r="G614" s="14" t="s">
        <v>393</v>
      </c>
      <c r="H614" s="14" t="s">
        <v>394</v>
      </c>
      <c r="I614" s="14" t="b">
        <v>1</v>
      </c>
      <c r="J614" s="14" t="s">
        <v>395</v>
      </c>
      <c r="L614" s="14" t="b">
        <v>0</v>
      </c>
      <c r="M614" s="15" t="s">
        <v>6930</v>
      </c>
      <c r="N614" s="14" t="s">
        <v>393</v>
      </c>
      <c r="O614" s="14" t="s">
        <v>393</v>
      </c>
      <c r="P614" s="15" t="s">
        <v>397</v>
      </c>
      <c r="Q614" s="15" t="s">
        <v>6910</v>
      </c>
      <c r="R614" s="15" t="s">
        <v>265</v>
      </c>
      <c r="S614" s="15" t="s">
        <v>828</v>
      </c>
      <c r="T614" s="14" t="b">
        <v>0</v>
      </c>
      <c r="U614" s="15" t="s">
        <v>6931</v>
      </c>
      <c r="V614" s="15" t="s">
        <v>6932</v>
      </c>
      <c r="W614" s="15" t="s">
        <v>401</v>
      </c>
      <c r="X614" s="15" t="s">
        <v>742</v>
      </c>
      <c r="Y614" s="15">
        <v>3172.0</v>
      </c>
      <c r="AA614" s="15" t="str">
        <f>"1220"</f>
        <v>1220</v>
      </c>
      <c r="AB614" s="14" t="b">
        <v>1</v>
      </c>
      <c r="AC614" s="14" t="b">
        <v>1</v>
      </c>
      <c r="AD614" s="15" t="str">
        <f>"198394076111"</f>
        <v>198394076111</v>
      </c>
      <c r="AE614" s="15" t="s">
        <v>6913</v>
      </c>
      <c r="AF614" s="14" t="s">
        <v>404</v>
      </c>
      <c r="AG614" s="14" t="s">
        <v>405</v>
      </c>
      <c r="AH614" s="14" t="s">
        <v>406</v>
      </c>
      <c r="AI614" s="15">
        <v>0.0</v>
      </c>
      <c r="AL614" s="15" t="s">
        <v>6914</v>
      </c>
      <c r="AM614" s="15" t="s">
        <v>1125</v>
      </c>
      <c r="AN614" s="15" t="s">
        <v>1129</v>
      </c>
      <c r="AO614" s="15" t="s">
        <v>5046</v>
      </c>
      <c r="AP614" s="15" t="s">
        <v>5047</v>
      </c>
      <c r="AQ614" s="15" t="s">
        <v>1798</v>
      </c>
      <c r="AR614" s="15" t="s">
        <v>6915</v>
      </c>
      <c r="AS614" s="15" t="s">
        <v>1030</v>
      </c>
      <c r="AT614" s="15" t="s">
        <v>6910</v>
      </c>
      <c r="AU614" s="15" t="s">
        <v>6520</v>
      </c>
      <c r="AW614" s="15" t="s">
        <v>839</v>
      </c>
      <c r="AX614" s="15" t="s">
        <v>828</v>
      </c>
      <c r="AY614" s="15" t="s">
        <v>413</v>
      </c>
      <c r="AZ614" s="15" t="b">
        <v>0</v>
      </c>
      <c r="BA614" s="15" t="s">
        <v>413</v>
      </c>
      <c r="BB614" s="15" t="b">
        <v>0</v>
      </c>
      <c r="BC614" s="15" t="s">
        <v>6916</v>
      </c>
      <c r="BD614" s="15" t="s">
        <v>742</v>
      </c>
      <c r="BE614" s="15" t="str">
        <f t="shared" si="1067"/>
        <v>2</v>
      </c>
      <c r="BF614" s="15" t="s">
        <v>6917</v>
      </c>
      <c r="BG614" s="15" t="str">
        <f>"91.93"</f>
        <v>91.93</v>
      </c>
      <c r="BH614" s="15" t="s">
        <v>6933</v>
      </c>
      <c r="BI614" s="15" t="str">
        <f>"15.55"</f>
        <v>15.55</v>
      </c>
      <c r="BJ614" s="15" t="s">
        <v>6934</v>
      </c>
      <c r="BK614" s="15" t="str">
        <f>"52.56"</f>
        <v>52.56</v>
      </c>
      <c r="BL614" s="15" t="s">
        <v>6442</v>
      </c>
      <c r="BM614" s="15" t="str">
        <f>"190.7"</f>
        <v>190.7</v>
      </c>
      <c r="BN614" s="15" t="s">
        <v>6935</v>
      </c>
      <c r="BO614" s="15" t="s">
        <v>6921</v>
      </c>
      <c r="BP614" s="15" t="str">
        <f>"85.83"</f>
        <v>85.83</v>
      </c>
      <c r="BQ614" s="15" t="s">
        <v>6936</v>
      </c>
      <c r="BR614" s="15" t="str">
        <f>"12.4"</f>
        <v>12.4</v>
      </c>
      <c r="BS614" s="15" t="s">
        <v>5845</v>
      </c>
      <c r="BT614" s="15" t="str">
        <f>"17.72"</f>
        <v>17.72</v>
      </c>
      <c r="BU614" s="15" t="s">
        <v>3633</v>
      </c>
      <c r="BV614" s="15" t="str">
        <f>"137.79"</f>
        <v>137.79</v>
      </c>
      <c r="BW614" s="15" t="s">
        <v>6937</v>
      </c>
      <c r="BZ614" s="15" t="s">
        <v>444</v>
      </c>
      <c r="CB614" s="15" t="s">
        <v>444</v>
      </c>
      <c r="CD614" s="15" t="s">
        <v>444</v>
      </c>
      <c r="CF614" s="15" t="s">
        <v>444</v>
      </c>
      <c r="CI614" s="15" t="s">
        <v>444</v>
      </c>
      <c r="CK614" s="15" t="s">
        <v>444</v>
      </c>
      <c r="CM614" s="15" t="s">
        <v>444</v>
      </c>
      <c r="CO614" s="15" t="s">
        <v>444</v>
      </c>
      <c r="CP614" s="15" t="str">
        <f>"54.38"</f>
        <v>54.38</v>
      </c>
      <c r="CQ614" s="15" t="str">
        <f>"1.54"</f>
        <v>1.54</v>
      </c>
      <c r="CR614" s="15" t="s">
        <v>465</v>
      </c>
      <c r="DC614" s="15" t="str">
        <f>IFERROR(__xludf.DUMMYFUNCTION("""COMPUTED_VALUE"""),"")</f>
        <v/>
      </c>
      <c r="DE614" s="15" t="str">
        <f>IFERROR(__xludf.DUMMYFUNCTION("""COMPUTED_VALUE"""),"")</f>
        <v/>
      </c>
      <c r="DG614" s="15" t="str">
        <f>IFERROR(__xludf.DUMMYFUNCTION("""COMPUTED_VALUE"""),"")</f>
        <v/>
      </c>
      <c r="DK614" s="15" t="s">
        <v>934</v>
      </c>
      <c r="DL614" s="15" t="str">
        <f>IFERROR(__xludf.DUMMYFUNCTION("""COMPUTED_VALUE"""),"Spot clean with water-based or solvent-based cleaner. Use mild detergent or upholstery shampoo.")</f>
        <v>Spot clean with water-based or solvent-based cleaner. Use mild detergent or upholstery shampoo.</v>
      </c>
      <c r="DM614" s="15" t="s">
        <v>935</v>
      </c>
      <c r="DN614" s="15" t="s">
        <v>419</v>
      </c>
      <c r="DO614" s="15">
        <v>0.0</v>
      </c>
      <c r="DP614" s="15" t="s">
        <v>419</v>
      </c>
      <c r="DR614" s="15">
        <v>0.0</v>
      </c>
      <c r="DT614" s="15" t="s">
        <v>3952</v>
      </c>
      <c r="DU614" s="15" t="s">
        <v>419</v>
      </c>
      <c r="DW614" s="15">
        <v>0.0</v>
      </c>
      <c r="DX614" s="15">
        <v>0.0</v>
      </c>
      <c r="DY614" s="15">
        <v>0.0</v>
      </c>
      <c r="DZ614" s="15">
        <v>15000.0</v>
      </c>
      <c r="EG614" s="15" t="s">
        <v>444</v>
      </c>
      <c r="EH614" s="15" t="s">
        <v>6924</v>
      </c>
      <c r="EJ614" s="15" t="s">
        <v>858</v>
      </c>
      <c r="EK614" s="15" t="s">
        <v>859</v>
      </c>
      <c r="EM614" s="15" t="str">
        <f>IFERROR(__xludf.DUMMYFUNCTION("""COMPUTED_VALUE"""),"")</f>
        <v/>
      </c>
      <c r="FF614" s="15" t="s">
        <v>1239</v>
      </c>
      <c r="FM614" s="15">
        <v>0.0</v>
      </c>
      <c r="IP614" s="15" t="s">
        <v>6925</v>
      </c>
      <c r="IQ614" s="15" t="s">
        <v>2505</v>
      </c>
      <c r="IR614" s="15" t="s">
        <v>6938</v>
      </c>
      <c r="IS614" s="15" t="s">
        <v>6927</v>
      </c>
      <c r="IT614" s="15" t="s">
        <v>1430</v>
      </c>
      <c r="IU614" s="15" t="s">
        <v>1120</v>
      </c>
      <c r="IV614" s="15" t="s">
        <v>2971</v>
      </c>
      <c r="IW614" s="15" t="s">
        <v>1957</v>
      </c>
      <c r="IX614" s="15" t="s">
        <v>869</v>
      </c>
      <c r="IY614" s="15" t="s">
        <v>6925</v>
      </c>
      <c r="IZ614" s="15" t="s">
        <v>6929</v>
      </c>
      <c r="JA614" s="15" t="s">
        <v>1042</v>
      </c>
      <c r="JB614" s="15" t="s">
        <v>426</v>
      </c>
      <c r="JC614" s="15" t="s">
        <v>2471</v>
      </c>
      <c r="JD614" s="15" t="s">
        <v>2604</v>
      </c>
      <c r="JE614" s="15" t="s">
        <v>873</v>
      </c>
      <c r="JF614" s="15" t="s">
        <v>828</v>
      </c>
      <c r="JL614" s="15" t="s">
        <v>2505</v>
      </c>
      <c r="JM614" s="15" t="s">
        <v>531</v>
      </c>
      <c r="JO614" s="15" t="s">
        <v>426</v>
      </c>
      <c r="JP614" s="15" t="s">
        <v>2474</v>
      </c>
      <c r="JS614" s="15" t="s">
        <v>3960</v>
      </c>
      <c r="JT614" s="15" t="s">
        <v>3971</v>
      </c>
    </row>
    <row r="615" ht="15.75" customHeight="1">
      <c r="A615" s="14" t="s">
        <v>391</v>
      </c>
      <c r="B615" s="15" t="s">
        <v>6939</v>
      </c>
      <c r="C615" s="16"/>
      <c r="D615" s="15" t="s">
        <v>432</v>
      </c>
      <c r="G615" s="14" t="s">
        <v>393</v>
      </c>
      <c r="H615" s="14" t="s">
        <v>394</v>
      </c>
      <c r="I615" s="14" t="b">
        <v>1</v>
      </c>
      <c r="J615" s="14" t="s">
        <v>395</v>
      </c>
      <c r="L615" s="14" t="b">
        <v>0</v>
      </c>
      <c r="M615" s="15" t="s">
        <v>6940</v>
      </c>
      <c r="N615" s="14" t="s">
        <v>393</v>
      </c>
      <c r="O615" s="14" t="s">
        <v>393</v>
      </c>
      <c r="P615" s="15" t="s">
        <v>397</v>
      </c>
      <c r="Q615" s="15" t="s">
        <v>6910</v>
      </c>
      <c r="R615" s="15" t="s">
        <v>265</v>
      </c>
      <c r="S615" s="15" t="s">
        <v>877</v>
      </c>
      <c r="T615" s="14" t="b">
        <v>0</v>
      </c>
      <c r="U615" s="15" t="s">
        <v>6941</v>
      </c>
      <c r="V615" s="15" t="s">
        <v>6942</v>
      </c>
      <c r="W615" s="15" t="s">
        <v>401</v>
      </c>
      <c r="X615" s="15" t="s">
        <v>742</v>
      </c>
      <c r="Y615" s="15">
        <v>2626.0</v>
      </c>
      <c r="AA615" s="15" t="str">
        <f>"1010"</f>
        <v>1010</v>
      </c>
      <c r="AB615" s="14" t="b">
        <v>1</v>
      </c>
      <c r="AC615" s="14" t="b">
        <v>1</v>
      </c>
      <c r="AD615" s="15" t="str">
        <f>"198394076180"</f>
        <v>198394076180</v>
      </c>
      <c r="AE615" s="15" t="s">
        <v>6943</v>
      </c>
      <c r="AF615" s="14" t="s">
        <v>404</v>
      </c>
      <c r="AG615" s="14" t="s">
        <v>405</v>
      </c>
      <c r="AH615" s="14" t="s">
        <v>406</v>
      </c>
      <c r="AI615" s="15">
        <v>0.0</v>
      </c>
      <c r="AL615" s="15" t="s">
        <v>6914</v>
      </c>
      <c r="AM615" s="15" t="s">
        <v>1362</v>
      </c>
      <c r="AN615" s="15" t="s">
        <v>1363</v>
      </c>
      <c r="AO615" s="15" t="s">
        <v>3147</v>
      </c>
      <c r="AP615" s="15" t="s">
        <v>3148</v>
      </c>
      <c r="AQ615" s="15" t="s">
        <v>1798</v>
      </c>
      <c r="AR615" s="15" t="s">
        <v>6915</v>
      </c>
      <c r="AS615" s="15" t="s">
        <v>1030</v>
      </c>
      <c r="AT615" s="15" t="s">
        <v>6910</v>
      </c>
      <c r="AU615" s="15" t="s">
        <v>6520</v>
      </c>
      <c r="AW615" s="15" t="s">
        <v>839</v>
      </c>
      <c r="AX615" s="15" t="s">
        <v>877</v>
      </c>
      <c r="AY615" s="15" t="s">
        <v>413</v>
      </c>
      <c r="AZ615" s="15" t="b">
        <v>0</v>
      </c>
      <c r="BA615" s="15" t="s">
        <v>413</v>
      </c>
      <c r="BB615" s="15" t="b">
        <v>0</v>
      </c>
      <c r="BC615" s="15" t="s">
        <v>6944</v>
      </c>
      <c r="BD615" s="15" t="s">
        <v>742</v>
      </c>
      <c r="BE615" s="15" t="str">
        <f t="shared" si="1067"/>
        <v>2</v>
      </c>
      <c r="BF615" s="15" t="s">
        <v>2966</v>
      </c>
      <c r="BG615" s="15" t="str">
        <f>"86.42"</f>
        <v>86.42</v>
      </c>
      <c r="BH615" s="15" t="s">
        <v>6945</v>
      </c>
      <c r="BI615" s="15" t="str">
        <f>"12.4"</f>
        <v>12.4</v>
      </c>
      <c r="BJ615" s="15" t="s">
        <v>5845</v>
      </c>
      <c r="BK615" s="15" t="str">
        <f>"17.72"</f>
        <v>17.72</v>
      </c>
      <c r="BL615" s="15" t="s">
        <v>3633</v>
      </c>
      <c r="BM615" s="15" t="str">
        <f>"127.87"</f>
        <v>127.87</v>
      </c>
      <c r="BN615" s="15" t="s">
        <v>1753</v>
      </c>
      <c r="BO615" s="15" t="s">
        <v>6946</v>
      </c>
      <c r="BP615" s="15" t="str">
        <f>"76.57"</f>
        <v>76.57</v>
      </c>
      <c r="BQ615" s="15" t="s">
        <v>6918</v>
      </c>
      <c r="BR615" s="15" t="str">
        <f>"16.54"</f>
        <v>16.54</v>
      </c>
      <c r="BS615" s="15" t="s">
        <v>6919</v>
      </c>
      <c r="BT615" s="15" t="str">
        <f>"51.97"</f>
        <v>51.97</v>
      </c>
      <c r="BU615" s="15" t="s">
        <v>6920</v>
      </c>
      <c r="BV615" s="15" t="str">
        <f>"145.51"</f>
        <v>145.51</v>
      </c>
      <c r="BW615" s="15" t="s">
        <v>1107</v>
      </c>
      <c r="BZ615" s="15" t="s">
        <v>444</v>
      </c>
      <c r="CB615" s="15" t="s">
        <v>444</v>
      </c>
      <c r="CD615" s="15" t="s">
        <v>444</v>
      </c>
      <c r="CF615" s="15" t="s">
        <v>444</v>
      </c>
      <c r="CI615" s="15" t="s">
        <v>444</v>
      </c>
      <c r="CK615" s="15" t="s">
        <v>444</v>
      </c>
      <c r="CM615" s="15" t="s">
        <v>444</v>
      </c>
      <c r="CO615" s="15" t="s">
        <v>444</v>
      </c>
      <c r="CP615" s="15" t="str">
        <f>"49.05"</f>
        <v>49.05</v>
      </c>
      <c r="CQ615" s="15" t="str">
        <f>"1.389"</f>
        <v>1.389</v>
      </c>
      <c r="CR615" s="15" t="s">
        <v>465</v>
      </c>
      <c r="DC615" s="15" t="str">
        <f>IFERROR(__xludf.DUMMYFUNCTION("""COMPUTED_VALUE"""),"")</f>
        <v/>
      </c>
      <c r="DE615" s="15" t="str">
        <f>IFERROR(__xludf.DUMMYFUNCTION("""COMPUTED_VALUE"""),"")</f>
        <v/>
      </c>
      <c r="DG615" s="15" t="str">
        <f>IFERROR(__xludf.DUMMYFUNCTION("""COMPUTED_VALUE"""),"")</f>
        <v/>
      </c>
      <c r="DK615" s="15" t="s">
        <v>934</v>
      </c>
      <c r="DL615" s="15" t="str">
        <f>IFERROR(__xludf.DUMMYFUNCTION("""COMPUTED_VALUE"""),"Spot clean with water-based or solvent-based cleaner. Use mild detergent or upholstery shampoo.")</f>
        <v>Spot clean with water-based or solvent-based cleaner. Use mild detergent or upholstery shampoo.</v>
      </c>
      <c r="DM615" s="15" t="s">
        <v>935</v>
      </c>
      <c r="DN615" s="15" t="s">
        <v>419</v>
      </c>
      <c r="DO615" s="15">
        <v>0.0</v>
      </c>
      <c r="DP615" s="15" t="s">
        <v>419</v>
      </c>
      <c r="DR615" s="15">
        <v>0.0</v>
      </c>
      <c r="DT615" s="15" t="s">
        <v>3952</v>
      </c>
      <c r="DU615" s="15" t="s">
        <v>419</v>
      </c>
      <c r="DW615" s="15">
        <v>0.0</v>
      </c>
      <c r="DX615" s="15">
        <v>0.0</v>
      </c>
      <c r="DY615" s="15">
        <v>0.0</v>
      </c>
      <c r="DZ615" s="15">
        <v>15000.0</v>
      </c>
      <c r="EG615" s="15" t="s">
        <v>444</v>
      </c>
      <c r="EH615" s="15" t="s">
        <v>6924</v>
      </c>
      <c r="EJ615" s="15" t="s">
        <v>858</v>
      </c>
      <c r="EK615" s="15" t="s">
        <v>859</v>
      </c>
      <c r="EM615" s="15" t="str">
        <f>IFERROR(__xludf.DUMMYFUNCTION("""COMPUTED_VALUE"""),"")</f>
        <v/>
      </c>
      <c r="FF615" s="15" t="s">
        <v>1239</v>
      </c>
      <c r="FM615" s="15">
        <v>0.0</v>
      </c>
      <c r="IP615" s="15" t="s">
        <v>6701</v>
      </c>
      <c r="IQ615" s="15" t="s">
        <v>6947</v>
      </c>
      <c r="IR615" s="15" t="s">
        <v>3691</v>
      </c>
      <c r="IS615" s="15" t="s">
        <v>6927</v>
      </c>
      <c r="IT615" s="15" t="s">
        <v>1459</v>
      </c>
      <c r="IU615" s="15" t="s">
        <v>6928</v>
      </c>
      <c r="IV615" s="15" t="s">
        <v>2971</v>
      </c>
      <c r="IW615" s="15" t="s">
        <v>4376</v>
      </c>
      <c r="IX615" s="15" t="s">
        <v>890</v>
      </c>
      <c r="IY615" s="15" t="s">
        <v>6701</v>
      </c>
      <c r="IZ615" s="15" t="s">
        <v>6929</v>
      </c>
      <c r="JA615" s="15" t="s">
        <v>6948</v>
      </c>
      <c r="JB615" s="15" t="s">
        <v>426</v>
      </c>
      <c r="JC615" s="15" t="s">
        <v>2471</v>
      </c>
      <c r="JD615" s="15" t="s">
        <v>872</v>
      </c>
      <c r="JE615" s="15" t="s">
        <v>873</v>
      </c>
      <c r="JF615" s="15" t="s">
        <v>877</v>
      </c>
      <c r="JL615" s="15" t="s">
        <v>2505</v>
      </c>
      <c r="JO615" s="15" t="s">
        <v>426</v>
      </c>
      <c r="JP615" s="15" t="s">
        <v>2474</v>
      </c>
      <c r="JS615" s="15" t="s">
        <v>3960</v>
      </c>
      <c r="JT615" s="15" t="s">
        <v>3961</v>
      </c>
    </row>
    <row r="616" ht="15.75" customHeight="1">
      <c r="A616" s="14" t="s">
        <v>391</v>
      </c>
      <c r="B616" s="15" t="s">
        <v>6939</v>
      </c>
      <c r="C616" s="16"/>
      <c r="D616" s="15" t="s">
        <v>432</v>
      </c>
      <c r="G616" s="14" t="s">
        <v>393</v>
      </c>
      <c r="H616" s="14" t="s">
        <v>394</v>
      </c>
      <c r="I616" s="14" t="b">
        <v>1</v>
      </c>
      <c r="J616" s="14" t="s">
        <v>395</v>
      </c>
      <c r="L616" s="14" t="b">
        <v>0</v>
      </c>
      <c r="M616" s="15" t="s">
        <v>6940</v>
      </c>
      <c r="N616" s="14" t="s">
        <v>393</v>
      </c>
      <c r="O616" s="14" t="s">
        <v>393</v>
      </c>
      <c r="P616" s="15" t="s">
        <v>397</v>
      </c>
      <c r="Q616" s="15" t="s">
        <v>6910</v>
      </c>
      <c r="R616" s="15" t="s">
        <v>265</v>
      </c>
      <c r="S616" s="15" t="s">
        <v>828</v>
      </c>
      <c r="T616" s="14" t="b">
        <v>0</v>
      </c>
      <c r="U616" s="15" t="s">
        <v>6949</v>
      </c>
      <c r="V616" s="15" t="s">
        <v>4936</v>
      </c>
      <c r="W616" s="15" t="s">
        <v>401</v>
      </c>
      <c r="X616" s="15" t="s">
        <v>742</v>
      </c>
      <c r="Y616" s="15">
        <v>2951.0</v>
      </c>
      <c r="AA616" s="15" t="str">
        <f>"1135"</f>
        <v>1135</v>
      </c>
      <c r="AB616" s="14" t="b">
        <v>1</v>
      </c>
      <c r="AC616" s="14" t="b">
        <v>1</v>
      </c>
      <c r="AD616" s="15" t="str">
        <f>"198394076173"</f>
        <v>198394076173</v>
      </c>
      <c r="AE616" s="15" t="s">
        <v>6943</v>
      </c>
      <c r="AF616" s="14" t="s">
        <v>404</v>
      </c>
      <c r="AG616" s="14" t="s">
        <v>405</v>
      </c>
      <c r="AH616" s="14" t="s">
        <v>406</v>
      </c>
      <c r="AI616" s="15">
        <v>0.0</v>
      </c>
      <c r="AL616" s="15" t="s">
        <v>6914</v>
      </c>
      <c r="AM616" s="15" t="s">
        <v>1125</v>
      </c>
      <c r="AN616" s="15" t="s">
        <v>1129</v>
      </c>
      <c r="AO616" s="15" t="s">
        <v>3147</v>
      </c>
      <c r="AP616" s="15" t="s">
        <v>3148</v>
      </c>
      <c r="AQ616" s="15" t="s">
        <v>1798</v>
      </c>
      <c r="AR616" s="15" t="s">
        <v>6915</v>
      </c>
      <c r="AS616" s="15" t="s">
        <v>1030</v>
      </c>
      <c r="AT616" s="15" t="s">
        <v>6910</v>
      </c>
      <c r="AU616" s="15" t="s">
        <v>6520</v>
      </c>
      <c r="AW616" s="15" t="s">
        <v>839</v>
      </c>
      <c r="AX616" s="15" t="s">
        <v>828</v>
      </c>
      <c r="AY616" s="15" t="s">
        <v>413</v>
      </c>
      <c r="AZ616" s="15" t="b">
        <v>0</v>
      </c>
      <c r="BA616" s="15" t="s">
        <v>413</v>
      </c>
      <c r="BB616" s="15" t="b">
        <v>0</v>
      </c>
      <c r="BC616" s="15" t="s">
        <v>6944</v>
      </c>
      <c r="BD616" s="15" t="s">
        <v>742</v>
      </c>
      <c r="BE616" s="15" t="str">
        <f t="shared" si="1067"/>
        <v>2</v>
      </c>
      <c r="BF616" s="15" t="s">
        <v>2966</v>
      </c>
      <c r="BG616" s="15" t="str">
        <f>"88.39"</f>
        <v>88.39</v>
      </c>
      <c r="BH616" s="15" t="s">
        <v>1384</v>
      </c>
      <c r="BI616" s="15" t="str">
        <f>"12.6"</f>
        <v>12.6</v>
      </c>
      <c r="BJ616" s="15" t="s">
        <v>819</v>
      </c>
      <c r="BK616" s="15" t="str">
        <f>"17.91"</f>
        <v>17.91</v>
      </c>
      <c r="BL616" s="15" t="s">
        <v>5780</v>
      </c>
      <c r="BM616" s="15" t="str">
        <f>"136.69"</f>
        <v>136.69</v>
      </c>
      <c r="BN616" s="15" t="s">
        <v>6950</v>
      </c>
      <c r="BO616" s="15" t="s">
        <v>6946</v>
      </c>
      <c r="BP616" s="15" t="str">
        <f>"91.93"</f>
        <v>91.93</v>
      </c>
      <c r="BQ616" s="15" t="s">
        <v>6933</v>
      </c>
      <c r="BR616" s="15" t="str">
        <f>"15.55"</f>
        <v>15.55</v>
      </c>
      <c r="BS616" s="15" t="s">
        <v>6934</v>
      </c>
      <c r="BT616" s="15" t="str">
        <f>"52.56"</f>
        <v>52.56</v>
      </c>
      <c r="BU616" s="15" t="s">
        <v>6442</v>
      </c>
      <c r="BV616" s="15" t="str">
        <f>"170.86"</f>
        <v>170.86</v>
      </c>
      <c r="BW616" s="15" t="s">
        <v>6951</v>
      </c>
      <c r="BZ616" s="15" t="s">
        <v>444</v>
      </c>
      <c r="CB616" s="15" t="s">
        <v>444</v>
      </c>
      <c r="CD616" s="15" t="s">
        <v>444</v>
      </c>
      <c r="CF616" s="15" t="s">
        <v>444</v>
      </c>
      <c r="CI616" s="15" t="s">
        <v>444</v>
      </c>
      <c r="CK616" s="15" t="s">
        <v>444</v>
      </c>
      <c r="CM616" s="15" t="s">
        <v>444</v>
      </c>
      <c r="CO616" s="15" t="s">
        <v>444</v>
      </c>
      <c r="CP616" s="15" t="str">
        <f>"55.02"</f>
        <v>55.02</v>
      </c>
      <c r="CQ616" s="15" t="str">
        <f>"1.558"</f>
        <v>1.558</v>
      </c>
      <c r="CR616" s="15" t="s">
        <v>465</v>
      </c>
      <c r="DC616" s="15" t="str">
        <f>IFERROR(__xludf.DUMMYFUNCTION("""COMPUTED_VALUE"""),"")</f>
        <v/>
      </c>
      <c r="DE616" s="15" t="str">
        <f>IFERROR(__xludf.DUMMYFUNCTION("""COMPUTED_VALUE"""),"")</f>
        <v/>
      </c>
      <c r="DG616" s="15" t="str">
        <f>IFERROR(__xludf.DUMMYFUNCTION("""COMPUTED_VALUE"""),"")</f>
        <v/>
      </c>
      <c r="DK616" s="15" t="s">
        <v>934</v>
      </c>
      <c r="DL616" s="15" t="str">
        <f>IFERROR(__xludf.DUMMYFUNCTION("""COMPUTED_VALUE"""),"Spot clean with water-based or solvent-based cleaner. Use mild detergent or upholstery shampoo.")</f>
        <v>Spot clean with water-based or solvent-based cleaner. Use mild detergent or upholstery shampoo.</v>
      </c>
      <c r="DM616" s="15" t="s">
        <v>935</v>
      </c>
      <c r="DN616" s="15" t="s">
        <v>419</v>
      </c>
      <c r="DO616" s="15">
        <v>0.0</v>
      </c>
      <c r="DP616" s="15" t="s">
        <v>419</v>
      </c>
      <c r="DR616" s="15">
        <v>0.0</v>
      </c>
      <c r="DT616" s="15" t="s">
        <v>3952</v>
      </c>
      <c r="DU616" s="15" t="s">
        <v>419</v>
      </c>
      <c r="DW616" s="15">
        <v>0.0</v>
      </c>
      <c r="DX616" s="15">
        <v>0.0</v>
      </c>
      <c r="DY616" s="15">
        <v>0.0</v>
      </c>
      <c r="DZ616" s="15">
        <v>15000.0</v>
      </c>
      <c r="EG616" s="15" t="s">
        <v>444</v>
      </c>
      <c r="EH616" s="15" t="s">
        <v>6924</v>
      </c>
      <c r="EJ616" s="15" t="s">
        <v>858</v>
      </c>
      <c r="EK616" s="15" t="s">
        <v>859</v>
      </c>
      <c r="EM616" s="15" t="str">
        <f>IFERROR(__xludf.DUMMYFUNCTION("""COMPUTED_VALUE"""),"")</f>
        <v/>
      </c>
      <c r="FF616" s="15" t="s">
        <v>1239</v>
      </c>
      <c r="FM616" s="15">
        <v>0.0</v>
      </c>
      <c r="IP616" s="15" t="s">
        <v>6701</v>
      </c>
      <c r="IQ616" s="15" t="s">
        <v>6947</v>
      </c>
      <c r="IR616" s="15" t="s">
        <v>6952</v>
      </c>
      <c r="IS616" s="15" t="s">
        <v>6927</v>
      </c>
      <c r="IT616" s="15" t="s">
        <v>1459</v>
      </c>
      <c r="IU616" s="15" t="s">
        <v>1120</v>
      </c>
      <c r="IV616" s="15" t="s">
        <v>2971</v>
      </c>
      <c r="IW616" s="15" t="s">
        <v>4376</v>
      </c>
      <c r="IX616" s="15" t="s">
        <v>869</v>
      </c>
      <c r="IY616" s="15" t="s">
        <v>6701</v>
      </c>
      <c r="IZ616" s="15" t="s">
        <v>6929</v>
      </c>
      <c r="JA616" s="15" t="s">
        <v>6948</v>
      </c>
      <c r="JB616" s="15" t="s">
        <v>426</v>
      </c>
      <c r="JC616" s="15" t="s">
        <v>2471</v>
      </c>
      <c r="JD616" s="15" t="s">
        <v>872</v>
      </c>
      <c r="JE616" s="15" t="s">
        <v>873</v>
      </c>
      <c r="JF616" s="15" t="s">
        <v>828</v>
      </c>
      <c r="JL616" s="15" t="s">
        <v>2505</v>
      </c>
      <c r="JO616" s="15" t="s">
        <v>426</v>
      </c>
      <c r="JP616" s="15" t="s">
        <v>2474</v>
      </c>
      <c r="JS616" s="15" t="s">
        <v>3960</v>
      </c>
      <c r="JT616" s="15" t="s">
        <v>3971</v>
      </c>
    </row>
    <row r="617" ht="15.75" customHeight="1">
      <c r="A617" s="14" t="s">
        <v>391</v>
      </c>
      <c r="B617" s="15" t="s">
        <v>6953</v>
      </c>
      <c r="C617" s="16"/>
      <c r="D617" s="15" t="s">
        <v>432</v>
      </c>
      <c r="G617" s="14" t="s">
        <v>393</v>
      </c>
      <c r="H617" s="14" t="s">
        <v>394</v>
      </c>
      <c r="I617" s="14" t="b">
        <v>1</v>
      </c>
      <c r="J617" s="14" t="s">
        <v>395</v>
      </c>
      <c r="L617" s="14" t="b">
        <v>0</v>
      </c>
      <c r="M617" s="15" t="s">
        <v>6954</v>
      </c>
      <c r="N617" s="14" t="s">
        <v>393</v>
      </c>
      <c r="O617" s="14" t="s">
        <v>393</v>
      </c>
      <c r="P617" s="15" t="s">
        <v>397</v>
      </c>
      <c r="Q617" s="15" t="s">
        <v>6955</v>
      </c>
      <c r="T617" s="14" t="b">
        <v>0</v>
      </c>
      <c r="U617" s="15" t="s">
        <v>6956</v>
      </c>
      <c r="V617" s="15" t="s">
        <v>6957</v>
      </c>
      <c r="W617" s="15" t="s">
        <v>401</v>
      </c>
      <c r="X617" s="15" t="s">
        <v>742</v>
      </c>
      <c r="Y617" s="15">
        <v>2730.0</v>
      </c>
      <c r="AA617" s="15" t="str">
        <f t="shared" ref="AA617:AA618" si="1068">"1050"</f>
        <v>1050</v>
      </c>
      <c r="AB617" s="14" t="b">
        <v>1</v>
      </c>
      <c r="AC617" s="14" t="b">
        <v>1</v>
      </c>
      <c r="AD617" s="15" t="str">
        <f>"198394057783"</f>
        <v>198394057783</v>
      </c>
      <c r="AE617" s="15" t="s">
        <v>6958</v>
      </c>
      <c r="AF617" s="14" t="s">
        <v>404</v>
      </c>
      <c r="AG617" s="14" t="s">
        <v>405</v>
      </c>
      <c r="AH617" s="14" t="s">
        <v>406</v>
      </c>
      <c r="AI617" s="15">
        <v>0.0</v>
      </c>
      <c r="AL617" s="15" t="s">
        <v>6959</v>
      </c>
      <c r="AM617" s="15" t="s">
        <v>2921</v>
      </c>
      <c r="AN617" s="15" t="s">
        <v>2922</v>
      </c>
      <c r="AO617" s="15" t="s">
        <v>626</v>
      </c>
      <c r="AP617" s="15" t="s">
        <v>627</v>
      </c>
      <c r="AQ617" s="15" t="s">
        <v>6960</v>
      </c>
      <c r="AR617" s="15" t="s">
        <v>6961</v>
      </c>
      <c r="AS617" s="15" t="s">
        <v>2063</v>
      </c>
      <c r="AT617" s="15" t="s">
        <v>6955</v>
      </c>
      <c r="AW617" s="15" t="s">
        <v>412</v>
      </c>
      <c r="AY617" s="15" t="s">
        <v>413</v>
      </c>
      <c r="AZ617" s="15" t="b">
        <v>0</v>
      </c>
      <c r="BA617" s="15" t="s">
        <v>413</v>
      </c>
      <c r="BB617" s="15" t="b">
        <v>0</v>
      </c>
      <c r="BC617" s="15" t="s">
        <v>6962</v>
      </c>
      <c r="BD617" s="15" t="s">
        <v>742</v>
      </c>
      <c r="BE617" s="15" t="str">
        <f t="shared" ref="BE617:BE620" si="1069">"1"</f>
        <v>1</v>
      </c>
      <c r="BF617" s="15" t="s">
        <v>416</v>
      </c>
      <c r="BG617" s="15" t="str">
        <f t="shared" ref="BG617:BG618" si="1070">"82.87"</f>
        <v>82.87</v>
      </c>
      <c r="BH617" s="15" t="s">
        <v>4677</v>
      </c>
      <c r="BI617" s="15" t="str">
        <f t="shared" ref="BI617:BI618" si="1071">"28.54"</f>
        <v>28.54</v>
      </c>
      <c r="BJ617" s="15" t="s">
        <v>3923</v>
      </c>
      <c r="BK617" s="15" t="str">
        <f t="shared" ref="BK617:BK618" si="1072">"43.11"</f>
        <v>43.11</v>
      </c>
      <c r="BL617" s="15" t="s">
        <v>5447</v>
      </c>
      <c r="BM617" s="15" t="str">
        <f t="shared" ref="BM617:BM618" si="1073">"335.1"</f>
        <v>335.1</v>
      </c>
      <c r="BN617" s="15" t="s">
        <v>6963</v>
      </c>
      <c r="BQ617" s="15" t="s">
        <v>444</v>
      </c>
      <c r="BS617" s="15" t="s">
        <v>444</v>
      </c>
      <c r="BU617" s="15" t="s">
        <v>444</v>
      </c>
      <c r="BW617" s="15" t="s">
        <v>444</v>
      </c>
      <c r="BZ617" s="15" t="s">
        <v>444</v>
      </c>
      <c r="CB617" s="15" t="s">
        <v>444</v>
      </c>
      <c r="CD617" s="15" t="s">
        <v>444</v>
      </c>
      <c r="CF617" s="15" t="s">
        <v>444</v>
      </c>
      <c r="CI617" s="15" t="s">
        <v>444</v>
      </c>
      <c r="CK617" s="15" t="s">
        <v>444</v>
      </c>
      <c r="CM617" s="15" t="s">
        <v>444</v>
      </c>
      <c r="CO617" s="15" t="s">
        <v>444</v>
      </c>
      <c r="CP617" s="15" t="str">
        <f t="shared" ref="CP617:CP618" si="1074">"59.01"</f>
        <v>59.01</v>
      </c>
      <c r="CQ617" s="15" t="str">
        <f t="shared" ref="CQ617:CQ618" si="1075">"1.671"</f>
        <v>1.671</v>
      </c>
      <c r="CR617" s="15" t="s">
        <v>497</v>
      </c>
      <c r="DC617" s="15" t="str">
        <f>IFERROR(__xludf.DUMMYFUNCTION("""COMPUTED_VALUE"""),"")</f>
        <v/>
      </c>
      <c r="DE617" s="15" t="str">
        <f>IFERROR(__xludf.DUMMYFUNCTION("""COMPUTED_VALUE"""),"")</f>
        <v/>
      </c>
      <c r="DG617" s="15" t="str">
        <f>IFERROR(__xludf.DUMMYFUNCTION("""COMPUTED_VALUE"""),"")</f>
        <v/>
      </c>
      <c r="DL617" s="15" t="str">
        <f>IFERROR(__xludf.DUMMYFUNCTION("""COMPUTED_VALUE"""),"")</f>
        <v/>
      </c>
      <c r="DM617" s="15" t="s">
        <v>444</v>
      </c>
      <c r="DN617" s="15" t="s">
        <v>418</v>
      </c>
      <c r="DO617" s="15">
        <v>6.0</v>
      </c>
      <c r="DP617" s="15" t="s">
        <v>419</v>
      </c>
      <c r="DR617" s="15">
        <v>0.0</v>
      </c>
      <c r="DT617" s="15" t="s">
        <v>420</v>
      </c>
      <c r="DU617" s="15" t="s">
        <v>421</v>
      </c>
      <c r="DY617" s="15">
        <v>0.0</v>
      </c>
      <c r="EF617" s="15" t="s">
        <v>422</v>
      </c>
      <c r="EG617" s="15" t="s">
        <v>445</v>
      </c>
      <c r="EH617" s="15" t="s">
        <v>6964</v>
      </c>
      <c r="EJ617" s="15" t="s">
        <v>424</v>
      </c>
      <c r="EK617" s="15" t="s">
        <v>446</v>
      </c>
      <c r="EM617" s="15" t="str">
        <f>IFERROR(__xludf.DUMMYFUNCTION("""COMPUTED_VALUE"""),"")</f>
        <v/>
      </c>
      <c r="EW617" s="15" t="s">
        <v>1950</v>
      </c>
      <c r="FL617" s="15" t="s">
        <v>426</v>
      </c>
      <c r="FM617" s="15">
        <v>0.0</v>
      </c>
      <c r="GH617" s="15">
        <v>0.0</v>
      </c>
      <c r="GI617" s="15" t="s">
        <v>427</v>
      </c>
      <c r="GO617" s="15" t="s">
        <v>426</v>
      </c>
      <c r="GQ617" s="15" t="s">
        <v>2143</v>
      </c>
      <c r="GR617" s="15" t="s">
        <v>2143</v>
      </c>
      <c r="GS617" s="15" t="s">
        <v>6965</v>
      </c>
      <c r="GT617" s="15" t="s">
        <v>6966</v>
      </c>
      <c r="GU617" s="15" t="s">
        <v>6967</v>
      </c>
      <c r="GV617" s="15" t="s">
        <v>6967</v>
      </c>
      <c r="GW617" s="15" t="s">
        <v>431</v>
      </c>
      <c r="GY617" s="15" t="s">
        <v>420</v>
      </c>
    </row>
    <row r="618" ht="15.75" customHeight="1">
      <c r="A618" s="14" t="s">
        <v>391</v>
      </c>
      <c r="B618" s="15" t="s">
        <v>6953</v>
      </c>
      <c r="C618" s="16"/>
      <c r="D618" s="15" t="s">
        <v>432</v>
      </c>
      <c r="G618" s="14" t="s">
        <v>393</v>
      </c>
      <c r="H618" s="14" t="s">
        <v>394</v>
      </c>
      <c r="I618" s="14" t="b">
        <v>1</v>
      </c>
      <c r="J618" s="14" t="s">
        <v>395</v>
      </c>
      <c r="L618" s="14" t="b">
        <v>0</v>
      </c>
      <c r="M618" s="15" t="s">
        <v>6968</v>
      </c>
      <c r="N618" s="14" t="s">
        <v>393</v>
      </c>
      <c r="O618" s="14" t="s">
        <v>393</v>
      </c>
      <c r="P618" s="15" t="s">
        <v>397</v>
      </c>
      <c r="Q618" s="15" t="s">
        <v>6969</v>
      </c>
      <c r="T618" s="14" t="b">
        <v>0</v>
      </c>
      <c r="U618" s="15" t="s">
        <v>6970</v>
      </c>
      <c r="V618" s="15" t="s">
        <v>6957</v>
      </c>
      <c r="W618" s="15" t="s">
        <v>401</v>
      </c>
      <c r="X618" s="15" t="s">
        <v>742</v>
      </c>
      <c r="Y618" s="15">
        <v>2730.0</v>
      </c>
      <c r="AA618" s="15" t="str">
        <f t="shared" si="1068"/>
        <v>1050</v>
      </c>
      <c r="AB618" s="14" t="b">
        <v>1</v>
      </c>
      <c r="AC618" s="14" t="b">
        <v>1</v>
      </c>
      <c r="AD618" s="15" t="str">
        <f>"801542328719"</f>
        <v>801542328719</v>
      </c>
      <c r="AE618" s="15" t="s">
        <v>6971</v>
      </c>
      <c r="AF618" s="14" t="s">
        <v>404</v>
      </c>
      <c r="AG618" s="14" t="s">
        <v>405</v>
      </c>
      <c r="AH618" s="14" t="s">
        <v>406</v>
      </c>
      <c r="AI618" s="15">
        <v>0.0</v>
      </c>
      <c r="AL618" s="15" t="s">
        <v>1025</v>
      </c>
      <c r="AM618" s="15" t="s">
        <v>2921</v>
      </c>
      <c r="AN618" s="15" t="s">
        <v>2922</v>
      </c>
      <c r="AO618" s="15" t="s">
        <v>626</v>
      </c>
      <c r="AP618" s="15" t="s">
        <v>627</v>
      </c>
      <c r="AQ618" s="15" t="s">
        <v>6960</v>
      </c>
      <c r="AR618" s="15" t="s">
        <v>6961</v>
      </c>
      <c r="AS618" s="15" t="s">
        <v>2063</v>
      </c>
      <c r="AT618" s="15" t="s">
        <v>6969</v>
      </c>
      <c r="AW618" s="15" t="s">
        <v>412</v>
      </c>
      <c r="AY618" s="15" t="s">
        <v>413</v>
      </c>
      <c r="AZ618" s="15" t="b">
        <v>0</v>
      </c>
      <c r="BA618" s="15" t="s">
        <v>413</v>
      </c>
      <c r="BB618" s="15" t="b">
        <v>0</v>
      </c>
      <c r="BC618" s="15" t="s">
        <v>6972</v>
      </c>
      <c r="BD618" s="15" t="s">
        <v>742</v>
      </c>
      <c r="BE618" s="15" t="str">
        <f t="shared" si="1069"/>
        <v>1</v>
      </c>
      <c r="BF618" s="15" t="s">
        <v>416</v>
      </c>
      <c r="BG618" s="15" t="str">
        <f t="shared" si="1070"/>
        <v>82.87</v>
      </c>
      <c r="BH618" s="15" t="s">
        <v>4677</v>
      </c>
      <c r="BI618" s="15" t="str">
        <f t="shared" si="1071"/>
        <v>28.54</v>
      </c>
      <c r="BJ618" s="15" t="s">
        <v>3923</v>
      </c>
      <c r="BK618" s="15" t="str">
        <f t="shared" si="1072"/>
        <v>43.11</v>
      </c>
      <c r="BL618" s="15" t="s">
        <v>5447</v>
      </c>
      <c r="BM618" s="15" t="str">
        <f t="shared" si="1073"/>
        <v>335.1</v>
      </c>
      <c r="BN618" s="15" t="s">
        <v>6963</v>
      </c>
      <c r="BQ618" s="15" t="s">
        <v>444</v>
      </c>
      <c r="BS618" s="15" t="s">
        <v>444</v>
      </c>
      <c r="BU618" s="15" t="s">
        <v>444</v>
      </c>
      <c r="BW618" s="15" t="s">
        <v>444</v>
      </c>
      <c r="BZ618" s="15" t="s">
        <v>444</v>
      </c>
      <c r="CB618" s="15" t="s">
        <v>444</v>
      </c>
      <c r="CD618" s="15" t="s">
        <v>444</v>
      </c>
      <c r="CF618" s="15" t="s">
        <v>444</v>
      </c>
      <c r="CI618" s="15" t="s">
        <v>444</v>
      </c>
      <c r="CK618" s="15" t="s">
        <v>444</v>
      </c>
      <c r="CM618" s="15" t="s">
        <v>444</v>
      </c>
      <c r="CO618" s="15" t="s">
        <v>444</v>
      </c>
      <c r="CP618" s="15" t="str">
        <f t="shared" si="1074"/>
        <v>59.01</v>
      </c>
      <c r="CQ618" s="15" t="str">
        <f t="shared" si="1075"/>
        <v>1.671</v>
      </c>
      <c r="CR618" s="15" t="s">
        <v>497</v>
      </c>
      <c r="DC618" s="15" t="str">
        <f>IFERROR(__xludf.DUMMYFUNCTION("""COMPUTED_VALUE"""),"")</f>
        <v/>
      </c>
      <c r="DE618" s="15" t="str">
        <f>IFERROR(__xludf.DUMMYFUNCTION("""COMPUTED_VALUE"""),"")</f>
        <v/>
      </c>
      <c r="DG618" s="15" t="str">
        <f>IFERROR(__xludf.DUMMYFUNCTION("""COMPUTED_VALUE"""),"")</f>
        <v/>
      </c>
      <c r="DL618" s="15" t="str">
        <f>IFERROR(__xludf.DUMMYFUNCTION("""COMPUTED_VALUE"""),"")</f>
        <v/>
      </c>
      <c r="DM618" s="15" t="s">
        <v>444</v>
      </c>
      <c r="DN618" s="15" t="s">
        <v>418</v>
      </c>
      <c r="DO618" s="15">
        <v>6.0</v>
      </c>
      <c r="DP618" s="15" t="s">
        <v>419</v>
      </c>
      <c r="DR618" s="15">
        <v>0.0</v>
      </c>
      <c r="DT618" s="15" t="s">
        <v>420</v>
      </c>
      <c r="DU618" s="15" t="s">
        <v>421</v>
      </c>
      <c r="DY618" s="15">
        <v>0.0</v>
      </c>
      <c r="EF618" s="15" t="s">
        <v>422</v>
      </c>
      <c r="EG618" s="15" t="s">
        <v>445</v>
      </c>
      <c r="EH618" s="15" t="s">
        <v>6964</v>
      </c>
      <c r="EJ618" s="15" t="s">
        <v>424</v>
      </c>
      <c r="EK618" s="15" t="s">
        <v>446</v>
      </c>
      <c r="EM618" s="15" t="str">
        <f>IFERROR(__xludf.DUMMYFUNCTION("""COMPUTED_VALUE"""),"")</f>
        <v/>
      </c>
      <c r="EW618" s="15" t="s">
        <v>1950</v>
      </c>
      <c r="FL618" s="15" t="s">
        <v>426</v>
      </c>
      <c r="FM618" s="15">
        <v>0.0</v>
      </c>
      <c r="GH618" s="15">
        <v>0.0</v>
      </c>
      <c r="GI618" s="15" t="s">
        <v>427</v>
      </c>
      <c r="GO618" s="15" t="s">
        <v>426</v>
      </c>
      <c r="GQ618" s="15" t="s">
        <v>2143</v>
      </c>
      <c r="GR618" s="15" t="s">
        <v>2143</v>
      </c>
      <c r="GS618" s="15" t="s">
        <v>6965</v>
      </c>
      <c r="GT618" s="15" t="s">
        <v>6966</v>
      </c>
      <c r="GU618" s="15" t="s">
        <v>6967</v>
      </c>
      <c r="GV618" s="15" t="s">
        <v>6967</v>
      </c>
      <c r="GW618" s="15" t="s">
        <v>431</v>
      </c>
      <c r="GY618" s="15" t="s">
        <v>420</v>
      </c>
    </row>
    <row r="619" ht="15.75" customHeight="1">
      <c r="A619" s="14" t="s">
        <v>391</v>
      </c>
      <c r="B619" s="15" t="s">
        <v>6973</v>
      </c>
      <c r="C619" s="16"/>
      <c r="D619" s="15" t="s">
        <v>432</v>
      </c>
      <c r="G619" s="14" t="s">
        <v>393</v>
      </c>
      <c r="H619" s="14" t="s">
        <v>394</v>
      </c>
      <c r="I619" s="14" t="b">
        <v>1</v>
      </c>
      <c r="J619" s="14" t="s">
        <v>395</v>
      </c>
      <c r="L619" s="14" t="b">
        <v>0</v>
      </c>
      <c r="M619" s="15" t="s">
        <v>6974</v>
      </c>
      <c r="N619" s="14" t="s">
        <v>393</v>
      </c>
      <c r="O619" s="14" t="s">
        <v>393</v>
      </c>
      <c r="P619" s="15" t="s">
        <v>397</v>
      </c>
      <c r="Q619" s="15" t="s">
        <v>6955</v>
      </c>
      <c r="T619" s="14" t="b">
        <v>0</v>
      </c>
      <c r="U619" s="15" t="s">
        <v>6975</v>
      </c>
      <c r="V619" s="15" t="s">
        <v>1598</v>
      </c>
      <c r="W619" s="15" t="s">
        <v>401</v>
      </c>
      <c r="X619" s="15" t="s">
        <v>742</v>
      </c>
      <c r="Y619" s="15">
        <v>819.0</v>
      </c>
      <c r="AA619" s="15" t="str">
        <f t="shared" ref="AA619:AA620" si="1076">"315"</f>
        <v>315</v>
      </c>
      <c r="AB619" s="14" t="b">
        <v>1</v>
      </c>
      <c r="AC619" s="14" t="b">
        <v>1</v>
      </c>
      <c r="AD619" s="15" t="str">
        <f>"198394057790"</f>
        <v>198394057790</v>
      </c>
      <c r="AE619" s="15" t="s">
        <v>6976</v>
      </c>
      <c r="AF619" s="14" t="s">
        <v>404</v>
      </c>
      <c r="AG619" s="14" t="s">
        <v>405</v>
      </c>
      <c r="AH619" s="14" t="s">
        <v>406</v>
      </c>
      <c r="AI619" s="15">
        <v>0.0</v>
      </c>
      <c r="AL619" s="15" t="s">
        <v>6959</v>
      </c>
      <c r="AM619" s="15" t="s">
        <v>546</v>
      </c>
      <c r="AN619" s="15" t="s">
        <v>547</v>
      </c>
      <c r="AO619" s="15" t="s">
        <v>6977</v>
      </c>
      <c r="AP619" s="15" t="s">
        <v>3705</v>
      </c>
      <c r="AQ619" s="15" t="s">
        <v>1175</v>
      </c>
      <c r="AR619" s="15" t="s">
        <v>1176</v>
      </c>
      <c r="AS619" s="15" t="s">
        <v>2063</v>
      </c>
      <c r="AT619" s="15" t="s">
        <v>6955</v>
      </c>
      <c r="AW619" s="15" t="s">
        <v>628</v>
      </c>
      <c r="AY619" s="15" t="s">
        <v>413</v>
      </c>
      <c r="AZ619" s="15" t="b">
        <v>0</v>
      </c>
      <c r="BA619" s="15" t="s">
        <v>413</v>
      </c>
      <c r="BB619" s="15" t="b">
        <v>0</v>
      </c>
      <c r="BC619" s="15" t="s">
        <v>6978</v>
      </c>
      <c r="BD619" s="15" t="s">
        <v>742</v>
      </c>
      <c r="BE619" s="15" t="str">
        <f t="shared" si="1069"/>
        <v>1</v>
      </c>
      <c r="BF619" s="15" t="s">
        <v>416</v>
      </c>
      <c r="BG619" s="15" t="str">
        <f t="shared" ref="BG619:BG620" si="1077">"36.02"</f>
        <v>36.02</v>
      </c>
      <c r="BH619" s="15" t="s">
        <v>4053</v>
      </c>
      <c r="BI619" s="15" t="str">
        <f t="shared" ref="BI619:BI620" si="1078">"22.64"</f>
        <v>22.64</v>
      </c>
      <c r="BJ619" s="15" t="s">
        <v>5982</v>
      </c>
      <c r="BK619" s="15" t="str">
        <f t="shared" ref="BK619:BK620" si="1079">"32.28"</f>
        <v>32.28</v>
      </c>
      <c r="BL619" s="15" t="s">
        <v>954</v>
      </c>
      <c r="BM619" s="15" t="str">
        <f t="shared" ref="BM619:BM620" si="1080">"95.9"</f>
        <v>95.9</v>
      </c>
      <c r="BN619" s="15" t="s">
        <v>4161</v>
      </c>
      <c r="BQ619" s="15" t="s">
        <v>444</v>
      </c>
      <c r="BS619" s="15" t="s">
        <v>444</v>
      </c>
      <c r="BU619" s="15" t="s">
        <v>444</v>
      </c>
      <c r="BW619" s="15" t="s">
        <v>444</v>
      </c>
      <c r="BZ619" s="15" t="s">
        <v>444</v>
      </c>
      <c r="CB619" s="15" t="s">
        <v>444</v>
      </c>
      <c r="CD619" s="15" t="s">
        <v>444</v>
      </c>
      <c r="CF619" s="15" t="s">
        <v>444</v>
      </c>
      <c r="CI619" s="15" t="s">
        <v>444</v>
      </c>
      <c r="CK619" s="15" t="s">
        <v>444</v>
      </c>
      <c r="CM619" s="15" t="s">
        <v>444</v>
      </c>
      <c r="CO619" s="15" t="s">
        <v>444</v>
      </c>
      <c r="CP619" s="15" t="str">
        <f t="shared" ref="CP619:CP620" si="1081">"15.22"</f>
        <v>15.22</v>
      </c>
      <c r="CQ619" s="15" t="str">
        <f t="shared" ref="CQ619:CQ620" si="1082">"0.431"</f>
        <v>0.431</v>
      </c>
      <c r="CR619" s="15" t="s">
        <v>497</v>
      </c>
      <c r="DC619" s="15" t="str">
        <f>IFERROR(__xludf.DUMMYFUNCTION("""COMPUTED_VALUE"""),"")</f>
        <v/>
      </c>
      <c r="DE619" s="15" t="str">
        <f>IFERROR(__xludf.DUMMYFUNCTION("""COMPUTED_VALUE"""),"")</f>
        <v/>
      </c>
      <c r="DG619" s="15" t="str">
        <f>IFERROR(__xludf.DUMMYFUNCTION("""COMPUTED_VALUE"""),"")</f>
        <v/>
      </c>
      <c r="DL619" s="15" t="str">
        <f>IFERROR(__xludf.DUMMYFUNCTION("""COMPUTED_VALUE"""),"")</f>
        <v/>
      </c>
      <c r="DM619" s="15" t="s">
        <v>444</v>
      </c>
      <c r="DN619" s="15" t="s">
        <v>418</v>
      </c>
      <c r="DO619" s="15">
        <v>2.0</v>
      </c>
      <c r="DP619" s="15" t="s">
        <v>419</v>
      </c>
      <c r="DR619" s="15">
        <v>0.0</v>
      </c>
      <c r="DT619" s="15" t="s">
        <v>420</v>
      </c>
      <c r="DU619" s="15" t="s">
        <v>421</v>
      </c>
      <c r="DY619" s="15">
        <v>0.0</v>
      </c>
      <c r="EF619" s="15" t="s">
        <v>471</v>
      </c>
      <c r="EG619" s="15" t="s">
        <v>472</v>
      </c>
      <c r="EH619" s="15" t="s">
        <v>6964</v>
      </c>
      <c r="EJ619" s="15" t="s">
        <v>500</v>
      </c>
      <c r="EK619" s="15" t="s">
        <v>501</v>
      </c>
      <c r="EM619" s="15" t="str">
        <f>IFERROR(__xludf.DUMMYFUNCTION("""COMPUTED_VALUE"""),"")</f>
        <v/>
      </c>
      <c r="EW619" s="15" t="s">
        <v>1950</v>
      </c>
      <c r="FL619" s="15" t="s">
        <v>426</v>
      </c>
      <c r="FM619" s="15">
        <v>0.0</v>
      </c>
      <c r="GH619" s="15">
        <v>0.0</v>
      </c>
      <c r="GI619" s="15" t="s">
        <v>427</v>
      </c>
      <c r="GO619" s="15" t="s">
        <v>426</v>
      </c>
      <c r="GQ619" s="15" t="s">
        <v>1958</v>
      </c>
      <c r="GS619" s="15" t="s">
        <v>5234</v>
      </c>
      <c r="GU619" s="15" t="s">
        <v>6979</v>
      </c>
      <c r="GW619" s="15" t="s">
        <v>431</v>
      </c>
      <c r="GY619" s="15" t="s">
        <v>420</v>
      </c>
    </row>
    <row r="620" ht="15.75" customHeight="1">
      <c r="A620" s="14" t="s">
        <v>391</v>
      </c>
      <c r="B620" s="15" t="s">
        <v>6973</v>
      </c>
      <c r="C620" s="16"/>
      <c r="D620" s="15" t="s">
        <v>432</v>
      </c>
      <c r="G620" s="14" t="s">
        <v>393</v>
      </c>
      <c r="H620" s="14" t="s">
        <v>394</v>
      </c>
      <c r="I620" s="14" t="b">
        <v>1</v>
      </c>
      <c r="J620" s="14" t="s">
        <v>395</v>
      </c>
      <c r="L620" s="14" t="b">
        <v>0</v>
      </c>
      <c r="M620" s="15" t="s">
        <v>6980</v>
      </c>
      <c r="N620" s="14" t="s">
        <v>393</v>
      </c>
      <c r="O620" s="14" t="s">
        <v>393</v>
      </c>
      <c r="P620" s="15" t="s">
        <v>397</v>
      </c>
      <c r="Q620" s="15" t="s">
        <v>6969</v>
      </c>
      <c r="T620" s="14" t="b">
        <v>0</v>
      </c>
      <c r="U620" s="15" t="s">
        <v>6981</v>
      </c>
      <c r="V620" s="15" t="s">
        <v>1598</v>
      </c>
      <c r="W620" s="15" t="s">
        <v>401</v>
      </c>
      <c r="X620" s="15" t="s">
        <v>742</v>
      </c>
      <c r="Y620" s="15">
        <v>819.0</v>
      </c>
      <c r="AA620" s="15" t="str">
        <f t="shared" si="1076"/>
        <v>315</v>
      </c>
      <c r="AB620" s="14" t="b">
        <v>1</v>
      </c>
      <c r="AC620" s="14" t="b">
        <v>1</v>
      </c>
      <c r="AD620" s="15" t="str">
        <f>"801542328726"</f>
        <v>801542328726</v>
      </c>
      <c r="AE620" s="15" t="s">
        <v>6982</v>
      </c>
      <c r="AF620" s="14" t="s">
        <v>404</v>
      </c>
      <c r="AG620" s="14" t="s">
        <v>405</v>
      </c>
      <c r="AH620" s="14" t="s">
        <v>406</v>
      </c>
      <c r="AI620" s="15">
        <v>0.0</v>
      </c>
      <c r="AL620" s="15" t="s">
        <v>1025</v>
      </c>
      <c r="AM620" s="15" t="s">
        <v>546</v>
      </c>
      <c r="AN620" s="15" t="s">
        <v>547</v>
      </c>
      <c r="AO620" s="15" t="s">
        <v>6977</v>
      </c>
      <c r="AP620" s="15" t="s">
        <v>3705</v>
      </c>
      <c r="AQ620" s="15" t="s">
        <v>1175</v>
      </c>
      <c r="AR620" s="15" t="s">
        <v>1176</v>
      </c>
      <c r="AS620" s="15" t="s">
        <v>2063</v>
      </c>
      <c r="AT620" s="15" t="s">
        <v>6969</v>
      </c>
      <c r="AW620" s="15" t="s">
        <v>628</v>
      </c>
      <c r="AY620" s="15" t="s">
        <v>413</v>
      </c>
      <c r="AZ620" s="15" t="b">
        <v>0</v>
      </c>
      <c r="BA620" s="15" t="s">
        <v>413</v>
      </c>
      <c r="BB620" s="15" t="b">
        <v>0</v>
      </c>
      <c r="BC620" s="15" t="s">
        <v>6983</v>
      </c>
      <c r="BD620" s="15" t="s">
        <v>742</v>
      </c>
      <c r="BE620" s="15" t="str">
        <f t="shared" si="1069"/>
        <v>1</v>
      </c>
      <c r="BF620" s="15" t="s">
        <v>416</v>
      </c>
      <c r="BG620" s="15" t="str">
        <f t="shared" si="1077"/>
        <v>36.02</v>
      </c>
      <c r="BH620" s="15" t="s">
        <v>4053</v>
      </c>
      <c r="BI620" s="15" t="str">
        <f t="shared" si="1078"/>
        <v>22.64</v>
      </c>
      <c r="BJ620" s="15" t="s">
        <v>5982</v>
      </c>
      <c r="BK620" s="15" t="str">
        <f t="shared" si="1079"/>
        <v>32.28</v>
      </c>
      <c r="BL620" s="15" t="s">
        <v>954</v>
      </c>
      <c r="BM620" s="15" t="str">
        <f t="shared" si="1080"/>
        <v>95.9</v>
      </c>
      <c r="BN620" s="15" t="s">
        <v>4161</v>
      </c>
      <c r="BQ620" s="15" t="s">
        <v>444</v>
      </c>
      <c r="BS620" s="15" t="s">
        <v>444</v>
      </c>
      <c r="BU620" s="15" t="s">
        <v>444</v>
      </c>
      <c r="BW620" s="15" t="s">
        <v>444</v>
      </c>
      <c r="BZ620" s="15" t="s">
        <v>444</v>
      </c>
      <c r="CB620" s="15" t="s">
        <v>444</v>
      </c>
      <c r="CD620" s="15" t="s">
        <v>444</v>
      </c>
      <c r="CF620" s="15" t="s">
        <v>444</v>
      </c>
      <c r="CI620" s="15" t="s">
        <v>444</v>
      </c>
      <c r="CK620" s="15" t="s">
        <v>444</v>
      </c>
      <c r="CM620" s="15" t="s">
        <v>444</v>
      </c>
      <c r="CO620" s="15" t="s">
        <v>444</v>
      </c>
      <c r="CP620" s="15" t="str">
        <f t="shared" si="1081"/>
        <v>15.22</v>
      </c>
      <c r="CQ620" s="15" t="str">
        <f t="shared" si="1082"/>
        <v>0.431</v>
      </c>
      <c r="CR620" s="15" t="s">
        <v>497</v>
      </c>
      <c r="DC620" s="15" t="str">
        <f>IFERROR(__xludf.DUMMYFUNCTION("""COMPUTED_VALUE"""),"")</f>
        <v/>
      </c>
      <c r="DE620" s="15" t="str">
        <f>IFERROR(__xludf.DUMMYFUNCTION("""COMPUTED_VALUE"""),"")</f>
        <v/>
      </c>
      <c r="DG620" s="15" t="str">
        <f>IFERROR(__xludf.DUMMYFUNCTION("""COMPUTED_VALUE"""),"")</f>
        <v/>
      </c>
      <c r="DL620" s="15" t="str">
        <f>IFERROR(__xludf.DUMMYFUNCTION("""COMPUTED_VALUE"""),"")</f>
        <v/>
      </c>
      <c r="DM620" s="15" t="s">
        <v>444</v>
      </c>
      <c r="DN620" s="15" t="s">
        <v>418</v>
      </c>
      <c r="DO620" s="15">
        <v>2.0</v>
      </c>
      <c r="DP620" s="15" t="s">
        <v>419</v>
      </c>
      <c r="DR620" s="15">
        <v>0.0</v>
      </c>
      <c r="DT620" s="15" t="s">
        <v>420</v>
      </c>
      <c r="DU620" s="15" t="s">
        <v>421</v>
      </c>
      <c r="DY620" s="15">
        <v>0.0</v>
      </c>
      <c r="EF620" s="15" t="s">
        <v>471</v>
      </c>
      <c r="EG620" s="15" t="s">
        <v>472</v>
      </c>
      <c r="EH620" s="15" t="s">
        <v>6964</v>
      </c>
      <c r="EJ620" s="15" t="s">
        <v>500</v>
      </c>
      <c r="EK620" s="15" t="s">
        <v>501</v>
      </c>
      <c r="EM620" s="15" t="str">
        <f>IFERROR(__xludf.DUMMYFUNCTION("""COMPUTED_VALUE"""),"")</f>
        <v/>
      </c>
      <c r="EW620" s="15" t="s">
        <v>1950</v>
      </c>
      <c r="FL620" s="15" t="s">
        <v>426</v>
      </c>
      <c r="FM620" s="15">
        <v>0.0</v>
      </c>
      <c r="GH620" s="15">
        <v>0.0</v>
      </c>
      <c r="GI620" s="15" t="s">
        <v>427</v>
      </c>
      <c r="GO620" s="15" t="s">
        <v>426</v>
      </c>
      <c r="GQ620" s="15" t="s">
        <v>1958</v>
      </c>
      <c r="GS620" s="15" t="s">
        <v>5234</v>
      </c>
      <c r="GU620" s="15" t="s">
        <v>6979</v>
      </c>
      <c r="GW620" s="15" t="s">
        <v>431</v>
      </c>
      <c r="GY620" s="15" t="s">
        <v>420</v>
      </c>
    </row>
    <row r="621" ht="15.75" customHeight="1">
      <c r="A621" s="14" t="s">
        <v>391</v>
      </c>
      <c r="B621" s="15" t="s">
        <v>6984</v>
      </c>
      <c r="C621" s="16"/>
      <c r="D621" s="15" t="s">
        <v>432</v>
      </c>
      <c r="G621" s="14" t="s">
        <v>393</v>
      </c>
      <c r="H621" s="14" t="s">
        <v>394</v>
      </c>
      <c r="I621" s="14" t="b">
        <v>1</v>
      </c>
      <c r="J621" s="14" t="s">
        <v>395</v>
      </c>
      <c r="L621" s="14" t="b">
        <v>0</v>
      </c>
      <c r="M621" s="15" t="s">
        <v>6985</v>
      </c>
      <c r="N621" s="14" t="s">
        <v>393</v>
      </c>
      <c r="O621" s="14" t="s">
        <v>393</v>
      </c>
      <c r="P621" s="15" t="s">
        <v>397</v>
      </c>
      <c r="Q621" s="15" t="s">
        <v>2868</v>
      </c>
      <c r="T621" s="14" t="b">
        <v>0</v>
      </c>
      <c r="U621" s="15" t="s">
        <v>6986</v>
      </c>
      <c r="V621" s="15" t="s">
        <v>6987</v>
      </c>
      <c r="W621" s="15" t="s">
        <v>401</v>
      </c>
      <c r="X621" s="15" t="s">
        <v>1296</v>
      </c>
      <c r="Y621" s="15">
        <v>2626.0</v>
      </c>
      <c r="AA621" s="15" t="str">
        <f>"1010"</f>
        <v>1010</v>
      </c>
      <c r="AB621" s="14" t="b">
        <v>1</v>
      </c>
      <c r="AC621" s="14" t="b">
        <v>1</v>
      </c>
      <c r="AD621" s="15" t="str">
        <f>"801542644468"</f>
        <v>801542644468</v>
      </c>
      <c r="AE621" s="15" t="s">
        <v>6988</v>
      </c>
      <c r="AF621" s="14" t="s">
        <v>404</v>
      </c>
      <c r="AG621" s="14" t="s">
        <v>405</v>
      </c>
      <c r="AH621" s="14" t="s">
        <v>406</v>
      </c>
      <c r="AI621" s="15">
        <v>0.0</v>
      </c>
      <c r="AL621" s="15" t="s">
        <v>6989</v>
      </c>
      <c r="AM621" s="15" t="s">
        <v>770</v>
      </c>
      <c r="AN621" s="15" t="s">
        <v>771</v>
      </c>
      <c r="AO621" s="15" t="s">
        <v>3442</v>
      </c>
      <c r="AP621" s="15" t="s">
        <v>3443</v>
      </c>
      <c r="AQ621" s="15" t="s">
        <v>546</v>
      </c>
      <c r="AR621" s="15" t="s">
        <v>547</v>
      </c>
      <c r="AS621" s="15" t="s">
        <v>2630</v>
      </c>
      <c r="AT621" s="15" t="s">
        <v>2868</v>
      </c>
      <c r="AU621" s="15" t="s">
        <v>6990</v>
      </c>
      <c r="AW621" s="15" t="s">
        <v>548</v>
      </c>
      <c r="AX621" s="15" t="s">
        <v>549</v>
      </c>
      <c r="AY621" s="15" t="s">
        <v>413</v>
      </c>
      <c r="AZ621" s="15" t="b">
        <v>0</v>
      </c>
      <c r="BA621" s="15" t="s">
        <v>413</v>
      </c>
      <c r="BB621" s="15" t="b">
        <v>0</v>
      </c>
      <c r="BC621" s="15" t="s">
        <v>6991</v>
      </c>
      <c r="BD621" s="15" t="s">
        <v>1303</v>
      </c>
      <c r="BE621" s="15" t="str">
        <f>"2"</f>
        <v>2</v>
      </c>
      <c r="BF621" s="15" t="s">
        <v>1564</v>
      </c>
      <c r="BG621" s="15" t="str">
        <f>"97.5"</f>
        <v>97.5</v>
      </c>
      <c r="BH621" s="15" t="s">
        <v>6992</v>
      </c>
      <c r="BI621" s="15" t="str">
        <f>"5.75"</f>
        <v>5.75</v>
      </c>
      <c r="BJ621" s="15" t="s">
        <v>6993</v>
      </c>
      <c r="BK621" s="15" t="str">
        <f>"43.5"</f>
        <v>43.5</v>
      </c>
      <c r="BL621" s="15" t="s">
        <v>3032</v>
      </c>
      <c r="BM621" s="15" t="str">
        <f>"171.29"</f>
        <v>171.29</v>
      </c>
      <c r="BN621" s="15" t="s">
        <v>6994</v>
      </c>
      <c r="BO621" s="15" t="s">
        <v>2238</v>
      </c>
      <c r="BP621" s="15" t="str">
        <f>"27.25"</f>
        <v>27.25</v>
      </c>
      <c r="BQ621" s="15" t="s">
        <v>773</v>
      </c>
      <c r="BR621" s="15" t="str">
        <f>"27.25"</f>
        <v>27.25</v>
      </c>
      <c r="BS621" s="15" t="s">
        <v>773</v>
      </c>
      <c r="BT621" s="15" t="str">
        <f>"38.5"</f>
        <v>38.5</v>
      </c>
      <c r="BU621" s="15" t="s">
        <v>1206</v>
      </c>
      <c r="BV621" s="15" t="str">
        <f>"145.26"</f>
        <v>145.26</v>
      </c>
      <c r="BW621" s="15" t="s">
        <v>6995</v>
      </c>
      <c r="BZ621" s="15" t="s">
        <v>444</v>
      </c>
      <c r="CB621" s="15" t="s">
        <v>444</v>
      </c>
      <c r="CD621" s="15" t="s">
        <v>444</v>
      </c>
      <c r="CF621" s="15" t="s">
        <v>444</v>
      </c>
      <c r="CI621" s="15" t="s">
        <v>444</v>
      </c>
      <c r="CK621" s="15" t="s">
        <v>444</v>
      </c>
      <c r="CM621" s="15" t="s">
        <v>444</v>
      </c>
      <c r="CO621" s="15" t="s">
        <v>444</v>
      </c>
      <c r="CP621" s="15" t="str">
        <f>"47.25"</f>
        <v>47.25</v>
      </c>
      <c r="CQ621" s="15" t="str">
        <f>"1.338"</f>
        <v>1.338</v>
      </c>
      <c r="CR621" s="15" t="s">
        <v>465</v>
      </c>
      <c r="DC621" s="15" t="str">
        <f>IFERROR(__xludf.DUMMYFUNCTION("""COMPUTED_VALUE"""),"")</f>
        <v/>
      </c>
      <c r="DE621" s="15" t="str">
        <f>IFERROR(__xludf.DUMMYFUNCTION("""COMPUTED_VALUE"""),"")</f>
        <v/>
      </c>
      <c r="DG621" s="15" t="str">
        <f>IFERROR(__xludf.DUMMYFUNCTION("""COMPUTED_VALUE"""),"")</f>
        <v/>
      </c>
      <c r="DL621" s="15" t="str">
        <f>IFERROR(__xludf.DUMMYFUNCTION("""COMPUTED_VALUE"""),"")</f>
        <v/>
      </c>
      <c r="DM621" s="15" t="s">
        <v>444</v>
      </c>
      <c r="DN621" s="15" t="s">
        <v>419</v>
      </c>
      <c r="DO621" s="15">
        <v>0.0</v>
      </c>
      <c r="DP621" s="15" t="s">
        <v>419</v>
      </c>
      <c r="DR621" s="15">
        <v>0.0</v>
      </c>
      <c r="DU621" s="15" t="s">
        <v>419</v>
      </c>
      <c r="DW621" s="15">
        <v>0.0</v>
      </c>
      <c r="DX621" s="15">
        <v>0.0</v>
      </c>
      <c r="DY621" s="15">
        <v>0.0</v>
      </c>
      <c r="EE621" s="15">
        <v>10.0</v>
      </c>
      <c r="EF621" s="15" t="s">
        <v>471</v>
      </c>
      <c r="EG621" s="15" t="s">
        <v>472</v>
      </c>
      <c r="EH621" s="15" t="s">
        <v>6996</v>
      </c>
      <c r="EJ621" s="15" t="s">
        <v>424</v>
      </c>
      <c r="EK621" s="15" t="s">
        <v>446</v>
      </c>
      <c r="EM621" s="15" t="str">
        <f>IFERROR(__xludf.DUMMYFUNCTION("""COMPUTED_VALUE"""),"")</f>
        <v/>
      </c>
      <c r="EW621" s="15" t="s">
        <v>2571</v>
      </c>
      <c r="EY621" s="15" t="s">
        <v>2385</v>
      </c>
      <c r="FH621" s="15" t="s">
        <v>504</v>
      </c>
      <c r="FI621" s="15" t="s">
        <v>2571</v>
      </c>
      <c r="FJ621" s="15" t="s">
        <v>504</v>
      </c>
      <c r="FK621" s="15" t="s">
        <v>425</v>
      </c>
      <c r="FM621" s="15">
        <v>0.0</v>
      </c>
      <c r="FN621" s="15">
        <v>0.0</v>
      </c>
      <c r="FV621" s="15" t="s">
        <v>2571</v>
      </c>
      <c r="FW621" s="15" t="s">
        <v>1288</v>
      </c>
      <c r="FX621" s="15" t="s">
        <v>3694</v>
      </c>
    </row>
    <row r="622" ht="15.75" customHeight="1">
      <c r="A622" s="14" t="s">
        <v>391</v>
      </c>
      <c r="B622" s="15" t="s">
        <v>6997</v>
      </c>
      <c r="C622" s="16"/>
      <c r="D622" s="15" t="s">
        <v>432</v>
      </c>
      <c r="G622" s="14" t="s">
        <v>393</v>
      </c>
      <c r="H622" s="14" t="s">
        <v>394</v>
      </c>
      <c r="I622" s="14" t="b">
        <v>1</v>
      </c>
      <c r="J622" s="14" t="s">
        <v>395</v>
      </c>
      <c r="L622" s="14" t="b">
        <v>0</v>
      </c>
      <c r="M622" s="15" t="s">
        <v>6998</v>
      </c>
      <c r="N622" s="14" t="s">
        <v>393</v>
      </c>
      <c r="O622" s="14" t="s">
        <v>393</v>
      </c>
      <c r="P622" s="15" t="s">
        <v>397</v>
      </c>
      <c r="Q622" s="15" t="s">
        <v>6999</v>
      </c>
      <c r="T622" s="14" t="b">
        <v>0</v>
      </c>
      <c r="U622" s="15" t="s">
        <v>7000</v>
      </c>
      <c r="V622" s="15" t="s">
        <v>7001</v>
      </c>
      <c r="W622" s="15" t="s">
        <v>401</v>
      </c>
      <c r="X622" s="15" t="s">
        <v>695</v>
      </c>
      <c r="Y622" s="15">
        <v>1313.0</v>
      </c>
      <c r="AA622" s="15" t="str">
        <f>"505"</f>
        <v>505</v>
      </c>
      <c r="AB622" s="14" t="b">
        <v>1</v>
      </c>
      <c r="AC622" s="14" t="b">
        <v>1</v>
      </c>
      <c r="AD622" s="15" t="str">
        <f>"801542965846"</f>
        <v>801542965846</v>
      </c>
      <c r="AE622" s="15" t="s">
        <v>7002</v>
      </c>
      <c r="AF622" s="14" t="s">
        <v>404</v>
      </c>
      <c r="AG622" s="14" t="s">
        <v>405</v>
      </c>
      <c r="AH622" s="14" t="s">
        <v>406</v>
      </c>
      <c r="AI622" s="15">
        <v>0.0</v>
      </c>
      <c r="AL622" s="15" t="s">
        <v>7003</v>
      </c>
      <c r="AM622" s="15" t="s">
        <v>5357</v>
      </c>
      <c r="AN622" s="15" t="s">
        <v>2877</v>
      </c>
      <c r="AO622" s="15" t="s">
        <v>1535</v>
      </c>
      <c r="AP622" s="15" t="s">
        <v>1536</v>
      </c>
      <c r="AQ622" s="15" t="s">
        <v>1535</v>
      </c>
      <c r="AR622" s="15" t="s">
        <v>1536</v>
      </c>
      <c r="AS622" s="15" t="s">
        <v>2193</v>
      </c>
      <c r="AT622" s="15" t="s">
        <v>6999</v>
      </c>
      <c r="AU622" s="15" t="s">
        <v>7004</v>
      </c>
      <c r="AW622" s="15" t="s">
        <v>458</v>
      </c>
      <c r="AX622" s="15" t="s">
        <v>459</v>
      </c>
      <c r="AY622" s="15" t="s">
        <v>413</v>
      </c>
      <c r="AZ622" s="15" t="b">
        <v>0</v>
      </c>
      <c r="BA622" s="15" t="s">
        <v>413</v>
      </c>
      <c r="BB622" s="15" t="b">
        <v>0</v>
      </c>
      <c r="BC622" s="15" t="s">
        <v>7005</v>
      </c>
      <c r="BD622" s="15" t="s">
        <v>709</v>
      </c>
      <c r="BE622" s="15" t="str">
        <f t="shared" ref="BE622:BE627" si="1083">"1"</f>
        <v>1</v>
      </c>
      <c r="BF622" s="15" t="s">
        <v>416</v>
      </c>
      <c r="BG622" s="15" t="str">
        <f>"69.29"</f>
        <v>69.29</v>
      </c>
      <c r="BH622" s="15" t="s">
        <v>4999</v>
      </c>
      <c r="BI622" s="15" t="str">
        <f>"24.8"</f>
        <v>24.8</v>
      </c>
      <c r="BJ622" s="15" t="s">
        <v>711</v>
      </c>
      <c r="BK622" s="15" t="str">
        <f>"25.2"</f>
        <v>25.2</v>
      </c>
      <c r="BL622" s="15" t="s">
        <v>585</v>
      </c>
      <c r="BM622" s="15" t="str">
        <f>"84.22"</f>
        <v>84.22</v>
      </c>
      <c r="BN622" s="15" t="s">
        <v>1855</v>
      </c>
      <c r="BQ622" s="15" t="s">
        <v>444</v>
      </c>
      <c r="BS622" s="15" t="s">
        <v>444</v>
      </c>
      <c r="BU622" s="15" t="s">
        <v>444</v>
      </c>
      <c r="BW622" s="15" t="s">
        <v>444</v>
      </c>
      <c r="BZ622" s="15" t="s">
        <v>444</v>
      </c>
      <c r="CB622" s="15" t="s">
        <v>444</v>
      </c>
      <c r="CD622" s="15" t="s">
        <v>444</v>
      </c>
      <c r="CF622" s="15" t="s">
        <v>444</v>
      </c>
      <c r="CI622" s="15" t="s">
        <v>444</v>
      </c>
      <c r="CK622" s="15" t="s">
        <v>444</v>
      </c>
      <c r="CM622" s="15" t="s">
        <v>444</v>
      </c>
      <c r="CO622" s="15" t="s">
        <v>444</v>
      </c>
      <c r="CP622" s="15" t="str">
        <f>"25.07"</f>
        <v>25.07</v>
      </c>
      <c r="CQ622" s="15" t="str">
        <f>"0.71"</f>
        <v>0.71</v>
      </c>
      <c r="CR622" s="15" t="s">
        <v>497</v>
      </c>
      <c r="DB622" s="15" t="s">
        <v>824</v>
      </c>
      <c r="DC622" s="15" t="str">
        <f>IFERROR(__xludf.DUMMYFUNCTION("""COMPUTED_VALUE"""),"{""value"":18.50,""unit"":""in""}")</f>
        <v>{"value":18.50,"unit":"in"}</v>
      </c>
      <c r="DD622" s="15" t="s">
        <v>2312</v>
      </c>
      <c r="DE622" s="15" t="str">
        <f>IFERROR(__xludf.DUMMYFUNCTION("""COMPUTED_VALUE"""),"{""value"":20.75,""unit"":""in""}")</f>
        <v>{"value":20.75,"unit":"in"}</v>
      </c>
      <c r="DF622" s="15" t="s">
        <v>4074</v>
      </c>
      <c r="DG622" s="15" t="str">
        <f>IFERROR(__xludf.DUMMYFUNCTION("""COMPUTED_VALUE"""),"{""value"":58.00,""unit"":""in""}")</f>
        <v>{"value":58.00,"unit":"in"}</v>
      </c>
      <c r="DH622" s="15">
        <v>0.0</v>
      </c>
      <c r="DI622" s="15">
        <v>0.0</v>
      </c>
      <c r="DJ622" s="15" t="s">
        <v>469</v>
      </c>
      <c r="DK622" s="15" t="s">
        <v>718</v>
      </c>
      <c r="DL622" s="15" t="str">
        <f>IFERROR(__xludf.DUMMYFUNCTION("""COMPUTED_VALUE"""),"Vacuum or light brush only. Do not use water or any cleaning products.")</f>
        <v>Vacuum or light brush only. Do not use water or any cleaning products.</v>
      </c>
      <c r="DM622" s="15" t="s">
        <v>719</v>
      </c>
      <c r="DN622" s="15" t="s">
        <v>419</v>
      </c>
      <c r="DO622" s="15">
        <v>0.0</v>
      </c>
      <c r="DP622" s="15" t="s">
        <v>419</v>
      </c>
      <c r="DR622" s="15">
        <v>0.0</v>
      </c>
      <c r="DT622" s="15" t="s">
        <v>1111</v>
      </c>
      <c r="DU622" s="15" t="s">
        <v>419</v>
      </c>
      <c r="DV622" s="15">
        <v>0.0</v>
      </c>
      <c r="DW622" s="15">
        <v>0.0</v>
      </c>
      <c r="DX622" s="15">
        <v>0.0</v>
      </c>
      <c r="DY622" s="15">
        <v>0.0</v>
      </c>
      <c r="DZ622" s="15">
        <v>0.0</v>
      </c>
      <c r="EA622" s="15" t="s">
        <v>470</v>
      </c>
      <c r="ED622" s="15">
        <v>0.0</v>
      </c>
      <c r="EE622" s="15">
        <v>2.0</v>
      </c>
      <c r="EF622" s="15" t="s">
        <v>471</v>
      </c>
      <c r="EG622" s="15" t="s">
        <v>472</v>
      </c>
      <c r="EH622" s="15" t="s">
        <v>7006</v>
      </c>
      <c r="EI622" s="15">
        <v>0.0</v>
      </c>
      <c r="EJ622" s="15" t="s">
        <v>1545</v>
      </c>
      <c r="EK622" s="15" t="s">
        <v>1546</v>
      </c>
      <c r="EM622" s="15" t="str">
        <f>IFERROR(__xludf.DUMMYFUNCTION("""COMPUTED_VALUE"""),"")</f>
        <v/>
      </c>
      <c r="EW622" s="15" t="s">
        <v>477</v>
      </c>
      <c r="EX622" s="15" t="s">
        <v>3308</v>
      </c>
      <c r="EY622" s="15" t="s">
        <v>7007</v>
      </c>
      <c r="FL622" s="15" t="s">
        <v>426</v>
      </c>
    </row>
    <row r="623" ht="15.75" customHeight="1">
      <c r="A623" s="14" t="s">
        <v>391</v>
      </c>
      <c r="B623" s="15" t="s">
        <v>7008</v>
      </c>
      <c r="C623" s="16"/>
      <c r="D623" s="15" t="s">
        <v>432</v>
      </c>
      <c r="G623" s="14" t="s">
        <v>393</v>
      </c>
      <c r="H623" s="14" t="s">
        <v>394</v>
      </c>
      <c r="I623" s="14" t="b">
        <v>1</v>
      </c>
      <c r="J623" s="14" t="s">
        <v>395</v>
      </c>
      <c r="L623" s="14" t="b">
        <v>0</v>
      </c>
      <c r="M623" s="15" t="s">
        <v>7009</v>
      </c>
      <c r="N623" s="14" t="s">
        <v>393</v>
      </c>
      <c r="O623" s="14" t="s">
        <v>393</v>
      </c>
      <c r="P623" s="15" t="s">
        <v>397</v>
      </c>
      <c r="Q623" s="15" t="s">
        <v>7010</v>
      </c>
      <c r="T623" s="14" t="b">
        <v>0</v>
      </c>
      <c r="U623" s="15" t="s">
        <v>7011</v>
      </c>
      <c r="V623" s="15" t="s">
        <v>7012</v>
      </c>
      <c r="W623" s="15" t="s">
        <v>401</v>
      </c>
      <c r="X623" s="15" t="s">
        <v>1296</v>
      </c>
      <c r="Y623" s="15">
        <v>3276.0</v>
      </c>
      <c r="AA623" s="15" t="str">
        <f>"1260"</f>
        <v>1260</v>
      </c>
      <c r="AB623" s="14" t="b">
        <v>1</v>
      </c>
      <c r="AC623" s="14" t="b">
        <v>1</v>
      </c>
      <c r="AD623" s="15" t="str">
        <f>"801542250355"</f>
        <v>801542250355</v>
      </c>
      <c r="AE623" s="15" t="s">
        <v>7013</v>
      </c>
      <c r="AF623" s="14" t="s">
        <v>404</v>
      </c>
      <c r="AG623" s="14" t="s">
        <v>405</v>
      </c>
      <c r="AH623" s="14" t="s">
        <v>406</v>
      </c>
      <c r="AI623" s="15">
        <v>0.0</v>
      </c>
      <c r="AL623" s="15" t="s">
        <v>1532</v>
      </c>
      <c r="AM623" s="15" t="s">
        <v>770</v>
      </c>
      <c r="AN623" s="15" t="s">
        <v>771</v>
      </c>
      <c r="AO623" s="15" t="s">
        <v>456</v>
      </c>
      <c r="AP623" s="15" t="s">
        <v>457</v>
      </c>
      <c r="AQ623" s="15" t="s">
        <v>517</v>
      </c>
      <c r="AR623" s="15" t="s">
        <v>518</v>
      </c>
      <c r="AS623" s="15" t="s">
        <v>2875</v>
      </c>
      <c r="AT623" s="15" t="s">
        <v>7010</v>
      </c>
      <c r="AU623" s="15" t="s">
        <v>1021</v>
      </c>
      <c r="AW623" s="15" t="s">
        <v>664</v>
      </c>
      <c r="AY623" s="15" t="s">
        <v>413</v>
      </c>
      <c r="AZ623" s="15" t="b">
        <v>0</v>
      </c>
      <c r="BA623" s="15" t="s">
        <v>413</v>
      </c>
      <c r="BB623" s="15" t="b">
        <v>0</v>
      </c>
      <c r="BC623" s="15" t="s">
        <v>7014</v>
      </c>
      <c r="BD623" s="15" t="s">
        <v>1303</v>
      </c>
      <c r="BE623" s="15" t="str">
        <f t="shared" si="1083"/>
        <v>1</v>
      </c>
      <c r="BF623" s="15" t="s">
        <v>416</v>
      </c>
      <c r="BG623" s="15" t="str">
        <f>"97"</f>
        <v>97</v>
      </c>
      <c r="BH623" s="15" t="s">
        <v>1731</v>
      </c>
      <c r="BI623" s="15" t="str">
        <f>"23.75"</f>
        <v>23.75</v>
      </c>
      <c r="BJ623" s="15" t="s">
        <v>3992</v>
      </c>
      <c r="BK623" s="15" t="str">
        <f>"37"</f>
        <v>37</v>
      </c>
      <c r="BL623" s="15" t="s">
        <v>699</v>
      </c>
      <c r="BM623" s="15" t="str">
        <f>"253.53"</f>
        <v>253.53</v>
      </c>
      <c r="BN623" s="15" t="s">
        <v>4878</v>
      </c>
      <c r="BQ623" s="15" t="s">
        <v>444</v>
      </c>
      <c r="BS623" s="15" t="s">
        <v>444</v>
      </c>
      <c r="BU623" s="15" t="s">
        <v>444</v>
      </c>
      <c r="BW623" s="15" t="s">
        <v>444</v>
      </c>
      <c r="BZ623" s="15" t="s">
        <v>444</v>
      </c>
      <c r="CB623" s="15" t="s">
        <v>444</v>
      </c>
      <c r="CD623" s="15" t="s">
        <v>444</v>
      </c>
      <c r="CF623" s="15" t="s">
        <v>444</v>
      </c>
      <c r="CI623" s="15" t="s">
        <v>444</v>
      </c>
      <c r="CK623" s="15" t="s">
        <v>444</v>
      </c>
      <c r="CM623" s="15" t="s">
        <v>444</v>
      </c>
      <c r="CO623" s="15" t="s">
        <v>444</v>
      </c>
      <c r="CP623" s="15" t="str">
        <f>"49.33"</f>
        <v>49.33</v>
      </c>
      <c r="CQ623" s="15" t="str">
        <f>"1.397"</f>
        <v>1.397</v>
      </c>
      <c r="CR623" s="15" t="s">
        <v>417</v>
      </c>
      <c r="CV623" s="15" t="s">
        <v>1065</v>
      </c>
      <c r="CW623" s="15" t="s">
        <v>1253</v>
      </c>
      <c r="CX623" s="15" t="s">
        <v>2929</v>
      </c>
      <c r="DC623" s="15" t="str">
        <f>IFERROR(__xludf.DUMMYFUNCTION("""COMPUTED_VALUE"""),"")</f>
        <v/>
      </c>
      <c r="DE623" s="15" t="str">
        <f>IFERROR(__xludf.DUMMYFUNCTION("""COMPUTED_VALUE"""),"")</f>
        <v/>
      </c>
      <c r="DG623" s="15" t="str">
        <f>IFERROR(__xludf.DUMMYFUNCTION("""COMPUTED_VALUE"""),"")</f>
        <v/>
      </c>
      <c r="DL623" s="15" t="str">
        <f>IFERROR(__xludf.DUMMYFUNCTION("""COMPUTED_VALUE"""),"")</f>
        <v/>
      </c>
      <c r="DM623" s="15" t="s">
        <v>444</v>
      </c>
      <c r="DN623" s="15" t="s">
        <v>419</v>
      </c>
      <c r="DO623" s="15">
        <v>0.0</v>
      </c>
      <c r="DP623" s="15" t="s">
        <v>419</v>
      </c>
      <c r="DR623" s="15">
        <v>0.0</v>
      </c>
      <c r="DT623" s="15" t="s">
        <v>1111</v>
      </c>
      <c r="DU623" s="15" t="s">
        <v>610</v>
      </c>
      <c r="DW623" s="15">
        <v>18.14</v>
      </c>
      <c r="DX623" s="15">
        <v>40.0</v>
      </c>
      <c r="DY623" s="15">
        <v>2.0</v>
      </c>
      <c r="EG623" s="15" t="s">
        <v>444</v>
      </c>
      <c r="EH623" s="15" t="s">
        <v>7015</v>
      </c>
      <c r="EJ623" s="15" t="s">
        <v>424</v>
      </c>
      <c r="EK623" s="15" t="s">
        <v>446</v>
      </c>
      <c r="EM623" s="15" t="str">
        <f>IFERROR(__xludf.DUMMYFUNCTION("""COMPUTED_VALUE"""),"")</f>
        <v/>
      </c>
      <c r="EW623" s="15" t="s">
        <v>1236</v>
      </c>
      <c r="FL623" s="15" t="s">
        <v>426</v>
      </c>
      <c r="FM623" s="15">
        <v>2.0</v>
      </c>
      <c r="FY623" s="15" t="s">
        <v>1253</v>
      </c>
      <c r="FZ623" s="15" t="s">
        <v>612</v>
      </c>
      <c r="GA623" s="15" t="s">
        <v>525</v>
      </c>
      <c r="GB623" s="15" t="s">
        <v>1160</v>
      </c>
      <c r="GC623" s="15" t="s">
        <v>612</v>
      </c>
      <c r="GD623" s="15" t="s">
        <v>2929</v>
      </c>
      <c r="GE623" s="15">
        <v>0.0</v>
      </c>
      <c r="GF623" s="15" t="s">
        <v>426</v>
      </c>
      <c r="GH623" s="15">
        <v>4.0</v>
      </c>
      <c r="GI623" s="15" t="s">
        <v>614</v>
      </c>
      <c r="GJ623" s="15" t="s">
        <v>615</v>
      </c>
      <c r="GK623" s="15">
        <v>0.0</v>
      </c>
      <c r="GL623" s="15" t="s">
        <v>426</v>
      </c>
      <c r="GN623" s="15" t="s">
        <v>616</v>
      </c>
    </row>
    <row r="624" ht="15.75" customHeight="1">
      <c r="A624" s="14" t="s">
        <v>391</v>
      </c>
      <c r="B624" s="15" t="s">
        <v>7016</v>
      </c>
      <c r="C624" s="16"/>
      <c r="D624" s="15" t="s">
        <v>432</v>
      </c>
      <c r="G624" s="14" t="s">
        <v>393</v>
      </c>
      <c r="H624" s="14" t="s">
        <v>394</v>
      </c>
      <c r="I624" s="14" t="b">
        <v>1</v>
      </c>
      <c r="J624" s="14" t="s">
        <v>395</v>
      </c>
      <c r="L624" s="14" t="b">
        <v>0</v>
      </c>
      <c r="M624" s="15" t="s">
        <v>7017</v>
      </c>
      <c r="N624" s="14" t="s">
        <v>393</v>
      </c>
      <c r="O624" s="14" t="s">
        <v>393</v>
      </c>
      <c r="P624" s="15" t="s">
        <v>397</v>
      </c>
      <c r="Q624" s="15" t="s">
        <v>7018</v>
      </c>
      <c r="T624" s="14" t="b">
        <v>0</v>
      </c>
      <c r="U624" s="15" t="s">
        <v>7019</v>
      </c>
      <c r="V624" s="15" t="s">
        <v>1798</v>
      </c>
      <c r="W624" s="15" t="s">
        <v>401</v>
      </c>
      <c r="X624" s="15" t="s">
        <v>695</v>
      </c>
      <c r="Y624" s="15">
        <v>1092.0</v>
      </c>
      <c r="AA624" s="15" t="str">
        <f>"420"</f>
        <v>420</v>
      </c>
      <c r="AB624" s="14" t="b">
        <v>1</v>
      </c>
      <c r="AC624" s="14" t="b">
        <v>1</v>
      </c>
      <c r="AD624" s="15" t="str">
        <f>"801542034719"</f>
        <v>801542034719</v>
      </c>
      <c r="AE624" s="15" t="s">
        <v>7020</v>
      </c>
      <c r="AF624" s="14" t="s">
        <v>404</v>
      </c>
      <c r="AG624" s="14" t="s">
        <v>405</v>
      </c>
      <c r="AH624" s="14" t="s">
        <v>406</v>
      </c>
      <c r="AI624" s="15">
        <v>0.0</v>
      </c>
      <c r="AL624" s="15" t="s">
        <v>7021</v>
      </c>
      <c r="AM624" s="15" t="s">
        <v>2229</v>
      </c>
      <c r="AN624" s="15" t="s">
        <v>2230</v>
      </c>
      <c r="AO624" s="15" t="s">
        <v>2834</v>
      </c>
      <c r="AP624" s="15" t="s">
        <v>2239</v>
      </c>
      <c r="AQ624" s="15" t="s">
        <v>1274</v>
      </c>
      <c r="AR624" s="15" t="s">
        <v>1275</v>
      </c>
      <c r="AS624" s="15" t="s">
        <v>1317</v>
      </c>
      <c r="AT624" s="15" t="s">
        <v>7018</v>
      </c>
      <c r="AU624" s="15" t="s">
        <v>3819</v>
      </c>
      <c r="AW624" s="15" t="s">
        <v>706</v>
      </c>
      <c r="AX624" s="15" t="s">
        <v>707</v>
      </c>
      <c r="AY624" s="15" t="s">
        <v>413</v>
      </c>
      <c r="AZ624" s="15" t="b">
        <v>0</v>
      </c>
      <c r="BA624" s="15" t="s">
        <v>426</v>
      </c>
      <c r="BB624" s="15" t="b">
        <v>1</v>
      </c>
      <c r="BC624" s="15" t="s">
        <v>7022</v>
      </c>
      <c r="BD624" s="15" t="s">
        <v>709</v>
      </c>
      <c r="BE624" s="15" t="str">
        <f t="shared" si="1083"/>
        <v>1</v>
      </c>
      <c r="BF624" s="15" t="s">
        <v>7023</v>
      </c>
      <c r="BG624" s="15" t="str">
        <f>"33.07"</f>
        <v>33.07</v>
      </c>
      <c r="BH624" s="15" t="s">
        <v>1091</v>
      </c>
      <c r="BI624" s="15" t="str">
        <f>"36.02"</f>
        <v>36.02</v>
      </c>
      <c r="BJ624" s="15" t="s">
        <v>4053</v>
      </c>
      <c r="BK624" s="15" t="str">
        <f>"30.71"</f>
        <v>30.71</v>
      </c>
      <c r="BL624" s="15" t="s">
        <v>1281</v>
      </c>
      <c r="BM624" s="15" t="str">
        <f>"65.04"</f>
        <v>65.04</v>
      </c>
      <c r="BN624" s="15" t="s">
        <v>4327</v>
      </c>
      <c r="BQ624" s="15" t="s">
        <v>444</v>
      </c>
      <c r="BS624" s="15" t="s">
        <v>444</v>
      </c>
      <c r="BU624" s="15" t="s">
        <v>444</v>
      </c>
      <c r="BW624" s="15" t="s">
        <v>444</v>
      </c>
      <c r="BZ624" s="15" t="s">
        <v>444</v>
      </c>
      <c r="CB624" s="15" t="s">
        <v>444</v>
      </c>
      <c r="CD624" s="15" t="s">
        <v>444</v>
      </c>
      <c r="CF624" s="15" t="s">
        <v>444</v>
      </c>
      <c r="CI624" s="15" t="s">
        <v>444</v>
      </c>
      <c r="CK624" s="15" t="s">
        <v>444</v>
      </c>
      <c r="CM624" s="15" t="s">
        <v>444</v>
      </c>
      <c r="CO624" s="15" t="s">
        <v>444</v>
      </c>
      <c r="CP624" s="15" t="str">
        <f>"16.85"</f>
        <v>16.85</v>
      </c>
      <c r="CQ624" s="15" t="str">
        <f>"0.477"</f>
        <v>0.477</v>
      </c>
      <c r="CR624" s="15" t="s">
        <v>465</v>
      </c>
      <c r="DB624" s="15" t="s">
        <v>525</v>
      </c>
      <c r="DC624" s="15" t="str">
        <f>IFERROR(__xludf.DUMMYFUNCTION("""COMPUTED_VALUE"""),"{""value"":23.00,""unit"":""in""}")</f>
        <v>{"value":23.00,"unit":"in"}</v>
      </c>
      <c r="DD624" s="15" t="s">
        <v>1804</v>
      </c>
      <c r="DE624" s="15" t="str">
        <f>IFERROR(__xludf.DUMMYFUNCTION("""COMPUTED_VALUE"""),"{""value"":17.50,""unit"":""in""}")</f>
        <v>{"value":17.50,"unit":"in"}</v>
      </c>
      <c r="DF624" s="15" t="s">
        <v>1240</v>
      </c>
      <c r="DG624" s="15" t="str">
        <f>IFERROR(__xludf.DUMMYFUNCTION("""COMPUTED_VALUE"""),"{""value"":30.50,""unit"":""in""}")</f>
        <v>{"value":30.50,"unit":"in"}</v>
      </c>
      <c r="DH624" s="15">
        <v>0.0</v>
      </c>
      <c r="DI624" s="15">
        <v>1.0</v>
      </c>
      <c r="DJ624" s="15" t="s">
        <v>469</v>
      </c>
      <c r="DK624" s="15" t="s">
        <v>855</v>
      </c>
      <c r="DL624" s="15" t="str">
        <f>IFERROR(__xludf.DUMMYFUNCTION("""COMPUTED_VALUE"""),"Clean with solvent-based (dry clean only) products. Do not use water.")</f>
        <v>Clean with solvent-based (dry clean only) products. Do not use water.</v>
      </c>
      <c r="DM624" s="15" t="s">
        <v>856</v>
      </c>
      <c r="DT624" s="15" t="s">
        <v>1111</v>
      </c>
      <c r="DU624" s="15" t="s">
        <v>419</v>
      </c>
      <c r="DV624" s="15">
        <v>0.0</v>
      </c>
      <c r="DZ624" s="15">
        <v>90000.0</v>
      </c>
      <c r="EA624" s="15" t="s">
        <v>990</v>
      </c>
      <c r="EB624" s="15" t="s">
        <v>1016</v>
      </c>
      <c r="ED624" s="15">
        <v>1.0</v>
      </c>
      <c r="EE624" s="15">
        <v>1.0</v>
      </c>
      <c r="EG624" s="15" t="s">
        <v>444</v>
      </c>
      <c r="EH624" s="15" t="s">
        <v>7024</v>
      </c>
      <c r="EI624" s="15">
        <v>0.0</v>
      </c>
      <c r="EJ624" s="15" t="s">
        <v>726</v>
      </c>
      <c r="EK624" s="15" t="s">
        <v>727</v>
      </c>
      <c r="EM624" s="15" t="str">
        <f>IFERROR(__xludf.DUMMYFUNCTION("""COMPUTED_VALUE"""),"")</f>
        <v/>
      </c>
      <c r="EW624" s="15" t="s">
        <v>672</v>
      </c>
      <c r="EX624" s="15" t="s">
        <v>555</v>
      </c>
      <c r="EY624" s="15" t="s">
        <v>505</v>
      </c>
      <c r="EZ624" s="15" t="s">
        <v>1593</v>
      </c>
      <c r="FC624" s="15" t="s">
        <v>1016</v>
      </c>
      <c r="FF624" s="15" t="s">
        <v>1255</v>
      </c>
      <c r="FQ624" s="15">
        <v>0.0</v>
      </c>
      <c r="FR624" s="15">
        <v>0.0</v>
      </c>
      <c r="FT624" s="15">
        <v>0.0</v>
      </c>
    </row>
    <row r="625" ht="15.75" customHeight="1">
      <c r="A625" s="14" t="s">
        <v>391</v>
      </c>
      <c r="B625" s="15" t="s">
        <v>7025</v>
      </c>
      <c r="C625" s="16"/>
      <c r="D625" s="15" t="s">
        <v>432</v>
      </c>
      <c r="G625" s="14" t="s">
        <v>393</v>
      </c>
      <c r="H625" s="14" t="s">
        <v>394</v>
      </c>
      <c r="I625" s="14" t="b">
        <v>1</v>
      </c>
      <c r="J625" s="14" t="s">
        <v>395</v>
      </c>
      <c r="L625" s="14" t="b">
        <v>0</v>
      </c>
      <c r="M625" s="15" t="s">
        <v>7026</v>
      </c>
      <c r="N625" s="14" t="s">
        <v>393</v>
      </c>
      <c r="O625" s="14" t="s">
        <v>393</v>
      </c>
      <c r="P625" s="15" t="s">
        <v>397</v>
      </c>
      <c r="Q625" s="15" t="s">
        <v>6910</v>
      </c>
      <c r="T625" s="14" t="b">
        <v>0</v>
      </c>
      <c r="U625" s="15" t="s">
        <v>7027</v>
      </c>
      <c r="V625" s="15" t="s">
        <v>7028</v>
      </c>
      <c r="W625" s="15" t="s">
        <v>401</v>
      </c>
      <c r="X625" s="15" t="s">
        <v>402</v>
      </c>
      <c r="Y625" s="15">
        <v>3393.0</v>
      </c>
      <c r="AA625" s="15" t="str">
        <f>"1305"</f>
        <v>1305</v>
      </c>
      <c r="AB625" s="14" t="b">
        <v>1</v>
      </c>
      <c r="AC625" s="14" t="b">
        <v>1</v>
      </c>
      <c r="AD625" s="15" t="str">
        <f>"801542964825"</f>
        <v>801542964825</v>
      </c>
      <c r="AE625" s="15" t="s">
        <v>7029</v>
      </c>
      <c r="AF625" s="14" t="s">
        <v>404</v>
      </c>
      <c r="AG625" s="14" t="s">
        <v>405</v>
      </c>
      <c r="AH625" s="14" t="s">
        <v>406</v>
      </c>
      <c r="AI625" s="15">
        <v>0.0</v>
      </c>
      <c r="AL625" s="15" t="s">
        <v>7030</v>
      </c>
      <c r="AM625" s="15" t="s">
        <v>7031</v>
      </c>
      <c r="AN625" s="15" t="s">
        <v>7032</v>
      </c>
      <c r="AO625" s="15" t="s">
        <v>4614</v>
      </c>
      <c r="AP625" s="15" t="s">
        <v>4615</v>
      </c>
      <c r="AQ625" s="15" t="s">
        <v>546</v>
      </c>
      <c r="AR625" s="15" t="s">
        <v>547</v>
      </c>
      <c r="AS625" s="15" t="s">
        <v>2108</v>
      </c>
      <c r="AT625" s="15" t="s">
        <v>6910</v>
      </c>
      <c r="AW625" s="15" t="s">
        <v>1732</v>
      </c>
      <c r="AY625" s="15" t="s">
        <v>413</v>
      </c>
      <c r="AZ625" s="15" t="b">
        <v>0</v>
      </c>
      <c r="BA625" s="15" t="s">
        <v>413</v>
      </c>
      <c r="BB625" s="15" t="b">
        <v>0</v>
      </c>
      <c r="BC625" s="15" t="s">
        <v>7033</v>
      </c>
      <c r="BD625" s="15" t="s">
        <v>415</v>
      </c>
      <c r="BE625" s="15" t="str">
        <f t="shared" si="1083"/>
        <v>1</v>
      </c>
      <c r="BF625" s="15" t="s">
        <v>416</v>
      </c>
      <c r="BG625" s="15" t="str">
        <f>"99.21"</f>
        <v>99.21</v>
      </c>
      <c r="BH625" s="15" t="s">
        <v>1733</v>
      </c>
      <c r="BI625" s="15" t="str">
        <f>"44.09"</f>
        <v>44.09</v>
      </c>
      <c r="BJ625" s="15" t="s">
        <v>2112</v>
      </c>
      <c r="BK625" s="15" t="str">
        <f>"27.17"</f>
        <v>27.17</v>
      </c>
      <c r="BL625" s="15" t="s">
        <v>1478</v>
      </c>
      <c r="BM625" s="15" t="str">
        <f>"207.89"</f>
        <v>207.89</v>
      </c>
      <c r="BN625" s="15" t="s">
        <v>7034</v>
      </c>
      <c r="BQ625" s="15" t="s">
        <v>444</v>
      </c>
      <c r="BS625" s="15" t="s">
        <v>444</v>
      </c>
      <c r="BU625" s="15" t="s">
        <v>444</v>
      </c>
      <c r="BW625" s="15" t="s">
        <v>444</v>
      </c>
      <c r="BZ625" s="15" t="s">
        <v>444</v>
      </c>
      <c r="CB625" s="15" t="s">
        <v>444</v>
      </c>
      <c r="CD625" s="15" t="s">
        <v>444</v>
      </c>
      <c r="CF625" s="15" t="s">
        <v>444</v>
      </c>
      <c r="CI625" s="15" t="s">
        <v>444</v>
      </c>
      <c r="CK625" s="15" t="s">
        <v>444</v>
      </c>
      <c r="CM625" s="15" t="s">
        <v>444</v>
      </c>
      <c r="CO625" s="15" t="s">
        <v>444</v>
      </c>
      <c r="CP625" s="15" t="str">
        <f>"68.76"</f>
        <v>68.76</v>
      </c>
      <c r="CQ625" s="15" t="str">
        <f>"1.947"</f>
        <v>1.947</v>
      </c>
      <c r="CR625" s="15" t="s">
        <v>417</v>
      </c>
      <c r="CY625" s="15" t="s">
        <v>3500</v>
      </c>
      <c r="CZ625" s="15" t="s">
        <v>1576</v>
      </c>
      <c r="DA625" s="15" t="s">
        <v>2399</v>
      </c>
      <c r="DB625" s="15" t="s">
        <v>1064</v>
      </c>
      <c r="DC625" s="15" t="str">
        <f>IFERROR(__xludf.DUMMYFUNCTION("""COMPUTED_VALUE"""),"{""value"":27.00,""unit"":""in""}")</f>
        <v>{"value":27.00,"unit":"in"}</v>
      </c>
      <c r="DD625" s="15" t="s">
        <v>1065</v>
      </c>
      <c r="DE625" s="15" t="str">
        <f>IFERROR(__xludf.DUMMYFUNCTION("""COMPUTED_VALUE"""),"{""value"":18.00,""unit"":""in""}")</f>
        <v>{"value":18.00,"unit":"in"}</v>
      </c>
      <c r="DF625" s="15" t="s">
        <v>3204</v>
      </c>
      <c r="DG625" s="15" t="str">
        <f>IFERROR(__xludf.DUMMYFUNCTION("""COMPUTED_VALUE"""),"{""value"":73.00,""unit"":""in""}")</f>
        <v>{"value":73.00,"unit":"in"}</v>
      </c>
      <c r="DH625" s="15">
        <v>2.0</v>
      </c>
      <c r="DI625" s="15">
        <v>2.0</v>
      </c>
      <c r="DJ625" s="15" t="s">
        <v>717</v>
      </c>
      <c r="DK625" s="15" t="s">
        <v>934</v>
      </c>
      <c r="DL625" s="15" t="str">
        <f>IFERROR(__xludf.DUMMYFUNCTION("""COMPUTED_VALUE"""),"Spot clean with water-based or solvent-based cleaner. Use mild detergent or upholstery shampoo.")</f>
        <v>Spot clean with water-based or solvent-based cleaner. Use mild detergent or upholstery shampoo.</v>
      </c>
      <c r="DM625" s="15" t="s">
        <v>935</v>
      </c>
      <c r="DQ625" s="15" t="s">
        <v>7035</v>
      </c>
      <c r="DT625" s="15" t="s">
        <v>721</v>
      </c>
      <c r="DU625" s="15" t="s">
        <v>419</v>
      </c>
      <c r="DV625" s="15">
        <v>0.0</v>
      </c>
      <c r="DZ625" s="15">
        <v>15000.0</v>
      </c>
      <c r="EA625" s="15" t="s">
        <v>990</v>
      </c>
      <c r="EB625" s="15" t="s">
        <v>2927</v>
      </c>
      <c r="EC625" s="15" t="s">
        <v>724</v>
      </c>
      <c r="ED625" s="15">
        <v>2.0</v>
      </c>
      <c r="EE625" s="15">
        <v>5.0</v>
      </c>
      <c r="EG625" s="15" t="s">
        <v>444</v>
      </c>
      <c r="EH625" s="15" t="s">
        <v>7036</v>
      </c>
      <c r="EI625" s="15">
        <v>0.0</v>
      </c>
      <c r="EJ625" s="15" t="s">
        <v>1636</v>
      </c>
      <c r="EK625" s="15" t="s">
        <v>1637</v>
      </c>
      <c r="EL625" s="15" t="s">
        <v>2839</v>
      </c>
      <c r="EM625" s="15" t="str">
        <f>IFERROR(__xludf.DUMMYFUNCTION("""COMPUTED_VALUE"""),"{""value"":29.00,""unit"":""in""}")</f>
        <v>{"value":29.00,"unit":"in"}</v>
      </c>
      <c r="EN625" s="15" t="s">
        <v>1593</v>
      </c>
      <c r="EO625" s="15" t="s">
        <v>1575</v>
      </c>
      <c r="EP625" s="15" t="s">
        <v>2839</v>
      </c>
      <c r="EQ625" s="15" t="s">
        <v>4339</v>
      </c>
      <c r="ER625" s="15" t="s">
        <v>429</v>
      </c>
      <c r="ES625" s="15" t="s">
        <v>505</v>
      </c>
      <c r="ET625" s="15" t="s">
        <v>995</v>
      </c>
      <c r="EU625" s="15" t="s">
        <v>2434</v>
      </c>
      <c r="EV625" s="15" t="s">
        <v>996</v>
      </c>
      <c r="EW625" s="15" t="s">
        <v>672</v>
      </c>
      <c r="EX625" s="15" t="s">
        <v>558</v>
      </c>
      <c r="EY625" s="15" t="s">
        <v>7037</v>
      </c>
      <c r="EZ625" s="15" t="s">
        <v>1996</v>
      </c>
      <c r="FA625" s="15" t="s">
        <v>1076</v>
      </c>
      <c r="FB625" s="15" t="s">
        <v>426</v>
      </c>
      <c r="FC625" s="15" t="s">
        <v>2927</v>
      </c>
      <c r="FD625" s="15" t="s">
        <v>1076</v>
      </c>
      <c r="FE625" s="15" t="s">
        <v>2117</v>
      </c>
      <c r="FF625" s="15" t="s">
        <v>2118</v>
      </c>
      <c r="FG625" s="15" t="s">
        <v>1239</v>
      </c>
      <c r="FT625" s="15" t="s">
        <v>2436</v>
      </c>
    </row>
    <row r="626" ht="15.75" customHeight="1">
      <c r="A626" s="14" t="s">
        <v>391</v>
      </c>
      <c r="B626" s="15" t="s">
        <v>7038</v>
      </c>
      <c r="C626" s="16"/>
      <c r="D626" s="15" t="s">
        <v>432</v>
      </c>
      <c r="G626" s="14" t="s">
        <v>393</v>
      </c>
      <c r="H626" s="14" t="s">
        <v>394</v>
      </c>
      <c r="I626" s="14" t="b">
        <v>1</v>
      </c>
      <c r="J626" s="14" t="s">
        <v>395</v>
      </c>
      <c r="L626" s="14" t="b">
        <v>0</v>
      </c>
      <c r="M626" s="15" t="s">
        <v>7039</v>
      </c>
      <c r="N626" s="14" t="s">
        <v>393</v>
      </c>
      <c r="O626" s="14" t="s">
        <v>393</v>
      </c>
      <c r="P626" s="15" t="s">
        <v>397</v>
      </c>
      <c r="Q626" s="15" t="s">
        <v>7040</v>
      </c>
      <c r="T626" s="14" t="b">
        <v>0</v>
      </c>
      <c r="U626" s="15" t="s">
        <v>7041</v>
      </c>
      <c r="V626" s="15" t="s">
        <v>7042</v>
      </c>
      <c r="W626" s="15" t="s">
        <v>401</v>
      </c>
      <c r="X626" s="15" t="s">
        <v>742</v>
      </c>
      <c r="Y626" s="15">
        <v>4368.0</v>
      </c>
      <c r="AA626" s="15" t="str">
        <f>"1680"</f>
        <v>1680</v>
      </c>
      <c r="AB626" s="14" t="b">
        <v>1</v>
      </c>
      <c r="AC626" s="14" t="b">
        <v>1</v>
      </c>
      <c r="AD626" s="15" t="str">
        <f>"801542805630"</f>
        <v>801542805630</v>
      </c>
      <c r="AE626" s="15" t="s">
        <v>7043</v>
      </c>
      <c r="AF626" s="14" t="s">
        <v>404</v>
      </c>
      <c r="AG626" s="14" t="s">
        <v>405</v>
      </c>
      <c r="AH626" s="14" t="s">
        <v>406</v>
      </c>
      <c r="AI626" s="15">
        <v>0.0</v>
      </c>
      <c r="AL626" s="15" t="s">
        <v>7044</v>
      </c>
      <c r="AM626" s="15" t="s">
        <v>7045</v>
      </c>
      <c r="AN626" s="15" t="s">
        <v>7046</v>
      </c>
      <c r="AO626" s="15" t="s">
        <v>1626</v>
      </c>
      <c r="AP626" s="15" t="s">
        <v>1627</v>
      </c>
      <c r="AQ626" s="15" t="s">
        <v>546</v>
      </c>
      <c r="AR626" s="15" t="s">
        <v>547</v>
      </c>
      <c r="AS626" s="15" t="s">
        <v>2759</v>
      </c>
      <c r="AT626" s="15" t="s">
        <v>7040</v>
      </c>
      <c r="AU626" s="15" t="s">
        <v>3149</v>
      </c>
      <c r="AW626" s="15" t="s">
        <v>2134</v>
      </c>
      <c r="AX626" s="15" t="s">
        <v>2135</v>
      </c>
      <c r="AY626" s="15" t="s">
        <v>413</v>
      </c>
      <c r="AZ626" s="15" t="b">
        <v>0</v>
      </c>
      <c r="BA626" s="15" t="s">
        <v>413</v>
      </c>
      <c r="BB626" s="15" t="b">
        <v>0</v>
      </c>
      <c r="BC626" s="15" t="s">
        <v>7047</v>
      </c>
      <c r="BD626" s="15" t="s">
        <v>742</v>
      </c>
      <c r="BE626" s="15" t="str">
        <f t="shared" si="1083"/>
        <v>1</v>
      </c>
      <c r="BF626" s="15" t="s">
        <v>416</v>
      </c>
      <c r="BG626" s="15" t="str">
        <f>"81.5"</f>
        <v>81.5</v>
      </c>
      <c r="BH626" s="15" t="s">
        <v>1422</v>
      </c>
      <c r="BI626" s="15" t="str">
        <f>"30.12"</f>
        <v>30.12</v>
      </c>
      <c r="BJ626" s="15" t="s">
        <v>7048</v>
      </c>
      <c r="BK626" s="15" t="str">
        <f>"38.19"</f>
        <v>38.19</v>
      </c>
      <c r="BL626" s="15" t="s">
        <v>3531</v>
      </c>
      <c r="BM626" s="15" t="str">
        <f>"253.53"</f>
        <v>253.53</v>
      </c>
      <c r="BN626" s="15" t="s">
        <v>4878</v>
      </c>
      <c r="BQ626" s="15" t="s">
        <v>444</v>
      </c>
      <c r="BS626" s="15" t="s">
        <v>444</v>
      </c>
      <c r="BU626" s="15" t="s">
        <v>444</v>
      </c>
      <c r="BW626" s="15" t="s">
        <v>444</v>
      </c>
      <c r="BZ626" s="15" t="s">
        <v>444</v>
      </c>
      <c r="CB626" s="15" t="s">
        <v>444</v>
      </c>
      <c r="CD626" s="15" t="s">
        <v>444</v>
      </c>
      <c r="CF626" s="15" t="s">
        <v>444</v>
      </c>
      <c r="CI626" s="15" t="s">
        <v>444</v>
      </c>
      <c r="CK626" s="15" t="s">
        <v>444</v>
      </c>
      <c r="CM626" s="15" t="s">
        <v>444</v>
      </c>
      <c r="CO626" s="15" t="s">
        <v>444</v>
      </c>
      <c r="CP626" s="15" t="str">
        <f>"54.24"</f>
        <v>54.24</v>
      </c>
      <c r="CQ626" s="15" t="str">
        <f>"1.536"</f>
        <v>1.536</v>
      </c>
      <c r="CR626" s="15" t="s">
        <v>417</v>
      </c>
      <c r="DC626" s="15" t="str">
        <f>IFERROR(__xludf.DUMMYFUNCTION("""COMPUTED_VALUE"""),"")</f>
        <v/>
      </c>
      <c r="DE626" s="15" t="str">
        <f>IFERROR(__xludf.DUMMYFUNCTION("""COMPUTED_VALUE"""),"")</f>
        <v/>
      </c>
      <c r="DG626" s="15" t="str">
        <f>IFERROR(__xludf.DUMMYFUNCTION("""COMPUTED_VALUE"""),"")</f>
        <v/>
      </c>
      <c r="DL626" s="15" t="str">
        <f>IFERROR(__xludf.DUMMYFUNCTION("""COMPUTED_VALUE"""),"")</f>
        <v/>
      </c>
      <c r="DM626" s="15" t="s">
        <v>444</v>
      </c>
      <c r="DN626" s="15" t="s">
        <v>418</v>
      </c>
      <c r="DO626" s="15">
        <v>4.0</v>
      </c>
      <c r="DP626" s="15" t="s">
        <v>419</v>
      </c>
      <c r="DR626" s="15">
        <v>0.0</v>
      </c>
      <c r="DT626" s="15" t="s">
        <v>721</v>
      </c>
      <c r="DU626" s="15" t="s">
        <v>421</v>
      </c>
      <c r="DY626" s="15">
        <v>0.0</v>
      </c>
      <c r="EF626" s="15" t="s">
        <v>2137</v>
      </c>
      <c r="EG626" s="15" t="s">
        <v>2138</v>
      </c>
      <c r="EH626" s="15" t="s">
        <v>7049</v>
      </c>
      <c r="EJ626" s="15" t="s">
        <v>424</v>
      </c>
      <c r="EK626" s="15" t="s">
        <v>446</v>
      </c>
      <c r="EM626" s="15" t="str">
        <f>IFERROR(__xludf.DUMMYFUNCTION("""COMPUTED_VALUE"""),"")</f>
        <v/>
      </c>
      <c r="EW626" s="15" t="s">
        <v>7050</v>
      </c>
      <c r="EX626" s="15" t="s">
        <v>1432</v>
      </c>
      <c r="EY626" s="15" t="s">
        <v>4508</v>
      </c>
      <c r="FK626" s="15" t="s">
        <v>1042</v>
      </c>
      <c r="FL626" s="15" t="s">
        <v>426</v>
      </c>
      <c r="FM626" s="15">
        <v>0.0</v>
      </c>
      <c r="FV626" s="15" t="s">
        <v>4164</v>
      </c>
      <c r="GH626" s="15">
        <v>0.0</v>
      </c>
      <c r="GI626" s="15" t="s">
        <v>427</v>
      </c>
      <c r="GO626" s="15" t="s">
        <v>426</v>
      </c>
      <c r="GQ626" s="15" t="s">
        <v>1935</v>
      </c>
      <c r="GR626" s="15" t="s">
        <v>1935</v>
      </c>
      <c r="GS626" s="15" t="s">
        <v>3911</v>
      </c>
      <c r="GT626" s="15" t="s">
        <v>7051</v>
      </c>
      <c r="GU626" s="15" t="s">
        <v>1488</v>
      </c>
      <c r="GV626" s="15" t="s">
        <v>1488</v>
      </c>
      <c r="GW626" s="15" t="s">
        <v>431</v>
      </c>
      <c r="GY626" s="15" t="s">
        <v>1190</v>
      </c>
      <c r="HD626" s="15">
        <v>0.0</v>
      </c>
      <c r="IG626" s="15" t="s">
        <v>426</v>
      </c>
    </row>
    <row r="627" ht="15.75" customHeight="1">
      <c r="A627" s="14" t="s">
        <v>391</v>
      </c>
      <c r="B627" s="15" t="s">
        <v>7052</v>
      </c>
      <c r="C627" s="16"/>
      <c r="D627" s="15" t="s">
        <v>432</v>
      </c>
      <c r="G627" s="14" t="s">
        <v>393</v>
      </c>
      <c r="H627" s="14" t="s">
        <v>394</v>
      </c>
      <c r="I627" s="14" t="b">
        <v>1</v>
      </c>
      <c r="J627" s="14" t="s">
        <v>395</v>
      </c>
      <c r="L627" s="14" t="b">
        <v>0</v>
      </c>
      <c r="M627" s="15" t="s">
        <v>7053</v>
      </c>
      <c r="N627" s="14" t="s">
        <v>393</v>
      </c>
      <c r="O627" s="14" t="s">
        <v>393</v>
      </c>
      <c r="P627" s="15" t="s">
        <v>397</v>
      </c>
      <c r="Q627" s="15" t="s">
        <v>7054</v>
      </c>
      <c r="T627" s="14" t="b">
        <v>0</v>
      </c>
      <c r="U627" s="15" t="s">
        <v>7055</v>
      </c>
      <c r="V627" s="15" t="s">
        <v>7056</v>
      </c>
      <c r="W627" s="15" t="s">
        <v>401</v>
      </c>
      <c r="X627" s="15" t="s">
        <v>742</v>
      </c>
      <c r="Y627" s="15">
        <v>2951.0</v>
      </c>
      <c r="AA627" s="15" t="str">
        <f>"1135"</f>
        <v>1135</v>
      </c>
      <c r="AB627" s="14" t="b">
        <v>1</v>
      </c>
      <c r="AC627" s="14" t="b">
        <v>1</v>
      </c>
      <c r="AD627" s="15" t="str">
        <f>"801542805500"</f>
        <v>801542805500</v>
      </c>
      <c r="AE627" s="15" t="s">
        <v>7057</v>
      </c>
      <c r="AF627" s="14" t="s">
        <v>404</v>
      </c>
      <c r="AG627" s="14" t="s">
        <v>405</v>
      </c>
      <c r="AH627" s="14" t="s">
        <v>406</v>
      </c>
      <c r="AI627" s="15">
        <v>0.0</v>
      </c>
      <c r="AL627" s="15" t="s">
        <v>7058</v>
      </c>
      <c r="AM627" s="15" t="s">
        <v>770</v>
      </c>
      <c r="AN627" s="15" t="s">
        <v>771</v>
      </c>
      <c r="AO627" s="15" t="s">
        <v>598</v>
      </c>
      <c r="AP627" s="15" t="s">
        <v>599</v>
      </c>
      <c r="AQ627" s="15" t="s">
        <v>809</v>
      </c>
      <c r="AR627" s="15" t="s">
        <v>810</v>
      </c>
      <c r="AS627" s="15" t="s">
        <v>2759</v>
      </c>
      <c r="AT627" s="15" t="s">
        <v>7054</v>
      </c>
      <c r="AU627" s="15" t="s">
        <v>6528</v>
      </c>
      <c r="AV627" s="15" t="s">
        <v>3142</v>
      </c>
      <c r="AW627" s="15" t="s">
        <v>458</v>
      </c>
      <c r="AX627" s="15" t="s">
        <v>459</v>
      </c>
      <c r="AY627" s="15" t="s">
        <v>413</v>
      </c>
      <c r="AZ627" s="15" t="b">
        <v>0</v>
      </c>
      <c r="BA627" s="15" t="s">
        <v>413</v>
      </c>
      <c r="BB627" s="15" t="b">
        <v>0</v>
      </c>
      <c r="BC627" s="15" t="s">
        <v>7059</v>
      </c>
      <c r="BD627" s="15" t="s">
        <v>742</v>
      </c>
      <c r="BE627" s="15" t="str">
        <f t="shared" si="1083"/>
        <v>1</v>
      </c>
      <c r="BF627" s="15" t="s">
        <v>416</v>
      </c>
      <c r="BG627" s="15" t="str">
        <f>"99.02"</f>
        <v>99.02</v>
      </c>
      <c r="BH627" s="15" t="s">
        <v>7060</v>
      </c>
      <c r="BI627" s="15" t="str">
        <f>"23.23"</f>
        <v>23.23</v>
      </c>
      <c r="BJ627" s="15" t="s">
        <v>2616</v>
      </c>
      <c r="BK627" s="15" t="str">
        <f>"21.46"</f>
        <v>21.46</v>
      </c>
      <c r="BL627" s="15" t="s">
        <v>1385</v>
      </c>
      <c r="BM627" s="15" t="str">
        <f>"150.8"</f>
        <v>150.8</v>
      </c>
      <c r="BN627" s="15" t="s">
        <v>7061</v>
      </c>
      <c r="BQ627" s="15" t="s">
        <v>444</v>
      </c>
      <c r="BS627" s="15" t="s">
        <v>444</v>
      </c>
      <c r="BU627" s="15" t="s">
        <v>444</v>
      </c>
      <c r="BW627" s="15" t="s">
        <v>444</v>
      </c>
      <c r="BZ627" s="15" t="s">
        <v>444</v>
      </c>
      <c r="CB627" s="15" t="s">
        <v>444</v>
      </c>
      <c r="CD627" s="15" t="s">
        <v>444</v>
      </c>
      <c r="CF627" s="15" t="s">
        <v>444</v>
      </c>
      <c r="CI627" s="15" t="s">
        <v>444</v>
      </c>
      <c r="CK627" s="15" t="s">
        <v>444</v>
      </c>
      <c r="CM627" s="15" t="s">
        <v>444</v>
      </c>
      <c r="CO627" s="15" t="s">
        <v>444</v>
      </c>
      <c r="CP627" s="15" t="str">
        <f>"28.57"</f>
        <v>28.57</v>
      </c>
      <c r="CQ627" s="15" t="str">
        <f>"0.809"</f>
        <v>0.809</v>
      </c>
      <c r="CR627" s="15" t="s">
        <v>465</v>
      </c>
      <c r="CY627" s="15" t="s">
        <v>824</v>
      </c>
      <c r="CZ627" s="15" t="s">
        <v>5482</v>
      </c>
      <c r="DA627" s="15" t="s">
        <v>1120</v>
      </c>
      <c r="DB627" s="15" t="s">
        <v>824</v>
      </c>
      <c r="DC627" s="15" t="str">
        <f>IFERROR(__xludf.DUMMYFUNCTION("""COMPUTED_VALUE"""),"{""value"":18.50,""unit"":""in""}")</f>
        <v>{"value":18.50,"unit":"in"}</v>
      </c>
      <c r="DD627" s="15" t="s">
        <v>7062</v>
      </c>
      <c r="DE627" s="15" t="str">
        <f>IFERROR(__xludf.DUMMYFUNCTION("""COMPUTED_VALUE"""),"{""value"":18.46,""unit"":""in""}")</f>
        <v>{"value":18.46,"unit":"in"}</v>
      </c>
      <c r="DF627" s="15" t="s">
        <v>1120</v>
      </c>
      <c r="DG627" s="15" t="str">
        <f>IFERROR(__xludf.DUMMYFUNCTION("""COMPUTED_VALUE"""),"{""value"":86.61,""unit"":""in""}")</f>
        <v>{"value":86.61,"unit":"in"}</v>
      </c>
      <c r="DH627" s="15">
        <v>0.0</v>
      </c>
      <c r="DI627" s="15">
        <v>0.0</v>
      </c>
      <c r="DJ627" s="15" t="s">
        <v>469</v>
      </c>
      <c r="DK627" s="15" t="s">
        <v>718</v>
      </c>
      <c r="DL627" s="15" t="str">
        <f>IFERROR(__xludf.DUMMYFUNCTION("""COMPUTED_VALUE"""),"Vacuum or light brush only. Do not use water or any cleaning products.")</f>
        <v>Vacuum or light brush only. Do not use water or any cleaning products.</v>
      </c>
      <c r="DM627" s="15" t="s">
        <v>719</v>
      </c>
      <c r="DN627" s="15" t="s">
        <v>419</v>
      </c>
      <c r="DO627" s="15">
        <v>0.0</v>
      </c>
      <c r="DP627" s="15" t="s">
        <v>419</v>
      </c>
      <c r="DR627" s="15">
        <v>0.0</v>
      </c>
      <c r="DT627" s="15" t="s">
        <v>1111</v>
      </c>
      <c r="DU627" s="15" t="s">
        <v>419</v>
      </c>
      <c r="DV627" s="15">
        <v>0.0</v>
      </c>
      <c r="DW627" s="15">
        <v>0.0</v>
      </c>
      <c r="DX627" s="15">
        <v>0.0</v>
      </c>
      <c r="DY627" s="15">
        <v>0.0</v>
      </c>
      <c r="DZ627" s="15">
        <v>0.0</v>
      </c>
      <c r="EA627" s="15" t="s">
        <v>470</v>
      </c>
      <c r="EB627" s="15" t="s">
        <v>2927</v>
      </c>
      <c r="EC627" s="15" t="s">
        <v>3514</v>
      </c>
      <c r="ED627" s="15">
        <v>1.0</v>
      </c>
      <c r="EE627" s="15">
        <v>4.0</v>
      </c>
      <c r="EF627" s="15" t="s">
        <v>471</v>
      </c>
      <c r="EG627" s="15" t="s">
        <v>472</v>
      </c>
      <c r="EH627" s="15" t="s">
        <v>7063</v>
      </c>
      <c r="EI627" s="15">
        <v>0.0</v>
      </c>
      <c r="EJ627" s="15" t="s">
        <v>588</v>
      </c>
      <c r="EK627" s="15" t="s">
        <v>589</v>
      </c>
      <c r="EM627" s="15" t="str">
        <f>IFERROR(__xludf.DUMMYFUNCTION("""COMPUTED_VALUE"""),"")</f>
        <v/>
      </c>
      <c r="EW627" s="15" t="s">
        <v>7064</v>
      </c>
      <c r="EX627" s="15" t="s">
        <v>7065</v>
      </c>
      <c r="EY627" s="15" t="s">
        <v>7066</v>
      </c>
      <c r="FO627" s="15" t="s">
        <v>1120</v>
      </c>
      <c r="FP627" s="15" t="s">
        <v>1120</v>
      </c>
      <c r="FS627" s="15" t="s">
        <v>3362</v>
      </c>
    </row>
    <row r="628" ht="15.75" customHeight="1">
      <c r="A628" s="14" t="s">
        <v>391</v>
      </c>
      <c r="B628" s="15" t="s">
        <v>7067</v>
      </c>
      <c r="C628" s="16"/>
      <c r="D628" s="15" t="s">
        <v>432</v>
      </c>
      <c r="G628" s="14" t="s">
        <v>393</v>
      </c>
      <c r="H628" s="14" t="s">
        <v>394</v>
      </c>
      <c r="I628" s="14" t="b">
        <v>1</v>
      </c>
      <c r="J628" s="14" t="s">
        <v>395</v>
      </c>
      <c r="L628" s="14" t="b">
        <v>0</v>
      </c>
      <c r="M628" s="15" t="s">
        <v>7068</v>
      </c>
      <c r="N628" s="14" t="s">
        <v>393</v>
      </c>
      <c r="O628" s="14" t="s">
        <v>393</v>
      </c>
      <c r="P628" s="15" t="s">
        <v>397</v>
      </c>
      <c r="Q628" s="15" t="s">
        <v>3142</v>
      </c>
      <c r="T628" s="14" t="b">
        <v>0</v>
      </c>
      <c r="U628" s="15" t="s">
        <v>7069</v>
      </c>
      <c r="V628" s="15" t="s">
        <v>7070</v>
      </c>
      <c r="W628" s="15" t="s">
        <v>401</v>
      </c>
      <c r="X628" s="15" t="s">
        <v>742</v>
      </c>
      <c r="Y628" s="15">
        <v>5356.0</v>
      </c>
      <c r="AA628" s="15" t="str">
        <f>"2060"</f>
        <v>2060</v>
      </c>
      <c r="AB628" s="14" t="b">
        <v>1</v>
      </c>
      <c r="AC628" s="14" t="b">
        <v>1</v>
      </c>
      <c r="AD628" s="15" t="str">
        <f>"801542805548"</f>
        <v>801542805548</v>
      </c>
      <c r="AE628" s="15" t="s">
        <v>7071</v>
      </c>
      <c r="AF628" s="14" t="s">
        <v>404</v>
      </c>
      <c r="AG628" s="14" t="s">
        <v>405</v>
      </c>
      <c r="AH628" s="14" t="s">
        <v>406</v>
      </c>
      <c r="AI628" s="15">
        <v>0.0</v>
      </c>
      <c r="AL628" s="15" t="s">
        <v>6706</v>
      </c>
      <c r="AM628" s="15" t="s">
        <v>3440</v>
      </c>
      <c r="AN628" s="15" t="s">
        <v>3441</v>
      </c>
      <c r="AO628" s="15" t="s">
        <v>6707</v>
      </c>
      <c r="AP628" s="15" t="s">
        <v>6708</v>
      </c>
      <c r="AQ628" s="15" t="s">
        <v>2229</v>
      </c>
      <c r="AR628" s="15" t="s">
        <v>2230</v>
      </c>
      <c r="AS628" s="15" t="s">
        <v>2759</v>
      </c>
      <c r="AT628" s="15" t="s">
        <v>3142</v>
      </c>
      <c r="AW628" s="15" t="s">
        <v>548</v>
      </c>
      <c r="AX628" s="15" t="s">
        <v>549</v>
      </c>
      <c r="AY628" s="15" t="s">
        <v>413</v>
      </c>
      <c r="AZ628" s="15" t="b">
        <v>0</v>
      </c>
      <c r="BA628" s="15" t="s">
        <v>413</v>
      </c>
      <c r="BB628" s="15" t="b">
        <v>0</v>
      </c>
      <c r="BC628" s="15" t="s">
        <v>7072</v>
      </c>
      <c r="BD628" s="15" t="s">
        <v>742</v>
      </c>
      <c r="BE628" s="15" t="str">
        <f>"2"</f>
        <v>2</v>
      </c>
      <c r="BF628" s="15" t="s">
        <v>1564</v>
      </c>
      <c r="BG628" s="15" t="str">
        <f>"124.21"</f>
        <v>124.21</v>
      </c>
      <c r="BH628" s="15" t="s">
        <v>7073</v>
      </c>
      <c r="BI628" s="15" t="str">
        <f>"6.69"</f>
        <v>6.69</v>
      </c>
      <c r="BJ628" s="15" t="s">
        <v>2461</v>
      </c>
      <c r="BK628" s="15" t="str">
        <f>"47.83"</f>
        <v>47.83</v>
      </c>
      <c r="BL628" s="15" t="s">
        <v>7074</v>
      </c>
      <c r="BM628" s="15" t="str">
        <f>"246.48"</f>
        <v>246.48</v>
      </c>
      <c r="BN628" s="15" t="s">
        <v>7075</v>
      </c>
      <c r="BO628" s="15" t="s">
        <v>5617</v>
      </c>
      <c r="BP628" s="15" t="str">
        <f>"67.32"</f>
        <v>67.32</v>
      </c>
      <c r="BQ628" s="15" t="s">
        <v>4754</v>
      </c>
      <c r="BR628" s="15" t="str">
        <f>"10.63"</f>
        <v>10.63</v>
      </c>
      <c r="BS628" s="15" t="s">
        <v>931</v>
      </c>
      <c r="BT628" s="15" t="str">
        <f>"49.8"</f>
        <v>49.8</v>
      </c>
      <c r="BU628" s="15" t="s">
        <v>7076</v>
      </c>
      <c r="BV628" s="15" t="str">
        <f>"111.77"</f>
        <v>111.77</v>
      </c>
      <c r="BW628" s="15" t="s">
        <v>7077</v>
      </c>
      <c r="BZ628" s="15" t="s">
        <v>444</v>
      </c>
      <c r="CB628" s="15" t="s">
        <v>444</v>
      </c>
      <c r="CD628" s="15" t="s">
        <v>444</v>
      </c>
      <c r="CF628" s="15" t="s">
        <v>444</v>
      </c>
      <c r="CI628" s="15" t="s">
        <v>444</v>
      </c>
      <c r="CK628" s="15" t="s">
        <v>444</v>
      </c>
      <c r="CM628" s="15" t="s">
        <v>444</v>
      </c>
      <c r="CO628" s="15" t="s">
        <v>444</v>
      </c>
      <c r="CP628" s="15" t="str">
        <f>"43.65"</f>
        <v>43.65</v>
      </c>
      <c r="CQ628" s="15" t="str">
        <f>"1.236"</f>
        <v>1.236</v>
      </c>
      <c r="CR628" s="15" t="s">
        <v>497</v>
      </c>
      <c r="DC628" s="15" t="str">
        <f>IFERROR(__xludf.DUMMYFUNCTION("""COMPUTED_VALUE"""),"")</f>
        <v/>
      </c>
      <c r="DE628" s="15" t="str">
        <f>IFERROR(__xludf.DUMMYFUNCTION("""COMPUTED_VALUE"""),"")</f>
        <v/>
      </c>
      <c r="DG628" s="15" t="str">
        <f>IFERROR(__xludf.DUMMYFUNCTION("""COMPUTED_VALUE"""),"")</f>
        <v/>
      </c>
      <c r="DL628" s="15" t="str">
        <f>IFERROR(__xludf.DUMMYFUNCTION("""COMPUTED_VALUE"""),"")</f>
        <v/>
      </c>
      <c r="DM628" s="15" t="s">
        <v>444</v>
      </c>
      <c r="DN628" s="15" t="s">
        <v>419</v>
      </c>
      <c r="DO628" s="15">
        <v>0.0</v>
      </c>
      <c r="DP628" s="15" t="s">
        <v>419</v>
      </c>
      <c r="DR628" s="15">
        <v>0.0</v>
      </c>
      <c r="DT628" s="15" t="s">
        <v>721</v>
      </c>
      <c r="DU628" s="15" t="s">
        <v>419</v>
      </c>
      <c r="DW628" s="15">
        <v>0.0</v>
      </c>
      <c r="DX628" s="15">
        <v>0.0</v>
      </c>
      <c r="DY628" s="15">
        <v>0.0</v>
      </c>
      <c r="EE628" s="15">
        <v>12.0</v>
      </c>
      <c r="EF628" s="15" t="s">
        <v>471</v>
      </c>
      <c r="EG628" s="15" t="s">
        <v>472</v>
      </c>
      <c r="EH628" s="15" t="s">
        <v>7063</v>
      </c>
      <c r="EJ628" s="15" t="s">
        <v>424</v>
      </c>
      <c r="EK628" s="15" t="s">
        <v>446</v>
      </c>
      <c r="EM628" s="15" t="str">
        <f>IFERROR(__xludf.DUMMYFUNCTION("""COMPUTED_VALUE"""),"")</f>
        <v/>
      </c>
      <c r="EW628" s="15" t="s">
        <v>7078</v>
      </c>
      <c r="EX628" s="15" t="s">
        <v>7079</v>
      </c>
      <c r="EY628" s="15" t="s">
        <v>7080</v>
      </c>
      <c r="FH628" s="15" t="s">
        <v>6719</v>
      </c>
      <c r="FI628" s="15" t="s">
        <v>7081</v>
      </c>
      <c r="FJ628" s="15" t="s">
        <v>7082</v>
      </c>
      <c r="FK628" s="15" t="s">
        <v>7083</v>
      </c>
      <c r="FL628" s="15" t="s">
        <v>426</v>
      </c>
      <c r="FM628" s="15">
        <v>0.0</v>
      </c>
      <c r="FN628" s="15">
        <v>0.0</v>
      </c>
      <c r="FU628" s="15" t="s">
        <v>2162</v>
      </c>
      <c r="FV628" s="15" t="s">
        <v>7084</v>
      </c>
      <c r="FX628" s="15" t="s">
        <v>559</v>
      </c>
    </row>
    <row r="629" ht="15.75" customHeight="1">
      <c r="A629" s="14" t="s">
        <v>391</v>
      </c>
      <c r="B629" s="15" t="s">
        <v>7085</v>
      </c>
      <c r="C629" s="16"/>
      <c r="D629" s="15" t="s">
        <v>432</v>
      </c>
      <c r="G629" s="14" t="s">
        <v>393</v>
      </c>
      <c r="H629" s="14" t="s">
        <v>394</v>
      </c>
      <c r="I629" s="14" t="b">
        <v>1</v>
      </c>
      <c r="J629" s="14" t="s">
        <v>395</v>
      </c>
      <c r="L629" s="14" t="b">
        <v>0</v>
      </c>
      <c r="M629" s="15" t="s">
        <v>7086</v>
      </c>
      <c r="N629" s="14" t="s">
        <v>393</v>
      </c>
      <c r="O629" s="14" t="s">
        <v>393</v>
      </c>
      <c r="P629" s="15" t="s">
        <v>397</v>
      </c>
      <c r="Q629" s="15" t="s">
        <v>3142</v>
      </c>
      <c r="T629" s="14" t="b">
        <v>0</v>
      </c>
      <c r="U629" s="15" t="s">
        <v>7087</v>
      </c>
      <c r="V629" s="15" t="s">
        <v>7088</v>
      </c>
      <c r="W629" s="15" t="s">
        <v>401</v>
      </c>
      <c r="X629" s="15" t="s">
        <v>742</v>
      </c>
      <c r="Y629" s="15">
        <v>2184.0</v>
      </c>
      <c r="AA629" s="15" t="str">
        <f>"840"</f>
        <v>840</v>
      </c>
      <c r="AB629" s="14" t="b">
        <v>1</v>
      </c>
      <c r="AC629" s="14" t="b">
        <v>1</v>
      </c>
      <c r="AD629" s="15" t="str">
        <f>"801542805562"</f>
        <v>801542805562</v>
      </c>
      <c r="AE629" s="15" t="s">
        <v>7089</v>
      </c>
      <c r="AF629" s="14" t="s">
        <v>404</v>
      </c>
      <c r="AG629" s="14" t="s">
        <v>405</v>
      </c>
      <c r="AH629" s="14" t="s">
        <v>406</v>
      </c>
      <c r="AI629" s="15">
        <v>0.0</v>
      </c>
      <c r="AL629" s="15" t="s">
        <v>6706</v>
      </c>
      <c r="AM629" s="15" t="s">
        <v>4542</v>
      </c>
      <c r="AN629" s="15" t="s">
        <v>4543</v>
      </c>
      <c r="AO629" s="15" t="s">
        <v>1801</v>
      </c>
      <c r="AP629" s="15" t="s">
        <v>1322</v>
      </c>
      <c r="AQ629" s="15" t="s">
        <v>3629</v>
      </c>
      <c r="AR629" s="15" t="s">
        <v>3630</v>
      </c>
      <c r="AS629" s="15" t="s">
        <v>2759</v>
      </c>
      <c r="AT629" s="15" t="s">
        <v>3142</v>
      </c>
      <c r="AW629" s="15" t="s">
        <v>491</v>
      </c>
      <c r="AY629" s="15" t="s">
        <v>413</v>
      </c>
      <c r="AZ629" s="15" t="b">
        <v>0</v>
      </c>
      <c r="BA629" s="15" t="s">
        <v>413</v>
      </c>
      <c r="BB629" s="15" t="b">
        <v>0</v>
      </c>
      <c r="BC629" s="15" t="s">
        <v>7090</v>
      </c>
      <c r="BD629" s="15" t="s">
        <v>742</v>
      </c>
      <c r="BE629" s="15" t="str">
        <f t="shared" ref="BE629:BE630" si="1084">"1"</f>
        <v>1</v>
      </c>
      <c r="BF629" s="15" t="s">
        <v>416</v>
      </c>
      <c r="BG629" s="15" t="str">
        <f>"74.61"</f>
        <v>74.61</v>
      </c>
      <c r="BH629" s="15" t="s">
        <v>6503</v>
      </c>
      <c r="BI629" s="15" t="str">
        <f>"33.46"</f>
        <v>33.46</v>
      </c>
      <c r="BJ629" s="15" t="s">
        <v>1109</v>
      </c>
      <c r="BK629" s="15" t="str">
        <f>"16.93"</f>
        <v>16.93</v>
      </c>
      <c r="BL629" s="15" t="s">
        <v>7091</v>
      </c>
      <c r="BM629" s="15" t="str">
        <f>"134.48"</f>
        <v>134.48</v>
      </c>
      <c r="BN629" s="15" t="s">
        <v>983</v>
      </c>
      <c r="BQ629" s="15" t="s">
        <v>444</v>
      </c>
      <c r="BS629" s="15" t="s">
        <v>444</v>
      </c>
      <c r="BU629" s="15" t="s">
        <v>444</v>
      </c>
      <c r="BW629" s="15" t="s">
        <v>444</v>
      </c>
      <c r="BZ629" s="15" t="s">
        <v>444</v>
      </c>
      <c r="CB629" s="15" t="s">
        <v>444</v>
      </c>
      <c r="CD629" s="15" t="s">
        <v>444</v>
      </c>
      <c r="CF629" s="15" t="s">
        <v>444</v>
      </c>
      <c r="CI629" s="15" t="s">
        <v>444</v>
      </c>
      <c r="CK629" s="15" t="s">
        <v>444</v>
      </c>
      <c r="CM629" s="15" t="s">
        <v>444</v>
      </c>
      <c r="CO629" s="15" t="s">
        <v>444</v>
      </c>
      <c r="CP629" s="15" t="str">
        <f>"24.47"</f>
        <v>24.47</v>
      </c>
      <c r="CQ629" s="15" t="str">
        <f>"0.693"</f>
        <v>0.693</v>
      </c>
      <c r="CR629" s="15" t="s">
        <v>465</v>
      </c>
      <c r="DC629" s="15" t="str">
        <f>IFERROR(__xludf.DUMMYFUNCTION("""COMPUTED_VALUE"""),"")</f>
        <v/>
      </c>
      <c r="DE629" s="15" t="str">
        <f>IFERROR(__xludf.DUMMYFUNCTION("""COMPUTED_VALUE"""),"")</f>
        <v/>
      </c>
      <c r="DG629" s="15" t="str">
        <f>IFERROR(__xludf.DUMMYFUNCTION("""COMPUTED_VALUE"""),"")</f>
        <v/>
      </c>
      <c r="DL629" s="15" t="str">
        <f>IFERROR(__xludf.DUMMYFUNCTION("""COMPUTED_VALUE"""),"")</f>
        <v/>
      </c>
      <c r="DM629" s="15" t="s">
        <v>444</v>
      </c>
      <c r="DN629" s="15" t="s">
        <v>419</v>
      </c>
      <c r="DO629" s="15">
        <v>0.0</v>
      </c>
      <c r="DP629" s="15" t="s">
        <v>419</v>
      </c>
      <c r="DR629" s="15">
        <v>0.0</v>
      </c>
      <c r="DT629" s="15" t="s">
        <v>721</v>
      </c>
      <c r="DU629" s="15" t="s">
        <v>419</v>
      </c>
      <c r="DY629" s="15">
        <v>0.0</v>
      </c>
      <c r="EF629" s="15" t="s">
        <v>471</v>
      </c>
      <c r="EG629" s="15" t="s">
        <v>472</v>
      </c>
      <c r="EH629" s="15" t="s">
        <v>7063</v>
      </c>
      <c r="EJ629" s="15" t="s">
        <v>424</v>
      </c>
      <c r="EK629" s="15" t="s">
        <v>446</v>
      </c>
      <c r="EM629" s="15" t="str">
        <f>IFERROR(__xludf.DUMMYFUNCTION("""COMPUTED_VALUE"""),"")</f>
        <v/>
      </c>
      <c r="EW629" s="15" t="s">
        <v>1254</v>
      </c>
      <c r="EX629" s="15" t="s">
        <v>1041</v>
      </c>
      <c r="EY629" s="15" t="s">
        <v>7092</v>
      </c>
      <c r="FH629" s="15" t="s">
        <v>759</v>
      </c>
      <c r="FI629" s="15" t="s">
        <v>7093</v>
      </c>
      <c r="FJ629" s="15" t="s">
        <v>2498</v>
      </c>
      <c r="FK629" s="15" t="s">
        <v>4469</v>
      </c>
      <c r="FL629" s="15" t="s">
        <v>426</v>
      </c>
      <c r="FM629" s="15">
        <v>0.0</v>
      </c>
      <c r="FN629" s="15">
        <v>0.0</v>
      </c>
    </row>
    <row r="630" ht="15.75" customHeight="1">
      <c r="A630" s="14" t="s">
        <v>391</v>
      </c>
      <c r="B630" s="15" t="s">
        <v>7094</v>
      </c>
      <c r="C630" s="16"/>
      <c r="D630" s="15" t="s">
        <v>432</v>
      </c>
      <c r="G630" s="14" t="s">
        <v>393</v>
      </c>
      <c r="H630" s="14" t="s">
        <v>394</v>
      </c>
      <c r="I630" s="14" t="b">
        <v>1</v>
      </c>
      <c r="J630" s="14" t="s">
        <v>395</v>
      </c>
      <c r="L630" s="14" t="b">
        <v>0</v>
      </c>
      <c r="M630" s="15" t="s">
        <v>7095</v>
      </c>
      <c r="N630" s="14" t="s">
        <v>393</v>
      </c>
      <c r="O630" s="14" t="s">
        <v>393</v>
      </c>
      <c r="P630" s="15" t="s">
        <v>397</v>
      </c>
      <c r="Q630" s="15" t="s">
        <v>3142</v>
      </c>
      <c r="T630" s="14" t="b">
        <v>0</v>
      </c>
      <c r="U630" s="15" t="s">
        <v>7096</v>
      </c>
      <c r="V630" s="15" t="s">
        <v>7097</v>
      </c>
      <c r="W630" s="15" t="s">
        <v>401</v>
      </c>
      <c r="X630" s="15" t="s">
        <v>742</v>
      </c>
      <c r="Y630" s="15">
        <v>2301.0</v>
      </c>
      <c r="AA630" s="15" t="str">
        <f>"885"</f>
        <v>885</v>
      </c>
      <c r="AB630" s="14" t="b">
        <v>1</v>
      </c>
      <c r="AC630" s="14" t="b">
        <v>1</v>
      </c>
      <c r="AD630" s="15" t="str">
        <f>"801542805586"</f>
        <v>801542805586</v>
      </c>
      <c r="AE630" s="15" t="s">
        <v>7098</v>
      </c>
      <c r="AF630" s="14" t="s">
        <v>404</v>
      </c>
      <c r="AG630" s="14" t="s">
        <v>405</v>
      </c>
      <c r="AH630" s="14" t="s">
        <v>406</v>
      </c>
      <c r="AI630" s="15">
        <v>0.0</v>
      </c>
      <c r="AL630" s="15" t="s">
        <v>6706</v>
      </c>
      <c r="AM630" s="15" t="s">
        <v>5048</v>
      </c>
      <c r="AN630" s="15" t="s">
        <v>4426</v>
      </c>
      <c r="AO630" s="15" t="s">
        <v>5528</v>
      </c>
      <c r="AP630" s="15" t="s">
        <v>5529</v>
      </c>
      <c r="AQ630" s="15" t="s">
        <v>3702</v>
      </c>
      <c r="AR630" s="15" t="s">
        <v>3703</v>
      </c>
      <c r="AS630" s="15" t="s">
        <v>2759</v>
      </c>
      <c r="AT630" s="15" t="s">
        <v>3142</v>
      </c>
      <c r="AW630" s="15" t="s">
        <v>491</v>
      </c>
      <c r="AY630" s="15" t="s">
        <v>413</v>
      </c>
      <c r="AZ630" s="15" t="b">
        <v>0</v>
      </c>
      <c r="BA630" s="15" t="s">
        <v>413</v>
      </c>
      <c r="BB630" s="15" t="b">
        <v>0</v>
      </c>
      <c r="BC630" s="15" t="s">
        <v>7090</v>
      </c>
      <c r="BD630" s="15" t="s">
        <v>742</v>
      </c>
      <c r="BE630" s="15" t="str">
        <f t="shared" si="1084"/>
        <v>1</v>
      </c>
      <c r="BF630" s="15" t="s">
        <v>416</v>
      </c>
      <c r="BG630" s="15" t="str">
        <f>"58.27"</f>
        <v>58.27</v>
      </c>
      <c r="BH630" s="15" t="s">
        <v>7099</v>
      </c>
      <c r="BI630" s="15" t="str">
        <f>"54.33"</f>
        <v>54.33</v>
      </c>
      <c r="BJ630" s="15" t="s">
        <v>7100</v>
      </c>
      <c r="BK630" s="15" t="str">
        <f>"17.91"</f>
        <v>17.91</v>
      </c>
      <c r="BL630" s="15" t="s">
        <v>5780</v>
      </c>
      <c r="BM630" s="15" t="str">
        <f>"158.73"</f>
        <v>158.73</v>
      </c>
      <c r="BN630" s="15" t="s">
        <v>4507</v>
      </c>
      <c r="BQ630" s="15" t="s">
        <v>444</v>
      </c>
      <c r="BS630" s="15" t="s">
        <v>444</v>
      </c>
      <c r="BU630" s="15" t="s">
        <v>444</v>
      </c>
      <c r="BW630" s="15" t="s">
        <v>444</v>
      </c>
      <c r="BZ630" s="15" t="s">
        <v>444</v>
      </c>
      <c r="CB630" s="15" t="s">
        <v>444</v>
      </c>
      <c r="CD630" s="15" t="s">
        <v>444</v>
      </c>
      <c r="CF630" s="15" t="s">
        <v>444</v>
      </c>
      <c r="CI630" s="15" t="s">
        <v>444</v>
      </c>
      <c r="CK630" s="15" t="s">
        <v>444</v>
      </c>
      <c r="CM630" s="15" t="s">
        <v>444</v>
      </c>
      <c r="CO630" s="15" t="s">
        <v>444</v>
      </c>
      <c r="CP630" s="15" t="str">
        <f>"32.81"</f>
        <v>32.81</v>
      </c>
      <c r="CQ630" s="15" t="str">
        <f>"0.929"</f>
        <v>0.929</v>
      </c>
      <c r="CR630" s="15" t="s">
        <v>497</v>
      </c>
      <c r="DC630" s="15" t="str">
        <f>IFERROR(__xludf.DUMMYFUNCTION("""COMPUTED_VALUE"""),"")</f>
        <v/>
      </c>
      <c r="DE630" s="15" t="str">
        <f>IFERROR(__xludf.DUMMYFUNCTION("""COMPUTED_VALUE"""),"")</f>
        <v/>
      </c>
      <c r="DG630" s="15" t="str">
        <f>IFERROR(__xludf.DUMMYFUNCTION("""COMPUTED_VALUE"""),"")</f>
        <v/>
      </c>
      <c r="DL630" s="15" t="str">
        <f>IFERROR(__xludf.DUMMYFUNCTION("""COMPUTED_VALUE"""),"")</f>
        <v/>
      </c>
      <c r="DM630" s="15" t="s">
        <v>444</v>
      </c>
      <c r="DN630" s="15" t="s">
        <v>419</v>
      </c>
      <c r="DO630" s="15">
        <v>0.0</v>
      </c>
      <c r="DP630" s="15" t="s">
        <v>419</v>
      </c>
      <c r="DR630" s="15">
        <v>0.0</v>
      </c>
      <c r="DT630" s="15" t="s">
        <v>721</v>
      </c>
      <c r="DU630" s="15" t="s">
        <v>419</v>
      </c>
      <c r="DY630" s="15">
        <v>0.0</v>
      </c>
      <c r="EF630" s="15" t="s">
        <v>498</v>
      </c>
      <c r="EG630" s="15" t="s">
        <v>499</v>
      </c>
      <c r="EH630" s="15" t="s">
        <v>7063</v>
      </c>
      <c r="EJ630" s="15" t="s">
        <v>500</v>
      </c>
      <c r="EK630" s="15" t="s">
        <v>501</v>
      </c>
      <c r="EM630" s="15" t="str">
        <f>IFERROR(__xludf.DUMMYFUNCTION("""COMPUTED_VALUE"""),"")</f>
        <v/>
      </c>
      <c r="EW630" s="15" t="s">
        <v>1547</v>
      </c>
      <c r="EX630" s="15" t="s">
        <v>7101</v>
      </c>
      <c r="EY630" s="15" t="s">
        <v>7102</v>
      </c>
      <c r="FH630" s="15" t="s">
        <v>7103</v>
      </c>
      <c r="FI630" s="15" t="s">
        <v>1462</v>
      </c>
      <c r="FJ630" s="15" t="s">
        <v>4163</v>
      </c>
      <c r="FK630" s="15" t="s">
        <v>4469</v>
      </c>
      <c r="FL630" s="15" t="s">
        <v>426</v>
      </c>
      <c r="FM630" s="15">
        <v>0.0</v>
      </c>
      <c r="FN630" s="15">
        <v>0.0</v>
      </c>
    </row>
    <row r="631" ht="15.75" customHeight="1">
      <c r="A631" s="14" t="s">
        <v>391</v>
      </c>
      <c r="B631" s="15" t="s">
        <v>7104</v>
      </c>
      <c r="C631" s="16"/>
      <c r="D631" s="15" t="s">
        <v>432</v>
      </c>
      <c r="G631" s="14" t="s">
        <v>393</v>
      </c>
      <c r="H631" s="14" t="s">
        <v>394</v>
      </c>
      <c r="I631" s="14" t="b">
        <v>1</v>
      </c>
      <c r="J631" s="14" t="s">
        <v>395</v>
      </c>
      <c r="L631" s="14" t="b">
        <v>0</v>
      </c>
      <c r="M631" s="15" t="s">
        <v>7105</v>
      </c>
      <c r="N631" s="14" t="s">
        <v>393</v>
      </c>
      <c r="O631" s="14" t="s">
        <v>393</v>
      </c>
      <c r="P631" s="15" t="s">
        <v>397</v>
      </c>
      <c r="Q631" s="15" t="s">
        <v>3142</v>
      </c>
      <c r="T631" s="14" t="b">
        <v>0</v>
      </c>
      <c r="U631" s="15" t="s">
        <v>7106</v>
      </c>
      <c r="V631" s="15" t="s">
        <v>7107</v>
      </c>
      <c r="W631" s="15" t="s">
        <v>401</v>
      </c>
      <c r="X631" s="15" t="s">
        <v>742</v>
      </c>
      <c r="Y631" s="15">
        <v>5356.0</v>
      </c>
      <c r="AA631" s="15" t="str">
        <f>"2060"</f>
        <v>2060</v>
      </c>
      <c r="AB631" s="14" t="b">
        <v>1</v>
      </c>
      <c r="AC631" s="14" t="b">
        <v>1</v>
      </c>
      <c r="AD631" s="15" t="str">
        <f>"801542805678"</f>
        <v>801542805678</v>
      </c>
      <c r="AE631" s="15" t="s">
        <v>7108</v>
      </c>
      <c r="AF631" s="14" t="s">
        <v>404</v>
      </c>
      <c r="AG631" s="14" t="s">
        <v>405</v>
      </c>
      <c r="AH631" s="14" t="s">
        <v>406</v>
      </c>
      <c r="AI631" s="15">
        <v>0.0</v>
      </c>
      <c r="AL631" s="15" t="s">
        <v>3146</v>
      </c>
      <c r="AM631" s="15" t="s">
        <v>6439</v>
      </c>
      <c r="AN631" s="15" t="s">
        <v>6440</v>
      </c>
      <c r="AO631" s="15" t="s">
        <v>2956</v>
      </c>
      <c r="AP631" s="15" t="s">
        <v>2957</v>
      </c>
      <c r="AQ631" s="15" t="s">
        <v>546</v>
      </c>
      <c r="AR631" s="15" t="s">
        <v>547</v>
      </c>
      <c r="AS631" s="15" t="s">
        <v>2759</v>
      </c>
      <c r="AT631" s="15" t="s">
        <v>3142</v>
      </c>
      <c r="AU631" s="15" t="s">
        <v>3149</v>
      </c>
      <c r="AW631" s="15" t="s">
        <v>548</v>
      </c>
      <c r="AX631" s="15" t="s">
        <v>549</v>
      </c>
      <c r="AY631" s="15" t="s">
        <v>413</v>
      </c>
      <c r="AZ631" s="15" t="b">
        <v>0</v>
      </c>
      <c r="BA631" s="15" t="s">
        <v>413</v>
      </c>
      <c r="BB631" s="15" t="b">
        <v>0</v>
      </c>
      <c r="BC631" s="15" t="s">
        <v>7109</v>
      </c>
      <c r="BD631" s="15" t="s">
        <v>742</v>
      </c>
      <c r="BE631" s="15" t="str">
        <f>"2"</f>
        <v>2</v>
      </c>
      <c r="BF631" s="15" t="s">
        <v>7110</v>
      </c>
      <c r="BG631" s="15" t="str">
        <f>"124.21"</f>
        <v>124.21</v>
      </c>
      <c r="BH631" s="15" t="s">
        <v>7073</v>
      </c>
      <c r="BI631" s="15" t="str">
        <f>"4.72"</f>
        <v>4.72</v>
      </c>
      <c r="BJ631" s="15" t="s">
        <v>6740</v>
      </c>
      <c r="BK631" s="15" t="str">
        <f>"53.15"</f>
        <v>53.15</v>
      </c>
      <c r="BL631" s="15" t="s">
        <v>6302</v>
      </c>
      <c r="BM631" s="15" t="str">
        <f>"235.89"</f>
        <v>235.89</v>
      </c>
      <c r="BN631" s="15" t="s">
        <v>3643</v>
      </c>
      <c r="BO631" s="15" t="s">
        <v>7111</v>
      </c>
      <c r="BP631" s="15" t="str">
        <f>"40.75"</f>
        <v>40.75</v>
      </c>
      <c r="BQ631" s="15" t="s">
        <v>1280</v>
      </c>
      <c r="BR631" s="15" t="str">
        <f>"30.71"</f>
        <v>30.71</v>
      </c>
      <c r="BS631" s="15" t="s">
        <v>1281</v>
      </c>
      <c r="BT631" s="15" t="str">
        <f>"32.48"</f>
        <v>32.48</v>
      </c>
      <c r="BU631" s="15" t="s">
        <v>3743</v>
      </c>
      <c r="BV631" s="15" t="str">
        <f>"105.82"</f>
        <v>105.82</v>
      </c>
      <c r="BW631" s="15" t="s">
        <v>2961</v>
      </c>
      <c r="BZ631" s="15" t="s">
        <v>444</v>
      </c>
      <c r="CB631" s="15" t="s">
        <v>444</v>
      </c>
      <c r="CD631" s="15" t="s">
        <v>444</v>
      </c>
      <c r="CF631" s="15" t="s">
        <v>444</v>
      </c>
      <c r="CI631" s="15" t="s">
        <v>444</v>
      </c>
      <c r="CK631" s="15" t="s">
        <v>444</v>
      </c>
      <c r="CM631" s="15" t="s">
        <v>444</v>
      </c>
      <c r="CO631" s="15" t="s">
        <v>444</v>
      </c>
      <c r="CP631" s="15" t="str">
        <f>"41.57"</f>
        <v>41.57</v>
      </c>
      <c r="CQ631" s="15" t="str">
        <f>"1.177"</f>
        <v>1.177</v>
      </c>
      <c r="CR631" s="15" t="s">
        <v>497</v>
      </c>
      <c r="DC631" s="15" t="str">
        <f>IFERROR(__xludf.DUMMYFUNCTION("""COMPUTED_VALUE"""),"")</f>
        <v/>
      </c>
      <c r="DE631" s="15" t="str">
        <f>IFERROR(__xludf.DUMMYFUNCTION("""COMPUTED_VALUE"""),"")</f>
        <v/>
      </c>
      <c r="DG631" s="15" t="str">
        <f>IFERROR(__xludf.DUMMYFUNCTION("""COMPUTED_VALUE"""),"")</f>
        <v/>
      </c>
      <c r="DL631" s="15" t="str">
        <f>IFERROR(__xludf.DUMMYFUNCTION("""COMPUTED_VALUE"""),"")</f>
        <v/>
      </c>
      <c r="DM631" s="15" t="s">
        <v>444</v>
      </c>
      <c r="DN631" s="15" t="s">
        <v>419</v>
      </c>
      <c r="DO631" s="15">
        <v>0.0</v>
      </c>
      <c r="DP631" s="15" t="s">
        <v>419</v>
      </c>
      <c r="DR631" s="15">
        <v>0.0</v>
      </c>
      <c r="DT631" s="15" t="s">
        <v>721</v>
      </c>
      <c r="DU631" s="15" t="s">
        <v>419</v>
      </c>
      <c r="DW631" s="15">
        <v>0.0</v>
      </c>
      <c r="DX631" s="15">
        <v>0.0</v>
      </c>
      <c r="DY631" s="15">
        <v>0.0</v>
      </c>
      <c r="EE631" s="15">
        <v>10.0</v>
      </c>
      <c r="EF631" s="15" t="s">
        <v>471</v>
      </c>
      <c r="EG631" s="15" t="s">
        <v>472</v>
      </c>
      <c r="EH631" s="15" t="s">
        <v>7112</v>
      </c>
      <c r="EJ631" s="15" t="s">
        <v>424</v>
      </c>
      <c r="EK631" s="15" t="s">
        <v>446</v>
      </c>
      <c r="EM631" s="15" t="str">
        <f>IFERROR(__xludf.DUMMYFUNCTION("""COMPUTED_VALUE"""),"")</f>
        <v/>
      </c>
      <c r="EW631" s="15" t="s">
        <v>7113</v>
      </c>
      <c r="EY631" s="15" t="s">
        <v>7114</v>
      </c>
      <c r="FH631" s="15" t="s">
        <v>3100</v>
      </c>
      <c r="FI631" s="15" t="s">
        <v>7113</v>
      </c>
      <c r="FJ631" s="15" t="s">
        <v>1070</v>
      </c>
      <c r="FK631" s="15" t="s">
        <v>7083</v>
      </c>
      <c r="FL631" s="15" t="s">
        <v>426</v>
      </c>
      <c r="FM631" s="15">
        <v>0.0</v>
      </c>
      <c r="FN631" s="15">
        <v>0.0</v>
      </c>
      <c r="FV631" s="15" t="s">
        <v>7113</v>
      </c>
      <c r="FW631" s="15" t="s">
        <v>7115</v>
      </c>
      <c r="FX631" s="15" t="s">
        <v>3694</v>
      </c>
    </row>
    <row r="632" ht="15.75" customHeight="1">
      <c r="A632" s="14" t="s">
        <v>391</v>
      </c>
      <c r="B632" s="15" t="s">
        <v>7116</v>
      </c>
      <c r="C632" s="16"/>
      <c r="D632" s="15" t="s">
        <v>432</v>
      </c>
      <c r="G632" s="14" t="s">
        <v>393</v>
      </c>
      <c r="H632" s="14" t="s">
        <v>394</v>
      </c>
      <c r="I632" s="14" t="b">
        <v>1</v>
      </c>
      <c r="J632" s="14" t="s">
        <v>395</v>
      </c>
      <c r="L632" s="14" t="b">
        <v>0</v>
      </c>
      <c r="M632" s="15" t="s">
        <v>7117</v>
      </c>
      <c r="N632" s="14" t="s">
        <v>393</v>
      </c>
      <c r="O632" s="14" t="s">
        <v>393</v>
      </c>
      <c r="P632" s="15" t="s">
        <v>397</v>
      </c>
      <c r="Q632" s="15" t="s">
        <v>7118</v>
      </c>
      <c r="T632" s="14" t="b">
        <v>0</v>
      </c>
      <c r="U632" s="15" t="s">
        <v>7119</v>
      </c>
      <c r="V632" s="15" t="s">
        <v>7120</v>
      </c>
      <c r="W632" s="15" t="s">
        <v>401</v>
      </c>
      <c r="X632" s="15" t="s">
        <v>742</v>
      </c>
      <c r="Y632" s="15">
        <v>2080.0</v>
      </c>
      <c r="AA632" s="15" t="str">
        <f>"800"</f>
        <v>800</v>
      </c>
      <c r="AB632" s="14" t="b">
        <v>1</v>
      </c>
      <c r="AC632" s="14" t="b">
        <v>1</v>
      </c>
      <c r="AD632" s="15" t="str">
        <f>"198394022613"</f>
        <v>198394022613</v>
      </c>
      <c r="AE632" s="15" t="s">
        <v>7121</v>
      </c>
      <c r="AF632" s="14" t="s">
        <v>404</v>
      </c>
      <c r="AG632" s="14" t="s">
        <v>405</v>
      </c>
      <c r="AH632" s="14" t="s">
        <v>406</v>
      </c>
      <c r="AI632" s="15">
        <v>0.0</v>
      </c>
      <c r="AL632" s="15" t="s">
        <v>1655</v>
      </c>
      <c r="AM632" s="15" t="s">
        <v>5838</v>
      </c>
      <c r="AN632" s="15" t="s">
        <v>3032</v>
      </c>
      <c r="AO632" s="15" t="s">
        <v>976</v>
      </c>
      <c r="AP632" s="15" t="s">
        <v>977</v>
      </c>
      <c r="AQ632" s="15" t="s">
        <v>2229</v>
      </c>
      <c r="AR632" s="15" t="s">
        <v>2230</v>
      </c>
      <c r="AS632" s="15" t="s">
        <v>6315</v>
      </c>
      <c r="AT632" s="15" t="s">
        <v>7118</v>
      </c>
      <c r="AW632" s="15" t="s">
        <v>706</v>
      </c>
      <c r="AX632" s="15" t="s">
        <v>707</v>
      </c>
      <c r="AY632" s="15" t="s">
        <v>413</v>
      </c>
      <c r="AZ632" s="15" t="b">
        <v>0</v>
      </c>
      <c r="BA632" s="15" t="s">
        <v>413</v>
      </c>
      <c r="BB632" s="15" t="b">
        <v>0</v>
      </c>
      <c r="BC632" s="15" t="s">
        <v>7122</v>
      </c>
      <c r="BD632" s="15" t="s">
        <v>742</v>
      </c>
      <c r="BE632" s="15" t="str">
        <f t="shared" ref="BE632:BE662" si="1085">"1"</f>
        <v>1</v>
      </c>
      <c r="BF632" s="15" t="s">
        <v>416</v>
      </c>
      <c r="BG632" s="15" t="str">
        <f t="shared" ref="BG632:BG634" si="1086">"44.49"</f>
        <v>44.49</v>
      </c>
      <c r="BH632" s="15" t="s">
        <v>6443</v>
      </c>
      <c r="BI632" s="15" t="str">
        <f t="shared" ref="BI632:BI634" si="1087">"37.6"</f>
        <v>37.6</v>
      </c>
      <c r="BJ632" s="15" t="s">
        <v>5472</v>
      </c>
      <c r="BK632" s="15" t="str">
        <f t="shared" ref="BK632:BK634" si="1088">"32.68"</f>
        <v>32.68</v>
      </c>
      <c r="BL632" s="15" t="s">
        <v>2066</v>
      </c>
      <c r="BM632" s="15" t="str">
        <f t="shared" ref="BM632:BM634" si="1089">"103.62"</f>
        <v>103.62</v>
      </c>
      <c r="BN632" s="15" t="s">
        <v>2045</v>
      </c>
      <c r="BQ632" s="15" t="s">
        <v>444</v>
      </c>
      <c r="BS632" s="15" t="s">
        <v>444</v>
      </c>
      <c r="BU632" s="15" t="s">
        <v>444</v>
      </c>
      <c r="BW632" s="15" t="s">
        <v>444</v>
      </c>
      <c r="BZ632" s="15" t="s">
        <v>444</v>
      </c>
      <c r="CB632" s="15" t="s">
        <v>444</v>
      </c>
      <c r="CD632" s="15" t="s">
        <v>444</v>
      </c>
      <c r="CF632" s="15" t="s">
        <v>444</v>
      </c>
      <c r="CI632" s="15" t="s">
        <v>444</v>
      </c>
      <c r="CK632" s="15" t="s">
        <v>444</v>
      </c>
      <c r="CM632" s="15" t="s">
        <v>444</v>
      </c>
      <c r="CO632" s="15" t="s">
        <v>444</v>
      </c>
      <c r="CP632" s="15" t="str">
        <f t="shared" ref="CP632:CP634" si="1090">"31.64"</f>
        <v>31.64</v>
      </c>
      <c r="CQ632" s="15" t="str">
        <f t="shared" ref="CQ632:CQ634" si="1091">"0.896"</f>
        <v>0.896</v>
      </c>
      <c r="CR632" s="15" t="s">
        <v>465</v>
      </c>
      <c r="DB632" s="15" t="s">
        <v>2652</v>
      </c>
      <c r="DC632" s="15" t="str">
        <f>IFERROR(__xludf.DUMMYFUNCTION("""COMPUTED_VALUE"""),"{""value"":24.02,""unit"":""in""}")</f>
        <v>{"value":24.02,"unit":"in"}</v>
      </c>
      <c r="DD632" s="15" t="s">
        <v>1604</v>
      </c>
      <c r="DE632" s="15" t="str">
        <f>IFERROR(__xludf.DUMMYFUNCTION("""COMPUTED_VALUE"""),"{""value"":16.93,""unit"":""in""}")</f>
        <v>{"value":16.93,"unit":"in"}</v>
      </c>
      <c r="DG632" s="15" t="str">
        <f>IFERROR(__xludf.DUMMYFUNCTION("""COMPUTED_VALUE"""),"")</f>
        <v/>
      </c>
      <c r="DH632" s="15">
        <v>0.0</v>
      </c>
      <c r="DI632" s="15">
        <v>1.0</v>
      </c>
      <c r="DJ632" s="15" t="s">
        <v>717</v>
      </c>
      <c r="DK632" s="15" t="s">
        <v>934</v>
      </c>
      <c r="DL632" s="15" t="str">
        <f>IFERROR(__xludf.DUMMYFUNCTION("""COMPUTED_VALUE"""),"Spot clean with water-based or solvent-based cleaner. Use mild detergent or upholstery shampoo.")</f>
        <v>Spot clean with water-based or solvent-based cleaner. Use mild detergent or upholstery shampoo.</v>
      </c>
      <c r="DM632" s="15" t="s">
        <v>935</v>
      </c>
      <c r="DQ632" s="15" t="s">
        <v>3844</v>
      </c>
      <c r="DT632" s="15" t="s">
        <v>721</v>
      </c>
      <c r="DU632" s="15" t="s">
        <v>1605</v>
      </c>
      <c r="DV632" s="15">
        <v>0.0</v>
      </c>
      <c r="DZ632" s="15">
        <v>50000.0</v>
      </c>
      <c r="EA632" s="15" t="s">
        <v>990</v>
      </c>
      <c r="EB632" s="15" t="s">
        <v>1016</v>
      </c>
      <c r="ED632" s="15">
        <v>1.0</v>
      </c>
      <c r="EE632" s="15">
        <v>1.0</v>
      </c>
      <c r="EG632" s="15" t="s">
        <v>444</v>
      </c>
      <c r="EH632" s="15" t="s">
        <v>7123</v>
      </c>
      <c r="EI632" s="15">
        <v>0.0</v>
      </c>
      <c r="EJ632" s="15" t="s">
        <v>726</v>
      </c>
      <c r="EK632" s="15" t="s">
        <v>727</v>
      </c>
      <c r="EL632" s="15" t="s">
        <v>715</v>
      </c>
      <c r="EM632" s="15" t="str">
        <f>IFERROR(__xludf.DUMMYFUNCTION("""COMPUTED_VALUE"""),"{""value"":23.23,""unit"":""in""}")</f>
        <v>{"value":23.23,"unit":"in"}</v>
      </c>
      <c r="EN632" s="15" t="s">
        <v>2026</v>
      </c>
      <c r="EO632" s="15" t="s">
        <v>5671</v>
      </c>
      <c r="ES632" s="15" t="s">
        <v>993</v>
      </c>
      <c r="EW632" s="15" t="s">
        <v>3800</v>
      </c>
      <c r="EZ632" s="15" t="s">
        <v>7093</v>
      </c>
      <c r="FC632" s="15" t="s">
        <v>1016</v>
      </c>
      <c r="FE632" s="15" t="s">
        <v>3844</v>
      </c>
      <c r="FF632" s="15" t="s">
        <v>3844</v>
      </c>
      <c r="FL632" s="15" t="s">
        <v>426</v>
      </c>
      <c r="FO632" s="15" t="s">
        <v>2652</v>
      </c>
      <c r="FP632" s="15" t="s">
        <v>1116</v>
      </c>
      <c r="FQ632" s="15">
        <v>0.0</v>
      </c>
      <c r="FR632" s="15">
        <v>0.0</v>
      </c>
      <c r="FT632" s="15">
        <v>0.0</v>
      </c>
      <c r="IL632" s="15" t="s">
        <v>1610</v>
      </c>
    </row>
    <row r="633" ht="15.75" customHeight="1">
      <c r="A633" s="14" t="s">
        <v>391</v>
      </c>
      <c r="B633" s="15" t="s">
        <v>7116</v>
      </c>
      <c r="C633" s="16"/>
      <c r="D633" s="15" t="s">
        <v>432</v>
      </c>
      <c r="G633" s="14" t="s">
        <v>393</v>
      </c>
      <c r="H633" s="14" t="s">
        <v>394</v>
      </c>
      <c r="I633" s="14" t="b">
        <v>1</v>
      </c>
      <c r="J633" s="14" t="s">
        <v>395</v>
      </c>
      <c r="L633" s="14" t="b">
        <v>0</v>
      </c>
      <c r="M633" s="15" t="s">
        <v>7124</v>
      </c>
      <c r="N633" s="14" t="s">
        <v>393</v>
      </c>
      <c r="O633" s="14" t="s">
        <v>393</v>
      </c>
      <c r="P633" s="15" t="s">
        <v>397</v>
      </c>
      <c r="Q633" s="15" t="s">
        <v>2657</v>
      </c>
      <c r="T633" s="14" t="b">
        <v>0</v>
      </c>
      <c r="U633" s="15" t="s">
        <v>7125</v>
      </c>
      <c r="V633" s="15" t="s">
        <v>7120</v>
      </c>
      <c r="W633" s="15" t="s">
        <v>401</v>
      </c>
      <c r="X633" s="15" t="s">
        <v>742</v>
      </c>
      <c r="Y633" s="15">
        <v>2405.0</v>
      </c>
      <c r="AA633" s="15" t="str">
        <f>"925"</f>
        <v>925</v>
      </c>
      <c r="AB633" s="14" t="b">
        <v>1</v>
      </c>
      <c r="AC633" s="14" t="b">
        <v>1</v>
      </c>
      <c r="AD633" s="15" t="str">
        <f>"198394022620"</f>
        <v>198394022620</v>
      </c>
      <c r="AE633" s="15" t="s">
        <v>7126</v>
      </c>
      <c r="AF633" s="14" t="s">
        <v>404</v>
      </c>
      <c r="AG633" s="14" t="s">
        <v>405</v>
      </c>
      <c r="AH633" s="14" t="s">
        <v>406</v>
      </c>
      <c r="AI633" s="15">
        <v>0.0</v>
      </c>
      <c r="AL633" s="15" t="s">
        <v>3352</v>
      </c>
      <c r="AM633" s="15" t="s">
        <v>5838</v>
      </c>
      <c r="AN633" s="15" t="s">
        <v>3032</v>
      </c>
      <c r="AO633" s="15" t="s">
        <v>976</v>
      </c>
      <c r="AP633" s="15" t="s">
        <v>977</v>
      </c>
      <c r="AQ633" s="15" t="s">
        <v>2229</v>
      </c>
      <c r="AR633" s="15" t="s">
        <v>2230</v>
      </c>
      <c r="AS633" s="15" t="s">
        <v>6315</v>
      </c>
      <c r="AT633" s="15" t="s">
        <v>2657</v>
      </c>
      <c r="AW633" s="15" t="s">
        <v>706</v>
      </c>
      <c r="AX633" s="15" t="s">
        <v>707</v>
      </c>
      <c r="AY633" s="15" t="s">
        <v>413</v>
      </c>
      <c r="AZ633" s="15" t="b">
        <v>0</v>
      </c>
      <c r="BA633" s="15" t="s">
        <v>413</v>
      </c>
      <c r="BB633" s="15" t="b">
        <v>0</v>
      </c>
      <c r="BC633" s="15" t="s">
        <v>7127</v>
      </c>
      <c r="BD633" s="15" t="s">
        <v>742</v>
      </c>
      <c r="BE633" s="15" t="str">
        <f t="shared" si="1085"/>
        <v>1</v>
      </c>
      <c r="BF633" s="15" t="s">
        <v>416</v>
      </c>
      <c r="BG633" s="15" t="str">
        <f t="shared" si="1086"/>
        <v>44.49</v>
      </c>
      <c r="BH633" s="15" t="s">
        <v>6443</v>
      </c>
      <c r="BI633" s="15" t="str">
        <f t="shared" si="1087"/>
        <v>37.6</v>
      </c>
      <c r="BJ633" s="15" t="s">
        <v>5472</v>
      </c>
      <c r="BK633" s="15" t="str">
        <f t="shared" si="1088"/>
        <v>32.68</v>
      </c>
      <c r="BL633" s="15" t="s">
        <v>2066</v>
      </c>
      <c r="BM633" s="15" t="str">
        <f t="shared" si="1089"/>
        <v>103.62</v>
      </c>
      <c r="BN633" s="15" t="s">
        <v>2045</v>
      </c>
      <c r="BQ633" s="15" t="s">
        <v>444</v>
      </c>
      <c r="BS633" s="15" t="s">
        <v>444</v>
      </c>
      <c r="BU633" s="15" t="s">
        <v>444</v>
      </c>
      <c r="BW633" s="15" t="s">
        <v>444</v>
      </c>
      <c r="BZ633" s="15" t="s">
        <v>444</v>
      </c>
      <c r="CB633" s="15" t="s">
        <v>444</v>
      </c>
      <c r="CD633" s="15" t="s">
        <v>444</v>
      </c>
      <c r="CF633" s="15" t="s">
        <v>444</v>
      </c>
      <c r="CI633" s="15" t="s">
        <v>444</v>
      </c>
      <c r="CK633" s="15" t="s">
        <v>444</v>
      </c>
      <c r="CM633" s="15" t="s">
        <v>444</v>
      </c>
      <c r="CO633" s="15" t="s">
        <v>444</v>
      </c>
      <c r="CP633" s="15" t="str">
        <f t="shared" si="1090"/>
        <v>31.64</v>
      </c>
      <c r="CQ633" s="15" t="str">
        <f t="shared" si="1091"/>
        <v>0.896</v>
      </c>
      <c r="CR633" s="15" t="s">
        <v>497</v>
      </c>
      <c r="DB633" s="15" t="s">
        <v>2652</v>
      </c>
      <c r="DC633" s="15" t="str">
        <f>IFERROR(__xludf.DUMMYFUNCTION("""COMPUTED_VALUE"""),"{""value"":24.02,""unit"":""in""}")</f>
        <v>{"value":24.02,"unit":"in"}</v>
      </c>
      <c r="DD633" s="15" t="s">
        <v>1604</v>
      </c>
      <c r="DE633" s="15" t="str">
        <f>IFERROR(__xludf.DUMMYFUNCTION("""COMPUTED_VALUE"""),"{""value"":16.93,""unit"":""in""}")</f>
        <v>{"value":16.93,"unit":"in"}</v>
      </c>
      <c r="DG633" s="15" t="str">
        <f>IFERROR(__xludf.DUMMYFUNCTION("""COMPUTED_VALUE"""),"")</f>
        <v/>
      </c>
      <c r="DH633" s="15">
        <v>0.0</v>
      </c>
      <c r="DI633" s="15">
        <v>1.0</v>
      </c>
      <c r="DJ633" s="15" t="s">
        <v>717</v>
      </c>
      <c r="DK633" s="15" t="s">
        <v>934</v>
      </c>
      <c r="DL633" s="15" t="str">
        <f>IFERROR(__xludf.DUMMYFUNCTION("""COMPUTED_VALUE"""),"Spot clean with water-based or solvent-based cleaner. Use mild detergent or upholstery shampoo.")</f>
        <v>Spot clean with water-based or solvent-based cleaner. Use mild detergent or upholstery shampoo.</v>
      </c>
      <c r="DM633" s="15" t="s">
        <v>935</v>
      </c>
      <c r="DQ633" s="15" t="s">
        <v>3844</v>
      </c>
      <c r="DT633" s="15" t="s">
        <v>721</v>
      </c>
      <c r="DU633" s="15" t="s">
        <v>1605</v>
      </c>
      <c r="DV633" s="15">
        <v>0.0</v>
      </c>
      <c r="DZ633" s="15">
        <v>50000.0</v>
      </c>
      <c r="EA633" s="15" t="s">
        <v>990</v>
      </c>
      <c r="EB633" s="15" t="s">
        <v>1016</v>
      </c>
      <c r="ED633" s="15">
        <v>1.0</v>
      </c>
      <c r="EE633" s="15">
        <v>1.0</v>
      </c>
      <c r="EG633" s="15" t="s">
        <v>444</v>
      </c>
      <c r="EH633" s="15" t="s">
        <v>7123</v>
      </c>
      <c r="EI633" s="15">
        <v>0.0</v>
      </c>
      <c r="EJ633" s="15" t="s">
        <v>726</v>
      </c>
      <c r="EK633" s="15" t="s">
        <v>727</v>
      </c>
      <c r="EL633" s="15" t="s">
        <v>715</v>
      </c>
      <c r="EM633" s="15" t="str">
        <f>IFERROR(__xludf.DUMMYFUNCTION("""COMPUTED_VALUE"""),"{""value"":23.23,""unit"":""in""}")</f>
        <v>{"value":23.23,"unit":"in"}</v>
      </c>
      <c r="EN633" s="15" t="s">
        <v>2026</v>
      </c>
      <c r="EO633" s="15" t="s">
        <v>5671</v>
      </c>
      <c r="ES633" s="15" t="s">
        <v>993</v>
      </c>
      <c r="EW633" s="15" t="s">
        <v>3800</v>
      </c>
      <c r="EZ633" s="15" t="s">
        <v>7093</v>
      </c>
      <c r="FC633" s="15" t="s">
        <v>1016</v>
      </c>
      <c r="FE633" s="15" t="s">
        <v>3844</v>
      </c>
      <c r="FF633" s="15" t="s">
        <v>3844</v>
      </c>
      <c r="FL633" s="15" t="s">
        <v>426</v>
      </c>
      <c r="FO633" s="15" t="s">
        <v>2652</v>
      </c>
      <c r="FP633" s="15" t="s">
        <v>1116</v>
      </c>
      <c r="FQ633" s="15">
        <v>0.0</v>
      </c>
      <c r="FR633" s="15">
        <v>0.0</v>
      </c>
      <c r="FT633" s="15">
        <v>0.0</v>
      </c>
      <c r="IL633" s="15" t="s">
        <v>1610</v>
      </c>
    </row>
    <row r="634" ht="15.75" customHeight="1">
      <c r="A634" s="14" t="s">
        <v>391</v>
      </c>
      <c r="B634" s="15" t="s">
        <v>7116</v>
      </c>
      <c r="C634" s="16"/>
      <c r="D634" s="15" t="s">
        <v>432</v>
      </c>
      <c r="G634" s="14" t="s">
        <v>393</v>
      </c>
      <c r="H634" s="14" t="s">
        <v>394</v>
      </c>
      <c r="I634" s="14" t="b">
        <v>1</v>
      </c>
      <c r="J634" s="14" t="s">
        <v>395</v>
      </c>
      <c r="L634" s="14" t="b">
        <v>0</v>
      </c>
      <c r="M634" s="15" t="s">
        <v>7128</v>
      </c>
      <c r="N634" s="14" t="s">
        <v>393</v>
      </c>
      <c r="O634" s="14" t="s">
        <v>393</v>
      </c>
      <c r="P634" s="15" t="s">
        <v>397</v>
      </c>
      <c r="Q634" s="15" t="s">
        <v>1262</v>
      </c>
      <c r="T634" s="14" t="b">
        <v>0</v>
      </c>
      <c r="U634" s="15" t="s">
        <v>7129</v>
      </c>
      <c r="V634" s="15" t="s">
        <v>7120</v>
      </c>
      <c r="W634" s="15" t="s">
        <v>401</v>
      </c>
      <c r="X634" s="15" t="s">
        <v>742</v>
      </c>
      <c r="Y634" s="15">
        <v>2184.0</v>
      </c>
      <c r="AA634" s="15" t="str">
        <f>"840"</f>
        <v>840</v>
      </c>
      <c r="AB634" s="14" t="b">
        <v>1</v>
      </c>
      <c r="AC634" s="14" t="b">
        <v>1</v>
      </c>
      <c r="AD634" s="15" t="str">
        <f>"801542255336"</f>
        <v>801542255336</v>
      </c>
      <c r="AE634" s="15" t="s">
        <v>7130</v>
      </c>
      <c r="AF634" s="14" t="s">
        <v>404</v>
      </c>
      <c r="AG634" s="14" t="s">
        <v>405</v>
      </c>
      <c r="AH634" s="14" t="s">
        <v>406</v>
      </c>
      <c r="AI634" s="15">
        <v>0.0</v>
      </c>
      <c r="AL634" s="15" t="s">
        <v>7131</v>
      </c>
      <c r="AM634" s="15" t="s">
        <v>5838</v>
      </c>
      <c r="AN634" s="15" t="s">
        <v>3032</v>
      </c>
      <c r="AO634" s="15" t="s">
        <v>976</v>
      </c>
      <c r="AP634" s="15" t="s">
        <v>977</v>
      </c>
      <c r="AQ634" s="15" t="s">
        <v>2229</v>
      </c>
      <c r="AR634" s="15" t="s">
        <v>2230</v>
      </c>
      <c r="AS634" s="15" t="s">
        <v>6315</v>
      </c>
      <c r="AT634" s="15" t="s">
        <v>1262</v>
      </c>
      <c r="AW634" s="15" t="s">
        <v>706</v>
      </c>
      <c r="AX634" s="15" t="s">
        <v>707</v>
      </c>
      <c r="AY634" s="15" t="s">
        <v>413</v>
      </c>
      <c r="AZ634" s="15" t="b">
        <v>0</v>
      </c>
      <c r="BA634" s="15" t="s">
        <v>413</v>
      </c>
      <c r="BB634" s="15" t="b">
        <v>0</v>
      </c>
      <c r="BC634" s="15" t="s">
        <v>7127</v>
      </c>
      <c r="BD634" s="15" t="s">
        <v>742</v>
      </c>
      <c r="BE634" s="15" t="str">
        <f t="shared" si="1085"/>
        <v>1</v>
      </c>
      <c r="BF634" s="15" t="s">
        <v>416</v>
      </c>
      <c r="BG634" s="15" t="str">
        <f t="shared" si="1086"/>
        <v>44.49</v>
      </c>
      <c r="BH634" s="15" t="s">
        <v>6443</v>
      </c>
      <c r="BI634" s="15" t="str">
        <f t="shared" si="1087"/>
        <v>37.6</v>
      </c>
      <c r="BJ634" s="15" t="s">
        <v>5472</v>
      </c>
      <c r="BK634" s="15" t="str">
        <f t="shared" si="1088"/>
        <v>32.68</v>
      </c>
      <c r="BL634" s="15" t="s">
        <v>2066</v>
      </c>
      <c r="BM634" s="15" t="str">
        <f t="shared" si="1089"/>
        <v>103.62</v>
      </c>
      <c r="BN634" s="15" t="s">
        <v>2045</v>
      </c>
      <c r="BQ634" s="15" t="s">
        <v>444</v>
      </c>
      <c r="BS634" s="15" t="s">
        <v>444</v>
      </c>
      <c r="BU634" s="15" t="s">
        <v>444</v>
      </c>
      <c r="BW634" s="15" t="s">
        <v>444</v>
      </c>
      <c r="BZ634" s="15" t="s">
        <v>444</v>
      </c>
      <c r="CB634" s="15" t="s">
        <v>444</v>
      </c>
      <c r="CD634" s="15" t="s">
        <v>444</v>
      </c>
      <c r="CF634" s="15" t="s">
        <v>444</v>
      </c>
      <c r="CI634" s="15" t="s">
        <v>444</v>
      </c>
      <c r="CK634" s="15" t="s">
        <v>444</v>
      </c>
      <c r="CM634" s="15" t="s">
        <v>444</v>
      </c>
      <c r="CO634" s="15" t="s">
        <v>444</v>
      </c>
      <c r="CP634" s="15" t="str">
        <f t="shared" si="1090"/>
        <v>31.64</v>
      </c>
      <c r="CQ634" s="15" t="str">
        <f t="shared" si="1091"/>
        <v>0.896</v>
      </c>
      <c r="CR634" s="15" t="s">
        <v>497</v>
      </c>
      <c r="DB634" s="15" t="s">
        <v>2652</v>
      </c>
      <c r="DC634" s="15" t="str">
        <f>IFERROR(__xludf.DUMMYFUNCTION("""COMPUTED_VALUE"""),"{""value"":24.02,""unit"":""in""}")</f>
        <v>{"value":24.02,"unit":"in"}</v>
      </c>
      <c r="DD634" s="15" t="s">
        <v>1604</v>
      </c>
      <c r="DE634" s="15" t="str">
        <f>IFERROR(__xludf.DUMMYFUNCTION("""COMPUTED_VALUE"""),"{""value"":16.93,""unit"":""in""}")</f>
        <v>{"value":16.93,"unit":"in"}</v>
      </c>
      <c r="DG634" s="15" t="str">
        <f>IFERROR(__xludf.DUMMYFUNCTION("""COMPUTED_VALUE"""),"")</f>
        <v/>
      </c>
      <c r="DH634" s="15">
        <v>0.0</v>
      </c>
      <c r="DI634" s="15">
        <v>1.0</v>
      </c>
      <c r="DJ634" s="15" t="s">
        <v>717</v>
      </c>
      <c r="DK634" s="15" t="s">
        <v>897</v>
      </c>
      <c r="DL634" s="15" t="str">
        <f>IFERROR(__xludf.DUMMYFUNCTION("""COMPUTED_VALUE"""),"Clean with water-based products only. Use mild detergent or upholstery shampoo.")</f>
        <v>Clean with water-based products only. Use mild detergent or upholstery shampoo.</v>
      </c>
      <c r="DM634" s="15" t="s">
        <v>898</v>
      </c>
      <c r="DQ634" s="15" t="s">
        <v>3844</v>
      </c>
      <c r="DT634" s="15" t="s">
        <v>721</v>
      </c>
      <c r="DU634" s="15" t="s">
        <v>1605</v>
      </c>
      <c r="DV634" s="15">
        <v>0.0</v>
      </c>
      <c r="DZ634" s="15">
        <v>30000.0</v>
      </c>
      <c r="EA634" s="15" t="s">
        <v>990</v>
      </c>
      <c r="EB634" s="15" t="s">
        <v>1016</v>
      </c>
      <c r="ED634" s="15">
        <v>1.0</v>
      </c>
      <c r="EE634" s="15">
        <v>1.0</v>
      </c>
      <c r="EG634" s="15" t="s">
        <v>444</v>
      </c>
      <c r="EH634" s="15" t="s">
        <v>7123</v>
      </c>
      <c r="EI634" s="15">
        <v>0.0</v>
      </c>
      <c r="EJ634" s="15" t="s">
        <v>726</v>
      </c>
      <c r="EK634" s="15" t="s">
        <v>727</v>
      </c>
      <c r="EL634" s="15" t="s">
        <v>715</v>
      </c>
      <c r="EM634" s="15" t="str">
        <f>IFERROR(__xludf.DUMMYFUNCTION("""COMPUTED_VALUE"""),"{""value"":23.23,""unit"":""in""}")</f>
        <v>{"value":23.23,"unit":"in"}</v>
      </c>
      <c r="EN634" s="15" t="s">
        <v>2026</v>
      </c>
      <c r="EO634" s="15" t="s">
        <v>5671</v>
      </c>
      <c r="ES634" s="15" t="s">
        <v>993</v>
      </c>
      <c r="EW634" s="15" t="s">
        <v>3800</v>
      </c>
      <c r="EZ634" s="15" t="s">
        <v>7093</v>
      </c>
      <c r="FC634" s="15" t="s">
        <v>1016</v>
      </c>
      <c r="FE634" s="15" t="s">
        <v>3844</v>
      </c>
      <c r="FF634" s="15" t="s">
        <v>3844</v>
      </c>
      <c r="FL634" s="15" t="s">
        <v>426</v>
      </c>
      <c r="FO634" s="15" t="s">
        <v>2652</v>
      </c>
      <c r="FP634" s="15" t="s">
        <v>1116</v>
      </c>
      <c r="FQ634" s="15">
        <v>0.0</v>
      </c>
      <c r="FR634" s="15">
        <v>0.0</v>
      </c>
      <c r="FT634" s="15">
        <v>0.0</v>
      </c>
      <c r="IL634" s="15" t="s">
        <v>1610</v>
      </c>
    </row>
    <row r="635" ht="15.75" customHeight="1">
      <c r="A635" s="14" t="s">
        <v>391</v>
      </c>
      <c r="B635" s="15" t="s">
        <v>7132</v>
      </c>
      <c r="C635" s="16"/>
      <c r="D635" s="15" t="s">
        <v>432</v>
      </c>
      <c r="G635" s="14" t="s">
        <v>393</v>
      </c>
      <c r="H635" s="14" t="s">
        <v>394</v>
      </c>
      <c r="I635" s="14" t="b">
        <v>1</v>
      </c>
      <c r="J635" s="14" t="s">
        <v>395</v>
      </c>
      <c r="L635" s="14" t="b">
        <v>0</v>
      </c>
      <c r="M635" s="15" t="s">
        <v>7133</v>
      </c>
      <c r="N635" s="14" t="s">
        <v>393</v>
      </c>
      <c r="O635" s="14" t="s">
        <v>393</v>
      </c>
      <c r="P635" s="15" t="s">
        <v>397</v>
      </c>
      <c r="Q635" s="15" t="s">
        <v>3142</v>
      </c>
      <c r="T635" s="14" t="b">
        <v>0</v>
      </c>
      <c r="U635" s="15" t="s">
        <v>7134</v>
      </c>
      <c r="V635" s="15" t="s">
        <v>6694</v>
      </c>
      <c r="W635" s="15" t="s">
        <v>401</v>
      </c>
      <c r="X635" s="15" t="s">
        <v>742</v>
      </c>
      <c r="Y635" s="15">
        <v>4368.0</v>
      </c>
      <c r="AA635" s="15" t="str">
        <f>"1680"</f>
        <v>1680</v>
      </c>
      <c r="AB635" s="14" t="b">
        <v>1</v>
      </c>
      <c r="AC635" s="14" t="b">
        <v>1</v>
      </c>
      <c r="AD635" s="15" t="str">
        <f>"801542805685"</f>
        <v>801542805685</v>
      </c>
      <c r="AE635" s="15" t="s">
        <v>7135</v>
      </c>
      <c r="AF635" s="14" t="s">
        <v>404</v>
      </c>
      <c r="AG635" s="14" t="s">
        <v>405</v>
      </c>
      <c r="AH635" s="14" t="s">
        <v>406</v>
      </c>
      <c r="AI635" s="15">
        <v>0.0</v>
      </c>
      <c r="AL635" s="15" t="s">
        <v>6706</v>
      </c>
      <c r="AM635" s="15" t="s">
        <v>596</v>
      </c>
      <c r="AN635" s="15" t="s">
        <v>597</v>
      </c>
      <c r="AO635" s="15" t="s">
        <v>7136</v>
      </c>
      <c r="AP635" s="15" t="s">
        <v>3732</v>
      </c>
      <c r="AQ635" s="15" t="s">
        <v>2306</v>
      </c>
      <c r="AR635" s="15" t="s">
        <v>2307</v>
      </c>
      <c r="AS635" s="15" t="s">
        <v>2759</v>
      </c>
      <c r="AT635" s="15" t="s">
        <v>3142</v>
      </c>
      <c r="AW635" s="15" t="s">
        <v>664</v>
      </c>
      <c r="AY635" s="15" t="s">
        <v>413</v>
      </c>
      <c r="AZ635" s="15" t="b">
        <v>0</v>
      </c>
      <c r="BA635" s="15" t="s">
        <v>413</v>
      </c>
      <c r="BB635" s="15" t="b">
        <v>0</v>
      </c>
      <c r="BC635" s="15" t="s">
        <v>7137</v>
      </c>
      <c r="BD635" s="15" t="s">
        <v>742</v>
      </c>
      <c r="BE635" s="15" t="str">
        <f t="shared" si="1085"/>
        <v>1</v>
      </c>
      <c r="BF635" s="15" t="s">
        <v>416</v>
      </c>
      <c r="BG635" s="15" t="str">
        <f>"97.83"</f>
        <v>97.83</v>
      </c>
      <c r="BH635" s="15" t="s">
        <v>7138</v>
      </c>
      <c r="BI635" s="15" t="str">
        <f>"23.03"</f>
        <v>23.03</v>
      </c>
      <c r="BJ635" s="15" t="s">
        <v>2154</v>
      </c>
      <c r="BK635" s="15" t="str">
        <f>"38.98"</f>
        <v>38.98</v>
      </c>
      <c r="BL635" s="15" t="s">
        <v>927</v>
      </c>
      <c r="BM635" s="15" t="str">
        <f>"321.87"</f>
        <v>321.87</v>
      </c>
      <c r="BN635" s="15" t="s">
        <v>7139</v>
      </c>
      <c r="BQ635" s="15" t="s">
        <v>444</v>
      </c>
      <c r="BS635" s="15" t="s">
        <v>444</v>
      </c>
      <c r="BU635" s="15" t="s">
        <v>444</v>
      </c>
      <c r="BW635" s="15" t="s">
        <v>444</v>
      </c>
      <c r="BZ635" s="15" t="s">
        <v>444</v>
      </c>
      <c r="CB635" s="15" t="s">
        <v>444</v>
      </c>
      <c r="CD635" s="15" t="s">
        <v>444</v>
      </c>
      <c r="CF635" s="15" t="s">
        <v>444</v>
      </c>
      <c r="CI635" s="15" t="s">
        <v>444</v>
      </c>
      <c r="CK635" s="15" t="s">
        <v>444</v>
      </c>
      <c r="CM635" s="15" t="s">
        <v>444</v>
      </c>
      <c r="CO635" s="15" t="s">
        <v>444</v>
      </c>
      <c r="CP635" s="15" t="str">
        <f>"50.82"</f>
        <v>50.82</v>
      </c>
      <c r="CQ635" s="15" t="str">
        <f>"1.439"</f>
        <v>1.439</v>
      </c>
      <c r="CR635" s="15" t="s">
        <v>417</v>
      </c>
      <c r="CV635" s="15" t="s">
        <v>607</v>
      </c>
      <c r="CW635" s="15" t="s">
        <v>3955</v>
      </c>
      <c r="CX635" s="15" t="s">
        <v>6273</v>
      </c>
      <c r="DC635" s="15" t="str">
        <f>IFERROR(__xludf.DUMMYFUNCTION("""COMPUTED_VALUE"""),"")</f>
        <v/>
      </c>
      <c r="DE635" s="15" t="str">
        <f>IFERROR(__xludf.DUMMYFUNCTION("""COMPUTED_VALUE"""),"")</f>
        <v/>
      </c>
      <c r="DG635" s="15" t="str">
        <f>IFERROR(__xludf.DUMMYFUNCTION("""COMPUTED_VALUE"""),"")</f>
        <v/>
      </c>
      <c r="DL635" s="15" t="str">
        <f>IFERROR(__xludf.DUMMYFUNCTION("""COMPUTED_VALUE"""),"")</f>
        <v/>
      </c>
      <c r="DM635" s="15" t="s">
        <v>444</v>
      </c>
      <c r="DN635" s="15" t="s">
        <v>419</v>
      </c>
      <c r="DO635" s="15">
        <v>0.0</v>
      </c>
      <c r="DP635" s="15" t="s">
        <v>419</v>
      </c>
      <c r="DR635" s="15">
        <v>0.0</v>
      </c>
      <c r="DT635" s="15" t="s">
        <v>420</v>
      </c>
      <c r="DU635" s="15" t="s">
        <v>610</v>
      </c>
      <c r="DW635" s="15">
        <v>18.14</v>
      </c>
      <c r="DX635" s="15">
        <v>40.0</v>
      </c>
      <c r="DY635" s="15">
        <v>3.0</v>
      </c>
      <c r="EG635" s="15" t="s">
        <v>444</v>
      </c>
      <c r="EH635" s="15" t="s">
        <v>7140</v>
      </c>
      <c r="EJ635" s="15" t="s">
        <v>424</v>
      </c>
      <c r="EK635" s="15" t="s">
        <v>446</v>
      </c>
      <c r="EM635" s="15" t="str">
        <f>IFERROR(__xludf.DUMMYFUNCTION("""COMPUTED_VALUE"""),"")</f>
        <v/>
      </c>
      <c r="EW635" s="15" t="s">
        <v>4375</v>
      </c>
      <c r="FL635" s="15" t="s">
        <v>426</v>
      </c>
      <c r="FM635" s="15">
        <v>3.0</v>
      </c>
      <c r="FY635" s="15" t="s">
        <v>984</v>
      </c>
      <c r="FZ635" s="15" t="s">
        <v>782</v>
      </c>
      <c r="GA635" s="15" t="s">
        <v>2220</v>
      </c>
      <c r="GB635" s="15" t="s">
        <v>607</v>
      </c>
      <c r="GC635" s="15" t="s">
        <v>782</v>
      </c>
      <c r="GD635" s="15" t="s">
        <v>6273</v>
      </c>
      <c r="GE635" s="15">
        <v>0.0</v>
      </c>
      <c r="GH635" s="15">
        <v>4.0</v>
      </c>
      <c r="GI635" s="15" t="s">
        <v>614</v>
      </c>
      <c r="GJ635" s="15" t="s">
        <v>1045</v>
      </c>
      <c r="GK635" s="15">
        <v>0.0</v>
      </c>
      <c r="GL635" s="15" t="s">
        <v>426</v>
      </c>
      <c r="GN635" s="15" t="s">
        <v>616</v>
      </c>
      <c r="HA635" s="15" t="s">
        <v>607</v>
      </c>
      <c r="HB635" s="15" t="s">
        <v>3955</v>
      </c>
      <c r="HC635" s="15" t="s">
        <v>7141</v>
      </c>
      <c r="HW635" s="15" t="s">
        <v>1957</v>
      </c>
      <c r="ID635" s="15" t="s">
        <v>607</v>
      </c>
      <c r="IE635" s="15" t="s">
        <v>782</v>
      </c>
      <c r="IF635" s="15" t="s">
        <v>7141</v>
      </c>
      <c r="IH635" s="15" t="s">
        <v>426</v>
      </c>
    </row>
    <row r="636" ht="15.75" customHeight="1">
      <c r="A636" s="14" t="s">
        <v>391</v>
      </c>
      <c r="B636" s="15" t="s">
        <v>7142</v>
      </c>
      <c r="C636" s="16"/>
      <c r="D636" s="15" t="s">
        <v>432</v>
      </c>
      <c r="G636" s="14" t="s">
        <v>393</v>
      </c>
      <c r="H636" s="14" t="s">
        <v>394</v>
      </c>
      <c r="I636" s="14" t="b">
        <v>1</v>
      </c>
      <c r="J636" s="14" t="s">
        <v>395</v>
      </c>
      <c r="L636" s="14" t="b">
        <v>0</v>
      </c>
      <c r="M636" s="15" t="s">
        <v>7143</v>
      </c>
      <c r="N636" s="14" t="s">
        <v>393</v>
      </c>
      <c r="O636" s="14" t="s">
        <v>393</v>
      </c>
      <c r="P636" s="15" t="s">
        <v>397</v>
      </c>
      <c r="Q636" s="15" t="s">
        <v>7144</v>
      </c>
      <c r="T636" s="14" t="b">
        <v>0</v>
      </c>
      <c r="U636" s="15" t="s">
        <v>7145</v>
      </c>
      <c r="V636" s="15" t="s">
        <v>1530</v>
      </c>
      <c r="W636" s="15" t="s">
        <v>401</v>
      </c>
      <c r="X636" s="15" t="s">
        <v>695</v>
      </c>
      <c r="Y636" s="15">
        <v>1911.0</v>
      </c>
      <c r="AA636" s="15" t="str">
        <f>"735"</f>
        <v>735</v>
      </c>
      <c r="AB636" s="14" t="b">
        <v>1</v>
      </c>
      <c r="AC636" s="14" t="b">
        <v>1</v>
      </c>
      <c r="AD636" s="15" t="str">
        <f>"801542101770"</f>
        <v>801542101770</v>
      </c>
      <c r="AE636" s="15" t="s">
        <v>7146</v>
      </c>
      <c r="AF636" s="14" t="s">
        <v>404</v>
      </c>
      <c r="AG636" s="14" t="s">
        <v>405</v>
      </c>
      <c r="AH636" s="14" t="s">
        <v>406</v>
      </c>
      <c r="AI636" s="15">
        <v>0.0</v>
      </c>
      <c r="AL636" s="15" t="s">
        <v>697</v>
      </c>
      <c r="AM636" s="15" t="s">
        <v>2306</v>
      </c>
      <c r="AN636" s="15" t="s">
        <v>2307</v>
      </c>
      <c r="AO636" s="15" t="s">
        <v>1801</v>
      </c>
      <c r="AP636" s="15" t="s">
        <v>1322</v>
      </c>
      <c r="AQ636" s="15" t="s">
        <v>410</v>
      </c>
      <c r="AR636" s="15" t="s">
        <v>439</v>
      </c>
      <c r="AS636" s="15" t="s">
        <v>2193</v>
      </c>
      <c r="AT636" s="15" t="s">
        <v>7144</v>
      </c>
      <c r="AU636" s="15" t="s">
        <v>7147</v>
      </c>
      <c r="AV636" s="15" t="s">
        <v>4336</v>
      </c>
      <c r="AW636" s="15" t="s">
        <v>706</v>
      </c>
      <c r="AX636" s="15" t="s">
        <v>707</v>
      </c>
      <c r="AY636" s="15" t="s">
        <v>413</v>
      </c>
      <c r="AZ636" s="15" t="b">
        <v>0</v>
      </c>
      <c r="BA636" s="15" t="s">
        <v>413</v>
      </c>
      <c r="BB636" s="15" t="b">
        <v>0</v>
      </c>
      <c r="BC636" s="15" t="s">
        <v>7148</v>
      </c>
      <c r="BD636" s="15" t="s">
        <v>709</v>
      </c>
      <c r="BE636" s="15" t="str">
        <f t="shared" si="1085"/>
        <v>1</v>
      </c>
      <c r="BF636" s="15" t="s">
        <v>416</v>
      </c>
      <c r="BG636" s="15" t="str">
        <f>"33.46"</f>
        <v>33.46</v>
      </c>
      <c r="BH636" s="15" t="s">
        <v>1109</v>
      </c>
      <c r="BI636" s="15" t="str">
        <f>"31.5"</f>
        <v>31.5</v>
      </c>
      <c r="BJ636" s="15" t="s">
        <v>1322</v>
      </c>
      <c r="BK636" s="15" t="str">
        <f>"33.66"</f>
        <v>33.66</v>
      </c>
      <c r="BL636" s="15" t="s">
        <v>7149</v>
      </c>
      <c r="BM636" s="15" t="str">
        <f>"55.12"</f>
        <v>55.12</v>
      </c>
      <c r="BN636" s="15" t="s">
        <v>5847</v>
      </c>
      <c r="BQ636" s="15" t="s">
        <v>444</v>
      </c>
      <c r="BS636" s="15" t="s">
        <v>444</v>
      </c>
      <c r="BU636" s="15" t="s">
        <v>444</v>
      </c>
      <c r="BW636" s="15" t="s">
        <v>444</v>
      </c>
      <c r="BZ636" s="15" t="s">
        <v>444</v>
      </c>
      <c r="CB636" s="15" t="s">
        <v>444</v>
      </c>
      <c r="CD636" s="15" t="s">
        <v>444</v>
      </c>
      <c r="CF636" s="15" t="s">
        <v>444</v>
      </c>
      <c r="CI636" s="15" t="s">
        <v>444</v>
      </c>
      <c r="CK636" s="15" t="s">
        <v>444</v>
      </c>
      <c r="CM636" s="15" t="s">
        <v>444</v>
      </c>
      <c r="CO636" s="15" t="s">
        <v>444</v>
      </c>
      <c r="CP636" s="15" t="str">
        <f>"20.52"</f>
        <v>20.52</v>
      </c>
      <c r="CQ636" s="15" t="str">
        <f>"0.581"</f>
        <v>0.581</v>
      </c>
      <c r="CR636" s="15" t="s">
        <v>465</v>
      </c>
      <c r="DB636" s="15" t="s">
        <v>1072</v>
      </c>
      <c r="DC636" s="15" t="str">
        <f>IFERROR(__xludf.DUMMYFUNCTION("""COMPUTED_VALUE"""),"{""value"":22.00,""unit"":""in""}")</f>
        <v>{"value":22.00,"unit":"in"}</v>
      </c>
      <c r="DD636" s="15" t="s">
        <v>2292</v>
      </c>
      <c r="DE636" s="15" t="str">
        <f>IFERROR(__xludf.DUMMYFUNCTION("""COMPUTED_VALUE"""),"{""value"":17.75,""unit"":""in""}")</f>
        <v>{"value":17.75,"unit":"in"}</v>
      </c>
      <c r="DF636" s="15" t="s">
        <v>1212</v>
      </c>
      <c r="DG636" s="15" t="str">
        <f>IFERROR(__xludf.DUMMYFUNCTION("""COMPUTED_VALUE"""),"{""value"":25.50,""unit"":""in""}")</f>
        <v>{"value":25.50,"unit":"in"}</v>
      </c>
      <c r="DH636" s="15">
        <v>0.0</v>
      </c>
      <c r="DI636" s="15">
        <v>0.0</v>
      </c>
      <c r="DJ636" s="15" t="s">
        <v>717</v>
      </c>
      <c r="DK636" s="15" t="s">
        <v>718</v>
      </c>
      <c r="DL636" s="15" t="str">
        <f>IFERROR(__xludf.DUMMYFUNCTION("""COMPUTED_VALUE"""),"Vacuum or light brush only. Do not use water or any cleaning products.")</f>
        <v>Vacuum or light brush only. Do not use water or any cleaning products.</v>
      </c>
      <c r="DM636" s="15" t="s">
        <v>719</v>
      </c>
      <c r="DT636" s="15" t="s">
        <v>721</v>
      </c>
      <c r="DU636" s="15" t="s">
        <v>419</v>
      </c>
      <c r="DV636" s="15">
        <v>0.0</v>
      </c>
      <c r="DZ636" s="15">
        <v>0.0</v>
      </c>
      <c r="EA636" s="15" t="s">
        <v>722</v>
      </c>
      <c r="ED636" s="15">
        <v>0.0</v>
      </c>
      <c r="EE636" s="15">
        <v>1.0</v>
      </c>
      <c r="EG636" s="15" t="s">
        <v>444</v>
      </c>
      <c r="EH636" s="15" t="s">
        <v>7150</v>
      </c>
      <c r="EI636" s="15">
        <v>0.0</v>
      </c>
      <c r="EJ636" s="15" t="s">
        <v>726</v>
      </c>
      <c r="EK636" s="15" t="s">
        <v>727</v>
      </c>
      <c r="EL636" s="15" t="s">
        <v>1211</v>
      </c>
      <c r="EM636" s="15" t="str">
        <f>IFERROR(__xludf.DUMMYFUNCTION("""COMPUTED_VALUE"""),"{""value"":24.00,""unit"":""in""}")</f>
        <v>{"value":24.00,"unit":"in"}</v>
      </c>
      <c r="EN636" s="15" t="s">
        <v>2899</v>
      </c>
      <c r="EO636" s="15" t="s">
        <v>1700</v>
      </c>
      <c r="ES636" s="15" t="s">
        <v>672</v>
      </c>
      <c r="EW636" s="15" t="s">
        <v>2739</v>
      </c>
      <c r="EX636" s="15" t="s">
        <v>1064</v>
      </c>
      <c r="EY636" s="15" t="s">
        <v>1064</v>
      </c>
      <c r="EZ636" s="15" t="s">
        <v>3735</v>
      </c>
      <c r="FF636" s="15" t="s">
        <v>1239</v>
      </c>
      <c r="FQ636" s="15">
        <v>0.0</v>
      </c>
      <c r="FR636" s="15">
        <v>0.0</v>
      </c>
      <c r="FT636" s="15">
        <v>0.0</v>
      </c>
    </row>
    <row r="637" ht="15.75" customHeight="1">
      <c r="A637" s="14" t="s">
        <v>391</v>
      </c>
      <c r="B637" s="15" t="s">
        <v>7151</v>
      </c>
      <c r="C637" s="16"/>
      <c r="D637" s="15" t="s">
        <v>432</v>
      </c>
      <c r="G637" s="14" t="s">
        <v>393</v>
      </c>
      <c r="H637" s="14" t="s">
        <v>394</v>
      </c>
      <c r="I637" s="14" t="b">
        <v>1</v>
      </c>
      <c r="J637" s="14" t="s">
        <v>395</v>
      </c>
      <c r="L637" s="14" t="b">
        <v>0</v>
      </c>
      <c r="M637" s="15" t="s">
        <v>7152</v>
      </c>
      <c r="N637" s="14" t="s">
        <v>393</v>
      </c>
      <c r="O637" s="14" t="s">
        <v>393</v>
      </c>
      <c r="P637" s="15" t="s">
        <v>397</v>
      </c>
      <c r="Q637" s="15" t="s">
        <v>7153</v>
      </c>
      <c r="T637" s="14" t="b">
        <v>0</v>
      </c>
      <c r="U637" s="15" t="s">
        <v>7154</v>
      </c>
      <c r="V637" s="15" t="s">
        <v>4889</v>
      </c>
      <c r="W637" s="15" t="s">
        <v>401</v>
      </c>
      <c r="X637" s="15" t="s">
        <v>742</v>
      </c>
      <c r="Y637" s="15">
        <v>1755.0</v>
      </c>
      <c r="AA637" s="15" t="str">
        <f>"675"</f>
        <v>675</v>
      </c>
      <c r="AB637" s="14" t="b">
        <v>1</v>
      </c>
      <c r="AC637" s="14" t="b">
        <v>1</v>
      </c>
      <c r="AD637" s="15" t="str">
        <f>"801542101794"</f>
        <v>801542101794</v>
      </c>
      <c r="AE637" s="15" t="s">
        <v>7155</v>
      </c>
      <c r="AF637" s="14" t="s">
        <v>404</v>
      </c>
      <c r="AG637" s="14" t="s">
        <v>405</v>
      </c>
      <c r="AH637" s="14" t="s">
        <v>406</v>
      </c>
      <c r="AI637" s="15">
        <v>0.0</v>
      </c>
      <c r="AL637" s="15" t="s">
        <v>2354</v>
      </c>
      <c r="AM637" s="15" t="s">
        <v>1224</v>
      </c>
      <c r="AN637" s="15" t="s">
        <v>1225</v>
      </c>
      <c r="AO637" s="15" t="s">
        <v>600</v>
      </c>
      <c r="AP637" s="15" t="s">
        <v>601</v>
      </c>
      <c r="AQ637" s="15" t="s">
        <v>1276</v>
      </c>
      <c r="AR637" s="15" t="s">
        <v>1277</v>
      </c>
      <c r="AS637" s="15" t="s">
        <v>1896</v>
      </c>
      <c r="AT637" s="15" t="s">
        <v>7153</v>
      </c>
      <c r="AW637" s="15" t="s">
        <v>2134</v>
      </c>
      <c r="AX637" s="15" t="s">
        <v>2171</v>
      </c>
      <c r="AY637" s="15" t="s">
        <v>413</v>
      </c>
      <c r="AZ637" s="15" t="b">
        <v>0</v>
      </c>
      <c r="BA637" s="15" t="s">
        <v>413</v>
      </c>
      <c r="BB637" s="15" t="b">
        <v>0</v>
      </c>
      <c r="BC637" s="15" t="s">
        <v>7156</v>
      </c>
      <c r="BD637" s="15" t="s">
        <v>742</v>
      </c>
      <c r="BE637" s="15" t="str">
        <f t="shared" si="1085"/>
        <v>1</v>
      </c>
      <c r="BF637" s="15" t="s">
        <v>980</v>
      </c>
      <c r="BG637" s="15" t="str">
        <f>"68.9"</f>
        <v>68.9</v>
      </c>
      <c r="BH637" s="15" t="s">
        <v>5064</v>
      </c>
      <c r="BI637" s="15" t="str">
        <f>"31.1"</f>
        <v>31.1</v>
      </c>
      <c r="BJ637" s="15" t="s">
        <v>1386</v>
      </c>
      <c r="BK637" s="15" t="str">
        <f>"37.2"</f>
        <v>37.2</v>
      </c>
      <c r="BL637" s="15" t="s">
        <v>4678</v>
      </c>
      <c r="BM637" s="15" t="str">
        <f>"135.58"</f>
        <v>135.58</v>
      </c>
      <c r="BN637" s="15" t="s">
        <v>7157</v>
      </c>
      <c r="BQ637" s="15" t="s">
        <v>444</v>
      </c>
      <c r="BS637" s="15" t="s">
        <v>444</v>
      </c>
      <c r="BU637" s="15" t="s">
        <v>444</v>
      </c>
      <c r="BW637" s="15" t="s">
        <v>444</v>
      </c>
      <c r="BZ637" s="15" t="s">
        <v>444</v>
      </c>
      <c r="CB637" s="15" t="s">
        <v>444</v>
      </c>
      <c r="CD637" s="15" t="s">
        <v>444</v>
      </c>
      <c r="CF637" s="15" t="s">
        <v>444</v>
      </c>
      <c r="CI637" s="15" t="s">
        <v>444</v>
      </c>
      <c r="CK637" s="15" t="s">
        <v>444</v>
      </c>
      <c r="CM637" s="15" t="s">
        <v>444</v>
      </c>
      <c r="CO637" s="15" t="s">
        <v>444</v>
      </c>
      <c r="CP637" s="15" t="str">
        <f>"46.12"</f>
        <v>46.12</v>
      </c>
      <c r="CQ637" s="15" t="str">
        <f>"1.306"</f>
        <v>1.306</v>
      </c>
      <c r="CR637" s="15" t="s">
        <v>465</v>
      </c>
      <c r="DC637" s="15" t="str">
        <f>IFERROR(__xludf.DUMMYFUNCTION("""COMPUTED_VALUE"""),"")</f>
        <v/>
      </c>
      <c r="DE637" s="15" t="str">
        <f>IFERROR(__xludf.DUMMYFUNCTION("""COMPUTED_VALUE"""),"")</f>
        <v/>
      </c>
      <c r="DG637" s="15" t="str">
        <f>IFERROR(__xludf.DUMMYFUNCTION("""COMPUTED_VALUE"""),"")</f>
        <v/>
      </c>
      <c r="DL637" s="15" t="str">
        <f>IFERROR(__xludf.DUMMYFUNCTION("""COMPUTED_VALUE"""),"")</f>
        <v/>
      </c>
      <c r="DM637" s="15" t="s">
        <v>444</v>
      </c>
      <c r="DN637" s="15" t="s">
        <v>1371</v>
      </c>
      <c r="DO637" s="15">
        <v>2.0</v>
      </c>
      <c r="DP637" s="15" t="s">
        <v>419</v>
      </c>
      <c r="DR637" s="15">
        <v>0.0</v>
      </c>
      <c r="DT637" s="15" t="s">
        <v>420</v>
      </c>
      <c r="DU637" s="15" t="s">
        <v>421</v>
      </c>
      <c r="DY637" s="15">
        <v>0.0</v>
      </c>
      <c r="EF637" s="15" t="s">
        <v>4768</v>
      </c>
      <c r="EG637" s="15" t="s">
        <v>4769</v>
      </c>
      <c r="EH637" s="15" t="s">
        <v>7150</v>
      </c>
      <c r="EJ637" s="15" t="s">
        <v>500</v>
      </c>
      <c r="EK637" s="15" t="s">
        <v>501</v>
      </c>
      <c r="EM637" s="15" t="str">
        <f>IFERROR(__xludf.DUMMYFUNCTION("""COMPUTED_VALUE"""),"")</f>
        <v/>
      </c>
      <c r="EW637" s="15" t="s">
        <v>7158</v>
      </c>
      <c r="EX637" s="15" t="s">
        <v>2019</v>
      </c>
      <c r="EY637" s="15" t="s">
        <v>7159</v>
      </c>
      <c r="FK637" s="15" t="s">
        <v>3130</v>
      </c>
      <c r="FL637" s="15" t="s">
        <v>426</v>
      </c>
      <c r="FM637" s="15">
        <v>0.0</v>
      </c>
      <c r="FV637" s="15" t="s">
        <v>7160</v>
      </c>
      <c r="GH637" s="15">
        <v>0.0</v>
      </c>
      <c r="GI637" s="15" t="s">
        <v>427</v>
      </c>
      <c r="GQ637" s="15" t="s">
        <v>3777</v>
      </c>
      <c r="GS637" s="15" t="s">
        <v>2162</v>
      </c>
      <c r="GU637" s="15" t="s">
        <v>7161</v>
      </c>
      <c r="GW637" s="15" t="s">
        <v>838</v>
      </c>
      <c r="GY637" s="15" t="s">
        <v>764</v>
      </c>
      <c r="HD637" s="15">
        <v>0.0</v>
      </c>
      <c r="IG637" s="15" t="s">
        <v>426</v>
      </c>
    </row>
    <row r="638" ht="15.75" customHeight="1">
      <c r="A638" s="14" t="s">
        <v>391</v>
      </c>
      <c r="B638" s="15" t="s">
        <v>7162</v>
      </c>
      <c r="C638" s="16"/>
      <c r="D638" s="15" t="s">
        <v>432</v>
      </c>
      <c r="G638" s="14" t="s">
        <v>393</v>
      </c>
      <c r="H638" s="14" t="s">
        <v>394</v>
      </c>
      <c r="I638" s="14" t="b">
        <v>1</v>
      </c>
      <c r="J638" s="14" t="s">
        <v>395</v>
      </c>
      <c r="L638" s="14" t="b">
        <v>0</v>
      </c>
      <c r="M638" s="15" t="s">
        <v>7163</v>
      </c>
      <c r="N638" s="14" t="s">
        <v>393</v>
      </c>
      <c r="O638" s="14" t="s">
        <v>393</v>
      </c>
      <c r="P638" s="15" t="s">
        <v>397</v>
      </c>
      <c r="Q638" s="15" t="s">
        <v>7153</v>
      </c>
      <c r="T638" s="14" t="b">
        <v>0</v>
      </c>
      <c r="U638" s="15" t="s">
        <v>7164</v>
      </c>
      <c r="V638" s="15" t="s">
        <v>5240</v>
      </c>
      <c r="W638" s="15" t="s">
        <v>401</v>
      </c>
      <c r="X638" s="15" t="s">
        <v>742</v>
      </c>
      <c r="Y638" s="15">
        <v>2951.0</v>
      </c>
      <c r="AA638" s="15" t="str">
        <f>"1135"</f>
        <v>1135</v>
      </c>
      <c r="AB638" s="14" t="b">
        <v>1</v>
      </c>
      <c r="AC638" s="14" t="b">
        <v>1</v>
      </c>
      <c r="AD638" s="15" t="str">
        <f>"801542127633"</f>
        <v>801542127633</v>
      </c>
      <c r="AE638" s="15" t="s">
        <v>7165</v>
      </c>
      <c r="AF638" s="14" t="s">
        <v>404</v>
      </c>
      <c r="AG638" s="14" t="s">
        <v>405</v>
      </c>
      <c r="AH638" s="14" t="s">
        <v>406</v>
      </c>
      <c r="AI638" s="15">
        <v>0.0</v>
      </c>
      <c r="AL638" s="15" t="s">
        <v>4955</v>
      </c>
      <c r="AM638" s="15" t="s">
        <v>6313</v>
      </c>
      <c r="AN638" s="15" t="s">
        <v>6314</v>
      </c>
      <c r="AO638" s="15" t="s">
        <v>1276</v>
      </c>
      <c r="AP638" s="15" t="s">
        <v>1277</v>
      </c>
      <c r="AQ638" s="15" t="s">
        <v>1276</v>
      </c>
      <c r="AR638" s="15" t="s">
        <v>1277</v>
      </c>
      <c r="AS638" s="15" t="s">
        <v>1896</v>
      </c>
      <c r="AT638" s="15" t="s">
        <v>7153</v>
      </c>
      <c r="AU638" s="15" t="s">
        <v>7166</v>
      </c>
      <c r="AW638" s="15" t="s">
        <v>2134</v>
      </c>
      <c r="AX638" s="15" t="s">
        <v>2135</v>
      </c>
      <c r="AY638" s="15" t="s">
        <v>413</v>
      </c>
      <c r="AZ638" s="15" t="b">
        <v>0</v>
      </c>
      <c r="BA638" s="15" t="s">
        <v>413</v>
      </c>
      <c r="BB638" s="15" t="b">
        <v>0</v>
      </c>
      <c r="BC638" s="15" t="s">
        <v>7167</v>
      </c>
      <c r="BD638" s="15" t="s">
        <v>742</v>
      </c>
      <c r="BE638" s="15" t="str">
        <f t="shared" si="1085"/>
        <v>1</v>
      </c>
      <c r="BF638" s="15" t="s">
        <v>980</v>
      </c>
      <c r="BG638" s="15" t="str">
        <f>"74.02"</f>
        <v>74.02</v>
      </c>
      <c r="BH638" s="15" t="s">
        <v>3201</v>
      </c>
      <c r="BI638" s="15" t="str">
        <f>"34.25"</f>
        <v>34.25</v>
      </c>
      <c r="BJ638" s="15" t="s">
        <v>605</v>
      </c>
      <c r="BK638" s="15" t="str">
        <f>"39.49"</f>
        <v>39.49</v>
      </c>
      <c r="BL638" s="15" t="s">
        <v>7168</v>
      </c>
      <c r="BM638" s="15" t="str">
        <f>"262.35"</f>
        <v>262.35</v>
      </c>
      <c r="BN638" s="15" t="s">
        <v>1370</v>
      </c>
      <c r="BQ638" s="15" t="s">
        <v>444</v>
      </c>
      <c r="BS638" s="15" t="s">
        <v>444</v>
      </c>
      <c r="BU638" s="15" t="s">
        <v>444</v>
      </c>
      <c r="BW638" s="15" t="s">
        <v>444</v>
      </c>
      <c r="BZ638" s="15" t="s">
        <v>444</v>
      </c>
      <c r="CB638" s="15" t="s">
        <v>444</v>
      </c>
      <c r="CD638" s="15" t="s">
        <v>444</v>
      </c>
      <c r="CF638" s="15" t="s">
        <v>444</v>
      </c>
      <c r="CI638" s="15" t="s">
        <v>444</v>
      </c>
      <c r="CK638" s="15" t="s">
        <v>444</v>
      </c>
      <c r="CM638" s="15" t="s">
        <v>444</v>
      </c>
      <c r="CO638" s="15" t="s">
        <v>444</v>
      </c>
      <c r="CP638" s="15" t="str">
        <f>"57.95"</f>
        <v>57.95</v>
      </c>
      <c r="CQ638" s="15" t="str">
        <f>"1.641"</f>
        <v>1.641</v>
      </c>
      <c r="CR638" s="15" t="s">
        <v>465</v>
      </c>
      <c r="CS638" s="15" t="s">
        <v>7169</v>
      </c>
      <c r="CT638" s="15" t="s">
        <v>782</v>
      </c>
      <c r="CU638" s="15" t="s">
        <v>6508</v>
      </c>
      <c r="CV638" s="15" t="s">
        <v>7169</v>
      </c>
      <c r="CW638" s="15" t="s">
        <v>7170</v>
      </c>
      <c r="CX638" s="15" t="s">
        <v>6508</v>
      </c>
      <c r="DC638" s="15" t="str">
        <f>IFERROR(__xludf.DUMMYFUNCTION("""COMPUTED_VALUE"""),"")</f>
        <v/>
      </c>
      <c r="DE638" s="15" t="str">
        <f>IFERROR(__xludf.DUMMYFUNCTION("""COMPUTED_VALUE"""),"")</f>
        <v/>
      </c>
      <c r="DG638" s="15" t="str">
        <f>IFERROR(__xludf.DUMMYFUNCTION("""COMPUTED_VALUE"""),"")</f>
        <v/>
      </c>
      <c r="DL638" s="15" t="str">
        <f>IFERROR(__xludf.DUMMYFUNCTION("""COMPUTED_VALUE"""),"")</f>
        <v/>
      </c>
      <c r="DM638" s="15" t="s">
        <v>444</v>
      </c>
      <c r="DN638" s="15" t="s">
        <v>1371</v>
      </c>
      <c r="DO638" s="15">
        <v>6.0</v>
      </c>
      <c r="DP638" s="15" t="s">
        <v>419</v>
      </c>
      <c r="DR638" s="15">
        <v>2.0</v>
      </c>
      <c r="DS638" s="15" t="s">
        <v>426</v>
      </c>
      <c r="DT638" s="15" t="s">
        <v>1509</v>
      </c>
      <c r="DU638" s="15" t="s">
        <v>421</v>
      </c>
      <c r="DY638" s="15">
        <v>0.0</v>
      </c>
      <c r="EF638" s="15" t="s">
        <v>2137</v>
      </c>
      <c r="EG638" s="15" t="s">
        <v>2138</v>
      </c>
      <c r="EH638" s="15" t="s">
        <v>7150</v>
      </c>
      <c r="EJ638" s="15" t="s">
        <v>424</v>
      </c>
      <c r="EK638" s="15" t="s">
        <v>446</v>
      </c>
      <c r="EM638" s="15" t="str">
        <f>IFERROR(__xludf.DUMMYFUNCTION("""COMPUTED_VALUE"""),"")</f>
        <v/>
      </c>
      <c r="EW638" s="15" t="s">
        <v>531</v>
      </c>
      <c r="EX638" s="15" t="s">
        <v>7171</v>
      </c>
      <c r="EY638" s="15" t="s">
        <v>5601</v>
      </c>
      <c r="FK638" s="15" t="s">
        <v>3130</v>
      </c>
      <c r="FL638" s="15" t="s">
        <v>426</v>
      </c>
      <c r="FM638" s="15">
        <v>5.0</v>
      </c>
      <c r="FV638" s="15" t="s">
        <v>3659</v>
      </c>
      <c r="GH638" s="15">
        <v>0.0</v>
      </c>
      <c r="GI638" s="15" t="s">
        <v>427</v>
      </c>
      <c r="GQ638" s="15" t="s">
        <v>7172</v>
      </c>
      <c r="GR638" s="15" t="s">
        <v>2051</v>
      </c>
      <c r="GS638" s="15" t="s">
        <v>1607</v>
      </c>
      <c r="GT638" s="15" t="s">
        <v>2464</v>
      </c>
      <c r="GU638" s="15" t="s">
        <v>7173</v>
      </c>
      <c r="GV638" s="15" t="s">
        <v>1443</v>
      </c>
      <c r="GW638" s="15" t="s">
        <v>838</v>
      </c>
      <c r="GY638" s="15" t="s">
        <v>764</v>
      </c>
      <c r="HA638" s="15" t="s">
        <v>7169</v>
      </c>
      <c r="HB638" s="15" t="s">
        <v>7170</v>
      </c>
      <c r="HC638" s="15" t="s">
        <v>6508</v>
      </c>
      <c r="HD638" s="15">
        <v>2.0</v>
      </c>
      <c r="HQ638" s="15" t="s">
        <v>7169</v>
      </c>
      <c r="HR638" s="15" t="s">
        <v>7169</v>
      </c>
      <c r="HS638" s="15" t="s">
        <v>7170</v>
      </c>
      <c r="HT638" s="15" t="s">
        <v>7170</v>
      </c>
      <c r="HU638" s="15" t="s">
        <v>6508</v>
      </c>
      <c r="HV638" s="15" t="s">
        <v>6508</v>
      </c>
      <c r="HX638" s="15" t="s">
        <v>2051</v>
      </c>
      <c r="HZ638" s="15" t="s">
        <v>1254</v>
      </c>
      <c r="IB638" s="15" t="s">
        <v>1443</v>
      </c>
      <c r="IG638" s="15" t="s">
        <v>426</v>
      </c>
      <c r="KL638" s="15" t="s">
        <v>7169</v>
      </c>
      <c r="KM638" s="15" t="s">
        <v>782</v>
      </c>
      <c r="KN638" s="15" t="s">
        <v>734</v>
      </c>
      <c r="KX638" s="15" t="s">
        <v>7169</v>
      </c>
      <c r="KY638" s="15" t="s">
        <v>7170</v>
      </c>
      <c r="KZ638" s="15" t="s">
        <v>734</v>
      </c>
    </row>
    <row r="639" ht="15.75" customHeight="1">
      <c r="A639" s="14" t="s">
        <v>391</v>
      </c>
      <c r="B639" s="15" t="s">
        <v>7174</v>
      </c>
      <c r="C639" s="16"/>
      <c r="D639" s="15" t="s">
        <v>432</v>
      </c>
      <c r="G639" s="14" t="s">
        <v>393</v>
      </c>
      <c r="H639" s="14" t="s">
        <v>394</v>
      </c>
      <c r="I639" s="14" t="b">
        <v>1</v>
      </c>
      <c r="J639" s="14" t="s">
        <v>395</v>
      </c>
      <c r="L639" s="14" t="b">
        <v>0</v>
      </c>
      <c r="M639" s="15" t="s">
        <v>7175</v>
      </c>
      <c r="N639" s="14" t="s">
        <v>393</v>
      </c>
      <c r="O639" s="14" t="s">
        <v>393</v>
      </c>
      <c r="P639" s="15" t="s">
        <v>397</v>
      </c>
      <c r="Q639" s="15" t="s">
        <v>7176</v>
      </c>
      <c r="T639" s="14" t="b">
        <v>0</v>
      </c>
      <c r="U639" s="15" t="s">
        <v>7177</v>
      </c>
      <c r="V639" s="15" t="s">
        <v>1007</v>
      </c>
      <c r="W639" s="15" t="s">
        <v>401</v>
      </c>
      <c r="X639" s="15" t="s">
        <v>1296</v>
      </c>
      <c r="Y639" s="15">
        <v>390.0</v>
      </c>
      <c r="AA639" s="15" t="str">
        <f t="shared" ref="AA639:AA641" si="1092">"150"</f>
        <v>150</v>
      </c>
      <c r="AB639" s="14" t="b">
        <v>1</v>
      </c>
      <c r="AC639" s="14" t="b">
        <v>1</v>
      </c>
      <c r="AD639" s="15" t="str">
        <f>"801542296124"</f>
        <v>801542296124</v>
      </c>
      <c r="AE639" s="15" t="s">
        <v>7178</v>
      </c>
      <c r="AF639" s="14" t="s">
        <v>404</v>
      </c>
      <c r="AG639" s="14" t="s">
        <v>405</v>
      </c>
      <c r="AH639" s="14" t="s">
        <v>406</v>
      </c>
      <c r="AI639" s="15">
        <v>0.0</v>
      </c>
      <c r="AL639" s="15" t="s">
        <v>7179</v>
      </c>
      <c r="AM639" s="15" t="s">
        <v>2039</v>
      </c>
      <c r="AN639" s="15" t="s">
        <v>2040</v>
      </c>
      <c r="AO639" s="15" t="s">
        <v>2039</v>
      </c>
      <c r="AP639" s="15" t="s">
        <v>2040</v>
      </c>
      <c r="AQ639" s="15" t="s">
        <v>1561</v>
      </c>
      <c r="AR639" s="15" t="s">
        <v>1562</v>
      </c>
      <c r="AS639" s="15" t="s">
        <v>3586</v>
      </c>
      <c r="AT639" s="15" t="s">
        <v>7180</v>
      </c>
      <c r="AU639" s="15" t="s">
        <v>7176</v>
      </c>
      <c r="AW639" s="15" t="s">
        <v>1154</v>
      </c>
      <c r="AY639" s="15" t="s">
        <v>413</v>
      </c>
      <c r="AZ639" s="15" t="b">
        <v>0</v>
      </c>
      <c r="BA639" s="15" t="s">
        <v>413</v>
      </c>
      <c r="BB639" s="15" t="b">
        <v>0</v>
      </c>
      <c r="BC639" s="15" t="s">
        <v>7181</v>
      </c>
      <c r="BD639" s="15" t="s">
        <v>1303</v>
      </c>
      <c r="BE639" s="15" t="str">
        <f t="shared" si="1085"/>
        <v>1</v>
      </c>
      <c r="BF639" s="15" t="s">
        <v>416</v>
      </c>
      <c r="BG639" s="15" t="str">
        <f t="shared" ref="BG639:BG641" si="1093">"20"</f>
        <v>20</v>
      </c>
      <c r="BH639" s="15" t="s">
        <v>438</v>
      </c>
      <c r="BI639" s="15" t="str">
        <f t="shared" ref="BI639:BI641" si="1094">"17"</f>
        <v>17</v>
      </c>
      <c r="BJ639" s="15" t="s">
        <v>1153</v>
      </c>
      <c r="BK639" s="15" t="str">
        <f t="shared" ref="BK639:BK641" si="1095">"24"</f>
        <v>24</v>
      </c>
      <c r="BL639" s="15" t="s">
        <v>1178</v>
      </c>
      <c r="BM639" s="15" t="str">
        <f t="shared" ref="BM639:BM641" si="1096">"25"</f>
        <v>25</v>
      </c>
      <c r="BN639" s="15" t="s">
        <v>7182</v>
      </c>
      <c r="BQ639" s="15" t="s">
        <v>444</v>
      </c>
      <c r="BS639" s="15" t="s">
        <v>444</v>
      </c>
      <c r="BU639" s="15" t="s">
        <v>444</v>
      </c>
      <c r="BW639" s="15" t="s">
        <v>444</v>
      </c>
      <c r="BZ639" s="15" t="s">
        <v>444</v>
      </c>
      <c r="CB639" s="15" t="s">
        <v>444</v>
      </c>
      <c r="CD639" s="15" t="s">
        <v>444</v>
      </c>
      <c r="CF639" s="15" t="s">
        <v>444</v>
      </c>
      <c r="CI639" s="15" t="s">
        <v>444</v>
      </c>
      <c r="CK639" s="15" t="s">
        <v>444</v>
      </c>
      <c r="CM639" s="15" t="s">
        <v>444</v>
      </c>
      <c r="CO639" s="15" t="s">
        <v>444</v>
      </c>
      <c r="CP639" s="15" t="str">
        <f t="shared" ref="CP639:CP641" si="1097">"4.73"</f>
        <v>4.73</v>
      </c>
      <c r="CQ639" s="15" t="str">
        <f t="shared" ref="CQ639:CQ641" si="1098">"0.134"</f>
        <v>0.134</v>
      </c>
      <c r="CR639" s="15" t="s">
        <v>417</v>
      </c>
      <c r="DC639" s="15" t="str">
        <f>IFERROR(__xludf.DUMMYFUNCTION("""COMPUTED_VALUE"""),"")</f>
        <v/>
      </c>
      <c r="DE639" s="15" t="str">
        <f>IFERROR(__xludf.DUMMYFUNCTION("""COMPUTED_VALUE"""),"")</f>
        <v/>
      </c>
      <c r="DG639" s="15" t="str">
        <f>IFERROR(__xludf.DUMMYFUNCTION("""COMPUTED_VALUE"""),"")</f>
        <v/>
      </c>
      <c r="DL639" s="15" t="str">
        <f>IFERROR(__xludf.DUMMYFUNCTION("""COMPUTED_VALUE"""),"")</f>
        <v/>
      </c>
      <c r="DM639" s="15" t="s">
        <v>444</v>
      </c>
      <c r="DN639" s="15" t="s">
        <v>419</v>
      </c>
      <c r="DO639" s="15">
        <v>0.0</v>
      </c>
      <c r="DP639" s="15" t="s">
        <v>419</v>
      </c>
      <c r="DR639" s="15">
        <v>0.0</v>
      </c>
      <c r="DU639" s="15" t="s">
        <v>419</v>
      </c>
      <c r="DY639" s="15">
        <v>0.0</v>
      </c>
      <c r="EF639" s="15" t="s">
        <v>1157</v>
      </c>
      <c r="EG639" s="15" t="s">
        <v>1158</v>
      </c>
      <c r="EH639" s="15" t="s">
        <v>3586</v>
      </c>
      <c r="EJ639" s="15" t="s">
        <v>500</v>
      </c>
      <c r="EK639" s="15" t="s">
        <v>501</v>
      </c>
      <c r="EM639" s="15" t="str">
        <f>IFERROR(__xludf.DUMMYFUNCTION("""COMPUTED_VALUE"""),"")</f>
        <v/>
      </c>
      <c r="FH639" s="15" t="s">
        <v>531</v>
      </c>
      <c r="FI639" s="15" t="s">
        <v>1325</v>
      </c>
      <c r="FJ639" s="15" t="s">
        <v>531</v>
      </c>
      <c r="FK639" s="15" t="s">
        <v>7183</v>
      </c>
      <c r="FM639" s="15">
        <v>0.0</v>
      </c>
      <c r="FN639" s="15">
        <v>0.0</v>
      </c>
      <c r="FW639" s="15" t="s">
        <v>1236</v>
      </c>
    </row>
    <row r="640" ht="15.75" customHeight="1">
      <c r="A640" s="14" t="s">
        <v>391</v>
      </c>
      <c r="B640" s="15" t="s">
        <v>7174</v>
      </c>
      <c r="C640" s="16"/>
      <c r="D640" s="15" t="s">
        <v>432</v>
      </c>
      <c r="G640" s="14" t="s">
        <v>393</v>
      </c>
      <c r="H640" s="14" t="s">
        <v>394</v>
      </c>
      <c r="I640" s="14" t="b">
        <v>1</v>
      </c>
      <c r="J640" s="14" t="s">
        <v>395</v>
      </c>
      <c r="L640" s="14" t="b">
        <v>0</v>
      </c>
      <c r="M640" s="15" t="s">
        <v>7184</v>
      </c>
      <c r="N640" s="14" t="s">
        <v>393</v>
      </c>
      <c r="O640" s="14" t="s">
        <v>393</v>
      </c>
      <c r="P640" s="15" t="s">
        <v>397</v>
      </c>
      <c r="Q640" s="15" t="s">
        <v>4355</v>
      </c>
      <c r="T640" s="14" t="b">
        <v>0</v>
      </c>
      <c r="U640" s="15" t="s">
        <v>7185</v>
      </c>
      <c r="V640" s="15" t="s">
        <v>1007</v>
      </c>
      <c r="W640" s="15" t="s">
        <v>401</v>
      </c>
      <c r="X640" s="15" t="s">
        <v>1296</v>
      </c>
      <c r="Y640" s="15">
        <v>390.0</v>
      </c>
      <c r="AA640" s="15" t="str">
        <f t="shared" si="1092"/>
        <v>150</v>
      </c>
      <c r="AB640" s="14" t="b">
        <v>1</v>
      </c>
      <c r="AC640" s="14" t="b">
        <v>1</v>
      </c>
      <c r="AD640" s="15" t="str">
        <f>"801542296131"</f>
        <v>801542296131</v>
      </c>
      <c r="AE640" s="15" t="s">
        <v>7186</v>
      </c>
      <c r="AF640" s="14" t="s">
        <v>404</v>
      </c>
      <c r="AG640" s="14" t="s">
        <v>405</v>
      </c>
      <c r="AH640" s="14" t="s">
        <v>406</v>
      </c>
      <c r="AI640" s="15">
        <v>0.0</v>
      </c>
      <c r="AL640" s="15" t="s">
        <v>7179</v>
      </c>
      <c r="AM640" s="15" t="s">
        <v>2039</v>
      </c>
      <c r="AN640" s="15" t="s">
        <v>2040</v>
      </c>
      <c r="AO640" s="15" t="s">
        <v>2039</v>
      </c>
      <c r="AP640" s="15" t="s">
        <v>2040</v>
      </c>
      <c r="AQ640" s="15" t="s">
        <v>1561</v>
      </c>
      <c r="AR640" s="15" t="s">
        <v>1562</v>
      </c>
      <c r="AS640" s="15" t="s">
        <v>3586</v>
      </c>
      <c r="AT640" s="15" t="s">
        <v>7180</v>
      </c>
      <c r="AU640" s="15" t="s">
        <v>4355</v>
      </c>
      <c r="AW640" s="15" t="s">
        <v>1154</v>
      </c>
      <c r="AY640" s="15" t="s">
        <v>413</v>
      </c>
      <c r="AZ640" s="15" t="b">
        <v>0</v>
      </c>
      <c r="BA640" s="15" t="s">
        <v>413</v>
      </c>
      <c r="BB640" s="15" t="b">
        <v>0</v>
      </c>
      <c r="BC640" s="15" t="s">
        <v>7187</v>
      </c>
      <c r="BD640" s="15" t="s">
        <v>1303</v>
      </c>
      <c r="BE640" s="15" t="str">
        <f t="shared" si="1085"/>
        <v>1</v>
      </c>
      <c r="BF640" s="15" t="s">
        <v>416</v>
      </c>
      <c r="BG640" s="15" t="str">
        <f t="shared" si="1093"/>
        <v>20</v>
      </c>
      <c r="BH640" s="15" t="s">
        <v>438</v>
      </c>
      <c r="BI640" s="15" t="str">
        <f t="shared" si="1094"/>
        <v>17</v>
      </c>
      <c r="BJ640" s="15" t="s">
        <v>1153</v>
      </c>
      <c r="BK640" s="15" t="str">
        <f t="shared" si="1095"/>
        <v>24</v>
      </c>
      <c r="BL640" s="15" t="s">
        <v>1178</v>
      </c>
      <c r="BM640" s="15" t="str">
        <f t="shared" si="1096"/>
        <v>25</v>
      </c>
      <c r="BN640" s="15" t="s">
        <v>7182</v>
      </c>
      <c r="BQ640" s="15" t="s">
        <v>444</v>
      </c>
      <c r="BS640" s="15" t="s">
        <v>444</v>
      </c>
      <c r="BU640" s="15" t="s">
        <v>444</v>
      </c>
      <c r="BW640" s="15" t="s">
        <v>444</v>
      </c>
      <c r="BZ640" s="15" t="s">
        <v>444</v>
      </c>
      <c r="CB640" s="15" t="s">
        <v>444</v>
      </c>
      <c r="CD640" s="15" t="s">
        <v>444</v>
      </c>
      <c r="CF640" s="15" t="s">
        <v>444</v>
      </c>
      <c r="CI640" s="15" t="s">
        <v>444</v>
      </c>
      <c r="CK640" s="15" t="s">
        <v>444</v>
      </c>
      <c r="CM640" s="15" t="s">
        <v>444</v>
      </c>
      <c r="CO640" s="15" t="s">
        <v>444</v>
      </c>
      <c r="CP640" s="15" t="str">
        <f t="shared" si="1097"/>
        <v>4.73</v>
      </c>
      <c r="CQ640" s="15" t="str">
        <f t="shared" si="1098"/>
        <v>0.134</v>
      </c>
      <c r="CR640" s="15" t="s">
        <v>497</v>
      </c>
      <c r="DC640" s="15" t="str">
        <f>IFERROR(__xludf.DUMMYFUNCTION("""COMPUTED_VALUE"""),"")</f>
        <v/>
      </c>
      <c r="DE640" s="15" t="str">
        <f>IFERROR(__xludf.DUMMYFUNCTION("""COMPUTED_VALUE"""),"")</f>
        <v/>
      </c>
      <c r="DG640" s="15" t="str">
        <f>IFERROR(__xludf.DUMMYFUNCTION("""COMPUTED_VALUE"""),"")</f>
        <v/>
      </c>
      <c r="DL640" s="15" t="str">
        <f>IFERROR(__xludf.DUMMYFUNCTION("""COMPUTED_VALUE"""),"")</f>
        <v/>
      </c>
      <c r="DM640" s="15" t="s">
        <v>444</v>
      </c>
      <c r="DN640" s="15" t="s">
        <v>419</v>
      </c>
      <c r="DO640" s="15">
        <v>0.0</v>
      </c>
      <c r="DP640" s="15" t="s">
        <v>419</v>
      </c>
      <c r="DR640" s="15">
        <v>0.0</v>
      </c>
      <c r="DU640" s="15" t="s">
        <v>419</v>
      </c>
      <c r="DY640" s="15">
        <v>0.0</v>
      </c>
      <c r="EF640" s="15" t="s">
        <v>1157</v>
      </c>
      <c r="EG640" s="15" t="s">
        <v>1158</v>
      </c>
      <c r="EH640" s="15" t="s">
        <v>3586</v>
      </c>
      <c r="EJ640" s="15" t="s">
        <v>500</v>
      </c>
      <c r="EK640" s="15" t="s">
        <v>501</v>
      </c>
      <c r="EM640" s="15" t="str">
        <f>IFERROR(__xludf.DUMMYFUNCTION("""COMPUTED_VALUE"""),"")</f>
        <v/>
      </c>
      <c r="FH640" s="15" t="s">
        <v>531</v>
      </c>
      <c r="FI640" s="15" t="s">
        <v>1325</v>
      </c>
      <c r="FJ640" s="15" t="s">
        <v>531</v>
      </c>
      <c r="FK640" s="15" t="s">
        <v>7183</v>
      </c>
      <c r="FM640" s="15">
        <v>0.0</v>
      </c>
      <c r="FN640" s="15">
        <v>0.0</v>
      </c>
      <c r="FW640" s="15" t="s">
        <v>1236</v>
      </c>
    </row>
    <row r="641" ht="15.75" customHeight="1">
      <c r="A641" s="14" t="s">
        <v>391</v>
      </c>
      <c r="B641" s="15" t="s">
        <v>7174</v>
      </c>
      <c r="C641" s="16"/>
      <c r="D641" s="15" t="s">
        <v>432</v>
      </c>
      <c r="G641" s="14" t="s">
        <v>393</v>
      </c>
      <c r="H641" s="14" t="s">
        <v>394</v>
      </c>
      <c r="I641" s="14" t="b">
        <v>1</v>
      </c>
      <c r="J641" s="14" t="s">
        <v>395</v>
      </c>
      <c r="L641" s="14" t="b">
        <v>0</v>
      </c>
      <c r="M641" s="15" t="s">
        <v>7188</v>
      </c>
      <c r="N641" s="14" t="s">
        <v>393</v>
      </c>
      <c r="O641" s="14" t="s">
        <v>393</v>
      </c>
      <c r="P641" s="15" t="s">
        <v>397</v>
      </c>
      <c r="Q641" s="15" t="s">
        <v>3791</v>
      </c>
      <c r="T641" s="14" t="b">
        <v>0</v>
      </c>
      <c r="U641" s="15" t="s">
        <v>7189</v>
      </c>
      <c r="V641" s="15" t="s">
        <v>1007</v>
      </c>
      <c r="W641" s="15" t="s">
        <v>401</v>
      </c>
      <c r="X641" s="15" t="s">
        <v>1296</v>
      </c>
      <c r="Y641" s="15">
        <v>390.0</v>
      </c>
      <c r="AA641" s="15" t="str">
        <f t="shared" si="1092"/>
        <v>150</v>
      </c>
      <c r="AB641" s="14" t="b">
        <v>1</v>
      </c>
      <c r="AC641" s="14" t="b">
        <v>1</v>
      </c>
      <c r="AD641" s="15" t="str">
        <f>"801542167523"</f>
        <v>801542167523</v>
      </c>
      <c r="AE641" s="15" t="s">
        <v>7190</v>
      </c>
      <c r="AF641" s="14" t="s">
        <v>404</v>
      </c>
      <c r="AG641" s="14" t="s">
        <v>405</v>
      </c>
      <c r="AH641" s="14" t="s">
        <v>406</v>
      </c>
      <c r="AI641" s="15">
        <v>0.0</v>
      </c>
      <c r="AL641" s="15" t="s">
        <v>7179</v>
      </c>
      <c r="AM641" s="15" t="s">
        <v>2039</v>
      </c>
      <c r="AN641" s="15" t="s">
        <v>2040</v>
      </c>
      <c r="AO641" s="15" t="s">
        <v>2039</v>
      </c>
      <c r="AP641" s="15" t="s">
        <v>2040</v>
      </c>
      <c r="AQ641" s="15" t="s">
        <v>1561</v>
      </c>
      <c r="AR641" s="15" t="s">
        <v>1562</v>
      </c>
      <c r="AS641" s="15" t="s">
        <v>3586</v>
      </c>
      <c r="AT641" s="15" t="s">
        <v>7180</v>
      </c>
      <c r="AU641" s="15" t="s">
        <v>3791</v>
      </c>
      <c r="AW641" s="15" t="s">
        <v>1154</v>
      </c>
      <c r="AY641" s="15" t="s">
        <v>413</v>
      </c>
      <c r="AZ641" s="15" t="b">
        <v>0</v>
      </c>
      <c r="BA641" s="15" t="s">
        <v>413</v>
      </c>
      <c r="BB641" s="15" t="b">
        <v>0</v>
      </c>
      <c r="BC641" s="15" t="s">
        <v>7191</v>
      </c>
      <c r="BD641" s="15" t="s">
        <v>1303</v>
      </c>
      <c r="BE641" s="15" t="str">
        <f t="shared" si="1085"/>
        <v>1</v>
      </c>
      <c r="BF641" s="15" t="s">
        <v>416</v>
      </c>
      <c r="BG641" s="15" t="str">
        <f t="shared" si="1093"/>
        <v>20</v>
      </c>
      <c r="BH641" s="15" t="s">
        <v>438</v>
      </c>
      <c r="BI641" s="15" t="str">
        <f t="shared" si="1094"/>
        <v>17</v>
      </c>
      <c r="BJ641" s="15" t="s">
        <v>1153</v>
      </c>
      <c r="BK641" s="15" t="str">
        <f t="shared" si="1095"/>
        <v>24</v>
      </c>
      <c r="BL641" s="15" t="s">
        <v>1178</v>
      </c>
      <c r="BM641" s="15" t="str">
        <f t="shared" si="1096"/>
        <v>25</v>
      </c>
      <c r="BN641" s="15" t="s">
        <v>7182</v>
      </c>
      <c r="BQ641" s="15" t="s">
        <v>444</v>
      </c>
      <c r="BS641" s="15" t="s">
        <v>444</v>
      </c>
      <c r="BU641" s="15" t="s">
        <v>444</v>
      </c>
      <c r="BW641" s="15" t="s">
        <v>444</v>
      </c>
      <c r="BZ641" s="15" t="s">
        <v>444</v>
      </c>
      <c r="CB641" s="15" t="s">
        <v>444</v>
      </c>
      <c r="CD641" s="15" t="s">
        <v>444</v>
      </c>
      <c r="CF641" s="15" t="s">
        <v>444</v>
      </c>
      <c r="CI641" s="15" t="s">
        <v>444</v>
      </c>
      <c r="CK641" s="15" t="s">
        <v>444</v>
      </c>
      <c r="CM641" s="15" t="s">
        <v>444</v>
      </c>
      <c r="CO641" s="15" t="s">
        <v>444</v>
      </c>
      <c r="CP641" s="15" t="str">
        <f t="shared" si="1097"/>
        <v>4.73</v>
      </c>
      <c r="CQ641" s="15" t="str">
        <f t="shared" si="1098"/>
        <v>0.134</v>
      </c>
      <c r="CR641" s="15" t="s">
        <v>497</v>
      </c>
      <c r="DC641" s="15" t="str">
        <f>IFERROR(__xludf.DUMMYFUNCTION("""COMPUTED_VALUE"""),"")</f>
        <v/>
      </c>
      <c r="DE641" s="15" t="str">
        <f>IFERROR(__xludf.DUMMYFUNCTION("""COMPUTED_VALUE"""),"")</f>
        <v/>
      </c>
      <c r="DG641" s="15" t="str">
        <f>IFERROR(__xludf.DUMMYFUNCTION("""COMPUTED_VALUE"""),"")</f>
        <v/>
      </c>
      <c r="DL641" s="15" t="str">
        <f>IFERROR(__xludf.DUMMYFUNCTION("""COMPUTED_VALUE"""),"")</f>
        <v/>
      </c>
      <c r="DM641" s="15" t="s">
        <v>444</v>
      </c>
      <c r="DN641" s="15" t="s">
        <v>419</v>
      </c>
      <c r="DO641" s="15">
        <v>0.0</v>
      </c>
      <c r="DP641" s="15" t="s">
        <v>419</v>
      </c>
      <c r="DR641" s="15">
        <v>0.0</v>
      </c>
      <c r="DU641" s="15" t="s">
        <v>419</v>
      </c>
      <c r="DY641" s="15">
        <v>0.0</v>
      </c>
      <c r="EF641" s="15" t="s">
        <v>1157</v>
      </c>
      <c r="EG641" s="15" t="s">
        <v>1158</v>
      </c>
      <c r="EH641" s="15" t="s">
        <v>3586</v>
      </c>
      <c r="EJ641" s="15" t="s">
        <v>500</v>
      </c>
      <c r="EK641" s="15" t="s">
        <v>501</v>
      </c>
      <c r="EM641" s="15" t="str">
        <f>IFERROR(__xludf.DUMMYFUNCTION("""COMPUTED_VALUE"""),"")</f>
        <v/>
      </c>
      <c r="FH641" s="15" t="s">
        <v>531</v>
      </c>
      <c r="FI641" s="15" t="s">
        <v>1325</v>
      </c>
      <c r="FJ641" s="15" t="s">
        <v>531</v>
      </c>
      <c r="FK641" s="15" t="s">
        <v>7183</v>
      </c>
      <c r="FM641" s="15">
        <v>0.0</v>
      </c>
      <c r="FN641" s="15">
        <v>0.0</v>
      </c>
      <c r="FW641" s="15" t="s">
        <v>1236</v>
      </c>
    </row>
    <row r="642" ht="15.75" customHeight="1">
      <c r="A642" s="14" t="s">
        <v>391</v>
      </c>
      <c r="B642" s="15" t="s">
        <v>7192</v>
      </c>
      <c r="C642" s="16"/>
      <c r="D642" s="15" t="s">
        <v>432</v>
      </c>
      <c r="G642" s="14" t="s">
        <v>393</v>
      </c>
      <c r="H642" s="14" t="s">
        <v>394</v>
      </c>
      <c r="I642" s="14" t="b">
        <v>1</v>
      </c>
      <c r="J642" s="14" t="s">
        <v>395</v>
      </c>
      <c r="L642" s="14" t="b">
        <v>0</v>
      </c>
      <c r="M642" s="15" t="s">
        <v>7193</v>
      </c>
      <c r="N642" s="14" t="s">
        <v>393</v>
      </c>
      <c r="O642" s="14" t="s">
        <v>393</v>
      </c>
      <c r="P642" s="15" t="s">
        <v>397</v>
      </c>
      <c r="Q642" s="15" t="s">
        <v>7194</v>
      </c>
      <c r="T642" s="14" t="b">
        <v>0</v>
      </c>
      <c r="U642" s="15" t="s">
        <v>7195</v>
      </c>
      <c r="V642" s="15" t="s">
        <v>5898</v>
      </c>
      <c r="W642" s="15" t="s">
        <v>401</v>
      </c>
      <c r="X642" s="15" t="s">
        <v>402</v>
      </c>
      <c r="Y642" s="15">
        <v>2847.0</v>
      </c>
      <c r="AA642" s="15" t="str">
        <f>"1095"</f>
        <v>1095</v>
      </c>
      <c r="AB642" s="14" t="b">
        <v>1</v>
      </c>
      <c r="AC642" s="14" t="b">
        <v>1</v>
      </c>
      <c r="AD642" s="15" t="str">
        <f>"801542951696"</f>
        <v>801542951696</v>
      </c>
      <c r="AE642" s="15" t="s">
        <v>7196</v>
      </c>
      <c r="AF642" s="14" t="s">
        <v>404</v>
      </c>
      <c r="AG642" s="14" t="s">
        <v>405</v>
      </c>
      <c r="AH642" s="14" t="s">
        <v>406</v>
      </c>
      <c r="AI642" s="15">
        <v>0.0</v>
      </c>
      <c r="AL642" s="15" t="s">
        <v>7197</v>
      </c>
      <c r="AM642" s="15" t="s">
        <v>4799</v>
      </c>
      <c r="AN642" s="15" t="s">
        <v>3019</v>
      </c>
      <c r="AO642" s="15" t="s">
        <v>2372</v>
      </c>
      <c r="AP642" s="15" t="s">
        <v>2373</v>
      </c>
      <c r="AQ642" s="15" t="s">
        <v>1364</v>
      </c>
      <c r="AR642" s="15" t="s">
        <v>1365</v>
      </c>
      <c r="AS642" s="15" t="s">
        <v>2374</v>
      </c>
      <c r="AT642" s="15" t="s">
        <v>7194</v>
      </c>
      <c r="AU642" s="15" t="s">
        <v>7198</v>
      </c>
      <c r="AW642" s="15" t="s">
        <v>706</v>
      </c>
      <c r="AX642" s="15" t="s">
        <v>707</v>
      </c>
      <c r="AY642" s="15" t="s">
        <v>413</v>
      </c>
      <c r="AZ642" s="15" t="b">
        <v>0</v>
      </c>
      <c r="BA642" s="15" t="s">
        <v>426</v>
      </c>
      <c r="BB642" s="15" t="b">
        <v>1</v>
      </c>
      <c r="BC642" s="15" t="s">
        <v>7199</v>
      </c>
      <c r="BD642" s="15" t="s">
        <v>415</v>
      </c>
      <c r="BE642" s="15" t="str">
        <f t="shared" si="1085"/>
        <v>1</v>
      </c>
      <c r="BF642" s="15" t="s">
        <v>416</v>
      </c>
      <c r="BG642" s="15" t="str">
        <f>"56"</f>
        <v>56</v>
      </c>
      <c r="BH642" s="15" t="s">
        <v>1004</v>
      </c>
      <c r="BI642" s="15" t="str">
        <f t="shared" ref="BI642:BI643" si="1099">"42"</f>
        <v>42</v>
      </c>
      <c r="BJ642" s="15" t="s">
        <v>2558</v>
      </c>
      <c r="BK642" s="15" t="str">
        <f t="shared" ref="BK642:BK643" si="1100">"31.5"</f>
        <v>31.5</v>
      </c>
      <c r="BL642" s="15" t="s">
        <v>1322</v>
      </c>
      <c r="BM642" s="15" t="str">
        <f>"125.66"</f>
        <v>125.66</v>
      </c>
      <c r="BN642" s="15" t="s">
        <v>5327</v>
      </c>
      <c r="BQ642" s="15" t="s">
        <v>444</v>
      </c>
      <c r="BS642" s="15" t="s">
        <v>444</v>
      </c>
      <c r="BU642" s="15" t="s">
        <v>444</v>
      </c>
      <c r="BW642" s="15" t="s">
        <v>444</v>
      </c>
      <c r="BZ642" s="15" t="s">
        <v>444</v>
      </c>
      <c r="CB642" s="15" t="s">
        <v>444</v>
      </c>
      <c r="CD642" s="15" t="s">
        <v>444</v>
      </c>
      <c r="CF642" s="15" t="s">
        <v>444</v>
      </c>
      <c r="CI642" s="15" t="s">
        <v>444</v>
      </c>
      <c r="CK642" s="15" t="s">
        <v>444</v>
      </c>
      <c r="CM642" s="15" t="s">
        <v>444</v>
      </c>
      <c r="CO642" s="15" t="s">
        <v>444</v>
      </c>
      <c r="CP642" s="15" t="str">
        <f>"42.87"</f>
        <v>42.87</v>
      </c>
      <c r="CQ642" s="15" t="str">
        <f>"1.214"</f>
        <v>1.214</v>
      </c>
      <c r="CR642" s="15" t="s">
        <v>417</v>
      </c>
      <c r="CY642" s="15" t="s">
        <v>1064</v>
      </c>
      <c r="CZ642" s="15" t="s">
        <v>2547</v>
      </c>
      <c r="DA642" s="15" t="s">
        <v>3841</v>
      </c>
      <c r="DB642" s="15" t="s">
        <v>504</v>
      </c>
      <c r="DC642" s="15" t="str">
        <f>IFERROR(__xludf.DUMMYFUNCTION("""COMPUTED_VALUE"""),"{""value"":15.00,""unit"":""in""}")</f>
        <v>{"value":15.00,"unit":"in"}</v>
      </c>
      <c r="DD642" s="15" t="s">
        <v>650</v>
      </c>
      <c r="DE642" s="15" t="str">
        <f>IFERROR(__xludf.DUMMYFUNCTION("""COMPUTED_VALUE"""),"{""value"":19.50,""unit"":""in""}")</f>
        <v>{"value":19.50,"unit":"in"}</v>
      </c>
      <c r="DF642" s="15" t="s">
        <v>3841</v>
      </c>
      <c r="DG642" s="15" t="str">
        <f>IFERROR(__xludf.DUMMYFUNCTION("""COMPUTED_VALUE"""),"{""value"":44.00,""unit"":""in""}")</f>
        <v>{"value":44.00,"unit":"in"}</v>
      </c>
      <c r="DH642" s="15">
        <v>0.0</v>
      </c>
      <c r="DI642" s="15">
        <v>1.0</v>
      </c>
      <c r="DJ642" s="15" t="s">
        <v>717</v>
      </c>
      <c r="DK642" s="15" t="s">
        <v>934</v>
      </c>
      <c r="DL642" s="15" t="str">
        <f>IFERROR(__xludf.DUMMYFUNCTION("""COMPUTED_VALUE"""),"Spot clean with water-based or solvent-based cleaner. Use mild detergent or upholstery shampoo.")</f>
        <v>Spot clean with water-based or solvent-based cleaner. Use mild detergent or upholstery shampoo.</v>
      </c>
      <c r="DM642" s="15" t="s">
        <v>935</v>
      </c>
      <c r="DQ642" s="15" t="s">
        <v>2380</v>
      </c>
      <c r="DT642" s="15" t="s">
        <v>721</v>
      </c>
      <c r="DU642" s="15" t="s">
        <v>2381</v>
      </c>
      <c r="DV642" s="15">
        <v>0.0</v>
      </c>
      <c r="DZ642" s="15">
        <v>33000.0</v>
      </c>
      <c r="EA642" s="15" t="s">
        <v>2382</v>
      </c>
      <c r="EB642" s="15" t="s">
        <v>723</v>
      </c>
      <c r="EC642" s="15" t="s">
        <v>724</v>
      </c>
      <c r="ED642" s="15">
        <v>1.0</v>
      </c>
      <c r="EE642" s="15">
        <v>2.0</v>
      </c>
      <c r="EG642" s="15" t="s">
        <v>444</v>
      </c>
      <c r="EH642" s="15" t="s">
        <v>7200</v>
      </c>
      <c r="EI642" s="15">
        <v>0.0</v>
      </c>
      <c r="EJ642" s="15" t="s">
        <v>726</v>
      </c>
      <c r="EK642" s="15" t="s">
        <v>727</v>
      </c>
      <c r="EL642" s="15" t="s">
        <v>2384</v>
      </c>
      <c r="EM642" s="15" t="str">
        <f>IFERROR(__xludf.DUMMYFUNCTION("""COMPUTED_VALUE"""),"{""value"":24.50,""unit"":""in""}")</f>
        <v>{"value":24.50,"unit":"in"}</v>
      </c>
      <c r="EN642" s="15" t="s">
        <v>429</v>
      </c>
      <c r="EO642" s="15" t="s">
        <v>2385</v>
      </c>
      <c r="ES642" s="15" t="s">
        <v>3305</v>
      </c>
      <c r="ET642" s="15" t="s">
        <v>995</v>
      </c>
      <c r="EU642" s="15" t="s">
        <v>1213</v>
      </c>
      <c r="EV642" s="15" t="s">
        <v>3841</v>
      </c>
      <c r="EW642" s="15" t="s">
        <v>505</v>
      </c>
      <c r="EY642" s="15" t="s">
        <v>2401</v>
      </c>
      <c r="EZ642" s="15" t="s">
        <v>1287</v>
      </c>
      <c r="FC642" s="15" t="s">
        <v>723</v>
      </c>
      <c r="FD642" s="15" t="s">
        <v>724</v>
      </c>
      <c r="FE642" s="15" t="s">
        <v>1289</v>
      </c>
      <c r="FF642" s="15" t="s">
        <v>2387</v>
      </c>
      <c r="FQ642" s="15">
        <v>0.0</v>
      </c>
      <c r="FR642" s="15">
        <v>0.0</v>
      </c>
      <c r="FS642" s="15" t="s">
        <v>2436</v>
      </c>
      <c r="FT642" s="15">
        <v>0.0</v>
      </c>
      <c r="JF642" s="15" t="s">
        <v>3025</v>
      </c>
      <c r="KC642" s="15" t="s">
        <v>1331</v>
      </c>
      <c r="KD642" s="15" t="s">
        <v>4591</v>
      </c>
      <c r="KE642" s="15" t="s">
        <v>5081</v>
      </c>
      <c r="LV642" s="15" t="s">
        <v>3799</v>
      </c>
      <c r="LW642" s="15" t="s">
        <v>3305</v>
      </c>
      <c r="LX642" s="15" t="s">
        <v>1160</v>
      </c>
      <c r="MN642" s="15" t="s">
        <v>531</v>
      </c>
    </row>
    <row r="643" ht="15.75" customHeight="1">
      <c r="A643" s="14" t="s">
        <v>391</v>
      </c>
      <c r="B643" s="15" t="s">
        <v>7201</v>
      </c>
      <c r="C643" s="16"/>
      <c r="D643" s="15" t="s">
        <v>432</v>
      </c>
      <c r="G643" s="14" t="s">
        <v>393</v>
      </c>
      <c r="H643" s="14" t="s">
        <v>394</v>
      </c>
      <c r="I643" s="14" t="b">
        <v>1</v>
      </c>
      <c r="J643" s="14" t="s">
        <v>395</v>
      </c>
      <c r="L643" s="14" t="b">
        <v>0</v>
      </c>
      <c r="M643" s="15" t="s">
        <v>7202</v>
      </c>
      <c r="N643" s="14" t="s">
        <v>393</v>
      </c>
      <c r="O643" s="14" t="s">
        <v>393</v>
      </c>
      <c r="P643" s="15" t="s">
        <v>397</v>
      </c>
      <c r="Q643" s="15" t="s">
        <v>7194</v>
      </c>
      <c r="T643" s="14" t="b">
        <v>0</v>
      </c>
      <c r="U643" s="15" t="s">
        <v>7203</v>
      </c>
      <c r="V643" s="15" t="s">
        <v>7204</v>
      </c>
      <c r="W643" s="15" t="s">
        <v>401</v>
      </c>
      <c r="X643" s="15" t="s">
        <v>402</v>
      </c>
      <c r="Y643" s="15">
        <v>3822.0</v>
      </c>
      <c r="AA643" s="15" t="str">
        <f>"1470"</f>
        <v>1470</v>
      </c>
      <c r="AB643" s="14" t="b">
        <v>1</v>
      </c>
      <c r="AC643" s="14" t="b">
        <v>1</v>
      </c>
      <c r="AD643" s="15" t="str">
        <f>"801542987633"</f>
        <v>801542987633</v>
      </c>
      <c r="AE643" s="15" t="s">
        <v>7205</v>
      </c>
      <c r="AF643" s="14" t="s">
        <v>404</v>
      </c>
      <c r="AG643" s="14" t="s">
        <v>405</v>
      </c>
      <c r="AH643" s="14" t="s">
        <v>406</v>
      </c>
      <c r="AI643" s="15">
        <v>0.0</v>
      </c>
      <c r="AL643" s="15" t="s">
        <v>7197</v>
      </c>
      <c r="AM643" s="15" t="s">
        <v>5666</v>
      </c>
      <c r="AN643" s="15" t="s">
        <v>5667</v>
      </c>
      <c r="AO643" s="15" t="s">
        <v>2372</v>
      </c>
      <c r="AP643" s="15" t="s">
        <v>2373</v>
      </c>
      <c r="AQ643" s="15" t="s">
        <v>517</v>
      </c>
      <c r="AR643" s="15" t="s">
        <v>518</v>
      </c>
      <c r="AS643" s="15" t="s">
        <v>2374</v>
      </c>
      <c r="AT643" s="15" t="s">
        <v>7194</v>
      </c>
      <c r="AU643" s="15" t="s">
        <v>7198</v>
      </c>
      <c r="AW643" s="15" t="s">
        <v>1732</v>
      </c>
      <c r="AY643" s="15" t="s">
        <v>413</v>
      </c>
      <c r="AZ643" s="15" t="b">
        <v>0</v>
      </c>
      <c r="BA643" s="15" t="s">
        <v>426</v>
      </c>
      <c r="BB643" s="15" t="b">
        <v>1</v>
      </c>
      <c r="BC643" s="15" t="s">
        <v>7206</v>
      </c>
      <c r="BD643" s="15" t="s">
        <v>415</v>
      </c>
      <c r="BE643" s="15" t="str">
        <f t="shared" si="1085"/>
        <v>1</v>
      </c>
      <c r="BF643" s="15" t="s">
        <v>416</v>
      </c>
      <c r="BG643" s="15" t="str">
        <f>"78"</f>
        <v>78</v>
      </c>
      <c r="BH643" s="15" t="s">
        <v>2356</v>
      </c>
      <c r="BI643" s="15" t="str">
        <f t="shared" si="1099"/>
        <v>42</v>
      </c>
      <c r="BJ643" s="15" t="s">
        <v>2558</v>
      </c>
      <c r="BK643" s="15" t="str">
        <f t="shared" si="1100"/>
        <v>31.5</v>
      </c>
      <c r="BL643" s="15" t="s">
        <v>1322</v>
      </c>
      <c r="BM643" s="15" t="str">
        <f>"209.44"</f>
        <v>209.44</v>
      </c>
      <c r="BN643" s="15" t="s">
        <v>7207</v>
      </c>
      <c r="BQ643" s="15" t="s">
        <v>444</v>
      </c>
      <c r="BS643" s="15" t="s">
        <v>444</v>
      </c>
      <c r="BU643" s="15" t="s">
        <v>444</v>
      </c>
      <c r="BW643" s="15" t="s">
        <v>444</v>
      </c>
      <c r="BZ643" s="15" t="s">
        <v>444</v>
      </c>
      <c r="CB643" s="15" t="s">
        <v>444</v>
      </c>
      <c r="CD643" s="15" t="s">
        <v>444</v>
      </c>
      <c r="CF643" s="15" t="s">
        <v>444</v>
      </c>
      <c r="CI643" s="15" t="s">
        <v>444</v>
      </c>
      <c r="CK643" s="15" t="s">
        <v>444</v>
      </c>
      <c r="CM643" s="15" t="s">
        <v>444</v>
      </c>
      <c r="CO643" s="15" t="s">
        <v>444</v>
      </c>
      <c r="CP643" s="15" t="str">
        <f>"59.72"</f>
        <v>59.72</v>
      </c>
      <c r="CQ643" s="15" t="str">
        <f>"1.691"</f>
        <v>1.691</v>
      </c>
      <c r="CR643" s="15" t="s">
        <v>417</v>
      </c>
      <c r="CY643" s="15" t="s">
        <v>1064</v>
      </c>
      <c r="CZ643" s="15" t="s">
        <v>2547</v>
      </c>
      <c r="DA643" s="15" t="s">
        <v>5219</v>
      </c>
      <c r="DB643" s="15" t="s">
        <v>504</v>
      </c>
      <c r="DC643" s="15" t="str">
        <f>IFERROR(__xludf.DUMMYFUNCTION("""COMPUTED_VALUE"""),"{""value"":15.00,""unit"":""in""}")</f>
        <v>{"value":15.00,"unit":"in"}</v>
      </c>
      <c r="DD643" s="15" t="s">
        <v>650</v>
      </c>
      <c r="DE643" s="15" t="str">
        <f>IFERROR(__xludf.DUMMYFUNCTION("""COMPUTED_VALUE"""),"{""value"":19.50,""unit"":""in""}")</f>
        <v>{"value":19.50,"unit":"in"}</v>
      </c>
      <c r="DF643" s="15" t="s">
        <v>5219</v>
      </c>
      <c r="DG643" s="15" t="str">
        <f>IFERROR(__xludf.DUMMYFUNCTION("""COMPUTED_VALUE"""),"{""value"":67.50,""unit"":""in""}")</f>
        <v>{"value":67.50,"unit":"in"}</v>
      </c>
      <c r="DH643" s="15">
        <v>0.0</v>
      </c>
      <c r="DI643" s="15">
        <v>2.0</v>
      </c>
      <c r="DJ643" s="15" t="s">
        <v>717</v>
      </c>
      <c r="DK643" s="15" t="s">
        <v>934</v>
      </c>
      <c r="DL643" s="15" t="str">
        <f>IFERROR(__xludf.DUMMYFUNCTION("""COMPUTED_VALUE"""),"Spot clean with water-based or solvent-based cleaner. Use mild detergent or upholstery shampoo.")</f>
        <v>Spot clean with water-based or solvent-based cleaner. Use mild detergent or upholstery shampoo.</v>
      </c>
      <c r="DM643" s="15" t="s">
        <v>935</v>
      </c>
      <c r="DQ643" s="15" t="s">
        <v>2380</v>
      </c>
      <c r="DT643" s="15" t="s">
        <v>721</v>
      </c>
      <c r="DU643" s="15" t="s">
        <v>2381</v>
      </c>
      <c r="DV643" s="15">
        <v>2.0</v>
      </c>
      <c r="DZ643" s="15">
        <v>33000.0</v>
      </c>
      <c r="EA643" s="15" t="s">
        <v>2382</v>
      </c>
      <c r="EB643" s="15" t="s">
        <v>723</v>
      </c>
      <c r="EC643" s="15" t="s">
        <v>724</v>
      </c>
      <c r="ED643" s="15">
        <v>1.0</v>
      </c>
      <c r="EE643" s="15">
        <v>3.0</v>
      </c>
      <c r="EG643" s="15" t="s">
        <v>444</v>
      </c>
      <c r="EH643" s="15" t="s">
        <v>7200</v>
      </c>
      <c r="EI643" s="15">
        <v>0.0</v>
      </c>
      <c r="EJ643" s="15" t="s">
        <v>473</v>
      </c>
      <c r="EK643" s="15" t="s">
        <v>474</v>
      </c>
      <c r="EL643" s="15" t="s">
        <v>2384</v>
      </c>
      <c r="EM643" s="15" t="str">
        <f>IFERROR(__xludf.DUMMYFUNCTION("""COMPUTED_VALUE"""),"{""value"":24.50,""unit"":""in""}")</f>
        <v>{"value":24.50,"unit":"in"}</v>
      </c>
      <c r="EN643" s="15" t="s">
        <v>429</v>
      </c>
      <c r="EO643" s="15" t="s">
        <v>2385</v>
      </c>
      <c r="ES643" s="15" t="s">
        <v>3305</v>
      </c>
      <c r="ET643" s="15" t="s">
        <v>995</v>
      </c>
      <c r="EU643" s="15" t="s">
        <v>1213</v>
      </c>
      <c r="EV643" s="15" t="s">
        <v>1739</v>
      </c>
      <c r="EW643" s="15" t="s">
        <v>429</v>
      </c>
      <c r="EY643" s="15" t="s">
        <v>7208</v>
      </c>
      <c r="EZ643" s="15" t="s">
        <v>1287</v>
      </c>
      <c r="FC643" s="15" t="s">
        <v>723</v>
      </c>
      <c r="FD643" s="15" t="s">
        <v>724</v>
      </c>
      <c r="FE643" s="15" t="s">
        <v>1289</v>
      </c>
      <c r="FF643" s="15" t="s">
        <v>2387</v>
      </c>
      <c r="FS643" s="15" t="s">
        <v>2436</v>
      </c>
      <c r="JF643" s="15" t="s">
        <v>877</v>
      </c>
      <c r="JG643" s="15" t="s">
        <v>762</v>
      </c>
      <c r="JH643" s="15" t="s">
        <v>1592</v>
      </c>
      <c r="JI643" s="15" t="s">
        <v>1574</v>
      </c>
      <c r="JJ643" s="15" t="s">
        <v>724</v>
      </c>
      <c r="JK643" s="15" t="s">
        <v>426</v>
      </c>
      <c r="KC643" s="15" t="s">
        <v>1331</v>
      </c>
      <c r="KD643" s="15" t="s">
        <v>468</v>
      </c>
      <c r="KE643" s="15" t="s">
        <v>3335</v>
      </c>
      <c r="LV643" s="15" t="s">
        <v>3799</v>
      </c>
      <c r="LW643" s="15" t="s">
        <v>3305</v>
      </c>
      <c r="LX643" s="15" t="s">
        <v>1160</v>
      </c>
      <c r="MN643" s="15" t="s">
        <v>531</v>
      </c>
    </row>
    <row r="644" ht="15.75" customHeight="1">
      <c r="A644" s="14" t="s">
        <v>391</v>
      </c>
      <c r="B644" s="15" t="s">
        <v>7209</v>
      </c>
      <c r="C644" s="16"/>
      <c r="D644" s="15" t="s">
        <v>432</v>
      </c>
      <c r="G644" s="14" t="s">
        <v>393</v>
      </c>
      <c r="H644" s="14" t="s">
        <v>394</v>
      </c>
      <c r="I644" s="14" t="b">
        <v>1</v>
      </c>
      <c r="J644" s="14" t="s">
        <v>395</v>
      </c>
      <c r="L644" s="14" t="b">
        <v>0</v>
      </c>
      <c r="M644" s="15" t="s">
        <v>7210</v>
      </c>
      <c r="N644" s="14" t="s">
        <v>393</v>
      </c>
      <c r="O644" s="14" t="s">
        <v>393</v>
      </c>
      <c r="P644" s="15" t="s">
        <v>397</v>
      </c>
      <c r="Q644" s="15" t="s">
        <v>7211</v>
      </c>
      <c r="T644" s="14" t="b">
        <v>0</v>
      </c>
      <c r="U644" s="15" t="s">
        <v>7212</v>
      </c>
      <c r="V644" s="15" t="s">
        <v>7213</v>
      </c>
      <c r="W644" s="15" t="s">
        <v>401</v>
      </c>
      <c r="X644" s="15" t="s">
        <v>695</v>
      </c>
      <c r="Y644" s="15">
        <v>1365.0</v>
      </c>
      <c r="AA644" s="15" t="str">
        <f>"525"</f>
        <v>525</v>
      </c>
      <c r="AB644" s="14" t="b">
        <v>1</v>
      </c>
      <c r="AC644" s="14" t="b">
        <v>1</v>
      </c>
      <c r="AD644" s="15" t="str">
        <f>"801542066871"</f>
        <v>801542066871</v>
      </c>
      <c r="AE644" s="15" t="s">
        <v>7214</v>
      </c>
      <c r="AF644" s="14" t="s">
        <v>404</v>
      </c>
      <c r="AG644" s="14" t="s">
        <v>405</v>
      </c>
      <c r="AH644" s="14" t="s">
        <v>406</v>
      </c>
      <c r="AI644" s="15">
        <v>0.0</v>
      </c>
      <c r="AL644" s="15" t="s">
        <v>7215</v>
      </c>
      <c r="AM644" s="15" t="s">
        <v>1085</v>
      </c>
      <c r="AN644" s="15" t="s">
        <v>1086</v>
      </c>
      <c r="AO644" s="15" t="s">
        <v>1944</v>
      </c>
      <c r="AP644" s="15" t="s">
        <v>1945</v>
      </c>
      <c r="AQ644" s="15" t="s">
        <v>546</v>
      </c>
      <c r="AR644" s="15" t="s">
        <v>547</v>
      </c>
      <c r="AS644" s="15" t="s">
        <v>2343</v>
      </c>
      <c r="AT644" s="15" t="s">
        <v>7211</v>
      </c>
      <c r="AU644" s="15" t="s">
        <v>7216</v>
      </c>
      <c r="AW644" s="15" t="s">
        <v>706</v>
      </c>
      <c r="AX644" s="15" t="s">
        <v>707</v>
      </c>
      <c r="AY644" s="15" t="s">
        <v>413</v>
      </c>
      <c r="AZ644" s="15" t="b">
        <v>0</v>
      </c>
      <c r="BA644" s="15" t="s">
        <v>426</v>
      </c>
      <c r="BB644" s="15" t="b">
        <v>1</v>
      </c>
      <c r="BC644" s="15" t="s">
        <v>7217</v>
      </c>
      <c r="BD644" s="15" t="s">
        <v>709</v>
      </c>
      <c r="BE644" s="15" t="str">
        <f t="shared" si="1085"/>
        <v>1</v>
      </c>
      <c r="BF644" s="15" t="s">
        <v>7218</v>
      </c>
      <c r="BG644" s="15" t="str">
        <f>"28.35"</f>
        <v>28.35</v>
      </c>
      <c r="BH644" s="15" t="s">
        <v>924</v>
      </c>
      <c r="BI644" s="15" t="str">
        <f>"32.68"</f>
        <v>32.68</v>
      </c>
      <c r="BJ644" s="15" t="s">
        <v>2066</v>
      </c>
      <c r="BK644" s="15" t="str">
        <f>"31.89"</f>
        <v>31.89</v>
      </c>
      <c r="BL644" s="15" t="s">
        <v>1183</v>
      </c>
      <c r="BM644" s="15" t="str">
        <f>"86.42"</f>
        <v>86.42</v>
      </c>
      <c r="BN644" s="15" t="s">
        <v>7219</v>
      </c>
      <c r="BQ644" s="15" t="s">
        <v>444</v>
      </c>
      <c r="BS644" s="15" t="s">
        <v>444</v>
      </c>
      <c r="BU644" s="15" t="s">
        <v>444</v>
      </c>
      <c r="BW644" s="15" t="s">
        <v>444</v>
      </c>
      <c r="BZ644" s="15" t="s">
        <v>444</v>
      </c>
      <c r="CB644" s="15" t="s">
        <v>444</v>
      </c>
      <c r="CD644" s="15" t="s">
        <v>444</v>
      </c>
      <c r="CF644" s="15" t="s">
        <v>444</v>
      </c>
      <c r="CI644" s="15" t="s">
        <v>444</v>
      </c>
      <c r="CK644" s="15" t="s">
        <v>444</v>
      </c>
      <c r="CM644" s="15" t="s">
        <v>444</v>
      </c>
      <c r="CO644" s="15" t="s">
        <v>444</v>
      </c>
      <c r="CP644" s="15" t="str">
        <f>"17.09"</f>
        <v>17.09</v>
      </c>
      <c r="CQ644" s="15" t="str">
        <f>"0.484"</f>
        <v>0.484</v>
      </c>
      <c r="CR644" s="15" t="s">
        <v>417</v>
      </c>
      <c r="DB644" s="15" t="s">
        <v>1072</v>
      </c>
      <c r="DC644" s="15" t="str">
        <f>IFERROR(__xludf.DUMMYFUNCTION("""COMPUTED_VALUE"""),"{""value"":22.00,""unit"":""in""}")</f>
        <v>{"value":22.00,"unit":"in"}</v>
      </c>
      <c r="DD644" s="15" t="s">
        <v>1161</v>
      </c>
      <c r="DE644" s="15" t="str">
        <f>IFERROR(__xludf.DUMMYFUNCTION("""COMPUTED_VALUE"""),"{""value"":17.00,""unit"":""in""}")</f>
        <v>{"value":17.00,"unit":"in"}</v>
      </c>
      <c r="DF644" s="15" t="s">
        <v>1306</v>
      </c>
      <c r="DG644" s="15" t="str">
        <f>IFERROR(__xludf.DUMMYFUNCTION("""COMPUTED_VALUE"""),"{""value"":25.25,""unit"":""in""}")</f>
        <v>{"value":25.25,"unit":"in"}</v>
      </c>
      <c r="DH644" s="15">
        <v>0.0</v>
      </c>
      <c r="DI644" s="15">
        <v>0.0</v>
      </c>
      <c r="DJ644" s="15" t="s">
        <v>717</v>
      </c>
      <c r="DK644" s="15" t="s">
        <v>897</v>
      </c>
      <c r="DL644" s="15" t="str">
        <f>IFERROR(__xludf.DUMMYFUNCTION("""COMPUTED_VALUE"""),"Clean with water-based products only. Use mild detergent or upholstery shampoo.")</f>
        <v>Clean with water-based products only. Use mild detergent or upholstery shampoo.</v>
      </c>
      <c r="DM644" s="15" t="s">
        <v>898</v>
      </c>
      <c r="DT644" s="15" t="s">
        <v>721</v>
      </c>
      <c r="DU644" s="15" t="s">
        <v>1605</v>
      </c>
      <c r="DV644" s="15">
        <v>0.0</v>
      </c>
      <c r="DZ644" s="15">
        <v>15000.0</v>
      </c>
      <c r="EA644" s="15" t="s">
        <v>990</v>
      </c>
      <c r="ED644" s="15">
        <v>0.0</v>
      </c>
      <c r="EE644" s="15">
        <v>1.0</v>
      </c>
      <c r="EG644" s="15" t="s">
        <v>444</v>
      </c>
      <c r="EH644" s="15" t="s">
        <v>7220</v>
      </c>
      <c r="EI644" s="15">
        <v>0.0</v>
      </c>
      <c r="EJ644" s="15" t="s">
        <v>726</v>
      </c>
      <c r="EK644" s="15" t="s">
        <v>727</v>
      </c>
      <c r="EL644" s="15" t="s">
        <v>1286</v>
      </c>
      <c r="EM644" s="15" t="str">
        <f>IFERROR(__xludf.DUMMYFUNCTION("""COMPUTED_VALUE"""),"{""value"":23.50,""unit"":""in""}")</f>
        <v>{"value":23.50,"unit":"in"}</v>
      </c>
      <c r="EN644" s="15" t="s">
        <v>762</v>
      </c>
      <c r="EO644" s="15" t="s">
        <v>1593</v>
      </c>
      <c r="ES644" s="15" t="s">
        <v>6947</v>
      </c>
      <c r="EW644" s="15" t="s">
        <v>784</v>
      </c>
      <c r="EZ644" s="15" t="s">
        <v>1288</v>
      </c>
      <c r="FF644" s="15" t="s">
        <v>7221</v>
      </c>
      <c r="FQ644" s="15">
        <v>0.0</v>
      </c>
      <c r="FR644" s="15">
        <v>0.0</v>
      </c>
      <c r="FS644" s="15" t="s">
        <v>1609</v>
      </c>
      <c r="FT644" s="15">
        <v>0.0</v>
      </c>
      <c r="IL644" s="15" t="s">
        <v>1610</v>
      </c>
    </row>
    <row r="645" ht="15.75" customHeight="1">
      <c r="A645" s="14" t="s">
        <v>391</v>
      </c>
      <c r="B645" s="15" t="s">
        <v>7222</v>
      </c>
      <c r="C645" s="16"/>
      <c r="D645" s="15" t="s">
        <v>432</v>
      </c>
      <c r="G645" s="14" t="s">
        <v>393</v>
      </c>
      <c r="H645" s="14" t="s">
        <v>394</v>
      </c>
      <c r="I645" s="14" t="b">
        <v>1</v>
      </c>
      <c r="J645" s="14" t="s">
        <v>395</v>
      </c>
      <c r="L645" s="14" t="b">
        <v>0</v>
      </c>
      <c r="M645" s="15" t="s">
        <v>7223</v>
      </c>
      <c r="N645" s="14" t="s">
        <v>393</v>
      </c>
      <c r="O645" s="14" t="s">
        <v>393</v>
      </c>
      <c r="P645" s="15" t="s">
        <v>397</v>
      </c>
      <c r="Q645" s="15" t="s">
        <v>3142</v>
      </c>
      <c r="T645" s="14" t="b">
        <v>0</v>
      </c>
      <c r="U645" s="15" t="s">
        <v>7224</v>
      </c>
      <c r="V645" s="15" t="s">
        <v>7225</v>
      </c>
      <c r="W645" s="15" t="s">
        <v>401</v>
      </c>
      <c r="X645" s="15" t="s">
        <v>742</v>
      </c>
      <c r="Y645" s="15">
        <v>3939.0</v>
      </c>
      <c r="AA645" s="15" t="str">
        <f>"1515"</f>
        <v>1515</v>
      </c>
      <c r="AB645" s="14" t="b">
        <v>1</v>
      </c>
      <c r="AC645" s="14" t="b">
        <v>1</v>
      </c>
      <c r="AD645" s="15" t="str">
        <f>"801542805708"</f>
        <v>801542805708</v>
      </c>
      <c r="AE645" s="15" t="s">
        <v>7226</v>
      </c>
      <c r="AF645" s="14" t="s">
        <v>404</v>
      </c>
      <c r="AG645" s="14" t="s">
        <v>405</v>
      </c>
      <c r="AH645" s="14" t="s">
        <v>406</v>
      </c>
      <c r="AI645" s="15">
        <v>0.0</v>
      </c>
      <c r="AL645" s="15" t="s">
        <v>6706</v>
      </c>
      <c r="AM645" s="15" t="s">
        <v>487</v>
      </c>
      <c r="AN645" s="15" t="s">
        <v>488</v>
      </c>
      <c r="AO645" s="15" t="s">
        <v>487</v>
      </c>
      <c r="AP645" s="15" t="s">
        <v>488</v>
      </c>
      <c r="AQ645" s="15" t="s">
        <v>3629</v>
      </c>
      <c r="AR645" s="15" t="s">
        <v>3630</v>
      </c>
      <c r="AS645" s="15" t="s">
        <v>2759</v>
      </c>
      <c r="AT645" s="15" t="s">
        <v>3142</v>
      </c>
      <c r="AW645" s="15" t="s">
        <v>491</v>
      </c>
      <c r="AY645" s="15" t="s">
        <v>413</v>
      </c>
      <c r="AZ645" s="15" t="b">
        <v>0</v>
      </c>
      <c r="BA645" s="15" t="s">
        <v>413</v>
      </c>
      <c r="BB645" s="15" t="b">
        <v>0</v>
      </c>
      <c r="BC645" s="15" t="s">
        <v>7227</v>
      </c>
      <c r="BD645" s="15" t="s">
        <v>742</v>
      </c>
      <c r="BE645" s="15" t="str">
        <f t="shared" si="1085"/>
        <v>1</v>
      </c>
      <c r="BF645" s="15" t="s">
        <v>416</v>
      </c>
      <c r="BG645" s="15" t="str">
        <f>"58.27"</f>
        <v>58.27</v>
      </c>
      <c r="BH645" s="15" t="s">
        <v>7099</v>
      </c>
      <c r="BI645" s="15" t="str">
        <f>"57.68"</f>
        <v>57.68</v>
      </c>
      <c r="BJ645" s="15" t="s">
        <v>7228</v>
      </c>
      <c r="BK645" s="15" t="str">
        <f>"17.72"</f>
        <v>17.72</v>
      </c>
      <c r="BL645" s="15" t="s">
        <v>3633</v>
      </c>
      <c r="BM645" s="15" t="str">
        <f>"238.98"</f>
        <v>238.98</v>
      </c>
      <c r="BN645" s="15" t="s">
        <v>7229</v>
      </c>
      <c r="BQ645" s="15" t="s">
        <v>444</v>
      </c>
      <c r="BS645" s="15" t="s">
        <v>444</v>
      </c>
      <c r="BU645" s="15" t="s">
        <v>444</v>
      </c>
      <c r="BW645" s="15" t="s">
        <v>444</v>
      </c>
      <c r="BZ645" s="15" t="s">
        <v>444</v>
      </c>
      <c r="CB645" s="15" t="s">
        <v>444</v>
      </c>
      <c r="CD645" s="15" t="s">
        <v>444</v>
      </c>
      <c r="CF645" s="15" t="s">
        <v>444</v>
      </c>
      <c r="CI645" s="15" t="s">
        <v>444</v>
      </c>
      <c r="CK645" s="15" t="s">
        <v>444</v>
      </c>
      <c r="CM645" s="15" t="s">
        <v>444</v>
      </c>
      <c r="CO645" s="15" t="s">
        <v>444</v>
      </c>
      <c r="CP645" s="15" t="str">
        <f>"34.47"</f>
        <v>34.47</v>
      </c>
      <c r="CQ645" s="15" t="str">
        <f>"0.976"</f>
        <v>0.976</v>
      </c>
      <c r="CR645" s="15" t="s">
        <v>497</v>
      </c>
      <c r="CV645" s="15" t="s">
        <v>4698</v>
      </c>
      <c r="CW645" s="15" t="s">
        <v>3856</v>
      </c>
      <c r="CX645" s="15" t="s">
        <v>7230</v>
      </c>
      <c r="DC645" s="15" t="str">
        <f>IFERROR(__xludf.DUMMYFUNCTION("""COMPUTED_VALUE"""),"")</f>
        <v/>
      </c>
      <c r="DE645" s="15" t="str">
        <f>IFERROR(__xludf.DUMMYFUNCTION("""COMPUTED_VALUE"""),"")</f>
        <v/>
      </c>
      <c r="DG645" s="15" t="str">
        <f>IFERROR(__xludf.DUMMYFUNCTION("""COMPUTED_VALUE"""),"")</f>
        <v/>
      </c>
      <c r="DL645" s="15" t="str">
        <f>IFERROR(__xludf.DUMMYFUNCTION("""COMPUTED_VALUE"""),"")</f>
        <v/>
      </c>
      <c r="DM645" s="15" t="s">
        <v>444</v>
      </c>
      <c r="DN645" s="15" t="s">
        <v>419</v>
      </c>
      <c r="DO645" s="15">
        <v>0.0</v>
      </c>
      <c r="DP645" s="15" t="s">
        <v>419</v>
      </c>
      <c r="DR645" s="15">
        <v>0.0</v>
      </c>
      <c r="DT645" s="15" t="s">
        <v>420</v>
      </c>
      <c r="DU645" s="15" t="s">
        <v>1914</v>
      </c>
      <c r="DY645" s="15">
        <v>0.0</v>
      </c>
      <c r="EF645" s="15" t="s">
        <v>1157</v>
      </c>
      <c r="EG645" s="15" t="s">
        <v>1158</v>
      </c>
      <c r="EH645" s="15" t="s">
        <v>7231</v>
      </c>
      <c r="EJ645" s="15" t="s">
        <v>500</v>
      </c>
      <c r="EK645" s="15" t="s">
        <v>501</v>
      </c>
      <c r="EM645" s="15" t="str">
        <f>IFERROR(__xludf.DUMMYFUNCTION("""COMPUTED_VALUE"""),"")</f>
        <v/>
      </c>
      <c r="EW645" s="15" t="s">
        <v>1042</v>
      </c>
      <c r="FH645" s="15" t="s">
        <v>6305</v>
      </c>
      <c r="FI645" s="15" t="s">
        <v>1042</v>
      </c>
      <c r="FJ645" s="15" t="s">
        <v>4813</v>
      </c>
      <c r="FK645" s="15" t="s">
        <v>4469</v>
      </c>
      <c r="FL645" s="15" t="s">
        <v>426</v>
      </c>
      <c r="FM645" s="15">
        <v>1.0</v>
      </c>
      <c r="FN645" s="15">
        <v>0.0</v>
      </c>
      <c r="FW645" s="15" t="s">
        <v>7232</v>
      </c>
    </row>
    <row r="646" ht="15.75" customHeight="1">
      <c r="A646" s="14" t="s">
        <v>391</v>
      </c>
      <c r="B646" s="15" t="s">
        <v>7233</v>
      </c>
      <c r="C646" s="16"/>
      <c r="D646" s="15" t="s">
        <v>432</v>
      </c>
      <c r="G646" s="14" t="s">
        <v>393</v>
      </c>
      <c r="H646" s="14" t="s">
        <v>394</v>
      </c>
      <c r="I646" s="14" t="b">
        <v>1</v>
      </c>
      <c r="J646" s="14" t="s">
        <v>395</v>
      </c>
      <c r="L646" s="14" t="b">
        <v>0</v>
      </c>
      <c r="M646" s="15" t="s">
        <v>7234</v>
      </c>
      <c r="N646" s="14" t="s">
        <v>393</v>
      </c>
      <c r="O646" s="14" t="s">
        <v>393</v>
      </c>
      <c r="P646" s="15" t="s">
        <v>397</v>
      </c>
      <c r="Q646" s="15" t="s">
        <v>3142</v>
      </c>
      <c r="T646" s="14" t="b">
        <v>0</v>
      </c>
      <c r="U646" s="15" t="s">
        <v>7235</v>
      </c>
      <c r="V646" s="15" t="s">
        <v>4033</v>
      </c>
      <c r="W646" s="15" t="s">
        <v>401</v>
      </c>
      <c r="X646" s="15" t="s">
        <v>742</v>
      </c>
      <c r="Y646" s="15">
        <v>1586.0</v>
      </c>
      <c r="AA646" s="15" t="str">
        <f>"610"</f>
        <v>610</v>
      </c>
      <c r="AB646" s="14" t="b">
        <v>1</v>
      </c>
      <c r="AC646" s="14" t="b">
        <v>1</v>
      </c>
      <c r="AD646" s="15" t="str">
        <f>"801542909116"</f>
        <v>801542909116</v>
      </c>
      <c r="AE646" s="15" t="s">
        <v>7236</v>
      </c>
      <c r="AF646" s="14" t="s">
        <v>404</v>
      </c>
      <c r="AG646" s="14" t="s">
        <v>405</v>
      </c>
      <c r="AH646" s="14" t="s">
        <v>406</v>
      </c>
      <c r="AI646" s="15">
        <v>0.0</v>
      </c>
      <c r="AL646" s="15" t="s">
        <v>6706</v>
      </c>
      <c r="AM646" s="15" t="s">
        <v>1175</v>
      </c>
      <c r="AN646" s="15" t="s">
        <v>1176</v>
      </c>
      <c r="AO646" s="15" t="s">
        <v>1175</v>
      </c>
      <c r="AP646" s="15" t="s">
        <v>1176</v>
      </c>
      <c r="AQ646" s="15" t="s">
        <v>3184</v>
      </c>
      <c r="AR646" s="15" t="s">
        <v>2878</v>
      </c>
      <c r="AS646" s="15" t="s">
        <v>2759</v>
      </c>
      <c r="AT646" s="15" t="s">
        <v>3142</v>
      </c>
      <c r="AW646" s="15" t="s">
        <v>1154</v>
      </c>
      <c r="AY646" s="15" t="s">
        <v>413</v>
      </c>
      <c r="AZ646" s="15" t="b">
        <v>0</v>
      </c>
      <c r="BA646" s="15" t="s">
        <v>413</v>
      </c>
      <c r="BB646" s="15" t="b">
        <v>0</v>
      </c>
      <c r="BC646" s="15" t="s">
        <v>7237</v>
      </c>
      <c r="BD646" s="15" t="s">
        <v>742</v>
      </c>
      <c r="BE646" s="15" t="str">
        <f t="shared" si="1085"/>
        <v>1</v>
      </c>
      <c r="BF646" s="15" t="s">
        <v>416</v>
      </c>
      <c r="BG646" s="15" t="str">
        <f>"28.74"</f>
        <v>28.74</v>
      </c>
      <c r="BH646" s="15" t="s">
        <v>2113</v>
      </c>
      <c r="BI646" s="15" t="str">
        <f>"28.35"</f>
        <v>28.35</v>
      </c>
      <c r="BJ646" s="15" t="s">
        <v>924</v>
      </c>
      <c r="BK646" s="15" t="str">
        <f>"27.56"</f>
        <v>27.56</v>
      </c>
      <c r="BL646" s="15" t="s">
        <v>1780</v>
      </c>
      <c r="BM646" s="15" t="str">
        <f>"81.79"</f>
        <v>81.79</v>
      </c>
      <c r="BN646" s="15" t="s">
        <v>7238</v>
      </c>
      <c r="BQ646" s="15" t="s">
        <v>444</v>
      </c>
      <c r="BS646" s="15" t="s">
        <v>444</v>
      </c>
      <c r="BU646" s="15" t="s">
        <v>444</v>
      </c>
      <c r="BW646" s="15" t="s">
        <v>444</v>
      </c>
      <c r="BZ646" s="15" t="s">
        <v>444</v>
      </c>
      <c r="CB646" s="15" t="s">
        <v>444</v>
      </c>
      <c r="CD646" s="15" t="s">
        <v>444</v>
      </c>
      <c r="CF646" s="15" t="s">
        <v>444</v>
      </c>
      <c r="CI646" s="15" t="s">
        <v>444</v>
      </c>
      <c r="CK646" s="15" t="s">
        <v>444</v>
      </c>
      <c r="CM646" s="15" t="s">
        <v>444</v>
      </c>
      <c r="CO646" s="15" t="s">
        <v>444</v>
      </c>
      <c r="CP646" s="15" t="str">
        <f>"13"</f>
        <v>13</v>
      </c>
      <c r="CQ646" s="15" t="str">
        <f>"0.368"</f>
        <v>0.368</v>
      </c>
      <c r="CR646" s="15" t="s">
        <v>497</v>
      </c>
      <c r="CV646" s="15" t="s">
        <v>987</v>
      </c>
      <c r="CW646" s="15" t="s">
        <v>5953</v>
      </c>
      <c r="CX646" s="15" t="s">
        <v>779</v>
      </c>
      <c r="DC646" s="15" t="str">
        <f>IFERROR(__xludf.DUMMYFUNCTION("""COMPUTED_VALUE"""),"")</f>
        <v/>
      </c>
      <c r="DE646" s="15" t="str">
        <f>IFERROR(__xludf.DUMMYFUNCTION("""COMPUTED_VALUE"""),"")</f>
        <v/>
      </c>
      <c r="DG646" s="15" t="str">
        <f>IFERROR(__xludf.DUMMYFUNCTION("""COMPUTED_VALUE"""),"")</f>
        <v/>
      </c>
      <c r="DL646" s="15" t="str">
        <f>IFERROR(__xludf.DUMMYFUNCTION("""COMPUTED_VALUE"""),"")</f>
        <v/>
      </c>
      <c r="DM646" s="15" t="s">
        <v>444</v>
      </c>
      <c r="DN646" s="15" t="s">
        <v>419</v>
      </c>
      <c r="DO646" s="15">
        <v>0.0</v>
      </c>
      <c r="DP646" s="15" t="s">
        <v>419</v>
      </c>
      <c r="DR646" s="15">
        <v>0.0</v>
      </c>
      <c r="DT646" s="15" t="s">
        <v>6531</v>
      </c>
      <c r="DU646" s="15" t="s">
        <v>1914</v>
      </c>
      <c r="DY646" s="15">
        <v>0.0</v>
      </c>
      <c r="EF646" s="15" t="s">
        <v>1157</v>
      </c>
      <c r="EG646" s="15" t="s">
        <v>1158</v>
      </c>
      <c r="EH646" s="15" t="s">
        <v>7231</v>
      </c>
      <c r="EJ646" s="15" t="s">
        <v>500</v>
      </c>
      <c r="EK646" s="15" t="s">
        <v>501</v>
      </c>
      <c r="EM646" s="15" t="str">
        <f>IFERROR(__xludf.DUMMYFUNCTION("""COMPUTED_VALUE"""),"")</f>
        <v/>
      </c>
      <c r="EW646" s="15" t="s">
        <v>1042</v>
      </c>
      <c r="FH646" s="15" t="s">
        <v>7239</v>
      </c>
      <c r="FI646" s="15" t="s">
        <v>1042</v>
      </c>
      <c r="FJ646" s="15" t="s">
        <v>7240</v>
      </c>
      <c r="FK646" s="15" t="s">
        <v>7241</v>
      </c>
      <c r="FL646" s="15" t="s">
        <v>426</v>
      </c>
      <c r="FM646" s="15">
        <v>1.0</v>
      </c>
      <c r="FN646" s="15">
        <v>0.0</v>
      </c>
      <c r="FW646" s="15" t="s">
        <v>7242</v>
      </c>
    </row>
    <row r="647" ht="15.75" customHeight="1">
      <c r="A647" s="14" t="s">
        <v>391</v>
      </c>
      <c r="B647" s="15" t="s">
        <v>7243</v>
      </c>
      <c r="C647" s="16"/>
      <c r="D647" s="15" t="s">
        <v>432</v>
      </c>
      <c r="G647" s="14" t="s">
        <v>393</v>
      </c>
      <c r="H647" s="14" t="s">
        <v>394</v>
      </c>
      <c r="I647" s="14" t="b">
        <v>1</v>
      </c>
      <c r="J647" s="14" t="s">
        <v>395</v>
      </c>
      <c r="L647" s="14" t="b">
        <v>0</v>
      </c>
      <c r="M647" s="15" t="s">
        <v>7244</v>
      </c>
      <c r="N647" s="14" t="s">
        <v>393</v>
      </c>
      <c r="O647" s="14" t="s">
        <v>393</v>
      </c>
      <c r="P647" s="15" t="s">
        <v>397</v>
      </c>
      <c r="Q647" s="15" t="s">
        <v>5604</v>
      </c>
      <c r="T647" s="14" t="b">
        <v>0</v>
      </c>
      <c r="U647" s="15" t="s">
        <v>7245</v>
      </c>
      <c r="V647" s="15" t="s">
        <v>1171</v>
      </c>
      <c r="W647" s="15" t="s">
        <v>401</v>
      </c>
      <c r="X647" s="15" t="s">
        <v>742</v>
      </c>
      <c r="Y647" s="15">
        <v>1430.0</v>
      </c>
      <c r="AA647" s="15" t="str">
        <f t="shared" ref="AA647:AA648" si="1101">"550"</f>
        <v>550</v>
      </c>
      <c r="AB647" s="14" t="b">
        <v>1</v>
      </c>
      <c r="AC647" s="14" t="b">
        <v>1</v>
      </c>
      <c r="AD647" s="15" t="str">
        <f>"801542339715"</f>
        <v>801542339715</v>
      </c>
      <c r="AE647" s="15" t="s">
        <v>7246</v>
      </c>
      <c r="AF647" s="14" t="s">
        <v>404</v>
      </c>
      <c r="AG647" s="14" t="s">
        <v>405</v>
      </c>
      <c r="AH647" s="14" t="s">
        <v>406</v>
      </c>
      <c r="AI647" s="15">
        <v>0.0</v>
      </c>
      <c r="AL647" s="15" t="s">
        <v>407</v>
      </c>
      <c r="AM647" s="15" t="s">
        <v>2304</v>
      </c>
      <c r="AN647" s="15" t="s">
        <v>2305</v>
      </c>
      <c r="AO647" s="15" t="s">
        <v>489</v>
      </c>
      <c r="AP647" s="15" t="s">
        <v>490</v>
      </c>
      <c r="AQ647" s="15" t="s">
        <v>3275</v>
      </c>
      <c r="AR647" s="15" t="s">
        <v>3276</v>
      </c>
      <c r="AS647" s="15" t="s">
        <v>1896</v>
      </c>
      <c r="AT647" s="15" t="s">
        <v>5604</v>
      </c>
      <c r="AW647" s="15" t="s">
        <v>519</v>
      </c>
      <c r="AY647" s="15" t="s">
        <v>413</v>
      </c>
      <c r="AZ647" s="15" t="b">
        <v>0</v>
      </c>
      <c r="BA647" s="15" t="s">
        <v>413</v>
      </c>
      <c r="BB647" s="15" t="b">
        <v>0</v>
      </c>
      <c r="BC647" s="15" t="s">
        <v>7247</v>
      </c>
      <c r="BD647" s="15" t="s">
        <v>742</v>
      </c>
      <c r="BE647" s="15" t="str">
        <f t="shared" si="1085"/>
        <v>1</v>
      </c>
      <c r="BF647" s="15" t="s">
        <v>5100</v>
      </c>
      <c r="BG647" s="15" t="str">
        <f t="shared" ref="BG647:BG649" si="1102">"84.65"</f>
        <v>84.65</v>
      </c>
      <c r="BH647" s="15" t="s">
        <v>852</v>
      </c>
      <c r="BI647" s="15" t="str">
        <f t="shared" ref="BI647:BI649" si="1103">"18.9"</f>
        <v>18.9</v>
      </c>
      <c r="BJ647" s="15" t="s">
        <v>552</v>
      </c>
      <c r="BK647" s="15" t="str">
        <f t="shared" ref="BK647:BK649" si="1104">"14.57"</f>
        <v>14.57</v>
      </c>
      <c r="BL647" s="15" t="s">
        <v>5052</v>
      </c>
      <c r="BM647" s="15" t="str">
        <f t="shared" ref="BM647:BM649" si="1105">"114.64"</f>
        <v>114.64</v>
      </c>
      <c r="BN647" s="15" t="s">
        <v>7248</v>
      </c>
      <c r="BQ647" s="15" t="s">
        <v>444</v>
      </c>
      <c r="BS647" s="15" t="s">
        <v>444</v>
      </c>
      <c r="BU647" s="15" t="s">
        <v>444</v>
      </c>
      <c r="BW647" s="15" t="s">
        <v>444</v>
      </c>
      <c r="BZ647" s="15" t="s">
        <v>444</v>
      </c>
      <c r="CB647" s="15" t="s">
        <v>444</v>
      </c>
      <c r="CD647" s="15" t="s">
        <v>444</v>
      </c>
      <c r="CF647" s="15" t="s">
        <v>444</v>
      </c>
      <c r="CI647" s="15" t="s">
        <v>444</v>
      </c>
      <c r="CK647" s="15" t="s">
        <v>444</v>
      </c>
      <c r="CM647" s="15" t="s">
        <v>444</v>
      </c>
      <c r="CO647" s="15" t="s">
        <v>444</v>
      </c>
      <c r="CP647" s="15" t="str">
        <f t="shared" ref="CP647:CP649" si="1106">"13.49"</f>
        <v>13.49</v>
      </c>
      <c r="CQ647" s="15" t="str">
        <f t="shared" ref="CQ647:CQ649" si="1107">"0.382"</f>
        <v>0.382</v>
      </c>
      <c r="CR647" s="15" t="s">
        <v>497</v>
      </c>
      <c r="DC647" s="15" t="str">
        <f>IFERROR(__xludf.DUMMYFUNCTION("""COMPUTED_VALUE"""),"")</f>
        <v/>
      </c>
      <c r="DE647" s="15" t="str">
        <f>IFERROR(__xludf.DUMMYFUNCTION("""COMPUTED_VALUE"""),"")</f>
        <v/>
      </c>
      <c r="DG647" s="15" t="str">
        <f>IFERROR(__xludf.DUMMYFUNCTION("""COMPUTED_VALUE"""),"")</f>
        <v/>
      </c>
      <c r="DL647" s="15" t="str">
        <f>IFERROR(__xludf.DUMMYFUNCTION("""COMPUTED_VALUE"""),"")</f>
        <v/>
      </c>
      <c r="DM647" s="15" t="s">
        <v>444</v>
      </c>
      <c r="DN647" s="15" t="s">
        <v>419</v>
      </c>
      <c r="DO647" s="15">
        <v>0.0</v>
      </c>
      <c r="DP647" s="15" t="s">
        <v>419</v>
      </c>
      <c r="DR647" s="15">
        <v>0.0</v>
      </c>
      <c r="DT647" s="15" t="s">
        <v>2048</v>
      </c>
      <c r="DU647" s="15" t="s">
        <v>419</v>
      </c>
      <c r="DY647" s="15">
        <v>0.0</v>
      </c>
      <c r="EF647" s="15" t="s">
        <v>471</v>
      </c>
      <c r="EG647" s="15" t="s">
        <v>472</v>
      </c>
      <c r="EH647" s="15" t="s">
        <v>7249</v>
      </c>
      <c r="EJ647" s="15" t="s">
        <v>424</v>
      </c>
      <c r="EK647" s="15" t="s">
        <v>446</v>
      </c>
      <c r="EM647" s="15" t="str">
        <f>IFERROR(__xludf.DUMMYFUNCTION("""COMPUTED_VALUE"""),"")</f>
        <v/>
      </c>
      <c r="EW647" s="15" t="s">
        <v>7250</v>
      </c>
      <c r="EY647" s="15" t="s">
        <v>7251</v>
      </c>
      <c r="FH647" s="15" t="s">
        <v>504</v>
      </c>
      <c r="FI647" s="15" t="s">
        <v>1445</v>
      </c>
      <c r="FJ647" s="15" t="s">
        <v>759</v>
      </c>
      <c r="FK647" s="15" t="s">
        <v>759</v>
      </c>
      <c r="FL647" s="15" t="s">
        <v>426</v>
      </c>
      <c r="FM647" s="15">
        <v>0.0</v>
      </c>
      <c r="FN647" s="15">
        <v>0.0</v>
      </c>
      <c r="GH647" s="15">
        <v>0.0</v>
      </c>
      <c r="GI647" s="15" t="s">
        <v>427</v>
      </c>
    </row>
    <row r="648" ht="15.75" customHeight="1">
      <c r="A648" s="14" t="s">
        <v>391</v>
      </c>
      <c r="B648" s="15" t="s">
        <v>7243</v>
      </c>
      <c r="C648" s="16"/>
      <c r="D648" s="15" t="s">
        <v>432</v>
      </c>
      <c r="G648" s="14" t="s">
        <v>393</v>
      </c>
      <c r="H648" s="14" t="s">
        <v>394</v>
      </c>
      <c r="I648" s="14" t="b">
        <v>1</v>
      </c>
      <c r="J648" s="14" t="s">
        <v>395</v>
      </c>
      <c r="L648" s="14" t="b">
        <v>0</v>
      </c>
      <c r="M648" s="15" t="s">
        <v>7252</v>
      </c>
      <c r="N648" s="14" t="s">
        <v>393</v>
      </c>
      <c r="O648" s="14" t="s">
        <v>393</v>
      </c>
      <c r="P648" s="15" t="s">
        <v>397</v>
      </c>
      <c r="Q648" s="15" t="s">
        <v>4815</v>
      </c>
      <c r="T648" s="14" t="b">
        <v>0</v>
      </c>
      <c r="U648" s="15" t="s">
        <v>7253</v>
      </c>
      <c r="V648" s="15" t="s">
        <v>1171</v>
      </c>
      <c r="W648" s="15" t="s">
        <v>401</v>
      </c>
      <c r="X648" s="15" t="s">
        <v>742</v>
      </c>
      <c r="Y648" s="15">
        <v>1430.0</v>
      </c>
      <c r="AA648" s="15" t="str">
        <f t="shared" si="1101"/>
        <v>550</v>
      </c>
      <c r="AB648" s="14" t="b">
        <v>1</v>
      </c>
      <c r="AC648" s="14" t="b">
        <v>1</v>
      </c>
      <c r="AD648" s="15" t="str">
        <f>"801542804657"</f>
        <v>801542804657</v>
      </c>
      <c r="AE648" s="15" t="s">
        <v>7254</v>
      </c>
      <c r="AF648" s="14" t="s">
        <v>404</v>
      </c>
      <c r="AG648" s="14" t="s">
        <v>405</v>
      </c>
      <c r="AH648" s="14" t="s">
        <v>406</v>
      </c>
      <c r="AI648" s="15">
        <v>0.0</v>
      </c>
      <c r="AL648" s="15" t="s">
        <v>407</v>
      </c>
      <c r="AM648" s="15" t="s">
        <v>2304</v>
      </c>
      <c r="AN648" s="15" t="s">
        <v>2305</v>
      </c>
      <c r="AO648" s="15" t="s">
        <v>489</v>
      </c>
      <c r="AP648" s="15" t="s">
        <v>490</v>
      </c>
      <c r="AQ648" s="15" t="s">
        <v>3275</v>
      </c>
      <c r="AR648" s="15" t="s">
        <v>3276</v>
      </c>
      <c r="AS648" s="15" t="s">
        <v>1896</v>
      </c>
      <c r="AT648" s="15" t="s">
        <v>4815</v>
      </c>
      <c r="AW648" s="15" t="s">
        <v>519</v>
      </c>
      <c r="AY648" s="15" t="s">
        <v>413</v>
      </c>
      <c r="AZ648" s="15" t="b">
        <v>0</v>
      </c>
      <c r="BA648" s="15" t="s">
        <v>413</v>
      </c>
      <c r="BB648" s="15" t="b">
        <v>0</v>
      </c>
      <c r="BC648" s="15" t="s">
        <v>7255</v>
      </c>
      <c r="BD648" s="15" t="s">
        <v>742</v>
      </c>
      <c r="BE648" s="15" t="str">
        <f t="shared" si="1085"/>
        <v>1</v>
      </c>
      <c r="BF648" s="15" t="s">
        <v>5100</v>
      </c>
      <c r="BG648" s="15" t="str">
        <f t="shared" si="1102"/>
        <v>84.65</v>
      </c>
      <c r="BH648" s="15" t="s">
        <v>852</v>
      </c>
      <c r="BI648" s="15" t="str">
        <f t="shared" si="1103"/>
        <v>18.9</v>
      </c>
      <c r="BJ648" s="15" t="s">
        <v>552</v>
      </c>
      <c r="BK648" s="15" t="str">
        <f t="shared" si="1104"/>
        <v>14.57</v>
      </c>
      <c r="BL648" s="15" t="s">
        <v>5052</v>
      </c>
      <c r="BM648" s="15" t="str">
        <f t="shared" si="1105"/>
        <v>114.64</v>
      </c>
      <c r="BN648" s="15" t="s">
        <v>7248</v>
      </c>
      <c r="BQ648" s="15" t="s">
        <v>444</v>
      </c>
      <c r="BS648" s="15" t="s">
        <v>444</v>
      </c>
      <c r="BU648" s="15" t="s">
        <v>444</v>
      </c>
      <c r="BW648" s="15" t="s">
        <v>444</v>
      </c>
      <c r="BZ648" s="15" t="s">
        <v>444</v>
      </c>
      <c r="CB648" s="15" t="s">
        <v>444</v>
      </c>
      <c r="CD648" s="15" t="s">
        <v>444</v>
      </c>
      <c r="CF648" s="15" t="s">
        <v>444</v>
      </c>
      <c r="CI648" s="15" t="s">
        <v>444</v>
      </c>
      <c r="CK648" s="15" t="s">
        <v>444</v>
      </c>
      <c r="CM648" s="15" t="s">
        <v>444</v>
      </c>
      <c r="CO648" s="15" t="s">
        <v>444</v>
      </c>
      <c r="CP648" s="15" t="str">
        <f t="shared" si="1106"/>
        <v>13.49</v>
      </c>
      <c r="CQ648" s="15" t="str">
        <f t="shared" si="1107"/>
        <v>0.382</v>
      </c>
      <c r="CR648" s="15" t="s">
        <v>497</v>
      </c>
      <c r="DC648" s="15" t="str">
        <f>IFERROR(__xludf.DUMMYFUNCTION("""COMPUTED_VALUE"""),"")</f>
        <v/>
      </c>
      <c r="DE648" s="15" t="str">
        <f>IFERROR(__xludf.DUMMYFUNCTION("""COMPUTED_VALUE"""),"")</f>
        <v/>
      </c>
      <c r="DG648" s="15" t="str">
        <f>IFERROR(__xludf.DUMMYFUNCTION("""COMPUTED_VALUE"""),"")</f>
        <v/>
      </c>
      <c r="DL648" s="15" t="str">
        <f>IFERROR(__xludf.DUMMYFUNCTION("""COMPUTED_VALUE"""),"")</f>
        <v/>
      </c>
      <c r="DM648" s="15" t="s">
        <v>444</v>
      </c>
      <c r="DN648" s="15" t="s">
        <v>419</v>
      </c>
      <c r="DO648" s="15">
        <v>0.0</v>
      </c>
      <c r="DP648" s="15" t="s">
        <v>419</v>
      </c>
      <c r="DR648" s="15">
        <v>0.0</v>
      </c>
      <c r="DT648" s="15" t="s">
        <v>2048</v>
      </c>
      <c r="DU648" s="15" t="s">
        <v>419</v>
      </c>
      <c r="DY648" s="15">
        <v>0.0</v>
      </c>
      <c r="EF648" s="15" t="s">
        <v>471</v>
      </c>
      <c r="EG648" s="15" t="s">
        <v>472</v>
      </c>
      <c r="EH648" s="15" t="s">
        <v>7249</v>
      </c>
      <c r="EJ648" s="15" t="s">
        <v>424</v>
      </c>
      <c r="EK648" s="15" t="s">
        <v>446</v>
      </c>
      <c r="EM648" s="15" t="str">
        <f>IFERROR(__xludf.DUMMYFUNCTION("""COMPUTED_VALUE"""),"")</f>
        <v/>
      </c>
      <c r="EW648" s="15" t="s">
        <v>7250</v>
      </c>
      <c r="EY648" s="15" t="s">
        <v>7251</v>
      </c>
      <c r="FH648" s="15" t="s">
        <v>504</v>
      </c>
      <c r="FI648" s="15" t="s">
        <v>1445</v>
      </c>
      <c r="FJ648" s="15" t="s">
        <v>759</v>
      </c>
      <c r="FK648" s="15" t="s">
        <v>759</v>
      </c>
      <c r="FL648" s="15" t="s">
        <v>426</v>
      </c>
      <c r="FM648" s="15">
        <v>0.0</v>
      </c>
      <c r="FN648" s="15">
        <v>0.0</v>
      </c>
      <c r="GH648" s="15">
        <v>0.0</v>
      </c>
      <c r="GI648" s="15" t="s">
        <v>427</v>
      </c>
    </row>
    <row r="649" ht="15.75" customHeight="1">
      <c r="A649" s="14" t="s">
        <v>391</v>
      </c>
      <c r="B649" s="15" t="s">
        <v>7243</v>
      </c>
      <c r="C649" s="16"/>
      <c r="D649" s="15" t="s">
        <v>432</v>
      </c>
      <c r="G649" s="14" t="s">
        <v>393</v>
      </c>
      <c r="H649" s="14" t="s">
        <v>394</v>
      </c>
      <c r="I649" s="14" t="b">
        <v>1</v>
      </c>
      <c r="J649" s="14" t="s">
        <v>395</v>
      </c>
      <c r="L649" s="14" t="b">
        <v>0</v>
      </c>
      <c r="M649" s="15" t="s">
        <v>7256</v>
      </c>
      <c r="N649" s="14" t="s">
        <v>393</v>
      </c>
      <c r="O649" s="14" t="s">
        <v>393</v>
      </c>
      <c r="P649" s="15" t="s">
        <v>397</v>
      </c>
      <c r="Q649" s="15" t="s">
        <v>2351</v>
      </c>
      <c r="T649" s="14" t="b">
        <v>0</v>
      </c>
      <c r="U649" s="15" t="s">
        <v>7257</v>
      </c>
      <c r="V649" s="15" t="s">
        <v>1171</v>
      </c>
      <c r="W649" s="15" t="s">
        <v>401</v>
      </c>
      <c r="X649" s="15" t="s">
        <v>742</v>
      </c>
      <c r="Y649" s="15">
        <v>1534.0</v>
      </c>
      <c r="AA649" s="15" t="str">
        <f>"590"</f>
        <v>590</v>
      </c>
      <c r="AB649" s="14" t="b">
        <v>1</v>
      </c>
      <c r="AC649" s="14" t="b">
        <v>1</v>
      </c>
      <c r="AD649" s="15" t="str">
        <f>"198394016759"</f>
        <v>198394016759</v>
      </c>
      <c r="AE649" s="15" t="s">
        <v>7258</v>
      </c>
      <c r="AF649" s="14" t="s">
        <v>404</v>
      </c>
      <c r="AG649" s="14" t="s">
        <v>405</v>
      </c>
      <c r="AH649" s="14" t="s">
        <v>406</v>
      </c>
      <c r="AI649" s="15">
        <v>0.0</v>
      </c>
      <c r="AL649" s="15" t="s">
        <v>407</v>
      </c>
      <c r="AM649" s="15" t="s">
        <v>2304</v>
      </c>
      <c r="AN649" s="15" t="s">
        <v>2305</v>
      </c>
      <c r="AO649" s="15" t="s">
        <v>489</v>
      </c>
      <c r="AP649" s="15" t="s">
        <v>490</v>
      </c>
      <c r="AQ649" s="15" t="s">
        <v>3275</v>
      </c>
      <c r="AR649" s="15" t="s">
        <v>3276</v>
      </c>
      <c r="AS649" s="15" t="s">
        <v>1896</v>
      </c>
      <c r="AT649" s="15" t="s">
        <v>2351</v>
      </c>
      <c r="AW649" s="15" t="s">
        <v>519</v>
      </c>
      <c r="AY649" s="15" t="s">
        <v>413</v>
      </c>
      <c r="AZ649" s="15" t="b">
        <v>0</v>
      </c>
      <c r="BA649" s="15" t="s">
        <v>413</v>
      </c>
      <c r="BB649" s="15" t="b">
        <v>0</v>
      </c>
      <c r="BC649" s="15" t="s">
        <v>7259</v>
      </c>
      <c r="BD649" s="15" t="s">
        <v>742</v>
      </c>
      <c r="BE649" s="15" t="str">
        <f t="shared" si="1085"/>
        <v>1</v>
      </c>
      <c r="BF649" s="15" t="s">
        <v>5100</v>
      </c>
      <c r="BG649" s="15" t="str">
        <f t="shared" si="1102"/>
        <v>84.65</v>
      </c>
      <c r="BH649" s="15" t="s">
        <v>852</v>
      </c>
      <c r="BI649" s="15" t="str">
        <f t="shared" si="1103"/>
        <v>18.9</v>
      </c>
      <c r="BJ649" s="15" t="s">
        <v>552</v>
      </c>
      <c r="BK649" s="15" t="str">
        <f t="shared" si="1104"/>
        <v>14.57</v>
      </c>
      <c r="BL649" s="15" t="s">
        <v>5052</v>
      </c>
      <c r="BM649" s="15" t="str">
        <f t="shared" si="1105"/>
        <v>114.64</v>
      </c>
      <c r="BN649" s="15" t="s">
        <v>7248</v>
      </c>
      <c r="BQ649" s="15" t="s">
        <v>444</v>
      </c>
      <c r="BS649" s="15" t="s">
        <v>444</v>
      </c>
      <c r="BU649" s="15" t="s">
        <v>444</v>
      </c>
      <c r="BW649" s="15" t="s">
        <v>444</v>
      </c>
      <c r="BZ649" s="15" t="s">
        <v>444</v>
      </c>
      <c r="CB649" s="15" t="s">
        <v>444</v>
      </c>
      <c r="CD649" s="15" t="s">
        <v>444</v>
      </c>
      <c r="CF649" s="15" t="s">
        <v>444</v>
      </c>
      <c r="CI649" s="15" t="s">
        <v>444</v>
      </c>
      <c r="CK649" s="15" t="s">
        <v>444</v>
      </c>
      <c r="CM649" s="15" t="s">
        <v>444</v>
      </c>
      <c r="CO649" s="15" t="s">
        <v>444</v>
      </c>
      <c r="CP649" s="15" t="str">
        <f t="shared" si="1106"/>
        <v>13.49</v>
      </c>
      <c r="CQ649" s="15" t="str">
        <f t="shared" si="1107"/>
        <v>0.382</v>
      </c>
      <c r="CR649" s="15" t="s">
        <v>497</v>
      </c>
      <c r="DC649" s="15" t="str">
        <f>IFERROR(__xludf.DUMMYFUNCTION("""COMPUTED_VALUE"""),"")</f>
        <v/>
      </c>
      <c r="DE649" s="15" t="str">
        <f>IFERROR(__xludf.DUMMYFUNCTION("""COMPUTED_VALUE"""),"")</f>
        <v/>
      </c>
      <c r="DG649" s="15" t="str">
        <f>IFERROR(__xludf.DUMMYFUNCTION("""COMPUTED_VALUE"""),"")</f>
        <v/>
      </c>
      <c r="DL649" s="15" t="str">
        <f>IFERROR(__xludf.DUMMYFUNCTION("""COMPUTED_VALUE"""),"")</f>
        <v/>
      </c>
      <c r="DM649" s="15" t="s">
        <v>444</v>
      </c>
      <c r="DN649" s="15" t="s">
        <v>419</v>
      </c>
      <c r="DO649" s="15">
        <v>0.0</v>
      </c>
      <c r="DP649" s="15" t="s">
        <v>419</v>
      </c>
      <c r="DR649" s="15">
        <v>0.0</v>
      </c>
      <c r="DT649" s="15" t="s">
        <v>2048</v>
      </c>
      <c r="DU649" s="15" t="s">
        <v>419</v>
      </c>
      <c r="DY649" s="15">
        <v>0.0</v>
      </c>
      <c r="EF649" s="15" t="s">
        <v>471</v>
      </c>
      <c r="EG649" s="15" t="s">
        <v>472</v>
      </c>
      <c r="EH649" s="15" t="s">
        <v>7249</v>
      </c>
      <c r="EJ649" s="15" t="s">
        <v>424</v>
      </c>
      <c r="EK649" s="15" t="s">
        <v>446</v>
      </c>
      <c r="EM649" s="15" t="str">
        <f>IFERROR(__xludf.DUMMYFUNCTION("""COMPUTED_VALUE"""),"")</f>
        <v/>
      </c>
      <c r="EW649" s="15" t="s">
        <v>7250</v>
      </c>
      <c r="EY649" s="15" t="s">
        <v>7251</v>
      </c>
      <c r="FH649" s="15" t="s">
        <v>504</v>
      </c>
      <c r="FI649" s="15" t="s">
        <v>1445</v>
      </c>
      <c r="FJ649" s="15" t="s">
        <v>759</v>
      </c>
      <c r="FK649" s="15" t="s">
        <v>759</v>
      </c>
      <c r="FL649" s="15" t="s">
        <v>426</v>
      </c>
      <c r="FM649" s="15">
        <v>0.0</v>
      </c>
      <c r="FN649" s="15">
        <v>0.0</v>
      </c>
      <c r="GH649" s="15">
        <v>0.0</v>
      </c>
      <c r="GI649" s="15" t="s">
        <v>427</v>
      </c>
    </row>
    <row r="650" ht="15.75" customHeight="1">
      <c r="A650" s="14" t="s">
        <v>391</v>
      </c>
      <c r="B650" s="15" t="s">
        <v>7260</v>
      </c>
      <c r="C650" s="16"/>
      <c r="D650" s="15" t="s">
        <v>432</v>
      </c>
      <c r="G650" s="14" t="s">
        <v>393</v>
      </c>
      <c r="H650" s="14" t="s">
        <v>394</v>
      </c>
      <c r="I650" s="14" t="b">
        <v>1</v>
      </c>
      <c r="J650" s="14" t="s">
        <v>395</v>
      </c>
      <c r="L650" s="14" t="b">
        <v>0</v>
      </c>
      <c r="M650" s="15" t="s">
        <v>7261</v>
      </c>
      <c r="N650" s="14" t="s">
        <v>393</v>
      </c>
      <c r="O650" s="14" t="s">
        <v>393</v>
      </c>
      <c r="P650" s="15" t="s">
        <v>397</v>
      </c>
      <c r="Q650" s="15" t="s">
        <v>7262</v>
      </c>
      <c r="T650" s="14" t="b">
        <v>0</v>
      </c>
      <c r="U650" s="15" t="s">
        <v>7263</v>
      </c>
      <c r="V650" s="15" t="s">
        <v>3881</v>
      </c>
      <c r="W650" s="15" t="s">
        <v>401</v>
      </c>
      <c r="X650" s="15" t="s">
        <v>695</v>
      </c>
      <c r="Y650" s="15">
        <v>4589.0</v>
      </c>
      <c r="AA650" s="15" t="str">
        <f>"1765"</f>
        <v>1765</v>
      </c>
      <c r="AB650" s="14" t="b">
        <v>1</v>
      </c>
      <c r="AC650" s="14" t="b">
        <v>1</v>
      </c>
      <c r="AD650" s="15" t="str">
        <f>"801542249281"</f>
        <v>801542249281</v>
      </c>
      <c r="AE650" s="15" t="s">
        <v>7264</v>
      </c>
      <c r="AF650" s="14" t="s">
        <v>404</v>
      </c>
      <c r="AG650" s="14" t="s">
        <v>405</v>
      </c>
      <c r="AH650" s="14" t="s">
        <v>406</v>
      </c>
      <c r="AI650" s="15">
        <v>0.0</v>
      </c>
      <c r="AL650" s="15" t="s">
        <v>2578</v>
      </c>
      <c r="AM650" s="15" t="s">
        <v>2370</v>
      </c>
      <c r="AN650" s="15" t="s">
        <v>2371</v>
      </c>
      <c r="AO650" s="15" t="s">
        <v>1028</v>
      </c>
      <c r="AP650" s="15" t="s">
        <v>1029</v>
      </c>
      <c r="AQ650" s="15" t="s">
        <v>600</v>
      </c>
      <c r="AR650" s="15" t="s">
        <v>601</v>
      </c>
      <c r="AS650" s="15" t="s">
        <v>915</v>
      </c>
      <c r="AT650" s="15" t="s">
        <v>7262</v>
      </c>
      <c r="AU650" s="15" t="s">
        <v>7265</v>
      </c>
      <c r="AV650" s="15" t="s">
        <v>7266</v>
      </c>
      <c r="AW650" s="15" t="s">
        <v>1732</v>
      </c>
      <c r="AY650" s="15" t="s">
        <v>413</v>
      </c>
      <c r="AZ650" s="15" t="b">
        <v>0</v>
      </c>
      <c r="BA650" s="15" t="s">
        <v>413</v>
      </c>
      <c r="BB650" s="15" t="b">
        <v>0</v>
      </c>
      <c r="BC650" s="15" t="s">
        <v>7267</v>
      </c>
      <c r="BD650" s="15" t="s">
        <v>709</v>
      </c>
      <c r="BE650" s="15" t="str">
        <f t="shared" si="1085"/>
        <v>1</v>
      </c>
      <c r="BF650" s="15" t="s">
        <v>416</v>
      </c>
      <c r="BG650" s="15" t="str">
        <f t="shared" ref="BG650:BG651" si="1108">"97.64"</f>
        <v>97.64</v>
      </c>
      <c r="BH650" s="15" t="s">
        <v>7268</v>
      </c>
      <c r="BI650" s="15" t="str">
        <f t="shared" ref="BI650:BI651" si="1109">"36.61"</f>
        <v>36.61</v>
      </c>
      <c r="BJ650" s="15" t="s">
        <v>1734</v>
      </c>
      <c r="BK650" s="15" t="str">
        <f t="shared" ref="BK650:BK651" si="1110">"28.74"</f>
        <v>28.74</v>
      </c>
      <c r="BL650" s="15" t="s">
        <v>2113</v>
      </c>
      <c r="BM650" s="15" t="str">
        <f t="shared" ref="BM650:BM651" si="1111">"159.17"</f>
        <v>159.17</v>
      </c>
      <c r="BN650" s="15" t="s">
        <v>7269</v>
      </c>
      <c r="BQ650" s="15" t="s">
        <v>444</v>
      </c>
      <c r="BS650" s="15" t="s">
        <v>444</v>
      </c>
      <c r="BU650" s="15" t="s">
        <v>444</v>
      </c>
      <c r="BW650" s="15" t="s">
        <v>444</v>
      </c>
      <c r="BZ650" s="15" t="s">
        <v>444</v>
      </c>
      <c r="CB650" s="15" t="s">
        <v>444</v>
      </c>
      <c r="CD650" s="15" t="s">
        <v>444</v>
      </c>
      <c r="CF650" s="15" t="s">
        <v>444</v>
      </c>
      <c r="CI650" s="15" t="s">
        <v>444</v>
      </c>
      <c r="CK650" s="15" t="s">
        <v>444</v>
      </c>
      <c r="CM650" s="15" t="s">
        <v>444</v>
      </c>
      <c r="CO650" s="15" t="s">
        <v>444</v>
      </c>
      <c r="CP650" s="15" t="str">
        <f t="shared" ref="CP650:CP651" si="1112">"59.47"</f>
        <v>59.47</v>
      </c>
      <c r="CQ650" s="15" t="str">
        <f t="shared" ref="CQ650:CQ651" si="1113">"1.684"</f>
        <v>1.684</v>
      </c>
      <c r="CR650" s="15" t="s">
        <v>497</v>
      </c>
      <c r="DB650" s="15" t="s">
        <v>1212</v>
      </c>
      <c r="DC650" s="15" t="str">
        <f>IFERROR(__xludf.DUMMYFUNCTION("""COMPUTED_VALUE"""),"{""value"":25.50,""unit"":""in""}")</f>
        <v>{"value":25.50,"unit":"in"}</v>
      </c>
      <c r="DD650" s="15" t="s">
        <v>1161</v>
      </c>
      <c r="DE650" s="15" t="str">
        <f>IFERROR(__xludf.DUMMYFUNCTION("""COMPUTED_VALUE"""),"{""value"":17.00,""unit"":""in""}")</f>
        <v>{"value":17.00,"unit":"in"}</v>
      </c>
      <c r="DF650" s="15" t="s">
        <v>4844</v>
      </c>
      <c r="DG650" s="15" t="str">
        <f>IFERROR(__xludf.DUMMYFUNCTION("""COMPUTED_VALUE"""),"{""value"":82.50,""unit"":""in""}")</f>
        <v>{"value":82.50,"unit":"in"}</v>
      </c>
      <c r="DH650" s="15">
        <v>0.0</v>
      </c>
      <c r="DI650" s="15">
        <v>0.0</v>
      </c>
      <c r="DJ650" s="15" t="s">
        <v>717</v>
      </c>
      <c r="DK650" s="15" t="s">
        <v>718</v>
      </c>
      <c r="DL650" s="15" t="str">
        <f>IFERROR(__xludf.DUMMYFUNCTION("""COMPUTED_VALUE"""),"Vacuum or light brush only. Do not use water or any cleaning products.")</f>
        <v>Vacuum or light brush only. Do not use water or any cleaning products.</v>
      </c>
      <c r="DM650" s="15" t="s">
        <v>719</v>
      </c>
      <c r="DT650" s="15" t="s">
        <v>721</v>
      </c>
      <c r="DU650" s="15" t="s">
        <v>419</v>
      </c>
      <c r="DV650" s="15">
        <v>0.0</v>
      </c>
      <c r="DZ650" s="15">
        <v>0.0</v>
      </c>
      <c r="EA650" s="15" t="s">
        <v>990</v>
      </c>
      <c r="ED650" s="15">
        <v>0.0</v>
      </c>
      <c r="EE650" s="15">
        <v>3.0</v>
      </c>
      <c r="EG650" s="15" t="s">
        <v>444</v>
      </c>
      <c r="EH650" s="15" t="s">
        <v>7270</v>
      </c>
      <c r="EI650" s="15">
        <v>0.0</v>
      </c>
      <c r="EJ650" s="15" t="s">
        <v>473</v>
      </c>
      <c r="EK650" s="15" t="s">
        <v>474</v>
      </c>
      <c r="EL650" s="15" t="s">
        <v>1064</v>
      </c>
      <c r="EM650" s="15" t="str">
        <f>IFERROR(__xludf.DUMMYFUNCTION("""COMPUTED_VALUE"""),"{""value"":27.00,""unit"":""in""}")</f>
        <v>{"value":27.00,"unit":"in"}</v>
      </c>
      <c r="EN650" s="15" t="s">
        <v>531</v>
      </c>
      <c r="EO650" s="15" t="s">
        <v>730</v>
      </c>
      <c r="ES650" s="15" t="s">
        <v>505</v>
      </c>
      <c r="EW650" s="15" t="s">
        <v>1188</v>
      </c>
      <c r="EX650" s="15" t="s">
        <v>2384</v>
      </c>
      <c r="EY650" s="15" t="s">
        <v>3842</v>
      </c>
      <c r="EZ650" s="15" t="s">
        <v>531</v>
      </c>
      <c r="FF650" s="15" t="s">
        <v>1255</v>
      </c>
      <c r="FS650" s="15" t="s">
        <v>3362</v>
      </c>
    </row>
    <row r="651" ht="15.75" customHeight="1">
      <c r="A651" s="14" t="s">
        <v>391</v>
      </c>
      <c r="B651" s="15" t="s">
        <v>7260</v>
      </c>
      <c r="C651" s="16"/>
      <c r="D651" s="15" t="s">
        <v>432</v>
      </c>
      <c r="G651" s="14" t="s">
        <v>393</v>
      </c>
      <c r="H651" s="14" t="s">
        <v>394</v>
      </c>
      <c r="I651" s="14" t="b">
        <v>1</v>
      </c>
      <c r="J651" s="14" t="s">
        <v>395</v>
      </c>
      <c r="L651" s="14" t="b">
        <v>0</v>
      </c>
      <c r="M651" s="15" t="s">
        <v>7271</v>
      </c>
      <c r="N651" s="14" t="s">
        <v>393</v>
      </c>
      <c r="O651" s="14" t="s">
        <v>393</v>
      </c>
      <c r="P651" s="15" t="s">
        <v>397</v>
      </c>
      <c r="Q651" s="15" t="s">
        <v>2575</v>
      </c>
      <c r="R651" s="15" t="s">
        <v>265</v>
      </c>
      <c r="S651" s="15" t="s">
        <v>2370</v>
      </c>
      <c r="T651" s="14" t="b">
        <v>0</v>
      </c>
      <c r="U651" s="15" t="s">
        <v>7272</v>
      </c>
      <c r="V651" s="15" t="s">
        <v>3881</v>
      </c>
      <c r="W651" s="15" t="s">
        <v>401</v>
      </c>
      <c r="X651" s="15" t="s">
        <v>695</v>
      </c>
      <c r="Y651" s="15">
        <v>4043.0</v>
      </c>
      <c r="AA651" s="15" t="str">
        <f>"1555"</f>
        <v>1555</v>
      </c>
      <c r="AB651" s="14" t="b">
        <v>1</v>
      </c>
      <c r="AC651" s="14" t="b">
        <v>1</v>
      </c>
      <c r="AD651" s="15" t="str">
        <f>"801542864446"</f>
        <v>801542864446</v>
      </c>
      <c r="AE651" s="15" t="s">
        <v>7273</v>
      </c>
      <c r="AF651" s="14" t="s">
        <v>404</v>
      </c>
      <c r="AG651" s="14" t="s">
        <v>405</v>
      </c>
      <c r="AH651" s="14" t="s">
        <v>406</v>
      </c>
      <c r="AI651" s="15">
        <v>0.0</v>
      </c>
      <c r="AL651" s="15" t="s">
        <v>2578</v>
      </c>
      <c r="AM651" s="15" t="s">
        <v>2370</v>
      </c>
      <c r="AN651" s="15" t="s">
        <v>2371</v>
      </c>
      <c r="AO651" s="15" t="s">
        <v>1028</v>
      </c>
      <c r="AP651" s="15" t="s">
        <v>1029</v>
      </c>
      <c r="AQ651" s="15" t="s">
        <v>600</v>
      </c>
      <c r="AR651" s="15" t="s">
        <v>601</v>
      </c>
      <c r="AS651" s="15" t="s">
        <v>915</v>
      </c>
      <c r="AT651" s="15" t="s">
        <v>2575</v>
      </c>
      <c r="AU651" s="15" t="s">
        <v>6600</v>
      </c>
      <c r="AV651" s="15" t="s">
        <v>7266</v>
      </c>
      <c r="AW651" s="15" t="s">
        <v>1732</v>
      </c>
      <c r="AY651" s="15" t="s">
        <v>413</v>
      </c>
      <c r="AZ651" s="15" t="b">
        <v>0</v>
      </c>
      <c r="BA651" s="15" t="s">
        <v>413</v>
      </c>
      <c r="BB651" s="15" t="b">
        <v>0</v>
      </c>
      <c r="BC651" s="15" t="s">
        <v>7274</v>
      </c>
      <c r="BD651" s="15" t="s">
        <v>709</v>
      </c>
      <c r="BE651" s="15" t="str">
        <f t="shared" si="1085"/>
        <v>1</v>
      </c>
      <c r="BF651" s="15" t="s">
        <v>416</v>
      </c>
      <c r="BG651" s="15" t="str">
        <f t="shared" si="1108"/>
        <v>97.64</v>
      </c>
      <c r="BH651" s="15" t="s">
        <v>7268</v>
      </c>
      <c r="BI651" s="15" t="str">
        <f t="shared" si="1109"/>
        <v>36.61</v>
      </c>
      <c r="BJ651" s="15" t="s">
        <v>1734</v>
      </c>
      <c r="BK651" s="15" t="str">
        <f t="shared" si="1110"/>
        <v>28.74</v>
      </c>
      <c r="BL651" s="15" t="s">
        <v>2113</v>
      </c>
      <c r="BM651" s="15" t="str">
        <f t="shared" si="1111"/>
        <v>159.17</v>
      </c>
      <c r="BN651" s="15" t="s">
        <v>7269</v>
      </c>
      <c r="BQ651" s="15" t="s">
        <v>444</v>
      </c>
      <c r="BS651" s="15" t="s">
        <v>444</v>
      </c>
      <c r="BU651" s="15" t="s">
        <v>444</v>
      </c>
      <c r="BW651" s="15" t="s">
        <v>444</v>
      </c>
      <c r="BZ651" s="15" t="s">
        <v>444</v>
      </c>
      <c r="CB651" s="15" t="s">
        <v>444</v>
      </c>
      <c r="CD651" s="15" t="s">
        <v>444</v>
      </c>
      <c r="CF651" s="15" t="s">
        <v>444</v>
      </c>
      <c r="CI651" s="15" t="s">
        <v>444</v>
      </c>
      <c r="CK651" s="15" t="s">
        <v>444</v>
      </c>
      <c r="CM651" s="15" t="s">
        <v>444</v>
      </c>
      <c r="CO651" s="15" t="s">
        <v>444</v>
      </c>
      <c r="CP651" s="15" t="str">
        <f t="shared" si="1112"/>
        <v>59.47</v>
      </c>
      <c r="CQ651" s="15" t="str">
        <f t="shared" si="1113"/>
        <v>1.684</v>
      </c>
      <c r="CR651" s="15" t="s">
        <v>465</v>
      </c>
      <c r="DB651" s="15" t="s">
        <v>1212</v>
      </c>
      <c r="DC651" s="15" t="str">
        <f>IFERROR(__xludf.DUMMYFUNCTION("""COMPUTED_VALUE"""),"{""value"":25.50,""unit"":""in""}")</f>
        <v>{"value":25.50,"unit":"in"}</v>
      </c>
      <c r="DD651" s="15" t="s">
        <v>1161</v>
      </c>
      <c r="DE651" s="15" t="str">
        <f>IFERROR(__xludf.DUMMYFUNCTION("""COMPUTED_VALUE"""),"{""value"":17.00,""unit"":""in""}")</f>
        <v>{"value":17.00,"unit":"in"}</v>
      </c>
      <c r="DF651" s="15" t="s">
        <v>4844</v>
      </c>
      <c r="DG651" s="15" t="str">
        <f>IFERROR(__xludf.DUMMYFUNCTION("""COMPUTED_VALUE"""),"{""value"":82.50,""unit"":""in""}")</f>
        <v>{"value":82.50,"unit":"in"}</v>
      </c>
      <c r="DH651" s="15">
        <v>0.0</v>
      </c>
      <c r="DI651" s="15">
        <v>0.0</v>
      </c>
      <c r="DJ651" s="15" t="s">
        <v>717</v>
      </c>
      <c r="DK651" s="15" t="s">
        <v>718</v>
      </c>
      <c r="DL651" s="15" t="str">
        <f>IFERROR(__xludf.DUMMYFUNCTION("""COMPUTED_VALUE"""),"Vacuum or light brush only. Do not use water or any cleaning products.")</f>
        <v>Vacuum or light brush only. Do not use water or any cleaning products.</v>
      </c>
      <c r="DM651" s="15" t="s">
        <v>719</v>
      </c>
      <c r="DT651" s="15" t="s">
        <v>721</v>
      </c>
      <c r="DU651" s="15" t="s">
        <v>419</v>
      </c>
      <c r="DV651" s="15">
        <v>0.0</v>
      </c>
      <c r="DZ651" s="15">
        <v>0.0</v>
      </c>
      <c r="EA651" s="15" t="s">
        <v>990</v>
      </c>
      <c r="ED651" s="15">
        <v>0.0</v>
      </c>
      <c r="EE651" s="15">
        <v>3.0</v>
      </c>
      <c r="EG651" s="15" t="s">
        <v>444</v>
      </c>
      <c r="EH651" s="15" t="s">
        <v>7270</v>
      </c>
      <c r="EI651" s="15">
        <v>0.0</v>
      </c>
      <c r="EJ651" s="15" t="s">
        <v>473</v>
      </c>
      <c r="EK651" s="15" t="s">
        <v>474</v>
      </c>
      <c r="EL651" s="15" t="s">
        <v>1064</v>
      </c>
      <c r="EM651" s="15" t="str">
        <f>IFERROR(__xludf.DUMMYFUNCTION("""COMPUTED_VALUE"""),"{""value"":27.00,""unit"":""in""}")</f>
        <v>{"value":27.00,"unit":"in"}</v>
      </c>
      <c r="EN651" s="15" t="s">
        <v>531</v>
      </c>
      <c r="EO651" s="15" t="s">
        <v>730</v>
      </c>
      <c r="ES651" s="15" t="s">
        <v>505</v>
      </c>
      <c r="EW651" s="15" t="s">
        <v>1188</v>
      </c>
      <c r="EX651" s="15" t="s">
        <v>2384</v>
      </c>
      <c r="EY651" s="15" t="s">
        <v>3842</v>
      </c>
      <c r="EZ651" s="15" t="s">
        <v>531</v>
      </c>
      <c r="FF651" s="15" t="s">
        <v>1255</v>
      </c>
      <c r="FS651" s="15" t="s">
        <v>3362</v>
      </c>
    </row>
    <row r="652" ht="15.75" customHeight="1">
      <c r="A652" s="14" t="s">
        <v>391</v>
      </c>
      <c r="B652" s="15" t="s">
        <v>7260</v>
      </c>
      <c r="C652" s="16"/>
      <c r="D652" s="15" t="s">
        <v>432</v>
      </c>
      <c r="G652" s="14" t="s">
        <v>393</v>
      </c>
      <c r="H652" s="14" t="s">
        <v>394</v>
      </c>
      <c r="I652" s="14" t="b">
        <v>1</v>
      </c>
      <c r="J652" s="14" t="s">
        <v>395</v>
      </c>
      <c r="L652" s="14" t="b">
        <v>0</v>
      </c>
      <c r="M652" s="15" t="s">
        <v>7275</v>
      </c>
      <c r="N652" s="14" t="s">
        <v>393</v>
      </c>
      <c r="O652" s="14" t="s">
        <v>393</v>
      </c>
      <c r="P652" s="15" t="s">
        <v>397</v>
      </c>
      <c r="Q652" s="15" t="s">
        <v>2575</v>
      </c>
      <c r="R652" s="15" t="s">
        <v>265</v>
      </c>
      <c r="S652" s="15" t="s">
        <v>3092</v>
      </c>
      <c r="T652" s="14" t="b">
        <v>0</v>
      </c>
      <c r="U652" s="15" t="s">
        <v>7276</v>
      </c>
      <c r="V652" s="15" t="s">
        <v>3583</v>
      </c>
      <c r="W652" s="15" t="s">
        <v>401</v>
      </c>
      <c r="X652" s="15" t="s">
        <v>695</v>
      </c>
      <c r="Y652" s="15">
        <v>3822.0</v>
      </c>
      <c r="AA652" s="15" t="str">
        <f>"1470"</f>
        <v>1470</v>
      </c>
      <c r="AB652" s="14" t="b">
        <v>1</v>
      </c>
      <c r="AC652" s="14" t="b">
        <v>1</v>
      </c>
      <c r="AD652" s="15" t="str">
        <f>"801542851187"</f>
        <v>801542851187</v>
      </c>
      <c r="AE652" s="15" t="s">
        <v>7277</v>
      </c>
      <c r="AF652" s="14" t="s">
        <v>404</v>
      </c>
      <c r="AG652" s="14" t="s">
        <v>405</v>
      </c>
      <c r="AH652" s="14" t="s">
        <v>406</v>
      </c>
      <c r="AI652" s="15">
        <v>0.0</v>
      </c>
      <c r="AL652" s="15" t="s">
        <v>2578</v>
      </c>
      <c r="AM652" s="15" t="s">
        <v>3092</v>
      </c>
      <c r="AN652" s="15" t="s">
        <v>3093</v>
      </c>
      <c r="AO652" s="15" t="s">
        <v>1028</v>
      </c>
      <c r="AP652" s="15" t="s">
        <v>1029</v>
      </c>
      <c r="AQ652" s="15" t="s">
        <v>600</v>
      </c>
      <c r="AR652" s="15" t="s">
        <v>601</v>
      </c>
      <c r="AS652" s="15" t="s">
        <v>915</v>
      </c>
      <c r="AT652" s="15" t="s">
        <v>2575</v>
      </c>
      <c r="AU652" s="15" t="s">
        <v>6600</v>
      </c>
      <c r="AV652" s="15" t="s">
        <v>7266</v>
      </c>
      <c r="AW652" s="15" t="s">
        <v>1732</v>
      </c>
      <c r="AY652" s="15" t="s">
        <v>413</v>
      </c>
      <c r="AZ652" s="15" t="b">
        <v>0</v>
      </c>
      <c r="BA652" s="15" t="s">
        <v>413</v>
      </c>
      <c r="BB652" s="15" t="b">
        <v>0</v>
      </c>
      <c r="BC652" s="15" t="s">
        <v>7274</v>
      </c>
      <c r="BD652" s="15" t="s">
        <v>709</v>
      </c>
      <c r="BE652" s="15" t="str">
        <f t="shared" si="1085"/>
        <v>1</v>
      </c>
      <c r="BF652" s="15" t="s">
        <v>416</v>
      </c>
      <c r="BG652" s="15" t="str">
        <f>"88.58"</f>
        <v>88.58</v>
      </c>
      <c r="BH652" s="15" t="s">
        <v>5317</v>
      </c>
      <c r="BI652" s="15" t="str">
        <f>"36.02"</f>
        <v>36.02</v>
      </c>
      <c r="BJ652" s="15" t="s">
        <v>4053</v>
      </c>
      <c r="BK652" s="15" t="str">
        <f>"28.35"</f>
        <v>28.35</v>
      </c>
      <c r="BL652" s="15" t="s">
        <v>924</v>
      </c>
      <c r="BM652" s="15" t="str">
        <f>"139.99"</f>
        <v>139.99</v>
      </c>
      <c r="BN652" s="15" t="s">
        <v>4087</v>
      </c>
      <c r="BQ652" s="15" t="s">
        <v>444</v>
      </c>
      <c r="BS652" s="15" t="s">
        <v>444</v>
      </c>
      <c r="BU652" s="15" t="s">
        <v>444</v>
      </c>
      <c r="BW652" s="15" t="s">
        <v>444</v>
      </c>
      <c r="BZ652" s="15" t="s">
        <v>444</v>
      </c>
      <c r="CB652" s="15" t="s">
        <v>444</v>
      </c>
      <c r="CD652" s="15" t="s">
        <v>444</v>
      </c>
      <c r="CF652" s="15" t="s">
        <v>444</v>
      </c>
      <c r="CI652" s="15" t="s">
        <v>444</v>
      </c>
      <c r="CK652" s="15" t="s">
        <v>444</v>
      </c>
      <c r="CM652" s="15" t="s">
        <v>444</v>
      </c>
      <c r="CO652" s="15" t="s">
        <v>444</v>
      </c>
      <c r="CP652" s="15" t="str">
        <f>"52.34"</f>
        <v>52.34</v>
      </c>
      <c r="CQ652" s="15" t="str">
        <f>"1.482"</f>
        <v>1.482</v>
      </c>
      <c r="CR652" s="15" t="s">
        <v>465</v>
      </c>
      <c r="DB652" s="15" t="s">
        <v>555</v>
      </c>
      <c r="DC652" s="15" t="str">
        <f>IFERROR(__xludf.DUMMYFUNCTION("""COMPUTED_VALUE"""),"{""value"":25.00,""unit"":""in""}")</f>
        <v>{"value":25.00,"unit":"in"}</v>
      </c>
      <c r="DD652" s="15" t="s">
        <v>1161</v>
      </c>
      <c r="DE652" s="15" t="str">
        <f>IFERROR(__xludf.DUMMYFUNCTION("""COMPUTED_VALUE"""),"{""value"":17.00,""unit"":""in""}")</f>
        <v>{"value":17.00,"unit":"in"}</v>
      </c>
      <c r="DF652" s="15" t="s">
        <v>7278</v>
      </c>
      <c r="DG652" s="15" t="str">
        <f>IFERROR(__xludf.DUMMYFUNCTION("""COMPUTED_VALUE"""),"{""value"":73.75,""unit"":""in""}")</f>
        <v>{"value":73.75,"unit":"in"}</v>
      </c>
      <c r="DH652" s="15">
        <v>0.0</v>
      </c>
      <c r="DI652" s="15">
        <v>0.0</v>
      </c>
      <c r="DJ652" s="15" t="s">
        <v>717</v>
      </c>
      <c r="DK652" s="15" t="s">
        <v>718</v>
      </c>
      <c r="DL652" s="15" t="str">
        <f>IFERROR(__xludf.DUMMYFUNCTION("""COMPUTED_VALUE"""),"Vacuum or light brush only. Do not use water or any cleaning products.")</f>
        <v>Vacuum or light brush only. Do not use water or any cleaning products.</v>
      </c>
      <c r="DM652" s="15" t="s">
        <v>719</v>
      </c>
      <c r="DT652" s="15" t="s">
        <v>721</v>
      </c>
      <c r="DU652" s="15" t="s">
        <v>419</v>
      </c>
      <c r="DV652" s="15">
        <v>0.0</v>
      </c>
      <c r="DZ652" s="15">
        <v>0.0</v>
      </c>
      <c r="EA652" s="15" t="s">
        <v>990</v>
      </c>
      <c r="ED652" s="15">
        <v>0.0</v>
      </c>
      <c r="EE652" s="15">
        <v>4.0</v>
      </c>
      <c r="EG652" s="15" t="s">
        <v>444</v>
      </c>
      <c r="EH652" s="15" t="s">
        <v>7270</v>
      </c>
      <c r="EI652" s="15">
        <v>0.0</v>
      </c>
      <c r="EJ652" s="15" t="s">
        <v>588</v>
      </c>
      <c r="EK652" s="15" t="s">
        <v>589</v>
      </c>
      <c r="EL652" s="15" t="s">
        <v>1064</v>
      </c>
      <c r="EM652" s="15" t="str">
        <f>IFERROR(__xludf.DUMMYFUNCTION("""COMPUTED_VALUE"""),"{""value"":27.00,""unit"":""in""}")</f>
        <v>{"value":27.00,"unit":"in"}</v>
      </c>
      <c r="EN652" s="15" t="s">
        <v>531</v>
      </c>
      <c r="EO652" s="15" t="s">
        <v>730</v>
      </c>
      <c r="ES652" s="15" t="s">
        <v>505</v>
      </c>
      <c r="EW652" s="15" t="s">
        <v>1188</v>
      </c>
      <c r="EX652" s="15" t="s">
        <v>2384</v>
      </c>
      <c r="EY652" s="15" t="s">
        <v>4508</v>
      </c>
      <c r="EZ652" s="15" t="s">
        <v>531</v>
      </c>
      <c r="FF652" s="15" t="s">
        <v>1255</v>
      </c>
      <c r="FS652" s="15" t="s">
        <v>3362</v>
      </c>
    </row>
    <row r="653" ht="15.75" customHeight="1">
      <c r="A653" s="14" t="s">
        <v>391</v>
      </c>
      <c r="B653" s="15" t="s">
        <v>7260</v>
      </c>
      <c r="C653" s="16"/>
      <c r="D653" s="15" t="s">
        <v>432</v>
      </c>
      <c r="G653" s="14" t="s">
        <v>393</v>
      </c>
      <c r="H653" s="14" t="s">
        <v>394</v>
      </c>
      <c r="I653" s="14" t="b">
        <v>1</v>
      </c>
      <c r="J653" s="14" t="s">
        <v>395</v>
      </c>
      <c r="L653" s="14" t="b">
        <v>0</v>
      </c>
      <c r="M653" s="15" t="s">
        <v>7279</v>
      </c>
      <c r="N653" s="14" t="s">
        <v>393</v>
      </c>
      <c r="O653" s="14" t="s">
        <v>393</v>
      </c>
      <c r="P653" s="15" t="s">
        <v>397</v>
      </c>
      <c r="Q653" s="15" t="s">
        <v>1596</v>
      </c>
      <c r="R653" s="15" t="s">
        <v>265</v>
      </c>
      <c r="S653" s="15" t="s">
        <v>2370</v>
      </c>
      <c r="T653" s="14" t="b">
        <v>0</v>
      </c>
      <c r="U653" s="15" t="s">
        <v>7280</v>
      </c>
      <c r="V653" s="15" t="s">
        <v>3881</v>
      </c>
      <c r="W653" s="15" t="s">
        <v>401</v>
      </c>
      <c r="X653" s="15" t="s">
        <v>695</v>
      </c>
      <c r="Y653" s="15">
        <v>4043.0</v>
      </c>
      <c r="AA653" s="15" t="str">
        <f>"1555"</f>
        <v>1555</v>
      </c>
      <c r="AB653" s="14" t="b">
        <v>1</v>
      </c>
      <c r="AC653" s="14" t="b">
        <v>1</v>
      </c>
      <c r="AD653" s="15" t="str">
        <f>"801542742706"</f>
        <v>801542742706</v>
      </c>
      <c r="AE653" s="15" t="s">
        <v>7281</v>
      </c>
      <c r="AF653" s="14" t="s">
        <v>404</v>
      </c>
      <c r="AG653" s="14" t="s">
        <v>405</v>
      </c>
      <c r="AH653" s="14" t="s">
        <v>406</v>
      </c>
      <c r="AI653" s="15">
        <v>0.0</v>
      </c>
      <c r="AL653" s="15" t="s">
        <v>2578</v>
      </c>
      <c r="AM653" s="15" t="s">
        <v>2370</v>
      </c>
      <c r="AN653" s="15" t="s">
        <v>2371</v>
      </c>
      <c r="AO653" s="15" t="s">
        <v>1028</v>
      </c>
      <c r="AP653" s="15" t="s">
        <v>1029</v>
      </c>
      <c r="AQ653" s="15" t="s">
        <v>600</v>
      </c>
      <c r="AR653" s="15" t="s">
        <v>601</v>
      </c>
      <c r="AS653" s="15" t="s">
        <v>915</v>
      </c>
      <c r="AT653" s="15" t="s">
        <v>1596</v>
      </c>
      <c r="AU653" s="15" t="s">
        <v>6600</v>
      </c>
      <c r="AV653" s="15" t="s">
        <v>7266</v>
      </c>
      <c r="AW653" s="15" t="s">
        <v>1732</v>
      </c>
      <c r="AY653" s="15" t="s">
        <v>413</v>
      </c>
      <c r="AZ653" s="15" t="b">
        <v>0</v>
      </c>
      <c r="BA653" s="15" t="s">
        <v>413</v>
      </c>
      <c r="BB653" s="15" t="b">
        <v>0</v>
      </c>
      <c r="BC653" s="15" t="s">
        <v>7282</v>
      </c>
      <c r="BD653" s="15" t="s">
        <v>709</v>
      </c>
      <c r="BE653" s="15" t="str">
        <f t="shared" si="1085"/>
        <v>1</v>
      </c>
      <c r="BF653" s="15" t="s">
        <v>416</v>
      </c>
      <c r="BG653" s="15" t="str">
        <f>"97.64"</f>
        <v>97.64</v>
      </c>
      <c r="BH653" s="15" t="s">
        <v>7268</v>
      </c>
      <c r="BI653" s="15" t="str">
        <f>"36.61"</f>
        <v>36.61</v>
      </c>
      <c r="BJ653" s="15" t="s">
        <v>1734</v>
      </c>
      <c r="BK653" s="15" t="str">
        <f>"28.74"</f>
        <v>28.74</v>
      </c>
      <c r="BL653" s="15" t="s">
        <v>2113</v>
      </c>
      <c r="BM653" s="15" t="str">
        <f>"159.17"</f>
        <v>159.17</v>
      </c>
      <c r="BN653" s="15" t="s">
        <v>7269</v>
      </c>
      <c r="BQ653" s="15" t="s">
        <v>444</v>
      </c>
      <c r="BS653" s="15" t="s">
        <v>444</v>
      </c>
      <c r="BU653" s="15" t="s">
        <v>444</v>
      </c>
      <c r="BW653" s="15" t="s">
        <v>444</v>
      </c>
      <c r="BZ653" s="15" t="s">
        <v>444</v>
      </c>
      <c r="CB653" s="15" t="s">
        <v>444</v>
      </c>
      <c r="CD653" s="15" t="s">
        <v>444</v>
      </c>
      <c r="CF653" s="15" t="s">
        <v>444</v>
      </c>
      <c r="CI653" s="15" t="s">
        <v>444</v>
      </c>
      <c r="CK653" s="15" t="s">
        <v>444</v>
      </c>
      <c r="CM653" s="15" t="s">
        <v>444</v>
      </c>
      <c r="CO653" s="15" t="s">
        <v>444</v>
      </c>
      <c r="CP653" s="15" t="str">
        <f>"59.47"</f>
        <v>59.47</v>
      </c>
      <c r="CQ653" s="15" t="str">
        <f>"1.684"</f>
        <v>1.684</v>
      </c>
      <c r="CR653" s="15" t="s">
        <v>497</v>
      </c>
      <c r="DB653" s="15" t="s">
        <v>1212</v>
      </c>
      <c r="DC653" s="15" t="str">
        <f>IFERROR(__xludf.DUMMYFUNCTION("""COMPUTED_VALUE"""),"{""value"":25.50,""unit"":""in""}")</f>
        <v>{"value":25.50,"unit":"in"}</v>
      </c>
      <c r="DD653" s="15" t="s">
        <v>1161</v>
      </c>
      <c r="DE653" s="15" t="str">
        <f>IFERROR(__xludf.DUMMYFUNCTION("""COMPUTED_VALUE"""),"{""value"":17.00,""unit"":""in""}")</f>
        <v>{"value":17.00,"unit":"in"}</v>
      </c>
      <c r="DF653" s="15" t="s">
        <v>4844</v>
      </c>
      <c r="DG653" s="15" t="str">
        <f>IFERROR(__xludf.DUMMYFUNCTION("""COMPUTED_VALUE"""),"{""value"":82.50,""unit"":""in""}")</f>
        <v>{"value":82.50,"unit":"in"}</v>
      </c>
      <c r="DH653" s="15">
        <v>0.0</v>
      </c>
      <c r="DI653" s="15">
        <v>0.0</v>
      </c>
      <c r="DJ653" s="15" t="s">
        <v>717</v>
      </c>
      <c r="DK653" s="15" t="s">
        <v>718</v>
      </c>
      <c r="DL653" s="15" t="str">
        <f>IFERROR(__xludf.DUMMYFUNCTION("""COMPUTED_VALUE"""),"Vacuum or light brush only. Do not use water or any cleaning products.")</f>
        <v>Vacuum or light brush only. Do not use water or any cleaning products.</v>
      </c>
      <c r="DM653" s="15" t="s">
        <v>719</v>
      </c>
      <c r="DT653" s="15" t="s">
        <v>721</v>
      </c>
      <c r="DU653" s="15" t="s">
        <v>419</v>
      </c>
      <c r="DV653" s="15">
        <v>0.0</v>
      </c>
      <c r="DZ653" s="15">
        <v>0.0</v>
      </c>
      <c r="EA653" s="15" t="s">
        <v>990</v>
      </c>
      <c r="ED653" s="15">
        <v>0.0</v>
      </c>
      <c r="EE653" s="15">
        <v>3.0</v>
      </c>
      <c r="EG653" s="15" t="s">
        <v>444</v>
      </c>
      <c r="EH653" s="15" t="s">
        <v>7270</v>
      </c>
      <c r="EI653" s="15">
        <v>0.0</v>
      </c>
      <c r="EJ653" s="15" t="s">
        <v>473</v>
      </c>
      <c r="EK653" s="15" t="s">
        <v>474</v>
      </c>
      <c r="EL653" s="15" t="s">
        <v>1064</v>
      </c>
      <c r="EM653" s="15" t="str">
        <f>IFERROR(__xludf.DUMMYFUNCTION("""COMPUTED_VALUE"""),"{""value"":27.00,""unit"":""in""}")</f>
        <v>{"value":27.00,"unit":"in"}</v>
      </c>
      <c r="EN653" s="15" t="s">
        <v>531</v>
      </c>
      <c r="EO653" s="15" t="s">
        <v>730</v>
      </c>
      <c r="ES653" s="15" t="s">
        <v>505</v>
      </c>
      <c r="EW653" s="15" t="s">
        <v>1188</v>
      </c>
      <c r="EX653" s="15" t="s">
        <v>2384</v>
      </c>
      <c r="EY653" s="15" t="s">
        <v>3842</v>
      </c>
      <c r="EZ653" s="15" t="s">
        <v>531</v>
      </c>
      <c r="FF653" s="15" t="s">
        <v>1255</v>
      </c>
      <c r="FS653" s="15" t="s">
        <v>3362</v>
      </c>
    </row>
    <row r="654" ht="15.75" customHeight="1">
      <c r="A654" s="14" t="s">
        <v>391</v>
      </c>
      <c r="B654" s="15" t="s">
        <v>7260</v>
      </c>
      <c r="C654" s="16"/>
      <c r="D654" s="15" t="s">
        <v>432</v>
      </c>
      <c r="G654" s="14" t="s">
        <v>393</v>
      </c>
      <c r="H654" s="14" t="s">
        <v>394</v>
      </c>
      <c r="I654" s="14" t="b">
        <v>1</v>
      </c>
      <c r="J654" s="14" t="s">
        <v>395</v>
      </c>
      <c r="L654" s="14" t="b">
        <v>0</v>
      </c>
      <c r="M654" s="15" t="s">
        <v>7283</v>
      </c>
      <c r="N654" s="14" t="s">
        <v>393</v>
      </c>
      <c r="O654" s="14" t="s">
        <v>393</v>
      </c>
      <c r="P654" s="15" t="s">
        <v>397</v>
      </c>
      <c r="Q654" s="15" t="s">
        <v>1596</v>
      </c>
      <c r="R654" s="15" t="s">
        <v>265</v>
      </c>
      <c r="S654" s="15" t="s">
        <v>3092</v>
      </c>
      <c r="T654" s="14" t="b">
        <v>0</v>
      </c>
      <c r="U654" s="15" t="s">
        <v>7284</v>
      </c>
      <c r="V654" s="15" t="s">
        <v>3583</v>
      </c>
      <c r="W654" s="15" t="s">
        <v>401</v>
      </c>
      <c r="X654" s="15" t="s">
        <v>695</v>
      </c>
      <c r="Y654" s="15">
        <v>3822.0</v>
      </c>
      <c r="AA654" s="15" t="str">
        <f>"1470"</f>
        <v>1470</v>
      </c>
      <c r="AB654" s="14" t="b">
        <v>1</v>
      </c>
      <c r="AC654" s="14" t="b">
        <v>1</v>
      </c>
      <c r="AD654" s="15" t="str">
        <f>"801542851194"</f>
        <v>801542851194</v>
      </c>
      <c r="AE654" s="15" t="s">
        <v>7285</v>
      </c>
      <c r="AF654" s="14" t="s">
        <v>404</v>
      </c>
      <c r="AG654" s="14" t="s">
        <v>405</v>
      </c>
      <c r="AH654" s="14" t="s">
        <v>406</v>
      </c>
      <c r="AI654" s="15">
        <v>0.0</v>
      </c>
      <c r="AL654" s="15" t="s">
        <v>2578</v>
      </c>
      <c r="AM654" s="15" t="s">
        <v>3092</v>
      </c>
      <c r="AN654" s="15" t="s">
        <v>3093</v>
      </c>
      <c r="AO654" s="15" t="s">
        <v>1028</v>
      </c>
      <c r="AP654" s="15" t="s">
        <v>1029</v>
      </c>
      <c r="AQ654" s="15" t="s">
        <v>600</v>
      </c>
      <c r="AR654" s="15" t="s">
        <v>601</v>
      </c>
      <c r="AS654" s="15" t="s">
        <v>915</v>
      </c>
      <c r="AT654" s="15" t="s">
        <v>1596</v>
      </c>
      <c r="AU654" s="15" t="s">
        <v>6600</v>
      </c>
      <c r="AV654" s="15" t="s">
        <v>7266</v>
      </c>
      <c r="AW654" s="15" t="s">
        <v>1732</v>
      </c>
      <c r="AY654" s="15" t="s">
        <v>413</v>
      </c>
      <c r="AZ654" s="15" t="b">
        <v>0</v>
      </c>
      <c r="BA654" s="15" t="s">
        <v>413</v>
      </c>
      <c r="BB654" s="15" t="b">
        <v>0</v>
      </c>
      <c r="BC654" s="15" t="s">
        <v>7286</v>
      </c>
      <c r="BD654" s="15" t="s">
        <v>709</v>
      </c>
      <c r="BE654" s="15" t="str">
        <f t="shared" si="1085"/>
        <v>1</v>
      </c>
      <c r="BF654" s="15" t="s">
        <v>416</v>
      </c>
      <c r="BG654" s="15" t="str">
        <f>"88.58"</f>
        <v>88.58</v>
      </c>
      <c r="BH654" s="15" t="s">
        <v>5317</v>
      </c>
      <c r="BI654" s="15" t="str">
        <f>"36.02"</f>
        <v>36.02</v>
      </c>
      <c r="BJ654" s="15" t="s">
        <v>4053</v>
      </c>
      <c r="BK654" s="15" t="str">
        <f>"28.35"</f>
        <v>28.35</v>
      </c>
      <c r="BL654" s="15" t="s">
        <v>924</v>
      </c>
      <c r="BM654" s="15" t="str">
        <f>"139.99"</f>
        <v>139.99</v>
      </c>
      <c r="BN654" s="15" t="s">
        <v>4087</v>
      </c>
      <c r="BQ654" s="15" t="s">
        <v>444</v>
      </c>
      <c r="BS654" s="15" t="s">
        <v>444</v>
      </c>
      <c r="BU654" s="15" t="s">
        <v>444</v>
      </c>
      <c r="BW654" s="15" t="s">
        <v>444</v>
      </c>
      <c r="BZ654" s="15" t="s">
        <v>444</v>
      </c>
      <c r="CB654" s="15" t="s">
        <v>444</v>
      </c>
      <c r="CD654" s="15" t="s">
        <v>444</v>
      </c>
      <c r="CF654" s="15" t="s">
        <v>444</v>
      </c>
      <c r="CI654" s="15" t="s">
        <v>444</v>
      </c>
      <c r="CK654" s="15" t="s">
        <v>444</v>
      </c>
      <c r="CM654" s="15" t="s">
        <v>444</v>
      </c>
      <c r="CO654" s="15" t="s">
        <v>444</v>
      </c>
      <c r="CP654" s="15" t="str">
        <f>"52.34"</f>
        <v>52.34</v>
      </c>
      <c r="CQ654" s="15" t="str">
        <f>"1.482"</f>
        <v>1.482</v>
      </c>
      <c r="CR654" s="15" t="s">
        <v>497</v>
      </c>
      <c r="DB654" s="15" t="s">
        <v>555</v>
      </c>
      <c r="DC654" s="15" t="str">
        <f>IFERROR(__xludf.DUMMYFUNCTION("""COMPUTED_VALUE"""),"{""value"":25.00,""unit"":""in""}")</f>
        <v>{"value":25.00,"unit":"in"}</v>
      </c>
      <c r="DD654" s="15" t="s">
        <v>1161</v>
      </c>
      <c r="DE654" s="15" t="str">
        <f>IFERROR(__xludf.DUMMYFUNCTION("""COMPUTED_VALUE"""),"{""value"":17.00,""unit"":""in""}")</f>
        <v>{"value":17.00,"unit":"in"}</v>
      </c>
      <c r="DF654" s="15" t="s">
        <v>7278</v>
      </c>
      <c r="DG654" s="15" t="str">
        <f>IFERROR(__xludf.DUMMYFUNCTION("""COMPUTED_VALUE"""),"{""value"":73.75,""unit"":""in""}")</f>
        <v>{"value":73.75,"unit":"in"}</v>
      </c>
      <c r="DH654" s="15">
        <v>0.0</v>
      </c>
      <c r="DI654" s="15">
        <v>0.0</v>
      </c>
      <c r="DJ654" s="15" t="s">
        <v>717</v>
      </c>
      <c r="DK654" s="15" t="s">
        <v>718</v>
      </c>
      <c r="DL654" s="15" t="str">
        <f>IFERROR(__xludf.DUMMYFUNCTION("""COMPUTED_VALUE"""),"Vacuum or light brush only. Do not use water or any cleaning products.")</f>
        <v>Vacuum or light brush only. Do not use water or any cleaning products.</v>
      </c>
      <c r="DM654" s="15" t="s">
        <v>719</v>
      </c>
      <c r="DT654" s="15" t="s">
        <v>721</v>
      </c>
      <c r="DU654" s="15" t="s">
        <v>419</v>
      </c>
      <c r="DV654" s="15">
        <v>0.0</v>
      </c>
      <c r="DZ654" s="15">
        <v>0.0</v>
      </c>
      <c r="EA654" s="15" t="s">
        <v>990</v>
      </c>
      <c r="ED654" s="15">
        <v>0.0</v>
      </c>
      <c r="EE654" s="15">
        <v>4.0</v>
      </c>
      <c r="EG654" s="15" t="s">
        <v>444</v>
      </c>
      <c r="EH654" s="15" t="s">
        <v>7270</v>
      </c>
      <c r="EI654" s="15">
        <v>0.0</v>
      </c>
      <c r="EJ654" s="15" t="s">
        <v>588</v>
      </c>
      <c r="EK654" s="15" t="s">
        <v>589</v>
      </c>
      <c r="EL654" s="15" t="s">
        <v>1064</v>
      </c>
      <c r="EM654" s="15" t="str">
        <f>IFERROR(__xludf.DUMMYFUNCTION("""COMPUTED_VALUE"""),"{""value"":27.00,""unit"":""in""}")</f>
        <v>{"value":27.00,"unit":"in"}</v>
      </c>
      <c r="EN654" s="15" t="s">
        <v>531</v>
      </c>
      <c r="EO654" s="15" t="s">
        <v>730</v>
      </c>
      <c r="ES654" s="15" t="s">
        <v>505</v>
      </c>
      <c r="EW654" s="15" t="s">
        <v>1188</v>
      </c>
      <c r="EX654" s="15" t="s">
        <v>2384</v>
      </c>
      <c r="EY654" s="15" t="s">
        <v>4508</v>
      </c>
      <c r="EZ654" s="15" t="s">
        <v>531</v>
      </c>
      <c r="FF654" s="15" t="s">
        <v>1255</v>
      </c>
      <c r="FS654" s="15" t="s">
        <v>3362</v>
      </c>
    </row>
    <row r="655" ht="15.75" customHeight="1">
      <c r="A655" s="14" t="s">
        <v>391</v>
      </c>
      <c r="B655" s="15" t="s">
        <v>7260</v>
      </c>
      <c r="C655" s="16"/>
      <c r="D655" s="15" t="s">
        <v>432</v>
      </c>
      <c r="G655" s="14" t="s">
        <v>393</v>
      </c>
      <c r="H655" s="14" t="s">
        <v>394</v>
      </c>
      <c r="I655" s="14" t="b">
        <v>1</v>
      </c>
      <c r="J655" s="14" t="s">
        <v>395</v>
      </c>
      <c r="L655" s="14" t="b">
        <v>0</v>
      </c>
      <c r="M655" s="15" t="s">
        <v>7287</v>
      </c>
      <c r="N655" s="14" t="s">
        <v>393</v>
      </c>
      <c r="O655" s="14" t="s">
        <v>393</v>
      </c>
      <c r="P655" s="15" t="s">
        <v>397</v>
      </c>
      <c r="Q655" s="15" t="s">
        <v>4342</v>
      </c>
      <c r="T655" s="14" t="b">
        <v>0</v>
      </c>
      <c r="U655" s="15" t="s">
        <v>7288</v>
      </c>
      <c r="V655" s="15" t="s">
        <v>3881</v>
      </c>
      <c r="W655" s="15" t="s">
        <v>401</v>
      </c>
      <c r="X655" s="15" t="s">
        <v>695</v>
      </c>
      <c r="Y655" s="15">
        <v>2522.0</v>
      </c>
      <c r="AA655" s="15" t="str">
        <f>"970"</f>
        <v>970</v>
      </c>
      <c r="AB655" s="14" t="b">
        <v>1</v>
      </c>
      <c r="AC655" s="14" t="b">
        <v>1</v>
      </c>
      <c r="AD655" s="15" t="str">
        <f>"801542382438"</f>
        <v>801542382438</v>
      </c>
      <c r="AE655" s="15" t="s">
        <v>7289</v>
      </c>
      <c r="AF655" s="14" t="s">
        <v>404</v>
      </c>
      <c r="AG655" s="14" t="s">
        <v>405</v>
      </c>
      <c r="AH655" s="14" t="s">
        <v>406</v>
      </c>
      <c r="AI655" s="15">
        <v>0.0</v>
      </c>
      <c r="AL655" s="15" t="s">
        <v>7290</v>
      </c>
      <c r="AM655" s="15" t="s">
        <v>2370</v>
      </c>
      <c r="AN655" s="15" t="s">
        <v>2371</v>
      </c>
      <c r="AO655" s="15" t="s">
        <v>1028</v>
      </c>
      <c r="AP655" s="15" t="s">
        <v>1029</v>
      </c>
      <c r="AQ655" s="15" t="s">
        <v>600</v>
      </c>
      <c r="AR655" s="15" t="s">
        <v>601</v>
      </c>
      <c r="AS655" s="15" t="s">
        <v>915</v>
      </c>
      <c r="AT655" s="15" t="s">
        <v>4342</v>
      </c>
      <c r="AU655" s="15" t="s">
        <v>7265</v>
      </c>
      <c r="AV655" s="15" t="s">
        <v>7266</v>
      </c>
      <c r="AW655" s="15" t="s">
        <v>1732</v>
      </c>
      <c r="AY655" s="15" t="s">
        <v>413</v>
      </c>
      <c r="AZ655" s="15" t="b">
        <v>0</v>
      </c>
      <c r="BA655" s="15" t="s">
        <v>413</v>
      </c>
      <c r="BB655" s="15" t="b">
        <v>0</v>
      </c>
      <c r="BC655" s="15" t="s">
        <v>7291</v>
      </c>
      <c r="BD655" s="15" t="s">
        <v>709</v>
      </c>
      <c r="BE655" s="15" t="str">
        <f t="shared" si="1085"/>
        <v>1</v>
      </c>
      <c r="BF655" s="15" t="s">
        <v>416</v>
      </c>
      <c r="BG655" s="15" t="str">
        <f t="shared" ref="BG655:BG656" si="1114">"97.64"</f>
        <v>97.64</v>
      </c>
      <c r="BH655" s="15" t="s">
        <v>7268</v>
      </c>
      <c r="BI655" s="15" t="str">
        <f t="shared" ref="BI655:BI656" si="1115">"36.61"</f>
        <v>36.61</v>
      </c>
      <c r="BJ655" s="15" t="s">
        <v>1734</v>
      </c>
      <c r="BK655" s="15" t="str">
        <f t="shared" ref="BK655:BK656" si="1116">"28.74"</f>
        <v>28.74</v>
      </c>
      <c r="BL655" s="15" t="s">
        <v>2113</v>
      </c>
      <c r="BM655" s="15" t="str">
        <f t="shared" ref="BM655:BM656" si="1117">"159.17"</f>
        <v>159.17</v>
      </c>
      <c r="BN655" s="15" t="s">
        <v>7269</v>
      </c>
      <c r="BQ655" s="15" t="s">
        <v>444</v>
      </c>
      <c r="BS655" s="15" t="s">
        <v>444</v>
      </c>
      <c r="BU655" s="15" t="s">
        <v>444</v>
      </c>
      <c r="BW655" s="15" t="s">
        <v>444</v>
      </c>
      <c r="BZ655" s="15" t="s">
        <v>444</v>
      </c>
      <c r="CB655" s="15" t="s">
        <v>444</v>
      </c>
      <c r="CD655" s="15" t="s">
        <v>444</v>
      </c>
      <c r="CF655" s="15" t="s">
        <v>444</v>
      </c>
      <c r="CI655" s="15" t="s">
        <v>444</v>
      </c>
      <c r="CK655" s="15" t="s">
        <v>444</v>
      </c>
      <c r="CM655" s="15" t="s">
        <v>444</v>
      </c>
      <c r="CO655" s="15" t="s">
        <v>444</v>
      </c>
      <c r="CP655" s="15" t="str">
        <f t="shared" ref="CP655:CP656" si="1118">"59.47"</f>
        <v>59.47</v>
      </c>
      <c r="CQ655" s="15" t="str">
        <f t="shared" ref="CQ655:CQ656" si="1119">"1.684"</f>
        <v>1.684</v>
      </c>
      <c r="CR655" s="15" t="s">
        <v>497</v>
      </c>
      <c r="DB655" s="15" t="s">
        <v>1212</v>
      </c>
      <c r="DC655" s="15" t="str">
        <f>IFERROR(__xludf.DUMMYFUNCTION("""COMPUTED_VALUE"""),"{""value"":25.50,""unit"":""in""}")</f>
        <v>{"value":25.50,"unit":"in"}</v>
      </c>
      <c r="DD655" s="15" t="s">
        <v>1161</v>
      </c>
      <c r="DE655" s="15" t="str">
        <f>IFERROR(__xludf.DUMMYFUNCTION("""COMPUTED_VALUE"""),"{""value"":17.00,""unit"":""in""}")</f>
        <v>{"value":17.00,"unit":"in"}</v>
      </c>
      <c r="DF655" s="15" t="s">
        <v>4844</v>
      </c>
      <c r="DG655" s="15" t="str">
        <f>IFERROR(__xludf.DUMMYFUNCTION("""COMPUTED_VALUE"""),"{""value"":82.50,""unit"":""in""}")</f>
        <v>{"value":82.50,"unit":"in"}</v>
      </c>
      <c r="DH655" s="15">
        <v>0.0</v>
      </c>
      <c r="DI655" s="15">
        <v>0.0</v>
      </c>
      <c r="DJ655" s="15" t="s">
        <v>717</v>
      </c>
      <c r="DK655" s="15" t="s">
        <v>897</v>
      </c>
      <c r="DL655" s="15" t="str">
        <f>IFERROR(__xludf.DUMMYFUNCTION("""COMPUTED_VALUE"""),"Clean with water-based products only. Use mild detergent or upholstery shampoo.")</f>
        <v>Clean with water-based products only. Use mild detergent or upholstery shampoo.</v>
      </c>
      <c r="DM655" s="15" t="s">
        <v>898</v>
      </c>
      <c r="DT655" s="15" t="s">
        <v>721</v>
      </c>
      <c r="DU655" s="15" t="s">
        <v>419</v>
      </c>
      <c r="DV655" s="15">
        <v>0.0</v>
      </c>
      <c r="DZ655" s="15">
        <v>100000.0</v>
      </c>
      <c r="EA655" s="15" t="s">
        <v>990</v>
      </c>
      <c r="ED655" s="15">
        <v>0.0</v>
      </c>
      <c r="EE655" s="15">
        <v>3.0</v>
      </c>
      <c r="EG655" s="15" t="s">
        <v>444</v>
      </c>
      <c r="EH655" s="15" t="s">
        <v>7270</v>
      </c>
      <c r="EI655" s="15">
        <v>0.0</v>
      </c>
      <c r="EJ655" s="15" t="s">
        <v>473</v>
      </c>
      <c r="EK655" s="15" t="s">
        <v>474</v>
      </c>
      <c r="EL655" s="15" t="s">
        <v>1064</v>
      </c>
      <c r="EM655" s="15" t="str">
        <f>IFERROR(__xludf.DUMMYFUNCTION("""COMPUTED_VALUE"""),"{""value"":27.00,""unit"":""in""}")</f>
        <v>{"value":27.00,"unit":"in"}</v>
      </c>
      <c r="EN655" s="15" t="s">
        <v>531</v>
      </c>
      <c r="EO655" s="15" t="s">
        <v>730</v>
      </c>
      <c r="ES655" s="15" t="s">
        <v>505</v>
      </c>
      <c r="EW655" s="15" t="s">
        <v>1188</v>
      </c>
      <c r="EX655" s="15" t="s">
        <v>2384</v>
      </c>
      <c r="EY655" s="15" t="s">
        <v>3842</v>
      </c>
      <c r="EZ655" s="15" t="s">
        <v>531</v>
      </c>
      <c r="FF655" s="15" t="s">
        <v>1255</v>
      </c>
      <c r="FS655" s="15" t="s">
        <v>3362</v>
      </c>
    </row>
    <row r="656" ht="15.75" customHeight="1">
      <c r="A656" s="14" t="s">
        <v>391</v>
      </c>
      <c r="B656" s="15" t="s">
        <v>7260</v>
      </c>
      <c r="C656" s="16"/>
      <c r="D656" s="15" t="s">
        <v>432</v>
      </c>
      <c r="G656" s="14" t="s">
        <v>393</v>
      </c>
      <c r="H656" s="14" t="s">
        <v>394</v>
      </c>
      <c r="I656" s="14" t="b">
        <v>1</v>
      </c>
      <c r="J656" s="14" t="s">
        <v>395</v>
      </c>
      <c r="L656" s="14" t="b">
        <v>0</v>
      </c>
      <c r="M656" s="15" t="s">
        <v>7292</v>
      </c>
      <c r="N656" s="14" t="s">
        <v>393</v>
      </c>
      <c r="O656" s="14" t="s">
        <v>393</v>
      </c>
      <c r="P656" s="15" t="s">
        <v>397</v>
      </c>
      <c r="Q656" s="15" t="s">
        <v>7293</v>
      </c>
      <c r="T656" s="14" t="b">
        <v>0</v>
      </c>
      <c r="U656" s="15" t="s">
        <v>7294</v>
      </c>
      <c r="V656" s="15" t="s">
        <v>3881</v>
      </c>
      <c r="W656" s="15" t="s">
        <v>401</v>
      </c>
      <c r="X656" s="15" t="s">
        <v>695</v>
      </c>
      <c r="Y656" s="15">
        <v>3497.0</v>
      </c>
      <c r="AA656" s="15" t="str">
        <f>"1345"</f>
        <v>1345</v>
      </c>
      <c r="AB656" s="14" t="b">
        <v>1</v>
      </c>
      <c r="AC656" s="14" t="b">
        <v>1</v>
      </c>
      <c r="AD656" s="15" t="str">
        <f>"801542381035"</f>
        <v>801542381035</v>
      </c>
      <c r="AE656" s="15" t="s">
        <v>7295</v>
      </c>
      <c r="AF656" s="14" t="s">
        <v>404</v>
      </c>
      <c r="AG656" s="14" t="s">
        <v>405</v>
      </c>
      <c r="AH656" s="14" t="s">
        <v>406</v>
      </c>
      <c r="AI656" s="15">
        <v>0.0</v>
      </c>
      <c r="AL656" s="15" t="s">
        <v>2578</v>
      </c>
      <c r="AM656" s="15" t="s">
        <v>2370</v>
      </c>
      <c r="AN656" s="15" t="s">
        <v>2371</v>
      </c>
      <c r="AO656" s="15" t="s">
        <v>1028</v>
      </c>
      <c r="AP656" s="15" t="s">
        <v>1029</v>
      </c>
      <c r="AQ656" s="15" t="s">
        <v>600</v>
      </c>
      <c r="AR656" s="15" t="s">
        <v>601</v>
      </c>
      <c r="AS656" s="15" t="s">
        <v>915</v>
      </c>
      <c r="AT656" s="15" t="s">
        <v>7293</v>
      </c>
      <c r="AU656" s="15" t="s">
        <v>7265</v>
      </c>
      <c r="AV656" s="15" t="s">
        <v>7266</v>
      </c>
      <c r="AW656" s="15" t="s">
        <v>1732</v>
      </c>
      <c r="AY656" s="15" t="s">
        <v>413</v>
      </c>
      <c r="AZ656" s="15" t="b">
        <v>0</v>
      </c>
      <c r="BA656" s="15" t="s">
        <v>413</v>
      </c>
      <c r="BB656" s="15" t="b">
        <v>0</v>
      </c>
      <c r="BC656" s="15" t="s">
        <v>7296</v>
      </c>
      <c r="BD656" s="15" t="s">
        <v>709</v>
      </c>
      <c r="BE656" s="15" t="str">
        <f t="shared" si="1085"/>
        <v>1</v>
      </c>
      <c r="BF656" s="15" t="s">
        <v>416</v>
      </c>
      <c r="BG656" s="15" t="str">
        <f t="shared" si="1114"/>
        <v>97.64</v>
      </c>
      <c r="BH656" s="15" t="s">
        <v>7268</v>
      </c>
      <c r="BI656" s="15" t="str">
        <f t="shared" si="1115"/>
        <v>36.61</v>
      </c>
      <c r="BJ656" s="15" t="s">
        <v>1734</v>
      </c>
      <c r="BK656" s="15" t="str">
        <f t="shared" si="1116"/>
        <v>28.74</v>
      </c>
      <c r="BL656" s="15" t="s">
        <v>2113</v>
      </c>
      <c r="BM656" s="15" t="str">
        <f t="shared" si="1117"/>
        <v>159.17</v>
      </c>
      <c r="BN656" s="15" t="s">
        <v>7269</v>
      </c>
      <c r="BQ656" s="15" t="s">
        <v>444</v>
      </c>
      <c r="BS656" s="15" t="s">
        <v>444</v>
      </c>
      <c r="BU656" s="15" t="s">
        <v>444</v>
      </c>
      <c r="BW656" s="15" t="s">
        <v>444</v>
      </c>
      <c r="BZ656" s="15" t="s">
        <v>444</v>
      </c>
      <c r="CB656" s="15" t="s">
        <v>444</v>
      </c>
      <c r="CD656" s="15" t="s">
        <v>444</v>
      </c>
      <c r="CF656" s="15" t="s">
        <v>444</v>
      </c>
      <c r="CI656" s="15" t="s">
        <v>444</v>
      </c>
      <c r="CK656" s="15" t="s">
        <v>444</v>
      </c>
      <c r="CM656" s="15" t="s">
        <v>444</v>
      </c>
      <c r="CO656" s="15" t="s">
        <v>444</v>
      </c>
      <c r="CP656" s="15" t="str">
        <f t="shared" si="1118"/>
        <v>59.47</v>
      </c>
      <c r="CQ656" s="15" t="str">
        <f t="shared" si="1119"/>
        <v>1.684</v>
      </c>
      <c r="CR656" s="15" t="s">
        <v>497</v>
      </c>
      <c r="DB656" s="15" t="s">
        <v>1212</v>
      </c>
      <c r="DC656" s="15" t="str">
        <f>IFERROR(__xludf.DUMMYFUNCTION("""COMPUTED_VALUE"""),"{""value"":25.50,""unit"":""in""}")</f>
        <v>{"value":25.50,"unit":"in"}</v>
      </c>
      <c r="DD656" s="15" t="s">
        <v>1161</v>
      </c>
      <c r="DE656" s="15" t="str">
        <f>IFERROR(__xludf.DUMMYFUNCTION("""COMPUTED_VALUE"""),"{""value"":17.00,""unit"":""in""}")</f>
        <v>{"value":17.00,"unit":"in"}</v>
      </c>
      <c r="DF656" s="15" t="s">
        <v>4844</v>
      </c>
      <c r="DG656" s="15" t="str">
        <f>IFERROR(__xludf.DUMMYFUNCTION("""COMPUTED_VALUE"""),"{""value"":82.50,""unit"":""in""}")</f>
        <v>{"value":82.50,"unit":"in"}</v>
      </c>
      <c r="DH656" s="15">
        <v>0.0</v>
      </c>
      <c r="DI656" s="15">
        <v>0.0</v>
      </c>
      <c r="DJ656" s="15" t="s">
        <v>717</v>
      </c>
      <c r="DK656" s="15" t="s">
        <v>718</v>
      </c>
      <c r="DL656" s="15" t="str">
        <f>IFERROR(__xludf.DUMMYFUNCTION("""COMPUTED_VALUE"""),"Vacuum or light brush only. Do not use water or any cleaning products.")</f>
        <v>Vacuum or light brush only. Do not use water or any cleaning products.</v>
      </c>
      <c r="DM656" s="15" t="s">
        <v>719</v>
      </c>
      <c r="DT656" s="15" t="s">
        <v>721</v>
      </c>
      <c r="DU656" s="15" t="s">
        <v>419</v>
      </c>
      <c r="DV656" s="15">
        <v>0.0</v>
      </c>
      <c r="DZ656" s="15">
        <v>0.0</v>
      </c>
      <c r="EA656" s="15" t="s">
        <v>990</v>
      </c>
      <c r="ED656" s="15">
        <v>0.0</v>
      </c>
      <c r="EE656" s="15">
        <v>3.0</v>
      </c>
      <c r="EG656" s="15" t="s">
        <v>444</v>
      </c>
      <c r="EH656" s="15" t="s">
        <v>7270</v>
      </c>
      <c r="EI656" s="15">
        <v>0.0</v>
      </c>
      <c r="EJ656" s="15" t="s">
        <v>473</v>
      </c>
      <c r="EK656" s="15" t="s">
        <v>474</v>
      </c>
      <c r="EL656" s="15" t="s">
        <v>1064</v>
      </c>
      <c r="EM656" s="15" t="str">
        <f>IFERROR(__xludf.DUMMYFUNCTION("""COMPUTED_VALUE"""),"{""value"":27.00,""unit"":""in""}")</f>
        <v>{"value":27.00,"unit":"in"}</v>
      </c>
      <c r="EN656" s="15" t="s">
        <v>531</v>
      </c>
      <c r="EO656" s="15" t="s">
        <v>730</v>
      </c>
      <c r="ES656" s="15" t="s">
        <v>505</v>
      </c>
      <c r="EW656" s="15" t="s">
        <v>1188</v>
      </c>
      <c r="EX656" s="15" t="s">
        <v>2384</v>
      </c>
      <c r="EY656" s="15" t="s">
        <v>3842</v>
      </c>
      <c r="EZ656" s="15" t="s">
        <v>531</v>
      </c>
      <c r="FF656" s="15" t="s">
        <v>1255</v>
      </c>
      <c r="FS656" s="15" t="s">
        <v>3362</v>
      </c>
    </row>
    <row r="657" ht="15.75" customHeight="1">
      <c r="A657" s="14" t="s">
        <v>391</v>
      </c>
      <c r="B657" s="15" t="s">
        <v>7297</v>
      </c>
      <c r="C657" s="16"/>
      <c r="D657" s="15" t="s">
        <v>432</v>
      </c>
      <c r="G657" s="14" t="s">
        <v>393</v>
      </c>
      <c r="H657" s="14" t="s">
        <v>394</v>
      </c>
      <c r="I657" s="14" t="b">
        <v>1</v>
      </c>
      <c r="J657" s="14" t="s">
        <v>395</v>
      </c>
      <c r="L657" s="14" t="b">
        <v>0</v>
      </c>
      <c r="M657" s="15" t="s">
        <v>7298</v>
      </c>
      <c r="N657" s="14" t="s">
        <v>393</v>
      </c>
      <c r="O657" s="14" t="s">
        <v>393</v>
      </c>
      <c r="P657" s="15" t="s">
        <v>397</v>
      </c>
      <c r="Q657" s="15" t="s">
        <v>2575</v>
      </c>
      <c r="T657" s="14" t="b">
        <v>0</v>
      </c>
      <c r="U657" s="15" t="s">
        <v>7299</v>
      </c>
      <c r="V657" s="15" t="s">
        <v>1843</v>
      </c>
      <c r="W657" s="15" t="s">
        <v>401</v>
      </c>
      <c r="X657" s="15" t="s">
        <v>695</v>
      </c>
      <c r="Y657" s="15">
        <v>2301.0</v>
      </c>
      <c r="AA657" s="15" t="str">
        <f t="shared" ref="AA657:AA658" si="1120">"885"</f>
        <v>885</v>
      </c>
      <c r="AB657" s="14" t="b">
        <v>1</v>
      </c>
      <c r="AC657" s="14" t="b">
        <v>1</v>
      </c>
      <c r="AD657" s="15" t="str">
        <f>"801542845407"</f>
        <v>801542845407</v>
      </c>
      <c r="AE657" s="15" t="s">
        <v>7300</v>
      </c>
      <c r="AF657" s="14" t="s">
        <v>404</v>
      </c>
      <c r="AG657" s="14" t="s">
        <v>405</v>
      </c>
      <c r="AH657" s="14" t="s">
        <v>406</v>
      </c>
      <c r="AI657" s="15">
        <v>0.0</v>
      </c>
      <c r="AL657" s="15" t="s">
        <v>2578</v>
      </c>
      <c r="AM657" s="15" t="s">
        <v>1222</v>
      </c>
      <c r="AN657" s="15" t="s">
        <v>1223</v>
      </c>
      <c r="AO657" s="15" t="s">
        <v>1203</v>
      </c>
      <c r="AP657" s="15" t="s">
        <v>1204</v>
      </c>
      <c r="AQ657" s="15" t="s">
        <v>1175</v>
      </c>
      <c r="AR657" s="15" t="s">
        <v>1176</v>
      </c>
      <c r="AS657" s="15" t="s">
        <v>915</v>
      </c>
      <c r="AT657" s="15" t="s">
        <v>2575</v>
      </c>
      <c r="AU657" s="15" t="s">
        <v>6600</v>
      </c>
      <c r="AV657" s="15" t="s">
        <v>7266</v>
      </c>
      <c r="AW657" s="15" t="s">
        <v>706</v>
      </c>
      <c r="AX657" s="15" t="s">
        <v>707</v>
      </c>
      <c r="AY657" s="15" t="s">
        <v>413</v>
      </c>
      <c r="AZ657" s="15" t="b">
        <v>0</v>
      </c>
      <c r="BA657" s="15" t="s">
        <v>413</v>
      </c>
      <c r="BB657" s="15" t="b">
        <v>0</v>
      </c>
      <c r="BD657" s="15" t="s">
        <v>709</v>
      </c>
      <c r="BE657" s="15" t="str">
        <f t="shared" si="1085"/>
        <v>1</v>
      </c>
      <c r="BF657" s="15" t="s">
        <v>416</v>
      </c>
      <c r="BG657" s="15" t="str">
        <f t="shared" ref="BG657:BG660" si="1121">"35.83"</f>
        <v>35.83</v>
      </c>
      <c r="BH657" s="15" t="s">
        <v>1505</v>
      </c>
      <c r="BI657" s="15" t="str">
        <f t="shared" ref="BI657:BI660" si="1122">"35.94"</f>
        <v>35.94</v>
      </c>
      <c r="BJ657" s="15" t="s">
        <v>7301</v>
      </c>
      <c r="BK657" s="15" t="str">
        <f t="shared" ref="BK657:BK660" si="1123">"26.97"</f>
        <v>26.97</v>
      </c>
      <c r="BL657" s="15" t="s">
        <v>1457</v>
      </c>
      <c r="BM657" s="15" t="str">
        <f t="shared" ref="BM657:BM660" si="1124">"88.18"</f>
        <v>88.18</v>
      </c>
      <c r="BN657" s="15" t="s">
        <v>5169</v>
      </c>
      <c r="BQ657" s="15" t="s">
        <v>444</v>
      </c>
      <c r="BS657" s="15" t="s">
        <v>444</v>
      </c>
      <c r="BU657" s="15" t="s">
        <v>444</v>
      </c>
      <c r="BW657" s="15" t="s">
        <v>444</v>
      </c>
      <c r="BZ657" s="15" t="s">
        <v>444</v>
      </c>
      <c r="CB657" s="15" t="s">
        <v>444</v>
      </c>
      <c r="CD657" s="15" t="s">
        <v>444</v>
      </c>
      <c r="CF657" s="15" t="s">
        <v>444</v>
      </c>
      <c r="CI657" s="15" t="s">
        <v>444</v>
      </c>
      <c r="CK657" s="15" t="s">
        <v>444</v>
      </c>
      <c r="CM657" s="15" t="s">
        <v>444</v>
      </c>
      <c r="CO657" s="15" t="s">
        <v>444</v>
      </c>
      <c r="CP657" s="15" t="str">
        <f t="shared" ref="CP657:CP660" si="1125">"20.09"</f>
        <v>20.09</v>
      </c>
      <c r="CQ657" s="15" t="str">
        <f t="shared" ref="CQ657:CQ660" si="1126">"0.569"</f>
        <v>0.569</v>
      </c>
      <c r="CR657" s="15" t="s">
        <v>465</v>
      </c>
      <c r="DB657" s="15" t="s">
        <v>555</v>
      </c>
      <c r="DC657" s="15" t="str">
        <f>IFERROR(__xludf.DUMMYFUNCTION("""COMPUTED_VALUE"""),"{""value"":25.00,""unit"":""in""}")</f>
        <v>{"value":25.00,"unit":"in"}</v>
      </c>
      <c r="DD657" s="15" t="s">
        <v>1213</v>
      </c>
      <c r="DE657" s="15" t="str">
        <f>IFERROR(__xludf.DUMMYFUNCTION("""COMPUTED_VALUE"""),"{""value"":16.00,""unit"":""in""}")</f>
        <v>{"value":16.00,"unit":"in"}</v>
      </c>
      <c r="DF657" s="15" t="s">
        <v>1237</v>
      </c>
      <c r="DG657" s="15" t="str">
        <f>IFERROR(__xludf.DUMMYFUNCTION("""COMPUTED_VALUE"""),"{""value"":20.50,""unit"":""in""}")</f>
        <v>{"value":20.50,"unit":"in"}</v>
      </c>
      <c r="DH657" s="15">
        <v>0.0</v>
      </c>
      <c r="DI657" s="15">
        <v>0.0</v>
      </c>
      <c r="DJ657" s="15" t="s">
        <v>717</v>
      </c>
      <c r="DK657" s="15" t="s">
        <v>718</v>
      </c>
      <c r="DL657" s="15" t="str">
        <f>IFERROR(__xludf.DUMMYFUNCTION("""COMPUTED_VALUE"""),"Vacuum or light brush only. Do not use water or any cleaning products.")</f>
        <v>Vacuum or light brush only. Do not use water or any cleaning products.</v>
      </c>
      <c r="DM657" s="15" t="s">
        <v>719</v>
      </c>
      <c r="DT657" s="15" t="s">
        <v>721</v>
      </c>
      <c r="DU657" s="15" t="s">
        <v>1605</v>
      </c>
      <c r="DV657" s="15">
        <v>0.0</v>
      </c>
      <c r="DZ657" s="15">
        <v>0.0</v>
      </c>
      <c r="EA657" s="15" t="s">
        <v>990</v>
      </c>
      <c r="ED657" s="15">
        <v>0.0</v>
      </c>
      <c r="EE657" s="15">
        <v>1.0</v>
      </c>
      <c r="EG657" s="15" t="s">
        <v>444</v>
      </c>
      <c r="EH657" s="15" t="s">
        <v>7270</v>
      </c>
      <c r="EI657" s="15">
        <v>0.0</v>
      </c>
      <c r="EJ657" s="15" t="s">
        <v>726</v>
      </c>
      <c r="EK657" s="15" t="s">
        <v>727</v>
      </c>
      <c r="EL657" s="15" t="s">
        <v>1806</v>
      </c>
      <c r="EM657" s="15" t="str">
        <f>IFERROR(__xludf.DUMMYFUNCTION("""COMPUTED_VALUE"""),"{""value"":26.00,""unit"":""in""}")</f>
        <v>{"value":26.00,"unit":"in"}</v>
      </c>
      <c r="EN657" s="15" t="s">
        <v>531</v>
      </c>
      <c r="EO657" s="15" t="s">
        <v>4268</v>
      </c>
      <c r="ES657" s="15" t="s">
        <v>505</v>
      </c>
      <c r="EW657" s="15" t="s">
        <v>612</v>
      </c>
      <c r="EZ657" s="15" t="s">
        <v>531</v>
      </c>
      <c r="FF657" s="15" t="s">
        <v>860</v>
      </c>
      <c r="FO657" s="15" t="s">
        <v>1237</v>
      </c>
      <c r="FP657" s="15" t="s">
        <v>1237</v>
      </c>
      <c r="FQ657" s="15">
        <v>0.0</v>
      </c>
      <c r="FR657" s="15">
        <v>0.0</v>
      </c>
      <c r="FS657" s="15" t="s">
        <v>3362</v>
      </c>
      <c r="FT657" s="15">
        <v>0.0</v>
      </c>
      <c r="IL657" s="15" t="s">
        <v>1610</v>
      </c>
    </row>
    <row r="658" ht="15.75" customHeight="1">
      <c r="A658" s="14" t="s">
        <v>391</v>
      </c>
      <c r="B658" s="15" t="s">
        <v>7297</v>
      </c>
      <c r="C658" s="16"/>
      <c r="D658" s="15" t="s">
        <v>432</v>
      </c>
      <c r="G658" s="14" t="s">
        <v>393</v>
      </c>
      <c r="H658" s="14" t="s">
        <v>394</v>
      </c>
      <c r="I658" s="14" t="b">
        <v>1</v>
      </c>
      <c r="J658" s="14" t="s">
        <v>395</v>
      </c>
      <c r="L658" s="14" t="b">
        <v>0</v>
      </c>
      <c r="M658" s="15" t="s">
        <v>7302</v>
      </c>
      <c r="N658" s="14" t="s">
        <v>393</v>
      </c>
      <c r="O658" s="14" t="s">
        <v>393</v>
      </c>
      <c r="P658" s="15" t="s">
        <v>397</v>
      </c>
      <c r="Q658" s="15" t="s">
        <v>1596</v>
      </c>
      <c r="T658" s="14" t="b">
        <v>0</v>
      </c>
      <c r="U658" s="15" t="s">
        <v>7303</v>
      </c>
      <c r="V658" s="15" t="s">
        <v>1843</v>
      </c>
      <c r="W658" s="15" t="s">
        <v>401</v>
      </c>
      <c r="X658" s="15" t="s">
        <v>695</v>
      </c>
      <c r="Y658" s="15">
        <v>2301.0</v>
      </c>
      <c r="AA658" s="15" t="str">
        <f t="shared" si="1120"/>
        <v>885</v>
      </c>
      <c r="AB658" s="14" t="b">
        <v>1</v>
      </c>
      <c r="AC658" s="14" t="b">
        <v>1</v>
      </c>
      <c r="AD658" s="15" t="str">
        <f>"801542742201"</f>
        <v>801542742201</v>
      </c>
      <c r="AE658" s="15" t="s">
        <v>7304</v>
      </c>
      <c r="AF658" s="14" t="s">
        <v>404</v>
      </c>
      <c r="AG658" s="14" t="s">
        <v>405</v>
      </c>
      <c r="AH658" s="14" t="s">
        <v>406</v>
      </c>
      <c r="AI658" s="15">
        <v>0.0</v>
      </c>
      <c r="AL658" s="15" t="s">
        <v>2578</v>
      </c>
      <c r="AM658" s="15" t="s">
        <v>1222</v>
      </c>
      <c r="AN658" s="15" t="s">
        <v>1223</v>
      </c>
      <c r="AO658" s="15" t="s">
        <v>1203</v>
      </c>
      <c r="AP658" s="15" t="s">
        <v>1204</v>
      </c>
      <c r="AQ658" s="15" t="s">
        <v>1175</v>
      </c>
      <c r="AR658" s="15" t="s">
        <v>1176</v>
      </c>
      <c r="AS658" s="15" t="s">
        <v>915</v>
      </c>
      <c r="AT658" s="15" t="s">
        <v>1596</v>
      </c>
      <c r="AU658" s="15" t="s">
        <v>6600</v>
      </c>
      <c r="AV658" s="15" t="s">
        <v>7266</v>
      </c>
      <c r="AW658" s="15" t="s">
        <v>706</v>
      </c>
      <c r="AX658" s="15" t="s">
        <v>707</v>
      </c>
      <c r="AY658" s="15" t="s">
        <v>413</v>
      </c>
      <c r="AZ658" s="15" t="b">
        <v>0</v>
      </c>
      <c r="BA658" s="15" t="s">
        <v>413</v>
      </c>
      <c r="BB658" s="15" t="b">
        <v>0</v>
      </c>
      <c r="BC658" s="15" t="s">
        <v>7305</v>
      </c>
      <c r="BD658" s="15" t="s">
        <v>709</v>
      </c>
      <c r="BE658" s="15" t="str">
        <f t="shared" si="1085"/>
        <v>1</v>
      </c>
      <c r="BF658" s="15" t="s">
        <v>416</v>
      </c>
      <c r="BG658" s="15" t="str">
        <f t="shared" si="1121"/>
        <v>35.83</v>
      </c>
      <c r="BH658" s="15" t="s">
        <v>1505</v>
      </c>
      <c r="BI658" s="15" t="str">
        <f t="shared" si="1122"/>
        <v>35.94</v>
      </c>
      <c r="BJ658" s="15" t="s">
        <v>7301</v>
      </c>
      <c r="BK658" s="15" t="str">
        <f t="shared" si="1123"/>
        <v>26.97</v>
      </c>
      <c r="BL658" s="15" t="s">
        <v>1457</v>
      </c>
      <c r="BM658" s="15" t="str">
        <f t="shared" si="1124"/>
        <v>88.18</v>
      </c>
      <c r="BN658" s="15" t="s">
        <v>5169</v>
      </c>
      <c r="BQ658" s="15" t="s">
        <v>444</v>
      </c>
      <c r="BS658" s="15" t="s">
        <v>444</v>
      </c>
      <c r="BU658" s="15" t="s">
        <v>444</v>
      </c>
      <c r="BW658" s="15" t="s">
        <v>444</v>
      </c>
      <c r="BZ658" s="15" t="s">
        <v>444</v>
      </c>
      <c r="CB658" s="15" t="s">
        <v>444</v>
      </c>
      <c r="CD658" s="15" t="s">
        <v>444</v>
      </c>
      <c r="CF658" s="15" t="s">
        <v>444</v>
      </c>
      <c r="CI658" s="15" t="s">
        <v>444</v>
      </c>
      <c r="CK658" s="15" t="s">
        <v>444</v>
      </c>
      <c r="CM658" s="15" t="s">
        <v>444</v>
      </c>
      <c r="CO658" s="15" t="s">
        <v>444</v>
      </c>
      <c r="CP658" s="15" t="str">
        <f t="shared" si="1125"/>
        <v>20.09</v>
      </c>
      <c r="CQ658" s="15" t="str">
        <f t="shared" si="1126"/>
        <v>0.569</v>
      </c>
      <c r="CR658" s="15" t="s">
        <v>497</v>
      </c>
      <c r="DB658" s="15" t="s">
        <v>555</v>
      </c>
      <c r="DC658" s="15" t="str">
        <f>IFERROR(__xludf.DUMMYFUNCTION("""COMPUTED_VALUE"""),"{""value"":25.00,""unit"":""in""}")</f>
        <v>{"value":25.00,"unit":"in"}</v>
      </c>
      <c r="DD658" s="15" t="s">
        <v>1213</v>
      </c>
      <c r="DE658" s="15" t="str">
        <f>IFERROR(__xludf.DUMMYFUNCTION("""COMPUTED_VALUE"""),"{""value"":16.00,""unit"":""in""}")</f>
        <v>{"value":16.00,"unit":"in"}</v>
      </c>
      <c r="DF658" s="15" t="s">
        <v>1237</v>
      </c>
      <c r="DG658" s="15" t="str">
        <f>IFERROR(__xludf.DUMMYFUNCTION("""COMPUTED_VALUE"""),"{""value"":20.50,""unit"":""in""}")</f>
        <v>{"value":20.50,"unit":"in"}</v>
      </c>
      <c r="DH658" s="15">
        <v>0.0</v>
      </c>
      <c r="DI658" s="15">
        <v>0.0</v>
      </c>
      <c r="DJ658" s="15" t="s">
        <v>717</v>
      </c>
      <c r="DK658" s="15" t="s">
        <v>718</v>
      </c>
      <c r="DL658" s="15" t="str">
        <f>IFERROR(__xludf.DUMMYFUNCTION("""COMPUTED_VALUE"""),"Vacuum or light brush only. Do not use water or any cleaning products.")</f>
        <v>Vacuum or light brush only. Do not use water or any cleaning products.</v>
      </c>
      <c r="DM658" s="15" t="s">
        <v>719</v>
      </c>
      <c r="DT658" s="15" t="s">
        <v>721</v>
      </c>
      <c r="DU658" s="15" t="s">
        <v>1605</v>
      </c>
      <c r="DV658" s="15">
        <v>0.0</v>
      </c>
      <c r="DZ658" s="15">
        <v>0.0</v>
      </c>
      <c r="EA658" s="15" t="s">
        <v>990</v>
      </c>
      <c r="ED658" s="15">
        <v>0.0</v>
      </c>
      <c r="EE658" s="15">
        <v>1.0</v>
      </c>
      <c r="EG658" s="15" t="s">
        <v>444</v>
      </c>
      <c r="EH658" s="15" t="s">
        <v>7270</v>
      </c>
      <c r="EI658" s="15">
        <v>0.0</v>
      </c>
      <c r="EJ658" s="15" t="s">
        <v>726</v>
      </c>
      <c r="EK658" s="15" t="s">
        <v>727</v>
      </c>
      <c r="EL658" s="15" t="s">
        <v>1806</v>
      </c>
      <c r="EM658" s="15" t="str">
        <f>IFERROR(__xludf.DUMMYFUNCTION("""COMPUTED_VALUE"""),"{""value"":26.00,""unit"":""in""}")</f>
        <v>{"value":26.00,"unit":"in"}</v>
      </c>
      <c r="EN658" s="15" t="s">
        <v>531</v>
      </c>
      <c r="EO658" s="15" t="s">
        <v>4268</v>
      </c>
      <c r="ES658" s="15" t="s">
        <v>505</v>
      </c>
      <c r="EW658" s="15" t="s">
        <v>612</v>
      </c>
      <c r="EZ658" s="15" t="s">
        <v>531</v>
      </c>
      <c r="FF658" s="15" t="s">
        <v>860</v>
      </c>
      <c r="FO658" s="15" t="s">
        <v>1237</v>
      </c>
      <c r="FP658" s="15" t="s">
        <v>1237</v>
      </c>
      <c r="FQ658" s="15">
        <v>0.0</v>
      </c>
      <c r="FR658" s="15">
        <v>0.0</v>
      </c>
      <c r="FS658" s="15" t="s">
        <v>3362</v>
      </c>
      <c r="FT658" s="15">
        <v>0.0</v>
      </c>
      <c r="IL658" s="15" t="s">
        <v>1610</v>
      </c>
    </row>
    <row r="659" ht="15.75" customHeight="1">
      <c r="A659" s="14" t="s">
        <v>391</v>
      </c>
      <c r="B659" s="15" t="s">
        <v>7297</v>
      </c>
      <c r="C659" s="16"/>
      <c r="D659" s="15" t="s">
        <v>432</v>
      </c>
      <c r="G659" s="14" t="s">
        <v>393</v>
      </c>
      <c r="H659" s="14" t="s">
        <v>394</v>
      </c>
      <c r="I659" s="14" t="b">
        <v>1</v>
      </c>
      <c r="J659" s="14" t="s">
        <v>395</v>
      </c>
      <c r="L659" s="14" t="b">
        <v>0</v>
      </c>
      <c r="M659" s="15" t="s">
        <v>7306</v>
      </c>
      <c r="N659" s="14" t="s">
        <v>393</v>
      </c>
      <c r="O659" s="14" t="s">
        <v>393</v>
      </c>
      <c r="P659" s="15" t="s">
        <v>397</v>
      </c>
      <c r="Q659" s="15" t="s">
        <v>4342</v>
      </c>
      <c r="T659" s="14" t="b">
        <v>0</v>
      </c>
      <c r="U659" s="15" t="s">
        <v>7307</v>
      </c>
      <c r="V659" s="15" t="s">
        <v>1843</v>
      </c>
      <c r="W659" s="15" t="s">
        <v>401</v>
      </c>
      <c r="X659" s="15" t="s">
        <v>695</v>
      </c>
      <c r="Y659" s="15">
        <v>1313.0</v>
      </c>
      <c r="AA659" s="15" t="str">
        <f>"505"</f>
        <v>505</v>
      </c>
      <c r="AB659" s="14" t="b">
        <v>1</v>
      </c>
      <c r="AC659" s="14" t="b">
        <v>1</v>
      </c>
      <c r="AD659" s="15" t="str">
        <f>"801542380861"</f>
        <v>801542380861</v>
      </c>
      <c r="AE659" s="15" t="s">
        <v>7308</v>
      </c>
      <c r="AF659" s="14" t="s">
        <v>404</v>
      </c>
      <c r="AG659" s="14" t="s">
        <v>405</v>
      </c>
      <c r="AH659" s="14" t="s">
        <v>406</v>
      </c>
      <c r="AI659" s="15">
        <v>0.0</v>
      </c>
      <c r="AL659" s="15" t="s">
        <v>7290</v>
      </c>
      <c r="AM659" s="15" t="s">
        <v>1222</v>
      </c>
      <c r="AN659" s="15" t="s">
        <v>1223</v>
      </c>
      <c r="AO659" s="15" t="s">
        <v>1203</v>
      </c>
      <c r="AP659" s="15" t="s">
        <v>1204</v>
      </c>
      <c r="AQ659" s="15" t="s">
        <v>1175</v>
      </c>
      <c r="AR659" s="15" t="s">
        <v>1176</v>
      </c>
      <c r="AS659" s="15" t="s">
        <v>915</v>
      </c>
      <c r="AT659" s="15" t="s">
        <v>4342</v>
      </c>
      <c r="AU659" s="15" t="s">
        <v>7265</v>
      </c>
      <c r="AV659" s="15" t="s">
        <v>7266</v>
      </c>
      <c r="AW659" s="15" t="s">
        <v>706</v>
      </c>
      <c r="AX659" s="15" t="s">
        <v>707</v>
      </c>
      <c r="AY659" s="15" t="s">
        <v>413</v>
      </c>
      <c r="AZ659" s="15" t="b">
        <v>0</v>
      </c>
      <c r="BA659" s="15" t="s">
        <v>413</v>
      </c>
      <c r="BB659" s="15" t="b">
        <v>0</v>
      </c>
      <c r="BC659" s="15" t="s">
        <v>7309</v>
      </c>
      <c r="BD659" s="15" t="s">
        <v>709</v>
      </c>
      <c r="BE659" s="15" t="str">
        <f t="shared" si="1085"/>
        <v>1</v>
      </c>
      <c r="BF659" s="15" t="s">
        <v>416</v>
      </c>
      <c r="BG659" s="15" t="str">
        <f t="shared" si="1121"/>
        <v>35.83</v>
      </c>
      <c r="BH659" s="15" t="s">
        <v>1505</v>
      </c>
      <c r="BI659" s="15" t="str">
        <f t="shared" si="1122"/>
        <v>35.94</v>
      </c>
      <c r="BJ659" s="15" t="s">
        <v>7301</v>
      </c>
      <c r="BK659" s="15" t="str">
        <f t="shared" si="1123"/>
        <v>26.97</v>
      </c>
      <c r="BL659" s="15" t="s">
        <v>1457</v>
      </c>
      <c r="BM659" s="15" t="str">
        <f t="shared" si="1124"/>
        <v>88.18</v>
      </c>
      <c r="BN659" s="15" t="s">
        <v>5169</v>
      </c>
      <c r="BQ659" s="15" t="s">
        <v>444</v>
      </c>
      <c r="BS659" s="15" t="s">
        <v>444</v>
      </c>
      <c r="BU659" s="15" t="s">
        <v>444</v>
      </c>
      <c r="BW659" s="15" t="s">
        <v>444</v>
      </c>
      <c r="BZ659" s="15" t="s">
        <v>444</v>
      </c>
      <c r="CB659" s="15" t="s">
        <v>444</v>
      </c>
      <c r="CD659" s="15" t="s">
        <v>444</v>
      </c>
      <c r="CF659" s="15" t="s">
        <v>444</v>
      </c>
      <c r="CI659" s="15" t="s">
        <v>444</v>
      </c>
      <c r="CK659" s="15" t="s">
        <v>444</v>
      </c>
      <c r="CM659" s="15" t="s">
        <v>444</v>
      </c>
      <c r="CO659" s="15" t="s">
        <v>444</v>
      </c>
      <c r="CP659" s="15" t="str">
        <f t="shared" si="1125"/>
        <v>20.09</v>
      </c>
      <c r="CQ659" s="15" t="str">
        <f t="shared" si="1126"/>
        <v>0.569</v>
      </c>
      <c r="CR659" s="15" t="s">
        <v>497</v>
      </c>
      <c r="DB659" s="15" t="s">
        <v>555</v>
      </c>
      <c r="DC659" s="15" t="str">
        <f>IFERROR(__xludf.DUMMYFUNCTION("""COMPUTED_VALUE"""),"{""value"":25.00,""unit"":""in""}")</f>
        <v>{"value":25.00,"unit":"in"}</v>
      </c>
      <c r="DD659" s="15" t="s">
        <v>1213</v>
      </c>
      <c r="DE659" s="15" t="str">
        <f>IFERROR(__xludf.DUMMYFUNCTION("""COMPUTED_VALUE"""),"{""value"":16.00,""unit"":""in""}")</f>
        <v>{"value":16.00,"unit":"in"}</v>
      </c>
      <c r="DF659" s="15" t="s">
        <v>1237</v>
      </c>
      <c r="DG659" s="15" t="str">
        <f>IFERROR(__xludf.DUMMYFUNCTION("""COMPUTED_VALUE"""),"{""value"":20.50,""unit"":""in""}")</f>
        <v>{"value":20.50,"unit":"in"}</v>
      </c>
      <c r="DH659" s="15">
        <v>0.0</v>
      </c>
      <c r="DI659" s="15">
        <v>0.0</v>
      </c>
      <c r="DJ659" s="15" t="s">
        <v>717</v>
      </c>
      <c r="DK659" s="15" t="s">
        <v>897</v>
      </c>
      <c r="DL659" s="15" t="str">
        <f>IFERROR(__xludf.DUMMYFUNCTION("""COMPUTED_VALUE"""),"Clean with water-based products only. Use mild detergent or upholstery shampoo.")</f>
        <v>Clean with water-based products only. Use mild detergent or upholstery shampoo.</v>
      </c>
      <c r="DM659" s="15" t="s">
        <v>898</v>
      </c>
      <c r="DT659" s="15" t="s">
        <v>721</v>
      </c>
      <c r="DU659" s="15" t="s">
        <v>1605</v>
      </c>
      <c r="DV659" s="15">
        <v>0.0</v>
      </c>
      <c r="DZ659" s="15">
        <v>100000.0</v>
      </c>
      <c r="EA659" s="15" t="s">
        <v>990</v>
      </c>
      <c r="ED659" s="15">
        <v>0.0</v>
      </c>
      <c r="EE659" s="15">
        <v>1.0</v>
      </c>
      <c r="EG659" s="15" t="s">
        <v>444</v>
      </c>
      <c r="EH659" s="15" t="s">
        <v>7270</v>
      </c>
      <c r="EI659" s="15">
        <v>0.0</v>
      </c>
      <c r="EJ659" s="15" t="s">
        <v>726</v>
      </c>
      <c r="EK659" s="15" t="s">
        <v>727</v>
      </c>
      <c r="EL659" s="15" t="s">
        <v>1806</v>
      </c>
      <c r="EM659" s="15" t="str">
        <f>IFERROR(__xludf.DUMMYFUNCTION("""COMPUTED_VALUE"""),"{""value"":26.00,""unit"":""in""}")</f>
        <v>{"value":26.00,"unit":"in"}</v>
      </c>
      <c r="EN659" s="15" t="s">
        <v>531</v>
      </c>
      <c r="EO659" s="15" t="s">
        <v>4268</v>
      </c>
      <c r="ES659" s="15" t="s">
        <v>505</v>
      </c>
      <c r="EW659" s="15" t="s">
        <v>612</v>
      </c>
      <c r="EZ659" s="15" t="s">
        <v>531</v>
      </c>
      <c r="FF659" s="15" t="s">
        <v>860</v>
      </c>
      <c r="FO659" s="15" t="s">
        <v>1237</v>
      </c>
      <c r="FP659" s="15" t="s">
        <v>1237</v>
      </c>
      <c r="FQ659" s="15">
        <v>0.0</v>
      </c>
      <c r="FR659" s="15">
        <v>0.0</v>
      </c>
      <c r="FS659" s="15" t="s">
        <v>3362</v>
      </c>
      <c r="FT659" s="15">
        <v>0.0</v>
      </c>
      <c r="IL659" s="15" t="s">
        <v>1610</v>
      </c>
    </row>
    <row r="660" ht="15.75" customHeight="1">
      <c r="A660" s="14" t="s">
        <v>391</v>
      </c>
      <c r="B660" s="15" t="s">
        <v>7297</v>
      </c>
      <c r="C660" s="16"/>
      <c r="D660" s="15" t="s">
        <v>432</v>
      </c>
      <c r="G660" s="14" t="s">
        <v>393</v>
      </c>
      <c r="H660" s="14" t="s">
        <v>394</v>
      </c>
      <c r="I660" s="14" t="b">
        <v>1</v>
      </c>
      <c r="J660" s="14" t="s">
        <v>395</v>
      </c>
      <c r="L660" s="14" t="b">
        <v>0</v>
      </c>
      <c r="M660" s="15" t="s">
        <v>7310</v>
      </c>
      <c r="N660" s="14" t="s">
        <v>393</v>
      </c>
      <c r="O660" s="14" t="s">
        <v>393</v>
      </c>
      <c r="P660" s="15" t="s">
        <v>397</v>
      </c>
      <c r="Q660" s="15" t="s">
        <v>7293</v>
      </c>
      <c r="T660" s="14" t="b">
        <v>0</v>
      </c>
      <c r="U660" s="15" t="s">
        <v>7311</v>
      </c>
      <c r="V660" s="15" t="s">
        <v>1843</v>
      </c>
      <c r="W660" s="15" t="s">
        <v>401</v>
      </c>
      <c r="X660" s="15" t="s">
        <v>695</v>
      </c>
      <c r="Y660" s="15">
        <v>1976.0</v>
      </c>
      <c r="AA660" s="15" t="str">
        <f>"760"</f>
        <v>760</v>
      </c>
      <c r="AB660" s="14" t="b">
        <v>1</v>
      </c>
      <c r="AC660" s="14" t="b">
        <v>1</v>
      </c>
      <c r="AD660" s="15" t="str">
        <f>"801542299187"</f>
        <v>801542299187</v>
      </c>
      <c r="AE660" s="15" t="s">
        <v>7312</v>
      </c>
      <c r="AF660" s="14" t="s">
        <v>404</v>
      </c>
      <c r="AG660" s="14" t="s">
        <v>405</v>
      </c>
      <c r="AH660" s="14" t="s">
        <v>406</v>
      </c>
      <c r="AI660" s="15">
        <v>0.0</v>
      </c>
      <c r="AL660" s="15" t="s">
        <v>2578</v>
      </c>
      <c r="AM660" s="15" t="s">
        <v>1222</v>
      </c>
      <c r="AN660" s="15" t="s">
        <v>1223</v>
      </c>
      <c r="AO660" s="15" t="s">
        <v>1203</v>
      </c>
      <c r="AP660" s="15" t="s">
        <v>1204</v>
      </c>
      <c r="AQ660" s="15" t="s">
        <v>1175</v>
      </c>
      <c r="AR660" s="15" t="s">
        <v>1176</v>
      </c>
      <c r="AS660" s="15" t="s">
        <v>915</v>
      </c>
      <c r="AT660" s="15" t="s">
        <v>7293</v>
      </c>
      <c r="AU660" s="15" t="s">
        <v>7265</v>
      </c>
      <c r="AV660" s="15" t="s">
        <v>7266</v>
      </c>
      <c r="AW660" s="15" t="s">
        <v>706</v>
      </c>
      <c r="AX660" s="15" t="s">
        <v>707</v>
      </c>
      <c r="AY660" s="15" t="s">
        <v>413</v>
      </c>
      <c r="AZ660" s="15" t="b">
        <v>0</v>
      </c>
      <c r="BA660" s="15" t="s">
        <v>413</v>
      </c>
      <c r="BB660" s="15" t="b">
        <v>0</v>
      </c>
      <c r="BC660" s="15" t="s">
        <v>7313</v>
      </c>
      <c r="BD660" s="15" t="s">
        <v>709</v>
      </c>
      <c r="BE660" s="15" t="str">
        <f t="shared" si="1085"/>
        <v>1</v>
      </c>
      <c r="BF660" s="15" t="s">
        <v>416</v>
      </c>
      <c r="BG660" s="15" t="str">
        <f t="shared" si="1121"/>
        <v>35.83</v>
      </c>
      <c r="BH660" s="15" t="s">
        <v>1505</v>
      </c>
      <c r="BI660" s="15" t="str">
        <f t="shared" si="1122"/>
        <v>35.94</v>
      </c>
      <c r="BJ660" s="15" t="s">
        <v>7301</v>
      </c>
      <c r="BK660" s="15" t="str">
        <f t="shared" si="1123"/>
        <v>26.97</v>
      </c>
      <c r="BL660" s="15" t="s">
        <v>1457</v>
      </c>
      <c r="BM660" s="15" t="str">
        <f t="shared" si="1124"/>
        <v>88.18</v>
      </c>
      <c r="BN660" s="15" t="s">
        <v>5169</v>
      </c>
      <c r="BQ660" s="15" t="s">
        <v>444</v>
      </c>
      <c r="BS660" s="15" t="s">
        <v>444</v>
      </c>
      <c r="BU660" s="15" t="s">
        <v>444</v>
      </c>
      <c r="BW660" s="15" t="s">
        <v>444</v>
      </c>
      <c r="BZ660" s="15" t="s">
        <v>444</v>
      </c>
      <c r="CB660" s="15" t="s">
        <v>444</v>
      </c>
      <c r="CD660" s="15" t="s">
        <v>444</v>
      </c>
      <c r="CF660" s="15" t="s">
        <v>444</v>
      </c>
      <c r="CI660" s="15" t="s">
        <v>444</v>
      </c>
      <c r="CK660" s="15" t="s">
        <v>444</v>
      </c>
      <c r="CM660" s="15" t="s">
        <v>444</v>
      </c>
      <c r="CO660" s="15" t="s">
        <v>444</v>
      </c>
      <c r="CP660" s="15" t="str">
        <f t="shared" si="1125"/>
        <v>20.09</v>
      </c>
      <c r="CQ660" s="15" t="str">
        <f t="shared" si="1126"/>
        <v>0.569</v>
      </c>
      <c r="CR660" s="15" t="s">
        <v>497</v>
      </c>
      <c r="DB660" s="15" t="s">
        <v>555</v>
      </c>
      <c r="DC660" s="15" t="str">
        <f>IFERROR(__xludf.DUMMYFUNCTION("""COMPUTED_VALUE"""),"{""value"":25.00,""unit"":""in""}")</f>
        <v>{"value":25.00,"unit":"in"}</v>
      </c>
      <c r="DD660" s="15" t="s">
        <v>1213</v>
      </c>
      <c r="DE660" s="15" t="str">
        <f>IFERROR(__xludf.DUMMYFUNCTION("""COMPUTED_VALUE"""),"{""value"":16.00,""unit"":""in""}")</f>
        <v>{"value":16.00,"unit":"in"}</v>
      </c>
      <c r="DF660" s="15" t="s">
        <v>1237</v>
      </c>
      <c r="DG660" s="15" t="str">
        <f>IFERROR(__xludf.DUMMYFUNCTION("""COMPUTED_VALUE"""),"{""value"":20.50,""unit"":""in""}")</f>
        <v>{"value":20.50,"unit":"in"}</v>
      </c>
      <c r="DH660" s="15">
        <v>0.0</v>
      </c>
      <c r="DI660" s="15">
        <v>0.0</v>
      </c>
      <c r="DJ660" s="15" t="s">
        <v>717</v>
      </c>
      <c r="DK660" s="15" t="s">
        <v>718</v>
      </c>
      <c r="DL660" s="15" t="str">
        <f>IFERROR(__xludf.DUMMYFUNCTION("""COMPUTED_VALUE"""),"Vacuum or light brush only. Do not use water or any cleaning products.")</f>
        <v>Vacuum or light brush only. Do not use water or any cleaning products.</v>
      </c>
      <c r="DM660" s="15" t="s">
        <v>719</v>
      </c>
      <c r="DT660" s="15" t="s">
        <v>721</v>
      </c>
      <c r="DU660" s="15" t="s">
        <v>1605</v>
      </c>
      <c r="DV660" s="15">
        <v>0.0</v>
      </c>
      <c r="DZ660" s="15">
        <v>0.0</v>
      </c>
      <c r="EA660" s="15" t="s">
        <v>990</v>
      </c>
      <c r="ED660" s="15">
        <v>0.0</v>
      </c>
      <c r="EE660" s="15">
        <v>1.0</v>
      </c>
      <c r="EG660" s="15" t="s">
        <v>444</v>
      </c>
      <c r="EH660" s="15" t="s">
        <v>7270</v>
      </c>
      <c r="EI660" s="15">
        <v>0.0</v>
      </c>
      <c r="EJ660" s="15" t="s">
        <v>726</v>
      </c>
      <c r="EK660" s="15" t="s">
        <v>727</v>
      </c>
      <c r="EL660" s="15" t="s">
        <v>1806</v>
      </c>
      <c r="EM660" s="15" t="str">
        <f>IFERROR(__xludf.DUMMYFUNCTION("""COMPUTED_VALUE"""),"{""value"":26.00,""unit"":""in""}")</f>
        <v>{"value":26.00,"unit":"in"}</v>
      </c>
      <c r="EN660" s="15" t="s">
        <v>531</v>
      </c>
      <c r="EO660" s="15" t="s">
        <v>4268</v>
      </c>
      <c r="ES660" s="15" t="s">
        <v>505</v>
      </c>
      <c r="EW660" s="15" t="s">
        <v>612</v>
      </c>
      <c r="EZ660" s="15" t="s">
        <v>531</v>
      </c>
      <c r="FF660" s="15" t="s">
        <v>860</v>
      </c>
      <c r="FO660" s="15" t="s">
        <v>1237</v>
      </c>
      <c r="FP660" s="15" t="s">
        <v>1237</v>
      </c>
      <c r="FQ660" s="15">
        <v>0.0</v>
      </c>
      <c r="FR660" s="15">
        <v>0.0</v>
      </c>
      <c r="FS660" s="15" t="s">
        <v>3362</v>
      </c>
      <c r="FT660" s="15">
        <v>0.0</v>
      </c>
      <c r="IL660" s="15" t="s">
        <v>1610</v>
      </c>
    </row>
    <row r="661" ht="15.75" customHeight="1">
      <c r="A661" s="14" t="s">
        <v>391</v>
      </c>
      <c r="B661" s="15" t="s">
        <v>7314</v>
      </c>
      <c r="C661" s="16"/>
      <c r="D661" s="15" t="s">
        <v>432</v>
      </c>
      <c r="G661" s="14" t="s">
        <v>393</v>
      </c>
      <c r="H661" s="14" t="s">
        <v>394</v>
      </c>
      <c r="I661" s="14" t="b">
        <v>1</v>
      </c>
      <c r="J661" s="14" t="s">
        <v>395</v>
      </c>
      <c r="L661" s="14" t="b">
        <v>0</v>
      </c>
      <c r="M661" s="15" t="s">
        <v>7315</v>
      </c>
      <c r="N661" s="14" t="s">
        <v>393</v>
      </c>
      <c r="O661" s="14" t="s">
        <v>393</v>
      </c>
      <c r="P661" s="15" t="s">
        <v>397</v>
      </c>
      <c r="Q661" s="15" t="s">
        <v>4295</v>
      </c>
      <c r="T661" s="14" t="b">
        <v>0</v>
      </c>
      <c r="U661" s="15" t="s">
        <v>7316</v>
      </c>
      <c r="V661" s="15" t="s">
        <v>6386</v>
      </c>
      <c r="W661" s="15" t="s">
        <v>401</v>
      </c>
      <c r="X661" s="15" t="s">
        <v>742</v>
      </c>
      <c r="Y661" s="15">
        <v>1755.0</v>
      </c>
      <c r="AA661" s="15" t="str">
        <f>"675"</f>
        <v>675</v>
      </c>
      <c r="AB661" s="14" t="b">
        <v>1</v>
      </c>
      <c r="AC661" s="14" t="b">
        <v>1</v>
      </c>
      <c r="AD661" s="15" t="str">
        <f>"801542091675"</f>
        <v>801542091675</v>
      </c>
      <c r="AE661" s="15" t="s">
        <v>7317</v>
      </c>
      <c r="AF661" s="14" t="s">
        <v>404</v>
      </c>
      <c r="AG661" s="14" t="s">
        <v>405</v>
      </c>
      <c r="AH661" s="14" t="s">
        <v>406</v>
      </c>
      <c r="AI661" s="15">
        <v>0.0</v>
      </c>
      <c r="AL661" s="15" t="s">
        <v>2354</v>
      </c>
      <c r="AM661" s="15" t="s">
        <v>1364</v>
      </c>
      <c r="AN661" s="15" t="s">
        <v>1365</v>
      </c>
      <c r="AO661" s="15" t="s">
        <v>1452</v>
      </c>
      <c r="AP661" s="15" t="s">
        <v>1453</v>
      </c>
      <c r="AQ661" s="15" t="s">
        <v>3830</v>
      </c>
      <c r="AR661" s="15" t="s">
        <v>3831</v>
      </c>
      <c r="AS661" s="15" t="s">
        <v>1896</v>
      </c>
      <c r="AT661" s="15" t="s">
        <v>4295</v>
      </c>
      <c r="AW661" s="15" t="s">
        <v>412</v>
      </c>
      <c r="AY661" s="15" t="s">
        <v>413</v>
      </c>
      <c r="AZ661" s="15" t="b">
        <v>0</v>
      </c>
      <c r="BA661" s="15" t="s">
        <v>413</v>
      </c>
      <c r="BB661" s="15" t="b">
        <v>0</v>
      </c>
      <c r="BC661" s="15" t="s">
        <v>7318</v>
      </c>
      <c r="BD661" s="15" t="s">
        <v>742</v>
      </c>
      <c r="BE661" s="15" t="str">
        <f t="shared" si="1085"/>
        <v>1</v>
      </c>
      <c r="BF661" s="15" t="s">
        <v>2043</v>
      </c>
      <c r="BG661" s="15" t="str">
        <f>"37.8"</f>
        <v>37.8</v>
      </c>
      <c r="BH661" s="15" t="s">
        <v>756</v>
      </c>
      <c r="BI661" s="15" t="str">
        <f t="shared" ref="BI661:BI662" si="1127">"21.46"</f>
        <v>21.46</v>
      </c>
      <c r="BJ661" s="15" t="s">
        <v>1385</v>
      </c>
      <c r="BK661" s="15" t="str">
        <f>"49.61"</f>
        <v>49.61</v>
      </c>
      <c r="BL661" s="15" t="s">
        <v>7319</v>
      </c>
      <c r="BM661" s="15" t="str">
        <f>"185.19"</f>
        <v>185.19</v>
      </c>
      <c r="BN661" s="15" t="s">
        <v>3904</v>
      </c>
      <c r="BQ661" s="15" t="s">
        <v>444</v>
      </c>
      <c r="BS661" s="15" t="s">
        <v>444</v>
      </c>
      <c r="BU661" s="15" t="s">
        <v>444</v>
      </c>
      <c r="BW661" s="15" t="s">
        <v>444</v>
      </c>
      <c r="BZ661" s="15" t="s">
        <v>444</v>
      </c>
      <c r="CB661" s="15" t="s">
        <v>444</v>
      </c>
      <c r="CD661" s="15" t="s">
        <v>444</v>
      </c>
      <c r="CF661" s="15" t="s">
        <v>444</v>
      </c>
      <c r="CI661" s="15" t="s">
        <v>444</v>
      </c>
      <c r="CK661" s="15" t="s">
        <v>444</v>
      </c>
      <c r="CM661" s="15" t="s">
        <v>444</v>
      </c>
      <c r="CO661" s="15" t="s">
        <v>444</v>
      </c>
      <c r="CP661" s="15" t="str">
        <f>"23.27"</f>
        <v>23.27</v>
      </c>
      <c r="CQ661" s="15" t="str">
        <f>"0.659"</f>
        <v>0.659</v>
      </c>
      <c r="CR661" s="15" t="s">
        <v>417</v>
      </c>
      <c r="DC661" s="15" t="str">
        <f>IFERROR(__xludf.DUMMYFUNCTION("""COMPUTED_VALUE"""),"")</f>
        <v/>
      </c>
      <c r="DE661" s="15" t="str">
        <f>IFERROR(__xludf.DUMMYFUNCTION("""COMPUTED_VALUE"""),"")</f>
        <v/>
      </c>
      <c r="DG661" s="15" t="str">
        <f>IFERROR(__xludf.DUMMYFUNCTION("""COMPUTED_VALUE"""),"")</f>
        <v/>
      </c>
      <c r="DL661" s="15" t="str">
        <f>IFERROR(__xludf.DUMMYFUNCTION("""COMPUTED_VALUE"""),"")</f>
        <v/>
      </c>
      <c r="DM661" s="15" t="s">
        <v>444</v>
      </c>
      <c r="DN661" s="15" t="s">
        <v>4002</v>
      </c>
      <c r="DO661" s="15">
        <v>5.0</v>
      </c>
      <c r="DP661" s="15" t="s">
        <v>1185</v>
      </c>
      <c r="DR661" s="15">
        <v>0.0</v>
      </c>
      <c r="DT661" s="15" t="s">
        <v>1186</v>
      </c>
      <c r="DU661" s="15" t="s">
        <v>421</v>
      </c>
      <c r="DY661" s="15">
        <v>0.0</v>
      </c>
      <c r="EF661" s="15" t="s">
        <v>2094</v>
      </c>
      <c r="EG661" s="15" t="s">
        <v>2095</v>
      </c>
      <c r="EH661" s="15" t="s">
        <v>7320</v>
      </c>
      <c r="EJ661" s="15" t="s">
        <v>500</v>
      </c>
      <c r="EK661" s="15" t="s">
        <v>501</v>
      </c>
      <c r="EM661" s="15" t="str">
        <f>IFERROR(__xludf.DUMMYFUNCTION("""COMPUTED_VALUE"""),"")</f>
        <v/>
      </c>
      <c r="EW661" s="15" t="s">
        <v>1483</v>
      </c>
      <c r="FM661" s="15">
        <v>0.0</v>
      </c>
      <c r="GH661" s="15">
        <v>0.0</v>
      </c>
      <c r="GI661" s="15" t="s">
        <v>427</v>
      </c>
      <c r="GQ661" s="15" t="s">
        <v>5544</v>
      </c>
      <c r="GR661" s="15" t="s">
        <v>5544</v>
      </c>
      <c r="GS661" s="15" t="s">
        <v>7321</v>
      </c>
      <c r="GT661" s="15" t="s">
        <v>7322</v>
      </c>
      <c r="GU661" s="15" t="s">
        <v>430</v>
      </c>
      <c r="GV661" s="15" t="s">
        <v>430</v>
      </c>
      <c r="GW661" s="15" t="s">
        <v>2604</v>
      </c>
      <c r="GY661" s="15" t="s">
        <v>764</v>
      </c>
      <c r="GZ661" s="15" t="s">
        <v>426</v>
      </c>
      <c r="HX661" s="15" t="s">
        <v>5544</v>
      </c>
      <c r="HZ661" s="15" t="s">
        <v>7323</v>
      </c>
      <c r="IB661" s="15" t="s">
        <v>430</v>
      </c>
    </row>
    <row r="662" ht="15.75" customHeight="1">
      <c r="A662" s="14" t="s">
        <v>391</v>
      </c>
      <c r="B662" s="15" t="s">
        <v>7324</v>
      </c>
      <c r="C662" s="16"/>
      <c r="D662" s="15" t="s">
        <v>432</v>
      </c>
      <c r="G662" s="14" t="s">
        <v>393</v>
      </c>
      <c r="H662" s="14" t="s">
        <v>394</v>
      </c>
      <c r="I662" s="14" t="b">
        <v>1</v>
      </c>
      <c r="J662" s="14" t="s">
        <v>395</v>
      </c>
      <c r="L662" s="14" t="b">
        <v>0</v>
      </c>
      <c r="M662" s="15" t="s">
        <v>7325</v>
      </c>
      <c r="N662" s="14" t="s">
        <v>393</v>
      </c>
      <c r="O662" s="14" t="s">
        <v>393</v>
      </c>
      <c r="P662" s="15" t="s">
        <v>397</v>
      </c>
      <c r="Q662" s="15" t="s">
        <v>4295</v>
      </c>
      <c r="T662" s="14" t="b">
        <v>0</v>
      </c>
      <c r="U662" s="15" t="s">
        <v>7326</v>
      </c>
      <c r="V662" s="15" t="s">
        <v>7327</v>
      </c>
      <c r="W662" s="15" t="s">
        <v>401</v>
      </c>
      <c r="X662" s="15" t="s">
        <v>742</v>
      </c>
      <c r="Y662" s="15">
        <v>2301.0</v>
      </c>
      <c r="AA662" s="15" t="str">
        <f>"885"</f>
        <v>885</v>
      </c>
      <c r="AB662" s="14" t="b">
        <v>1</v>
      </c>
      <c r="AC662" s="14" t="b">
        <v>1</v>
      </c>
      <c r="AD662" s="15" t="str">
        <f>"801542091682"</f>
        <v>801542091682</v>
      </c>
      <c r="AE662" s="15" t="s">
        <v>7328</v>
      </c>
      <c r="AF662" s="14" t="s">
        <v>404</v>
      </c>
      <c r="AG662" s="14" t="s">
        <v>405</v>
      </c>
      <c r="AH662" s="14" t="s">
        <v>406</v>
      </c>
      <c r="AI662" s="15">
        <v>0.0</v>
      </c>
      <c r="AL662" s="15" t="s">
        <v>2354</v>
      </c>
      <c r="AM662" s="15" t="s">
        <v>7329</v>
      </c>
      <c r="AN662" s="15" t="s">
        <v>7330</v>
      </c>
      <c r="AO662" s="15" t="s">
        <v>1452</v>
      </c>
      <c r="AP662" s="15" t="s">
        <v>1453</v>
      </c>
      <c r="AQ662" s="15" t="s">
        <v>700</v>
      </c>
      <c r="AR662" s="15" t="s">
        <v>605</v>
      </c>
      <c r="AS662" s="15" t="s">
        <v>1896</v>
      </c>
      <c r="AT662" s="15" t="s">
        <v>4295</v>
      </c>
      <c r="AW662" s="15" t="s">
        <v>412</v>
      </c>
      <c r="AY662" s="15" t="s">
        <v>413</v>
      </c>
      <c r="AZ662" s="15" t="b">
        <v>0</v>
      </c>
      <c r="BA662" s="15" t="s">
        <v>413</v>
      </c>
      <c r="BB662" s="15" t="b">
        <v>0</v>
      </c>
      <c r="BC662" s="15" t="s">
        <v>7331</v>
      </c>
      <c r="BD662" s="15" t="s">
        <v>742</v>
      </c>
      <c r="BE662" s="15" t="str">
        <f t="shared" si="1085"/>
        <v>1</v>
      </c>
      <c r="BF662" s="15" t="s">
        <v>2043</v>
      </c>
      <c r="BG662" s="15" t="str">
        <f>"72.64"</f>
        <v>72.64</v>
      </c>
      <c r="BH662" s="15" t="s">
        <v>7332</v>
      </c>
      <c r="BI662" s="15" t="str">
        <f t="shared" si="1127"/>
        <v>21.46</v>
      </c>
      <c r="BJ662" s="15" t="s">
        <v>1385</v>
      </c>
      <c r="BK662" s="15" t="str">
        <f>"39.76"</f>
        <v>39.76</v>
      </c>
      <c r="BL662" s="15" t="s">
        <v>5501</v>
      </c>
      <c r="BM662" s="15" t="str">
        <f>"249.12"</f>
        <v>249.12</v>
      </c>
      <c r="BN662" s="15" t="s">
        <v>1035</v>
      </c>
      <c r="BQ662" s="15" t="s">
        <v>444</v>
      </c>
      <c r="BS662" s="15" t="s">
        <v>444</v>
      </c>
      <c r="BU662" s="15" t="s">
        <v>444</v>
      </c>
      <c r="BW662" s="15" t="s">
        <v>444</v>
      </c>
      <c r="BZ662" s="15" t="s">
        <v>444</v>
      </c>
      <c r="CB662" s="15" t="s">
        <v>444</v>
      </c>
      <c r="CD662" s="15" t="s">
        <v>444</v>
      </c>
      <c r="CF662" s="15" t="s">
        <v>444</v>
      </c>
      <c r="CI662" s="15" t="s">
        <v>444</v>
      </c>
      <c r="CK662" s="15" t="s">
        <v>444</v>
      </c>
      <c r="CM662" s="15" t="s">
        <v>444</v>
      </c>
      <c r="CO662" s="15" t="s">
        <v>444</v>
      </c>
      <c r="CP662" s="15" t="str">
        <f>"35.88"</f>
        <v>35.88</v>
      </c>
      <c r="CQ662" s="15" t="str">
        <f>"1.016"</f>
        <v>1.016</v>
      </c>
      <c r="CR662" s="15" t="s">
        <v>465</v>
      </c>
      <c r="DC662" s="15" t="str">
        <f>IFERROR(__xludf.DUMMYFUNCTION("""COMPUTED_VALUE"""),"")</f>
        <v/>
      </c>
      <c r="DE662" s="15" t="str">
        <f>IFERROR(__xludf.DUMMYFUNCTION("""COMPUTED_VALUE"""),"")</f>
        <v/>
      </c>
      <c r="DG662" s="15" t="str">
        <f>IFERROR(__xludf.DUMMYFUNCTION("""COMPUTED_VALUE"""),"")</f>
        <v/>
      </c>
      <c r="DL662" s="15" t="str">
        <f>IFERROR(__xludf.DUMMYFUNCTION("""COMPUTED_VALUE"""),"")</f>
        <v/>
      </c>
      <c r="DM662" s="15" t="s">
        <v>444</v>
      </c>
      <c r="DN662" s="15" t="s">
        <v>4002</v>
      </c>
      <c r="DO662" s="15">
        <v>6.0</v>
      </c>
      <c r="DP662" s="15" t="s">
        <v>1185</v>
      </c>
      <c r="DR662" s="15">
        <v>0.0</v>
      </c>
      <c r="DT662" s="15" t="s">
        <v>1186</v>
      </c>
      <c r="DU662" s="15" t="s">
        <v>421</v>
      </c>
      <c r="DY662" s="15">
        <v>0.0</v>
      </c>
      <c r="EF662" s="15" t="s">
        <v>422</v>
      </c>
      <c r="EG662" s="15" t="s">
        <v>445</v>
      </c>
      <c r="EH662" s="15" t="s">
        <v>7320</v>
      </c>
      <c r="EJ662" s="15" t="s">
        <v>500</v>
      </c>
      <c r="EK662" s="15" t="s">
        <v>501</v>
      </c>
      <c r="EM662" s="15" t="str">
        <f>IFERROR(__xludf.DUMMYFUNCTION("""COMPUTED_VALUE"""),"")</f>
        <v/>
      </c>
      <c r="EW662" s="15" t="s">
        <v>1955</v>
      </c>
      <c r="FM662" s="15">
        <v>0.0</v>
      </c>
      <c r="GH662" s="15">
        <v>0.0</v>
      </c>
      <c r="GI662" s="15" t="s">
        <v>427</v>
      </c>
      <c r="GQ662" s="15" t="s">
        <v>5544</v>
      </c>
      <c r="GR662" s="15" t="s">
        <v>5544</v>
      </c>
      <c r="GS662" s="15" t="s">
        <v>7333</v>
      </c>
      <c r="GT662" s="15" t="s">
        <v>7334</v>
      </c>
      <c r="GU662" s="15" t="s">
        <v>3912</v>
      </c>
      <c r="GV662" s="15" t="s">
        <v>3912</v>
      </c>
      <c r="GW662" s="15" t="s">
        <v>2604</v>
      </c>
      <c r="GY662" s="15" t="s">
        <v>764</v>
      </c>
      <c r="GZ662" s="15" t="s">
        <v>426</v>
      </c>
      <c r="HX662" s="15" t="s">
        <v>5544</v>
      </c>
      <c r="HZ662" s="15" t="s">
        <v>7335</v>
      </c>
      <c r="IB662" s="15" t="s">
        <v>3912</v>
      </c>
    </row>
    <row r="663" ht="15.75" customHeight="1">
      <c r="A663" s="14" t="s">
        <v>391</v>
      </c>
      <c r="B663" s="15" t="s">
        <v>7336</v>
      </c>
      <c r="C663" s="16"/>
      <c r="D663" s="15" t="s">
        <v>432</v>
      </c>
      <c r="G663" s="14" t="s">
        <v>393</v>
      </c>
      <c r="H663" s="14" t="s">
        <v>394</v>
      </c>
      <c r="I663" s="14" t="b">
        <v>1</v>
      </c>
      <c r="J663" s="14" t="s">
        <v>395</v>
      </c>
      <c r="L663" s="14" t="b">
        <v>0</v>
      </c>
      <c r="M663" s="15" t="s">
        <v>7337</v>
      </c>
      <c r="N663" s="14" t="s">
        <v>393</v>
      </c>
      <c r="O663" s="14" t="s">
        <v>393</v>
      </c>
      <c r="P663" s="15" t="s">
        <v>397</v>
      </c>
      <c r="Q663" s="15" t="s">
        <v>4289</v>
      </c>
      <c r="R663" s="15" t="s">
        <v>265</v>
      </c>
      <c r="S663" s="15" t="s">
        <v>828</v>
      </c>
      <c r="T663" s="14" t="b">
        <v>0</v>
      </c>
      <c r="U663" s="15" t="s">
        <v>7338</v>
      </c>
      <c r="V663" s="15" t="s">
        <v>1023</v>
      </c>
      <c r="W663" s="15" t="s">
        <v>401</v>
      </c>
      <c r="X663" s="15" t="s">
        <v>742</v>
      </c>
      <c r="Y663" s="15">
        <v>2184.0</v>
      </c>
      <c r="AA663" s="15" t="str">
        <f>"840"</f>
        <v>840</v>
      </c>
      <c r="AB663" s="14" t="b">
        <v>1</v>
      </c>
      <c r="AC663" s="14" t="b">
        <v>1</v>
      </c>
      <c r="AD663" s="15" t="str">
        <f>"801542161972"</f>
        <v>801542161972</v>
      </c>
      <c r="AE663" s="15" t="s">
        <v>7339</v>
      </c>
      <c r="AF663" s="14" t="s">
        <v>404</v>
      </c>
      <c r="AG663" s="14" t="s">
        <v>405</v>
      </c>
      <c r="AH663" s="14" t="s">
        <v>406</v>
      </c>
      <c r="AI663" s="15">
        <v>0.0</v>
      </c>
      <c r="AL663" s="15" t="s">
        <v>1532</v>
      </c>
      <c r="AM663" s="15" t="s">
        <v>4674</v>
      </c>
      <c r="AN663" s="15" t="s">
        <v>4675</v>
      </c>
      <c r="AO663" s="15" t="s">
        <v>6541</v>
      </c>
      <c r="AP663" s="15" t="s">
        <v>6542</v>
      </c>
      <c r="AQ663" s="15" t="s">
        <v>2557</v>
      </c>
      <c r="AR663" s="15" t="s">
        <v>2558</v>
      </c>
      <c r="AS663" s="15" t="s">
        <v>1896</v>
      </c>
      <c r="AT663" s="15" t="s">
        <v>4289</v>
      </c>
      <c r="AU663" s="15" t="s">
        <v>4295</v>
      </c>
      <c r="AW663" s="15" t="s">
        <v>839</v>
      </c>
      <c r="AX663" s="15" t="s">
        <v>828</v>
      </c>
      <c r="AY663" s="15" t="s">
        <v>413</v>
      </c>
      <c r="AZ663" s="15" t="b">
        <v>0</v>
      </c>
      <c r="BA663" s="15" t="s">
        <v>413</v>
      </c>
      <c r="BB663" s="15" t="b">
        <v>0</v>
      </c>
      <c r="BC663" s="15" t="s">
        <v>7340</v>
      </c>
      <c r="BD663" s="15" t="s">
        <v>742</v>
      </c>
      <c r="BE663" s="15" t="str">
        <f t="shared" ref="BE663:BE664" si="1128">"3"</f>
        <v>3</v>
      </c>
      <c r="BF663" s="15" t="s">
        <v>841</v>
      </c>
      <c r="BG663" s="15" t="str">
        <f>"83.46"</f>
        <v>83.46</v>
      </c>
      <c r="BH663" s="15" t="s">
        <v>2456</v>
      </c>
      <c r="BI663" s="15" t="str">
        <f t="shared" ref="BI663:BI664" si="1129">"46.73"</f>
        <v>46.73</v>
      </c>
      <c r="BJ663" s="15" t="s">
        <v>7341</v>
      </c>
      <c r="BK663" s="15" t="str">
        <f t="shared" ref="BK663:BK664" si="1130">"6.1"</f>
        <v>6.1</v>
      </c>
      <c r="BL663" s="15" t="s">
        <v>7342</v>
      </c>
      <c r="BM663" s="15" t="str">
        <f>"90.39"</f>
        <v>90.39</v>
      </c>
      <c r="BN663" s="15" t="s">
        <v>1525</v>
      </c>
      <c r="BO663" s="15" t="s">
        <v>846</v>
      </c>
      <c r="BP663" s="15" t="str">
        <f>"83.46"</f>
        <v>83.46</v>
      </c>
      <c r="BQ663" s="15" t="s">
        <v>2456</v>
      </c>
      <c r="BR663" s="15" t="str">
        <f t="shared" ref="BR663:BR664" si="1131">"24.41"</f>
        <v>24.41</v>
      </c>
      <c r="BS663" s="15" t="s">
        <v>796</v>
      </c>
      <c r="BT663" s="15" t="str">
        <f t="shared" ref="BT663:BT664" si="1132">"7.28"</f>
        <v>7.28</v>
      </c>
      <c r="BU663" s="15" t="s">
        <v>7343</v>
      </c>
      <c r="BV663" s="15" t="str">
        <f>"111.33"</f>
        <v>111.33</v>
      </c>
      <c r="BW663" s="15" t="s">
        <v>5502</v>
      </c>
      <c r="BX663" s="15" t="s">
        <v>5840</v>
      </c>
      <c r="BY663" s="15" t="str">
        <f t="shared" ref="BY663:BY664" si="1133">"84.06"</f>
        <v>84.06</v>
      </c>
      <c r="BZ663" s="15" t="s">
        <v>7344</v>
      </c>
      <c r="CA663" s="15" t="str">
        <f t="shared" ref="CA663:CA664" si="1134">"10.83"</f>
        <v>10.83</v>
      </c>
      <c r="CB663" s="15" t="s">
        <v>3968</v>
      </c>
      <c r="CC663" s="15" t="str">
        <f t="shared" ref="CC663:CC664" si="1135">"10.83"</f>
        <v>10.83</v>
      </c>
      <c r="CD663" s="15" t="s">
        <v>3968</v>
      </c>
      <c r="CE663" s="15" t="str">
        <f t="shared" ref="CE663:CE664" si="1136">"49.6"</f>
        <v>49.6</v>
      </c>
      <c r="CF663" s="15" t="s">
        <v>7345</v>
      </c>
      <c r="CI663" s="15" t="s">
        <v>444</v>
      </c>
      <c r="CK663" s="15" t="s">
        <v>444</v>
      </c>
      <c r="CM663" s="15" t="s">
        <v>444</v>
      </c>
      <c r="CO663" s="15" t="s">
        <v>444</v>
      </c>
      <c r="CP663" s="15" t="str">
        <f>"28.08"</f>
        <v>28.08</v>
      </c>
      <c r="CQ663" s="15" t="str">
        <f>"0.795"</f>
        <v>0.795</v>
      </c>
      <c r="CR663" s="15" t="s">
        <v>465</v>
      </c>
      <c r="DC663" s="15" t="str">
        <f>IFERROR(__xludf.DUMMYFUNCTION("""COMPUTED_VALUE"""),"")</f>
        <v/>
      </c>
      <c r="DE663" s="15" t="str">
        <f>IFERROR(__xludf.DUMMYFUNCTION("""COMPUTED_VALUE"""),"")</f>
        <v/>
      </c>
      <c r="DG663" s="15" t="str">
        <f>IFERROR(__xludf.DUMMYFUNCTION("""COMPUTED_VALUE"""),"")</f>
        <v/>
      </c>
      <c r="DL663" s="15" t="str">
        <f>IFERROR(__xludf.DUMMYFUNCTION("""COMPUTED_VALUE"""),"")</f>
        <v/>
      </c>
      <c r="DM663" s="15" t="s">
        <v>444</v>
      </c>
      <c r="DN663" s="15" t="s">
        <v>419</v>
      </c>
      <c r="DO663" s="15">
        <v>0.0</v>
      </c>
      <c r="DP663" s="15" t="s">
        <v>419</v>
      </c>
      <c r="DR663" s="15">
        <v>0.0</v>
      </c>
      <c r="DT663" s="15" t="s">
        <v>1186</v>
      </c>
      <c r="DU663" s="15" t="s">
        <v>419</v>
      </c>
      <c r="DW663" s="15">
        <v>0.0</v>
      </c>
      <c r="DX663" s="15">
        <v>0.0</v>
      </c>
      <c r="DY663" s="15">
        <v>0.0</v>
      </c>
      <c r="EG663" s="15" t="s">
        <v>444</v>
      </c>
      <c r="EH663" s="15" t="s">
        <v>7320</v>
      </c>
      <c r="EJ663" s="15" t="s">
        <v>858</v>
      </c>
      <c r="EK663" s="15" t="s">
        <v>859</v>
      </c>
      <c r="EM663" s="15" t="str">
        <f>IFERROR(__xludf.DUMMYFUNCTION("""COMPUTED_VALUE"""),"")</f>
        <v/>
      </c>
      <c r="FM663" s="15">
        <v>0.0</v>
      </c>
      <c r="IM663" s="15" t="s">
        <v>1955</v>
      </c>
      <c r="IN663" s="15" t="s">
        <v>1955</v>
      </c>
      <c r="IO663" s="15" t="s">
        <v>1955</v>
      </c>
      <c r="IP663" s="15" t="s">
        <v>1324</v>
      </c>
      <c r="IQ663" s="15" t="s">
        <v>1957</v>
      </c>
      <c r="IR663" s="15" t="s">
        <v>7346</v>
      </c>
      <c r="IS663" s="15" t="s">
        <v>7347</v>
      </c>
      <c r="IT663" s="15" t="s">
        <v>1957</v>
      </c>
      <c r="IU663" s="15" t="s">
        <v>7346</v>
      </c>
      <c r="IV663" s="15" t="s">
        <v>2971</v>
      </c>
      <c r="IW663" s="15" t="s">
        <v>1957</v>
      </c>
      <c r="IX663" s="15" t="s">
        <v>869</v>
      </c>
      <c r="IY663" s="15" t="s">
        <v>5304</v>
      </c>
      <c r="IZ663" s="15" t="s">
        <v>2971</v>
      </c>
      <c r="JA663" s="15" t="s">
        <v>1042</v>
      </c>
      <c r="JB663" s="15" t="s">
        <v>426</v>
      </c>
      <c r="JC663" s="15" t="s">
        <v>2973</v>
      </c>
      <c r="JD663" s="15" t="s">
        <v>2604</v>
      </c>
      <c r="JE663" s="15" t="s">
        <v>873</v>
      </c>
      <c r="JF663" s="15" t="s">
        <v>828</v>
      </c>
      <c r="JL663" s="15" t="s">
        <v>759</v>
      </c>
      <c r="JM663" s="15" t="s">
        <v>2651</v>
      </c>
      <c r="JN663" s="15" t="s">
        <v>759</v>
      </c>
      <c r="JO663" s="15" t="s">
        <v>426</v>
      </c>
      <c r="JP663" s="15" t="s">
        <v>2474</v>
      </c>
    </row>
    <row r="664" ht="15.75" customHeight="1">
      <c r="A664" s="14" t="s">
        <v>391</v>
      </c>
      <c r="B664" s="15" t="s">
        <v>7336</v>
      </c>
      <c r="C664" s="16"/>
      <c r="D664" s="15" t="s">
        <v>432</v>
      </c>
      <c r="G664" s="14" t="s">
        <v>393</v>
      </c>
      <c r="H664" s="14" t="s">
        <v>394</v>
      </c>
      <c r="I664" s="14" t="b">
        <v>1</v>
      </c>
      <c r="J664" s="14" t="s">
        <v>395</v>
      </c>
      <c r="L664" s="14" t="b">
        <v>0</v>
      </c>
      <c r="M664" s="15" t="s">
        <v>7348</v>
      </c>
      <c r="N664" s="14" t="s">
        <v>393</v>
      </c>
      <c r="O664" s="14" t="s">
        <v>393</v>
      </c>
      <c r="P664" s="15" t="s">
        <v>397</v>
      </c>
      <c r="Q664" s="15" t="s">
        <v>4289</v>
      </c>
      <c r="R664" s="15" t="s">
        <v>265</v>
      </c>
      <c r="S664" s="15" t="s">
        <v>877</v>
      </c>
      <c r="T664" s="14" t="b">
        <v>0</v>
      </c>
      <c r="U664" s="15" t="s">
        <v>7349</v>
      </c>
      <c r="V664" s="15" t="s">
        <v>7028</v>
      </c>
      <c r="W664" s="15" t="s">
        <v>401</v>
      </c>
      <c r="X664" s="15" t="s">
        <v>742</v>
      </c>
      <c r="Y664" s="15">
        <v>1976.0</v>
      </c>
      <c r="AA664" s="15" t="str">
        <f>"760"</f>
        <v>760</v>
      </c>
      <c r="AB664" s="14" t="b">
        <v>1</v>
      </c>
      <c r="AC664" s="14" t="b">
        <v>1</v>
      </c>
      <c r="AD664" s="15" t="str">
        <f>"801542159047"</f>
        <v>801542159047</v>
      </c>
      <c r="AE664" s="15" t="s">
        <v>7350</v>
      </c>
      <c r="AF664" s="14" t="s">
        <v>404</v>
      </c>
      <c r="AG664" s="14" t="s">
        <v>405</v>
      </c>
      <c r="AH664" s="14" t="s">
        <v>406</v>
      </c>
      <c r="AI664" s="15">
        <v>0.0</v>
      </c>
      <c r="AL664" s="15" t="s">
        <v>1532</v>
      </c>
      <c r="AM664" s="15" t="s">
        <v>4008</v>
      </c>
      <c r="AN664" s="15" t="s">
        <v>3329</v>
      </c>
      <c r="AO664" s="15" t="s">
        <v>6541</v>
      </c>
      <c r="AP664" s="15" t="s">
        <v>6542</v>
      </c>
      <c r="AQ664" s="15" t="s">
        <v>2557</v>
      </c>
      <c r="AR664" s="15" t="s">
        <v>2558</v>
      </c>
      <c r="AS664" s="15" t="s">
        <v>1896</v>
      </c>
      <c r="AT664" s="15" t="s">
        <v>4289</v>
      </c>
      <c r="AU664" s="15" t="s">
        <v>4295</v>
      </c>
      <c r="AW664" s="15" t="s">
        <v>839</v>
      </c>
      <c r="AX664" s="15" t="s">
        <v>877</v>
      </c>
      <c r="AY664" s="15" t="s">
        <v>413</v>
      </c>
      <c r="AZ664" s="15" t="b">
        <v>0</v>
      </c>
      <c r="BA664" s="15" t="s">
        <v>413</v>
      </c>
      <c r="BB664" s="15" t="b">
        <v>0</v>
      </c>
      <c r="BC664" s="15" t="s">
        <v>7340</v>
      </c>
      <c r="BD664" s="15" t="s">
        <v>742</v>
      </c>
      <c r="BE664" s="15" t="str">
        <f t="shared" si="1128"/>
        <v>3</v>
      </c>
      <c r="BF664" s="15" t="s">
        <v>841</v>
      </c>
      <c r="BG664" s="15" t="str">
        <f>"67.32"</f>
        <v>67.32</v>
      </c>
      <c r="BH664" s="15" t="s">
        <v>4754</v>
      </c>
      <c r="BI664" s="15" t="str">
        <f t="shared" si="1129"/>
        <v>46.73</v>
      </c>
      <c r="BJ664" s="15" t="s">
        <v>7341</v>
      </c>
      <c r="BK664" s="15" t="str">
        <f t="shared" si="1130"/>
        <v>6.1</v>
      </c>
      <c r="BL664" s="15" t="s">
        <v>7342</v>
      </c>
      <c r="BM664" s="15" t="str">
        <f>"80.03"</f>
        <v>80.03</v>
      </c>
      <c r="BN664" s="15" t="s">
        <v>7351</v>
      </c>
      <c r="BO664" s="15" t="s">
        <v>846</v>
      </c>
      <c r="BP664" s="15" t="str">
        <f>"67.32"</f>
        <v>67.32</v>
      </c>
      <c r="BQ664" s="15" t="s">
        <v>4754</v>
      </c>
      <c r="BR664" s="15" t="str">
        <f t="shared" si="1131"/>
        <v>24.41</v>
      </c>
      <c r="BS664" s="15" t="s">
        <v>796</v>
      </c>
      <c r="BT664" s="15" t="str">
        <f t="shared" si="1132"/>
        <v>7.28</v>
      </c>
      <c r="BU664" s="15" t="s">
        <v>7343</v>
      </c>
      <c r="BV664" s="15" t="str">
        <f>"101.41"</f>
        <v>101.41</v>
      </c>
      <c r="BW664" s="15" t="s">
        <v>5860</v>
      </c>
      <c r="BX664" s="15" t="s">
        <v>5840</v>
      </c>
      <c r="BY664" s="15" t="str">
        <f t="shared" si="1133"/>
        <v>84.06</v>
      </c>
      <c r="BZ664" s="15" t="s">
        <v>7344</v>
      </c>
      <c r="CA664" s="15" t="str">
        <f t="shared" si="1134"/>
        <v>10.83</v>
      </c>
      <c r="CB664" s="15" t="s">
        <v>3968</v>
      </c>
      <c r="CC664" s="15" t="str">
        <f t="shared" si="1135"/>
        <v>10.83</v>
      </c>
      <c r="CD664" s="15" t="s">
        <v>3968</v>
      </c>
      <c r="CE664" s="15" t="str">
        <f t="shared" si="1136"/>
        <v>49.6</v>
      </c>
      <c r="CF664" s="15" t="s">
        <v>7345</v>
      </c>
      <c r="CI664" s="15" t="s">
        <v>444</v>
      </c>
      <c r="CK664" s="15" t="s">
        <v>444</v>
      </c>
      <c r="CM664" s="15" t="s">
        <v>444</v>
      </c>
      <c r="CO664" s="15" t="s">
        <v>444</v>
      </c>
      <c r="CP664" s="15" t="str">
        <f>"23.73"</f>
        <v>23.73</v>
      </c>
      <c r="CQ664" s="15" t="str">
        <f>"0.672"</f>
        <v>0.672</v>
      </c>
      <c r="CR664" s="15" t="s">
        <v>417</v>
      </c>
      <c r="DC664" s="15" t="str">
        <f>IFERROR(__xludf.DUMMYFUNCTION("""COMPUTED_VALUE"""),"")</f>
        <v/>
      </c>
      <c r="DE664" s="15" t="str">
        <f>IFERROR(__xludf.DUMMYFUNCTION("""COMPUTED_VALUE"""),"")</f>
        <v/>
      </c>
      <c r="DG664" s="15" t="str">
        <f>IFERROR(__xludf.DUMMYFUNCTION("""COMPUTED_VALUE"""),"")</f>
        <v/>
      </c>
      <c r="DL664" s="15" t="str">
        <f>IFERROR(__xludf.DUMMYFUNCTION("""COMPUTED_VALUE"""),"")</f>
        <v/>
      </c>
      <c r="DM664" s="15" t="s">
        <v>444</v>
      </c>
      <c r="DN664" s="15" t="s">
        <v>419</v>
      </c>
      <c r="DO664" s="15">
        <v>0.0</v>
      </c>
      <c r="DP664" s="15" t="s">
        <v>419</v>
      </c>
      <c r="DR664" s="15">
        <v>0.0</v>
      </c>
      <c r="DT664" s="15" t="s">
        <v>1186</v>
      </c>
      <c r="DU664" s="15" t="s">
        <v>419</v>
      </c>
      <c r="DW664" s="15">
        <v>0.0</v>
      </c>
      <c r="DX664" s="15">
        <v>0.0</v>
      </c>
      <c r="DY664" s="15">
        <v>0.0</v>
      </c>
      <c r="EG664" s="15" t="s">
        <v>444</v>
      </c>
      <c r="EH664" s="15" t="s">
        <v>7320</v>
      </c>
      <c r="EJ664" s="15" t="s">
        <v>858</v>
      </c>
      <c r="EK664" s="15" t="s">
        <v>859</v>
      </c>
      <c r="EM664" s="15" t="str">
        <f>IFERROR(__xludf.DUMMYFUNCTION("""COMPUTED_VALUE"""),"")</f>
        <v/>
      </c>
      <c r="FM664" s="15">
        <v>0.0</v>
      </c>
      <c r="IM664" s="15" t="s">
        <v>1955</v>
      </c>
      <c r="IN664" s="15" t="s">
        <v>1955</v>
      </c>
      <c r="IO664" s="15" t="s">
        <v>1955</v>
      </c>
      <c r="IP664" s="15" t="s">
        <v>1324</v>
      </c>
      <c r="IQ664" s="15" t="s">
        <v>1957</v>
      </c>
      <c r="IR664" s="15" t="s">
        <v>1134</v>
      </c>
      <c r="IS664" s="15" t="s">
        <v>7347</v>
      </c>
      <c r="IT664" s="15" t="s">
        <v>1957</v>
      </c>
      <c r="IU664" s="15" t="s">
        <v>1134</v>
      </c>
      <c r="IV664" s="15" t="s">
        <v>2971</v>
      </c>
      <c r="IW664" s="15" t="s">
        <v>1957</v>
      </c>
      <c r="IX664" s="15" t="s">
        <v>890</v>
      </c>
      <c r="IY664" s="15" t="s">
        <v>5304</v>
      </c>
      <c r="IZ664" s="15" t="s">
        <v>2971</v>
      </c>
      <c r="JA664" s="15" t="s">
        <v>1042</v>
      </c>
      <c r="JB664" s="15" t="s">
        <v>426</v>
      </c>
      <c r="JC664" s="15" t="s">
        <v>2973</v>
      </c>
      <c r="JD664" s="15" t="s">
        <v>2604</v>
      </c>
      <c r="JE664" s="15" t="s">
        <v>873</v>
      </c>
      <c r="JF664" s="15" t="s">
        <v>877</v>
      </c>
      <c r="JL664" s="15" t="s">
        <v>759</v>
      </c>
      <c r="JM664" s="15" t="s">
        <v>2651</v>
      </c>
      <c r="JN664" s="15" t="s">
        <v>759</v>
      </c>
      <c r="JO664" s="15" t="s">
        <v>426</v>
      </c>
      <c r="JP664" s="15" t="s">
        <v>2474</v>
      </c>
    </row>
    <row r="665" ht="15.75" customHeight="1">
      <c r="A665" s="14" t="s">
        <v>391</v>
      </c>
      <c r="B665" s="15" t="s">
        <v>7352</v>
      </c>
      <c r="C665" s="16"/>
      <c r="D665" s="15" t="s">
        <v>432</v>
      </c>
      <c r="G665" s="14" t="s">
        <v>393</v>
      </c>
      <c r="H665" s="14" t="s">
        <v>394</v>
      </c>
      <c r="I665" s="14" t="b">
        <v>1</v>
      </c>
      <c r="J665" s="14" t="s">
        <v>395</v>
      </c>
      <c r="L665" s="14" t="b">
        <v>0</v>
      </c>
      <c r="M665" s="15" t="s">
        <v>7353</v>
      </c>
      <c r="N665" s="14" t="s">
        <v>393</v>
      </c>
      <c r="O665" s="14" t="s">
        <v>393</v>
      </c>
      <c r="P665" s="15" t="s">
        <v>397</v>
      </c>
      <c r="Q665" s="15" t="s">
        <v>4295</v>
      </c>
      <c r="T665" s="14" t="b">
        <v>0</v>
      </c>
      <c r="U665" s="15" t="s">
        <v>7354</v>
      </c>
      <c r="V665" s="15" t="s">
        <v>7120</v>
      </c>
      <c r="W665" s="15" t="s">
        <v>401</v>
      </c>
      <c r="X665" s="15" t="s">
        <v>742</v>
      </c>
      <c r="Y665" s="15">
        <v>1313.0</v>
      </c>
      <c r="AA665" s="15" t="str">
        <f>"505"</f>
        <v>505</v>
      </c>
      <c r="AB665" s="14" t="b">
        <v>1</v>
      </c>
      <c r="AC665" s="14" t="b">
        <v>1</v>
      </c>
      <c r="AD665" s="15" t="str">
        <f>"801542047948"</f>
        <v>801542047948</v>
      </c>
      <c r="AE665" s="15" t="s">
        <v>7355</v>
      </c>
      <c r="AF665" s="14" t="s">
        <v>404</v>
      </c>
      <c r="AG665" s="14" t="s">
        <v>405</v>
      </c>
      <c r="AH665" s="14" t="s">
        <v>406</v>
      </c>
      <c r="AI665" s="15">
        <v>0.0</v>
      </c>
      <c r="AL665" s="15" t="s">
        <v>2354</v>
      </c>
      <c r="AM665" s="15" t="s">
        <v>2037</v>
      </c>
      <c r="AN665" s="15" t="s">
        <v>2038</v>
      </c>
      <c r="AO665" s="15" t="s">
        <v>2039</v>
      </c>
      <c r="AP665" s="15" t="s">
        <v>2040</v>
      </c>
      <c r="AQ665" s="15" t="s">
        <v>546</v>
      </c>
      <c r="AR665" s="15" t="s">
        <v>547</v>
      </c>
      <c r="AS665" s="15" t="s">
        <v>1896</v>
      </c>
      <c r="AT665" s="15" t="s">
        <v>4295</v>
      </c>
      <c r="AW665" s="15" t="s">
        <v>519</v>
      </c>
      <c r="AY665" s="15" t="s">
        <v>413</v>
      </c>
      <c r="AZ665" s="15" t="b">
        <v>0</v>
      </c>
      <c r="BA665" s="15" t="s">
        <v>413</v>
      </c>
      <c r="BB665" s="15" t="b">
        <v>0</v>
      </c>
      <c r="BC665" s="15" t="s">
        <v>7356</v>
      </c>
      <c r="BD665" s="15" t="s">
        <v>742</v>
      </c>
      <c r="BE665" s="15" t="str">
        <f t="shared" ref="BE665:BE674" si="1137">"1"</f>
        <v>1</v>
      </c>
      <c r="BF665" s="15" t="s">
        <v>2043</v>
      </c>
      <c r="BG665" s="15" t="str">
        <f>"64.17"</f>
        <v>64.17</v>
      </c>
      <c r="BH665" s="15" t="s">
        <v>2044</v>
      </c>
      <c r="BI665" s="15" t="str">
        <f>"36.02"</f>
        <v>36.02</v>
      </c>
      <c r="BJ665" s="15" t="s">
        <v>4053</v>
      </c>
      <c r="BK665" s="15" t="str">
        <f>"20.08"</f>
        <v>20.08</v>
      </c>
      <c r="BL665" s="15" t="s">
        <v>4825</v>
      </c>
      <c r="BM665" s="15" t="str">
        <f>"114.64"</f>
        <v>114.64</v>
      </c>
      <c r="BN665" s="15" t="s">
        <v>7248</v>
      </c>
      <c r="BQ665" s="15" t="s">
        <v>444</v>
      </c>
      <c r="BS665" s="15" t="s">
        <v>444</v>
      </c>
      <c r="BU665" s="15" t="s">
        <v>444</v>
      </c>
      <c r="BW665" s="15" t="s">
        <v>444</v>
      </c>
      <c r="BZ665" s="15" t="s">
        <v>444</v>
      </c>
      <c r="CB665" s="15" t="s">
        <v>444</v>
      </c>
      <c r="CD665" s="15" t="s">
        <v>444</v>
      </c>
      <c r="CF665" s="15" t="s">
        <v>444</v>
      </c>
      <c r="CI665" s="15" t="s">
        <v>444</v>
      </c>
      <c r="CK665" s="15" t="s">
        <v>444</v>
      </c>
      <c r="CM665" s="15" t="s">
        <v>444</v>
      </c>
      <c r="CO665" s="15" t="s">
        <v>444</v>
      </c>
      <c r="CP665" s="15" t="str">
        <f>"26.87"</f>
        <v>26.87</v>
      </c>
      <c r="CQ665" s="15" t="str">
        <f>"0.761"</f>
        <v>0.761</v>
      </c>
      <c r="CR665" s="15" t="s">
        <v>497</v>
      </c>
      <c r="CS665" s="15" t="s">
        <v>2051</v>
      </c>
      <c r="CT665" s="15" t="s">
        <v>784</v>
      </c>
      <c r="CU665" s="15" t="s">
        <v>7357</v>
      </c>
      <c r="CV665" s="15" t="s">
        <v>2051</v>
      </c>
      <c r="CW665" s="15" t="s">
        <v>7358</v>
      </c>
      <c r="CX665" s="15" t="s">
        <v>7357</v>
      </c>
      <c r="DC665" s="15" t="str">
        <f>IFERROR(__xludf.DUMMYFUNCTION("""COMPUTED_VALUE"""),"")</f>
        <v/>
      </c>
      <c r="DE665" s="15" t="str">
        <f>IFERROR(__xludf.DUMMYFUNCTION("""COMPUTED_VALUE"""),"")</f>
        <v/>
      </c>
      <c r="DG665" s="15" t="str">
        <f>IFERROR(__xludf.DUMMYFUNCTION("""COMPUTED_VALUE"""),"")</f>
        <v/>
      </c>
      <c r="DL665" s="15" t="str">
        <f>IFERROR(__xludf.DUMMYFUNCTION("""COMPUTED_VALUE"""),"")</f>
        <v/>
      </c>
      <c r="DM665" s="15" t="s">
        <v>444</v>
      </c>
      <c r="DN665" s="15" t="s">
        <v>4002</v>
      </c>
      <c r="DO665" s="15">
        <v>3.0</v>
      </c>
      <c r="DP665" s="15" t="s">
        <v>1185</v>
      </c>
      <c r="DR665" s="15">
        <v>1.0</v>
      </c>
      <c r="DS665" s="15" t="s">
        <v>426</v>
      </c>
      <c r="DT665" s="15" t="s">
        <v>1186</v>
      </c>
      <c r="DU665" s="15" t="s">
        <v>421</v>
      </c>
      <c r="DY665" s="15">
        <v>0.0</v>
      </c>
      <c r="EF665" s="15" t="s">
        <v>471</v>
      </c>
      <c r="EG665" s="15" t="s">
        <v>472</v>
      </c>
      <c r="EH665" s="15" t="s">
        <v>7320</v>
      </c>
      <c r="EJ665" s="15" t="s">
        <v>500</v>
      </c>
      <c r="EK665" s="15" t="s">
        <v>501</v>
      </c>
      <c r="EM665" s="15" t="str">
        <f>IFERROR(__xludf.DUMMYFUNCTION("""COMPUTED_VALUE"""),"")</f>
        <v/>
      </c>
      <c r="EW665" s="15" t="s">
        <v>1483</v>
      </c>
      <c r="EX665" s="15" t="s">
        <v>7172</v>
      </c>
      <c r="EY665" s="15" t="s">
        <v>7357</v>
      </c>
      <c r="FH665" s="15" t="s">
        <v>2051</v>
      </c>
      <c r="FI665" s="15" t="s">
        <v>558</v>
      </c>
      <c r="FJ665" s="15" t="s">
        <v>2388</v>
      </c>
      <c r="FK665" s="15" t="s">
        <v>1512</v>
      </c>
      <c r="FL665" s="15" t="s">
        <v>426</v>
      </c>
      <c r="FM665" s="15">
        <v>1.0</v>
      </c>
      <c r="FN665" s="15">
        <v>0.0</v>
      </c>
      <c r="GH665" s="15">
        <v>0.0</v>
      </c>
      <c r="GI665" s="15" t="s">
        <v>427</v>
      </c>
      <c r="GQ665" s="15" t="s">
        <v>1608</v>
      </c>
      <c r="GR665" s="15" t="s">
        <v>1608</v>
      </c>
      <c r="GS665" s="15" t="s">
        <v>5122</v>
      </c>
      <c r="GT665" s="15" t="s">
        <v>5122</v>
      </c>
      <c r="GU665" s="15" t="s">
        <v>7359</v>
      </c>
      <c r="GV665" s="15" t="s">
        <v>5558</v>
      </c>
      <c r="GW665" s="15" t="s">
        <v>2604</v>
      </c>
      <c r="GY665" s="15" t="s">
        <v>764</v>
      </c>
      <c r="GZ665" s="15" t="s">
        <v>426</v>
      </c>
    </row>
    <row r="666" ht="15.75" customHeight="1">
      <c r="A666" s="14" t="s">
        <v>391</v>
      </c>
      <c r="B666" s="15" t="s">
        <v>7360</v>
      </c>
      <c r="C666" s="16"/>
      <c r="D666" s="15" t="s">
        <v>432</v>
      </c>
      <c r="G666" s="14" t="s">
        <v>393</v>
      </c>
      <c r="H666" s="14" t="s">
        <v>394</v>
      </c>
      <c r="I666" s="14" t="b">
        <v>1</v>
      </c>
      <c r="J666" s="14" t="s">
        <v>395</v>
      </c>
      <c r="L666" s="14" t="b">
        <v>0</v>
      </c>
      <c r="M666" s="15" t="s">
        <v>7361</v>
      </c>
      <c r="N666" s="14" t="s">
        <v>393</v>
      </c>
      <c r="O666" s="14" t="s">
        <v>393</v>
      </c>
      <c r="P666" s="15" t="s">
        <v>397</v>
      </c>
      <c r="Q666" s="15" t="s">
        <v>4295</v>
      </c>
      <c r="T666" s="14" t="b">
        <v>0</v>
      </c>
      <c r="U666" s="15" t="s">
        <v>7362</v>
      </c>
      <c r="V666" s="15" t="s">
        <v>3868</v>
      </c>
      <c r="W666" s="15" t="s">
        <v>401</v>
      </c>
      <c r="X666" s="15" t="s">
        <v>742</v>
      </c>
      <c r="Y666" s="15">
        <v>767.0</v>
      </c>
      <c r="AA666" s="15" t="str">
        <f>"295"</f>
        <v>295</v>
      </c>
      <c r="AB666" s="14" t="b">
        <v>1</v>
      </c>
      <c r="AC666" s="14" t="b">
        <v>1</v>
      </c>
      <c r="AD666" s="15" t="str">
        <f>"801542091699"</f>
        <v>801542091699</v>
      </c>
      <c r="AE666" s="15" t="s">
        <v>7363</v>
      </c>
      <c r="AF666" s="14" t="s">
        <v>404</v>
      </c>
      <c r="AG666" s="14" t="s">
        <v>405</v>
      </c>
      <c r="AH666" s="14" t="s">
        <v>406</v>
      </c>
      <c r="AI666" s="15">
        <v>0.0</v>
      </c>
      <c r="AL666" s="15" t="s">
        <v>2354</v>
      </c>
      <c r="AM666" s="15" t="s">
        <v>1561</v>
      </c>
      <c r="AN666" s="15" t="s">
        <v>1562</v>
      </c>
      <c r="AO666" s="15" t="s">
        <v>1874</v>
      </c>
      <c r="AP666" s="15" t="s">
        <v>1875</v>
      </c>
      <c r="AQ666" s="15" t="s">
        <v>2213</v>
      </c>
      <c r="AR666" s="15" t="s">
        <v>2214</v>
      </c>
      <c r="AS666" s="15" t="s">
        <v>1896</v>
      </c>
      <c r="AT666" s="15" t="s">
        <v>4295</v>
      </c>
      <c r="AW666" s="15" t="s">
        <v>628</v>
      </c>
      <c r="AY666" s="15" t="s">
        <v>413</v>
      </c>
      <c r="AZ666" s="15" t="b">
        <v>0</v>
      </c>
      <c r="BA666" s="15" t="s">
        <v>413</v>
      </c>
      <c r="BB666" s="15" t="b">
        <v>0</v>
      </c>
      <c r="BC666" s="15" t="s">
        <v>7364</v>
      </c>
      <c r="BD666" s="15" t="s">
        <v>742</v>
      </c>
      <c r="BE666" s="15" t="str">
        <f t="shared" si="1137"/>
        <v>1</v>
      </c>
      <c r="BF666" s="15" t="s">
        <v>2043</v>
      </c>
      <c r="BG666" s="15" t="str">
        <f>"25.98"</f>
        <v>25.98</v>
      </c>
      <c r="BH666" s="15" t="s">
        <v>522</v>
      </c>
      <c r="BI666" s="15" t="str">
        <f t="shared" ref="BI666:BI667" si="1138">"21.46"</f>
        <v>21.46</v>
      </c>
      <c r="BJ666" s="15" t="s">
        <v>1385</v>
      </c>
      <c r="BK666" s="15" t="str">
        <f>"30.91"</f>
        <v>30.91</v>
      </c>
      <c r="BL666" s="15" t="s">
        <v>3885</v>
      </c>
      <c r="BM666" s="15" t="str">
        <f>"68.34"</f>
        <v>68.34</v>
      </c>
      <c r="BN666" s="15" t="s">
        <v>3744</v>
      </c>
      <c r="BQ666" s="15" t="s">
        <v>444</v>
      </c>
      <c r="BS666" s="15" t="s">
        <v>444</v>
      </c>
      <c r="BU666" s="15" t="s">
        <v>444</v>
      </c>
      <c r="BW666" s="15" t="s">
        <v>444</v>
      </c>
      <c r="BZ666" s="15" t="s">
        <v>444</v>
      </c>
      <c r="CB666" s="15" t="s">
        <v>444</v>
      </c>
      <c r="CD666" s="15" t="s">
        <v>444</v>
      </c>
      <c r="CF666" s="15" t="s">
        <v>444</v>
      </c>
      <c r="CI666" s="15" t="s">
        <v>444</v>
      </c>
      <c r="CK666" s="15" t="s">
        <v>444</v>
      </c>
      <c r="CM666" s="15" t="s">
        <v>444</v>
      </c>
      <c r="CO666" s="15" t="s">
        <v>444</v>
      </c>
      <c r="CP666" s="15" t="str">
        <f>"9.96"</f>
        <v>9.96</v>
      </c>
      <c r="CQ666" s="15" t="str">
        <f>"0.282"</f>
        <v>0.282</v>
      </c>
      <c r="CR666" s="15" t="s">
        <v>465</v>
      </c>
      <c r="DC666" s="15" t="str">
        <f>IFERROR(__xludf.DUMMYFUNCTION("""COMPUTED_VALUE"""),"")</f>
        <v/>
      </c>
      <c r="DE666" s="15" t="str">
        <f>IFERROR(__xludf.DUMMYFUNCTION("""COMPUTED_VALUE"""),"")</f>
        <v/>
      </c>
      <c r="DG666" s="15" t="str">
        <f>IFERROR(__xludf.DUMMYFUNCTION("""COMPUTED_VALUE"""),"")</f>
        <v/>
      </c>
      <c r="DL666" s="15" t="str">
        <f>IFERROR(__xludf.DUMMYFUNCTION("""COMPUTED_VALUE"""),"")</f>
        <v/>
      </c>
      <c r="DM666" s="15" t="s">
        <v>444</v>
      </c>
      <c r="DN666" s="15" t="s">
        <v>4002</v>
      </c>
      <c r="DO666" s="15">
        <v>2.0</v>
      </c>
      <c r="DP666" s="15" t="s">
        <v>2604</v>
      </c>
      <c r="DR666" s="15">
        <v>0.0</v>
      </c>
      <c r="DT666" s="15" t="s">
        <v>1186</v>
      </c>
      <c r="DU666" s="15" t="s">
        <v>421</v>
      </c>
      <c r="DY666" s="15">
        <v>0.0</v>
      </c>
      <c r="EF666" s="15" t="s">
        <v>471</v>
      </c>
      <c r="EG666" s="15" t="s">
        <v>472</v>
      </c>
      <c r="EH666" s="15" t="s">
        <v>7320</v>
      </c>
      <c r="EJ666" s="15" t="s">
        <v>500</v>
      </c>
      <c r="EK666" s="15" t="s">
        <v>501</v>
      </c>
      <c r="EM666" s="15" t="str">
        <f>IFERROR(__xludf.DUMMYFUNCTION("""COMPUTED_VALUE"""),"")</f>
        <v/>
      </c>
      <c r="EW666" s="15" t="s">
        <v>1483</v>
      </c>
      <c r="FM666" s="15">
        <v>0.0</v>
      </c>
      <c r="GH666" s="15">
        <v>0.0</v>
      </c>
      <c r="GI666" s="15" t="s">
        <v>427</v>
      </c>
      <c r="GQ666" s="15" t="s">
        <v>5544</v>
      </c>
      <c r="GR666" s="15" t="s">
        <v>6427</v>
      </c>
      <c r="GS666" s="15" t="s">
        <v>2947</v>
      </c>
      <c r="GT666" s="15" t="s">
        <v>731</v>
      </c>
      <c r="GU666" s="15" t="s">
        <v>6271</v>
      </c>
      <c r="GV666" s="15" t="s">
        <v>6271</v>
      </c>
      <c r="GW666" s="15" t="s">
        <v>2604</v>
      </c>
      <c r="GY666" s="15" t="s">
        <v>764</v>
      </c>
      <c r="GZ666" s="15" t="s">
        <v>426</v>
      </c>
    </row>
    <row r="667" ht="15.75" customHeight="1">
      <c r="A667" s="14" t="s">
        <v>391</v>
      </c>
      <c r="B667" s="15" t="s">
        <v>7365</v>
      </c>
      <c r="C667" s="16"/>
      <c r="D667" s="15" t="s">
        <v>432</v>
      </c>
      <c r="G667" s="14" t="s">
        <v>393</v>
      </c>
      <c r="H667" s="14" t="s">
        <v>394</v>
      </c>
      <c r="I667" s="14" t="b">
        <v>1</v>
      </c>
      <c r="J667" s="14" t="s">
        <v>395</v>
      </c>
      <c r="L667" s="14" t="b">
        <v>0</v>
      </c>
      <c r="M667" s="15" t="s">
        <v>7366</v>
      </c>
      <c r="N667" s="14" t="s">
        <v>393</v>
      </c>
      <c r="O667" s="14" t="s">
        <v>393</v>
      </c>
      <c r="P667" s="15" t="s">
        <v>397</v>
      </c>
      <c r="Q667" s="15" t="s">
        <v>4295</v>
      </c>
      <c r="T667" s="14" t="b">
        <v>0</v>
      </c>
      <c r="U667" s="15" t="s">
        <v>7367</v>
      </c>
      <c r="V667" s="15" t="s">
        <v>2105</v>
      </c>
      <c r="W667" s="15" t="s">
        <v>401</v>
      </c>
      <c r="X667" s="15" t="s">
        <v>742</v>
      </c>
      <c r="Y667" s="15">
        <v>2080.0</v>
      </c>
      <c r="AA667" s="15" t="str">
        <f>"800"</f>
        <v>800</v>
      </c>
      <c r="AB667" s="14" t="b">
        <v>1</v>
      </c>
      <c r="AC667" s="14" t="b">
        <v>1</v>
      </c>
      <c r="AD667" s="15" t="str">
        <f>"801542066109"</f>
        <v>801542066109</v>
      </c>
      <c r="AE667" s="15" t="s">
        <v>7368</v>
      </c>
      <c r="AF667" s="14" t="s">
        <v>404</v>
      </c>
      <c r="AG667" s="14" t="s">
        <v>405</v>
      </c>
      <c r="AH667" s="14" t="s">
        <v>406</v>
      </c>
      <c r="AI667" s="15">
        <v>0.0</v>
      </c>
      <c r="AL667" s="15" t="s">
        <v>2354</v>
      </c>
      <c r="AM667" s="15" t="s">
        <v>745</v>
      </c>
      <c r="AN667" s="15" t="s">
        <v>746</v>
      </c>
      <c r="AO667" s="15" t="s">
        <v>1874</v>
      </c>
      <c r="AP667" s="15" t="s">
        <v>1875</v>
      </c>
      <c r="AQ667" s="15" t="s">
        <v>1801</v>
      </c>
      <c r="AR667" s="15" t="s">
        <v>1322</v>
      </c>
      <c r="AS667" s="15" t="s">
        <v>1896</v>
      </c>
      <c r="AT667" s="15" t="s">
        <v>4295</v>
      </c>
      <c r="AW667" s="15" t="s">
        <v>664</v>
      </c>
      <c r="AY667" s="15" t="s">
        <v>413</v>
      </c>
      <c r="AZ667" s="15" t="b">
        <v>0</v>
      </c>
      <c r="BA667" s="15" t="s">
        <v>413</v>
      </c>
      <c r="BB667" s="15" t="b">
        <v>0</v>
      </c>
      <c r="BC667" s="15" t="s">
        <v>7369</v>
      </c>
      <c r="BD667" s="15" t="s">
        <v>742</v>
      </c>
      <c r="BE667" s="15" t="str">
        <f t="shared" si="1137"/>
        <v>1</v>
      </c>
      <c r="BF667" s="15" t="s">
        <v>2043</v>
      </c>
      <c r="BG667" s="15" t="str">
        <f>"75.98"</f>
        <v>75.98</v>
      </c>
      <c r="BH667" s="15" t="s">
        <v>7370</v>
      </c>
      <c r="BI667" s="15" t="str">
        <f t="shared" si="1138"/>
        <v>21.46</v>
      </c>
      <c r="BJ667" s="15" t="s">
        <v>1385</v>
      </c>
      <c r="BK667" s="15" t="str">
        <f>"36.61"</f>
        <v>36.61</v>
      </c>
      <c r="BL667" s="15" t="s">
        <v>1734</v>
      </c>
      <c r="BM667" s="15" t="str">
        <f>"216.05"</f>
        <v>216.05</v>
      </c>
      <c r="BN667" s="15" t="s">
        <v>5555</v>
      </c>
      <c r="BQ667" s="15" t="s">
        <v>444</v>
      </c>
      <c r="BS667" s="15" t="s">
        <v>444</v>
      </c>
      <c r="BU667" s="15" t="s">
        <v>444</v>
      </c>
      <c r="BW667" s="15" t="s">
        <v>444</v>
      </c>
      <c r="BZ667" s="15" t="s">
        <v>444</v>
      </c>
      <c r="CB667" s="15" t="s">
        <v>444</v>
      </c>
      <c r="CD667" s="15" t="s">
        <v>444</v>
      </c>
      <c r="CF667" s="15" t="s">
        <v>444</v>
      </c>
      <c r="CI667" s="15" t="s">
        <v>444</v>
      </c>
      <c r="CK667" s="15" t="s">
        <v>444</v>
      </c>
      <c r="CM667" s="15" t="s">
        <v>444</v>
      </c>
      <c r="CO667" s="15" t="s">
        <v>444</v>
      </c>
      <c r="CP667" s="15" t="str">
        <f>"34.54"</f>
        <v>34.54</v>
      </c>
      <c r="CQ667" s="15" t="str">
        <f>"0.978"</f>
        <v>0.978</v>
      </c>
      <c r="CR667" s="15" t="s">
        <v>417</v>
      </c>
      <c r="CV667" s="15" t="s">
        <v>2348</v>
      </c>
      <c r="CW667" s="15" t="s">
        <v>7371</v>
      </c>
      <c r="CX667" s="15" t="s">
        <v>7372</v>
      </c>
      <c r="DC667" s="15" t="str">
        <f>IFERROR(__xludf.DUMMYFUNCTION("""COMPUTED_VALUE"""),"")</f>
        <v/>
      </c>
      <c r="DE667" s="15" t="str">
        <f>IFERROR(__xludf.DUMMYFUNCTION("""COMPUTED_VALUE"""),"")</f>
        <v/>
      </c>
      <c r="DG667" s="15" t="str">
        <f>IFERROR(__xludf.DUMMYFUNCTION("""COMPUTED_VALUE"""),"")</f>
        <v/>
      </c>
      <c r="DL667" s="15" t="str">
        <f>IFERROR(__xludf.DUMMYFUNCTION("""COMPUTED_VALUE"""),"")</f>
        <v/>
      </c>
      <c r="DM667" s="15" t="s">
        <v>444</v>
      </c>
      <c r="DN667" s="15" t="s">
        <v>4002</v>
      </c>
      <c r="DO667" s="15">
        <v>6.0</v>
      </c>
      <c r="DP667" s="15" t="s">
        <v>1185</v>
      </c>
      <c r="DR667" s="15">
        <v>0.0</v>
      </c>
      <c r="DT667" s="15" t="s">
        <v>1186</v>
      </c>
      <c r="DU667" s="15" t="s">
        <v>610</v>
      </c>
      <c r="DW667" s="15">
        <v>18.14</v>
      </c>
      <c r="DX667" s="15">
        <v>40.0</v>
      </c>
      <c r="DY667" s="15">
        <v>1.0</v>
      </c>
      <c r="EG667" s="15" t="s">
        <v>444</v>
      </c>
      <c r="EH667" s="15" t="s">
        <v>7320</v>
      </c>
      <c r="EJ667" s="15" t="s">
        <v>424</v>
      </c>
      <c r="EK667" s="15" t="s">
        <v>446</v>
      </c>
      <c r="EM667" s="15" t="str">
        <f>IFERROR(__xludf.DUMMYFUNCTION("""COMPUTED_VALUE"""),"")</f>
        <v/>
      </c>
      <c r="EW667" s="15" t="s">
        <v>1483</v>
      </c>
      <c r="FL667" s="15" t="s">
        <v>426</v>
      </c>
      <c r="FM667" s="15">
        <v>1.0</v>
      </c>
      <c r="FY667" s="15" t="s">
        <v>3746</v>
      </c>
      <c r="FZ667" s="15" t="s">
        <v>782</v>
      </c>
      <c r="GA667" s="15" t="s">
        <v>7373</v>
      </c>
      <c r="GB667" s="15" t="s">
        <v>2348</v>
      </c>
      <c r="GC667" s="15" t="s">
        <v>782</v>
      </c>
      <c r="GD667" s="15" t="s">
        <v>7372</v>
      </c>
      <c r="GE667" s="15">
        <v>0.0</v>
      </c>
      <c r="GF667" s="15" t="s">
        <v>426</v>
      </c>
      <c r="GH667" s="15">
        <v>2.0</v>
      </c>
      <c r="GI667" s="15" t="s">
        <v>614</v>
      </c>
      <c r="GJ667" s="15" t="s">
        <v>615</v>
      </c>
      <c r="GK667" s="15">
        <v>0.0</v>
      </c>
      <c r="GL667" s="15" t="s">
        <v>426</v>
      </c>
      <c r="GN667" s="15" t="s">
        <v>616</v>
      </c>
      <c r="GQ667" s="15" t="s">
        <v>5544</v>
      </c>
      <c r="GR667" s="15" t="s">
        <v>5544</v>
      </c>
      <c r="GS667" s="15" t="s">
        <v>2275</v>
      </c>
      <c r="GT667" s="15" t="s">
        <v>7374</v>
      </c>
      <c r="GU667" s="15" t="s">
        <v>7375</v>
      </c>
      <c r="GV667" s="15" t="s">
        <v>7375</v>
      </c>
      <c r="GW667" s="15" t="s">
        <v>2604</v>
      </c>
      <c r="GY667" s="15" t="s">
        <v>764</v>
      </c>
      <c r="HW667" s="15" t="s">
        <v>1957</v>
      </c>
      <c r="HX667" s="15" t="s">
        <v>5544</v>
      </c>
      <c r="HZ667" s="15" t="s">
        <v>7232</v>
      </c>
      <c r="IB667" s="15" t="s">
        <v>7375</v>
      </c>
      <c r="IH667" s="15" t="s">
        <v>426</v>
      </c>
    </row>
    <row r="668" ht="15.75" customHeight="1">
      <c r="A668" s="14" t="s">
        <v>391</v>
      </c>
      <c r="B668" s="15" t="s">
        <v>7376</v>
      </c>
      <c r="C668" s="16"/>
      <c r="D668" s="15" t="s">
        <v>432</v>
      </c>
      <c r="G668" s="14" t="s">
        <v>393</v>
      </c>
      <c r="H668" s="14" t="s">
        <v>394</v>
      </c>
      <c r="I668" s="14" t="b">
        <v>1</v>
      </c>
      <c r="J668" s="14" t="s">
        <v>395</v>
      </c>
      <c r="L668" s="14" t="b">
        <v>0</v>
      </c>
      <c r="M668" s="15" t="s">
        <v>7377</v>
      </c>
      <c r="N668" s="14" t="s">
        <v>393</v>
      </c>
      <c r="O668" s="14" t="s">
        <v>393</v>
      </c>
      <c r="P668" s="15" t="s">
        <v>397</v>
      </c>
      <c r="Q668" s="15" t="s">
        <v>7378</v>
      </c>
      <c r="T668" s="14" t="b">
        <v>0</v>
      </c>
      <c r="U668" s="15" t="s">
        <v>7379</v>
      </c>
      <c r="V668" s="15" t="s">
        <v>7380</v>
      </c>
      <c r="W668" s="15" t="s">
        <v>401</v>
      </c>
      <c r="X668" s="15" t="s">
        <v>742</v>
      </c>
      <c r="Y668" s="15">
        <v>4589.0</v>
      </c>
      <c r="AA668" s="15" t="str">
        <f>"1765"</f>
        <v>1765</v>
      </c>
      <c r="AB668" s="14" t="b">
        <v>1</v>
      </c>
      <c r="AC668" s="14" t="b">
        <v>1</v>
      </c>
      <c r="AD668" s="15" t="str">
        <f>"801542967840"</f>
        <v>801542967840</v>
      </c>
      <c r="AE668" s="15" t="s">
        <v>7381</v>
      </c>
      <c r="AF668" s="14" t="s">
        <v>404</v>
      </c>
      <c r="AG668" s="14" t="s">
        <v>405</v>
      </c>
      <c r="AH668" s="14" t="s">
        <v>406</v>
      </c>
      <c r="AI668" s="15">
        <v>0.0</v>
      </c>
      <c r="AL668" s="15" t="s">
        <v>7382</v>
      </c>
      <c r="AM668" s="15" t="s">
        <v>7383</v>
      </c>
      <c r="AN668" s="15" t="s">
        <v>7384</v>
      </c>
      <c r="AO668" s="15" t="s">
        <v>7385</v>
      </c>
      <c r="AP668" s="15" t="s">
        <v>7386</v>
      </c>
      <c r="AQ668" s="15" t="s">
        <v>517</v>
      </c>
      <c r="AR668" s="15" t="s">
        <v>518</v>
      </c>
      <c r="AS668" s="15" t="s">
        <v>3277</v>
      </c>
      <c r="AT668" s="15" t="s">
        <v>7378</v>
      </c>
      <c r="AU668" s="15" t="s">
        <v>7387</v>
      </c>
      <c r="AW668" s="15" t="s">
        <v>1732</v>
      </c>
      <c r="AY668" s="15" t="s">
        <v>413</v>
      </c>
      <c r="AZ668" s="15" t="b">
        <v>0</v>
      </c>
      <c r="BA668" s="15" t="s">
        <v>413</v>
      </c>
      <c r="BB668" s="15" t="b">
        <v>0</v>
      </c>
      <c r="BC668" s="15" t="s">
        <v>7388</v>
      </c>
      <c r="BD668" s="15" t="s">
        <v>742</v>
      </c>
      <c r="BE668" s="15" t="str">
        <f t="shared" si="1137"/>
        <v>1</v>
      </c>
      <c r="BF668" s="15" t="s">
        <v>7389</v>
      </c>
      <c r="BG668" s="15" t="str">
        <f t="shared" ref="BG668:BG669" si="1139">"88.39"</f>
        <v>88.39</v>
      </c>
      <c r="BH668" s="15" t="s">
        <v>1384</v>
      </c>
      <c r="BI668" s="15" t="str">
        <f t="shared" ref="BI668:BI669" si="1140">"41.93"</f>
        <v>41.93</v>
      </c>
      <c r="BJ668" s="15" t="s">
        <v>7390</v>
      </c>
      <c r="BK668" s="15" t="str">
        <f t="shared" ref="BK668:BK669" si="1141">"21.26"</f>
        <v>21.26</v>
      </c>
      <c r="BL668" s="15" t="s">
        <v>684</v>
      </c>
      <c r="BM668" s="15" t="str">
        <f t="shared" ref="BM668:BM669" si="1142">"163.14"</f>
        <v>163.14</v>
      </c>
      <c r="BN668" s="15" t="s">
        <v>6632</v>
      </c>
      <c r="BQ668" s="15" t="s">
        <v>444</v>
      </c>
      <c r="BS668" s="15" t="s">
        <v>444</v>
      </c>
      <c r="BU668" s="15" t="s">
        <v>444</v>
      </c>
      <c r="BW668" s="15" t="s">
        <v>444</v>
      </c>
      <c r="BZ668" s="15" t="s">
        <v>444</v>
      </c>
      <c r="CB668" s="15" t="s">
        <v>444</v>
      </c>
      <c r="CD668" s="15" t="s">
        <v>444</v>
      </c>
      <c r="CF668" s="15" t="s">
        <v>444</v>
      </c>
      <c r="CI668" s="15" t="s">
        <v>444</v>
      </c>
      <c r="CK668" s="15" t="s">
        <v>444</v>
      </c>
      <c r="CM668" s="15" t="s">
        <v>444</v>
      </c>
      <c r="CO668" s="15" t="s">
        <v>444</v>
      </c>
      <c r="CP668" s="15" t="str">
        <f t="shared" ref="CP668:CP669" si="1143">"45.59"</f>
        <v>45.59</v>
      </c>
      <c r="CQ668" s="15" t="str">
        <f t="shared" ref="CQ668:CQ669" si="1144">"1.291"</f>
        <v>1.291</v>
      </c>
      <c r="CR668" s="15" t="s">
        <v>417</v>
      </c>
      <c r="CY668" s="15" t="s">
        <v>734</v>
      </c>
      <c r="CZ668" s="15" t="s">
        <v>714</v>
      </c>
      <c r="DA668" s="15" t="s">
        <v>7391</v>
      </c>
      <c r="DB668" s="15" t="s">
        <v>555</v>
      </c>
      <c r="DC668" s="15" t="str">
        <f>IFERROR(__xludf.DUMMYFUNCTION("""COMPUTED_VALUE"""),"{""value"":25.00,""unit"":""in""}")</f>
        <v>{"value":25.00,"unit":"in"}</v>
      </c>
      <c r="DD668" s="15" t="s">
        <v>1604</v>
      </c>
      <c r="DE668" s="15" t="str">
        <f>IFERROR(__xludf.DUMMYFUNCTION("""COMPUTED_VALUE"""),"{""value"":16.93,""unit"":""in""}")</f>
        <v>{"value":16.93,"unit":"in"}</v>
      </c>
      <c r="DF668" s="15" t="s">
        <v>7392</v>
      </c>
      <c r="DG668" s="15" t="str">
        <f>IFERROR(__xludf.DUMMYFUNCTION("""COMPUTED_VALUE"""),"{""value"":81.65,""unit"":""in""}")</f>
        <v>{"value":81.65,"unit":"in"}</v>
      </c>
      <c r="DH668" s="15">
        <v>0.0</v>
      </c>
      <c r="DI668" s="15">
        <v>2.0</v>
      </c>
      <c r="DJ668" s="15" t="s">
        <v>717</v>
      </c>
      <c r="DK668" s="15" t="s">
        <v>1837</v>
      </c>
      <c r="DL668" s="15" t="str">
        <f>IFERROR(__xludf.DUMMYFUNCTION("""COMPUTED_VALUE"""),"Dry clean only. Professional cleaning recommended.")</f>
        <v>Dry clean only. Professional cleaning recommended.</v>
      </c>
      <c r="DM668" s="15" t="s">
        <v>1838</v>
      </c>
      <c r="DQ668" s="15" t="s">
        <v>7393</v>
      </c>
      <c r="DU668" s="15" t="s">
        <v>419</v>
      </c>
      <c r="DV668" s="15">
        <v>0.0</v>
      </c>
      <c r="DZ668" s="15">
        <v>500.0</v>
      </c>
      <c r="EA668" s="15" t="s">
        <v>722</v>
      </c>
      <c r="EB668" s="15" t="s">
        <v>723</v>
      </c>
      <c r="EC668" s="15" t="s">
        <v>724</v>
      </c>
      <c r="ED668" s="15">
        <v>2.0</v>
      </c>
      <c r="EE668" s="15">
        <v>4.0</v>
      </c>
      <c r="EG668" s="15" t="s">
        <v>444</v>
      </c>
      <c r="EH668" s="15" t="s">
        <v>7394</v>
      </c>
      <c r="EI668" s="15">
        <v>0.0</v>
      </c>
      <c r="EJ668" s="15" t="s">
        <v>588</v>
      </c>
      <c r="EK668" s="15" t="s">
        <v>589</v>
      </c>
      <c r="EL668" s="15" t="s">
        <v>1482</v>
      </c>
      <c r="EM668" s="15" t="str">
        <f>IFERROR(__xludf.DUMMYFUNCTION("""COMPUTED_VALUE"""),"{""value"":24.41,""unit"":""in""}")</f>
        <v>{"value":24.41,"unit":"in"}</v>
      </c>
      <c r="EN668" s="15" t="s">
        <v>6046</v>
      </c>
      <c r="EO668" s="15" t="s">
        <v>7395</v>
      </c>
      <c r="ES668" s="15" t="s">
        <v>3164</v>
      </c>
      <c r="ET668" s="15" t="s">
        <v>1254</v>
      </c>
      <c r="EU668" s="15" t="s">
        <v>5633</v>
      </c>
      <c r="EV668" s="15" t="s">
        <v>7391</v>
      </c>
      <c r="EW668" s="15" t="s">
        <v>762</v>
      </c>
      <c r="EX668" s="15" t="s">
        <v>7396</v>
      </c>
      <c r="EY668" s="15" t="s">
        <v>7397</v>
      </c>
      <c r="EZ668" s="15" t="s">
        <v>6046</v>
      </c>
      <c r="FC668" s="15" t="s">
        <v>723</v>
      </c>
      <c r="FD668" s="15" t="s">
        <v>724</v>
      </c>
      <c r="FE668" s="15" t="s">
        <v>7398</v>
      </c>
      <c r="FF668" s="15" t="s">
        <v>7399</v>
      </c>
      <c r="FO668" s="15" t="s">
        <v>7392</v>
      </c>
      <c r="FP668" s="15" t="s">
        <v>7392</v>
      </c>
    </row>
    <row r="669" ht="15.75" customHeight="1">
      <c r="A669" s="14" t="s">
        <v>391</v>
      </c>
      <c r="B669" s="15" t="s">
        <v>7376</v>
      </c>
      <c r="C669" s="16"/>
      <c r="D669" s="15" t="s">
        <v>432</v>
      </c>
      <c r="G669" s="14" t="s">
        <v>393</v>
      </c>
      <c r="H669" s="14" t="s">
        <v>394</v>
      </c>
      <c r="I669" s="14" t="b">
        <v>1</v>
      </c>
      <c r="J669" s="14" t="s">
        <v>395</v>
      </c>
      <c r="L669" s="14" t="b">
        <v>0</v>
      </c>
      <c r="M669" s="15" t="s">
        <v>7400</v>
      </c>
      <c r="N669" s="14" t="s">
        <v>393</v>
      </c>
      <c r="O669" s="14" t="s">
        <v>393</v>
      </c>
      <c r="P669" s="15" t="s">
        <v>397</v>
      </c>
      <c r="Q669" s="15" t="s">
        <v>7211</v>
      </c>
      <c r="T669" s="14" t="b">
        <v>0</v>
      </c>
      <c r="U669" s="15" t="s">
        <v>7401</v>
      </c>
      <c r="V669" s="15" t="s">
        <v>7380</v>
      </c>
      <c r="W669" s="15" t="s">
        <v>401</v>
      </c>
      <c r="X669" s="15" t="s">
        <v>742</v>
      </c>
      <c r="Y669" s="15">
        <v>2522.0</v>
      </c>
      <c r="AA669" s="15" t="str">
        <f>"970"</f>
        <v>970</v>
      </c>
      <c r="AB669" s="14" t="b">
        <v>1</v>
      </c>
      <c r="AC669" s="14" t="b">
        <v>1</v>
      </c>
      <c r="AD669" s="15" t="str">
        <f>"801542967857"</f>
        <v>801542967857</v>
      </c>
      <c r="AE669" s="15" t="s">
        <v>7402</v>
      </c>
      <c r="AF669" s="14" t="s">
        <v>404</v>
      </c>
      <c r="AG669" s="14" t="s">
        <v>405</v>
      </c>
      <c r="AH669" s="14" t="s">
        <v>406</v>
      </c>
      <c r="AI669" s="15">
        <v>0.0</v>
      </c>
      <c r="AL669" s="15" t="s">
        <v>7403</v>
      </c>
      <c r="AM669" s="15" t="s">
        <v>7383</v>
      </c>
      <c r="AN669" s="15" t="s">
        <v>7384</v>
      </c>
      <c r="AO669" s="15" t="s">
        <v>7385</v>
      </c>
      <c r="AP669" s="15" t="s">
        <v>7386</v>
      </c>
      <c r="AQ669" s="15" t="s">
        <v>517</v>
      </c>
      <c r="AR669" s="15" t="s">
        <v>518</v>
      </c>
      <c r="AS669" s="15" t="s">
        <v>3277</v>
      </c>
      <c r="AT669" s="15" t="s">
        <v>7211</v>
      </c>
      <c r="AU669" s="15" t="s">
        <v>7387</v>
      </c>
      <c r="AW669" s="15" t="s">
        <v>1732</v>
      </c>
      <c r="AY669" s="15" t="s">
        <v>413</v>
      </c>
      <c r="AZ669" s="15" t="b">
        <v>0</v>
      </c>
      <c r="BA669" s="15" t="s">
        <v>426</v>
      </c>
      <c r="BB669" s="15" t="b">
        <v>1</v>
      </c>
      <c r="BC669" s="15" t="s">
        <v>7404</v>
      </c>
      <c r="BD669" s="15" t="s">
        <v>742</v>
      </c>
      <c r="BE669" s="15" t="str">
        <f t="shared" si="1137"/>
        <v>1</v>
      </c>
      <c r="BF669" s="15" t="s">
        <v>7389</v>
      </c>
      <c r="BG669" s="15" t="str">
        <f t="shared" si="1139"/>
        <v>88.39</v>
      </c>
      <c r="BH669" s="15" t="s">
        <v>1384</v>
      </c>
      <c r="BI669" s="15" t="str">
        <f t="shared" si="1140"/>
        <v>41.93</v>
      </c>
      <c r="BJ669" s="15" t="s">
        <v>7390</v>
      </c>
      <c r="BK669" s="15" t="str">
        <f t="shared" si="1141"/>
        <v>21.26</v>
      </c>
      <c r="BL669" s="15" t="s">
        <v>684</v>
      </c>
      <c r="BM669" s="15" t="str">
        <f t="shared" si="1142"/>
        <v>163.14</v>
      </c>
      <c r="BN669" s="15" t="s">
        <v>6632</v>
      </c>
      <c r="BQ669" s="15" t="s">
        <v>444</v>
      </c>
      <c r="BS669" s="15" t="s">
        <v>444</v>
      </c>
      <c r="BU669" s="15" t="s">
        <v>444</v>
      </c>
      <c r="BW669" s="15" t="s">
        <v>444</v>
      </c>
      <c r="BZ669" s="15" t="s">
        <v>444</v>
      </c>
      <c r="CB669" s="15" t="s">
        <v>444</v>
      </c>
      <c r="CD669" s="15" t="s">
        <v>444</v>
      </c>
      <c r="CF669" s="15" t="s">
        <v>444</v>
      </c>
      <c r="CI669" s="15" t="s">
        <v>444</v>
      </c>
      <c r="CK669" s="15" t="s">
        <v>444</v>
      </c>
      <c r="CM669" s="15" t="s">
        <v>444</v>
      </c>
      <c r="CO669" s="15" t="s">
        <v>444</v>
      </c>
      <c r="CP669" s="15" t="str">
        <f t="shared" si="1143"/>
        <v>45.59</v>
      </c>
      <c r="CQ669" s="15" t="str">
        <f t="shared" si="1144"/>
        <v>1.291</v>
      </c>
      <c r="CR669" s="15" t="s">
        <v>417</v>
      </c>
      <c r="CY669" s="15" t="s">
        <v>734</v>
      </c>
      <c r="CZ669" s="15" t="s">
        <v>714</v>
      </c>
      <c r="DA669" s="15" t="s">
        <v>7391</v>
      </c>
      <c r="DB669" s="15" t="s">
        <v>555</v>
      </c>
      <c r="DC669" s="15" t="str">
        <f>IFERROR(__xludf.DUMMYFUNCTION("""COMPUTED_VALUE"""),"{""value"":25.00,""unit"":""in""}")</f>
        <v>{"value":25.00,"unit":"in"}</v>
      </c>
      <c r="DD669" s="15" t="s">
        <v>1604</v>
      </c>
      <c r="DE669" s="15" t="str">
        <f>IFERROR(__xludf.DUMMYFUNCTION("""COMPUTED_VALUE"""),"{""value"":16.93,""unit"":""in""}")</f>
        <v>{"value":16.93,"unit":"in"}</v>
      </c>
      <c r="DF669" s="15" t="s">
        <v>7392</v>
      </c>
      <c r="DG669" s="15" t="str">
        <f>IFERROR(__xludf.DUMMYFUNCTION("""COMPUTED_VALUE"""),"{""value"":81.65,""unit"":""in""}")</f>
        <v>{"value":81.65,"unit":"in"}</v>
      </c>
      <c r="DH669" s="15">
        <v>0.0</v>
      </c>
      <c r="DI669" s="15">
        <v>2.0</v>
      </c>
      <c r="DJ669" s="15" t="s">
        <v>717</v>
      </c>
      <c r="DK669" s="15" t="s">
        <v>897</v>
      </c>
      <c r="DL669" s="15" t="str">
        <f>IFERROR(__xludf.DUMMYFUNCTION("""COMPUTED_VALUE"""),"Clean with water-based products only. Use mild detergent or upholstery shampoo.")</f>
        <v>Clean with water-based products only. Use mild detergent or upholstery shampoo.</v>
      </c>
      <c r="DM669" s="15" t="s">
        <v>898</v>
      </c>
      <c r="DQ669" s="15" t="s">
        <v>7393</v>
      </c>
      <c r="DU669" s="15" t="s">
        <v>419</v>
      </c>
      <c r="DV669" s="15">
        <v>0.0</v>
      </c>
      <c r="DZ669" s="15">
        <v>15000.0</v>
      </c>
      <c r="EA669" s="15" t="s">
        <v>722</v>
      </c>
      <c r="EB669" s="15" t="s">
        <v>723</v>
      </c>
      <c r="EC669" s="15" t="s">
        <v>724</v>
      </c>
      <c r="ED669" s="15">
        <v>2.0</v>
      </c>
      <c r="EE669" s="15">
        <v>4.0</v>
      </c>
      <c r="EG669" s="15" t="s">
        <v>444</v>
      </c>
      <c r="EH669" s="15" t="s">
        <v>7394</v>
      </c>
      <c r="EI669" s="15">
        <v>0.0</v>
      </c>
      <c r="EJ669" s="15" t="s">
        <v>588</v>
      </c>
      <c r="EK669" s="15" t="s">
        <v>589</v>
      </c>
      <c r="EL669" s="15" t="s">
        <v>1482</v>
      </c>
      <c r="EM669" s="15" t="str">
        <f>IFERROR(__xludf.DUMMYFUNCTION("""COMPUTED_VALUE"""),"{""value"":24.41,""unit"":""in""}")</f>
        <v>{"value":24.41,"unit":"in"}</v>
      </c>
      <c r="EN669" s="15" t="s">
        <v>6046</v>
      </c>
      <c r="EO669" s="15" t="s">
        <v>7395</v>
      </c>
      <c r="ES669" s="15" t="s">
        <v>3164</v>
      </c>
      <c r="ET669" s="15" t="s">
        <v>1254</v>
      </c>
      <c r="EU669" s="15" t="s">
        <v>5633</v>
      </c>
      <c r="EV669" s="15" t="s">
        <v>7391</v>
      </c>
      <c r="EW669" s="15" t="s">
        <v>762</v>
      </c>
      <c r="EX669" s="15" t="s">
        <v>7396</v>
      </c>
      <c r="EY669" s="15" t="s">
        <v>7397</v>
      </c>
      <c r="EZ669" s="15" t="s">
        <v>6046</v>
      </c>
      <c r="FC669" s="15" t="s">
        <v>723</v>
      </c>
      <c r="FD669" s="15" t="s">
        <v>724</v>
      </c>
      <c r="FE669" s="15" t="s">
        <v>7398</v>
      </c>
      <c r="FF669" s="15" t="s">
        <v>7399</v>
      </c>
      <c r="FO669" s="15" t="s">
        <v>7392</v>
      </c>
      <c r="FP669" s="15" t="s">
        <v>7392</v>
      </c>
    </row>
    <row r="670" ht="15.75" customHeight="1">
      <c r="A670" s="14" t="s">
        <v>391</v>
      </c>
      <c r="B670" s="15" t="s">
        <v>7405</v>
      </c>
      <c r="C670" s="16"/>
      <c r="D670" s="15" t="s">
        <v>432</v>
      </c>
      <c r="G670" s="14" t="s">
        <v>393</v>
      </c>
      <c r="H670" s="14" t="s">
        <v>394</v>
      </c>
      <c r="I670" s="14" t="b">
        <v>1</v>
      </c>
      <c r="J670" s="14" t="s">
        <v>395</v>
      </c>
      <c r="L670" s="14" t="b">
        <v>0</v>
      </c>
      <c r="M670" s="15" t="s">
        <v>7406</v>
      </c>
      <c r="N670" s="14" t="s">
        <v>393</v>
      </c>
      <c r="O670" s="14" t="s">
        <v>393</v>
      </c>
      <c r="P670" s="15" t="s">
        <v>397</v>
      </c>
      <c r="Q670" s="15" t="s">
        <v>3974</v>
      </c>
      <c r="T670" s="14" t="b">
        <v>0</v>
      </c>
      <c r="U670" s="15" t="s">
        <v>7407</v>
      </c>
      <c r="V670" s="15" t="s">
        <v>7408</v>
      </c>
      <c r="W670" s="15" t="s">
        <v>401</v>
      </c>
      <c r="X670" s="15" t="s">
        <v>742</v>
      </c>
      <c r="Y670" s="15">
        <v>1859.0</v>
      </c>
      <c r="AA670" s="15" t="str">
        <f>"715"</f>
        <v>715</v>
      </c>
      <c r="AB670" s="14" t="b">
        <v>1</v>
      </c>
      <c r="AC670" s="14" t="b">
        <v>1</v>
      </c>
      <c r="AD670" s="15" t="str">
        <f>"801542375072"</f>
        <v>801542375072</v>
      </c>
      <c r="AE670" s="15" t="s">
        <v>7409</v>
      </c>
      <c r="AF670" s="14" t="s">
        <v>404</v>
      </c>
      <c r="AG670" s="14" t="s">
        <v>405</v>
      </c>
      <c r="AH670" s="14" t="s">
        <v>406</v>
      </c>
      <c r="AI670" s="15">
        <v>0.0</v>
      </c>
      <c r="AL670" s="15" t="s">
        <v>7410</v>
      </c>
      <c r="AM670" s="15" t="s">
        <v>2088</v>
      </c>
      <c r="AN670" s="15" t="s">
        <v>2089</v>
      </c>
      <c r="AO670" s="15" t="s">
        <v>7411</v>
      </c>
      <c r="AP670" s="15" t="s">
        <v>7412</v>
      </c>
      <c r="AQ670" s="15" t="s">
        <v>679</v>
      </c>
      <c r="AR670" s="15" t="s">
        <v>680</v>
      </c>
      <c r="AS670" s="15" t="s">
        <v>5963</v>
      </c>
      <c r="AT670" s="15" t="s">
        <v>3974</v>
      </c>
      <c r="AU670" s="15" t="s">
        <v>7413</v>
      </c>
      <c r="AV670" s="15" t="s">
        <v>7414</v>
      </c>
      <c r="AW670" s="15" t="s">
        <v>2891</v>
      </c>
      <c r="AX670" s="15" t="s">
        <v>5805</v>
      </c>
      <c r="AY670" s="15" t="s">
        <v>413</v>
      </c>
      <c r="AZ670" s="15" t="b">
        <v>0</v>
      </c>
      <c r="BA670" s="15" t="s">
        <v>413</v>
      </c>
      <c r="BB670" s="15" t="b">
        <v>0</v>
      </c>
      <c r="BC670" s="15" t="s">
        <v>7415</v>
      </c>
      <c r="BD670" s="15" t="s">
        <v>742</v>
      </c>
      <c r="BE670" s="15" t="str">
        <f t="shared" si="1137"/>
        <v>1</v>
      </c>
      <c r="BF670" s="15" t="s">
        <v>416</v>
      </c>
      <c r="BG670" s="15" t="str">
        <f>"52"</f>
        <v>52</v>
      </c>
      <c r="BH670" s="15" t="s">
        <v>3000</v>
      </c>
      <c r="BI670" s="15" t="str">
        <f>"15.75"</f>
        <v>15.75</v>
      </c>
      <c r="BJ670" s="15" t="s">
        <v>1849</v>
      </c>
      <c r="BK670" s="15" t="str">
        <f>"45"</f>
        <v>45</v>
      </c>
      <c r="BL670" s="15" t="s">
        <v>4615</v>
      </c>
      <c r="BM670" s="15" t="str">
        <f>"126.77"</f>
        <v>126.77</v>
      </c>
      <c r="BN670" s="15" t="s">
        <v>7416</v>
      </c>
      <c r="BQ670" s="15" t="s">
        <v>444</v>
      </c>
      <c r="BS670" s="15" t="s">
        <v>444</v>
      </c>
      <c r="BU670" s="15" t="s">
        <v>444</v>
      </c>
      <c r="BW670" s="15" t="s">
        <v>444</v>
      </c>
      <c r="BZ670" s="15" t="s">
        <v>444</v>
      </c>
      <c r="CB670" s="15" t="s">
        <v>444</v>
      </c>
      <c r="CD670" s="15" t="s">
        <v>444</v>
      </c>
      <c r="CF670" s="15" t="s">
        <v>444</v>
      </c>
      <c r="CI670" s="15" t="s">
        <v>444</v>
      </c>
      <c r="CK670" s="15" t="s">
        <v>444</v>
      </c>
      <c r="CM670" s="15" t="s">
        <v>444</v>
      </c>
      <c r="CO670" s="15" t="s">
        <v>444</v>
      </c>
      <c r="CP670" s="15" t="str">
        <f>"21.33"</f>
        <v>21.33</v>
      </c>
      <c r="CQ670" s="15" t="str">
        <f>"0.604"</f>
        <v>0.604</v>
      </c>
      <c r="CR670" s="15" t="s">
        <v>465</v>
      </c>
      <c r="CS670" s="15" t="s">
        <v>2651</v>
      </c>
      <c r="CT670" s="15" t="s">
        <v>1512</v>
      </c>
      <c r="CU670" s="15" t="s">
        <v>7417</v>
      </c>
      <c r="CV670" s="15" t="s">
        <v>2651</v>
      </c>
      <c r="CW670" s="15" t="s">
        <v>3622</v>
      </c>
      <c r="CX670" s="15" t="s">
        <v>7417</v>
      </c>
      <c r="DC670" s="15" t="str">
        <f>IFERROR(__xludf.DUMMYFUNCTION("""COMPUTED_VALUE"""),"")</f>
        <v/>
      </c>
      <c r="DE670" s="15" t="str">
        <f>IFERROR(__xludf.DUMMYFUNCTION("""COMPUTED_VALUE"""),"")</f>
        <v/>
      </c>
      <c r="DG670" s="15" t="str">
        <f>IFERROR(__xludf.DUMMYFUNCTION("""COMPUTED_VALUE"""),"")</f>
        <v/>
      </c>
      <c r="DL670" s="15" t="str">
        <f>IFERROR(__xludf.DUMMYFUNCTION("""COMPUTED_VALUE"""),"")</f>
        <v/>
      </c>
      <c r="DM670" s="15" t="s">
        <v>444</v>
      </c>
      <c r="DN670" s="15" t="s">
        <v>419</v>
      </c>
      <c r="DO670" s="15">
        <v>0.0</v>
      </c>
      <c r="DP670" s="15" t="s">
        <v>419</v>
      </c>
      <c r="DR670" s="15">
        <v>2.0</v>
      </c>
      <c r="DS670" s="15" t="s">
        <v>426</v>
      </c>
      <c r="DT670" s="15" t="s">
        <v>420</v>
      </c>
      <c r="DU670" s="15" t="s">
        <v>1914</v>
      </c>
      <c r="DW670" s="15">
        <v>18.14</v>
      </c>
      <c r="DX670" s="15">
        <v>40.0</v>
      </c>
      <c r="DY670" s="15">
        <v>0.0</v>
      </c>
      <c r="EF670" s="15" t="s">
        <v>1906</v>
      </c>
      <c r="EG670" s="15" t="s">
        <v>1907</v>
      </c>
      <c r="EH670" s="15" t="s">
        <v>7418</v>
      </c>
      <c r="EK670" s="15" t="s">
        <v>444</v>
      </c>
      <c r="EM670" s="15" t="str">
        <f>IFERROR(__xludf.DUMMYFUNCTION("""COMPUTED_VALUE"""),"")</f>
        <v/>
      </c>
      <c r="EW670" s="15" t="s">
        <v>4683</v>
      </c>
      <c r="FL670" s="15" t="s">
        <v>426</v>
      </c>
      <c r="FM670" s="15">
        <v>12.0</v>
      </c>
      <c r="GE670" s="15">
        <v>0.0</v>
      </c>
      <c r="GH670" s="15">
        <v>0.0</v>
      </c>
      <c r="GI670" s="15" t="s">
        <v>427</v>
      </c>
      <c r="GK670" s="15">
        <v>0.0</v>
      </c>
      <c r="GM670" s="15" t="s">
        <v>5816</v>
      </c>
      <c r="GP670" s="15">
        <v>0.0</v>
      </c>
      <c r="HA670" s="15" t="s">
        <v>2651</v>
      </c>
      <c r="HB670" s="15" t="s">
        <v>3622</v>
      </c>
      <c r="HC670" s="15" t="s">
        <v>7417</v>
      </c>
      <c r="HQ670" s="15" t="s">
        <v>2651</v>
      </c>
      <c r="HR670" s="15" t="s">
        <v>2651</v>
      </c>
      <c r="HS670" s="15" t="s">
        <v>3622</v>
      </c>
      <c r="HT670" s="15" t="s">
        <v>3622</v>
      </c>
      <c r="HU670" s="15" t="s">
        <v>7417</v>
      </c>
      <c r="HV670" s="15" t="s">
        <v>7417</v>
      </c>
      <c r="KX670" s="15" t="s">
        <v>2651</v>
      </c>
      <c r="KY670" s="15" t="s">
        <v>1608</v>
      </c>
      <c r="KZ670" s="15" t="s">
        <v>7417</v>
      </c>
      <c r="LK670" s="15" t="s">
        <v>2651</v>
      </c>
      <c r="LL670" s="15" t="s">
        <v>2651</v>
      </c>
      <c r="LM670" s="15" t="s">
        <v>1608</v>
      </c>
      <c r="LN670" s="15" t="s">
        <v>1608</v>
      </c>
      <c r="LO670" s="15" t="s">
        <v>7417</v>
      </c>
      <c r="LP670" s="15" t="s">
        <v>7417</v>
      </c>
      <c r="LY670" s="15" t="s">
        <v>2651</v>
      </c>
      <c r="LZ670" s="15" t="s">
        <v>2651</v>
      </c>
      <c r="MA670" s="15" t="s">
        <v>2651</v>
      </c>
      <c r="MB670" s="15" t="s">
        <v>2651</v>
      </c>
      <c r="MC670" s="15" t="s">
        <v>2651</v>
      </c>
      <c r="MD670" s="15" t="s">
        <v>7419</v>
      </c>
      <c r="ME670" s="15" t="s">
        <v>7419</v>
      </c>
      <c r="MF670" s="15" t="s">
        <v>7419</v>
      </c>
      <c r="MG670" s="15" t="s">
        <v>1608</v>
      </c>
      <c r="MH670" s="15" t="s">
        <v>7419</v>
      </c>
      <c r="MI670" s="15" t="s">
        <v>7417</v>
      </c>
      <c r="MJ670" s="15" t="s">
        <v>7417</v>
      </c>
      <c r="MK670" s="15" t="s">
        <v>7417</v>
      </c>
      <c r="ML670" s="15" t="s">
        <v>7417</v>
      </c>
      <c r="MM670" s="15" t="s">
        <v>7417</v>
      </c>
    </row>
    <row r="671" ht="15.75" customHeight="1">
      <c r="A671" s="14" t="s">
        <v>391</v>
      </c>
      <c r="B671" s="15" t="s">
        <v>7420</v>
      </c>
      <c r="C671" s="16"/>
      <c r="D671" s="15" t="s">
        <v>432</v>
      </c>
      <c r="G671" s="14" t="s">
        <v>393</v>
      </c>
      <c r="H671" s="14" t="s">
        <v>394</v>
      </c>
      <c r="I671" s="14" t="b">
        <v>1</v>
      </c>
      <c r="J671" s="14" t="s">
        <v>395</v>
      </c>
      <c r="L671" s="14" t="b">
        <v>0</v>
      </c>
      <c r="M671" s="15" t="s">
        <v>7421</v>
      </c>
      <c r="N671" s="14" t="s">
        <v>393</v>
      </c>
      <c r="O671" s="14" t="s">
        <v>393</v>
      </c>
      <c r="P671" s="15" t="s">
        <v>397</v>
      </c>
      <c r="Q671" s="15" t="s">
        <v>7422</v>
      </c>
      <c r="T671" s="14" t="b">
        <v>0</v>
      </c>
      <c r="U671" s="15" t="s">
        <v>7423</v>
      </c>
      <c r="V671" s="15" t="s">
        <v>1220</v>
      </c>
      <c r="W671" s="15" t="s">
        <v>401</v>
      </c>
      <c r="X671" s="15" t="s">
        <v>402</v>
      </c>
      <c r="Y671" s="15">
        <v>2626.0</v>
      </c>
      <c r="AA671" s="15" t="str">
        <f>"1010"</f>
        <v>1010</v>
      </c>
      <c r="AB671" s="14" t="b">
        <v>1</v>
      </c>
      <c r="AC671" s="14" t="b">
        <v>1</v>
      </c>
      <c r="AD671" s="15" t="str">
        <f>"801542331610"</f>
        <v>801542331610</v>
      </c>
      <c r="AE671" s="15" t="s">
        <v>7424</v>
      </c>
      <c r="AF671" s="14" t="s">
        <v>404</v>
      </c>
      <c r="AG671" s="14" t="s">
        <v>405</v>
      </c>
      <c r="AH671" s="14" t="s">
        <v>406</v>
      </c>
      <c r="AI671" s="15">
        <v>0.0</v>
      </c>
      <c r="AL671" s="15" t="s">
        <v>7425</v>
      </c>
      <c r="AM671" s="15" t="s">
        <v>7426</v>
      </c>
      <c r="AN671" s="15" t="s">
        <v>7427</v>
      </c>
      <c r="AO671" s="15" t="s">
        <v>1003</v>
      </c>
      <c r="AP671" s="15" t="s">
        <v>1004</v>
      </c>
      <c r="AQ671" s="15" t="s">
        <v>976</v>
      </c>
      <c r="AR671" s="15" t="s">
        <v>977</v>
      </c>
      <c r="AS671" s="15" t="s">
        <v>2374</v>
      </c>
      <c r="AT671" s="15" t="s">
        <v>7422</v>
      </c>
      <c r="AW671" s="15" t="s">
        <v>1226</v>
      </c>
      <c r="AY671" s="15" t="s">
        <v>413</v>
      </c>
      <c r="AZ671" s="15" t="b">
        <v>0</v>
      </c>
      <c r="BA671" s="15" t="s">
        <v>426</v>
      </c>
      <c r="BB671" s="15" t="b">
        <v>1</v>
      </c>
      <c r="BC671" s="15" t="s">
        <v>7428</v>
      </c>
      <c r="BD671" s="15" t="s">
        <v>415</v>
      </c>
      <c r="BE671" s="15" t="str">
        <f t="shared" si="1137"/>
        <v>1</v>
      </c>
      <c r="BF671" s="15" t="s">
        <v>416</v>
      </c>
      <c r="BG671" s="15" t="str">
        <f>"57.5"</f>
        <v>57.5</v>
      </c>
      <c r="BH671" s="15" t="s">
        <v>2681</v>
      </c>
      <c r="BI671" s="15" t="str">
        <f>"60"</f>
        <v>60</v>
      </c>
      <c r="BJ671" s="15" t="s">
        <v>2038</v>
      </c>
      <c r="BK671" s="15" t="str">
        <f>"30"</f>
        <v>30</v>
      </c>
      <c r="BL671" s="15" t="s">
        <v>547</v>
      </c>
      <c r="BM671" s="15" t="str">
        <f>"84.88"</f>
        <v>84.88</v>
      </c>
      <c r="BN671" s="15" t="s">
        <v>2981</v>
      </c>
      <c r="BQ671" s="15" t="s">
        <v>444</v>
      </c>
      <c r="BS671" s="15" t="s">
        <v>444</v>
      </c>
      <c r="BU671" s="15" t="s">
        <v>444</v>
      </c>
      <c r="BW671" s="15" t="s">
        <v>444</v>
      </c>
      <c r="BZ671" s="15" t="s">
        <v>444</v>
      </c>
      <c r="CB671" s="15" t="s">
        <v>444</v>
      </c>
      <c r="CD671" s="15" t="s">
        <v>444</v>
      </c>
      <c r="CF671" s="15" t="s">
        <v>444</v>
      </c>
      <c r="CI671" s="15" t="s">
        <v>444</v>
      </c>
      <c r="CK671" s="15" t="s">
        <v>444</v>
      </c>
      <c r="CM671" s="15" t="s">
        <v>444</v>
      </c>
      <c r="CO671" s="15" t="s">
        <v>444</v>
      </c>
      <c r="CP671" s="15" t="str">
        <f>"59.89"</f>
        <v>59.89</v>
      </c>
      <c r="CQ671" s="15" t="str">
        <f>"1.696"</f>
        <v>1.696</v>
      </c>
      <c r="CR671" s="15" t="s">
        <v>465</v>
      </c>
      <c r="DB671" s="15" t="s">
        <v>3500</v>
      </c>
      <c r="DC671" s="15" t="str">
        <f>IFERROR(__xludf.DUMMYFUNCTION("""COMPUTED_VALUE"""),"{""value"":31.00,""unit"":""in""}")</f>
        <v>{"value":31.00,"unit":"in"}</v>
      </c>
      <c r="DD671" s="15" t="s">
        <v>824</v>
      </c>
      <c r="DE671" s="15" t="str">
        <f>IFERROR(__xludf.DUMMYFUNCTION("""COMPUTED_VALUE"""),"{""value"":18.50,""unit"":""in""}")</f>
        <v>{"value":18.50,"unit":"in"}</v>
      </c>
      <c r="DF671" s="15" t="s">
        <v>4074</v>
      </c>
      <c r="DG671" s="15" t="str">
        <f>IFERROR(__xludf.DUMMYFUNCTION("""COMPUTED_VALUE"""),"{""value"":58.00,""unit"":""in""}")</f>
        <v>{"value":58.00,"unit":"in"}</v>
      </c>
      <c r="DH671" s="15">
        <v>0.0</v>
      </c>
      <c r="DI671" s="15">
        <v>3.0</v>
      </c>
      <c r="DJ671" s="15" t="s">
        <v>469</v>
      </c>
      <c r="DK671" s="15" t="s">
        <v>934</v>
      </c>
      <c r="DL671" s="15" t="str">
        <f>IFERROR(__xludf.DUMMYFUNCTION("""COMPUTED_VALUE"""),"Spot clean with water-based or solvent-based cleaner. Use mild detergent or upholstery shampoo.")</f>
        <v>Spot clean with water-based or solvent-based cleaner. Use mild detergent or upholstery shampoo.</v>
      </c>
      <c r="DM671" s="15" t="s">
        <v>935</v>
      </c>
      <c r="DQ671" s="15" t="s">
        <v>3333</v>
      </c>
      <c r="DT671" s="15" t="s">
        <v>1509</v>
      </c>
      <c r="DV671" s="15">
        <v>0.0</v>
      </c>
      <c r="DZ671" s="15">
        <v>51000.0</v>
      </c>
      <c r="EA671" s="15" t="s">
        <v>990</v>
      </c>
      <c r="ED671" s="15">
        <v>0.0</v>
      </c>
      <c r="EE671" s="15">
        <v>3.0</v>
      </c>
      <c r="EG671" s="15" t="s">
        <v>444</v>
      </c>
      <c r="EH671" s="15" t="s">
        <v>7429</v>
      </c>
      <c r="EI671" s="15">
        <v>0.0</v>
      </c>
      <c r="EJ671" s="15" t="s">
        <v>473</v>
      </c>
      <c r="EK671" s="15" t="s">
        <v>474</v>
      </c>
      <c r="EM671" s="15" t="str">
        <f>IFERROR(__xludf.DUMMYFUNCTION("""COMPUTED_VALUE"""),"")</f>
        <v/>
      </c>
      <c r="ET671" s="15" t="s">
        <v>2547</v>
      </c>
      <c r="EU671" s="15" t="s">
        <v>1700</v>
      </c>
      <c r="EV671" s="15" t="s">
        <v>1700</v>
      </c>
      <c r="EX671" s="15" t="s">
        <v>1739</v>
      </c>
      <c r="EY671" s="15" t="s">
        <v>7430</v>
      </c>
      <c r="EZ671" s="15" t="s">
        <v>1738</v>
      </c>
      <c r="FC671" s="15" t="s">
        <v>723</v>
      </c>
      <c r="FD671" s="15" t="s">
        <v>1076</v>
      </c>
      <c r="FE671" s="15" t="s">
        <v>1289</v>
      </c>
      <c r="FF671" s="15" t="s">
        <v>3843</v>
      </c>
      <c r="FS671" s="15" t="s">
        <v>2436</v>
      </c>
    </row>
    <row r="672" ht="15.75" customHeight="1">
      <c r="A672" s="14" t="s">
        <v>391</v>
      </c>
      <c r="B672" s="15" t="s">
        <v>7431</v>
      </c>
      <c r="C672" s="16"/>
      <c r="D672" s="15" t="s">
        <v>432</v>
      </c>
      <c r="G672" s="14" t="s">
        <v>393</v>
      </c>
      <c r="H672" s="14" t="s">
        <v>394</v>
      </c>
      <c r="I672" s="14" t="b">
        <v>1</v>
      </c>
      <c r="J672" s="14" t="s">
        <v>395</v>
      </c>
      <c r="L672" s="14" t="b">
        <v>0</v>
      </c>
      <c r="M672" s="15" t="s">
        <v>7432</v>
      </c>
      <c r="N672" s="14" t="s">
        <v>393</v>
      </c>
      <c r="O672" s="14" t="s">
        <v>393</v>
      </c>
      <c r="P672" s="15" t="s">
        <v>397</v>
      </c>
      <c r="Q672" s="15" t="s">
        <v>7433</v>
      </c>
      <c r="T672" s="14" t="b">
        <v>0</v>
      </c>
      <c r="U672" s="15" t="s">
        <v>7434</v>
      </c>
      <c r="V672" s="15" t="s">
        <v>1926</v>
      </c>
      <c r="W672" s="15" t="s">
        <v>401</v>
      </c>
      <c r="X672" s="15" t="s">
        <v>742</v>
      </c>
      <c r="Y672" s="15">
        <v>1755.0</v>
      </c>
      <c r="AA672" s="15" t="str">
        <f>"675"</f>
        <v>675</v>
      </c>
      <c r="AB672" s="14" t="b">
        <v>1</v>
      </c>
      <c r="AC672" s="14" t="b">
        <v>1</v>
      </c>
      <c r="AD672" s="15" t="str">
        <f>"801542535667"</f>
        <v>801542535667</v>
      </c>
      <c r="AE672" s="15" t="s">
        <v>7435</v>
      </c>
      <c r="AF672" s="14" t="s">
        <v>404</v>
      </c>
      <c r="AG672" s="14" t="s">
        <v>405</v>
      </c>
      <c r="AH672" s="14" t="s">
        <v>406</v>
      </c>
      <c r="AI672" s="15">
        <v>0.0</v>
      </c>
      <c r="AL672" s="15" t="s">
        <v>1532</v>
      </c>
      <c r="AM672" s="15" t="s">
        <v>745</v>
      </c>
      <c r="AN672" s="15" t="s">
        <v>746</v>
      </c>
      <c r="AO672" s="15" t="s">
        <v>2039</v>
      </c>
      <c r="AP672" s="15" t="s">
        <v>2040</v>
      </c>
      <c r="AQ672" s="15" t="s">
        <v>546</v>
      </c>
      <c r="AR672" s="15" t="s">
        <v>547</v>
      </c>
      <c r="AS672" s="15" t="s">
        <v>5444</v>
      </c>
      <c r="AT672" s="15" t="s">
        <v>7433</v>
      </c>
      <c r="AU672" s="15" t="s">
        <v>7436</v>
      </c>
      <c r="AW672" s="15" t="s">
        <v>664</v>
      </c>
      <c r="AY672" s="15" t="s">
        <v>413</v>
      </c>
      <c r="AZ672" s="15" t="b">
        <v>0</v>
      </c>
      <c r="BA672" s="15" t="s">
        <v>413</v>
      </c>
      <c r="BB672" s="15" t="b">
        <v>0</v>
      </c>
      <c r="BC672" s="15" t="s">
        <v>7437</v>
      </c>
      <c r="BD672" s="15" t="s">
        <v>742</v>
      </c>
      <c r="BE672" s="15" t="str">
        <f t="shared" si="1137"/>
        <v>1</v>
      </c>
      <c r="BF672" s="15" t="s">
        <v>416</v>
      </c>
      <c r="BG672" s="15" t="str">
        <f>"76.38"</f>
        <v>76.38</v>
      </c>
      <c r="BH672" s="15" t="s">
        <v>1588</v>
      </c>
      <c r="BI672" s="15" t="str">
        <f>"20.87"</f>
        <v>20.87</v>
      </c>
      <c r="BJ672" s="15" t="s">
        <v>495</v>
      </c>
      <c r="BK672" s="15" t="str">
        <f>"29.92"</f>
        <v>29.92</v>
      </c>
      <c r="BL672" s="15" t="s">
        <v>1321</v>
      </c>
      <c r="BM672" s="15" t="str">
        <f>"180.78"</f>
        <v>180.78</v>
      </c>
      <c r="BN672" s="15" t="s">
        <v>6658</v>
      </c>
      <c r="BQ672" s="15" t="s">
        <v>444</v>
      </c>
      <c r="BS672" s="15" t="s">
        <v>444</v>
      </c>
      <c r="BU672" s="15" t="s">
        <v>444</v>
      </c>
      <c r="BW672" s="15" t="s">
        <v>444</v>
      </c>
      <c r="BZ672" s="15" t="s">
        <v>444</v>
      </c>
      <c r="CB672" s="15" t="s">
        <v>444</v>
      </c>
      <c r="CD672" s="15" t="s">
        <v>444</v>
      </c>
      <c r="CF672" s="15" t="s">
        <v>444</v>
      </c>
      <c r="CI672" s="15" t="s">
        <v>444</v>
      </c>
      <c r="CK672" s="15" t="s">
        <v>444</v>
      </c>
      <c r="CM672" s="15" t="s">
        <v>444</v>
      </c>
      <c r="CO672" s="15" t="s">
        <v>444</v>
      </c>
      <c r="CP672" s="15" t="str">
        <f>"27.58"</f>
        <v>27.58</v>
      </c>
      <c r="CQ672" s="15" t="str">
        <f>"0.781"</f>
        <v>0.781</v>
      </c>
      <c r="CR672" s="15" t="s">
        <v>497</v>
      </c>
      <c r="CV672" s="15" t="s">
        <v>1459</v>
      </c>
      <c r="CW672" s="15" t="s">
        <v>3857</v>
      </c>
      <c r="CX672" s="15" t="s">
        <v>7438</v>
      </c>
      <c r="DC672" s="15" t="str">
        <f>IFERROR(__xludf.DUMMYFUNCTION("""COMPUTED_VALUE"""),"")</f>
        <v/>
      </c>
      <c r="DE672" s="15" t="str">
        <f>IFERROR(__xludf.DUMMYFUNCTION("""COMPUTED_VALUE"""),"")</f>
        <v/>
      </c>
      <c r="DG672" s="15" t="str">
        <f>IFERROR(__xludf.DUMMYFUNCTION("""COMPUTED_VALUE"""),"")</f>
        <v/>
      </c>
      <c r="DL672" s="15" t="str">
        <f>IFERROR(__xludf.DUMMYFUNCTION("""COMPUTED_VALUE"""),"")</f>
        <v/>
      </c>
      <c r="DM672" s="15" t="s">
        <v>444</v>
      </c>
      <c r="DN672" s="15" t="s">
        <v>419</v>
      </c>
      <c r="DO672" s="15">
        <v>0.0</v>
      </c>
      <c r="DP672" s="15" t="s">
        <v>419</v>
      </c>
      <c r="DR672" s="15">
        <v>0.0</v>
      </c>
      <c r="DT672" s="15" t="s">
        <v>420</v>
      </c>
      <c r="DU672" s="15" t="s">
        <v>610</v>
      </c>
      <c r="DW672" s="15">
        <v>18.14</v>
      </c>
      <c r="DX672" s="15">
        <v>40.0</v>
      </c>
      <c r="DY672" s="15">
        <v>2.0</v>
      </c>
      <c r="EG672" s="15" t="s">
        <v>444</v>
      </c>
      <c r="EH672" s="15" t="s">
        <v>7439</v>
      </c>
      <c r="EJ672" s="15" t="s">
        <v>424</v>
      </c>
      <c r="EK672" s="15" t="s">
        <v>446</v>
      </c>
      <c r="EM672" s="15" t="str">
        <f>IFERROR(__xludf.DUMMYFUNCTION("""COMPUTED_VALUE"""),"")</f>
        <v/>
      </c>
      <c r="EW672" s="15" t="s">
        <v>1955</v>
      </c>
      <c r="FL672" s="15" t="s">
        <v>426</v>
      </c>
      <c r="FM672" s="15">
        <v>2.0</v>
      </c>
      <c r="FY672" s="15" t="s">
        <v>2652</v>
      </c>
      <c r="FZ672" s="15" t="s">
        <v>782</v>
      </c>
      <c r="GA672" s="15" t="s">
        <v>2165</v>
      </c>
      <c r="GB672" s="15" t="s">
        <v>3781</v>
      </c>
      <c r="GC672" s="15" t="s">
        <v>782</v>
      </c>
      <c r="GD672" s="15" t="s">
        <v>7440</v>
      </c>
      <c r="GE672" s="15">
        <v>0.0</v>
      </c>
      <c r="GF672" s="15" t="s">
        <v>426</v>
      </c>
      <c r="GG672" s="15" t="s">
        <v>785</v>
      </c>
      <c r="GH672" s="15">
        <v>4.0</v>
      </c>
      <c r="GI672" s="15" t="s">
        <v>614</v>
      </c>
      <c r="GJ672" s="15" t="s">
        <v>615</v>
      </c>
      <c r="GK672" s="15">
        <v>0.0</v>
      </c>
      <c r="GL672" s="15" t="s">
        <v>426</v>
      </c>
      <c r="GN672" s="15" t="s">
        <v>616</v>
      </c>
      <c r="HW672" s="15" t="s">
        <v>1607</v>
      </c>
      <c r="IH672" s="15" t="s">
        <v>426</v>
      </c>
    </row>
    <row r="673" ht="15.75" customHeight="1">
      <c r="A673" s="14" t="s">
        <v>391</v>
      </c>
      <c r="B673" s="15" t="s">
        <v>7441</v>
      </c>
      <c r="C673" s="16"/>
      <c r="D673" s="15" t="s">
        <v>432</v>
      </c>
      <c r="G673" s="14" t="s">
        <v>393</v>
      </c>
      <c r="H673" s="14" t="s">
        <v>394</v>
      </c>
      <c r="I673" s="14" t="b">
        <v>1</v>
      </c>
      <c r="J673" s="14" t="s">
        <v>395</v>
      </c>
      <c r="L673" s="14" t="b">
        <v>0</v>
      </c>
      <c r="M673" s="15" t="s">
        <v>7442</v>
      </c>
      <c r="N673" s="14" t="s">
        <v>393</v>
      </c>
      <c r="O673" s="14" t="s">
        <v>393</v>
      </c>
      <c r="P673" s="15" t="s">
        <v>397</v>
      </c>
      <c r="Q673" s="15" t="s">
        <v>7436</v>
      </c>
      <c r="T673" s="14" t="b">
        <v>0</v>
      </c>
      <c r="U673" s="15" t="s">
        <v>7443</v>
      </c>
      <c r="V673" s="15" t="s">
        <v>3063</v>
      </c>
      <c r="W673" s="15" t="s">
        <v>401</v>
      </c>
      <c r="X673" s="15" t="s">
        <v>742</v>
      </c>
      <c r="Y673" s="15">
        <v>1430.0</v>
      </c>
      <c r="AA673" s="15" t="str">
        <f>"550"</f>
        <v>550</v>
      </c>
      <c r="AB673" s="14" t="b">
        <v>1</v>
      </c>
      <c r="AC673" s="14" t="b">
        <v>1</v>
      </c>
      <c r="AD673" s="15" t="str">
        <f>"801542435646"</f>
        <v>801542435646</v>
      </c>
      <c r="AE673" s="15" t="s">
        <v>7444</v>
      </c>
      <c r="AF673" s="14" t="s">
        <v>404</v>
      </c>
      <c r="AG673" s="14" t="s">
        <v>405</v>
      </c>
      <c r="AH673" s="14" t="s">
        <v>406</v>
      </c>
      <c r="AI673" s="15">
        <v>0.0</v>
      </c>
      <c r="AL673" s="15" t="s">
        <v>2354</v>
      </c>
      <c r="AM673" s="15" t="s">
        <v>2151</v>
      </c>
      <c r="AN673" s="15" t="s">
        <v>2152</v>
      </c>
      <c r="AO673" s="15" t="s">
        <v>622</v>
      </c>
      <c r="AP673" s="15" t="s">
        <v>623</v>
      </c>
      <c r="AQ673" s="15" t="s">
        <v>546</v>
      </c>
      <c r="AR673" s="15" t="s">
        <v>547</v>
      </c>
      <c r="AS673" s="15" t="s">
        <v>5444</v>
      </c>
      <c r="AT673" s="15" t="s">
        <v>7436</v>
      </c>
      <c r="AW673" s="15" t="s">
        <v>548</v>
      </c>
      <c r="AX673" s="15" t="s">
        <v>549</v>
      </c>
      <c r="AY673" s="15" t="s">
        <v>413</v>
      </c>
      <c r="AZ673" s="15" t="b">
        <v>0</v>
      </c>
      <c r="BA673" s="15" t="s">
        <v>413</v>
      </c>
      <c r="BB673" s="15" t="b">
        <v>0</v>
      </c>
      <c r="BC673" s="15" t="s">
        <v>7445</v>
      </c>
      <c r="BD673" s="15" t="s">
        <v>742</v>
      </c>
      <c r="BE673" s="15" t="str">
        <f t="shared" si="1137"/>
        <v>1</v>
      </c>
      <c r="BF673" s="15" t="s">
        <v>7446</v>
      </c>
      <c r="BG673" s="15" t="str">
        <f>"90"</f>
        <v>90</v>
      </c>
      <c r="BH673" s="15" t="s">
        <v>583</v>
      </c>
      <c r="BI673" s="15" t="str">
        <f>"10.35"</f>
        <v>10.35</v>
      </c>
      <c r="BJ673" s="15" t="s">
        <v>7447</v>
      </c>
      <c r="BK673" s="15" t="str">
        <f>"41.14"</f>
        <v>41.14</v>
      </c>
      <c r="BL673" s="15" t="s">
        <v>4136</v>
      </c>
      <c r="BM673" s="15" t="str">
        <f>"149.91"</f>
        <v>149.91</v>
      </c>
      <c r="BN673" s="15" t="s">
        <v>3402</v>
      </c>
      <c r="BQ673" s="15" t="s">
        <v>444</v>
      </c>
      <c r="BS673" s="15" t="s">
        <v>444</v>
      </c>
      <c r="BU673" s="15" t="s">
        <v>444</v>
      </c>
      <c r="BW673" s="15" t="s">
        <v>444</v>
      </c>
      <c r="BZ673" s="15" t="s">
        <v>444</v>
      </c>
      <c r="CB673" s="15" t="s">
        <v>444</v>
      </c>
      <c r="CD673" s="15" t="s">
        <v>444</v>
      </c>
      <c r="CF673" s="15" t="s">
        <v>444</v>
      </c>
      <c r="CI673" s="15" t="s">
        <v>444</v>
      </c>
      <c r="CK673" s="15" t="s">
        <v>444</v>
      </c>
      <c r="CM673" s="15" t="s">
        <v>444</v>
      </c>
      <c r="CO673" s="15" t="s">
        <v>444</v>
      </c>
      <c r="CP673" s="15" t="str">
        <f>"22.18"</f>
        <v>22.18</v>
      </c>
      <c r="CQ673" s="15" t="str">
        <f>"0.628"</f>
        <v>0.628</v>
      </c>
      <c r="CR673" s="15" t="s">
        <v>465</v>
      </c>
      <c r="DC673" s="15" t="str">
        <f>IFERROR(__xludf.DUMMYFUNCTION("""COMPUTED_VALUE"""),"")</f>
        <v/>
      </c>
      <c r="DE673" s="15" t="str">
        <f>IFERROR(__xludf.DUMMYFUNCTION("""COMPUTED_VALUE"""),"")</f>
        <v/>
      </c>
      <c r="DG673" s="15" t="str">
        <f>IFERROR(__xludf.DUMMYFUNCTION("""COMPUTED_VALUE"""),"")</f>
        <v/>
      </c>
      <c r="DL673" s="15" t="str">
        <f>IFERROR(__xludf.DUMMYFUNCTION("""COMPUTED_VALUE"""),"")</f>
        <v/>
      </c>
      <c r="DM673" s="15" t="s">
        <v>444</v>
      </c>
      <c r="DN673" s="15" t="s">
        <v>419</v>
      </c>
      <c r="DO673" s="15">
        <v>0.0</v>
      </c>
      <c r="DP673" s="15" t="s">
        <v>419</v>
      </c>
      <c r="DR673" s="15">
        <v>0.0</v>
      </c>
      <c r="DT673" s="15" t="s">
        <v>1509</v>
      </c>
      <c r="DU673" s="15" t="s">
        <v>419</v>
      </c>
      <c r="DW673" s="15">
        <v>0.0</v>
      </c>
      <c r="DX673" s="15">
        <v>0.0</v>
      </c>
      <c r="DY673" s="15">
        <v>0.0</v>
      </c>
      <c r="EE673" s="15">
        <v>8.0</v>
      </c>
      <c r="EF673" s="15" t="s">
        <v>471</v>
      </c>
      <c r="EG673" s="15" t="s">
        <v>472</v>
      </c>
      <c r="EH673" s="15" t="s">
        <v>7439</v>
      </c>
      <c r="EJ673" s="15" t="s">
        <v>424</v>
      </c>
      <c r="EK673" s="15" t="s">
        <v>446</v>
      </c>
      <c r="EM673" s="15" t="str">
        <f>IFERROR(__xludf.DUMMYFUNCTION("""COMPUTED_VALUE"""),"")</f>
        <v/>
      </c>
      <c r="EW673" s="15" t="s">
        <v>1330</v>
      </c>
      <c r="EX673" s="15" t="s">
        <v>2160</v>
      </c>
      <c r="EY673" s="15" t="s">
        <v>6724</v>
      </c>
      <c r="FH673" s="15" t="s">
        <v>7448</v>
      </c>
      <c r="FI673" s="15" t="s">
        <v>2422</v>
      </c>
      <c r="FJ673" s="15" t="s">
        <v>7449</v>
      </c>
      <c r="FK673" s="15" t="s">
        <v>784</v>
      </c>
      <c r="FL673" s="15" t="s">
        <v>426</v>
      </c>
      <c r="FM673" s="15">
        <v>0.0</v>
      </c>
      <c r="FN673" s="15">
        <v>0.0</v>
      </c>
      <c r="FU673" s="15" t="s">
        <v>759</v>
      </c>
      <c r="FV673" s="15" t="s">
        <v>1330</v>
      </c>
      <c r="FW673" s="15" t="s">
        <v>7450</v>
      </c>
      <c r="FX673" s="15" t="s">
        <v>1123</v>
      </c>
    </row>
    <row r="674" ht="15.75" customHeight="1">
      <c r="A674" s="14" t="s">
        <v>391</v>
      </c>
      <c r="B674" s="15" t="s">
        <v>7451</v>
      </c>
      <c r="C674" s="16"/>
      <c r="D674" s="15" t="s">
        <v>432</v>
      </c>
      <c r="G674" s="14" t="s">
        <v>393</v>
      </c>
      <c r="H674" s="14" t="s">
        <v>394</v>
      </c>
      <c r="I674" s="14" t="b">
        <v>1</v>
      </c>
      <c r="J674" s="14" t="s">
        <v>395</v>
      </c>
      <c r="L674" s="14" t="b">
        <v>0</v>
      </c>
      <c r="M674" s="15" t="s">
        <v>7452</v>
      </c>
      <c r="N674" s="14" t="s">
        <v>393</v>
      </c>
      <c r="O674" s="14" t="s">
        <v>393</v>
      </c>
      <c r="P674" s="15" t="s">
        <v>397</v>
      </c>
      <c r="Q674" s="15" t="s">
        <v>5440</v>
      </c>
      <c r="T674" s="14" t="b">
        <v>0</v>
      </c>
      <c r="U674" s="15" t="s">
        <v>7453</v>
      </c>
      <c r="V674" s="15" t="s">
        <v>2367</v>
      </c>
      <c r="W674" s="15" t="s">
        <v>401</v>
      </c>
      <c r="X674" s="15" t="s">
        <v>742</v>
      </c>
      <c r="Y674" s="15">
        <v>2184.0</v>
      </c>
      <c r="AA674" s="15" t="str">
        <f>"840"</f>
        <v>840</v>
      </c>
      <c r="AB674" s="14" t="b">
        <v>1</v>
      </c>
      <c r="AC674" s="14" t="b">
        <v>1</v>
      </c>
      <c r="AD674" s="15" t="str">
        <f>"801542962562"</f>
        <v>801542962562</v>
      </c>
      <c r="AE674" s="15" t="s">
        <v>7454</v>
      </c>
      <c r="AF674" s="14" t="s">
        <v>404</v>
      </c>
      <c r="AG674" s="14" t="s">
        <v>405</v>
      </c>
      <c r="AH674" s="14" t="s">
        <v>406</v>
      </c>
      <c r="AI674" s="15">
        <v>0.0</v>
      </c>
      <c r="AL674" s="15" t="s">
        <v>2354</v>
      </c>
      <c r="AM674" s="15" t="s">
        <v>2355</v>
      </c>
      <c r="AN674" s="15" t="s">
        <v>2356</v>
      </c>
      <c r="AO674" s="15" t="s">
        <v>1007</v>
      </c>
      <c r="AP674" s="15" t="s">
        <v>1008</v>
      </c>
      <c r="AQ674" s="15" t="s">
        <v>4994</v>
      </c>
      <c r="AR674" s="15" t="s">
        <v>4995</v>
      </c>
      <c r="AS674" s="15" t="s">
        <v>1896</v>
      </c>
      <c r="AT674" s="15" t="s">
        <v>5440</v>
      </c>
      <c r="AW674" s="15" t="s">
        <v>602</v>
      </c>
      <c r="AY674" s="15" t="s">
        <v>413</v>
      </c>
      <c r="AZ674" s="15" t="b">
        <v>0</v>
      </c>
      <c r="BA674" s="15" t="s">
        <v>413</v>
      </c>
      <c r="BB674" s="15" t="b">
        <v>0</v>
      </c>
      <c r="BC674" s="15" t="s">
        <v>7455</v>
      </c>
      <c r="BD674" s="15" t="s">
        <v>742</v>
      </c>
      <c r="BE674" s="15" t="str">
        <f t="shared" si="1137"/>
        <v>1</v>
      </c>
      <c r="BF674" s="15" t="s">
        <v>1421</v>
      </c>
      <c r="BG674" s="15" t="str">
        <f>"83.46"</f>
        <v>83.46</v>
      </c>
      <c r="BH674" s="15" t="s">
        <v>2456</v>
      </c>
      <c r="BI674" s="15" t="str">
        <f>"23.23"</f>
        <v>23.23</v>
      </c>
      <c r="BJ674" s="15" t="s">
        <v>2616</v>
      </c>
      <c r="BK674" s="15" t="str">
        <f>"33.27"</f>
        <v>33.27</v>
      </c>
      <c r="BL674" s="15" t="s">
        <v>3223</v>
      </c>
      <c r="BM674" s="15" t="str">
        <f>"245.82"</f>
        <v>245.82</v>
      </c>
      <c r="BN674" s="15" t="s">
        <v>7456</v>
      </c>
      <c r="BQ674" s="15" t="s">
        <v>444</v>
      </c>
      <c r="BS674" s="15" t="s">
        <v>444</v>
      </c>
      <c r="BU674" s="15" t="s">
        <v>444</v>
      </c>
      <c r="BW674" s="15" t="s">
        <v>444</v>
      </c>
      <c r="BZ674" s="15" t="s">
        <v>444</v>
      </c>
      <c r="CB674" s="15" t="s">
        <v>444</v>
      </c>
      <c r="CD674" s="15" t="s">
        <v>444</v>
      </c>
      <c r="CF674" s="15" t="s">
        <v>444</v>
      </c>
      <c r="CI674" s="15" t="s">
        <v>444</v>
      </c>
      <c r="CK674" s="15" t="s">
        <v>444</v>
      </c>
      <c r="CM674" s="15" t="s">
        <v>444</v>
      </c>
      <c r="CO674" s="15" t="s">
        <v>444</v>
      </c>
      <c r="CP674" s="15" t="str">
        <f>"37.33"</f>
        <v>37.33</v>
      </c>
      <c r="CQ674" s="15" t="str">
        <f>"1.057"</f>
        <v>1.057</v>
      </c>
      <c r="CR674" s="15" t="s">
        <v>465</v>
      </c>
      <c r="CV674" s="15" t="s">
        <v>7457</v>
      </c>
      <c r="CW674" s="15" t="s">
        <v>2842</v>
      </c>
      <c r="CX674" s="15" t="s">
        <v>7458</v>
      </c>
      <c r="DC674" s="15" t="str">
        <f>IFERROR(__xludf.DUMMYFUNCTION("""COMPUTED_VALUE"""),"")</f>
        <v/>
      </c>
      <c r="DE674" s="15" t="str">
        <f>IFERROR(__xludf.DUMMYFUNCTION("""COMPUTED_VALUE"""),"")</f>
        <v/>
      </c>
      <c r="DG674" s="15" t="str">
        <f>IFERROR(__xludf.DUMMYFUNCTION("""COMPUTED_VALUE"""),"")</f>
        <v/>
      </c>
      <c r="DL674" s="15" t="str">
        <f>IFERROR(__xludf.DUMMYFUNCTION("""COMPUTED_VALUE"""),"")</f>
        <v/>
      </c>
      <c r="DM674" s="15" t="s">
        <v>444</v>
      </c>
      <c r="DN674" s="15" t="s">
        <v>418</v>
      </c>
      <c r="DO674" s="15">
        <v>8.0</v>
      </c>
      <c r="DP674" s="15" t="s">
        <v>419</v>
      </c>
      <c r="DR674" s="15">
        <v>0.0</v>
      </c>
      <c r="DT674" s="15" t="s">
        <v>1388</v>
      </c>
      <c r="DU674" s="15" t="s">
        <v>421</v>
      </c>
      <c r="DW674" s="15">
        <v>18.14</v>
      </c>
      <c r="DX674" s="15">
        <v>40.0</v>
      </c>
      <c r="DY674" s="15">
        <v>1.0</v>
      </c>
      <c r="EG674" s="15" t="s">
        <v>444</v>
      </c>
      <c r="EH674" s="15" t="s">
        <v>7459</v>
      </c>
      <c r="EK674" s="15" t="s">
        <v>444</v>
      </c>
      <c r="EM674" s="15" t="str">
        <f>IFERROR(__xludf.DUMMYFUNCTION("""COMPUTED_VALUE"""),"")</f>
        <v/>
      </c>
      <c r="EW674" s="15" t="s">
        <v>7460</v>
      </c>
      <c r="FL674" s="15" t="s">
        <v>426</v>
      </c>
      <c r="FM674" s="15">
        <v>1.0</v>
      </c>
      <c r="FY674" s="15" t="s">
        <v>7461</v>
      </c>
      <c r="FZ674" s="15" t="s">
        <v>2046</v>
      </c>
      <c r="GA674" s="15" t="s">
        <v>7462</v>
      </c>
      <c r="GB674" s="15" t="s">
        <v>7457</v>
      </c>
      <c r="GC674" s="15" t="s">
        <v>782</v>
      </c>
      <c r="GD674" s="15" t="s">
        <v>7458</v>
      </c>
      <c r="GF674" s="15" t="s">
        <v>426</v>
      </c>
      <c r="GH674" s="15">
        <v>2.0</v>
      </c>
      <c r="GI674" s="15" t="s">
        <v>4948</v>
      </c>
      <c r="GL674" s="15" t="s">
        <v>426</v>
      </c>
      <c r="GN674" s="15" t="s">
        <v>616</v>
      </c>
      <c r="GO674" s="15" t="s">
        <v>426</v>
      </c>
      <c r="GQ674" s="15" t="s">
        <v>3622</v>
      </c>
      <c r="GR674" s="15" t="s">
        <v>3622</v>
      </c>
      <c r="GS674" s="15" t="s">
        <v>2881</v>
      </c>
      <c r="GT674" s="15" t="s">
        <v>2841</v>
      </c>
      <c r="GU674" s="15" t="s">
        <v>1931</v>
      </c>
      <c r="GV674" s="15" t="s">
        <v>1931</v>
      </c>
      <c r="GW674" s="15" t="s">
        <v>431</v>
      </c>
      <c r="GY674" s="15" t="s">
        <v>764</v>
      </c>
      <c r="HD674" s="15">
        <v>0.0</v>
      </c>
      <c r="HW674" s="15" t="s">
        <v>1957</v>
      </c>
      <c r="IH674" s="15" t="s">
        <v>426</v>
      </c>
      <c r="LF674" s="15" t="s">
        <v>1185</v>
      </c>
    </row>
    <row r="675" ht="15.75" customHeight="1">
      <c r="A675" s="14" t="s">
        <v>391</v>
      </c>
      <c r="B675" s="15" t="s">
        <v>7463</v>
      </c>
      <c r="C675" s="16"/>
      <c r="D675" s="15" t="s">
        <v>432</v>
      </c>
      <c r="G675" s="14" t="s">
        <v>393</v>
      </c>
      <c r="H675" s="14" t="s">
        <v>394</v>
      </c>
      <c r="I675" s="14" t="b">
        <v>1</v>
      </c>
      <c r="J675" s="14" t="s">
        <v>395</v>
      </c>
      <c r="L675" s="14" t="b">
        <v>0</v>
      </c>
      <c r="M675" s="15" t="s">
        <v>7464</v>
      </c>
      <c r="N675" s="14" t="s">
        <v>393</v>
      </c>
      <c r="O675" s="14" t="s">
        <v>393</v>
      </c>
      <c r="P675" s="15" t="s">
        <v>397</v>
      </c>
      <c r="Q675" s="15" t="s">
        <v>7465</v>
      </c>
      <c r="T675" s="14" t="b">
        <v>0</v>
      </c>
      <c r="U675" s="15" t="s">
        <v>7466</v>
      </c>
      <c r="V675" s="15" t="s">
        <v>7467</v>
      </c>
      <c r="W675" s="15" t="s">
        <v>401</v>
      </c>
      <c r="X675" s="15" t="s">
        <v>695</v>
      </c>
      <c r="Y675" s="15">
        <v>12233.0</v>
      </c>
      <c r="AA675" s="15" t="str">
        <f>"4705"</f>
        <v>4705</v>
      </c>
      <c r="AB675" s="14" t="b">
        <v>1</v>
      </c>
      <c r="AC675" s="14" t="b">
        <v>1</v>
      </c>
      <c r="AD675" s="15" t="str">
        <f>"198394091374"</f>
        <v>198394091374</v>
      </c>
      <c r="AE675" s="15" t="s">
        <v>7468</v>
      </c>
      <c r="AF675" s="14" t="s">
        <v>404</v>
      </c>
      <c r="AG675" s="14" t="s">
        <v>405</v>
      </c>
      <c r="AH675" s="14" t="s">
        <v>406</v>
      </c>
      <c r="AI675" s="15">
        <v>0.0</v>
      </c>
      <c r="AL675" s="15" t="s">
        <v>7021</v>
      </c>
      <c r="AM675" s="15" t="s">
        <v>7469</v>
      </c>
      <c r="AN675" s="15" t="s">
        <v>7470</v>
      </c>
      <c r="AO675" s="15" t="s">
        <v>7469</v>
      </c>
      <c r="AP675" s="15" t="s">
        <v>7470</v>
      </c>
      <c r="AQ675" s="15" t="s">
        <v>701</v>
      </c>
      <c r="AR675" s="15" t="s">
        <v>702</v>
      </c>
      <c r="AS675" s="15" t="s">
        <v>703</v>
      </c>
      <c r="AT675" s="15" t="s">
        <v>7465</v>
      </c>
      <c r="AU675" s="15" t="s">
        <v>2014</v>
      </c>
      <c r="AW675" s="15" t="s">
        <v>1629</v>
      </c>
      <c r="AY675" s="15" t="s">
        <v>413</v>
      </c>
      <c r="AZ675" s="15" t="b">
        <v>0</v>
      </c>
      <c r="BA675" s="15" t="s">
        <v>413</v>
      </c>
      <c r="BB675" s="15" t="b">
        <v>0</v>
      </c>
      <c r="BC675" s="15" t="s">
        <v>7471</v>
      </c>
      <c r="BD675" s="15" t="s">
        <v>709</v>
      </c>
      <c r="BE675" s="15" t="str">
        <f>"2"</f>
        <v>2</v>
      </c>
      <c r="BF675" s="15" t="s">
        <v>416</v>
      </c>
      <c r="BG675" s="15" t="str">
        <f>"46.5"</f>
        <v>46.5</v>
      </c>
      <c r="BH675" s="15" t="s">
        <v>4109</v>
      </c>
      <c r="BI675" s="15" t="str">
        <f>"39"</f>
        <v>39</v>
      </c>
      <c r="BJ675" s="15" t="s">
        <v>3443</v>
      </c>
      <c r="BK675" s="15" t="str">
        <f>"30.5"</f>
        <v>30.5</v>
      </c>
      <c r="BL675" s="15" t="s">
        <v>2230</v>
      </c>
      <c r="BM675" s="15" t="str">
        <f>"68"</f>
        <v>68</v>
      </c>
      <c r="BN675" s="15" t="s">
        <v>7472</v>
      </c>
      <c r="BO675" s="15" t="s">
        <v>416</v>
      </c>
      <c r="BP675" s="15" t="str">
        <f>"46"</f>
        <v>46</v>
      </c>
      <c r="BQ675" s="15" t="s">
        <v>2395</v>
      </c>
      <c r="BR675" s="15" t="str">
        <f>"45.5"</f>
        <v>45.5</v>
      </c>
      <c r="BS675" s="15" t="s">
        <v>3837</v>
      </c>
      <c r="BT675" s="15" t="str">
        <f>"29.5"</f>
        <v>29.5</v>
      </c>
      <c r="BU675" s="15" t="s">
        <v>2307</v>
      </c>
      <c r="BV675" s="15" t="str">
        <f>"106"</f>
        <v>106</v>
      </c>
      <c r="BW675" s="15" t="s">
        <v>6590</v>
      </c>
      <c r="BZ675" s="15" t="s">
        <v>444</v>
      </c>
      <c r="CB675" s="15" t="s">
        <v>444</v>
      </c>
      <c r="CD675" s="15" t="s">
        <v>444</v>
      </c>
      <c r="CF675" s="15" t="s">
        <v>444</v>
      </c>
      <c r="CI675" s="15" t="s">
        <v>444</v>
      </c>
      <c r="CK675" s="15" t="s">
        <v>444</v>
      </c>
      <c r="CM675" s="15" t="s">
        <v>444</v>
      </c>
      <c r="CO675" s="15" t="s">
        <v>444</v>
      </c>
      <c r="CP675" s="15" t="str">
        <f>"171.21"</f>
        <v>171.21</v>
      </c>
      <c r="CQ675" s="15" t="str">
        <f>"4.848"</f>
        <v>4.848</v>
      </c>
      <c r="CR675" s="15" t="s">
        <v>465</v>
      </c>
      <c r="DC675" s="15" t="str">
        <f>IFERROR(__xludf.DUMMYFUNCTION("""COMPUTED_VALUE"""),"")</f>
        <v/>
      </c>
      <c r="DE675" s="15" t="str">
        <f>IFERROR(__xludf.DUMMYFUNCTION("""COMPUTED_VALUE"""),"")</f>
        <v/>
      </c>
      <c r="DG675" s="15" t="str">
        <f>IFERROR(__xludf.DUMMYFUNCTION("""COMPUTED_VALUE"""),"")</f>
        <v/>
      </c>
      <c r="DJ675" s="15" t="s">
        <v>469</v>
      </c>
      <c r="DK675" s="15" t="s">
        <v>1837</v>
      </c>
      <c r="DL675" s="15" t="str">
        <f>IFERROR(__xludf.DUMMYFUNCTION("""COMPUTED_VALUE"""),"Dry clean only. Professional cleaning recommended.")</f>
        <v>Dry clean only. Professional cleaning recommended.</v>
      </c>
      <c r="DM675" s="15" t="s">
        <v>1838</v>
      </c>
      <c r="DT675" s="15" t="s">
        <v>721</v>
      </c>
      <c r="DU675" s="15" t="s">
        <v>419</v>
      </c>
      <c r="DZ675" s="15">
        <v>0.0</v>
      </c>
      <c r="EA675" s="15" t="s">
        <v>990</v>
      </c>
      <c r="EB675" s="15" t="s">
        <v>1016</v>
      </c>
      <c r="EE675" s="15">
        <v>5.0</v>
      </c>
      <c r="EF675" s="15" t="s">
        <v>7473</v>
      </c>
      <c r="EG675" s="15" t="s">
        <v>7474</v>
      </c>
      <c r="EH675" s="15" t="s">
        <v>7475</v>
      </c>
      <c r="EJ675" s="15" t="s">
        <v>1636</v>
      </c>
      <c r="EK675" s="15" t="s">
        <v>1637</v>
      </c>
      <c r="EM675" s="15" t="str">
        <f>IFERROR(__xludf.DUMMYFUNCTION("""COMPUTED_VALUE"""),"")</f>
        <v/>
      </c>
      <c r="FC675" s="15" t="s">
        <v>1016</v>
      </c>
      <c r="FF675" s="15" t="s">
        <v>7476</v>
      </c>
      <c r="FS675" s="15" t="s">
        <v>3561</v>
      </c>
      <c r="HO675" s="15" t="s">
        <v>1638</v>
      </c>
    </row>
    <row r="676" ht="15.75" customHeight="1">
      <c r="A676" s="14" t="s">
        <v>391</v>
      </c>
      <c r="B676" s="15" t="s">
        <v>7477</v>
      </c>
      <c r="C676" s="16"/>
      <c r="D676" s="15" t="s">
        <v>432</v>
      </c>
      <c r="G676" s="14" t="s">
        <v>393</v>
      </c>
      <c r="H676" s="14" t="s">
        <v>394</v>
      </c>
      <c r="I676" s="14" t="b">
        <v>1</v>
      </c>
      <c r="J676" s="14" t="s">
        <v>395</v>
      </c>
      <c r="L676" s="14" t="b">
        <v>0</v>
      </c>
      <c r="M676" s="15" t="s">
        <v>7478</v>
      </c>
      <c r="N676" s="14" t="s">
        <v>393</v>
      </c>
      <c r="O676" s="14" t="s">
        <v>393</v>
      </c>
      <c r="P676" s="15" t="s">
        <v>397</v>
      </c>
      <c r="Q676" s="15" t="s">
        <v>7479</v>
      </c>
      <c r="T676" s="14" t="b">
        <v>0</v>
      </c>
      <c r="U676" s="15" t="s">
        <v>7480</v>
      </c>
      <c r="V676" s="15" t="s">
        <v>7481</v>
      </c>
      <c r="W676" s="15" t="s">
        <v>401</v>
      </c>
      <c r="X676" s="15" t="s">
        <v>1296</v>
      </c>
      <c r="Y676" s="15">
        <v>2951.0</v>
      </c>
      <c r="AA676" s="15" t="str">
        <f>"1135"</f>
        <v>1135</v>
      </c>
      <c r="AB676" s="14" t="b">
        <v>1</v>
      </c>
      <c r="AC676" s="14" t="b">
        <v>1</v>
      </c>
      <c r="AD676" s="15" t="str">
        <f>"801542993078"</f>
        <v>801542993078</v>
      </c>
      <c r="AE676" s="15" t="s">
        <v>7482</v>
      </c>
      <c r="AF676" s="14" t="s">
        <v>404</v>
      </c>
      <c r="AG676" s="14" t="s">
        <v>405</v>
      </c>
      <c r="AH676" s="14" t="s">
        <v>406</v>
      </c>
      <c r="AI676" s="15">
        <v>0.0</v>
      </c>
      <c r="AL676" s="15" t="s">
        <v>2354</v>
      </c>
      <c r="AM676" s="15" t="s">
        <v>1299</v>
      </c>
      <c r="AN676" s="15" t="s">
        <v>1300</v>
      </c>
      <c r="AO676" s="15" t="s">
        <v>1561</v>
      </c>
      <c r="AP676" s="15" t="s">
        <v>1562</v>
      </c>
      <c r="AQ676" s="15" t="s">
        <v>517</v>
      </c>
      <c r="AR676" s="15" t="s">
        <v>518</v>
      </c>
      <c r="AS676" s="15" t="s">
        <v>4400</v>
      </c>
      <c r="AT676" s="15" t="s">
        <v>7479</v>
      </c>
      <c r="AW676" s="15" t="s">
        <v>519</v>
      </c>
      <c r="AY676" s="15" t="s">
        <v>413</v>
      </c>
      <c r="AZ676" s="15" t="b">
        <v>0</v>
      </c>
      <c r="BA676" s="15" t="s">
        <v>413</v>
      </c>
      <c r="BB676" s="15" t="b">
        <v>0</v>
      </c>
      <c r="BC676" s="15" t="s">
        <v>7483</v>
      </c>
      <c r="BD676" s="15" t="s">
        <v>1303</v>
      </c>
      <c r="BE676" s="15" t="str">
        <f t="shared" ref="BE676:BE688" si="1145">"1"</f>
        <v>1</v>
      </c>
      <c r="BF676" s="15" t="s">
        <v>416</v>
      </c>
      <c r="BG676" s="15" t="str">
        <f>"101.25"</f>
        <v>101.25</v>
      </c>
      <c r="BH676" s="15" t="s">
        <v>1895</v>
      </c>
      <c r="BI676" s="15" t="str">
        <f>"27.5"</f>
        <v>27.5</v>
      </c>
      <c r="BJ676" s="15" t="s">
        <v>1056</v>
      </c>
      <c r="BK676" s="15" t="str">
        <f>"36.25"</f>
        <v>36.25</v>
      </c>
      <c r="BL676" s="15" t="s">
        <v>3235</v>
      </c>
      <c r="BM676" s="15" t="str">
        <f>"249.78"</f>
        <v>249.78</v>
      </c>
      <c r="BN676" s="15" t="s">
        <v>7484</v>
      </c>
      <c r="BQ676" s="15" t="s">
        <v>444</v>
      </c>
      <c r="BS676" s="15" t="s">
        <v>444</v>
      </c>
      <c r="BU676" s="15" t="s">
        <v>444</v>
      </c>
      <c r="BW676" s="15" t="s">
        <v>444</v>
      </c>
      <c r="BZ676" s="15" t="s">
        <v>444</v>
      </c>
      <c r="CB676" s="15" t="s">
        <v>444</v>
      </c>
      <c r="CD676" s="15" t="s">
        <v>444</v>
      </c>
      <c r="CF676" s="15" t="s">
        <v>444</v>
      </c>
      <c r="CI676" s="15" t="s">
        <v>444</v>
      </c>
      <c r="CK676" s="15" t="s">
        <v>444</v>
      </c>
      <c r="CM676" s="15" t="s">
        <v>444</v>
      </c>
      <c r="CO676" s="15" t="s">
        <v>444</v>
      </c>
      <c r="CP676" s="15" t="str">
        <f>"58.41"</f>
        <v>58.41</v>
      </c>
      <c r="CQ676" s="15" t="str">
        <f>"1.654"</f>
        <v>1.654</v>
      </c>
      <c r="CR676" s="15" t="s">
        <v>417</v>
      </c>
      <c r="DC676" s="15" t="str">
        <f>IFERROR(__xludf.DUMMYFUNCTION("""COMPUTED_VALUE"""),"")</f>
        <v/>
      </c>
      <c r="DE676" s="15" t="str">
        <f>IFERROR(__xludf.DUMMYFUNCTION("""COMPUTED_VALUE"""),"")</f>
        <v/>
      </c>
      <c r="DG676" s="15" t="str">
        <f>IFERROR(__xludf.DUMMYFUNCTION("""COMPUTED_VALUE"""),"")</f>
        <v/>
      </c>
      <c r="DL676" s="15" t="str">
        <f>IFERROR(__xludf.DUMMYFUNCTION("""COMPUTED_VALUE"""),"")</f>
        <v/>
      </c>
      <c r="DM676" s="15" t="s">
        <v>444</v>
      </c>
      <c r="DN676" s="15" t="s">
        <v>1371</v>
      </c>
      <c r="DO676" s="15">
        <v>7.0</v>
      </c>
      <c r="DP676" s="15" t="s">
        <v>2601</v>
      </c>
      <c r="DR676" s="15">
        <v>0.0</v>
      </c>
      <c r="DT676" s="15" t="s">
        <v>1509</v>
      </c>
      <c r="DU676" s="15" t="s">
        <v>421</v>
      </c>
      <c r="DY676" s="15">
        <v>0.0</v>
      </c>
      <c r="EF676" s="15" t="s">
        <v>471</v>
      </c>
      <c r="EG676" s="15" t="s">
        <v>472</v>
      </c>
      <c r="EH676" s="15" t="s">
        <v>7485</v>
      </c>
      <c r="EJ676" s="15" t="s">
        <v>424</v>
      </c>
      <c r="EK676" s="15" t="s">
        <v>446</v>
      </c>
      <c r="EM676" s="15" t="str">
        <f>IFERROR(__xludf.DUMMYFUNCTION("""COMPUTED_VALUE"""),"")</f>
        <v/>
      </c>
      <c r="EW676" s="15" t="s">
        <v>1804</v>
      </c>
      <c r="EX676" s="15" t="s">
        <v>1576</v>
      </c>
      <c r="EY676" s="15" t="s">
        <v>3204</v>
      </c>
      <c r="FH676" s="15" t="s">
        <v>1236</v>
      </c>
      <c r="FI676" s="15" t="s">
        <v>734</v>
      </c>
      <c r="FJ676" s="15" t="s">
        <v>1236</v>
      </c>
      <c r="FK676" s="15" t="s">
        <v>2638</v>
      </c>
      <c r="FL676" s="15" t="s">
        <v>426</v>
      </c>
      <c r="FM676" s="15">
        <v>0.0</v>
      </c>
      <c r="FN676" s="15">
        <v>0.0</v>
      </c>
      <c r="FW676" s="15" t="s">
        <v>995</v>
      </c>
      <c r="GH676" s="15">
        <v>0.0</v>
      </c>
      <c r="GI676" s="15" t="s">
        <v>427</v>
      </c>
      <c r="GQ676" s="15" t="s">
        <v>3308</v>
      </c>
      <c r="GR676" s="15" t="s">
        <v>3308</v>
      </c>
      <c r="GS676" s="15" t="s">
        <v>477</v>
      </c>
      <c r="GT676" s="15" t="s">
        <v>477</v>
      </c>
      <c r="GU676" s="15" t="s">
        <v>2312</v>
      </c>
      <c r="GV676" s="15" t="s">
        <v>428</v>
      </c>
      <c r="GW676" s="15" t="s">
        <v>838</v>
      </c>
      <c r="GY676" s="15" t="s">
        <v>420</v>
      </c>
      <c r="GZ676" s="15" t="s">
        <v>426</v>
      </c>
    </row>
    <row r="677" ht="15.75" customHeight="1">
      <c r="A677" s="14" t="s">
        <v>391</v>
      </c>
      <c r="B677" s="15" t="s">
        <v>7486</v>
      </c>
      <c r="C677" s="16"/>
      <c r="D677" s="15" t="s">
        <v>432</v>
      </c>
      <c r="G677" s="14" t="s">
        <v>393</v>
      </c>
      <c r="H677" s="14" t="s">
        <v>394</v>
      </c>
      <c r="I677" s="14" t="b">
        <v>1</v>
      </c>
      <c r="J677" s="14" t="s">
        <v>395</v>
      </c>
      <c r="L677" s="14" t="b">
        <v>0</v>
      </c>
      <c r="M677" s="15" t="s">
        <v>7487</v>
      </c>
      <c r="N677" s="14" t="s">
        <v>393</v>
      </c>
      <c r="O677" s="14" t="s">
        <v>393</v>
      </c>
      <c r="P677" s="15" t="s">
        <v>397</v>
      </c>
      <c r="Q677" s="15" t="s">
        <v>7479</v>
      </c>
      <c r="T677" s="14" t="b">
        <v>0</v>
      </c>
      <c r="U677" s="15" t="s">
        <v>7488</v>
      </c>
      <c r="V677" s="15" t="s">
        <v>7489</v>
      </c>
      <c r="W677" s="15" t="s">
        <v>401</v>
      </c>
      <c r="X677" s="15" t="s">
        <v>1296</v>
      </c>
      <c r="Y677" s="15">
        <v>3497.0</v>
      </c>
      <c r="AA677" s="15" t="str">
        <f>"1345"</f>
        <v>1345</v>
      </c>
      <c r="AB677" s="14" t="b">
        <v>1</v>
      </c>
      <c r="AC677" s="14" t="b">
        <v>1</v>
      </c>
      <c r="AD677" s="15" t="str">
        <f>"801542993085"</f>
        <v>801542993085</v>
      </c>
      <c r="AE677" s="15" t="s">
        <v>7490</v>
      </c>
      <c r="AF677" s="14" t="s">
        <v>404</v>
      </c>
      <c r="AG677" s="14" t="s">
        <v>405</v>
      </c>
      <c r="AH677" s="14" t="s">
        <v>406</v>
      </c>
      <c r="AI677" s="15">
        <v>0.0</v>
      </c>
      <c r="AL677" s="15" t="s">
        <v>2354</v>
      </c>
      <c r="AM677" s="15" t="s">
        <v>1381</v>
      </c>
      <c r="AN677" s="15" t="s">
        <v>1382</v>
      </c>
      <c r="AO677" s="15" t="s">
        <v>1561</v>
      </c>
      <c r="AP677" s="15" t="s">
        <v>1562</v>
      </c>
      <c r="AQ677" s="15" t="s">
        <v>517</v>
      </c>
      <c r="AR677" s="15" t="s">
        <v>518</v>
      </c>
      <c r="AS677" s="15" t="s">
        <v>4400</v>
      </c>
      <c r="AT677" s="15" t="s">
        <v>7479</v>
      </c>
      <c r="AW677" s="15" t="s">
        <v>412</v>
      </c>
      <c r="AY677" s="15" t="s">
        <v>413</v>
      </c>
      <c r="AZ677" s="15" t="b">
        <v>0</v>
      </c>
      <c r="BA677" s="15" t="s">
        <v>413</v>
      </c>
      <c r="BB677" s="15" t="b">
        <v>0</v>
      </c>
      <c r="BC677" s="15" t="s">
        <v>7491</v>
      </c>
      <c r="BD677" s="15" t="s">
        <v>1303</v>
      </c>
      <c r="BE677" s="15" t="str">
        <f t="shared" si="1145"/>
        <v>1</v>
      </c>
      <c r="BF677" s="15" t="s">
        <v>416</v>
      </c>
      <c r="BG677" s="15" t="str">
        <f>"89"</f>
        <v>89</v>
      </c>
      <c r="BH677" s="15" t="s">
        <v>6485</v>
      </c>
      <c r="BI677" s="15" t="str">
        <f>"26"</f>
        <v>26</v>
      </c>
      <c r="BJ677" s="15" t="s">
        <v>1176</v>
      </c>
      <c r="BK677" s="15" t="str">
        <f>"37"</f>
        <v>37</v>
      </c>
      <c r="BL677" s="15" t="s">
        <v>699</v>
      </c>
      <c r="BM677" s="15" t="str">
        <f>"335.1"</f>
        <v>335.1</v>
      </c>
      <c r="BN677" s="15" t="s">
        <v>6963</v>
      </c>
      <c r="BQ677" s="15" t="s">
        <v>444</v>
      </c>
      <c r="BS677" s="15" t="s">
        <v>444</v>
      </c>
      <c r="BU677" s="15" t="s">
        <v>444</v>
      </c>
      <c r="BW677" s="15" t="s">
        <v>444</v>
      </c>
      <c r="BZ677" s="15" t="s">
        <v>444</v>
      </c>
      <c r="CB677" s="15" t="s">
        <v>444</v>
      </c>
      <c r="CD677" s="15" t="s">
        <v>444</v>
      </c>
      <c r="CF677" s="15" t="s">
        <v>444</v>
      </c>
      <c r="CI677" s="15" t="s">
        <v>444</v>
      </c>
      <c r="CK677" s="15" t="s">
        <v>444</v>
      </c>
      <c r="CM677" s="15" t="s">
        <v>444</v>
      </c>
      <c r="CO677" s="15" t="s">
        <v>444</v>
      </c>
      <c r="CP677" s="15" t="str">
        <f>"49.55"</f>
        <v>49.55</v>
      </c>
      <c r="CQ677" s="15" t="str">
        <f>"1.403"</f>
        <v>1.403</v>
      </c>
      <c r="CR677" s="15" t="s">
        <v>465</v>
      </c>
      <c r="DC677" s="15" t="str">
        <f>IFERROR(__xludf.DUMMYFUNCTION("""COMPUTED_VALUE"""),"")</f>
        <v/>
      </c>
      <c r="DE677" s="15" t="str">
        <f>IFERROR(__xludf.DUMMYFUNCTION("""COMPUTED_VALUE"""),"")</f>
        <v/>
      </c>
      <c r="DG677" s="15" t="str">
        <f>IFERROR(__xludf.DUMMYFUNCTION("""COMPUTED_VALUE"""),"")</f>
        <v/>
      </c>
      <c r="DL677" s="15" t="str">
        <f>IFERROR(__xludf.DUMMYFUNCTION("""COMPUTED_VALUE"""),"")</f>
        <v/>
      </c>
      <c r="DM677" s="15" t="s">
        <v>444</v>
      </c>
      <c r="DN677" s="15" t="s">
        <v>1371</v>
      </c>
      <c r="DO677" s="15">
        <v>10.0</v>
      </c>
      <c r="DP677" s="15" t="s">
        <v>2601</v>
      </c>
      <c r="DR677" s="15">
        <v>0.0</v>
      </c>
      <c r="DT677" s="15" t="s">
        <v>1509</v>
      </c>
      <c r="DU677" s="15" t="s">
        <v>421</v>
      </c>
      <c r="DY677" s="15">
        <v>0.0</v>
      </c>
      <c r="EF677" s="15" t="s">
        <v>422</v>
      </c>
      <c r="EG677" s="15" t="s">
        <v>445</v>
      </c>
      <c r="EH677" s="15" t="s">
        <v>7485</v>
      </c>
      <c r="EJ677" s="15" t="s">
        <v>424</v>
      </c>
      <c r="EK677" s="15" t="s">
        <v>446</v>
      </c>
      <c r="EM677" s="15" t="str">
        <f>IFERROR(__xludf.DUMMYFUNCTION("""COMPUTED_VALUE"""),"")</f>
        <v/>
      </c>
      <c r="EW677" s="15" t="s">
        <v>635</v>
      </c>
      <c r="EX677" s="15" t="s">
        <v>1576</v>
      </c>
      <c r="EY677" s="15" t="s">
        <v>3204</v>
      </c>
      <c r="FH677" s="15" t="s">
        <v>1236</v>
      </c>
      <c r="FI677" s="15" t="s">
        <v>4895</v>
      </c>
      <c r="FJ677" s="15" t="s">
        <v>1236</v>
      </c>
      <c r="FK677" s="15" t="s">
        <v>2638</v>
      </c>
      <c r="FL677" s="15" t="s">
        <v>426</v>
      </c>
      <c r="FM677" s="15">
        <v>0.0</v>
      </c>
      <c r="FW677" s="15" t="s">
        <v>505</v>
      </c>
      <c r="GH677" s="15">
        <v>0.0</v>
      </c>
      <c r="GI677" s="15" t="s">
        <v>427</v>
      </c>
      <c r="GQ677" s="15" t="s">
        <v>1238</v>
      </c>
      <c r="GR677" s="15" t="s">
        <v>1238</v>
      </c>
      <c r="GS677" s="15" t="s">
        <v>1069</v>
      </c>
      <c r="GT677" s="15" t="s">
        <v>1069</v>
      </c>
      <c r="GU677" s="15" t="s">
        <v>428</v>
      </c>
      <c r="GV677" s="15" t="s">
        <v>2312</v>
      </c>
      <c r="GW677" s="15" t="s">
        <v>838</v>
      </c>
      <c r="GY677" s="15" t="s">
        <v>420</v>
      </c>
      <c r="GZ677" s="15" t="s">
        <v>426</v>
      </c>
    </row>
    <row r="678" ht="15.75" customHeight="1">
      <c r="A678" s="14" t="s">
        <v>391</v>
      </c>
      <c r="B678" s="15" t="s">
        <v>7492</v>
      </c>
      <c r="C678" s="16"/>
      <c r="D678" s="15" t="s">
        <v>432</v>
      </c>
      <c r="G678" s="14" t="s">
        <v>393</v>
      </c>
      <c r="H678" s="14" t="s">
        <v>394</v>
      </c>
      <c r="I678" s="14" t="b">
        <v>1</v>
      </c>
      <c r="J678" s="14" t="s">
        <v>395</v>
      </c>
      <c r="L678" s="14" t="b">
        <v>0</v>
      </c>
      <c r="M678" s="15" t="s">
        <v>7493</v>
      </c>
      <c r="N678" s="14" t="s">
        <v>393</v>
      </c>
      <c r="O678" s="14" t="s">
        <v>393</v>
      </c>
      <c r="P678" s="15" t="s">
        <v>397</v>
      </c>
      <c r="Q678" s="15" t="s">
        <v>7494</v>
      </c>
      <c r="T678" s="14" t="b">
        <v>0</v>
      </c>
      <c r="U678" s="15" t="s">
        <v>7495</v>
      </c>
      <c r="V678" s="15" t="s">
        <v>7496</v>
      </c>
      <c r="W678" s="15" t="s">
        <v>401</v>
      </c>
      <c r="X678" s="15" t="s">
        <v>1296</v>
      </c>
      <c r="Y678" s="15">
        <v>3276.0</v>
      </c>
      <c r="AA678" s="15" t="str">
        <f>"1260"</f>
        <v>1260</v>
      </c>
      <c r="AB678" s="14" t="b">
        <v>1</v>
      </c>
      <c r="AC678" s="14" t="b">
        <v>1</v>
      </c>
      <c r="AD678" s="15" t="str">
        <f>"801542982027"</f>
        <v>801542982027</v>
      </c>
      <c r="AE678" s="15" t="s">
        <v>7497</v>
      </c>
      <c r="AF678" s="14" t="s">
        <v>404</v>
      </c>
      <c r="AG678" s="14" t="s">
        <v>405</v>
      </c>
      <c r="AH678" s="14" t="s">
        <v>406</v>
      </c>
      <c r="AI678" s="15">
        <v>0.0</v>
      </c>
      <c r="AL678" s="15" t="s">
        <v>1532</v>
      </c>
      <c r="AM678" s="15" t="s">
        <v>4293</v>
      </c>
      <c r="AN678" s="15" t="s">
        <v>4294</v>
      </c>
      <c r="AO678" s="15" t="s">
        <v>1561</v>
      </c>
      <c r="AP678" s="15" t="s">
        <v>1562</v>
      </c>
      <c r="AQ678" s="15" t="s">
        <v>546</v>
      </c>
      <c r="AR678" s="15" t="s">
        <v>547</v>
      </c>
      <c r="AS678" s="15" t="s">
        <v>4400</v>
      </c>
      <c r="AT678" s="15" t="s">
        <v>7494</v>
      </c>
      <c r="AU678" s="15" t="s">
        <v>7479</v>
      </c>
      <c r="AW678" s="15" t="s">
        <v>602</v>
      </c>
      <c r="AY678" s="15" t="s">
        <v>413</v>
      </c>
      <c r="AZ678" s="15" t="b">
        <v>0</v>
      </c>
      <c r="BA678" s="15" t="s">
        <v>413</v>
      </c>
      <c r="BB678" s="15" t="b">
        <v>0</v>
      </c>
      <c r="BC678" s="15" t="s">
        <v>7483</v>
      </c>
      <c r="BD678" s="15" t="s">
        <v>1303</v>
      </c>
      <c r="BE678" s="15" t="str">
        <f t="shared" si="1145"/>
        <v>1</v>
      </c>
      <c r="BF678" s="15" t="s">
        <v>416</v>
      </c>
      <c r="BG678" s="15" t="str">
        <f>"97.25"</f>
        <v>97.25</v>
      </c>
      <c r="BH678" s="15" t="s">
        <v>7498</v>
      </c>
      <c r="BI678" s="15" t="str">
        <f>"27.5"</f>
        <v>27.5</v>
      </c>
      <c r="BJ678" s="15" t="s">
        <v>1056</v>
      </c>
      <c r="BK678" s="15" t="str">
        <f>"35.5"</f>
        <v>35.5</v>
      </c>
      <c r="BL678" s="15" t="s">
        <v>914</v>
      </c>
      <c r="BM678" s="15" t="str">
        <f>"269.52"</f>
        <v>269.52</v>
      </c>
      <c r="BN678" s="15" t="s">
        <v>7499</v>
      </c>
      <c r="BQ678" s="15" t="s">
        <v>444</v>
      </c>
      <c r="BS678" s="15" t="s">
        <v>444</v>
      </c>
      <c r="BU678" s="15" t="s">
        <v>444</v>
      </c>
      <c r="BW678" s="15" t="s">
        <v>444</v>
      </c>
      <c r="BZ678" s="15" t="s">
        <v>444</v>
      </c>
      <c r="CB678" s="15" t="s">
        <v>444</v>
      </c>
      <c r="CD678" s="15" t="s">
        <v>444</v>
      </c>
      <c r="CF678" s="15" t="s">
        <v>444</v>
      </c>
      <c r="CI678" s="15" t="s">
        <v>444</v>
      </c>
      <c r="CK678" s="15" t="s">
        <v>444</v>
      </c>
      <c r="CM678" s="15" t="s">
        <v>444</v>
      </c>
      <c r="CO678" s="15" t="s">
        <v>444</v>
      </c>
      <c r="CP678" s="15" t="str">
        <f>"54.95"</f>
        <v>54.95</v>
      </c>
      <c r="CQ678" s="15" t="str">
        <f>"1.556"</f>
        <v>1.556</v>
      </c>
      <c r="CR678" s="15" t="s">
        <v>417</v>
      </c>
      <c r="CS678" s="15" t="s">
        <v>1075</v>
      </c>
      <c r="CT678" s="15" t="s">
        <v>612</v>
      </c>
      <c r="CU678" s="15" t="s">
        <v>7500</v>
      </c>
      <c r="CV678" s="15" t="s">
        <v>1075</v>
      </c>
      <c r="CW678" s="15" t="s">
        <v>995</v>
      </c>
      <c r="CX678" s="15" t="s">
        <v>7500</v>
      </c>
      <c r="DC678" s="15" t="str">
        <f>IFERROR(__xludf.DUMMYFUNCTION("""COMPUTED_VALUE"""),"")</f>
        <v/>
      </c>
      <c r="DE678" s="15" t="str">
        <f>IFERROR(__xludf.DUMMYFUNCTION("""COMPUTED_VALUE"""),"")</f>
        <v/>
      </c>
      <c r="DG678" s="15" t="str">
        <f>IFERROR(__xludf.DUMMYFUNCTION("""COMPUTED_VALUE"""),"")</f>
        <v/>
      </c>
      <c r="DL678" s="15" t="str">
        <f>IFERROR(__xludf.DUMMYFUNCTION("""COMPUTED_VALUE"""),"")</f>
        <v/>
      </c>
      <c r="DM678" s="15" t="s">
        <v>444</v>
      </c>
      <c r="DN678" s="15" t="s">
        <v>1371</v>
      </c>
      <c r="DO678" s="15">
        <v>4.0</v>
      </c>
      <c r="DP678" s="15" t="s">
        <v>2601</v>
      </c>
      <c r="DR678" s="15">
        <v>1.0</v>
      </c>
      <c r="DS678" s="15" t="s">
        <v>426</v>
      </c>
      <c r="DT678" s="15" t="s">
        <v>2048</v>
      </c>
      <c r="DU678" s="15" t="s">
        <v>610</v>
      </c>
      <c r="DW678" s="15">
        <v>18.14</v>
      </c>
      <c r="DX678" s="15">
        <v>40.0</v>
      </c>
      <c r="DY678" s="15">
        <v>0.0</v>
      </c>
      <c r="EG678" s="15" t="s">
        <v>444</v>
      </c>
      <c r="EH678" s="15" t="s">
        <v>7485</v>
      </c>
      <c r="EK678" s="15" t="s">
        <v>444</v>
      </c>
      <c r="EM678" s="15" t="str">
        <f>IFERROR(__xludf.DUMMYFUNCTION("""COMPUTED_VALUE"""),"")</f>
        <v/>
      </c>
      <c r="EW678" s="15" t="s">
        <v>1254</v>
      </c>
      <c r="FL678" s="15" t="s">
        <v>426</v>
      </c>
      <c r="FM678" s="15">
        <v>2.0</v>
      </c>
      <c r="FY678" s="15" t="s">
        <v>6018</v>
      </c>
      <c r="FZ678" s="15" t="s">
        <v>1188</v>
      </c>
      <c r="GA678" s="15" t="s">
        <v>1592</v>
      </c>
      <c r="GF678" s="15" t="s">
        <v>426</v>
      </c>
      <c r="GH678" s="15">
        <v>2.0</v>
      </c>
      <c r="GI678" s="15" t="s">
        <v>614</v>
      </c>
      <c r="GJ678" s="15" t="s">
        <v>615</v>
      </c>
      <c r="GN678" s="15" t="s">
        <v>616</v>
      </c>
      <c r="GO678" s="15" t="s">
        <v>426</v>
      </c>
      <c r="GQ678" s="15" t="s">
        <v>3308</v>
      </c>
      <c r="GS678" s="15" t="s">
        <v>762</v>
      </c>
      <c r="GU678" s="15" t="s">
        <v>3748</v>
      </c>
      <c r="GW678" s="15" t="s">
        <v>838</v>
      </c>
      <c r="GY678" s="15" t="s">
        <v>420</v>
      </c>
      <c r="GZ678" s="15" t="s">
        <v>426</v>
      </c>
      <c r="HA678" s="15" t="s">
        <v>1160</v>
      </c>
      <c r="HB678" s="15" t="s">
        <v>2805</v>
      </c>
      <c r="HC678" s="15" t="s">
        <v>7500</v>
      </c>
      <c r="HD678" s="15">
        <v>0.0</v>
      </c>
    </row>
    <row r="679" ht="15.75" customHeight="1">
      <c r="A679" s="14" t="s">
        <v>391</v>
      </c>
      <c r="B679" s="15" t="s">
        <v>7501</v>
      </c>
      <c r="C679" s="16"/>
      <c r="D679" s="15" t="s">
        <v>432</v>
      </c>
      <c r="G679" s="14" t="s">
        <v>393</v>
      </c>
      <c r="H679" s="14" t="s">
        <v>394</v>
      </c>
      <c r="I679" s="14" t="b">
        <v>1</v>
      </c>
      <c r="J679" s="14" t="s">
        <v>395</v>
      </c>
      <c r="L679" s="14" t="b">
        <v>0</v>
      </c>
      <c r="M679" s="15" t="s">
        <v>7502</v>
      </c>
      <c r="N679" s="14" t="s">
        <v>393</v>
      </c>
      <c r="O679" s="14" t="s">
        <v>393</v>
      </c>
      <c r="P679" s="15" t="s">
        <v>397</v>
      </c>
      <c r="Q679" s="15" t="s">
        <v>7503</v>
      </c>
      <c r="T679" s="14" t="b">
        <v>0</v>
      </c>
      <c r="U679" s="15" t="s">
        <v>7504</v>
      </c>
      <c r="V679" s="15" t="s">
        <v>7505</v>
      </c>
      <c r="W679" s="15" t="s">
        <v>401</v>
      </c>
      <c r="X679" s="15" t="s">
        <v>742</v>
      </c>
      <c r="Y679" s="15">
        <v>2626.0</v>
      </c>
      <c r="AA679" s="15" t="str">
        <f t="shared" ref="AA679:AA680" si="1146">"1010"</f>
        <v>1010</v>
      </c>
      <c r="AB679" s="14" t="b">
        <v>1</v>
      </c>
      <c r="AC679" s="14" t="b">
        <v>1</v>
      </c>
      <c r="AD679" s="15" t="str">
        <f>"801542028749"</f>
        <v>801542028749</v>
      </c>
      <c r="AE679" s="15" t="s">
        <v>7506</v>
      </c>
      <c r="AF679" s="14" t="s">
        <v>404</v>
      </c>
      <c r="AG679" s="14" t="s">
        <v>405</v>
      </c>
      <c r="AH679" s="14" t="s">
        <v>406</v>
      </c>
      <c r="AI679" s="15">
        <v>0.0</v>
      </c>
      <c r="AL679" s="15" t="s">
        <v>7507</v>
      </c>
      <c r="AM679" s="15" t="s">
        <v>7508</v>
      </c>
      <c r="AN679" s="15" t="s">
        <v>7509</v>
      </c>
      <c r="AO679" s="15" t="s">
        <v>1152</v>
      </c>
      <c r="AP679" s="15" t="s">
        <v>1153</v>
      </c>
      <c r="AQ679" s="15" t="s">
        <v>517</v>
      </c>
      <c r="AR679" s="15" t="s">
        <v>518</v>
      </c>
      <c r="AS679" s="15" t="s">
        <v>1474</v>
      </c>
      <c r="AT679" s="15" t="s">
        <v>7503</v>
      </c>
      <c r="AU679" s="15" t="s">
        <v>7510</v>
      </c>
      <c r="AW679" s="15" t="s">
        <v>412</v>
      </c>
      <c r="AY679" s="15" t="s">
        <v>413</v>
      </c>
      <c r="AZ679" s="15" t="b">
        <v>0</v>
      </c>
      <c r="BA679" s="15" t="s">
        <v>413</v>
      </c>
      <c r="BB679" s="15" t="b">
        <v>0</v>
      </c>
      <c r="BC679" s="15" t="s">
        <v>7511</v>
      </c>
      <c r="BD679" s="15" t="s">
        <v>742</v>
      </c>
      <c r="BE679" s="15" t="str">
        <f t="shared" si="1145"/>
        <v>1</v>
      </c>
      <c r="BF679" s="15" t="s">
        <v>2943</v>
      </c>
      <c r="BG679" s="15" t="str">
        <f t="shared" ref="BG679:BG680" si="1147">"79.53"</f>
        <v>79.53</v>
      </c>
      <c r="BH679" s="15" t="s">
        <v>521</v>
      </c>
      <c r="BI679" s="15" t="str">
        <f t="shared" ref="BI679:BI682" si="1148">"21.65"</f>
        <v>21.65</v>
      </c>
      <c r="BJ679" s="15" t="s">
        <v>1506</v>
      </c>
      <c r="BK679" s="15" t="str">
        <f t="shared" ref="BK679:BK682" si="1149">"36.61"</f>
        <v>36.61</v>
      </c>
      <c r="BL679" s="15" t="s">
        <v>1734</v>
      </c>
      <c r="BM679" s="15" t="str">
        <f t="shared" ref="BM679:BM680" si="1150">"308.65"</f>
        <v>308.65</v>
      </c>
      <c r="BN679" s="15" t="s">
        <v>6698</v>
      </c>
      <c r="BQ679" s="15" t="s">
        <v>444</v>
      </c>
      <c r="BS679" s="15" t="s">
        <v>444</v>
      </c>
      <c r="BU679" s="15" t="s">
        <v>444</v>
      </c>
      <c r="BW679" s="15" t="s">
        <v>444</v>
      </c>
      <c r="BZ679" s="15" t="s">
        <v>444</v>
      </c>
      <c r="CB679" s="15" t="s">
        <v>444</v>
      </c>
      <c r="CD679" s="15" t="s">
        <v>444</v>
      </c>
      <c r="CF679" s="15" t="s">
        <v>444</v>
      </c>
      <c r="CI679" s="15" t="s">
        <v>444</v>
      </c>
      <c r="CK679" s="15" t="s">
        <v>444</v>
      </c>
      <c r="CM679" s="15" t="s">
        <v>444</v>
      </c>
      <c r="CO679" s="15" t="s">
        <v>444</v>
      </c>
      <c r="CP679" s="15" t="str">
        <f t="shared" ref="CP679:CP680" si="1151">"36.48"</f>
        <v>36.48</v>
      </c>
      <c r="CQ679" s="15" t="str">
        <f t="shared" ref="CQ679:CQ680" si="1152">"1.033"</f>
        <v>1.033</v>
      </c>
      <c r="CR679" s="15" t="s">
        <v>497</v>
      </c>
      <c r="DC679" s="15" t="str">
        <f>IFERROR(__xludf.DUMMYFUNCTION("""COMPUTED_VALUE"""),"")</f>
        <v/>
      </c>
      <c r="DE679" s="15" t="str">
        <f>IFERROR(__xludf.DUMMYFUNCTION("""COMPUTED_VALUE"""),"")</f>
        <v/>
      </c>
      <c r="DG679" s="15" t="str">
        <f>IFERROR(__xludf.DUMMYFUNCTION("""COMPUTED_VALUE"""),"")</f>
        <v/>
      </c>
      <c r="DL679" s="15" t="str">
        <f>IFERROR(__xludf.DUMMYFUNCTION("""COMPUTED_VALUE"""),"")</f>
        <v/>
      </c>
      <c r="DM679" s="15" t="s">
        <v>444</v>
      </c>
      <c r="DN679" s="15" t="s">
        <v>1371</v>
      </c>
      <c r="DO679" s="15">
        <v>6.0</v>
      </c>
      <c r="DP679" s="15" t="s">
        <v>1185</v>
      </c>
      <c r="DR679" s="15">
        <v>0.0</v>
      </c>
      <c r="DT679" s="15" t="s">
        <v>1186</v>
      </c>
      <c r="DU679" s="15" t="s">
        <v>421</v>
      </c>
      <c r="DY679" s="15">
        <v>0.0</v>
      </c>
      <c r="EF679" s="15" t="s">
        <v>422</v>
      </c>
      <c r="EG679" s="15" t="s">
        <v>445</v>
      </c>
      <c r="EH679" s="15" t="s">
        <v>7512</v>
      </c>
      <c r="EJ679" s="15" t="s">
        <v>424</v>
      </c>
      <c r="EK679" s="15" t="s">
        <v>446</v>
      </c>
      <c r="EM679" s="15" t="str">
        <f>IFERROR(__xludf.DUMMYFUNCTION("""COMPUTED_VALUE"""),"")</f>
        <v/>
      </c>
      <c r="EW679" s="15" t="s">
        <v>2144</v>
      </c>
      <c r="FL679" s="15" t="s">
        <v>426</v>
      </c>
      <c r="FM679" s="15">
        <v>0.0</v>
      </c>
      <c r="GH679" s="15">
        <v>0.0</v>
      </c>
      <c r="GI679" s="15" t="s">
        <v>427</v>
      </c>
      <c r="GO679" s="15" t="s">
        <v>426</v>
      </c>
      <c r="GQ679" s="15" t="s">
        <v>4470</v>
      </c>
      <c r="GS679" s="15" t="s">
        <v>5481</v>
      </c>
      <c r="GU679" s="15" t="s">
        <v>7513</v>
      </c>
      <c r="GW679" s="15" t="s">
        <v>431</v>
      </c>
      <c r="GY679" s="15" t="s">
        <v>420</v>
      </c>
      <c r="GZ679" s="15" t="s">
        <v>426</v>
      </c>
    </row>
    <row r="680" ht="15.75" customHeight="1">
      <c r="A680" s="14" t="s">
        <v>391</v>
      </c>
      <c r="B680" s="15" t="s">
        <v>7501</v>
      </c>
      <c r="C680" s="16"/>
      <c r="D680" s="15" t="s">
        <v>432</v>
      </c>
      <c r="G680" s="14" t="s">
        <v>393</v>
      </c>
      <c r="H680" s="14" t="s">
        <v>394</v>
      </c>
      <c r="I680" s="14" t="b">
        <v>1</v>
      </c>
      <c r="J680" s="14" t="s">
        <v>395</v>
      </c>
      <c r="L680" s="14" t="b">
        <v>0</v>
      </c>
      <c r="M680" s="15" t="s">
        <v>7514</v>
      </c>
      <c r="N680" s="14" t="s">
        <v>393</v>
      </c>
      <c r="O680" s="14" t="s">
        <v>393</v>
      </c>
      <c r="P680" s="15" t="s">
        <v>397</v>
      </c>
      <c r="Q680" s="15" t="s">
        <v>7515</v>
      </c>
      <c r="T680" s="14" t="b">
        <v>0</v>
      </c>
      <c r="U680" s="15" t="s">
        <v>7516</v>
      </c>
      <c r="V680" s="15" t="s">
        <v>7505</v>
      </c>
      <c r="W680" s="15" t="s">
        <v>401</v>
      </c>
      <c r="X680" s="15" t="s">
        <v>742</v>
      </c>
      <c r="Y680" s="15">
        <v>2626.0</v>
      </c>
      <c r="AA680" s="15" t="str">
        <f t="shared" si="1146"/>
        <v>1010</v>
      </c>
      <c r="AB680" s="14" t="b">
        <v>1</v>
      </c>
      <c r="AC680" s="14" t="b">
        <v>1</v>
      </c>
      <c r="AD680" s="15" t="str">
        <f>"198394020336"</f>
        <v>198394020336</v>
      </c>
      <c r="AE680" s="15" t="s">
        <v>7517</v>
      </c>
      <c r="AF680" s="14" t="s">
        <v>404</v>
      </c>
      <c r="AG680" s="14" t="s">
        <v>405</v>
      </c>
      <c r="AH680" s="14" t="s">
        <v>406</v>
      </c>
      <c r="AI680" s="15">
        <v>0.0</v>
      </c>
      <c r="AL680" s="15" t="s">
        <v>7507</v>
      </c>
      <c r="AM680" s="15" t="s">
        <v>7508</v>
      </c>
      <c r="AN680" s="15" t="s">
        <v>7509</v>
      </c>
      <c r="AO680" s="15" t="s">
        <v>1152</v>
      </c>
      <c r="AP680" s="15" t="s">
        <v>1153</v>
      </c>
      <c r="AQ680" s="15" t="s">
        <v>517</v>
      </c>
      <c r="AR680" s="15" t="s">
        <v>518</v>
      </c>
      <c r="AS680" s="15" t="s">
        <v>1474</v>
      </c>
      <c r="AT680" s="15" t="s">
        <v>7515</v>
      </c>
      <c r="AU680" s="15" t="s">
        <v>7518</v>
      </c>
      <c r="AW680" s="15" t="s">
        <v>412</v>
      </c>
      <c r="AY680" s="15" t="s">
        <v>413</v>
      </c>
      <c r="AZ680" s="15" t="b">
        <v>0</v>
      </c>
      <c r="BA680" s="15" t="s">
        <v>413</v>
      </c>
      <c r="BB680" s="15" t="b">
        <v>0</v>
      </c>
      <c r="BC680" s="15" t="s">
        <v>7519</v>
      </c>
      <c r="BD680" s="15" t="s">
        <v>742</v>
      </c>
      <c r="BE680" s="15" t="str">
        <f t="shared" si="1145"/>
        <v>1</v>
      </c>
      <c r="BF680" s="15" t="s">
        <v>416</v>
      </c>
      <c r="BG680" s="15" t="str">
        <f t="shared" si="1147"/>
        <v>79.53</v>
      </c>
      <c r="BH680" s="15" t="s">
        <v>521</v>
      </c>
      <c r="BI680" s="15" t="str">
        <f t="shared" si="1148"/>
        <v>21.65</v>
      </c>
      <c r="BJ680" s="15" t="s">
        <v>1506</v>
      </c>
      <c r="BK680" s="15" t="str">
        <f t="shared" si="1149"/>
        <v>36.61</v>
      </c>
      <c r="BL680" s="15" t="s">
        <v>1734</v>
      </c>
      <c r="BM680" s="15" t="str">
        <f t="shared" si="1150"/>
        <v>308.65</v>
      </c>
      <c r="BN680" s="15" t="s">
        <v>6698</v>
      </c>
      <c r="BQ680" s="15" t="s">
        <v>444</v>
      </c>
      <c r="BS680" s="15" t="s">
        <v>444</v>
      </c>
      <c r="BU680" s="15" t="s">
        <v>444</v>
      </c>
      <c r="BW680" s="15" t="s">
        <v>444</v>
      </c>
      <c r="BZ680" s="15" t="s">
        <v>444</v>
      </c>
      <c r="CB680" s="15" t="s">
        <v>444</v>
      </c>
      <c r="CD680" s="15" t="s">
        <v>444</v>
      </c>
      <c r="CF680" s="15" t="s">
        <v>444</v>
      </c>
      <c r="CI680" s="15" t="s">
        <v>444</v>
      </c>
      <c r="CK680" s="15" t="s">
        <v>444</v>
      </c>
      <c r="CM680" s="15" t="s">
        <v>444</v>
      </c>
      <c r="CO680" s="15" t="s">
        <v>444</v>
      </c>
      <c r="CP680" s="15" t="str">
        <f t="shared" si="1151"/>
        <v>36.48</v>
      </c>
      <c r="CQ680" s="15" t="str">
        <f t="shared" si="1152"/>
        <v>1.033</v>
      </c>
      <c r="CR680" s="15" t="s">
        <v>465</v>
      </c>
      <c r="DC680" s="15" t="str">
        <f>IFERROR(__xludf.DUMMYFUNCTION("""COMPUTED_VALUE"""),"")</f>
        <v/>
      </c>
      <c r="DE680" s="15" t="str">
        <f>IFERROR(__xludf.DUMMYFUNCTION("""COMPUTED_VALUE"""),"")</f>
        <v/>
      </c>
      <c r="DG680" s="15" t="str">
        <f>IFERROR(__xludf.DUMMYFUNCTION("""COMPUTED_VALUE"""),"")</f>
        <v/>
      </c>
      <c r="DL680" s="15" t="str">
        <f>IFERROR(__xludf.DUMMYFUNCTION("""COMPUTED_VALUE"""),"")</f>
        <v/>
      </c>
      <c r="DM680" s="15" t="s">
        <v>444</v>
      </c>
      <c r="DN680" s="15" t="s">
        <v>1371</v>
      </c>
      <c r="DO680" s="15">
        <v>6.0</v>
      </c>
      <c r="DP680" s="15" t="s">
        <v>1185</v>
      </c>
      <c r="DR680" s="15">
        <v>0.0</v>
      </c>
      <c r="DT680" s="15" t="s">
        <v>1186</v>
      </c>
      <c r="DU680" s="15" t="s">
        <v>421</v>
      </c>
      <c r="DY680" s="15">
        <v>0.0</v>
      </c>
      <c r="EF680" s="15" t="s">
        <v>422</v>
      </c>
      <c r="EG680" s="15" t="s">
        <v>445</v>
      </c>
      <c r="EH680" s="15" t="s">
        <v>7512</v>
      </c>
      <c r="EJ680" s="15" t="s">
        <v>424</v>
      </c>
      <c r="EK680" s="15" t="s">
        <v>446</v>
      </c>
      <c r="EM680" s="15" t="str">
        <f>IFERROR(__xludf.DUMMYFUNCTION("""COMPUTED_VALUE"""),"")</f>
        <v/>
      </c>
      <c r="EW680" s="15" t="s">
        <v>2144</v>
      </c>
      <c r="FL680" s="15" t="s">
        <v>426</v>
      </c>
      <c r="FM680" s="15">
        <v>0.0</v>
      </c>
      <c r="GH680" s="15">
        <v>0.0</v>
      </c>
      <c r="GI680" s="15" t="s">
        <v>427</v>
      </c>
      <c r="GO680" s="15" t="s">
        <v>426</v>
      </c>
      <c r="GQ680" s="15" t="s">
        <v>4470</v>
      </c>
      <c r="GS680" s="15" t="s">
        <v>5481</v>
      </c>
      <c r="GU680" s="15" t="s">
        <v>7513</v>
      </c>
      <c r="GW680" s="15" t="s">
        <v>431</v>
      </c>
      <c r="GY680" s="15" t="s">
        <v>420</v>
      </c>
      <c r="GZ680" s="15" t="s">
        <v>426</v>
      </c>
    </row>
    <row r="681" ht="15.75" customHeight="1">
      <c r="A681" s="14" t="s">
        <v>391</v>
      </c>
      <c r="B681" s="15" t="s">
        <v>7520</v>
      </c>
      <c r="C681" s="16"/>
      <c r="D681" s="15" t="s">
        <v>432</v>
      </c>
      <c r="G681" s="14" t="s">
        <v>393</v>
      </c>
      <c r="H681" s="14" t="s">
        <v>394</v>
      </c>
      <c r="I681" s="14" t="b">
        <v>1</v>
      </c>
      <c r="J681" s="14" t="s">
        <v>395</v>
      </c>
      <c r="L681" s="14" t="b">
        <v>0</v>
      </c>
      <c r="M681" s="15" t="s">
        <v>7521</v>
      </c>
      <c r="N681" s="14" t="s">
        <v>393</v>
      </c>
      <c r="O681" s="14" t="s">
        <v>393</v>
      </c>
      <c r="P681" s="15" t="s">
        <v>397</v>
      </c>
      <c r="Q681" s="15" t="s">
        <v>7503</v>
      </c>
      <c r="T681" s="14" t="b">
        <v>0</v>
      </c>
      <c r="U681" s="15" t="s">
        <v>7522</v>
      </c>
      <c r="V681" s="15" t="s">
        <v>2075</v>
      </c>
      <c r="W681" s="15" t="s">
        <v>401</v>
      </c>
      <c r="X681" s="15" t="s">
        <v>742</v>
      </c>
      <c r="Y681" s="15">
        <v>3276.0</v>
      </c>
      <c r="AA681" s="15" t="str">
        <f t="shared" ref="AA681:AA682" si="1153">"1260"</f>
        <v>1260</v>
      </c>
      <c r="AB681" s="14" t="b">
        <v>1</v>
      </c>
      <c r="AC681" s="14" t="b">
        <v>1</v>
      </c>
      <c r="AD681" s="15" t="str">
        <f>"801542028756"</f>
        <v>801542028756</v>
      </c>
      <c r="AE681" s="15" t="s">
        <v>7523</v>
      </c>
      <c r="AF681" s="14" t="s">
        <v>404</v>
      </c>
      <c r="AG681" s="14" t="s">
        <v>405</v>
      </c>
      <c r="AH681" s="14" t="s">
        <v>406</v>
      </c>
      <c r="AI681" s="15">
        <v>0.0</v>
      </c>
      <c r="AL681" s="15" t="s">
        <v>7507</v>
      </c>
      <c r="AM681" s="15" t="s">
        <v>1746</v>
      </c>
      <c r="AN681" s="15" t="s">
        <v>1750</v>
      </c>
      <c r="AO681" s="15" t="s">
        <v>1152</v>
      </c>
      <c r="AP681" s="15" t="s">
        <v>1153</v>
      </c>
      <c r="AQ681" s="15" t="s">
        <v>517</v>
      </c>
      <c r="AR681" s="15" t="s">
        <v>518</v>
      </c>
      <c r="AS681" s="15" t="s">
        <v>1474</v>
      </c>
      <c r="AT681" s="15" t="s">
        <v>7503</v>
      </c>
      <c r="AU681" s="15" t="s">
        <v>7510</v>
      </c>
      <c r="AW681" s="15" t="s">
        <v>412</v>
      </c>
      <c r="AY681" s="15" t="s">
        <v>413</v>
      </c>
      <c r="AZ681" s="15" t="b">
        <v>0</v>
      </c>
      <c r="BA681" s="15" t="s">
        <v>413</v>
      </c>
      <c r="BB681" s="15" t="b">
        <v>0</v>
      </c>
      <c r="BC681" s="15" t="s">
        <v>7524</v>
      </c>
      <c r="BD681" s="15" t="s">
        <v>742</v>
      </c>
      <c r="BE681" s="15" t="str">
        <f t="shared" si="1145"/>
        <v>1</v>
      </c>
      <c r="BF681" s="15" t="s">
        <v>7525</v>
      </c>
      <c r="BG681" s="15" t="str">
        <f t="shared" ref="BG681:BG682" si="1154">"92.52"</f>
        <v>92.52</v>
      </c>
      <c r="BH681" s="15" t="s">
        <v>7526</v>
      </c>
      <c r="BI681" s="15" t="str">
        <f t="shared" si="1148"/>
        <v>21.65</v>
      </c>
      <c r="BJ681" s="15" t="s">
        <v>1506</v>
      </c>
      <c r="BK681" s="15" t="str">
        <f t="shared" si="1149"/>
        <v>36.61</v>
      </c>
      <c r="BL681" s="15" t="s">
        <v>1734</v>
      </c>
      <c r="BM681" s="15" t="str">
        <f t="shared" ref="BM681:BM682" si="1155">"370.38"</f>
        <v>370.38</v>
      </c>
      <c r="BN681" s="15" t="s">
        <v>7527</v>
      </c>
      <c r="BQ681" s="15" t="s">
        <v>444</v>
      </c>
      <c r="BS681" s="15" t="s">
        <v>444</v>
      </c>
      <c r="BU681" s="15" t="s">
        <v>444</v>
      </c>
      <c r="BW681" s="15" t="s">
        <v>444</v>
      </c>
      <c r="BZ681" s="15" t="s">
        <v>444</v>
      </c>
      <c r="CB681" s="15" t="s">
        <v>444</v>
      </c>
      <c r="CD681" s="15" t="s">
        <v>444</v>
      </c>
      <c r="CF681" s="15" t="s">
        <v>444</v>
      </c>
      <c r="CI681" s="15" t="s">
        <v>444</v>
      </c>
      <c r="CK681" s="15" t="s">
        <v>444</v>
      </c>
      <c r="CM681" s="15" t="s">
        <v>444</v>
      </c>
      <c r="CO681" s="15" t="s">
        <v>444</v>
      </c>
      <c r="CP681" s="15" t="str">
        <f t="shared" ref="CP681:CP682" si="1156">"42.45"</f>
        <v>42.45</v>
      </c>
      <c r="CQ681" s="15" t="str">
        <f t="shared" ref="CQ681:CQ682" si="1157">"1.202"</f>
        <v>1.202</v>
      </c>
      <c r="CR681" s="15" t="s">
        <v>497</v>
      </c>
      <c r="DC681" s="15" t="str">
        <f>IFERROR(__xludf.DUMMYFUNCTION("""COMPUTED_VALUE"""),"")</f>
        <v/>
      </c>
      <c r="DE681" s="15" t="str">
        <f>IFERROR(__xludf.DUMMYFUNCTION("""COMPUTED_VALUE"""),"")</f>
        <v/>
      </c>
      <c r="DG681" s="15" t="str">
        <f>IFERROR(__xludf.DUMMYFUNCTION("""COMPUTED_VALUE"""),"")</f>
        <v/>
      </c>
      <c r="DL681" s="15" t="str">
        <f>IFERROR(__xludf.DUMMYFUNCTION("""COMPUTED_VALUE"""),"")</f>
        <v/>
      </c>
      <c r="DM681" s="15" t="s">
        <v>444</v>
      </c>
      <c r="DN681" s="15" t="s">
        <v>1371</v>
      </c>
      <c r="DO681" s="15">
        <v>9.0</v>
      </c>
      <c r="DP681" s="15" t="s">
        <v>1185</v>
      </c>
      <c r="DR681" s="15">
        <v>0.0</v>
      </c>
      <c r="DT681" s="15" t="s">
        <v>1186</v>
      </c>
      <c r="DU681" s="15" t="s">
        <v>421</v>
      </c>
      <c r="DY681" s="15">
        <v>0.0</v>
      </c>
      <c r="EF681" s="15" t="s">
        <v>422</v>
      </c>
      <c r="EG681" s="15" t="s">
        <v>445</v>
      </c>
      <c r="EH681" s="15" t="s">
        <v>7512</v>
      </c>
      <c r="EJ681" s="15" t="s">
        <v>424</v>
      </c>
      <c r="EK681" s="15" t="s">
        <v>446</v>
      </c>
      <c r="EM681" s="15" t="str">
        <f>IFERROR(__xludf.DUMMYFUNCTION("""COMPUTED_VALUE"""),"")</f>
        <v/>
      </c>
      <c r="EW681" s="15" t="s">
        <v>2144</v>
      </c>
      <c r="FL681" s="15" t="s">
        <v>426</v>
      </c>
      <c r="FM681" s="15">
        <v>0.0</v>
      </c>
      <c r="GH681" s="15">
        <v>0.0</v>
      </c>
      <c r="GI681" s="15" t="s">
        <v>427</v>
      </c>
      <c r="GO681" s="15" t="s">
        <v>426</v>
      </c>
      <c r="GQ681" s="15" t="s">
        <v>4470</v>
      </c>
      <c r="GS681" s="15" t="s">
        <v>5481</v>
      </c>
      <c r="GU681" s="15" t="s">
        <v>7528</v>
      </c>
      <c r="GW681" s="15" t="s">
        <v>431</v>
      </c>
      <c r="GY681" s="15" t="s">
        <v>420</v>
      </c>
      <c r="GZ681" s="15" t="s">
        <v>426</v>
      </c>
    </row>
    <row r="682" ht="15.75" customHeight="1">
      <c r="A682" s="14" t="s">
        <v>391</v>
      </c>
      <c r="B682" s="15" t="s">
        <v>7520</v>
      </c>
      <c r="C682" s="16"/>
      <c r="D682" s="15" t="s">
        <v>432</v>
      </c>
      <c r="G682" s="14" t="s">
        <v>393</v>
      </c>
      <c r="H682" s="14" t="s">
        <v>394</v>
      </c>
      <c r="I682" s="14" t="b">
        <v>1</v>
      </c>
      <c r="J682" s="14" t="s">
        <v>395</v>
      </c>
      <c r="L682" s="14" t="b">
        <v>0</v>
      </c>
      <c r="M682" s="15" t="s">
        <v>7529</v>
      </c>
      <c r="N682" s="14" t="s">
        <v>393</v>
      </c>
      <c r="O682" s="14" t="s">
        <v>393</v>
      </c>
      <c r="P682" s="15" t="s">
        <v>397</v>
      </c>
      <c r="Q682" s="15" t="s">
        <v>7515</v>
      </c>
      <c r="T682" s="14" t="b">
        <v>0</v>
      </c>
      <c r="U682" s="15" t="s">
        <v>7530</v>
      </c>
      <c r="V682" s="15" t="s">
        <v>2075</v>
      </c>
      <c r="W682" s="15" t="s">
        <v>401</v>
      </c>
      <c r="X682" s="15" t="s">
        <v>742</v>
      </c>
      <c r="Y682" s="15">
        <v>3276.0</v>
      </c>
      <c r="AA682" s="15" t="str">
        <f t="shared" si="1153"/>
        <v>1260</v>
      </c>
      <c r="AB682" s="14" t="b">
        <v>1</v>
      </c>
      <c r="AC682" s="14" t="b">
        <v>1</v>
      </c>
      <c r="AD682" s="15" t="str">
        <f>"198394020343"</f>
        <v>198394020343</v>
      </c>
      <c r="AE682" s="15" t="s">
        <v>7531</v>
      </c>
      <c r="AF682" s="14" t="s">
        <v>404</v>
      </c>
      <c r="AG682" s="14" t="s">
        <v>405</v>
      </c>
      <c r="AH682" s="14" t="s">
        <v>406</v>
      </c>
      <c r="AI682" s="15">
        <v>0.0</v>
      </c>
      <c r="AL682" s="15" t="s">
        <v>7507</v>
      </c>
      <c r="AM682" s="15" t="s">
        <v>1746</v>
      </c>
      <c r="AN682" s="15" t="s">
        <v>1750</v>
      </c>
      <c r="AO682" s="15" t="s">
        <v>1152</v>
      </c>
      <c r="AP682" s="15" t="s">
        <v>1153</v>
      </c>
      <c r="AQ682" s="15" t="s">
        <v>517</v>
      </c>
      <c r="AR682" s="15" t="s">
        <v>518</v>
      </c>
      <c r="AS682" s="15" t="s">
        <v>1474</v>
      </c>
      <c r="AT682" s="15" t="s">
        <v>7515</v>
      </c>
      <c r="AU682" s="15" t="s">
        <v>7518</v>
      </c>
      <c r="AW682" s="15" t="s">
        <v>412</v>
      </c>
      <c r="AY682" s="15" t="s">
        <v>413</v>
      </c>
      <c r="AZ682" s="15" t="b">
        <v>0</v>
      </c>
      <c r="BA682" s="15" t="s">
        <v>413</v>
      </c>
      <c r="BB682" s="15" t="b">
        <v>0</v>
      </c>
      <c r="BC682" s="15" t="s">
        <v>7532</v>
      </c>
      <c r="BD682" s="15" t="s">
        <v>742</v>
      </c>
      <c r="BE682" s="15" t="str">
        <f t="shared" si="1145"/>
        <v>1</v>
      </c>
      <c r="BF682" s="15" t="s">
        <v>416</v>
      </c>
      <c r="BG682" s="15" t="str">
        <f t="shared" si="1154"/>
        <v>92.52</v>
      </c>
      <c r="BH682" s="15" t="s">
        <v>7526</v>
      </c>
      <c r="BI682" s="15" t="str">
        <f t="shared" si="1148"/>
        <v>21.65</v>
      </c>
      <c r="BJ682" s="15" t="s">
        <v>1506</v>
      </c>
      <c r="BK682" s="15" t="str">
        <f t="shared" si="1149"/>
        <v>36.61</v>
      </c>
      <c r="BL682" s="15" t="s">
        <v>1734</v>
      </c>
      <c r="BM682" s="15" t="str">
        <f t="shared" si="1155"/>
        <v>370.38</v>
      </c>
      <c r="BN682" s="15" t="s">
        <v>7527</v>
      </c>
      <c r="BQ682" s="15" t="s">
        <v>444</v>
      </c>
      <c r="BS682" s="15" t="s">
        <v>444</v>
      </c>
      <c r="BU682" s="15" t="s">
        <v>444</v>
      </c>
      <c r="BW682" s="15" t="s">
        <v>444</v>
      </c>
      <c r="BZ682" s="15" t="s">
        <v>444</v>
      </c>
      <c r="CB682" s="15" t="s">
        <v>444</v>
      </c>
      <c r="CD682" s="15" t="s">
        <v>444</v>
      </c>
      <c r="CF682" s="15" t="s">
        <v>444</v>
      </c>
      <c r="CI682" s="15" t="s">
        <v>444</v>
      </c>
      <c r="CK682" s="15" t="s">
        <v>444</v>
      </c>
      <c r="CM682" s="15" t="s">
        <v>444</v>
      </c>
      <c r="CO682" s="15" t="s">
        <v>444</v>
      </c>
      <c r="CP682" s="15" t="str">
        <f t="shared" si="1156"/>
        <v>42.45</v>
      </c>
      <c r="CQ682" s="15" t="str">
        <f t="shared" si="1157"/>
        <v>1.202</v>
      </c>
      <c r="CR682" s="15" t="s">
        <v>465</v>
      </c>
      <c r="DC682" s="15" t="str">
        <f>IFERROR(__xludf.DUMMYFUNCTION("""COMPUTED_VALUE"""),"")</f>
        <v/>
      </c>
      <c r="DE682" s="15" t="str">
        <f>IFERROR(__xludf.DUMMYFUNCTION("""COMPUTED_VALUE"""),"")</f>
        <v/>
      </c>
      <c r="DG682" s="15" t="str">
        <f>IFERROR(__xludf.DUMMYFUNCTION("""COMPUTED_VALUE"""),"")</f>
        <v/>
      </c>
      <c r="DL682" s="15" t="str">
        <f>IFERROR(__xludf.DUMMYFUNCTION("""COMPUTED_VALUE"""),"")</f>
        <v/>
      </c>
      <c r="DM682" s="15" t="s">
        <v>444</v>
      </c>
      <c r="DN682" s="15" t="s">
        <v>1371</v>
      </c>
      <c r="DO682" s="15">
        <v>9.0</v>
      </c>
      <c r="DP682" s="15" t="s">
        <v>1185</v>
      </c>
      <c r="DR682" s="15">
        <v>0.0</v>
      </c>
      <c r="DT682" s="15" t="s">
        <v>1186</v>
      </c>
      <c r="DU682" s="15" t="s">
        <v>421</v>
      </c>
      <c r="DY682" s="15">
        <v>0.0</v>
      </c>
      <c r="EF682" s="15" t="s">
        <v>422</v>
      </c>
      <c r="EG682" s="15" t="s">
        <v>445</v>
      </c>
      <c r="EH682" s="15" t="s">
        <v>7512</v>
      </c>
      <c r="EJ682" s="15" t="s">
        <v>424</v>
      </c>
      <c r="EK682" s="15" t="s">
        <v>446</v>
      </c>
      <c r="EM682" s="15" t="str">
        <f>IFERROR(__xludf.DUMMYFUNCTION("""COMPUTED_VALUE"""),"")</f>
        <v/>
      </c>
      <c r="EW682" s="15" t="s">
        <v>2144</v>
      </c>
      <c r="FL682" s="15" t="s">
        <v>426</v>
      </c>
      <c r="FM682" s="15">
        <v>0.0</v>
      </c>
      <c r="GH682" s="15">
        <v>0.0</v>
      </c>
      <c r="GI682" s="15" t="s">
        <v>427</v>
      </c>
      <c r="GO682" s="15" t="s">
        <v>426</v>
      </c>
      <c r="GQ682" s="15" t="s">
        <v>4470</v>
      </c>
      <c r="GS682" s="15" t="s">
        <v>5481</v>
      </c>
      <c r="GU682" s="15" t="s">
        <v>7528</v>
      </c>
      <c r="GW682" s="15" t="s">
        <v>431</v>
      </c>
      <c r="GY682" s="15" t="s">
        <v>420</v>
      </c>
      <c r="GZ682" s="15" t="s">
        <v>426</v>
      </c>
    </row>
    <row r="683" ht="15.75" customHeight="1">
      <c r="A683" s="14" t="s">
        <v>391</v>
      </c>
      <c r="B683" s="15" t="s">
        <v>7533</v>
      </c>
      <c r="C683" s="16"/>
      <c r="D683" s="15" t="s">
        <v>432</v>
      </c>
      <c r="G683" s="14" t="s">
        <v>393</v>
      </c>
      <c r="H683" s="14" t="s">
        <v>394</v>
      </c>
      <c r="I683" s="14" t="b">
        <v>1</v>
      </c>
      <c r="J683" s="14" t="s">
        <v>395</v>
      </c>
      <c r="L683" s="14" t="b">
        <v>0</v>
      </c>
      <c r="M683" s="15" t="s">
        <v>7534</v>
      </c>
      <c r="N683" s="14" t="s">
        <v>393</v>
      </c>
      <c r="O683" s="14" t="s">
        <v>393</v>
      </c>
      <c r="P683" s="15" t="s">
        <v>397</v>
      </c>
      <c r="Q683" s="15" t="s">
        <v>1490</v>
      </c>
      <c r="T683" s="14" t="b">
        <v>0</v>
      </c>
      <c r="U683" s="15" t="s">
        <v>7535</v>
      </c>
      <c r="V683" s="15" t="s">
        <v>5626</v>
      </c>
      <c r="W683" s="15" t="s">
        <v>401</v>
      </c>
      <c r="X683" s="15" t="s">
        <v>695</v>
      </c>
      <c r="Y683" s="15">
        <v>4043.0</v>
      </c>
      <c r="AA683" s="15" t="str">
        <f t="shared" ref="AA683:AA684" si="1158">"1555"</f>
        <v>1555</v>
      </c>
      <c r="AB683" s="14" t="b">
        <v>1</v>
      </c>
      <c r="AC683" s="14" t="b">
        <v>1</v>
      </c>
      <c r="AD683" s="15" t="str">
        <f>"801542812584"</f>
        <v>801542812584</v>
      </c>
      <c r="AE683" s="15" t="s">
        <v>7536</v>
      </c>
      <c r="AF683" s="14" t="s">
        <v>404</v>
      </c>
      <c r="AG683" s="14" t="s">
        <v>405</v>
      </c>
      <c r="AH683" s="14" t="s">
        <v>406</v>
      </c>
      <c r="AI683" s="15">
        <v>0.0</v>
      </c>
      <c r="AL683" s="15" t="s">
        <v>1532</v>
      </c>
      <c r="AM683" s="15" t="s">
        <v>2088</v>
      </c>
      <c r="AN683" s="15" t="s">
        <v>2089</v>
      </c>
      <c r="AO683" s="15" t="s">
        <v>1007</v>
      </c>
      <c r="AP683" s="15" t="s">
        <v>1008</v>
      </c>
      <c r="AQ683" s="15" t="s">
        <v>5857</v>
      </c>
      <c r="AR683" s="15" t="s">
        <v>5858</v>
      </c>
      <c r="AS683" s="15" t="s">
        <v>1474</v>
      </c>
      <c r="AT683" s="15" t="s">
        <v>1490</v>
      </c>
      <c r="AU683" s="15" t="s">
        <v>4670</v>
      </c>
      <c r="AV683" s="15" t="s">
        <v>7503</v>
      </c>
      <c r="AW683" s="15" t="s">
        <v>1899</v>
      </c>
      <c r="AY683" s="15" t="s">
        <v>413</v>
      </c>
      <c r="AZ683" s="15" t="b">
        <v>0</v>
      </c>
      <c r="BA683" s="15" t="s">
        <v>413</v>
      </c>
      <c r="BB683" s="15" t="b">
        <v>0</v>
      </c>
      <c r="BC683" s="15" t="s">
        <v>7537</v>
      </c>
      <c r="BD683" s="15" t="s">
        <v>709</v>
      </c>
      <c r="BE683" s="15" t="str">
        <f t="shared" si="1145"/>
        <v>1</v>
      </c>
      <c r="BF683" s="15" t="s">
        <v>416</v>
      </c>
      <c r="BG683" s="15" t="str">
        <f t="shared" ref="BG683:BG684" si="1159">"51.97"</f>
        <v>51.97</v>
      </c>
      <c r="BH683" s="15" t="s">
        <v>6920</v>
      </c>
      <c r="BI683" s="15" t="str">
        <f t="shared" ref="BI683:BI684" si="1160">"21.85"</f>
        <v>21.85</v>
      </c>
      <c r="BJ683" s="15" t="s">
        <v>1405</v>
      </c>
      <c r="BK683" s="15" t="str">
        <f t="shared" ref="BK683:BK684" si="1161">"97.05"</f>
        <v>97.05</v>
      </c>
      <c r="BL683" s="15" t="s">
        <v>7538</v>
      </c>
      <c r="BM683" s="15" t="str">
        <f t="shared" ref="BM683:BM684" si="1162">"275.58"</f>
        <v>275.58</v>
      </c>
      <c r="BN683" s="15" t="s">
        <v>5302</v>
      </c>
      <c r="BQ683" s="15" t="s">
        <v>444</v>
      </c>
      <c r="BS683" s="15" t="s">
        <v>444</v>
      </c>
      <c r="BU683" s="15" t="s">
        <v>444</v>
      </c>
      <c r="BW683" s="15" t="s">
        <v>444</v>
      </c>
      <c r="BZ683" s="15" t="s">
        <v>444</v>
      </c>
      <c r="CB683" s="15" t="s">
        <v>444</v>
      </c>
      <c r="CD683" s="15" t="s">
        <v>444</v>
      </c>
      <c r="CF683" s="15" t="s">
        <v>444</v>
      </c>
      <c r="CI683" s="15" t="s">
        <v>444</v>
      </c>
      <c r="CK683" s="15" t="s">
        <v>444</v>
      </c>
      <c r="CM683" s="15" t="s">
        <v>444</v>
      </c>
      <c r="CO683" s="15" t="s">
        <v>444</v>
      </c>
      <c r="CP683" s="15" t="str">
        <f t="shared" ref="CP683:CP684" si="1163">"63.78"</f>
        <v>63.78</v>
      </c>
      <c r="CQ683" s="15" t="str">
        <f t="shared" ref="CQ683:CQ684" si="1164">"1.806"</f>
        <v>1.806</v>
      </c>
      <c r="CR683" s="15" t="s">
        <v>497</v>
      </c>
      <c r="CS683" s="15" t="s">
        <v>1804</v>
      </c>
      <c r="CT683" s="15" t="s">
        <v>2638</v>
      </c>
      <c r="CU683" s="15" t="s">
        <v>4653</v>
      </c>
      <c r="CV683" s="15" t="s">
        <v>3238</v>
      </c>
      <c r="CW683" s="15" t="s">
        <v>2839</v>
      </c>
      <c r="CX683" s="15" t="s">
        <v>4653</v>
      </c>
      <c r="DC683" s="15" t="str">
        <f>IFERROR(__xludf.DUMMYFUNCTION("""COMPUTED_VALUE"""),"")</f>
        <v/>
      </c>
      <c r="DE683" s="15" t="str">
        <f>IFERROR(__xludf.DUMMYFUNCTION("""COMPUTED_VALUE"""),"")</f>
        <v/>
      </c>
      <c r="DG683" s="15" t="str">
        <f>IFERROR(__xludf.DUMMYFUNCTION("""COMPUTED_VALUE"""),"")</f>
        <v/>
      </c>
      <c r="DL683" s="15" t="str">
        <f>IFERROR(__xludf.DUMMYFUNCTION("""COMPUTED_VALUE"""),"")</f>
        <v/>
      </c>
      <c r="DM683" s="15" t="s">
        <v>444</v>
      </c>
      <c r="DN683" s="15" t="s">
        <v>1371</v>
      </c>
      <c r="DO683" s="15">
        <v>2.0</v>
      </c>
      <c r="DP683" s="15" t="s">
        <v>419</v>
      </c>
      <c r="DR683" s="15">
        <v>2.0</v>
      </c>
      <c r="DS683" s="15" t="s">
        <v>426</v>
      </c>
      <c r="DT683" s="15" t="s">
        <v>721</v>
      </c>
      <c r="DU683" s="15" t="s">
        <v>610</v>
      </c>
      <c r="DW683" s="15">
        <v>18.14</v>
      </c>
      <c r="DX683" s="15">
        <v>40.0</v>
      </c>
      <c r="DY683" s="15">
        <v>2.0</v>
      </c>
      <c r="EF683" s="15" t="s">
        <v>1906</v>
      </c>
      <c r="EG683" s="15" t="s">
        <v>1907</v>
      </c>
      <c r="EH683" s="15" t="s">
        <v>7512</v>
      </c>
      <c r="EK683" s="15" t="s">
        <v>444</v>
      </c>
      <c r="EM683" s="15" t="str">
        <f>IFERROR(__xludf.DUMMYFUNCTION("""COMPUTED_VALUE"""),"")</f>
        <v/>
      </c>
      <c r="EW683" s="15" t="s">
        <v>425</v>
      </c>
      <c r="FL683" s="15" t="s">
        <v>426</v>
      </c>
      <c r="FM683" s="15">
        <v>2.0</v>
      </c>
      <c r="GB683" s="15" t="s">
        <v>1804</v>
      </c>
      <c r="GC683" s="15" t="s">
        <v>2638</v>
      </c>
      <c r="GD683" s="15" t="s">
        <v>4653</v>
      </c>
      <c r="GH683" s="15">
        <v>0.0</v>
      </c>
      <c r="GI683" s="15" t="s">
        <v>427</v>
      </c>
      <c r="GL683" s="15" t="s">
        <v>426</v>
      </c>
      <c r="GO683" s="15" t="s">
        <v>426</v>
      </c>
      <c r="GQ683" s="15" t="s">
        <v>1593</v>
      </c>
      <c r="GS683" s="15" t="s">
        <v>2116</v>
      </c>
      <c r="GU683" s="15" t="s">
        <v>7539</v>
      </c>
      <c r="GW683" s="15" t="s">
        <v>838</v>
      </c>
      <c r="GY683" s="15" t="s">
        <v>764</v>
      </c>
      <c r="HA683" s="15" t="s">
        <v>1804</v>
      </c>
      <c r="HB683" s="15" t="s">
        <v>1574</v>
      </c>
      <c r="HC683" s="15" t="s">
        <v>4653</v>
      </c>
      <c r="HW683" s="15" t="s">
        <v>1807</v>
      </c>
      <c r="IH683" s="15" t="s">
        <v>426</v>
      </c>
      <c r="KL683" s="15" t="s">
        <v>3238</v>
      </c>
      <c r="KM683" s="15" t="s">
        <v>2638</v>
      </c>
      <c r="KN683" s="15" t="s">
        <v>4653</v>
      </c>
    </row>
    <row r="684" ht="15.75" customHeight="1">
      <c r="A684" s="14" t="s">
        <v>391</v>
      </c>
      <c r="B684" s="15" t="s">
        <v>7533</v>
      </c>
      <c r="C684" s="16"/>
      <c r="D684" s="15" t="s">
        <v>432</v>
      </c>
      <c r="G684" s="14" t="s">
        <v>393</v>
      </c>
      <c r="H684" s="14" t="s">
        <v>394</v>
      </c>
      <c r="I684" s="14" t="b">
        <v>1</v>
      </c>
      <c r="J684" s="14" t="s">
        <v>395</v>
      </c>
      <c r="L684" s="14" t="b">
        <v>0</v>
      </c>
      <c r="M684" s="15" t="s">
        <v>7540</v>
      </c>
      <c r="N684" s="14" t="s">
        <v>393</v>
      </c>
      <c r="O684" s="14" t="s">
        <v>393</v>
      </c>
      <c r="P684" s="15" t="s">
        <v>397</v>
      </c>
      <c r="Q684" s="15" t="s">
        <v>1465</v>
      </c>
      <c r="T684" s="14" t="b">
        <v>0</v>
      </c>
      <c r="U684" s="15" t="s">
        <v>7541</v>
      </c>
      <c r="V684" s="15" t="s">
        <v>5626</v>
      </c>
      <c r="W684" s="15" t="s">
        <v>401</v>
      </c>
      <c r="X684" s="15" t="s">
        <v>695</v>
      </c>
      <c r="Y684" s="15">
        <v>4043.0</v>
      </c>
      <c r="AA684" s="15" t="str">
        <f t="shared" si="1158"/>
        <v>1555</v>
      </c>
      <c r="AB684" s="14" t="b">
        <v>1</v>
      </c>
      <c r="AC684" s="14" t="b">
        <v>1</v>
      </c>
      <c r="AD684" s="15" t="str">
        <f>"801542812751"</f>
        <v>801542812751</v>
      </c>
      <c r="AE684" s="15" t="s">
        <v>7542</v>
      </c>
      <c r="AF684" s="14" t="s">
        <v>404</v>
      </c>
      <c r="AG684" s="14" t="s">
        <v>405</v>
      </c>
      <c r="AH684" s="14" t="s">
        <v>406</v>
      </c>
      <c r="AI684" s="15">
        <v>0.0</v>
      </c>
      <c r="AL684" s="15" t="s">
        <v>1532</v>
      </c>
      <c r="AM684" s="15" t="s">
        <v>2088</v>
      </c>
      <c r="AN684" s="15" t="s">
        <v>2089</v>
      </c>
      <c r="AO684" s="15" t="s">
        <v>1007</v>
      </c>
      <c r="AP684" s="15" t="s">
        <v>1008</v>
      </c>
      <c r="AQ684" s="15" t="s">
        <v>5857</v>
      </c>
      <c r="AR684" s="15" t="s">
        <v>5858</v>
      </c>
      <c r="AS684" s="15" t="s">
        <v>1474</v>
      </c>
      <c r="AT684" s="15" t="s">
        <v>1465</v>
      </c>
      <c r="AU684" s="15" t="s">
        <v>4670</v>
      </c>
      <c r="AW684" s="15" t="s">
        <v>1899</v>
      </c>
      <c r="AY684" s="15" t="s">
        <v>413</v>
      </c>
      <c r="AZ684" s="15" t="b">
        <v>0</v>
      </c>
      <c r="BA684" s="15" t="s">
        <v>413</v>
      </c>
      <c r="BB684" s="15" t="b">
        <v>0</v>
      </c>
      <c r="BC684" s="15" t="s">
        <v>7543</v>
      </c>
      <c r="BD684" s="15" t="s">
        <v>709</v>
      </c>
      <c r="BE684" s="15" t="str">
        <f t="shared" si="1145"/>
        <v>1</v>
      </c>
      <c r="BF684" s="15" t="s">
        <v>416</v>
      </c>
      <c r="BG684" s="15" t="str">
        <f t="shared" si="1159"/>
        <v>51.97</v>
      </c>
      <c r="BH684" s="15" t="s">
        <v>6920</v>
      </c>
      <c r="BI684" s="15" t="str">
        <f t="shared" si="1160"/>
        <v>21.85</v>
      </c>
      <c r="BJ684" s="15" t="s">
        <v>1405</v>
      </c>
      <c r="BK684" s="15" t="str">
        <f t="shared" si="1161"/>
        <v>97.05</v>
      </c>
      <c r="BL684" s="15" t="s">
        <v>7538</v>
      </c>
      <c r="BM684" s="15" t="str">
        <f t="shared" si="1162"/>
        <v>275.58</v>
      </c>
      <c r="BN684" s="15" t="s">
        <v>5302</v>
      </c>
      <c r="BQ684" s="15" t="s">
        <v>444</v>
      </c>
      <c r="BS684" s="15" t="s">
        <v>444</v>
      </c>
      <c r="BU684" s="15" t="s">
        <v>444</v>
      </c>
      <c r="BW684" s="15" t="s">
        <v>444</v>
      </c>
      <c r="BZ684" s="15" t="s">
        <v>444</v>
      </c>
      <c r="CB684" s="15" t="s">
        <v>444</v>
      </c>
      <c r="CD684" s="15" t="s">
        <v>444</v>
      </c>
      <c r="CF684" s="15" t="s">
        <v>444</v>
      </c>
      <c r="CI684" s="15" t="s">
        <v>444</v>
      </c>
      <c r="CK684" s="15" t="s">
        <v>444</v>
      </c>
      <c r="CM684" s="15" t="s">
        <v>444</v>
      </c>
      <c r="CO684" s="15" t="s">
        <v>444</v>
      </c>
      <c r="CP684" s="15" t="str">
        <f t="shared" si="1163"/>
        <v>63.78</v>
      </c>
      <c r="CQ684" s="15" t="str">
        <f t="shared" si="1164"/>
        <v>1.806</v>
      </c>
      <c r="CR684" s="15" t="s">
        <v>465</v>
      </c>
      <c r="CS684" s="15" t="s">
        <v>1804</v>
      </c>
      <c r="CT684" s="15" t="s">
        <v>2638</v>
      </c>
      <c r="CU684" s="15" t="s">
        <v>4653</v>
      </c>
      <c r="CV684" s="15" t="s">
        <v>3238</v>
      </c>
      <c r="CW684" s="15" t="s">
        <v>2839</v>
      </c>
      <c r="CX684" s="15" t="s">
        <v>4653</v>
      </c>
      <c r="DC684" s="15" t="str">
        <f>IFERROR(__xludf.DUMMYFUNCTION("""COMPUTED_VALUE"""),"")</f>
        <v/>
      </c>
      <c r="DE684" s="15" t="str">
        <f>IFERROR(__xludf.DUMMYFUNCTION("""COMPUTED_VALUE"""),"")</f>
        <v/>
      </c>
      <c r="DG684" s="15" t="str">
        <f>IFERROR(__xludf.DUMMYFUNCTION("""COMPUTED_VALUE"""),"")</f>
        <v/>
      </c>
      <c r="DL684" s="15" t="str">
        <f>IFERROR(__xludf.DUMMYFUNCTION("""COMPUTED_VALUE"""),"")</f>
        <v/>
      </c>
      <c r="DM684" s="15" t="s">
        <v>444</v>
      </c>
      <c r="DN684" s="15" t="s">
        <v>1371</v>
      </c>
      <c r="DO684" s="15">
        <v>2.0</v>
      </c>
      <c r="DP684" s="15" t="s">
        <v>419</v>
      </c>
      <c r="DR684" s="15">
        <v>2.0</v>
      </c>
      <c r="DS684" s="15" t="s">
        <v>426</v>
      </c>
      <c r="DT684" s="15" t="s">
        <v>721</v>
      </c>
      <c r="DU684" s="15" t="s">
        <v>610</v>
      </c>
      <c r="DW684" s="15">
        <v>18.14</v>
      </c>
      <c r="DX684" s="15">
        <v>40.0</v>
      </c>
      <c r="DY684" s="15">
        <v>2.0</v>
      </c>
      <c r="EF684" s="15" t="s">
        <v>1906</v>
      </c>
      <c r="EG684" s="15" t="s">
        <v>1907</v>
      </c>
      <c r="EH684" s="15" t="s">
        <v>7512</v>
      </c>
      <c r="EK684" s="15" t="s">
        <v>444</v>
      </c>
      <c r="EM684" s="15" t="str">
        <f>IFERROR(__xludf.DUMMYFUNCTION("""COMPUTED_VALUE"""),"")</f>
        <v/>
      </c>
      <c r="EW684" s="15" t="s">
        <v>425</v>
      </c>
      <c r="FL684" s="15" t="s">
        <v>426</v>
      </c>
      <c r="FM684" s="15">
        <v>2.0</v>
      </c>
      <c r="GB684" s="15" t="s">
        <v>1804</v>
      </c>
      <c r="GC684" s="15" t="s">
        <v>2638</v>
      </c>
      <c r="GD684" s="15" t="s">
        <v>4653</v>
      </c>
      <c r="GH684" s="15">
        <v>0.0</v>
      </c>
      <c r="GI684" s="15" t="s">
        <v>427</v>
      </c>
      <c r="GL684" s="15" t="s">
        <v>426</v>
      </c>
      <c r="GO684" s="15" t="s">
        <v>426</v>
      </c>
      <c r="GQ684" s="15" t="s">
        <v>1593</v>
      </c>
      <c r="GS684" s="15" t="s">
        <v>2116</v>
      </c>
      <c r="GU684" s="15" t="s">
        <v>7539</v>
      </c>
      <c r="GW684" s="15" t="s">
        <v>838</v>
      </c>
      <c r="GY684" s="15" t="s">
        <v>764</v>
      </c>
      <c r="HA684" s="15" t="s">
        <v>1804</v>
      </c>
      <c r="HB684" s="15" t="s">
        <v>1574</v>
      </c>
      <c r="HC684" s="15" t="s">
        <v>4653</v>
      </c>
      <c r="HW684" s="15" t="s">
        <v>1807</v>
      </c>
      <c r="IH684" s="15" t="s">
        <v>426</v>
      </c>
      <c r="KL684" s="15" t="s">
        <v>3238</v>
      </c>
      <c r="KM684" s="15" t="s">
        <v>2638</v>
      </c>
      <c r="KN684" s="15" t="s">
        <v>4653</v>
      </c>
    </row>
    <row r="685" ht="15.75" customHeight="1">
      <c r="A685" s="14" t="s">
        <v>391</v>
      </c>
      <c r="B685" s="15" t="s">
        <v>7544</v>
      </c>
      <c r="C685" s="16"/>
      <c r="D685" s="15" t="s">
        <v>432</v>
      </c>
      <c r="G685" s="14" t="s">
        <v>393</v>
      </c>
      <c r="H685" s="14" t="s">
        <v>394</v>
      </c>
      <c r="I685" s="14" t="b">
        <v>1</v>
      </c>
      <c r="J685" s="14" t="s">
        <v>395</v>
      </c>
      <c r="L685" s="14" t="b">
        <v>0</v>
      </c>
      <c r="M685" s="15" t="s">
        <v>7545</v>
      </c>
      <c r="N685" s="14" t="s">
        <v>393</v>
      </c>
      <c r="O685" s="14" t="s">
        <v>393</v>
      </c>
      <c r="P685" s="15" t="s">
        <v>397</v>
      </c>
      <c r="Q685" s="15" t="s">
        <v>1465</v>
      </c>
      <c r="T685" s="14" t="b">
        <v>0</v>
      </c>
      <c r="U685" s="15" t="s">
        <v>7546</v>
      </c>
      <c r="V685" s="15" t="s">
        <v>2367</v>
      </c>
      <c r="W685" s="15" t="s">
        <v>401</v>
      </c>
      <c r="X685" s="15" t="s">
        <v>695</v>
      </c>
      <c r="Y685" s="15">
        <v>3822.0</v>
      </c>
      <c r="AA685" s="15" t="str">
        <f>"1470"</f>
        <v>1470</v>
      </c>
      <c r="AB685" s="14" t="b">
        <v>1</v>
      </c>
      <c r="AC685" s="14" t="b">
        <v>1</v>
      </c>
      <c r="AD685" s="15" t="str">
        <f>"801542024307"</f>
        <v>801542024307</v>
      </c>
      <c r="AE685" s="15" t="s">
        <v>7547</v>
      </c>
      <c r="AF685" s="14" t="s">
        <v>404</v>
      </c>
      <c r="AG685" s="14" t="s">
        <v>405</v>
      </c>
      <c r="AH685" s="14" t="s">
        <v>406</v>
      </c>
      <c r="AI685" s="15">
        <v>0.0</v>
      </c>
      <c r="AL685" s="15" t="s">
        <v>1532</v>
      </c>
      <c r="AM685" s="15" t="s">
        <v>2355</v>
      </c>
      <c r="AN685" s="15" t="s">
        <v>2356</v>
      </c>
      <c r="AO685" s="15" t="s">
        <v>1874</v>
      </c>
      <c r="AP685" s="15" t="s">
        <v>1875</v>
      </c>
      <c r="AQ685" s="15" t="s">
        <v>1028</v>
      </c>
      <c r="AR685" s="15" t="s">
        <v>1029</v>
      </c>
      <c r="AS685" s="15" t="s">
        <v>1474</v>
      </c>
      <c r="AT685" s="15" t="s">
        <v>1465</v>
      </c>
      <c r="AU685" s="15" t="s">
        <v>4670</v>
      </c>
      <c r="AV685" s="15" t="s">
        <v>7503</v>
      </c>
      <c r="AW685" s="15" t="s">
        <v>664</v>
      </c>
      <c r="AY685" s="15" t="s">
        <v>426</v>
      </c>
      <c r="AZ685" s="15" t="b">
        <v>1</v>
      </c>
      <c r="BA685" s="15" t="s">
        <v>413</v>
      </c>
      <c r="BB685" s="15" t="b">
        <v>0</v>
      </c>
      <c r="BC685" s="15" t="s">
        <v>7548</v>
      </c>
      <c r="BD685" s="15" t="s">
        <v>709</v>
      </c>
      <c r="BE685" s="15" t="str">
        <f t="shared" si="1145"/>
        <v>1</v>
      </c>
      <c r="BF685" s="15" t="s">
        <v>416</v>
      </c>
      <c r="BG685" s="15" t="str">
        <f>"82.28"</f>
        <v>82.28</v>
      </c>
      <c r="BH685" s="15" t="s">
        <v>5841</v>
      </c>
      <c r="BI685" s="15" t="str">
        <f t="shared" ref="BI685:BI687" si="1165">"21.65"</f>
        <v>21.65</v>
      </c>
      <c r="BJ685" s="15" t="s">
        <v>1506</v>
      </c>
      <c r="BK685" s="15" t="str">
        <f>"38.19"</f>
        <v>38.19</v>
      </c>
      <c r="BL685" s="15" t="s">
        <v>3531</v>
      </c>
      <c r="BM685" s="15" t="str">
        <f>"244.71"</f>
        <v>244.71</v>
      </c>
      <c r="BN685" s="15" t="s">
        <v>7549</v>
      </c>
      <c r="BQ685" s="15" t="s">
        <v>444</v>
      </c>
      <c r="BS685" s="15" t="s">
        <v>444</v>
      </c>
      <c r="BU685" s="15" t="s">
        <v>444</v>
      </c>
      <c r="BW685" s="15" t="s">
        <v>444</v>
      </c>
      <c r="BZ685" s="15" t="s">
        <v>444</v>
      </c>
      <c r="CB685" s="15" t="s">
        <v>444</v>
      </c>
      <c r="CD685" s="15" t="s">
        <v>444</v>
      </c>
      <c r="CF685" s="15" t="s">
        <v>444</v>
      </c>
      <c r="CI685" s="15" t="s">
        <v>444</v>
      </c>
      <c r="CK685" s="15" t="s">
        <v>444</v>
      </c>
      <c r="CM685" s="15" t="s">
        <v>444</v>
      </c>
      <c r="CO685" s="15" t="s">
        <v>444</v>
      </c>
      <c r="CP685" s="15" t="str">
        <f>"39.38"</f>
        <v>39.38</v>
      </c>
      <c r="CQ685" s="15" t="str">
        <f>"1.115"</f>
        <v>1.115</v>
      </c>
      <c r="CR685" s="15" t="s">
        <v>465</v>
      </c>
      <c r="CV685" s="15" t="s">
        <v>2179</v>
      </c>
      <c r="CW685" s="15" t="s">
        <v>6273</v>
      </c>
      <c r="CX685" s="15" t="s">
        <v>986</v>
      </c>
      <c r="DC685" s="15" t="str">
        <f>IFERROR(__xludf.DUMMYFUNCTION("""COMPUTED_VALUE"""),"")</f>
        <v/>
      </c>
      <c r="DE685" s="15" t="str">
        <f>IFERROR(__xludf.DUMMYFUNCTION("""COMPUTED_VALUE"""),"")</f>
        <v/>
      </c>
      <c r="DG685" s="15" t="str">
        <f>IFERROR(__xludf.DUMMYFUNCTION("""COMPUTED_VALUE"""),"")</f>
        <v/>
      </c>
      <c r="DL685" s="15" t="str">
        <f>IFERROR(__xludf.DUMMYFUNCTION("""COMPUTED_VALUE"""),"")</f>
        <v/>
      </c>
      <c r="DM685" s="15" t="s">
        <v>444</v>
      </c>
      <c r="DN685" s="15" t="s">
        <v>1371</v>
      </c>
      <c r="DO685" s="15">
        <v>2.0</v>
      </c>
      <c r="DP685" s="15" t="s">
        <v>419</v>
      </c>
      <c r="DR685" s="15">
        <v>0.0</v>
      </c>
      <c r="DT685" s="15" t="s">
        <v>721</v>
      </c>
      <c r="DU685" s="15" t="s">
        <v>610</v>
      </c>
      <c r="DW685" s="15">
        <v>18.14</v>
      </c>
      <c r="DX685" s="15">
        <v>40.0</v>
      </c>
      <c r="DY685" s="15">
        <v>2.0</v>
      </c>
      <c r="EG685" s="15" t="s">
        <v>444</v>
      </c>
      <c r="EH685" s="15" t="s">
        <v>7512</v>
      </c>
      <c r="EJ685" s="15" t="s">
        <v>424</v>
      </c>
      <c r="EK685" s="15" t="s">
        <v>446</v>
      </c>
      <c r="EM685" s="15" t="str">
        <f>IFERROR(__xludf.DUMMYFUNCTION("""COMPUTED_VALUE"""),"")</f>
        <v/>
      </c>
      <c r="EW685" s="15" t="s">
        <v>2144</v>
      </c>
      <c r="FL685" s="15" t="s">
        <v>426</v>
      </c>
      <c r="FM685" s="15">
        <v>2.0</v>
      </c>
      <c r="FY685" s="15" t="s">
        <v>4552</v>
      </c>
      <c r="FZ685" s="15" t="s">
        <v>1121</v>
      </c>
      <c r="GA685" s="15" t="s">
        <v>5005</v>
      </c>
      <c r="GB685" s="15" t="s">
        <v>2179</v>
      </c>
      <c r="GC685" s="15" t="s">
        <v>4469</v>
      </c>
      <c r="GD685" s="15" t="s">
        <v>986</v>
      </c>
      <c r="GE685" s="15">
        <v>0.0</v>
      </c>
      <c r="GF685" s="15" t="s">
        <v>426</v>
      </c>
      <c r="GG685" s="15" t="s">
        <v>785</v>
      </c>
      <c r="GH685" s="15">
        <v>4.0</v>
      </c>
      <c r="GI685" s="15" t="s">
        <v>614</v>
      </c>
      <c r="GJ685" s="15" t="s">
        <v>786</v>
      </c>
      <c r="GK685" s="15">
        <v>0.0</v>
      </c>
      <c r="GL685" s="15" t="s">
        <v>426</v>
      </c>
      <c r="GN685" s="15" t="s">
        <v>3722</v>
      </c>
      <c r="GQ685" s="15" t="s">
        <v>1374</v>
      </c>
      <c r="GS685" s="15" t="s">
        <v>2498</v>
      </c>
      <c r="GU685" s="15" t="s">
        <v>734</v>
      </c>
      <c r="GW685" s="15" t="s">
        <v>838</v>
      </c>
      <c r="GY685" s="15" t="s">
        <v>764</v>
      </c>
      <c r="HA685" s="15" t="s">
        <v>2179</v>
      </c>
      <c r="HB685" s="15" t="s">
        <v>6273</v>
      </c>
      <c r="HC685" s="15" t="s">
        <v>986</v>
      </c>
      <c r="HW685" s="15" t="s">
        <v>789</v>
      </c>
      <c r="IH685" s="15" t="s">
        <v>426</v>
      </c>
    </row>
    <row r="686" ht="15.75" customHeight="1">
      <c r="A686" s="14" t="s">
        <v>391</v>
      </c>
      <c r="B686" s="15" t="s">
        <v>7550</v>
      </c>
      <c r="C686" s="16"/>
      <c r="D686" s="15" t="s">
        <v>432</v>
      </c>
      <c r="G686" s="14" t="s">
        <v>393</v>
      </c>
      <c r="H686" s="14" t="s">
        <v>394</v>
      </c>
      <c r="I686" s="14" t="b">
        <v>1</v>
      </c>
      <c r="J686" s="14" t="s">
        <v>395</v>
      </c>
      <c r="L686" s="14" t="b">
        <v>0</v>
      </c>
      <c r="M686" s="15" t="s">
        <v>7551</v>
      </c>
      <c r="N686" s="14" t="s">
        <v>393</v>
      </c>
      <c r="O686" s="14" t="s">
        <v>393</v>
      </c>
      <c r="P686" s="15" t="s">
        <v>397</v>
      </c>
      <c r="Q686" s="15" t="s">
        <v>7503</v>
      </c>
      <c r="T686" s="14" t="b">
        <v>0</v>
      </c>
      <c r="U686" s="15" t="s">
        <v>7552</v>
      </c>
      <c r="V686" s="15" t="s">
        <v>7553</v>
      </c>
      <c r="W686" s="15" t="s">
        <v>401</v>
      </c>
      <c r="X686" s="15" t="s">
        <v>742</v>
      </c>
      <c r="Y686" s="15">
        <v>1157.0</v>
      </c>
      <c r="AA686" s="15" t="str">
        <f t="shared" ref="AA686:AA687" si="1166">"445"</f>
        <v>445</v>
      </c>
      <c r="AB686" s="14" t="b">
        <v>1</v>
      </c>
      <c r="AC686" s="14" t="b">
        <v>1</v>
      </c>
      <c r="AD686" s="15" t="str">
        <f>"801542824525"</f>
        <v>801542824525</v>
      </c>
      <c r="AE686" s="15" t="s">
        <v>7554</v>
      </c>
      <c r="AF686" s="14" t="s">
        <v>404</v>
      </c>
      <c r="AG686" s="14" t="s">
        <v>405</v>
      </c>
      <c r="AH686" s="14" t="s">
        <v>406</v>
      </c>
      <c r="AI686" s="15">
        <v>0.0</v>
      </c>
      <c r="AL686" s="15" t="s">
        <v>7507</v>
      </c>
      <c r="AM686" s="15" t="s">
        <v>410</v>
      </c>
      <c r="AN686" s="15" t="s">
        <v>439</v>
      </c>
      <c r="AO686" s="15" t="s">
        <v>1152</v>
      </c>
      <c r="AP686" s="15" t="s">
        <v>1153</v>
      </c>
      <c r="AQ686" s="15" t="s">
        <v>1626</v>
      </c>
      <c r="AR686" s="15" t="s">
        <v>1627</v>
      </c>
      <c r="AS686" s="15" t="s">
        <v>1474</v>
      </c>
      <c r="AT686" s="15" t="s">
        <v>7503</v>
      </c>
      <c r="AU686" s="15" t="s">
        <v>7510</v>
      </c>
      <c r="AW686" s="15" t="s">
        <v>628</v>
      </c>
      <c r="AY686" s="15" t="s">
        <v>413</v>
      </c>
      <c r="AZ686" s="15" t="b">
        <v>0</v>
      </c>
      <c r="BA686" s="15" t="s">
        <v>413</v>
      </c>
      <c r="BB686" s="15" t="b">
        <v>0</v>
      </c>
      <c r="BC686" s="15" t="s">
        <v>7555</v>
      </c>
      <c r="BD686" s="15" t="s">
        <v>742</v>
      </c>
      <c r="BE686" s="15" t="str">
        <f t="shared" si="1145"/>
        <v>1</v>
      </c>
      <c r="BF686" s="15" t="s">
        <v>416</v>
      </c>
      <c r="BG686" s="15" t="str">
        <f t="shared" ref="BG686:BG687" si="1167">"36.61"</f>
        <v>36.61</v>
      </c>
      <c r="BH686" s="15" t="s">
        <v>1734</v>
      </c>
      <c r="BI686" s="15" t="str">
        <f t="shared" si="1165"/>
        <v>21.65</v>
      </c>
      <c r="BJ686" s="15" t="s">
        <v>1506</v>
      </c>
      <c r="BK686" s="15" t="str">
        <f t="shared" ref="BK686:BK687" si="1168">"30.31"</f>
        <v>30.31</v>
      </c>
      <c r="BL686" s="15" t="s">
        <v>982</v>
      </c>
      <c r="BM686" s="15" t="str">
        <f t="shared" ref="BM686:BM687" si="1169">"119.05"</f>
        <v>119.05</v>
      </c>
      <c r="BN686" s="15" t="s">
        <v>5792</v>
      </c>
      <c r="BQ686" s="15" t="s">
        <v>444</v>
      </c>
      <c r="BS686" s="15" t="s">
        <v>444</v>
      </c>
      <c r="BU686" s="15" t="s">
        <v>444</v>
      </c>
      <c r="BW686" s="15" t="s">
        <v>444</v>
      </c>
      <c r="BZ686" s="15" t="s">
        <v>444</v>
      </c>
      <c r="CB686" s="15" t="s">
        <v>444</v>
      </c>
      <c r="CD686" s="15" t="s">
        <v>444</v>
      </c>
      <c r="CF686" s="15" t="s">
        <v>444</v>
      </c>
      <c r="CI686" s="15" t="s">
        <v>444</v>
      </c>
      <c r="CK686" s="15" t="s">
        <v>444</v>
      </c>
      <c r="CM686" s="15" t="s">
        <v>444</v>
      </c>
      <c r="CO686" s="15" t="s">
        <v>444</v>
      </c>
      <c r="CP686" s="15" t="str">
        <f t="shared" ref="CP686:CP687" si="1170">"13.91"</f>
        <v>13.91</v>
      </c>
      <c r="CQ686" s="15" t="str">
        <f t="shared" ref="CQ686:CQ687" si="1171">"0.394"</f>
        <v>0.394</v>
      </c>
      <c r="CR686" s="15" t="s">
        <v>465</v>
      </c>
      <c r="DC686" s="15" t="str">
        <f>IFERROR(__xludf.DUMMYFUNCTION("""COMPUTED_VALUE"""),"")</f>
        <v/>
      </c>
      <c r="DE686" s="15" t="str">
        <f>IFERROR(__xludf.DUMMYFUNCTION("""COMPUTED_VALUE"""),"")</f>
        <v/>
      </c>
      <c r="DG686" s="15" t="str">
        <f>IFERROR(__xludf.DUMMYFUNCTION("""COMPUTED_VALUE"""),"")</f>
        <v/>
      </c>
      <c r="DL686" s="15" t="str">
        <f>IFERROR(__xludf.DUMMYFUNCTION("""COMPUTED_VALUE"""),"")</f>
        <v/>
      </c>
      <c r="DM686" s="15" t="s">
        <v>444</v>
      </c>
      <c r="DN686" s="15" t="s">
        <v>1371</v>
      </c>
      <c r="DO686" s="15">
        <v>2.0</v>
      </c>
      <c r="DP686" s="15" t="s">
        <v>419</v>
      </c>
      <c r="DR686" s="15">
        <v>0.0</v>
      </c>
      <c r="DT686" s="15" t="s">
        <v>1186</v>
      </c>
      <c r="DU686" s="15" t="s">
        <v>421</v>
      </c>
      <c r="DY686" s="15">
        <v>0.0</v>
      </c>
      <c r="EF686" s="15" t="s">
        <v>471</v>
      </c>
      <c r="EG686" s="15" t="s">
        <v>472</v>
      </c>
      <c r="EH686" s="15" t="s">
        <v>7512</v>
      </c>
      <c r="EJ686" s="15" t="s">
        <v>500</v>
      </c>
      <c r="EK686" s="15" t="s">
        <v>501</v>
      </c>
      <c r="EM686" s="15" t="str">
        <f>IFERROR(__xludf.DUMMYFUNCTION("""COMPUTED_VALUE"""),"")</f>
        <v/>
      </c>
      <c r="EW686" s="15" t="s">
        <v>2144</v>
      </c>
      <c r="FM686" s="15">
        <v>0.0</v>
      </c>
      <c r="GH686" s="15">
        <v>0.0</v>
      </c>
      <c r="GI686" s="15" t="s">
        <v>427</v>
      </c>
      <c r="GQ686" s="15" t="s">
        <v>3068</v>
      </c>
      <c r="GS686" s="15" t="s">
        <v>7556</v>
      </c>
      <c r="GU686" s="15" t="s">
        <v>3659</v>
      </c>
      <c r="GW686" s="15" t="s">
        <v>431</v>
      </c>
      <c r="GY686" s="15" t="s">
        <v>1190</v>
      </c>
    </row>
    <row r="687" ht="15.75" customHeight="1">
      <c r="A687" s="14" t="s">
        <v>391</v>
      </c>
      <c r="B687" s="15" t="s">
        <v>7550</v>
      </c>
      <c r="C687" s="16"/>
      <c r="D687" s="15" t="s">
        <v>432</v>
      </c>
      <c r="G687" s="14" t="s">
        <v>393</v>
      </c>
      <c r="H687" s="14" t="s">
        <v>394</v>
      </c>
      <c r="I687" s="14" t="b">
        <v>1</v>
      </c>
      <c r="J687" s="14" t="s">
        <v>395</v>
      </c>
      <c r="L687" s="14" t="b">
        <v>0</v>
      </c>
      <c r="M687" s="15" t="s">
        <v>7557</v>
      </c>
      <c r="N687" s="14" t="s">
        <v>393</v>
      </c>
      <c r="O687" s="14" t="s">
        <v>393</v>
      </c>
      <c r="P687" s="15" t="s">
        <v>397</v>
      </c>
      <c r="Q687" s="15" t="s">
        <v>7515</v>
      </c>
      <c r="T687" s="14" t="b">
        <v>0</v>
      </c>
      <c r="U687" s="15" t="s">
        <v>7558</v>
      </c>
      <c r="V687" s="15" t="s">
        <v>7553</v>
      </c>
      <c r="W687" s="15" t="s">
        <v>401</v>
      </c>
      <c r="X687" s="15" t="s">
        <v>742</v>
      </c>
      <c r="Y687" s="15">
        <v>1157.0</v>
      </c>
      <c r="AA687" s="15" t="str">
        <f t="shared" si="1166"/>
        <v>445</v>
      </c>
      <c r="AB687" s="14" t="b">
        <v>1</v>
      </c>
      <c r="AC687" s="14" t="b">
        <v>1</v>
      </c>
      <c r="AD687" s="15" t="str">
        <f>"198394020411"</f>
        <v>198394020411</v>
      </c>
      <c r="AE687" s="15" t="s">
        <v>7559</v>
      </c>
      <c r="AF687" s="14" t="s">
        <v>404</v>
      </c>
      <c r="AG687" s="14" t="s">
        <v>405</v>
      </c>
      <c r="AH687" s="14" t="s">
        <v>406</v>
      </c>
      <c r="AI687" s="15">
        <v>0.0</v>
      </c>
      <c r="AL687" s="15" t="s">
        <v>7507</v>
      </c>
      <c r="AM687" s="15" t="s">
        <v>410</v>
      </c>
      <c r="AN687" s="15" t="s">
        <v>439</v>
      </c>
      <c r="AO687" s="15" t="s">
        <v>1152</v>
      </c>
      <c r="AP687" s="15" t="s">
        <v>1153</v>
      </c>
      <c r="AQ687" s="15" t="s">
        <v>1626</v>
      </c>
      <c r="AR687" s="15" t="s">
        <v>1627</v>
      </c>
      <c r="AS687" s="15" t="s">
        <v>1474</v>
      </c>
      <c r="AT687" s="15" t="s">
        <v>7515</v>
      </c>
      <c r="AU687" s="15" t="s">
        <v>7518</v>
      </c>
      <c r="AW687" s="15" t="s">
        <v>628</v>
      </c>
      <c r="AY687" s="15" t="s">
        <v>413</v>
      </c>
      <c r="AZ687" s="15" t="b">
        <v>0</v>
      </c>
      <c r="BA687" s="15" t="s">
        <v>413</v>
      </c>
      <c r="BB687" s="15" t="b">
        <v>0</v>
      </c>
      <c r="BC687" s="15" t="s">
        <v>7560</v>
      </c>
      <c r="BD687" s="15" t="s">
        <v>742</v>
      </c>
      <c r="BE687" s="15" t="str">
        <f t="shared" si="1145"/>
        <v>1</v>
      </c>
      <c r="BF687" s="15" t="s">
        <v>416</v>
      </c>
      <c r="BG687" s="15" t="str">
        <f t="shared" si="1167"/>
        <v>36.61</v>
      </c>
      <c r="BH687" s="15" t="s">
        <v>1734</v>
      </c>
      <c r="BI687" s="15" t="str">
        <f t="shared" si="1165"/>
        <v>21.65</v>
      </c>
      <c r="BJ687" s="15" t="s">
        <v>1506</v>
      </c>
      <c r="BK687" s="15" t="str">
        <f t="shared" si="1168"/>
        <v>30.31</v>
      </c>
      <c r="BL687" s="15" t="s">
        <v>982</v>
      </c>
      <c r="BM687" s="15" t="str">
        <f t="shared" si="1169"/>
        <v>119.05</v>
      </c>
      <c r="BN687" s="15" t="s">
        <v>5792</v>
      </c>
      <c r="BQ687" s="15" t="s">
        <v>444</v>
      </c>
      <c r="BS687" s="15" t="s">
        <v>444</v>
      </c>
      <c r="BU687" s="15" t="s">
        <v>444</v>
      </c>
      <c r="BW687" s="15" t="s">
        <v>444</v>
      </c>
      <c r="BZ687" s="15" t="s">
        <v>444</v>
      </c>
      <c r="CB687" s="15" t="s">
        <v>444</v>
      </c>
      <c r="CD687" s="15" t="s">
        <v>444</v>
      </c>
      <c r="CF687" s="15" t="s">
        <v>444</v>
      </c>
      <c r="CI687" s="15" t="s">
        <v>444</v>
      </c>
      <c r="CK687" s="15" t="s">
        <v>444</v>
      </c>
      <c r="CM687" s="15" t="s">
        <v>444</v>
      </c>
      <c r="CO687" s="15" t="s">
        <v>444</v>
      </c>
      <c r="CP687" s="15" t="str">
        <f t="shared" si="1170"/>
        <v>13.91</v>
      </c>
      <c r="CQ687" s="15" t="str">
        <f t="shared" si="1171"/>
        <v>0.394</v>
      </c>
      <c r="CR687" s="15" t="s">
        <v>465</v>
      </c>
      <c r="DC687" s="15" t="str">
        <f>IFERROR(__xludf.DUMMYFUNCTION("""COMPUTED_VALUE"""),"")</f>
        <v/>
      </c>
      <c r="DE687" s="15" t="str">
        <f>IFERROR(__xludf.DUMMYFUNCTION("""COMPUTED_VALUE"""),"")</f>
        <v/>
      </c>
      <c r="DG687" s="15" t="str">
        <f>IFERROR(__xludf.DUMMYFUNCTION("""COMPUTED_VALUE"""),"")</f>
        <v/>
      </c>
      <c r="DL687" s="15" t="str">
        <f>IFERROR(__xludf.DUMMYFUNCTION("""COMPUTED_VALUE"""),"")</f>
        <v/>
      </c>
      <c r="DM687" s="15" t="s">
        <v>444</v>
      </c>
      <c r="DN687" s="15" t="s">
        <v>1371</v>
      </c>
      <c r="DO687" s="15">
        <v>2.0</v>
      </c>
      <c r="DP687" s="15" t="s">
        <v>419</v>
      </c>
      <c r="DR687" s="15">
        <v>0.0</v>
      </c>
      <c r="DT687" s="15" t="s">
        <v>1186</v>
      </c>
      <c r="DU687" s="15" t="s">
        <v>421</v>
      </c>
      <c r="DY687" s="15">
        <v>0.0</v>
      </c>
      <c r="EF687" s="15" t="s">
        <v>471</v>
      </c>
      <c r="EG687" s="15" t="s">
        <v>472</v>
      </c>
      <c r="EH687" s="15" t="s">
        <v>7512</v>
      </c>
      <c r="EJ687" s="15" t="s">
        <v>500</v>
      </c>
      <c r="EK687" s="15" t="s">
        <v>501</v>
      </c>
      <c r="EM687" s="15" t="str">
        <f>IFERROR(__xludf.DUMMYFUNCTION("""COMPUTED_VALUE"""),"")</f>
        <v/>
      </c>
      <c r="EW687" s="15" t="s">
        <v>2144</v>
      </c>
      <c r="FM687" s="15">
        <v>0.0</v>
      </c>
      <c r="GH687" s="15">
        <v>0.0</v>
      </c>
      <c r="GI687" s="15" t="s">
        <v>427</v>
      </c>
      <c r="GQ687" s="15" t="s">
        <v>3068</v>
      </c>
      <c r="GS687" s="15" t="s">
        <v>7556</v>
      </c>
      <c r="GU687" s="15" t="s">
        <v>3659</v>
      </c>
      <c r="GW687" s="15" t="s">
        <v>431</v>
      </c>
      <c r="GY687" s="15" t="s">
        <v>1190</v>
      </c>
    </row>
    <row r="688" ht="15.75" customHeight="1">
      <c r="A688" s="14" t="s">
        <v>391</v>
      </c>
      <c r="B688" s="15" t="s">
        <v>7561</v>
      </c>
      <c r="C688" s="16"/>
      <c r="D688" s="15" t="s">
        <v>432</v>
      </c>
      <c r="G688" s="14" t="s">
        <v>393</v>
      </c>
      <c r="H688" s="14" t="s">
        <v>394</v>
      </c>
      <c r="I688" s="14" t="b">
        <v>1</v>
      </c>
      <c r="J688" s="14" t="s">
        <v>395</v>
      </c>
      <c r="L688" s="14" t="b">
        <v>0</v>
      </c>
      <c r="M688" s="15" t="s">
        <v>7562</v>
      </c>
      <c r="N688" s="14" t="s">
        <v>393</v>
      </c>
      <c r="O688" s="14" t="s">
        <v>393</v>
      </c>
      <c r="P688" s="15" t="s">
        <v>397</v>
      </c>
      <c r="Q688" s="15" t="s">
        <v>1490</v>
      </c>
      <c r="T688" s="14" t="b">
        <v>0</v>
      </c>
      <c r="U688" s="15" t="s">
        <v>7563</v>
      </c>
      <c r="V688" s="15" t="s">
        <v>1521</v>
      </c>
      <c r="W688" s="15" t="s">
        <v>401</v>
      </c>
      <c r="X688" s="15" t="s">
        <v>695</v>
      </c>
      <c r="Y688" s="15">
        <v>1586.0</v>
      </c>
      <c r="AA688" s="15" t="str">
        <f>"610"</f>
        <v>610</v>
      </c>
      <c r="AB688" s="14" t="b">
        <v>1</v>
      </c>
      <c r="AC688" s="14" t="b">
        <v>1</v>
      </c>
      <c r="AD688" s="15" t="str">
        <f>"801542726218"</f>
        <v>801542726218</v>
      </c>
      <c r="AE688" s="15" t="s">
        <v>7564</v>
      </c>
      <c r="AF688" s="14" t="s">
        <v>404</v>
      </c>
      <c r="AG688" s="14" t="s">
        <v>405</v>
      </c>
      <c r="AH688" s="14" t="s">
        <v>406</v>
      </c>
      <c r="AI688" s="15">
        <v>0.0</v>
      </c>
      <c r="AL688" s="15" t="s">
        <v>2872</v>
      </c>
      <c r="AM688" s="15" t="s">
        <v>645</v>
      </c>
      <c r="AN688" s="15" t="s">
        <v>646</v>
      </c>
      <c r="AO688" s="15" t="s">
        <v>2039</v>
      </c>
      <c r="AP688" s="15" t="s">
        <v>2040</v>
      </c>
      <c r="AQ688" s="15" t="s">
        <v>1028</v>
      </c>
      <c r="AR688" s="15" t="s">
        <v>1029</v>
      </c>
      <c r="AS688" s="15" t="s">
        <v>1474</v>
      </c>
      <c r="AT688" s="15" t="s">
        <v>1490</v>
      </c>
      <c r="AU688" s="15" t="s">
        <v>1465</v>
      </c>
      <c r="AW688" s="15" t="s">
        <v>2891</v>
      </c>
      <c r="AX688" s="15" t="s">
        <v>5805</v>
      </c>
      <c r="AY688" s="15" t="s">
        <v>413</v>
      </c>
      <c r="AZ688" s="15" t="b">
        <v>0</v>
      </c>
      <c r="BA688" s="15" t="s">
        <v>413</v>
      </c>
      <c r="BB688" s="15" t="b">
        <v>0</v>
      </c>
      <c r="BC688" s="15" t="s">
        <v>7565</v>
      </c>
      <c r="BD688" s="15" t="s">
        <v>709</v>
      </c>
      <c r="BE688" s="15" t="str">
        <f t="shared" si="1145"/>
        <v>1</v>
      </c>
      <c r="BF688" s="15" t="s">
        <v>416</v>
      </c>
      <c r="BG688" s="15" t="str">
        <f>"38.19"</f>
        <v>38.19</v>
      </c>
      <c r="BH688" s="15" t="s">
        <v>3531</v>
      </c>
      <c r="BI688" s="15" t="str">
        <f>"19.29"</f>
        <v>19.29</v>
      </c>
      <c r="BJ688" s="15" t="s">
        <v>566</v>
      </c>
      <c r="BK688" s="15" t="str">
        <f>"38.98"</f>
        <v>38.98</v>
      </c>
      <c r="BL688" s="15" t="s">
        <v>927</v>
      </c>
      <c r="BM688" s="15" t="str">
        <f>"92.59"</f>
        <v>92.59</v>
      </c>
      <c r="BN688" s="15" t="s">
        <v>3348</v>
      </c>
      <c r="BQ688" s="15" t="s">
        <v>444</v>
      </c>
      <c r="BS688" s="15" t="s">
        <v>444</v>
      </c>
      <c r="BU688" s="15" t="s">
        <v>444</v>
      </c>
      <c r="BW688" s="15" t="s">
        <v>444</v>
      </c>
      <c r="BZ688" s="15" t="s">
        <v>444</v>
      </c>
      <c r="CB688" s="15" t="s">
        <v>444</v>
      </c>
      <c r="CD688" s="15" t="s">
        <v>444</v>
      </c>
      <c r="CF688" s="15" t="s">
        <v>444</v>
      </c>
      <c r="CI688" s="15" t="s">
        <v>444</v>
      </c>
      <c r="CK688" s="15" t="s">
        <v>444</v>
      </c>
      <c r="CM688" s="15" t="s">
        <v>444</v>
      </c>
      <c r="CO688" s="15" t="s">
        <v>444</v>
      </c>
      <c r="CP688" s="15" t="str">
        <f>"16.63"</f>
        <v>16.63</v>
      </c>
      <c r="CQ688" s="15" t="str">
        <f>"0.471"</f>
        <v>0.471</v>
      </c>
      <c r="CR688" s="15" t="s">
        <v>465</v>
      </c>
      <c r="CV688" s="15" t="s">
        <v>1592</v>
      </c>
      <c r="CW688" s="15" t="s">
        <v>2637</v>
      </c>
      <c r="CX688" s="15" t="s">
        <v>7566</v>
      </c>
      <c r="DC688" s="15" t="str">
        <f>IFERROR(__xludf.DUMMYFUNCTION("""COMPUTED_VALUE"""),"")</f>
        <v/>
      </c>
      <c r="DE688" s="15" t="str">
        <f>IFERROR(__xludf.DUMMYFUNCTION("""COMPUTED_VALUE"""),"")</f>
        <v/>
      </c>
      <c r="DG688" s="15" t="str">
        <f>IFERROR(__xludf.DUMMYFUNCTION("""COMPUTED_VALUE"""),"")</f>
        <v/>
      </c>
      <c r="DL688" s="15" t="str">
        <f>IFERROR(__xludf.DUMMYFUNCTION("""COMPUTED_VALUE"""),"")</f>
        <v/>
      </c>
      <c r="DM688" s="15" t="s">
        <v>444</v>
      </c>
      <c r="DN688" s="15" t="s">
        <v>419</v>
      </c>
      <c r="DO688" s="15">
        <v>0.0</v>
      </c>
      <c r="DP688" s="15" t="s">
        <v>419</v>
      </c>
      <c r="DR688" s="15">
        <v>0.0</v>
      </c>
      <c r="DT688" s="15" t="s">
        <v>721</v>
      </c>
      <c r="DU688" s="15" t="s">
        <v>610</v>
      </c>
      <c r="DW688" s="15">
        <v>18.14</v>
      </c>
      <c r="DX688" s="15">
        <v>40.0</v>
      </c>
      <c r="DY688" s="15">
        <v>1.0</v>
      </c>
      <c r="EF688" s="15" t="s">
        <v>1906</v>
      </c>
      <c r="EG688" s="15" t="s">
        <v>1907</v>
      </c>
      <c r="EH688" s="15" t="s">
        <v>7512</v>
      </c>
      <c r="EK688" s="15" t="s">
        <v>444</v>
      </c>
      <c r="EM688" s="15" t="str">
        <f>IFERROR(__xludf.DUMMYFUNCTION("""COMPUTED_VALUE"""),"")</f>
        <v/>
      </c>
      <c r="EW688" s="15" t="s">
        <v>2144</v>
      </c>
      <c r="FL688" s="15" t="s">
        <v>426</v>
      </c>
      <c r="FM688" s="15">
        <v>1.0</v>
      </c>
      <c r="FY688" s="15" t="s">
        <v>5054</v>
      </c>
      <c r="FZ688" s="15" t="s">
        <v>4469</v>
      </c>
      <c r="GA688" s="15" t="s">
        <v>7567</v>
      </c>
      <c r="GB688" s="15" t="s">
        <v>1592</v>
      </c>
      <c r="GC688" s="15" t="s">
        <v>2638</v>
      </c>
      <c r="GD688" s="15" t="s">
        <v>7566</v>
      </c>
      <c r="GE688" s="15">
        <v>0.0</v>
      </c>
      <c r="GF688" s="15" t="s">
        <v>426</v>
      </c>
      <c r="GG688" s="15" t="s">
        <v>785</v>
      </c>
      <c r="GH688" s="15">
        <v>2.0</v>
      </c>
      <c r="GI688" s="15" t="s">
        <v>614</v>
      </c>
      <c r="GJ688" s="15" t="s">
        <v>786</v>
      </c>
      <c r="GK688" s="15">
        <v>0.0</v>
      </c>
      <c r="GL688" s="15" t="s">
        <v>426</v>
      </c>
      <c r="GM688" s="15" t="s">
        <v>5816</v>
      </c>
      <c r="GN688" s="15" t="s">
        <v>3722</v>
      </c>
      <c r="GP688" s="15">
        <v>0.0</v>
      </c>
      <c r="IH688" s="15" t="s">
        <v>426</v>
      </c>
      <c r="KI688" s="15" t="s">
        <v>789</v>
      </c>
    </row>
    <row r="689" ht="15.75" customHeight="1">
      <c r="A689" s="14" t="s">
        <v>391</v>
      </c>
      <c r="B689" s="15" t="s">
        <v>7568</v>
      </c>
      <c r="C689" s="16"/>
      <c r="D689" s="15" t="s">
        <v>432</v>
      </c>
      <c r="G689" s="14" t="s">
        <v>393</v>
      </c>
      <c r="H689" s="14" t="s">
        <v>394</v>
      </c>
      <c r="I689" s="14" t="b">
        <v>1</v>
      </c>
      <c r="J689" s="14" t="s">
        <v>395</v>
      </c>
      <c r="L689" s="14" t="b">
        <v>0</v>
      </c>
      <c r="M689" s="15" t="s">
        <v>7569</v>
      </c>
      <c r="N689" s="14" t="s">
        <v>393</v>
      </c>
      <c r="O689" s="14" t="s">
        <v>393</v>
      </c>
      <c r="P689" s="15" t="s">
        <v>397</v>
      </c>
      <c r="Q689" s="15" t="s">
        <v>963</v>
      </c>
      <c r="T689" s="14" t="b">
        <v>0</v>
      </c>
      <c r="U689" s="15" t="s">
        <v>7570</v>
      </c>
      <c r="V689" s="15" t="s">
        <v>7571</v>
      </c>
      <c r="W689" s="15" t="s">
        <v>401</v>
      </c>
      <c r="X689" s="15" t="s">
        <v>695</v>
      </c>
      <c r="Y689" s="15">
        <v>4589.0</v>
      </c>
      <c r="AA689" s="15" t="str">
        <f>"1765"</f>
        <v>1765</v>
      </c>
      <c r="AB689" s="14" t="b">
        <v>1</v>
      </c>
      <c r="AC689" s="14" t="b">
        <v>1</v>
      </c>
      <c r="AD689" s="15" t="str">
        <f>"801542158552"</f>
        <v>801542158552</v>
      </c>
      <c r="AE689" s="15" t="s">
        <v>7572</v>
      </c>
      <c r="AF689" s="14" t="s">
        <v>404</v>
      </c>
      <c r="AG689" s="14" t="s">
        <v>405</v>
      </c>
      <c r="AH689" s="14" t="s">
        <v>406</v>
      </c>
      <c r="AI689" s="15">
        <v>0.0</v>
      </c>
      <c r="AL689" s="15" t="s">
        <v>908</v>
      </c>
      <c r="AM689" s="15" t="s">
        <v>770</v>
      </c>
      <c r="AN689" s="15" t="s">
        <v>771</v>
      </c>
      <c r="AO689" s="15" t="s">
        <v>679</v>
      </c>
      <c r="AP689" s="15" t="s">
        <v>680</v>
      </c>
      <c r="AQ689" s="15" t="s">
        <v>1364</v>
      </c>
      <c r="AR689" s="15" t="s">
        <v>1365</v>
      </c>
      <c r="AS689" s="15" t="s">
        <v>915</v>
      </c>
      <c r="AT689" s="15" t="s">
        <v>963</v>
      </c>
      <c r="AW689" s="15" t="s">
        <v>1732</v>
      </c>
      <c r="AY689" s="15" t="s">
        <v>413</v>
      </c>
      <c r="AZ689" s="15" t="b">
        <v>0</v>
      </c>
      <c r="BA689" s="15" t="s">
        <v>413</v>
      </c>
      <c r="BB689" s="15" t="b">
        <v>0</v>
      </c>
      <c r="BC689" s="15" t="s">
        <v>7573</v>
      </c>
      <c r="BD689" s="15" t="s">
        <v>709</v>
      </c>
      <c r="BE689" s="15" t="str">
        <f>"2"</f>
        <v>2</v>
      </c>
      <c r="BF689" s="15" t="s">
        <v>4730</v>
      </c>
      <c r="BG689" s="15" t="str">
        <f>"95.28"</f>
        <v>95.28</v>
      </c>
      <c r="BH689" s="15" t="s">
        <v>5582</v>
      </c>
      <c r="BI689" s="15" t="str">
        <f>"40.94"</f>
        <v>40.94</v>
      </c>
      <c r="BJ689" s="15" t="s">
        <v>648</v>
      </c>
      <c r="BK689" s="15" t="str">
        <f>"32.68"</f>
        <v>32.68</v>
      </c>
      <c r="BL689" s="15" t="s">
        <v>2066</v>
      </c>
      <c r="BM689" s="15" t="str">
        <f>"138.89"</f>
        <v>138.89</v>
      </c>
      <c r="BN689" s="15" t="s">
        <v>7574</v>
      </c>
      <c r="BO689" s="15" t="s">
        <v>7575</v>
      </c>
      <c r="BP689" s="15" t="str">
        <f>"40.16"</f>
        <v>40.16</v>
      </c>
      <c r="BQ689" s="15" t="s">
        <v>667</v>
      </c>
      <c r="BR689" s="15" t="str">
        <f>"8.66"</f>
        <v>8.66</v>
      </c>
      <c r="BS689" s="15" t="s">
        <v>5329</v>
      </c>
      <c r="BT689" s="15" t="str">
        <f>"29.53"</f>
        <v>29.53</v>
      </c>
      <c r="BU689" s="15" t="s">
        <v>1062</v>
      </c>
      <c r="BV689" s="15" t="str">
        <f>"102.51"</f>
        <v>102.51</v>
      </c>
      <c r="BW689" s="15" t="s">
        <v>7576</v>
      </c>
      <c r="BZ689" s="15" t="s">
        <v>444</v>
      </c>
      <c r="CB689" s="15" t="s">
        <v>444</v>
      </c>
      <c r="CD689" s="15" t="s">
        <v>444</v>
      </c>
      <c r="CF689" s="15" t="s">
        <v>444</v>
      </c>
      <c r="CI689" s="15" t="s">
        <v>444</v>
      </c>
      <c r="CK689" s="15" t="s">
        <v>444</v>
      </c>
      <c r="CM689" s="15" t="s">
        <v>444</v>
      </c>
      <c r="CO689" s="15" t="s">
        <v>444</v>
      </c>
      <c r="CP689" s="15" t="str">
        <f>"74.97"</f>
        <v>74.97</v>
      </c>
      <c r="CQ689" s="15" t="str">
        <f>"2.123"</f>
        <v>2.123</v>
      </c>
      <c r="CR689" s="15" t="s">
        <v>417</v>
      </c>
      <c r="CY689" s="15" t="s">
        <v>1574</v>
      </c>
      <c r="CZ689" s="15" t="s">
        <v>2402</v>
      </c>
      <c r="DA689" s="15" t="s">
        <v>7577</v>
      </c>
      <c r="DB689" s="15" t="s">
        <v>1072</v>
      </c>
      <c r="DC689" s="15" t="str">
        <f>IFERROR(__xludf.DUMMYFUNCTION("""COMPUTED_VALUE"""),"{""value"":22.00,""unit"":""in""}")</f>
        <v>{"value":22.00,"unit":"in"}</v>
      </c>
      <c r="DD689" s="15" t="s">
        <v>824</v>
      </c>
      <c r="DE689" s="15" t="str">
        <f>IFERROR(__xludf.DUMMYFUNCTION("""COMPUTED_VALUE"""),"{""value"":18.50,""unit"":""in""}")</f>
        <v>{"value":18.50,"unit":"in"}</v>
      </c>
      <c r="DG689" s="15" t="str">
        <f>IFERROR(__xludf.DUMMYFUNCTION("""COMPUTED_VALUE"""),"")</f>
        <v/>
      </c>
      <c r="DH689" s="15">
        <v>0.0</v>
      </c>
      <c r="DI689" s="15">
        <v>2.0</v>
      </c>
      <c r="DJ689" s="15" t="s">
        <v>717</v>
      </c>
      <c r="DK689" s="15" t="s">
        <v>934</v>
      </c>
      <c r="DL689" s="15" t="str">
        <f>IFERROR(__xludf.DUMMYFUNCTION("""COMPUTED_VALUE"""),"Spot clean with water-based or solvent-based cleaner. Use mild detergent or upholstery shampoo.")</f>
        <v>Spot clean with water-based or solvent-based cleaner. Use mild detergent or upholstery shampoo.</v>
      </c>
      <c r="DM689" s="15" t="s">
        <v>935</v>
      </c>
      <c r="DQ689" s="15" t="s">
        <v>6848</v>
      </c>
      <c r="DT689" s="15" t="s">
        <v>721</v>
      </c>
      <c r="DU689" s="15" t="s">
        <v>936</v>
      </c>
      <c r="DV689" s="15">
        <v>0.0</v>
      </c>
      <c r="DZ689" s="15">
        <v>25000.0</v>
      </c>
      <c r="EA689" s="15" t="s">
        <v>990</v>
      </c>
      <c r="EB689" s="15" t="s">
        <v>723</v>
      </c>
      <c r="EC689" s="15" t="s">
        <v>724</v>
      </c>
      <c r="ED689" s="15">
        <v>1.0</v>
      </c>
      <c r="EE689" s="15">
        <v>4.0</v>
      </c>
      <c r="EG689" s="15" t="s">
        <v>444</v>
      </c>
      <c r="EH689" s="15" t="s">
        <v>7578</v>
      </c>
      <c r="EI689" s="15">
        <v>0.0</v>
      </c>
      <c r="EJ689" s="15" t="s">
        <v>588</v>
      </c>
      <c r="EK689" s="15" t="s">
        <v>589</v>
      </c>
      <c r="EL689" s="15" t="s">
        <v>1211</v>
      </c>
      <c r="EM689" s="15" t="str">
        <f>IFERROR(__xludf.DUMMYFUNCTION("""COMPUTED_VALUE"""),"{""value"":24.00,""unit"":""in""}")</f>
        <v>{"value":24.00,"unit":"in"}</v>
      </c>
      <c r="EN689" s="15" t="s">
        <v>1069</v>
      </c>
      <c r="EO689" s="15" t="s">
        <v>1330</v>
      </c>
      <c r="ES689" s="15" t="s">
        <v>1236</v>
      </c>
      <c r="ET689" s="15" t="s">
        <v>475</v>
      </c>
      <c r="EU689" s="15" t="s">
        <v>1324</v>
      </c>
      <c r="EV689" s="15" t="s">
        <v>3332</v>
      </c>
      <c r="EX689" s="15" t="s">
        <v>1328</v>
      </c>
      <c r="EY689" s="15" t="s">
        <v>1737</v>
      </c>
      <c r="EZ689" s="15" t="s">
        <v>1160</v>
      </c>
      <c r="FC689" s="15" t="s">
        <v>723</v>
      </c>
      <c r="FD689" s="15" t="s">
        <v>724</v>
      </c>
      <c r="FE689" s="15" t="s">
        <v>1066</v>
      </c>
      <c r="FF689" s="15" t="s">
        <v>997</v>
      </c>
      <c r="FO689" s="15" t="s">
        <v>7579</v>
      </c>
      <c r="FP689" s="15" t="s">
        <v>7577</v>
      </c>
      <c r="FS689" s="15" t="s">
        <v>2436</v>
      </c>
    </row>
    <row r="690" ht="15.75" customHeight="1">
      <c r="A690" s="14" t="s">
        <v>391</v>
      </c>
      <c r="B690" s="15" t="s">
        <v>7580</v>
      </c>
      <c r="C690" s="16"/>
      <c r="D690" s="15" t="s">
        <v>432</v>
      </c>
      <c r="G690" s="14" t="s">
        <v>393</v>
      </c>
      <c r="H690" s="14" t="s">
        <v>394</v>
      </c>
      <c r="I690" s="14" t="b">
        <v>1</v>
      </c>
      <c r="J690" s="14" t="s">
        <v>395</v>
      </c>
      <c r="L690" s="14" t="b">
        <v>0</v>
      </c>
      <c r="M690" s="15" t="s">
        <v>7581</v>
      </c>
      <c r="N690" s="14" t="s">
        <v>393</v>
      </c>
      <c r="O690" s="14" t="s">
        <v>393</v>
      </c>
      <c r="P690" s="15" t="s">
        <v>397</v>
      </c>
      <c r="Q690" s="15" t="s">
        <v>3895</v>
      </c>
      <c r="R690" s="15" t="s">
        <v>265</v>
      </c>
      <c r="S690" s="15" t="s">
        <v>877</v>
      </c>
      <c r="T690" s="14" t="b">
        <v>0</v>
      </c>
      <c r="U690" s="15" t="s">
        <v>7582</v>
      </c>
      <c r="V690" s="15" t="s">
        <v>7583</v>
      </c>
      <c r="W690" s="15" t="s">
        <v>401</v>
      </c>
      <c r="X690" s="15" t="s">
        <v>742</v>
      </c>
      <c r="Y690" s="15">
        <v>2626.0</v>
      </c>
      <c r="AA690" s="15" t="str">
        <f>"1010"</f>
        <v>1010</v>
      </c>
      <c r="AB690" s="14" t="b">
        <v>1</v>
      </c>
      <c r="AC690" s="14" t="b">
        <v>1</v>
      </c>
      <c r="AD690" s="15" t="str">
        <f>"801542650797"</f>
        <v>801542650797</v>
      </c>
      <c r="AE690" s="15" t="s">
        <v>7584</v>
      </c>
      <c r="AF690" s="14" t="s">
        <v>404</v>
      </c>
      <c r="AG690" s="14" t="s">
        <v>405</v>
      </c>
      <c r="AH690" s="14" t="s">
        <v>406</v>
      </c>
      <c r="AI690" s="15">
        <v>0.0</v>
      </c>
      <c r="AL690" s="15" t="s">
        <v>3898</v>
      </c>
      <c r="AM690" s="15" t="s">
        <v>4209</v>
      </c>
      <c r="AN690" s="15" t="s">
        <v>4011</v>
      </c>
      <c r="AO690" s="15" t="s">
        <v>7585</v>
      </c>
      <c r="AP690" s="15" t="s">
        <v>7586</v>
      </c>
      <c r="AQ690" s="15" t="s">
        <v>5375</v>
      </c>
      <c r="AR690" s="15" t="s">
        <v>5376</v>
      </c>
      <c r="AS690" s="15" t="s">
        <v>5444</v>
      </c>
      <c r="AT690" s="15" t="s">
        <v>3895</v>
      </c>
      <c r="AU690" s="15" t="s">
        <v>7587</v>
      </c>
      <c r="AW690" s="15" t="s">
        <v>839</v>
      </c>
      <c r="AX690" s="15" t="s">
        <v>877</v>
      </c>
      <c r="AY690" s="15" t="s">
        <v>413</v>
      </c>
      <c r="AZ690" s="15" t="b">
        <v>0</v>
      </c>
      <c r="BA690" s="15" t="s">
        <v>413</v>
      </c>
      <c r="BB690" s="15" t="b">
        <v>0</v>
      </c>
      <c r="BC690" s="15" t="s">
        <v>7588</v>
      </c>
      <c r="BD690" s="15" t="s">
        <v>742</v>
      </c>
      <c r="BE690" s="15" t="str">
        <f t="shared" ref="BE690:BE695" si="1172">"3"</f>
        <v>3</v>
      </c>
      <c r="BF690" s="15" t="s">
        <v>6421</v>
      </c>
      <c r="BG690" s="15" t="str">
        <f>"72.24"</f>
        <v>72.24</v>
      </c>
      <c r="BH690" s="15" t="s">
        <v>3123</v>
      </c>
      <c r="BI690" s="15" t="str">
        <f>"55.12"</f>
        <v>55.12</v>
      </c>
      <c r="BJ690" s="15" t="s">
        <v>7589</v>
      </c>
      <c r="BK690" s="15" t="str">
        <f>"8.66"</f>
        <v>8.66</v>
      </c>
      <c r="BL690" s="15" t="s">
        <v>5329</v>
      </c>
      <c r="BM690" s="15" t="str">
        <f>"114.64"</f>
        <v>114.64</v>
      </c>
      <c r="BN690" s="15" t="s">
        <v>7248</v>
      </c>
      <c r="BO690" s="15" t="s">
        <v>7590</v>
      </c>
      <c r="BP690" s="15" t="str">
        <f>"69.29"</f>
        <v>69.29</v>
      </c>
      <c r="BQ690" s="15" t="s">
        <v>4999</v>
      </c>
      <c r="BR690" s="15" t="str">
        <f>"17.13"</f>
        <v>17.13</v>
      </c>
      <c r="BS690" s="15" t="s">
        <v>6729</v>
      </c>
      <c r="BT690" s="15" t="str">
        <f>"10.24"</f>
        <v>10.24</v>
      </c>
      <c r="BU690" s="15" t="s">
        <v>6791</v>
      </c>
      <c r="BV690" s="15" t="str">
        <f>"63.93"</f>
        <v>63.93</v>
      </c>
      <c r="BW690" s="15" t="s">
        <v>2965</v>
      </c>
      <c r="BX690" s="15" t="s">
        <v>7591</v>
      </c>
      <c r="BY690" s="15" t="str">
        <f>"87.6"</f>
        <v>87.6</v>
      </c>
      <c r="BZ690" s="15" t="s">
        <v>6393</v>
      </c>
      <c r="CA690" s="15" t="str">
        <f>"11.81"</f>
        <v>11.81</v>
      </c>
      <c r="CB690" s="15" t="s">
        <v>2218</v>
      </c>
      <c r="CC690" s="15" t="str">
        <f>"8.27"</f>
        <v>8.27</v>
      </c>
      <c r="CD690" s="15" t="s">
        <v>1106</v>
      </c>
      <c r="CE690" s="15" t="str">
        <f>"59.52"</f>
        <v>59.52</v>
      </c>
      <c r="CF690" s="15" t="s">
        <v>854</v>
      </c>
      <c r="CI690" s="15" t="s">
        <v>444</v>
      </c>
      <c r="CK690" s="15" t="s">
        <v>444</v>
      </c>
      <c r="CM690" s="15" t="s">
        <v>444</v>
      </c>
      <c r="CO690" s="15" t="s">
        <v>444</v>
      </c>
      <c r="CP690" s="15" t="str">
        <f>"31.96"</f>
        <v>31.96</v>
      </c>
      <c r="CQ690" s="15" t="str">
        <f>"0.905"</f>
        <v>0.905</v>
      </c>
      <c r="CR690" s="15" t="s">
        <v>465</v>
      </c>
      <c r="DC690" s="15" t="str">
        <f>IFERROR(__xludf.DUMMYFUNCTION("""COMPUTED_VALUE"""),"")</f>
        <v/>
      </c>
      <c r="DE690" s="15" t="str">
        <f>IFERROR(__xludf.DUMMYFUNCTION("""COMPUTED_VALUE"""),"")</f>
        <v/>
      </c>
      <c r="DG690" s="15" t="str">
        <f>IFERROR(__xludf.DUMMYFUNCTION("""COMPUTED_VALUE"""),"")</f>
        <v/>
      </c>
      <c r="DK690" s="15" t="s">
        <v>855</v>
      </c>
      <c r="DL690" s="15" t="str">
        <f>IFERROR(__xludf.DUMMYFUNCTION("""COMPUTED_VALUE"""),"Clean with solvent-based (dry clean only) products. Do not use water.")</f>
        <v>Clean with solvent-based (dry clean only) products. Do not use water.</v>
      </c>
      <c r="DM690" s="15" t="s">
        <v>856</v>
      </c>
      <c r="DN690" s="15" t="s">
        <v>419</v>
      </c>
      <c r="DO690" s="15">
        <v>0.0</v>
      </c>
      <c r="DP690" s="15" t="s">
        <v>419</v>
      </c>
      <c r="DR690" s="15">
        <v>0.0</v>
      </c>
      <c r="DT690" s="15" t="s">
        <v>1111</v>
      </c>
      <c r="DU690" s="15" t="s">
        <v>419</v>
      </c>
      <c r="DW690" s="15">
        <v>0.0</v>
      </c>
      <c r="DX690" s="15">
        <v>0.0</v>
      </c>
      <c r="DY690" s="15">
        <v>0.0</v>
      </c>
      <c r="DZ690" s="15">
        <v>79000.0</v>
      </c>
      <c r="EG690" s="15" t="s">
        <v>444</v>
      </c>
      <c r="EH690" s="15" t="s">
        <v>7592</v>
      </c>
      <c r="EJ690" s="15" t="s">
        <v>858</v>
      </c>
      <c r="EK690" s="15" t="s">
        <v>859</v>
      </c>
      <c r="EM690" s="15" t="str">
        <f>IFERROR(__xludf.DUMMYFUNCTION("""COMPUTED_VALUE"""),"")</f>
        <v/>
      </c>
      <c r="FF690" s="15" t="s">
        <v>1079</v>
      </c>
      <c r="FM690" s="15">
        <v>0.0</v>
      </c>
      <c r="IM690" s="15" t="s">
        <v>5796</v>
      </c>
      <c r="IN690" s="15" t="s">
        <v>5796</v>
      </c>
      <c r="IO690" s="15" t="s">
        <v>5796</v>
      </c>
      <c r="IP690" s="15" t="s">
        <v>4470</v>
      </c>
      <c r="IQ690" s="15" t="s">
        <v>2969</v>
      </c>
      <c r="IR690" s="15" t="s">
        <v>7593</v>
      </c>
      <c r="IS690" s="15" t="s">
        <v>7594</v>
      </c>
      <c r="IT690" s="15" t="s">
        <v>2969</v>
      </c>
      <c r="IU690" s="15" t="s">
        <v>7595</v>
      </c>
      <c r="IV690" s="15" t="s">
        <v>7596</v>
      </c>
      <c r="IW690" s="15" t="s">
        <v>2046</v>
      </c>
      <c r="IX690" s="15" t="s">
        <v>6720</v>
      </c>
      <c r="IY690" s="15" t="s">
        <v>5304</v>
      </c>
      <c r="IZ690" s="15" t="s">
        <v>7597</v>
      </c>
      <c r="JA690" s="15" t="s">
        <v>4469</v>
      </c>
      <c r="JB690" s="15" t="s">
        <v>426</v>
      </c>
      <c r="JC690" s="15" t="s">
        <v>2973</v>
      </c>
      <c r="JD690" s="15" t="s">
        <v>872</v>
      </c>
      <c r="JE690" s="15" t="s">
        <v>873</v>
      </c>
      <c r="JF690" s="15" t="s">
        <v>877</v>
      </c>
      <c r="JL690" s="15" t="s">
        <v>759</v>
      </c>
      <c r="JM690" s="15" t="s">
        <v>2651</v>
      </c>
      <c r="JN690" s="15" t="s">
        <v>759</v>
      </c>
      <c r="JO690" s="15" t="s">
        <v>426</v>
      </c>
      <c r="JP690" s="15" t="s">
        <v>2474</v>
      </c>
    </row>
    <row r="691" ht="15.75" customHeight="1">
      <c r="A691" s="14" t="s">
        <v>391</v>
      </c>
      <c r="B691" s="15" t="s">
        <v>7580</v>
      </c>
      <c r="C691" s="16"/>
      <c r="D691" s="15" t="s">
        <v>432</v>
      </c>
      <c r="G691" s="14" t="s">
        <v>393</v>
      </c>
      <c r="H691" s="14" t="s">
        <v>394</v>
      </c>
      <c r="I691" s="14" t="b">
        <v>1</v>
      </c>
      <c r="J691" s="14" t="s">
        <v>395</v>
      </c>
      <c r="L691" s="14" t="b">
        <v>0</v>
      </c>
      <c r="M691" s="15" t="s">
        <v>7598</v>
      </c>
      <c r="N691" s="14" t="s">
        <v>393</v>
      </c>
      <c r="O691" s="14" t="s">
        <v>393</v>
      </c>
      <c r="P691" s="15" t="s">
        <v>397</v>
      </c>
      <c r="Q691" s="15" t="s">
        <v>3895</v>
      </c>
      <c r="R691" s="15" t="s">
        <v>265</v>
      </c>
      <c r="S691" s="15" t="s">
        <v>828</v>
      </c>
      <c r="T691" s="14" t="b">
        <v>0</v>
      </c>
      <c r="U691" s="15" t="s">
        <v>7599</v>
      </c>
      <c r="V691" s="15" t="s">
        <v>7600</v>
      </c>
      <c r="W691" s="15" t="s">
        <v>401</v>
      </c>
      <c r="X691" s="15" t="s">
        <v>742</v>
      </c>
      <c r="Y691" s="15">
        <v>2951.0</v>
      </c>
      <c r="AA691" s="15" t="str">
        <f>"1135"</f>
        <v>1135</v>
      </c>
      <c r="AB691" s="14" t="b">
        <v>1</v>
      </c>
      <c r="AC691" s="14" t="b">
        <v>1</v>
      </c>
      <c r="AD691" s="15" t="str">
        <f>"801542650759"</f>
        <v>801542650759</v>
      </c>
      <c r="AE691" s="15" t="s">
        <v>7601</v>
      </c>
      <c r="AF691" s="14" t="s">
        <v>404</v>
      </c>
      <c r="AG691" s="14" t="s">
        <v>405</v>
      </c>
      <c r="AH691" s="14" t="s">
        <v>406</v>
      </c>
      <c r="AI691" s="15">
        <v>0.0</v>
      </c>
      <c r="AL691" s="15" t="s">
        <v>3898</v>
      </c>
      <c r="AM691" s="15" t="s">
        <v>833</v>
      </c>
      <c r="AN691" s="15" t="s">
        <v>834</v>
      </c>
      <c r="AO691" s="15" t="s">
        <v>7585</v>
      </c>
      <c r="AP691" s="15" t="s">
        <v>7586</v>
      </c>
      <c r="AQ691" s="15" t="s">
        <v>5375</v>
      </c>
      <c r="AR691" s="15" t="s">
        <v>5376</v>
      </c>
      <c r="AS691" s="15" t="s">
        <v>5444</v>
      </c>
      <c r="AT691" s="15" t="s">
        <v>3895</v>
      </c>
      <c r="AU691" s="15" t="s">
        <v>7587</v>
      </c>
      <c r="AW691" s="15" t="s">
        <v>839</v>
      </c>
      <c r="AX691" s="15" t="s">
        <v>828</v>
      </c>
      <c r="AY691" s="15" t="s">
        <v>413</v>
      </c>
      <c r="AZ691" s="15" t="b">
        <v>0</v>
      </c>
      <c r="BA691" s="15" t="s">
        <v>413</v>
      </c>
      <c r="BB691" s="15" t="b">
        <v>0</v>
      </c>
      <c r="BD691" s="15" t="s">
        <v>742</v>
      </c>
      <c r="BE691" s="15" t="str">
        <f t="shared" si="1172"/>
        <v>3</v>
      </c>
      <c r="BF691" s="15" t="s">
        <v>6421</v>
      </c>
      <c r="BG691" s="15" t="str">
        <f>"88.19"</f>
        <v>88.19</v>
      </c>
      <c r="BH691" s="15" t="s">
        <v>3222</v>
      </c>
      <c r="BI691" s="15" t="str">
        <f>"56.3"</f>
        <v>56.3</v>
      </c>
      <c r="BJ691" s="15" t="s">
        <v>3400</v>
      </c>
      <c r="BK691" s="15" t="str">
        <f>"7.68"</f>
        <v>7.68</v>
      </c>
      <c r="BL691" s="15" t="s">
        <v>6549</v>
      </c>
      <c r="BM691" s="15" t="str">
        <f>"132.28"</f>
        <v>132.28</v>
      </c>
      <c r="BN691" s="15" t="s">
        <v>2175</v>
      </c>
      <c r="BO691" s="15" t="s">
        <v>7590</v>
      </c>
      <c r="BP691" s="15" t="str">
        <f>"85.43"</f>
        <v>85.43</v>
      </c>
      <c r="BQ691" s="15" t="s">
        <v>3967</v>
      </c>
      <c r="BR691" s="15" t="str">
        <f>"17.72"</f>
        <v>17.72</v>
      </c>
      <c r="BS691" s="15" t="s">
        <v>3633</v>
      </c>
      <c r="BT691" s="15" t="str">
        <f>"9.06"</f>
        <v>9.06</v>
      </c>
      <c r="BU691" s="15" t="s">
        <v>2481</v>
      </c>
      <c r="BV691" s="15" t="str">
        <f>"76.06"</f>
        <v>76.06</v>
      </c>
      <c r="BW691" s="15" t="s">
        <v>3809</v>
      </c>
      <c r="BX691" s="15" t="s">
        <v>7591</v>
      </c>
      <c r="BY691" s="15" t="str">
        <f>"88.19"</f>
        <v>88.19</v>
      </c>
      <c r="BZ691" s="15" t="s">
        <v>3222</v>
      </c>
      <c r="CA691" s="15" t="str">
        <f t="shared" ref="CA691:CA695" si="1173">"12.99"</f>
        <v>12.99</v>
      </c>
      <c r="CB691" s="15" t="s">
        <v>6448</v>
      </c>
      <c r="CC691" s="15" t="str">
        <f t="shared" ref="CC691:CC695" si="1174">"7.87"</f>
        <v>7.87</v>
      </c>
      <c r="CD691" s="15" t="s">
        <v>923</v>
      </c>
      <c r="CE691" s="15" t="str">
        <f>"57.32"</f>
        <v>57.32</v>
      </c>
      <c r="CF691" s="15" t="s">
        <v>1991</v>
      </c>
      <c r="CI691" s="15" t="s">
        <v>444</v>
      </c>
      <c r="CK691" s="15" t="s">
        <v>444</v>
      </c>
      <c r="CM691" s="15" t="s">
        <v>444</v>
      </c>
      <c r="CO691" s="15" t="s">
        <v>444</v>
      </c>
      <c r="CP691" s="15" t="str">
        <f>"35.24"</f>
        <v>35.24</v>
      </c>
      <c r="CQ691" s="15" t="str">
        <f>"0.998"</f>
        <v>0.998</v>
      </c>
      <c r="CR691" s="15" t="s">
        <v>497</v>
      </c>
      <c r="DC691" s="15" t="str">
        <f>IFERROR(__xludf.DUMMYFUNCTION("""COMPUTED_VALUE"""),"")</f>
        <v/>
      </c>
      <c r="DE691" s="15" t="str">
        <f>IFERROR(__xludf.DUMMYFUNCTION("""COMPUTED_VALUE"""),"")</f>
        <v/>
      </c>
      <c r="DG691" s="15" t="str">
        <f>IFERROR(__xludf.DUMMYFUNCTION("""COMPUTED_VALUE"""),"")</f>
        <v/>
      </c>
      <c r="DK691" s="15" t="s">
        <v>855</v>
      </c>
      <c r="DL691" s="15" t="str">
        <f>IFERROR(__xludf.DUMMYFUNCTION("""COMPUTED_VALUE"""),"Clean with solvent-based (dry clean only) products. Do not use water.")</f>
        <v>Clean with solvent-based (dry clean only) products. Do not use water.</v>
      </c>
      <c r="DM691" s="15" t="s">
        <v>856</v>
      </c>
      <c r="DN691" s="15" t="s">
        <v>419</v>
      </c>
      <c r="DO691" s="15">
        <v>0.0</v>
      </c>
      <c r="DP691" s="15" t="s">
        <v>419</v>
      </c>
      <c r="DR691" s="15">
        <v>0.0</v>
      </c>
      <c r="DT691" s="15" t="s">
        <v>1111</v>
      </c>
      <c r="DU691" s="15" t="s">
        <v>419</v>
      </c>
      <c r="DW691" s="15">
        <v>0.0</v>
      </c>
      <c r="DX691" s="15">
        <v>0.0</v>
      </c>
      <c r="DY691" s="15">
        <v>0.0</v>
      </c>
      <c r="DZ691" s="15">
        <v>79000.0</v>
      </c>
      <c r="EG691" s="15" t="s">
        <v>444</v>
      </c>
      <c r="EH691" s="15" t="s">
        <v>7592</v>
      </c>
      <c r="EJ691" s="15" t="s">
        <v>858</v>
      </c>
      <c r="EK691" s="15" t="s">
        <v>859</v>
      </c>
      <c r="EM691" s="15" t="str">
        <f>IFERROR(__xludf.DUMMYFUNCTION("""COMPUTED_VALUE"""),"")</f>
        <v/>
      </c>
      <c r="FF691" s="15" t="s">
        <v>1079</v>
      </c>
      <c r="FM691" s="15">
        <v>0.0</v>
      </c>
      <c r="IM691" s="15" t="s">
        <v>5796</v>
      </c>
      <c r="IN691" s="15" t="s">
        <v>5796</v>
      </c>
      <c r="IO691" s="15" t="s">
        <v>5796</v>
      </c>
      <c r="IP691" s="15" t="s">
        <v>4470</v>
      </c>
      <c r="IQ691" s="15" t="s">
        <v>2969</v>
      </c>
      <c r="IR691" s="15" t="s">
        <v>7602</v>
      </c>
      <c r="IS691" s="15" t="s">
        <v>7594</v>
      </c>
      <c r="IT691" s="15" t="s">
        <v>2969</v>
      </c>
      <c r="IU691" s="15" t="s">
        <v>7603</v>
      </c>
      <c r="IV691" s="15" t="s">
        <v>7596</v>
      </c>
      <c r="IW691" s="15" t="s">
        <v>2046</v>
      </c>
      <c r="IX691" s="15" t="s">
        <v>7604</v>
      </c>
      <c r="IY691" s="15" t="s">
        <v>5304</v>
      </c>
      <c r="IZ691" s="15" t="s">
        <v>7597</v>
      </c>
      <c r="JA691" s="15" t="s">
        <v>4469</v>
      </c>
      <c r="JB691" s="15" t="s">
        <v>426</v>
      </c>
      <c r="JC691" s="15" t="s">
        <v>2973</v>
      </c>
      <c r="JD691" s="15" t="s">
        <v>872</v>
      </c>
      <c r="JE691" s="15" t="s">
        <v>873</v>
      </c>
      <c r="JF691" s="15" t="s">
        <v>828</v>
      </c>
      <c r="JL691" s="15" t="s">
        <v>759</v>
      </c>
      <c r="JM691" s="15" t="s">
        <v>2651</v>
      </c>
      <c r="JN691" s="15" t="s">
        <v>759</v>
      </c>
      <c r="JO691" s="15" t="s">
        <v>426</v>
      </c>
      <c r="JP691" s="15" t="s">
        <v>2474</v>
      </c>
    </row>
    <row r="692" ht="15.75" customHeight="1">
      <c r="A692" s="14" t="s">
        <v>391</v>
      </c>
      <c r="B692" s="15" t="s">
        <v>7605</v>
      </c>
      <c r="C692" s="16"/>
      <c r="D692" s="15" t="s">
        <v>432</v>
      </c>
      <c r="G692" s="14" t="s">
        <v>393</v>
      </c>
      <c r="H692" s="14" t="s">
        <v>394</v>
      </c>
      <c r="I692" s="14" t="b">
        <v>1</v>
      </c>
      <c r="J692" s="14" t="s">
        <v>395</v>
      </c>
      <c r="L692" s="14" t="b">
        <v>0</v>
      </c>
      <c r="M692" s="15" t="s">
        <v>7606</v>
      </c>
      <c r="N692" s="14" t="s">
        <v>393</v>
      </c>
      <c r="O692" s="14" t="s">
        <v>393</v>
      </c>
      <c r="P692" s="15" t="s">
        <v>397</v>
      </c>
      <c r="Q692" s="15" t="s">
        <v>7607</v>
      </c>
      <c r="R692" s="15" t="s">
        <v>265</v>
      </c>
      <c r="S692" s="15" t="s">
        <v>877</v>
      </c>
      <c r="T692" s="14" t="b">
        <v>0</v>
      </c>
      <c r="U692" s="15" t="s">
        <v>7608</v>
      </c>
      <c r="V692" s="15" t="s">
        <v>3219</v>
      </c>
      <c r="W692" s="15" t="s">
        <v>401</v>
      </c>
      <c r="X692" s="15" t="s">
        <v>742</v>
      </c>
      <c r="Y692" s="15">
        <v>1976.0</v>
      </c>
      <c r="AA692" s="15" t="str">
        <f>"760"</f>
        <v>760</v>
      </c>
      <c r="AB692" s="14" t="b">
        <v>1</v>
      </c>
      <c r="AC692" s="14" t="b">
        <v>1</v>
      </c>
      <c r="AD692" s="15" t="str">
        <f>"801542732585"</f>
        <v>801542732585</v>
      </c>
      <c r="AE692" s="15" t="s">
        <v>7609</v>
      </c>
      <c r="AF692" s="14" t="s">
        <v>404</v>
      </c>
      <c r="AG692" s="14" t="s">
        <v>405</v>
      </c>
      <c r="AH692" s="14" t="s">
        <v>406</v>
      </c>
      <c r="AI692" s="15">
        <v>0.0</v>
      </c>
      <c r="AL692" s="15" t="s">
        <v>3272</v>
      </c>
      <c r="AM692" s="15" t="s">
        <v>1224</v>
      </c>
      <c r="AN692" s="15" t="s">
        <v>1225</v>
      </c>
      <c r="AO692" s="15" t="s">
        <v>513</v>
      </c>
      <c r="AP692" s="15" t="s">
        <v>514</v>
      </c>
      <c r="AQ692" s="15" t="s">
        <v>4108</v>
      </c>
      <c r="AR692" s="15" t="s">
        <v>4109</v>
      </c>
      <c r="AS692" s="15" t="s">
        <v>837</v>
      </c>
      <c r="AT692" s="15" t="s">
        <v>7607</v>
      </c>
      <c r="AU692" s="15" t="s">
        <v>4364</v>
      </c>
      <c r="AW692" s="15" t="s">
        <v>839</v>
      </c>
      <c r="AX692" s="15" t="s">
        <v>877</v>
      </c>
      <c r="AY692" s="15" t="s">
        <v>413</v>
      </c>
      <c r="AZ692" s="15" t="b">
        <v>0</v>
      </c>
      <c r="BA692" s="15" t="s">
        <v>426</v>
      </c>
      <c r="BB692" s="15" t="b">
        <v>1</v>
      </c>
      <c r="BC692" s="15" t="s">
        <v>7610</v>
      </c>
      <c r="BD692" s="15" t="s">
        <v>742</v>
      </c>
      <c r="BE692" s="15" t="str">
        <f t="shared" si="1172"/>
        <v>3</v>
      </c>
      <c r="BF692" s="15" t="s">
        <v>841</v>
      </c>
      <c r="BG692" s="15" t="str">
        <f>"66.73"</f>
        <v>66.73</v>
      </c>
      <c r="BH692" s="15" t="s">
        <v>7611</v>
      </c>
      <c r="BI692" s="15" t="str">
        <f t="shared" ref="BI692:BI695" si="1175">"48.43"</f>
        <v>48.43</v>
      </c>
      <c r="BJ692" s="15" t="s">
        <v>7612</v>
      </c>
      <c r="BK692" s="15" t="str">
        <f t="shared" ref="BK692:BK695" si="1176">"7.87"</f>
        <v>7.87</v>
      </c>
      <c r="BL692" s="15" t="s">
        <v>923</v>
      </c>
      <c r="BM692" s="15" t="str">
        <f>"102.51"</f>
        <v>102.51</v>
      </c>
      <c r="BN692" s="15" t="s">
        <v>7576</v>
      </c>
      <c r="BO692" s="15" t="s">
        <v>2962</v>
      </c>
      <c r="BP692" s="15" t="str">
        <f>"66.73"</f>
        <v>66.73</v>
      </c>
      <c r="BQ692" s="15" t="s">
        <v>7611</v>
      </c>
      <c r="BR692" s="15" t="str">
        <f>"12.99"</f>
        <v>12.99</v>
      </c>
      <c r="BS692" s="15" t="s">
        <v>6448</v>
      </c>
      <c r="BT692" s="15" t="str">
        <f>"5.91"</f>
        <v>5.91</v>
      </c>
      <c r="BU692" s="15" t="s">
        <v>7613</v>
      </c>
      <c r="BV692" s="15" t="str">
        <f>"55.12"</f>
        <v>55.12</v>
      </c>
      <c r="BW692" s="15" t="s">
        <v>5847</v>
      </c>
      <c r="BX692" s="15" t="s">
        <v>2966</v>
      </c>
      <c r="BY692" s="15" t="str">
        <f t="shared" ref="BY692:BY695" si="1177">"83.07"</f>
        <v>83.07</v>
      </c>
      <c r="BZ692" s="15" t="s">
        <v>930</v>
      </c>
      <c r="CA692" s="15" t="str">
        <f t="shared" si="1173"/>
        <v>12.99</v>
      </c>
      <c r="CB692" s="15" t="s">
        <v>6448</v>
      </c>
      <c r="CC692" s="15" t="str">
        <f t="shared" si="1174"/>
        <v>7.87</v>
      </c>
      <c r="CD692" s="15" t="s">
        <v>923</v>
      </c>
      <c r="CE692" s="15" t="str">
        <f>"61.73"</f>
        <v>61.73</v>
      </c>
      <c r="CF692" s="15" t="s">
        <v>1948</v>
      </c>
      <c r="CI692" s="15" t="s">
        <v>444</v>
      </c>
      <c r="CK692" s="15" t="s">
        <v>444</v>
      </c>
      <c r="CM692" s="15" t="s">
        <v>444</v>
      </c>
      <c r="CO692" s="15" t="s">
        <v>444</v>
      </c>
      <c r="CP692" s="15" t="str">
        <f>"22.6"</f>
        <v>22.6</v>
      </c>
      <c r="CQ692" s="15" t="str">
        <f>"0.64"</f>
        <v>0.64</v>
      </c>
      <c r="CR692" s="15" t="s">
        <v>497</v>
      </c>
      <c r="DC692" s="15" t="str">
        <f>IFERROR(__xludf.DUMMYFUNCTION("""COMPUTED_VALUE"""),"")</f>
        <v/>
      </c>
      <c r="DE692" s="15" t="str">
        <f>IFERROR(__xludf.DUMMYFUNCTION("""COMPUTED_VALUE"""),"")</f>
        <v/>
      </c>
      <c r="DG692" s="15" t="str">
        <f>IFERROR(__xludf.DUMMYFUNCTION("""COMPUTED_VALUE"""),"")</f>
        <v/>
      </c>
      <c r="DK692" s="15" t="s">
        <v>855</v>
      </c>
      <c r="DL692" s="15" t="str">
        <f>IFERROR(__xludf.DUMMYFUNCTION("""COMPUTED_VALUE"""),"Clean with solvent-based (dry clean only) products. Do not use water.")</f>
        <v>Clean with solvent-based (dry clean only) products. Do not use water.</v>
      </c>
      <c r="DM692" s="15" t="s">
        <v>856</v>
      </c>
      <c r="DN692" s="15" t="s">
        <v>419</v>
      </c>
      <c r="DO692" s="15">
        <v>0.0</v>
      </c>
      <c r="DP692" s="15" t="s">
        <v>419</v>
      </c>
      <c r="DR692" s="15">
        <v>0.0</v>
      </c>
      <c r="DT692" s="15" t="s">
        <v>989</v>
      </c>
      <c r="DU692" s="15" t="s">
        <v>419</v>
      </c>
      <c r="DW692" s="15">
        <v>0.0</v>
      </c>
      <c r="DX692" s="15">
        <v>0.0</v>
      </c>
      <c r="DY692" s="15">
        <v>0.0</v>
      </c>
      <c r="DZ692" s="15">
        <v>15000.0</v>
      </c>
      <c r="EG692" s="15" t="s">
        <v>444</v>
      </c>
      <c r="EH692" s="15" t="s">
        <v>7614</v>
      </c>
      <c r="EJ692" s="15" t="s">
        <v>858</v>
      </c>
      <c r="EK692" s="15" t="s">
        <v>859</v>
      </c>
      <c r="EM692" s="15" t="str">
        <f>IFERROR(__xludf.DUMMYFUNCTION("""COMPUTED_VALUE"""),"")</f>
        <v/>
      </c>
      <c r="FF692" s="15" t="s">
        <v>3747</v>
      </c>
      <c r="FM692" s="15">
        <v>0.0</v>
      </c>
      <c r="FS692" s="15" t="s">
        <v>1609</v>
      </c>
      <c r="IM692" s="15" t="s">
        <v>2505</v>
      </c>
      <c r="IN692" s="15" t="s">
        <v>2505</v>
      </c>
      <c r="IO692" s="15" t="s">
        <v>2505</v>
      </c>
      <c r="IP692" s="15" t="s">
        <v>7417</v>
      </c>
      <c r="IQ692" s="15" t="s">
        <v>2465</v>
      </c>
      <c r="IR692" s="15" t="s">
        <v>7615</v>
      </c>
      <c r="IS692" s="15" t="s">
        <v>7616</v>
      </c>
      <c r="IT692" s="15" t="s">
        <v>3856</v>
      </c>
      <c r="IU692" s="15" t="s">
        <v>7615</v>
      </c>
      <c r="IV692" s="15" t="s">
        <v>2971</v>
      </c>
      <c r="IW692" s="15" t="s">
        <v>759</v>
      </c>
      <c r="IX692" s="15" t="s">
        <v>890</v>
      </c>
      <c r="IY692" s="15" t="s">
        <v>1950</v>
      </c>
      <c r="IZ692" s="15" t="s">
        <v>7604</v>
      </c>
      <c r="JA692" s="15" t="s">
        <v>2465</v>
      </c>
      <c r="JB692" s="15" t="s">
        <v>426</v>
      </c>
      <c r="JC692" s="15" t="s">
        <v>947</v>
      </c>
      <c r="JD692" s="15" t="s">
        <v>872</v>
      </c>
      <c r="JE692" s="15" t="s">
        <v>873</v>
      </c>
      <c r="JF692" s="15" t="s">
        <v>877</v>
      </c>
      <c r="JL692" s="15" t="s">
        <v>759</v>
      </c>
      <c r="JM692" s="15" t="s">
        <v>874</v>
      </c>
      <c r="JN692" s="15" t="s">
        <v>759</v>
      </c>
      <c r="JO692" s="15" t="s">
        <v>426</v>
      </c>
      <c r="JP692" s="15" t="s">
        <v>2474</v>
      </c>
    </row>
    <row r="693" ht="15.75" customHeight="1">
      <c r="A693" s="14" t="s">
        <v>391</v>
      </c>
      <c r="B693" s="15" t="s">
        <v>7605</v>
      </c>
      <c r="C693" s="16"/>
      <c r="D693" s="15" t="s">
        <v>432</v>
      </c>
      <c r="G693" s="14" t="s">
        <v>393</v>
      </c>
      <c r="H693" s="14" t="s">
        <v>394</v>
      </c>
      <c r="I693" s="14" t="b">
        <v>1</v>
      </c>
      <c r="J693" s="14" t="s">
        <v>395</v>
      </c>
      <c r="L693" s="14" t="b">
        <v>0</v>
      </c>
      <c r="M693" s="15" t="s">
        <v>7617</v>
      </c>
      <c r="N693" s="14" t="s">
        <v>393</v>
      </c>
      <c r="O693" s="14" t="s">
        <v>393</v>
      </c>
      <c r="P693" s="15" t="s">
        <v>397</v>
      </c>
      <c r="Q693" s="15" t="s">
        <v>7607</v>
      </c>
      <c r="R693" s="15" t="s">
        <v>265</v>
      </c>
      <c r="S693" s="15" t="s">
        <v>828</v>
      </c>
      <c r="T693" s="14" t="b">
        <v>0</v>
      </c>
      <c r="U693" s="15" t="s">
        <v>7618</v>
      </c>
      <c r="V693" s="15" t="s">
        <v>2940</v>
      </c>
      <c r="W693" s="15" t="s">
        <v>401</v>
      </c>
      <c r="X693" s="15" t="s">
        <v>742</v>
      </c>
      <c r="Y693" s="15">
        <v>2184.0</v>
      </c>
      <c r="AA693" s="15" t="str">
        <f>"840"</f>
        <v>840</v>
      </c>
      <c r="AB693" s="14" t="b">
        <v>1</v>
      </c>
      <c r="AC693" s="14" t="b">
        <v>1</v>
      </c>
      <c r="AD693" s="15" t="str">
        <f>"801542732547"</f>
        <v>801542732547</v>
      </c>
      <c r="AE693" s="15" t="s">
        <v>7619</v>
      </c>
      <c r="AF693" s="14" t="s">
        <v>404</v>
      </c>
      <c r="AG693" s="14" t="s">
        <v>405</v>
      </c>
      <c r="AH693" s="14" t="s">
        <v>406</v>
      </c>
      <c r="AI693" s="15">
        <v>0.0</v>
      </c>
      <c r="AL693" s="15" t="s">
        <v>3272</v>
      </c>
      <c r="AM693" s="15" t="s">
        <v>4522</v>
      </c>
      <c r="AN693" s="15" t="s">
        <v>2998</v>
      </c>
      <c r="AO693" s="15" t="s">
        <v>513</v>
      </c>
      <c r="AP693" s="15" t="s">
        <v>514</v>
      </c>
      <c r="AQ693" s="15" t="s">
        <v>4108</v>
      </c>
      <c r="AR693" s="15" t="s">
        <v>4109</v>
      </c>
      <c r="AS693" s="15" t="s">
        <v>837</v>
      </c>
      <c r="AT693" s="15" t="s">
        <v>7607</v>
      </c>
      <c r="AU693" s="15" t="s">
        <v>4364</v>
      </c>
      <c r="AW693" s="15" t="s">
        <v>839</v>
      </c>
      <c r="AX693" s="15" t="s">
        <v>828</v>
      </c>
      <c r="AY693" s="15" t="s">
        <v>413</v>
      </c>
      <c r="AZ693" s="15" t="b">
        <v>0</v>
      </c>
      <c r="BA693" s="15" t="s">
        <v>426</v>
      </c>
      <c r="BB693" s="15" t="b">
        <v>1</v>
      </c>
      <c r="BC693" s="15" t="s">
        <v>7610</v>
      </c>
      <c r="BD693" s="15" t="s">
        <v>742</v>
      </c>
      <c r="BE693" s="15" t="str">
        <f t="shared" si="1172"/>
        <v>3</v>
      </c>
      <c r="BF693" s="15" t="s">
        <v>841</v>
      </c>
      <c r="BG693" s="15" t="str">
        <f>"82.87"</f>
        <v>82.87</v>
      </c>
      <c r="BH693" s="15" t="s">
        <v>4677</v>
      </c>
      <c r="BI693" s="15" t="str">
        <f t="shared" si="1175"/>
        <v>48.43</v>
      </c>
      <c r="BJ693" s="15" t="s">
        <v>7612</v>
      </c>
      <c r="BK693" s="15" t="str">
        <f t="shared" si="1176"/>
        <v>7.87</v>
      </c>
      <c r="BL693" s="15" t="s">
        <v>923</v>
      </c>
      <c r="BM693" s="15" t="str">
        <f>"112.43"</f>
        <v>112.43</v>
      </c>
      <c r="BN693" s="15" t="s">
        <v>7620</v>
      </c>
      <c r="BO693" s="15" t="s">
        <v>2962</v>
      </c>
      <c r="BP693" s="15" t="str">
        <f>"82.87"</f>
        <v>82.87</v>
      </c>
      <c r="BQ693" s="15" t="s">
        <v>4677</v>
      </c>
      <c r="BR693" s="15" t="str">
        <f>"5.91"</f>
        <v>5.91</v>
      </c>
      <c r="BS693" s="15" t="s">
        <v>7613</v>
      </c>
      <c r="BT693" s="15" t="str">
        <f>"12.99"</f>
        <v>12.99</v>
      </c>
      <c r="BU693" s="15" t="s">
        <v>6448</v>
      </c>
      <c r="BV693" s="15" t="str">
        <f>"72.75"</f>
        <v>72.75</v>
      </c>
      <c r="BW693" s="15" t="s">
        <v>3022</v>
      </c>
      <c r="BX693" s="15" t="s">
        <v>2966</v>
      </c>
      <c r="BY693" s="15" t="str">
        <f t="shared" si="1177"/>
        <v>83.07</v>
      </c>
      <c r="BZ693" s="15" t="s">
        <v>930</v>
      </c>
      <c r="CA693" s="15" t="str">
        <f t="shared" si="1173"/>
        <v>12.99</v>
      </c>
      <c r="CB693" s="15" t="s">
        <v>6448</v>
      </c>
      <c r="CC693" s="15" t="str">
        <f t="shared" si="1174"/>
        <v>7.87</v>
      </c>
      <c r="CD693" s="15" t="s">
        <v>923</v>
      </c>
      <c r="CE693" s="15" t="str">
        <f>"70.55"</f>
        <v>70.55</v>
      </c>
      <c r="CF693" s="15" t="s">
        <v>845</v>
      </c>
      <c r="CI693" s="15" t="s">
        <v>444</v>
      </c>
      <c r="CK693" s="15" t="s">
        <v>444</v>
      </c>
      <c r="CM693" s="15" t="s">
        <v>444</v>
      </c>
      <c r="CO693" s="15" t="s">
        <v>444</v>
      </c>
      <c r="CP693" s="15" t="str">
        <f>"26.87"</f>
        <v>26.87</v>
      </c>
      <c r="CQ693" s="15" t="str">
        <f>"0.761"</f>
        <v>0.761</v>
      </c>
      <c r="CR693" s="15" t="s">
        <v>497</v>
      </c>
      <c r="DC693" s="15" t="str">
        <f>IFERROR(__xludf.DUMMYFUNCTION("""COMPUTED_VALUE"""),"")</f>
        <v/>
      </c>
      <c r="DE693" s="15" t="str">
        <f>IFERROR(__xludf.DUMMYFUNCTION("""COMPUTED_VALUE"""),"")</f>
        <v/>
      </c>
      <c r="DG693" s="15" t="str">
        <f>IFERROR(__xludf.DUMMYFUNCTION("""COMPUTED_VALUE"""),"")</f>
        <v/>
      </c>
      <c r="DK693" s="15" t="s">
        <v>855</v>
      </c>
      <c r="DL693" s="15" t="str">
        <f>IFERROR(__xludf.DUMMYFUNCTION("""COMPUTED_VALUE"""),"Clean with solvent-based (dry clean only) products. Do not use water.")</f>
        <v>Clean with solvent-based (dry clean only) products. Do not use water.</v>
      </c>
      <c r="DM693" s="15" t="s">
        <v>856</v>
      </c>
      <c r="DN693" s="15" t="s">
        <v>419</v>
      </c>
      <c r="DO693" s="15">
        <v>0.0</v>
      </c>
      <c r="DP693" s="15" t="s">
        <v>419</v>
      </c>
      <c r="DR693" s="15">
        <v>0.0</v>
      </c>
      <c r="DT693" s="15" t="s">
        <v>989</v>
      </c>
      <c r="DU693" s="15" t="s">
        <v>419</v>
      </c>
      <c r="DW693" s="15">
        <v>0.0</v>
      </c>
      <c r="DX693" s="15">
        <v>0.0</v>
      </c>
      <c r="DY693" s="15">
        <v>0.0</v>
      </c>
      <c r="DZ693" s="15">
        <v>15000.0</v>
      </c>
      <c r="EG693" s="15" t="s">
        <v>444</v>
      </c>
      <c r="EH693" s="15" t="s">
        <v>7614</v>
      </c>
      <c r="EJ693" s="15" t="s">
        <v>858</v>
      </c>
      <c r="EK693" s="15" t="s">
        <v>859</v>
      </c>
      <c r="EM693" s="15" t="str">
        <f>IFERROR(__xludf.DUMMYFUNCTION("""COMPUTED_VALUE"""),"")</f>
        <v/>
      </c>
      <c r="FF693" s="15" t="s">
        <v>3747</v>
      </c>
      <c r="FM693" s="15">
        <v>0.0</v>
      </c>
      <c r="FS693" s="15" t="s">
        <v>1609</v>
      </c>
      <c r="IM693" s="15" t="s">
        <v>2505</v>
      </c>
      <c r="IN693" s="15" t="s">
        <v>2505</v>
      </c>
      <c r="IO693" s="15" t="s">
        <v>2505</v>
      </c>
      <c r="IP693" s="15" t="s">
        <v>7417</v>
      </c>
      <c r="IQ693" s="15" t="s">
        <v>2465</v>
      </c>
      <c r="IR693" s="15" t="s">
        <v>7621</v>
      </c>
      <c r="IS693" s="15" t="s">
        <v>7616</v>
      </c>
      <c r="IT693" s="15" t="s">
        <v>3856</v>
      </c>
      <c r="IU693" s="15" t="s">
        <v>7621</v>
      </c>
      <c r="IV693" s="15" t="s">
        <v>2971</v>
      </c>
      <c r="IW693" s="15" t="s">
        <v>759</v>
      </c>
      <c r="IX693" s="15" t="s">
        <v>869</v>
      </c>
      <c r="IY693" s="15" t="s">
        <v>1950</v>
      </c>
      <c r="IZ693" s="15" t="s">
        <v>7604</v>
      </c>
      <c r="JA693" s="15" t="s">
        <v>2465</v>
      </c>
      <c r="JB693" s="15" t="s">
        <v>426</v>
      </c>
      <c r="JC693" s="15" t="s">
        <v>947</v>
      </c>
      <c r="JD693" s="15" t="s">
        <v>872</v>
      </c>
      <c r="JE693" s="15" t="s">
        <v>873</v>
      </c>
      <c r="JF693" s="15" t="s">
        <v>828</v>
      </c>
      <c r="JL693" s="15" t="s">
        <v>759</v>
      </c>
      <c r="JM693" s="15" t="s">
        <v>874</v>
      </c>
      <c r="JN693" s="15" t="s">
        <v>759</v>
      </c>
      <c r="JO693" s="15" t="s">
        <v>426</v>
      </c>
      <c r="JP693" s="15" t="s">
        <v>2474</v>
      </c>
    </row>
    <row r="694" ht="15.75" customHeight="1">
      <c r="A694" s="14" t="s">
        <v>391</v>
      </c>
      <c r="B694" s="15" t="s">
        <v>7605</v>
      </c>
      <c r="C694" s="16"/>
      <c r="D694" s="15" t="s">
        <v>432</v>
      </c>
      <c r="G694" s="14" t="s">
        <v>393</v>
      </c>
      <c r="H694" s="14" t="s">
        <v>394</v>
      </c>
      <c r="I694" s="14" t="b">
        <v>1</v>
      </c>
      <c r="J694" s="14" t="s">
        <v>395</v>
      </c>
      <c r="L694" s="14" t="b">
        <v>0</v>
      </c>
      <c r="M694" s="15" t="s">
        <v>7622</v>
      </c>
      <c r="N694" s="14" t="s">
        <v>393</v>
      </c>
      <c r="O694" s="14" t="s">
        <v>393</v>
      </c>
      <c r="P694" s="15" t="s">
        <v>397</v>
      </c>
      <c r="Q694" s="15" t="s">
        <v>2000</v>
      </c>
      <c r="R694" s="15" t="s">
        <v>265</v>
      </c>
      <c r="S694" s="15" t="s">
        <v>877</v>
      </c>
      <c r="T694" s="14" t="b">
        <v>0</v>
      </c>
      <c r="U694" s="15" t="s">
        <v>7623</v>
      </c>
      <c r="V694" s="15" t="s">
        <v>3219</v>
      </c>
      <c r="W694" s="15" t="s">
        <v>401</v>
      </c>
      <c r="X694" s="15" t="s">
        <v>742</v>
      </c>
      <c r="Y694" s="15">
        <v>1976.0</v>
      </c>
      <c r="AA694" s="15" t="str">
        <f>"760"</f>
        <v>760</v>
      </c>
      <c r="AB694" s="14" t="b">
        <v>1</v>
      </c>
      <c r="AC694" s="14" t="b">
        <v>1</v>
      </c>
      <c r="AD694" s="15" t="str">
        <f>"801542965938"</f>
        <v>801542965938</v>
      </c>
      <c r="AE694" s="15" t="s">
        <v>7624</v>
      </c>
      <c r="AF694" s="14" t="s">
        <v>404</v>
      </c>
      <c r="AG694" s="14" t="s">
        <v>405</v>
      </c>
      <c r="AH694" s="14" t="s">
        <v>406</v>
      </c>
      <c r="AI694" s="15">
        <v>0.0</v>
      </c>
      <c r="AL694" s="15" t="s">
        <v>1273</v>
      </c>
      <c r="AM694" s="15" t="s">
        <v>1224</v>
      </c>
      <c r="AN694" s="15" t="s">
        <v>1225</v>
      </c>
      <c r="AO694" s="15" t="s">
        <v>513</v>
      </c>
      <c r="AP694" s="15" t="s">
        <v>514</v>
      </c>
      <c r="AQ694" s="15" t="s">
        <v>4108</v>
      </c>
      <c r="AR694" s="15" t="s">
        <v>4109</v>
      </c>
      <c r="AS694" s="15" t="s">
        <v>837</v>
      </c>
      <c r="AT694" s="15" t="s">
        <v>2000</v>
      </c>
      <c r="AU694" s="15" t="s">
        <v>4364</v>
      </c>
      <c r="AW694" s="15" t="s">
        <v>839</v>
      </c>
      <c r="AX694" s="15" t="s">
        <v>877</v>
      </c>
      <c r="AY694" s="15" t="s">
        <v>413</v>
      </c>
      <c r="AZ694" s="15" t="b">
        <v>0</v>
      </c>
      <c r="BA694" s="15" t="s">
        <v>426</v>
      </c>
      <c r="BB694" s="15" t="b">
        <v>1</v>
      </c>
      <c r="BC694" s="15" t="s">
        <v>7625</v>
      </c>
      <c r="BD694" s="15" t="s">
        <v>742</v>
      </c>
      <c r="BE694" s="15" t="str">
        <f t="shared" si="1172"/>
        <v>3</v>
      </c>
      <c r="BF694" s="15" t="s">
        <v>841</v>
      </c>
      <c r="BG694" s="15" t="str">
        <f>"66.73"</f>
        <v>66.73</v>
      </c>
      <c r="BH694" s="15" t="s">
        <v>7611</v>
      </c>
      <c r="BI694" s="15" t="str">
        <f t="shared" si="1175"/>
        <v>48.43</v>
      </c>
      <c r="BJ694" s="15" t="s">
        <v>7612</v>
      </c>
      <c r="BK694" s="15" t="str">
        <f t="shared" si="1176"/>
        <v>7.87</v>
      </c>
      <c r="BL694" s="15" t="s">
        <v>923</v>
      </c>
      <c r="BM694" s="15" t="str">
        <f>"102.51"</f>
        <v>102.51</v>
      </c>
      <c r="BN694" s="15" t="s">
        <v>7576</v>
      </c>
      <c r="BO694" s="15" t="s">
        <v>2962</v>
      </c>
      <c r="BP694" s="15" t="str">
        <f>"66.73"</f>
        <v>66.73</v>
      </c>
      <c r="BQ694" s="15" t="s">
        <v>7611</v>
      </c>
      <c r="BR694" s="15" t="str">
        <f t="shared" ref="BR694:BR695" si="1178">"12.99"</f>
        <v>12.99</v>
      </c>
      <c r="BS694" s="15" t="s">
        <v>6448</v>
      </c>
      <c r="BT694" s="15" t="str">
        <f t="shared" ref="BT694:BT695" si="1179">"5.91"</f>
        <v>5.91</v>
      </c>
      <c r="BU694" s="15" t="s">
        <v>7613</v>
      </c>
      <c r="BV694" s="15" t="str">
        <f>"55.12"</f>
        <v>55.12</v>
      </c>
      <c r="BW694" s="15" t="s">
        <v>5847</v>
      </c>
      <c r="BX694" s="15" t="s">
        <v>2966</v>
      </c>
      <c r="BY694" s="15" t="str">
        <f t="shared" si="1177"/>
        <v>83.07</v>
      </c>
      <c r="BZ694" s="15" t="s">
        <v>930</v>
      </c>
      <c r="CA694" s="15" t="str">
        <f t="shared" si="1173"/>
        <v>12.99</v>
      </c>
      <c r="CB694" s="15" t="s">
        <v>6448</v>
      </c>
      <c r="CC694" s="15" t="str">
        <f t="shared" si="1174"/>
        <v>7.87</v>
      </c>
      <c r="CD694" s="15" t="s">
        <v>923</v>
      </c>
      <c r="CE694" s="15" t="str">
        <f>"61.73"</f>
        <v>61.73</v>
      </c>
      <c r="CF694" s="15" t="s">
        <v>1948</v>
      </c>
      <c r="CI694" s="15" t="s">
        <v>444</v>
      </c>
      <c r="CK694" s="15" t="s">
        <v>444</v>
      </c>
      <c r="CM694" s="15" t="s">
        <v>444</v>
      </c>
      <c r="CO694" s="15" t="s">
        <v>444</v>
      </c>
      <c r="CP694" s="15" t="str">
        <f>"22.6"</f>
        <v>22.6</v>
      </c>
      <c r="CQ694" s="15" t="str">
        <f>"0.64"</f>
        <v>0.64</v>
      </c>
      <c r="CR694" s="15" t="s">
        <v>465</v>
      </c>
      <c r="DC694" s="15" t="str">
        <f>IFERROR(__xludf.DUMMYFUNCTION("""COMPUTED_VALUE"""),"")</f>
        <v/>
      </c>
      <c r="DE694" s="15" t="str">
        <f>IFERROR(__xludf.DUMMYFUNCTION("""COMPUTED_VALUE"""),"")</f>
        <v/>
      </c>
      <c r="DG694" s="15" t="str">
        <f>IFERROR(__xludf.DUMMYFUNCTION("""COMPUTED_VALUE"""),"")</f>
        <v/>
      </c>
      <c r="DK694" s="15" t="s">
        <v>855</v>
      </c>
      <c r="DL694" s="15" t="str">
        <f>IFERROR(__xludf.DUMMYFUNCTION("""COMPUTED_VALUE"""),"Clean with solvent-based (dry clean only) products. Do not use water.")</f>
        <v>Clean with solvent-based (dry clean only) products. Do not use water.</v>
      </c>
      <c r="DM694" s="15" t="s">
        <v>856</v>
      </c>
      <c r="DN694" s="15" t="s">
        <v>419</v>
      </c>
      <c r="DO694" s="15">
        <v>0.0</v>
      </c>
      <c r="DP694" s="15" t="s">
        <v>419</v>
      </c>
      <c r="DR694" s="15">
        <v>0.0</v>
      </c>
      <c r="DT694" s="15" t="s">
        <v>989</v>
      </c>
      <c r="DU694" s="15" t="s">
        <v>419</v>
      </c>
      <c r="DW694" s="15">
        <v>0.0</v>
      </c>
      <c r="DX694" s="15">
        <v>0.0</v>
      </c>
      <c r="DY694" s="15">
        <v>0.0</v>
      </c>
      <c r="DZ694" s="15">
        <v>25000.0</v>
      </c>
      <c r="EG694" s="15" t="s">
        <v>444</v>
      </c>
      <c r="EH694" s="15" t="s">
        <v>7614</v>
      </c>
      <c r="EJ694" s="15" t="s">
        <v>858</v>
      </c>
      <c r="EK694" s="15" t="s">
        <v>859</v>
      </c>
      <c r="EM694" s="15" t="str">
        <f>IFERROR(__xludf.DUMMYFUNCTION("""COMPUTED_VALUE"""),"")</f>
        <v/>
      </c>
      <c r="FF694" s="15" t="s">
        <v>3747</v>
      </c>
      <c r="FM694" s="15">
        <v>0.0</v>
      </c>
      <c r="FS694" s="15" t="s">
        <v>1609</v>
      </c>
      <c r="IM694" s="15" t="s">
        <v>2505</v>
      </c>
      <c r="IN694" s="15" t="s">
        <v>2505</v>
      </c>
      <c r="IO694" s="15" t="s">
        <v>2505</v>
      </c>
      <c r="IP694" s="15" t="s">
        <v>7417</v>
      </c>
      <c r="IQ694" s="15" t="s">
        <v>2465</v>
      </c>
      <c r="IR694" s="15" t="s">
        <v>7615</v>
      </c>
      <c r="IS694" s="15" t="s">
        <v>7616</v>
      </c>
      <c r="IT694" s="15" t="s">
        <v>3856</v>
      </c>
      <c r="IU694" s="15" t="s">
        <v>7615</v>
      </c>
      <c r="IV694" s="15" t="s">
        <v>2971</v>
      </c>
      <c r="IW694" s="15" t="s">
        <v>759</v>
      </c>
      <c r="IX694" s="15" t="s">
        <v>890</v>
      </c>
      <c r="IY694" s="15" t="s">
        <v>1950</v>
      </c>
      <c r="IZ694" s="15" t="s">
        <v>7604</v>
      </c>
      <c r="JA694" s="15" t="s">
        <v>2465</v>
      </c>
      <c r="JB694" s="15" t="s">
        <v>426</v>
      </c>
      <c r="JC694" s="15" t="s">
        <v>947</v>
      </c>
      <c r="JD694" s="15" t="s">
        <v>872</v>
      </c>
      <c r="JE694" s="15" t="s">
        <v>873</v>
      </c>
      <c r="JF694" s="15" t="s">
        <v>877</v>
      </c>
      <c r="JL694" s="15" t="s">
        <v>759</v>
      </c>
      <c r="JM694" s="15" t="s">
        <v>874</v>
      </c>
      <c r="JN694" s="15" t="s">
        <v>759</v>
      </c>
      <c r="JO694" s="15" t="s">
        <v>426</v>
      </c>
      <c r="JP694" s="15" t="s">
        <v>2474</v>
      </c>
    </row>
    <row r="695" ht="15.75" customHeight="1">
      <c r="A695" s="14" t="s">
        <v>391</v>
      </c>
      <c r="B695" s="15" t="s">
        <v>7605</v>
      </c>
      <c r="C695" s="16"/>
      <c r="D695" s="15" t="s">
        <v>432</v>
      </c>
      <c r="G695" s="14" t="s">
        <v>393</v>
      </c>
      <c r="H695" s="14" t="s">
        <v>394</v>
      </c>
      <c r="I695" s="14" t="b">
        <v>1</v>
      </c>
      <c r="J695" s="14" t="s">
        <v>395</v>
      </c>
      <c r="L695" s="14" t="b">
        <v>0</v>
      </c>
      <c r="M695" s="15" t="s">
        <v>7626</v>
      </c>
      <c r="N695" s="14" t="s">
        <v>393</v>
      </c>
      <c r="O695" s="14" t="s">
        <v>393</v>
      </c>
      <c r="P695" s="15" t="s">
        <v>397</v>
      </c>
      <c r="Q695" s="15" t="s">
        <v>2000</v>
      </c>
      <c r="R695" s="15" t="s">
        <v>265</v>
      </c>
      <c r="S695" s="15" t="s">
        <v>828</v>
      </c>
      <c r="T695" s="14" t="b">
        <v>0</v>
      </c>
      <c r="U695" s="15" t="s">
        <v>7627</v>
      </c>
      <c r="V695" s="15" t="s">
        <v>2940</v>
      </c>
      <c r="W695" s="15" t="s">
        <v>401</v>
      </c>
      <c r="X695" s="15" t="s">
        <v>742</v>
      </c>
      <c r="Y695" s="15">
        <v>2184.0</v>
      </c>
      <c r="AA695" s="15" t="str">
        <f>"840"</f>
        <v>840</v>
      </c>
      <c r="AB695" s="14" t="b">
        <v>1</v>
      </c>
      <c r="AC695" s="14" t="b">
        <v>1</v>
      </c>
      <c r="AD695" s="15" t="str">
        <f>"801542965921"</f>
        <v>801542965921</v>
      </c>
      <c r="AE695" s="15" t="s">
        <v>7628</v>
      </c>
      <c r="AF695" s="14" t="s">
        <v>404</v>
      </c>
      <c r="AG695" s="14" t="s">
        <v>405</v>
      </c>
      <c r="AH695" s="14" t="s">
        <v>406</v>
      </c>
      <c r="AI695" s="15">
        <v>0.0</v>
      </c>
      <c r="AL695" s="15" t="s">
        <v>1273</v>
      </c>
      <c r="AM695" s="15" t="s">
        <v>4522</v>
      </c>
      <c r="AN695" s="15" t="s">
        <v>2998</v>
      </c>
      <c r="AO695" s="15" t="s">
        <v>513</v>
      </c>
      <c r="AP695" s="15" t="s">
        <v>514</v>
      </c>
      <c r="AQ695" s="15" t="s">
        <v>4108</v>
      </c>
      <c r="AR695" s="15" t="s">
        <v>4109</v>
      </c>
      <c r="AS695" s="15" t="s">
        <v>837</v>
      </c>
      <c r="AT695" s="15" t="s">
        <v>2000</v>
      </c>
      <c r="AU695" s="15" t="s">
        <v>4364</v>
      </c>
      <c r="AW695" s="15" t="s">
        <v>839</v>
      </c>
      <c r="AX695" s="15" t="s">
        <v>828</v>
      </c>
      <c r="AY695" s="15" t="s">
        <v>413</v>
      </c>
      <c r="AZ695" s="15" t="b">
        <v>0</v>
      </c>
      <c r="BA695" s="15" t="s">
        <v>426</v>
      </c>
      <c r="BB695" s="15" t="b">
        <v>1</v>
      </c>
      <c r="BC695" s="15" t="s">
        <v>7629</v>
      </c>
      <c r="BD695" s="15" t="s">
        <v>742</v>
      </c>
      <c r="BE695" s="15" t="str">
        <f t="shared" si="1172"/>
        <v>3</v>
      </c>
      <c r="BF695" s="15" t="s">
        <v>841</v>
      </c>
      <c r="BG695" s="15" t="str">
        <f>"82.87"</f>
        <v>82.87</v>
      </c>
      <c r="BH695" s="15" t="s">
        <v>4677</v>
      </c>
      <c r="BI695" s="15" t="str">
        <f t="shared" si="1175"/>
        <v>48.43</v>
      </c>
      <c r="BJ695" s="15" t="s">
        <v>7612</v>
      </c>
      <c r="BK695" s="15" t="str">
        <f t="shared" si="1176"/>
        <v>7.87</v>
      </c>
      <c r="BL695" s="15" t="s">
        <v>923</v>
      </c>
      <c r="BM695" s="15" t="str">
        <f>"112.44"</f>
        <v>112.44</v>
      </c>
      <c r="BN695" s="15" t="s">
        <v>2462</v>
      </c>
      <c r="BO695" s="15" t="s">
        <v>2962</v>
      </c>
      <c r="BP695" s="15" t="str">
        <f>"82.87"</f>
        <v>82.87</v>
      </c>
      <c r="BQ695" s="15" t="s">
        <v>4677</v>
      </c>
      <c r="BR695" s="15" t="str">
        <f t="shared" si="1178"/>
        <v>12.99</v>
      </c>
      <c r="BS695" s="15" t="s">
        <v>6448</v>
      </c>
      <c r="BT695" s="15" t="str">
        <f t="shared" si="1179"/>
        <v>5.91</v>
      </c>
      <c r="BU695" s="15" t="s">
        <v>7613</v>
      </c>
      <c r="BV695" s="15" t="str">
        <f>"72.75"</f>
        <v>72.75</v>
      </c>
      <c r="BW695" s="15" t="s">
        <v>3022</v>
      </c>
      <c r="BX695" s="15" t="s">
        <v>2966</v>
      </c>
      <c r="BY695" s="15" t="str">
        <f t="shared" si="1177"/>
        <v>83.07</v>
      </c>
      <c r="BZ695" s="15" t="s">
        <v>930</v>
      </c>
      <c r="CA695" s="15" t="str">
        <f t="shared" si="1173"/>
        <v>12.99</v>
      </c>
      <c r="CB695" s="15" t="s">
        <v>6448</v>
      </c>
      <c r="CC695" s="15" t="str">
        <f t="shared" si="1174"/>
        <v>7.87</v>
      </c>
      <c r="CD695" s="15" t="s">
        <v>923</v>
      </c>
      <c r="CE695" s="15" t="str">
        <f>"70.55"</f>
        <v>70.55</v>
      </c>
      <c r="CF695" s="15" t="s">
        <v>845</v>
      </c>
      <c r="CI695" s="15" t="s">
        <v>444</v>
      </c>
      <c r="CK695" s="15" t="s">
        <v>444</v>
      </c>
      <c r="CM695" s="15" t="s">
        <v>444</v>
      </c>
      <c r="CO695" s="15" t="s">
        <v>444</v>
      </c>
      <c r="CP695" s="15" t="str">
        <f>"26.87"</f>
        <v>26.87</v>
      </c>
      <c r="CQ695" s="15" t="str">
        <f>"0.761"</f>
        <v>0.761</v>
      </c>
      <c r="CR695" s="15" t="s">
        <v>497</v>
      </c>
      <c r="DC695" s="15" t="str">
        <f>IFERROR(__xludf.DUMMYFUNCTION("""COMPUTED_VALUE"""),"")</f>
        <v/>
      </c>
      <c r="DE695" s="15" t="str">
        <f>IFERROR(__xludf.DUMMYFUNCTION("""COMPUTED_VALUE"""),"")</f>
        <v/>
      </c>
      <c r="DG695" s="15" t="str">
        <f>IFERROR(__xludf.DUMMYFUNCTION("""COMPUTED_VALUE"""),"")</f>
        <v/>
      </c>
      <c r="DK695" s="15" t="s">
        <v>855</v>
      </c>
      <c r="DL695" s="15" t="str">
        <f>IFERROR(__xludf.DUMMYFUNCTION("""COMPUTED_VALUE"""),"Clean with solvent-based (dry clean only) products. Do not use water.")</f>
        <v>Clean with solvent-based (dry clean only) products. Do not use water.</v>
      </c>
      <c r="DM695" s="15" t="s">
        <v>856</v>
      </c>
      <c r="DN695" s="15" t="s">
        <v>419</v>
      </c>
      <c r="DO695" s="15">
        <v>0.0</v>
      </c>
      <c r="DP695" s="15" t="s">
        <v>419</v>
      </c>
      <c r="DR695" s="15">
        <v>0.0</v>
      </c>
      <c r="DT695" s="15" t="s">
        <v>989</v>
      </c>
      <c r="DU695" s="15" t="s">
        <v>419</v>
      </c>
      <c r="DW695" s="15">
        <v>0.0</v>
      </c>
      <c r="DX695" s="15">
        <v>0.0</v>
      </c>
      <c r="DY695" s="15">
        <v>0.0</v>
      </c>
      <c r="DZ695" s="15">
        <v>25000.0</v>
      </c>
      <c r="EG695" s="15" t="s">
        <v>444</v>
      </c>
      <c r="EH695" s="15" t="s">
        <v>7614</v>
      </c>
      <c r="EJ695" s="15" t="s">
        <v>858</v>
      </c>
      <c r="EK695" s="15" t="s">
        <v>859</v>
      </c>
      <c r="EM695" s="15" t="str">
        <f>IFERROR(__xludf.DUMMYFUNCTION("""COMPUTED_VALUE"""),"")</f>
        <v/>
      </c>
      <c r="FF695" s="15" t="s">
        <v>3747</v>
      </c>
      <c r="FM695" s="15">
        <v>0.0</v>
      </c>
      <c r="FS695" s="15" t="s">
        <v>1609</v>
      </c>
      <c r="IM695" s="15" t="s">
        <v>2505</v>
      </c>
      <c r="IN695" s="15" t="s">
        <v>2505</v>
      </c>
      <c r="IO695" s="15" t="s">
        <v>2505</v>
      </c>
      <c r="IP695" s="15" t="s">
        <v>7417</v>
      </c>
      <c r="IQ695" s="15" t="s">
        <v>2465</v>
      </c>
      <c r="IR695" s="15" t="s">
        <v>7621</v>
      </c>
      <c r="IS695" s="15" t="s">
        <v>7616</v>
      </c>
      <c r="IT695" s="15" t="s">
        <v>3856</v>
      </c>
      <c r="IU695" s="15" t="s">
        <v>7621</v>
      </c>
      <c r="IV695" s="15" t="s">
        <v>2971</v>
      </c>
      <c r="IW695" s="15" t="s">
        <v>759</v>
      </c>
      <c r="IX695" s="15" t="s">
        <v>869</v>
      </c>
      <c r="IY695" s="15" t="s">
        <v>1950</v>
      </c>
      <c r="IZ695" s="15" t="s">
        <v>7604</v>
      </c>
      <c r="JA695" s="15" t="s">
        <v>2465</v>
      </c>
      <c r="JB695" s="15" t="s">
        <v>426</v>
      </c>
      <c r="JC695" s="15" t="s">
        <v>947</v>
      </c>
      <c r="JD695" s="15" t="s">
        <v>872</v>
      </c>
      <c r="JE695" s="15" t="s">
        <v>873</v>
      </c>
      <c r="JF695" s="15" t="s">
        <v>828</v>
      </c>
      <c r="JL695" s="15" t="s">
        <v>759</v>
      </c>
      <c r="JM695" s="15" t="s">
        <v>874</v>
      </c>
      <c r="JN695" s="15" t="s">
        <v>759</v>
      </c>
      <c r="JO695" s="15" t="s">
        <v>426</v>
      </c>
      <c r="JP695" s="15" t="s">
        <v>2474</v>
      </c>
    </row>
    <row r="696" ht="15.75" customHeight="1">
      <c r="A696" s="14" t="s">
        <v>391</v>
      </c>
      <c r="B696" s="15" t="s">
        <v>7630</v>
      </c>
      <c r="C696" s="16"/>
      <c r="D696" s="15" t="s">
        <v>432</v>
      </c>
      <c r="G696" s="14" t="s">
        <v>393</v>
      </c>
      <c r="H696" s="14" t="s">
        <v>394</v>
      </c>
      <c r="I696" s="14" t="b">
        <v>1</v>
      </c>
      <c r="J696" s="14" t="s">
        <v>395</v>
      </c>
      <c r="L696" s="14" t="b">
        <v>0</v>
      </c>
      <c r="M696" s="15" t="s">
        <v>7631</v>
      </c>
      <c r="N696" s="14" t="s">
        <v>393</v>
      </c>
      <c r="O696" s="14" t="s">
        <v>393</v>
      </c>
      <c r="P696" s="15" t="s">
        <v>397</v>
      </c>
      <c r="Q696" s="15" t="s">
        <v>7632</v>
      </c>
      <c r="R696" s="15" t="s">
        <v>265</v>
      </c>
      <c r="S696" s="15" t="s">
        <v>2557</v>
      </c>
      <c r="T696" s="14" t="b">
        <v>0</v>
      </c>
      <c r="U696" s="15" t="s">
        <v>7633</v>
      </c>
      <c r="V696" s="15" t="s">
        <v>7634</v>
      </c>
      <c r="W696" s="15" t="s">
        <v>401</v>
      </c>
      <c r="X696" s="15" t="s">
        <v>695</v>
      </c>
      <c r="Y696" s="15">
        <v>2522.0</v>
      </c>
      <c r="AA696" s="15" t="str">
        <f>"970"</f>
        <v>970</v>
      </c>
      <c r="AB696" s="14" t="b">
        <v>1</v>
      </c>
      <c r="AC696" s="14" t="b">
        <v>1</v>
      </c>
      <c r="AD696" s="15" t="str">
        <f>"801542954789"</f>
        <v>801542954789</v>
      </c>
      <c r="AE696" s="15" t="s">
        <v>7635</v>
      </c>
      <c r="AF696" s="14" t="s">
        <v>404</v>
      </c>
      <c r="AG696" s="14" t="s">
        <v>405</v>
      </c>
      <c r="AH696" s="14" t="s">
        <v>406</v>
      </c>
      <c r="AI696" s="15">
        <v>0.0</v>
      </c>
      <c r="AL696" s="15" t="s">
        <v>2872</v>
      </c>
      <c r="AM696" s="15" t="s">
        <v>452</v>
      </c>
      <c r="AN696" s="15" t="s">
        <v>453</v>
      </c>
      <c r="AO696" s="15" t="s">
        <v>645</v>
      </c>
      <c r="AP696" s="15" t="s">
        <v>646</v>
      </c>
      <c r="AQ696" s="15" t="s">
        <v>2557</v>
      </c>
      <c r="AR696" s="15" t="s">
        <v>2558</v>
      </c>
      <c r="AS696" s="15" t="s">
        <v>2612</v>
      </c>
      <c r="AT696" s="15" t="s">
        <v>7632</v>
      </c>
      <c r="AW696" s="15" t="s">
        <v>548</v>
      </c>
      <c r="AX696" s="15" t="s">
        <v>4401</v>
      </c>
      <c r="AY696" s="15" t="s">
        <v>413</v>
      </c>
      <c r="AZ696" s="15" t="b">
        <v>0</v>
      </c>
      <c r="BA696" s="15" t="s">
        <v>413</v>
      </c>
      <c r="BB696" s="15" t="b">
        <v>0</v>
      </c>
      <c r="BC696" s="15" t="s">
        <v>7636</v>
      </c>
      <c r="BD696" s="15" t="s">
        <v>709</v>
      </c>
      <c r="BE696" s="15" t="str">
        <f t="shared" ref="BE696:BE697" si="1180">"2"</f>
        <v>2</v>
      </c>
      <c r="BF696" s="15" t="s">
        <v>7637</v>
      </c>
      <c r="BG696" s="15" t="str">
        <f t="shared" ref="BG696:BG697" si="1181">"74.41"</f>
        <v>74.41</v>
      </c>
      <c r="BH696" s="15" t="s">
        <v>5246</v>
      </c>
      <c r="BI696" s="15" t="str">
        <f t="shared" ref="BI696:BI697" si="1182">"39.37"</f>
        <v>39.37</v>
      </c>
      <c r="BJ696" s="15" t="s">
        <v>523</v>
      </c>
      <c r="BK696" s="15" t="str">
        <f t="shared" ref="BK696:BK697" si="1183">"9.84"</f>
        <v>9.84</v>
      </c>
      <c r="BL696" s="15" t="s">
        <v>2964</v>
      </c>
      <c r="BM696" s="15" t="str">
        <f t="shared" ref="BM696:BM697" si="1184">"91.49"</f>
        <v>91.49</v>
      </c>
      <c r="BN696" s="15" t="s">
        <v>6330</v>
      </c>
      <c r="BO696" s="15" t="s">
        <v>2238</v>
      </c>
      <c r="BP696" s="15" t="str">
        <f>"46.85"</f>
        <v>46.85</v>
      </c>
      <c r="BQ696" s="15" t="s">
        <v>2286</v>
      </c>
      <c r="BR696" s="15" t="str">
        <f t="shared" ref="BR696:BR697" si="1185">"11.81"</f>
        <v>11.81</v>
      </c>
      <c r="BS696" s="15" t="s">
        <v>2218</v>
      </c>
      <c r="BT696" s="15" t="str">
        <f t="shared" ref="BT696:BT697" si="1186">"30.31"</f>
        <v>30.31</v>
      </c>
      <c r="BU696" s="15" t="s">
        <v>982</v>
      </c>
      <c r="BV696" s="15" t="str">
        <f>"68.78"</f>
        <v>68.78</v>
      </c>
      <c r="BW696" s="15" t="s">
        <v>7638</v>
      </c>
      <c r="BZ696" s="15" t="s">
        <v>444</v>
      </c>
      <c r="CB696" s="15" t="s">
        <v>444</v>
      </c>
      <c r="CD696" s="15" t="s">
        <v>444</v>
      </c>
      <c r="CF696" s="15" t="s">
        <v>444</v>
      </c>
      <c r="CI696" s="15" t="s">
        <v>444</v>
      </c>
      <c r="CK696" s="15" t="s">
        <v>444</v>
      </c>
      <c r="CM696" s="15" t="s">
        <v>444</v>
      </c>
      <c r="CO696" s="15" t="s">
        <v>444</v>
      </c>
      <c r="CP696" s="15" t="str">
        <f>"26.42"</f>
        <v>26.42</v>
      </c>
      <c r="CQ696" s="15" t="str">
        <f>"0.748"</f>
        <v>0.748</v>
      </c>
      <c r="CR696" s="15" t="s">
        <v>417</v>
      </c>
      <c r="DC696" s="15" t="str">
        <f>IFERROR(__xludf.DUMMYFUNCTION("""COMPUTED_VALUE"""),"")</f>
        <v/>
      </c>
      <c r="DE696" s="15" t="str">
        <f>IFERROR(__xludf.DUMMYFUNCTION("""COMPUTED_VALUE"""),"")</f>
        <v/>
      </c>
      <c r="DG696" s="15" t="str">
        <f>IFERROR(__xludf.DUMMYFUNCTION("""COMPUTED_VALUE"""),"")</f>
        <v/>
      </c>
      <c r="DL696" s="15" t="str">
        <f>IFERROR(__xludf.DUMMYFUNCTION("""COMPUTED_VALUE"""),"")</f>
        <v/>
      </c>
      <c r="DM696" s="15" t="s">
        <v>444</v>
      </c>
      <c r="DN696" s="15" t="s">
        <v>419</v>
      </c>
      <c r="DO696" s="15">
        <v>0.0</v>
      </c>
      <c r="DP696" s="15" t="s">
        <v>419</v>
      </c>
      <c r="DR696" s="15">
        <v>0.0</v>
      </c>
      <c r="DT696" s="15" t="s">
        <v>1111</v>
      </c>
      <c r="DU696" s="15" t="s">
        <v>419</v>
      </c>
      <c r="DW696" s="15">
        <v>0.0</v>
      </c>
      <c r="DX696" s="15">
        <v>0.0</v>
      </c>
      <c r="DY696" s="15">
        <v>0.0</v>
      </c>
      <c r="EE696" s="15">
        <v>6.0</v>
      </c>
      <c r="EF696" s="15" t="s">
        <v>471</v>
      </c>
      <c r="EG696" s="15" t="s">
        <v>472</v>
      </c>
      <c r="EH696" s="15" t="s">
        <v>7639</v>
      </c>
      <c r="EJ696" s="15" t="s">
        <v>500</v>
      </c>
      <c r="EK696" s="15" t="s">
        <v>501</v>
      </c>
      <c r="EM696" s="15" t="str">
        <f>IFERROR(__xludf.DUMMYFUNCTION("""COMPUTED_VALUE"""),"")</f>
        <v/>
      </c>
      <c r="EW696" s="15" t="s">
        <v>7158</v>
      </c>
      <c r="EX696" s="15" t="s">
        <v>1014</v>
      </c>
      <c r="EY696" s="15" t="s">
        <v>7640</v>
      </c>
      <c r="FH696" s="15" t="s">
        <v>555</v>
      </c>
      <c r="FI696" s="15" t="s">
        <v>2157</v>
      </c>
      <c r="FJ696" s="15" t="s">
        <v>2388</v>
      </c>
      <c r="FK696" s="15" t="s">
        <v>784</v>
      </c>
      <c r="FL696" s="15" t="s">
        <v>426</v>
      </c>
      <c r="FM696" s="15">
        <v>0.0</v>
      </c>
      <c r="FN696" s="15">
        <v>0.0</v>
      </c>
      <c r="FU696" s="15" t="s">
        <v>7641</v>
      </c>
      <c r="FW696" s="15" t="s">
        <v>429</v>
      </c>
      <c r="JF696" s="15" t="s">
        <v>4412</v>
      </c>
    </row>
    <row r="697" ht="15.75" customHeight="1">
      <c r="A697" s="14" t="s">
        <v>391</v>
      </c>
      <c r="B697" s="15" t="s">
        <v>7630</v>
      </c>
      <c r="C697" s="16"/>
      <c r="D697" s="15" t="s">
        <v>432</v>
      </c>
      <c r="G697" s="14" t="s">
        <v>393</v>
      </c>
      <c r="H697" s="14" t="s">
        <v>394</v>
      </c>
      <c r="I697" s="14" t="b">
        <v>1</v>
      </c>
      <c r="J697" s="14" t="s">
        <v>395</v>
      </c>
      <c r="L697" s="14" t="b">
        <v>0</v>
      </c>
      <c r="M697" s="15" t="s">
        <v>7642</v>
      </c>
      <c r="N697" s="14" t="s">
        <v>393</v>
      </c>
      <c r="O697" s="14" t="s">
        <v>393</v>
      </c>
      <c r="P697" s="15" t="s">
        <v>397</v>
      </c>
      <c r="Q697" s="15" t="s">
        <v>7632</v>
      </c>
      <c r="R697" s="15" t="s">
        <v>265</v>
      </c>
      <c r="S697" s="15" t="s">
        <v>622</v>
      </c>
      <c r="T697" s="14" t="b">
        <v>0</v>
      </c>
      <c r="U697" s="15" t="s">
        <v>7643</v>
      </c>
      <c r="V697" s="15" t="s">
        <v>7644</v>
      </c>
      <c r="W697" s="15" t="s">
        <v>401</v>
      </c>
      <c r="X697" s="15" t="s">
        <v>695</v>
      </c>
      <c r="Y697" s="15">
        <v>2405.0</v>
      </c>
      <c r="AA697" s="15" t="str">
        <f>"925"</f>
        <v>925</v>
      </c>
      <c r="AB697" s="14" t="b">
        <v>1</v>
      </c>
      <c r="AC697" s="14" t="b">
        <v>1</v>
      </c>
      <c r="AD697" s="15" t="str">
        <f>"801542954796"</f>
        <v>801542954796</v>
      </c>
      <c r="AE697" s="15" t="s">
        <v>7645</v>
      </c>
      <c r="AF697" s="14" t="s">
        <v>404</v>
      </c>
      <c r="AG697" s="14" t="s">
        <v>405</v>
      </c>
      <c r="AH697" s="14" t="s">
        <v>406</v>
      </c>
      <c r="AI697" s="15">
        <v>0.0</v>
      </c>
      <c r="AL697" s="15" t="s">
        <v>2872</v>
      </c>
      <c r="AM697" s="15" t="s">
        <v>452</v>
      </c>
      <c r="AN697" s="15" t="s">
        <v>453</v>
      </c>
      <c r="AO697" s="15" t="s">
        <v>645</v>
      </c>
      <c r="AP697" s="15" t="s">
        <v>646</v>
      </c>
      <c r="AQ697" s="15" t="s">
        <v>622</v>
      </c>
      <c r="AR697" s="15" t="s">
        <v>623</v>
      </c>
      <c r="AS697" s="15" t="s">
        <v>2612</v>
      </c>
      <c r="AT697" s="15" t="s">
        <v>7632</v>
      </c>
      <c r="AW697" s="15" t="s">
        <v>548</v>
      </c>
      <c r="AX697" s="15" t="s">
        <v>4401</v>
      </c>
      <c r="AY697" s="15" t="s">
        <v>413</v>
      </c>
      <c r="AZ697" s="15" t="b">
        <v>0</v>
      </c>
      <c r="BA697" s="15" t="s">
        <v>413</v>
      </c>
      <c r="BB697" s="15" t="b">
        <v>0</v>
      </c>
      <c r="BC697" s="15" t="s">
        <v>7646</v>
      </c>
      <c r="BD697" s="15" t="s">
        <v>709</v>
      </c>
      <c r="BE697" s="15" t="str">
        <f t="shared" si="1180"/>
        <v>2</v>
      </c>
      <c r="BF697" s="15" t="s">
        <v>7637</v>
      </c>
      <c r="BG697" s="15" t="str">
        <f t="shared" si="1181"/>
        <v>74.41</v>
      </c>
      <c r="BH697" s="15" t="s">
        <v>5246</v>
      </c>
      <c r="BI697" s="15" t="str">
        <f t="shared" si="1182"/>
        <v>39.37</v>
      </c>
      <c r="BJ697" s="15" t="s">
        <v>523</v>
      </c>
      <c r="BK697" s="15" t="str">
        <f t="shared" si="1183"/>
        <v>9.84</v>
      </c>
      <c r="BL697" s="15" t="s">
        <v>2964</v>
      </c>
      <c r="BM697" s="15" t="str">
        <f t="shared" si="1184"/>
        <v>91.49</v>
      </c>
      <c r="BN697" s="15" t="s">
        <v>6330</v>
      </c>
      <c r="BO697" s="15" t="s">
        <v>2238</v>
      </c>
      <c r="BP697" s="15" t="str">
        <f>"39.37"</f>
        <v>39.37</v>
      </c>
      <c r="BQ697" s="15" t="s">
        <v>523</v>
      </c>
      <c r="BR697" s="15" t="str">
        <f t="shared" si="1185"/>
        <v>11.81</v>
      </c>
      <c r="BS697" s="15" t="s">
        <v>2218</v>
      </c>
      <c r="BT697" s="15" t="str">
        <f t="shared" si="1186"/>
        <v>30.31</v>
      </c>
      <c r="BU697" s="15" t="s">
        <v>982</v>
      </c>
      <c r="BV697" s="15" t="str">
        <f>"60.19"</f>
        <v>60.19</v>
      </c>
      <c r="BW697" s="15" t="s">
        <v>3774</v>
      </c>
      <c r="BZ697" s="15" t="s">
        <v>444</v>
      </c>
      <c r="CB697" s="15" t="s">
        <v>444</v>
      </c>
      <c r="CD697" s="15" t="s">
        <v>444</v>
      </c>
      <c r="CF697" s="15" t="s">
        <v>444</v>
      </c>
      <c r="CI697" s="15" t="s">
        <v>444</v>
      </c>
      <c r="CK697" s="15" t="s">
        <v>444</v>
      </c>
      <c r="CM697" s="15" t="s">
        <v>444</v>
      </c>
      <c r="CO697" s="15" t="s">
        <v>444</v>
      </c>
      <c r="CP697" s="15" t="str">
        <f>"24.86"</f>
        <v>24.86</v>
      </c>
      <c r="CQ697" s="15" t="str">
        <f>"0.704"</f>
        <v>0.704</v>
      </c>
      <c r="CR697" s="15" t="s">
        <v>465</v>
      </c>
      <c r="DC697" s="15" t="str">
        <f>IFERROR(__xludf.DUMMYFUNCTION("""COMPUTED_VALUE"""),"")</f>
        <v/>
      </c>
      <c r="DE697" s="15" t="str">
        <f>IFERROR(__xludf.DUMMYFUNCTION("""COMPUTED_VALUE"""),"")</f>
        <v/>
      </c>
      <c r="DG697" s="15" t="str">
        <f>IFERROR(__xludf.DUMMYFUNCTION("""COMPUTED_VALUE"""),"")</f>
        <v/>
      </c>
      <c r="DL697" s="15" t="str">
        <f>IFERROR(__xludf.DUMMYFUNCTION("""COMPUTED_VALUE"""),"")</f>
        <v/>
      </c>
      <c r="DM697" s="15" t="s">
        <v>444</v>
      </c>
      <c r="DN697" s="15" t="s">
        <v>419</v>
      </c>
      <c r="DO697" s="15">
        <v>0.0</v>
      </c>
      <c r="DP697" s="15" t="s">
        <v>419</v>
      </c>
      <c r="DR697" s="15">
        <v>0.0</v>
      </c>
      <c r="DT697" s="15" t="s">
        <v>1111</v>
      </c>
      <c r="DU697" s="15" t="s">
        <v>419</v>
      </c>
      <c r="DW697" s="15">
        <v>0.0</v>
      </c>
      <c r="DX697" s="15">
        <v>0.0</v>
      </c>
      <c r="DY697" s="15">
        <v>0.0</v>
      </c>
      <c r="EE697" s="15">
        <v>6.0</v>
      </c>
      <c r="EF697" s="15" t="s">
        <v>471</v>
      </c>
      <c r="EG697" s="15" t="s">
        <v>472</v>
      </c>
      <c r="EH697" s="15" t="s">
        <v>7639</v>
      </c>
      <c r="EJ697" s="15" t="s">
        <v>500</v>
      </c>
      <c r="EK697" s="15" t="s">
        <v>501</v>
      </c>
      <c r="EM697" s="15" t="str">
        <f>IFERROR(__xludf.DUMMYFUNCTION("""COMPUTED_VALUE"""),"")</f>
        <v/>
      </c>
      <c r="EW697" s="15" t="s">
        <v>7158</v>
      </c>
      <c r="EX697" s="15" t="s">
        <v>1014</v>
      </c>
      <c r="EY697" s="15" t="s">
        <v>7640</v>
      </c>
      <c r="FH697" s="15" t="s">
        <v>555</v>
      </c>
      <c r="FI697" s="15" t="s">
        <v>7647</v>
      </c>
      <c r="FJ697" s="15" t="s">
        <v>2388</v>
      </c>
      <c r="FK697" s="15" t="s">
        <v>784</v>
      </c>
      <c r="FL697" s="15" t="s">
        <v>426</v>
      </c>
      <c r="FM697" s="15">
        <v>0.0</v>
      </c>
      <c r="FN697" s="15">
        <v>0.0</v>
      </c>
      <c r="FU697" s="15" t="s">
        <v>7641</v>
      </c>
      <c r="FW697" s="15" t="s">
        <v>429</v>
      </c>
      <c r="JF697" s="15" t="s">
        <v>4593</v>
      </c>
    </row>
    <row r="698" ht="15.75" customHeight="1">
      <c r="A698" s="14" t="s">
        <v>391</v>
      </c>
      <c r="B698" s="15" t="s">
        <v>7648</v>
      </c>
      <c r="C698" s="16"/>
      <c r="D698" s="15" t="s">
        <v>432</v>
      </c>
      <c r="G698" s="14" t="s">
        <v>393</v>
      </c>
      <c r="H698" s="14" t="s">
        <v>394</v>
      </c>
      <c r="I698" s="14" t="b">
        <v>1</v>
      </c>
      <c r="J698" s="14" t="s">
        <v>395</v>
      </c>
      <c r="L698" s="14" t="b">
        <v>0</v>
      </c>
      <c r="M698" s="15" t="s">
        <v>7649</v>
      </c>
      <c r="N698" s="14" t="s">
        <v>393</v>
      </c>
      <c r="O698" s="14" t="s">
        <v>393</v>
      </c>
      <c r="P698" s="15" t="s">
        <v>397</v>
      </c>
      <c r="Q698" s="15" t="s">
        <v>3974</v>
      </c>
      <c r="T698" s="14" t="b">
        <v>0</v>
      </c>
      <c r="U698" s="15" t="s">
        <v>7650</v>
      </c>
      <c r="V698" s="15" t="s">
        <v>7651</v>
      </c>
      <c r="W698" s="15" t="s">
        <v>401</v>
      </c>
      <c r="X698" s="15" t="s">
        <v>1296</v>
      </c>
      <c r="Y698" s="15">
        <v>1313.0</v>
      </c>
      <c r="AA698" s="15" t="str">
        <f>"505"</f>
        <v>505</v>
      </c>
      <c r="AB698" s="14" t="b">
        <v>1</v>
      </c>
      <c r="AC698" s="14" t="b">
        <v>1</v>
      </c>
      <c r="AD698" s="15" t="str">
        <f>"801542054892"</f>
        <v>801542054892</v>
      </c>
      <c r="AE698" s="15" t="s">
        <v>7652</v>
      </c>
      <c r="AF698" s="14" t="s">
        <v>404</v>
      </c>
      <c r="AG698" s="14" t="s">
        <v>405</v>
      </c>
      <c r="AH698" s="14" t="s">
        <v>406</v>
      </c>
      <c r="AI698" s="15">
        <v>0.0</v>
      </c>
      <c r="AL698" s="15" t="s">
        <v>3369</v>
      </c>
      <c r="AM698" s="15" t="s">
        <v>7653</v>
      </c>
      <c r="AN698" s="15" t="s">
        <v>7654</v>
      </c>
      <c r="AO698" s="15" t="s">
        <v>2059</v>
      </c>
      <c r="AP698" s="15" t="s">
        <v>2060</v>
      </c>
      <c r="AQ698" s="15" t="s">
        <v>4800</v>
      </c>
      <c r="AR698" s="15" t="s">
        <v>4801</v>
      </c>
      <c r="AS698" s="15" t="s">
        <v>2231</v>
      </c>
      <c r="AT698" s="15" t="s">
        <v>3974</v>
      </c>
      <c r="AW698" s="15" t="s">
        <v>491</v>
      </c>
      <c r="AY698" s="15" t="s">
        <v>413</v>
      </c>
      <c r="AZ698" s="15" t="b">
        <v>0</v>
      </c>
      <c r="BA698" s="15" t="s">
        <v>413</v>
      </c>
      <c r="BB698" s="15" t="b">
        <v>0</v>
      </c>
      <c r="BC698" s="15" t="s">
        <v>7655</v>
      </c>
      <c r="BD698" s="15" t="s">
        <v>1303</v>
      </c>
      <c r="BE698" s="15" t="str">
        <f>"3"</f>
        <v>3</v>
      </c>
      <c r="BF698" s="15" t="s">
        <v>1564</v>
      </c>
      <c r="BG698" s="15" t="str">
        <f>"52"</f>
        <v>52</v>
      </c>
      <c r="BH698" s="15" t="s">
        <v>3000</v>
      </c>
      <c r="BI698" s="15" t="str">
        <f>"26.5"</f>
        <v>26.5</v>
      </c>
      <c r="BJ698" s="15" t="s">
        <v>1627</v>
      </c>
      <c r="BK698" s="15" t="str">
        <f>"5.25"</f>
        <v>5.25</v>
      </c>
      <c r="BL698" s="15" t="s">
        <v>3004</v>
      </c>
      <c r="BM698" s="15" t="str">
        <f>"55.01"</f>
        <v>55.01</v>
      </c>
      <c r="BN698" s="15" t="s">
        <v>7656</v>
      </c>
      <c r="BO698" s="15" t="s">
        <v>2238</v>
      </c>
      <c r="BP698" s="15" t="str">
        <f>"16"</f>
        <v>16</v>
      </c>
      <c r="BQ698" s="15" t="s">
        <v>2040</v>
      </c>
      <c r="BR698" s="15" t="str">
        <f>"15"</f>
        <v>15</v>
      </c>
      <c r="BS698" s="15" t="s">
        <v>490</v>
      </c>
      <c r="BT698" s="15" t="str">
        <f>"20"</f>
        <v>20</v>
      </c>
      <c r="BU698" s="15" t="s">
        <v>438</v>
      </c>
      <c r="BV698" s="15" t="str">
        <f>"29.88"</f>
        <v>29.88</v>
      </c>
      <c r="BW698" s="15" t="s">
        <v>7657</v>
      </c>
      <c r="BX698" s="15" t="s">
        <v>2238</v>
      </c>
      <c r="BY698" s="15" t="str">
        <f>"16"</f>
        <v>16</v>
      </c>
      <c r="BZ698" s="15" t="s">
        <v>2040</v>
      </c>
      <c r="CA698" s="15" t="str">
        <f>"15"</f>
        <v>15</v>
      </c>
      <c r="CB698" s="15" t="s">
        <v>490</v>
      </c>
      <c r="CC698" s="15" t="str">
        <f>"20"</f>
        <v>20</v>
      </c>
      <c r="CD698" s="15" t="s">
        <v>438</v>
      </c>
      <c r="CE698" s="15" t="str">
        <f>"29.88"</f>
        <v>29.88</v>
      </c>
      <c r="CF698" s="15" t="s">
        <v>7657</v>
      </c>
      <c r="CI698" s="15" t="s">
        <v>444</v>
      </c>
      <c r="CK698" s="15" t="s">
        <v>444</v>
      </c>
      <c r="CM698" s="15" t="s">
        <v>444</v>
      </c>
      <c r="CO698" s="15" t="s">
        <v>444</v>
      </c>
      <c r="CP698" s="15" t="str">
        <f>"9.78"</f>
        <v>9.78</v>
      </c>
      <c r="CQ698" s="15" t="str">
        <f>"0.277"</f>
        <v>0.277</v>
      </c>
      <c r="CR698" s="15" t="s">
        <v>465</v>
      </c>
      <c r="DC698" s="15" t="str">
        <f>IFERROR(__xludf.DUMMYFUNCTION("""COMPUTED_VALUE"""),"")</f>
        <v/>
      </c>
      <c r="DE698" s="15" t="str">
        <f>IFERROR(__xludf.DUMMYFUNCTION("""COMPUTED_VALUE"""),"")</f>
        <v/>
      </c>
      <c r="DG698" s="15" t="str">
        <f>IFERROR(__xludf.DUMMYFUNCTION("""COMPUTED_VALUE"""),"")</f>
        <v/>
      </c>
      <c r="DL698" s="15" t="str">
        <f>IFERROR(__xludf.DUMMYFUNCTION("""COMPUTED_VALUE"""),"")</f>
        <v/>
      </c>
      <c r="DM698" s="15" t="s">
        <v>444</v>
      </c>
      <c r="DN698" s="15" t="s">
        <v>419</v>
      </c>
      <c r="DO698" s="15">
        <v>0.0</v>
      </c>
      <c r="DP698" s="15" t="s">
        <v>419</v>
      </c>
      <c r="DR698" s="15">
        <v>0.0</v>
      </c>
      <c r="DU698" s="15" t="s">
        <v>419</v>
      </c>
      <c r="DY698" s="15">
        <v>0.0</v>
      </c>
      <c r="EF698" s="15" t="s">
        <v>471</v>
      </c>
      <c r="EG698" s="15" t="s">
        <v>472</v>
      </c>
      <c r="EH698" s="15" t="s">
        <v>7658</v>
      </c>
      <c r="EJ698" s="15" t="s">
        <v>500</v>
      </c>
      <c r="EK698" s="15" t="s">
        <v>501</v>
      </c>
      <c r="EM698" s="15" t="str">
        <f>IFERROR(__xludf.DUMMYFUNCTION("""COMPUTED_VALUE"""),"")</f>
        <v/>
      </c>
      <c r="EW698" s="15" t="s">
        <v>7659</v>
      </c>
      <c r="EY698" s="15" t="s">
        <v>467</v>
      </c>
      <c r="FH698" s="15" t="s">
        <v>1576</v>
      </c>
      <c r="FI698" s="15" t="s">
        <v>7659</v>
      </c>
      <c r="FJ698" s="15" t="s">
        <v>7660</v>
      </c>
      <c r="FK698" s="15" t="s">
        <v>1071</v>
      </c>
      <c r="FM698" s="15">
        <v>0.0</v>
      </c>
      <c r="FN698" s="15">
        <v>0.0</v>
      </c>
      <c r="FW698" s="15" t="s">
        <v>2498</v>
      </c>
    </row>
    <row r="699" ht="15.75" customHeight="1">
      <c r="A699" s="14" t="s">
        <v>391</v>
      </c>
      <c r="B699" s="15" t="s">
        <v>7661</v>
      </c>
      <c r="C699" s="16"/>
      <c r="D699" s="15" t="s">
        <v>432</v>
      </c>
      <c r="G699" s="14" t="s">
        <v>393</v>
      </c>
      <c r="H699" s="14" t="s">
        <v>394</v>
      </c>
      <c r="I699" s="14" t="b">
        <v>1</v>
      </c>
      <c r="J699" s="14" t="s">
        <v>395</v>
      </c>
      <c r="L699" s="14" t="b">
        <v>0</v>
      </c>
      <c r="M699" s="15" t="s">
        <v>7662</v>
      </c>
      <c r="N699" s="14" t="s">
        <v>393</v>
      </c>
      <c r="O699" s="14" t="s">
        <v>393</v>
      </c>
      <c r="P699" s="15" t="s">
        <v>397</v>
      </c>
      <c r="Q699" s="15" t="s">
        <v>7663</v>
      </c>
      <c r="T699" s="14" t="b">
        <v>0</v>
      </c>
      <c r="U699" s="15" t="s">
        <v>7664</v>
      </c>
      <c r="V699" s="15" t="s">
        <v>7665</v>
      </c>
      <c r="W699" s="15" t="s">
        <v>401</v>
      </c>
      <c r="X699" s="15" t="s">
        <v>1296</v>
      </c>
      <c r="Y699" s="15">
        <v>715.0</v>
      </c>
      <c r="AA699" s="15" t="str">
        <f t="shared" ref="AA699:AA700" si="1187">"275"</f>
        <v>275</v>
      </c>
      <c r="AB699" s="14" t="b">
        <v>1</v>
      </c>
      <c r="AC699" s="14" t="b">
        <v>1</v>
      </c>
      <c r="AD699" s="15" t="str">
        <f>"801542880804"</f>
        <v>801542880804</v>
      </c>
      <c r="AE699" s="15" t="s">
        <v>7666</v>
      </c>
      <c r="AF699" s="14" t="s">
        <v>404</v>
      </c>
      <c r="AG699" s="14" t="s">
        <v>405</v>
      </c>
      <c r="AH699" s="14" t="s">
        <v>406</v>
      </c>
      <c r="AI699" s="15">
        <v>0.0</v>
      </c>
      <c r="AL699" s="15" t="s">
        <v>7667</v>
      </c>
      <c r="AM699" s="15" t="s">
        <v>1007</v>
      </c>
      <c r="AN699" s="15" t="s">
        <v>1008</v>
      </c>
      <c r="AO699" s="15" t="s">
        <v>1007</v>
      </c>
      <c r="AP699" s="15" t="s">
        <v>1008</v>
      </c>
      <c r="AQ699" s="15" t="s">
        <v>809</v>
      </c>
      <c r="AR699" s="15" t="s">
        <v>810</v>
      </c>
      <c r="AS699" s="15" t="s">
        <v>3586</v>
      </c>
      <c r="AT699" s="15" t="s">
        <v>7663</v>
      </c>
      <c r="AU699" s="15" t="s">
        <v>7668</v>
      </c>
      <c r="AW699" s="15" t="s">
        <v>1154</v>
      </c>
      <c r="AY699" s="15" t="s">
        <v>413</v>
      </c>
      <c r="AZ699" s="15" t="b">
        <v>0</v>
      </c>
      <c r="BA699" s="15" t="s">
        <v>413</v>
      </c>
      <c r="BB699" s="15" t="b">
        <v>0</v>
      </c>
      <c r="BD699" s="15" t="s">
        <v>1303</v>
      </c>
      <c r="BE699" s="15" t="str">
        <f t="shared" ref="BE699:BE700" si="1188">"1"</f>
        <v>1</v>
      </c>
      <c r="BF699" s="15" t="s">
        <v>416</v>
      </c>
      <c r="BG699" s="15" t="str">
        <f t="shared" ref="BG699:BG700" si="1189">"26"</f>
        <v>26</v>
      </c>
      <c r="BH699" s="15" t="s">
        <v>1176</v>
      </c>
      <c r="BI699" s="15" t="str">
        <f t="shared" ref="BI699:BI700" si="1190">"26"</f>
        <v>26</v>
      </c>
      <c r="BJ699" s="15" t="s">
        <v>1176</v>
      </c>
      <c r="BK699" s="15" t="str">
        <f t="shared" ref="BK699:BK700" si="1191">"20.5"</f>
        <v>20.5</v>
      </c>
      <c r="BL699" s="15" t="s">
        <v>1249</v>
      </c>
      <c r="BM699" s="15" t="str">
        <f t="shared" ref="BM699:BM700" si="1192">"155.03"</f>
        <v>155.03</v>
      </c>
      <c r="BN699" s="15" t="s">
        <v>7669</v>
      </c>
      <c r="BQ699" s="15" t="s">
        <v>444</v>
      </c>
      <c r="BS699" s="15" t="s">
        <v>444</v>
      </c>
      <c r="BU699" s="15" t="s">
        <v>444</v>
      </c>
      <c r="BW699" s="15" t="s">
        <v>444</v>
      </c>
      <c r="BZ699" s="15" t="s">
        <v>444</v>
      </c>
      <c r="CB699" s="15" t="s">
        <v>444</v>
      </c>
      <c r="CD699" s="15" t="s">
        <v>444</v>
      </c>
      <c r="CF699" s="15" t="s">
        <v>444</v>
      </c>
      <c r="CI699" s="15" t="s">
        <v>444</v>
      </c>
      <c r="CK699" s="15" t="s">
        <v>444</v>
      </c>
      <c r="CM699" s="15" t="s">
        <v>444</v>
      </c>
      <c r="CO699" s="15" t="s">
        <v>444</v>
      </c>
      <c r="CP699" s="15" t="str">
        <f t="shared" ref="CP699:CP700" si="1193">"8.02"</f>
        <v>8.02</v>
      </c>
      <c r="CQ699" s="15" t="str">
        <f t="shared" ref="CQ699:CQ700" si="1194">"0.227"</f>
        <v>0.227</v>
      </c>
      <c r="CR699" s="15" t="s">
        <v>417</v>
      </c>
      <c r="DC699" s="15" t="str">
        <f>IFERROR(__xludf.DUMMYFUNCTION("""COMPUTED_VALUE"""),"")</f>
        <v/>
      </c>
      <c r="DE699" s="15" t="str">
        <f>IFERROR(__xludf.DUMMYFUNCTION("""COMPUTED_VALUE"""),"")</f>
        <v/>
      </c>
      <c r="DG699" s="15" t="str">
        <f>IFERROR(__xludf.DUMMYFUNCTION("""COMPUTED_VALUE"""),"")</f>
        <v/>
      </c>
      <c r="DL699" s="15" t="str">
        <f>IFERROR(__xludf.DUMMYFUNCTION("""COMPUTED_VALUE"""),"")</f>
        <v/>
      </c>
      <c r="DM699" s="15" t="s">
        <v>444</v>
      </c>
      <c r="DN699" s="15" t="s">
        <v>419</v>
      </c>
      <c r="DO699" s="15">
        <v>0.0</v>
      </c>
      <c r="DP699" s="15" t="s">
        <v>419</v>
      </c>
      <c r="DR699" s="15">
        <v>0.0</v>
      </c>
      <c r="DU699" s="15" t="s">
        <v>419</v>
      </c>
      <c r="DY699" s="15">
        <v>0.0</v>
      </c>
      <c r="EF699" s="15" t="s">
        <v>1157</v>
      </c>
      <c r="EG699" s="15" t="s">
        <v>1158</v>
      </c>
      <c r="EH699" s="15" t="s">
        <v>7670</v>
      </c>
      <c r="EJ699" s="15" t="s">
        <v>500</v>
      </c>
      <c r="EK699" s="15" t="s">
        <v>501</v>
      </c>
      <c r="EM699" s="15" t="str">
        <f>IFERROR(__xludf.DUMMYFUNCTION("""COMPUTED_VALUE"""),"")</f>
        <v/>
      </c>
      <c r="EW699" s="15" t="s">
        <v>2292</v>
      </c>
      <c r="FH699" s="15" t="s">
        <v>531</v>
      </c>
      <c r="FI699" s="15" t="s">
        <v>2292</v>
      </c>
      <c r="FJ699" s="15" t="s">
        <v>531</v>
      </c>
      <c r="FK699" s="15" t="s">
        <v>612</v>
      </c>
      <c r="FM699" s="15">
        <v>0.0</v>
      </c>
      <c r="FN699" s="15">
        <v>0.0</v>
      </c>
      <c r="FW699" s="15" t="s">
        <v>477</v>
      </c>
    </row>
    <row r="700" ht="15.75" customHeight="1">
      <c r="A700" s="14" t="s">
        <v>391</v>
      </c>
      <c r="B700" s="15" t="s">
        <v>7661</v>
      </c>
      <c r="C700" s="16"/>
      <c r="D700" s="15" t="s">
        <v>432</v>
      </c>
      <c r="G700" s="14" t="s">
        <v>393</v>
      </c>
      <c r="H700" s="14" t="s">
        <v>394</v>
      </c>
      <c r="I700" s="14" t="b">
        <v>1</v>
      </c>
      <c r="J700" s="14" t="s">
        <v>395</v>
      </c>
      <c r="L700" s="14" t="b">
        <v>0</v>
      </c>
      <c r="M700" s="15" t="s">
        <v>7671</v>
      </c>
      <c r="N700" s="14" t="s">
        <v>393</v>
      </c>
      <c r="O700" s="14" t="s">
        <v>393</v>
      </c>
      <c r="P700" s="15" t="s">
        <v>397</v>
      </c>
      <c r="Q700" s="15" t="s">
        <v>4577</v>
      </c>
      <c r="T700" s="14" t="b">
        <v>0</v>
      </c>
      <c r="U700" s="15" t="s">
        <v>7672</v>
      </c>
      <c r="V700" s="15" t="s">
        <v>7665</v>
      </c>
      <c r="W700" s="15" t="s">
        <v>401</v>
      </c>
      <c r="X700" s="15" t="s">
        <v>1296</v>
      </c>
      <c r="Y700" s="15">
        <v>715.0</v>
      </c>
      <c r="AA700" s="15" t="str">
        <f t="shared" si="1187"/>
        <v>275</v>
      </c>
      <c r="AB700" s="14" t="b">
        <v>1</v>
      </c>
      <c r="AC700" s="14" t="b">
        <v>1</v>
      </c>
      <c r="AD700" s="15" t="str">
        <f>"801542880811"</f>
        <v>801542880811</v>
      </c>
      <c r="AE700" s="15" t="s">
        <v>7673</v>
      </c>
      <c r="AF700" s="14" t="s">
        <v>404</v>
      </c>
      <c r="AG700" s="14" t="s">
        <v>405</v>
      </c>
      <c r="AH700" s="14" t="s">
        <v>406</v>
      </c>
      <c r="AI700" s="15">
        <v>0.0</v>
      </c>
      <c r="AL700" s="15" t="s">
        <v>7667</v>
      </c>
      <c r="AM700" s="15" t="s">
        <v>1007</v>
      </c>
      <c r="AN700" s="15" t="s">
        <v>1008</v>
      </c>
      <c r="AO700" s="15" t="s">
        <v>1007</v>
      </c>
      <c r="AP700" s="15" t="s">
        <v>1008</v>
      </c>
      <c r="AQ700" s="15" t="s">
        <v>809</v>
      </c>
      <c r="AR700" s="15" t="s">
        <v>810</v>
      </c>
      <c r="AS700" s="15" t="s">
        <v>3586</v>
      </c>
      <c r="AT700" s="15" t="s">
        <v>4577</v>
      </c>
      <c r="AU700" s="15" t="s">
        <v>7674</v>
      </c>
      <c r="AW700" s="15" t="s">
        <v>1154</v>
      </c>
      <c r="AY700" s="15" t="s">
        <v>413</v>
      </c>
      <c r="AZ700" s="15" t="b">
        <v>0</v>
      </c>
      <c r="BA700" s="15" t="s">
        <v>413</v>
      </c>
      <c r="BB700" s="15" t="b">
        <v>0</v>
      </c>
      <c r="BC700" s="15" t="s">
        <v>7675</v>
      </c>
      <c r="BD700" s="15" t="s">
        <v>1303</v>
      </c>
      <c r="BE700" s="15" t="str">
        <f t="shared" si="1188"/>
        <v>1</v>
      </c>
      <c r="BF700" s="15" t="s">
        <v>416</v>
      </c>
      <c r="BG700" s="15" t="str">
        <f t="shared" si="1189"/>
        <v>26</v>
      </c>
      <c r="BH700" s="15" t="s">
        <v>1176</v>
      </c>
      <c r="BI700" s="15" t="str">
        <f t="shared" si="1190"/>
        <v>26</v>
      </c>
      <c r="BJ700" s="15" t="s">
        <v>1176</v>
      </c>
      <c r="BK700" s="15" t="str">
        <f t="shared" si="1191"/>
        <v>20.5</v>
      </c>
      <c r="BL700" s="15" t="s">
        <v>1249</v>
      </c>
      <c r="BM700" s="15" t="str">
        <f t="shared" si="1192"/>
        <v>155.03</v>
      </c>
      <c r="BN700" s="15" t="s">
        <v>7669</v>
      </c>
      <c r="BQ700" s="15" t="s">
        <v>444</v>
      </c>
      <c r="BS700" s="15" t="s">
        <v>444</v>
      </c>
      <c r="BU700" s="15" t="s">
        <v>444</v>
      </c>
      <c r="BW700" s="15" t="s">
        <v>444</v>
      </c>
      <c r="BZ700" s="15" t="s">
        <v>444</v>
      </c>
      <c r="CB700" s="15" t="s">
        <v>444</v>
      </c>
      <c r="CD700" s="15" t="s">
        <v>444</v>
      </c>
      <c r="CF700" s="15" t="s">
        <v>444</v>
      </c>
      <c r="CI700" s="15" t="s">
        <v>444</v>
      </c>
      <c r="CK700" s="15" t="s">
        <v>444</v>
      </c>
      <c r="CM700" s="15" t="s">
        <v>444</v>
      </c>
      <c r="CO700" s="15" t="s">
        <v>444</v>
      </c>
      <c r="CP700" s="15" t="str">
        <f t="shared" si="1193"/>
        <v>8.02</v>
      </c>
      <c r="CQ700" s="15" t="str">
        <f t="shared" si="1194"/>
        <v>0.227</v>
      </c>
      <c r="CR700" s="15" t="s">
        <v>497</v>
      </c>
      <c r="DC700" s="15" t="str">
        <f>IFERROR(__xludf.DUMMYFUNCTION("""COMPUTED_VALUE"""),"")</f>
        <v/>
      </c>
      <c r="DE700" s="15" t="str">
        <f>IFERROR(__xludf.DUMMYFUNCTION("""COMPUTED_VALUE"""),"")</f>
        <v/>
      </c>
      <c r="DG700" s="15" t="str">
        <f>IFERROR(__xludf.DUMMYFUNCTION("""COMPUTED_VALUE"""),"")</f>
        <v/>
      </c>
      <c r="DL700" s="15" t="str">
        <f>IFERROR(__xludf.DUMMYFUNCTION("""COMPUTED_VALUE"""),"")</f>
        <v/>
      </c>
      <c r="DM700" s="15" t="s">
        <v>444</v>
      </c>
      <c r="DN700" s="15" t="s">
        <v>419</v>
      </c>
      <c r="DO700" s="15">
        <v>0.0</v>
      </c>
      <c r="DP700" s="15" t="s">
        <v>419</v>
      </c>
      <c r="DR700" s="15">
        <v>0.0</v>
      </c>
      <c r="DU700" s="15" t="s">
        <v>419</v>
      </c>
      <c r="DY700" s="15">
        <v>0.0</v>
      </c>
      <c r="EF700" s="15" t="s">
        <v>1157</v>
      </c>
      <c r="EG700" s="15" t="s">
        <v>1158</v>
      </c>
      <c r="EH700" s="15" t="s">
        <v>7670</v>
      </c>
      <c r="EJ700" s="15" t="s">
        <v>500</v>
      </c>
      <c r="EK700" s="15" t="s">
        <v>501</v>
      </c>
      <c r="EM700" s="15" t="str">
        <f>IFERROR(__xludf.DUMMYFUNCTION("""COMPUTED_VALUE"""),"")</f>
        <v/>
      </c>
      <c r="EW700" s="15" t="s">
        <v>2292</v>
      </c>
      <c r="FH700" s="15" t="s">
        <v>531</v>
      </c>
      <c r="FI700" s="15" t="s">
        <v>2292</v>
      </c>
      <c r="FJ700" s="15" t="s">
        <v>531</v>
      </c>
      <c r="FK700" s="15" t="s">
        <v>612</v>
      </c>
      <c r="FM700" s="15">
        <v>0.0</v>
      </c>
      <c r="FN700" s="15">
        <v>0.0</v>
      </c>
      <c r="FW700" s="15" t="s">
        <v>477</v>
      </c>
    </row>
    <row r="701" ht="15.75" customHeight="1">
      <c r="A701" s="14" t="s">
        <v>391</v>
      </c>
      <c r="B701" s="15" t="s">
        <v>7676</v>
      </c>
      <c r="C701" s="16"/>
      <c r="D701" s="15" t="s">
        <v>432</v>
      </c>
      <c r="G701" s="14" t="s">
        <v>393</v>
      </c>
      <c r="H701" s="14" t="s">
        <v>394</v>
      </c>
      <c r="I701" s="14" t="b">
        <v>1</v>
      </c>
      <c r="J701" s="14" t="s">
        <v>395</v>
      </c>
      <c r="L701" s="14" t="b">
        <v>0</v>
      </c>
      <c r="M701" s="15" t="s">
        <v>7677</v>
      </c>
      <c r="N701" s="14" t="s">
        <v>393</v>
      </c>
      <c r="O701" s="14" t="s">
        <v>393</v>
      </c>
      <c r="P701" s="15" t="s">
        <v>397</v>
      </c>
      <c r="Q701" s="15" t="s">
        <v>3770</v>
      </c>
      <c r="R701" s="15" t="s">
        <v>265</v>
      </c>
      <c r="S701" s="15" t="s">
        <v>828</v>
      </c>
      <c r="T701" s="14" t="b">
        <v>0</v>
      </c>
      <c r="U701" s="15" t="s">
        <v>7678</v>
      </c>
      <c r="V701" s="15" t="s">
        <v>7679</v>
      </c>
      <c r="W701" s="15" t="s">
        <v>401</v>
      </c>
      <c r="X701" s="15" t="s">
        <v>742</v>
      </c>
      <c r="Y701" s="15">
        <v>1859.0</v>
      </c>
      <c r="AA701" s="15" t="str">
        <f>"715"</f>
        <v>715</v>
      </c>
      <c r="AB701" s="14" t="b">
        <v>1</v>
      </c>
      <c r="AC701" s="14" t="b">
        <v>1</v>
      </c>
      <c r="AD701" s="15" t="str">
        <f>"801542688929"</f>
        <v>801542688929</v>
      </c>
      <c r="AE701" s="15" t="s">
        <v>7680</v>
      </c>
      <c r="AF701" s="14" t="s">
        <v>404</v>
      </c>
      <c r="AG701" s="14" t="s">
        <v>405</v>
      </c>
      <c r="AH701" s="14" t="s">
        <v>406</v>
      </c>
      <c r="AI701" s="15">
        <v>0.0</v>
      </c>
      <c r="AL701" s="15" t="s">
        <v>7681</v>
      </c>
      <c r="AM701" s="15" t="s">
        <v>4522</v>
      </c>
      <c r="AN701" s="15" t="s">
        <v>2998</v>
      </c>
      <c r="AO701" s="15" t="s">
        <v>6478</v>
      </c>
      <c r="AP701" s="15" t="s">
        <v>6482</v>
      </c>
      <c r="AQ701" s="15" t="s">
        <v>487</v>
      </c>
      <c r="AR701" s="15" t="s">
        <v>488</v>
      </c>
      <c r="AS701" s="15" t="s">
        <v>837</v>
      </c>
      <c r="AT701" s="15" t="s">
        <v>892</v>
      </c>
      <c r="AU701" s="15" t="s">
        <v>3770</v>
      </c>
      <c r="AW701" s="15" t="s">
        <v>839</v>
      </c>
      <c r="AX701" s="15" t="s">
        <v>828</v>
      </c>
      <c r="AY701" s="15" t="s">
        <v>413</v>
      </c>
      <c r="AZ701" s="15" t="b">
        <v>0</v>
      </c>
      <c r="BA701" s="15" t="s">
        <v>413</v>
      </c>
      <c r="BB701" s="15" t="b">
        <v>0</v>
      </c>
      <c r="BC701" s="15" t="s">
        <v>7682</v>
      </c>
      <c r="BD701" s="15" t="s">
        <v>742</v>
      </c>
      <c r="BE701" s="15" t="str">
        <f t="shared" ref="BE701:BE706" si="1195">"3"</f>
        <v>3</v>
      </c>
      <c r="BF701" s="15" t="s">
        <v>841</v>
      </c>
      <c r="BG701" s="15" t="str">
        <f>"82.48"</f>
        <v>82.48</v>
      </c>
      <c r="BH701" s="15" t="s">
        <v>6835</v>
      </c>
      <c r="BI701" s="15" t="str">
        <f>"56.69"</f>
        <v>56.69</v>
      </c>
      <c r="BJ701" s="15" t="s">
        <v>7683</v>
      </c>
      <c r="BK701" s="15" t="str">
        <f t="shared" ref="BK701:BK706" si="1196">"8.07"</f>
        <v>8.07</v>
      </c>
      <c r="BL701" s="15" t="s">
        <v>849</v>
      </c>
      <c r="BM701" s="15" t="str">
        <f>"104.72"</f>
        <v>104.72</v>
      </c>
      <c r="BN701" s="15" t="s">
        <v>7684</v>
      </c>
      <c r="BO701" s="15" t="s">
        <v>2966</v>
      </c>
      <c r="BP701" s="15" t="str">
        <f t="shared" ref="BP701:BP706" si="1197">"87.2"</f>
        <v>87.2</v>
      </c>
      <c r="BQ701" s="15" t="s">
        <v>7685</v>
      </c>
      <c r="BR701" s="15" t="str">
        <f t="shared" ref="BR701:BR706" si="1198">"12.4"</f>
        <v>12.4</v>
      </c>
      <c r="BS701" s="15" t="s">
        <v>5845</v>
      </c>
      <c r="BT701" s="15" t="str">
        <f t="shared" ref="BT701:BT706" si="1199">"6.5"</f>
        <v>6.5</v>
      </c>
      <c r="BU701" s="15" t="s">
        <v>7686</v>
      </c>
      <c r="BV701" s="15" t="str">
        <f>"63.93"</f>
        <v>63.93</v>
      </c>
      <c r="BW701" s="15" t="s">
        <v>2965</v>
      </c>
      <c r="BX701" s="15" t="s">
        <v>2962</v>
      </c>
      <c r="BY701" s="15" t="str">
        <f>"82.48"</f>
        <v>82.48</v>
      </c>
      <c r="BZ701" s="15" t="s">
        <v>6835</v>
      </c>
      <c r="CA701" s="15" t="str">
        <f t="shared" ref="CA701:CA706" si="1200">"14.76"</f>
        <v>14.76</v>
      </c>
      <c r="CB701" s="15" t="s">
        <v>4137</v>
      </c>
      <c r="CC701" s="15" t="str">
        <f t="shared" ref="CC701:CC706" si="1201">"6.5"</f>
        <v>6.5</v>
      </c>
      <c r="CD701" s="15" t="s">
        <v>7686</v>
      </c>
      <c r="CE701" s="15" t="str">
        <f>"70.55"</f>
        <v>70.55</v>
      </c>
      <c r="CF701" s="15" t="s">
        <v>845</v>
      </c>
      <c r="CI701" s="15" t="s">
        <v>444</v>
      </c>
      <c r="CK701" s="15" t="s">
        <v>444</v>
      </c>
      <c r="CM701" s="15" t="s">
        <v>444</v>
      </c>
      <c r="CO701" s="15" t="s">
        <v>444</v>
      </c>
      <c r="CP701" s="15" t="str">
        <f>"30.48"</f>
        <v>30.48</v>
      </c>
      <c r="CQ701" s="15" t="str">
        <f>"0.863"</f>
        <v>0.863</v>
      </c>
      <c r="CR701" s="15" t="s">
        <v>497</v>
      </c>
      <c r="DC701" s="15" t="str">
        <f>IFERROR(__xludf.DUMMYFUNCTION("""COMPUTED_VALUE"""),"")</f>
        <v/>
      </c>
      <c r="DE701" s="15" t="str">
        <f>IFERROR(__xludf.DUMMYFUNCTION("""COMPUTED_VALUE"""),"")</f>
        <v/>
      </c>
      <c r="DG701" s="15" t="str">
        <f>IFERROR(__xludf.DUMMYFUNCTION("""COMPUTED_VALUE"""),"")</f>
        <v/>
      </c>
      <c r="DK701" s="15" t="s">
        <v>897</v>
      </c>
      <c r="DL701" s="15" t="str">
        <f>IFERROR(__xludf.DUMMYFUNCTION("""COMPUTED_VALUE"""),"Clean with water-based products only. Use mild detergent or upholstery shampoo.")</f>
        <v>Clean with water-based products only. Use mild detergent or upholstery shampoo.</v>
      </c>
      <c r="DM701" s="15" t="s">
        <v>898</v>
      </c>
      <c r="DN701" s="15" t="s">
        <v>419</v>
      </c>
      <c r="DO701" s="15">
        <v>0.0</v>
      </c>
      <c r="DP701" s="15" t="s">
        <v>419</v>
      </c>
      <c r="DR701" s="15">
        <v>0.0</v>
      </c>
      <c r="DT701" s="15" t="s">
        <v>989</v>
      </c>
      <c r="DU701" s="15" t="s">
        <v>419</v>
      </c>
      <c r="DW701" s="15">
        <v>0.0</v>
      </c>
      <c r="DX701" s="15">
        <v>0.0</v>
      </c>
      <c r="DY701" s="15">
        <v>0.0</v>
      </c>
      <c r="DZ701" s="15">
        <v>15000.0</v>
      </c>
      <c r="EG701" s="15" t="s">
        <v>444</v>
      </c>
      <c r="EH701" s="15" t="s">
        <v>7687</v>
      </c>
      <c r="EJ701" s="15" t="s">
        <v>858</v>
      </c>
      <c r="EK701" s="15" t="s">
        <v>859</v>
      </c>
      <c r="EM701" s="15" t="str">
        <f>IFERROR(__xludf.DUMMYFUNCTION("""COMPUTED_VALUE"""),"")</f>
        <v/>
      </c>
      <c r="FF701" s="15" t="s">
        <v>860</v>
      </c>
      <c r="FM701" s="15">
        <v>0.0</v>
      </c>
      <c r="FS701" s="15" t="s">
        <v>3362</v>
      </c>
      <c r="IM701" s="15" t="s">
        <v>7688</v>
      </c>
      <c r="IN701" s="15" t="s">
        <v>7688</v>
      </c>
      <c r="IO701" s="15" t="s">
        <v>7688</v>
      </c>
      <c r="IP701" s="15" t="s">
        <v>2156</v>
      </c>
      <c r="IQ701" s="15" t="s">
        <v>4685</v>
      </c>
      <c r="IR701" s="15" t="s">
        <v>7621</v>
      </c>
      <c r="IS701" s="15" t="s">
        <v>2337</v>
      </c>
      <c r="IT701" s="15" t="s">
        <v>3856</v>
      </c>
      <c r="IU701" s="15" t="s">
        <v>7621</v>
      </c>
      <c r="IV701" s="15" t="s">
        <v>2971</v>
      </c>
      <c r="IW701" s="15" t="s">
        <v>7689</v>
      </c>
      <c r="IX701" s="15" t="s">
        <v>4384</v>
      </c>
      <c r="IY701" s="15" t="s">
        <v>5304</v>
      </c>
      <c r="IZ701" s="15" t="s">
        <v>7690</v>
      </c>
      <c r="JA701" s="15" t="s">
        <v>4685</v>
      </c>
      <c r="JB701" s="15" t="s">
        <v>426</v>
      </c>
      <c r="JC701" s="15" t="s">
        <v>871</v>
      </c>
      <c r="JD701" s="15" t="s">
        <v>872</v>
      </c>
      <c r="JE701" s="15" t="s">
        <v>873</v>
      </c>
      <c r="JF701" s="15" t="s">
        <v>828</v>
      </c>
      <c r="JL701" s="15" t="s">
        <v>759</v>
      </c>
      <c r="JM701" s="15" t="s">
        <v>7691</v>
      </c>
      <c r="JN701" s="15" t="s">
        <v>759</v>
      </c>
      <c r="JO701" s="15" t="s">
        <v>426</v>
      </c>
      <c r="JP701" s="15" t="s">
        <v>875</v>
      </c>
    </row>
    <row r="702" ht="15.75" customHeight="1">
      <c r="A702" s="14" t="s">
        <v>391</v>
      </c>
      <c r="B702" s="15" t="s">
        <v>7676</v>
      </c>
      <c r="C702" s="16"/>
      <c r="D702" s="15" t="s">
        <v>432</v>
      </c>
      <c r="G702" s="14" t="s">
        <v>393</v>
      </c>
      <c r="H702" s="14" t="s">
        <v>394</v>
      </c>
      <c r="I702" s="14" t="b">
        <v>1</v>
      </c>
      <c r="J702" s="14" t="s">
        <v>395</v>
      </c>
      <c r="L702" s="14" t="b">
        <v>0</v>
      </c>
      <c r="M702" s="15" t="s">
        <v>7692</v>
      </c>
      <c r="N702" s="14" t="s">
        <v>393</v>
      </c>
      <c r="O702" s="14" t="s">
        <v>393</v>
      </c>
      <c r="P702" s="15" t="s">
        <v>397</v>
      </c>
      <c r="Q702" s="15" t="s">
        <v>3770</v>
      </c>
      <c r="R702" s="15" t="s">
        <v>265</v>
      </c>
      <c r="S702" s="15" t="s">
        <v>877</v>
      </c>
      <c r="T702" s="14" t="b">
        <v>0</v>
      </c>
      <c r="U702" s="15" t="s">
        <v>7693</v>
      </c>
      <c r="V702" s="15" t="s">
        <v>2953</v>
      </c>
      <c r="W702" s="15" t="s">
        <v>401</v>
      </c>
      <c r="X702" s="15" t="s">
        <v>742</v>
      </c>
      <c r="Y702" s="15">
        <v>1755.0</v>
      </c>
      <c r="AA702" s="15" t="str">
        <f t="shared" ref="AA702:AA703" si="1202">"675"</f>
        <v>675</v>
      </c>
      <c r="AB702" s="14" t="b">
        <v>1</v>
      </c>
      <c r="AC702" s="14" t="b">
        <v>1</v>
      </c>
      <c r="AD702" s="15" t="str">
        <f>"801542689087"</f>
        <v>801542689087</v>
      </c>
      <c r="AE702" s="15" t="s">
        <v>7694</v>
      </c>
      <c r="AF702" s="14" t="s">
        <v>404</v>
      </c>
      <c r="AG702" s="14" t="s">
        <v>405</v>
      </c>
      <c r="AH702" s="14" t="s">
        <v>406</v>
      </c>
      <c r="AI702" s="15">
        <v>0.0</v>
      </c>
      <c r="AL702" s="15" t="s">
        <v>7681</v>
      </c>
      <c r="AM702" s="15" t="s">
        <v>1224</v>
      </c>
      <c r="AN702" s="15" t="s">
        <v>1225</v>
      </c>
      <c r="AO702" s="15" t="s">
        <v>6478</v>
      </c>
      <c r="AP702" s="15" t="s">
        <v>6482</v>
      </c>
      <c r="AQ702" s="15" t="s">
        <v>487</v>
      </c>
      <c r="AR702" s="15" t="s">
        <v>488</v>
      </c>
      <c r="AS702" s="15" t="s">
        <v>837</v>
      </c>
      <c r="AT702" s="15" t="s">
        <v>892</v>
      </c>
      <c r="AU702" s="15" t="s">
        <v>3770</v>
      </c>
      <c r="AW702" s="15" t="s">
        <v>839</v>
      </c>
      <c r="AX702" s="15" t="s">
        <v>877</v>
      </c>
      <c r="AY702" s="15" t="s">
        <v>413</v>
      </c>
      <c r="AZ702" s="15" t="b">
        <v>0</v>
      </c>
      <c r="BA702" s="15" t="s">
        <v>413</v>
      </c>
      <c r="BB702" s="15" t="b">
        <v>0</v>
      </c>
      <c r="BC702" s="15" t="s">
        <v>7682</v>
      </c>
      <c r="BD702" s="15" t="s">
        <v>742</v>
      </c>
      <c r="BE702" s="15" t="str">
        <f t="shared" si="1195"/>
        <v>3</v>
      </c>
      <c r="BF702" s="15" t="s">
        <v>841</v>
      </c>
      <c r="BG702" s="15" t="str">
        <f>"66.34"</f>
        <v>66.34</v>
      </c>
      <c r="BH702" s="15" t="s">
        <v>6548</v>
      </c>
      <c r="BI702" s="15" t="str">
        <f>"57.09"</f>
        <v>57.09</v>
      </c>
      <c r="BJ702" s="15" t="s">
        <v>7695</v>
      </c>
      <c r="BK702" s="15" t="str">
        <f t="shared" si="1196"/>
        <v>8.07</v>
      </c>
      <c r="BL702" s="15" t="s">
        <v>849</v>
      </c>
      <c r="BM702" s="15" t="str">
        <f>"85.98"</f>
        <v>85.98</v>
      </c>
      <c r="BN702" s="15" t="s">
        <v>928</v>
      </c>
      <c r="BO702" s="15" t="s">
        <v>2966</v>
      </c>
      <c r="BP702" s="15" t="str">
        <f t="shared" si="1197"/>
        <v>87.2</v>
      </c>
      <c r="BQ702" s="15" t="s">
        <v>7685</v>
      </c>
      <c r="BR702" s="15" t="str">
        <f t="shared" si="1198"/>
        <v>12.4</v>
      </c>
      <c r="BS702" s="15" t="s">
        <v>5845</v>
      </c>
      <c r="BT702" s="15" t="str">
        <f t="shared" si="1199"/>
        <v>6.5</v>
      </c>
      <c r="BU702" s="15" t="s">
        <v>7686</v>
      </c>
      <c r="BV702" s="15" t="str">
        <f t="shared" ref="BV702:BV703" si="1203">"58.42"</f>
        <v>58.42</v>
      </c>
      <c r="BW702" s="15" t="s">
        <v>2197</v>
      </c>
      <c r="BX702" s="15" t="s">
        <v>2962</v>
      </c>
      <c r="BY702" s="15" t="str">
        <f>"66.34"</f>
        <v>66.34</v>
      </c>
      <c r="BZ702" s="15" t="s">
        <v>6548</v>
      </c>
      <c r="CA702" s="15" t="str">
        <f t="shared" si="1200"/>
        <v>14.76</v>
      </c>
      <c r="CB702" s="15" t="s">
        <v>4137</v>
      </c>
      <c r="CC702" s="15" t="str">
        <f t="shared" si="1201"/>
        <v>6.5</v>
      </c>
      <c r="CD702" s="15" t="s">
        <v>7686</v>
      </c>
      <c r="CE702" s="15" t="str">
        <f>"52.91"</f>
        <v>52.91</v>
      </c>
      <c r="CF702" s="15" t="s">
        <v>921</v>
      </c>
      <c r="CI702" s="15" t="s">
        <v>444</v>
      </c>
      <c r="CK702" s="15" t="s">
        <v>444</v>
      </c>
      <c r="CM702" s="15" t="s">
        <v>444</v>
      </c>
      <c r="CO702" s="15" t="s">
        <v>444</v>
      </c>
      <c r="CP702" s="15" t="str">
        <f>"25.43"</f>
        <v>25.43</v>
      </c>
      <c r="CQ702" s="15" t="str">
        <f>"0.72"</f>
        <v>0.72</v>
      </c>
      <c r="CR702" s="15" t="s">
        <v>497</v>
      </c>
      <c r="DC702" s="15" t="str">
        <f>IFERROR(__xludf.DUMMYFUNCTION("""COMPUTED_VALUE"""),"")</f>
        <v/>
      </c>
      <c r="DE702" s="15" t="str">
        <f>IFERROR(__xludf.DUMMYFUNCTION("""COMPUTED_VALUE"""),"")</f>
        <v/>
      </c>
      <c r="DG702" s="15" t="str">
        <f>IFERROR(__xludf.DUMMYFUNCTION("""COMPUTED_VALUE"""),"")</f>
        <v/>
      </c>
      <c r="DK702" s="15" t="s">
        <v>897</v>
      </c>
      <c r="DL702" s="15" t="str">
        <f>IFERROR(__xludf.DUMMYFUNCTION("""COMPUTED_VALUE"""),"Clean with water-based products only. Use mild detergent or upholstery shampoo.")</f>
        <v>Clean with water-based products only. Use mild detergent or upholstery shampoo.</v>
      </c>
      <c r="DM702" s="15" t="s">
        <v>898</v>
      </c>
      <c r="DN702" s="15" t="s">
        <v>419</v>
      </c>
      <c r="DO702" s="15">
        <v>0.0</v>
      </c>
      <c r="DP702" s="15" t="s">
        <v>419</v>
      </c>
      <c r="DR702" s="15">
        <v>0.0</v>
      </c>
      <c r="DT702" s="15" t="s">
        <v>989</v>
      </c>
      <c r="DU702" s="15" t="s">
        <v>419</v>
      </c>
      <c r="DW702" s="15">
        <v>0.0</v>
      </c>
      <c r="DX702" s="15">
        <v>0.0</v>
      </c>
      <c r="DY702" s="15">
        <v>0.0</v>
      </c>
      <c r="DZ702" s="15">
        <v>15000.0</v>
      </c>
      <c r="EG702" s="15" t="s">
        <v>444</v>
      </c>
      <c r="EH702" s="15" t="s">
        <v>7687</v>
      </c>
      <c r="EJ702" s="15" t="s">
        <v>858</v>
      </c>
      <c r="EK702" s="15" t="s">
        <v>859</v>
      </c>
      <c r="EM702" s="15" t="str">
        <f>IFERROR(__xludf.DUMMYFUNCTION("""COMPUTED_VALUE"""),"")</f>
        <v/>
      </c>
      <c r="FF702" s="15" t="s">
        <v>860</v>
      </c>
      <c r="FM702" s="15">
        <v>0.0</v>
      </c>
      <c r="FS702" s="15" t="s">
        <v>3362</v>
      </c>
      <c r="IM702" s="15" t="s">
        <v>7688</v>
      </c>
      <c r="IN702" s="15" t="s">
        <v>7688</v>
      </c>
      <c r="IO702" s="15" t="s">
        <v>7688</v>
      </c>
      <c r="IP702" s="15" t="s">
        <v>2156</v>
      </c>
      <c r="IQ702" s="15" t="s">
        <v>4685</v>
      </c>
      <c r="IR702" s="15" t="s">
        <v>7615</v>
      </c>
      <c r="IS702" s="15" t="s">
        <v>2337</v>
      </c>
      <c r="IT702" s="15" t="s">
        <v>3856</v>
      </c>
      <c r="IU702" s="15" t="s">
        <v>7615</v>
      </c>
      <c r="IV702" s="15" t="s">
        <v>2971</v>
      </c>
      <c r="IW702" s="15" t="s">
        <v>7689</v>
      </c>
      <c r="IX702" s="15" t="s">
        <v>5852</v>
      </c>
      <c r="IY702" s="15" t="s">
        <v>5304</v>
      </c>
      <c r="IZ702" s="15" t="s">
        <v>7690</v>
      </c>
      <c r="JA702" s="15" t="s">
        <v>4685</v>
      </c>
      <c r="JB702" s="15" t="s">
        <v>426</v>
      </c>
      <c r="JC702" s="15" t="s">
        <v>871</v>
      </c>
      <c r="JD702" s="15" t="s">
        <v>872</v>
      </c>
      <c r="JE702" s="15" t="s">
        <v>873</v>
      </c>
      <c r="JF702" s="15" t="s">
        <v>877</v>
      </c>
      <c r="JL702" s="15" t="s">
        <v>759</v>
      </c>
      <c r="JM702" s="15" t="s">
        <v>7691</v>
      </c>
      <c r="JN702" s="15" t="s">
        <v>759</v>
      </c>
      <c r="JO702" s="15" t="s">
        <v>426</v>
      </c>
      <c r="JP702" s="15" t="s">
        <v>875</v>
      </c>
    </row>
    <row r="703" ht="15.75" customHeight="1">
      <c r="A703" s="14" t="s">
        <v>391</v>
      </c>
      <c r="B703" s="15" t="s">
        <v>7696</v>
      </c>
      <c r="C703" s="16"/>
      <c r="D703" s="15" t="s">
        <v>432</v>
      </c>
      <c r="G703" s="14" t="s">
        <v>393</v>
      </c>
      <c r="H703" s="14" t="s">
        <v>394</v>
      </c>
      <c r="I703" s="14" t="b">
        <v>1</v>
      </c>
      <c r="J703" s="14" t="s">
        <v>395</v>
      </c>
      <c r="L703" s="14" t="b">
        <v>0</v>
      </c>
      <c r="M703" s="15" t="s">
        <v>7697</v>
      </c>
      <c r="N703" s="14" t="s">
        <v>393</v>
      </c>
      <c r="O703" s="14" t="s">
        <v>393</v>
      </c>
      <c r="P703" s="15" t="s">
        <v>397</v>
      </c>
      <c r="Q703" s="15" t="s">
        <v>827</v>
      </c>
      <c r="R703" s="15" t="s">
        <v>265</v>
      </c>
      <c r="S703" s="15" t="s">
        <v>828</v>
      </c>
      <c r="T703" s="14" t="b">
        <v>0</v>
      </c>
      <c r="U703" s="15" t="s">
        <v>7698</v>
      </c>
      <c r="V703" s="15" t="s">
        <v>7699</v>
      </c>
      <c r="W703" s="15" t="s">
        <v>401</v>
      </c>
      <c r="X703" s="15" t="s">
        <v>742</v>
      </c>
      <c r="Y703" s="15">
        <v>1755.0</v>
      </c>
      <c r="AA703" s="15" t="str">
        <f t="shared" si="1202"/>
        <v>675</v>
      </c>
      <c r="AB703" s="14" t="b">
        <v>1</v>
      </c>
      <c r="AC703" s="14" t="b">
        <v>1</v>
      </c>
      <c r="AD703" s="15" t="str">
        <f>"801542740238"</f>
        <v>801542740238</v>
      </c>
      <c r="AE703" s="15" t="s">
        <v>7700</v>
      </c>
      <c r="AF703" s="14" t="s">
        <v>404</v>
      </c>
      <c r="AG703" s="14" t="s">
        <v>405</v>
      </c>
      <c r="AH703" s="14" t="s">
        <v>406</v>
      </c>
      <c r="AI703" s="15">
        <v>0.0</v>
      </c>
      <c r="AL703" s="15" t="s">
        <v>5213</v>
      </c>
      <c r="AM703" s="15" t="s">
        <v>4522</v>
      </c>
      <c r="AN703" s="15" t="s">
        <v>2998</v>
      </c>
      <c r="AO703" s="15" t="s">
        <v>6478</v>
      </c>
      <c r="AP703" s="15" t="s">
        <v>6482</v>
      </c>
      <c r="AQ703" s="15" t="s">
        <v>4561</v>
      </c>
      <c r="AR703" s="15" t="s">
        <v>4562</v>
      </c>
      <c r="AS703" s="15" t="s">
        <v>837</v>
      </c>
      <c r="AT703" s="15" t="s">
        <v>827</v>
      </c>
      <c r="AU703" s="15" t="s">
        <v>3770</v>
      </c>
      <c r="AW703" s="15" t="s">
        <v>839</v>
      </c>
      <c r="AX703" s="15" t="s">
        <v>828</v>
      </c>
      <c r="AY703" s="15" t="s">
        <v>426</v>
      </c>
      <c r="AZ703" s="15" t="b">
        <v>1</v>
      </c>
      <c r="BA703" s="15" t="s">
        <v>426</v>
      </c>
      <c r="BB703" s="15" t="b">
        <v>1</v>
      </c>
      <c r="BC703" s="15" t="s">
        <v>7701</v>
      </c>
      <c r="BD703" s="15" t="s">
        <v>742</v>
      </c>
      <c r="BE703" s="15" t="str">
        <f t="shared" si="1195"/>
        <v>3</v>
      </c>
      <c r="BF703" s="15" t="s">
        <v>841</v>
      </c>
      <c r="BG703" s="15" t="str">
        <f>"82.48"</f>
        <v>82.48</v>
      </c>
      <c r="BH703" s="15" t="s">
        <v>6835</v>
      </c>
      <c r="BI703" s="15" t="str">
        <f t="shared" ref="BI703:BI706" si="1204">"41.93"</f>
        <v>41.93</v>
      </c>
      <c r="BJ703" s="15" t="s">
        <v>7390</v>
      </c>
      <c r="BK703" s="15" t="str">
        <f t="shared" si="1196"/>
        <v>8.07</v>
      </c>
      <c r="BL703" s="15" t="s">
        <v>849</v>
      </c>
      <c r="BM703" s="15" t="str">
        <f>"79.37"</f>
        <v>79.37</v>
      </c>
      <c r="BN703" s="15" t="s">
        <v>1441</v>
      </c>
      <c r="BO703" s="15" t="s">
        <v>7702</v>
      </c>
      <c r="BP703" s="15" t="str">
        <f t="shared" si="1197"/>
        <v>87.2</v>
      </c>
      <c r="BQ703" s="15" t="s">
        <v>7685</v>
      </c>
      <c r="BR703" s="15" t="str">
        <f t="shared" si="1198"/>
        <v>12.4</v>
      </c>
      <c r="BS703" s="15" t="s">
        <v>5845</v>
      </c>
      <c r="BT703" s="15" t="str">
        <f t="shared" si="1199"/>
        <v>6.5</v>
      </c>
      <c r="BU703" s="15" t="s">
        <v>7686</v>
      </c>
      <c r="BV703" s="15" t="str">
        <f t="shared" si="1203"/>
        <v>58.42</v>
      </c>
      <c r="BW703" s="15" t="s">
        <v>2197</v>
      </c>
      <c r="BX703" s="15" t="s">
        <v>7703</v>
      </c>
      <c r="BY703" s="15" t="str">
        <f>"82.48"</f>
        <v>82.48</v>
      </c>
      <c r="BZ703" s="15" t="s">
        <v>6835</v>
      </c>
      <c r="CA703" s="15" t="str">
        <f t="shared" si="1200"/>
        <v>14.76</v>
      </c>
      <c r="CB703" s="15" t="s">
        <v>4137</v>
      </c>
      <c r="CC703" s="15" t="str">
        <f t="shared" si="1201"/>
        <v>6.5</v>
      </c>
      <c r="CD703" s="15" t="s">
        <v>7686</v>
      </c>
      <c r="CE703" s="15" t="str">
        <f>"70.55"</f>
        <v>70.55</v>
      </c>
      <c r="CF703" s="15" t="s">
        <v>845</v>
      </c>
      <c r="CI703" s="15" t="s">
        <v>444</v>
      </c>
      <c r="CK703" s="15" t="s">
        <v>444</v>
      </c>
      <c r="CM703" s="15" t="s">
        <v>444</v>
      </c>
      <c r="CO703" s="15" t="s">
        <v>444</v>
      </c>
      <c r="CP703" s="15" t="str">
        <f>"24.79"</f>
        <v>24.79</v>
      </c>
      <c r="CQ703" s="15" t="str">
        <f>"0.702"</f>
        <v>0.702</v>
      </c>
      <c r="CR703" s="15" t="s">
        <v>465</v>
      </c>
      <c r="DC703" s="15" t="str">
        <f>IFERROR(__xludf.DUMMYFUNCTION("""COMPUTED_VALUE"""),"")</f>
        <v/>
      </c>
      <c r="DE703" s="15" t="str">
        <f>IFERROR(__xludf.DUMMYFUNCTION("""COMPUTED_VALUE"""),"")</f>
        <v/>
      </c>
      <c r="DG703" s="15" t="str">
        <f>IFERROR(__xludf.DUMMYFUNCTION("""COMPUTED_VALUE"""),"")</f>
        <v/>
      </c>
      <c r="DK703" s="15" t="s">
        <v>855</v>
      </c>
      <c r="DL703" s="15" t="str">
        <f>IFERROR(__xludf.DUMMYFUNCTION("""COMPUTED_VALUE"""),"Clean with solvent-based (dry clean only) products. Do not use water.")</f>
        <v>Clean with solvent-based (dry clean only) products. Do not use water.</v>
      </c>
      <c r="DM703" s="15" t="s">
        <v>856</v>
      </c>
      <c r="DN703" s="15" t="s">
        <v>419</v>
      </c>
      <c r="DO703" s="15">
        <v>0.0</v>
      </c>
      <c r="DP703" s="15" t="s">
        <v>419</v>
      </c>
      <c r="DR703" s="15">
        <v>0.0</v>
      </c>
      <c r="DT703" s="15" t="s">
        <v>989</v>
      </c>
      <c r="DU703" s="15" t="s">
        <v>419</v>
      </c>
      <c r="DW703" s="15">
        <v>0.0</v>
      </c>
      <c r="DX703" s="15">
        <v>0.0</v>
      </c>
      <c r="DY703" s="15">
        <v>0.0</v>
      </c>
      <c r="DZ703" s="15">
        <v>15000.0</v>
      </c>
      <c r="EG703" s="15" t="s">
        <v>444</v>
      </c>
      <c r="EH703" s="15" t="s">
        <v>7687</v>
      </c>
      <c r="EJ703" s="15" t="s">
        <v>858</v>
      </c>
      <c r="EK703" s="15" t="s">
        <v>859</v>
      </c>
      <c r="EM703" s="15" t="str">
        <f>IFERROR(__xludf.DUMMYFUNCTION("""COMPUTED_VALUE"""),"")</f>
        <v/>
      </c>
      <c r="FF703" s="15" t="s">
        <v>860</v>
      </c>
      <c r="FM703" s="15">
        <v>0.0</v>
      </c>
      <c r="FS703" s="15" t="s">
        <v>3362</v>
      </c>
      <c r="IM703" s="15" t="s">
        <v>7688</v>
      </c>
      <c r="IN703" s="15" t="s">
        <v>7688</v>
      </c>
      <c r="IO703" s="15" t="s">
        <v>7688</v>
      </c>
      <c r="IP703" s="15" t="s">
        <v>2156</v>
      </c>
      <c r="IQ703" s="15" t="s">
        <v>4685</v>
      </c>
      <c r="IR703" s="15" t="s">
        <v>7621</v>
      </c>
      <c r="IS703" s="15" t="s">
        <v>7704</v>
      </c>
      <c r="IT703" s="15" t="s">
        <v>3856</v>
      </c>
      <c r="IU703" s="15" t="s">
        <v>7621</v>
      </c>
      <c r="IV703" s="15" t="s">
        <v>2971</v>
      </c>
      <c r="IW703" s="15" t="s">
        <v>7689</v>
      </c>
      <c r="IX703" s="15" t="s">
        <v>4384</v>
      </c>
      <c r="IY703" s="15" t="s">
        <v>5304</v>
      </c>
      <c r="IZ703" s="15" t="s">
        <v>7690</v>
      </c>
      <c r="JA703" s="15" t="s">
        <v>4685</v>
      </c>
      <c r="JB703" s="15" t="s">
        <v>426</v>
      </c>
      <c r="JC703" s="15" t="s">
        <v>871</v>
      </c>
      <c r="JD703" s="15" t="s">
        <v>872</v>
      </c>
      <c r="JE703" s="15" t="s">
        <v>873</v>
      </c>
      <c r="JF703" s="15" t="s">
        <v>828</v>
      </c>
      <c r="JL703" s="15" t="s">
        <v>759</v>
      </c>
      <c r="JM703" s="15" t="s">
        <v>7691</v>
      </c>
      <c r="JN703" s="15" t="s">
        <v>759</v>
      </c>
      <c r="JO703" s="15" t="s">
        <v>426</v>
      </c>
      <c r="JP703" s="15" t="s">
        <v>875</v>
      </c>
    </row>
    <row r="704" ht="15.75" customHeight="1">
      <c r="A704" s="14" t="s">
        <v>391</v>
      </c>
      <c r="B704" s="15" t="s">
        <v>7696</v>
      </c>
      <c r="C704" s="16"/>
      <c r="D704" s="15" t="s">
        <v>432</v>
      </c>
      <c r="G704" s="14" t="s">
        <v>393</v>
      </c>
      <c r="H704" s="14" t="s">
        <v>394</v>
      </c>
      <c r="I704" s="14" t="b">
        <v>1</v>
      </c>
      <c r="J704" s="14" t="s">
        <v>395</v>
      </c>
      <c r="L704" s="14" t="b">
        <v>0</v>
      </c>
      <c r="M704" s="15" t="s">
        <v>7705</v>
      </c>
      <c r="N704" s="14" t="s">
        <v>393</v>
      </c>
      <c r="O704" s="14" t="s">
        <v>393</v>
      </c>
      <c r="P704" s="15" t="s">
        <v>397</v>
      </c>
      <c r="Q704" s="15" t="s">
        <v>827</v>
      </c>
      <c r="R704" s="15" t="s">
        <v>265</v>
      </c>
      <c r="S704" s="15" t="s">
        <v>877</v>
      </c>
      <c r="T704" s="14" t="b">
        <v>0</v>
      </c>
      <c r="U704" s="15" t="s">
        <v>7706</v>
      </c>
      <c r="V704" s="15" t="s">
        <v>7707</v>
      </c>
      <c r="W704" s="15" t="s">
        <v>401</v>
      </c>
      <c r="X704" s="15" t="s">
        <v>742</v>
      </c>
      <c r="Y704" s="15">
        <v>1534.0</v>
      </c>
      <c r="AA704" s="15" t="str">
        <f>"590"</f>
        <v>590</v>
      </c>
      <c r="AB704" s="14" t="b">
        <v>1</v>
      </c>
      <c r="AC704" s="14" t="b">
        <v>1</v>
      </c>
      <c r="AD704" s="15" t="str">
        <f>"801542688844"</f>
        <v>801542688844</v>
      </c>
      <c r="AE704" s="15" t="s">
        <v>7708</v>
      </c>
      <c r="AF704" s="14" t="s">
        <v>404</v>
      </c>
      <c r="AG704" s="14" t="s">
        <v>405</v>
      </c>
      <c r="AH704" s="14" t="s">
        <v>406</v>
      </c>
      <c r="AI704" s="15">
        <v>0.0</v>
      </c>
      <c r="AL704" s="15" t="s">
        <v>5213</v>
      </c>
      <c r="AM704" s="15" t="s">
        <v>1224</v>
      </c>
      <c r="AN704" s="15" t="s">
        <v>1225</v>
      </c>
      <c r="AO704" s="15" t="s">
        <v>6478</v>
      </c>
      <c r="AP704" s="15" t="s">
        <v>6482</v>
      </c>
      <c r="AQ704" s="15" t="s">
        <v>4561</v>
      </c>
      <c r="AR704" s="15" t="s">
        <v>4562</v>
      </c>
      <c r="AS704" s="15" t="s">
        <v>837</v>
      </c>
      <c r="AT704" s="15" t="s">
        <v>827</v>
      </c>
      <c r="AU704" s="15" t="s">
        <v>3770</v>
      </c>
      <c r="AW704" s="15" t="s">
        <v>839</v>
      </c>
      <c r="AX704" s="15" t="s">
        <v>877</v>
      </c>
      <c r="AY704" s="15" t="s">
        <v>426</v>
      </c>
      <c r="AZ704" s="15" t="b">
        <v>1</v>
      </c>
      <c r="BA704" s="15" t="s">
        <v>426</v>
      </c>
      <c r="BB704" s="15" t="b">
        <v>1</v>
      </c>
      <c r="BC704" s="15" t="s">
        <v>7701</v>
      </c>
      <c r="BD704" s="15" t="s">
        <v>742</v>
      </c>
      <c r="BE704" s="15" t="str">
        <f t="shared" si="1195"/>
        <v>3</v>
      </c>
      <c r="BF704" s="15" t="s">
        <v>841</v>
      </c>
      <c r="BG704" s="15" t="str">
        <f>"66.34"</f>
        <v>66.34</v>
      </c>
      <c r="BH704" s="15" t="s">
        <v>6548</v>
      </c>
      <c r="BI704" s="15" t="str">
        <f t="shared" si="1204"/>
        <v>41.93</v>
      </c>
      <c r="BJ704" s="15" t="s">
        <v>7390</v>
      </c>
      <c r="BK704" s="15" t="str">
        <f t="shared" si="1196"/>
        <v>8.07</v>
      </c>
      <c r="BL704" s="15" t="s">
        <v>849</v>
      </c>
      <c r="BM704" s="15" t="str">
        <f>"66.14"</f>
        <v>66.14</v>
      </c>
      <c r="BN704" s="15" t="s">
        <v>958</v>
      </c>
      <c r="BO704" s="15" t="s">
        <v>7702</v>
      </c>
      <c r="BP704" s="15" t="str">
        <f t="shared" si="1197"/>
        <v>87.2</v>
      </c>
      <c r="BQ704" s="15" t="s">
        <v>7685</v>
      </c>
      <c r="BR704" s="15" t="str">
        <f t="shared" si="1198"/>
        <v>12.4</v>
      </c>
      <c r="BS704" s="15" t="s">
        <v>5845</v>
      </c>
      <c r="BT704" s="15" t="str">
        <f t="shared" si="1199"/>
        <v>6.5</v>
      </c>
      <c r="BU704" s="15" t="s">
        <v>7686</v>
      </c>
      <c r="BV704" s="15" t="str">
        <f>"56.66"</f>
        <v>56.66</v>
      </c>
      <c r="BW704" s="15" t="s">
        <v>6689</v>
      </c>
      <c r="BX704" s="15" t="s">
        <v>7703</v>
      </c>
      <c r="BY704" s="15" t="str">
        <f>"66.34"</f>
        <v>66.34</v>
      </c>
      <c r="BZ704" s="15" t="s">
        <v>6548</v>
      </c>
      <c r="CA704" s="15" t="str">
        <f t="shared" si="1200"/>
        <v>14.76</v>
      </c>
      <c r="CB704" s="15" t="s">
        <v>4137</v>
      </c>
      <c r="CC704" s="15" t="str">
        <f t="shared" si="1201"/>
        <v>6.5</v>
      </c>
      <c r="CD704" s="15" t="s">
        <v>7686</v>
      </c>
      <c r="CE704" s="15" t="str">
        <f>"56.66"</f>
        <v>56.66</v>
      </c>
      <c r="CF704" s="15" t="s">
        <v>6689</v>
      </c>
      <c r="CI704" s="15" t="s">
        <v>444</v>
      </c>
      <c r="CK704" s="15" t="s">
        <v>444</v>
      </c>
      <c r="CM704" s="15" t="s">
        <v>444</v>
      </c>
      <c r="CO704" s="15" t="s">
        <v>444</v>
      </c>
      <c r="CP704" s="15" t="str">
        <f>"20.73"</f>
        <v>20.73</v>
      </c>
      <c r="CQ704" s="15" t="str">
        <f>"0.587"</f>
        <v>0.587</v>
      </c>
      <c r="CR704" s="15" t="s">
        <v>497</v>
      </c>
      <c r="DC704" s="15" t="str">
        <f>IFERROR(__xludf.DUMMYFUNCTION("""COMPUTED_VALUE"""),"")</f>
        <v/>
      </c>
      <c r="DE704" s="15" t="str">
        <f>IFERROR(__xludf.DUMMYFUNCTION("""COMPUTED_VALUE"""),"")</f>
        <v/>
      </c>
      <c r="DG704" s="15" t="str">
        <f>IFERROR(__xludf.DUMMYFUNCTION("""COMPUTED_VALUE"""),"")</f>
        <v/>
      </c>
      <c r="DK704" s="15" t="s">
        <v>855</v>
      </c>
      <c r="DL704" s="15" t="str">
        <f>IFERROR(__xludf.DUMMYFUNCTION("""COMPUTED_VALUE"""),"Clean with solvent-based (dry clean only) products. Do not use water.")</f>
        <v>Clean with solvent-based (dry clean only) products. Do not use water.</v>
      </c>
      <c r="DM704" s="15" t="s">
        <v>856</v>
      </c>
      <c r="DN704" s="15" t="s">
        <v>419</v>
      </c>
      <c r="DO704" s="15">
        <v>0.0</v>
      </c>
      <c r="DP704" s="15" t="s">
        <v>419</v>
      </c>
      <c r="DR704" s="15">
        <v>0.0</v>
      </c>
      <c r="DT704" s="15" t="s">
        <v>989</v>
      </c>
      <c r="DU704" s="15" t="s">
        <v>419</v>
      </c>
      <c r="DW704" s="15">
        <v>0.0</v>
      </c>
      <c r="DX704" s="15">
        <v>0.0</v>
      </c>
      <c r="DY704" s="15">
        <v>0.0</v>
      </c>
      <c r="DZ704" s="15">
        <v>15000.0</v>
      </c>
      <c r="EG704" s="15" t="s">
        <v>444</v>
      </c>
      <c r="EH704" s="15" t="s">
        <v>7687</v>
      </c>
      <c r="EJ704" s="15" t="s">
        <v>858</v>
      </c>
      <c r="EK704" s="15" t="s">
        <v>859</v>
      </c>
      <c r="EM704" s="15" t="str">
        <f>IFERROR(__xludf.DUMMYFUNCTION("""COMPUTED_VALUE"""),"")</f>
        <v/>
      </c>
      <c r="FF704" s="15" t="s">
        <v>860</v>
      </c>
      <c r="FM704" s="15">
        <v>0.0</v>
      </c>
      <c r="FS704" s="15" t="s">
        <v>3362</v>
      </c>
      <c r="IM704" s="15" t="s">
        <v>7688</v>
      </c>
      <c r="IN704" s="15" t="s">
        <v>7688</v>
      </c>
      <c r="IO704" s="15" t="s">
        <v>7688</v>
      </c>
      <c r="IP704" s="15" t="s">
        <v>2156</v>
      </c>
      <c r="IQ704" s="15" t="s">
        <v>4685</v>
      </c>
      <c r="IR704" s="15" t="s">
        <v>7615</v>
      </c>
      <c r="IS704" s="15" t="s">
        <v>7704</v>
      </c>
      <c r="IT704" s="15" t="s">
        <v>3856</v>
      </c>
      <c r="IU704" s="15" t="s">
        <v>7615</v>
      </c>
      <c r="IV704" s="15" t="s">
        <v>2971</v>
      </c>
      <c r="IW704" s="15" t="s">
        <v>7689</v>
      </c>
      <c r="IX704" s="15" t="s">
        <v>5852</v>
      </c>
      <c r="IY704" s="15" t="s">
        <v>5304</v>
      </c>
      <c r="IZ704" s="15" t="s">
        <v>7690</v>
      </c>
      <c r="JA704" s="15" t="s">
        <v>4685</v>
      </c>
      <c r="JB704" s="15" t="s">
        <v>426</v>
      </c>
      <c r="JC704" s="15" t="s">
        <v>871</v>
      </c>
      <c r="JD704" s="15" t="s">
        <v>872</v>
      </c>
      <c r="JE704" s="15" t="s">
        <v>873</v>
      </c>
      <c r="JF704" s="15" t="s">
        <v>877</v>
      </c>
      <c r="JL704" s="15" t="s">
        <v>759</v>
      </c>
      <c r="JM704" s="15" t="s">
        <v>7691</v>
      </c>
      <c r="JN704" s="15" t="s">
        <v>759</v>
      </c>
      <c r="JO704" s="15" t="s">
        <v>426</v>
      </c>
      <c r="JP704" s="15" t="s">
        <v>875</v>
      </c>
    </row>
    <row r="705" ht="15.75" customHeight="1">
      <c r="A705" s="14" t="s">
        <v>391</v>
      </c>
      <c r="B705" s="15" t="s">
        <v>7696</v>
      </c>
      <c r="C705" s="16"/>
      <c r="D705" s="15" t="s">
        <v>432</v>
      </c>
      <c r="G705" s="14" t="s">
        <v>393</v>
      </c>
      <c r="H705" s="14" t="s">
        <v>394</v>
      </c>
      <c r="I705" s="14" t="b">
        <v>1</v>
      </c>
      <c r="J705" s="14" t="s">
        <v>395</v>
      </c>
      <c r="L705" s="14" t="b">
        <v>0</v>
      </c>
      <c r="M705" s="15" t="s">
        <v>7709</v>
      </c>
      <c r="N705" s="14" t="s">
        <v>393</v>
      </c>
      <c r="O705" s="14" t="s">
        <v>393</v>
      </c>
      <c r="P705" s="15" t="s">
        <v>397</v>
      </c>
      <c r="Q705" s="15" t="s">
        <v>3770</v>
      </c>
      <c r="R705" s="15" t="s">
        <v>265</v>
      </c>
      <c r="S705" s="15" t="s">
        <v>828</v>
      </c>
      <c r="T705" s="14" t="b">
        <v>0</v>
      </c>
      <c r="U705" s="15" t="s">
        <v>7710</v>
      </c>
      <c r="V705" s="15" t="s">
        <v>7699</v>
      </c>
      <c r="W705" s="15" t="s">
        <v>401</v>
      </c>
      <c r="X705" s="15" t="s">
        <v>742</v>
      </c>
      <c r="Y705" s="15">
        <v>1755.0</v>
      </c>
      <c r="AA705" s="15" t="str">
        <f>"675"</f>
        <v>675</v>
      </c>
      <c r="AB705" s="14" t="b">
        <v>1</v>
      </c>
      <c r="AC705" s="14" t="b">
        <v>1</v>
      </c>
      <c r="AD705" s="15" t="str">
        <f>"801542688721"</f>
        <v>801542688721</v>
      </c>
      <c r="AE705" s="15" t="s">
        <v>7711</v>
      </c>
      <c r="AF705" s="14" t="s">
        <v>404</v>
      </c>
      <c r="AG705" s="14" t="s">
        <v>405</v>
      </c>
      <c r="AH705" s="14" t="s">
        <v>406</v>
      </c>
      <c r="AI705" s="15">
        <v>0.0</v>
      </c>
      <c r="AL705" s="15" t="s">
        <v>7681</v>
      </c>
      <c r="AM705" s="15" t="s">
        <v>4522</v>
      </c>
      <c r="AN705" s="15" t="s">
        <v>2998</v>
      </c>
      <c r="AO705" s="15" t="s">
        <v>6478</v>
      </c>
      <c r="AP705" s="15" t="s">
        <v>6482</v>
      </c>
      <c r="AQ705" s="15" t="s">
        <v>4561</v>
      </c>
      <c r="AR705" s="15" t="s">
        <v>4562</v>
      </c>
      <c r="AS705" s="15" t="s">
        <v>837</v>
      </c>
      <c r="AT705" s="15" t="s">
        <v>892</v>
      </c>
      <c r="AU705" s="15" t="s">
        <v>3770</v>
      </c>
      <c r="AW705" s="15" t="s">
        <v>839</v>
      </c>
      <c r="AX705" s="15" t="s">
        <v>828</v>
      </c>
      <c r="AY705" s="15" t="s">
        <v>413</v>
      </c>
      <c r="AZ705" s="15" t="b">
        <v>0</v>
      </c>
      <c r="BA705" s="15" t="s">
        <v>413</v>
      </c>
      <c r="BB705" s="15" t="b">
        <v>0</v>
      </c>
      <c r="BC705" s="15" t="s">
        <v>7712</v>
      </c>
      <c r="BD705" s="15" t="s">
        <v>742</v>
      </c>
      <c r="BE705" s="15" t="str">
        <f t="shared" si="1195"/>
        <v>3</v>
      </c>
      <c r="BF705" s="15" t="s">
        <v>841</v>
      </c>
      <c r="BG705" s="15" t="str">
        <f>"82.48"</f>
        <v>82.48</v>
      </c>
      <c r="BH705" s="15" t="s">
        <v>6835</v>
      </c>
      <c r="BI705" s="15" t="str">
        <f t="shared" si="1204"/>
        <v>41.93</v>
      </c>
      <c r="BJ705" s="15" t="s">
        <v>7390</v>
      </c>
      <c r="BK705" s="15" t="str">
        <f t="shared" si="1196"/>
        <v>8.07</v>
      </c>
      <c r="BL705" s="15" t="s">
        <v>849</v>
      </c>
      <c r="BM705" s="15" t="str">
        <f>"79.37"</f>
        <v>79.37</v>
      </c>
      <c r="BN705" s="15" t="s">
        <v>1441</v>
      </c>
      <c r="BO705" s="15" t="s">
        <v>7702</v>
      </c>
      <c r="BP705" s="15" t="str">
        <f t="shared" si="1197"/>
        <v>87.2</v>
      </c>
      <c r="BQ705" s="15" t="s">
        <v>7685</v>
      </c>
      <c r="BR705" s="15" t="str">
        <f t="shared" si="1198"/>
        <v>12.4</v>
      </c>
      <c r="BS705" s="15" t="s">
        <v>5845</v>
      </c>
      <c r="BT705" s="15" t="str">
        <f t="shared" si="1199"/>
        <v>6.5</v>
      </c>
      <c r="BU705" s="15" t="s">
        <v>7686</v>
      </c>
      <c r="BV705" s="15" t="str">
        <f>"58.42"</f>
        <v>58.42</v>
      </c>
      <c r="BW705" s="15" t="s">
        <v>2197</v>
      </c>
      <c r="BX705" s="15" t="s">
        <v>7703</v>
      </c>
      <c r="BY705" s="15" t="str">
        <f>"82.48"</f>
        <v>82.48</v>
      </c>
      <c r="BZ705" s="15" t="s">
        <v>6835</v>
      </c>
      <c r="CA705" s="15" t="str">
        <f t="shared" si="1200"/>
        <v>14.76</v>
      </c>
      <c r="CB705" s="15" t="s">
        <v>4137</v>
      </c>
      <c r="CC705" s="15" t="str">
        <f t="shared" si="1201"/>
        <v>6.5</v>
      </c>
      <c r="CD705" s="15" t="s">
        <v>7686</v>
      </c>
      <c r="CE705" s="15" t="str">
        <f>"70.55"</f>
        <v>70.55</v>
      </c>
      <c r="CF705" s="15" t="s">
        <v>845</v>
      </c>
      <c r="CI705" s="15" t="s">
        <v>444</v>
      </c>
      <c r="CK705" s="15" t="s">
        <v>444</v>
      </c>
      <c r="CM705" s="15" t="s">
        <v>444</v>
      </c>
      <c r="CO705" s="15" t="s">
        <v>444</v>
      </c>
      <c r="CP705" s="15" t="str">
        <f>"24.79"</f>
        <v>24.79</v>
      </c>
      <c r="CQ705" s="15" t="str">
        <f>"0.702"</f>
        <v>0.702</v>
      </c>
      <c r="CR705" s="15" t="s">
        <v>465</v>
      </c>
      <c r="DC705" s="15" t="str">
        <f>IFERROR(__xludf.DUMMYFUNCTION("""COMPUTED_VALUE"""),"")</f>
        <v/>
      </c>
      <c r="DE705" s="15" t="str">
        <f>IFERROR(__xludf.DUMMYFUNCTION("""COMPUTED_VALUE"""),"")</f>
        <v/>
      </c>
      <c r="DG705" s="15" t="str">
        <f>IFERROR(__xludf.DUMMYFUNCTION("""COMPUTED_VALUE"""),"")</f>
        <v/>
      </c>
      <c r="DK705" s="15" t="s">
        <v>897</v>
      </c>
      <c r="DL705" s="15" t="str">
        <f>IFERROR(__xludf.DUMMYFUNCTION("""COMPUTED_VALUE"""),"Clean with water-based products only. Use mild detergent or upholstery shampoo.")</f>
        <v>Clean with water-based products only. Use mild detergent or upholstery shampoo.</v>
      </c>
      <c r="DM705" s="15" t="s">
        <v>898</v>
      </c>
      <c r="DN705" s="15" t="s">
        <v>419</v>
      </c>
      <c r="DO705" s="15">
        <v>0.0</v>
      </c>
      <c r="DP705" s="15" t="s">
        <v>419</v>
      </c>
      <c r="DR705" s="15">
        <v>0.0</v>
      </c>
      <c r="DT705" s="15" t="s">
        <v>989</v>
      </c>
      <c r="DU705" s="15" t="s">
        <v>419</v>
      </c>
      <c r="DW705" s="15">
        <v>0.0</v>
      </c>
      <c r="DX705" s="15">
        <v>0.0</v>
      </c>
      <c r="DY705" s="15">
        <v>0.0</v>
      </c>
      <c r="DZ705" s="15">
        <v>15000.0</v>
      </c>
      <c r="EG705" s="15" t="s">
        <v>444</v>
      </c>
      <c r="EH705" s="15" t="s">
        <v>7687</v>
      </c>
      <c r="EJ705" s="15" t="s">
        <v>858</v>
      </c>
      <c r="EK705" s="15" t="s">
        <v>859</v>
      </c>
      <c r="EM705" s="15" t="str">
        <f>IFERROR(__xludf.DUMMYFUNCTION("""COMPUTED_VALUE"""),"")</f>
        <v/>
      </c>
      <c r="FF705" s="15" t="s">
        <v>860</v>
      </c>
      <c r="FM705" s="15">
        <v>0.0</v>
      </c>
      <c r="FS705" s="15" t="s">
        <v>3362</v>
      </c>
      <c r="IM705" s="15" t="s">
        <v>7688</v>
      </c>
      <c r="IN705" s="15" t="s">
        <v>7688</v>
      </c>
      <c r="IO705" s="15" t="s">
        <v>7688</v>
      </c>
      <c r="IP705" s="15" t="s">
        <v>2156</v>
      </c>
      <c r="IQ705" s="15" t="s">
        <v>4685</v>
      </c>
      <c r="IR705" s="15" t="s">
        <v>7621</v>
      </c>
      <c r="IS705" s="15" t="s">
        <v>7704</v>
      </c>
      <c r="IT705" s="15" t="s">
        <v>3856</v>
      </c>
      <c r="IU705" s="15" t="s">
        <v>7621</v>
      </c>
      <c r="IV705" s="15" t="s">
        <v>2971</v>
      </c>
      <c r="IW705" s="15" t="s">
        <v>7689</v>
      </c>
      <c r="IX705" s="15" t="s">
        <v>4384</v>
      </c>
      <c r="IY705" s="15" t="s">
        <v>5304</v>
      </c>
      <c r="IZ705" s="15" t="s">
        <v>7690</v>
      </c>
      <c r="JA705" s="15" t="s">
        <v>4685</v>
      </c>
      <c r="JB705" s="15" t="s">
        <v>426</v>
      </c>
      <c r="JC705" s="15" t="s">
        <v>871</v>
      </c>
      <c r="JD705" s="15" t="s">
        <v>872</v>
      </c>
      <c r="JE705" s="15" t="s">
        <v>873</v>
      </c>
      <c r="JF705" s="15" t="s">
        <v>828</v>
      </c>
      <c r="JL705" s="15" t="s">
        <v>759</v>
      </c>
      <c r="JM705" s="15" t="s">
        <v>7691</v>
      </c>
      <c r="JN705" s="15" t="s">
        <v>759</v>
      </c>
      <c r="JO705" s="15" t="s">
        <v>426</v>
      </c>
      <c r="JP705" s="15" t="s">
        <v>875</v>
      </c>
    </row>
    <row r="706" ht="15.75" customHeight="1">
      <c r="A706" s="14" t="s">
        <v>391</v>
      </c>
      <c r="B706" s="15" t="s">
        <v>7696</v>
      </c>
      <c r="C706" s="16"/>
      <c r="D706" s="15" t="s">
        <v>432</v>
      </c>
      <c r="G706" s="14" t="s">
        <v>393</v>
      </c>
      <c r="H706" s="14" t="s">
        <v>394</v>
      </c>
      <c r="I706" s="14" t="b">
        <v>1</v>
      </c>
      <c r="J706" s="14" t="s">
        <v>395</v>
      </c>
      <c r="L706" s="14" t="b">
        <v>0</v>
      </c>
      <c r="M706" s="15" t="s">
        <v>7713</v>
      </c>
      <c r="N706" s="14" t="s">
        <v>393</v>
      </c>
      <c r="O706" s="14" t="s">
        <v>393</v>
      </c>
      <c r="P706" s="15" t="s">
        <v>397</v>
      </c>
      <c r="Q706" s="15" t="s">
        <v>3770</v>
      </c>
      <c r="R706" s="15" t="s">
        <v>265</v>
      </c>
      <c r="S706" s="15" t="s">
        <v>877</v>
      </c>
      <c r="T706" s="14" t="b">
        <v>0</v>
      </c>
      <c r="U706" s="15" t="s">
        <v>7714</v>
      </c>
      <c r="V706" s="15" t="s">
        <v>7707</v>
      </c>
      <c r="W706" s="15" t="s">
        <v>401</v>
      </c>
      <c r="X706" s="15" t="s">
        <v>742</v>
      </c>
      <c r="Y706" s="15">
        <v>1534.0</v>
      </c>
      <c r="AA706" s="15" t="str">
        <f>"590"</f>
        <v>590</v>
      </c>
      <c r="AB706" s="14" t="b">
        <v>1</v>
      </c>
      <c r="AC706" s="14" t="b">
        <v>1</v>
      </c>
      <c r="AD706" s="15" t="str">
        <f>"801542688806"</f>
        <v>801542688806</v>
      </c>
      <c r="AE706" s="15" t="s">
        <v>7715</v>
      </c>
      <c r="AF706" s="14" t="s">
        <v>404</v>
      </c>
      <c r="AG706" s="14" t="s">
        <v>405</v>
      </c>
      <c r="AH706" s="14" t="s">
        <v>406</v>
      </c>
      <c r="AI706" s="15">
        <v>0.0</v>
      </c>
      <c r="AL706" s="15" t="s">
        <v>7681</v>
      </c>
      <c r="AM706" s="15" t="s">
        <v>1224</v>
      </c>
      <c r="AN706" s="15" t="s">
        <v>1225</v>
      </c>
      <c r="AO706" s="15" t="s">
        <v>6478</v>
      </c>
      <c r="AP706" s="15" t="s">
        <v>6482</v>
      </c>
      <c r="AQ706" s="15" t="s">
        <v>4561</v>
      </c>
      <c r="AR706" s="15" t="s">
        <v>4562</v>
      </c>
      <c r="AS706" s="15" t="s">
        <v>837</v>
      </c>
      <c r="AT706" s="15" t="s">
        <v>892</v>
      </c>
      <c r="AU706" s="15" t="s">
        <v>3770</v>
      </c>
      <c r="AW706" s="15" t="s">
        <v>839</v>
      </c>
      <c r="AX706" s="15" t="s">
        <v>877</v>
      </c>
      <c r="AY706" s="15" t="s">
        <v>413</v>
      </c>
      <c r="AZ706" s="15" t="b">
        <v>0</v>
      </c>
      <c r="BA706" s="15" t="s">
        <v>413</v>
      </c>
      <c r="BB706" s="15" t="b">
        <v>0</v>
      </c>
      <c r="BC706" s="15" t="s">
        <v>7716</v>
      </c>
      <c r="BD706" s="15" t="s">
        <v>742</v>
      </c>
      <c r="BE706" s="15" t="str">
        <f t="shared" si="1195"/>
        <v>3</v>
      </c>
      <c r="BF706" s="15" t="s">
        <v>841</v>
      </c>
      <c r="BG706" s="15" t="str">
        <f>"66.34"</f>
        <v>66.34</v>
      </c>
      <c r="BH706" s="15" t="s">
        <v>6548</v>
      </c>
      <c r="BI706" s="15" t="str">
        <f t="shared" si="1204"/>
        <v>41.93</v>
      </c>
      <c r="BJ706" s="15" t="s">
        <v>7390</v>
      </c>
      <c r="BK706" s="15" t="str">
        <f t="shared" si="1196"/>
        <v>8.07</v>
      </c>
      <c r="BL706" s="15" t="s">
        <v>849</v>
      </c>
      <c r="BM706" s="15" t="str">
        <f>"66.14"</f>
        <v>66.14</v>
      </c>
      <c r="BN706" s="15" t="s">
        <v>958</v>
      </c>
      <c r="BO706" s="15" t="s">
        <v>7702</v>
      </c>
      <c r="BP706" s="15" t="str">
        <f t="shared" si="1197"/>
        <v>87.2</v>
      </c>
      <c r="BQ706" s="15" t="s">
        <v>7685</v>
      </c>
      <c r="BR706" s="15" t="str">
        <f t="shared" si="1198"/>
        <v>12.4</v>
      </c>
      <c r="BS706" s="15" t="s">
        <v>5845</v>
      </c>
      <c r="BT706" s="15" t="str">
        <f t="shared" si="1199"/>
        <v>6.5</v>
      </c>
      <c r="BU706" s="15" t="s">
        <v>7686</v>
      </c>
      <c r="BV706" s="15" t="str">
        <f>"56.66"</f>
        <v>56.66</v>
      </c>
      <c r="BW706" s="15" t="s">
        <v>6689</v>
      </c>
      <c r="BX706" s="15" t="s">
        <v>7703</v>
      </c>
      <c r="BY706" s="15" t="str">
        <f>"66.34"</f>
        <v>66.34</v>
      </c>
      <c r="BZ706" s="15" t="s">
        <v>6548</v>
      </c>
      <c r="CA706" s="15" t="str">
        <f t="shared" si="1200"/>
        <v>14.76</v>
      </c>
      <c r="CB706" s="15" t="s">
        <v>4137</v>
      </c>
      <c r="CC706" s="15" t="str">
        <f t="shared" si="1201"/>
        <v>6.5</v>
      </c>
      <c r="CD706" s="15" t="s">
        <v>7686</v>
      </c>
      <c r="CE706" s="15" t="str">
        <f>"56.66"</f>
        <v>56.66</v>
      </c>
      <c r="CF706" s="15" t="s">
        <v>6689</v>
      </c>
      <c r="CI706" s="15" t="s">
        <v>444</v>
      </c>
      <c r="CK706" s="15" t="s">
        <v>444</v>
      </c>
      <c r="CM706" s="15" t="s">
        <v>444</v>
      </c>
      <c r="CO706" s="15" t="s">
        <v>444</v>
      </c>
      <c r="CP706" s="15" t="str">
        <f>"20.73"</f>
        <v>20.73</v>
      </c>
      <c r="CQ706" s="15" t="str">
        <f>"0.587"</f>
        <v>0.587</v>
      </c>
      <c r="CR706" s="15" t="s">
        <v>497</v>
      </c>
      <c r="DC706" s="15" t="str">
        <f>IFERROR(__xludf.DUMMYFUNCTION("""COMPUTED_VALUE"""),"")</f>
        <v/>
      </c>
      <c r="DE706" s="15" t="str">
        <f>IFERROR(__xludf.DUMMYFUNCTION("""COMPUTED_VALUE"""),"")</f>
        <v/>
      </c>
      <c r="DG706" s="15" t="str">
        <f>IFERROR(__xludf.DUMMYFUNCTION("""COMPUTED_VALUE"""),"")</f>
        <v/>
      </c>
      <c r="DK706" s="15" t="s">
        <v>897</v>
      </c>
      <c r="DL706" s="15" t="str">
        <f>IFERROR(__xludf.DUMMYFUNCTION("""COMPUTED_VALUE"""),"Clean with water-based products only. Use mild detergent or upholstery shampoo.")</f>
        <v>Clean with water-based products only. Use mild detergent or upholstery shampoo.</v>
      </c>
      <c r="DM706" s="15" t="s">
        <v>898</v>
      </c>
      <c r="DN706" s="15" t="s">
        <v>419</v>
      </c>
      <c r="DO706" s="15">
        <v>0.0</v>
      </c>
      <c r="DP706" s="15" t="s">
        <v>419</v>
      </c>
      <c r="DR706" s="15">
        <v>0.0</v>
      </c>
      <c r="DT706" s="15" t="s">
        <v>989</v>
      </c>
      <c r="DU706" s="15" t="s">
        <v>419</v>
      </c>
      <c r="DW706" s="15">
        <v>0.0</v>
      </c>
      <c r="DX706" s="15">
        <v>0.0</v>
      </c>
      <c r="DY706" s="15">
        <v>0.0</v>
      </c>
      <c r="DZ706" s="15">
        <v>15000.0</v>
      </c>
      <c r="EG706" s="15" t="s">
        <v>444</v>
      </c>
      <c r="EH706" s="15" t="s">
        <v>7687</v>
      </c>
      <c r="EJ706" s="15" t="s">
        <v>858</v>
      </c>
      <c r="EK706" s="15" t="s">
        <v>859</v>
      </c>
      <c r="EM706" s="15" t="str">
        <f>IFERROR(__xludf.DUMMYFUNCTION("""COMPUTED_VALUE"""),"")</f>
        <v/>
      </c>
      <c r="FF706" s="15" t="s">
        <v>860</v>
      </c>
      <c r="FM706" s="15">
        <v>0.0</v>
      </c>
      <c r="FS706" s="15" t="s">
        <v>3362</v>
      </c>
      <c r="IM706" s="15" t="s">
        <v>7688</v>
      </c>
      <c r="IN706" s="15" t="s">
        <v>7688</v>
      </c>
      <c r="IO706" s="15" t="s">
        <v>7688</v>
      </c>
      <c r="IP706" s="15" t="s">
        <v>2156</v>
      </c>
      <c r="IQ706" s="15" t="s">
        <v>4685</v>
      </c>
      <c r="IR706" s="15" t="s">
        <v>7615</v>
      </c>
      <c r="IS706" s="15" t="s">
        <v>7704</v>
      </c>
      <c r="IT706" s="15" t="s">
        <v>3856</v>
      </c>
      <c r="IU706" s="15" t="s">
        <v>7615</v>
      </c>
      <c r="IV706" s="15" t="s">
        <v>2971</v>
      </c>
      <c r="IW706" s="15" t="s">
        <v>7689</v>
      </c>
      <c r="IX706" s="15" t="s">
        <v>5852</v>
      </c>
      <c r="IY706" s="15" t="s">
        <v>5304</v>
      </c>
      <c r="IZ706" s="15" t="s">
        <v>7690</v>
      </c>
      <c r="JA706" s="15" t="s">
        <v>4685</v>
      </c>
      <c r="JB706" s="15" t="s">
        <v>426</v>
      </c>
      <c r="JC706" s="15" t="s">
        <v>871</v>
      </c>
      <c r="JD706" s="15" t="s">
        <v>872</v>
      </c>
      <c r="JE706" s="15" t="s">
        <v>873</v>
      </c>
      <c r="JF706" s="15" t="s">
        <v>877</v>
      </c>
      <c r="JL706" s="15" t="s">
        <v>759</v>
      </c>
      <c r="JM706" s="15" t="s">
        <v>7691</v>
      </c>
      <c r="JN706" s="15" t="s">
        <v>759</v>
      </c>
      <c r="JO706" s="15" t="s">
        <v>426</v>
      </c>
      <c r="JP706" s="15" t="s">
        <v>875</v>
      </c>
    </row>
    <row r="707" ht="15.75" customHeight="1">
      <c r="A707" s="14" t="s">
        <v>391</v>
      </c>
      <c r="B707" s="15" t="s">
        <v>7717</v>
      </c>
      <c r="C707" s="16"/>
      <c r="D707" s="15" t="s">
        <v>432</v>
      </c>
      <c r="G707" s="14" t="s">
        <v>393</v>
      </c>
      <c r="H707" s="14" t="s">
        <v>394</v>
      </c>
      <c r="I707" s="14" t="b">
        <v>1</v>
      </c>
      <c r="J707" s="14" t="s">
        <v>395</v>
      </c>
      <c r="L707" s="14" t="b">
        <v>0</v>
      </c>
      <c r="M707" s="15" t="s">
        <v>7718</v>
      </c>
      <c r="N707" s="14" t="s">
        <v>393</v>
      </c>
      <c r="O707" s="14" t="s">
        <v>393</v>
      </c>
      <c r="P707" s="15" t="s">
        <v>397</v>
      </c>
      <c r="Q707" s="15" t="s">
        <v>4887</v>
      </c>
      <c r="T707" s="14" t="b">
        <v>0</v>
      </c>
      <c r="U707" s="15" t="s">
        <v>7719</v>
      </c>
      <c r="V707" s="15" t="s">
        <v>7720</v>
      </c>
      <c r="W707" s="15" t="s">
        <v>401</v>
      </c>
      <c r="X707" s="15" t="s">
        <v>1296</v>
      </c>
      <c r="Y707" s="15">
        <v>1859.0</v>
      </c>
      <c r="AA707" s="15" t="str">
        <f>"715"</f>
        <v>715</v>
      </c>
      <c r="AB707" s="14" t="b">
        <v>1</v>
      </c>
      <c r="AC707" s="14" t="b">
        <v>1</v>
      </c>
      <c r="AD707" s="15" t="str">
        <f>"801542245498"</f>
        <v>801542245498</v>
      </c>
      <c r="AE707" s="15" t="s">
        <v>7721</v>
      </c>
      <c r="AF707" s="14" t="s">
        <v>404</v>
      </c>
      <c r="AG707" s="14" t="s">
        <v>405</v>
      </c>
      <c r="AH707" s="14" t="s">
        <v>406</v>
      </c>
      <c r="AI707" s="15">
        <v>0.0</v>
      </c>
      <c r="AL707" s="15" t="s">
        <v>3369</v>
      </c>
      <c r="AM707" s="15" t="s">
        <v>4293</v>
      </c>
      <c r="AN707" s="15" t="s">
        <v>4294</v>
      </c>
      <c r="AO707" s="15" t="s">
        <v>809</v>
      </c>
      <c r="AP707" s="15" t="s">
        <v>810</v>
      </c>
      <c r="AQ707" s="15" t="s">
        <v>1175</v>
      </c>
      <c r="AR707" s="15" t="s">
        <v>1176</v>
      </c>
      <c r="AS707" s="15" t="s">
        <v>3494</v>
      </c>
      <c r="AT707" s="15" t="s">
        <v>4887</v>
      </c>
      <c r="AW707" s="15" t="s">
        <v>602</v>
      </c>
      <c r="AY707" s="15" t="s">
        <v>413</v>
      </c>
      <c r="AZ707" s="15" t="b">
        <v>0</v>
      </c>
      <c r="BA707" s="15" t="s">
        <v>413</v>
      </c>
      <c r="BB707" s="15" t="b">
        <v>0</v>
      </c>
      <c r="BC707" s="15" t="s">
        <v>7722</v>
      </c>
      <c r="BD707" s="15" t="s">
        <v>1303</v>
      </c>
      <c r="BE707" s="15" t="str">
        <f t="shared" ref="BE707:BE721" si="1205">"1"</f>
        <v>1</v>
      </c>
      <c r="BF707" s="15" t="s">
        <v>416</v>
      </c>
      <c r="BG707" s="15" t="str">
        <f>"95"</f>
        <v>95</v>
      </c>
      <c r="BH707" s="15" t="s">
        <v>2371</v>
      </c>
      <c r="BI707" s="15" t="str">
        <f>"22.5"</f>
        <v>22.5</v>
      </c>
      <c r="BJ707" s="15" t="s">
        <v>1247</v>
      </c>
      <c r="BK707" s="15" t="str">
        <f>"29"</f>
        <v>29</v>
      </c>
      <c r="BL707" s="15" t="s">
        <v>1275</v>
      </c>
      <c r="BM707" s="15" t="str">
        <f>"213.84"</f>
        <v>213.84</v>
      </c>
      <c r="BN707" s="15" t="s">
        <v>7723</v>
      </c>
      <c r="BQ707" s="15" t="s">
        <v>444</v>
      </c>
      <c r="BS707" s="15" t="s">
        <v>444</v>
      </c>
      <c r="BU707" s="15" t="s">
        <v>444</v>
      </c>
      <c r="BW707" s="15" t="s">
        <v>444</v>
      </c>
      <c r="BZ707" s="15" t="s">
        <v>444</v>
      </c>
      <c r="CB707" s="15" t="s">
        <v>444</v>
      </c>
      <c r="CD707" s="15" t="s">
        <v>444</v>
      </c>
      <c r="CF707" s="15" t="s">
        <v>444</v>
      </c>
      <c r="CI707" s="15" t="s">
        <v>444</v>
      </c>
      <c r="CK707" s="15" t="s">
        <v>444</v>
      </c>
      <c r="CM707" s="15" t="s">
        <v>444</v>
      </c>
      <c r="CO707" s="15" t="s">
        <v>444</v>
      </c>
      <c r="CP707" s="15" t="str">
        <f>"35.88"</f>
        <v>35.88</v>
      </c>
      <c r="CQ707" s="15" t="str">
        <f>"1.016"</f>
        <v>1.016</v>
      </c>
      <c r="CR707" s="15" t="s">
        <v>465</v>
      </c>
      <c r="CS707" s="15" t="s">
        <v>2020</v>
      </c>
      <c r="CT707" s="15" t="s">
        <v>1188</v>
      </c>
      <c r="CU707" s="15" t="s">
        <v>7724</v>
      </c>
      <c r="CV707" s="15" t="s">
        <v>2020</v>
      </c>
      <c r="CW707" s="15" t="s">
        <v>1593</v>
      </c>
      <c r="CX707" s="15" t="s">
        <v>3203</v>
      </c>
      <c r="DC707" s="15" t="str">
        <f>IFERROR(__xludf.DUMMYFUNCTION("""COMPUTED_VALUE"""),"")</f>
        <v/>
      </c>
      <c r="DE707" s="15" t="str">
        <f>IFERROR(__xludf.DUMMYFUNCTION("""COMPUTED_VALUE"""),"")</f>
        <v/>
      </c>
      <c r="DG707" s="15" t="str">
        <f>IFERROR(__xludf.DUMMYFUNCTION("""COMPUTED_VALUE"""),"")</f>
        <v/>
      </c>
      <c r="DL707" s="15" t="str">
        <f>IFERROR(__xludf.DUMMYFUNCTION("""COMPUTED_VALUE"""),"")</f>
        <v/>
      </c>
      <c r="DM707" s="15" t="s">
        <v>444</v>
      </c>
      <c r="DN707" s="15" t="s">
        <v>419</v>
      </c>
      <c r="DO707" s="15">
        <v>0.0</v>
      </c>
      <c r="DP707" s="15" t="s">
        <v>419</v>
      </c>
      <c r="DR707" s="15">
        <v>3.0</v>
      </c>
      <c r="DS707" s="15" t="s">
        <v>426</v>
      </c>
      <c r="DT707" s="15" t="s">
        <v>1111</v>
      </c>
      <c r="DU707" s="15" t="s">
        <v>610</v>
      </c>
      <c r="DW707" s="15">
        <v>18.14</v>
      </c>
      <c r="DX707" s="15">
        <v>40.0</v>
      </c>
      <c r="DY707" s="15">
        <v>0.0</v>
      </c>
      <c r="EG707" s="15" t="s">
        <v>444</v>
      </c>
      <c r="EH707" s="15" t="s">
        <v>7725</v>
      </c>
      <c r="EK707" s="15" t="s">
        <v>444</v>
      </c>
      <c r="EM707" s="15" t="str">
        <f>IFERROR(__xludf.DUMMYFUNCTION("""COMPUTED_VALUE"""),"")</f>
        <v/>
      </c>
      <c r="FM707" s="15">
        <v>6.0</v>
      </c>
      <c r="FY707" s="15" t="s">
        <v>1700</v>
      </c>
      <c r="FZ707" s="15" t="s">
        <v>1188</v>
      </c>
      <c r="GA707" s="15" t="s">
        <v>1213</v>
      </c>
      <c r="GF707" s="15" t="s">
        <v>426</v>
      </c>
      <c r="GH707" s="15">
        <v>4.0</v>
      </c>
      <c r="GI707" s="15" t="s">
        <v>614</v>
      </c>
      <c r="GJ707" s="15" t="s">
        <v>615</v>
      </c>
      <c r="GN707" s="15" t="s">
        <v>616</v>
      </c>
      <c r="HA707" s="15" t="s">
        <v>2020</v>
      </c>
      <c r="HB707" s="15" t="s">
        <v>1738</v>
      </c>
      <c r="HC707" s="15" t="s">
        <v>3203</v>
      </c>
      <c r="HD707" s="15">
        <v>0.0</v>
      </c>
      <c r="HQ707" s="15" t="s">
        <v>2020</v>
      </c>
      <c r="HR707" s="15" t="s">
        <v>2020</v>
      </c>
      <c r="HS707" s="15" t="s">
        <v>1593</v>
      </c>
      <c r="HT707" s="15" t="s">
        <v>1738</v>
      </c>
      <c r="HU707" s="15" t="s">
        <v>7724</v>
      </c>
      <c r="HV707" s="15" t="s">
        <v>7724</v>
      </c>
      <c r="KL707" s="15" t="s">
        <v>2020</v>
      </c>
      <c r="KM707" s="15" t="s">
        <v>1188</v>
      </c>
      <c r="KN707" s="15" t="s">
        <v>3203</v>
      </c>
      <c r="KX707" s="15" t="s">
        <v>2020</v>
      </c>
      <c r="KY707" s="15" t="s">
        <v>1593</v>
      </c>
      <c r="KZ707" s="15" t="s">
        <v>3203</v>
      </c>
      <c r="LH707" s="15" t="s">
        <v>1700</v>
      </c>
      <c r="LI707" s="15" t="s">
        <v>1188</v>
      </c>
      <c r="LJ707" s="15" t="s">
        <v>7726</v>
      </c>
      <c r="LK707" s="15" t="s">
        <v>2020</v>
      </c>
      <c r="LM707" s="15" t="s">
        <v>1738</v>
      </c>
      <c r="LO707" s="15" t="s">
        <v>3203</v>
      </c>
    </row>
    <row r="708" ht="15.75" customHeight="1">
      <c r="A708" s="14" t="s">
        <v>391</v>
      </c>
      <c r="B708" s="15" t="s">
        <v>7727</v>
      </c>
      <c r="C708" s="16"/>
      <c r="D708" s="15" t="s">
        <v>432</v>
      </c>
      <c r="G708" s="14" t="s">
        <v>393</v>
      </c>
      <c r="H708" s="14" t="s">
        <v>394</v>
      </c>
      <c r="I708" s="14" t="b">
        <v>1</v>
      </c>
      <c r="J708" s="14" t="s">
        <v>395</v>
      </c>
      <c r="L708" s="14" t="b">
        <v>0</v>
      </c>
      <c r="M708" s="15" t="s">
        <v>7728</v>
      </c>
      <c r="N708" s="14" t="s">
        <v>393</v>
      </c>
      <c r="O708" s="14" t="s">
        <v>393</v>
      </c>
      <c r="P708" s="15" t="s">
        <v>397</v>
      </c>
      <c r="Q708" s="15" t="s">
        <v>7729</v>
      </c>
      <c r="T708" s="14" t="b">
        <v>0</v>
      </c>
      <c r="U708" s="15" t="s">
        <v>7730</v>
      </c>
      <c r="V708" s="15" t="s">
        <v>7731</v>
      </c>
      <c r="W708" s="15" t="s">
        <v>401</v>
      </c>
      <c r="X708" s="15" t="s">
        <v>1296</v>
      </c>
      <c r="Y708" s="15">
        <v>2522.0</v>
      </c>
      <c r="AA708" s="15" t="str">
        <f>"970"</f>
        <v>970</v>
      </c>
      <c r="AB708" s="14" t="b">
        <v>1</v>
      </c>
      <c r="AC708" s="14" t="b">
        <v>1</v>
      </c>
      <c r="AD708" s="15" t="str">
        <f>"801542920920"</f>
        <v>801542920920</v>
      </c>
      <c r="AE708" s="15" t="s">
        <v>7732</v>
      </c>
      <c r="AF708" s="14" t="s">
        <v>404</v>
      </c>
      <c r="AG708" s="14" t="s">
        <v>405</v>
      </c>
      <c r="AH708" s="14" t="s">
        <v>406</v>
      </c>
      <c r="AI708" s="15">
        <v>0.0</v>
      </c>
      <c r="AL708" s="15" t="s">
        <v>7733</v>
      </c>
      <c r="AM708" s="15" t="s">
        <v>7734</v>
      </c>
      <c r="AN708" s="15" t="s">
        <v>7735</v>
      </c>
      <c r="AO708" s="15" t="s">
        <v>409</v>
      </c>
      <c r="AP708" s="15" t="s">
        <v>438</v>
      </c>
      <c r="AQ708" s="15" t="s">
        <v>835</v>
      </c>
      <c r="AR708" s="15" t="s">
        <v>836</v>
      </c>
      <c r="AS708" s="15" t="s">
        <v>2875</v>
      </c>
      <c r="AT708" s="15" t="s">
        <v>7729</v>
      </c>
      <c r="AW708" s="15" t="s">
        <v>412</v>
      </c>
      <c r="AY708" s="15" t="s">
        <v>413</v>
      </c>
      <c r="AZ708" s="15" t="b">
        <v>0</v>
      </c>
      <c r="BA708" s="15" t="s">
        <v>413</v>
      </c>
      <c r="BB708" s="15" t="b">
        <v>0</v>
      </c>
      <c r="BC708" s="15" t="s">
        <v>7736</v>
      </c>
      <c r="BD708" s="15" t="s">
        <v>1303</v>
      </c>
      <c r="BE708" s="15" t="str">
        <f t="shared" si="1205"/>
        <v>1</v>
      </c>
      <c r="BF708" s="15" t="s">
        <v>416</v>
      </c>
      <c r="BG708" s="15" t="str">
        <f>"73"</f>
        <v>73</v>
      </c>
      <c r="BH708" s="15" t="s">
        <v>3198</v>
      </c>
      <c r="BI708" s="15" t="str">
        <f>"24.5"</f>
        <v>24.5</v>
      </c>
      <c r="BJ708" s="15" t="s">
        <v>1471</v>
      </c>
      <c r="BK708" s="15" t="str">
        <f>"39.5"</f>
        <v>39.5</v>
      </c>
      <c r="BL708" s="15" t="s">
        <v>5215</v>
      </c>
      <c r="BM708" s="15" t="str">
        <f>"313.71"</f>
        <v>313.71</v>
      </c>
      <c r="BN708" s="15" t="s">
        <v>7737</v>
      </c>
      <c r="BQ708" s="15" t="s">
        <v>444</v>
      </c>
      <c r="BS708" s="15" t="s">
        <v>444</v>
      </c>
      <c r="BU708" s="15" t="s">
        <v>444</v>
      </c>
      <c r="BW708" s="15" t="s">
        <v>444</v>
      </c>
      <c r="BZ708" s="15" t="s">
        <v>444</v>
      </c>
      <c r="CB708" s="15" t="s">
        <v>444</v>
      </c>
      <c r="CD708" s="15" t="s">
        <v>444</v>
      </c>
      <c r="CF708" s="15" t="s">
        <v>444</v>
      </c>
      <c r="CI708" s="15" t="s">
        <v>444</v>
      </c>
      <c r="CK708" s="15" t="s">
        <v>444</v>
      </c>
      <c r="CM708" s="15" t="s">
        <v>444</v>
      </c>
      <c r="CO708" s="15" t="s">
        <v>444</v>
      </c>
      <c r="CP708" s="15" t="str">
        <f>"40.89"</f>
        <v>40.89</v>
      </c>
      <c r="CQ708" s="15" t="str">
        <f>"1.158"</f>
        <v>1.158</v>
      </c>
      <c r="CR708" s="15" t="s">
        <v>465</v>
      </c>
      <c r="DC708" s="15" t="str">
        <f>IFERROR(__xludf.DUMMYFUNCTION("""COMPUTED_VALUE"""),"")</f>
        <v/>
      </c>
      <c r="DE708" s="15" t="str">
        <f>IFERROR(__xludf.DUMMYFUNCTION("""COMPUTED_VALUE"""),"")</f>
        <v/>
      </c>
      <c r="DG708" s="15" t="str">
        <f>IFERROR(__xludf.DUMMYFUNCTION("""COMPUTED_VALUE"""),"")</f>
        <v/>
      </c>
      <c r="DL708" s="15" t="str">
        <f>IFERROR(__xludf.DUMMYFUNCTION("""COMPUTED_VALUE"""),"")</f>
        <v/>
      </c>
      <c r="DM708" s="15" t="s">
        <v>444</v>
      </c>
      <c r="DN708" s="15" t="s">
        <v>1371</v>
      </c>
      <c r="DO708" s="15">
        <v>6.0</v>
      </c>
      <c r="DP708" s="15" t="s">
        <v>419</v>
      </c>
      <c r="DR708" s="15">
        <v>0.0</v>
      </c>
      <c r="DT708" s="15" t="s">
        <v>420</v>
      </c>
      <c r="DU708" s="15" t="s">
        <v>421</v>
      </c>
      <c r="DY708" s="15">
        <v>0.0</v>
      </c>
      <c r="EF708" s="15" t="s">
        <v>422</v>
      </c>
      <c r="EG708" s="15" t="s">
        <v>445</v>
      </c>
      <c r="EH708" s="15" t="s">
        <v>7738</v>
      </c>
      <c r="EJ708" s="15" t="s">
        <v>500</v>
      </c>
      <c r="EK708" s="15" t="s">
        <v>501</v>
      </c>
      <c r="EM708" s="15" t="str">
        <f>IFERROR(__xludf.DUMMYFUNCTION("""COMPUTED_VALUE"""),"")</f>
        <v/>
      </c>
      <c r="EW708" s="15" t="s">
        <v>526</v>
      </c>
      <c r="FL708" s="15" t="s">
        <v>426</v>
      </c>
      <c r="FM708" s="15">
        <v>0.0</v>
      </c>
      <c r="GH708" s="15">
        <v>0.0</v>
      </c>
      <c r="GI708" s="15" t="s">
        <v>427</v>
      </c>
      <c r="GO708" s="15" t="s">
        <v>426</v>
      </c>
      <c r="GQ708" s="15" t="s">
        <v>3735</v>
      </c>
      <c r="GS708" s="15" t="s">
        <v>2899</v>
      </c>
      <c r="GU708" s="15" t="s">
        <v>7739</v>
      </c>
      <c r="GW708" s="15" t="s">
        <v>431</v>
      </c>
      <c r="GY708" s="15" t="s">
        <v>420</v>
      </c>
    </row>
    <row r="709" ht="15.75" customHeight="1">
      <c r="A709" s="14" t="s">
        <v>391</v>
      </c>
      <c r="B709" s="15" t="s">
        <v>7740</v>
      </c>
      <c r="C709" s="16"/>
      <c r="D709" s="15" t="s">
        <v>432</v>
      </c>
      <c r="G709" s="14" t="s">
        <v>393</v>
      </c>
      <c r="H709" s="14" t="s">
        <v>394</v>
      </c>
      <c r="I709" s="14" t="b">
        <v>1</v>
      </c>
      <c r="J709" s="14" t="s">
        <v>395</v>
      </c>
      <c r="L709" s="14" t="b">
        <v>0</v>
      </c>
      <c r="M709" s="15" t="s">
        <v>7741</v>
      </c>
      <c r="N709" s="14" t="s">
        <v>393</v>
      </c>
      <c r="O709" s="14" t="s">
        <v>393</v>
      </c>
      <c r="P709" s="15" t="s">
        <v>397</v>
      </c>
      <c r="Q709" s="15" t="s">
        <v>7742</v>
      </c>
      <c r="T709" s="14" t="b">
        <v>0</v>
      </c>
      <c r="U709" s="15" t="s">
        <v>7743</v>
      </c>
      <c r="V709" s="15" t="s">
        <v>7744</v>
      </c>
      <c r="W709" s="15" t="s">
        <v>401</v>
      </c>
      <c r="X709" s="15" t="s">
        <v>742</v>
      </c>
      <c r="Y709" s="15">
        <v>2730.0</v>
      </c>
      <c r="AA709" s="15" t="str">
        <f t="shared" ref="AA709:AA710" si="1206">"1050"</f>
        <v>1050</v>
      </c>
      <c r="AB709" s="14" t="b">
        <v>1</v>
      </c>
      <c r="AC709" s="14" t="b">
        <v>1</v>
      </c>
      <c r="AD709" s="15" t="str">
        <f>"801542978563"</f>
        <v>801542978563</v>
      </c>
      <c r="AE709" s="15" t="s">
        <v>7745</v>
      </c>
      <c r="AF709" s="14" t="s">
        <v>404</v>
      </c>
      <c r="AG709" s="14" t="s">
        <v>405</v>
      </c>
      <c r="AH709" s="14" t="s">
        <v>406</v>
      </c>
      <c r="AI709" s="15">
        <v>0.0</v>
      </c>
      <c r="AL709" s="15" t="s">
        <v>6959</v>
      </c>
      <c r="AM709" s="15" t="s">
        <v>7508</v>
      </c>
      <c r="AN709" s="15" t="s">
        <v>7509</v>
      </c>
      <c r="AO709" s="15" t="s">
        <v>7136</v>
      </c>
      <c r="AP709" s="15" t="s">
        <v>3732</v>
      </c>
      <c r="AQ709" s="15" t="s">
        <v>3396</v>
      </c>
      <c r="AR709" s="15" t="s">
        <v>2893</v>
      </c>
      <c r="AS709" s="15" t="s">
        <v>1896</v>
      </c>
      <c r="AT709" s="15" t="s">
        <v>7742</v>
      </c>
      <c r="AW709" s="15" t="s">
        <v>412</v>
      </c>
      <c r="AY709" s="15" t="s">
        <v>413</v>
      </c>
      <c r="AZ709" s="15" t="b">
        <v>0</v>
      </c>
      <c r="BA709" s="15" t="s">
        <v>413</v>
      </c>
      <c r="BB709" s="15" t="b">
        <v>0</v>
      </c>
      <c r="BC709" s="15" t="s">
        <v>7746</v>
      </c>
      <c r="BD709" s="15" t="s">
        <v>742</v>
      </c>
      <c r="BE709" s="15" t="str">
        <f t="shared" si="1205"/>
        <v>1</v>
      </c>
      <c r="BF709" s="15" t="s">
        <v>7747</v>
      </c>
      <c r="BG709" s="15" t="str">
        <f t="shared" ref="BG709:BG710" si="1207">"78.94"</f>
        <v>78.94</v>
      </c>
      <c r="BH709" s="15" t="s">
        <v>7748</v>
      </c>
      <c r="BI709" s="15" t="str">
        <f t="shared" ref="BI709:BI712" si="1208">"23.62"</f>
        <v>23.62</v>
      </c>
      <c r="BJ709" s="15" t="s">
        <v>1570</v>
      </c>
      <c r="BK709" s="15" t="str">
        <f t="shared" ref="BK709:BK710" si="1209">"39.57"</f>
        <v>39.57</v>
      </c>
      <c r="BL709" s="15" t="s">
        <v>6665</v>
      </c>
      <c r="BM709" s="15" t="str">
        <f t="shared" ref="BM709:BM710" si="1210">"328.49"</f>
        <v>328.49</v>
      </c>
      <c r="BN709" s="15" t="s">
        <v>6504</v>
      </c>
      <c r="BQ709" s="15" t="s">
        <v>444</v>
      </c>
      <c r="BS709" s="15" t="s">
        <v>444</v>
      </c>
      <c r="BU709" s="15" t="s">
        <v>444</v>
      </c>
      <c r="BW709" s="15" t="s">
        <v>444</v>
      </c>
      <c r="BZ709" s="15" t="s">
        <v>444</v>
      </c>
      <c r="CB709" s="15" t="s">
        <v>444</v>
      </c>
      <c r="CD709" s="15" t="s">
        <v>444</v>
      </c>
      <c r="CF709" s="15" t="s">
        <v>444</v>
      </c>
      <c r="CI709" s="15" t="s">
        <v>444</v>
      </c>
      <c r="CK709" s="15" t="s">
        <v>444</v>
      </c>
      <c r="CM709" s="15" t="s">
        <v>444</v>
      </c>
      <c r="CO709" s="15" t="s">
        <v>444</v>
      </c>
      <c r="CP709" s="15" t="str">
        <f t="shared" ref="CP709:CP710" si="1211">"42.7"</f>
        <v>42.7</v>
      </c>
      <c r="CQ709" s="15" t="str">
        <f t="shared" ref="CQ709:CQ710" si="1212">"1.209"</f>
        <v>1.209</v>
      </c>
      <c r="CR709" s="15" t="s">
        <v>465</v>
      </c>
      <c r="DC709" s="15" t="str">
        <f>IFERROR(__xludf.DUMMYFUNCTION("""COMPUTED_VALUE"""),"")</f>
        <v/>
      </c>
      <c r="DE709" s="15" t="str">
        <f>IFERROR(__xludf.DUMMYFUNCTION("""COMPUTED_VALUE"""),"")</f>
        <v/>
      </c>
      <c r="DG709" s="15" t="str">
        <f>IFERROR(__xludf.DUMMYFUNCTION("""COMPUTED_VALUE"""),"")</f>
        <v/>
      </c>
      <c r="DL709" s="15" t="str">
        <f>IFERROR(__xludf.DUMMYFUNCTION("""COMPUTED_VALUE"""),"")</f>
        <v/>
      </c>
      <c r="DM709" s="15" t="s">
        <v>444</v>
      </c>
      <c r="DN709" s="15" t="s">
        <v>418</v>
      </c>
      <c r="DO709" s="15">
        <v>6.0</v>
      </c>
      <c r="DP709" s="15" t="s">
        <v>419</v>
      </c>
      <c r="DR709" s="15">
        <v>0.0</v>
      </c>
      <c r="DT709" s="15" t="s">
        <v>1186</v>
      </c>
      <c r="DU709" s="15" t="s">
        <v>421</v>
      </c>
      <c r="DY709" s="15">
        <v>0.0</v>
      </c>
      <c r="EF709" s="15" t="s">
        <v>422</v>
      </c>
      <c r="EG709" s="15" t="s">
        <v>445</v>
      </c>
      <c r="EH709" s="15" t="s">
        <v>7749</v>
      </c>
      <c r="EJ709" s="15" t="s">
        <v>424</v>
      </c>
      <c r="EK709" s="15" t="s">
        <v>446</v>
      </c>
      <c r="EM709" s="15" t="str">
        <f>IFERROR(__xludf.DUMMYFUNCTION("""COMPUTED_VALUE"""),"")</f>
        <v/>
      </c>
      <c r="EW709" s="15" t="s">
        <v>7750</v>
      </c>
      <c r="FL709" s="15" t="s">
        <v>426</v>
      </c>
      <c r="FM709" s="15">
        <v>0.0</v>
      </c>
      <c r="GH709" s="15">
        <v>0.0</v>
      </c>
      <c r="GI709" s="15" t="s">
        <v>427</v>
      </c>
      <c r="GQ709" s="15" t="s">
        <v>504</v>
      </c>
      <c r="GS709" s="15" t="s">
        <v>1115</v>
      </c>
      <c r="GU709" s="15" t="s">
        <v>7751</v>
      </c>
      <c r="GW709" s="15" t="s">
        <v>431</v>
      </c>
    </row>
    <row r="710" ht="15.75" customHeight="1">
      <c r="A710" s="14" t="s">
        <v>391</v>
      </c>
      <c r="B710" s="15" t="s">
        <v>7740</v>
      </c>
      <c r="C710" s="16"/>
      <c r="D710" s="15" t="s">
        <v>432</v>
      </c>
      <c r="G710" s="14" t="s">
        <v>393</v>
      </c>
      <c r="H710" s="14" t="s">
        <v>394</v>
      </c>
      <c r="I710" s="14" t="b">
        <v>1</v>
      </c>
      <c r="J710" s="14" t="s">
        <v>395</v>
      </c>
      <c r="L710" s="14" t="b">
        <v>0</v>
      </c>
      <c r="M710" s="15" t="s">
        <v>7752</v>
      </c>
      <c r="N710" s="14" t="s">
        <v>393</v>
      </c>
      <c r="O710" s="14" t="s">
        <v>393</v>
      </c>
      <c r="P710" s="15" t="s">
        <v>397</v>
      </c>
      <c r="Q710" s="15" t="s">
        <v>6969</v>
      </c>
      <c r="T710" s="14" t="b">
        <v>0</v>
      </c>
      <c r="U710" s="15" t="s">
        <v>7753</v>
      </c>
      <c r="V710" s="15" t="s">
        <v>7744</v>
      </c>
      <c r="W710" s="15" t="s">
        <v>401</v>
      </c>
      <c r="X710" s="15" t="s">
        <v>742</v>
      </c>
      <c r="Y710" s="15">
        <v>2730.0</v>
      </c>
      <c r="AA710" s="15" t="str">
        <f t="shared" si="1206"/>
        <v>1050</v>
      </c>
      <c r="AB710" s="14" t="b">
        <v>1</v>
      </c>
      <c r="AC710" s="14" t="b">
        <v>1</v>
      </c>
      <c r="AD710" s="15" t="str">
        <f>"801542313203"</f>
        <v>801542313203</v>
      </c>
      <c r="AE710" s="15" t="s">
        <v>7754</v>
      </c>
      <c r="AF710" s="14" t="s">
        <v>404</v>
      </c>
      <c r="AG710" s="14" t="s">
        <v>405</v>
      </c>
      <c r="AH710" s="14" t="s">
        <v>406</v>
      </c>
      <c r="AI710" s="15">
        <v>0.0</v>
      </c>
      <c r="AL710" s="15" t="s">
        <v>1025</v>
      </c>
      <c r="AM710" s="15" t="s">
        <v>7508</v>
      </c>
      <c r="AN710" s="15" t="s">
        <v>7509</v>
      </c>
      <c r="AO710" s="15" t="s">
        <v>7136</v>
      </c>
      <c r="AP710" s="15" t="s">
        <v>3732</v>
      </c>
      <c r="AQ710" s="15" t="s">
        <v>3396</v>
      </c>
      <c r="AR710" s="15" t="s">
        <v>2893</v>
      </c>
      <c r="AS710" s="15" t="s">
        <v>2063</v>
      </c>
      <c r="AT710" s="15" t="s">
        <v>6969</v>
      </c>
      <c r="AW710" s="15" t="s">
        <v>412</v>
      </c>
      <c r="AY710" s="15" t="s">
        <v>413</v>
      </c>
      <c r="AZ710" s="15" t="b">
        <v>0</v>
      </c>
      <c r="BA710" s="15" t="s">
        <v>413</v>
      </c>
      <c r="BB710" s="15" t="b">
        <v>0</v>
      </c>
      <c r="BC710" s="15" t="s">
        <v>7755</v>
      </c>
      <c r="BD710" s="15" t="s">
        <v>742</v>
      </c>
      <c r="BE710" s="15" t="str">
        <f t="shared" si="1205"/>
        <v>1</v>
      </c>
      <c r="BF710" s="15" t="s">
        <v>7747</v>
      </c>
      <c r="BG710" s="15" t="str">
        <f t="shared" si="1207"/>
        <v>78.94</v>
      </c>
      <c r="BH710" s="15" t="s">
        <v>7748</v>
      </c>
      <c r="BI710" s="15" t="str">
        <f t="shared" si="1208"/>
        <v>23.62</v>
      </c>
      <c r="BJ710" s="15" t="s">
        <v>1570</v>
      </c>
      <c r="BK710" s="15" t="str">
        <f t="shared" si="1209"/>
        <v>39.57</v>
      </c>
      <c r="BL710" s="15" t="s">
        <v>6665</v>
      </c>
      <c r="BM710" s="15" t="str">
        <f t="shared" si="1210"/>
        <v>328.49</v>
      </c>
      <c r="BN710" s="15" t="s">
        <v>6504</v>
      </c>
      <c r="BQ710" s="15" t="s">
        <v>444</v>
      </c>
      <c r="BS710" s="15" t="s">
        <v>444</v>
      </c>
      <c r="BU710" s="15" t="s">
        <v>444</v>
      </c>
      <c r="BW710" s="15" t="s">
        <v>444</v>
      </c>
      <c r="BZ710" s="15" t="s">
        <v>444</v>
      </c>
      <c r="CB710" s="15" t="s">
        <v>444</v>
      </c>
      <c r="CD710" s="15" t="s">
        <v>444</v>
      </c>
      <c r="CF710" s="15" t="s">
        <v>444</v>
      </c>
      <c r="CI710" s="15" t="s">
        <v>444</v>
      </c>
      <c r="CK710" s="15" t="s">
        <v>444</v>
      </c>
      <c r="CM710" s="15" t="s">
        <v>444</v>
      </c>
      <c r="CO710" s="15" t="s">
        <v>444</v>
      </c>
      <c r="CP710" s="15" t="str">
        <f t="shared" si="1211"/>
        <v>42.7</v>
      </c>
      <c r="CQ710" s="15" t="str">
        <f t="shared" si="1212"/>
        <v>1.209</v>
      </c>
      <c r="CR710" s="15" t="s">
        <v>417</v>
      </c>
      <c r="DC710" s="15" t="str">
        <f>IFERROR(__xludf.DUMMYFUNCTION("""COMPUTED_VALUE"""),"")</f>
        <v/>
      </c>
      <c r="DE710" s="15" t="str">
        <f>IFERROR(__xludf.DUMMYFUNCTION("""COMPUTED_VALUE"""),"")</f>
        <v/>
      </c>
      <c r="DG710" s="15" t="str">
        <f>IFERROR(__xludf.DUMMYFUNCTION("""COMPUTED_VALUE"""),"")</f>
        <v/>
      </c>
      <c r="DL710" s="15" t="str">
        <f>IFERROR(__xludf.DUMMYFUNCTION("""COMPUTED_VALUE"""),"")</f>
        <v/>
      </c>
      <c r="DM710" s="15" t="s">
        <v>444</v>
      </c>
      <c r="DN710" s="15" t="s">
        <v>418</v>
      </c>
      <c r="DO710" s="15">
        <v>6.0</v>
      </c>
      <c r="DP710" s="15" t="s">
        <v>419</v>
      </c>
      <c r="DR710" s="15">
        <v>0.0</v>
      </c>
      <c r="DT710" s="15" t="s">
        <v>1186</v>
      </c>
      <c r="DU710" s="15" t="s">
        <v>421</v>
      </c>
      <c r="DY710" s="15">
        <v>0.0</v>
      </c>
      <c r="EF710" s="15" t="s">
        <v>422</v>
      </c>
      <c r="EG710" s="15" t="s">
        <v>445</v>
      </c>
      <c r="EH710" s="15" t="s">
        <v>7749</v>
      </c>
      <c r="EJ710" s="15" t="s">
        <v>424</v>
      </c>
      <c r="EK710" s="15" t="s">
        <v>446</v>
      </c>
      <c r="EM710" s="15" t="str">
        <f>IFERROR(__xludf.DUMMYFUNCTION("""COMPUTED_VALUE"""),"")</f>
        <v/>
      </c>
      <c r="EW710" s="15" t="s">
        <v>7750</v>
      </c>
      <c r="FL710" s="15" t="s">
        <v>426</v>
      </c>
      <c r="FM710" s="15">
        <v>0.0</v>
      </c>
      <c r="GH710" s="15">
        <v>0.0</v>
      </c>
      <c r="GI710" s="15" t="s">
        <v>427</v>
      </c>
      <c r="GQ710" s="15" t="s">
        <v>504</v>
      </c>
      <c r="GS710" s="15" t="s">
        <v>1115</v>
      </c>
      <c r="GU710" s="15" t="s">
        <v>7751</v>
      </c>
      <c r="GW710" s="15" t="s">
        <v>431</v>
      </c>
    </row>
    <row r="711" ht="15.75" customHeight="1">
      <c r="A711" s="14" t="s">
        <v>391</v>
      </c>
      <c r="B711" s="15" t="s">
        <v>7756</v>
      </c>
      <c r="C711" s="16"/>
      <c r="D711" s="15" t="s">
        <v>432</v>
      </c>
      <c r="G711" s="14" t="s">
        <v>393</v>
      </c>
      <c r="H711" s="14" t="s">
        <v>394</v>
      </c>
      <c r="I711" s="14" t="b">
        <v>1</v>
      </c>
      <c r="J711" s="14" t="s">
        <v>395</v>
      </c>
      <c r="L711" s="14" t="b">
        <v>0</v>
      </c>
      <c r="M711" s="15" t="s">
        <v>7757</v>
      </c>
      <c r="N711" s="14" t="s">
        <v>393</v>
      </c>
      <c r="O711" s="14" t="s">
        <v>393</v>
      </c>
      <c r="P711" s="15" t="s">
        <v>397</v>
      </c>
      <c r="Q711" s="15" t="s">
        <v>7742</v>
      </c>
      <c r="T711" s="14" t="b">
        <v>0</v>
      </c>
      <c r="U711" s="15" t="s">
        <v>7758</v>
      </c>
      <c r="V711" s="15" t="s">
        <v>7759</v>
      </c>
      <c r="W711" s="15" t="s">
        <v>401</v>
      </c>
      <c r="X711" s="15" t="s">
        <v>742</v>
      </c>
      <c r="Y711" s="15">
        <v>1157.0</v>
      </c>
      <c r="AA711" s="15" t="str">
        <f t="shared" ref="AA711:AA712" si="1213">"445"</f>
        <v>445</v>
      </c>
      <c r="AB711" s="14" t="b">
        <v>1</v>
      </c>
      <c r="AC711" s="14" t="b">
        <v>1</v>
      </c>
      <c r="AD711" s="15" t="str">
        <f>"801542978631"</f>
        <v>801542978631</v>
      </c>
      <c r="AE711" s="15" t="s">
        <v>7760</v>
      </c>
      <c r="AF711" s="14" t="s">
        <v>404</v>
      </c>
      <c r="AG711" s="14" t="s">
        <v>405</v>
      </c>
      <c r="AH711" s="14" t="s">
        <v>406</v>
      </c>
      <c r="AI711" s="15">
        <v>0.0</v>
      </c>
      <c r="AL711" s="15" t="s">
        <v>6959</v>
      </c>
      <c r="AM711" s="15" t="s">
        <v>1364</v>
      </c>
      <c r="AN711" s="15" t="s">
        <v>1365</v>
      </c>
      <c r="AO711" s="15" t="s">
        <v>7136</v>
      </c>
      <c r="AP711" s="15" t="s">
        <v>3732</v>
      </c>
      <c r="AQ711" s="15" t="s">
        <v>7761</v>
      </c>
      <c r="AR711" s="15" t="s">
        <v>4406</v>
      </c>
      <c r="AS711" s="15" t="s">
        <v>2063</v>
      </c>
      <c r="AT711" s="15" t="s">
        <v>7742</v>
      </c>
      <c r="AU711" s="15" t="s">
        <v>2351</v>
      </c>
      <c r="AW711" s="15" t="s">
        <v>628</v>
      </c>
      <c r="AY711" s="15" t="s">
        <v>413</v>
      </c>
      <c r="AZ711" s="15" t="b">
        <v>0</v>
      </c>
      <c r="BA711" s="15" t="s">
        <v>413</v>
      </c>
      <c r="BB711" s="15" t="b">
        <v>0</v>
      </c>
      <c r="BC711" s="15" t="s">
        <v>7762</v>
      </c>
      <c r="BD711" s="15" t="s">
        <v>742</v>
      </c>
      <c r="BE711" s="15" t="str">
        <f t="shared" si="1205"/>
        <v>1</v>
      </c>
      <c r="BF711" s="15" t="s">
        <v>7763</v>
      </c>
      <c r="BG711" s="15" t="str">
        <f t="shared" ref="BG711:BG712" si="1214">"37.99"</f>
        <v>37.99</v>
      </c>
      <c r="BH711" s="15" t="s">
        <v>2763</v>
      </c>
      <c r="BI711" s="15" t="str">
        <f t="shared" si="1208"/>
        <v>23.62</v>
      </c>
      <c r="BJ711" s="15" t="s">
        <v>1570</v>
      </c>
      <c r="BK711" s="15" t="str">
        <f t="shared" ref="BK711:BK712" si="1215">"31.89"</f>
        <v>31.89</v>
      </c>
      <c r="BL711" s="15" t="s">
        <v>1183</v>
      </c>
      <c r="BM711" s="15" t="str">
        <f t="shared" ref="BM711:BM712" si="1216">"136.69"</f>
        <v>136.69</v>
      </c>
      <c r="BN711" s="15" t="s">
        <v>6950</v>
      </c>
      <c r="BQ711" s="15" t="s">
        <v>444</v>
      </c>
      <c r="BS711" s="15" t="s">
        <v>444</v>
      </c>
      <c r="BU711" s="15" t="s">
        <v>444</v>
      </c>
      <c r="BW711" s="15" t="s">
        <v>444</v>
      </c>
      <c r="BZ711" s="15" t="s">
        <v>444</v>
      </c>
      <c r="CB711" s="15" t="s">
        <v>444</v>
      </c>
      <c r="CD711" s="15" t="s">
        <v>444</v>
      </c>
      <c r="CF711" s="15" t="s">
        <v>444</v>
      </c>
      <c r="CI711" s="15" t="s">
        <v>444</v>
      </c>
      <c r="CK711" s="15" t="s">
        <v>444</v>
      </c>
      <c r="CM711" s="15" t="s">
        <v>444</v>
      </c>
      <c r="CO711" s="15" t="s">
        <v>444</v>
      </c>
      <c r="CP711" s="15" t="str">
        <f t="shared" ref="CP711:CP712" si="1217">"16.56"</f>
        <v>16.56</v>
      </c>
      <c r="CQ711" s="15" t="str">
        <f t="shared" ref="CQ711:CQ712" si="1218">"0.469"</f>
        <v>0.469</v>
      </c>
      <c r="CR711" s="15" t="s">
        <v>465</v>
      </c>
      <c r="DC711" s="15" t="str">
        <f>IFERROR(__xludf.DUMMYFUNCTION("""COMPUTED_VALUE"""),"")</f>
        <v/>
      </c>
      <c r="DE711" s="15" t="str">
        <f>IFERROR(__xludf.DUMMYFUNCTION("""COMPUTED_VALUE"""),"")</f>
        <v/>
      </c>
      <c r="DG711" s="15" t="str">
        <f>IFERROR(__xludf.DUMMYFUNCTION("""COMPUTED_VALUE"""),"")</f>
        <v/>
      </c>
      <c r="DL711" s="15" t="str">
        <f>IFERROR(__xludf.DUMMYFUNCTION("""COMPUTED_VALUE"""),"")</f>
        <v/>
      </c>
      <c r="DM711" s="15" t="s">
        <v>444</v>
      </c>
      <c r="DN711" s="15" t="s">
        <v>418</v>
      </c>
      <c r="DO711" s="15">
        <v>2.0</v>
      </c>
      <c r="DP711" s="15" t="s">
        <v>419</v>
      </c>
      <c r="DR711" s="15">
        <v>0.0</v>
      </c>
      <c r="DT711" s="15" t="s">
        <v>1186</v>
      </c>
      <c r="DU711" s="15" t="s">
        <v>421</v>
      </c>
      <c r="DY711" s="15">
        <v>0.0</v>
      </c>
      <c r="EF711" s="15" t="s">
        <v>471</v>
      </c>
      <c r="EG711" s="15" t="s">
        <v>472</v>
      </c>
      <c r="EH711" s="15" t="s">
        <v>7749</v>
      </c>
      <c r="EJ711" s="15" t="s">
        <v>500</v>
      </c>
      <c r="EK711" s="15" t="s">
        <v>501</v>
      </c>
      <c r="EM711" s="15" t="str">
        <f>IFERROR(__xludf.DUMMYFUNCTION("""COMPUTED_VALUE"""),"")</f>
        <v/>
      </c>
      <c r="EW711" s="15" t="s">
        <v>526</v>
      </c>
      <c r="FL711" s="15" t="s">
        <v>426</v>
      </c>
      <c r="FM711" s="15">
        <v>0.0</v>
      </c>
      <c r="GH711" s="15">
        <v>0.0</v>
      </c>
      <c r="GI711" s="15" t="s">
        <v>427</v>
      </c>
      <c r="GQ711" s="15" t="s">
        <v>504</v>
      </c>
      <c r="GS711" s="15" t="s">
        <v>1428</v>
      </c>
      <c r="GU711" s="15" t="s">
        <v>7764</v>
      </c>
      <c r="GW711" s="15" t="s">
        <v>431</v>
      </c>
    </row>
    <row r="712" ht="15.75" customHeight="1">
      <c r="A712" s="14" t="s">
        <v>391</v>
      </c>
      <c r="B712" s="15" t="s">
        <v>7756</v>
      </c>
      <c r="C712" s="16"/>
      <c r="D712" s="15" t="s">
        <v>432</v>
      </c>
      <c r="G712" s="14" t="s">
        <v>393</v>
      </c>
      <c r="H712" s="14" t="s">
        <v>394</v>
      </c>
      <c r="I712" s="14" t="b">
        <v>1</v>
      </c>
      <c r="J712" s="14" t="s">
        <v>395</v>
      </c>
      <c r="L712" s="14" t="b">
        <v>0</v>
      </c>
      <c r="M712" s="15" t="s">
        <v>7765</v>
      </c>
      <c r="N712" s="14" t="s">
        <v>393</v>
      </c>
      <c r="O712" s="14" t="s">
        <v>393</v>
      </c>
      <c r="P712" s="15" t="s">
        <v>397</v>
      </c>
      <c r="Q712" s="15" t="s">
        <v>6969</v>
      </c>
      <c r="T712" s="14" t="b">
        <v>0</v>
      </c>
      <c r="U712" s="15" t="s">
        <v>7766</v>
      </c>
      <c r="V712" s="15" t="s">
        <v>7759</v>
      </c>
      <c r="W712" s="15" t="s">
        <v>401</v>
      </c>
      <c r="X712" s="15" t="s">
        <v>742</v>
      </c>
      <c r="Y712" s="15">
        <v>1157.0</v>
      </c>
      <c r="AA712" s="15" t="str">
        <f t="shared" si="1213"/>
        <v>445</v>
      </c>
      <c r="AB712" s="14" t="b">
        <v>1</v>
      </c>
      <c r="AC712" s="14" t="b">
        <v>1</v>
      </c>
      <c r="AD712" s="15" t="str">
        <f>"801542313227"</f>
        <v>801542313227</v>
      </c>
      <c r="AE712" s="15" t="s">
        <v>7767</v>
      </c>
      <c r="AF712" s="14" t="s">
        <v>404</v>
      </c>
      <c r="AG712" s="14" t="s">
        <v>405</v>
      </c>
      <c r="AH712" s="14" t="s">
        <v>406</v>
      </c>
      <c r="AI712" s="15">
        <v>0.0</v>
      </c>
      <c r="AL712" s="15" t="s">
        <v>1025</v>
      </c>
      <c r="AM712" s="15" t="s">
        <v>1364</v>
      </c>
      <c r="AN712" s="15" t="s">
        <v>1365</v>
      </c>
      <c r="AO712" s="15" t="s">
        <v>7136</v>
      </c>
      <c r="AP712" s="15" t="s">
        <v>3732</v>
      </c>
      <c r="AQ712" s="15" t="s">
        <v>7761</v>
      </c>
      <c r="AR712" s="15" t="s">
        <v>4406</v>
      </c>
      <c r="AS712" s="15" t="s">
        <v>2063</v>
      </c>
      <c r="AT712" s="15" t="s">
        <v>6969</v>
      </c>
      <c r="AW712" s="15" t="s">
        <v>628</v>
      </c>
      <c r="AY712" s="15" t="s">
        <v>413</v>
      </c>
      <c r="AZ712" s="15" t="b">
        <v>0</v>
      </c>
      <c r="BA712" s="15" t="s">
        <v>413</v>
      </c>
      <c r="BB712" s="15" t="b">
        <v>0</v>
      </c>
      <c r="BC712" s="15" t="s">
        <v>7768</v>
      </c>
      <c r="BD712" s="15" t="s">
        <v>742</v>
      </c>
      <c r="BE712" s="15" t="str">
        <f t="shared" si="1205"/>
        <v>1</v>
      </c>
      <c r="BF712" s="15" t="s">
        <v>7763</v>
      </c>
      <c r="BG712" s="15" t="str">
        <f t="shared" si="1214"/>
        <v>37.99</v>
      </c>
      <c r="BH712" s="15" t="s">
        <v>2763</v>
      </c>
      <c r="BI712" s="15" t="str">
        <f t="shared" si="1208"/>
        <v>23.62</v>
      </c>
      <c r="BJ712" s="15" t="s">
        <v>1570</v>
      </c>
      <c r="BK712" s="15" t="str">
        <f t="shared" si="1215"/>
        <v>31.89</v>
      </c>
      <c r="BL712" s="15" t="s">
        <v>1183</v>
      </c>
      <c r="BM712" s="15" t="str">
        <f t="shared" si="1216"/>
        <v>136.69</v>
      </c>
      <c r="BN712" s="15" t="s">
        <v>6950</v>
      </c>
      <c r="BQ712" s="15" t="s">
        <v>444</v>
      </c>
      <c r="BS712" s="15" t="s">
        <v>444</v>
      </c>
      <c r="BU712" s="15" t="s">
        <v>444</v>
      </c>
      <c r="BW712" s="15" t="s">
        <v>444</v>
      </c>
      <c r="BZ712" s="15" t="s">
        <v>444</v>
      </c>
      <c r="CB712" s="15" t="s">
        <v>444</v>
      </c>
      <c r="CD712" s="15" t="s">
        <v>444</v>
      </c>
      <c r="CF712" s="15" t="s">
        <v>444</v>
      </c>
      <c r="CI712" s="15" t="s">
        <v>444</v>
      </c>
      <c r="CK712" s="15" t="s">
        <v>444</v>
      </c>
      <c r="CM712" s="15" t="s">
        <v>444</v>
      </c>
      <c r="CO712" s="15" t="s">
        <v>444</v>
      </c>
      <c r="CP712" s="15" t="str">
        <f t="shared" si="1217"/>
        <v>16.56</v>
      </c>
      <c r="CQ712" s="15" t="str">
        <f t="shared" si="1218"/>
        <v>0.469</v>
      </c>
      <c r="CR712" s="15" t="s">
        <v>465</v>
      </c>
      <c r="DC712" s="15" t="str">
        <f>IFERROR(__xludf.DUMMYFUNCTION("""COMPUTED_VALUE"""),"")</f>
        <v/>
      </c>
      <c r="DE712" s="15" t="str">
        <f>IFERROR(__xludf.DUMMYFUNCTION("""COMPUTED_VALUE"""),"")</f>
        <v/>
      </c>
      <c r="DG712" s="15" t="str">
        <f>IFERROR(__xludf.DUMMYFUNCTION("""COMPUTED_VALUE"""),"")</f>
        <v/>
      </c>
      <c r="DL712" s="15" t="str">
        <f>IFERROR(__xludf.DUMMYFUNCTION("""COMPUTED_VALUE"""),"")</f>
        <v/>
      </c>
      <c r="DM712" s="15" t="s">
        <v>444</v>
      </c>
      <c r="DN712" s="15" t="s">
        <v>418</v>
      </c>
      <c r="DO712" s="15">
        <v>2.0</v>
      </c>
      <c r="DP712" s="15" t="s">
        <v>419</v>
      </c>
      <c r="DR712" s="15">
        <v>0.0</v>
      </c>
      <c r="DT712" s="15" t="s">
        <v>1186</v>
      </c>
      <c r="DU712" s="15" t="s">
        <v>421</v>
      </c>
      <c r="DY712" s="15">
        <v>0.0</v>
      </c>
      <c r="EF712" s="15" t="s">
        <v>471</v>
      </c>
      <c r="EG712" s="15" t="s">
        <v>472</v>
      </c>
      <c r="EH712" s="15" t="s">
        <v>7749</v>
      </c>
      <c r="EJ712" s="15" t="s">
        <v>500</v>
      </c>
      <c r="EK712" s="15" t="s">
        <v>501</v>
      </c>
      <c r="EM712" s="15" t="str">
        <f>IFERROR(__xludf.DUMMYFUNCTION("""COMPUTED_VALUE"""),"")</f>
        <v/>
      </c>
      <c r="EW712" s="15" t="s">
        <v>526</v>
      </c>
      <c r="FL712" s="15" t="s">
        <v>426</v>
      </c>
      <c r="FM712" s="15">
        <v>0.0</v>
      </c>
      <c r="GH712" s="15">
        <v>0.0</v>
      </c>
      <c r="GI712" s="15" t="s">
        <v>427</v>
      </c>
      <c r="GQ712" s="15" t="s">
        <v>504</v>
      </c>
      <c r="GS712" s="15" t="s">
        <v>1428</v>
      </c>
      <c r="GU712" s="15" t="s">
        <v>7764</v>
      </c>
      <c r="GW712" s="15" t="s">
        <v>431</v>
      </c>
    </row>
    <row r="713" ht="15.75" customHeight="1">
      <c r="A713" s="14" t="s">
        <v>391</v>
      </c>
      <c r="B713" s="15" t="s">
        <v>7769</v>
      </c>
      <c r="C713" s="16"/>
      <c r="D713" s="15" t="s">
        <v>432</v>
      </c>
      <c r="G713" s="14" t="s">
        <v>393</v>
      </c>
      <c r="H713" s="14" t="s">
        <v>394</v>
      </c>
      <c r="I713" s="14" t="b">
        <v>1</v>
      </c>
      <c r="J713" s="14" t="s">
        <v>395</v>
      </c>
      <c r="L713" s="14" t="b">
        <v>0</v>
      </c>
      <c r="M713" s="15" t="s">
        <v>7770</v>
      </c>
      <c r="N713" s="14" t="s">
        <v>393</v>
      </c>
      <c r="O713" s="14" t="s">
        <v>393</v>
      </c>
      <c r="P713" s="15" t="s">
        <v>397</v>
      </c>
      <c r="Q713" s="15" t="s">
        <v>5008</v>
      </c>
      <c r="T713" s="14" t="b">
        <v>0</v>
      </c>
      <c r="U713" s="15" t="s">
        <v>7771</v>
      </c>
      <c r="V713" s="15" t="s">
        <v>4017</v>
      </c>
      <c r="W713" s="15" t="s">
        <v>401</v>
      </c>
      <c r="X713" s="15" t="s">
        <v>742</v>
      </c>
      <c r="Y713" s="15">
        <v>2847.0</v>
      </c>
      <c r="AA713" s="15" t="str">
        <f>"1095"</f>
        <v>1095</v>
      </c>
      <c r="AB713" s="14" t="b">
        <v>1</v>
      </c>
      <c r="AC713" s="14" t="b">
        <v>1</v>
      </c>
      <c r="AD713" s="15" t="str">
        <f>"801542370312"</f>
        <v>801542370312</v>
      </c>
      <c r="AE713" s="15" t="s">
        <v>7772</v>
      </c>
      <c r="AF713" s="14" t="s">
        <v>404</v>
      </c>
      <c r="AG713" s="14" t="s">
        <v>405</v>
      </c>
      <c r="AH713" s="14" t="s">
        <v>406</v>
      </c>
      <c r="AI713" s="15">
        <v>0.0</v>
      </c>
      <c r="AL713" s="15" t="s">
        <v>1025</v>
      </c>
      <c r="AM713" s="15" t="s">
        <v>770</v>
      </c>
      <c r="AN713" s="15" t="s">
        <v>771</v>
      </c>
      <c r="AO713" s="15" t="s">
        <v>7136</v>
      </c>
      <c r="AP713" s="15" t="s">
        <v>3732</v>
      </c>
      <c r="AQ713" s="15" t="s">
        <v>410</v>
      </c>
      <c r="AR713" s="15" t="s">
        <v>439</v>
      </c>
      <c r="AS713" s="15" t="s">
        <v>2063</v>
      </c>
      <c r="AT713" s="15" t="s">
        <v>5008</v>
      </c>
      <c r="AU713" s="15" t="s">
        <v>5012</v>
      </c>
      <c r="AW713" s="15" t="s">
        <v>664</v>
      </c>
      <c r="AY713" s="15" t="s">
        <v>413</v>
      </c>
      <c r="AZ713" s="15" t="b">
        <v>0</v>
      </c>
      <c r="BA713" s="15" t="s">
        <v>413</v>
      </c>
      <c r="BB713" s="15" t="b">
        <v>0</v>
      </c>
      <c r="BC713" s="15" t="s">
        <v>7773</v>
      </c>
      <c r="BD713" s="15" t="s">
        <v>742</v>
      </c>
      <c r="BE713" s="15" t="str">
        <f t="shared" si="1205"/>
        <v>1</v>
      </c>
      <c r="BF713" s="15" t="s">
        <v>416</v>
      </c>
      <c r="BG713" s="15" t="str">
        <f>"99.61"</f>
        <v>99.61</v>
      </c>
      <c r="BH713" s="15" t="s">
        <v>775</v>
      </c>
      <c r="BI713" s="15" t="str">
        <f>"25.2"</f>
        <v>25.2</v>
      </c>
      <c r="BJ713" s="15" t="s">
        <v>585</v>
      </c>
      <c r="BK713" s="15" t="str">
        <f>"39.37"</f>
        <v>39.37</v>
      </c>
      <c r="BL713" s="15" t="s">
        <v>523</v>
      </c>
      <c r="BM713" s="15" t="str">
        <f>"294.32"</f>
        <v>294.32</v>
      </c>
      <c r="BN713" s="15" t="s">
        <v>7774</v>
      </c>
      <c r="BQ713" s="15" t="s">
        <v>444</v>
      </c>
      <c r="BS713" s="15" t="s">
        <v>444</v>
      </c>
      <c r="BU713" s="15" t="s">
        <v>444</v>
      </c>
      <c r="BW713" s="15" t="s">
        <v>444</v>
      </c>
      <c r="BZ713" s="15" t="s">
        <v>444</v>
      </c>
      <c r="CB713" s="15" t="s">
        <v>444</v>
      </c>
      <c r="CD713" s="15" t="s">
        <v>444</v>
      </c>
      <c r="CF713" s="15" t="s">
        <v>444</v>
      </c>
      <c r="CI713" s="15" t="s">
        <v>444</v>
      </c>
      <c r="CK713" s="15" t="s">
        <v>444</v>
      </c>
      <c r="CM713" s="15" t="s">
        <v>444</v>
      </c>
      <c r="CO713" s="15" t="s">
        <v>444</v>
      </c>
      <c r="CP713" s="15" t="str">
        <f>"57.17"</f>
        <v>57.17</v>
      </c>
      <c r="CQ713" s="15" t="str">
        <f>"1.619"</f>
        <v>1.619</v>
      </c>
      <c r="CR713" s="15" t="s">
        <v>497</v>
      </c>
      <c r="CV713" s="15" t="s">
        <v>7567</v>
      </c>
      <c r="CW713" s="15" t="s">
        <v>7775</v>
      </c>
      <c r="CX713" s="15" t="s">
        <v>7776</v>
      </c>
      <c r="DC713" s="15" t="str">
        <f>IFERROR(__xludf.DUMMYFUNCTION("""COMPUTED_VALUE"""),"")</f>
        <v/>
      </c>
      <c r="DE713" s="15" t="str">
        <f>IFERROR(__xludf.DUMMYFUNCTION("""COMPUTED_VALUE"""),"")</f>
        <v/>
      </c>
      <c r="DG713" s="15" t="str">
        <f>IFERROR(__xludf.DUMMYFUNCTION("""COMPUTED_VALUE"""),"")</f>
        <v/>
      </c>
      <c r="DL713" s="15" t="str">
        <f>IFERROR(__xludf.DUMMYFUNCTION("""COMPUTED_VALUE"""),"")</f>
        <v/>
      </c>
      <c r="DM713" s="15" t="s">
        <v>444</v>
      </c>
      <c r="DN713" s="15" t="s">
        <v>419</v>
      </c>
      <c r="DO713" s="15">
        <v>0.0</v>
      </c>
      <c r="DP713" s="15" t="s">
        <v>419</v>
      </c>
      <c r="DR713" s="15">
        <v>0.0</v>
      </c>
      <c r="DT713" s="15" t="s">
        <v>721</v>
      </c>
      <c r="DU713" s="15" t="s">
        <v>610</v>
      </c>
      <c r="DW713" s="15">
        <v>18.14</v>
      </c>
      <c r="DX713" s="15">
        <v>40.0</v>
      </c>
      <c r="DY713" s="15">
        <v>2.0</v>
      </c>
      <c r="EG713" s="15" t="s">
        <v>444</v>
      </c>
      <c r="EH713" s="15" t="s">
        <v>7749</v>
      </c>
      <c r="EJ713" s="15" t="s">
        <v>424</v>
      </c>
      <c r="EK713" s="15" t="s">
        <v>446</v>
      </c>
      <c r="EM713" s="15" t="str">
        <f>IFERROR(__xludf.DUMMYFUNCTION("""COMPUTED_VALUE"""),"")</f>
        <v/>
      </c>
      <c r="EW713" s="15" t="s">
        <v>7777</v>
      </c>
      <c r="FL713" s="15" t="s">
        <v>426</v>
      </c>
      <c r="FM713" s="15">
        <v>2.0</v>
      </c>
      <c r="FY713" s="15" t="s">
        <v>4147</v>
      </c>
      <c r="FZ713" s="15" t="s">
        <v>612</v>
      </c>
      <c r="GA713" s="15" t="s">
        <v>7778</v>
      </c>
      <c r="GB713" s="15" t="s">
        <v>7567</v>
      </c>
      <c r="GC713" s="15" t="s">
        <v>612</v>
      </c>
      <c r="GD713" s="15" t="s">
        <v>7776</v>
      </c>
      <c r="GE713" s="15">
        <v>0.0</v>
      </c>
      <c r="GF713" s="15" t="s">
        <v>426</v>
      </c>
      <c r="GG713" s="15" t="s">
        <v>1883</v>
      </c>
      <c r="GH713" s="15">
        <v>4.0</v>
      </c>
      <c r="GI713" s="15" t="s">
        <v>614</v>
      </c>
      <c r="GJ713" s="15" t="s">
        <v>615</v>
      </c>
      <c r="GK713" s="15">
        <v>0.0</v>
      </c>
      <c r="GL713" s="15" t="s">
        <v>426</v>
      </c>
      <c r="HA713" s="15" t="s">
        <v>7567</v>
      </c>
      <c r="HB713" s="15" t="s">
        <v>7775</v>
      </c>
      <c r="HC713" s="15" t="s">
        <v>7776</v>
      </c>
      <c r="HW713" s="15" t="s">
        <v>1957</v>
      </c>
      <c r="IH713" s="15" t="s">
        <v>426</v>
      </c>
    </row>
    <row r="714" ht="15.75" customHeight="1">
      <c r="A714" s="14" t="s">
        <v>391</v>
      </c>
      <c r="B714" s="15" t="s">
        <v>7779</v>
      </c>
      <c r="C714" s="16"/>
      <c r="D714" s="15" t="s">
        <v>432</v>
      </c>
      <c r="G714" s="14" t="s">
        <v>393</v>
      </c>
      <c r="H714" s="14" t="s">
        <v>394</v>
      </c>
      <c r="I714" s="14" t="b">
        <v>1</v>
      </c>
      <c r="J714" s="14" t="s">
        <v>395</v>
      </c>
      <c r="L714" s="14" t="b">
        <v>0</v>
      </c>
      <c r="M714" s="15" t="s">
        <v>7780</v>
      </c>
      <c r="N714" s="14" t="s">
        <v>393</v>
      </c>
      <c r="O714" s="14" t="s">
        <v>393</v>
      </c>
      <c r="P714" s="15" t="s">
        <v>397</v>
      </c>
      <c r="Q714" s="15" t="s">
        <v>7781</v>
      </c>
      <c r="T714" s="14" t="b">
        <v>0</v>
      </c>
      <c r="U714" s="15" t="s">
        <v>7782</v>
      </c>
      <c r="V714" s="15" t="s">
        <v>4143</v>
      </c>
      <c r="W714" s="15" t="s">
        <v>401</v>
      </c>
      <c r="X714" s="15" t="s">
        <v>695</v>
      </c>
      <c r="Y714" s="15">
        <v>6552.0</v>
      </c>
      <c r="AA714" s="15" t="str">
        <f>"2520"</f>
        <v>2520</v>
      </c>
      <c r="AB714" s="14" t="b">
        <v>1</v>
      </c>
      <c r="AC714" s="14" t="b">
        <v>1</v>
      </c>
      <c r="AD714" s="15" t="str">
        <f>"801542352776"</f>
        <v>801542352776</v>
      </c>
      <c r="AE714" s="15" t="s">
        <v>7783</v>
      </c>
      <c r="AF714" s="14" t="s">
        <v>404</v>
      </c>
      <c r="AG714" s="14" t="s">
        <v>405</v>
      </c>
      <c r="AH714" s="14" t="s">
        <v>406</v>
      </c>
      <c r="AI714" s="15">
        <v>0.0</v>
      </c>
      <c r="AL714" s="15" t="s">
        <v>1341</v>
      </c>
      <c r="AM714" s="15" t="s">
        <v>7784</v>
      </c>
      <c r="AN714" s="15" t="s">
        <v>7785</v>
      </c>
      <c r="AO714" s="15" t="s">
        <v>544</v>
      </c>
      <c r="AP714" s="15" t="s">
        <v>545</v>
      </c>
      <c r="AQ714" s="15" t="s">
        <v>3851</v>
      </c>
      <c r="AR714" s="15" t="s">
        <v>3852</v>
      </c>
      <c r="AS714" s="15" t="s">
        <v>703</v>
      </c>
      <c r="AT714" s="15" t="s">
        <v>7781</v>
      </c>
      <c r="AU714" s="15" t="s">
        <v>2014</v>
      </c>
      <c r="AW714" s="15" t="s">
        <v>1732</v>
      </c>
      <c r="AY714" s="15" t="s">
        <v>413</v>
      </c>
      <c r="AZ714" s="15" t="b">
        <v>0</v>
      </c>
      <c r="BA714" s="15" t="s">
        <v>413</v>
      </c>
      <c r="BB714" s="15" t="b">
        <v>0</v>
      </c>
      <c r="BC714" s="15" t="s">
        <v>7786</v>
      </c>
      <c r="BD714" s="15" t="s">
        <v>709</v>
      </c>
      <c r="BE714" s="15" t="str">
        <f t="shared" si="1205"/>
        <v>1</v>
      </c>
      <c r="BF714" s="15" t="s">
        <v>416</v>
      </c>
      <c r="BG714" s="15" t="str">
        <f>"101.25"</f>
        <v>101.25</v>
      </c>
      <c r="BH714" s="15" t="s">
        <v>1895</v>
      </c>
      <c r="BI714" s="15" t="str">
        <f>"45.5"</f>
        <v>45.5</v>
      </c>
      <c r="BJ714" s="15" t="s">
        <v>3837</v>
      </c>
      <c r="BK714" s="15" t="str">
        <f>"29.5"</f>
        <v>29.5</v>
      </c>
      <c r="BL714" s="15" t="s">
        <v>2307</v>
      </c>
      <c r="BM714" s="15" t="str">
        <f>"235.89"</f>
        <v>235.89</v>
      </c>
      <c r="BN714" s="15" t="s">
        <v>3643</v>
      </c>
      <c r="BQ714" s="15" t="s">
        <v>444</v>
      </c>
      <c r="BS714" s="15" t="s">
        <v>444</v>
      </c>
      <c r="BU714" s="15" t="s">
        <v>444</v>
      </c>
      <c r="BW714" s="15" t="s">
        <v>444</v>
      </c>
      <c r="BZ714" s="15" t="s">
        <v>444</v>
      </c>
      <c r="CB714" s="15" t="s">
        <v>444</v>
      </c>
      <c r="CD714" s="15" t="s">
        <v>444</v>
      </c>
      <c r="CF714" s="15" t="s">
        <v>444</v>
      </c>
      <c r="CI714" s="15" t="s">
        <v>444</v>
      </c>
      <c r="CK714" s="15" t="s">
        <v>444</v>
      </c>
      <c r="CM714" s="15" t="s">
        <v>444</v>
      </c>
      <c r="CO714" s="15" t="s">
        <v>444</v>
      </c>
      <c r="CP714" s="15" t="str">
        <f>"78.75"</f>
        <v>78.75</v>
      </c>
      <c r="CQ714" s="15" t="str">
        <f>"2.23"</f>
        <v>2.23</v>
      </c>
      <c r="CR714" s="15" t="s">
        <v>465</v>
      </c>
      <c r="DB714" s="15" t="s">
        <v>2839</v>
      </c>
      <c r="DC714" s="15" t="str">
        <f>IFERROR(__xludf.DUMMYFUNCTION("""COMPUTED_VALUE"""),"{""value"":29.00,""unit"":""in""}")</f>
        <v>{"value":29.00,"unit":"in"}</v>
      </c>
      <c r="DD714" s="15" t="s">
        <v>1065</v>
      </c>
      <c r="DE714" s="15" t="str">
        <f>IFERROR(__xludf.DUMMYFUNCTION("""COMPUTED_VALUE"""),"{""value"":18.00,""unit"":""in""}")</f>
        <v>{"value":18.00,"unit":"in"}</v>
      </c>
      <c r="DF714" s="15" t="s">
        <v>7787</v>
      </c>
      <c r="DG714" s="15" t="str">
        <f>IFERROR(__xludf.DUMMYFUNCTION("""COMPUTED_VALUE"""),"{""value"":74.00,""unit"":""in""}")</f>
        <v>{"value":74.00,"unit":"in"}</v>
      </c>
      <c r="DH714" s="15">
        <v>0.0</v>
      </c>
      <c r="DI714" s="15">
        <v>0.0</v>
      </c>
      <c r="DJ714" s="15" t="s">
        <v>717</v>
      </c>
      <c r="DK714" s="15" t="s">
        <v>718</v>
      </c>
      <c r="DL714" s="15" t="str">
        <f>IFERROR(__xludf.DUMMYFUNCTION("""COMPUTED_VALUE"""),"Vacuum or light brush only. Do not use water or any cleaning products.")</f>
        <v>Vacuum or light brush only. Do not use water or any cleaning products.</v>
      </c>
      <c r="DM714" s="15" t="s">
        <v>719</v>
      </c>
      <c r="DT714" s="15" t="s">
        <v>721</v>
      </c>
      <c r="DU714" s="15" t="s">
        <v>419</v>
      </c>
      <c r="DV714" s="15">
        <v>0.0</v>
      </c>
      <c r="DZ714" s="15">
        <v>0.0</v>
      </c>
      <c r="EA714" s="15" t="s">
        <v>7788</v>
      </c>
      <c r="ED714" s="15">
        <v>0.0</v>
      </c>
      <c r="EE714" s="15">
        <v>4.0</v>
      </c>
      <c r="EG714" s="15" t="s">
        <v>444</v>
      </c>
      <c r="EH714" s="15" t="s">
        <v>7789</v>
      </c>
      <c r="EI714" s="15">
        <v>0.0</v>
      </c>
      <c r="EJ714" s="15" t="s">
        <v>588</v>
      </c>
      <c r="EK714" s="15" t="s">
        <v>589</v>
      </c>
      <c r="EL714" s="15" t="s">
        <v>2637</v>
      </c>
      <c r="EM714" s="15" t="str">
        <f>IFERROR(__xludf.DUMMYFUNCTION("""COMPUTED_VALUE"""),"{""value"":28.75,""unit"":""in""}")</f>
        <v>{"value":28.75,"unit":"in"}</v>
      </c>
      <c r="EN714" s="15" t="s">
        <v>939</v>
      </c>
      <c r="EO714" s="15" t="s">
        <v>7790</v>
      </c>
      <c r="ES714" s="15" t="s">
        <v>5705</v>
      </c>
      <c r="EX714" s="15" t="s">
        <v>6473</v>
      </c>
      <c r="EY714" s="15" t="s">
        <v>3288</v>
      </c>
      <c r="EZ714" s="15" t="s">
        <v>939</v>
      </c>
      <c r="FF714" s="15" t="s">
        <v>7791</v>
      </c>
    </row>
    <row r="715" ht="15.75" customHeight="1">
      <c r="A715" s="14" t="s">
        <v>391</v>
      </c>
      <c r="B715" s="15" t="s">
        <v>7792</v>
      </c>
      <c r="C715" s="16"/>
      <c r="D715" s="15" t="s">
        <v>432</v>
      </c>
      <c r="G715" s="14" t="s">
        <v>393</v>
      </c>
      <c r="H715" s="14" t="s">
        <v>394</v>
      </c>
      <c r="I715" s="14" t="b">
        <v>1</v>
      </c>
      <c r="J715" s="14" t="s">
        <v>395</v>
      </c>
      <c r="L715" s="14" t="b">
        <v>0</v>
      </c>
      <c r="M715" s="15" t="s">
        <v>7793</v>
      </c>
      <c r="N715" s="14" t="s">
        <v>393</v>
      </c>
      <c r="O715" s="14" t="s">
        <v>393</v>
      </c>
      <c r="P715" s="15" t="s">
        <v>397</v>
      </c>
      <c r="Q715" s="15" t="s">
        <v>7794</v>
      </c>
      <c r="T715" s="14" t="b">
        <v>0</v>
      </c>
      <c r="U715" s="15" t="s">
        <v>7795</v>
      </c>
      <c r="V715" s="15" t="s">
        <v>7796</v>
      </c>
      <c r="W715" s="15" t="s">
        <v>401</v>
      </c>
      <c r="X715" s="15" t="s">
        <v>1296</v>
      </c>
      <c r="Y715" s="15">
        <v>442.0</v>
      </c>
      <c r="AA715" s="15" t="str">
        <f>"170"</f>
        <v>170</v>
      </c>
      <c r="AB715" s="14" t="b">
        <v>1</v>
      </c>
      <c r="AC715" s="14" t="b">
        <v>1</v>
      </c>
      <c r="AD715" s="15" t="str">
        <f>"801542462178"</f>
        <v>801542462178</v>
      </c>
      <c r="AE715" s="15" t="s">
        <v>7797</v>
      </c>
      <c r="AF715" s="14" t="s">
        <v>404</v>
      </c>
      <c r="AG715" s="14" t="s">
        <v>405</v>
      </c>
      <c r="AH715" s="14" t="s">
        <v>406</v>
      </c>
      <c r="AI715" s="15">
        <v>0.0</v>
      </c>
      <c r="AL715" s="15" t="s">
        <v>3701</v>
      </c>
      <c r="AM715" s="15" t="s">
        <v>1874</v>
      </c>
      <c r="AN715" s="15" t="s">
        <v>1875</v>
      </c>
      <c r="AO715" s="15" t="s">
        <v>1874</v>
      </c>
      <c r="AP715" s="15" t="s">
        <v>1875</v>
      </c>
      <c r="AQ715" s="15" t="s">
        <v>409</v>
      </c>
      <c r="AR715" s="15" t="s">
        <v>438</v>
      </c>
      <c r="AS715" s="15" t="s">
        <v>3586</v>
      </c>
      <c r="AT715" s="15" t="s">
        <v>7794</v>
      </c>
      <c r="AW715" s="15" t="s">
        <v>1154</v>
      </c>
      <c r="AY715" s="15" t="s">
        <v>413</v>
      </c>
      <c r="AZ715" s="15" t="b">
        <v>0</v>
      </c>
      <c r="BA715" s="15" t="s">
        <v>413</v>
      </c>
      <c r="BB715" s="15" t="b">
        <v>0</v>
      </c>
      <c r="BC715" s="15" t="s">
        <v>7798</v>
      </c>
      <c r="BD715" s="15" t="s">
        <v>1303</v>
      </c>
      <c r="BE715" s="15" t="str">
        <f t="shared" si="1205"/>
        <v>1</v>
      </c>
      <c r="BF715" s="15" t="s">
        <v>416</v>
      </c>
      <c r="BG715" s="15" t="str">
        <f>"21"</f>
        <v>21</v>
      </c>
      <c r="BH715" s="15" t="s">
        <v>1676</v>
      </c>
      <c r="BI715" s="15" t="str">
        <f>"21.5"</f>
        <v>21.5</v>
      </c>
      <c r="BJ715" s="15" t="s">
        <v>748</v>
      </c>
      <c r="BK715" s="15" t="str">
        <f>"23"</f>
        <v>23</v>
      </c>
      <c r="BL715" s="15" t="s">
        <v>4284</v>
      </c>
      <c r="BM715" s="15" t="str">
        <f>"31.88"</f>
        <v>31.88</v>
      </c>
      <c r="BN715" s="15" t="s">
        <v>7799</v>
      </c>
      <c r="BQ715" s="15" t="s">
        <v>444</v>
      </c>
      <c r="BS715" s="15" t="s">
        <v>444</v>
      </c>
      <c r="BU715" s="15" t="s">
        <v>444</v>
      </c>
      <c r="BW715" s="15" t="s">
        <v>444</v>
      </c>
      <c r="BZ715" s="15" t="s">
        <v>444</v>
      </c>
      <c r="CB715" s="15" t="s">
        <v>444</v>
      </c>
      <c r="CD715" s="15" t="s">
        <v>444</v>
      </c>
      <c r="CF715" s="15" t="s">
        <v>444</v>
      </c>
      <c r="CI715" s="15" t="s">
        <v>444</v>
      </c>
      <c r="CK715" s="15" t="s">
        <v>444</v>
      </c>
      <c r="CM715" s="15" t="s">
        <v>444</v>
      </c>
      <c r="CO715" s="15" t="s">
        <v>444</v>
      </c>
      <c r="CP715" s="15" t="str">
        <f>"6"</f>
        <v>6</v>
      </c>
      <c r="CQ715" s="15" t="str">
        <f>"0.17"</f>
        <v>0.17</v>
      </c>
      <c r="CR715" s="15" t="s">
        <v>497</v>
      </c>
      <c r="DC715" s="15" t="str">
        <f>IFERROR(__xludf.DUMMYFUNCTION("""COMPUTED_VALUE"""),"")</f>
        <v/>
      </c>
      <c r="DE715" s="15" t="str">
        <f>IFERROR(__xludf.DUMMYFUNCTION("""COMPUTED_VALUE"""),"")</f>
        <v/>
      </c>
      <c r="DG715" s="15" t="str">
        <f>IFERROR(__xludf.DUMMYFUNCTION("""COMPUTED_VALUE"""),"")</f>
        <v/>
      </c>
      <c r="DL715" s="15" t="str">
        <f>IFERROR(__xludf.DUMMYFUNCTION("""COMPUTED_VALUE"""),"")</f>
        <v/>
      </c>
      <c r="DM715" s="15" t="s">
        <v>444</v>
      </c>
      <c r="DN715" s="15" t="s">
        <v>419</v>
      </c>
      <c r="DO715" s="15">
        <v>0.0</v>
      </c>
      <c r="DP715" s="15" t="s">
        <v>419</v>
      </c>
      <c r="DR715" s="15">
        <v>0.0</v>
      </c>
      <c r="DU715" s="15" t="s">
        <v>419</v>
      </c>
      <c r="DY715" s="15">
        <v>0.0</v>
      </c>
      <c r="EF715" s="15" t="s">
        <v>1157</v>
      </c>
      <c r="EG715" s="15" t="s">
        <v>1158</v>
      </c>
      <c r="EH715" s="15" t="s">
        <v>7800</v>
      </c>
      <c r="EJ715" s="15" t="s">
        <v>500</v>
      </c>
      <c r="EK715" s="15" t="s">
        <v>501</v>
      </c>
      <c r="EM715" s="15" t="str">
        <f>IFERROR(__xludf.DUMMYFUNCTION("""COMPUTED_VALUE"""),"")</f>
        <v/>
      </c>
      <c r="EW715" s="15" t="s">
        <v>467</v>
      </c>
      <c r="FH715" s="15" t="s">
        <v>1254</v>
      </c>
      <c r="FI715" s="15" t="s">
        <v>1213</v>
      </c>
      <c r="FJ715" s="15" t="s">
        <v>1254</v>
      </c>
      <c r="FK715" s="15" t="s">
        <v>1188</v>
      </c>
      <c r="FM715" s="15">
        <v>0.0</v>
      </c>
      <c r="FN715" s="15">
        <v>0.0</v>
      </c>
    </row>
    <row r="716" ht="15.75" customHeight="1">
      <c r="A716" s="14" t="s">
        <v>391</v>
      </c>
      <c r="B716" s="15" t="s">
        <v>7801</v>
      </c>
      <c r="C716" s="16"/>
      <c r="D716" s="15" t="s">
        <v>432</v>
      </c>
      <c r="G716" s="14" t="s">
        <v>393</v>
      </c>
      <c r="H716" s="14" t="s">
        <v>394</v>
      </c>
      <c r="I716" s="14" t="b">
        <v>1</v>
      </c>
      <c r="J716" s="14" t="s">
        <v>395</v>
      </c>
      <c r="L716" s="14" t="b">
        <v>0</v>
      </c>
      <c r="M716" s="15" t="s">
        <v>7802</v>
      </c>
      <c r="N716" s="14" t="s">
        <v>393</v>
      </c>
      <c r="O716" s="14" t="s">
        <v>393</v>
      </c>
      <c r="P716" s="15" t="s">
        <v>397</v>
      </c>
      <c r="Q716" s="15" t="s">
        <v>2412</v>
      </c>
      <c r="T716" s="14" t="b">
        <v>0</v>
      </c>
      <c r="U716" s="15" t="s">
        <v>7803</v>
      </c>
      <c r="V716" s="15" t="s">
        <v>3868</v>
      </c>
      <c r="W716" s="15" t="s">
        <v>401</v>
      </c>
      <c r="X716" s="15" t="s">
        <v>695</v>
      </c>
      <c r="Y716" s="15">
        <v>1859.0</v>
      </c>
      <c r="AA716" s="15" t="str">
        <f>"715"</f>
        <v>715</v>
      </c>
      <c r="AB716" s="14" t="b">
        <v>1</v>
      </c>
      <c r="AC716" s="14" t="b">
        <v>1</v>
      </c>
      <c r="AD716" s="15" t="str">
        <f>"801542535681"</f>
        <v>801542535681</v>
      </c>
      <c r="AE716" s="15" t="s">
        <v>7804</v>
      </c>
      <c r="AF716" s="14" t="s">
        <v>404</v>
      </c>
      <c r="AG716" s="14" t="s">
        <v>405</v>
      </c>
      <c r="AH716" s="14" t="s">
        <v>406</v>
      </c>
      <c r="AI716" s="15">
        <v>0.0</v>
      </c>
      <c r="AL716" s="15" t="s">
        <v>7805</v>
      </c>
      <c r="AM716" s="15" t="s">
        <v>1028</v>
      </c>
      <c r="AN716" s="15" t="s">
        <v>1029</v>
      </c>
      <c r="AO716" s="15" t="s">
        <v>700</v>
      </c>
      <c r="AP716" s="15" t="s">
        <v>605</v>
      </c>
      <c r="AQ716" s="15" t="s">
        <v>1005</v>
      </c>
      <c r="AR716" s="15" t="s">
        <v>1006</v>
      </c>
      <c r="AS716" s="15" t="s">
        <v>2193</v>
      </c>
      <c r="AT716" s="15" t="s">
        <v>2412</v>
      </c>
      <c r="AU716" s="15" t="s">
        <v>7806</v>
      </c>
      <c r="AW716" s="15" t="s">
        <v>706</v>
      </c>
      <c r="AX716" s="15" t="s">
        <v>707</v>
      </c>
      <c r="AY716" s="15" t="s">
        <v>413</v>
      </c>
      <c r="AZ716" s="15" t="b">
        <v>0</v>
      </c>
      <c r="BA716" s="15" t="s">
        <v>413</v>
      </c>
      <c r="BB716" s="15" t="b">
        <v>0</v>
      </c>
      <c r="BC716" s="15" t="s">
        <v>7807</v>
      </c>
      <c r="BD716" s="15" t="s">
        <v>709</v>
      </c>
      <c r="BE716" s="15" t="str">
        <f t="shared" si="1205"/>
        <v>1</v>
      </c>
      <c r="BF716" s="15" t="s">
        <v>1208</v>
      </c>
      <c r="BG716" s="15" t="str">
        <f>"36.22"</f>
        <v>36.22</v>
      </c>
      <c r="BH716" s="15" t="s">
        <v>1779</v>
      </c>
      <c r="BI716" s="15" t="str">
        <f>"35.83"</f>
        <v>35.83</v>
      </c>
      <c r="BJ716" s="15" t="s">
        <v>1505</v>
      </c>
      <c r="BK716" s="15" t="str">
        <f>"33.86"</f>
        <v>33.86</v>
      </c>
      <c r="BL716" s="15" t="s">
        <v>1209</v>
      </c>
      <c r="BM716" s="15" t="str">
        <f>"73.85"</f>
        <v>73.85</v>
      </c>
      <c r="BN716" s="15" t="s">
        <v>7808</v>
      </c>
      <c r="BQ716" s="15" t="s">
        <v>444</v>
      </c>
      <c r="BS716" s="15" t="s">
        <v>444</v>
      </c>
      <c r="BU716" s="15" t="s">
        <v>444</v>
      </c>
      <c r="BW716" s="15" t="s">
        <v>444</v>
      </c>
      <c r="BZ716" s="15" t="s">
        <v>444</v>
      </c>
      <c r="CB716" s="15" t="s">
        <v>444</v>
      </c>
      <c r="CD716" s="15" t="s">
        <v>444</v>
      </c>
      <c r="CF716" s="15" t="s">
        <v>444</v>
      </c>
      <c r="CI716" s="15" t="s">
        <v>444</v>
      </c>
      <c r="CK716" s="15" t="s">
        <v>444</v>
      </c>
      <c r="CM716" s="15" t="s">
        <v>444</v>
      </c>
      <c r="CO716" s="15" t="s">
        <v>444</v>
      </c>
      <c r="CP716" s="15" t="str">
        <f>"22.6"</f>
        <v>22.6</v>
      </c>
      <c r="CQ716" s="15" t="str">
        <f>"0.64"</f>
        <v>0.64</v>
      </c>
      <c r="CR716" s="15" t="s">
        <v>417</v>
      </c>
      <c r="DB716" s="15" t="s">
        <v>525</v>
      </c>
      <c r="DC716" s="15" t="str">
        <f>IFERROR(__xludf.DUMMYFUNCTION("""COMPUTED_VALUE"""),"{""value"":23.00,""unit"":""in""}")</f>
        <v>{"value":23.00,"unit":"in"}</v>
      </c>
      <c r="DD716" s="15" t="s">
        <v>1161</v>
      </c>
      <c r="DE716" s="15" t="str">
        <f>IFERROR(__xludf.DUMMYFUNCTION("""COMPUTED_VALUE"""),"{""value"":17.00,""unit"":""in""}")</f>
        <v>{"value":17.00,"unit":"in"}</v>
      </c>
      <c r="DG716" s="15" t="str">
        <f>IFERROR(__xludf.DUMMYFUNCTION("""COMPUTED_VALUE"""),"")</f>
        <v/>
      </c>
      <c r="DH716" s="15">
        <v>0.0</v>
      </c>
      <c r="DI716" s="15">
        <v>1.0</v>
      </c>
      <c r="DJ716" s="15" t="s">
        <v>717</v>
      </c>
      <c r="DK716" s="15" t="s">
        <v>718</v>
      </c>
      <c r="DL716" s="15" t="str">
        <f>IFERROR(__xludf.DUMMYFUNCTION("""COMPUTED_VALUE"""),"Vacuum or light brush only. Do not use water or any cleaning products.")</f>
        <v>Vacuum or light brush only. Do not use water or any cleaning products.</v>
      </c>
      <c r="DM716" s="15" t="s">
        <v>719</v>
      </c>
      <c r="DT716" s="15" t="s">
        <v>1111</v>
      </c>
      <c r="DU716" s="15" t="s">
        <v>419</v>
      </c>
      <c r="DV716" s="15">
        <v>0.0</v>
      </c>
      <c r="DZ716" s="15">
        <v>0.0</v>
      </c>
      <c r="EA716" s="15" t="s">
        <v>722</v>
      </c>
      <c r="ED716" s="15">
        <v>0.0</v>
      </c>
      <c r="EE716" s="15">
        <v>1.0</v>
      </c>
      <c r="EG716" s="15" t="s">
        <v>444</v>
      </c>
      <c r="EH716" s="15" t="s">
        <v>7809</v>
      </c>
      <c r="EI716" s="15">
        <v>0.0</v>
      </c>
      <c r="EJ716" s="15" t="s">
        <v>726</v>
      </c>
      <c r="EK716" s="15" t="s">
        <v>727</v>
      </c>
      <c r="EL716" s="15" t="s">
        <v>2732</v>
      </c>
      <c r="EM716" s="15" t="str">
        <f>IFERROR(__xludf.DUMMYFUNCTION("""COMPUTED_VALUE"""),"{""value"":22.75,""unit"":""in""}")</f>
        <v>{"value":22.75,"unit":"in"}</v>
      </c>
      <c r="EN716" s="15" t="s">
        <v>1235</v>
      </c>
      <c r="EO716" s="15" t="s">
        <v>525</v>
      </c>
      <c r="ES716" s="15" t="s">
        <v>505</v>
      </c>
      <c r="EW716" s="15" t="s">
        <v>2547</v>
      </c>
      <c r="EX716" s="15" t="s">
        <v>1574</v>
      </c>
      <c r="EY716" s="15" t="s">
        <v>555</v>
      </c>
      <c r="EZ716" s="15" t="s">
        <v>1982</v>
      </c>
      <c r="FC716" s="15" t="s">
        <v>1016</v>
      </c>
      <c r="FF716" s="15" t="s">
        <v>1079</v>
      </c>
      <c r="FO716" s="15" t="s">
        <v>1324</v>
      </c>
      <c r="FP716" s="15" t="s">
        <v>1331</v>
      </c>
      <c r="FQ716" s="15">
        <v>0.0</v>
      </c>
      <c r="FR716" s="15">
        <v>0.0</v>
      </c>
      <c r="FT716" s="15">
        <v>0.0</v>
      </c>
    </row>
    <row r="717" ht="15.75" customHeight="1">
      <c r="A717" s="14" t="s">
        <v>391</v>
      </c>
      <c r="B717" s="15" t="s">
        <v>7810</v>
      </c>
      <c r="C717" s="16"/>
      <c r="D717" s="15" t="s">
        <v>432</v>
      </c>
      <c r="G717" s="14" t="s">
        <v>393</v>
      </c>
      <c r="H717" s="14" t="s">
        <v>394</v>
      </c>
      <c r="I717" s="14" t="b">
        <v>1</v>
      </c>
      <c r="J717" s="14" t="s">
        <v>395</v>
      </c>
      <c r="L717" s="14" t="b">
        <v>0</v>
      </c>
      <c r="M717" s="15" t="s">
        <v>7811</v>
      </c>
      <c r="N717" s="14" t="s">
        <v>393</v>
      </c>
      <c r="O717" s="14" t="s">
        <v>393</v>
      </c>
      <c r="P717" s="15" t="s">
        <v>397</v>
      </c>
      <c r="Q717" s="15" t="s">
        <v>7812</v>
      </c>
      <c r="T717" s="14" t="b">
        <v>0</v>
      </c>
      <c r="U717" s="15" t="s">
        <v>7813</v>
      </c>
      <c r="V717" s="15" t="s">
        <v>6085</v>
      </c>
      <c r="W717" s="15" t="s">
        <v>401</v>
      </c>
      <c r="X717" s="15" t="s">
        <v>695</v>
      </c>
      <c r="Y717" s="15">
        <v>1261.0</v>
      </c>
      <c r="AA717" s="15" t="str">
        <f>"485"</f>
        <v>485</v>
      </c>
      <c r="AB717" s="14" t="b">
        <v>1</v>
      </c>
      <c r="AC717" s="14" t="b">
        <v>1</v>
      </c>
      <c r="AD717" s="15" t="str">
        <f>"801542719562"</f>
        <v>801542719562</v>
      </c>
      <c r="AE717" s="15" t="s">
        <v>7814</v>
      </c>
      <c r="AF717" s="14" t="s">
        <v>404</v>
      </c>
      <c r="AG717" s="14" t="s">
        <v>405</v>
      </c>
      <c r="AH717" s="14" t="s">
        <v>406</v>
      </c>
      <c r="AI717" s="15">
        <v>0.0</v>
      </c>
      <c r="AL717" s="15" t="s">
        <v>2527</v>
      </c>
      <c r="AM717" s="15" t="s">
        <v>546</v>
      </c>
      <c r="AN717" s="15" t="s">
        <v>547</v>
      </c>
      <c r="AO717" s="15" t="s">
        <v>622</v>
      </c>
      <c r="AP717" s="15" t="s">
        <v>623</v>
      </c>
      <c r="AQ717" s="15" t="s">
        <v>1364</v>
      </c>
      <c r="AR717" s="15" t="s">
        <v>1365</v>
      </c>
      <c r="AS717" s="15" t="s">
        <v>1628</v>
      </c>
      <c r="AT717" s="15" t="s">
        <v>7812</v>
      </c>
      <c r="AU717" s="15" t="s">
        <v>2801</v>
      </c>
      <c r="AW717" s="15" t="s">
        <v>706</v>
      </c>
      <c r="AX717" s="15" t="s">
        <v>707</v>
      </c>
      <c r="AY717" s="15" t="s">
        <v>413</v>
      </c>
      <c r="AZ717" s="15" t="b">
        <v>0</v>
      </c>
      <c r="BA717" s="15" t="s">
        <v>426</v>
      </c>
      <c r="BB717" s="15" t="b">
        <v>1</v>
      </c>
      <c r="BC717" s="15" t="s">
        <v>7815</v>
      </c>
      <c r="BD717" s="15" t="s">
        <v>709</v>
      </c>
      <c r="BE717" s="15" t="str">
        <f t="shared" si="1205"/>
        <v>1</v>
      </c>
      <c r="BF717" s="15" t="s">
        <v>7816</v>
      </c>
      <c r="BG717" s="15" t="str">
        <f t="shared" ref="BG717:BG718" si="1219">"30.71"</f>
        <v>30.71</v>
      </c>
      <c r="BH717" s="15" t="s">
        <v>1281</v>
      </c>
      <c r="BI717" s="15" t="str">
        <f t="shared" ref="BI717:BI718" si="1220">"37.4"</f>
        <v>37.4</v>
      </c>
      <c r="BJ717" s="15" t="s">
        <v>3175</v>
      </c>
      <c r="BK717" s="15" t="str">
        <f t="shared" ref="BK717:BK718" si="1221">"23.62"</f>
        <v>23.62</v>
      </c>
      <c r="BL717" s="15" t="s">
        <v>1570</v>
      </c>
      <c r="BM717" s="15" t="str">
        <f t="shared" ref="BM717:BM718" si="1222">"56.22"</f>
        <v>56.22</v>
      </c>
      <c r="BN717" s="15" t="s">
        <v>5843</v>
      </c>
      <c r="BQ717" s="15" t="s">
        <v>444</v>
      </c>
      <c r="BS717" s="15" t="s">
        <v>444</v>
      </c>
      <c r="BU717" s="15" t="s">
        <v>444</v>
      </c>
      <c r="BW717" s="15" t="s">
        <v>444</v>
      </c>
      <c r="BZ717" s="15" t="s">
        <v>444</v>
      </c>
      <c r="CB717" s="15" t="s">
        <v>444</v>
      </c>
      <c r="CD717" s="15" t="s">
        <v>444</v>
      </c>
      <c r="CF717" s="15" t="s">
        <v>444</v>
      </c>
      <c r="CI717" s="15" t="s">
        <v>444</v>
      </c>
      <c r="CK717" s="15" t="s">
        <v>444</v>
      </c>
      <c r="CM717" s="15" t="s">
        <v>444</v>
      </c>
      <c r="CO717" s="15" t="s">
        <v>444</v>
      </c>
      <c r="CP717" s="15" t="str">
        <f t="shared" ref="CP717:CP718" si="1223">"13.74"</f>
        <v>13.74</v>
      </c>
      <c r="CQ717" s="15" t="str">
        <f t="shared" ref="CQ717:CQ718" si="1224">"0.389"</f>
        <v>0.389</v>
      </c>
      <c r="CR717" s="15" t="s">
        <v>465</v>
      </c>
      <c r="CY717" s="15" t="s">
        <v>1574</v>
      </c>
      <c r="CZ717" s="15" t="s">
        <v>505</v>
      </c>
      <c r="DA717" s="15" t="s">
        <v>555</v>
      </c>
      <c r="DB717" s="15" t="s">
        <v>1072</v>
      </c>
      <c r="DC717" s="15" t="str">
        <f>IFERROR(__xludf.DUMMYFUNCTION("""COMPUTED_VALUE"""),"{""value"":22.00,""unit"":""in""}")</f>
        <v>{"value":22.00,"unit":"in"}</v>
      </c>
      <c r="DD717" s="15" t="s">
        <v>1324</v>
      </c>
      <c r="DE717" s="15" t="str">
        <f>IFERROR(__xludf.DUMMYFUNCTION("""COMPUTED_VALUE"""),"{""value"":20.00,""unit"":""in""}")</f>
        <v>{"value":20.00,"unit":"in"}</v>
      </c>
      <c r="DF717" s="15" t="s">
        <v>555</v>
      </c>
      <c r="DG717" s="15" t="str">
        <f>IFERROR(__xludf.DUMMYFUNCTION("""COMPUTED_VALUE"""),"{""value"":25.00,""unit"":""in""}")</f>
        <v>{"value":25.00,"unit":"in"}</v>
      </c>
      <c r="DH717" s="15">
        <v>0.0</v>
      </c>
      <c r="DI717" s="15">
        <v>1.0</v>
      </c>
      <c r="DJ717" s="15" t="s">
        <v>717</v>
      </c>
      <c r="DK717" s="15" t="s">
        <v>855</v>
      </c>
      <c r="DL717" s="15" t="str">
        <f>IFERROR(__xludf.DUMMYFUNCTION("""COMPUTED_VALUE"""),"Clean with solvent-based (dry clean only) products. Do not use water.")</f>
        <v>Clean with solvent-based (dry clean only) products. Do not use water.</v>
      </c>
      <c r="DM717" s="15" t="s">
        <v>856</v>
      </c>
      <c r="DQ717" s="15" t="s">
        <v>7817</v>
      </c>
      <c r="DT717" s="15" t="s">
        <v>721</v>
      </c>
      <c r="DU717" s="15" t="s">
        <v>419</v>
      </c>
      <c r="DV717" s="15">
        <v>0.0</v>
      </c>
      <c r="DZ717" s="15">
        <v>25000.0</v>
      </c>
      <c r="EA717" s="15" t="s">
        <v>990</v>
      </c>
      <c r="EB717" s="15" t="s">
        <v>723</v>
      </c>
      <c r="EC717" s="15" t="s">
        <v>724</v>
      </c>
      <c r="ED717" s="15">
        <v>1.0</v>
      </c>
      <c r="EE717" s="15">
        <v>1.0</v>
      </c>
      <c r="EG717" s="15" t="s">
        <v>444</v>
      </c>
      <c r="EH717" s="15" t="s">
        <v>7818</v>
      </c>
      <c r="EI717" s="15">
        <v>0.0</v>
      </c>
      <c r="EJ717" s="15" t="s">
        <v>726</v>
      </c>
      <c r="EK717" s="15" t="s">
        <v>727</v>
      </c>
      <c r="EL717" s="15" t="s">
        <v>1806</v>
      </c>
      <c r="EM717" s="15" t="str">
        <f>IFERROR(__xludf.DUMMYFUNCTION("""COMPUTED_VALUE"""),"{""value"":26.00,""unit"":""in""}")</f>
        <v>{"value":26.00,"unit":"in"}</v>
      </c>
      <c r="EN717" s="15" t="s">
        <v>505</v>
      </c>
      <c r="EO717" s="15" t="s">
        <v>1739</v>
      </c>
      <c r="ES717" s="15" t="s">
        <v>1236</v>
      </c>
      <c r="ET717" s="15" t="s">
        <v>2116</v>
      </c>
      <c r="EU717" s="15" t="s">
        <v>1213</v>
      </c>
      <c r="EV717" s="15" t="s">
        <v>555</v>
      </c>
      <c r="EW717" s="15" t="s">
        <v>3011</v>
      </c>
      <c r="EX717" s="15" t="s">
        <v>558</v>
      </c>
      <c r="EY717" s="15" t="s">
        <v>1806</v>
      </c>
      <c r="EZ717" s="15" t="s">
        <v>1592</v>
      </c>
      <c r="FC717" s="15" t="s">
        <v>723</v>
      </c>
      <c r="FD717" s="15" t="s">
        <v>724</v>
      </c>
      <c r="FE717" s="15" t="s">
        <v>2028</v>
      </c>
      <c r="FF717" s="15" t="s">
        <v>997</v>
      </c>
      <c r="FQ717" s="15">
        <v>0.0</v>
      </c>
      <c r="FR717" s="15">
        <v>0.0</v>
      </c>
      <c r="FT717" s="15">
        <v>0.0</v>
      </c>
    </row>
    <row r="718" ht="15.75" customHeight="1">
      <c r="A718" s="14" t="s">
        <v>391</v>
      </c>
      <c r="B718" s="15" t="s">
        <v>7810</v>
      </c>
      <c r="C718" s="16"/>
      <c r="D718" s="15" t="s">
        <v>432</v>
      </c>
      <c r="G718" s="14" t="s">
        <v>393</v>
      </c>
      <c r="H718" s="14" t="s">
        <v>394</v>
      </c>
      <c r="I718" s="14" t="b">
        <v>1</v>
      </c>
      <c r="J718" s="14" t="s">
        <v>395</v>
      </c>
      <c r="L718" s="14" t="b">
        <v>0</v>
      </c>
      <c r="M718" s="15" t="s">
        <v>7819</v>
      </c>
      <c r="N718" s="14" t="s">
        <v>393</v>
      </c>
      <c r="O718" s="14" t="s">
        <v>393</v>
      </c>
      <c r="P718" s="15" t="s">
        <v>397</v>
      </c>
      <c r="Q718" s="15" t="s">
        <v>4231</v>
      </c>
      <c r="T718" s="14" t="b">
        <v>0</v>
      </c>
      <c r="U718" s="15" t="s">
        <v>7820</v>
      </c>
      <c r="V718" s="15" t="s">
        <v>6085</v>
      </c>
      <c r="W718" s="15" t="s">
        <v>401</v>
      </c>
      <c r="X718" s="15" t="s">
        <v>695</v>
      </c>
      <c r="Y718" s="15">
        <v>2301.0</v>
      </c>
      <c r="AA718" s="15" t="str">
        <f>"885"</f>
        <v>885</v>
      </c>
      <c r="AB718" s="14" t="b">
        <v>1</v>
      </c>
      <c r="AC718" s="14" t="b">
        <v>1</v>
      </c>
      <c r="AD718" s="15" t="str">
        <f>"801542725129"</f>
        <v>801542725129</v>
      </c>
      <c r="AE718" s="15" t="s">
        <v>7821</v>
      </c>
      <c r="AF718" s="14" t="s">
        <v>404</v>
      </c>
      <c r="AG718" s="14" t="s">
        <v>405</v>
      </c>
      <c r="AH718" s="14" t="s">
        <v>406</v>
      </c>
      <c r="AI718" s="15">
        <v>0.0</v>
      </c>
      <c r="AL718" s="15" t="s">
        <v>7822</v>
      </c>
      <c r="AM718" s="15" t="s">
        <v>546</v>
      </c>
      <c r="AN718" s="15" t="s">
        <v>547</v>
      </c>
      <c r="AO718" s="15" t="s">
        <v>622</v>
      </c>
      <c r="AP718" s="15" t="s">
        <v>623</v>
      </c>
      <c r="AQ718" s="15" t="s">
        <v>1364</v>
      </c>
      <c r="AR718" s="15" t="s">
        <v>1365</v>
      </c>
      <c r="AS718" s="15" t="s">
        <v>1628</v>
      </c>
      <c r="AT718" s="15" t="s">
        <v>4231</v>
      </c>
      <c r="AU718" s="15" t="s">
        <v>7823</v>
      </c>
      <c r="AW718" s="15" t="s">
        <v>706</v>
      </c>
      <c r="AX718" s="15" t="s">
        <v>707</v>
      </c>
      <c r="AY718" s="15" t="s">
        <v>413</v>
      </c>
      <c r="AZ718" s="15" t="b">
        <v>0</v>
      </c>
      <c r="BA718" s="15" t="s">
        <v>413</v>
      </c>
      <c r="BB718" s="15" t="b">
        <v>0</v>
      </c>
      <c r="BD718" s="15" t="s">
        <v>709</v>
      </c>
      <c r="BE718" s="15" t="str">
        <f t="shared" si="1205"/>
        <v>1</v>
      </c>
      <c r="BF718" s="15" t="s">
        <v>6688</v>
      </c>
      <c r="BG718" s="15" t="str">
        <f t="shared" si="1219"/>
        <v>30.71</v>
      </c>
      <c r="BH718" s="15" t="s">
        <v>1281</v>
      </c>
      <c r="BI718" s="15" t="str">
        <f t="shared" si="1220"/>
        <v>37.4</v>
      </c>
      <c r="BJ718" s="15" t="s">
        <v>3175</v>
      </c>
      <c r="BK718" s="15" t="str">
        <f t="shared" si="1221"/>
        <v>23.62</v>
      </c>
      <c r="BL718" s="15" t="s">
        <v>1570</v>
      </c>
      <c r="BM718" s="15" t="str">
        <f t="shared" si="1222"/>
        <v>56.22</v>
      </c>
      <c r="BN718" s="15" t="s">
        <v>5843</v>
      </c>
      <c r="BQ718" s="15" t="s">
        <v>444</v>
      </c>
      <c r="BS718" s="15" t="s">
        <v>444</v>
      </c>
      <c r="BU718" s="15" t="s">
        <v>444</v>
      </c>
      <c r="BW718" s="15" t="s">
        <v>444</v>
      </c>
      <c r="BZ718" s="15" t="s">
        <v>444</v>
      </c>
      <c r="CB718" s="15" t="s">
        <v>444</v>
      </c>
      <c r="CD718" s="15" t="s">
        <v>444</v>
      </c>
      <c r="CF718" s="15" t="s">
        <v>444</v>
      </c>
      <c r="CI718" s="15" t="s">
        <v>444</v>
      </c>
      <c r="CK718" s="15" t="s">
        <v>444</v>
      </c>
      <c r="CM718" s="15" t="s">
        <v>444</v>
      </c>
      <c r="CO718" s="15" t="s">
        <v>444</v>
      </c>
      <c r="CP718" s="15" t="str">
        <f t="shared" si="1223"/>
        <v>13.74</v>
      </c>
      <c r="CQ718" s="15" t="str">
        <f t="shared" si="1224"/>
        <v>0.389</v>
      </c>
      <c r="CR718" s="15" t="s">
        <v>417</v>
      </c>
      <c r="CY718" s="15" t="s">
        <v>1574</v>
      </c>
      <c r="CZ718" s="15" t="s">
        <v>505</v>
      </c>
      <c r="DA718" s="15" t="s">
        <v>555</v>
      </c>
      <c r="DB718" s="15" t="s">
        <v>1072</v>
      </c>
      <c r="DC718" s="15" t="str">
        <f>IFERROR(__xludf.DUMMYFUNCTION("""COMPUTED_VALUE"""),"{""value"":22.00,""unit"":""in""}")</f>
        <v>{"value":22.00,"unit":"in"}</v>
      </c>
      <c r="DD718" s="15" t="s">
        <v>1324</v>
      </c>
      <c r="DE718" s="15" t="str">
        <f>IFERROR(__xludf.DUMMYFUNCTION("""COMPUTED_VALUE"""),"{""value"":20.00,""unit"":""in""}")</f>
        <v>{"value":20.00,"unit":"in"}</v>
      </c>
      <c r="DF718" s="15" t="s">
        <v>555</v>
      </c>
      <c r="DG718" s="15" t="str">
        <f>IFERROR(__xludf.DUMMYFUNCTION("""COMPUTED_VALUE"""),"{""value"":25.00,""unit"":""in""}")</f>
        <v>{"value":25.00,"unit":"in"}</v>
      </c>
      <c r="DH718" s="15">
        <v>0.0</v>
      </c>
      <c r="DI718" s="15">
        <v>1.0</v>
      </c>
      <c r="DJ718" s="15" t="s">
        <v>717</v>
      </c>
      <c r="DK718" s="15" t="s">
        <v>718</v>
      </c>
      <c r="DL718" s="15" t="str">
        <f>IFERROR(__xludf.DUMMYFUNCTION("""COMPUTED_VALUE"""),"Vacuum or light brush only. Do not use water or any cleaning products.")</f>
        <v>Vacuum or light brush only. Do not use water or any cleaning products.</v>
      </c>
      <c r="DM718" s="15" t="s">
        <v>719</v>
      </c>
      <c r="DQ718" s="15" t="s">
        <v>7817</v>
      </c>
      <c r="DT718" s="15" t="s">
        <v>721</v>
      </c>
      <c r="DU718" s="15" t="s">
        <v>419</v>
      </c>
      <c r="DV718" s="15">
        <v>0.0</v>
      </c>
      <c r="DZ718" s="15">
        <v>0.0</v>
      </c>
      <c r="EA718" s="15" t="s">
        <v>990</v>
      </c>
      <c r="EB718" s="15" t="s">
        <v>723</v>
      </c>
      <c r="EC718" s="15" t="s">
        <v>724</v>
      </c>
      <c r="ED718" s="15">
        <v>1.0</v>
      </c>
      <c r="EE718" s="15">
        <v>1.0</v>
      </c>
      <c r="EG718" s="15" t="s">
        <v>444</v>
      </c>
      <c r="EH718" s="15" t="s">
        <v>7818</v>
      </c>
      <c r="EI718" s="15">
        <v>0.0</v>
      </c>
      <c r="EJ718" s="15" t="s">
        <v>726</v>
      </c>
      <c r="EK718" s="15" t="s">
        <v>727</v>
      </c>
      <c r="EL718" s="15" t="s">
        <v>1806</v>
      </c>
      <c r="EM718" s="15" t="str">
        <f>IFERROR(__xludf.DUMMYFUNCTION("""COMPUTED_VALUE"""),"{""value"":26.00,""unit"":""in""}")</f>
        <v>{"value":26.00,"unit":"in"}</v>
      </c>
      <c r="EN718" s="15" t="s">
        <v>505</v>
      </c>
      <c r="EO718" s="15" t="s">
        <v>1739</v>
      </c>
      <c r="ES718" s="15" t="s">
        <v>1236</v>
      </c>
      <c r="ET718" s="15" t="s">
        <v>2116</v>
      </c>
      <c r="EU718" s="15" t="s">
        <v>1213</v>
      </c>
      <c r="EV718" s="15" t="s">
        <v>555</v>
      </c>
      <c r="EW718" s="15" t="s">
        <v>3011</v>
      </c>
      <c r="EX718" s="15" t="s">
        <v>558</v>
      </c>
      <c r="EY718" s="15" t="s">
        <v>1806</v>
      </c>
      <c r="EZ718" s="15" t="s">
        <v>1592</v>
      </c>
      <c r="FC718" s="15" t="s">
        <v>723</v>
      </c>
      <c r="FD718" s="15" t="s">
        <v>724</v>
      </c>
      <c r="FE718" s="15" t="s">
        <v>2028</v>
      </c>
      <c r="FF718" s="15" t="s">
        <v>997</v>
      </c>
      <c r="FQ718" s="15">
        <v>0.0</v>
      </c>
      <c r="FR718" s="15">
        <v>0.0</v>
      </c>
      <c r="FT718" s="15">
        <v>0.0</v>
      </c>
    </row>
    <row r="719" ht="15.75" customHeight="1">
      <c r="A719" s="14" t="s">
        <v>391</v>
      </c>
      <c r="B719" s="15" t="s">
        <v>7824</v>
      </c>
      <c r="C719" s="16"/>
      <c r="D719" s="15" t="s">
        <v>432</v>
      </c>
      <c r="G719" s="14" t="s">
        <v>393</v>
      </c>
      <c r="H719" s="14" t="s">
        <v>394</v>
      </c>
      <c r="I719" s="14" t="b">
        <v>1</v>
      </c>
      <c r="J719" s="14" t="s">
        <v>395</v>
      </c>
      <c r="L719" s="14" t="b">
        <v>0</v>
      </c>
      <c r="M719" s="15" t="s">
        <v>7825</v>
      </c>
      <c r="N719" s="14" t="s">
        <v>393</v>
      </c>
      <c r="O719" s="14" t="s">
        <v>393</v>
      </c>
      <c r="P719" s="15" t="s">
        <v>397</v>
      </c>
      <c r="Q719" s="15" t="s">
        <v>7812</v>
      </c>
      <c r="T719" s="14" t="b">
        <v>0</v>
      </c>
      <c r="U719" s="15" t="s">
        <v>7826</v>
      </c>
      <c r="V719" s="15" t="s">
        <v>6822</v>
      </c>
      <c r="W719" s="15" t="s">
        <v>401</v>
      </c>
      <c r="X719" s="15" t="s">
        <v>695</v>
      </c>
      <c r="Y719" s="15">
        <v>1365.0</v>
      </c>
      <c r="AA719" s="15" t="str">
        <f>"525"</f>
        <v>525</v>
      </c>
      <c r="AB719" s="14" t="b">
        <v>1</v>
      </c>
      <c r="AC719" s="14" t="b">
        <v>1</v>
      </c>
      <c r="AD719" s="15" t="str">
        <f>"801542081218"</f>
        <v>801542081218</v>
      </c>
      <c r="AE719" s="15" t="s">
        <v>7827</v>
      </c>
      <c r="AF719" s="14" t="s">
        <v>404</v>
      </c>
      <c r="AG719" s="14" t="s">
        <v>405</v>
      </c>
      <c r="AH719" s="14" t="s">
        <v>406</v>
      </c>
      <c r="AI719" s="15">
        <v>0.0</v>
      </c>
      <c r="AL719" s="15" t="s">
        <v>1655</v>
      </c>
      <c r="AM719" s="15" t="s">
        <v>546</v>
      </c>
      <c r="AN719" s="15" t="s">
        <v>547</v>
      </c>
      <c r="AO719" s="15" t="s">
        <v>622</v>
      </c>
      <c r="AP719" s="15" t="s">
        <v>623</v>
      </c>
      <c r="AQ719" s="15" t="s">
        <v>410</v>
      </c>
      <c r="AR719" s="15" t="s">
        <v>439</v>
      </c>
      <c r="AS719" s="15" t="s">
        <v>1628</v>
      </c>
      <c r="AT719" s="15" t="s">
        <v>7812</v>
      </c>
      <c r="AW719" s="15" t="s">
        <v>706</v>
      </c>
      <c r="AX719" s="15" t="s">
        <v>707</v>
      </c>
      <c r="AY719" s="15" t="s">
        <v>413</v>
      </c>
      <c r="AZ719" s="15" t="b">
        <v>0</v>
      </c>
      <c r="BA719" s="15" t="s">
        <v>426</v>
      </c>
      <c r="BB719" s="15" t="b">
        <v>1</v>
      </c>
      <c r="BC719" s="15" t="s">
        <v>7828</v>
      </c>
      <c r="BD719" s="15" t="s">
        <v>709</v>
      </c>
      <c r="BE719" s="15" t="str">
        <f t="shared" si="1205"/>
        <v>1</v>
      </c>
      <c r="BF719" s="15" t="s">
        <v>7829</v>
      </c>
      <c r="BG719" s="15" t="str">
        <f t="shared" ref="BG719:BG721" si="1225">"31.89"</f>
        <v>31.89</v>
      </c>
      <c r="BH719" s="15" t="s">
        <v>1183</v>
      </c>
      <c r="BI719" s="15" t="str">
        <f t="shared" ref="BI719:BI721" si="1226">"36.61"</f>
        <v>36.61</v>
      </c>
      <c r="BJ719" s="15" t="s">
        <v>1734</v>
      </c>
      <c r="BK719" s="15" t="str">
        <f t="shared" ref="BK719:BK721" si="1227">"31.1"</f>
        <v>31.1</v>
      </c>
      <c r="BL719" s="15" t="s">
        <v>1386</v>
      </c>
      <c r="BM719" s="15" t="str">
        <f t="shared" ref="BM719:BM721" si="1228">"92.59"</f>
        <v>92.59</v>
      </c>
      <c r="BN719" s="15" t="s">
        <v>3348</v>
      </c>
      <c r="BQ719" s="15" t="s">
        <v>444</v>
      </c>
      <c r="BS719" s="15" t="s">
        <v>444</v>
      </c>
      <c r="BU719" s="15" t="s">
        <v>444</v>
      </c>
      <c r="BW719" s="15" t="s">
        <v>444</v>
      </c>
      <c r="BZ719" s="15" t="s">
        <v>444</v>
      </c>
      <c r="CB719" s="15" t="s">
        <v>444</v>
      </c>
      <c r="CD719" s="15" t="s">
        <v>444</v>
      </c>
      <c r="CF719" s="15" t="s">
        <v>444</v>
      </c>
      <c r="CI719" s="15" t="s">
        <v>444</v>
      </c>
      <c r="CK719" s="15" t="s">
        <v>444</v>
      </c>
      <c r="CM719" s="15" t="s">
        <v>444</v>
      </c>
      <c r="CO719" s="15" t="s">
        <v>444</v>
      </c>
      <c r="CP719" s="15" t="str">
        <f t="shared" ref="CP719:CP721" si="1229">"19.03"</f>
        <v>19.03</v>
      </c>
      <c r="CQ719" s="15" t="str">
        <f t="shared" ref="CQ719:CQ721" si="1230">"0.539"</f>
        <v>0.539</v>
      </c>
      <c r="CR719" s="15" t="s">
        <v>465</v>
      </c>
      <c r="CY719" s="15" t="s">
        <v>1574</v>
      </c>
      <c r="CZ719" s="15" t="s">
        <v>1213</v>
      </c>
      <c r="DA719" s="15" t="s">
        <v>555</v>
      </c>
      <c r="DB719" s="15" t="s">
        <v>1072</v>
      </c>
      <c r="DC719" s="15" t="str">
        <f>IFERROR(__xludf.DUMMYFUNCTION("""COMPUTED_VALUE"""),"{""value"":22.00,""unit"":""in""}")</f>
        <v>{"value":22.00,"unit":"in"}</v>
      </c>
      <c r="DD719" s="15" t="s">
        <v>1065</v>
      </c>
      <c r="DE719" s="15" t="str">
        <f>IFERROR(__xludf.DUMMYFUNCTION("""COMPUTED_VALUE"""),"{""value"":18.00,""unit"":""in""}")</f>
        <v>{"value":18.00,"unit":"in"}</v>
      </c>
      <c r="DF719" s="15" t="s">
        <v>555</v>
      </c>
      <c r="DG719" s="15" t="str">
        <f>IFERROR(__xludf.DUMMYFUNCTION("""COMPUTED_VALUE"""),"{""value"":25.00,""unit"":""in""}")</f>
        <v>{"value":25.00,"unit":"in"}</v>
      </c>
      <c r="DH719" s="15">
        <v>0.0</v>
      </c>
      <c r="DI719" s="15">
        <v>1.0</v>
      </c>
      <c r="DJ719" s="15" t="s">
        <v>717</v>
      </c>
      <c r="DK719" s="15" t="s">
        <v>855</v>
      </c>
      <c r="DL719" s="15" t="str">
        <f>IFERROR(__xludf.DUMMYFUNCTION("""COMPUTED_VALUE"""),"Clean with solvent-based (dry clean only) products. Do not use water.")</f>
        <v>Clean with solvent-based (dry clean only) products. Do not use water.</v>
      </c>
      <c r="DM719" s="15" t="s">
        <v>856</v>
      </c>
      <c r="DQ719" s="15" t="s">
        <v>3543</v>
      </c>
      <c r="DT719" s="15" t="s">
        <v>721</v>
      </c>
      <c r="DU719" s="15" t="s">
        <v>1605</v>
      </c>
      <c r="DV719" s="15">
        <v>0.0</v>
      </c>
      <c r="DZ719" s="15">
        <v>25000.0</v>
      </c>
      <c r="EA719" s="15" t="s">
        <v>990</v>
      </c>
      <c r="EB719" s="15" t="s">
        <v>723</v>
      </c>
      <c r="EC719" s="15" t="s">
        <v>724</v>
      </c>
      <c r="ED719" s="15">
        <v>1.0</v>
      </c>
      <c r="EE719" s="15">
        <v>1.0</v>
      </c>
      <c r="EG719" s="15" t="s">
        <v>444</v>
      </c>
      <c r="EH719" s="15" t="s">
        <v>7818</v>
      </c>
      <c r="EI719" s="15">
        <v>0.0</v>
      </c>
      <c r="EJ719" s="15" t="s">
        <v>726</v>
      </c>
      <c r="EK719" s="15" t="s">
        <v>727</v>
      </c>
      <c r="EL719" s="15" t="s">
        <v>1286</v>
      </c>
      <c r="EM719" s="15" t="str">
        <f>IFERROR(__xludf.DUMMYFUNCTION("""COMPUTED_VALUE"""),"{""value"":23.50,""unit"":""in""}")</f>
        <v>{"value":23.50,"unit":"in"}</v>
      </c>
      <c r="EN719" s="15" t="s">
        <v>1069</v>
      </c>
      <c r="EO719" s="15" t="s">
        <v>1739</v>
      </c>
      <c r="ES719" s="15" t="s">
        <v>1236</v>
      </c>
      <c r="ET719" s="15" t="s">
        <v>2116</v>
      </c>
      <c r="EU719" s="15" t="s">
        <v>1065</v>
      </c>
      <c r="EV719" s="15" t="s">
        <v>555</v>
      </c>
      <c r="EW719" s="15" t="s">
        <v>672</v>
      </c>
      <c r="EX719" s="15" t="s">
        <v>1808</v>
      </c>
      <c r="EY719" s="15" t="s">
        <v>1808</v>
      </c>
      <c r="EZ719" s="15" t="s">
        <v>1592</v>
      </c>
      <c r="FC719" s="15" t="s">
        <v>723</v>
      </c>
      <c r="FD719" s="15" t="s">
        <v>724</v>
      </c>
      <c r="FE719" s="15" t="s">
        <v>2028</v>
      </c>
      <c r="FF719" s="15" t="s">
        <v>1290</v>
      </c>
      <c r="FQ719" s="15">
        <v>0.0</v>
      </c>
      <c r="FR719" s="15">
        <v>0.0</v>
      </c>
      <c r="FT719" s="15">
        <v>0.0</v>
      </c>
      <c r="IL719" s="15" t="s">
        <v>1610</v>
      </c>
    </row>
    <row r="720" ht="15.75" customHeight="1">
      <c r="A720" s="14" t="s">
        <v>391</v>
      </c>
      <c r="B720" s="15" t="s">
        <v>7824</v>
      </c>
      <c r="C720" s="16"/>
      <c r="D720" s="15" t="s">
        <v>432</v>
      </c>
      <c r="G720" s="14" t="s">
        <v>393</v>
      </c>
      <c r="H720" s="14" t="s">
        <v>394</v>
      </c>
      <c r="I720" s="14" t="b">
        <v>1</v>
      </c>
      <c r="J720" s="14" t="s">
        <v>395</v>
      </c>
      <c r="L720" s="14" t="b">
        <v>0</v>
      </c>
      <c r="M720" s="15" t="s">
        <v>7830</v>
      </c>
      <c r="N720" s="14" t="s">
        <v>393</v>
      </c>
      <c r="O720" s="14" t="s">
        <v>393</v>
      </c>
      <c r="P720" s="15" t="s">
        <v>397</v>
      </c>
      <c r="Q720" s="15" t="s">
        <v>4231</v>
      </c>
      <c r="T720" s="14" t="b">
        <v>0</v>
      </c>
      <c r="U720" s="15" t="s">
        <v>7831</v>
      </c>
      <c r="V720" s="15" t="s">
        <v>6822</v>
      </c>
      <c r="W720" s="15" t="s">
        <v>401</v>
      </c>
      <c r="X720" s="15" t="s">
        <v>695</v>
      </c>
      <c r="Y720" s="15">
        <v>2522.0</v>
      </c>
      <c r="AA720" s="15" t="str">
        <f t="shared" ref="AA720:AA721" si="1231">"970"</f>
        <v>970</v>
      </c>
      <c r="AB720" s="14" t="b">
        <v>1</v>
      </c>
      <c r="AC720" s="14" t="b">
        <v>1</v>
      </c>
      <c r="AD720" s="15" t="str">
        <f>"801542183677"</f>
        <v>801542183677</v>
      </c>
      <c r="AE720" s="15" t="s">
        <v>7832</v>
      </c>
      <c r="AF720" s="14" t="s">
        <v>404</v>
      </c>
      <c r="AG720" s="14" t="s">
        <v>405</v>
      </c>
      <c r="AH720" s="14" t="s">
        <v>406</v>
      </c>
      <c r="AI720" s="15">
        <v>0.0</v>
      </c>
      <c r="AL720" s="15" t="s">
        <v>1600</v>
      </c>
      <c r="AM720" s="15" t="s">
        <v>546</v>
      </c>
      <c r="AN720" s="15" t="s">
        <v>547</v>
      </c>
      <c r="AO720" s="15" t="s">
        <v>622</v>
      </c>
      <c r="AP720" s="15" t="s">
        <v>623</v>
      </c>
      <c r="AQ720" s="15" t="s">
        <v>410</v>
      </c>
      <c r="AR720" s="15" t="s">
        <v>439</v>
      </c>
      <c r="AS720" s="15" t="s">
        <v>1628</v>
      </c>
      <c r="AT720" s="15" t="s">
        <v>4231</v>
      </c>
      <c r="AW720" s="15" t="s">
        <v>706</v>
      </c>
      <c r="AX720" s="15" t="s">
        <v>707</v>
      </c>
      <c r="AY720" s="15" t="s">
        <v>413</v>
      </c>
      <c r="AZ720" s="15" t="b">
        <v>0</v>
      </c>
      <c r="BA720" s="15" t="s">
        <v>413</v>
      </c>
      <c r="BB720" s="15" t="b">
        <v>0</v>
      </c>
      <c r="BC720" s="15" t="s">
        <v>7833</v>
      </c>
      <c r="BD720" s="15" t="s">
        <v>709</v>
      </c>
      <c r="BE720" s="15" t="str">
        <f t="shared" si="1205"/>
        <v>1</v>
      </c>
      <c r="BF720" s="15" t="s">
        <v>7829</v>
      </c>
      <c r="BG720" s="15" t="str">
        <f t="shared" si="1225"/>
        <v>31.89</v>
      </c>
      <c r="BH720" s="15" t="s">
        <v>1183</v>
      </c>
      <c r="BI720" s="15" t="str">
        <f t="shared" si="1226"/>
        <v>36.61</v>
      </c>
      <c r="BJ720" s="15" t="s">
        <v>1734</v>
      </c>
      <c r="BK720" s="15" t="str">
        <f t="shared" si="1227"/>
        <v>31.1</v>
      </c>
      <c r="BL720" s="15" t="s">
        <v>1386</v>
      </c>
      <c r="BM720" s="15" t="str">
        <f t="shared" si="1228"/>
        <v>92.59</v>
      </c>
      <c r="BN720" s="15" t="s">
        <v>3348</v>
      </c>
      <c r="BQ720" s="15" t="s">
        <v>444</v>
      </c>
      <c r="BS720" s="15" t="s">
        <v>444</v>
      </c>
      <c r="BU720" s="15" t="s">
        <v>444</v>
      </c>
      <c r="BW720" s="15" t="s">
        <v>444</v>
      </c>
      <c r="BZ720" s="15" t="s">
        <v>444</v>
      </c>
      <c r="CB720" s="15" t="s">
        <v>444</v>
      </c>
      <c r="CD720" s="15" t="s">
        <v>444</v>
      </c>
      <c r="CF720" s="15" t="s">
        <v>444</v>
      </c>
      <c r="CI720" s="15" t="s">
        <v>444</v>
      </c>
      <c r="CK720" s="15" t="s">
        <v>444</v>
      </c>
      <c r="CM720" s="15" t="s">
        <v>444</v>
      </c>
      <c r="CO720" s="15" t="s">
        <v>444</v>
      </c>
      <c r="CP720" s="15" t="str">
        <f t="shared" si="1229"/>
        <v>19.03</v>
      </c>
      <c r="CQ720" s="15" t="str">
        <f t="shared" si="1230"/>
        <v>0.539</v>
      </c>
      <c r="CR720" s="15" t="s">
        <v>465</v>
      </c>
      <c r="CY720" s="15" t="s">
        <v>1574</v>
      </c>
      <c r="CZ720" s="15" t="s">
        <v>1213</v>
      </c>
      <c r="DA720" s="15" t="s">
        <v>555</v>
      </c>
      <c r="DB720" s="15" t="s">
        <v>1072</v>
      </c>
      <c r="DC720" s="15" t="str">
        <f>IFERROR(__xludf.DUMMYFUNCTION("""COMPUTED_VALUE"""),"{""value"":22.00,""unit"":""in""}")</f>
        <v>{"value":22.00,"unit":"in"}</v>
      </c>
      <c r="DD720" s="15" t="s">
        <v>1065</v>
      </c>
      <c r="DE720" s="15" t="str">
        <f>IFERROR(__xludf.DUMMYFUNCTION("""COMPUTED_VALUE"""),"{""value"":18.00,""unit"":""in""}")</f>
        <v>{"value":18.00,"unit":"in"}</v>
      </c>
      <c r="DF720" s="15" t="s">
        <v>555</v>
      </c>
      <c r="DG720" s="15" t="str">
        <f>IFERROR(__xludf.DUMMYFUNCTION("""COMPUTED_VALUE"""),"{""value"":25.00,""unit"":""in""}")</f>
        <v>{"value":25.00,"unit":"in"}</v>
      </c>
      <c r="DH720" s="15">
        <v>0.0</v>
      </c>
      <c r="DI720" s="15">
        <v>1.0</v>
      </c>
      <c r="DJ720" s="15" t="s">
        <v>717</v>
      </c>
      <c r="DK720" s="15" t="s">
        <v>718</v>
      </c>
      <c r="DL720" s="15" t="str">
        <f>IFERROR(__xludf.DUMMYFUNCTION("""COMPUTED_VALUE"""),"Vacuum or light brush only. Do not use water or any cleaning products.")</f>
        <v>Vacuum or light brush only. Do not use water or any cleaning products.</v>
      </c>
      <c r="DM720" s="15" t="s">
        <v>719</v>
      </c>
      <c r="DQ720" s="15" t="s">
        <v>3543</v>
      </c>
      <c r="DT720" s="15" t="s">
        <v>721</v>
      </c>
      <c r="DU720" s="15" t="s">
        <v>1605</v>
      </c>
      <c r="DV720" s="15">
        <v>0.0</v>
      </c>
      <c r="DZ720" s="15">
        <v>0.0</v>
      </c>
      <c r="EA720" s="15" t="s">
        <v>990</v>
      </c>
      <c r="EB720" s="15" t="s">
        <v>723</v>
      </c>
      <c r="EC720" s="15" t="s">
        <v>724</v>
      </c>
      <c r="ED720" s="15">
        <v>1.0</v>
      </c>
      <c r="EE720" s="15">
        <v>1.0</v>
      </c>
      <c r="EG720" s="15" t="s">
        <v>444</v>
      </c>
      <c r="EH720" s="15" t="s">
        <v>7818</v>
      </c>
      <c r="EI720" s="15">
        <v>0.0</v>
      </c>
      <c r="EJ720" s="15" t="s">
        <v>726</v>
      </c>
      <c r="EK720" s="15" t="s">
        <v>727</v>
      </c>
      <c r="EL720" s="15" t="s">
        <v>1286</v>
      </c>
      <c r="EM720" s="15" t="str">
        <f>IFERROR(__xludf.DUMMYFUNCTION("""COMPUTED_VALUE"""),"{""value"":23.50,""unit"":""in""}")</f>
        <v>{"value":23.50,"unit":"in"}</v>
      </c>
      <c r="EN720" s="15" t="s">
        <v>1069</v>
      </c>
      <c r="EO720" s="15" t="s">
        <v>1739</v>
      </c>
      <c r="ES720" s="15" t="s">
        <v>1236</v>
      </c>
      <c r="ET720" s="15" t="s">
        <v>2116</v>
      </c>
      <c r="EU720" s="15" t="s">
        <v>1065</v>
      </c>
      <c r="EV720" s="15" t="s">
        <v>555</v>
      </c>
      <c r="EW720" s="15" t="s">
        <v>672</v>
      </c>
      <c r="EX720" s="15" t="s">
        <v>1808</v>
      </c>
      <c r="EY720" s="15" t="s">
        <v>1808</v>
      </c>
      <c r="EZ720" s="15" t="s">
        <v>1592</v>
      </c>
      <c r="FC720" s="15" t="s">
        <v>723</v>
      </c>
      <c r="FD720" s="15" t="s">
        <v>724</v>
      </c>
      <c r="FE720" s="15" t="s">
        <v>2028</v>
      </c>
      <c r="FF720" s="15" t="s">
        <v>1290</v>
      </c>
      <c r="FQ720" s="15">
        <v>0.0</v>
      </c>
      <c r="FR720" s="15">
        <v>0.0</v>
      </c>
      <c r="FT720" s="15">
        <v>0.0</v>
      </c>
      <c r="IL720" s="15" t="s">
        <v>1610</v>
      </c>
    </row>
    <row r="721" ht="15.75" customHeight="1">
      <c r="A721" s="14" t="s">
        <v>391</v>
      </c>
      <c r="B721" s="15" t="s">
        <v>7824</v>
      </c>
      <c r="C721" s="16"/>
      <c r="D721" s="15" t="s">
        <v>432</v>
      </c>
      <c r="G721" s="14" t="s">
        <v>393</v>
      </c>
      <c r="H721" s="14" t="s">
        <v>394</v>
      </c>
      <c r="I721" s="14" t="b">
        <v>1</v>
      </c>
      <c r="J721" s="14" t="s">
        <v>395</v>
      </c>
      <c r="L721" s="14" t="b">
        <v>0</v>
      </c>
      <c r="M721" s="15" t="s">
        <v>7834</v>
      </c>
      <c r="N721" s="14" t="s">
        <v>393</v>
      </c>
      <c r="O721" s="14" t="s">
        <v>393</v>
      </c>
      <c r="P721" s="15" t="s">
        <v>397</v>
      </c>
      <c r="Q721" s="15" t="s">
        <v>3874</v>
      </c>
      <c r="T721" s="14" t="b">
        <v>0</v>
      </c>
      <c r="U721" s="15" t="s">
        <v>7835</v>
      </c>
      <c r="V721" s="15" t="s">
        <v>6822</v>
      </c>
      <c r="W721" s="15" t="s">
        <v>401</v>
      </c>
      <c r="X721" s="15" t="s">
        <v>695</v>
      </c>
      <c r="Y721" s="15">
        <v>2522.0</v>
      </c>
      <c r="AA721" s="15" t="str">
        <f t="shared" si="1231"/>
        <v>970</v>
      </c>
      <c r="AB721" s="14" t="b">
        <v>1</v>
      </c>
      <c r="AC721" s="14" t="b">
        <v>1</v>
      </c>
      <c r="AD721" s="15" t="str">
        <f>"801542081249"</f>
        <v>801542081249</v>
      </c>
      <c r="AE721" s="15" t="s">
        <v>7836</v>
      </c>
      <c r="AF721" s="14" t="s">
        <v>404</v>
      </c>
      <c r="AG721" s="14" t="s">
        <v>405</v>
      </c>
      <c r="AH721" s="14" t="s">
        <v>406</v>
      </c>
      <c r="AI721" s="15">
        <v>0.0</v>
      </c>
      <c r="AL721" s="15" t="s">
        <v>1600</v>
      </c>
      <c r="AM721" s="15" t="s">
        <v>546</v>
      </c>
      <c r="AN721" s="15" t="s">
        <v>547</v>
      </c>
      <c r="AO721" s="15" t="s">
        <v>622</v>
      </c>
      <c r="AP721" s="15" t="s">
        <v>623</v>
      </c>
      <c r="AQ721" s="15" t="s">
        <v>410</v>
      </c>
      <c r="AR721" s="15" t="s">
        <v>439</v>
      </c>
      <c r="AS721" s="15" t="s">
        <v>1628</v>
      </c>
      <c r="AT721" s="15" t="s">
        <v>3874</v>
      </c>
      <c r="AW721" s="15" t="s">
        <v>706</v>
      </c>
      <c r="AX721" s="15" t="s">
        <v>707</v>
      </c>
      <c r="AY721" s="15" t="s">
        <v>413</v>
      </c>
      <c r="AZ721" s="15" t="b">
        <v>0</v>
      </c>
      <c r="BA721" s="15" t="s">
        <v>413</v>
      </c>
      <c r="BB721" s="15" t="b">
        <v>0</v>
      </c>
      <c r="BC721" s="15" t="s">
        <v>7837</v>
      </c>
      <c r="BD721" s="15" t="s">
        <v>709</v>
      </c>
      <c r="BE721" s="15" t="str">
        <f t="shared" si="1205"/>
        <v>1</v>
      </c>
      <c r="BF721" s="15" t="s">
        <v>7838</v>
      </c>
      <c r="BG721" s="15" t="str">
        <f t="shared" si="1225"/>
        <v>31.89</v>
      </c>
      <c r="BH721" s="15" t="s">
        <v>1183</v>
      </c>
      <c r="BI721" s="15" t="str">
        <f t="shared" si="1226"/>
        <v>36.61</v>
      </c>
      <c r="BJ721" s="15" t="s">
        <v>1734</v>
      </c>
      <c r="BK721" s="15" t="str">
        <f t="shared" si="1227"/>
        <v>31.1</v>
      </c>
      <c r="BL721" s="15" t="s">
        <v>1386</v>
      </c>
      <c r="BM721" s="15" t="str">
        <f t="shared" si="1228"/>
        <v>92.59</v>
      </c>
      <c r="BN721" s="15" t="s">
        <v>3348</v>
      </c>
      <c r="BQ721" s="15" t="s">
        <v>444</v>
      </c>
      <c r="BS721" s="15" t="s">
        <v>444</v>
      </c>
      <c r="BU721" s="15" t="s">
        <v>444</v>
      </c>
      <c r="BW721" s="15" t="s">
        <v>444</v>
      </c>
      <c r="BZ721" s="15" t="s">
        <v>444</v>
      </c>
      <c r="CB721" s="15" t="s">
        <v>444</v>
      </c>
      <c r="CD721" s="15" t="s">
        <v>444</v>
      </c>
      <c r="CF721" s="15" t="s">
        <v>444</v>
      </c>
      <c r="CI721" s="15" t="s">
        <v>444</v>
      </c>
      <c r="CK721" s="15" t="s">
        <v>444</v>
      </c>
      <c r="CM721" s="15" t="s">
        <v>444</v>
      </c>
      <c r="CO721" s="15" t="s">
        <v>444</v>
      </c>
      <c r="CP721" s="15" t="str">
        <f t="shared" si="1229"/>
        <v>19.03</v>
      </c>
      <c r="CQ721" s="15" t="str">
        <f t="shared" si="1230"/>
        <v>0.539</v>
      </c>
      <c r="CR721" s="15" t="s">
        <v>497</v>
      </c>
      <c r="CY721" s="15" t="s">
        <v>1574</v>
      </c>
      <c r="CZ721" s="15" t="s">
        <v>1213</v>
      </c>
      <c r="DA721" s="15" t="s">
        <v>555</v>
      </c>
      <c r="DB721" s="15" t="s">
        <v>1072</v>
      </c>
      <c r="DC721" s="15" t="str">
        <f>IFERROR(__xludf.DUMMYFUNCTION("""COMPUTED_VALUE"""),"{""value"":22.00,""unit"":""in""}")</f>
        <v>{"value":22.00,"unit":"in"}</v>
      </c>
      <c r="DD721" s="15" t="s">
        <v>1065</v>
      </c>
      <c r="DE721" s="15" t="str">
        <f>IFERROR(__xludf.DUMMYFUNCTION("""COMPUTED_VALUE"""),"{""value"":18.00,""unit"":""in""}")</f>
        <v>{"value":18.00,"unit":"in"}</v>
      </c>
      <c r="DF721" s="15" t="s">
        <v>555</v>
      </c>
      <c r="DG721" s="15" t="str">
        <f>IFERROR(__xludf.DUMMYFUNCTION("""COMPUTED_VALUE"""),"{""value"":25.00,""unit"":""in""}")</f>
        <v>{"value":25.00,"unit":"in"}</v>
      </c>
      <c r="DH721" s="15">
        <v>0.0</v>
      </c>
      <c r="DI721" s="15">
        <v>1.0</v>
      </c>
      <c r="DJ721" s="15" t="s">
        <v>717</v>
      </c>
      <c r="DK721" s="15" t="s">
        <v>718</v>
      </c>
      <c r="DL721" s="15" t="str">
        <f>IFERROR(__xludf.DUMMYFUNCTION("""COMPUTED_VALUE"""),"Vacuum or light brush only. Do not use water or any cleaning products.")</f>
        <v>Vacuum or light brush only. Do not use water or any cleaning products.</v>
      </c>
      <c r="DM721" s="15" t="s">
        <v>719</v>
      </c>
      <c r="DQ721" s="15" t="s">
        <v>3543</v>
      </c>
      <c r="DT721" s="15" t="s">
        <v>721</v>
      </c>
      <c r="DU721" s="15" t="s">
        <v>1605</v>
      </c>
      <c r="DV721" s="15">
        <v>0.0</v>
      </c>
      <c r="DZ721" s="15">
        <v>0.0</v>
      </c>
      <c r="EA721" s="15" t="s">
        <v>990</v>
      </c>
      <c r="EB721" s="15" t="s">
        <v>723</v>
      </c>
      <c r="EC721" s="15" t="s">
        <v>724</v>
      </c>
      <c r="ED721" s="15">
        <v>1.0</v>
      </c>
      <c r="EE721" s="15">
        <v>1.0</v>
      </c>
      <c r="EG721" s="15" t="s">
        <v>444</v>
      </c>
      <c r="EH721" s="15" t="s">
        <v>7818</v>
      </c>
      <c r="EI721" s="15">
        <v>0.0</v>
      </c>
      <c r="EJ721" s="15" t="s">
        <v>726</v>
      </c>
      <c r="EK721" s="15" t="s">
        <v>727</v>
      </c>
      <c r="EL721" s="15" t="s">
        <v>1286</v>
      </c>
      <c r="EM721" s="15" t="str">
        <f>IFERROR(__xludf.DUMMYFUNCTION("""COMPUTED_VALUE"""),"{""value"":23.50,""unit"":""in""}")</f>
        <v>{"value":23.50,"unit":"in"}</v>
      </c>
      <c r="EN721" s="15" t="s">
        <v>1069</v>
      </c>
      <c r="EO721" s="15" t="s">
        <v>1739</v>
      </c>
      <c r="ES721" s="15" t="s">
        <v>1236</v>
      </c>
      <c r="ET721" s="15" t="s">
        <v>2116</v>
      </c>
      <c r="EU721" s="15" t="s">
        <v>1065</v>
      </c>
      <c r="EV721" s="15" t="s">
        <v>555</v>
      </c>
      <c r="EW721" s="15" t="s">
        <v>672</v>
      </c>
      <c r="EX721" s="15" t="s">
        <v>1808</v>
      </c>
      <c r="EY721" s="15" t="s">
        <v>1808</v>
      </c>
      <c r="EZ721" s="15" t="s">
        <v>1592</v>
      </c>
      <c r="FC721" s="15" t="s">
        <v>723</v>
      </c>
      <c r="FD721" s="15" t="s">
        <v>724</v>
      </c>
      <c r="FE721" s="15" t="s">
        <v>2028</v>
      </c>
      <c r="FF721" s="15" t="s">
        <v>1290</v>
      </c>
      <c r="FQ721" s="15">
        <v>0.0</v>
      </c>
      <c r="FR721" s="15">
        <v>0.0</v>
      </c>
      <c r="FT721" s="15">
        <v>0.0</v>
      </c>
      <c r="IL721" s="15" t="s">
        <v>1610</v>
      </c>
    </row>
    <row r="722" ht="15.75" customHeight="1">
      <c r="A722" s="14" t="s">
        <v>391</v>
      </c>
      <c r="B722" s="15" t="s">
        <v>7839</v>
      </c>
      <c r="C722" s="16"/>
      <c r="D722" s="15" t="s">
        <v>432</v>
      </c>
      <c r="G722" s="14" t="s">
        <v>393</v>
      </c>
      <c r="H722" s="14" t="s">
        <v>394</v>
      </c>
      <c r="I722" s="14" t="b">
        <v>1</v>
      </c>
      <c r="J722" s="14" t="s">
        <v>395</v>
      </c>
      <c r="L722" s="14" t="b">
        <v>0</v>
      </c>
      <c r="M722" s="15" t="s">
        <v>7840</v>
      </c>
      <c r="N722" s="14" t="s">
        <v>393</v>
      </c>
      <c r="O722" s="14" t="s">
        <v>393</v>
      </c>
      <c r="P722" s="15" t="s">
        <v>397</v>
      </c>
      <c r="Q722" s="15" t="s">
        <v>7841</v>
      </c>
      <c r="T722" s="14" t="b">
        <v>0</v>
      </c>
      <c r="U722" s="15" t="s">
        <v>7842</v>
      </c>
      <c r="V722" s="15" t="s">
        <v>6694</v>
      </c>
      <c r="W722" s="15" t="s">
        <v>401</v>
      </c>
      <c r="X722" s="15" t="s">
        <v>695</v>
      </c>
      <c r="Y722" s="15">
        <v>4043.0</v>
      </c>
      <c r="AA722" s="15" t="str">
        <f>"1555"</f>
        <v>1555</v>
      </c>
      <c r="AB722" s="14" t="b">
        <v>1</v>
      </c>
      <c r="AC722" s="14" t="b">
        <v>1</v>
      </c>
      <c r="AD722" s="15" t="str">
        <f>"801542377816"</f>
        <v>801542377816</v>
      </c>
      <c r="AE722" s="15" t="s">
        <v>7843</v>
      </c>
      <c r="AF722" s="14" t="s">
        <v>404</v>
      </c>
      <c r="AG722" s="14" t="s">
        <v>405</v>
      </c>
      <c r="AH722" s="14" t="s">
        <v>406</v>
      </c>
      <c r="AI722" s="15">
        <v>0.0</v>
      </c>
      <c r="AL722" s="15" t="s">
        <v>7844</v>
      </c>
      <c r="AM722" s="15" t="s">
        <v>513</v>
      </c>
      <c r="AN722" s="15" t="s">
        <v>514</v>
      </c>
      <c r="AO722" s="15" t="s">
        <v>456</v>
      </c>
      <c r="AP722" s="15" t="s">
        <v>457</v>
      </c>
      <c r="AQ722" s="15" t="s">
        <v>410</v>
      </c>
      <c r="AR722" s="15" t="s">
        <v>439</v>
      </c>
      <c r="AS722" s="15" t="s">
        <v>3185</v>
      </c>
      <c r="AT722" s="15" t="s">
        <v>7841</v>
      </c>
      <c r="AU722" s="15" t="s">
        <v>2938</v>
      </c>
      <c r="AW722" s="15" t="s">
        <v>519</v>
      </c>
      <c r="AY722" s="15" t="s">
        <v>413</v>
      </c>
      <c r="AZ722" s="15" t="b">
        <v>0</v>
      </c>
      <c r="BA722" s="15" t="s">
        <v>413</v>
      </c>
      <c r="BB722" s="15" t="b">
        <v>0</v>
      </c>
      <c r="BC722" s="15" t="s">
        <v>7845</v>
      </c>
      <c r="BD722" s="15" t="s">
        <v>709</v>
      </c>
      <c r="BE722" s="15" t="str">
        <f>"2"</f>
        <v>2</v>
      </c>
      <c r="BF722" s="15" t="s">
        <v>1564</v>
      </c>
      <c r="BG722" s="15" t="str">
        <f>"93.11"</f>
        <v>93.11</v>
      </c>
      <c r="BH722" s="15" t="s">
        <v>7846</v>
      </c>
      <c r="BI722" s="15" t="str">
        <f>"8.46"</f>
        <v>8.46</v>
      </c>
      <c r="BJ722" s="15" t="s">
        <v>7847</v>
      </c>
      <c r="BK722" s="15" t="str">
        <f>"26.18"</f>
        <v>26.18</v>
      </c>
      <c r="BL722" s="15" t="s">
        <v>5583</v>
      </c>
      <c r="BM722" s="15" t="str">
        <f>"295.42"</f>
        <v>295.42</v>
      </c>
      <c r="BN722" s="15" t="s">
        <v>6530</v>
      </c>
      <c r="BO722" s="15" t="s">
        <v>2238</v>
      </c>
      <c r="BP722" s="15" t="str">
        <f>"76.18"</f>
        <v>76.18</v>
      </c>
      <c r="BQ722" s="15" t="s">
        <v>7848</v>
      </c>
      <c r="BR722" s="15" t="str">
        <f>"10.24"</f>
        <v>10.24</v>
      </c>
      <c r="BS722" s="15" t="s">
        <v>6791</v>
      </c>
      <c r="BT722" s="15" t="str">
        <f>"24.61"</f>
        <v>24.61</v>
      </c>
      <c r="BU722" s="15" t="s">
        <v>1033</v>
      </c>
      <c r="BV722" s="15" t="str">
        <f>"90.39"</f>
        <v>90.39</v>
      </c>
      <c r="BW722" s="15" t="s">
        <v>1525</v>
      </c>
      <c r="BZ722" s="15" t="s">
        <v>444</v>
      </c>
      <c r="CB722" s="15" t="s">
        <v>444</v>
      </c>
      <c r="CD722" s="15" t="s">
        <v>444</v>
      </c>
      <c r="CF722" s="15" t="s">
        <v>444</v>
      </c>
      <c r="CI722" s="15" t="s">
        <v>444</v>
      </c>
      <c r="CK722" s="15" t="s">
        <v>444</v>
      </c>
      <c r="CM722" s="15" t="s">
        <v>444</v>
      </c>
      <c r="CO722" s="15" t="s">
        <v>444</v>
      </c>
      <c r="CP722" s="15" t="str">
        <f>"23.06"</f>
        <v>23.06</v>
      </c>
      <c r="CQ722" s="15" t="str">
        <f>"0.653"</f>
        <v>0.653</v>
      </c>
      <c r="CR722" s="15" t="s">
        <v>465</v>
      </c>
      <c r="DC722" s="15" t="str">
        <f>IFERROR(__xludf.DUMMYFUNCTION("""COMPUTED_VALUE"""),"")</f>
        <v/>
      </c>
      <c r="DE722" s="15" t="str">
        <f>IFERROR(__xludf.DUMMYFUNCTION("""COMPUTED_VALUE"""),"")</f>
        <v/>
      </c>
      <c r="DG722" s="15" t="str">
        <f>IFERROR(__xludf.DUMMYFUNCTION("""COMPUTED_VALUE"""),"")</f>
        <v/>
      </c>
      <c r="DL722" s="15" t="str">
        <f>IFERROR(__xludf.DUMMYFUNCTION("""COMPUTED_VALUE"""),"")</f>
        <v/>
      </c>
      <c r="DM722" s="15" t="s">
        <v>444</v>
      </c>
      <c r="DN722" s="15" t="s">
        <v>419</v>
      </c>
      <c r="DO722" s="15">
        <v>0.0</v>
      </c>
      <c r="DP722" s="15" t="s">
        <v>419</v>
      </c>
      <c r="DR722" s="15">
        <v>0.0</v>
      </c>
      <c r="DT722" s="15" t="s">
        <v>1388</v>
      </c>
      <c r="DU722" s="15" t="s">
        <v>419</v>
      </c>
      <c r="DY722" s="15">
        <v>0.0</v>
      </c>
      <c r="EF722" s="15" t="s">
        <v>471</v>
      </c>
      <c r="EG722" s="15" t="s">
        <v>472</v>
      </c>
      <c r="EH722" s="15" t="s">
        <v>7849</v>
      </c>
      <c r="EJ722" s="15" t="s">
        <v>424</v>
      </c>
      <c r="EK722" s="15" t="s">
        <v>446</v>
      </c>
      <c r="EM722" s="15" t="str">
        <f>IFERROR(__xludf.DUMMYFUNCTION("""COMPUTED_VALUE"""),"")</f>
        <v/>
      </c>
      <c r="EW722" s="15" t="s">
        <v>7850</v>
      </c>
      <c r="EY722" s="15" t="s">
        <v>7851</v>
      </c>
      <c r="FH722" s="15" t="s">
        <v>5533</v>
      </c>
      <c r="FI722" s="15" t="s">
        <v>7852</v>
      </c>
      <c r="FJ722" s="15" t="s">
        <v>759</v>
      </c>
      <c r="FK722" s="15" t="s">
        <v>1444</v>
      </c>
      <c r="FL722" s="15" t="s">
        <v>426</v>
      </c>
      <c r="FM722" s="15">
        <v>0.0</v>
      </c>
      <c r="FN722" s="15">
        <v>0.0</v>
      </c>
      <c r="FW722" s="15" t="s">
        <v>670</v>
      </c>
      <c r="GH722" s="15">
        <v>0.0</v>
      </c>
      <c r="GI722" s="15" t="s">
        <v>427</v>
      </c>
    </row>
    <row r="723" ht="15.75" customHeight="1">
      <c r="A723" s="14" t="s">
        <v>391</v>
      </c>
      <c r="B723" s="15" t="s">
        <v>7853</v>
      </c>
      <c r="C723" s="16"/>
      <c r="D723" s="15" t="s">
        <v>432</v>
      </c>
      <c r="G723" s="14" t="s">
        <v>393</v>
      </c>
      <c r="H723" s="14" t="s">
        <v>394</v>
      </c>
      <c r="I723" s="14" t="b">
        <v>1</v>
      </c>
      <c r="J723" s="14" t="s">
        <v>395</v>
      </c>
      <c r="L723" s="14" t="b">
        <v>0</v>
      </c>
      <c r="M723" s="15" t="s">
        <v>7854</v>
      </c>
      <c r="N723" s="14" t="s">
        <v>393</v>
      </c>
      <c r="O723" s="14" t="s">
        <v>393</v>
      </c>
      <c r="P723" s="15" t="s">
        <v>397</v>
      </c>
      <c r="Q723" s="15" t="s">
        <v>7855</v>
      </c>
      <c r="T723" s="14" t="b">
        <v>0</v>
      </c>
      <c r="U723" s="15" t="s">
        <v>7856</v>
      </c>
      <c r="V723" s="15" t="s">
        <v>4889</v>
      </c>
      <c r="W723" s="15" t="s">
        <v>401</v>
      </c>
      <c r="X723" s="15" t="s">
        <v>742</v>
      </c>
      <c r="Y723" s="15">
        <v>2080.0</v>
      </c>
      <c r="AA723" s="15" t="str">
        <f>"800"</f>
        <v>800</v>
      </c>
      <c r="AB723" s="14" t="b">
        <v>1</v>
      </c>
      <c r="AC723" s="14" t="b">
        <v>1</v>
      </c>
      <c r="AD723" s="15" t="str">
        <f>"801542373191"</f>
        <v>801542373191</v>
      </c>
      <c r="AE723" s="15" t="s">
        <v>7857</v>
      </c>
      <c r="AF723" s="14" t="s">
        <v>404</v>
      </c>
      <c r="AG723" s="14" t="s">
        <v>405</v>
      </c>
      <c r="AH723" s="14" t="s">
        <v>406</v>
      </c>
      <c r="AI723" s="15">
        <v>0.0</v>
      </c>
      <c r="AL723" s="15" t="s">
        <v>7858</v>
      </c>
      <c r="AM723" s="15" t="s">
        <v>2355</v>
      </c>
      <c r="AN723" s="15" t="s">
        <v>2356</v>
      </c>
      <c r="AO723" s="15" t="s">
        <v>1007</v>
      </c>
      <c r="AP723" s="15" t="s">
        <v>1008</v>
      </c>
      <c r="AQ723" s="15" t="s">
        <v>410</v>
      </c>
      <c r="AR723" s="15" t="s">
        <v>439</v>
      </c>
      <c r="AS723" s="15" t="s">
        <v>751</v>
      </c>
      <c r="AT723" s="15" t="s">
        <v>7855</v>
      </c>
      <c r="AW723" s="15" t="s">
        <v>519</v>
      </c>
      <c r="AY723" s="15" t="s">
        <v>413</v>
      </c>
      <c r="AZ723" s="15" t="b">
        <v>0</v>
      </c>
      <c r="BA723" s="15" t="s">
        <v>413</v>
      </c>
      <c r="BB723" s="15" t="b">
        <v>0</v>
      </c>
      <c r="BC723" s="15" t="s">
        <v>7859</v>
      </c>
      <c r="BD723" s="15" t="s">
        <v>742</v>
      </c>
      <c r="BE723" s="15" t="str">
        <f t="shared" ref="BE723:BE735" si="1232">"1"</f>
        <v>1</v>
      </c>
      <c r="BF723" s="15" t="s">
        <v>416</v>
      </c>
      <c r="BG723" s="15" t="str">
        <f>"82.68"</f>
        <v>82.68</v>
      </c>
      <c r="BH723" s="15" t="s">
        <v>6076</v>
      </c>
      <c r="BI723" s="15" t="str">
        <f>"21.65"</f>
        <v>21.65</v>
      </c>
      <c r="BJ723" s="15" t="s">
        <v>1506</v>
      </c>
      <c r="BK723" s="15" t="str">
        <f>"13.98"</f>
        <v>13.98</v>
      </c>
      <c r="BL723" s="15" t="s">
        <v>5067</v>
      </c>
      <c r="BM723" s="15" t="str">
        <f>"134.48"</f>
        <v>134.48</v>
      </c>
      <c r="BN723" s="15" t="s">
        <v>983</v>
      </c>
      <c r="BQ723" s="15" t="s">
        <v>444</v>
      </c>
      <c r="BS723" s="15" t="s">
        <v>444</v>
      </c>
      <c r="BU723" s="15" t="s">
        <v>444</v>
      </c>
      <c r="BW723" s="15" t="s">
        <v>444</v>
      </c>
      <c r="BZ723" s="15" t="s">
        <v>444</v>
      </c>
      <c r="CB723" s="15" t="s">
        <v>444</v>
      </c>
      <c r="CD723" s="15" t="s">
        <v>444</v>
      </c>
      <c r="CF723" s="15" t="s">
        <v>444</v>
      </c>
      <c r="CI723" s="15" t="s">
        <v>444</v>
      </c>
      <c r="CK723" s="15" t="s">
        <v>444</v>
      </c>
      <c r="CM723" s="15" t="s">
        <v>444</v>
      </c>
      <c r="CO723" s="15" t="s">
        <v>444</v>
      </c>
      <c r="CP723" s="15" t="str">
        <f>"14.48"</f>
        <v>14.48</v>
      </c>
      <c r="CQ723" s="15" t="str">
        <f>"0.41"</f>
        <v>0.41</v>
      </c>
      <c r="CR723" s="15" t="s">
        <v>465</v>
      </c>
      <c r="DC723" s="15" t="str">
        <f>IFERROR(__xludf.DUMMYFUNCTION("""COMPUTED_VALUE"""),"")</f>
        <v/>
      </c>
      <c r="DE723" s="15" t="str">
        <f>IFERROR(__xludf.DUMMYFUNCTION("""COMPUTED_VALUE"""),"")</f>
        <v/>
      </c>
      <c r="DG723" s="15" t="str">
        <f>IFERROR(__xludf.DUMMYFUNCTION("""COMPUTED_VALUE"""),"")</f>
        <v/>
      </c>
      <c r="DL723" s="15" t="str">
        <f>IFERROR(__xludf.DUMMYFUNCTION("""COMPUTED_VALUE"""),"")</f>
        <v/>
      </c>
      <c r="DM723" s="15" t="s">
        <v>444</v>
      </c>
      <c r="DN723" s="15" t="s">
        <v>419</v>
      </c>
      <c r="DO723" s="15">
        <v>0.0</v>
      </c>
      <c r="DP723" s="15" t="s">
        <v>419</v>
      </c>
      <c r="DR723" s="15">
        <v>0.0</v>
      </c>
      <c r="DT723" s="15" t="s">
        <v>420</v>
      </c>
      <c r="DU723" s="15" t="s">
        <v>419</v>
      </c>
      <c r="DY723" s="15">
        <v>0.0</v>
      </c>
      <c r="EF723" s="15" t="s">
        <v>471</v>
      </c>
      <c r="EG723" s="15" t="s">
        <v>472</v>
      </c>
      <c r="EH723" s="15" t="s">
        <v>7860</v>
      </c>
      <c r="EJ723" s="15" t="s">
        <v>424</v>
      </c>
      <c r="EK723" s="15" t="s">
        <v>446</v>
      </c>
      <c r="EM723" s="15" t="str">
        <f>IFERROR(__xludf.DUMMYFUNCTION("""COMPUTED_VALUE"""),"")</f>
        <v/>
      </c>
      <c r="EW723" s="15" t="s">
        <v>4946</v>
      </c>
      <c r="EX723" s="15" t="s">
        <v>1549</v>
      </c>
      <c r="EY723" s="15" t="s">
        <v>7861</v>
      </c>
      <c r="FH723" s="15" t="s">
        <v>7862</v>
      </c>
      <c r="FI723" s="15" t="s">
        <v>7863</v>
      </c>
      <c r="FJ723" s="15" t="s">
        <v>7862</v>
      </c>
      <c r="FK723" s="15" t="s">
        <v>784</v>
      </c>
      <c r="FL723" s="15" t="s">
        <v>426</v>
      </c>
      <c r="FM723" s="15">
        <v>0.0</v>
      </c>
      <c r="FN723" s="15">
        <v>0.0</v>
      </c>
      <c r="GH723" s="15">
        <v>0.0</v>
      </c>
      <c r="GI723" s="15" t="s">
        <v>427</v>
      </c>
    </row>
    <row r="724" ht="15.75" customHeight="1">
      <c r="A724" s="14" t="s">
        <v>391</v>
      </c>
      <c r="B724" s="15" t="s">
        <v>7864</v>
      </c>
      <c r="C724" s="16"/>
      <c r="D724" s="15" t="s">
        <v>432</v>
      </c>
      <c r="G724" s="14" t="s">
        <v>393</v>
      </c>
      <c r="H724" s="14" t="s">
        <v>394</v>
      </c>
      <c r="I724" s="14" t="b">
        <v>1</v>
      </c>
      <c r="J724" s="14" t="s">
        <v>395</v>
      </c>
      <c r="L724" s="14" t="b">
        <v>0</v>
      </c>
      <c r="M724" s="15" t="s">
        <v>7865</v>
      </c>
      <c r="N724" s="14" t="s">
        <v>393</v>
      </c>
      <c r="O724" s="14" t="s">
        <v>393</v>
      </c>
      <c r="P724" s="15" t="s">
        <v>397</v>
      </c>
      <c r="Q724" s="15" t="s">
        <v>7855</v>
      </c>
      <c r="T724" s="14" t="b">
        <v>0</v>
      </c>
      <c r="U724" s="15" t="s">
        <v>7866</v>
      </c>
      <c r="V724" s="15" t="s">
        <v>6386</v>
      </c>
      <c r="W724" s="15" t="s">
        <v>401</v>
      </c>
      <c r="X724" s="15" t="s">
        <v>742</v>
      </c>
      <c r="Y724" s="15">
        <v>3276.0</v>
      </c>
      <c r="AA724" s="15" t="str">
        <f>"1260"</f>
        <v>1260</v>
      </c>
      <c r="AB724" s="14" t="b">
        <v>1</v>
      </c>
      <c r="AC724" s="14" t="b">
        <v>1</v>
      </c>
      <c r="AD724" s="15" t="str">
        <f>"198394058599"</f>
        <v>198394058599</v>
      </c>
      <c r="AE724" s="15" t="s">
        <v>7867</v>
      </c>
      <c r="AF724" s="14" t="s">
        <v>404</v>
      </c>
      <c r="AG724" s="14" t="s">
        <v>405</v>
      </c>
      <c r="AH724" s="14" t="s">
        <v>406</v>
      </c>
      <c r="AI724" s="15">
        <v>0.0</v>
      </c>
      <c r="AL724" s="15" t="s">
        <v>7858</v>
      </c>
      <c r="AM724" s="15" t="s">
        <v>1299</v>
      </c>
      <c r="AN724" s="15" t="s">
        <v>1300</v>
      </c>
      <c r="AO724" s="15" t="s">
        <v>2557</v>
      </c>
      <c r="AP724" s="15" t="s">
        <v>2558</v>
      </c>
      <c r="AQ724" s="15" t="s">
        <v>546</v>
      </c>
      <c r="AR724" s="15" t="s">
        <v>547</v>
      </c>
      <c r="AS724" s="15" t="s">
        <v>751</v>
      </c>
      <c r="AT724" s="15" t="s">
        <v>7855</v>
      </c>
      <c r="AW724" s="15" t="s">
        <v>548</v>
      </c>
      <c r="AX724" s="15" t="s">
        <v>549</v>
      </c>
      <c r="AY724" s="15" t="s">
        <v>413</v>
      </c>
      <c r="AZ724" s="15" t="b">
        <v>0</v>
      </c>
      <c r="BA724" s="15" t="s">
        <v>413</v>
      </c>
      <c r="BB724" s="15" t="b">
        <v>0</v>
      </c>
      <c r="BC724" s="15" t="s">
        <v>7868</v>
      </c>
      <c r="BD724" s="15" t="s">
        <v>742</v>
      </c>
      <c r="BE724" s="15" t="str">
        <f t="shared" si="1232"/>
        <v>1</v>
      </c>
      <c r="BF724" s="15" t="s">
        <v>7869</v>
      </c>
      <c r="BG724" s="15" t="str">
        <f>"102.95"</f>
        <v>102.95</v>
      </c>
      <c r="BH724" s="15" t="s">
        <v>7870</v>
      </c>
      <c r="BI724" s="15" t="str">
        <f>"8.66"</f>
        <v>8.66</v>
      </c>
      <c r="BJ724" s="15" t="s">
        <v>5329</v>
      </c>
      <c r="BK724" s="15" t="str">
        <f>"46.65"</f>
        <v>46.65</v>
      </c>
      <c r="BL724" s="15" t="s">
        <v>7871</v>
      </c>
      <c r="BM724" s="15" t="str">
        <f>"205.03"</f>
        <v>205.03</v>
      </c>
      <c r="BN724" s="15" t="s">
        <v>3283</v>
      </c>
      <c r="BQ724" s="15" t="s">
        <v>444</v>
      </c>
      <c r="BS724" s="15" t="s">
        <v>444</v>
      </c>
      <c r="BU724" s="15" t="s">
        <v>444</v>
      </c>
      <c r="BW724" s="15" t="s">
        <v>444</v>
      </c>
      <c r="BZ724" s="15" t="s">
        <v>444</v>
      </c>
      <c r="CB724" s="15" t="s">
        <v>444</v>
      </c>
      <c r="CD724" s="15" t="s">
        <v>444</v>
      </c>
      <c r="CF724" s="15" t="s">
        <v>444</v>
      </c>
      <c r="CI724" s="15" t="s">
        <v>444</v>
      </c>
      <c r="CK724" s="15" t="s">
        <v>444</v>
      </c>
      <c r="CM724" s="15" t="s">
        <v>444</v>
      </c>
      <c r="CO724" s="15" t="s">
        <v>444</v>
      </c>
      <c r="CP724" s="15" t="str">
        <f>"24.08"</f>
        <v>24.08</v>
      </c>
      <c r="CQ724" s="15" t="str">
        <f>"0.682"</f>
        <v>0.682</v>
      </c>
      <c r="CR724" s="15" t="s">
        <v>497</v>
      </c>
      <c r="DC724" s="15" t="str">
        <f>IFERROR(__xludf.DUMMYFUNCTION("""COMPUTED_VALUE"""),"")</f>
        <v/>
      </c>
      <c r="DE724" s="15" t="str">
        <f>IFERROR(__xludf.DUMMYFUNCTION("""COMPUTED_VALUE"""),"")</f>
        <v/>
      </c>
      <c r="DG724" s="15" t="str">
        <f>IFERROR(__xludf.DUMMYFUNCTION("""COMPUTED_VALUE"""),"")</f>
        <v/>
      </c>
      <c r="DL724" s="15" t="str">
        <f>IFERROR(__xludf.DUMMYFUNCTION("""COMPUTED_VALUE"""),"")</f>
        <v/>
      </c>
      <c r="DM724" s="15" t="s">
        <v>444</v>
      </c>
      <c r="DN724" s="15" t="s">
        <v>419</v>
      </c>
      <c r="DO724" s="15">
        <v>0.0</v>
      </c>
      <c r="DP724" s="15" t="s">
        <v>419</v>
      </c>
      <c r="DR724" s="15">
        <v>0.0</v>
      </c>
      <c r="DT724" s="15" t="s">
        <v>420</v>
      </c>
      <c r="DU724" s="15" t="s">
        <v>419</v>
      </c>
      <c r="DW724" s="15">
        <v>0.0</v>
      </c>
      <c r="DX724" s="15">
        <v>0.0</v>
      </c>
      <c r="DY724" s="15">
        <v>0.0</v>
      </c>
      <c r="EE724" s="15">
        <v>10.0</v>
      </c>
      <c r="EF724" s="15" t="s">
        <v>471</v>
      </c>
      <c r="EG724" s="15" t="s">
        <v>472</v>
      </c>
      <c r="EH724" s="15" t="s">
        <v>7860</v>
      </c>
      <c r="EJ724" s="15" t="s">
        <v>424</v>
      </c>
      <c r="EK724" s="15" t="s">
        <v>446</v>
      </c>
      <c r="EM724" s="15" t="str">
        <f>IFERROR(__xludf.DUMMYFUNCTION("""COMPUTED_VALUE"""),"")</f>
        <v/>
      </c>
      <c r="EW724" s="15" t="s">
        <v>7872</v>
      </c>
      <c r="EX724" s="15" t="s">
        <v>7873</v>
      </c>
      <c r="EY724" s="15" t="s">
        <v>7874</v>
      </c>
      <c r="FH724" s="15" t="s">
        <v>7875</v>
      </c>
      <c r="FI724" s="15" t="s">
        <v>3720</v>
      </c>
      <c r="FJ724" s="15" t="s">
        <v>7875</v>
      </c>
      <c r="FK724" s="15" t="s">
        <v>784</v>
      </c>
      <c r="FL724" s="15" t="s">
        <v>426</v>
      </c>
      <c r="FM724" s="15">
        <v>0.0</v>
      </c>
      <c r="FN724" s="15">
        <v>0.0</v>
      </c>
      <c r="FU724" s="15" t="s">
        <v>759</v>
      </c>
      <c r="FV724" s="15" t="s">
        <v>7872</v>
      </c>
      <c r="FX724" s="15" t="s">
        <v>559</v>
      </c>
    </row>
    <row r="725" ht="15.75" customHeight="1">
      <c r="A725" s="14" t="s">
        <v>391</v>
      </c>
      <c r="B725" s="15" t="s">
        <v>7876</v>
      </c>
      <c r="C725" s="16"/>
      <c r="D725" s="15" t="s">
        <v>432</v>
      </c>
      <c r="G725" s="14" t="s">
        <v>393</v>
      </c>
      <c r="H725" s="14" t="s">
        <v>394</v>
      </c>
      <c r="I725" s="14" t="b">
        <v>1</v>
      </c>
      <c r="J725" s="14" t="s">
        <v>395</v>
      </c>
      <c r="L725" s="14" t="b">
        <v>0</v>
      </c>
      <c r="M725" s="15" t="s">
        <v>7877</v>
      </c>
      <c r="N725" s="14" t="s">
        <v>393</v>
      </c>
      <c r="O725" s="14" t="s">
        <v>393</v>
      </c>
      <c r="P725" s="15" t="s">
        <v>397</v>
      </c>
      <c r="Q725" s="15" t="s">
        <v>3974</v>
      </c>
      <c r="T725" s="14" t="b">
        <v>0</v>
      </c>
      <c r="U725" s="15" t="s">
        <v>7878</v>
      </c>
      <c r="V725" s="15" t="s">
        <v>7879</v>
      </c>
      <c r="W725" s="15" t="s">
        <v>401</v>
      </c>
      <c r="X725" s="15" t="s">
        <v>1296</v>
      </c>
      <c r="Y725" s="15">
        <v>2847.0</v>
      </c>
      <c r="AA725" s="15" t="str">
        <f>"1095"</f>
        <v>1095</v>
      </c>
      <c r="AB725" s="14" t="b">
        <v>1</v>
      </c>
      <c r="AC725" s="14" t="b">
        <v>1</v>
      </c>
      <c r="AD725" s="15" t="str">
        <f>"801542129347"</f>
        <v>801542129347</v>
      </c>
      <c r="AE725" s="15" t="s">
        <v>7880</v>
      </c>
      <c r="AF725" s="14" t="s">
        <v>404</v>
      </c>
      <c r="AG725" s="14" t="s">
        <v>405</v>
      </c>
      <c r="AH725" s="14" t="s">
        <v>406</v>
      </c>
      <c r="AI725" s="15">
        <v>0.0</v>
      </c>
      <c r="AL725" s="15" t="s">
        <v>3369</v>
      </c>
      <c r="AM725" s="15" t="s">
        <v>679</v>
      </c>
      <c r="AN725" s="15" t="s">
        <v>680</v>
      </c>
      <c r="AO725" s="15" t="s">
        <v>1175</v>
      </c>
      <c r="AP725" s="15" t="s">
        <v>1176</v>
      </c>
      <c r="AQ725" s="15" t="s">
        <v>694</v>
      </c>
      <c r="AR725" s="15" t="s">
        <v>952</v>
      </c>
      <c r="AS725" s="15" t="s">
        <v>2677</v>
      </c>
      <c r="AT725" s="15" t="s">
        <v>3974</v>
      </c>
      <c r="AW725" s="15" t="s">
        <v>412</v>
      </c>
      <c r="AY725" s="15" t="s">
        <v>413</v>
      </c>
      <c r="AZ725" s="15" t="b">
        <v>0</v>
      </c>
      <c r="BA725" s="15" t="s">
        <v>413</v>
      </c>
      <c r="BB725" s="15" t="b">
        <v>0</v>
      </c>
      <c r="BC725" s="15" t="s">
        <v>7881</v>
      </c>
      <c r="BD725" s="15" t="s">
        <v>1303</v>
      </c>
      <c r="BE725" s="15" t="str">
        <f t="shared" si="1232"/>
        <v>1</v>
      </c>
      <c r="BF725" s="15" t="s">
        <v>416</v>
      </c>
      <c r="BG725" s="15" t="str">
        <f>"43"</f>
        <v>43</v>
      </c>
      <c r="BH725" s="15" t="s">
        <v>545</v>
      </c>
      <c r="BI725" s="15" t="str">
        <f>"29.5"</f>
        <v>29.5</v>
      </c>
      <c r="BJ725" s="15" t="s">
        <v>2307</v>
      </c>
      <c r="BK725" s="15" t="str">
        <f>"64.25"</f>
        <v>64.25</v>
      </c>
      <c r="BL725" s="15" t="s">
        <v>2480</v>
      </c>
      <c r="BM725" s="15" t="str">
        <f>"260.55"</f>
        <v>260.55</v>
      </c>
      <c r="BN725" s="15" t="s">
        <v>7882</v>
      </c>
      <c r="BQ725" s="15" t="s">
        <v>444</v>
      </c>
      <c r="BS725" s="15" t="s">
        <v>444</v>
      </c>
      <c r="BU725" s="15" t="s">
        <v>444</v>
      </c>
      <c r="BW725" s="15" t="s">
        <v>444</v>
      </c>
      <c r="BZ725" s="15" t="s">
        <v>444</v>
      </c>
      <c r="CB725" s="15" t="s">
        <v>444</v>
      </c>
      <c r="CD725" s="15" t="s">
        <v>444</v>
      </c>
      <c r="CF725" s="15" t="s">
        <v>444</v>
      </c>
      <c r="CI725" s="15" t="s">
        <v>444</v>
      </c>
      <c r="CK725" s="15" t="s">
        <v>444</v>
      </c>
      <c r="CM725" s="15" t="s">
        <v>444</v>
      </c>
      <c r="CO725" s="15" t="s">
        <v>444</v>
      </c>
      <c r="CP725" s="15" t="str">
        <f>"47.18"</f>
        <v>47.18</v>
      </c>
      <c r="CQ725" s="15" t="str">
        <f>"1.336"</f>
        <v>1.336</v>
      </c>
      <c r="CR725" s="15" t="s">
        <v>497</v>
      </c>
      <c r="CV725" s="15" t="s">
        <v>636</v>
      </c>
      <c r="CW725" s="15" t="s">
        <v>7883</v>
      </c>
      <c r="CX725" s="15" t="s">
        <v>7884</v>
      </c>
      <c r="DC725" s="15" t="str">
        <f>IFERROR(__xludf.DUMMYFUNCTION("""COMPUTED_VALUE"""),"")</f>
        <v/>
      </c>
      <c r="DE725" s="15" t="str">
        <f>IFERROR(__xludf.DUMMYFUNCTION("""COMPUTED_VALUE"""),"")</f>
        <v/>
      </c>
      <c r="DG725" s="15" t="str">
        <f>IFERROR(__xludf.DUMMYFUNCTION("""COMPUTED_VALUE"""),"")</f>
        <v/>
      </c>
      <c r="DL725" s="15" t="str">
        <f>IFERROR(__xludf.DUMMYFUNCTION("""COMPUTED_VALUE"""),"")</f>
        <v/>
      </c>
      <c r="DM725" s="15" t="s">
        <v>444</v>
      </c>
      <c r="DN725" s="15" t="s">
        <v>4002</v>
      </c>
      <c r="DO725" s="15">
        <v>2.0</v>
      </c>
      <c r="DP725" s="15" t="s">
        <v>2604</v>
      </c>
      <c r="DR725" s="15">
        <v>0.0</v>
      </c>
      <c r="DT725" s="15" t="s">
        <v>420</v>
      </c>
      <c r="DU725" s="15" t="s">
        <v>610</v>
      </c>
      <c r="DY725" s="15">
        <v>1.0</v>
      </c>
      <c r="EG725" s="15" t="s">
        <v>444</v>
      </c>
      <c r="EH725" s="15" t="s">
        <v>7885</v>
      </c>
      <c r="EK725" s="15" t="s">
        <v>444</v>
      </c>
      <c r="EM725" s="15" t="str">
        <f>IFERROR(__xludf.DUMMYFUNCTION("""COMPUTED_VALUE"""),"")</f>
        <v/>
      </c>
      <c r="EW725" s="15" t="s">
        <v>2498</v>
      </c>
      <c r="EY725" s="15" t="s">
        <v>2403</v>
      </c>
      <c r="FL725" s="15" t="s">
        <v>426</v>
      </c>
      <c r="FM725" s="15">
        <v>2.0</v>
      </c>
      <c r="FY725" s="15" t="s">
        <v>7886</v>
      </c>
      <c r="FZ725" s="15" t="s">
        <v>1188</v>
      </c>
      <c r="GA725" s="15" t="s">
        <v>466</v>
      </c>
      <c r="GB725" s="15" t="s">
        <v>555</v>
      </c>
      <c r="GC725" s="15" t="s">
        <v>1188</v>
      </c>
      <c r="GD725" s="15" t="s">
        <v>467</v>
      </c>
      <c r="GE725" s="15">
        <v>0.0</v>
      </c>
      <c r="GG725" s="15" t="s">
        <v>785</v>
      </c>
      <c r="GH725" s="15">
        <v>2.0</v>
      </c>
      <c r="GI725" s="15" t="s">
        <v>614</v>
      </c>
      <c r="GJ725" s="15" t="s">
        <v>786</v>
      </c>
      <c r="GK725" s="15">
        <v>0.0</v>
      </c>
      <c r="GL725" s="15" t="s">
        <v>426</v>
      </c>
      <c r="GN725" s="15" t="s">
        <v>616</v>
      </c>
      <c r="GO725" s="15" t="s">
        <v>426</v>
      </c>
      <c r="GQ725" s="15" t="s">
        <v>2618</v>
      </c>
      <c r="GR725" s="15" t="s">
        <v>2618</v>
      </c>
      <c r="GS725" s="15" t="s">
        <v>1069</v>
      </c>
      <c r="GT725" s="15" t="s">
        <v>2116</v>
      </c>
      <c r="GU725" s="15" t="s">
        <v>6018</v>
      </c>
      <c r="GV725" s="15" t="s">
        <v>6018</v>
      </c>
      <c r="GW725" s="15" t="s">
        <v>2604</v>
      </c>
      <c r="GY725" s="15" t="s">
        <v>764</v>
      </c>
      <c r="GZ725" s="15" t="s">
        <v>426</v>
      </c>
      <c r="HA725" s="15" t="s">
        <v>555</v>
      </c>
      <c r="HB725" s="15" t="s">
        <v>1213</v>
      </c>
      <c r="HC725" s="15" t="s">
        <v>467</v>
      </c>
      <c r="LH725" s="15" t="s">
        <v>7887</v>
      </c>
      <c r="LI725" s="15" t="s">
        <v>1188</v>
      </c>
      <c r="LJ725" s="15" t="s">
        <v>466</v>
      </c>
    </row>
    <row r="726" ht="15.75" customHeight="1">
      <c r="A726" s="14" t="s">
        <v>391</v>
      </c>
      <c r="B726" s="15" t="s">
        <v>7888</v>
      </c>
      <c r="C726" s="16"/>
      <c r="D726" s="15" t="s">
        <v>432</v>
      </c>
      <c r="G726" s="14" t="s">
        <v>393</v>
      </c>
      <c r="H726" s="14" t="s">
        <v>394</v>
      </c>
      <c r="I726" s="14" t="b">
        <v>1</v>
      </c>
      <c r="J726" s="14" t="s">
        <v>395</v>
      </c>
      <c r="L726" s="14" t="b">
        <v>0</v>
      </c>
      <c r="M726" s="15" t="s">
        <v>7889</v>
      </c>
      <c r="N726" s="14" t="s">
        <v>393</v>
      </c>
      <c r="O726" s="14" t="s">
        <v>393</v>
      </c>
      <c r="P726" s="15" t="s">
        <v>397</v>
      </c>
      <c r="Q726" s="15" t="s">
        <v>7890</v>
      </c>
      <c r="T726" s="14" t="b">
        <v>0</v>
      </c>
      <c r="U726" s="15" t="s">
        <v>7891</v>
      </c>
      <c r="V726" s="15" t="s">
        <v>7892</v>
      </c>
      <c r="W726" s="15" t="s">
        <v>401</v>
      </c>
      <c r="X726" s="15" t="s">
        <v>1296</v>
      </c>
      <c r="Y726" s="15">
        <v>1040.0</v>
      </c>
      <c r="AA726" s="15" t="str">
        <f>"400"</f>
        <v>400</v>
      </c>
      <c r="AB726" s="14" t="b">
        <v>1</v>
      </c>
      <c r="AC726" s="14" t="b">
        <v>1</v>
      </c>
      <c r="AD726" s="15" t="str">
        <f>"801542639143"</f>
        <v>801542639143</v>
      </c>
      <c r="AE726" s="15" t="s">
        <v>7893</v>
      </c>
      <c r="AF726" s="14" t="s">
        <v>404</v>
      </c>
      <c r="AG726" s="14" t="s">
        <v>405</v>
      </c>
      <c r="AH726" s="14" t="s">
        <v>406</v>
      </c>
      <c r="AI726" s="15">
        <v>0.0</v>
      </c>
      <c r="AL726" s="15" t="s">
        <v>4891</v>
      </c>
      <c r="AM726" s="15" t="s">
        <v>698</v>
      </c>
      <c r="AN726" s="15" t="s">
        <v>699</v>
      </c>
      <c r="AO726" s="15" t="s">
        <v>7894</v>
      </c>
      <c r="AP726" s="15" t="s">
        <v>7686</v>
      </c>
      <c r="AQ726" s="15" t="s">
        <v>745</v>
      </c>
      <c r="AR726" s="15" t="s">
        <v>746</v>
      </c>
      <c r="AS726" s="15" t="s">
        <v>2630</v>
      </c>
      <c r="AT726" s="15" t="s">
        <v>7890</v>
      </c>
      <c r="AU726" s="15" t="s">
        <v>1850</v>
      </c>
      <c r="AW726" s="15" t="s">
        <v>1914</v>
      </c>
      <c r="AY726" s="15" t="s">
        <v>413</v>
      </c>
      <c r="AZ726" s="15" t="b">
        <v>0</v>
      </c>
      <c r="BA726" s="15" t="s">
        <v>413</v>
      </c>
      <c r="BB726" s="15" t="b">
        <v>0</v>
      </c>
      <c r="BC726" s="15" t="s">
        <v>7895</v>
      </c>
      <c r="BD726" s="15" t="s">
        <v>1303</v>
      </c>
      <c r="BE726" s="15" t="str">
        <f t="shared" si="1232"/>
        <v>1</v>
      </c>
      <c r="BF726" s="15" t="s">
        <v>416</v>
      </c>
      <c r="BG726" s="15" t="str">
        <f>"75.5"</f>
        <v>75.5</v>
      </c>
      <c r="BH726" s="15" t="s">
        <v>3371</v>
      </c>
      <c r="BI726" s="15" t="str">
        <f>"11"</f>
        <v>11</v>
      </c>
      <c r="BJ726" s="15" t="s">
        <v>2633</v>
      </c>
      <c r="BK726" s="15" t="str">
        <f>"41"</f>
        <v>41</v>
      </c>
      <c r="BL726" s="15" t="s">
        <v>2377</v>
      </c>
      <c r="BM726" s="15" t="str">
        <f>"115"</f>
        <v>115</v>
      </c>
      <c r="BN726" s="15" t="s">
        <v>7896</v>
      </c>
      <c r="BQ726" s="15" t="s">
        <v>444</v>
      </c>
      <c r="BS726" s="15" t="s">
        <v>444</v>
      </c>
      <c r="BU726" s="15" t="s">
        <v>444</v>
      </c>
      <c r="BW726" s="15" t="s">
        <v>444</v>
      </c>
      <c r="BZ726" s="15" t="s">
        <v>444</v>
      </c>
      <c r="CB726" s="15" t="s">
        <v>444</v>
      </c>
      <c r="CD726" s="15" t="s">
        <v>444</v>
      </c>
      <c r="CF726" s="15" t="s">
        <v>444</v>
      </c>
      <c r="CI726" s="15" t="s">
        <v>444</v>
      </c>
      <c r="CK726" s="15" t="s">
        <v>444</v>
      </c>
      <c r="CM726" s="15" t="s">
        <v>444</v>
      </c>
      <c r="CO726" s="15" t="s">
        <v>444</v>
      </c>
      <c r="CP726" s="15" t="str">
        <f>"19.71"</f>
        <v>19.71</v>
      </c>
      <c r="CQ726" s="15" t="str">
        <f>"0.558"</f>
        <v>0.558</v>
      </c>
      <c r="CR726" s="15" t="s">
        <v>497</v>
      </c>
      <c r="DC726" s="15" t="str">
        <f>IFERROR(__xludf.DUMMYFUNCTION("""COMPUTED_VALUE"""),"")</f>
        <v/>
      </c>
      <c r="DE726" s="15" t="str">
        <f>IFERROR(__xludf.DUMMYFUNCTION("""COMPUTED_VALUE"""),"")</f>
        <v/>
      </c>
      <c r="DG726" s="15" t="str">
        <f>IFERROR(__xludf.DUMMYFUNCTION("""COMPUTED_VALUE"""),"")</f>
        <v/>
      </c>
      <c r="DL726" s="15" t="str">
        <f>IFERROR(__xludf.DUMMYFUNCTION("""COMPUTED_VALUE"""),"")</f>
        <v/>
      </c>
      <c r="DM726" s="15" t="s">
        <v>444</v>
      </c>
      <c r="EG726" s="15" t="s">
        <v>444</v>
      </c>
      <c r="EH726" s="15" t="s">
        <v>7897</v>
      </c>
      <c r="EK726" s="15" t="s">
        <v>444</v>
      </c>
      <c r="EM726" s="15" t="str">
        <f>IFERROR(__xludf.DUMMYFUNCTION("""COMPUTED_VALUE"""),"")</f>
        <v/>
      </c>
      <c r="LA726" s="15" t="s">
        <v>762</v>
      </c>
      <c r="LB726" s="15" t="s">
        <v>4591</v>
      </c>
      <c r="LC726" s="15" t="s">
        <v>2403</v>
      </c>
      <c r="LD726" s="15">
        <v>1.0</v>
      </c>
    </row>
    <row r="727" ht="15.75" customHeight="1">
      <c r="A727" s="14" t="s">
        <v>391</v>
      </c>
      <c r="B727" s="15" t="s">
        <v>7898</v>
      </c>
      <c r="C727" s="16"/>
      <c r="D727" s="15" t="s">
        <v>432</v>
      </c>
      <c r="G727" s="14" t="s">
        <v>393</v>
      </c>
      <c r="H727" s="14" t="s">
        <v>394</v>
      </c>
      <c r="I727" s="14" t="b">
        <v>1</v>
      </c>
      <c r="J727" s="14" t="s">
        <v>395</v>
      </c>
      <c r="L727" s="14" t="b">
        <v>0</v>
      </c>
      <c r="M727" s="15" t="s">
        <v>7899</v>
      </c>
      <c r="N727" s="14" t="s">
        <v>393</v>
      </c>
      <c r="O727" s="14" t="s">
        <v>393</v>
      </c>
      <c r="P727" s="15" t="s">
        <v>397</v>
      </c>
      <c r="Q727" s="15" t="s">
        <v>5012</v>
      </c>
      <c r="T727" s="14" t="b">
        <v>0</v>
      </c>
      <c r="U727" s="15" t="s">
        <v>7900</v>
      </c>
      <c r="V727" s="15" t="s">
        <v>7901</v>
      </c>
      <c r="W727" s="15" t="s">
        <v>401</v>
      </c>
      <c r="X727" s="15" t="s">
        <v>742</v>
      </c>
      <c r="Y727" s="15">
        <v>4914.0</v>
      </c>
      <c r="AA727" s="15" t="str">
        <f>"1890"</f>
        <v>1890</v>
      </c>
      <c r="AB727" s="14" t="b">
        <v>1</v>
      </c>
      <c r="AC727" s="14" t="b">
        <v>1</v>
      </c>
      <c r="AD727" s="15" t="str">
        <f>"801542991661"</f>
        <v>801542991661</v>
      </c>
      <c r="AE727" s="15" t="s">
        <v>7902</v>
      </c>
      <c r="AF727" s="14" t="s">
        <v>404</v>
      </c>
      <c r="AG727" s="14" t="s">
        <v>405</v>
      </c>
      <c r="AH727" s="14" t="s">
        <v>406</v>
      </c>
      <c r="AI727" s="15">
        <v>0.0</v>
      </c>
      <c r="AL727" s="15" t="s">
        <v>4874</v>
      </c>
      <c r="AM727" s="15" t="s">
        <v>2151</v>
      </c>
      <c r="AN727" s="15" t="s">
        <v>2152</v>
      </c>
      <c r="AO727" s="15" t="s">
        <v>1007</v>
      </c>
      <c r="AP727" s="15" t="s">
        <v>1008</v>
      </c>
      <c r="AQ727" s="15" t="s">
        <v>2921</v>
      </c>
      <c r="AR727" s="15" t="s">
        <v>2922</v>
      </c>
      <c r="AS727" s="15" t="s">
        <v>2063</v>
      </c>
      <c r="AT727" s="15" t="s">
        <v>5012</v>
      </c>
      <c r="AU727" s="15" t="s">
        <v>6969</v>
      </c>
      <c r="AW727" s="15" t="s">
        <v>1899</v>
      </c>
      <c r="AY727" s="15" t="s">
        <v>413</v>
      </c>
      <c r="AZ727" s="15" t="b">
        <v>0</v>
      </c>
      <c r="BA727" s="15" t="s">
        <v>413</v>
      </c>
      <c r="BB727" s="15" t="b">
        <v>0</v>
      </c>
      <c r="BC727" s="15" t="s">
        <v>7903</v>
      </c>
      <c r="BD727" s="15" t="s">
        <v>742</v>
      </c>
      <c r="BE727" s="15" t="str">
        <f t="shared" si="1232"/>
        <v>1</v>
      </c>
      <c r="BF727" s="15" t="s">
        <v>416</v>
      </c>
      <c r="BG727" s="15" t="str">
        <f t="shared" ref="BG727:BG728" si="1233">"89.76"</f>
        <v>89.76</v>
      </c>
      <c r="BH727" s="15" t="s">
        <v>7904</v>
      </c>
      <c r="BI727" s="15" t="str">
        <f t="shared" ref="BI727:BI728" si="1234">"23.62"</f>
        <v>23.62</v>
      </c>
      <c r="BJ727" s="15" t="s">
        <v>1570</v>
      </c>
      <c r="BK727" s="15" t="str">
        <f t="shared" ref="BK727:BK728" si="1235">"82.28"</f>
        <v>82.28</v>
      </c>
      <c r="BL727" s="15" t="s">
        <v>5841</v>
      </c>
      <c r="BM727" s="15" t="str">
        <f t="shared" ref="BM727:BM728" si="1236">"455.25"</f>
        <v>455.25</v>
      </c>
      <c r="BN727" s="15" t="s">
        <v>7905</v>
      </c>
      <c r="BQ727" s="15" t="s">
        <v>444</v>
      </c>
      <c r="BS727" s="15" t="s">
        <v>444</v>
      </c>
      <c r="BU727" s="15" t="s">
        <v>444</v>
      </c>
      <c r="BW727" s="15" t="s">
        <v>444</v>
      </c>
      <c r="BZ727" s="15" t="s">
        <v>444</v>
      </c>
      <c r="CB727" s="15" t="s">
        <v>444</v>
      </c>
      <c r="CD727" s="15" t="s">
        <v>444</v>
      </c>
      <c r="CF727" s="15" t="s">
        <v>444</v>
      </c>
      <c r="CI727" s="15" t="s">
        <v>444</v>
      </c>
      <c r="CK727" s="15" t="s">
        <v>444</v>
      </c>
      <c r="CM727" s="15" t="s">
        <v>444</v>
      </c>
      <c r="CO727" s="15" t="s">
        <v>444</v>
      </c>
      <c r="CP727" s="15" t="str">
        <f t="shared" ref="CP727:CP728" si="1237">"100.96"</f>
        <v>100.96</v>
      </c>
      <c r="CQ727" s="15" t="str">
        <f t="shared" ref="CQ727:CQ728" si="1238">"2.859"</f>
        <v>2.859</v>
      </c>
      <c r="CR727" s="15" t="s">
        <v>497</v>
      </c>
      <c r="CS727" s="15" t="s">
        <v>2648</v>
      </c>
      <c r="CT727" s="15" t="s">
        <v>4685</v>
      </c>
      <c r="CU727" s="15" t="s">
        <v>3958</v>
      </c>
      <c r="CV727" s="15" t="s">
        <v>2648</v>
      </c>
      <c r="CW727" s="15" t="s">
        <v>2143</v>
      </c>
      <c r="CX727" s="15" t="s">
        <v>3958</v>
      </c>
      <c r="DC727" s="15" t="str">
        <f>IFERROR(__xludf.DUMMYFUNCTION("""COMPUTED_VALUE"""),"")</f>
        <v/>
      </c>
      <c r="DE727" s="15" t="str">
        <f>IFERROR(__xludf.DUMMYFUNCTION("""COMPUTED_VALUE"""),"")</f>
        <v/>
      </c>
      <c r="DG727" s="15" t="str">
        <f>IFERROR(__xludf.DUMMYFUNCTION("""COMPUTED_VALUE"""),"")</f>
        <v/>
      </c>
      <c r="DL727" s="15" t="str">
        <f>IFERROR(__xludf.DUMMYFUNCTION("""COMPUTED_VALUE"""),"")</f>
        <v/>
      </c>
      <c r="DM727" s="15" t="s">
        <v>444</v>
      </c>
      <c r="DN727" s="15" t="s">
        <v>419</v>
      </c>
      <c r="DO727" s="15">
        <v>0.0</v>
      </c>
      <c r="DP727" s="15" t="s">
        <v>419</v>
      </c>
      <c r="DR727" s="15">
        <v>2.0</v>
      </c>
      <c r="DS727" s="15" t="s">
        <v>426</v>
      </c>
      <c r="DT727" s="15" t="s">
        <v>420</v>
      </c>
      <c r="DU727" s="15" t="s">
        <v>610</v>
      </c>
      <c r="DW727" s="15">
        <v>18.14</v>
      </c>
      <c r="DX727" s="15">
        <v>40.0</v>
      </c>
      <c r="DY727" s="15">
        <v>0.0</v>
      </c>
      <c r="EF727" s="15" t="s">
        <v>1915</v>
      </c>
      <c r="EG727" s="15" t="s">
        <v>1916</v>
      </c>
      <c r="EH727" s="15" t="s">
        <v>7906</v>
      </c>
      <c r="EK727" s="15" t="s">
        <v>444</v>
      </c>
      <c r="EM727" s="15" t="str">
        <f>IFERROR(__xludf.DUMMYFUNCTION("""COMPUTED_VALUE"""),"")</f>
        <v/>
      </c>
      <c r="EW727" s="15" t="s">
        <v>1955</v>
      </c>
      <c r="FL727" s="15" t="s">
        <v>426</v>
      </c>
      <c r="FM727" s="15">
        <v>3.0</v>
      </c>
      <c r="FY727" s="15" t="s">
        <v>1604</v>
      </c>
      <c r="FZ727" s="15" t="s">
        <v>612</v>
      </c>
      <c r="GA727" s="15" t="s">
        <v>7907</v>
      </c>
      <c r="GG727" s="15" t="s">
        <v>1883</v>
      </c>
      <c r="GH727" s="15">
        <v>8.0</v>
      </c>
      <c r="GI727" s="15" t="s">
        <v>614</v>
      </c>
      <c r="GJ727" s="15" t="s">
        <v>615</v>
      </c>
      <c r="HA727" s="15" t="s">
        <v>2648</v>
      </c>
      <c r="HB727" s="15" t="s">
        <v>2143</v>
      </c>
      <c r="HC727" s="15" t="s">
        <v>3958</v>
      </c>
      <c r="HQ727" s="15" t="s">
        <v>2648</v>
      </c>
      <c r="HR727" s="15" t="s">
        <v>5532</v>
      </c>
      <c r="HS727" s="15" t="s">
        <v>2143</v>
      </c>
      <c r="HT727" s="15" t="s">
        <v>3053</v>
      </c>
      <c r="HU727" s="15" t="s">
        <v>3958</v>
      </c>
      <c r="HV727" s="15" t="s">
        <v>2622</v>
      </c>
      <c r="IG727" s="15" t="s">
        <v>426</v>
      </c>
      <c r="KX727" s="15" t="s">
        <v>5532</v>
      </c>
      <c r="KY727" s="15" t="s">
        <v>3053</v>
      </c>
      <c r="KZ727" s="15" t="s">
        <v>2622</v>
      </c>
    </row>
    <row r="728" ht="15.75" customHeight="1">
      <c r="A728" s="14" t="s">
        <v>391</v>
      </c>
      <c r="B728" s="15" t="s">
        <v>7898</v>
      </c>
      <c r="C728" s="16"/>
      <c r="D728" s="15" t="s">
        <v>432</v>
      </c>
      <c r="G728" s="14" t="s">
        <v>393</v>
      </c>
      <c r="H728" s="14" t="s">
        <v>394</v>
      </c>
      <c r="I728" s="14" t="b">
        <v>1</v>
      </c>
      <c r="J728" s="14" t="s">
        <v>395</v>
      </c>
      <c r="L728" s="14" t="b">
        <v>0</v>
      </c>
      <c r="M728" s="15" t="s">
        <v>7908</v>
      </c>
      <c r="N728" s="14" t="s">
        <v>393</v>
      </c>
      <c r="O728" s="14" t="s">
        <v>393</v>
      </c>
      <c r="P728" s="15" t="s">
        <v>397</v>
      </c>
      <c r="Q728" s="15" t="s">
        <v>7632</v>
      </c>
      <c r="T728" s="14" t="b">
        <v>0</v>
      </c>
      <c r="U728" s="15" t="s">
        <v>7909</v>
      </c>
      <c r="V728" s="15" t="s">
        <v>7901</v>
      </c>
      <c r="W728" s="15" t="s">
        <v>401</v>
      </c>
      <c r="X728" s="15" t="s">
        <v>742</v>
      </c>
      <c r="Y728" s="15">
        <v>5031.0</v>
      </c>
      <c r="AA728" s="15" t="str">
        <f>"1935"</f>
        <v>1935</v>
      </c>
      <c r="AB728" s="14" t="b">
        <v>1</v>
      </c>
      <c r="AC728" s="14" t="b">
        <v>1</v>
      </c>
      <c r="AD728" s="15" t="str">
        <f>"198394013185"</f>
        <v>198394013185</v>
      </c>
      <c r="AE728" s="15" t="s">
        <v>7910</v>
      </c>
      <c r="AF728" s="14" t="s">
        <v>404</v>
      </c>
      <c r="AG728" s="14" t="s">
        <v>405</v>
      </c>
      <c r="AH728" s="14" t="s">
        <v>406</v>
      </c>
      <c r="AI728" s="15">
        <v>0.0</v>
      </c>
      <c r="AL728" s="15" t="s">
        <v>1532</v>
      </c>
      <c r="AM728" s="15" t="s">
        <v>2151</v>
      </c>
      <c r="AN728" s="15" t="s">
        <v>2152</v>
      </c>
      <c r="AO728" s="15" t="s">
        <v>1007</v>
      </c>
      <c r="AP728" s="15" t="s">
        <v>1008</v>
      </c>
      <c r="AQ728" s="15" t="s">
        <v>2921</v>
      </c>
      <c r="AR728" s="15" t="s">
        <v>2922</v>
      </c>
      <c r="AS728" s="15" t="s">
        <v>2063</v>
      </c>
      <c r="AT728" s="15" t="s">
        <v>7632</v>
      </c>
      <c r="AU728" s="15" t="s">
        <v>2351</v>
      </c>
      <c r="AW728" s="15" t="s">
        <v>1899</v>
      </c>
      <c r="AY728" s="15" t="s">
        <v>413</v>
      </c>
      <c r="AZ728" s="15" t="b">
        <v>0</v>
      </c>
      <c r="BA728" s="15" t="s">
        <v>413</v>
      </c>
      <c r="BB728" s="15" t="b">
        <v>0</v>
      </c>
      <c r="BC728" s="15" t="s">
        <v>7911</v>
      </c>
      <c r="BD728" s="15" t="s">
        <v>742</v>
      </c>
      <c r="BE728" s="15" t="str">
        <f t="shared" si="1232"/>
        <v>1</v>
      </c>
      <c r="BF728" s="15" t="s">
        <v>416</v>
      </c>
      <c r="BG728" s="15" t="str">
        <f t="shared" si="1233"/>
        <v>89.76</v>
      </c>
      <c r="BH728" s="15" t="s">
        <v>7904</v>
      </c>
      <c r="BI728" s="15" t="str">
        <f t="shared" si="1234"/>
        <v>23.62</v>
      </c>
      <c r="BJ728" s="15" t="s">
        <v>1570</v>
      </c>
      <c r="BK728" s="15" t="str">
        <f t="shared" si="1235"/>
        <v>82.28</v>
      </c>
      <c r="BL728" s="15" t="s">
        <v>5841</v>
      </c>
      <c r="BM728" s="15" t="str">
        <f t="shared" si="1236"/>
        <v>455.25</v>
      </c>
      <c r="BN728" s="15" t="s">
        <v>7905</v>
      </c>
      <c r="BQ728" s="15" t="s">
        <v>444</v>
      </c>
      <c r="BS728" s="15" t="s">
        <v>444</v>
      </c>
      <c r="BU728" s="15" t="s">
        <v>444</v>
      </c>
      <c r="BW728" s="15" t="s">
        <v>444</v>
      </c>
      <c r="BZ728" s="15" t="s">
        <v>444</v>
      </c>
      <c r="CB728" s="15" t="s">
        <v>444</v>
      </c>
      <c r="CD728" s="15" t="s">
        <v>444</v>
      </c>
      <c r="CF728" s="15" t="s">
        <v>444</v>
      </c>
      <c r="CI728" s="15" t="s">
        <v>444</v>
      </c>
      <c r="CK728" s="15" t="s">
        <v>444</v>
      </c>
      <c r="CM728" s="15" t="s">
        <v>444</v>
      </c>
      <c r="CO728" s="15" t="s">
        <v>444</v>
      </c>
      <c r="CP728" s="15" t="str">
        <f t="shared" si="1237"/>
        <v>100.96</v>
      </c>
      <c r="CQ728" s="15" t="str">
        <f t="shared" si="1238"/>
        <v>2.859</v>
      </c>
      <c r="CR728" s="15" t="s">
        <v>465</v>
      </c>
      <c r="CS728" s="15" t="s">
        <v>2648</v>
      </c>
      <c r="CT728" s="15" t="s">
        <v>4685</v>
      </c>
      <c r="CU728" s="15" t="s">
        <v>3958</v>
      </c>
      <c r="CV728" s="15" t="s">
        <v>2648</v>
      </c>
      <c r="CW728" s="15" t="s">
        <v>2143</v>
      </c>
      <c r="CX728" s="15" t="s">
        <v>3958</v>
      </c>
      <c r="DC728" s="15" t="str">
        <f>IFERROR(__xludf.DUMMYFUNCTION("""COMPUTED_VALUE"""),"")</f>
        <v/>
      </c>
      <c r="DE728" s="15" t="str">
        <f>IFERROR(__xludf.DUMMYFUNCTION("""COMPUTED_VALUE"""),"")</f>
        <v/>
      </c>
      <c r="DG728" s="15" t="str">
        <f>IFERROR(__xludf.DUMMYFUNCTION("""COMPUTED_VALUE"""),"")</f>
        <v/>
      </c>
      <c r="DL728" s="15" t="str">
        <f>IFERROR(__xludf.DUMMYFUNCTION("""COMPUTED_VALUE"""),"")</f>
        <v/>
      </c>
      <c r="DM728" s="15" t="s">
        <v>444</v>
      </c>
      <c r="DN728" s="15" t="s">
        <v>419</v>
      </c>
      <c r="DO728" s="15">
        <v>0.0</v>
      </c>
      <c r="DP728" s="15" t="s">
        <v>419</v>
      </c>
      <c r="DR728" s="15">
        <v>2.0</v>
      </c>
      <c r="DS728" s="15" t="s">
        <v>426</v>
      </c>
      <c r="DT728" s="15" t="s">
        <v>420</v>
      </c>
      <c r="DU728" s="15" t="s">
        <v>610</v>
      </c>
      <c r="DW728" s="15">
        <v>18.14</v>
      </c>
      <c r="DX728" s="15">
        <v>40.0</v>
      </c>
      <c r="DY728" s="15">
        <v>0.0</v>
      </c>
      <c r="EF728" s="15" t="s">
        <v>1915</v>
      </c>
      <c r="EG728" s="15" t="s">
        <v>1916</v>
      </c>
      <c r="EH728" s="15" t="s">
        <v>7906</v>
      </c>
      <c r="EK728" s="15" t="s">
        <v>444</v>
      </c>
      <c r="EM728" s="15" t="str">
        <f>IFERROR(__xludf.DUMMYFUNCTION("""COMPUTED_VALUE"""),"")</f>
        <v/>
      </c>
      <c r="EW728" s="15" t="s">
        <v>1955</v>
      </c>
      <c r="FL728" s="15" t="s">
        <v>426</v>
      </c>
      <c r="FM728" s="15">
        <v>3.0</v>
      </c>
      <c r="FY728" s="15" t="s">
        <v>1604</v>
      </c>
      <c r="FZ728" s="15" t="s">
        <v>612</v>
      </c>
      <c r="GA728" s="15" t="s">
        <v>7907</v>
      </c>
      <c r="GG728" s="15" t="s">
        <v>1883</v>
      </c>
      <c r="GH728" s="15">
        <v>8.0</v>
      </c>
      <c r="GI728" s="15" t="s">
        <v>614</v>
      </c>
      <c r="GJ728" s="15" t="s">
        <v>615</v>
      </c>
      <c r="HA728" s="15" t="s">
        <v>2648</v>
      </c>
      <c r="HB728" s="15" t="s">
        <v>2143</v>
      </c>
      <c r="HC728" s="15" t="s">
        <v>3958</v>
      </c>
      <c r="HQ728" s="15" t="s">
        <v>2648</v>
      </c>
      <c r="HR728" s="15" t="s">
        <v>5532</v>
      </c>
      <c r="HS728" s="15" t="s">
        <v>2143</v>
      </c>
      <c r="HT728" s="15" t="s">
        <v>3053</v>
      </c>
      <c r="HU728" s="15" t="s">
        <v>3958</v>
      </c>
      <c r="HV728" s="15" t="s">
        <v>2622</v>
      </c>
      <c r="IG728" s="15" t="s">
        <v>426</v>
      </c>
      <c r="KX728" s="15" t="s">
        <v>5532</v>
      </c>
      <c r="KY728" s="15" t="s">
        <v>3053</v>
      </c>
      <c r="KZ728" s="15" t="s">
        <v>2622</v>
      </c>
    </row>
    <row r="729" ht="15.75" customHeight="1">
      <c r="A729" s="14" t="s">
        <v>391</v>
      </c>
      <c r="B729" s="15" t="s">
        <v>7912</v>
      </c>
      <c r="C729" s="16"/>
      <c r="D729" s="15" t="s">
        <v>432</v>
      </c>
      <c r="G729" s="14" t="s">
        <v>393</v>
      </c>
      <c r="H729" s="14" t="s">
        <v>394</v>
      </c>
      <c r="I729" s="14" t="b">
        <v>1</v>
      </c>
      <c r="J729" s="14" t="s">
        <v>395</v>
      </c>
      <c r="L729" s="14" t="b">
        <v>0</v>
      </c>
      <c r="M729" s="15" t="s">
        <v>7913</v>
      </c>
      <c r="N729" s="14" t="s">
        <v>393</v>
      </c>
      <c r="O729" s="14" t="s">
        <v>393</v>
      </c>
      <c r="P729" s="15" t="s">
        <v>397</v>
      </c>
      <c r="Q729" s="15" t="s">
        <v>1095</v>
      </c>
      <c r="R729" s="15" t="s">
        <v>265</v>
      </c>
      <c r="S729" s="15" t="s">
        <v>1125</v>
      </c>
      <c r="T729" s="14" t="b">
        <v>0</v>
      </c>
      <c r="U729" s="15" t="s">
        <v>7914</v>
      </c>
      <c r="V729" s="15" t="s">
        <v>5925</v>
      </c>
      <c r="W729" s="15" t="s">
        <v>401</v>
      </c>
      <c r="X729" s="15" t="s">
        <v>742</v>
      </c>
      <c r="Y729" s="15">
        <v>1859.0</v>
      </c>
      <c r="AA729" s="15" t="str">
        <f>"715"</f>
        <v>715</v>
      </c>
      <c r="AB729" s="14" t="b">
        <v>1</v>
      </c>
      <c r="AC729" s="14" t="b">
        <v>1</v>
      </c>
      <c r="AD729" s="15" t="str">
        <f>"801542821524"</f>
        <v>801542821524</v>
      </c>
      <c r="AE729" s="15" t="s">
        <v>7915</v>
      </c>
      <c r="AF729" s="14" t="s">
        <v>404</v>
      </c>
      <c r="AG729" s="14" t="s">
        <v>405</v>
      </c>
      <c r="AH729" s="14" t="s">
        <v>406</v>
      </c>
      <c r="AI729" s="15">
        <v>0.0</v>
      </c>
      <c r="AL729" s="15" t="s">
        <v>1099</v>
      </c>
      <c r="AM729" s="15" t="s">
        <v>1125</v>
      </c>
      <c r="AN729" s="15" t="s">
        <v>1129</v>
      </c>
      <c r="AO729" s="15" t="s">
        <v>1892</v>
      </c>
      <c r="AP729" s="15" t="s">
        <v>1893</v>
      </c>
      <c r="AQ729" s="15" t="s">
        <v>546</v>
      </c>
      <c r="AR729" s="15" t="s">
        <v>547</v>
      </c>
      <c r="AS729" s="15" t="s">
        <v>1101</v>
      </c>
      <c r="AT729" s="15" t="s">
        <v>1095</v>
      </c>
      <c r="AW729" s="15" t="s">
        <v>548</v>
      </c>
      <c r="AX729" s="15" t="s">
        <v>549</v>
      </c>
      <c r="AY729" s="15" t="s">
        <v>413</v>
      </c>
      <c r="AZ729" s="15" t="b">
        <v>0</v>
      </c>
      <c r="BA729" s="15" t="s">
        <v>413</v>
      </c>
      <c r="BB729" s="15" t="b">
        <v>0</v>
      </c>
      <c r="BC729" s="15" t="s">
        <v>7916</v>
      </c>
      <c r="BD729" s="15" t="s">
        <v>742</v>
      </c>
      <c r="BE729" s="15" t="str">
        <f t="shared" si="1232"/>
        <v>1</v>
      </c>
      <c r="BF729" s="15" t="s">
        <v>7917</v>
      </c>
      <c r="BG729" s="15" t="str">
        <f>"91.73"</f>
        <v>91.73</v>
      </c>
      <c r="BH729" s="15" t="s">
        <v>7918</v>
      </c>
      <c r="BI729" s="15" t="str">
        <f t="shared" ref="BI729:BI730" si="1239">"8.86"</f>
        <v>8.86</v>
      </c>
      <c r="BJ729" s="15" t="s">
        <v>7919</v>
      </c>
      <c r="BK729" s="15" t="str">
        <f t="shared" ref="BK729:BK730" si="1240">"42.91"</f>
        <v>42.91</v>
      </c>
      <c r="BL729" s="15" t="s">
        <v>4755</v>
      </c>
      <c r="BM729" s="15" t="str">
        <f>"186.29"</f>
        <v>186.29</v>
      </c>
      <c r="BN729" s="15" t="s">
        <v>7920</v>
      </c>
      <c r="BQ729" s="15" t="s">
        <v>444</v>
      </c>
      <c r="BS729" s="15" t="s">
        <v>444</v>
      </c>
      <c r="BU729" s="15" t="s">
        <v>444</v>
      </c>
      <c r="BW729" s="15" t="s">
        <v>444</v>
      </c>
      <c r="BZ729" s="15" t="s">
        <v>444</v>
      </c>
      <c r="CB729" s="15" t="s">
        <v>444</v>
      </c>
      <c r="CD729" s="15" t="s">
        <v>444</v>
      </c>
      <c r="CF729" s="15" t="s">
        <v>444</v>
      </c>
      <c r="CI729" s="15" t="s">
        <v>444</v>
      </c>
      <c r="CK729" s="15" t="s">
        <v>444</v>
      </c>
      <c r="CM729" s="15" t="s">
        <v>444</v>
      </c>
      <c r="CO729" s="15" t="s">
        <v>444</v>
      </c>
      <c r="CP729" s="15" t="str">
        <f>"20.16"</f>
        <v>20.16</v>
      </c>
      <c r="CQ729" s="15" t="str">
        <f>"0.571"</f>
        <v>0.571</v>
      </c>
      <c r="CR729" s="15" t="s">
        <v>417</v>
      </c>
      <c r="DC729" s="15" t="str">
        <f>IFERROR(__xludf.DUMMYFUNCTION("""COMPUTED_VALUE"""),"")</f>
        <v/>
      </c>
      <c r="DE729" s="15" t="str">
        <f>IFERROR(__xludf.DUMMYFUNCTION("""COMPUTED_VALUE"""),"")</f>
        <v/>
      </c>
      <c r="DG729" s="15" t="str">
        <f>IFERROR(__xludf.DUMMYFUNCTION("""COMPUTED_VALUE"""),"")</f>
        <v/>
      </c>
      <c r="DL729" s="15" t="str">
        <f>IFERROR(__xludf.DUMMYFUNCTION("""COMPUTED_VALUE"""),"")</f>
        <v/>
      </c>
      <c r="DM729" s="15" t="s">
        <v>444</v>
      </c>
      <c r="DN729" s="15" t="s">
        <v>419</v>
      </c>
      <c r="DO729" s="15">
        <v>0.0</v>
      </c>
      <c r="DP729" s="15" t="s">
        <v>419</v>
      </c>
      <c r="DR729" s="15">
        <v>0.0</v>
      </c>
      <c r="DT729" s="15" t="s">
        <v>1111</v>
      </c>
      <c r="DU729" s="15" t="s">
        <v>419</v>
      </c>
      <c r="DW729" s="15">
        <v>0.0</v>
      </c>
      <c r="DX729" s="15">
        <v>0.0</v>
      </c>
      <c r="DY729" s="15">
        <v>0.0</v>
      </c>
      <c r="EE729" s="15">
        <v>8.0</v>
      </c>
      <c r="EF729" s="15" t="s">
        <v>471</v>
      </c>
      <c r="EG729" s="15" t="s">
        <v>472</v>
      </c>
      <c r="EH729" s="15" t="s">
        <v>7921</v>
      </c>
      <c r="EJ729" s="15" t="s">
        <v>424</v>
      </c>
      <c r="EK729" s="15" t="s">
        <v>446</v>
      </c>
      <c r="EM729" s="15" t="str">
        <f>IFERROR(__xludf.DUMMYFUNCTION("""COMPUTED_VALUE"""),"")</f>
        <v/>
      </c>
      <c r="EW729" s="15" t="s">
        <v>7922</v>
      </c>
      <c r="EY729" s="15" t="s">
        <v>7923</v>
      </c>
      <c r="FH729" s="15" t="s">
        <v>7924</v>
      </c>
      <c r="FI729" s="15" t="s">
        <v>7922</v>
      </c>
      <c r="FJ729" s="15" t="s">
        <v>4551</v>
      </c>
      <c r="FK729" s="15" t="s">
        <v>4685</v>
      </c>
      <c r="FL729" s="15" t="s">
        <v>426</v>
      </c>
      <c r="FM729" s="15">
        <v>0.0</v>
      </c>
      <c r="FN729" s="15">
        <v>0.0</v>
      </c>
      <c r="FU729" s="15" t="s">
        <v>2505</v>
      </c>
      <c r="FV729" s="15" t="s">
        <v>7922</v>
      </c>
      <c r="FW729" s="15" t="s">
        <v>2651</v>
      </c>
      <c r="FX729" s="15" t="s">
        <v>1123</v>
      </c>
    </row>
    <row r="730" ht="15.75" customHeight="1">
      <c r="A730" s="14" t="s">
        <v>391</v>
      </c>
      <c r="B730" s="15" t="s">
        <v>7912</v>
      </c>
      <c r="C730" s="16"/>
      <c r="D730" s="15" t="s">
        <v>432</v>
      </c>
      <c r="G730" s="14" t="s">
        <v>393</v>
      </c>
      <c r="H730" s="14" t="s">
        <v>394</v>
      </c>
      <c r="I730" s="14" t="b">
        <v>1</v>
      </c>
      <c r="J730" s="14" t="s">
        <v>395</v>
      </c>
      <c r="L730" s="14" t="b">
        <v>0</v>
      </c>
      <c r="M730" s="15" t="s">
        <v>7925</v>
      </c>
      <c r="N730" s="14" t="s">
        <v>393</v>
      </c>
      <c r="O730" s="14" t="s">
        <v>393</v>
      </c>
      <c r="P730" s="15" t="s">
        <v>397</v>
      </c>
      <c r="Q730" s="15" t="s">
        <v>1095</v>
      </c>
      <c r="R730" s="15" t="s">
        <v>265</v>
      </c>
      <c r="S730" s="15" t="s">
        <v>7926</v>
      </c>
      <c r="T730" s="14" t="b">
        <v>0</v>
      </c>
      <c r="U730" s="15" t="s">
        <v>7927</v>
      </c>
      <c r="V730" s="15" t="s">
        <v>3219</v>
      </c>
      <c r="W730" s="15" t="s">
        <v>401</v>
      </c>
      <c r="X730" s="15" t="s">
        <v>742</v>
      </c>
      <c r="Y730" s="15">
        <v>2184.0</v>
      </c>
      <c r="AA730" s="15" t="str">
        <f>"840"</f>
        <v>840</v>
      </c>
      <c r="AB730" s="14" t="b">
        <v>1</v>
      </c>
      <c r="AC730" s="14" t="b">
        <v>1</v>
      </c>
      <c r="AD730" s="15" t="str">
        <f>"801542821517"</f>
        <v>801542821517</v>
      </c>
      <c r="AE730" s="15" t="s">
        <v>7928</v>
      </c>
      <c r="AF730" s="14" t="s">
        <v>404</v>
      </c>
      <c r="AG730" s="14" t="s">
        <v>405</v>
      </c>
      <c r="AH730" s="14" t="s">
        <v>406</v>
      </c>
      <c r="AI730" s="15">
        <v>0.0</v>
      </c>
      <c r="AL730" s="15" t="s">
        <v>1099</v>
      </c>
      <c r="AM730" s="15" t="s">
        <v>7926</v>
      </c>
      <c r="AN730" s="15" t="s">
        <v>7929</v>
      </c>
      <c r="AO730" s="15" t="s">
        <v>1892</v>
      </c>
      <c r="AP730" s="15" t="s">
        <v>1893</v>
      </c>
      <c r="AQ730" s="15" t="s">
        <v>546</v>
      </c>
      <c r="AR730" s="15" t="s">
        <v>547</v>
      </c>
      <c r="AS730" s="15" t="s">
        <v>1101</v>
      </c>
      <c r="AT730" s="15" t="s">
        <v>1095</v>
      </c>
      <c r="AW730" s="15" t="s">
        <v>548</v>
      </c>
      <c r="AX730" s="15" t="s">
        <v>549</v>
      </c>
      <c r="AY730" s="15" t="s">
        <v>413</v>
      </c>
      <c r="AZ730" s="15" t="b">
        <v>0</v>
      </c>
      <c r="BA730" s="15" t="s">
        <v>413</v>
      </c>
      <c r="BB730" s="15" t="b">
        <v>0</v>
      </c>
      <c r="BC730" s="15" t="s">
        <v>7930</v>
      </c>
      <c r="BD730" s="15" t="s">
        <v>742</v>
      </c>
      <c r="BE730" s="15" t="str">
        <f t="shared" si="1232"/>
        <v>1</v>
      </c>
      <c r="BF730" s="15" t="s">
        <v>7917</v>
      </c>
      <c r="BG730" s="15" t="str">
        <f>"115.16"</f>
        <v>115.16</v>
      </c>
      <c r="BH730" s="15" t="s">
        <v>7931</v>
      </c>
      <c r="BI730" s="15" t="str">
        <f t="shared" si="1239"/>
        <v>8.86</v>
      </c>
      <c r="BJ730" s="15" t="s">
        <v>7919</v>
      </c>
      <c r="BK730" s="15" t="str">
        <f t="shared" si="1240"/>
        <v>42.91</v>
      </c>
      <c r="BL730" s="15" t="s">
        <v>4755</v>
      </c>
      <c r="BM730" s="15" t="str">
        <f>"238.1"</f>
        <v>238.1</v>
      </c>
      <c r="BN730" s="15" t="s">
        <v>7932</v>
      </c>
      <c r="BQ730" s="15" t="s">
        <v>444</v>
      </c>
      <c r="BS730" s="15" t="s">
        <v>444</v>
      </c>
      <c r="BU730" s="15" t="s">
        <v>444</v>
      </c>
      <c r="BW730" s="15" t="s">
        <v>444</v>
      </c>
      <c r="BZ730" s="15" t="s">
        <v>444</v>
      </c>
      <c r="CB730" s="15" t="s">
        <v>444</v>
      </c>
      <c r="CD730" s="15" t="s">
        <v>444</v>
      </c>
      <c r="CF730" s="15" t="s">
        <v>444</v>
      </c>
      <c r="CI730" s="15" t="s">
        <v>444</v>
      </c>
      <c r="CK730" s="15" t="s">
        <v>444</v>
      </c>
      <c r="CM730" s="15" t="s">
        <v>444</v>
      </c>
      <c r="CO730" s="15" t="s">
        <v>444</v>
      </c>
      <c r="CP730" s="15" t="str">
        <f>"25.32"</f>
        <v>25.32</v>
      </c>
      <c r="CQ730" s="15" t="str">
        <f>"0.717"</f>
        <v>0.717</v>
      </c>
      <c r="CR730" s="15" t="s">
        <v>417</v>
      </c>
      <c r="DC730" s="15" t="str">
        <f>IFERROR(__xludf.DUMMYFUNCTION("""COMPUTED_VALUE"""),"")</f>
        <v/>
      </c>
      <c r="DE730" s="15" t="str">
        <f>IFERROR(__xludf.DUMMYFUNCTION("""COMPUTED_VALUE"""),"")</f>
        <v/>
      </c>
      <c r="DG730" s="15" t="str">
        <f>IFERROR(__xludf.DUMMYFUNCTION("""COMPUTED_VALUE"""),"")</f>
        <v/>
      </c>
      <c r="DL730" s="15" t="str">
        <f>IFERROR(__xludf.DUMMYFUNCTION("""COMPUTED_VALUE"""),"")</f>
        <v/>
      </c>
      <c r="DM730" s="15" t="s">
        <v>444</v>
      </c>
      <c r="DN730" s="15" t="s">
        <v>419</v>
      </c>
      <c r="DO730" s="15">
        <v>0.0</v>
      </c>
      <c r="DP730" s="15" t="s">
        <v>419</v>
      </c>
      <c r="DR730" s="15">
        <v>0.0</v>
      </c>
      <c r="DT730" s="15" t="s">
        <v>1111</v>
      </c>
      <c r="DU730" s="15" t="s">
        <v>419</v>
      </c>
      <c r="DW730" s="15">
        <v>0.0</v>
      </c>
      <c r="DX730" s="15">
        <v>0.0</v>
      </c>
      <c r="DY730" s="15">
        <v>0.0</v>
      </c>
      <c r="EE730" s="15">
        <v>12.0</v>
      </c>
      <c r="EF730" s="15" t="s">
        <v>471</v>
      </c>
      <c r="EG730" s="15" t="s">
        <v>472</v>
      </c>
      <c r="EH730" s="15" t="s">
        <v>7921</v>
      </c>
      <c r="EJ730" s="15" t="s">
        <v>424</v>
      </c>
      <c r="EK730" s="15" t="s">
        <v>446</v>
      </c>
      <c r="EM730" s="15" t="str">
        <f>IFERROR(__xludf.DUMMYFUNCTION("""COMPUTED_VALUE"""),"")</f>
        <v/>
      </c>
      <c r="EW730" s="15" t="s">
        <v>7922</v>
      </c>
      <c r="EY730" s="15" t="s">
        <v>7933</v>
      </c>
      <c r="FH730" s="15" t="s">
        <v>7924</v>
      </c>
      <c r="FI730" s="15" t="s">
        <v>7922</v>
      </c>
      <c r="FJ730" s="15" t="s">
        <v>7934</v>
      </c>
      <c r="FK730" s="15" t="s">
        <v>4685</v>
      </c>
      <c r="FL730" s="15" t="s">
        <v>426</v>
      </c>
      <c r="FM730" s="15">
        <v>0.0</v>
      </c>
      <c r="FN730" s="15">
        <v>0.0</v>
      </c>
      <c r="FU730" s="15" t="s">
        <v>2505</v>
      </c>
      <c r="FV730" s="15" t="s">
        <v>7922</v>
      </c>
      <c r="FW730" s="15" t="s">
        <v>2651</v>
      </c>
      <c r="FX730" s="15" t="s">
        <v>1123</v>
      </c>
    </row>
    <row r="731" ht="15.75" customHeight="1">
      <c r="A731" s="14" t="s">
        <v>391</v>
      </c>
      <c r="B731" s="15" t="s">
        <v>7912</v>
      </c>
      <c r="C731" s="16"/>
      <c r="D731" s="15" t="s">
        <v>432</v>
      </c>
      <c r="G731" s="14" t="s">
        <v>393</v>
      </c>
      <c r="H731" s="14" t="s">
        <v>394</v>
      </c>
      <c r="I731" s="14" t="b">
        <v>1</v>
      </c>
      <c r="J731" s="14" t="s">
        <v>395</v>
      </c>
      <c r="L731" s="14" t="b">
        <v>0</v>
      </c>
      <c r="M731" s="15" t="s">
        <v>7935</v>
      </c>
      <c r="N731" s="14" t="s">
        <v>393</v>
      </c>
      <c r="O731" s="14" t="s">
        <v>393</v>
      </c>
      <c r="P731" s="15" t="s">
        <v>397</v>
      </c>
      <c r="Q731" s="15" t="s">
        <v>1136</v>
      </c>
      <c r="R731" s="15" t="s">
        <v>265</v>
      </c>
      <c r="S731" s="15" t="s">
        <v>1125</v>
      </c>
      <c r="T731" s="14" t="b">
        <v>0</v>
      </c>
      <c r="U731" s="15" t="s">
        <v>7936</v>
      </c>
      <c r="V731" s="15" t="s">
        <v>5925</v>
      </c>
      <c r="W731" s="15" t="s">
        <v>401</v>
      </c>
      <c r="X731" s="15" t="s">
        <v>742</v>
      </c>
      <c r="Y731" s="15">
        <v>1755.0</v>
      </c>
      <c r="AA731" s="15" t="str">
        <f>"675"</f>
        <v>675</v>
      </c>
      <c r="AB731" s="14" t="b">
        <v>1</v>
      </c>
      <c r="AC731" s="14" t="b">
        <v>1</v>
      </c>
      <c r="AD731" s="15" t="str">
        <f>"801542010942"</f>
        <v>801542010942</v>
      </c>
      <c r="AE731" s="15" t="s">
        <v>7937</v>
      </c>
      <c r="AF731" s="14" t="s">
        <v>404</v>
      </c>
      <c r="AG731" s="14" t="s">
        <v>405</v>
      </c>
      <c r="AH731" s="14" t="s">
        <v>406</v>
      </c>
      <c r="AI731" s="15">
        <v>0.0</v>
      </c>
      <c r="AL731" s="15" t="s">
        <v>1099</v>
      </c>
      <c r="AM731" s="15" t="s">
        <v>1125</v>
      </c>
      <c r="AN731" s="15" t="s">
        <v>1129</v>
      </c>
      <c r="AO731" s="15" t="s">
        <v>1892</v>
      </c>
      <c r="AP731" s="15" t="s">
        <v>1893</v>
      </c>
      <c r="AQ731" s="15" t="s">
        <v>546</v>
      </c>
      <c r="AR731" s="15" t="s">
        <v>547</v>
      </c>
      <c r="AS731" s="15" t="s">
        <v>1101</v>
      </c>
      <c r="AT731" s="15" t="s">
        <v>1136</v>
      </c>
      <c r="AU731" s="15" t="s">
        <v>1139</v>
      </c>
      <c r="AW731" s="15" t="s">
        <v>548</v>
      </c>
      <c r="AX731" s="15" t="s">
        <v>549</v>
      </c>
      <c r="AY731" s="15" t="s">
        <v>413</v>
      </c>
      <c r="AZ731" s="15" t="b">
        <v>0</v>
      </c>
      <c r="BA731" s="15" t="s">
        <v>413</v>
      </c>
      <c r="BB731" s="15" t="b">
        <v>0</v>
      </c>
      <c r="BC731" s="15" t="s">
        <v>7938</v>
      </c>
      <c r="BD731" s="15" t="s">
        <v>742</v>
      </c>
      <c r="BE731" s="15" t="str">
        <f t="shared" si="1232"/>
        <v>1</v>
      </c>
      <c r="BF731" s="15" t="s">
        <v>7917</v>
      </c>
      <c r="BG731" s="15" t="str">
        <f>"91.73"</f>
        <v>91.73</v>
      </c>
      <c r="BH731" s="15" t="s">
        <v>7918</v>
      </c>
      <c r="BI731" s="15" t="str">
        <f t="shared" ref="BI731:BI732" si="1241">"42.91"</f>
        <v>42.91</v>
      </c>
      <c r="BJ731" s="15" t="s">
        <v>4755</v>
      </c>
      <c r="BK731" s="15" t="str">
        <f t="shared" ref="BK731:BK732" si="1242">"8.86"</f>
        <v>8.86</v>
      </c>
      <c r="BL731" s="15" t="s">
        <v>7919</v>
      </c>
      <c r="BM731" s="15" t="str">
        <f>"186.29"</f>
        <v>186.29</v>
      </c>
      <c r="BN731" s="15" t="s">
        <v>7920</v>
      </c>
      <c r="BQ731" s="15" t="s">
        <v>444</v>
      </c>
      <c r="BS731" s="15" t="s">
        <v>444</v>
      </c>
      <c r="BU731" s="15" t="s">
        <v>444</v>
      </c>
      <c r="BW731" s="15" t="s">
        <v>444</v>
      </c>
      <c r="BZ731" s="15" t="s">
        <v>444</v>
      </c>
      <c r="CB731" s="15" t="s">
        <v>444</v>
      </c>
      <c r="CD731" s="15" t="s">
        <v>444</v>
      </c>
      <c r="CF731" s="15" t="s">
        <v>444</v>
      </c>
      <c r="CI731" s="15" t="s">
        <v>444</v>
      </c>
      <c r="CK731" s="15" t="s">
        <v>444</v>
      </c>
      <c r="CM731" s="15" t="s">
        <v>444</v>
      </c>
      <c r="CO731" s="15" t="s">
        <v>444</v>
      </c>
      <c r="CP731" s="15" t="str">
        <f>"20.16"</f>
        <v>20.16</v>
      </c>
      <c r="CQ731" s="15" t="str">
        <f>"0.571"</f>
        <v>0.571</v>
      </c>
      <c r="CR731" s="15" t="s">
        <v>465</v>
      </c>
      <c r="DC731" s="15" t="str">
        <f>IFERROR(__xludf.DUMMYFUNCTION("""COMPUTED_VALUE"""),"")</f>
        <v/>
      </c>
      <c r="DE731" s="15" t="str">
        <f>IFERROR(__xludf.DUMMYFUNCTION("""COMPUTED_VALUE"""),"")</f>
        <v/>
      </c>
      <c r="DG731" s="15" t="str">
        <f>IFERROR(__xludf.DUMMYFUNCTION("""COMPUTED_VALUE"""),"")</f>
        <v/>
      </c>
      <c r="DL731" s="15" t="str">
        <f>IFERROR(__xludf.DUMMYFUNCTION("""COMPUTED_VALUE"""),"")</f>
        <v/>
      </c>
      <c r="DM731" s="15" t="s">
        <v>444</v>
      </c>
      <c r="DN731" s="15" t="s">
        <v>419</v>
      </c>
      <c r="DO731" s="15">
        <v>0.0</v>
      </c>
      <c r="DP731" s="15" t="s">
        <v>419</v>
      </c>
      <c r="DR731" s="15">
        <v>0.0</v>
      </c>
      <c r="DT731" s="15" t="s">
        <v>1111</v>
      </c>
      <c r="DU731" s="15" t="s">
        <v>419</v>
      </c>
      <c r="DW731" s="15">
        <v>0.0</v>
      </c>
      <c r="DX731" s="15">
        <v>0.0</v>
      </c>
      <c r="DY731" s="15">
        <v>0.0</v>
      </c>
      <c r="EE731" s="15">
        <v>8.0</v>
      </c>
      <c r="EF731" s="15" t="s">
        <v>471</v>
      </c>
      <c r="EG731" s="15" t="s">
        <v>472</v>
      </c>
      <c r="EH731" s="15" t="s">
        <v>7921</v>
      </c>
      <c r="EJ731" s="15" t="s">
        <v>424</v>
      </c>
      <c r="EK731" s="15" t="s">
        <v>446</v>
      </c>
      <c r="EM731" s="15" t="str">
        <f>IFERROR(__xludf.DUMMYFUNCTION("""COMPUTED_VALUE"""),"")</f>
        <v/>
      </c>
      <c r="EW731" s="15" t="s">
        <v>7922</v>
      </c>
      <c r="EY731" s="15" t="s">
        <v>7923</v>
      </c>
      <c r="FH731" s="15" t="s">
        <v>7924</v>
      </c>
      <c r="FI731" s="15" t="s">
        <v>7922</v>
      </c>
      <c r="FJ731" s="15" t="s">
        <v>4551</v>
      </c>
      <c r="FK731" s="15" t="s">
        <v>4685</v>
      </c>
      <c r="FL731" s="15" t="s">
        <v>426</v>
      </c>
      <c r="FM731" s="15">
        <v>0.0</v>
      </c>
      <c r="FN731" s="15">
        <v>0.0</v>
      </c>
      <c r="FU731" s="15" t="s">
        <v>2505</v>
      </c>
      <c r="FV731" s="15" t="s">
        <v>7922</v>
      </c>
      <c r="FW731" s="15" t="s">
        <v>2651</v>
      </c>
      <c r="FX731" s="15" t="s">
        <v>1123</v>
      </c>
    </row>
    <row r="732" ht="15.75" customHeight="1">
      <c r="A732" s="14" t="s">
        <v>391</v>
      </c>
      <c r="B732" s="15" t="s">
        <v>7912</v>
      </c>
      <c r="C732" s="16"/>
      <c r="D732" s="15" t="s">
        <v>432</v>
      </c>
      <c r="G732" s="14" t="s">
        <v>393</v>
      </c>
      <c r="H732" s="14" t="s">
        <v>394</v>
      </c>
      <c r="I732" s="14" t="b">
        <v>1</v>
      </c>
      <c r="J732" s="14" t="s">
        <v>395</v>
      </c>
      <c r="L732" s="14" t="b">
        <v>0</v>
      </c>
      <c r="M732" s="15" t="s">
        <v>7939</v>
      </c>
      <c r="N732" s="14" t="s">
        <v>393</v>
      </c>
      <c r="O732" s="14" t="s">
        <v>393</v>
      </c>
      <c r="P732" s="15" t="s">
        <v>397</v>
      </c>
      <c r="Q732" s="15" t="s">
        <v>1136</v>
      </c>
      <c r="R732" s="15" t="s">
        <v>265</v>
      </c>
      <c r="S732" s="15" t="s">
        <v>7926</v>
      </c>
      <c r="T732" s="14" t="b">
        <v>0</v>
      </c>
      <c r="U732" s="15" t="s">
        <v>7940</v>
      </c>
      <c r="V732" s="15" t="s">
        <v>3219</v>
      </c>
      <c r="W732" s="15" t="s">
        <v>401</v>
      </c>
      <c r="X732" s="15" t="s">
        <v>742</v>
      </c>
      <c r="Y732" s="15">
        <v>2080.0</v>
      </c>
      <c r="AA732" s="15" t="str">
        <f>"800"</f>
        <v>800</v>
      </c>
      <c r="AB732" s="14" t="b">
        <v>1</v>
      </c>
      <c r="AC732" s="14" t="b">
        <v>1</v>
      </c>
      <c r="AD732" s="15" t="str">
        <f>"801542010935"</f>
        <v>801542010935</v>
      </c>
      <c r="AE732" s="15" t="s">
        <v>7941</v>
      </c>
      <c r="AF732" s="14" t="s">
        <v>404</v>
      </c>
      <c r="AG732" s="14" t="s">
        <v>405</v>
      </c>
      <c r="AH732" s="14" t="s">
        <v>406</v>
      </c>
      <c r="AI732" s="15">
        <v>0.0</v>
      </c>
      <c r="AL732" s="15" t="s">
        <v>1099</v>
      </c>
      <c r="AM732" s="15" t="s">
        <v>7926</v>
      </c>
      <c r="AN732" s="15" t="s">
        <v>7929</v>
      </c>
      <c r="AO732" s="15" t="s">
        <v>1892</v>
      </c>
      <c r="AP732" s="15" t="s">
        <v>1893</v>
      </c>
      <c r="AQ732" s="15" t="s">
        <v>546</v>
      </c>
      <c r="AR732" s="15" t="s">
        <v>547</v>
      </c>
      <c r="AS732" s="15" t="s">
        <v>1101</v>
      </c>
      <c r="AT732" s="15" t="s">
        <v>1136</v>
      </c>
      <c r="AU732" s="15" t="s">
        <v>1139</v>
      </c>
      <c r="AW732" s="15" t="s">
        <v>548</v>
      </c>
      <c r="AX732" s="15" t="s">
        <v>549</v>
      </c>
      <c r="AY732" s="15" t="s">
        <v>413</v>
      </c>
      <c r="AZ732" s="15" t="b">
        <v>0</v>
      </c>
      <c r="BA732" s="15" t="s">
        <v>413</v>
      </c>
      <c r="BB732" s="15" t="b">
        <v>0</v>
      </c>
      <c r="BC732" s="15" t="s">
        <v>7938</v>
      </c>
      <c r="BD732" s="15" t="s">
        <v>742</v>
      </c>
      <c r="BE732" s="15" t="str">
        <f t="shared" si="1232"/>
        <v>1</v>
      </c>
      <c r="BF732" s="15" t="s">
        <v>7917</v>
      </c>
      <c r="BG732" s="15" t="str">
        <f>"115.16"</f>
        <v>115.16</v>
      </c>
      <c r="BH732" s="15" t="s">
        <v>7931</v>
      </c>
      <c r="BI732" s="15" t="str">
        <f t="shared" si="1241"/>
        <v>42.91</v>
      </c>
      <c r="BJ732" s="15" t="s">
        <v>4755</v>
      </c>
      <c r="BK732" s="15" t="str">
        <f t="shared" si="1242"/>
        <v>8.86</v>
      </c>
      <c r="BL732" s="15" t="s">
        <v>7919</v>
      </c>
      <c r="BM732" s="15" t="str">
        <f>"238.1"</f>
        <v>238.1</v>
      </c>
      <c r="BN732" s="15" t="s">
        <v>7932</v>
      </c>
      <c r="BQ732" s="15" t="s">
        <v>444</v>
      </c>
      <c r="BS732" s="15" t="s">
        <v>444</v>
      </c>
      <c r="BU732" s="15" t="s">
        <v>444</v>
      </c>
      <c r="BW732" s="15" t="s">
        <v>444</v>
      </c>
      <c r="BZ732" s="15" t="s">
        <v>444</v>
      </c>
      <c r="CB732" s="15" t="s">
        <v>444</v>
      </c>
      <c r="CD732" s="15" t="s">
        <v>444</v>
      </c>
      <c r="CF732" s="15" t="s">
        <v>444</v>
      </c>
      <c r="CI732" s="15" t="s">
        <v>444</v>
      </c>
      <c r="CK732" s="15" t="s">
        <v>444</v>
      </c>
      <c r="CM732" s="15" t="s">
        <v>444</v>
      </c>
      <c r="CO732" s="15" t="s">
        <v>444</v>
      </c>
      <c r="CP732" s="15" t="str">
        <f>"25.32"</f>
        <v>25.32</v>
      </c>
      <c r="CQ732" s="15" t="str">
        <f>"0.717"</f>
        <v>0.717</v>
      </c>
      <c r="CR732" s="15" t="s">
        <v>497</v>
      </c>
      <c r="DC732" s="15" t="str">
        <f>IFERROR(__xludf.DUMMYFUNCTION("""COMPUTED_VALUE"""),"")</f>
        <v/>
      </c>
      <c r="DE732" s="15" t="str">
        <f>IFERROR(__xludf.DUMMYFUNCTION("""COMPUTED_VALUE"""),"")</f>
        <v/>
      </c>
      <c r="DG732" s="15" t="str">
        <f>IFERROR(__xludf.DUMMYFUNCTION("""COMPUTED_VALUE"""),"")</f>
        <v/>
      </c>
      <c r="DL732" s="15" t="str">
        <f>IFERROR(__xludf.DUMMYFUNCTION("""COMPUTED_VALUE"""),"")</f>
        <v/>
      </c>
      <c r="DM732" s="15" t="s">
        <v>444</v>
      </c>
      <c r="DN732" s="15" t="s">
        <v>419</v>
      </c>
      <c r="DO732" s="15">
        <v>0.0</v>
      </c>
      <c r="DP732" s="15" t="s">
        <v>419</v>
      </c>
      <c r="DR732" s="15">
        <v>0.0</v>
      </c>
      <c r="DT732" s="15" t="s">
        <v>1111</v>
      </c>
      <c r="DU732" s="15" t="s">
        <v>419</v>
      </c>
      <c r="DW732" s="15">
        <v>0.0</v>
      </c>
      <c r="DX732" s="15">
        <v>0.0</v>
      </c>
      <c r="DY732" s="15">
        <v>0.0</v>
      </c>
      <c r="EE732" s="15">
        <v>12.0</v>
      </c>
      <c r="EF732" s="15" t="s">
        <v>471</v>
      </c>
      <c r="EG732" s="15" t="s">
        <v>472</v>
      </c>
      <c r="EH732" s="15" t="s">
        <v>7921</v>
      </c>
      <c r="EJ732" s="15" t="s">
        <v>424</v>
      </c>
      <c r="EK732" s="15" t="s">
        <v>446</v>
      </c>
      <c r="EM732" s="15" t="str">
        <f>IFERROR(__xludf.DUMMYFUNCTION("""COMPUTED_VALUE"""),"")</f>
        <v/>
      </c>
      <c r="EW732" s="15" t="s">
        <v>7922</v>
      </c>
      <c r="EY732" s="15" t="s">
        <v>7933</v>
      </c>
      <c r="FH732" s="15" t="s">
        <v>7924</v>
      </c>
      <c r="FI732" s="15" t="s">
        <v>7922</v>
      </c>
      <c r="FJ732" s="15" t="s">
        <v>7934</v>
      </c>
      <c r="FK732" s="15" t="s">
        <v>4685</v>
      </c>
      <c r="FL732" s="15" t="s">
        <v>426</v>
      </c>
      <c r="FM732" s="15">
        <v>0.0</v>
      </c>
      <c r="FN732" s="15">
        <v>0.0</v>
      </c>
      <c r="FU732" s="15" t="s">
        <v>2505</v>
      </c>
      <c r="FV732" s="15" t="s">
        <v>7922</v>
      </c>
      <c r="FW732" s="15" t="s">
        <v>2651</v>
      </c>
      <c r="FX732" s="15" t="s">
        <v>1123</v>
      </c>
    </row>
    <row r="733" ht="15.75" customHeight="1">
      <c r="A733" s="14" t="s">
        <v>391</v>
      </c>
      <c r="B733" s="15" t="s">
        <v>7942</v>
      </c>
      <c r="C733" s="16"/>
      <c r="D733" s="15" t="s">
        <v>432</v>
      </c>
      <c r="G733" s="14" t="s">
        <v>393</v>
      </c>
      <c r="H733" s="14" t="s">
        <v>394</v>
      </c>
      <c r="I733" s="14" t="b">
        <v>1</v>
      </c>
      <c r="J733" s="14" t="s">
        <v>395</v>
      </c>
      <c r="L733" s="14" t="b">
        <v>0</v>
      </c>
      <c r="M733" s="15" t="s">
        <v>7943</v>
      </c>
      <c r="N733" s="14" t="s">
        <v>393</v>
      </c>
      <c r="O733" s="14" t="s">
        <v>393</v>
      </c>
      <c r="P733" s="15" t="s">
        <v>397</v>
      </c>
      <c r="Q733" s="15" t="s">
        <v>2741</v>
      </c>
      <c r="T733" s="14" t="b">
        <v>0</v>
      </c>
      <c r="U733" s="15" t="s">
        <v>7944</v>
      </c>
      <c r="V733" s="15" t="s">
        <v>7945</v>
      </c>
      <c r="W733" s="15" t="s">
        <v>401</v>
      </c>
      <c r="X733" s="15" t="s">
        <v>695</v>
      </c>
      <c r="Y733" s="15">
        <v>767.0</v>
      </c>
      <c r="AA733" s="15" t="str">
        <f>"295"</f>
        <v>295</v>
      </c>
      <c r="AB733" s="14" t="b">
        <v>1</v>
      </c>
      <c r="AC733" s="14" t="b">
        <v>1</v>
      </c>
      <c r="AD733" s="15" t="str">
        <f>"801542230326"</f>
        <v>801542230326</v>
      </c>
      <c r="AE733" s="15" t="s">
        <v>7946</v>
      </c>
      <c r="AF733" s="14" t="s">
        <v>404</v>
      </c>
      <c r="AG733" s="14" t="s">
        <v>405</v>
      </c>
      <c r="AH733" s="14" t="s">
        <v>406</v>
      </c>
      <c r="AI733" s="15">
        <v>0.0</v>
      </c>
      <c r="AL733" s="15" t="s">
        <v>808</v>
      </c>
      <c r="AM733" s="15" t="s">
        <v>2059</v>
      </c>
      <c r="AN733" s="15" t="s">
        <v>2060</v>
      </c>
      <c r="AO733" s="15" t="s">
        <v>598</v>
      </c>
      <c r="AP733" s="15" t="s">
        <v>599</v>
      </c>
      <c r="AQ733" s="15" t="s">
        <v>1152</v>
      </c>
      <c r="AR733" s="15" t="s">
        <v>1153</v>
      </c>
      <c r="AS733" s="15" t="s">
        <v>1474</v>
      </c>
      <c r="AT733" s="15" t="s">
        <v>2741</v>
      </c>
      <c r="AU733" s="15" t="s">
        <v>4336</v>
      </c>
      <c r="AW733" s="15" t="s">
        <v>1009</v>
      </c>
      <c r="AY733" s="15" t="s">
        <v>413</v>
      </c>
      <c r="AZ733" s="15" t="b">
        <v>0</v>
      </c>
      <c r="BA733" s="15" t="s">
        <v>413</v>
      </c>
      <c r="BB733" s="15" t="b">
        <v>0</v>
      </c>
      <c r="BC733" s="15" t="s">
        <v>7947</v>
      </c>
      <c r="BD733" s="15" t="s">
        <v>709</v>
      </c>
      <c r="BE733" s="15" t="str">
        <f t="shared" si="1232"/>
        <v>1</v>
      </c>
      <c r="BF733" s="15" t="s">
        <v>416</v>
      </c>
      <c r="BG733" s="15" t="str">
        <f>"25.79"</f>
        <v>25.79</v>
      </c>
      <c r="BH733" s="15" t="s">
        <v>631</v>
      </c>
      <c r="BI733" s="15" t="str">
        <f>"22.44"</f>
        <v>22.44</v>
      </c>
      <c r="BJ733" s="15" t="s">
        <v>1156</v>
      </c>
      <c r="BK733" s="15" t="str">
        <f>"20.28"</f>
        <v>20.28</v>
      </c>
      <c r="BL733" s="15" t="s">
        <v>3667</v>
      </c>
      <c r="BM733" s="15" t="str">
        <f>"27.12"</f>
        <v>27.12</v>
      </c>
      <c r="BN733" s="15" t="s">
        <v>7948</v>
      </c>
      <c r="BQ733" s="15" t="s">
        <v>444</v>
      </c>
      <c r="BS733" s="15" t="s">
        <v>444</v>
      </c>
      <c r="BU733" s="15" t="s">
        <v>444</v>
      </c>
      <c r="BW733" s="15" t="s">
        <v>444</v>
      </c>
      <c r="BZ733" s="15" t="s">
        <v>444</v>
      </c>
      <c r="CB733" s="15" t="s">
        <v>444</v>
      </c>
      <c r="CD733" s="15" t="s">
        <v>444</v>
      </c>
      <c r="CF733" s="15" t="s">
        <v>444</v>
      </c>
      <c r="CI733" s="15" t="s">
        <v>444</v>
      </c>
      <c r="CK733" s="15" t="s">
        <v>444</v>
      </c>
      <c r="CM733" s="15" t="s">
        <v>444</v>
      </c>
      <c r="CO733" s="15" t="s">
        <v>444</v>
      </c>
      <c r="CP733" s="15" t="str">
        <f>"6.78"</f>
        <v>6.78</v>
      </c>
      <c r="CQ733" s="15" t="str">
        <f>"0.192"</f>
        <v>0.192</v>
      </c>
      <c r="CR733" s="15" t="s">
        <v>465</v>
      </c>
      <c r="DB733" s="15" t="s">
        <v>3129</v>
      </c>
      <c r="DC733" s="15" t="str">
        <f>IFERROR(__xludf.DUMMYFUNCTION("""COMPUTED_VALUE"""),"{""value"":19.69,""unit"":""in""}")</f>
        <v>{"value":19.69,"unit":"in"}</v>
      </c>
      <c r="DD733" s="15" t="s">
        <v>1604</v>
      </c>
      <c r="DE733" s="15" t="str">
        <f>IFERROR(__xludf.DUMMYFUNCTION("""COMPUTED_VALUE"""),"{""value"":16.93,""unit"":""in""}")</f>
        <v>{"value":16.93,"unit":"in"}</v>
      </c>
      <c r="DF733" s="15" t="s">
        <v>713</v>
      </c>
      <c r="DG733" s="15" t="str">
        <f>IFERROR(__xludf.DUMMYFUNCTION("""COMPUTED_VALUE"""),"{""value"":23.62,""unit"":""in""}")</f>
        <v>{"value":23.62,"unit":"in"}</v>
      </c>
      <c r="DH733" s="15">
        <v>0.0</v>
      </c>
      <c r="DI733" s="15">
        <v>0.0</v>
      </c>
      <c r="DJ733" s="15" t="s">
        <v>469</v>
      </c>
      <c r="DK733" s="15" t="s">
        <v>718</v>
      </c>
      <c r="DL733" s="15" t="str">
        <f>IFERROR(__xludf.DUMMYFUNCTION("""COMPUTED_VALUE"""),"Vacuum or light brush only. Do not use water or any cleaning products.")</f>
        <v>Vacuum or light brush only. Do not use water or any cleaning products.</v>
      </c>
      <c r="DM733" s="15" t="s">
        <v>719</v>
      </c>
      <c r="DN733" s="15" t="s">
        <v>419</v>
      </c>
      <c r="DO733" s="15">
        <v>0.0</v>
      </c>
      <c r="DP733" s="15" t="s">
        <v>419</v>
      </c>
      <c r="DQ733" s="15" t="s">
        <v>7949</v>
      </c>
      <c r="DR733" s="15">
        <v>0.0</v>
      </c>
      <c r="DT733" s="15" t="s">
        <v>989</v>
      </c>
      <c r="DU733" s="15" t="s">
        <v>419</v>
      </c>
      <c r="DV733" s="15">
        <v>0.0</v>
      </c>
      <c r="DW733" s="15">
        <v>0.0</v>
      </c>
      <c r="DX733" s="15">
        <v>0.0</v>
      </c>
      <c r="DY733" s="15">
        <v>0.0</v>
      </c>
      <c r="DZ733" s="15">
        <v>0.0</v>
      </c>
      <c r="EA733" s="15" t="s">
        <v>5001</v>
      </c>
      <c r="EB733" s="15" t="s">
        <v>1016</v>
      </c>
      <c r="ED733" s="15">
        <v>1.0</v>
      </c>
      <c r="EE733" s="15">
        <v>1.0</v>
      </c>
      <c r="EF733" s="15" t="s">
        <v>471</v>
      </c>
      <c r="EG733" s="15" t="s">
        <v>472</v>
      </c>
      <c r="EH733" s="15" t="s">
        <v>7950</v>
      </c>
      <c r="EI733" s="15">
        <v>0.0</v>
      </c>
      <c r="EJ733" s="15" t="s">
        <v>726</v>
      </c>
      <c r="EK733" s="15" t="s">
        <v>727</v>
      </c>
      <c r="EM733" s="15" t="str">
        <f>IFERROR(__xludf.DUMMYFUNCTION("""COMPUTED_VALUE"""),"")</f>
        <v/>
      </c>
      <c r="EX733" s="15" t="s">
        <v>824</v>
      </c>
      <c r="EY733" s="15" t="s">
        <v>3927</v>
      </c>
      <c r="FS733" s="15" t="s">
        <v>3561</v>
      </c>
    </row>
    <row r="734" ht="15.75" customHeight="1">
      <c r="A734" s="14" t="s">
        <v>391</v>
      </c>
      <c r="B734" s="15" t="s">
        <v>7951</v>
      </c>
      <c r="C734" s="16"/>
      <c r="D734" s="15" t="s">
        <v>432</v>
      </c>
      <c r="G734" s="14" t="s">
        <v>393</v>
      </c>
      <c r="H734" s="14" t="s">
        <v>394</v>
      </c>
      <c r="I734" s="14" t="b">
        <v>1</v>
      </c>
      <c r="J734" s="14" t="s">
        <v>395</v>
      </c>
      <c r="L734" s="14" t="b">
        <v>0</v>
      </c>
      <c r="M734" s="15" t="s">
        <v>7952</v>
      </c>
      <c r="N734" s="14" t="s">
        <v>393</v>
      </c>
      <c r="O734" s="14" t="s">
        <v>393</v>
      </c>
      <c r="P734" s="15" t="s">
        <v>397</v>
      </c>
      <c r="Q734" s="15" t="s">
        <v>2741</v>
      </c>
      <c r="T734" s="14" t="b">
        <v>0</v>
      </c>
      <c r="U734" s="15" t="s">
        <v>7953</v>
      </c>
      <c r="V734" s="15" t="s">
        <v>1696</v>
      </c>
      <c r="W734" s="15" t="s">
        <v>401</v>
      </c>
      <c r="X734" s="15" t="s">
        <v>695</v>
      </c>
      <c r="Y734" s="15">
        <v>1040.0</v>
      </c>
      <c r="AA734" s="15" t="str">
        <f>"400"</f>
        <v>400</v>
      </c>
      <c r="AB734" s="14" t="b">
        <v>1</v>
      </c>
      <c r="AC734" s="14" t="b">
        <v>1</v>
      </c>
      <c r="AD734" s="15" t="str">
        <f>"801542154875"</f>
        <v>801542154875</v>
      </c>
      <c r="AE734" s="15" t="s">
        <v>7954</v>
      </c>
      <c r="AF734" s="14" t="s">
        <v>404</v>
      </c>
      <c r="AG734" s="14" t="s">
        <v>405</v>
      </c>
      <c r="AH734" s="14" t="s">
        <v>406</v>
      </c>
      <c r="AI734" s="15">
        <v>0.0</v>
      </c>
      <c r="AL734" s="15" t="s">
        <v>808</v>
      </c>
      <c r="AM734" s="15" t="s">
        <v>6707</v>
      </c>
      <c r="AN734" s="15" t="s">
        <v>6708</v>
      </c>
      <c r="AO734" s="15" t="s">
        <v>3629</v>
      </c>
      <c r="AP734" s="15" t="s">
        <v>3630</v>
      </c>
      <c r="AQ734" s="15" t="s">
        <v>1152</v>
      </c>
      <c r="AR734" s="15" t="s">
        <v>1153</v>
      </c>
      <c r="AS734" s="15" t="s">
        <v>1474</v>
      </c>
      <c r="AT734" s="15" t="s">
        <v>2741</v>
      </c>
      <c r="AU734" s="15" t="s">
        <v>4336</v>
      </c>
      <c r="AW734" s="15" t="s">
        <v>458</v>
      </c>
      <c r="AX734" s="15" t="s">
        <v>459</v>
      </c>
      <c r="AY734" s="15" t="s">
        <v>413</v>
      </c>
      <c r="AZ734" s="15" t="b">
        <v>0</v>
      </c>
      <c r="BA734" s="15" t="s">
        <v>413</v>
      </c>
      <c r="BB734" s="15" t="b">
        <v>0</v>
      </c>
      <c r="BC734" s="15" t="s">
        <v>7955</v>
      </c>
      <c r="BD734" s="15" t="s">
        <v>709</v>
      </c>
      <c r="BE734" s="15" t="str">
        <f t="shared" si="1232"/>
        <v>1</v>
      </c>
      <c r="BF734" s="15" t="s">
        <v>416</v>
      </c>
      <c r="BG734" s="15" t="str">
        <f>"46.46"</f>
        <v>46.46</v>
      </c>
      <c r="BH734" s="15" t="s">
        <v>4113</v>
      </c>
      <c r="BI734" s="15" t="str">
        <f>"16.93"</f>
        <v>16.93</v>
      </c>
      <c r="BJ734" s="15" t="s">
        <v>7091</v>
      </c>
      <c r="BK734" s="15" t="str">
        <f>"20.67"</f>
        <v>20.67</v>
      </c>
      <c r="BL734" s="15" t="s">
        <v>5893</v>
      </c>
      <c r="BM734" s="15" t="str">
        <f>"36.82"</f>
        <v>36.82</v>
      </c>
      <c r="BN734" s="15" t="s">
        <v>7956</v>
      </c>
      <c r="BQ734" s="15" t="s">
        <v>444</v>
      </c>
      <c r="BS734" s="15" t="s">
        <v>444</v>
      </c>
      <c r="BU734" s="15" t="s">
        <v>444</v>
      </c>
      <c r="BW734" s="15" t="s">
        <v>444</v>
      </c>
      <c r="BZ734" s="15" t="s">
        <v>444</v>
      </c>
      <c r="CB734" s="15" t="s">
        <v>444</v>
      </c>
      <c r="CD734" s="15" t="s">
        <v>444</v>
      </c>
      <c r="CF734" s="15" t="s">
        <v>444</v>
      </c>
      <c r="CI734" s="15" t="s">
        <v>444</v>
      </c>
      <c r="CK734" s="15" t="s">
        <v>444</v>
      </c>
      <c r="CM734" s="15" t="s">
        <v>444</v>
      </c>
      <c r="CO734" s="15" t="s">
        <v>444</v>
      </c>
      <c r="CP734" s="15" t="str">
        <f>"9.39"</f>
        <v>9.39</v>
      </c>
      <c r="CQ734" s="15" t="str">
        <f>"0.266"</f>
        <v>0.266</v>
      </c>
      <c r="CR734" s="15" t="s">
        <v>497</v>
      </c>
      <c r="DB734" s="15" t="s">
        <v>2159</v>
      </c>
      <c r="DC734" s="15" t="str">
        <f>IFERROR(__xludf.DUMMYFUNCTION("""COMPUTED_VALUE"""),"{""value"":13.78,""unit"":""in""}")</f>
        <v>{"value":13.78,"unit":"in"}</v>
      </c>
      <c r="DD734" s="15" t="s">
        <v>1604</v>
      </c>
      <c r="DE734" s="15" t="str">
        <f>IFERROR(__xludf.DUMMYFUNCTION("""COMPUTED_VALUE"""),"{""value"":16.93,""unit"":""in""}")</f>
        <v>{"value":16.93,"unit":"in"}</v>
      </c>
      <c r="DF734" s="15" t="s">
        <v>6719</v>
      </c>
      <c r="DG734" s="15" t="str">
        <f>IFERROR(__xludf.DUMMYFUNCTION("""COMPUTED_VALUE"""),"{""value"":43.31,""unit"":""in""}")</f>
        <v>{"value":43.31,"unit":"in"}</v>
      </c>
      <c r="DH734" s="15">
        <v>0.0</v>
      </c>
      <c r="DI734" s="15">
        <v>0.0</v>
      </c>
      <c r="DJ734" s="15" t="s">
        <v>469</v>
      </c>
      <c r="DK734" s="15" t="s">
        <v>718</v>
      </c>
      <c r="DL734" s="15" t="str">
        <f>IFERROR(__xludf.DUMMYFUNCTION("""COMPUTED_VALUE"""),"Vacuum or light brush only. Do not use water or any cleaning products.")</f>
        <v>Vacuum or light brush only. Do not use water or any cleaning products.</v>
      </c>
      <c r="DM734" s="15" t="s">
        <v>719</v>
      </c>
      <c r="DN734" s="15" t="s">
        <v>419</v>
      </c>
      <c r="DO734" s="15">
        <v>0.0</v>
      </c>
      <c r="DP734" s="15" t="s">
        <v>419</v>
      </c>
      <c r="DQ734" s="15" t="s">
        <v>1239</v>
      </c>
      <c r="DR734" s="15">
        <v>0.0</v>
      </c>
      <c r="DT734" s="15" t="s">
        <v>989</v>
      </c>
      <c r="DU734" s="15" t="s">
        <v>419</v>
      </c>
      <c r="DV734" s="15">
        <v>0.0</v>
      </c>
      <c r="DW734" s="15">
        <v>0.0</v>
      </c>
      <c r="DX734" s="15">
        <v>0.0</v>
      </c>
      <c r="DY734" s="15">
        <v>0.0</v>
      </c>
      <c r="DZ734" s="15">
        <v>0.0</v>
      </c>
      <c r="EA734" s="15" t="s">
        <v>5001</v>
      </c>
      <c r="EB734" s="15" t="s">
        <v>1016</v>
      </c>
      <c r="ED734" s="15">
        <v>1.0</v>
      </c>
      <c r="EE734" s="15">
        <v>2.0</v>
      </c>
      <c r="EF734" s="15" t="s">
        <v>471</v>
      </c>
      <c r="EG734" s="15" t="s">
        <v>472</v>
      </c>
      <c r="EH734" s="15" t="s">
        <v>7950</v>
      </c>
      <c r="EI734" s="15">
        <v>0.0</v>
      </c>
      <c r="EJ734" s="15" t="s">
        <v>1545</v>
      </c>
      <c r="EK734" s="15" t="s">
        <v>1546</v>
      </c>
      <c r="EM734" s="15" t="str">
        <f>IFERROR(__xludf.DUMMYFUNCTION("""COMPUTED_VALUE"""),"")</f>
        <v/>
      </c>
      <c r="FS734" s="15" t="s">
        <v>3561</v>
      </c>
    </row>
    <row r="735" ht="15.75" customHeight="1">
      <c r="A735" s="14" t="s">
        <v>391</v>
      </c>
      <c r="B735" s="15" t="s">
        <v>7957</v>
      </c>
      <c r="C735" s="16"/>
      <c r="D735" s="15" t="s">
        <v>432</v>
      </c>
      <c r="G735" s="14" t="s">
        <v>393</v>
      </c>
      <c r="H735" s="14" t="s">
        <v>394</v>
      </c>
      <c r="I735" s="14" t="b">
        <v>1</v>
      </c>
      <c r="J735" s="14" t="s">
        <v>395</v>
      </c>
      <c r="L735" s="14" t="b">
        <v>0</v>
      </c>
      <c r="M735" s="15" t="s">
        <v>7958</v>
      </c>
      <c r="N735" s="14" t="s">
        <v>393</v>
      </c>
      <c r="O735" s="14" t="s">
        <v>393</v>
      </c>
      <c r="P735" s="15" t="s">
        <v>397</v>
      </c>
      <c r="Q735" s="15" t="s">
        <v>2741</v>
      </c>
      <c r="T735" s="14" t="b">
        <v>0</v>
      </c>
      <c r="U735" s="15" t="s">
        <v>7959</v>
      </c>
      <c r="V735" s="15" t="s">
        <v>7960</v>
      </c>
      <c r="W735" s="15" t="s">
        <v>401</v>
      </c>
      <c r="X735" s="15" t="s">
        <v>695</v>
      </c>
      <c r="Y735" s="15">
        <v>2184.0</v>
      </c>
      <c r="AA735" s="15" t="str">
        <f>"840"</f>
        <v>840</v>
      </c>
      <c r="AB735" s="14" t="b">
        <v>1</v>
      </c>
      <c r="AC735" s="14" t="b">
        <v>1</v>
      </c>
      <c r="AD735" s="15" t="str">
        <f>"801542240813"</f>
        <v>801542240813</v>
      </c>
      <c r="AE735" s="15" t="s">
        <v>7961</v>
      </c>
      <c r="AF735" s="14" t="s">
        <v>404</v>
      </c>
      <c r="AG735" s="14" t="s">
        <v>405</v>
      </c>
      <c r="AH735" s="14" t="s">
        <v>406</v>
      </c>
      <c r="AI735" s="15">
        <v>0.0</v>
      </c>
      <c r="AL735" s="15" t="s">
        <v>808</v>
      </c>
      <c r="AM735" s="15" t="s">
        <v>5528</v>
      </c>
      <c r="AN735" s="15" t="s">
        <v>5529</v>
      </c>
      <c r="AO735" s="15" t="s">
        <v>410</v>
      </c>
      <c r="AP735" s="15" t="s">
        <v>439</v>
      </c>
      <c r="AQ735" s="15" t="s">
        <v>5377</v>
      </c>
      <c r="AR735" s="15" t="s">
        <v>4405</v>
      </c>
      <c r="AS735" s="15" t="s">
        <v>1474</v>
      </c>
      <c r="AT735" s="15" t="s">
        <v>2741</v>
      </c>
      <c r="AU735" s="15" t="s">
        <v>4336</v>
      </c>
      <c r="AW735" s="15" t="s">
        <v>1009</v>
      </c>
      <c r="AY735" s="15" t="s">
        <v>413</v>
      </c>
      <c r="AZ735" s="15" t="b">
        <v>0</v>
      </c>
      <c r="BA735" s="15" t="s">
        <v>413</v>
      </c>
      <c r="BB735" s="15" t="b">
        <v>0</v>
      </c>
      <c r="BC735" s="15" t="s">
        <v>7955</v>
      </c>
      <c r="BD735" s="15" t="s">
        <v>709</v>
      </c>
      <c r="BE735" s="15" t="str">
        <f t="shared" si="1232"/>
        <v>1</v>
      </c>
      <c r="BF735" s="15" t="s">
        <v>416</v>
      </c>
      <c r="BG735" s="15" t="str">
        <f>"52.76"</f>
        <v>52.76</v>
      </c>
      <c r="BH735" s="15" t="s">
        <v>3949</v>
      </c>
      <c r="BI735" s="15" t="str">
        <f>"35.04"</f>
        <v>35.04</v>
      </c>
      <c r="BJ735" s="15" t="s">
        <v>1404</v>
      </c>
      <c r="BK735" s="15" t="str">
        <f>"19.29"</f>
        <v>19.29</v>
      </c>
      <c r="BL735" s="15" t="s">
        <v>566</v>
      </c>
      <c r="BM735" s="15" t="str">
        <f>"69.67"</f>
        <v>69.67</v>
      </c>
      <c r="BN735" s="15" t="s">
        <v>850</v>
      </c>
      <c r="BQ735" s="15" t="s">
        <v>444</v>
      </c>
      <c r="BS735" s="15" t="s">
        <v>444</v>
      </c>
      <c r="BU735" s="15" t="s">
        <v>444</v>
      </c>
      <c r="BW735" s="15" t="s">
        <v>444</v>
      </c>
      <c r="BZ735" s="15" t="s">
        <v>444</v>
      </c>
      <c r="CB735" s="15" t="s">
        <v>444</v>
      </c>
      <c r="CD735" s="15" t="s">
        <v>444</v>
      </c>
      <c r="CF735" s="15" t="s">
        <v>444</v>
      </c>
      <c r="CI735" s="15" t="s">
        <v>444</v>
      </c>
      <c r="CK735" s="15" t="s">
        <v>444</v>
      </c>
      <c r="CM735" s="15" t="s">
        <v>444</v>
      </c>
      <c r="CO735" s="15" t="s">
        <v>444</v>
      </c>
      <c r="CP735" s="15" t="str">
        <f>"20.62"</f>
        <v>20.62</v>
      </c>
      <c r="CQ735" s="15" t="str">
        <f>"0.584"</f>
        <v>0.584</v>
      </c>
      <c r="CR735" s="15" t="s">
        <v>497</v>
      </c>
      <c r="DB735" s="15" t="s">
        <v>7962</v>
      </c>
      <c r="DC735" s="15" t="str">
        <f>IFERROR(__xludf.DUMMYFUNCTION("""COMPUTED_VALUE"""),"{""value"":32.09,""unit"":""in""}")</f>
        <v>{"value":32.09,"unit":"in"}</v>
      </c>
      <c r="DD735" s="15" t="s">
        <v>2598</v>
      </c>
      <c r="DE735" s="15" t="str">
        <f>IFERROR(__xludf.DUMMYFUNCTION("""COMPUTED_VALUE"""),"{""value"":15.35,""unit"":""in""}")</f>
        <v>{"value":15.35,"unit":"in"}</v>
      </c>
      <c r="DF735" s="15" t="s">
        <v>1232</v>
      </c>
      <c r="DG735" s="15" t="str">
        <f>IFERROR(__xludf.DUMMYFUNCTION("""COMPUTED_VALUE"""),"{""value"":50.00,""unit"":""in""}")</f>
        <v>{"value":50.00,"unit":"in"}</v>
      </c>
      <c r="DI735" s="15">
        <v>0.0</v>
      </c>
      <c r="DK735" s="15" t="s">
        <v>718</v>
      </c>
      <c r="DL735" s="15" t="str">
        <f>IFERROR(__xludf.DUMMYFUNCTION("""COMPUTED_VALUE"""),"Vacuum or light brush only. Do not use water or any cleaning products.")</f>
        <v>Vacuum or light brush only. Do not use water or any cleaning products.</v>
      </c>
      <c r="DM735" s="15" t="s">
        <v>719</v>
      </c>
      <c r="DT735" s="15" t="s">
        <v>989</v>
      </c>
      <c r="DU735" s="15" t="s">
        <v>419</v>
      </c>
      <c r="DV735" s="15">
        <v>0.0</v>
      </c>
      <c r="DZ735" s="15">
        <v>0.0</v>
      </c>
      <c r="EA735" s="15" t="s">
        <v>5001</v>
      </c>
      <c r="EB735" s="15" t="s">
        <v>1016</v>
      </c>
      <c r="ED735" s="15">
        <v>1.0</v>
      </c>
      <c r="EE735" s="15">
        <v>2.0</v>
      </c>
      <c r="EF735" s="15" t="s">
        <v>471</v>
      </c>
      <c r="EG735" s="15" t="s">
        <v>472</v>
      </c>
      <c r="EH735" s="15" t="s">
        <v>7950</v>
      </c>
      <c r="EI735" s="15">
        <v>0.0</v>
      </c>
      <c r="EJ735" s="15" t="s">
        <v>1545</v>
      </c>
      <c r="EK735" s="15" t="s">
        <v>1546</v>
      </c>
      <c r="EM735" s="15" t="str">
        <f>IFERROR(__xludf.DUMMYFUNCTION("""COMPUTED_VALUE"""),"")</f>
        <v/>
      </c>
      <c r="FF735" s="15" t="s">
        <v>7949</v>
      </c>
      <c r="FS735" s="15" t="s">
        <v>3561</v>
      </c>
    </row>
    <row r="736" ht="15.75" customHeight="1">
      <c r="A736" s="14" t="s">
        <v>391</v>
      </c>
      <c r="B736" s="15" t="s">
        <v>7963</v>
      </c>
      <c r="C736" s="16"/>
      <c r="D736" s="15" t="s">
        <v>432</v>
      </c>
      <c r="G736" s="14" t="s">
        <v>393</v>
      </c>
      <c r="H736" s="14" t="s">
        <v>394</v>
      </c>
      <c r="I736" s="14" t="b">
        <v>1</v>
      </c>
      <c r="J736" s="14" t="s">
        <v>395</v>
      </c>
      <c r="L736" s="14" t="b">
        <v>0</v>
      </c>
      <c r="M736" s="15" t="s">
        <v>7964</v>
      </c>
      <c r="N736" s="14" t="s">
        <v>393</v>
      </c>
      <c r="O736" s="14" t="s">
        <v>393</v>
      </c>
      <c r="P736" s="15" t="s">
        <v>397</v>
      </c>
      <c r="Q736" s="15" t="s">
        <v>7965</v>
      </c>
      <c r="R736" s="15" t="s">
        <v>265</v>
      </c>
      <c r="S736" s="15" t="s">
        <v>4424</v>
      </c>
      <c r="T736" s="14" t="b">
        <v>0</v>
      </c>
      <c r="U736" s="15" t="s">
        <v>7966</v>
      </c>
      <c r="V736" s="15" t="s">
        <v>3868</v>
      </c>
      <c r="W736" s="15" t="s">
        <v>401</v>
      </c>
      <c r="X736" s="15" t="s">
        <v>742</v>
      </c>
      <c r="Y736" s="15">
        <v>884.0</v>
      </c>
      <c r="AA736" s="15" t="str">
        <f>"340"</f>
        <v>340</v>
      </c>
      <c r="AB736" s="14" t="b">
        <v>1</v>
      </c>
      <c r="AC736" s="14" t="b">
        <v>1</v>
      </c>
      <c r="AD736" s="15" t="str">
        <f>"801542060176"</f>
        <v>801542060176</v>
      </c>
      <c r="AE736" s="15" t="s">
        <v>7967</v>
      </c>
      <c r="AF736" s="14" t="s">
        <v>404</v>
      </c>
      <c r="AG736" s="14" t="s">
        <v>405</v>
      </c>
      <c r="AH736" s="14" t="s">
        <v>406</v>
      </c>
      <c r="AI736" s="15">
        <v>0.0</v>
      </c>
      <c r="AL736" s="15" t="s">
        <v>7968</v>
      </c>
      <c r="AM736" s="15" t="s">
        <v>4424</v>
      </c>
      <c r="AN736" s="15" t="s">
        <v>3620</v>
      </c>
      <c r="AO736" s="15" t="s">
        <v>600</v>
      </c>
      <c r="AP736" s="15" t="s">
        <v>601</v>
      </c>
      <c r="AQ736" s="15" t="s">
        <v>1152</v>
      </c>
      <c r="AR736" s="15" t="s">
        <v>1153</v>
      </c>
      <c r="AS736" s="15" t="s">
        <v>1896</v>
      </c>
      <c r="AT736" s="15" t="s">
        <v>7965</v>
      </c>
      <c r="AU736" s="15" t="s">
        <v>7969</v>
      </c>
      <c r="AW736" s="15" t="s">
        <v>491</v>
      </c>
      <c r="AY736" s="15" t="s">
        <v>426</v>
      </c>
      <c r="AZ736" s="15" t="b">
        <v>1</v>
      </c>
      <c r="BA736" s="15" t="s">
        <v>413</v>
      </c>
      <c r="BB736" s="15" t="b">
        <v>0</v>
      </c>
      <c r="BC736" s="15" t="s">
        <v>7970</v>
      </c>
      <c r="BD736" s="15" t="s">
        <v>742</v>
      </c>
      <c r="BE736" s="15" t="str">
        <f t="shared" ref="BE736:BE757" si="1243">"2"</f>
        <v>2</v>
      </c>
      <c r="BF736" s="15" t="s">
        <v>1564</v>
      </c>
      <c r="BG736" s="15" t="str">
        <f>"55.12"</f>
        <v>55.12</v>
      </c>
      <c r="BH736" s="15" t="s">
        <v>7589</v>
      </c>
      <c r="BI736" s="15" t="str">
        <f t="shared" ref="BI736:BI745" si="1244">"4.72"</f>
        <v>4.72</v>
      </c>
      <c r="BJ736" s="15" t="s">
        <v>6740</v>
      </c>
      <c r="BK736" s="15" t="str">
        <f>"31.1"</f>
        <v>31.1</v>
      </c>
      <c r="BL736" s="15" t="s">
        <v>1386</v>
      </c>
      <c r="BM736" s="15" t="str">
        <f>"37.48"</f>
        <v>37.48</v>
      </c>
      <c r="BN736" s="15" t="s">
        <v>7971</v>
      </c>
      <c r="BO736" s="15" t="s">
        <v>5617</v>
      </c>
      <c r="BP736" s="15" t="str">
        <f>"21.65"</f>
        <v>21.65</v>
      </c>
      <c r="BQ736" s="15" t="s">
        <v>1506</v>
      </c>
      <c r="BR736" s="15" t="str">
        <f>"21.65"</f>
        <v>21.65</v>
      </c>
      <c r="BS736" s="15" t="s">
        <v>1506</v>
      </c>
      <c r="BT736" s="15" t="str">
        <f>"19.69"</f>
        <v>19.69</v>
      </c>
      <c r="BU736" s="15" t="s">
        <v>1680</v>
      </c>
      <c r="BV736" s="15" t="str">
        <f>"31.97"</f>
        <v>31.97</v>
      </c>
      <c r="BW736" s="15" t="s">
        <v>2982</v>
      </c>
      <c r="BZ736" s="15" t="s">
        <v>444</v>
      </c>
      <c r="CB736" s="15" t="s">
        <v>444</v>
      </c>
      <c r="CD736" s="15" t="s">
        <v>444</v>
      </c>
      <c r="CF736" s="15" t="s">
        <v>444</v>
      </c>
      <c r="CI736" s="15" t="s">
        <v>444</v>
      </c>
      <c r="CK736" s="15" t="s">
        <v>444</v>
      </c>
      <c r="CM736" s="15" t="s">
        <v>444</v>
      </c>
      <c r="CO736" s="15" t="s">
        <v>444</v>
      </c>
      <c r="CP736" s="15" t="str">
        <f>"10.03"</f>
        <v>10.03</v>
      </c>
      <c r="CQ736" s="15" t="str">
        <f>"0.284"</f>
        <v>0.284</v>
      </c>
      <c r="CR736" s="15" t="s">
        <v>465</v>
      </c>
      <c r="DC736" s="15" t="str">
        <f>IFERROR(__xludf.DUMMYFUNCTION("""COMPUTED_VALUE"""),"")</f>
        <v/>
      </c>
      <c r="DE736" s="15" t="str">
        <f>IFERROR(__xludf.DUMMYFUNCTION("""COMPUTED_VALUE"""),"")</f>
        <v/>
      </c>
      <c r="DG736" s="15" t="str">
        <f>IFERROR(__xludf.DUMMYFUNCTION("""COMPUTED_VALUE"""),"")</f>
        <v/>
      </c>
      <c r="DL736" s="15" t="str">
        <f>IFERROR(__xludf.DUMMYFUNCTION("""COMPUTED_VALUE"""),"")</f>
        <v/>
      </c>
      <c r="DM736" s="15" t="s">
        <v>444</v>
      </c>
      <c r="DN736" s="15" t="s">
        <v>419</v>
      </c>
      <c r="DO736" s="15">
        <v>0.0</v>
      </c>
      <c r="DP736" s="15" t="s">
        <v>419</v>
      </c>
      <c r="DR736" s="15">
        <v>0.0</v>
      </c>
      <c r="DT736" s="15" t="s">
        <v>420</v>
      </c>
      <c r="DU736" s="15" t="s">
        <v>419</v>
      </c>
      <c r="DY736" s="15">
        <v>0.0</v>
      </c>
      <c r="EF736" s="15" t="s">
        <v>1112</v>
      </c>
      <c r="EG736" s="15" t="s">
        <v>1113</v>
      </c>
      <c r="EH736" s="15" t="s">
        <v>7972</v>
      </c>
      <c r="EJ736" s="15" t="s">
        <v>500</v>
      </c>
      <c r="EK736" s="15" t="s">
        <v>501</v>
      </c>
      <c r="EM736" s="15" t="str">
        <f>IFERROR(__xludf.DUMMYFUNCTION("""COMPUTED_VALUE"""),"")</f>
        <v/>
      </c>
      <c r="EW736" s="15" t="s">
        <v>4943</v>
      </c>
      <c r="EX736" s="15" t="s">
        <v>1956</v>
      </c>
      <c r="EY736" s="15" t="s">
        <v>2648</v>
      </c>
      <c r="FH736" s="15" t="s">
        <v>1956</v>
      </c>
      <c r="FI736" s="15" t="s">
        <v>4943</v>
      </c>
      <c r="FJ736" s="15" t="s">
        <v>993</v>
      </c>
      <c r="FK736" s="15" t="s">
        <v>5972</v>
      </c>
      <c r="FL736" s="15" t="s">
        <v>426</v>
      </c>
      <c r="FM736" s="15">
        <v>0.0</v>
      </c>
      <c r="FN736" s="15">
        <v>0.0</v>
      </c>
      <c r="FW736" s="15" t="s">
        <v>5058</v>
      </c>
    </row>
    <row r="737" ht="15.75" customHeight="1">
      <c r="A737" s="14" t="s">
        <v>391</v>
      </c>
      <c r="B737" s="15" t="s">
        <v>7963</v>
      </c>
      <c r="C737" s="16"/>
      <c r="D737" s="15" t="s">
        <v>432</v>
      </c>
      <c r="G737" s="14" t="s">
        <v>393</v>
      </c>
      <c r="H737" s="14" t="s">
        <v>394</v>
      </c>
      <c r="I737" s="14" t="b">
        <v>1</v>
      </c>
      <c r="J737" s="14" t="s">
        <v>395</v>
      </c>
      <c r="L737" s="14" t="b">
        <v>0</v>
      </c>
      <c r="M737" s="15" t="s">
        <v>7973</v>
      </c>
      <c r="N737" s="14" t="s">
        <v>393</v>
      </c>
      <c r="O737" s="14" t="s">
        <v>393</v>
      </c>
      <c r="P737" s="15" t="s">
        <v>397</v>
      </c>
      <c r="Q737" s="15" t="s">
        <v>7965</v>
      </c>
      <c r="R737" s="15" t="s">
        <v>265</v>
      </c>
      <c r="S737" s="15" t="s">
        <v>1224</v>
      </c>
      <c r="T737" s="14" t="b">
        <v>0</v>
      </c>
      <c r="U737" s="15" t="s">
        <v>7974</v>
      </c>
      <c r="V737" s="15" t="s">
        <v>1220</v>
      </c>
      <c r="W737" s="15" t="s">
        <v>401</v>
      </c>
      <c r="X737" s="15" t="s">
        <v>742</v>
      </c>
      <c r="Y737" s="15">
        <v>1092.0</v>
      </c>
      <c r="AA737" s="15" t="str">
        <f>"420"</f>
        <v>420</v>
      </c>
      <c r="AB737" s="14" t="b">
        <v>1</v>
      </c>
      <c r="AC737" s="14" t="b">
        <v>1</v>
      </c>
      <c r="AD737" s="15" t="str">
        <f>"801542184575"</f>
        <v>801542184575</v>
      </c>
      <c r="AE737" s="15" t="s">
        <v>7975</v>
      </c>
      <c r="AF737" s="14" t="s">
        <v>404</v>
      </c>
      <c r="AG737" s="14" t="s">
        <v>405</v>
      </c>
      <c r="AH737" s="14" t="s">
        <v>406</v>
      </c>
      <c r="AI737" s="15">
        <v>0.0</v>
      </c>
      <c r="AL737" s="15" t="s">
        <v>7968</v>
      </c>
      <c r="AM737" s="15" t="s">
        <v>1224</v>
      </c>
      <c r="AN737" s="15" t="s">
        <v>1225</v>
      </c>
      <c r="AO737" s="15" t="s">
        <v>645</v>
      </c>
      <c r="AP737" s="15" t="s">
        <v>646</v>
      </c>
      <c r="AQ737" s="15" t="s">
        <v>1152</v>
      </c>
      <c r="AR737" s="15" t="s">
        <v>1153</v>
      </c>
      <c r="AS737" s="15" t="s">
        <v>1896</v>
      </c>
      <c r="AT737" s="15" t="s">
        <v>7965</v>
      </c>
      <c r="AU737" s="15" t="s">
        <v>7969</v>
      </c>
      <c r="AW737" s="15" t="s">
        <v>491</v>
      </c>
      <c r="AY737" s="15" t="s">
        <v>413</v>
      </c>
      <c r="AZ737" s="15" t="b">
        <v>0</v>
      </c>
      <c r="BA737" s="15" t="s">
        <v>413</v>
      </c>
      <c r="BB737" s="15" t="b">
        <v>0</v>
      </c>
      <c r="BD737" s="15" t="s">
        <v>742</v>
      </c>
      <c r="BE737" s="15" t="str">
        <f t="shared" si="1243"/>
        <v>2</v>
      </c>
      <c r="BF737" s="15" t="s">
        <v>1564</v>
      </c>
      <c r="BG737" s="15" t="str">
        <f>"68.5"</f>
        <v>68.5</v>
      </c>
      <c r="BH737" s="15" t="s">
        <v>3121</v>
      </c>
      <c r="BI737" s="15" t="str">
        <f t="shared" si="1244"/>
        <v>4.72</v>
      </c>
      <c r="BJ737" s="15" t="s">
        <v>6740</v>
      </c>
      <c r="BK737" s="15" t="str">
        <f>"38.7"</f>
        <v>38.7</v>
      </c>
      <c r="BL737" s="15" t="s">
        <v>7976</v>
      </c>
      <c r="BM737" s="15" t="str">
        <f>"61.73"</f>
        <v>61.73</v>
      </c>
      <c r="BN737" s="15" t="s">
        <v>1948</v>
      </c>
      <c r="BO737" s="15" t="s">
        <v>2238</v>
      </c>
      <c r="BP737" s="15" t="str">
        <f>"27.56"</f>
        <v>27.56</v>
      </c>
      <c r="BQ737" s="15" t="s">
        <v>1780</v>
      </c>
      <c r="BR737" s="15" t="str">
        <f>"26.38"</f>
        <v>26.38</v>
      </c>
      <c r="BS737" s="15" t="s">
        <v>1735</v>
      </c>
      <c r="BT737" s="15" t="str">
        <f>"20.08"</f>
        <v>20.08</v>
      </c>
      <c r="BU737" s="15" t="s">
        <v>4825</v>
      </c>
      <c r="BV737" s="15" t="str">
        <f>"38.58"</f>
        <v>38.58</v>
      </c>
      <c r="BW737" s="15" t="s">
        <v>1110</v>
      </c>
      <c r="BZ737" s="15" t="s">
        <v>444</v>
      </c>
      <c r="CB737" s="15" t="s">
        <v>444</v>
      </c>
      <c r="CD737" s="15" t="s">
        <v>444</v>
      </c>
      <c r="CF737" s="15" t="s">
        <v>444</v>
      </c>
      <c r="CI737" s="15" t="s">
        <v>444</v>
      </c>
      <c r="CK737" s="15" t="s">
        <v>444</v>
      </c>
      <c r="CM737" s="15" t="s">
        <v>444</v>
      </c>
      <c r="CO737" s="15" t="s">
        <v>444</v>
      </c>
      <c r="CP737" s="15" t="str">
        <f>"15.68"</f>
        <v>15.68</v>
      </c>
      <c r="CQ737" s="15" t="str">
        <f>"0.444"</f>
        <v>0.444</v>
      </c>
      <c r="CR737" s="15" t="s">
        <v>417</v>
      </c>
      <c r="DC737" s="15" t="str">
        <f>IFERROR(__xludf.DUMMYFUNCTION("""COMPUTED_VALUE"""),"")</f>
        <v/>
      </c>
      <c r="DE737" s="15" t="str">
        <f>IFERROR(__xludf.DUMMYFUNCTION("""COMPUTED_VALUE"""),"")</f>
        <v/>
      </c>
      <c r="DG737" s="15" t="str">
        <f>IFERROR(__xludf.DUMMYFUNCTION("""COMPUTED_VALUE"""),"")</f>
        <v/>
      </c>
      <c r="DL737" s="15" t="str">
        <f>IFERROR(__xludf.DUMMYFUNCTION("""COMPUTED_VALUE"""),"")</f>
        <v/>
      </c>
      <c r="DM737" s="15" t="s">
        <v>444</v>
      </c>
      <c r="DN737" s="15" t="s">
        <v>419</v>
      </c>
      <c r="DO737" s="15">
        <v>0.0</v>
      </c>
      <c r="DP737" s="15" t="s">
        <v>419</v>
      </c>
      <c r="DR737" s="15">
        <v>0.0</v>
      </c>
      <c r="DT737" s="15" t="s">
        <v>420</v>
      </c>
      <c r="DU737" s="15" t="s">
        <v>419</v>
      </c>
      <c r="DY737" s="15">
        <v>0.0</v>
      </c>
      <c r="EF737" s="15" t="s">
        <v>1112</v>
      </c>
      <c r="EG737" s="15" t="s">
        <v>1113</v>
      </c>
      <c r="EH737" s="15" t="s">
        <v>7972</v>
      </c>
      <c r="EJ737" s="15" t="s">
        <v>500</v>
      </c>
      <c r="EK737" s="15" t="s">
        <v>501</v>
      </c>
      <c r="EM737" s="15" t="str">
        <f>IFERROR(__xludf.DUMMYFUNCTION("""COMPUTED_VALUE"""),"")</f>
        <v/>
      </c>
      <c r="EW737" s="15" t="s">
        <v>7358</v>
      </c>
      <c r="EY737" s="15" t="s">
        <v>7977</v>
      </c>
      <c r="FH737" s="15" t="s">
        <v>6289</v>
      </c>
      <c r="FI737" s="15" t="s">
        <v>7358</v>
      </c>
      <c r="FJ737" s="15" t="s">
        <v>1593</v>
      </c>
      <c r="FK737" s="15" t="s">
        <v>5972</v>
      </c>
      <c r="FL737" s="15" t="s">
        <v>426</v>
      </c>
      <c r="FM737" s="15">
        <v>0.0</v>
      </c>
      <c r="FN737" s="15">
        <v>0.0</v>
      </c>
      <c r="FW737" s="15" t="s">
        <v>993</v>
      </c>
    </row>
    <row r="738" ht="15.75" customHeight="1">
      <c r="A738" s="14" t="s">
        <v>391</v>
      </c>
      <c r="B738" s="15" t="s">
        <v>7963</v>
      </c>
      <c r="C738" s="16"/>
      <c r="D738" s="15" t="s">
        <v>432</v>
      </c>
      <c r="G738" s="14" t="s">
        <v>393</v>
      </c>
      <c r="H738" s="14" t="s">
        <v>394</v>
      </c>
      <c r="I738" s="14" t="b">
        <v>1</v>
      </c>
      <c r="J738" s="14" t="s">
        <v>395</v>
      </c>
      <c r="L738" s="14" t="b">
        <v>0</v>
      </c>
      <c r="M738" s="15" t="s">
        <v>7978</v>
      </c>
      <c r="N738" s="14" t="s">
        <v>393</v>
      </c>
      <c r="O738" s="14" t="s">
        <v>393</v>
      </c>
      <c r="P738" s="15" t="s">
        <v>397</v>
      </c>
      <c r="Q738" s="15" t="s">
        <v>7979</v>
      </c>
      <c r="T738" s="14" t="b">
        <v>0</v>
      </c>
      <c r="U738" s="15" t="s">
        <v>7980</v>
      </c>
      <c r="V738" s="15" t="s">
        <v>3868</v>
      </c>
      <c r="W738" s="15" t="s">
        <v>401</v>
      </c>
      <c r="X738" s="15" t="s">
        <v>742</v>
      </c>
      <c r="Y738" s="15">
        <v>884.0</v>
      </c>
      <c r="AA738" s="15" t="str">
        <f t="shared" ref="AA738:AA739" si="1245">"340"</f>
        <v>340</v>
      </c>
      <c r="AB738" s="14" t="b">
        <v>1</v>
      </c>
      <c r="AC738" s="14" t="b">
        <v>1</v>
      </c>
      <c r="AD738" s="15" t="str">
        <f>"801542763206"</f>
        <v>801542763206</v>
      </c>
      <c r="AE738" s="15" t="s">
        <v>7981</v>
      </c>
      <c r="AF738" s="14" t="s">
        <v>404</v>
      </c>
      <c r="AG738" s="14" t="s">
        <v>405</v>
      </c>
      <c r="AH738" s="14" t="s">
        <v>406</v>
      </c>
      <c r="AI738" s="15">
        <v>0.0</v>
      </c>
      <c r="AL738" s="15" t="s">
        <v>7968</v>
      </c>
      <c r="AM738" s="15" t="s">
        <v>4424</v>
      </c>
      <c r="AN738" s="15" t="s">
        <v>3620</v>
      </c>
      <c r="AO738" s="15" t="s">
        <v>600</v>
      </c>
      <c r="AP738" s="15" t="s">
        <v>601</v>
      </c>
      <c r="AQ738" s="15" t="s">
        <v>1152</v>
      </c>
      <c r="AR738" s="15" t="s">
        <v>1153</v>
      </c>
      <c r="AS738" s="15" t="s">
        <v>1896</v>
      </c>
      <c r="AT738" s="15" t="s">
        <v>7979</v>
      </c>
      <c r="AU738" s="15" t="s">
        <v>7982</v>
      </c>
      <c r="AW738" s="15" t="s">
        <v>491</v>
      </c>
      <c r="AY738" s="15" t="s">
        <v>426</v>
      </c>
      <c r="AZ738" s="15" t="b">
        <v>1</v>
      </c>
      <c r="BA738" s="15" t="s">
        <v>413</v>
      </c>
      <c r="BB738" s="15" t="b">
        <v>0</v>
      </c>
      <c r="BC738" s="15" t="s">
        <v>7983</v>
      </c>
      <c r="BD738" s="15" t="s">
        <v>742</v>
      </c>
      <c r="BE738" s="15" t="str">
        <f t="shared" si="1243"/>
        <v>2</v>
      </c>
      <c r="BF738" s="15" t="s">
        <v>1564</v>
      </c>
      <c r="BG738" s="15" t="str">
        <f t="shared" ref="BG738:BG739" si="1246">"55.12"</f>
        <v>55.12</v>
      </c>
      <c r="BH738" s="15" t="s">
        <v>7589</v>
      </c>
      <c r="BI738" s="15" t="str">
        <f t="shared" si="1244"/>
        <v>4.72</v>
      </c>
      <c r="BJ738" s="15" t="s">
        <v>6740</v>
      </c>
      <c r="BK738" s="15" t="str">
        <f t="shared" ref="BK738:BK739" si="1247">"31.1"</f>
        <v>31.1</v>
      </c>
      <c r="BL738" s="15" t="s">
        <v>1386</v>
      </c>
      <c r="BM738" s="15" t="str">
        <f t="shared" ref="BM738:BM739" si="1248">"37.48"</f>
        <v>37.48</v>
      </c>
      <c r="BN738" s="15" t="s">
        <v>7971</v>
      </c>
      <c r="BO738" s="15" t="s">
        <v>5617</v>
      </c>
      <c r="BP738" s="15" t="str">
        <f t="shared" ref="BP738:BP739" si="1249">"21.65"</f>
        <v>21.65</v>
      </c>
      <c r="BQ738" s="15" t="s">
        <v>1506</v>
      </c>
      <c r="BR738" s="15" t="str">
        <f t="shared" ref="BR738:BR739" si="1250">"21.65"</f>
        <v>21.65</v>
      </c>
      <c r="BS738" s="15" t="s">
        <v>1506</v>
      </c>
      <c r="BT738" s="15" t="str">
        <f t="shared" ref="BT738:BT739" si="1251">"19.69"</f>
        <v>19.69</v>
      </c>
      <c r="BU738" s="15" t="s">
        <v>1680</v>
      </c>
      <c r="BV738" s="15" t="str">
        <f t="shared" ref="BV738:BV739" si="1252">"31.97"</f>
        <v>31.97</v>
      </c>
      <c r="BW738" s="15" t="s">
        <v>2982</v>
      </c>
      <c r="BZ738" s="15" t="s">
        <v>444</v>
      </c>
      <c r="CB738" s="15" t="s">
        <v>444</v>
      </c>
      <c r="CD738" s="15" t="s">
        <v>444</v>
      </c>
      <c r="CF738" s="15" t="s">
        <v>444</v>
      </c>
      <c r="CI738" s="15" t="s">
        <v>444</v>
      </c>
      <c r="CK738" s="15" t="s">
        <v>444</v>
      </c>
      <c r="CM738" s="15" t="s">
        <v>444</v>
      </c>
      <c r="CO738" s="15" t="s">
        <v>444</v>
      </c>
      <c r="CP738" s="15" t="str">
        <f t="shared" ref="CP738:CP739" si="1253">"10.03"</f>
        <v>10.03</v>
      </c>
      <c r="CQ738" s="15" t="str">
        <f t="shared" ref="CQ738:CQ739" si="1254">"0.284"</f>
        <v>0.284</v>
      </c>
      <c r="CR738" s="15" t="s">
        <v>465</v>
      </c>
      <c r="DC738" s="15" t="str">
        <f>IFERROR(__xludf.DUMMYFUNCTION("""COMPUTED_VALUE"""),"")</f>
        <v/>
      </c>
      <c r="DE738" s="15" t="str">
        <f>IFERROR(__xludf.DUMMYFUNCTION("""COMPUTED_VALUE"""),"")</f>
        <v/>
      </c>
      <c r="DG738" s="15" t="str">
        <f>IFERROR(__xludf.DUMMYFUNCTION("""COMPUTED_VALUE"""),"")</f>
        <v/>
      </c>
      <c r="DL738" s="15" t="str">
        <f>IFERROR(__xludf.DUMMYFUNCTION("""COMPUTED_VALUE"""),"")</f>
        <v/>
      </c>
      <c r="DM738" s="15" t="s">
        <v>444</v>
      </c>
      <c r="DN738" s="15" t="s">
        <v>419</v>
      </c>
      <c r="DO738" s="15">
        <v>0.0</v>
      </c>
      <c r="DP738" s="15" t="s">
        <v>419</v>
      </c>
      <c r="DR738" s="15">
        <v>0.0</v>
      </c>
      <c r="DT738" s="15" t="s">
        <v>420</v>
      </c>
      <c r="DU738" s="15" t="s">
        <v>419</v>
      </c>
      <c r="DY738" s="15">
        <v>0.0</v>
      </c>
      <c r="EF738" s="15" t="s">
        <v>1112</v>
      </c>
      <c r="EG738" s="15" t="s">
        <v>1113</v>
      </c>
      <c r="EH738" s="15" t="s">
        <v>7972</v>
      </c>
      <c r="EJ738" s="15" t="s">
        <v>500</v>
      </c>
      <c r="EK738" s="15" t="s">
        <v>501</v>
      </c>
      <c r="EM738" s="15" t="str">
        <f>IFERROR(__xludf.DUMMYFUNCTION("""COMPUTED_VALUE"""),"")</f>
        <v/>
      </c>
      <c r="EW738" s="15" t="s">
        <v>4943</v>
      </c>
      <c r="EX738" s="15" t="s">
        <v>1956</v>
      </c>
      <c r="EY738" s="15" t="s">
        <v>2648</v>
      </c>
      <c r="FH738" s="15" t="s">
        <v>1956</v>
      </c>
      <c r="FI738" s="15" t="s">
        <v>4943</v>
      </c>
      <c r="FJ738" s="15" t="s">
        <v>993</v>
      </c>
      <c r="FK738" s="15" t="s">
        <v>5972</v>
      </c>
      <c r="FL738" s="15" t="s">
        <v>426</v>
      </c>
      <c r="FM738" s="15">
        <v>0.0</v>
      </c>
      <c r="FN738" s="15">
        <v>0.0</v>
      </c>
      <c r="FW738" s="15" t="s">
        <v>5058</v>
      </c>
    </row>
    <row r="739" ht="15.75" customHeight="1">
      <c r="A739" s="14" t="s">
        <v>391</v>
      </c>
      <c r="B739" s="15" t="s">
        <v>7963</v>
      </c>
      <c r="C739" s="16"/>
      <c r="D739" s="15" t="s">
        <v>432</v>
      </c>
      <c r="G739" s="14" t="s">
        <v>393</v>
      </c>
      <c r="H739" s="14" t="s">
        <v>394</v>
      </c>
      <c r="I739" s="14" t="b">
        <v>1</v>
      </c>
      <c r="J739" s="14" t="s">
        <v>395</v>
      </c>
      <c r="L739" s="14" t="b">
        <v>0</v>
      </c>
      <c r="M739" s="15" t="s">
        <v>7984</v>
      </c>
      <c r="N739" s="14" t="s">
        <v>393</v>
      </c>
      <c r="O739" s="14" t="s">
        <v>393</v>
      </c>
      <c r="P739" s="15" t="s">
        <v>397</v>
      </c>
      <c r="Q739" s="15" t="s">
        <v>7985</v>
      </c>
      <c r="R739" s="15" t="s">
        <v>265</v>
      </c>
      <c r="S739" s="15" t="s">
        <v>4424</v>
      </c>
      <c r="T739" s="14" t="b">
        <v>0</v>
      </c>
      <c r="U739" s="15" t="s">
        <v>7986</v>
      </c>
      <c r="V739" s="15" t="s">
        <v>3868</v>
      </c>
      <c r="W739" s="15" t="s">
        <v>401</v>
      </c>
      <c r="X739" s="15" t="s">
        <v>742</v>
      </c>
      <c r="Y739" s="15">
        <v>884.0</v>
      </c>
      <c r="AA739" s="15" t="str">
        <f t="shared" si="1245"/>
        <v>340</v>
      </c>
      <c r="AB739" s="14" t="b">
        <v>1</v>
      </c>
      <c r="AC739" s="14" t="b">
        <v>1</v>
      </c>
      <c r="AD739" s="15" t="str">
        <f>"801542729417"</f>
        <v>801542729417</v>
      </c>
      <c r="AE739" s="15" t="s">
        <v>7987</v>
      </c>
      <c r="AF739" s="14" t="s">
        <v>404</v>
      </c>
      <c r="AG739" s="14" t="s">
        <v>405</v>
      </c>
      <c r="AH739" s="14" t="s">
        <v>406</v>
      </c>
      <c r="AI739" s="15">
        <v>0.0</v>
      </c>
      <c r="AL739" s="15" t="s">
        <v>7968</v>
      </c>
      <c r="AM739" s="15" t="s">
        <v>4424</v>
      </c>
      <c r="AN739" s="15" t="s">
        <v>3620</v>
      </c>
      <c r="AO739" s="15" t="s">
        <v>600</v>
      </c>
      <c r="AP739" s="15" t="s">
        <v>601</v>
      </c>
      <c r="AQ739" s="15" t="s">
        <v>1152</v>
      </c>
      <c r="AR739" s="15" t="s">
        <v>1153</v>
      </c>
      <c r="AS739" s="15" t="s">
        <v>1896</v>
      </c>
      <c r="AT739" s="15" t="s">
        <v>7985</v>
      </c>
      <c r="AU739" s="15" t="s">
        <v>7988</v>
      </c>
      <c r="AW739" s="15" t="s">
        <v>491</v>
      </c>
      <c r="AY739" s="15" t="s">
        <v>426</v>
      </c>
      <c r="AZ739" s="15" t="b">
        <v>1</v>
      </c>
      <c r="BA739" s="15" t="s">
        <v>413</v>
      </c>
      <c r="BB739" s="15" t="b">
        <v>0</v>
      </c>
      <c r="BC739" s="15" t="s">
        <v>7989</v>
      </c>
      <c r="BD739" s="15" t="s">
        <v>742</v>
      </c>
      <c r="BE739" s="15" t="str">
        <f t="shared" si="1243"/>
        <v>2</v>
      </c>
      <c r="BF739" s="15" t="s">
        <v>1564</v>
      </c>
      <c r="BG739" s="15" t="str">
        <f t="shared" si="1246"/>
        <v>55.12</v>
      </c>
      <c r="BH739" s="15" t="s">
        <v>7589</v>
      </c>
      <c r="BI739" s="15" t="str">
        <f t="shared" si="1244"/>
        <v>4.72</v>
      </c>
      <c r="BJ739" s="15" t="s">
        <v>6740</v>
      </c>
      <c r="BK739" s="15" t="str">
        <f t="shared" si="1247"/>
        <v>31.1</v>
      </c>
      <c r="BL739" s="15" t="s">
        <v>1386</v>
      </c>
      <c r="BM739" s="15" t="str">
        <f t="shared" si="1248"/>
        <v>37.48</v>
      </c>
      <c r="BN739" s="15" t="s">
        <v>7971</v>
      </c>
      <c r="BO739" s="15" t="s">
        <v>5617</v>
      </c>
      <c r="BP739" s="15" t="str">
        <f t="shared" si="1249"/>
        <v>21.65</v>
      </c>
      <c r="BQ739" s="15" t="s">
        <v>1506</v>
      </c>
      <c r="BR739" s="15" t="str">
        <f t="shared" si="1250"/>
        <v>21.65</v>
      </c>
      <c r="BS739" s="15" t="s">
        <v>1506</v>
      </c>
      <c r="BT739" s="15" t="str">
        <f t="shared" si="1251"/>
        <v>19.69</v>
      </c>
      <c r="BU739" s="15" t="s">
        <v>1680</v>
      </c>
      <c r="BV739" s="15" t="str">
        <f t="shared" si="1252"/>
        <v>31.97</v>
      </c>
      <c r="BW739" s="15" t="s">
        <v>2982</v>
      </c>
      <c r="BZ739" s="15" t="s">
        <v>444</v>
      </c>
      <c r="CB739" s="15" t="s">
        <v>444</v>
      </c>
      <c r="CD739" s="15" t="s">
        <v>444</v>
      </c>
      <c r="CF739" s="15" t="s">
        <v>444</v>
      </c>
      <c r="CI739" s="15" t="s">
        <v>444</v>
      </c>
      <c r="CK739" s="15" t="s">
        <v>444</v>
      </c>
      <c r="CM739" s="15" t="s">
        <v>444</v>
      </c>
      <c r="CO739" s="15" t="s">
        <v>444</v>
      </c>
      <c r="CP739" s="15" t="str">
        <f t="shared" si="1253"/>
        <v>10.03</v>
      </c>
      <c r="CQ739" s="15" t="str">
        <f t="shared" si="1254"/>
        <v>0.284</v>
      </c>
      <c r="CR739" s="15" t="s">
        <v>497</v>
      </c>
      <c r="DC739" s="15" t="str">
        <f>IFERROR(__xludf.DUMMYFUNCTION("""COMPUTED_VALUE"""),"")</f>
        <v/>
      </c>
      <c r="DE739" s="15" t="str">
        <f>IFERROR(__xludf.DUMMYFUNCTION("""COMPUTED_VALUE"""),"")</f>
        <v/>
      </c>
      <c r="DG739" s="15" t="str">
        <f>IFERROR(__xludf.DUMMYFUNCTION("""COMPUTED_VALUE"""),"")</f>
        <v/>
      </c>
      <c r="DL739" s="15" t="str">
        <f>IFERROR(__xludf.DUMMYFUNCTION("""COMPUTED_VALUE"""),"")</f>
        <v/>
      </c>
      <c r="DM739" s="15" t="s">
        <v>444</v>
      </c>
      <c r="DN739" s="15" t="s">
        <v>419</v>
      </c>
      <c r="DO739" s="15">
        <v>0.0</v>
      </c>
      <c r="DP739" s="15" t="s">
        <v>419</v>
      </c>
      <c r="DR739" s="15">
        <v>0.0</v>
      </c>
      <c r="DT739" s="15" t="s">
        <v>420</v>
      </c>
      <c r="DU739" s="15" t="s">
        <v>419</v>
      </c>
      <c r="DY739" s="15">
        <v>0.0</v>
      </c>
      <c r="EF739" s="15" t="s">
        <v>1112</v>
      </c>
      <c r="EG739" s="15" t="s">
        <v>1113</v>
      </c>
      <c r="EH739" s="15" t="s">
        <v>7972</v>
      </c>
      <c r="EJ739" s="15" t="s">
        <v>500</v>
      </c>
      <c r="EK739" s="15" t="s">
        <v>501</v>
      </c>
      <c r="EM739" s="15" t="str">
        <f>IFERROR(__xludf.DUMMYFUNCTION("""COMPUTED_VALUE"""),"")</f>
        <v/>
      </c>
      <c r="EW739" s="15" t="s">
        <v>4943</v>
      </c>
      <c r="EX739" s="15" t="s">
        <v>1956</v>
      </c>
      <c r="EY739" s="15" t="s">
        <v>2648</v>
      </c>
      <c r="FH739" s="15" t="s">
        <v>1956</v>
      </c>
      <c r="FI739" s="15" t="s">
        <v>4943</v>
      </c>
      <c r="FJ739" s="15" t="s">
        <v>993</v>
      </c>
      <c r="FK739" s="15" t="s">
        <v>5972</v>
      </c>
      <c r="FL739" s="15" t="s">
        <v>426</v>
      </c>
      <c r="FM739" s="15">
        <v>0.0</v>
      </c>
      <c r="FN739" s="15">
        <v>0.0</v>
      </c>
      <c r="FW739" s="15" t="s">
        <v>5058</v>
      </c>
    </row>
    <row r="740" ht="15.75" customHeight="1">
      <c r="A740" s="14" t="s">
        <v>391</v>
      </c>
      <c r="B740" s="15" t="s">
        <v>7963</v>
      </c>
      <c r="C740" s="16"/>
      <c r="D740" s="15" t="s">
        <v>432</v>
      </c>
      <c r="G740" s="14" t="s">
        <v>393</v>
      </c>
      <c r="H740" s="14" t="s">
        <v>394</v>
      </c>
      <c r="I740" s="14" t="b">
        <v>1</v>
      </c>
      <c r="J740" s="14" t="s">
        <v>395</v>
      </c>
      <c r="L740" s="14" t="b">
        <v>0</v>
      </c>
      <c r="M740" s="15" t="s">
        <v>7990</v>
      </c>
      <c r="N740" s="14" t="s">
        <v>393</v>
      </c>
      <c r="O740" s="14" t="s">
        <v>393</v>
      </c>
      <c r="P740" s="15" t="s">
        <v>397</v>
      </c>
      <c r="Q740" s="15" t="s">
        <v>7985</v>
      </c>
      <c r="R740" s="15" t="s">
        <v>265</v>
      </c>
      <c r="S740" s="15" t="s">
        <v>1224</v>
      </c>
      <c r="T740" s="14" t="b">
        <v>0</v>
      </c>
      <c r="U740" s="15" t="s">
        <v>7991</v>
      </c>
      <c r="V740" s="15" t="s">
        <v>1220</v>
      </c>
      <c r="W740" s="15" t="s">
        <v>401</v>
      </c>
      <c r="X740" s="15" t="s">
        <v>742</v>
      </c>
      <c r="Y740" s="15">
        <v>1092.0</v>
      </c>
      <c r="AA740" s="15" t="str">
        <f>"420"</f>
        <v>420</v>
      </c>
      <c r="AB740" s="14" t="b">
        <v>1</v>
      </c>
      <c r="AC740" s="14" t="b">
        <v>1</v>
      </c>
      <c r="AD740" s="15" t="str">
        <f>"801542158095"</f>
        <v>801542158095</v>
      </c>
      <c r="AE740" s="15" t="s">
        <v>7992</v>
      </c>
      <c r="AF740" s="14" t="s">
        <v>404</v>
      </c>
      <c r="AG740" s="14" t="s">
        <v>405</v>
      </c>
      <c r="AH740" s="14" t="s">
        <v>406</v>
      </c>
      <c r="AI740" s="15">
        <v>0.0</v>
      </c>
      <c r="AL740" s="15" t="s">
        <v>7968</v>
      </c>
      <c r="AM740" s="15" t="s">
        <v>1224</v>
      </c>
      <c r="AN740" s="15" t="s">
        <v>1225</v>
      </c>
      <c r="AO740" s="15" t="s">
        <v>645</v>
      </c>
      <c r="AP740" s="15" t="s">
        <v>646</v>
      </c>
      <c r="AQ740" s="15" t="s">
        <v>1152</v>
      </c>
      <c r="AR740" s="15" t="s">
        <v>1153</v>
      </c>
      <c r="AS740" s="15" t="s">
        <v>1896</v>
      </c>
      <c r="AT740" s="15" t="s">
        <v>7985</v>
      </c>
      <c r="AU740" s="15" t="s">
        <v>7988</v>
      </c>
      <c r="AW740" s="15" t="s">
        <v>491</v>
      </c>
      <c r="AY740" s="15" t="s">
        <v>413</v>
      </c>
      <c r="AZ740" s="15" t="b">
        <v>0</v>
      </c>
      <c r="BA740" s="15" t="s">
        <v>413</v>
      </c>
      <c r="BB740" s="15" t="b">
        <v>0</v>
      </c>
      <c r="BC740" s="15" t="s">
        <v>7993</v>
      </c>
      <c r="BD740" s="15" t="s">
        <v>742</v>
      </c>
      <c r="BE740" s="15" t="str">
        <f t="shared" si="1243"/>
        <v>2</v>
      </c>
      <c r="BF740" s="15" t="s">
        <v>1564</v>
      </c>
      <c r="BG740" s="15" t="str">
        <f>"68.5"</f>
        <v>68.5</v>
      </c>
      <c r="BH740" s="15" t="s">
        <v>3121</v>
      </c>
      <c r="BI740" s="15" t="str">
        <f t="shared" si="1244"/>
        <v>4.72</v>
      </c>
      <c r="BJ740" s="15" t="s">
        <v>6740</v>
      </c>
      <c r="BK740" s="15" t="str">
        <f>"38.7"</f>
        <v>38.7</v>
      </c>
      <c r="BL740" s="15" t="s">
        <v>7976</v>
      </c>
      <c r="BM740" s="15" t="str">
        <f>"61.73"</f>
        <v>61.73</v>
      </c>
      <c r="BN740" s="15" t="s">
        <v>1948</v>
      </c>
      <c r="BO740" s="15" t="s">
        <v>2238</v>
      </c>
      <c r="BP740" s="15" t="str">
        <f>"27.56"</f>
        <v>27.56</v>
      </c>
      <c r="BQ740" s="15" t="s">
        <v>1780</v>
      </c>
      <c r="BR740" s="15" t="str">
        <f>"26.38"</f>
        <v>26.38</v>
      </c>
      <c r="BS740" s="15" t="s">
        <v>1735</v>
      </c>
      <c r="BT740" s="15" t="str">
        <f>"20.08"</f>
        <v>20.08</v>
      </c>
      <c r="BU740" s="15" t="s">
        <v>4825</v>
      </c>
      <c r="BV740" s="15" t="str">
        <f>"38.58"</f>
        <v>38.58</v>
      </c>
      <c r="BW740" s="15" t="s">
        <v>1110</v>
      </c>
      <c r="BZ740" s="15" t="s">
        <v>444</v>
      </c>
      <c r="CB740" s="15" t="s">
        <v>444</v>
      </c>
      <c r="CD740" s="15" t="s">
        <v>444</v>
      </c>
      <c r="CF740" s="15" t="s">
        <v>444</v>
      </c>
      <c r="CI740" s="15" t="s">
        <v>444</v>
      </c>
      <c r="CK740" s="15" t="s">
        <v>444</v>
      </c>
      <c r="CM740" s="15" t="s">
        <v>444</v>
      </c>
      <c r="CO740" s="15" t="s">
        <v>444</v>
      </c>
      <c r="CP740" s="15" t="str">
        <f>"15.68"</f>
        <v>15.68</v>
      </c>
      <c r="CQ740" s="15" t="str">
        <f>"0.444"</f>
        <v>0.444</v>
      </c>
      <c r="CR740" s="15" t="s">
        <v>417</v>
      </c>
      <c r="DC740" s="15" t="str">
        <f>IFERROR(__xludf.DUMMYFUNCTION("""COMPUTED_VALUE"""),"")</f>
        <v/>
      </c>
      <c r="DE740" s="15" t="str">
        <f>IFERROR(__xludf.DUMMYFUNCTION("""COMPUTED_VALUE"""),"")</f>
        <v/>
      </c>
      <c r="DG740" s="15" t="str">
        <f>IFERROR(__xludf.DUMMYFUNCTION("""COMPUTED_VALUE"""),"")</f>
        <v/>
      </c>
      <c r="DL740" s="15" t="str">
        <f>IFERROR(__xludf.DUMMYFUNCTION("""COMPUTED_VALUE"""),"")</f>
        <v/>
      </c>
      <c r="DM740" s="15" t="s">
        <v>444</v>
      </c>
      <c r="DN740" s="15" t="s">
        <v>419</v>
      </c>
      <c r="DO740" s="15">
        <v>0.0</v>
      </c>
      <c r="DP740" s="15" t="s">
        <v>419</v>
      </c>
      <c r="DR740" s="15">
        <v>0.0</v>
      </c>
      <c r="DT740" s="15" t="s">
        <v>420</v>
      </c>
      <c r="DU740" s="15" t="s">
        <v>419</v>
      </c>
      <c r="DY740" s="15">
        <v>0.0</v>
      </c>
      <c r="EF740" s="15" t="s">
        <v>1112</v>
      </c>
      <c r="EG740" s="15" t="s">
        <v>1113</v>
      </c>
      <c r="EH740" s="15" t="s">
        <v>7972</v>
      </c>
      <c r="EJ740" s="15" t="s">
        <v>500</v>
      </c>
      <c r="EK740" s="15" t="s">
        <v>501</v>
      </c>
      <c r="EM740" s="15" t="str">
        <f>IFERROR(__xludf.DUMMYFUNCTION("""COMPUTED_VALUE"""),"")</f>
        <v/>
      </c>
      <c r="EW740" s="15" t="s">
        <v>7358</v>
      </c>
      <c r="EY740" s="15" t="s">
        <v>7977</v>
      </c>
      <c r="FH740" s="15" t="s">
        <v>6289</v>
      </c>
      <c r="FI740" s="15" t="s">
        <v>7358</v>
      </c>
      <c r="FJ740" s="15" t="s">
        <v>1593</v>
      </c>
      <c r="FK740" s="15" t="s">
        <v>5972</v>
      </c>
      <c r="FL740" s="15" t="s">
        <v>426</v>
      </c>
      <c r="FM740" s="15">
        <v>0.0</v>
      </c>
      <c r="FN740" s="15">
        <v>0.0</v>
      </c>
      <c r="FW740" s="15" t="s">
        <v>993</v>
      </c>
    </row>
    <row r="741" ht="15.75" customHeight="1">
      <c r="A741" s="14" t="s">
        <v>391</v>
      </c>
      <c r="B741" s="15" t="s">
        <v>7963</v>
      </c>
      <c r="C741" s="16"/>
      <c r="D741" s="15" t="s">
        <v>432</v>
      </c>
      <c r="G741" s="14" t="s">
        <v>393</v>
      </c>
      <c r="H741" s="14" t="s">
        <v>394</v>
      </c>
      <c r="I741" s="14" t="b">
        <v>1</v>
      </c>
      <c r="J741" s="14" t="s">
        <v>395</v>
      </c>
      <c r="L741" s="14" t="b">
        <v>0</v>
      </c>
      <c r="M741" s="15" t="s">
        <v>7994</v>
      </c>
      <c r="N741" s="14" t="s">
        <v>393</v>
      </c>
      <c r="O741" s="14" t="s">
        <v>393</v>
      </c>
      <c r="P741" s="15" t="s">
        <v>397</v>
      </c>
      <c r="Q741" s="15" t="s">
        <v>2351</v>
      </c>
      <c r="R741" s="15" t="s">
        <v>265</v>
      </c>
      <c r="S741" s="15" t="s">
        <v>4424</v>
      </c>
      <c r="T741" s="14" t="b">
        <v>0</v>
      </c>
      <c r="U741" s="15" t="s">
        <v>7995</v>
      </c>
      <c r="V741" s="15" t="s">
        <v>1776</v>
      </c>
      <c r="W741" s="15" t="s">
        <v>401</v>
      </c>
      <c r="X741" s="15" t="s">
        <v>742</v>
      </c>
      <c r="Y741" s="15">
        <v>988.0</v>
      </c>
      <c r="AA741" s="15" t="str">
        <f>"380"</f>
        <v>380</v>
      </c>
      <c r="AB741" s="14" t="b">
        <v>1</v>
      </c>
      <c r="AC741" s="14" t="b">
        <v>1</v>
      </c>
      <c r="AD741" s="15" t="str">
        <f>"198394019699"</f>
        <v>198394019699</v>
      </c>
      <c r="AE741" s="15" t="s">
        <v>7996</v>
      </c>
      <c r="AF741" s="14" t="s">
        <v>404</v>
      </c>
      <c r="AG741" s="14" t="s">
        <v>405</v>
      </c>
      <c r="AH741" s="14" t="s">
        <v>406</v>
      </c>
      <c r="AI741" s="15">
        <v>0.0</v>
      </c>
      <c r="AL741" s="15" t="s">
        <v>1025</v>
      </c>
      <c r="AM741" s="15" t="s">
        <v>4424</v>
      </c>
      <c r="AN741" s="15" t="s">
        <v>3620</v>
      </c>
      <c r="AO741" s="15" t="s">
        <v>600</v>
      </c>
      <c r="AP741" s="15" t="s">
        <v>601</v>
      </c>
      <c r="AQ741" s="15" t="s">
        <v>1152</v>
      </c>
      <c r="AR741" s="15" t="s">
        <v>1153</v>
      </c>
      <c r="AS741" s="15" t="s">
        <v>1896</v>
      </c>
      <c r="AT741" s="15" t="s">
        <v>2351</v>
      </c>
      <c r="AW741" s="15" t="s">
        <v>491</v>
      </c>
      <c r="AY741" s="15" t="s">
        <v>426</v>
      </c>
      <c r="AZ741" s="15" t="b">
        <v>1</v>
      </c>
      <c r="BA741" s="15" t="s">
        <v>413</v>
      </c>
      <c r="BB741" s="15" t="b">
        <v>0</v>
      </c>
      <c r="BC741" s="15" t="s">
        <v>7997</v>
      </c>
      <c r="BD741" s="15" t="s">
        <v>742</v>
      </c>
      <c r="BE741" s="15" t="str">
        <f t="shared" si="1243"/>
        <v>2</v>
      </c>
      <c r="BF741" s="15" t="s">
        <v>1564</v>
      </c>
      <c r="BG741" s="15" t="str">
        <f>"55.12"</f>
        <v>55.12</v>
      </c>
      <c r="BH741" s="15" t="s">
        <v>7589</v>
      </c>
      <c r="BI741" s="15" t="str">
        <f t="shared" si="1244"/>
        <v>4.72</v>
      </c>
      <c r="BJ741" s="15" t="s">
        <v>6740</v>
      </c>
      <c r="BK741" s="15" t="str">
        <f>"31.1"</f>
        <v>31.1</v>
      </c>
      <c r="BL741" s="15" t="s">
        <v>1386</v>
      </c>
      <c r="BM741" s="15" t="str">
        <f>"51.81"</f>
        <v>51.81</v>
      </c>
      <c r="BN741" s="15" t="s">
        <v>7998</v>
      </c>
      <c r="BO741" s="15" t="s">
        <v>5617</v>
      </c>
      <c r="BP741" s="15" t="str">
        <f>"21.65"</f>
        <v>21.65</v>
      </c>
      <c r="BQ741" s="15" t="s">
        <v>1506</v>
      </c>
      <c r="BR741" s="15" t="str">
        <f>"21.65"</f>
        <v>21.65</v>
      </c>
      <c r="BS741" s="15" t="s">
        <v>1506</v>
      </c>
      <c r="BT741" s="15" t="str">
        <f>"19.69"</f>
        <v>19.69</v>
      </c>
      <c r="BU741" s="15" t="s">
        <v>1680</v>
      </c>
      <c r="BV741" s="15" t="str">
        <f>"36.38"</f>
        <v>36.38</v>
      </c>
      <c r="BW741" s="15" t="s">
        <v>2860</v>
      </c>
      <c r="BZ741" s="15" t="s">
        <v>444</v>
      </c>
      <c r="CB741" s="15" t="s">
        <v>444</v>
      </c>
      <c r="CD741" s="15" t="s">
        <v>444</v>
      </c>
      <c r="CF741" s="15" t="s">
        <v>444</v>
      </c>
      <c r="CI741" s="15" t="s">
        <v>444</v>
      </c>
      <c r="CK741" s="15" t="s">
        <v>444</v>
      </c>
      <c r="CM741" s="15" t="s">
        <v>444</v>
      </c>
      <c r="CO741" s="15" t="s">
        <v>444</v>
      </c>
      <c r="CP741" s="15" t="str">
        <f>"10.03"</f>
        <v>10.03</v>
      </c>
      <c r="CQ741" s="15" t="str">
        <f>"0.284"</f>
        <v>0.284</v>
      </c>
      <c r="CR741" s="15" t="s">
        <v>465</v>
      </c>
      <c r="DC741" s="15" t="str">
        <f>IFERROR(__xludf.DUMMYFUNCTION("""COMPUTED_VALUE"""),"")</f>
        <v/>
      </c>
      <c r="DE741" s="15" t="str">
        <f>IFERROR(__xludf.DUMMYFUNCTION("""COMPUTED_VALUE"""),"")</f>
        <v/>
      </c>
      <c r="DG741" s="15" t="str">
        <f>IFERROR(__xludf.DUMMYFUNCTION("""COMPUTED_VALUE"""),"")</f>
        <v/>
      </c>
      <c r="DL741" s="15" t="str">
        <f>IFERROR(__xludf.DUMMYFUNCTION("""COMPUTED_VALUE"""),"")</f>
        <v/>
      </c>
      <c r="DM741" s="15" t="s">
        <v>444</v>
      </c>
      <c r="DN741" s="15" t="s">
        <v>419</v>
      </c>
      <c r="DO741" s="15">
        <v>0.0</v>
      </c>
      <c r="DP741" s="15" t="s">
        <v>419</v>
      </c>
      <c r="DR741" s="15">
        <v>0.0</v>
      </c>
      <c r="DT741" s="15" t="s">
        <v>420</v>
      </c>
      <c r="DU741" s="15" t="s">
        <v>419</v>
      </c>
      <c r="DY741" s="15">
        <v>0.0</v>
      </c>
      <c r="EF741" s="15" t="s">
        <v>1112</v>
      </c>
      <c r="EG741" s="15" t="s">
        <v>1113</v>
      </c>
      <c r="EH741" s="15" t="s">
        <v>7972</v>
      </c>
      <c r="EJ741" s="15" t="s">
        <v>500</v>
      </c>
      <c r="EK741" s="15" t="s">
        <v>501</v>
      </c>
      <c r="EM741" s="15" t="str">
        <f>IFERROR(__xludf.DUMMYFUNCTION("""COMPUTED_VALUE"""),"")</f>
        <v/>
      </c>
      <c r="EW741" s="15" t="s">
        <v>4943</v>
      </c>
      <c r="EX741" s="15" t="s">
        <v>1956</v>
      </c>
      <c r="EY741" s="15" t="s">
        <v>2648</v>
      </c>
      <c r="FH741" s="15" t="s">
        <v>1956</v>
      </c>
      <c r="FI741" s="15" t="s">
        <v>4943</v>
      </c>
      <c r="FJ741" s="15" t="s">
        <v>993</v>
      </c>
      <c r="FK741" s="15" t="s">
        <v>5972</v>
      </c>
      <c r="FL741" s="15" t="s">
        <v>426</v>
      </c>
      <c r="FM741" s="15">
        <v>0.0</v>
      </c>
      <c r="FN741" s="15">
        <v>0.0</v>
      </c>
      <c r="FW741" s="15" t="s">
        <v>5058</v>
      </c>
    </row>
    <row r="742" ht="15.75" customHeight="1">
      <c r="A742" s="14" t="s">
        <v>391</v>
      </c>
      <c r="B742" s="15" t="s">
        <v>7963</v>
      </c>
      <c r="C742" s="16"/>
      <c r="D742" s="15" t="s">
        <v>432</v>
      </c>
      <c r="G742" s="14" t="s">
        <v>393</v>
      </c>
      <c r="H742" s="14" t="s">
        <v>394</v>
      </c>
      <c r="I742" s="14" t="b">
        <v>1</v>
      </c>
      <c r="J742" s="14" t="s">
        <v>395</v>
      </c>
      <c r="L742" s="14" t="b">
        <v>0</v>
      </c>
      <c r="M742" s="15" t="s">
        <v>7999</v>
      </c>
      <c r="N742" s="14" t="s">
        <v>393</v>
      </c>
      <c r="O742" s="14" t="s">
        <v>393</v>
      </c>
      <c r="P742" s="15" t="s">
        <v>397</v>
      </c>
      <c r="Q742" s="15" t="s">
        <v>2351</v>
      </c>
      <c r="R742" s="15" t="s">
        <v>265</v>
      </c>
      <c r="S742" s="15" t="s">
        <v>1224</v>
      </c>
      <c r="T742" s="14" t="b">
        <v>0</v>
      </c>
      <c r="U742" s="15" t="s">
        <v>8000</v>
      </c>
      <c r="V742" s="15" t="s">
        <v>8001</v>
      </c>
      <c r="W742" s="15" t="s">
        <v>401</v>
      </c>
      <c r="X742" s="15" t="s">
        <v>742</v>
      </c>
      <c r="Y742" s="15">
        <v>1313.0</v>
      </c>
      <c r="AA742" s="15" t="str">
        <f>"505"</f>
        <v>505</v>
      </c>
      <c r="AB742" s="14" t="b">
        <v>1</v>
      </c>
      <c r="AC742" s="14" t="b">
        <v>1</v>
      </c>
      <c r="AD742" s="15" t="str">
        <f>"198394019750"</f>
        <v>198394019750</v>
      </c>
      <c r="AE742" s="15" t="s">
        <v>8002</v>
      </c>
      <c r="AF742" s="14" t="s">
        <v>404</v>
      </c>
      <c r="AG742" s="14" t="s">
        <v>405</v>
      </c>
      <c r="AH742" s="14" t="s">
        <v>406</v>
      </c>
      <c r="AI742" s="15">
        <v>0.0</v>
      </c>
      <c r="AL742" s="15" t="s">
        <v>1025</v>
      </c>
      <c r="AM742" s="15" t="s">
        <v>1224</v>
      </c>
      <c r="AN742" s="15" t="s">
        <v>1225</v>
      </c>
      <c r="AO742" s="15" t="s">
        <v>645</v>
      </c>
      <c r="AP742" s="15" t="s">
        <v>646</v>
      </c>
      <c r="AQ742" s="15" t="s">
        <v>1152</v>
      </c>
      <c r="AR742" s="15" t="s">
        <v>1153</v>
      </c>
      <c r="AS742" s="15" t="s">
        <v>1896</v>
      </c>
      <c r="AT742" s="15" t="s">
        <v>2351</v>
      </c>
      <c r="AW742" s="15" t="s">
        <v>491</v>
      </c>
      <c r="AY742" s="15" t="s">
        <v>413</v>
      </c>
      <c r="AZ742" s="15" t="b">
        <v>0</v>
      </c>
      <c r="BA742" s="15" t="s">
        <v>413</v>
      </c>
      <c r="BB742" s="15" t="b">
        <v>0</v>
      </c>
      <c r="BC742" s="15" t="s">
        <v>8003</v>
      </c>
      <c r="BD742" s="15" t="s">
        <v>742</v>
      </c>
      <c r="BE742" s="15" t="str">
        <f t="shared" si="1243"/>
        <v>2</v>
      </c>
      <c r="BF742" s="15" t="s">
        <v>1564</v>
      </c>
      <c r="BG742" s="15" t="str">
        <f>"68.5"</f>
        <v>68.5</v>
      </c>
      <c r="BH742" s="15" t="s">
        <v>3121</v>
      </c>
      <c r="BI742" s="15" t="str">
        <f t="shared" si="1244"/>
        <v>4.72</v>
      </c>
      <c r="BJ742" s="15" t="s">
        <v>6740</v>
      </c>
      <c r="BK742" s="15" t="str">
        <f>"38.7"</f>
        <v>38.7</v>
      </c>
      <c r="BL742" s="15" t="s">
        <v>7976</v>
      </c>
      <c r="BM742" s="15" t="str">
        <f>"80.47"</f>
        <v>80.47</v>
      </c>
      <c r="BN742" s="15" t="s">
        <v>3249</v>
      </c>
      <c r="BO742" s="15" t="s">
        <v>2238</v>
      </c>
      <c r="BP742" s="15" t="str">
        <f>"27.56"</f>
        <v>27.56</v>
      </c>
      <c r="BQ742" s="15" t="s">
        <v>1780</v>
      </c>
      <c r="BR742" s="15" t="str">
        <f>"26.38"</f>
        <v>26.38</v>
      </c>
      <c r="BS742" s="15" t="s">
        <v>1735</v>
      </c>
      <c r="BT742" s="15" t="str">
        <f>"20.08"</f>
        <v>20.08</v>
      </c>
      <c r="BU742" s="15" t="s">
        <v>4825</v>
      </c>
      <c r="BV742" s="15" t="str">
        <f>"41.89"</f>
        <v>41.89</v>
      </c>
      <c r="BW742" s="15" t="s">
        <v>933</v>
      </c>
      <c r="BZ742" s="15" t="s">
        <v>444</v>
      </c>
      <c r="CB742" s="15" t="s">
        <v>444</v>
      </c>
      <c r="CD742" s="15" t="s">
        <v>444</v>
      </c>
      <c r="CF742" s="15" t="s">
        <v>444</v>
      </c>
      <c r="CI742" s="15" t="s">
        <v>444</v>
      </c>
      <c r="CK742" s="15" t="s">
        <v>444</v>
      </c>
      <c r="CM742" s="15" t="s">
        <v>444</v>
      </c>
      <c r="CO742" s="15" t="s">
        <v>444</v>
      </c>
      <c r="CP742" s="15" t="str">
        <f>"15.68"</f>
        <v>15.68</v>
      </c>
      <c r="CQ742" s="15" t="str">
        <f>"0.444"</f>
        <v>0.444</v>
      </c>
      <c r="CR742" s="15" t="s">
        <v>465</v>
      </c>
      <c r="DC742" s="15" t="str">
        <f>IFERROR(__xludf.DUMMYFUNCTION("""COMPUTED_VALUE"""),"")</f>
        <v/>
      </c>
      <c r="DE742" s="15" t="str">
        <f>IFERROR(__xludf.DUMMYFUNCTION("""COMPUTED_VALUE"""),"")</f>
        <v/>
      </c>
      <c r="DG742" s="15" t="str">
        <f>IFERROR(__xludf.DUMMYFUNCTION("""COMPUTED_VALUE"""),"")</f>
        <v/>
      </c>
      <c r="DL742" s="15" t="str">
        <f>IFERROR(__xludf.DUMMYFUNCTION("""COMPUTED_VALUE"""),"")</f>
        <v/>
      </c>
      <c r="DM742" s="15" t="s">
        <v>444</v>
      </c>
      <c r="DN742" s="15" t="s">
        <v>419</v>
      </c>
      <c r="DO742" s="15">
        <v>0.0</v>
      </c>
      <c r="DP742" s="15" t="s">
        <v>419</v>
      </c>
      <c r="DR742" s="15">
        <v>0.0</v>
      </c>
      <c r="DT742" s="15" t="s">
        <v>420</v>
      </c>
      <c r="DU742" s="15" t="s">
        <v>419</v>
      </c>
      <c r="DY742" s="15">
        <v>0.0</v>
      </c>
      <c r="EF742" s="15" t="s">
        <v>1112</v>
      </c>
      <c r="EG742" s="15" t="s">
        <v>1113</v>
      </c>
      <c r="EH742" s="15" t="s">
        <v>7972</v>
      </c>
      <c r="EJ742" s="15" t="s">
        <v>500</v>
      </c>
      <c r="EK742" s="15" t="s">
        <v>501</v>
      </c>
      <c r="EM742" s="15" t="str">
        <f>IFERROR(__xludf.DUMMYFUNCTION("""COMPUTED_VALUE"""),"")</f>
        <v/>
      </c>
      <c r="EW742" s="15" t="s">
        <v>7358</v>
      </c>
      <c r="EY742" s="15" t="s">
        <v>7977</v>
      </c>
      <c r="FH742" s="15" t="s">
        <v>6289</v>
      </c>
      <c r="FI742" s="15" t="s">
        <v>7358</v>
      </c>
      <c r="FJ742" s="15" t="s">
        <v>1593</v>
      </c>
      <c r="FK742" s="15" t="s">
        <v>5972</v>
      </c>
      <c r="FL742" s="15" t="s">
        <v>426</v>
      </c>
      <c r="FM742" s="15">
        <v>0.0</v>
      </c>
      <c r="FN742" s="15">
        <v>0.0</v>
      </c>
      <c r="FW742" s="15" t="s">
        <v>993</v>
      </c>
    </row>
    <row r="743" ht="15.75" customHeight="1">
      <c r="A743" s="14" t="s">
        <v>391</v>
      </c>
      <c r="B743" s="15" t="s">
        <v>8004</v>
      </c>
      <c r="C743" s="16"/>
      <c r="D743" s="15" t="s">
        <v>432</v>
      </c>
      <c r="G743" s="14" t="s">
        <v>393</v>
      </c>
      <c r="H743" s="14" t="s">
        <v>394</v>
      </c>
      <c r="I743" s="14" t="b">
        <v>1</v>
      </c>
      <c r="J743" s="14" t="s">
        <v>395</v>
      </c>
      <c r="L743" s="14" t="b">
        <v>0</v>
      </c>
      <c r="M743" s="15" t="s">
        <v>8005</v>
      </c>
      <c r="N743" s="14" t="s">
        <v>393</v>
      </c>
      <c r="O743" s="14" t="s">
        <v>393</v>
      </c>
      <c r="P743" s="15" t="s">
        <v>397</v>
      </c>
      <c r="Q743" s="15" t="s">
        <v>7965</v>
      </c>
      <c r="T743" s="14" t="b">
        <v>0</v>
      </c>
      <c r="U743" s="15" t="s">
        <v>8006</v>
      </c>
      <c r="V743" s="15" t="s">
        <v>1001</v>
      </c>
      <c r="W743" s="15" t="s">
        <v>401</v>
      </c>
      <c r="X743" s="15" t="s">
        <v>742</v>
      </c>
      <c r="Y743" s="15">
        <v>1157.0</v>
      </c>
      <c r="AA743" s="15" t="str">
        <f>"445"</f>
        <v>445</v>
      </c>
      <c r="AB743" s="14" t="b">
        <v>1</v>
      </c>
      <c r="AC743" s="14" t="b">
        <v>1</v>
      </c>
      <c r="AD743" s="15" t="str">
        <f>"198394025713"</f>
        <v>198394025713</v>
      </c>
      <c r="AE743" s="15" t="s">
        <v>8007</v>
      </c>
      <c r="AF743" s="14" t="s">
        <v>404</v>
      </c>
      <c r="AG743" s="14" t="s">
        <v>405</v>
      </c>
      <c r="AH743" s="14" t="s">
        <v>406</v>
      </c>
      <c r="AI743" s="15">
        <v>0.0</v>
      </c>
      <c r="AL743" s="15" t="s">
        <v>7968</v>
      </c>
      <c r="AM743" s="15" t="s">
        <v>1224</v>
      </c>
      <c r="AN743" s="15" t="s">
        <v>1225</v>
      </c>
      <c r="AO743" s="15" t="s">
        <v>600</v>
      </c>
      <c r="AP743" s="15" t="s">
        <v>601</v>
      </c>
      <c r="AQ743" s="15" t="s">
        <v>546</v>
      </c>
      <c r="AR743" s="15" t="s">
        <v>547</v>
      </c>
      <c r="AS743" s="15" t="s">
        <v>1896</v>
      </c>
      <c r="AT743" s="15" t="s">
        <v>7965</v>
      </c>
      <c r="AU743" s="15" t="s">
        <v>7969</v>
      </c>
      <c r="AW743" s="15" t="s">
        <v>2134</v>
      </c>
      <c r="AX743" s="15" t="s">
        <v>2171</v>
      </c>
      <c r="AY743" s="15" t="s">
        <v>426</v>
      </c>
      <c r="AZ743" s="15" t="b">
        <v>1</v>
      </c>
      <c r="BA743" s="15" t="s">
        <v>413</v>
      </c>
      <c r="BB743" s="15" t="b">
        <v>0</v>
      </c>
      <c r="BC743" s="15" t="s">
        <v>8008</v>
      </c>
      <c r="BD743" s="15" t="s">
        <v>742</v>
      </c>
      <c r="BE743" s="15" t="str">
        <f t="shared" si="1243"/>
        <v>2</v>
      </c>
      <c r="BF743" s="15" t="s">
        <v>8009</v>
      </c>
      <c r="BG743" s="15" t="str">
        <f t="shared" ref="BG743:BG744" si="1255">"70.08"</f>
        <v>70.08</v>
      </c>
      <c r="BH743" s="15" t="s">
        <v>957</v>
      </c>
      <c r="BI743" s="15" t="str">
        <f t="shared" si="1244"/>
        <v>4.72</v>
      </c>
      <c r="BJ743" s="15" t="s">
        <v>6740</v>
      </c>
      <c r="BK743" s="15" t="str">
        <f t="shared" ref="BK743:BK744" si="1256">"30.91"</f>
        <v>30.91</v>
      </c>
      <c r="BL743" s="15" t="s">
        <v>3885</v>
      </c>
      <c r="BM743" s="15" t="str">
        <f>"60.63"</f>
        <v>60.63</v>
      </c>
      <c r="BN743" s="15" t="s">
        <v>5859</v>
      </c>
      <c r="BO743" s="15" t="s">
        <v>8010</v>
      </c>
      <c r="BP743" s="15" t="str">
        <f t="shared" ref="BP743:BP744" si="1257">"22.44"</f>
        <v>22.44</v>
      </c>
      <c r="BQ743" s="15" t="s">
        <v>1156</v>
      </c>
      <c r="BR743" s="15" t="str">
        <f t="shared" ref="BR743:BR744" si="1258">"21.46"</f>
        <v>21.46</v>
      </c>
      <c r="BS743" s="15" t="s">
        <v>1385</v>
      </c>
      <c r="BT743" s="15" t="str">
        <f t="shared" ref="BT743:BT744" si="1259">"33.27"</f>
        <v>33.27</v>
      </c>
      <c r="BU743" s="15" t="s">
        <v>3223</v>
      </c>
      <c r="BV743" s="15" t="str">
        <f>"60.63"</f>
        <v>60.63</v>
      </c>
      <c r="BW743" s="15" t="s">
        <v>5859</v>
      </c>
      <c r="BZ743" s="15" t="s">
        <v>444</v>
      </c>
      <c r="CB743" s="15" t="s">
        <v>444</v>
      </c>
      <c r="CD743" s="15" t="s">
        <v>444</v>
      </c>
      <c r="CF743" s="15" t="s">
        <v>444</v>
      </c>
      <c r="CI743" s="15" t="s">
        <v>444</v>
      </c>
      <c r="CK743" s="15" t="s">
        <v>444</v>
      </c>
      <c r="CM743" s="15" t="s">
        <v>444</v>
      </c>
      <c r="CO743" s="15" t="s">
        <v>444</v>
      </c>
      <c r="CP743" s="15" t="str">
        <f t="shared" ref="CP743:CP744" si="1260">"15.19"</f>
        <v>15.19</v>
      </c>
      <c r="CQ743" s="15" t="str">
        <f t="shared" ref="CQ743:CQ744" si="1261">"0.43"</f>
        <v>0.43</v>
      </c>
      <c r="CR743" s="15" t="s">
        <v>497</v>
      </c>
      <c r="DC743" s="15" t="str">
        <f>IFERROR(__xludf.DUMMYFUNCTION("""COMPUTED_VALUE"""),"")</f>
        <v/>
      </c>
      <c r="DE743" s="15" t="str">
        <f>IFERROR(__xludf.DUMMYFUNCTION("""COMPUTED_VALUE"""),"")</f>
        <v/>
      </c>
      <c r="DG743" s="15" t="str">
        <f>IFERROR(__xludf.DUMMYFUNCTION("""COMPUTED_VALUE"""),"")</f>
        <v/>
      </c>
      <c r="DL743" s="15" t="str">
        <f>IFERROR(__xludf.DUMMYFUNCTION("""COMPUTED_VALUE"""),"")</f>
        <v/>
      </c>
      <c r="DM743" s="15" t="s">
        <v>444</v>
      </c>
      <c r="DN743" s="15" t="s">
        <v>419</v>
      </c>
      <c r="DO743" s="15">
        <v>0.0</v>
      </c>
      <c r="DP743" s="15" t="s">
        <v>419</v>
      </c>
      <c r="DR743" s="15">
        <v>0.0</v>
      </c>
      <c r="DT743" s="15" t="s">
        <v>1388</v>
      </c>
      <c r="DU743" s="15" t="s">
        <v>419</v>
      </c>
      <c r="DY743" s="15">
        <v>0.0</v>
      </c>
      <c r="EF743" s="15" t="s">
        <v>4768</v>
      </c>
      <c r="EG743" s="15" t="s">
        <v>4769</v>
      </c>
      <c r="EH743" s="15" t="s">
        <v>7972</v>
      </c>
      <c r="EJ743" s="15" t="s">
        <v>500</v>
      </c>
      <c r="EK743" s="15" t="s">
        <v>501</v>
      </c>
      <c r="EM743" s="15" t="str">
        <f>IFERROR(__xludf.DUMMYFUNCTION("""COMPUTED_VALUE"""),"")</f>
        <v/>
      </c>
      <c r="EW743" s="15" t="s">
        <v>5235</v>
      </c>
      <c r="EY743" s="15" t="s">
        <v>5103</v>
      </c>
      <c r="FK743" s="15" t="s">
        <v>5972</v>
      </c>
      <c r="FL743" s="15" t="s">
        <v>426</v>
      </c>
      <c r="FM743" s="15">
        <v>0.0</v>
      </c>
      <c r="FV743" s="15" t="s">
        <v>5235</v>
      </c>
      <c r="GH743" s="15">
        <v>0.0</v>
      </c>
      <c r="GI743" s="15" t="s">
        <v>427</v>
      </c>
      <c r="HD743" s="15">
        <v>0.0</v>
      </c>
      <c r="IG743" s="15" t="s">
        <v>426</v>
      </c>
    </row>
    <row r="744" ht="15.75" customHeight="1">
      <c r="A744" s="14" t="s">
        <v>391</v>
      </c>
      <c r="B744" s="15" t="s">
        <v>8004</v>
      </c>
      <c r="C744" s="16"/>
      <c r="D744" s="15" t="s">
        <v>432</v>
      </c>
      <c r="G744" s="14" t="s">
        <v>393</v>
      </c>
      <c r="H744" s="14" t="s">
        <v>394</v>
      </c>
      <c r="I744" s="14" t="b">
        <v>1</v>
      </c>
      <c r="J744" s="14" t="s">
        <v>395</v>
      </c>
      <c r="L744" s="14" t="b">
        <v>0</v>
      </c>
      <c r="M744" s="15" t="s">
        <v>8011</v>
      </c>
      <c r="N744" s="14" t="s">
        <v>393</v>
      </c>
      <c r="O744" s="14" t="s">
        <v>393</v>
      </c>
      <c r="P744" s="15" t="s">
        <v>397</v>
      </c>
      <c r="Q744" s="15" t="s">
        <v>7632</v>
      </c>
      <c r="T744" s="14" t="b">
        <v>0</v>
      </c>
      <c r="U744" s="15" t="s">
        <v>8012</v>
      </c>
      <c r="V744" s="15" t="s">
        <v>8013</v>
      </c>
      <c r="W744" s="15" t="s">
        <v>401</v>
      </c>
      <c r="X744" s="15" t="s">
        <v>742</v>
      </c>
      <c r="Y744" s="15">
        <v>1430.0</v>
      </c>
      <c r="AA744" s="15" t="str">
        <f t="shared" ref="AA744:AA745" si="1262">"550"</f>
        <v>550</v>
      </c>
      <c r="AB744" s="14" t="b">
        <v>1</v>
      </c>
      <c r="AC744" s="14" t="b">
        <v>1</v>
      </c>
      <c r="AD744" s="15" t="str">
        <f>"198394025744"</f>
        <v>198394025744</v>
      </c>
      <c r="AE744" s="15" t="s">
        <v>8014</v>
      </c>
      <c r="AF744" s="14" t="s">
        <v>404</v>
      </c>
      <c r="AG744" s="14" t="s">
        <v>405</v>
      </c>
      <c r="AH744" s="14" t="s">
        <v>406</v>
      </c>
      <c r="AI744" s="15">
        <v>0.0</v>
      </c>
      <c r="AL744" s="15" t="s">
        <v>4874</v>
      </c>
      <c r="AM744" s="15" t="s">
        <v>1224</v>
      </c>
      <c r="AN744" s="15" t="s">
        <v>1225</v>
      </c>
      <c r="AO744" s="15" t="s">
        <v>600</v>
      </c>
      <c r="AP744" s="15" t="s">
        <v>601</v>
      </c>
      <c r="AQ744" s="15" t="s">
        <v>546</v>
      </c>
      <c r="AR744" s="15" t="s">
        <v>547</v>
      </c>
      <c r="AS744" s="15" t="s">
        <v>1896</v>
      </c>
      <c r="AT744" s="15" t="s">
        <v>7632</v>
      </c>
      <c r="AU744" s="15" t="s">
        <v>2351</v>
      </c>
      <c r="AW744" s="15" t="s">
        <v>2134</v>
      </c>
      <c r="AX744" s="15" t="s">
        <v>2171</v>
      </c>
      <c r="AY744" s="15" t="s">
        <v>426</v>
      </c>
      <c r="AZ744" s="15" t="b">
        <v>1</v>
      </c>
      <c r="BA744" s="15" t="s">
        <v>413</v>
      </c>
      <c r="BB744" s="15" t="b">
        <v>0</v>
      </c>
      <c r="BC744" s="15" t="s">
        <v>8015</v>
      </c>
      <c r="BD744" s="15" t="s">
        <v>742</v>
      </c>
      <c r="BE744" s="15" t="str">
        <f t="shared" si="1243"/>
        <v>2</v>
      </c>
      <c r="BF744" s="15" t="s">
        <v>8009</v>
      </c>
      <c r="BG744" s="15" t="str">
        <f t="shared" si="1255"/>
        <v>70.08</v>
      </c>
      <c r="BH744" s="15" t="s">
        <v>957</v>
      </c>
      <c r="BI744" s="15" t="str">
        <f t="shared" si="1244"/>
        <v>4.72</v>
      </c>
      <c r="BJ744" s="15" t="s">
        <v>6740</v>
      </c>
      <c r="BK744" s="15" t="str">
        <f t="shared" si="1256"/>
        <v>30.91</v>
      </c>
      <c r="BL744" s="15" t="s">
        <v>3885</v>
      </c>
      <c r="BM744" s="15" t="str">
        <f>"65.04"</f>
        <v>65.04</v>
      </c>
      <c r="BN744" s="15" t="s">
        <v>4327</v>
      </c>
      <c r="BO744" s="15" t="s">
        <v>8010</v>
      </c>
      <c r="BP744" s="15" t="str">
        <f t="shared" si="1257"/>
        <v>22.44</v>
      </c>
      <c r="BQ744" s="15" t="s">
        <v>1156</v>
      </c>
      <c r="BR744" s="15" t="str">
        <f t="shared" si="1258"/>
        <v>21.46</v>
      </c>
      <c r="BS744" s="15" t="s">
        <v>1385</v>
      </c>
      <c r="BT744" s="15" t="str">
        <f t="shared" si="1259"/>
        <v>33.27</v>
      </c>
      <c r="BU744" s="15" t="s">
        <v>3223</v>
      </c>
      <c r="BV744" s="15" t="str">
        <f>"66.14"</f>
        <v>66.14</v>
      </c>
      <c r="BW744" s="15" t="s">
        <v>958</v>
      </c>
      <c r="BZ744" s="15" t="s">
        <v>444</v>
      </c>
      <c r="CB744" s="15" t="s">
        <v>444</v>
      </c>
      <c r="CD744" s="15" t="s">
        <v>444</v>
      </c>
      <c r="CF744" s="15" t="s">
        <v>444</v>
      </c>
      <c r="CI744" s="15" t="s">
        <v>444</v>
      </c>
      <c r="CK744" s="15" t="s">
        <v>444</v>
      </c>
      <c r="CM744" s="15" t="s">
        <v>444</v>
      </c>
      <c r="CO744" s="15" t="s">
        <v>444</v>
      </c>
      <c r="CP744" s="15" t="str">
        <f t="shared" si="1260"/>
        <v>15.19</v>
      </c>
      <c r="CQ744" s="15" t="str">
        <f t="shared" si="1261"/>
        <v>0.43</v>
      </c>
      <c r="CR744" s="15" t="s">
        <v>465</v>
      </c>
      <c r="DC744" s="15" t="str">
        <f>IFERROR(__xludf.DUMMYFUNCTION("""COMPUTED_VALUE"""),"")</f>
        <v/>
      </c>
      <c r="DE744" s="15" t="str">
        <f>IFERROR(__xludf.DUMMYFUNCTION("""COMPUTED_VALUE"""),"")</f>
        <v/>
      </c>
      <c r="DG744" s="15" t="str">
        <f>IFERROR(__xludf.DUMMYFUNCTION("""COMPUTED_VALUE"""),"")</f>
        <v/>
      </c>
      <c r="DL744" s="15" t="str">
        <f>IFERROR(__xludf.DUMMYFUNCTION("""COMPUTED_VALUE"""),"")</f>
        <v/>
      </c>
      <c r="DM744" s="15" t="s">
        <v>444</v>
      </c>
      <c r="DN744" s="15" t="s">
        <v>419</v>
      </c>
      <c r="DO744" s="15">
        <v>0.0</v>
      </c>
      <c r="DP744" s="15" t="s">
        <v>419</v>
      </c>
      <c r="DR744" s="15">
        <v>0.0</v>
      </c>
      <c r="DT744" s="15" t="s">
        <v>1388</v>
      </c>
      <c r="DU744" s="15" t="s">
        <v>419</v>
      </c>
      <c r="DY744" s="15">
        <v>0.0</v>
      </c>
      <c r="EF744" s="15" t="s">
        <v>4768</v>
      </c>
      <c r="EG744" s="15" t="s">
        <v>4769</v>
      </c>
      <c r="EH744" s="15" t="s">
        <v>7972</v>
      </c>
      <c r="EJ744" s="15" t="s">
        <v>500</v>
      </c>
      <c r="EK744" s="15" t="s">
        <v>501</v>
      </c>
      <c r="EM744" s="15" t="str">
        <f>IFERROR(__xludf.DUMMYFUNCTION("""COMPUTED_VALUE"""),"")</f>
        <v/>
      </c>
      <c r="EW744" s="15" t="s">
        <v>5235</v>
      </c>
      <c r="EY744" s="15" t="s">
        <v>5103</v>
      </c>
      <c r="FK744" s="15" t="s">
        <v>5972</v>
      </c>
      <c r="FL744" s="15" t="s">
        <v>426</v>
      </c>
      <c r="FM744" s="15">
        <v>0.0</v>
      </c>
      <c r="FV744" s="15" t="s">
        <v>5235</v>
      </c>
      <c r="GH744" s="15">
        <v>0.0</v>
      </c>
      <c r="GI744" s="15" t="s">
        <v>427</v>
      </c>
      <c r="HD744" s="15">
        <v>0.0</v>
      </c>
      <c r="IG744" s="15" t="s">
        <v>426</v>
      </c>
    </row>
    <row r="745" ht="15.75" customHeight="1">
      <c r="A745" s="14" t="s">
        <v>391</v>
      </c>
      <c r="B745" s="15" t="s">
        <v>8016</v>
      </c>
      <c r="C745" s="16"/>
      <c r="D745" s="15" t="s">
        <v>432</v>
      </c>
      <c r="G745" s="14" t="s">
        <v>393</v>
      </c>
      <c r="H745" s="14" t="s">
        <v>394</v>
      </c>
      <c r="I745" s="14" t="b">
        <v>1</v>
      </c>
      <c r="J745" s="14" t="s">
        <v>395</v>
      </c>
      <c r="L745" s="14" t="b">
        <v>0</v>
      </c>
      <c r="M745" s="15" t="s">
        <v>8017</v>
      </c>
      <c r="N745" s="14" t="s">
        <v>393</v>
      </c>
      <c r="O745" s="14" t="s">
        <v>393</v>
      </c>
      <c r="P745" s="15" t="s">
        <v>397</v>
      </c>
      <c r="Q745" s="15" t="s">
        <v>7965</v>
      </c>
      <c r="R745" s="15" t="s">
        <v>265</v>
      </c>
      <c r="S745" s="15" t="s">
        <v>770</v>
      </c>
      <c r="T745" s="14" t="b">
        <v>0</v>
      </c>
      <c r="U745" s="15" t="s">
        <v>8018</v>
      </c>
      <c r="V745" s="15" t="s">
        <v>8019</v>
      </c>
      <c r="W745" s="15" t="s">
        <v>401</v>
      </c>
      <c r="X745" s="15" t="s">
        <v>742</v>
      </c>
      <c r="Y745" s="15">
        <v>1430.0</v>
      </c>
      <c r="AA745" s="15" t="str">
        <f t="shared" si="1262"/>
        <v>550</v>
      </c>
      <c r="AB745" s="14" t="b">
        <v>1</v>
      </c>
      <c r="AC745" s="14" t="b">
        <v>1</v>
      </c>
      <c r="AD745" s="15" t="str">
        <f>"801542099114"</f>
        <v>801542099114</v>
      </c>
      <c r="AE745" s="15" t="s">
        <v>8020</v>
      </c>
      <c r="AF745" s="14" t="s">
        <v>404</v>
      </c>
      <c r="AG745" s="14" t="s">
        <v>405</v>
      </c>
      <c r="AH745" s="14" t="s">
        <v>406</v>
      </c>
      <c r="AI745" s="15">
        <v>0.0</v>
      </c>
      <c r="AL745" s="15" t="s">
        <v>7968</v>
      </c>
      <c r="AM745" s="15" t="s">
        <v>770</v>
      </c>
      <c r="AN745" s="15" t="s">
        <v>771</v>
      </c>
      <c r="AO745" s="15" t="s">
        <v>2557</v>
      </c>
      <c r="AP745" s="15" t="s">
        <v>2558</v>
      </c>
      <c r="AQ745" s="15" t="s">
        <v>546</v>
      </c>
      <c r="AR745" s="15" t="s">
        <v>547</v>
      </c>
      <c r="AS745" s="15" t="s">
        <v>1896</v>
      </c>
      <c r="AT745" s="15" t="s">
        <v>7965</v>
      </c>
      <c r="AU745" s="15" t="s">
        <v>7969</v>
      </c>
      <c r="AW745" s="15" t="s">
        <v>548</v>
      </c>
      <c r="AX745" s="15" t="s">
        <v>549</v>
      </c>
      <c r="AY745" s="15" t="s">
        <v>426</v>
      </c>
      <c r="AZ745" s="15" t="b">
        <v>1</v>
      </c>
      <c r="BA745" s="15" t="s">
        <v>413</v>
      </c>
      <c r="BB745" s="15" t="b">
        <v>0</v>
      </c>
      <c r="BC745" s="15" t="s">
        <v>8021</v>
      </c>
      <c r="BD745" s="15" t="s">
        <v>742</v>
      </c>
      <c r="BE745" s="15" t="str">
        <f t="shared" si="1243"/>
        <v>2</v>
      </c>
      <c r="BF745" s="15" t="s">
        <v>1564</v>
      </c>
      <c r="BG745" s="15" t="str">
        <f>"99.21"</f>
        <v>99.21</v>
      </c>
      <c r="BH745" s="15" t="s">
        <v>1733</v>
      </c>
      <c r="BI745" s="15" t="str">
        <f t="shared" si="1244"/>
        <v>4.72</v>
      </c>
      <c r="BJ745" s="15" t="s">
        <v>6740</v>
      </c>
      <c r="BK745" s="15" t="str">
        <f t="shared" ref="BK745:BK751" si="1263">"46.26"</f>
        <v>46.26</v>
      </c>
      <c r="BL745" s="15" t="s">
        <v>8022</v>
      </c>
      <c r="BM745" s="15" t="str">
        <f>"103.62"</f>
        <v>103.62</v>
      </c>
      <c r="BN745" s="15" t="s">
        <v>2045</v>
      </c>
      <c r="BO745" s="15" t="s">
        <v>2238</v>
      </c>
      <c r="BP745" s="15" t="str">
        <f t="shared" ref="BP745:BP751" si="1264">"23.03"</f>
        <v>23.03</v>
      </c>
      <c r="BQ745" s="15" t="s">
        <v>2154</v>
      </c>
      <c r="BR745" s="15" t="str">
        <f t="shared" ref="BR745:BR751" si="1265">"22.24"</f>
        <v>22.24</v>
      </c>
      <c r="BS745" s="15" t="s">
        <v>1423</v>
      </c>
      <c r="BT745" s="15" t="str">
        <f t="shared" ref="BT745:BT751" si="1266">"31.1"</f>
        <v>31.1</v>
      </c>
      <c r="BU745" s="15" t="s">
        <v>1386</v>
      </c>
      <c r="BV745" s="15" t="str">
        <f t="shared" ref="BV745:BV751" si="1267">"82.67"</f>
        <v>82.67</v>
      </c>
      <c r="BW745" s="15" t="s">
        <v>1781</v>
      </c>
      <c r="BZ745" s="15" t="s">
        <v>444</v>
      </c>
      <c r="CB745" s="15" t="s">
        <v>444</v>
      </c>
      <c r="CD745" s="15" t="s">
        <v>444</v>
      </c>
      <c r="CF745" s="15" t="s">
        <v>444</v>
      </c>
      <c r="CI745" s="15" t="s">
        <v>444</v>
      </c>
      <c r="CK745" s="15" t="s">
        <v>444</v>
      </c>
      <c r="CM745" s="15" t="s">
        <v>444</v>
      </c>
      <c r="CO745" s="15" t="s">
        <v>444</v>
      </c>
      <c r="CP745" s="15" t="str">
        <f>"21.75"</f>
        <v>21.75</v>
      </c>
      <c r="CQ745" s="15" t="str">
        <f>"0.616"</f>
        <v>0.616</v>
      </c>
      <c r="CR745" s="15" t="s">
        <v>497</v>
      </c>
      <c r="DC745" s="15" t="str">
        <f>IFERROR(__xludf.DUMMYFUNCTION("""COMPUTED_VALUE"""),"")</f>
        <v/>
      </c>
      <c r="DE745" s="15" t="str">
        <f>IFERROR(__xludf.DUMMYFUNCTION("""COMPUTED_VALUE"""),"")</f>
        <v/>
      </c>
      <c r="DG745" s="15" t="str">
        <f>IFERROR(__xludf.DUMMYFUNCTION("""COMPUTED_VALUE"""),"")</f>
        <v/>
      </c>
      <c r="DL745" s="15" t="str">
        <f>IFERROR(__xludf.DUMMYFUNCTION("""COMPUTED_VALUE"""),"")</f>
        <v/>
      </c>
      <c r="DM745" s="15" t="s">
        <v>444</v>
      </c>
      <c r="DN745" s="15" t="s">
        <v>419</v>
      </c>
      <c r="DO745" s="15">
        <v>0.0</v>
      </c>
      <c r="DP745" s="15" t="s">
        <v>419</v>
      </c>
      <c r="DR745" s="15">
        <v>0.0</v>
      </c>
      <c r="DT745" s="15" t="s">
        <v>420</v>
      </c>
      <c r="DU745" s="15" t="s">
        <v>419</v>
      </c>
      <c r="DW745" s="15">
        <v>0.0</v>
      </c>
      <c r="DX745" s="15">
        <v>0.0</v>
      </c>
      <c r="DY745" s="15">
        <v>0.0</v>
      </c>
      <c r="EE745" s="15">
        <v>10.0</v>
      </c>
      <c r="EF745" s="15" t="s">
        <v>1112</v>
      </c>
      <c r="EG745" s="15" t="s">
        <v>1113</v>
      </c>
      <c r="EH745" s="15" t="s">
        <v>7972</v>
      </c>
      <c r="EJ745" s="15" t="s">
        <v>424</v>
      </c>
      <c r="EK745" s="15" t="s">
        <v>446</v>
      </c>
      <c r="EM745" s="15" t="str">
        <f>IFERROR(__xludf.DUMMYFUNCTION("""COMPUTED_VALUE"""),"")</f>
        <v/>
      </c>
      <c r="EW745" s="15" t="s">
        <v>5235</v>
      </c>
      <c r="EY745" s="15" t="s">
        <v>8023</v>
      </c>
      <c r="FH745" s="15" t="s">
        <v>1484</v>
      </c>
      <c r="FI745" s="15" t="s">
        <v>5235</v>
      </c>
      <c r="FJ745" s="15" t="s">
        <v>531</v>
      </c>
      <c r="FK745" s="15" t="s">
        <v>5972</v>
      </c>
      <c r="FL745" s="15" t="s">
        <v>426</v>
      </c>
      <c r="FM745" s="15">
        <v>0.0</v>
      </c>
      <c r="FN745" s="15">
        <v>0.0</v>
      </c>
      <c r="FV745" s="15" t="s">
        <v>5235</v>
      </c>
      <c r="FW745" s="15" t="s">
        <v>1514</v>
      </c>
      <c r="FX745" s="15" t="s">
        <v>3694</v>
      </c>
    </row>
    <row r="746" ht="15.75" customHeight="1">
      <c r="A746" s="14" t="s">
        <v>391</v>
      </c>
      <c r="B746" s="15" t="s">
        <v>8016</v>
      </c>
      <c r="C746" s="16"/>
      <c r="D746" s="15" t="s">
        <v>432</v>
      </c>
      <c r="G746" s="14" t="s">
        <v>393</v>
      </c>
      <c r="H746" s="14" t="s">
        <v>394</v>
      </c>
      <c r="I746" s="14" t="b">
        <v>1</v>
      </c>
      <c r="J746" s="14" t="s">
        <v>395</v>
      </c>
      <c r="L746" s="14" t="b">
        <v>0</v>
      </c>
      <c r="M746" s="15" t="s">
        <v>8024</v>
      </c>
      <c r="N746" s="14" t="s">
        <v>393</v>
      </c>
      <c r="O746" s="14" t="s">
        <v>393</v>
      </c>
      <c r="P746" s="15" t="s">
        <v>397</v>
      </c>
      <c r="Q746" s="15" t="s">
        <v>7965</v>
      </c>
      <c r="R746" s="15" t="s">
        <v>265</v>
      </c>
      <c r="S746" s="15" t="s">
        <v>6439</v>
      </c>
      <c r="T746" s="14" t="b">
        <v>0</v>
      </c>
      <c r="U746" s="15" t="s">
        <v>8025</v>
      </c>
      <c r="V746" s="15" t="s">
        <v>8026</v>
      </c>
      <c r="W746" s="15" t="s">
        <v>401</v>
      </c>
      <c r="X746" s="15" t="s">
        <v>742</v>
      </c>
      <c r="Y746" s="15">
        <v>2184.0</v>
      </c>
      <c r="AA746" s="15" t="str">
        <f>"840"</f>
        <v>840</v>
      </c>
      <c r="AB746" s="14" t="b">
        <v>1</v>
      </c>
      <c r="AC746" s="14" t="b">
        <v>1</v>
      </c>
      <c r="AD746" s="15" t="str">
        <f>"198394000550"</f>
        <v>198394000550</v>
      </c>
      <c r="AE746" s="15" t="s">
        <v>8027</v>
      </c>
      <c r="AF746" s="14" t="s">
        <v>404</v>
      </c>
      <c r="AG746" s="14" t="s">
        <v>405</v>
      </c>
      <c r="AH746" s="14" t="s">
        <v>406</v>
      </c>
      <c r="AI746" s="15">
        <v>0.0</v>
      </c>
      <c r="AL746" s="15" t="s">
        <v>7968</v>
      </c>
      <c r="AM746" s="15" t="s">
        <v>6439</v>
      </c>
      <c r="AN746" s="15" t="s">
        <v>6440</v>
      </c>
      <c r="AO746" s="15" t="s">
        <v>2557</v>
      </c>
      <c r="AP746" s="15" t="s">
        <v>2558</v>
      </c>
      <c r="AQ746" s="15" t="s">
        <v>546</v>
      </c>
      <c r="AR746" s="15" t="s">
        <v>547</v>
      </c>
      <c r="AS746" s="15" t="s">
        <v>1896</v>
      </c>
      <c r="AT746" s="15" t="s">
        <v>7965</v>
      </c>
      <c r="AU746" s="15" t="s">
        <v>7969</v>
      </c>
      <c r="AW746" s="15" t="s">
        <v>548</v>
      </c>
      <c r="AX746" s="15" t="s">
        <v>549</v>
      </c>
      <c r="AY746" s="15" t="s">
        <v>426</v>
      </c>
      <c r="AZ746" s="15" t="b">
        <v>1</v>
      </c>
      <c r="BA746" s="15" t="s">
        <v>413</v>
      </c>
      <c r="BB746" s="15" t="b">
        <v>0</v>
      </c>
      <c r="BC746" s="15" t="s">
        <v>8028</v>
      </c>
      <c r="BD746" s="15" t="s">
        <v>742</v>
      </c>
      <c r="BE746" s="15" t="str">
        <f t="shared" si="1243"/>
        <v>2</v>
      </c>
      <c r="BF746" s="15" t="s">
        <v>8029</v>
      </c>
      <c r="BG746" s="15" t="str">
        <f>"123.23"</f>
        <v>123.23</v>
      </c>
      <c r="BH746" s="15" t="s">
        <v>8030</v>
      </c>
      <c r="BI746" s="15" t="str">
        <f>"4.92"</f>
        <v>4.92</v>
      </c>
      <c r="BJ746" s="15" t="s">
        <v>1904</v>
      </c>
      <c r="BK746" s="15" t="str">
        <f t="shared" si="1263"/>
        <v>46.26</v>
      </c>
      <c r="BL746" s="15" t="s">
        <v>8022</v>
      </c>
      <c r="BM746" s="15" t="str">
        <f>"147.71"</f>
        <v>147.71</v>
      </c>
      <c r="BN746" s="15" t="s">
        <v>3080</v>
      </c>
      <c r="BO746" s="15" t="s">
        <v>5617</v>
      </c>
      <c r="BP746" s="15" t="str">
        <f t="shared" si="1264"/>
        <v>23.03</v>
      </c>
      <c r="BQ746" s="15" t="s">
        <v>2154</v>
      </c>
      <c r="BR746" s="15" t="str">
        <f t="shared" si="1265"/>
        <v>22.24</v>
      </c>
      <c r="BS746" s="15" t="s">
        <v>1423</v>
      </c>
      <c r="BT746" s="15" t="str">
        <f t="shared" si="1266"/>
        <v>31.1</v>
      </c>
      <c r="BU746" s="15" t="s">
        <v>1386</v>
      </c>
      <c r="BV746" s="15" t="str">
        <f t="shared" si="1267"/>
        <v>82.67</v>
      </c>
      <c r="BW746" s="15" t="s">
        <v>1781</v>
      </c>
      <c r="BZ746" s="15" t="s">
        <v>444</v>
      </c>
      <c r="CB746" s="15" t="s">
        <v>444</v>
      </c>
      <c r="CD746" s="15" t="s">
        <v>444</v>
      </c>
      <c r="CF746" s="15" t="s">
        <v>444</v>
      </c>
      <c r="CI746" s="15" t="s">
        <v>444</v>
      </c>
      <c r="CK746" s="15" t="s">
        <v>444</v>
      </c>
      <c r="CM746" s="15" t="s">
        <v>444</v>
      </c>
      <c r="CO746" s="15" t="s">
        <v>444</v>
      </c>
      <c r="CP746" s="15" t="str">
        <f>"25.46"</f>
        <v>25.46</v>
      </c>
      <c r="CQ746" s="15" t="str">
        <f>"0.721"</f>
        <v>0.721</v>
      </c>
      <c r="CR746" s="15" t="s">
        <v>497</v>
      </c>
      <c r="DC746" s="15" t="str">
        <f>IFERROR(__xludf.DUMMYFUNCTION("""COMPUTED_VALUE"""),"")</f>
        <v/>
      </c>
      <c r="DE746" s="15" t="str">
        <f>IFERROR(__xludf.DUMMYFUNCTION("""COMPUTED_VALUE"""),"")</f>
        <v/>
      </c>
      <c r="DG746" s="15" t="str">
        <f>IFERROR(__xludf.DUMMYFUNCTION("""COMPUTED_VALUE"""),"")</f>
        <v/>
      </c>
      <c r="DL746" s="15" t="str">
        <f>IFERROR(__xludf.DUMMYFUNCTION("""COMPUTED_VALUE"""),"")</f>
        <v/>
      </c>
      <c r="DM746" s="15" t="s">
        <v>444</v>
      </c>
      <c r="DN746" s="15" t="s">
        <v>419</v>
      </c>
      <c r="DO746" s="15">
        <v>0.0</v>
      </c>
      <c r="DP746" s="15" t="s">
        <v>419</v>
      </c>
      <c r="DR746" s="15">
        <v>0.0</v>
      </c>
      <c r="DT746" s="15" t="s">
        <v>1388</v>
      </c>
      <c r="DU746" s="15" t="s">
        <v>419</v>
      </c>
      <c r="DW746" s="15">
        <v>0.0</v>
      </c>
      <c r="DX746" s="15">
        <v>0.0</v>
      </c>
      <c r="DY746" s="15">
        <v>0.0</v>
      </c>
      <c r="EE746" s="15">
        <v>12.0</v>
      </c>
      <c r="EF746" s="15" t="s">
        <v>1112</v>
      </c>
      <c r="EG746" s="15" t="s">
        <v>1113</v>
      </c>
      <c r="EH746" s="15" t="s">
        <v>7972</v>
      </c>
      <c r="EJ746" s="15" t="s">
        <v>424</v>
      </c>
      <c r="EK746" s="15" t="s">
        <v>446</v>
      </c>
      <c r="EM746" s="15" t="str">
        <f>IFERROR(__xludf.DUMMYFUNCTION("""COMPUTED_VALUE"""),"")</f>
        <v/>
      </c>
      <c r="EW746" s="15" t="s">
        <v>5235</v>
      </c>
      <c r="EY746" s="15" t="s">
        <v>8031</v>
      </c>
      <c r="FH746" s="15" t="s">
        <v>1484</v>
      </c>
      <c r="FI746" s="15" t="s">
        <v>5235</v>
      </c>
      <c r="FJ746" s="15" t="s">
        <v>531</v>
      </c>
      <c r="FK746" s="15" t="s">
        <v>5972</v>
      </c>
      <c r="FL746" s="15" t="s">
        <v>426</v>
      </c>
      <c r="FM746" s="15">
        <v>0.0</v>
      </c>
      <c r="FN746" s="15">
        <v>0.0</v>
      </c>
      <c r="FV746" s="15" t="s">
        <v>5235</v>
      </c>
      <c r="FW746" s="15" t="s">
        <v>8032</v>
      </c>
      <c r="FX746" s="15" t="s">
        <v>3694</v>
      </c>
    </row>
    <row r="747" ht="15.75" customHeight="1">
      <c r="A747" s="14" t="s">
        <v>391</v>
      </c>
      <c r="B747" s="15" t="s">
        <v>8016</v>
      </c>
      <c r="C747" s="16"/>
      <c r="D747" s="15" t="s">
        <v>432</v>
      </c>
      <c r="G747" s="14" t="s">
        <v>393</v>
      </c>
      <c r="H747" s="14" t="s">
        <v>394</v>
      </c>
      <c r="I747" s="14" t="b">
        <v>1</v>
      </c>
      <c r="J747" s="14" t="s">
        <v>395</v>
      </c>
      <c r="L747" s="14" t="b">
        <v>0</v>
      </c>
      <c r="M747" s="15" t="s">
        <v>8033</v>
      </c>
      <c r="N747" s="14" t="s">
        <v>393</v>
      </c>
      <c r="O747" s="14" t="s">
        <v>393</v>
      </c>
      <c r="P747" s="15" t="s">
        <v>397</v>
      </c>
      <c r="Q747" s="15" t="s">
        <v>7979</v>
      </c>
      <c r="R747" s="15" t="s">
        <v>265</v>
      </c>
      <c r="S747" s="15" t="s">
        <v>770</v>
      </c>
      <c r="T747" s="14" t="b">
        <v>0</v>
      </c>
      <c r="U747" s="15" t="s">
        <v>8034</v>
      </c>
      <c r="V747" s="15" t="s">
        <v>8019</v>
      </c>
      <c r="W747" s="15" t="s">
        <v>401</v>
      </c>
      <c r="X747" s="15" t="s">
        <v>742</v>
      </c>
      <c r="Y747" s="15">
        <v>1430.0</v>
      </c>
      <c r="AA747" s="15" t="str">
        <f>"550"</f>
        <v>550</v>
      </c>
      <c r="AB747" s="14" t="b">
        <v>1</v>
      </c>
      <c r="AC747" s="14" t="b">
        <v>1</v>
      </c>
      <c r="AD747" s="15" t="str">
        <f>"801542667412"</f>
        <v>801542667412</v>
      </c>
      <c r="AE747" s="15" t="s">
        <v>8035</v>
      </c>
      <c r="AF747" s="14" t="s">
        <v>404</v>
      </c>
      <c r="AG747" s="14" t="s">
        <v>405</v>
      </c>
      <c r="AH747" s="14" t="s">
        <v>406</v>
      </c>
      <c r="AI747" s="15">
        <v>0.0</v>
      </c>
      <c r="AL747" s="15" t="s">
        <v>7968</v>
      </c>
      <c r="AM747" s="15" t="s">
        <v>770</v>
      </c>
      <c r="AN747" s="15" t="s">
        <v>771</v>
      </c>
      <c r="AO747" s="15" t="s">
        <v>2557</v>
      </c>
      <c r="AP747" s="15" t="s">
        <v>2558</v>
      </c>
      <c r="AQ747" s="15" t="s">
        <v>546</v>
      </c>
      <c r="AR747" s="15" t="s">
        <v>547</v>
      </c>
      <c r="AS747" s="15" t="s">
        <v>1896</v>
      </c>
      <c r="AT747" s="15" t="s">
        <v>7979</v>
      </c>
      <c r="AU747" s="15" t="s">
        <v>7982</v>
      </c>
      <c r="AW747" s="15" t="s">
        <v>548</v>
      </c>
      <c r="AX747" s="15" t="s">
        <v>549</v>
      </c>
      <c r="AY747" s="15" t="s">
        <v>426</v>
      </c>
      <c r="AZ747" s="15" t="b">
        <v>1</v>
      </c>
      <c r="BA747" s="15" t="s">
        <v>413</v>
      </c>
      <c r="BB747" s="15" t="b">
        <v>0</v>
      </c>
      <c r="BC747" s="15" t="s">
        <v>8036</v>
      </c>
      <c r="BD747" s="15" t="s">
        <v>742</v>
      </c>
      <c r="BE747" s="15" t="str">
        <f t="shared" si="1243"/>
        <v>2</v>
      </c>
      <c r="BF747" s="15" t="s">
        <v>1564</v>
      </c>
      <c r="BG747" s="15" t="str">
        <f>"99.21"</f>
        <v>99.21</v>
      </c>
      <c r="BH747" s="15" t="s">
        <v>1733</v>
      </c>
      <c r="BI747" s="15" t="str">
        <f>"4.72"</f>
        <v>4.72</v>
      </c>
      <c r="BJ747" s="15" t="s">
        <v>6740</v>
      </c>
      <c r="BK747" s="15" t="str">
        <f t="shared" si="1263"/>
        <v>46.26</v>
      </c>
      <c r="BL747" s="15" t="s">
        <v>8022</v>
      </c>
      <c r="BM747" s="15" t="str">
        <f>"103.62"</f>
        <v>103.62</v>
      </c>
      <c r="BN747" s="15" t="s">
        <v>2045</v>
      </c>
      <c r="BO747" s="15" t="s">
        <v>2238</v>
      </c>
      <c r="BP747" s="15" t="str">
        <f t="shared" si="1264"/>
        <v>23.03</v>
      </c>
      <c r="BQ747" s="15" t="s">
        <v>2154</v>
      </c>
      <c r="BR747" s="15" t="str">
        <f t="shared" si="1265"/>
        <v>22.24</v>
      </c>
      <c r="BS747" s="15" t="s">
        <v>1423</v>
      </c>
      <c r="BT747" s="15" t="str">
        <f t="shared" si="1266"/>
        <v>31.1</v>
      </c>
      <c r="BU747" s="15" t="s">
        <v>1386</v>
      </c>
      <c r="BV747" s="15" t="str">
        <f t="shared" si="1267"/>
        <v>82.67</v>
      </c>
      <c r="BW747" s="15" t="s">
        <v>1781</v>
      </c>
      <c r="BZ747" s="15" t="s">
        <v>444</v>
      </c>
      <c r="CB747" s="15" t="s">
        <v>444</v>
      </c>
      <c r="CD747" s="15" t="s">
        <v>444</v>
      </c>
      <c r="CF747" s="15" t="s">
        <v>444</v>
      </c>
      <c r="CI747" s="15" t="s">
        <v>444</v>
      </c>
      <c r="CK747" s="15" t="s">
        <v>444</v>
      </c>
      <c r="CM747" s="15" t="s">
        <v>444</v>
      </c>
      <c r="CO747" s="15" t="s">
        <v>444</v>
      </c>
      <c r="CP747" s="15" t="str">
        <f>"21.75"</f>
        <v>21.75</v>
      </c>
      <c r="CQ747" s="15" t="str">
        <f>"0.616"</f>
        <v>0.616</v>
      </c>
      <c r="CR747" s="15" t="s">
        <v>497</v>
      </c>
      <c r="DC747" s="15" t="str">
        <f>IFERROR(__xludf.DUMMYFUNCTION("""COMPUTED_VALUE"""),"")</f>
        <v/>
      </c>
      <c r="DE747" s="15" t="str">
        <f>IFERROR(__xludf.DUMMYFUNCTION("""COMPUTED_VALUE"""),"")</f>
        <v/>
      </c>
      <c r="DG747" s="15" t="str">
        <f>IFERROR(__xludf.DUMMYFUNCTION("""COMPUTED_VALUE"""),"")</f>
        <v/>
      </c>
      <c r="DL747" s="15" t="str">
        <f>IFERROR(__xludf.DUMMYFUNCTION("""COMPUTED_VALUE"""),"")</f>
        <v/>
      </c>
      <c r="DM747" s="15" t="s">
        <v>444</v>
      </c>
      <c r="DN747" s="15" t="s">
        <v>419</v>
      </c>
      <c r="DO747" s="15">
        <v>0.0</v>
      </c>
      <c r="DP747" s="15" t="s">
        <v>419</v>
      </c>
      <c r="DR747" s="15">
        <v>0.0</v>
      </c>
      <c r="DT747" s="15" t="s">
        <v>420</v>
      </c>
      <c r="DU747" s="15" t="s">
        <v>419</v>
      </c>
      <c r="DW747" s="15">
        <v>0.0</v>
      </c>
      <c r="DX747" s="15">
        <v>0.0</v>
      </c>
      <c r="DY747" s="15">
        <v>0.0</v>
      </c>
      <c r="EE747" s="15">
        <v>10.0</v>
      </c>
      <c r="EF747" s="15" t="s">
        <v>1112</v>
      </c>
      <c r="EG747" s="15" t="s">
        <v>1113</v>
      </c>
      <c r="EH747" s="15" t="s">
        <v>7972</v>
      </c>
      <c r="EJ747" s="15" t="s">
        <v>424</v>
      </c>
      <c r="EK747" s="15" t="s">
        <v>446</v>
      </c>
      <c r="EM747" s="15" t="str">
        <f>IFERROR(__xludf.DUMMYFUNCTION("""COMPUTED_VALUE"""),"")</f>
        <v/>
      </c>
      <c r="EW747" s="15" t="s">
        <v>5235</v>
      </c>
      <c r="EY747" s="15" t="s">
        <v>8023</v>
      </c>
      <c r="FH747" s="15" t="s">
        <v>1484</v>
      </c>
      <c r="FI747" s="15" t="s">
        <v>5235</v>
      </c>
      <c r="FJ747" s="15" t="s">
        <v>531</v>
      </c>
      <c r="FK747" s="15" t="s">
        <v>5972</v>
      </c>
      <c r="FL747" s="15" t="s">
        <v>426</v>
      </c>
      <c r="FM747" s="15">
        <v>0.0</v>
      </c>
      <c r="FN747" s="15">
        <v>0.0</v>
      </c>
      <c r="FV747" s="15" t="s">
        <v>5235</v>
      </c>
      <c r="FW747" s="15" t="s">
        <v>1514</v>
      </c>
      <c r="FX747" s="15" t="s">
        <v>3694</v>
      </c>
    </row>
    <row r="748" ht="15.75" customHeight="1">
      <c r="A748" s="14" t="s">
        <v>391</v>
      </c>
      <c r="B748" s="15" t="s">
        <v>8016</v>
      </c>
      <c r="C748" s="16"/>
      <c r="D748" s="15" t="s">
        <v>432</v>
      </c>
      <c r="G748" s="14" t="s">
        <v>393</v>
      </c>
      <c r="H748" s="14" t="s">
        <v>394</v>
      </c>
      <c r="I748" s="14" t="b">
        <v>1</v>
      </c>
      <c r="J748" s="14" t="s">
        <v>395</v>
      </c>
      <c r="L748" s="14" t="b">
        <v>0</v>
      </c>
      <c r="M748" s="15" t="s">
        <v>8037</v>
      </c>
      <c r="N748" s="14" t="s">
        <v>393</v>
      </c>
      <c r="O748" s="14" t="s">
        <v>393</v>
      </c>
      <c r="P748" s="15" t="s">
        <v>397</v>
      </c>
      <c r="Q748" s="15" t="s">
        <v>7979</v>
      </c>
      <c r="R748" s="15" t="s">
        <v>265</v>
      </c>
      <c r="S748" s="15" t="s">
        <v>6439</v>
      </c>
      <c r="T748" s="14" t="b">
        <v>0</v>
      </c>
      <c r="U748" s="15" t="s">
        <v>8038</v>
      </c>
      <c r="V748" s="15" t="s">
        <v>8026</v>
      </c>
      <c r="W748" s="15" t="s">
        <v>401</v>
      </c>
      <c r="X748" s="15" t="s">
        <v>742</v>
      </c>
      <c r="Y748" s="15">
        <v>2184.0</v>
      </c>
      <c r="AA748" s="15" t="str">
        <f>"840"</f>
        <v>840</v>
      </c>
      <c r="AB748" s="14" t="b">
        <v>1</v>
      </c>
      <c r="AC748" s="14" t="b">
        <v>1</v>
      </c>
      <c r="AD748" s="15" t="str">
        <f>"198394000567"</f>
        <v>198394000567</v>
      </c>
      <c r="AE748" s="15" t="s">
        <v>8039</v>
      </c>
      <c r="AF748" s="14" t="s">
        <v>404</v>
      </c>
      <c r="AG748" s="14" t="s">
        <v>405</v>
      </c>
      <c r="AH748" s="14" t="s">
        <v>406</v>
      </c>
      <c r="AI748" s="15">
        <v>0.0</v>
      </c>
      <c r="AL748" s="15" t="s">
        <v>7968</v>
      </c>
      <c r="AM748" s="15" t="s">
        <v>6439</v>
      </c>
      <c r="AN748" s="15" t="s">
        <v>6440</v>
      </c>
      <c r="AO748" s="15" t="s">
        <v>2557</v>
      </c>
      <c r="AP748" s="15" t="s">
        <v>2558</v>
      </c>
      <c r="AQ748" s="15" t="s">
        <v>546</v>
      </c>
      <c r="AR748" s="15" t="s">
        <v>547</v>
      </c>
      <c r="AS748" s="15" t="s">
        <v>1896</v>
      </c>
      <c r="AT748" s="15" t="s">
        <v>7979</v>
      </c>
      <c r="AU748" s="15" t="s">
        <v>7982</v>
      </c>
      <c r="AW748" s="15" t="s">
        <v>548</v>
      </c>
      <c r="AX748" s="15" t="s">
        <v>549</v>
      </c>
      <c r="AY748" s="15" t="s">
        <v>426</v>
      </c>
      <c r="AZ748" s="15" t="b">
        <v>1</v>
      </c>
      <c r="BA748" s="15" t="s">
        <v>413</v>
      </c>
      <c r="BB748" s="15" t="b">
        <v>0</v>
      </c>
      <c r="BC748" s="15" t="s">
        <v>8040</v>
      </c>
      <c r="BD748" s="15" t="s">
        <v>742</v>
      </c>
      <c r="BE748" s="15" t="str">
        <f t="shared" si="1243"/>
        <v>2</v>
      </c>
      <c r="BF748" s="15" t="s">
        <v>8029</v>
      </c>
      <c r="BG748" s="15" t="str">
        <f>"123.23"</f>
        <v>123.23</v>
      </c>
      <c r="BH748" s="15" t="s">
        <v>8030</v>
      </c>
      <c r="BI748" s="15" t="str">
        <f>"4.92"</f>
        <v>4.92</v>
      </c>
      <c r="BJ748" s="15" t="s">
        <v>1904</v>
      </c>
      <c r="BK748" s="15" t="str">
        <f t="shared" si="1263"/>
        <v>46.26</v>
      </c>
      <c r="BL748" s="15" t="s">
        <v>8022</v>
      </c>
      <c r="BM748" s="15" t="str">
        <f>"147.71"</f>
        <v>147.71</v>
      </c>
      <c r="BN748" s="15" t="s">
        <v>3080</v>
      </c>
      <c r="BO748" s="15" t="s">
        <v>5617</v>
      </c>
      <c r="BP748" s="15" t="str">
        <f t="shared" si="1264"/>
        <v>23.03</v>
      </c>
      <c r="BQ748" s="15" t="s">
        <v>2154</v>
      </c>
      <c r="BR748" s="15" t="str">
        <f t="shared" si="1265"/>
        <v>22.24</v>
      </c>
      <c r="BS748" s="15" t="s">
        <v>1423</v>
      </c>
      <c r="BT748" s="15" t="str">
        <f t="shared" si="1266"/>
        <v>31.1</v>
      </c>
      <c r="BU748" s="15" t="s">
        <v>1386</v>
      </c>
      <c r="BV748" s="15" t="str">
        <f t="shared" si="1267"/>
        <v>82.67</v>
      </c>
      <c r="BW748" s="15" t="s">
        <v>1781</v>
      </c>
      <c r="BZ748" s="15" t="s">
        <v>444</v>
      </c>
      <c r="CB748" s="15" t="s">
        <v>444</v>
      </c>
      <c r="CD748" s="15" t="s">
        <v>444</v>
      </c>
      <c r="CF748" s="15" t="s">
        <v>444</v>
      </c>
      <c r="CI748" s="15" t="s">
        <v>444</v>
      </c>
      <c r="CK748" s="15" t="s">
        <v>444</v>
      </c>
      <c r="CM748" s="15" t="s">
        <v>444</v>
      </c>
      <c r="CO748" s="15" t="s">
        <v>444</v>
      </c>
      <c r="CP748" s="15" t="str">
        <f>"25.46"</f>
        <v>25.46</v>
      </c>
      <c r="CQ748" s="15" t="str">
        <f>"0.721"</f>
        <v>0.721</v>
      </c>
      <c r="CR748" s="15" t="s">
        <v>497</v>
      </c>
      <c r="DC748" s="15" t="str">
        <f>IFERROR(__xludf.DUMMYFUNCTION("""COMPUTED_VALUE"""),"")</f>
        <v/>
      </c>
      <c r="DE748" s="15" t="str">
        <f>IFERROR(__xludf.DUMMYFUNCTION("""COMPUTED_VALUE"""),"")</f>
        <v/>
      </c>
      <c r="DG748" s="15" t="str">
        <f>IFERROR(__xludf.DUMMYFUNCTION("""COMPUTED_VALUE"""),"")</f>
        <v/>
      </c>
      <c r="DL748" s="15" t="str">
        <f>IFERROR(__xludf.DUMMYFUNCTION("""COMPUTED_VALUE"""),"")</f>
        <v/>
      </c>
      <c r="DM748" s="15" t="s">
        <v>444</v>
      </c>
      <c r="DN748" s="15" t="s">
        <v>419</v>
      </c>
      <c r="DO748" s="15">
        <v>0.0</v>
      </c>
      <c r="DP748" s="15" t="s">
        <v>419</v>
      </c>
      <c r="DR748" s="15">
        <v>0.0</v>
      </c>
      <c r="DT748" s="15" t="s">
        <v>1388</v>
      </c>
      <c r="DU748" s="15" t="s">
        <v>419</v>
      </c>
      <c r="DW748" s="15">
        <v>0.0</v>
      </c>
      <c r="DX748" s="15">
        <v>0.0</v>
      </c>
      <c r="DY748" s="15">
        <v>0.0</v>
      </c>
      <c r="EE748" s="15">
        <v>12.0</v>
      </c>
      <c r="EF748" s="15" t="s">
        <v>1112</v>
      </c>
      <c r="EG748" s="15" t="s">
        <v>1113</v>
      </c>
      <c r="EH748" s="15" t="s">
        <v>7972</v>
      </c>
      <c r="EJ748" s="15" t="s">
        <v>424</v>
      </c>
      <c r="EK748" s="15" t="s">
        <v>446</v>
      </c>
      <c r="EM748" s="15" t="str">
        <f>IFERROR(__xludf.DUMMYFUNCTION("""COMPUTED_VALUE"""),"")</f>
        <v/>
      </c>
      <c r="EW748" s="15" t="s">
        <v>5235</v>
      </c>
      <c r="EY748" s="15" t="s">
        <v>8031</v>
      </c>
      <c r="FH748" s="15" t="s">
        <v>1484</v>
      </c>
      <c r="FI748" s="15" t="s">
        <v>5235</v>
      </c>
      <c r="FJ748" s="15" t="s">
        <v>531</v>
      </c>
      <c r="FK748" s="15" t="s">
        <v>5972</v>
      </c>
      <c r="FL748" s="15" t="s">
        <v>426</v>
      </c>
      <c r="FM748" s="15">
        <v>0.0</v>
      </c>
      <c r="FN748" s="15">
        <v>0.0</v>
      </c>
      <c r="FV748" s="15" t="s">
        <v>5235</v>
      </c>
      <c r="FW748" s="15" t="s">
        <v>8032</v>
      </c>
      <c r="FX748" s="15" t="s">
        <v>3694</v>
      </c>
    </row>
    <row r="749" ht="15.75" customHeight="1">
      <c r="A749" s="14" t="s">
        <v>391</v>
      </c>
      <c r="B749" s="15" t="s">
        <v>8016</v>
      </c>
      <c r="C749" s="16"/>
      <c r="D749" s="15" t="s">
        <v>432</v>
      </c>
      <c r="G749" s="14" t="s">
        <v>393</v>
      </c>
      <c r="H749" s="14" t="s">
        <v>394</v>
      </c>
      <c r="I749" s="14" t="b">
        <v>1</v>
      </c>
      <c r="J749" s="14" t="s">
        <v>395</v>
      </c>
      <c r="L749" s="14" t="b">
        <v>0</v>
      </c>
      <c r="M749" s="15" t="s">
        <v>8041</v>
      </c>
      <c r="N749" s="14" t="s">
        <v>393</v>
      </c>
      <c r="O749" s="14" t="s">
        <v>393</v>
      </c>
      <c r="P749" s="15" t="s">
        <v>397</v>
      </c>
      <c r="Q749" s="15" t="s">
        <v>7985</v>
      </c>
      <c r="T749" s="14" t="b">
        <v>0</v>
      </c>
      <c r="U749" s="15" t="s">
        <v>8042</v>
      </c>
      <c r="V749" s="15" t="s">
        <v>8019</v>
      </c>
      <c r="W749" s="15" t="s">
        <v>401</v>
      </c>
      <c r="X749" s="15" t="s">
        <v>742</v>
      </c>
      <c r="Y749" s="15">
        <v>1430.0</v>
      </c>
      <c r="AA749" s="15" t="str">
        <f>"550"</f>
        <v>550</v>
      </c>
      <c r="AB749" s="14" t="b">
        <v>1</v>
      </c>
      <c r="AC749" s="14" t="b">
        <v>1</v>
      </c>
      <c r="AD749" s="15" t="str">
        <f>"801542517649"</f>
        <v>801542517649</v>
      </c>
      <c r="AE749" s="15" t="s">
        <v>8043</v>
      </c>
      <c r="AF749" s="14" t="s">
        <v>404</v>
      </c>
      <c r="AG749" s="14" t="s">
        <v>405</v>
      </c>
      <c r="AH749" s="14" t="s">
        <v>406</v>
      </c>
      <c r="AI749" s="15">
        <v>0.0</v>
      </c>
      <c r="AL749" s="15" t="s">
        <v>7968</v>
      </c>
      <c r="AM749" s="15" t="s">
        <v>770</v>
      </c>
      <c r="AN749" s="15" t="s">
        <v>771</v>
      </c>
      <c r="AO749" s="15" t="s">
        <v>2557</v>
      </c>
      <c r="AP749" s="15" t="s">
        <v>2558</v>
      </c>
      <c r="AQ749" s="15" t="s">
        <v>546</v>
      </c>
      <c r="AR749" s="15" t="s">
        <v>547</v>
      </c>
      <c r="AS749" s="15" t="s">
        <v>1896</v>
      </c>
      <c r="AT749" s="15" t="s">
        <v>7985</v>
      </c>
      <c r="AU749" s="15" t="s">
        <v>7988</v>
      </c>
      <c r="AW749" s="15" t="s">
        <v>548</v>
      </c>
      <c r="AX749" s="15" t="s">
        <v>549</v>
      </c>
      <c r="AY749" s="15" t="s">
        <v>413</v>
      </c>
      <c r="AZ749" s="15" t="b">
        <v>0</v>
      </c>
      <c r="BA749" s="15" t="s">
        <v>413</v>
      </c>
      <c r="BB749" s="15" t="b">
        <v>0</v>
      </c>
      <c r="BC749" s="15" t="s">
        <v>8044</v>
      </c>
      <c r="BD749" s="15" t="s">
        <v>742</v>
      </c>
      <c r="BE749" s="15" t="str">
        <f t="shared" si="1243"/>
        <v>2</v>
      </c>
      <c r="BF749" s="15" t="s">
        <v>1564</v>
      </c>
      <c r="BG749" s="15" t="str">
        <f t="shared" ref="BG749:BG750" si="1268">"99.21"</f>
        <v>99.21</v>
      </c>
      <c r="BH749" s="15" t="s">
        <v>1733</v>
      </c>
      <c r="BI749" s="15" t="str">
        <f t="shared" ref="BI749:BI750" si="1269">"4.72"</f>
        <v>4.72</v>
      </c>
      <c r="BJ749" s="15" t="s">
        <v>6740</v>
      </c>
      <c r="BK749" s="15" t="str">
        <f t="shared" si="1263"/>
        <v>46.26</v>
      </c>
      <c r="BL749" s="15" t="s">
        <v>8022</v>
      </c>
      <c r="BM749" s="15" t="str">
        <f t="shared" ref="BM749:BM750" si="1270">"103.62"</f>
        <v>103.62</v>
      </c>
      <c r="BN749" s="15" t="s">
        <v>2045</v>
      </c>
      <c r="BO749" s="15" t="s">
        <v>2238</v>
      </c>
      <c r="BP749" s="15" t="str">
        <f t="shared" si="1264"/>
        <v>23.03</v>
      </c>
      <c r="BQ749" s="15" t="s">
        <v>2154</v>
      </c>
      <c r="BR749" s="15" t="str">
        <f t="shared" si="1265"/>
        <v>22.24</v>
      </c>
      <c r="BS749" s="15" t="s">
        <v>1423</v>
      </c>
      <c r="BT749" s="15" t="str">
        <f t="shared" si="1266"/>
        <v>31.1</v>
      </c>
      <c r="BU749" s="15" t="s">
        <v>1386</v>
      </c>
      <c r="BV749" s="15" t="str">
        <f t="shared" si="1267"/>
        <v>82.67</v>
      </c>
      <c r="BW749" s="15" t="s">
        <v>1781</v>
      </c>
      <c r="BZ749" s="15" t="s">
        <v>444</v>
      </c>
      <c r="CB749" s="15" t="s">
        <v>444</v>
      </c>
      <c r="CD749" s="15" t="s">
        <v>444</v>
      </c>
      <c r="CF749" s="15" t="s">
        <v>444</v>
      </c>
      <c r="CI749" s="15" t="s">
        <v>444</v>
      </c>
      <c r="CK749" s="15" t="s">
        <v>444</v>
      </c>
      <c r="CM749" s="15" t="s">
        <v>444</v>
      </c>
      <c r="CO749" s="15" t="s">
        <v>444</v>
      </c>
      <c r="CP749" s="15" t="str">
        <f t="shared" ref="CP749:CP750" si="1271">"21.75"</f>
        <v>21.75</v>
      </c>
      <c r="CQ749" s="15" t="str">
        <f t="shared" ref="CQ749:CQ750" si="1272">"0.616"</f>
        <v>0.616</v>
      </c>
      <c r="CR749" s="15" t="s">
        <v>497</v>
      </c>
      <c r="DC749" s="15" t="str">
        <f>IFERROR(__xludf.DUMMYFUNCTION("""COMPUTED_VALUE"""),"")</f>
        <v/>
      </c>
      <c r="DE749" s="15" t="str">
        <f>IFERROR(__xludf.DUMMYFUNCTION("""COMPUTED_VALUE"""),"")</f>
        <v/>
      </c>
      <c r="DG749" s="15" t="str">
        <f>IFERROR(__xludf.DUMMYFUNCTION("""COMPUTED_VALUE"""),"")</f>
        <v/>
      </c>
      <c r="DL749" s="15" t="str">
        <f>IFERROR(__xludf.DUMMYFUNCTION("""COMPUTED_VALUE"""),"")</f>
        <v/>
      </c>
      <c r="DM749" s="15" t="s">
        <v>444</v>
      </c>
      <c r="DN749" s="15" t="s">
        <v>419</v>
      </c>
      <c r="DO749" s="15">
        <v>0.0</v>
      </c>
      <c r="DP749" s="15" t="s">
        <v>419</v>
      </c>
      <c r="DR749" s="15">
        <v>0.0</v>
      </c>
      <c r="DT749" s="15" t="s">
        <v>420</v>
      </c>
      <c r="DU749" s="15" t="s">
        <v>419</v>
      </c>
      <c r="DW749" s="15">
        <v>0.0</v>
      </c>
      <c r="DX749" s="15">
        <v>0.0</v>
      </c>
      <c r="DY749" s="15">
        <v>0.0</v>
      </c>
      <c r="EE749" s="15">
        <v>10.0</v>
      </c>
      <c r="EF749" s="15" t="s">
        <v>1112</v>
      </c>
      <c r="EG749" s="15" t="s">
        <v>1113</v>
      </c>
      <c r="EH749" s="15" t="s">
        <v>7972</v>
      </c>
      <c r="EJ749" s="15" t="s">
        <v>424</v>
      </c>
      <c r="EK749" s="15" t="s">
        <v>446</v>
      </c>
      <c r="EM749" s="15" t="str">
        <f>IFERROR(__xludf.DUMMYFUNCTION("""COMPUTED_VALUE"""),"")</f>
        <v/>
      </c>
      <c r="EW749" s="15" t="s">
        <v>5235</v>
      </c>
      <c r="EY749" s="15" t="s">
        <v>8023</v>
      </c>
      <c r="FH749" s="15" t="s">
        <v>1484</v>
      </c>
      <c r="FI749" s="15" t="s">
        <v>5235</v>
      </c>
      <c r="FJ749" s="15" t="s">
        <v>531</v>
      </c>
      <c r="FK749" s="15" t="s">
        <v>5972</v>
      </c>
      <c r="FL749" s="15" t="s">
        <v>426</v>
      </c>
      <c r="FM749" s="15">
        <v>0.0</v>
      </c>
      <c r="FN749" s="15">
        <v>0.0</v>
      </c>
      <c r="FV749" s="15" t="s">
        <v>5235</v>
      </c>
      <c r="FW749" s="15" t="s">
        <v>1514</v>
      </c>
      <c r="FX749" s="15" t="s">
        <v>3694</v>
      </c>
    </row>
    <row r="750" ht="15.75" customHeight="1">
      <c r="A750" s="14" t="s">
        <v>391</v>
      </c>
      <c r="B750" s="15" t="s">
        <v>8016</v>
      </c>
      <c r="C750" s="16"/>
      <c r="D750" s="15" t="s">
        <v>432</v>
      </c>
      <c r="G750" s="14" t="s">
        <v>393</v>
      </c>
      <c r="H750" s="14" t="s">
        <v>394</v>
      </c>
      <c r="I750" s="14" t="b">
        <v>1</v>
      </c>
      <c r="J750" s="14" t="s">
        <v>395</v>
      </c>
      <c r="L750" s="14" t="b">
        <v>0</v>
      </c>
      <c r="M750" s="15" t="s">
        <v>8045</v>
      </c>
      <c r="N750" s="14" t="s">
        <v>393</v>
      </c>
      <c r="O750" s="14" t="s">
        <v>393</v>
      </c>
      <c r="P750" s="15" t="s">
        <v>397</v>
      </c>
      <c r="Q750" s="15" t="s">
        <v>2351</v>
      </c>
      <c r="R750" s="15" t="s">
        <v>265</v>
      </c>
      <c r="S750" s="15" t="s">
        <v>770</v>
      </c>
      <c r="T750" s="14" t="b">
        <v>0</v>
      </c>
      <c r="U750" s="15" t="s">
        <v>8046</v>
      </c>
      <c r="V750" s="15" t="s">
        <v>8019</v>
      </c>
      <c r="W750" s="15" t="s">
        <v>401</v>
      </c>
      <c r="X750" s="15" t="s">
        <v>742</v>
      </c>
      <c r="Y750" s="15">
        <v>2184.0</v>
      </c>
      <c r="AA750" s="15" t="str">
        <f>"840"</f>
        <v>840</v>
      </c>
      <c r="AB750" s="14" t="b">
        <v>1</v>
      </c>
      <c r="AC750" s="14" t="b">
        <v>1</v>
      </c>
      <c r="AD750" s="15" t="str">
        <f>"801542992637"</f>
        <v>801542992637</v>
      </c>
      <c r="AE750" s="15" t="s">
        <v>8047</v>
      </c>
      <c r="AF750" s="14" t="s">
        <v>404</v>
      </c>
      <c r="AG750" s="14" t="s">
        <v>405</v>
      </c>
      <c r="AH750" s="14" t="s">
        <v>406</v>
      </c>
      <c r="AI750" s="15">
        <v>0.0</v>
      </c>
      <c r="AL750" s="15" t="s">
        <v>1025</v>
      </c>
      <c r="AM750" s="15" t="s">
        <v>770</v>
      </c>
      <c r="AN750" s="15" t="s">
        <v>771</v>
      </c>
      <c r="AO750" s="15" t="s">
        <v>2557</v>
      </c>
      <c r="AP750" s="15" t="s">
        <v>2558</v>
      </c>
      <c r="AQ750" s="15" t="s">
        <v>546</v>
      </c>
      <c r="AR750" s="15" t="s">
        <v>547</v>
      </c>
      <c r="AS750" s="15" t="s">
        <v>1896</v>
      </c>
      <c r="AT750" s="15" t="s">
        <v>2351</v>
      </c>
      <c r="AW750" s="15" t="s">
        <v>548</v>
      </c>
      <c r="AX750" s="15" t="s">
        <v>549</v>
      </c>
      <c r="AY750" s="15" t="s">
        <v>426</v>
      </c>
      <c r="AZ750" s="15" t="b">
        <v>1</v>
      </c>
      <c r="BA750" s="15" t="s">
        <v>413</v>
      </c>
      <c r="BB750" s="15" t="b">
        <v>0</v>
      </c>
      <c r="BC750" s="15" t="s">
        <v>8048</v>
      </c>
      <c r="BD750" s="15" t="s">
        <v>742</v>
      </c>
      <c r="BE750" s="15" t="str">
        <f t="shared" si="1243"/>
        <v>2</v>
      </c>
      <c r="BF750" s="15" t="s">
        <v>1564</v>
      </c>
      <c r="BG750" s="15" t="str">
        <f t="shared" si="1268"/>
        <v>99.21</v>
      </c>
      <c r="BH750" s="15" t="s">
        <v>1733</v>
      </c>
      <c r="BI750" s="15" t="str">
        <f t="shared" si="1269"/>
        <v>4.72</v>
      </c>
      <c r="BJ750" s="15" t="s">
        <v>6740</v>
      </c>
      <c r="BK750" s="15" t="str">
        <f t="shared" si="1263"/>
        <v>46.26</v>
      </c>
      <c r="BL750" s="15" t="s">
        <v>8022</v>
      </c>
      <c r="BM750" s="15" t="str">
        <f t="shared" si="1270"/>
        <v>103.62</v>
      </c>
      <c r="BN750" s="15" t="s">
        <v>2045</v>
      </c>
      <c r="BO750" s="15" t="s">
        <v>2238</v>
      </c>
      <c r="BP750" s="15" t="str">
        <f t="shared" si="1264"/>
        <v>23.03</v>
      </c>
      <c r="BQ750" s="15" t="s">
        <v>2154</v>
      </c>
      <c r="BR750" s="15" t="str">
        <f t="shared" si="1265"/>
        <v>22.24</v>
      </c>
      <c r="BS750" s="15" t="s">
        <v>1423</v>
      </c>
      <c r="BT750" s="15" t="str">
        <f t="shared" si="1266"/>
        <v>31.1</v>
      </c>
      <c r="BU750" s="15" t="s">
        <v>1386</v>
      </c>
      <c r="BV750" s="15" t="str">
        <f t="shared" si="1267"/>
        <v>82.67</v>
      </c>
      <c r="BW750" s="15" t="s">
        <v>1781</v>
      </c>
      <c r="BZ750" s="15" t="s">
        <v>444</v>
      </c>
      <c r="CB750" s="15" t="s">
        <v>444</v>
      </c>
      <c r="CD750" s="15" t="s">
        <v>444</v>
      </c>
      <c r="CF750" s="15" t="s">
        <v>444</v>
      </c>
      <c r="CI750" s="15" t="s">
        <v>444</v>
      </c>
      <c r="CK750" s="15" t="s">
        <v>444</v>
      </c>
      <c r="CM750" s="15" t="s">
        <v>444</v>
      </c>
      <c r="CO750" s="15" t="s">
        <v>444</v>
      </c>
      <c r="CP750" s="15" t="str">
        <f t="shared" si="1271"/>
        <v>21.75</v>
      </c>
      <c r="CQ750" s="15" t="str">
        <f t="shared" si="1272"/>
        <v>0.616</v>
      </c>
      <c r="CR750" s="15" t="s">
        <v>497</v>
      </c>
      <c r="DC750" s="15" t="str">
        <f>IFERROR(__xludf.DUMMYFUNCTION("""COMPUTED_VALUE"""),"")</f>
        <v/>
      </c>
      <c r="DE750" s="15" t="str">
        <f>IFERROR(__xludf.DUMMYFUNCTION("""COMPUTED_VALUE"""),"")</f>
        <v/>
      </c>
      <c r="DG750" s="15" t="str">
        <f>IFERROR(__xludf.DUMMYFUNCTION("""COMPUTED_VALUE"""),"")</f>
        <v/>
      </c>
      <c r="DL750" s="15" t="str">
        <f>IFERROR(__xludf.DUMMYFUNCTION("""COMPUTED_VALUE"""),"")</f>
        <v/>
      </c>
      <c r="DM750" s="15" t="s">
        <v>444</v>
      </c>
      <c r="DN750" s="15" t="s">
        <v>419</v>
      </c>
      <c r="DO750" s="15">
        <v>0.0</v>
      </c>
      <c r="DP750" s="15" t="s">
        <v>419</v>
      </c>
      <c r="DR750" s="15">
        <v>0.0</v>
      </c>
      <c r="DT750" s="15" t="s">
        <v>420</v>
      </c>
      <c r="DU750" s="15" t="s">
        <v>419</v>
      </c>
      <c r="DW750" s="15">
        <v>0.0</v>
      </c>
      <c r="DX750" s="15">
        <v>0.0</v>
      </c>
      <c r="DY750" s="15">
        <v>0.0</v>
      </c>
      <c r="EE750" s="15">
        <v>10.0</v>
      </c>
      <c r="EF750" s="15" t="s">
        <v>1112</v>
      </c>
      <c r="EG750" s="15" t="s">
        <v>1113</v>
      </c>
      <c r="EH750" s="15" t="s">
        <v>7972</v>
      </c>
      <c r="EJ750" s="15" t="s">
        <v>424</v>
      </c>
      <c r="EK750" s="15" t="s">
        <v>446</v>
      </c>
      <c r="EM750" s="15" t="str">
        <f>IFERROR(__xludf.DUMMYFUNCTION("""COMPUTED_VALUE"""),"")</f>
        <v/>
      </c>
      <c r="EW750" s="15" t="s">
        <v>5235</v>
      </c>
      <c r="EY750" s="15" t="s">
        <v>8023</v>
      </c>
      <c r="FH750" s="15" t="s">
        <v>1484</v>
      </c>
      <c r="FI750" s="15" t="s">
        <v>5235</v>
      </c>
      <c r="FJ750" s="15" t="s">
        <v>531</v>
      </c>
      <c r="FK750" s="15" t="s">
        <v>5972</v>
      </c>
      <c r="FL750" s="15" t="s">
        <v>426</v>
      </c>
      <c r="FM750" s="15">
        <v>0.0</v>
      </c>
      <c r="FN750" s="15">
        <v>0.0</v>
      </c>
      <c r="FV750" s="15" t="s">
        <v>5235</v>
      </c>
      <c r="FW750" s="15" t="s">
        <v>1514</v>
      </c>
      <c r="FX750" s="15" t="s">
        <v>3694</v>
      </c>
    </row>
    <row r="751" ht="15.75" customHeight="1">
      <c r="A751" s="14" t="s">
        <v>391</v>
      </c>
      <c r="B751" s="15" t="s">
        <v>8016</v>
      </c>
      <c r="C751" s="16"/>
      <c r="D751" s="15" t="s">
        <v>432</v>
      </c>
      <c r="G751" s="14" t="s">
        <v>393</v>
      </c>
      <c r="H751" s="14" t="s">
        <v>394</v>
      </c>
      <c r="I751" s="14" t="b">
        <v>1</v>
      </c>
      <c r="J751" s="14" t="s">
        <v>395</v>
      </c>
      <c r="L751" s="14" t="b">
        <v>0</v>
      </c>
      <c r="M751" s="15" t="s">
        <v>8049</v>
      </c>
      <c r="N751" s="14" t="s">
        <v>393</v>
      </c>
      <c r="O751" s="14" t="s">
        <v>393</v>
      </c>
      <c r="P751" s="15" t="s">
        <v>397</v>
      </c>
      <c r="Q751" s="15" t="s">
        <v>2351</v>
      </c>
      <c r="R751" s="15" t="s">
        <v>265</v>
      </c>
      <c r="S751" s="15" t="s">
        <v>6439</v>
      </c>
      <c r="T751" s="14" t="b">
        <v>0</v>
      </c>
      <c r="U751" s="15" t="s">
        <v>8050</v>
      </c>
      <c r="V751" s="15" t="s">
        <v>8026</v>
      </c>
      <c r="W751" s="15" t="s">
        <v>401</v>
      </c>
      <c r="X751" s="15" t="s">
        <v>742</v>
      </c>
      <c r="Y751" s="15">
        <v>2626.0</v>
      </c>
      <c r="AA751" s="15" t="str">
        <f>"1010"</f>
        <v>1010</v>
      </c>
      <c r="AB751" s="14" t="b">
        <v>1</v>
      </c>
      <c r="AC751" s="14" t="b">
        <v>1</v>
      </c>
      <c r="AD751" s="15" t="str">
        <f>"801542992606"</f>
        <v>801542992606</v>
      </c>
      <c r="AE751" s="15" t="s">
        <v>8051</v>
      </c>
      <c r="AF751" s="14" t="s">
        <v>404</v>
      </c>
      <c r="AG751" s="14" t="s">
        <v>405</v>
      </c>
      <c r="AH751" s="14" t="s">
        <v>406</v>
      </c>
      <c r="AI751" s="15">
        <v>0.0</v>
      </c>
      <c r="AL751" s="15" t="s">
        <v>1025</v>
      </c>
      <c r="AM751" s="15" t="s">
        <v>6439</v>
      </c>
      <c r="AN751" s="15" t="s">
        <v>6440</v>
      </c>
      <c r="AO751" s="15" t="s">
        <v>2557</v>
      </c>
      <c r="AP751" s="15" t="s">
        <v>2558</v>
      </c>
      <c r="AQ751" s="15" t="s">
        <v>546</v>
      </c>
      <c r="AR751" s="15" t="s">
        <v>547</v>
      </c>
      <c r="AS751" s="15" t="s">
        <v>1896</v>
      </c>
      <c r="AT751" s="15" t="s">
        <v>2351</v>
      </c>
      <c r="AW751" s="15" t="s">
        <v>548</v>
      </c>
      <c r="AX751" s="15" t="s">
        <v>549</v>
      </c>
      <c r="AY751" s="15" t="s">
        <v>426</v>
      </c>
      <c r="AZ751" s="15" t="b">
        <v>1</v>
      </c>
      <c r="BA751" s="15" t="s">
        <v>413</v>
      </c>
      <c r="BB751" s="15" t="b">
        <v>0</v>
      </c>
      <c r="BC751" s="15" t="s">
        <v>8048</v>
      </c>
      <c r="BD751" s="15" t="s">
        <v>742</v>
      </c>
      <c r="BE751" s="15" t="str">
        <f t="shared" si="1243"/>
        <v>2</v>
      </c>
      <c r="BF751" s="15" t="s">
        <v>8029</v>
      </c>
      <c r="BG751" s="15" t="str">
        <f>"123.23"</f>
        <v>123.23</v>
      </c>
      <c r="BH751" s="15" t="s">
        <v>8030</v>
      </c>
      <c r="BI751" s="15" t="str">
        <f>"4.92"</f>
        <v>4.92</v>
      </c>
      <c r="BJ751" s="15" t="s">
        <v>1904</v>
      </c>
      <c r="BK751" s="15" t="str">
        <f t="shared" si="1263"/>
        <v>46.26</v>
      </c>
      <c r="BL751" s="15" t="s">
        <v>8022</v>
      </c>
      <c r="BM751" s="15" t="str">
        <f>"147.71"</f>
        <v>147.71</v>
      </c>
      <c r="BN751" s="15" t="s">
        <v>3080</v>
      </c>
      <c r="BO751" s="15" t="s">
        <v>5617</v>
      </c>
      <c r="BP751" s="15" t="str">
        <f t="shared" si="1264"/>
        <v>23.03</v>
      </c>
      <c r="BQ751" s="15" t="s">
        <v>2154</v>
      </c>
      <c r="BR751" s="15" t="str">
        <f t="shared" si="1265"/>
        <v>22.24</v>
      </c>
      <c r="BS751" s="15" t="s">
        <v>1423</v>
      </c>
      <c r="BT751" s="15" t="str">
        <f t="shared" si="1266"/>
        <v>31.1</v>
      </c>
      <c r="BU751" s="15" t="s">
        <v>1386</v>
      </c>
      <c r="BV751" s="15" t="str">
        <f t="shared" si="1267"/>
        <v>82.67</v>
      </c>
      <c r="BW751" s="15" t="s">
        <v>1781</v>
      </c>
      <c r="BZ751" s="15" t="s">
        <v>444</v>
      </c>
      <c r="CB751" s="15" t="s">
        <v>444</v>
      </c>
      <c r="CD751" s="15" t="s">
        <v>444</v>
      </c>
      <c r="CF751" s="15" t="s">
        <v>444</v>
      </c>
      <c r="CI751" s="15" t="s">
        <v>444</v>
      </c>
      <c r="CK751" s="15" t="s">
        <v>444</v>
      </c>
      <c r="CM751" s="15" t="s">
        <v>444</v>
      </c>
      <c r="CO751" s="15" t="s">
        <v>444</v>
      </c>
      <c r="CP751" s="15" t="str">
        <f>"25.46"</f>
        <v>25.46</v>
      </c>
      <c r="CQ751" s="15" t="str">
        <f>"0.721"</f>
        <v>0.721</v>
      </c>
      <c r="CR751" s="15" t="s">
        <v>497</v>
      </c>
      <c r="DC751" s="15" t="str">
        <f>IFERROR(__xludf.DUMMYFUNCTION("""COMPUTED_VALUE"""),"")</f>
        <v/>
      </c>
      <c r="DE751" s="15" t="str">
        <f>IFERROR(__xludf.DUMMYFUNCTION("""COMPUTED_VALUE"""),"")</f>
        <v/>
      </c>
      <c r="DG751" s="15" t="str">
        <f>IFERROR(__xludf.DUMMYFUNCTION("""COMPUTED_VALUE"""),"")</f>
        <v/>
      </c>
      <c r="DL751" s="15" t="str">
        <f>IFERROR(__xludf.DUMMYFUNCTION("""COMPUTED_VALUE"""),"")</f>
        <v/>
      </c>
      <c r="DM751" s="15" t="s">
        <v>444</v>
      </c>
      <c r="DN751" s="15" t="s">
        <v>419</v>
      </c>
      <c r="DO751" s="15">
        <v>0.0</v>
      </c>
      <c r="DP751" s="15" t="s">
        <v>419</v>
      </c>
      <c r="DR751" s="15">
        <v>0.0</v>
      </c>
      <c r="DT751" s="15" t="s">
        <v>1388</v>
      </c>
      <c r="DU751" s="15" t="s">
        <v>419</v>
      </c>
      <c r="DW751" s="15">
        <v>0.0</v>
      </c>
      <c r="DX751" s="15">
        <v>0.0</v>
      </c>
      <c r="DY751" s="15">
        <v>0.0</v>
      </c>
      <c r="EE751" s="15">
        <v>12.0</v>
      </c>
      <c r="EF751" s="15" t="s">
        <v>1112</v>
      </c>
      <c r="EG751" s="15" t="s">
        <v>1113</v>
      </c>
      <c r="EH751" s="15" t="s">
        <v>7972</v>
      </c>
      <c r="EJ751" s="15" t="s">
        <v>424</v>
      </c>
      <c r="EK751" s="15" t="s">
        <v>446</v>
      </c>
      <c r="EM751" s="15" t="str">
        <f>IFERROR(__xludf.DUMMYFUNCTION("""COMPUTED_VALUE"""),"")</f>
        <v/>
      </c>
      <c r="EW751" s="15" t="s">
        <v>5235</v>
      </c>
      <c r="EY751" s="15" t="s">
        <v>8031</v>
      </c>
      <c r="FH751" s="15" t="s">
        <v>1484</v>
      </c>
      <c r="FI751" s="15" t="s">
        <v>5235</v>
      </c>
      <c r="FJ751" s="15" t="s">
        <v>531</v>
      </c>
      <c r="FK751" s="15" t="s">
        <v>5972</v>
      </c>
      <c r="FL751" s="15" t="s">
        <v>426</v>
      </c>
      <c r="FM751" s="15">
        <v>0.0</v>
      </c>
      <c r="FN751" s="15">
        <v>0.0</v>
      </c>
      <c r="FV751" s="15" t="s">
        <v>5235</v>
      </c>
      <c r="FW751" s="15" t="s">
        <v>8032</v>
      </c>
      <c r="FX751" s="15" t="s">
        <v>3694</v>
      </c>
    </row>
    <row r="752" ht="15.75" customHeight="1">
      <c r="A752" s="14" t="s">
        <v>391</v>
      </c>
      <c r="B752" s="15" t="s">
        <v>8052</v>
      </c>
      <c r="C752" s="16"/>
      <c r="D752" s="15" t="s">
        <v>432</v>
      </c>
      <c r="G752" s="14" t="s">
        <v>393</v>
      </c>
      <c r="H752" s="14" t="s">
        <v>394</v>
      </c>
      <c r="I752" s="14" t="b">
        <v>1</v>
      </c>
      <c r="J752" s="14" t="s">
        <v>395</v>
      </c>
      <c r="L752" s="14" t="b">
        <v>0</v>
      </c>
      <c r="M752" s="15" t="s">
        <v>8053</v>
      </c>
      <c r="N752" s="14" t="s">
        <v>393</v>
      </c>
      <c r="O752" s="14" t="s">
        <v>393</v>
      </c>
      <c r="P752" s="15" t="s">
        <v>397</v>
      </c>
      <c r="Q752" s="15" t="s">
        <v>7965</v>
      </c>
      <c r="T752" s="14" t="b">
        <v>0</v>
      </c>
      <c r="U752" s="15" t="s">
        <v>8054</v>
      </c>
      <c r="V752" s="15" t="s">
        <v>1050</v>
      </c>
      <c r="W752" s="15" t="s">
        <v>401</v>
      </c>
      <c r="X752" s="15" t="s">
        <v>742</v>
      </c>
      <c r="Y752" s="15">
        <v>533.0</v>
      </c>
      <c r="AA752" s="15" t="str">
        <f>"205"</f>
        <v>205</v>
      </c>
      <c r="AB752" s="14" t="b">
        <v>1</v>
      </c>
      <c r="AC752" s="14" t="b">
        <v>1</v>
      </c>
      <c r="AD752" s="15" t="str">
        <f>"801542060237"</f>
        <v>801542060237</v>
      </c>
      <c r="AE752" s="15" t="s">
        <v>8055</v>
      </c>
      <c r="AF752" s="14" t="s">
        <v>404</v>
      </c>
      <c r="AG752" s="14" t="s">
        <v>405</v>
      </c>
      <c r="AH752" s="14" t="s">
        <v>406</v>
      </c>
      <c r="AI752" s="15">
        <v>0.0</v>
      </c>
      <c r="AL752" s="15" t="s">
        <v>7968</v>
      </c>
      <c r="AM752" s="15" t="s">
        <v>1561</v>
      </c>
      <c r="AN752" s="15" t="s">
        <v>1562</v>
      </c>
      <c r="AO752" s="15" t="s">
        <v>1561</v>
      </c>
      <c r="AP752" s="15" t="s">
        <v>1562</v>
      </c>
      <c r="AQ752" s="15" t="s">
        <v>1561</v>
      </c>
      <c r="AR752" s="15" t="s">
        <v>1562</v>
      </c>
      <c r="AS752" s="15" t="s">
        <v>1896</v>
      </c>
      <c r="AT752" s="15" t="s">
        <v>7965</v>
      </c>
      <c r="AU752" s="15" t="s">
        <v>7969</v>
      </c>
      <c r="AW752" s="15" t="s">
        <v>1154</v>
      </c>
      <c r="AY752" s="15" t="s">
        <v>426</v>
      </c>
      <c r="AZ752" s="15" t="b">
        <v>1</v>
      </c>
      <c r="BA752" s="15" t="s">
        <v>413</v>
      </c>
      <c r="BB752" s="15" t="b">
        <v>0</v>
      </c>
      <c r="BC752" s="15" t="s">
        <v>8056</v>
      </c>
      <c r="BD752" s="15" t="s">
        <v>742</v>
      </c>
      <c r="BE752" s="15" t="str">
        <f t="shared" si="1243"/>
        <v>2</v>
      </c>
      <c r="BF752" s="15" t="s">
        <v>8029</v>
      </c>
      <c r="BG752" s="15" t="str">
        <f t="shared" ref="BG752:BG753" si="1273">"25.98"</f>
        <v>25.98</v>
      </c>
      <c r="BH752" s="15" t="s">
        <v>522</v>
      </c>
      <c r="BI752" s="15" t="str">
        <f t="shared" ref="BI752:BI753" si="1274">"4.72"</f>
        <v>4.72</v>
      </c>
      <c r="BJ752" s="15" t="s">
        <v>6740</v>
      </c>
      <c r="BK752" s="15" t="str">
        <f t="shared" ref="BK752:BK753" si="1275">"25.98"</f>
        <v>25.98</v>
      </c>
      <c r="BL752" s="15" t="s">
        <v>522</v>
      </c>
      <c r="BM752" s="15" t="str">
        <f>"15.43"</f>
        <v>15.43</v>
      </c>
      <c r="BN752" s="15" t="s">
        <v>8057</v>
      </c>
      <c r="BO752" s="15" t="s">
        <v>5617</v>
      </c>
      <c r="BP752" s="15" t="str">
        <f t="shared" ref="BP752:BP753" si="1276">"14.57"</f>
        <v>14.57</v>
      </c>
      <c r="BQ752" s="15" t="s">
        <v>5052</v>
      </c>
      <c r="BR752" s="15" t="str">
        <f t="shared" ref="BR752:BR753" si="1277">"14.57"</f>
        <v>14.57</v>
      </c>
      <c r="BS752" s="15" t="s">
        <v>5052</v>
      </c>
      <c r="BT752" s="15" t="str">
        <f t="shared" ref="BT752:BT753" si="1278">"24.8"</f>
        <v>24.8</v>
      </c>
      <c r="BU752" s="15" t="s">
        <v>711</v>
      </c>
      <c r="BV752" s="15" t="str">
        <f>"22.05"</f>
        <v>22.05</v>
      </c>
      <c r="BW752" s="15" t="s">
        <v>2790</v>
      </c>
      <c r="BZ752" s="15" t="s">
        <v>444</v>
      </c>
      <c r="CB752" s="15" t="s">
        <v>444</v>
      </c>
      <c r="CD752" s="15" t="s">
        <v>444</v>
      </c>
      <c r="CF752" s="15" t="s">
        <v>444</v>
      </c>
      <c r="CI752" s="15" t="s">
        <v>444</v>
      </c>
      <c r="CK752" s="15" t="s">
        <v>444</v>
      </c>
      <c r="CM752" s="15" t="s">
        <v>444</v>
      </c>
      <c r="CO752" s="15" t="s">
        <v>444</v>
      </c>
      <c r="CP752" s="15" t="str">
        <f t="shared" ref="CP752:CP753" si="1279">"4.87"</f>
        <v>4.87</v>
      </c>
      <c r="CQ752" s="15" t="str">
        <f t="shared" ref="CQ752:CQ753" si="1280">"0.138"</f>
        <v>0.138</v>
      </c>
      <c r="CR752" s="15" t="s">
        <v>465</v>
      </c>
      <c r="DC752" s="15" t="str">
        <f>IFERROR(__xludf.DUMMYFUNCTION("""COMPUTED_VALUE"""),"")</f>
        <v/>
      </c>
      <c r="DE752" s="15" t="str">
        <f>IFERROR(__xludf.DUMMYFUNCTION("""COMPUTED_VALUE"""),"")</f>
        <v/>
      </c>
      <c r="DG752" s="15" t="str">
        <f>IFERROR(__xludf.DUMMYFUNCTION("""COMPUTED_VALUE"""),"")</f>
        <v/>
      </c>
      <c r="DL752" s="15" t="str">
        <f>IFERROR(__xludf.DUMMYFUNCTION("""COMPUTED_VALUE"""),"")</f>
        <v/>
      </c>
      <c r="DM752" s="15" t="s">
        <v>444</v>
      </c>
      <c r="DN752" s="15" t="s">
        <v>419</v>
      </c>
      <c r="DO752" s="15">
        <v>0.0</v>
      </c>
      <c r="DP752" s="15" t="s">
        <v>419</v>
      </c>
      <c r="DR752" s="15">
        <v>0.0</v>
      </c>
      <c r="DT752" s="15" t="s">
        <v>420</v>
      </c>
      <c r="DU752" s="15" t="s">
        <v>419</v>
      </c>
      <c r="DY752" s="15">
        <v>0.0</v>
      </c>
      <c r="EF752" s="15" t="s">
        <v>1112</v>
      </c>
      <c r="EG752" s="15" t="s">
        <v>1113</v>
      </c>
      <c r="EH752" s="15" t="s">
        <v>7972</v>
      </c>
      <c r="EJ752" s="15" t="s">
        <v>500</v>
      </c>
      <c r="EK752" s="15" t="s">
        <v>501</v>
      </c>
      <c r="EM752" s="15" t="str">
        <f>IFERROR(__xludf.DUMMYFUNCTION("""COMPUTED_VALUE"""),"")</f>
        <v/>
      </c>
      <c r="EW752" s="15" t="s">
        <v>779</v>
      </c>
      <c r="EY752" s="15" t="s">
        <v>3164</v>
      </c>
      <c r="FH752" s="15" t="s">
        <v>2651</v>
      </c>
      <c r="FI752" s="15" t="s">
        <v>8058</v>
      </c>
      <c r="FJ752" s="15" t="s">
        <v>2163</v>
      </c>
      <c r="FK752" s="15" t="s">
        <v>5972</v>
      </c>
      <c r="FL752" s="15" t="s">
        <v>426</v>
      </c>
      <c r="FM752" s="15">
        <v>0.0</v>
      </c>
      <c r="FN752" s="15">
        <v>0.0</v>
      </c>
      <c r="FW752" s="15" t="s">
        <v>8059</v>
      </c>
    </row>
    <row r="753" ht="15.75" customHeight="1">
      <c r="A753" s="14" t="s">
        <v>391</v>
      </c>
      <c r="B753" s="15" t="s">
        <v>8052</v>
      </c>
      <c r="C753" s="16"/>
      <c r="D753" s="15" t="s">
        <v>432</v>
      </c>
      <c r="G753" s="14" t="s">
        <v>393</v>
      </c>
      <c r="H753" s="14" t="s">
        <v>394</v>
      </c>
      <c r="I753" s="14" t="b">
        <v>1</v>
      </c>
      <c r="J753" s="14" t="s">
        <v>395</v>
      </c>
      <c r="L753" s="14" t="b">
        <v>0</v>
      </c>
      <c r="M753" s="15" t="s">
        <v>8060</v>
      </c>
      <c r="N753" s="14" t="s">
        <v>393</v>
      </c>
      <c r="O753" s="14" t="s">
        <v>393</v>
      </c>
      <c r="P753" s="15" t="s">
        <v>397</v>
      </c>
      <c r="Q753" s="15" t="s">
        <v>2351</v>
      </c>
      <c r="T753" s="14" t="b">
        <v>0</v>
      </c>
      <c r="U753" s="15" t="s">
        <v>8061</v>
      </c>
      <c r="V753" s="15" t="s">
        <v>1271</v>
      </c>
      <c r="W753" s="15" t="s">
        <v>401</v>
      </c>
      <c r="X753" s="15" t="s">
        <v>742</v>
      </c>
      <c r="Y753" s="15">
        <v>611.0</v>
      </c>
      <c r="AA753" s="15" t="str">
        <f>"235"</f>
        <v>235</v>
      </c>
      <c r="AB753" s="14" t="b">
        <v>1</v>
      </c>
      <c r="AC753" s="14" t="b">
        <v>1</v>
      </c>
      <c r="AD753" s="15" t="str">
        <f>"198394019729"</f>
        <v>198394019729</v>
      </c>
      <c r="AE753" s="15" t="s">
        <v>8062</v>
      </c>
      <c r="AF753" s="14" t="s">
        <v>404</v>
      </c>
      <c r="AG753" s="14" t="s">
        <v>405</v>
      </c>
      <c r="AH753" s="14" t="s">
        <v>406</v>
      </c>
      <c r="AI753" s="15">
        <v>0.0</v>
      </c>
      <c r="AL753" s="15" t="s">
        <v>1025</v>
      </c>
      <c r="AM753" s="15" t="s">
        <v>1561</v>
      </c>
      <c r="AN753" s="15" t="s">
        <v>1562</v>
      </c>
      <c r="AO753" s="15" t="s">
        <v>1561</v>
      </c>
      <c r="AP753" s="15" t="s">
        <v>1562</v>
      </c>
      <c r="AQ753" s="15" t="s">
        <v>1561</v>
      </c>
      <c r="AR753" s="15" t="s">
        <v>1562</v>
      </c>
      <c r="AS753" s="15" t="s">
        <v>1896</v>
      </c>
      <c r="AT753" s="15" t="s">
        <v>2351</v>
      </c>
      <c r="AW753" s="15" t="s">
        <v>1154</v>
      </c>
      <c r="AY753" s="15" t="s">
        <v>426</v>
      </c>
      <c r="AZ753" s="15" t="b">
        <v>1</v>
      </c>
      <c r="BA753" s="15" t="s">
        <v>413</v>
      </c>
      <c r="BB753" s="15" t="b">
        <v>0</v>
      </c>
      <c r="BC753" s="15" t="s">
        <v>8063</v>
      </c>
      <c r="BD753" s="15" t="s">
        <v>742</v>
      </c>
      <c r="BE753" s="15" t="str">
        <f t="shared" si="1243"/>
        <v>2</v>
      </c>
      <c r="BF753" s="15" t="s">
        <v>8029</v>
      </c>
      <c r="BG753" s="15" t="str">
        <f t="shared" si="1273"/>
        <v>25.98</v>
      </c>
      <c r="BH753" s="15" t="s">
        <v>522</v>
      </c>
      <c r="BI753" s="15" t="str">
        <f t="shared" si="1274"/>
        <v>4.72</v>
      </c>
      <c r="BJ753" s="15" t="s">
        <v>6740</v>
      </c>
      <c r="BK753" s="15" t="str">
        <f t="shared" si="1275"/>
        <v>25.98</v>
      </c>
      <c r="BL753" s="15" t="s">
        <v>522</v>
      </c>
      <c r="BM753" s="15" t="str">
        <f>"19.84"</f>
        <v>19.84</v>
      </c>
      <c r="BN753" s="15" t="s">
        <v>8064</v>
      </c>
      <c r="BO753" s="15" t="s">
        <v>5617</v>
      </c>
      <c r="BP753" s="15" t="str">
        <f t="shared" si="1276"/>
        <v>14.57</v>
      </c>
      <c r="BQ753" s="15" t="s">
        <v>5052</v>
      </c>
      <c r="BR753" s="15" t="str">
        <f t="shared" si="1277"/>
        <v>14.57</v>
      </c>
      <c r="BS753" s="15" t="s">
        <v>5052</v>
      </c>
      <c r="BT753" s="15" t="str">
        <f t="shared" si="1278"/>
        <v>24.8</v>
      </c>
      <c r="BU753" s="15" t="s">
        <v>711</v>
      </c>
      <c r="BV753" s="15" t="str">
        <f>"25.35"</f>
        <v>25.35</v>
      </c>
      <c r="BW753" s="15" t="s">
        <v>8065</v>
      </c>
      <c r="BZ753" s="15" t="s">
        <v>444</v>
      </c>
      <c r="CB753" s="15" t="s">
        <v>444</v>
      </c>
      <c r="CD753" s="15" t="s">
        <v>444</v>
      </c>
      <c r="CF753" s="15" t="s">
        <v>444</v>
      </c>
      <c r="CI753" s="15" t="s">
        <v>444</v>
      </c>
      <c r="CK753" s="15" t="s">
        <v>444</v>
      </c>
      <c r="CM753" s="15" t="s">
        <v>444</v>
      </c>
      <c r="CO753" s="15" t="s">
        <v>444</v>
      </c>
      <c r="CP753" s="15" t="str">
        <f t="shared" si="1279"/>
        <v>4.87</v>
      </c>
      <c r="CQ753" s="15" t="str">
        <f t="shared" si="1280"/>
        <v>0.138</v>
      </c>
      <c r="CR753" s="15" t="s">
        <v>465</v>
      </c>
      <c r="DC753" s="15" t="str">
        <f>IFERROR(__xludf.DUMMYFUNCTION("""COMPUTED_VALUE"""),"")</f>
        <v/>
      </c>
      <c r="DE753" s="15" t="str">
        <f>IFERROR(__xludf.DUMMYFUNCTION("""COMPUTED_VALUE"""),"")</f>
        <v/>
      </c>
      <c r="DG753" s="15" t="str">
        <f>IFERROR(__xludf.DUMMYFUNCTION("""COMPUTED_VALUE"""),"")</f>
        <v/>
      </c>
      <c r="DL753" s="15" t="str">
        <f>IFERROR(__xludf.DUMMYFUNCTION("""COMPUTED_VALUE"""),"")</f>
        <v/>
      </c>
      <c r="DM753" s="15" t="s">
        <v>444</v>
      </c>
      <c r="DN753" s="15" t="s">
        <v>419</v>
      </c>
      <c r="DO753" s="15">
        <v>0.0</v>
      </c>
      <c r="DP753" s="15" t="s">
        <v>419</v>
      </c>
      <c r="DR753" s="15">
        <v>0.0</v>
      </c>
      <c r="DT753" s="15" t="s">
        <v>420</v>
      </c>
      <c r="DU753" s="15" t="s">
        <v>419</v>
      </c>
      <c r="DY753" s="15">
        <v>0.0</v>
      </c>
      <c r="EF753" s="15" t="s">
        <v>1112</v>
      </c>
      <c r="EG753" s="15" t="s">
        <v>1113</v>
      </c>
      <c r="EH753" s="15" t="s">
        <v>7972</v>
      </c>
      <c r="EJ753" s="15" t="s">
        <v>500</v>
      </c>
      <c r="EK753" s="15" t="s">
        <v>501</v>
      </c>
      <c r="EM753" s="15" t="str">
        <f>IFERROR(__xludf.DUMMYFUNCTION("""COMPUTED_VALUE"""),"")</f>
        <v/>
      </c>
      <c r="EW753" s="15" t="s">
        <v>779</v>
      </c>
      <c r="EY753" s="15" t="s">
        <v>3164</v>
      </c>
      <c r="FH753" s="15" t="s">
        <v>2651</v>
      </c>
      <c r="FI753" s="15" t="s">
        <v>8058</v>
      </c>
      <c r="FJ753" s="15" t="s">
        <v>2163</v>
      </c>
      <c r="FK753" s="15" t="s">
        <v>5972</v>
      </c>
      <c r="FL753" s="15" t="s">
        <v>426</v>
      </c>
      <c r="FM753" s="15">
        <v>0.0</v>
      </c>
      <c r="FN753" s="15">
        <v>0.0</v>
      </c>
      <c r="FW753" s="15" t="s">
        <v>8059</v>
      </c>
    </row>
    <row r="754" ht="15.75" customHeight="1">
      <c r="A754" s="14" t="s">
        <v>391</v>
      </c>
      <c r="B754" s="15" t="s">
        <v>8066</v>
      </c>
      <c r="C754" s="16"/>
      <c r="D754" s="15" t="s">
        <v>432</v>
      </c>
      <c r="G754" s="14" t="s">
        <v>393</v>
      </c>
      <c r="H754" s="14" t="s">
        <v>394</v>
      </c>
      <c r="I754" s="14" t="b">
        <v>1</v>
      </c>
      <c r="J754" s="14" t="s">
        <v>395</v>
      </c>
      <c r="L754" s="14" t="b">
        <v>0</v>
      </c>
      <c r="M754" s="15" t="s">
        <v>8067</v>
      </c>
      <c r="N754" s="14" t="s">
        <v>393</v>
      </c>
      <c r="O754" s="14" t="s">
        <v>393</v>
      </c>
      <c r="P754" s="15" t="s">
        <v>397</v>
      </c>
      <c r="Q754" s="15" t="s">
        <v>8068</v>
      </c>
      <c r="T754" s="14" t="b">
        <v>0</v>
      </c>
      <c r="U754" s="15" t="s">
        <v>8069</v>
      </c>
      <c r="V754" s="15" t="s">
        <v>2953</v>
      </c>
      <c r="W754" s="15" t="s">
        <v>401</v>
      </c>
      <c r="X754" s="15" t="s">
        <v>742</v>
      </c>
      <c r="Y754" s="15">
        <v>2080.0</v>
      </c>
      <c r="AA754" s="15" t="str">
        <f>"800"</f>
        <v>800</v>
      </c>
      <c r="AB754" s="14" t="b">
        <v>1</v>
      </c>
      <c r="AC754" s="14" t="b">
        <v>1</v>
      </c>
      <c r="AD754" s="15" t="str">
        <f>"801542154707"</f>
        <v>801542154707</v>
      </c>
      <c r="AE754" s="15" t="s">
        <v>8070</v>
      </c>
      <c r="AF754" s="14" t="s">
        <v>404</v>
      </c>
      <c r="AG754" s="14" t="s">
        <v>405</v>
      </c>
      <c r="AH754" s="14" t="s">
        <v>406</v>
      </c>
      <c r="AI754" s="15">
        <v>0.0</v>
      </c>
      <c r="AL754" s="15" t="s">
        <v>8071</v>
      </c>
      <c r="AM754" s="15" t="s">
        <v>2355</v>
      </c>
      <c r="AN754" s="15" t="s">
        <v>2356</v>
      </c>
      <c r="AO754" s="15" t="s">
        <v>1561</v>
      </c>
      <c r="AP754" s="15" t="s">
        <v>1562</v>
      </c>
      <c r="AQ754" s="15" t="s">
        <v>1276</v>
      </c>
      <c r="AR754" s="15" t="s">
        <v>1277</v>
      </c>
      <c r="AS754" s="15" t="s">
        <v>1896</v>
      </c>
      <c r="AT754" s="15" t="s">
        <v>8068</v>
      </c>
      <c r="AU754" s="15" t="s">
        <v>7985</v>
      </c>
      <c r="AV754" s="15" t="s">
        <v>7988</v>
      </c>
      <c r="AW754" s="15" t="s">
        <v>519</v>
      </c>
      <c r="AY754" s="15" t="s">
        <v>413</v>
      </c>
      <c r="AZ754" s="15" t="b">
        <v>0</v>
      </c>
      <c r="BA754" s="15" t="s">
        <v>413</v>
      </c>
      <c r="BB754" s="15" t="b">
        <v>0</v>
      </c>
      <c r="BC754" s="15" t="s">
        <v>8072</v>
      </c>
      <c r="BD754" s="15" t="s">
        <v>742</v>
      </c>
      <c r="BE754" s="15" t="str">
        <f t="shared" si="1243"/>
        <v>2</v>
      </c>
      <c r="BF754" s="15" t="s">
        <v>1564</v>
      </c>
      <c r="BG754" s="15" t="str">
        <f>"83.66"</f>
        <v>83.66</v>
      </c>
      <c r="BH754" s="15" t="s">
        <v>8073</v>
      </c>
      <c r="BI754" s="15" t="str">
        <f>"27.76"</f>
        <v>27.76</v>
      </c>
      <c r="BJ754" s="15" t="s">
        <v>6424</v>
      </c>
      <c r="BK754" s="15" t="str">
        <f>"5.91"</f>
        <v>5.91</v>
      </c>
      <c r="BL754" s="15" t="s">
        <v>7613</v>
      </c>
      <c r="BM754" s="15" t="str">
        <f>"187.39"</f>
        <v>187.39</v>
      </c>
      <c r="BN754" s="15" t="s">
        <v>5448</v>
      </c>
      <c r="BO754" s="15" t="s">
        <v>2238</v>
      </c>
      <c r="BP754" s="15" t="str">
        <f t="shared" ref="BP754:BP757" si="1281">"18.5"</f>
        <v>18.5</v>
      </c>
      <c r="BQ754" s="15" t="s">
        <v>810</v>
      </c>
      <c r="BR754" s="15" t="str">
        <f t="shared" ref="BR754:BR757" si="1282">"18.9"</f>
        <v>18.9</v>
      </c>
      <c r="BS754" s="15" t="s">
        <v>552</v>
      </c>
      <c r="BT754" s="15" t="str">
        <f t="shared" ref="BT754:BT757" si="1283">"34.65"</f>
        <v>34.65</v>
      </c>
      <c r="BU754" s="15" t="s">
        <v>1229</v>
      </c>
      <c r="BV754" s="15" t="str">
        <f t="shared" ref="BV754:BV756" si="1284">"38.58"</f>
        <v>38.58</v>
      </c>
      <c r="BW754" s="15" t="s">
        <v>1110</v>
      </c>
      <c r="BZ754" s="15" t="s">
        <v>444</v>
      </c>
      <c r="CB754" s="15" t="s">
        <v>444</v>
      </c>
      <c r="CD754" s="15" t="s">
        <v>444</v>
      </c>
      <c r="CF754" s="15" t="s">
        <v>444</v>
      </c>
      <c r="CI754" s="15" t="s">
        <v>444</v>
      </c>
      <c r="CK754" s="15" t="s">
        <v>444</v>
      </c>
      <c r="CM754" s="15" t="s">
        <v>444</v>
      </c>
      <c r="CO754" s="15" t="s">
        <v>444</v>
      </c>
      <c r="CP754" s="15" t="str">
        <f>"14.97"</f>
        <v>14.97</v>
      </c>
      <c r="CQ754" s="15" t="str">
        <f>"0.424"</f>
        <v>0.424</v>
      </c>
      <c r="CR754" s="15" t="s">
        <v>417</v>
      </c>
      <c r="DC754" s="15" t="str">
        <f>IFERROR(__xludf.DUMMYFUNCTION("""COMPUTED_VALUE"""),"")</f>
        <v/>
      </c>
      <c r="DE754" s="15" t="str">
        <f>IFERROR(__xludf.DUMMYFUNCTION("""COMPUTED_VALUE"""),"")</f>
        <v/>
      </c>
      <c r="DG754" s="15" t="str">
        <f>IFERROR(__xludf.DUMMYFUNCTION("""COMPUTED_VALUE"""),"")</f>
        <v/>
      </c>
      <c r="DL754" s="15" t="str">
        <f>IFERROR(__xludf.DUMMYFUNCTION("""COMPUTED_VALUE"""),"")</f>
        <v/>
      </c>
      <c r="DM754" s="15" t="s">
        <v>444</v>
      </c>
      <c r="DN754" s="15" t="s">
        <v>419</v>
      </c>
      <c r="DO754" s="15">
        <v>0.0</v>
      </c>
      <c r="DP754" s="15" t="s">
        <v>419</v>
      </c>
      <c r="DR754" s="15">
        <v>0.0</v>
      </c>
      <c r="DT754" s="15" t="s">
        <v>420</v>
      </c>
      <c r="DU754" s="15" t="s">
        <v>419</v>
      </c>
      <c r="DY754" s="15">
        <v>0.0</v>
      </c>
      <c r="EF754" s="15" t="s">
        <v>1112</v>
      </c>
      <c r="EG754" s="15" t="s">
        <v>1113</v>
      </c>
      <c r="EH754" s="15" t="s">
        <v>7972</v>
      </c>
      <c r="EJ754" s="15" t="s">
        <v>424</v>
      </c>
      <c r="EK754" s="15" t="s">
        <v>446</v>
      </c>
      <c r="EM754" s="15" t="str">
        <f>IFERROR(__xludf.DUMMYFUNCTION("""COMPUTED_VALUE"""),"")</f>
        <v/>
      </c>
      <c r="EW754" s="15" t="s">
        <v>8074</v>
      </c>
      <c r="EY754" s="15" t="s">
        <v>8075</v>
      </c>
      <c r="FH754" s="15" t="s">
        <v>504</v>
      </c>
      <c r="FI754" s="15" t="s">
        <v>8074</v>
      </c>
      <c r="FJ754" s="15" t="s">
        <v>6046</v>
      </c>
      <c r="FK754" s="15" t="s">
        <v>5972</v>
      </c>
      <c r="FL754" s="15" t="s">
        <v>426</v>
      </c>
      <c r="FM754" s="15">
        <v>0.0</v>
      </c>
      <c r="FN754" s="15">
        <v>0.0</v>
      </c>
      <c r="FW754" s="15" t="s">
        <v>531</v>
      </c>
      <c r="GH754" s="15">
        <v>0.0</v>
      </c>
      <c r="GI754" s="15" t="s">
        <v>427</v>
      </c>
    </row>
    <row r="755" ht="15.75" customHeight="1">
      <c r="A755" s="14" t="s">
        <v>391</v>
      </c>
      <c r="B755" s="15" t="s">
        <v>8066</v>
      </c>
      <c r="C755" s="16"/>
      <c r="D755" s="15" t="s">
        <v>432</v>
      </c>
      <c r="G755" s="14" t="s">
        <v>393</v>
      </c>
      <c r="H755" s="14" t="s">
        <v>394</v>
      </c>
      <c r="I755" s="14" t="b">
        <v>1</v>
      </c>
      <c r="J755" s="14" t="s">
        <v>395</v>
      </c>
      <c r="L755" s="14" t="b">
        <v>0</v>
      </c>
      <c r="M755" s="15" t="s">
        <v>8076</v>
      </c>
      <c r="N755" s="14" t="s">
        <v>393</v>
      </c>
      <c r="O755" s="14" t="s">
        <v>393</v>
      </c>
      <c r="P755" s="15" t="s">
        <v>397</v>
      </c>
      <c r="Q755" s="15" t="s">
        <v>7979</v>
      </c>
      <c r="T755" s="14" t="b">
        <v>0</v>
      </c>
      <c r="U755" s="15" t="s">
        <v>8077</v>
      </c>
      <c r="V755" s="15" t="s">
        <v>3806</v>
      </c>
      <c r="W755" s="15" t="s">
        <v>401</v>
      </c>
      <c r="X755" s="15" t="s">
        <v>742</v>
      </c>
      <c r="Y755" s="15">
        <v>1092.0</v>
      </c>
      <c r="AA755" s="15" t="str">
        <f t="shared" ref="AA755:AA756" si="1285">"420"</f>
        <v>420</v>
      </c>
      <c r="AB755" s="14" t="b">
        <v>1</v>
      </c>
      <c r="AC755" s="14" t="b">
        <v>1</v>
      </c>
      <c r="AD755" s="15" t="str">
        <f>"801542203887"</f>
        <v>801542203887</v>
      </c>
      <c r="AE755" s="15" t="s">
        <v>8078</v>
      </c>
      <c r="AF755" s="14" t="s">
        <v>404</v>
      </c>
      <c r="AG755" s="14" t="s">
        <v>405</v>
      </c>
      <c r="AH755" s="14" t="s">
        <v>406</v>
      </c>
      <c r="AI755" s="15">
        <v>0.0</v>
      </c>
      <c r="AL755" s="15" t="s">
        <v>7968</v>
      </c>
      <c r="AM755" s="15" t="s">
        <v>2355</v>
      </c>
      <c r="AN755" s="15" t="s">
        <v>2356</v>
      </c>
      <c r="AO755" s="15" t="s">
        <v>1561</v>
      </c>
      <c r="AP755" s="15" t="s">
        <v>1562</v>
      </c>
      <c r="AQ755" s="15" t="s">
        <v>1276</v>
      </c>
      <c r="AR755" s="15" t="s">
        <v>1277</v>
      </c>
      <c r="AS755" s="15" t="s">
        <v>1896</v>
      </c>
      <c r="AT755" s="15" t="s">
        <v>7979</v>
      </c>
      <c r="AU755" s="15" t="s">
        <v>7982</v>
      </c>
      <c r="AW755" s="15" t="s">
        <v>519</v>
      </c>
      <c r="AY755" s="15" t="s">
        <v>413</v>
      </c>
      <c r="AZ755" s="15" t="b">
        <v>0</v>
      </c>
      <c r="BA755" s="15" t="s">
        <v>413</v>
      </c>
      <c r="BB755" s="15" t="b">
        <v>0</v>
      </c>
      <c r="BD755" s="15" t="s">
        <v>742</v>
      </c>
      <c r="BE755" s="15" t="str">
        <f t="shared" si="1243"/>
        <v>2</v>
      </c>
      <c r="BF755" s="15" t="s">
        <v>1564</v>
      </c>
      <c r="BG755" s="15" t="str">
        <f t="shared" ref="BG755:BG757" si="1286">"81.89"</f>
        <v>81.89</v>
      </c>
      <c r="BH755" s="15" t="s">
        <v>2358</v>
      </c>
      <c r="BI755" s="15" t="str">
        <f t="shared" ref="BI755:BI757" si="1287">"4.92"</f>
        <v>4.92</v>
      </c>
      <c r="BJ755" s="15" t="s">
        <v>1904</v>
      </c>
      <c r="BK755" s="15" t="str">
        <f t="shared" ref="BK755:BK757" si="1288">"25.79"</f>
        <v>25.79</v>
      </c>
      <c r="BL755" s="15" t="s">
        <v>631</v>
      </c>
      <c r="BM755" s="15" t="str">
        <f t="shared" ref="BM755:BM756" si="1289">"45.19"</f>
        <v>45.19</v>
      </c>
      <c r="BN755" s="15" t="s">
        <v>3375</v>
      </c>
      <c r="BO755" s="15" t="s">
        <v>2238</v>
      </c>
      <c r="BP755" s="15" t="str">
        <f t="shared" si="1281"/>
        <v>18.5</v>
      </c>
      <c r="BQ755" s="15" t="s">
        <v>810</v>
      </c>
      <c r="BR755" s="15" t="str">
        <f t="shared" si="1282"/>
        <v>18.9</v>
      </c>
      <c r="BS755" s="15" t="s">
        <v>552</v>
      </c>
      <c r="BT755" s="15" t="str">
        <f t="shared" si="1283"/>
        <v>34.65</v>
      </c>
      <c r="BU755" s="15" t="s">
        <v>1229</v>
      </c>
      <c r="BV755" s="15" t="str">
        <f t="shared" si="1284"/>
        <v>38.58</v>
      </c>
      <c r="BW755" s="15" t="s">
        <v>1110</v>
      </c>
      <c r="BZ755" s="15" t="s">
        <v>444</v>
      </c>
      <c r="CB755" s="15" t="s">
        <v>444</v>
      </c>
      <c r="CD755" s="15" t="s">
        <v>444</v>
      </c>
      <c r="CF755" s="15" t="s">
        <v>444</v>
      </c>
      <c r="CI755" s="15" t="s">
        <v>444</v>
      </c>
      <c r="CK755" s="15" t="s">
        <v>444</v>
      </c>
      <c r="CM755" s="15" t="s">
        <v>444</v>
      </c>
      <c r="CO755" s="15" t="s">
        <v>444</v>
      </c>
      <c r="CP755" s="15" t="str">
        <f t="shared" ref="CP755:CP757" si="1290">"13.03"</f>
        <v>13.03</v>
      </c>
      <c r="CQ755" s="15" t="str">
        <f t="shared" ref="CQ755:CQ757" si="1291">"0.369"</f>
        <v>0.369</v>
      </c>
      <c r="CR755" s="15" t="s">
        <v>417</v>
      </c>
      <c r="DC755" s="15" t="str">
        <f>IFERROR(__xludf.DUMMYFUNCTION("""COMPUTED_VALUE"""),"")</f>
        <v/>
      </c>
      <c r="DE755" s="15" t="str">
        <f>IFERROR(__xludf.DUMMYFUNCTION("""COMPUTED_VALUE"""),"")</f>
        <v/>
      </c>
      <c r="DG755" s="15" t="str">
        <f>IFERROR(__xludf.DUMMYFUNCTION("""COMPUTED_VALUE"""),"")</f>
        <v/>
      </c>
      <c r="DL755" s="15" t="str">
        <f>IFERROR(__xludf.DUMMYFUNCTION("""COMPUTED_VALUE"""),"")</f>
        <v/>
      </c>
      <c r="DM755" s="15" t="s">
        <v>444</v>
      </c>
      <c r="DN755" s="15" t="s">
        <v>419</v>
      </c>
      <c r="DO755" s="15">
        <v>0.0</v>
      </c>
      <c r="DP755" s="15" t="s">
        <v>419</v>
      </c>
      <c r="DR755" s="15">
        <v>0.0</v>
      </c>
      <c r="DT755" s="15" t="s">
        <v>420</v>
      </c>
      <c r="DU755" s="15" t="s">
        <v>419</v>
      </c>
      <c r="DY755" s="15">
        <v>0.0</v>
      </c>
      <c r="EF755" s="15" t="s">
        <v>1112</v>
      </c>
      <c r="EG755" s="15" t="s">
        <v>1113</v>
      </c>
      <c r="EH755" s="15" t="s">
        <v>7972</v>
      </c>
      <c r="EJ755" s="15" t="s">
        <v>424</v>
      </c>
      <c r="EK755" s="15" t="s">
        <v>446</v>
      </c>
      <c r="EM755" s="15" t="str">
        <f>IFERROR(__xludf.DUMMYFUNCTION("""COMPUTED_VALUE"""),"")</f>
        <v/>
      </c>
      <c r="EW755" s="15" t="s">
        <v>8074</v>
      </c>
      <c r="EY755" s="15" t="s">
        <v>8075</v>
      </c>
      <c r="FH755" s="15" t="s">
        <v>504</v>
      </c>
      <c r="FI755" s="15" t="s">
        <v>8074</v>
      </c>
      <c r="FJ755" s="15" t="s">
        <v>6046</v>
      </c>
      <c r="FK755" s="15" t="s">
        <v>5972</v>
      </c>
      <c r="FL755" s="15" t="s">
        <v>426</v>
      </c>
      <c r="FM755" s="15">
        <v>0.0</v>
      </c>
      <c r="FN755" s="15">
        <v>0.0</v>
      </c>
      <c r="FW755" s="15" t="s">
        <v>531</v>
      </c>
      <c r="GH755" s="15">
        <v>0.0</v>
      </c>
      <c r="GI755" s="15" t="s">
        <v>427</v>
      </c>
    </row>
    <row r="756" ht="15.75" customHeight="1">
      <c r="A756" s="14" t="s">
        <v>391</v>
      </c>
      <c r="B756" s="15" t="s">
        <v>8066</v>
      </c>
      <c r="C756" s="16"/>
      <c r="D756" s="15" t="s">
        <v>432</v>
      </c>
      <c r="G756" s="14" t="s">
        <v>393</v>
      </c>
      <c r="H756" s="14" t="s">
        <v>394</v>
      </c>
      <c r="I756" s="14" t="b">
        <v>1</v>
      </c>
      <c r="J756" s="14" t="s">
        <v>395</v>
      </c>
      <c r="L756" s="14" t="b">
        <v>0</v>
      </c>
      <c r="M756" s="15" t="s">
        <v>8079</v>
      </c>
      <c r="N756" s="14" t="s">
        <v>393</v>
      </c>
      <c r="O756" s="14" t="s">
        <v>393</v>
      </c>
      <c r="P756" s="15" t="s">
        <v>397</v>
      </c>
      <c r="Q756" s="15" t="s">
        <v>7985</v>
      </c>
      <c r="T756" s="14" t="b">
        <v>0</v>
      </c>
      <c r="U756" s="15" t="s">
        <v>8080</v>
      </c>
      <c r="V756" s="15" t="s">
        <v>3806</v>
      </c>
      <c r="W756" s="15" t="s">
        <v>401</v>
      </c>
      <c r="X756" s="15" t="s">
        <v>742</v>
      </c>
      <c r="Y756" s="15">
        <v>1092.0</v>
      </c>
      <c r="AA756" s="15" t="str">
        <f t="shared" si="1285"/>
        <v>420</v>
      </c>
      <c r="AB756" s="14" t="b">
        <v>1</v>
      </c>
      <c r="AC756" s="14" t="b">
        <v>1</v>
      </c>
      <c r="AD756" s="15" t="str">
        <f>"801542154714"</f>
        <v>801542154714</v>
      </c>
      <c r="AE756" s="15" t="s">
        <v>8081</v>
      </c>
      <c r="AF756" s="14" t="s">
        <v>404</v>
      </c>
      <c r="AG756" s="14" t="s">
        <v>405</v>
      </c>
      <c r="AH756" s="14" t="s">
        <v>406</v>
      </c>
      <c r="AI756" s="15">
        <v>0.0</v>
      </c>
      <c r="AL756" s="15" t="s">
        <v>7968</v>
      </c>
      <c r="AM756" s="15" t="s">
        <v>2355</v>
      </c>
      <c r="AN756" s="15" t="s">
        <v>2356</v>
      </c>
      <c r="AO756" s="15" t="s">
        <v>1561</v>
      </c>
      <c r="AP756" s="15" t="s">
        <v>1562</v>
      </c>
      <c r="AQ756" s="15" t="s">
        <v>1276</v>
      </c>
      <c r="AR756" s="15" t="s">
        <v>1277</v>
      </c>
      <c r="AS756" s="15" t="s">
        <v>1896</v>
      </c>
      <c r="AT756" s="15" t="s">
        <v>7985</v>
      </c>
      <c r="AU756" s="15" t="s">
        <v>7988</v>
      </c>
      <c r="AW756" s="15" t="s">
        <v>519</v>
      </c>
      <c r="AY756" s="15" t="s">
        <v>413</v>
      </c>
      <c r="AZ756" s="15" t="b">
        <v>0</v>
      </c>
      <c r="BA756" s="15" t="s">
        <v>413</v>
      </c>
      <c r="BB756" s="15" t="b">
        <v>0</v>
      </c>
      <c r="BC756" s="15" t="s">
        <v>8082</v>
      </c>
      <c r="BD756" s="15" t="s">
        <v>742</v>
      </c>
      <c r="BE756" s="15" t="str">
        <f t="shared" si="1243"/>
        <v>2</v>
      </c>
      <c r="BF756" s="15" t="s">
        <v>1564</v>
      </c>
      <c r="BG756" s="15" t="str">
        <f t="shared" si="1286"/>
        <v>81.89</v>
      </c>
      <c r="BH756" s="15" t="s">
        <v>2358</v>
      </c>
      <c r="BI756" s="15" t="str">
        <f t="shared" si="1287"/>
        <v>4.92</v>
      </c>
      <c r="BJ756" s="15" t="s">
        <v>1904</v>
      </c>
      <c r="BK756" s="15" t="str">
        <f t="shared" si="1288"/>
        <v>25.79</v>
      </c>
      <c r="BL756" s="15" t="s">
        <v>631</v>
      </c>
      <c r="BM756" s="15" t="str">
        <f t="shared" si="1289"/>
        <v>45.19</v>
      </c>
      <c r="BN756" s="15" t="s">
        <v>3375</v>
      </c>
      <c r="BO756" s="15" t="s">
        <v>2238</v>
      </c>
      <c r="BP756" s="15" t="str">
        <f t="shared" si="1281"/>
        <v>18.5</v>
      </c>
      <c r="BQ756" s="15" t="s">
        <v>810</v>
      </c>
      <c r="BR756" s="15" t="str">
        <f t="shared" si="1282"/>
        <v>18.9</v>
      </c>
      <c r="BS756" s="15" t="s">
        <v>552</v>
      </c>
      <c r="BT756" s="15" t="str">
        <f t="shared" si="1283"/>
        <v>34.65</v>
      </c>
      <c r="BU756" s="15" t="s">
        <v>1229</v>
      </c>
      <c r="BV756" s="15" t="str">
        <f t="shared" si="1284"/>
        <v>38.58</v>
      </c>
      <c r="BW756" s="15" t="s">
        <v>1110</v>
      </c>
      <c r="BZ756" s="15" t="s">
        <v>444</v>
      </c>
      <c r="CB756" s="15" t="s">
        <v>444</v>
      </c>
      <c r="CD756" s="15" t="s">
        <v>444</v>
      </c>
      <c r="CF756" s="15" t="s">
        <v>444</v>
      </c>
      <c r="CI756" s="15" t="s">
        <v>444</v>
      </c>
      <c r="CK756" s="15" t="s">
        <v>444</v>
      </c>
      <c r="CM756" s="15" t="s">
        <v>444</v>
      </c>
      <c r="CO756" s="15" t="s">
        <v>444</v>
      </c>
      <c r="CP756" s="15" t="str">
        <f t="shared" si="1290"/>
        <v>13.03</v>
      </c>
      <c r="CQ756" s="15" t="str">
        <f t="shared" si="1291"/>
        <v>0.369</v>
      </c>
      <c r="CR756" s="15" t="s">
        <v>417</v>
      </c>
      <c r="DC756" s="15" t="str">
        <f>IFERROR(__xludf.DUMMYFUNCTION("""COMPUTED_VALUE"""),"")</f>
        <v/>
      </c>
      <c r="DE756" s="15" t="str">
        <f>IFERROR(__xludf.DUMMYFUNCTION("""COMPUTED_VALUE"""),"")</f>
        <v/>
      </c>
      <c r="DG756" s="15" t="str">
        <f>IFERROR(__xludf.DUMMYFUNCTION("""COMPUTED_VALUE"""),"")</f>
        <v/>
      </c>
      <c r="DL756" s="15" t="str">
        <f>IFERROR(__xludf.DUMMYFUNCTION("""COMPUTED_VALUE"""),"")</f>
        <v/>
      </c>
      <c r="DM756" s="15" t="s">
        <v>444</v>
      </c>
      <c r="DN756" s="15" t="s">
        <v>419</v>
      </c>
      <c r="DO756" s="15">
        <v>0.0</v>
      </c>
      <c r="DP756" s="15" t="s">
        <v>419</v>
      </c>
      <c r="DR756" s="15">
        <v>0.0</v>
      </c>
      <c r="DT756" s="15" t="s">
        <v>420</v>
      </c>
      <c r="DU756" s="15" t="s">
        <v>419</v>
      </c>
      <c r="DY756" s="15">
        <v>0.0</v>
      </c>
      <c r="EF756" s="15" t="s">
        <v>1112</v>
      </c>
      <c r="EG756" s="15" t="s">
        <v>1113</v>
      </c>
      <c r="EH756" s="15" t="s">
        <v>7972</v>
      </c>
      <c r="EJ756" s="15" t="s">
        <v>424</v>
      </c>
      <c r="EK756" s="15" t="s">
        <v>446</v>
      </c>
      <c r="EM756" s="15" t="str">
        <f>IFERROR(__xludf.DUMMYFUNCTION("""COMPUTED_VALUE"""),"")</f>
        <v/>
      </c>
      <c r="EW756" s="15" t="s">
        <v>8074</v>
      </c>
      <c r="EY756" s="15" t="s">
        <v>8075</v>
      </c>
      <c r="FH756" s="15" t="s">
        <v>504</v>
      </c>
      <c r="FI756" s="15" t="s">
        <v>8074</v>
      </c>
      <c r="FJ756" s="15" t="s">
        <v>6046</v>
      </c>
      <c r="FK756" s="15" t="s">
        <v>5972</v>
      </c>
      <c r="FL756" s="15" t="s">
        <v>426</v>
      </c>
      <c r="FM756" s="15">
        <v>0.0</v>
      </c>
      <c r="FN756" s="15">
        <v>0.0</v>
      </c>
      <c r="FW756" s="15" t="s">
        <v>531</v>
      </c>
      <c r="GH756" s="15">
        <v>0.0</v>
      </c>
      <c r="GI756" s="15" t="s">
        <v>427</v>
      </c>
    </row>
    <row r="757" ht="15.75" customHeight="1">
      <c r="A757" s="14" t="s">
        <v>391</v>
      </c>
      <c r="B757" s="15" t="s">
        <v>8066</v>
      </c>
      <c r="C757" s="16"/>
      <c r="D757" s="15" t="s">
        <v>432</v>
      </c>
      <c r="G757" s="14" t="s">
        <v>393</v>
      </c>
      <c r="H757" s="14" t="s">
        <v>394</v>
      </c>
      <c r="I757" s="14" t="b">
        <v>1</v>
      </c>
      <c r="J757" s="14" t="s">
        <v>395</v>
      </c>
      <c r="L757" s="14" t="b">
        <v>0</v>
      </c>
      <c r="M757" s="15" t="s">
        <v>8083</v>
      </c>
      <c r="N757" s="14" t="s">
        <v>393</v>
      </c>
      <c r="O757" s="14" t="s">
        <v>393</v>
      </c>
      <c r="P757" s="15" t="s">
        <v>397</v>
      </c>
      <c r="Q757" s="15" t="s">
        <v>7632</v>
      </c>
      <c r="T757" s="14" t="b">
        <v>0</v>
      </c>
      <c r="U757" s="15" t="s">
        <v>8084</v>
      </c>
      <c r="V757" s="15" t="s">
        <v>1776</v>
      </c>
      <c r="W757" s="15" t="s">
        <v>401</v>
      </c>
      <c r="X757" s="15" t="s">
        <v>742</v>
      </c>
      <c r="Y757" s="15">
        <v>1313.0</v>
      </c>
      <c r="AA757" s="15" t="str">
        <f>"505"</f>
        <v>505</v>
      </c>
      <c r="AB757" s="14" t="b">
        <v>1</v>
      </c>
      <c r="AC757" s="14" t="b">
        <v>1</v>
      </c>
      <c r="AD757" s="15" t="str">
        <f>"198394019781"</f>
        <v>198394019781</v>
      </c>
      <c r="AE757" s="15" t="s">
        <v>8085</v>
      </c>
      <c r="AF757" s="14" t="s">
        <v>404</v>
      </c>
      <c r="AG757" s="14" t="s">
        <v>405</v>
      </c>
      <c r="AH757" s="14" t="s">
        <v>406</v>
      </c>
      <c r="AI757" s="15">
        <v>0.0</v>
      </c>
      <c r="AL757" s="15" t="s">
        <v>4874</v>
      </c>
      <c r="AM757" s="15" t="s">
        <v>2355</v>
      </c>
      <c r="AN757" s="15" t="s">
        <v>2356</v>
      </c>
      <c r="AO757" s="15" t="s">
        <v>1561</v>
      </c>
      <c r="AP757" s="15" t="s">
        <v>1562</v>
      </c>
      <c r="AQ757" s="15" t="s">
        <v>1276</v>
      </c>
      <c r="AR757" s="15" t="s">
        <v>1277</v>
      </c>
      <c r="AS757" s="15" t="s">
        <v>1896</v>
      </c>
      <c r="AT757" s="15" t="s">
        <v>7632</v>
      </c>
      <c r="AU757" s="15" t="s">
        <v>2351</v>
      </c>
      <c r="AW757" s="15" t="s">
        <v>519</v>
      </c>
      <c r="AY757" s="15" t="s">
        <v>413</v>
      </c>
      <c r="AZ757" s="15" t="b">
        <v>0</v>
      </c>
      <c r="BA757" s="15" t="s">
        <v>413</v>
      </c>
      <c r="BB757" s="15" t="b">
        <v>0</v>
      </c>
      <c r="BC757" s="15" t="s">
        <v>8086</v>
      </c>
      <c r="BD757" s="15" t="s">
        <v>742</v>
      </c>
      <c r="BE757" s="15" t="str">
        <f t="shared" si="1243"/>
        <v>2</v>
      </c>
      <c r="BF757" s="15" t="s">
        <v>1564</v>
      </c>
      <c r="BG757" s="15" t="str">
        <f t="shared" si="1286"/>
        <v>81.89</v>
      </c>
      <c r="BH757" s="15" t="s">
        <v>2358</v>
      </c>
      <c r="BI757" s="15" t="str">
        <f t="shared" si="1287"/>
        <v>4.92</v>
      </c>
      <c r="BJ757" s="15" t="s">
        <v>1904</v>
      </c>
      <c r="BK757" s="15" t="str">
        <f t="shared" si="1288"/>
        <v>25.79</v>
      </c>
      <c r="BL757" s="15" t="s">
        <v>631</v>
      </c>
      <c r="BM757" s="15" t="str">
        <f>"50.71"</f>
        <v>50.71</v>
      </c>
      <c r="BN757" s="15" t="s">
        <v>8087</v>
      </c>
      <c r="BO757" s="15" t="s">
        <v>2238</v>
      </c>
      <c r="BP757" s="15" t="str">
        <f t="shared" si="1281"/>
        <v>18.5</v>
      </c>
      <c r="BQ757" s="15" t="s">
        <v>810</v>
      </c>
      <c r="BR757" s="15" t="str">
        <f t="shared" si="1282"/>
        <v>18.9</v>
      </c>
      <c r="BS757" s="15" t="s">
        <v>552</v>
      </c>
      <c r="BT757" s="15" t="str">
        <f t="shared" si="1283"/>
        <v>34.65</v>
      </c>
      <c r="BU757" s="15" t="s">
        <v>1229</v>
      </c>
      <c r="BV757" s="15" t="str">
        <f>"42.99"</f>
        <v>42.99</v>
      </c>
      <c r="BW757" s="15" t="s">
        <v>2177</v>
      </c>
      <c r="BZ757" s="15" t="s">
        <v>444</v>
      </c>
      <c r="CB757" s="15" t="s">
        <v>444</v>
      </c>
      <c r="CD757" s="15" t="s">
        <v>444</v>
      </c>
      <c r="CF757" s="15" t="s">
        <v>444</v>
      </c>
      <c r="CI757" s="15" t="s">
        <v>444</v>
      </c>
      <c r="CK757" s="15" t="s">
        <v>444</v>
      </c>
      <c r="CM757" s="15" t="s">
        <v>444</v>
      </c>
      <c r="CO757" s="15" t="s">
        <v>444</v>
      </c>
      <c r="CP757" s="15" t="str">
        <f t="shared" si="1290"/>
        <v>13.03</v>
      </c>
      <c r="CQ757" s="15" t="str">
        <f t="shared" si="1291"/>
        <v>0.369</v>
      </c>
      <c r="CR757" s="15" t="s">
        <v>417</v>
      </c>
      <c r="DC757" s="15" t="str">
        <f>IFERROR(__xludf.DUMMYFUNCTION("""COMPUTED_VALUE"""),"")</f>
        <v/>
      </c>
      <c r="DE757" s="15" t="str">
        <f>IFERROR(__xludf.DUMMYFUNCTION("""COMPUTED_VALUE"""),"")</f>
        <v/>
      </c>
      <c r="DG757" s="15" t="str">
        <f>IFERROR(__xludf.DUMMYFUNCTION("""COMPUTED_VALUE"""),"")</f>
        <v/>
      </c>
      <c r="DL757" s="15" t="str">
        <f>IFERROR(__xludf.DUMMYFUNCTION("""COMPUTED_VALUE"""),"")</f>
        <v/>
      </c>
      <c r="DM757" s="15" t="s">
        <v>444</v>
      </c>
      <c r="DN757" s="15" t="s">
        <v>419</v>
      </c>
      <c r="DO757" s="15">
        <v>0.0</v>
      </c>
      <c r="DP757" s="15" t="s">
        <v>419</v>
      </c>
      <c r="DR757" s="15">
        <v>0.0</v>
      </c>
      <c r="DT757" s="15" t="s">
        <v>420</v>
      </c>
      <c r="DU757" s="15" t="s">
        <v>419</v>
      </c>
      <c r="DY757" s="15">
        <v>0.0</v>
      </c>
      <c r="EF757" s="15" t="s">
        <v>1112</v>
      </c>
      <c r="EG757" s="15" t="s">
        <v>1113</v>
      </c>
      <c r="EH757" s="15" t="s">
        <v>7972</v>
      </c>
      <c r="EJ757" s="15" t="s">
        <v>424</v>
      </c>
      <c r="EK757" s="15" t="s">
        <v>446</v>
      </c>
      <c r="EM757" s="15" t="str">
        <f>IFERROR(__xludf.DUMMYFUNCTION("""COMPUTED_VALUE"""),"")</f>
        <v/>
      </c>
      <c r="EW757" s="15" t="s">
        <v>8074</v>
      </c>
      <c r="EY757" s="15" t="s">
        <v>8075</v>
      </c>
      <c r="FH757" s="15" t="s">
        <v>504</v>
      </c>
      <c r="FI757" s="15" t="s">
        <v>8074</v>
      </c>
      <c r="FJ757" s="15" t="s">
        <v>6046</v>
      </c>
      <c r="FK757" s="15" t="s">
        <v>5972</v>
      </c>
      <c r="FL757" s="15" t="s">
        <v>426</v>
      </c>
      <c r="FM757" s="15">
        <v>0.0</v>
      </c>
      <c r="FN757" s="15">
        <v>0.0</v>
      </c>
      <c r="FW757" s="15" t="s">
        <v>531</v>
      </c>
      <c r="GH757" s="15">
        <v>0.0</v>
      </c>
      <c r="GI757" s="15" t="s">
        <v>427</v>
      </c>
    </row>
    <row r="758" ht="15.75" customHeight="1">
      <c r="A758" s="14" t="s">
        <v>391</v>
      </c>
      <c r="B758" s="15" t="s">
        <v>8088</v>
      </c>
      <c r="C758" s="16"/>
      <c r="D758" s="15" t="s">
        <v>432</v>
      </c>
      <c r="G758" s="14" t="s">
        <v>393</v>
      </c>
      <c r="H758" s="14" t="s">
        <v>394</v>
      </c>
      <c r="I758" s="14" t="b">
        <v>1</v>
      </c>
      <c r="J758" s="14" t="s">
        <v>395</v>
      </c>
      <c r="L758" s="14" t="b">
        <v>0</v>
      </c>
      <c r="M758" s="15" t="s">
        <v>8089</v>
      </c>
      <c r="N758" s="14" t="s">
        <v>393</v>
      </c>
      <c r="O758" s="14" t="s">
        <v>393</v>
      </c>
      <c r="P758" s="15" t="s">
        <v>397</v>
      </c>
      <c r="Q758" s="15" t="s">
        <v>7632</v>
      </c>
      <c r="T758" s="14" t="b">
        <v>0</v>
      </c>
      <c r="U758" s="15" t="s">
        <v>8090</v>
      </c>
      <c r="V758" s="15" t="s">
        <v>4017</v>
      </c>
      <c r="W758" s="15" t="s">
        <v>401</v>
      </c>
      <c r="X758" s="15" t="s">
        <v>742</v>
      </c>
      <c r="Y758" s="15">
        <v>2847.0</v>
      </c>
      <c r="AA758" s="15" t="str">
        <f>"1095"</f>
        <v>1095</v>
      </c>
      <c r="AB758" s="14" t="b">
        <v>1</v>
      </c>
      <c r="AC758" s="14" t="b">
        <v>1</v>
      </c>
      <c r="AD758" s="15" t="str">
        <f>"801542394363"</f>
        <v>801542394363</v>
      </c>
      <c r="AE758" s="15" t="s">
        <v>8091</v>
      </c>
      <c r="AF758" s="14" t="s">
        <v>404</v>
      </c>
      <c r="AG758" s="14" t="s">
        <v>405</v>
      </c>
      <c r="AH758" s="14" t="s">
        <v>406</v>
      </c>
      <c r="AI758" s="15">
        <v>0.0</v>
      </c>
      <c r="AL758" s="15" t="s">
        <v>4874</v>
      </c>
      <c r="AM758" s="15" t="s">
        <v>770</v>
      </c>
      <c r="AN758" s="15" t="s">
        <v>771</v>
      </c>
      <c r="AO758" s="15" t="s">
        <v>4283</v>
      </c>
      <c r="AP758" s="15" t="s">
        <v>4284</v>
      </c>
      <c r="AQ758" s="15" t="s">
        <v>517</v>
      </c>
      <c r="AR758" s="15" t="s">
        <v>518</v>
      </c>
      <c r="AS758" s="15" t="s">
        <v>1896</v>
      </c>
      <c r="AT758" s="15" t="s">
        <v>7632</v>
      </c>
      <c r="AU758" s="15" t="s">
        <v>2351</v>
      </c>
      <c r="AW758" s="15" t="s">
        <v>664</v>
      </c>
      <c r="AY758" s="15" t="s">
        <v>426</v>
      </c>
      <c r="AZ758" s="15" t="b">
        <v>1</v>
      </c>
      <c r="BA758" s="15" t="s">
        <v>413</v>
      </c>
      <c r="BB758" s="15" t="b">
        <v>0</v>
      </c>
      <c r="BC758" s="15" t="s">
        <v>8092</v>
      </c>
      <c r="BD758" s="15" t="s">
        <v>742</v>
      </c>
      <c r="BE758" s="15" t="str">
        <f>"1"</f>
        <v>1</v>
      </c>
      <c r="BF758" s="15" t="s">
        <v>1455</v>
      </c>
      <c r="BG758" s="15" t="str">
        <f>"97.83"</f>
        <v>97.83</v>
      </c>
      <c r="BH758" s="15" t="s">
        <v>7138</v>
      </c>
      <c r="BI758" s="15" t="str">
        <f>"26.77"</f>
        <v>26.77</v>
      </c>
      <c r="BJ758" s="15" t="s">
        <v>2322</v>
      </c>
      <c r="BK758" s="15" t="str">
        <f>"32.87"</f>
        <v>32.87</v>
      </c>
      <c r="BL758" s="15" t="s">
        <v>776</v>
      </c>
      <c r="BM758" s="15" t="str">
        <f>"272.27"</f>
        <v>272.27</v>
      </c>
      <c r="BN758" s="15" t="s">
        <v>8093</v>
      </c>
      <c r="BQ758" s="15" t="s">
        <v>444</v>
      </c>
      <c r="BS758" s="15" t="s">
        <v>444</v>
      </c>
      <c r="BU758" s="15" t="s">
        <v>444</v>
      </c>
      <c r="BW758" s="15" t="s">
        <v>444</v>
      </c>
      <c r="BZ758" s="15" t="s">
        <v>444</v>
      </c>
      <c r="CB758" s="15" t="s">
        <v>444</v>
      </c>
      <c r="CD758" s="15" t="s">
        <v>444</v>
      </c>
      <c r="CF758" s="15" t="s">
        <v>444</v>
      </c>
      <c r="CI758" s="15" t="s">
        <v>444</v>
      </c>
      <c r="CK758" s="15" t="s">
        <v>444</v>
      </c>
      <c r="CM758" s="15" t="s">
        <v>444</v>
      </c>
      <c r="CO758" s="15" t="s">
        <v>444</v>
      </c>
      <c r="CP758" s="15" t="str">
        <f>"49.83"</f>
        <v>49.83</v>
      </c>
      <c r="CQ758" s="15" t="str">
        <f>"1.411"</f>
        <v>1.411</v>
      </c>
      <c r="CR758" s="15" t="s">
        <v>497</v>
      </c>
      <c r="CV758" s="15" t="s">
        <v>2160</v>
      </c>
      <c r="CW758" s="15" t="s">
        <v>8094</v>
      </c>
      <c r="CX758" s="15" t="s">
        <v>8095</v>
      </c>
      <c r="DC758" s="15" t="str">
        <f>IFERROR(__xludf.DUMMYFUNCTION("""COMPUTED_VALUE"""),"")</f>
        <v/>
      </c>
      <c r="DE758" s="15" t="str">
        <f>IFERROR(__xludf.DUMMYFUNCTION("""COMPUTED_VALUE"""),"")</f>
        <v/>
      </c>
      <c r="DG758" s="15" t="str">
        <f>IFERROR(__xludf.DUMMYFUNCTION("""COMPUTED_VALUE"""),"")</f>
        <v/>
      </c>
      <c r="DL758" s="15" t="str">
        <f>IFERROR(__xludf.DUMMYFUNCTION("""COMPUTED_VALUE"""),"")</f>
        <v/>
      </c>
      <c r="DM758" s="15" t="s">
        <v>444</v>
      </c>
      <c r="DN758" s="15" t="s">
        <v>419</v>
      </c>
      <c r="DO758" s="15">
        <v>0.0</v>
      </c>
      <c r="DP758" s="15" t="s">
        <v>419</v>
      </c>
      <c r="DR758" s="15">
        <v>0.0</v>
      </c>
      <c r="DT758" s="15" t="s">
        <v>721</v>
      </c>
      <c r="DU758" s="15" t="s">
        <v>610</v>
      </c>
      <c r="DW758" s="15">
        <v>18.14</v>
      </c>
      <c r="DX758" s="15">
        <v>40.0</v>
      </c>
      <c r="DY758" s="15">
        <v>2.0</v>
      </c>
      <c r="EG758" s="15" t="s">
        <v>444</v>
      </c>
      <c r="EH758" s="15" t="s">
        <v>7972</v>
      </c>
      <c r="EJ758" s="15" t="s">
        <v>424</v>
      </c>
      <c r="EK758" s="15" t="s">
        <v>446</v>
      </c>
      <c r="EM758" s="15" t="str">
        <f>IFERROR(__xludf.DUMMYFUNCTION("""COMPUTED_VALUE"""),"")</f>
        <v/>
      </c>
      <c r="EW758" s="15" t="s">
        <v>1955</v>
      </c>
      <c r="FL758" s="15" t="s">
        <v>426</v>
      </c>
      <c r="FM758" s="15">
        <v>2.0</v>
      </c>
      <c r="FY758" s="15" t="s">
        <v>8096</v>
      </c>
      <c r="FZ758" s="15" t="s">
        <v>782</v>
      </c>
      <c r="GA758" s="15" t="s">
        <v>824</v>
      </c>
      <c r="GB758" s="15" t="s">
        <v>2160</v>
      </c>
      <c r="GC758" s="15" t="s">
        <v>782</v>
      </c>
      <c r="GD758" s="15" t="s">
        <v>8095</v>
      </c>
      <c r="GE758" s="15">
        <v>0.0</v>
      </c>
      <c r="GG758" s="15" t="s">
        <v>1883</v>
      </c>
      <c r="GH758" s="15">
        <v>4.0</v>
      </c>
      <c r="GI758" s="15" t="s">
        <v>614</v>
      </c>
      <c r="GJ758" s="15" t="s">
        <v>1045</v>
      </c>
      <c r="GK758" s="15">
        <v>0.0</v>
      </c>
      <c r="GL758" s="15" t="s">
        <v>426</v>
      </c>
      <c r="GN758" s="15" t="s">
        <v>616</v>
      </c>
      <c r="HA758" s="15" t="s">
        <v>2160</v>
      </c>
      <c r="HB758" s="15" t="s">
        <v>8094</v>
      </c>
      <c r="HC758" s="15" t="s">
        <v>8095</v>
      </c>
      <c r="HW758" s="15" t="s">
        <v>1957</v>
      </c>
      <c r="IH758" s="15" t="s">
        <v>426</v>
      </c>
      <c r="LF758" s="15" t="s">
        <v>2604</v>
      </c>
    </row>
    <row r="759" ht="15.75" customHeight="1">
      <c r="A759" s="14" t="s">
        <v>391</v>
      </c>
      <c r="B759" s="15" t="s">
        <v>8097</v>
      </c>
      <c r="C759" s="16"/>
      <c r="D759" s="15" t="s">
        <v>432</v>
      </c>
      <c r="G759" s="14" t="s">
        <v>393</v>
      </c>
      <c r="H759" s="14" t="s">
        <v>394</v>
      </c>
      <c r="I759" s="14" t="b">
        <v>1</v>
      </c>
      <c r="J759" s="14" t="s">
        <v>395</v>
      </c>
      <c r="L759" s="14" t="b">
        <v>0</v>
      </c>
      <c r="M759" s="15" t="s">
        <v>8098</v>
      </c>
      <c r="N759" s="14" t="s">
        <v>393</v>
      </c>
      <c r="O759" s="14" t="s">
        <v>393</v>
      </c>
      <c r="P759" s="15" t="s">
        <v>397</v>
      </c>
      <c r="Q759" s="15" t="s">
        <v>2536</v>
      </c>
      <c r="R759" s="15" t="s">
        <v>265</v>
      </c>
      <c r="S759" s="15" t="s">
        <v>828</v>
      </c>
      <c r="T759" s="14" t="b">
        <v>0</v>
      </c>
      <c r="U759" s="15" t="s">
        <v>8099</v>
      </c>
      <c r="V759" s="15" t="s">
        <v>768</v>
      </c>
      <c r="W759" s="15" t="s">
        <v>401</v>
      </c>
      <c r="X759" s="15" t="s">
        <v>742</v>
      </c>
      <c r="Y759" s="15">
        <v>2951.0</v>
      </c>
      <c r="AA759" s="15" t="str">
        <f>"1135"</f>
        <v>1135</v>
      </c>
      <c r="AB759" s="14" t="b">
        <v>1</v>
      </c>
      <c r="AC759" s="14" t="b">
        <v>1</v>
      </c>
      <c r="AD759" s="15" t="str">
        <f>"198394124515"</f>
        <v>198394124515</v>
      </c>
      <c r="AE759" s="15" t="s">
        <v>8100</v>
      </c>
      <c r="AF759" s="14" t="s">
        <v>404</v>
      </c>
      <c r="AG759" s="14" t="s">
        <v>405</v>
      </c>
      <c r="AH759" s="14" t="s">
        <v>406</v>
      </c>
      <c r="AI759" s="15">
        <v>0.0</v>
      </c>
      <c r="AL759" s="15" t="s">
        <v>8101</v>
      </c>
      <c r="AM759" s="15" t="s">
        <v>1746</v>
      </c>
      <c r="AN759" s="15" t="s">
        <v>1750</v>
      </c>
      <c r="AO759" s="15" t="s">
        <v>8102</v>
      </c>
      <c r="AP759" s="15" t="s">
        <v>8103</v>
      </c>
      <c r="AQ759" s="15" t="s">
        <v>8104</v>
      </c>
      <c r="AR759" s="15" t="s">
        <v>3837</v>
      </c>
      <c r="AS759" s="15" t="s">
        <v>2759</v>
      </c>
      <c r="AT759" s="15" t="s">
        <v>2536</v>
      </c>
      <c r="AW759" s="15" t="s">
        <v>839</v>
      </c>
      <c r="AX759" s="15" t="s">
        <v>828</v>
      </c>
      <c r="AY759" s="15" t="s">
        <v>413</v>
      </c>
      <c r="AZ759" s="15" t="b">
        <v>0</v>
      </c>
      <c r="BA759" s="15" t="s">
        <v>426</v>
      </c>
      <c r="BB759" s="15" t="b">
        <v>1</v>
      </c>
      <c r="BD759" s="15" t="s">
        <v>742</v>
      </c>
      <c r="BE759" s="15" t="str">
        <f t="shared" ref="BE759:BE760" si="1292">"3"</f>
        <v>3</v>
      </c>
      <c r="BF759" s="15" t="s">
        <v>6421</v>
      </c>
      <c r="BG759" s="15" t="str">
        <f>"90.16"</f>
        <v>90.16</v>
      </c>
      <c r="BH759" s="15" t="s">
        <v>3095</v>
      </c>
      <c r="BI759" s="15" t="str">
        <f t="shared" ref="BI759:BI760" si="1293">"23.23"</f>
        <v>23.23</v>
      </c>
      <c r="BJ759" s="15" t="s">
        <v>2616</v>
      </c>
      <c r="BK759" s="15" t="str">
        <f t="shared" ref="BK759:BK760" si="1294">"49.02"</f>
        <v>49.02</v>
      </c>
      <c r="BL759" s="15" t="s">
        <v>8105</v>
      </c>
      <c r="BM759" s="15" t="str">
        <f>"157.63"</f>
        <v>157.63</v>
      </c>
      <c r="BN759" s="15" t="s">
        <v>3067</v>
      </c>
      <c r="BO759" s="15" t="s">
        <v>5335</v>
      </c>
      <c r="BP759" s="15" t="str">
        <f t="shared" ref="BP759:BP760" si="1295">"85.63"</f>
        <v>85.63</v>
      </c>
      <c r="BQ759" s="15" t="s">
        <v>8106</v>
      </c>
      <c r="BR759" s="15" t="str">
        <f t="shared" ref="BR759:BR760" si="1296">"14.76"</f>
        <v>14.76</v>
      </c>
      <c r="BS759" s="15" t="s">
        <v>4137</v>
      </c>
      <c r="BT759" s="15" t="str">
        <f t="shared" ref="BT759:BT760" si="1297">"18.11"</f>
        <v>18.11</v>
      </c>
      <c r="BU759" s="15" t="s">
        <v>3773</v>
      </c>
      <c r="BV759" s="15" t="str">
        <f>"112.44"</f>
        <v>112.44</v>
      </c>
      <c r="BW759" s="15" t="s">
        <v>2462</v>
      </c>
      <c r="BX759" s="15" t="s">
        <v>6425</v>
      </c>
      <c r="BY759" s="15" t="str">
        <f>"87.4"</f>
        <v>87.4</v>
      </c>
      <c r="BZ759" s="15" t="s">
        <v>1032</v>
      </c>
      <c r="CA759" s="15" t="str">
        <f t="shared" ref="CA759:CA760" si="1298">"12.01"</f>
        <v>12.01</v>
      </c>
      <c r="CB759" s="15" t="s">
        <v>844</v>
      </c>
      <c r="CC759" s="15" t="str">
        <f t="shared" ref="CC759:CC760" si="1299">"13.78"</f>
        <v>13.78</v>
      </c>
      <c r="CD759" s="15" t="s">
        <v>6566</v>
      </c>
      <c r="CE759" s="15" t="str">
        <f>"97"</f>
        <v>97</v>
      </c>
      <c r="CF759" s="15" t="s">
        <v>5886</v>
      </c>
      <c r="CI759" s="15" t="s">
        <v>444</v>
      </c>
      <c r="CK759" s="15" t="s">
        <v>444</v>
      </c>
      <c r="CM759" s="15" t="s">
        <v>444</v>
      </c>
      <c r="CO759" s="15" t="s">
        <v>444</v>
      </c>
      <c r="CP759" s="15" t="str">
        <f>"81.01"</f>
        <v>81.01</v>
      </c>
      <c r="CQ759" s="15" t="str">
        <f>"2.294"</f>
        <v>2.294</v>
      </c>
      <c r="CR759" s="15" t="s">
        <v>417</v>
      </c>
      <c r="DC759" s="15" t="str">
        <f>IFERROR(__xludf.DUMMYFUNCTION("""COMPUTED_VALUE"""),"")</f>
        <v/>
      </c>
      <c r="DE759" s="15" t="str">
        <f>IFERROR(__xludf.DUMMYFUNCTION("""COMPUTED_VALUE"""),"")</f>
        <v/>
      </c>
      <c r="DG759" s="15" t="str">
        <f>IFERROR(__xludf.DUMMYFUNCTION("""COMPUTED_VALUE"""),"")</f>
        <v/>
      </c>
      <c r="DK759" s="15" t="s">
        <v>855</v>
      </c>
      <c r="DL759" s="15" t="str">
        <f>IFERROR(__xludf.DUMMYFUNCTION("""COMPUTED_VALUE"""),"Clean with solvent-based (dry clean only) products. Do not use water.")</f>
        <v>Clean with solvent-based (dry clean only) products. Do not use water.</v>
      </c>
      <c r="DM759" s="15" t="s">
        <v>856</v>
      </c>
      <c r="DN759" s="15" t="s">
        <v>419</v>
      </c>
      <c r="DO759" s="15">
        <v>0.0</v>
      </c>
      <c r="DP759" s="15" t="s">
        <v>419</v>
      </c>
      <c r="DR759" s="15">
        <v>0.0</v>
      </c>
      <c r="DT759" s="15" t="s">
        <v>3952</v>
      </c>
      <c r="DU759" s="15" t="s">
        <v>419</v>
      </c>
      <c r="DW759" s="15">
        <v>0.0</v>
      </c>
      <c r="DX759" s="15">
        <v>0.0</v>
      </c>
      <c r="DY759" s="15">
        <v>0.0</v>
      </c>
      <c r="DZ759" s="15">
        <v>25000.0</v>
      </c>
      <c r="EG759" s="15" t="s">
        <v>444</v>
      </c>
      <c r="EH759" s="15" t="s">
        <v>8107</v>
      </c>
      <c r="EJ759" s="15" t="s">
        <v>858</v>
      </c>
      <c r="EK759" s="15" t="s">
        <v>859</v>
      </c>
      <c r="EM759" s="15" t="str">
        <f>IFERROR(__xludf.DUMMYFUNCTION("""COMPUTED_VALUE"""),"")</f>
        <v/>
      </c>
      <c r="FM759" s="15">
        <v>0.0</v>
      </c>
      <c r="IP759" s="15" t="s">
        <v>8108</v>
      </c>
      <c r="IQ759" s="15" t="s">
        <v>761</v>
      </c>
      <c r="IR759" s="15" t="s">
        <v>2843</v>
      </c>
      <c r="IS759" s="15" t="s">
        <v>8109</v>
      </c>
      <c r="IT759" s="15" t="s">
        <v>8110</v>
      </c>
      <c r="IU759" s="15" t="s">
        <v>8111</v>
      </c>
      <c r="IV759" s="15" t="s">
        <v>2971</v>
      </c>
      <c r="IW759" s="15" t="s">
        <v>8112</v>
      </c>
      <c r="IX759" s="15" t="s">
        <v>869</v>
      </c>
      <c r="IY759" s="15" t="s">
        <v>504</v>
      </c>
      <c r="IZ759" s="15" t="s">
        <v>8113</v>
      </c>
      <c r="JA759" s="15" t="s">
        <v>761</v>
      </c>
      <c r="JB759" s="15" t="s">
        <v>426</v>
      </c>
      <c r="JC759" s="15" t="s">
        <v>2973</v>
      </c>
      <c r="JD759" s="15" t="s">
        <v>872</v>
      </c>
      <c r="JE759" s="15" t="s">
        <v>873</v>
      </c>
      <c r="JF759" s="15" t="s">
        <v>828</v>
      </c>
      <c r="JL759" s="15" t="s">
        <v>759</v>
      </c>
      <c r="JM759" s="15" t="s">
        <v>8114</v>
      </c>
      <c r="JO759" s="15" t="s">
        <v>426</v>
      </c>
      <c r="JP759" s="15" t="s">
        <v>2474</v>
      </c>
      <c r="JS759" s="15" t="s">
        <v>3960</v>
      </c>
      <c r="JT759" s="15" t="s">
        <v>8115</v>
      </c>
    </row>
    <row r="760" ht="15.75" customHeight="1">
      <c r="A760" s="14" t="s">
        <v>391</v>
      </c>
      <c r="B760" s="15" t="s">
        <v>8097</v>
      </c>
      <c r="C760" s="16"/>
      <c r="D760" s="15" t="s">
        <v>432</v>
      </c>
      <c r="G760" s="14" t="s">
        <v>393</v>
      </c>
      <c r="H760" s="14" t="s">
        <v>394</v>
      </c>
      <c r="I760" s="14" t="b">
        <v>1</v>
      </c>
      <c r="J760" s="14" t="s">
        <v>395</v>
      </c>
      <c r="L760" s="14" t="b">
        <v>0</v>
      </c>
      <c r="M760" s="15" t="s">
        <v>8116</v>
      </c>
      <c r="N760" s="14" t="s">
        <v>393</v>
      </c>
      <c r="O760" s="14" t="s">
        <v>393</v>
      </c>
      <c r="P760" s="15" t="s">
        <v>397</v>
      </c>
      <c r="Q760" s="15" t="s">
        <v>2536</v>
      </c>
      <c r="R760" s="15" t="s">
        <v>265</v>
      </c>
      <c r="S760" s="15" t="s">
        <v>877</v>
      </c>
      <c r="T760" s="14" t="b">
        <v>0</v>
      </c>
      <c r="U760" s="15" t="s">
        <v>8117</v>
      </c>
      <c r="V760" s="15" t="s">
        <v>8118</v>
      </c>
      <c r="W760" s="15" t="s">
        <v>401</v>
      </c>
      <c r="X760" s="15" t="s">
        <v>742</v>
      </c>
      <c r="Y760" s="15">
        <v>2626.0</v>
      </c>
      <c r="AA760" s="15" t="str">
        <f>"1010"</f>
        <v>1010</v>
      </c>
      <c r="AB760" s="14" t="b">
        <v>1</v>
      </c>
      <c r="AC760" s="14" t="b">
        <v>1</v>
      </c>
      <c r="AD760" s="15" t="str">
        <f>"198394124522"</f>
        <v>198394124522</v>
      </c>
      <c r="AE760" s="15" t="s">
        <v>8100</v>
      </c>
      <c r="AF760" s="14" t="s">
        <v>404</v>
      </c>
      <c r="AG760" s="14" t="s">
        <v>405</v>
      </c>
      <c r="AH760" s="14" t="s">
        <v>406</v>
      </c>
      <c r="AI760" s="15">
        <v>0.0</v>
      </c>
      <c r="AL760" s="15" t="s">
        <v>8101</v>
      </c>
      <c r="AM760" s="15" t="s">
        <v>745</v>
      </c>
      <c r="AN760" s="15" t="s">
        <v>746</v>
      </c>
      <c r="AO760" s="15" t="s">
        <v>8102</v>
      </c>
      <c r="AP760" s="15" t="s">
        <v>8103</v>
      </c>
      <c r="AQ760" s="15" t="s">
        <v>8104</v>
      </c>
      <c r="AR760" s="15" t="s">
        <v>3837</v>
      </c>
      <c r="AS760" s="15" t="s">
        <v>2759</v>
      </c>
      <c r="AT760" s="15" t="s">
        <v>2536</v>
      </c>
      <c r="AW760" s="15" t="s">
        <v>839</v>
      </c>
      <c r="AX760" s="15" t="s">
        <v>877</v>
      </c>
      <c r="AY760" s="15" t="s">
        <v>413</v>
      </c>
      <c r="AZ760" s="15" t="b">
        <v>0</v>
      </c>
      <c r="BA760" s="15" t="s">
        <v>426</v>
      </c>
      <c r="BB760" s="15" t="b">
        <v>1</v>
      </c>
      <c r="BD760" s="15" t="s">
        <v>742</v>
      </c>
      <c r="BE760" s="15" t="str">
        <f t="shared" si="1292"/>
        <v>3</v>
      </c>
      <c r="BF760" s="15" t="s">
        <v>6421</v>
      </c>
      <c r="BG760" s="15" t="str">
        <f>"74.02"</f>
        <v>74.02</v>
      </c>
      <c r="BH760" s="15" t="s">
        <v>3201</v>
      </c>
      <c r="BI760" s="15" t="str">
        <f t="shared" si="1293"/>
        <v>23.23</v>
      </c>
      <c r="BJ760" s="15" t="s">
        <v>2616</v>
      </c>
      <c r="BK760" s="15" t="str">
        <f t="shared" si="1294"/>
        <v>49.02</v>
      </c>
      <c r="BL760" s="15" t="s">
        <v>8105</v>
      </c>
      <c r="BM760" s="15" t="str">
        <f>"123.46"</f>
        <v>123.46</v>
      </c>
      <c r="BN760" s="15" t="s">
        <v>5318</v>
      </c>
      <c r="BO760" s="15" t="s">
        <v>5335</v>
      </c>
      <c r="BP760" s="15" t="str">
        <f t="shared" si="1295"/>
        <v>85.63</v>
      </c>
      <c r="BQ760" s="15" t="s">
        <v>8106</v>
      </c>
      <c r="BR760" s="15" t="str">
        <f t="shared" si="1296"/>
        <v>14.76</v>
      </c>
      <c r="BS760" s="15" t="s">
        <v>4137</v>
      </c>
      <c r="BT760" s="15" t="str">
        <f t="shared" si="1297"/>
        <v>18.11</v>
      </c>
      <c r="BU760" s="15" t="s">
        <v>3773</v>
      </c>
      <c r="BV760" s="15" t="str">
        <f>"103.62"</f>
        <v>103.62</v>
      </c>
      <c r="BW760" s="15" t="s">
        <v>2045</v>
      </c>
      <c r="BX760" s="15" t="s">
        <v>6425</v>
      </c>
      <c r="BY760" s="15" t="str">
        <f>"71.26"</f>
        <v>71.26</v>
      </c>
      <c r="BZ760" s="15" t="s">
        <v>5844</v>
      </c>
      <c r="CA760" s="15" t="str">
        <f t="shared" si="1298"/>
        <v>12.01</v>
      </c>
      <c r="CB760" s="15" t="s">
        <v>844</v>
      </c>
      <c r="CC760" s="15" t="str">
        <f t="shared" si="1299"/>
        <v>13.78</v>
      </c>
      <c r="CD760" s="15" t="s">
        <v>6566</v>
      </c>
      <c r="CE760" s="15" t="str">
        <f>"74.96"</f>
        <v>74.96</v>
      </c>
      <c r="CF760" s="15" t="s">
        <v>3559</v>
      </c>
      <c r="CI760" s="15" t="s">
        <v>444</v>
      </c>
      <c r="CK760" s="15" t="s">
        <v>444</v>
      </c>
      <c r="CM760" s="15" t="s">
        <v>444</v>
      </c>
      <c r="CO760" s="15" t="s">
        <v>444</v>
      </c>
      <c r="CP760" s="15" t="str">
        <f>"68.83"</f>
        <v>68.83</v>
      </c>
      <c r="CQ760" s="15" t="str">
        <f>"1.949"</f>
        <v>1.949</v>
      </c>
      <c r="CR760" s="15" t="s">
        <v>417</v>
      </c>
      <c r="DC760" s="15" t="str">
        <f>IFERROR(__xludf.DUMMYFUNCTION("""COMPUTED_VALUE"""),"")</f>
        <v/>
      </c>
      <c r="DE760" s="15" t="str">
        <f>IFERROR(__xludf.DUMMYFUNCTION("""COMPUTED_VALUE"""),"")</f>
        <v/>
      </c>
      <c r="DG760" s="15" t="str">
        <f>IFERROR(__xludf.DUMMYFUNCTION("""COMPUTED_VALUE"""),"")</f>
        <v/>
      </c>
      <c r="DK760" s="15" t="s">
        <v>855</v>
      </c>
      <c r="DL760" s="15" t="str">
        <f>IFERROR(__xludf.DUMMYFUNCTION("""COMPUTED_VALUE"""),"Clean with solvent-based (dry clean only) products. Do not use water.")</f>
        <v>Clean with solvent-based (dry clean only) products. Do not use water.</v>
      </c>
      <c r="DM760" s="15" t="s">
        <v>856</v>
      </c>
      <c r="DN760" s="15" t="s">
        <v>419</v>
      </c>
      <c r="DO760" s="15">
        <v>0.0</v>
      </c>
      <c r="DP760" s="15" t="s">
        <v>419</v>
      </c>
      <c r="DR760" s="15">
        <v>0.0</v>
      </c>
      <c r="DT760" s="15" t="s">
        <v>3952</v>
      </c>
      <c r="DU760" s="15" t="s">
        <v>419</v>
      </c>
      <c r="DW760" s="15">
        <v>0.0</v>
      </c>
      <c r="DX760" s="15">
        <v>0.0</v>
      </c>
      <c r="DY760" s="15">
        <v>0.0</v>
      </c>
      <c r="DZ760" s="15">
        <v>25000.0</v>
      </c>
      <c r="EG760" s="15" t="s">
        <v>444</v>
      </c>
      <c r="EH760" s="15" t="s">
        <v>8107</v>
      </c>
      <c r="EJ760" s="15" t="s">
        <v>858</v>
      </c>
      <c r="EK760" s="15" t="s">
        <v>859</v>
      </c>
      <c r="EM760" s="15" t="str">
        <f>IFERROR(__xludf.DUMMYFUNCTION("""COMPUTED_VALUE"""),"")</f>
        <v/>
      </c>
      <c r="FM760" s="15">
        <v>0.0</v>
      </c>
      <c r="IP760" s="15" t="s">
        <v>8108</v>
      </c>
      <c r="IQ760" s="15" t="s">
        <v>761</v>
      </c>
      <c r="IR760" s="15" t="s">
        <v>8119</v>
      </c>
      <c r="IS760" s="15" t="s">
        <v>8109</v>
      </c>
      <c r="IT760" s="15" t="s">
        <v>8110</v>
      </c>
      <c r="IU760" s="15" t="s">
        <v>8120</v>
      </c>
      <c r="IV760" s="15" t="s">
        <v>2971</v>
      </c>
      <c r="IW760" s="15" t="s">
        <v>8112</v>
      </c>
      <c r="IX760" s="15" t="s">
        <v>890</v>
      </c>
      <c r="IY760" s="15" t="s">
        <v>504</v>
      </c>
      <c r="IZ760" s="15" t="s">
        <v>8113</v>
      </c>
      <c r="JA760" s="15" t="s">
        <v>761</v>
      </c>
      <c r="JB760" s="15" t="s">
        <v>426</v>
      </c>
      <c r="JC760" s="15" t="s">
        <v>2973</v>
      </c>
      <c r="JD760" s="15" t="s">
        <v>872</v>
      </c>
      <c r="JE760" s="15" t="s">
        <v>873</v>
      </c>
      <c r="JF760" s="15" t="s">
        <v>877</v>
      </c>
      <c r="JL760" s="15" t="s">
        <v>759</v>
      </c>
      <c r="JM760" s="15" t="s">
        <v>8114</v>
      </c>
      <c r="JO760" s="15" t="s">
        <v>426</v>
      </c>
      <c r="JP760" s="15" t="s">
        <v>2474</v>
      </c>
      <c r="JS760" s="15" t="s">
        <v>3960</v>
      </c>
      <c r="JT760" s="15" t="s">
        <v>8121</v>
      </c>
    </row>
    <row r="761" ht="15.75" customHeight="1">
      <c r="A761" s="14" t="s">
        <v>391</v>
      </c>
      <c r="B761" s="15" t="s">
        <v>8122</v>
      </c>
      <c r="C761" s="16"/>
      <c r="D761" s="15" t="s">
        <v>432</v>
      </c>
      <c r="G761" s="14" t="s">
        <v>393</v>
      </c>
      <c r="H761" s="14" t="s">
        <v>394</v>
      </c>
      <c r="I761" s="14" t="b">
        <v>1</v>
      </c>
      <c r="J761" s="14" t="s">
        <v>395</v>
      </c>
      <c r="L761" s="14" t="b">
        <v>0</v>
      </c>
      <c r="M761" s="15" t="s">
        <v>8123</v>
      </c>
      <c r="N761" s="14" t="s">
        <v>393</v>
      </c>
      <c r="O761" s="14" t="s">
        <v>393</v>
      </c>
      <c r="P761" s="15" t="s">
        <v>397</v>
      </c>
      <c r="Q761" s="15" t="s">
        <v>8124</v>
      </c>
      <c r="T761" s="14" t="b">
        <v>0</v>
      </c>
      <c r="U761" s="15" t="s">
        <v>8125</v>
      </c>
      <c r="V761" s="15" t="s">
        <v>8126</v>
      </c>
      <c r="W761" s="15" t="s">
        <v>401</v>
      </c>
      <c r="X761" s="15" t="s">
        <v>695</v>
      </c>
      <c r="Y761" s="15">
        <v>2301.0</v>
      </c>
      <c r="AA761" s="15" t="str">
        <f>"885"</f>
        <v>885</v>
      </c>
      <c r="AB761" s="14" t="b">
        <v>1</v>
      </c>
      <c r="AC761" s="14" t="b">
        <v>1</v>
      </c>
      <c r="AD761" s="15" t="str">
        <f>"801542133504"</f>
        <v>801542133504</v>
      </c>
      <c r="AE761" s="15" t="s">
        <v>8127</v>
      </c>
      <c r="AF761" s="14" t="s">
        <v>404</v>
      </c>
      <c r="AG761" s="14" t="s">
        <v>405</v>
      </c>
      <c r="AH761" s="14" t="s">
        <v>406</v>
      </c>
      <c r="AI761" s="15">
        <v>0.0</v>
      </c>
      <c r="AL761" s="15" t="s">
        <v>8128</v>
      </c>
      <c r="AM761" s="15" t="s">
        <v>701</v>
      </c>
      <c r="AN761" s="15" t="s">
        <v>702</v>
      </c>
      <c r="AO761" s="15" t="s">
        <v>410</v>
      </c>
      <c r="AP761" s="15" t="s">
        <v>439</v>
      </c>
      <c r="AQ761" s="15" t="s">
        <v>1057</v>
      </c>
      <c r="AR761" s="15" t="s">
        <v>1058</v>
      </c>
      <c r="AS761" s="15" t="s">
        <v>2492</v>
      </c>
      <c r="AT761" s="15" t="s">
        <v>8124</v>
      </c>
      <c r="AU761" s="15" t="s">
        <v>3902</v>
      </c>
      <c r="AW761" s="15" t="s">
        <v>706</v>
      </c>
      <c r="AX761" s="15" t="s">
        <v>707</v>
      </c>
      <c r="AY761" s="15" t="s">
        <v>413</v>
      </c>
      <c r="AZ761" s="15" t="b">
        <v>0</v>
      </c>
      <c r="BA761" s="15" t="s">
        <v>413</v>
      </c>
      <c r="BB761" s="15" t="b">
        <v>0</v>
      </c>
      <c r="BC761" s="15" t="s">
        <v>8129</v>
      </c>
      <c r="BD761" s="15" t="s">
        <v>709</v>
      </c>
      <c r="BE761" s="15" t="str">
        <f t="shared" ref="BE761:BE772" si="1300">"1"</f>
        <v>1</v>
      </c>
      <c r="BF761" s="15" t="s">
        <v>1477</v>
      </c>
      <c r="BG761" s="15" t="str">
        <f>"29.53"</f>
        <v>29.53</v>
      </c>
      <c r="BH761" s="15" t="s">
        <v>1062</v>
      </c>
      <c r="BI761" s="15" t="str">
        <f>"33.07"</f>
        <v>33.07</v>
      </c>
      <c r="BJ761" s="15" t="s">
        <v>1091</v>
      </c>
      <c r="BK761" s="15" t="str">
        <f>"34.65"</f>
        <v>34.65</v>
      </c>
      <c r="BL761" s="15" t="s">
        <v>1229</v>
      </c>
      <c r="BM761" s="15" t="str">
        <f>"51.59"</f>
        <v>51.59</v>
      </c>
      <c r="BN761" s="15" t="s">
        <v>8130</v>
      </c>
      <c r="BQ761" s="15" t="s">
        <v>444</v>
      </c>
      <c r="BS761" s="15" t="s">
        <v>444</v>
      </c>
      <c r="BU761" s="15" t="s">
        <v>444</v>
      </c>
      <c r="BW761" s="15" t="s">
        <v>444</v>
      </c>
      <c r="BZ761" s="15" t="s">
        <v>444</v>
      </c>
      <c r="CB761" s="15" t="s">
        <v>444</v>
      </c>
      <c r="CD761" s="15" t="s">
        <v>444</v>
      </c>
      <c r="CF761" s="15" t="s">
        <v>444</v>
      </c>
      <c r="CI761" s="15" t="s">
        <v>444</v>
      </c>
      <c r="CK761" s="15" t="s">
        <v>444</v>
      </c>
      <c r="CM761" s="15" t="s">
        <v>444</v>
      </c>
      <c r="CO761" s="15" t="s">
        <v>444</v>
      </c>
      <c r="CP761" s="15" t="str">
        <f>"17.52"</f>
        <v>17.52</v>
      </c>
      <c r="CQ761" s="15" t="str">
        <f>"0.496"</f>
        <v>0.496</v>
      </c>
      <c r="CR761" s="15" t="s">
        <v>465</v>
      </c>
      <c r="DB761" s="15" t="s">
        <v>2647</v>
      </c>
      <c r="DC761" s="15" t="str">
        <f>IFERROR(__xludf.DUMMYFUNCTION("""COMPUTED_VALUE"""),"{""value"":25.20,""unit"":""in""}")</f>
        <v>{"value":25.20,"unit":"in"}</v>
      </c>
      <c r="DD761" s="15" t="s">
        <v>6018</v>
      </c>
      <c r="DE761" s="15" t="str">
        <f>IFERROR(__xludf.DUMMYFUNCTION("""COMPUTED_VALUE"""),"{""value"":17.25,""unit"":""in""}")</f>
        <v>{"value":17.25,"unit":"in"}</v>
      </c>
      <c r="DG761" s="15" t="str">
        <f>IFERROR(__xludf.DUMMYFUNCTION("""COMPUTED_VALUE"""),"")</f>
        <v/>
      </c>
      <c r="DH761" s="15">
        <v>0.0</v>
      </c>
      <c r="DI761" s="15">
        <v>1.0</v>
      </c>
      <c r="DJ761" s="15" t="s">
        <v>717</v>
      </c>
      <c r="DK761" s="15" t="s">
        <v>718</v>
      </c>
      <c r="DL761" s="15" t="str">
        <f>IFERROR(__xludf.DUMMYFUNCTION("""COMPUTED_VALUE"""),"Vacuum or light brush only. Do not use water or any cleaning products.")</f>
        <v>Vacuum or light brush only. Do not use water or any cleaning products.</v>
      </c>
      <c r="DM761" s="15" t="s">
        <v>719</v>
      </c>
      <c r="DT761" s="15" t="s">
        <v>1111</v>
      </c>
      <c r="DU761" s="15" t="s">
        <v>419</v>
      </c>
      <c r="DV761" s="15">
        <v>0.0</v>
      </c>
      <c r="DZ761" s="15">
        <v>15000.0</v>
      </c>
      <c r="EA761" s="15" t="s">
        <v>722</v>
      </c>
      <c r="EB761" s="15" t="s">
        <v>1016</v>
      </c>
      <c r="ED761" s="15">
        <v>1.0</v>
      </c>
      <c r="EE761" s="15">
        <v>1.0</v>
      </c>
      <c r="EG761" s="15" t="s">
        <v>444</v>
      </c>
      <c r="EH761" s="15" t="s">
        <v>8131</v>
      </c>
      <c r="EI761" s="15">
        <v>0.0</v>
      </c>
      <c r="EJ761" s="15" t="s">
        <v>726</v>
      </c>
      <c r="EK761" s="15" t="s">
        <v>727</v>
      </c>
      <c r="EL761" s="15" t="s">
        <v>1211</v>
      </c>
      <c r="EM761" s="15" t="str">
        <f>IFERROR(__xludf.DUMMYFUNCTION("""COMPUTED_VALUE"""),"{""value"":24.00,""unit"":""in""}")</f>
        <v>{"value":24.00,"unit":"in"}</v>
      </c>
      <c r="EN761" s="15" t="s">
        <v>2736</v>
      </c>
      <c r="EO761" s="15" t="s">
        <v>5536</v>
      </c>
      <c r="ES761" s="15" t="s">
        <v>635</v>
      </c>
      <c r="EW761" s="15" t="s">
        <v>6046</v>
      </c>
      <c r="EX761" s="15" t="s">
        <v>8132</v>
      </c>
      <c r="EY761" s="15" t="s">
        <v>2837</v>
      </c>
      <c r="EZ761" s="15" t="s">
        <v>1288</v>
      </c>
      <c r="FC761" s="15" t="s">
        <v>1016</v>
      </c>
      <c r="FD761" s="15" t="s">
        <v>1701</v>
      </c>
      <c r="FF761" s="15" t="s">
        <v>2502</v>
      </c>
      <c r="FO761" s="15" t="s">
        <v>2732</v>
      </c>
      <c r="FP761" s="15" t="s">
        <v>525</v>
      </c>
      <c r="FQ761" s="15">
        <v>0.0</v>
      </c>
      <c r="FR761" s="15">
        <v>0.0</v>
      </c>
      <c r="FT761" s="15">
        <v>0.0</v>
      </c>
    </row>
    <row r="762" ht="15.75" customHeight="1">
      <c r="A762" s="14" t="s">
        <v>391</v>
      </c>
      <c r="B762" s="15" t="s">
        <v>8133</v>
      </c>
      <c r="C762" s="16"/>
      <c r="D762" s="15" t="s">
        <v>432</v>
      </c>
      <c r="G762" s="14" t="s">
        <v>393</v>
      </c>
      <c r="H762" s="14" t="s">
        <v>394</v>
      </c>
      <c r="I762" s="14" t="b">
        <v>1</v>
      </c>
      <c r="J762" s="14" t="s">
        <v>395</v>
      </c>
      <c r="L762" s="14" t="b">
        <v>0</v>
      </c>
      <c r="M762" s="15" t="s">
        <v>8134</v>
      </c>
      <c r="N762" s="14" t="s">
        <v>393</v>
      </c>
      <c r="O762" s="14" t="s">
        <v>393</v>
      </c>
      <c r="P762" s="15" t="s">
        <v>397</v>
      </c>
      <c r="Q762" s="15" t="s">
        <v>1652</v>
      </c>
      <c r="T762" s="14" t="b">
        <v>0</v>
      </c>
      <c r="U762" s="15" t="s">
        <v>8135</v>
      </c>
      <c r="V762" s="15" t="s">
        <v>8136</v>
      </c>
      <c r="W762" s="15" t="s">
        <v>401</v>
      </c>
      <c r="X762" s="15" t="s">
        <v>695</v>
      </c>
      <c r="Y762" s="15">
        <v>819.0</v>
      </c>
      <c r="AA762" s="15" t="str">
        <f>"315"</f>
        <v>315</v>
      </c>
      <c r="AB762" s="14" t="b">
        <v>1</v>
      </c>
      <c r="AC762" s="14" t="b">
        <v>1</v>
      </c>
      <c r="AD762" s="15" t="str">
        <f>"801542621100"</f>
        <v>801542621100</v>
      </c>
      <c r="AE762" s="15" t="s">
        <v>8137</v>
      </c>
      <c r="AF762" s="14" t="s">
        <v>404</v>
      </c>
      <c r="AG762" s="14" t="s">
        <v>405</v>
      </c>
      <c r="AH762" s="14" t="s">
        <v>406</v>
      </c>
      <c r="AI762" s="15">
        <v>0.0</v>
      </c>
      <c r="AL762" s="15" t="s">
        <v>1655</v>
      </c>
      <c r="AM762" s="15" t="s">
        <v>487</v>
      </c>
      <c r="AN762" s="15" t="s">
        <v>488</v>
      </c>
      <c r="AO762" s="15" t="s">
        <v>2039</v>
      </c>
      <c r="AP762" s="15" t="s">
        <v>2040</v>
      </c>
      <c r="AQ762" s="15" t="s">
        <v>409</v>
      </c>
      <c r="AR762" s="15" t="s">
        <v>438</v>
      </c>
      <c r="AS762" s="15" t="s">
        <v>2492</v>
      </c>
      <c r="AT762" s="15" t="s">
        <v>1652</v>
      </c>
      <c r="AW762" s="15" t="s">
        <v>4009</v>
      </c>
      <c r="AY762" s="15" t="s">
        <v>413</v>
      </c>
      <c r="AZ762" s="15" t="b">
        <v>0</v>
      </c>
      <c r="BA762" s="15" t="s">
        <v>413</v>
      </c>
      <c r="BB762" s="15" t="b">
        <v>0</v>
      </c>
      <c r="BC762" s="15" t="s">
        <v>8138</v>
      </c>
      <c r="BD762" s="15" t="s">
        <v>709</v>
      </c>
      <c r="BE762" s="15" t="str">
        <f t="shared" si="1300"/>
        <v>1</v>
      </c>
      <c r="BF762" s="15" t="s">
        <v>416</v>
      </c>
      <c r="BG762" s="15" t="str">
        <f>"56.5"</f>
        <v>56.5</v>
      </c>
      <c r="BH762" s="15" t="s">
        <v>4743</v>
      </c>
      <c r="BI762" s="15" t="str">
        <f>"17.72"</f>
        <v>17.72</v>
      </c>
      <c r="BJ762" s="15" t="s">
        <v>3633</v>
      </c>
      <c r="BK762" s="15" t="str">
        <f>"21.65"</f>
        <v>21.65</v>
      </c>
      <c r="BL762" s="15" t="s">
        <v>1506</v>
      </c>
      <c r="BM762" s="15" t="str">
        <f>"57.1"</f>
        <v>57.1</v>
      </c>
      <c r="BN762" s="15" t="s">
        <v>8139</v>
      </c>
      <c r="BQ762" s="15" t="s">
        <v>444</v>
      </c>
      <c r="BS762" s="15" t="s">
        <v>444</v>
      </c>
      <c r="BU762" s="15" t="s">
        <v>444</v>
      </c>
      <c r="BW762" s="15" t="s">
        <v>444</v>
      </c>
      <c r="BZ762" s="15" t="s">
        <v>444</v>
      </c>
      <c r="CB762" s="15" t="s">
        <v>444</v>
      </c>
      <c r="CD762" s="15" t="s">
        <v>444</v>
      </c>
      <c r="CF762" s="15" t="s">
        <v>444</v>
      </c>
      <c r="CI762" s="15" t="s">
        <v>444</v>
      </c>
      <c r="CK762" s="15" t="s">
        <v>444</v>
      </c>
      <c r="CM762" s="15" t="s">
        <v>444</v>
      </c>
      <c r="CO762" s="15" t="s">
        <v>444</v>
      </c>
      <c r="CP762" s="15" t="str">
        <f>"12.54"</f>
        <v>12.54</v>
      </c>
      <c r="CQ762" s="15" t="str">
        <f>"0.355"</f>
        <v>0.355</v>
      </c>
      <c r="CR762" s="15" t="s">
        <v>465</v>
      </c>
      <c r="DC762" s="15" t="str">
        <f>IFERROR(__xludf.DUMMYFUNCTION("""COMPUTED_VALUE"""),"")</f>
        <v/>
      </c>
      <c r="DE762" s="15" t="str">
        <f>IFERROR(__xludf.DUMMYFUNCTION("""COMPUTED_VALUE"""),"")</f>
        <v/>
      </c>
      <c r="DG762" s="15" t="str">
        <f>IFERROR(__xludf.DUMMYFUNCTION("""COMPUTED_VALUE"""),"")</f>
        <v/>
      </c>
      <c r="DK762" s="15" t="s">
        <v>855</v>
      </c>
      <c r="DL762" s="15" t="str">
        <f>IFERROR(__xludf.DUMMYFUNCTION("""COMPUTED_VALUE"""),"Clean with solvent-based (dry clean only) products. Do not use water.")</f>
        <v>Clean with solvent-based (dry clean only) products. Do not use water.</v>
      </c>
      <c r="DM762" s="15" t="s">
        <v>856</v>
      </c>
      <c r="DT762" s="15" t="s">
        <v>989</v>
      </c>
      <c r="DU762" s="15" t="s">
        <v>419</v>
      </c>
      <c r="DZ762" s="15">
        <v>25000.0</v>
      </c>
      <c r="EA762" s="15" t="s">
        <v>470</v>
      </c>
      <c r="EG762" s="15" t="s">
        <v>444</v>
      </c>
      <c r="EH762" s="15" t="s">
        <v>8140</v>
      </c>
      <c r="EK762" s="15" t="s">
        <v>444</v>
      </c>
      <c r="EM762" s="15" t="str">
        <f>IFERROR(__xludf.DUMMYFUNCTION("""COMPUTED_VALUE"""),"")</f>
        <v/>
      </c>
      <c r="EW762" s="15" t="s">
        <v>870</v>
      </c>
      <c r="FF762" s="15" t="s">
        <v>2502</v>
      </c>
      <c r="GJ762" s="15" t="s">
        <v>786</v>
      </c>
      <c r="II762" s="15" t="s">
        <v>4181</v>
      </c>
      <c r="IJ762" s="15" t="s">
        <v>2026</v>
      </c>
      <c r="IK762" s="15" t="s">
        <v>2467</v>
      </c>
    </row>
    <row r="763" ht="15.75" customHeight="1">
      <c r="A763" s="14" t="s">
        <v>391</v>
      </c>
      <c r="B763" s="15" t="s">
        <v>8141</v>
      </c>
      <c r="C763" s="16"/>
      <c r="D763" s="15" t="s">
        <v>432</v>
      </c>
      <c r="G763" s="14" t="s">
        <v>393</v>
      </c>
      <c r="H763" s="14" t="s">
        <v>394</v>
      </c>
      <c r="I763" s="14" t="b">
        <v>1</v>
      </c>
      <c r="J763" s="14" t="s">
        <v>395</v>
      </c>
      <c r="L763" s="14" t="b">
        <v>0</v>
      </c>
      <c r="M763" s="15" t="s">
        <v>8142</v>
      </c>
      <c r="N763" s="14" t="s">
        <v>393</v>
      </c>
      <c r="O763" s="14" t="s">
        <v>393</v>
      </c>
      <c r="P763" s="15" t="s">
        <v>397</v>
      </c>
      <c r="Q763" s="15" t="s">
        <v>8143</v>
      </c>
      <c r="T763" s="14" t="b">
        <v>0</v>
      </c>
      <c r="U763" s="15" t="s">
        <v>8144</v>
      </c>
      <c r="V763" s="15" t="s">
        <v>8145</v>
      </c>
      <c r="W763" s="15" t="s">
        <v>401</v>
      </c>
      <c r="X763" s="15" t="s">
        <v>1172</v>
      </c>
      <c r="Y763" s="15">
        <v>1092.0</v>
      </c>
      <c r="AA763" s="15" t="str">
        <f>"420"</f>
        <v>420</v>
      </c>
      <c r="AB763" s="14" t="b">
        <v>1</v>
      </c>
      <c r="AC763" s="14" t="b">
        <v>1</v>
      </c>
      <c r="AD763" s="15" t="str">
        <f>"801542296148"</f>
        <v>801542296148</v>
      </c>
      <c r="AE763" s="15" t="s">
        <v>8146</v>
      </c>
      <c r="AF763" s="14" t="s">
        <v>404</v>
      </c>
      <c r="AG763" s="14" t="s">
        <v>405</v>
      </c>
      <c r="AH763" s="14" t="s">
        <v>406</v>
      </c>
      <c r="AI763" s="15">
        <v>0.0</v>
      </c>
      <c r="AL763" s="15" t="s">
        <v>8147</v>
      </c>
      <c r="AM763" s="15" t="s">
        <v>2557</v>
      </c>
      <c r="AN763" s="15" t="s">
        <v>2558</v>
      </c>
      <c r="AO763" s="15" t="s">
        <v>2557</v>
      </c>
      <c r="AP763" s="15" t="s">
        <v>2558</v>
      </c>
      <c r="AQ763" s="15" t="s">
        <v>1150</v>
      </c>
      <c r="AR763" s="15" t="s">
        <v>1151</v>
      </c>
      <c r="AS763" s="15" t="s">
        <v>6785</v>
      </c>
      <c r="AT763" s="15" t="s">
        <v>8143</v>
      </c>
      <c r="AW763" s="15" t="s">
        <v>491</v>
      </c>
      <c r="AY763" s="15" t="s">
        <v>413</v>
      </c>
      <c r="AZ763" s="15" t="b">
        <v>0</v>
      </c>
      <c r="BA763" s="15" t="s">
        <v>413</v>
      </c>
      <c r="BB763" s="15" t="b">
        <v>0</v>
      </c>
      <c r="BC763" s="15" t="s">
        <v>8148</v>
      </c>
      <c r="BD763" s="15" t="s">
        <v>1181</v>
      </c>
      <c r="BE763" s="15" t="str">
        <f t="shared" si="1300"/>
        <v>1</v>
      </c>
      <c r="BF763" s="15" t="s">
        <v>416</v>
      </c>
      <c r="BG763" s="15" t="str">
        <f>"46"</f>
        <v>46</v>
      </c>
      <c r="BH763" s="15" t="s">
        <v>2395</v>
      </c>
      <c r="BI763" s="15" t="str">
        <f>"46"</f>
        <v>46</v>
      </c>
      <c r="BJ763" s="15" t="s">
        <v>2395</v>
      </c>
      <c r="BK763" s="15" t="str">
        <f>"19"</f>
        <v>19</v>
      </c>
      <c r="BL763" s="15" t="s">
        <v>457</v>
      </c>
      <c r="BM763" s="15" t="str">
        <f>"54.67"</f>
        <v>54.67</v>
      </c>
      <c r="BN763" s="15" t="s">
        <v>886</v>
      </c>
      <c r="BQ763" s="15" t="s">
        <v>444</v>
      </c>
      <c r="BS763" s="15" t="s">
        <v>444</v>
      </c>
      <c r="BU763" s="15" t="s">
        <v>444</v>
      </c>
      <c r="BW763" s="15" t="s">
        <v>444</v>
      </c>
      <c r="BZ763" s="15" t="s">
        <v>444</v>
      </c>
      <c r="CB763" s="15" t="s">
        <v>444</v>
      </c>
      <c r="CD763" s="15" t="s">
        <v>444</v>
      </c>
      <c r="CF763" s="15" t="s">
        <v>444</v>
      </c>
      <c r="CI763" s="15" t="s">
        <v>444</v>
      </c>
      <c r="CK763" s="15" t="s">
        <v>444</v>
      </c>
      <c r="CM763" s="15" t="s">
        <v>444</v>
      </c>
      <c r="CO763" s="15" t="s">
        <v>444</v>
      </c>
      <c r="CP763" s="15" t="str">
        <f>"23.27"</f>
        <v>23.27</v>
      </c>
      <c r="CQ763" s="15" t="str">
        <f>"0.659"</f>
        <v>0.659</v>
      </c>
      <c r="CR763" s="15" t="s">
        <v>497</v>
      </c>
      <c r="DC763" s="15" t="str">
        <f>IFERROR(__xludf.DUMMYFUNCTION("""COMPUTED_VALUE"""),"")</f>
        <v/>
      </c>
      <c r="DE763" s="15" t="str">
        <f>IFERROR(__xludf.DUMMYFUNCTION("""COMPUTED_VALUE"""),"")</f>
        <v/>
      </c>
      <c r="DG763" s="15" t="str">
        <f>IFERROR(__xludf.DUMMYFUNCTION("""COMPUTED_VALUE"""),"")</f>
        <v/>
      </c>
      <c r="DK763" s="15" t="s">
        <v>718</v>
      </c>
      <c r="DL763" s="15" t="str">
        <f>IFERROR(__xludf.DUMMYFUNCTION("""COMPUTED_VALUE"""),"Vacuum or light brush only. Do not use water or any cleaning products.")</f>
        <v>Vacuum or light brush only. Do not use water or any cleaning products.</v>
      </c>
      <c r="DM763" s="15" t="s">
        <v>719</v>
      </c>
      <c r="DN763" s="15" t="s">
        <v>419</v>
      </c>
      <c r="DO763" s="15">
        <v>0.0</v>
      </c>
      <c r="DP763" s="15" t="s">
        <v>419</v>
      </c>
      <c r="DR763" s="15">
        <v>0.0</v>
      </c>
      <c r="DT763" s="15" t="s">
        <v>989</v>
      </c>
      <c r="DU763" s="15" t="s">
        <v>419</v>
      </c>
      <c r="DY763" s="15">
        <v>0.0</v>
      </c>
      <c r="DZ763" s="15">
        <v>0.0</v>
      </c>
      <c r="EF763" s="15" t="s">
        <v>1157</v>
      </c>
      <c r="EG763" s="15" t="s">
        <v>1158</v>
      </c>
      <c r="EH763" s="15" t="s">
        <v>8149</v>
      </c>
      <c r="EJ763" s="15" t="s">
        <v>500</v>
      </c>
      <c r="EK763" s="15" t="s">
        <v>501</v>
      </c>
      <c r="EM763" s="15" t="str">
        <f>IFERROR(__xludf.DUMMYFUNCTION("""COMPUTED_VALUE"""),"")</f>
        <v/>
      </c>
      <c r="EW763" s="15" t="s">
        <v>1808</v>
      </c>
      <c r="FH763" s="15" t="s">
        <v>3332</v>
      </c>
      <c r="FI763" s="15" t="s">
        <v>1160</v>
      </c>
      <c r="FJ763" s="15" t="s">
        <v>3332</v>
      </c>
      <c r="FK763" s="15" t="s">
        <v>1807</v>
      </c>
      <c r="FM763" s="15">
        <v>0.0</v>
      </c>
      <c r="FN763" s="15">
        <v>0.0</v>
      </c>
    </row>
    <row r="764" ht="15.75" customHeight="1">
      <c r="A764" s="14" t="s">
        <v>391</v>
      </c>
      <c r="B764" s="15" t="s">
        <v>8150</v>
      </c>
      <c r="C764" s="16"/>
      <c r="D764" s="15" t="s">
        <v>432</v>
      </c>
      <c r="G764" s="14" t="s">
        <v>393</v>
      </c>
      <c r="H764" s="14" t="s">
        <v>394</v>
      </c>
      <c r="I764" s="14" t="b">
        <v>1</v>
      </c>
      <c r="J764" s="14" t="s">
        <v>395</v>
      </c>
      <c r="L764" s="14" t="b">
        <v>0</v>
      </c>
      <c r="M764" s="15" t="s">
        <v>8151</v>
      </c>
      <c r="N764" s="14" t="s">
        <v>393</v>
      </c>
      <c r="O764" s="14" t="s">
        <v>393</v>
      </c>
      <c r="P764" s="15" t="s">
        <v>397</v>
      </c>
      <c r="Q764" s="15" t="s">
        <v>8152</v>
      </c>
      <c r="T764" s="14" t="b">
        <v>0</v>
      </c>
      <c r="U764" s="15" t="s">
        <v>8153</v>
      </c>
      <c r="V764" s="15" t="s">
        <v>2918</v>
      </c>
      <c r="W764" s="15" t="s">
        <v>401</v>
      </c>
      <c r="X764" s="15" t="s">
        <v>695</v>
      </c>
      <c r="Y764" s="15">
        <v>2951.0</v>
      </c>
      <c r="AA764" s="15" t="str">
        <f>"1135"</f>
        <v>1135</v>
      </c>
      <c r="AB764" s="14" t="b">
        <v>1</v>
      </c>
      <c r="AC764" s="14" t="b">
        <v>1</v>
      </c>
      <c r="AD764" s="15" t="str">
        <f>"801542146320"</f>
        <v>801542146320</v>
      </c>
      <c r="AE764" s="15" t="s">
        <v>8154</v>
      </c>
      <c r="AF764" s="14" t="s">
        <v>404</v>
      </c>
      <c r="AG764" s="14" t="s">
        <v>405</v>
      </c>
      <c r="AH764" s="14" t="s">
        <v>406</v>
      </c>
      <c r="AI764" s="15">
        <v>0.0</v>
      </c>
      <c r="AL764" s="15" t="s">
        <v>1600</v>
      </c>
      <c r="AM764" s="15" t="s">
        <v>4836</v>
      </c>
      <c r="AN764" s="15" t="s">
        <v>4837</v>
      </c>
      <c r="AO764" s="15" t="s">
        <v>5196</v>
      </c>
      <c r="AP764" s="15" t="s">
        <v>5197</v>
      </c>
      <c r="AQ764" s="15" t="s">
        <v>1005</v>
      </c>
      <c r="AR764" s="15" t="s">
        <v>1006</v>
      </c>
      <c r="AS764" s="15" t="s">
        <v>915</v>
      </c>
      <c r="AT764" s="15" t="s">
        <v>8152</v>
      </c>
      <c r="AW764" s="15" t="s">
        <v>706</v>
      </c>
      <c r="AX764" s="15" t="s">
        <v>707</v>
      </c>
      <c r="AY764" s="15" t="s">
        <v>413</v>
      </c>
      <c r="AZ764" s="15" t="b">
        <v>0</v>
      </c>
      <c r="BA764" s="15" t="s">
        <v>413</v>
      </c>
      <c r="BB764" s="15" t="b">
        <v>0</v>
      </c>
      <c r="BC764" s="15" t="s">
        <v>8155</v>
      </c>
      <c r="BD764" s="15" t="s">
        <v>709</v>
      </c>
      <c r="BE764" s="15" t="str">
        <f t="shared" si="1300"/>
        <v>1</v>
      </c>
      <c r="BF764" s="15" t="s">
        <v>416</v>
      </c>
      <c r="BG764" s="15" t="str">
        <f>"38.58"</f>
        <v>38.58</v>
      </c>
      <c r="BH764" s="15" t="s">
        <v>442</v>
      </c>
      <c r="BI764" s="15" t="str">
        <f>"38.19"</f>
        <v>38.19</v>
      </c>
      <c r="BJ764" s="15" t="s">
        <v>3531</v>
      </c>
      <c r="BK764" s="15" t="str">
        <f>"30.71"</f>
        <v>30.71</v>
      </c>
      <c r="BL764" s="15" t="s">
        <v>1281</v>
      </c>
      <c r="BM764" s="15" t="str">
        <f>"101.41"</f>
        <v>101.41</v>
      </c>
      <c r="BN764" s="15" t="s">
        <v>5860</v>
      </c>
      <c r="BQ764" s="15" t="s">
        <v>444</v>
      </c>
      <c r="BS764" s="15" t="s">
        <v>444</v>
      </c>
      <c r="BU764" s="15" t="s">
        <v>444</v>
      </c>
      <c r="BW764" s="15" t="s">
        <v>444</v>
      </c>
      <c r="BZ764" s="15" t="s">
        <v>444</v>
      </c>
      <c r="CB764" s="15" t="s">
        <v>444</v>
      </c>
      <c r="CD764" s="15" t="s">
        <v>444</v>
      </c>
      <c r="CF764" s="15" t="s">
        <v>444</v>
      </c>
      <c r="CI764" s="15" t="s">
        <v>444</v>
      </c>
      <c r="CK764" s="15" t="s">
        <v>444</v>
      </c>
      <c r="CM764" s="15" t="s">
        <v>444</v>
      </c>
      <c r="CO764" s="15" t="s">
        <v>444</v>
      </c>
      <c r="CP764" s="15" t="str">
        <f>"26.17"</f>
        <v>26.17</v>
      </c>
      <c r="CQ764" s="15" t="str">
        <f>"0.741"</f>
        <v>0.741</v>
      </c>
      <c r="CR764" s="15" t="s">
        <v>497</v>
      </c>
      <c r="CY764" s="15" t="s">
        <v>2384</v>
      </c>
      <c r="CZ764" s="15" t="s">
        <v>2116</v>
      </c>
      <c r="DA764" s="15" t="s">
        <v>3336</v>
      </c>
      <c r="DB764" s="15" t="s">
        <v>2384</v>
      </c>
      <c r="DC764" s="15" t="str">
        <f>IFERROR(__xludf.DUMMYFUNCTION("""COMPUTED_VALUE"""),"{""value"":24.50,""unit"":""in""}")</f>
        <v>{"value":24.50,"unit":"in"}</v>
      </c>
      <c r="DD764" s="15" t="s">
        <v>6018</v>
      </c>
      <c r="DE764" s="15" t="str">
        <f>IFERROR(__xludf.DUMMYFUNCTION("""COMPUTED_VALUE"""),"{""value"":17.25,""unit"":""in""}")</f>
        <v>{"value":17.25,"unit":"in"}</v>
      </c>
      <c r="DG764" s="15" t="str">
        <f>IFERROR(__xludf.DUMMYFUNCTION("""COMPUTED_VALUE"""),"")</f>
        <v/>
      </c>
      <c r="DH764" s="15">
        <v>0.0</v>
      </c>
      <c r="DI764" s="15">
        <v>0.0</v>
      </c>
      <c r="DJ764" s="15" t="s">
        <v>717</v>
      </c>
      <c r="DK764" s="15" t="s">
        <v>718</v>
      </c>
      <c r="DL764" s="15" t="str">
        <f>IFERROR(__xludf.DUMMYFUNCTION("""COMPUTED_VALUE"""),"Vacuum or light brush only. Do not use water or any cleaning products.")</f>
        <v>Vacuum or light brush only. Do not use water or any cleaning products.</v>
      </c>
      <c r="DM764" s="15" t="s">
        <v>719</v>
      </c>
      <c r="DT764" s="15" t="s">
        <v>721</v>
      </c>
      <c r="DU764" s="15" t="s">
        <v>1605</v>
      </c>
      <c r="DV764" s="15">
        <v>0.0</v>
      </c>
      <c r="DZ764" s="15">
        <v>0.0</v>
      </c>
      <c r="EA764" s="15" t="s">
        <v>990</v>
      </c>
      <c r="EB764" s="15" t="s">
        <v>2927</v>
      </c>
      <c r="EC764" s="15" t="s">
        <v>3514</v>
      </c>
      <c r="ED764" s="15">
        <v>1.0</v>
      </c>
      <c r="EE764" s="15">
        <v>1.0</v>
      </c>
      <c r="EG764" s="15" t="s">
        <v>444</v>
      </c>
      <c r="EH764" s="15" t="s">
        <v>8156</v>
      </c>
      <c r="EI764" s="15">
        <v>0.0</v>
      </c>
      <c r="EJ764" s="15" t="s">
        <v>726</v>
      </c>
      <c r="EK764" s="15" t="s">
        <v>727</v>
      </c>
      <c r="EL764" s="15" t="s">
        <v>1330</v>
      </c>
      <c r="EM764" s="15" t="str">
        <f>IFERROR(__xludf.DUMMYFUNCTION("""COMPUTED_VALUE"""),"{""value"":28.50,""unit"":""in""}")</f>
        <v>{"value":28.50,"unit":"in"}</v>
      </c>
      <c r="EN764" s="15" t="s">
        <v>3498</v>
      </c>
      <c r="EO764" s="15" t="s">
        <v>525</v>
      </c>
      <c r="ES764" s="15" t="s">
        <v>2116</v>
      </c>
      <c r="EW764" s="15" t="s">
        <v>784</v>
      </c>
      <c r="EZ764" s="15" t="s">
        <v>1329</v>
      </c>
      <c r="FF764" s="15" t="s">
        <v>860</v>
      </c>
      <c r="FO764" s="15" t="s">
        <v>1211</v>
      </c>
      <c r="FP764" s="15" t="s">
        <v>3336</v>
      </c>
      <c r="FQ764" s="15">
        <v>0.0</v>
      </c>
      <c r="FR764" s="15">
        <v>0.0</v>
      </c>
      <c r="FS764" s="15" t="s">
        <v>3362</v>
      </c>
      <c r="FT764" s="15">
        <v>0.0</v>
      </c>
      <c r="IL764" s="15" t="s">
        <v>1610</v>
      </c>
    </row>
    <row r="765" ht="15.75" customHeight="1">
      <c r="A765" s="14" t="s">
        <v>391</v>
      </c>
      <c r="B765" s="15" t="s">
        <v>8157</v>
      </c>
      <c r="C765" s="16"/>
      <c r="D765" s="15" t="s">
        <v>432</v>
      </c>
      <c r="G765" s="14" t="s">
        <v>393</v>
      </c>
      <c r="H765" s="14" t="s">
        <v>394</v>
      </c>
      <c r="I765" s="14" t="b">
        <v>1</v>
      </c>
      <c r="J765" s="14" t="s">
        <v>395</v>
      </c>
      <c r="L765" s="14" t="b">
        <v>0</v>
      </c>
      <c r="M765" s="15" t="s">
        <v>8158</v>
      </c>
      <c r="N765" s="14" t="s">
        <v>393</v>
      </c>
      <c r="O765" s="14" t="s">
        <v>393</v>
      </c>
      <c r="P765" s="15" t="s">
        <v>397</v>
      </c>
      <c r="Q765" s="15" t="s">
        <v>8159</v>
      </c>
      <c r="T765" s="14" t="b">
        <v>0</v>
      </c>
      <c r="U765" s="15" t="s">
        <v>8160</v>
      </c>
      <c r="V765" s="15" t="s">
        <v>8161</v>
      </c>
      <c r="W765" s="15" t="s">
        <v>401</v>
      </c>
      <c r="X765" s="15" t="s">
        <v>742</v>
      </c>
      <c r="Y765" s="15">
        <v>2626.0</v>
      </c>
      <c r="AA765" s="15" t="str">
        <f>"1010"</f>
        <v>1010</v>
      </c>
      <c r="AB765" s="14" t="b">
        <v>1</v>
      </c>
      <c r="AC765" s="14" t="b">
        <v>1</v>
      </c>
      <c r="AD765" s="15" t="str">
        <f>"198394060189"</f>
        <v>198394060189</v>
      </c>
      <c r="AE765" s="15" t="s">
        <v>8162</v>
      </c>
      <c r="AF765" s="14" t="s">
        <v>404</v>
      </c>
      <c r="AG765" s="14" t="s">
        <v>405</v>
      </c>
      <c r="AH765" s="14" t="s">
        <v>406</v>
      </c>
      <c r="AI765" s="15">
        <v>0.0</v>
      </c>
      <c r="AL765" s="15" t="s">
        <v>2036</v>
      </c>
      <c r="AM765" s="15" t="s">
        <v>5666</v>
      </c>
      <c r="AN765" s="15" t="s">
        <v>5667</v>
      </c>
      <c r="AO765" s="15" t="s">
        <v>4283</v>
      </c>
      <c r="AP765" s="15" t="s">
        <v>4284</v>
      </c>
      <c r="AQ765" s="15" t="s">
        <v>749</v>
      </c>
      <c r="AR765" s="15" t="s">
        <v>750</v>
      </c>
      <c r="AS765" s="15" t="s">
        <v>1896</v>
      </c>
      <c r="AT765" s="15" t="s">
        <v>8159</v>
      </c>
      <c r="AW765" s="15" t="s">
        <v>412</v>
      </c>
      <c r="AY765" s="15" t="s">
        <v>413</v>
      </c>
      <c r="AZ765" s="15" t="b">
        <v>0</v>
      </c>
      <c r="BA765" s="15" t="s">
        <v>413</v>
      </c>
      <c r="BB765" s="15" t="b">
        <v>0</v>
      </c>
      <c r="BC765" s="15" t="s">
        <v>8163</v>
      </c>
      <c r="BD765" s="15" t="s">
        <v>742</v>
      </c>
      <c r="BE765" s="15" t="str">
        <f t="shared" si="1300"/>
        <v>1</v>
      </c>
      <c r="BF765" s="15" t="s">
        <v>416</v>
      </c>
      <c r="BG765" s="15" t="str">
        <f>"81.1"</f>
        <v>81.1</v>
      </c>
      <c r="BH765" s="15" t="s">
        <v>6148</v>
      </c>
      <c r="BI765" s="15" t="str">
        <f>"28.15"</f>
        <v>28.15</v>
      </c>
      <c r="BJ765" s="15" t="s">
        <v>8164</v>
      </c>
      <c r="BK765" s="15" t="str">
        <f>"39.57"</f>
        <v>39.57</v>
      </c>
      <c r="BL765" s="15" t="s">
        <v>6665</v>
      </c>
      <c r="BM765" s="15" t="str">
        <f>"255.74"</f>
        <v>255.74</v>
      </c>
      <c r="BN765" s="15" t="s">
        <v>2155</v>
      </c>
      <c r="BQ765" s="15" t="s">
        <v>444</v>
      </c>
      <c r="BS765" s="15" t="s">
        <v>444</v>
      </c>
      <c r="BU765" s="15" t="s">
        <v>444</v>
      </c>
      <c r="BW765" s="15" t="s">
        <v>444</v>
      </c>
      <c r="BZ765" s="15" t="s">
        <v>444</v>
      </c>
      <c r="CB765" s="15" t="s">
        <v>444</v>
      </c>
      <c r="CD765" s="15" t="s">
        <v>444</v>
      </c>
      <c r="CF765" s="15" t="s">
        <v>444</v>
      </c>
      <c r="CI765" s="15" t="s">
        <v>444</v>
      </c>
      <c r="CK765" s="15" t="s">
        <v>444</v>
      </c>
      <c r="CM765" s="15" t="s">
        <v>444</v>
      </c>
      <c r="CO765" s="15" t="s">
        <v>444</v>
      </c>
      <c r="CP765" s="15" t="str">
        <f>"52.27"</f>
        <v>52.27</v>
      </c>
      <c r="CQ765" s="15" t="str">
        <f>"1.48"</f>
        <v>1.48</v>
      </c>
      <c r="CR765" s="15" t="s">
        <v>465</v>
      </c>
      <c r="DC765" s="15" t="str">
        <f>IFERROR(__xludf.DUMMYFUNCTION("""COMPUTED_VALUE"""),"")</f>
        <v/>
      </c>
      <c r="DE765" s="15" t="str">
        <f>IFERROR(__xludf.DUMMYFUNCTION("""COMPUTED_VALUE"""),"")</f>
        <v/>
      </c>
      <c r="DG765" s="15" t="str">
        <f>IFERROR(__xludf.DUMMYFUNCTION("""COMPUTED_VALUE"""),"")</f>
        <v/>
      </c>
      <c r="DL765" s="15" t="str">
        <f>IFERROR(__xludf.DUMMYFUNCTION("""COMPUTED_VALUE"""),"")</f>
        <v/>
      </c>
      <c r="DM765" s="15" t="s">
        <v>444</v>
      </c>
      <c r="DN765" s="15" t="s">
        <v>418</v>
      </c>
      <c r="DO765" s="15">
        <v>6.0</v>
      </c>
      <c r="DP765" s="15" t="s">
        <v>419</v>
      </c>
      <c r="DR765" s="15">
        <v>0.0</v>
      </c>
      <c r="DT765" s="15" t="s">
        <v>2048</v>
      </c>
      <c r="DU765" s="15" t="s">
        <v>421</v>
      </c>
      <c r="DY765" s="15">
        <v>0.0</v>
      </c>
      <c r="EF765" s="15" t="s">
        <v>422</v>
      </c>
      <c r="EG765" s="15" t="s">
        <v>445</v>
      </c>
      <c r="EH765" s="15" t="s">
        <v>8165</v>
      </c>
      <c r="EJ765" s="15" t="s">
        <v>424</v>
      </c>
      <c r="EK765" s="15" t="s">
        <v>446</v>
      </c>
      <c r="EM765" s="15" t="str">
        <f>IFERROR(__xludf.DUMMYFUNCTION("""COMPUTED_VALUE"""),"")</f>
        <v/>
      </c>
      <c r="EW765" s="15" t="s">
        <v>2050</v>
      </c>
      <c r="FL765" s="15" t="s">
        <v>426</v>
      </c>
      <c r="FM765" s="15">
        <v>0.0</v>
      </c>
      <c r="GH765" s="15">
        <v>0.0</v>
      </c>
      <c r="GI765" s="15" t="s">
        <v>427</v>
      </c>
      <c r="GQ765" s="15" t="s">
        <v>1931</v>
      </c>
      <c r="GS765" s="15" t="s">
        <v>8166</v>
      </c>
      <c r="GU765" s="15" t="s">
        <v>8167</v>
      </c>
      <c r="GW765" s="15" t="s">
        <v>8168</v>
      </c>
      <c r="GY765" s="15" t="s">
        <v>764</v>
      </c>
    </row>
    <row r="766" ht="15.75" customHeight="1">
      <c r="A766" s="14" t="s">
        <v>391</v>
      </c>
      <c r="B766" s="15" t="s">
        <v>8169</v>
      </c>
      <c r="C766" s="16"/>
      <c r="D766" s="15" t="s">
        <v>432</v>
      </c>
      <c r="G766" s="14" t="s">
        <v>393</v>
      </c>
      <c r="H766" s="14" t="s">
        <v>394</v>
      </c>
      <c r="I766" s="14" t="b">
        <v>1</v>
      </c>
      <c r="J766" s="14" t="s">
        <v>395</v>
      </c>
      <c r="L766" s="14" t="b">
        <v>0</v>
      </c>
      <c r="M766" s="15" t="s">
        <v>8170</v>
      </c>
      <c r="N766" s="14" t="s">
        <v>393</v>
      </c>
      <c r="O766" s="14" t="s">
        <v>393</v>
      </c>
      <c r="P766" s="15" t="s">
        <v>397</v>
      </c>
      <c r="Q766" s="15" t="s">
        <v>8159</v>
      </c>
      <c r="T766" s="14" t="b">
        <v>0</v>
      </c>
      <c r="U766" s="15" t="s">
        <v>8171</v>
      </c>
      <c r="V766" s="15" t="s">
        <v>2918</v>
      </c>
      <c r="W766" s="15" t="s">
        <v>401</v>
      </c>
      <c r="X766" s="15" t="s">
        <v>742</v>
      </c>
      <c r="Y766" s="15">
        <v>1157.0</v>
      </c>
      <c r="AA766" s="15" t="str">
        <f>"445"</f>
        <v>445</v>
      </c>
      <c r="AB766" s="14" t="b">
        <v>1</v>
      </c>
      <c r="AC766" s="14" t="b">
        <v>1</v>
      </c>
      <c r="AD766" s="15" t="str">
        <f>"198394060219"</f>
        <v>198394060219</v>
      </c>
      <c r="AE766" s="15" t="s">
        <v>8172</v>
      </c>
      <c r="AF766" s="14" t="s">
        <v>404</v>
      </c>
      <c r="AG766" s="14" t="s">
        <v>405</v>
      </c>
      <c r="AH766" s="14" t="s">
        <v>406</v>
      </c>
      <c r="AI766" s="15">
        <v>0.0</v>
      </c>
      <c r="AL766" s="15" t="s">
        <v>2036</v>
      </c>
      <c r="AM766" s="15" t="s">
        <v>2355</v>
      </c>
      <c r="AN766" s="15" t="s">
        <v>2356</v>
      </c>
      <c r="AO766" s="15" t="s">
        <v>1007</v>
      </c>
      <c r="AP766" s="15" t="s">
        <v>1008</v>
      </c>
      <c r="AQ766" s="15" t="s">
        <v>410</v>
      </c>
      <c r="AR766" s="15" t="s">
        <v>439</v>
      </c>
      <c r="AS766" s="15" t="s">
        <v>1896</v>
      </c>
      <c r="AT766" s="15" t="s">
        <v>8159</v>
      </c>
      <c r="AW766" s="15" t="s">
        <v>519</v>
      </c>
      <c r="AY766" s="15" t="s">
        <v>413</v>
      </c>
      <c r="AZ766" s="15" t="b">
        <v>0</v>
      </c>
      <c r="BA766" s="15" t="s">
        <v>413</v>
      </c>
      <c r="BB766" s="15" t="b">
        <v>0</v>
      </c>
      <c r="BC766" s="15" t="s">
        <v>8173</v>
      </c>
      <c r="BD766" s="15" t="s">
        <v>742</v>
      </c>
      <c r="BE766" s="15" t="str">
        <f t="shared" si="1300"/>
        <v>1</v>
      </c>
      <c r="BF766" s="15" t="s">
        <v>416</v>
      </c>
      <c r="BG766" s="15" t="str">
        <f>"82.09"</f>
        <v>82.09</v>
      </c>
      <c r="BH766" s="15" t="s">
        <v>4367</v>
      </c>
      <c r="BI766" s="15" t="str">
        <f>"21.85"</f>
        <v>21.85</v>
      </c>
      <c r="BJ766" s="15" t="s">
        <v>1405</v>
      </c>
      <c r="BK766" s="15" t="str">
        <f>"22.05"</f>
        <v>22.05</v>
      </c>
      <c r="BL766" s="15" t="s">
        <v>2310</v>
      </c>
      <c r="BM766" s="15" t="str">
        <f>"125.66"</f>
        <v>125.66</v>
      </c>
      <c r="BN766" s="15" t="s">
        <v>5327</v>
      </c>
      <c r="BQ766" s="15" t="s">
        <v>444</v>
      </c>
      <c r="BS766" s="15" t="s">
        <v>444</v>
      </c>
      <c r="BU766" s="15" t="s">
        <v>444</v>
      </c>
      <c r="BW766" s="15" t="s">
        <v>444</v>
      </c>
      <c r="BZ766" s="15" t="s">
        <v>444</v>
      </c>
      <c r="CB766" s="15" t="s">
        <v>444</v>
      </c>
      <c r="CD766" s="15" t="s">
        <v>444</v>
      </c>
      <c r="CF766" s="15" t="s">
        <v>444</v>
      </c>
      <c r="CI766" s="15" t="s">
        <v>444</v>
      </c>
      <c r="CK766" s="15" t="s">
        <v>444</v>
      </c>
      <c r="CM766" s="15" t="s">
        <v>444</v>
      </c>
      <c r="CO766" s="15" t="s">
        <v>444</v>
      </c>
      <c r="CP766" s="15" t="str">
        <f>"22.88"</f>
        <v>22.88</v>
      </c>
      <c r="CQ766" s="15" t="str">
        <f>"0.648"</f>
        <v>0.648</v>
      </c>
      <c r="CR766" s="15" t="s">
        <v>465</v>
      </c>
      <c r="DC766" s="15" t="str">
        <f>IFERROR(__xludf.DUMMYFUNCTION("""COMPUTED_VALUE"""),"")</f>
        <v/>
      </c>
      <c r="DE766" s="15" t="str">
        <f>IFERROR(__xludf.DUMMYFUNCTION("""COMPUTED_VALUE"""),"")</f>
        <v/>
      </c>
      <c r="DG766" s="15" t="str">
        <f>IFERROR(__xludf.DUMMYFUNCTION("""COMPUTED_VALUE"""),"")</f>
        <v/>
      </c>
      <c r="DL766" s="15" t="str">
        <f>IFERROR(__xludf.DUMMYFUNCTION("""COMPUTED_VALUE"""),"")</f>
        <v/>
      </c>
      <c r="DM766" s="15" t="s">
        <v>444</v>
      </c>
      <c r="DN766" s="15" t="s">
        <v>419</v>
      </c>
      <c r="DO766" s="15">
        <v>0.0</v>
      </c>
      <c r="DP766" s="15" t="s">
        <v>419</v>
      </c>
      <c r="DR766" s="15">
        <v>0.0</v>
      </c>
      <c r="DT766" s="15" t="s">
        <v>2048</v>
      </c>
      <c r="DU766" s="15" t="s">
        <v>419</v>
      </c>
      <c r="DY766" s="15">
        <v>0.0</v>
      </c>
      <c r="EF766" s="15" t="s">
        <v>471</v>
      </c>
      <c r="EG766" s="15" t="s">
        <v>472</v>
      </c>
      <c r="EH766" s="15" t="s">
        <v>8165</v>
      </c>
      <c r="EJ766" s="15" t="s">
        <v>424</v>
      </c>
      <c r="EK766" s="15" t="s">
        <v>446</v>
      </c>
      <c r="EM766" s="15" t="str">
        <f>IFERROR(__xludf.DUMMYFUNCTION("""COMPUTED_VALUE"""),"")</f>
        <v/>
      </c>
      <c r="EW766" s="15" t="s">
        <v>1041</v>
      </c>
      <c r="EY766" s="15" t="s">
        <v>5320</v>
      </c>
      <c r="FH766" s="15" t="s">
        <v>1014</v>
      </c>
      <c r="FI766" s="15" t="s">
        <v>2101</v>
      </c>
      <c r="FJ766" s="15" t="s">
        <v>429</v>
      </c>
      <c r="FK766" s="15" t="s">
        <v>789</v>
      </c>
      <c r="FL766" s="15" t="s">
        <v>426</v>
      </c>
      <c r="FM766" s="15">
        <v>0.0</v>
      </c>
      <c r="FN766" s="15">
        <v>0.0</v>
      </c>
      <c r="FW766" s="15" t="s">
        <v>531</v>
      </c>
      <c r="GH766" s="15">
        <v>0.0</v>
      </c>
      <c r="GI766" s="15" t="s">
        <v>427</v>
      </c>
    </row>
    <row r="767" ht="15.75" customHeight="1">
      <c r="A767" s="14" t="s">
        <v>391</v>
      </c>
      <c r="B767" s="15" t="s">
        <v>8174</v>
      </c>
      <c r="C767" s="16"/>
      <c r="D767" s="15" t="s">
        <v>432</v>
      </c>
      <c r="G767" s="14" t="s">
        <v>393</v>
      </c>
      <c r="H767" s="14" t="s">
        <v>394</v>
      </c>
      <c r="I767" s="14" t="b">
        <v>1</v>
      </c>
      <c r="J767" s="14" t="s">
        <v>395</v>
      </c>
      <c r="L767" s="14" t="b">
        <v>0</v>
      </c>
      <c r="M767" s="15" t="s">
        <v>8175</v>
      </c>
      <c r="N767" s="14" t="s">
        <v>393</v>
      </c>
      <c r="O767" s="14" t="s">
        <v>393</v>
      </c>
      <c r="P767" s="15" t="s">
        <v>397</v>
      </c>
      <c r="Q767" s="15" t="s">
        <v>8159</v>
      </c>
      <c r="T767" s="14" t="b">
        <v>0</v>
      </c>
      <c r="U767" s="15" t="s">
        <v>8176</v>
      </c>
      <c r="V767" s="15" t="s">
        <v>2034</v>
      </c>
      <c r="W767" s="15" t="s">
        <v>401</v>
      </c>
      <c r="X767" s="15" t="s">
        <v>742</v>
      </c>
      <c r="Y767" s="15">
        <v>988.0</v>
      </c>
      <c r="AA767" s="15" t="str">
        <f>"380"</f>
        <v>380</v>
      </c>
      <c r="AB767" s="14" t="b">
        <v>1</v>
      </c>
      <c r="AC767" s="14" t="b">
        <v>1</v>
      </c>
      <c r="AD767" s="15" t="str">
        <f>"198394060196"</f>
        <v>198394060196</v>
      </c>
      <c r="AE767" s="15" t="s">
        <v>8177</v>
      </c>
      <c r="AF767" s="14" t="s">
        <v>404</v>
      </c>
      <c r="AG767" s="14" t="s">
        <v>405</v>
      </c>
      <c r="AH767" s="14" t="s">
        <v>406</v>
      </c>
      <c r="AI767" s="15">
        <v>0.0</v>
      </c>
      <c r="AL767" s="15" t="s">
        <v>2036</v>
      </c>
      <c r="AM767" s="15" t="s">
        <v>1364</v>
      </c>
      <c r="AN767" s="15" t="s">
        <v>1365</v>
      </c>
      <c r="AO767" s="15" t="s">
        <v>1561</v>
      </c>
      <c r="AP767" s="15" t="s">
        <v>1562</v>
      </c>
      <c r="AQ767" s="15" t="s">
        <v>7761</v>
      </c>
      <c r="AR767" s="15" t="s">
        <v>4406</v>
      </c>
      <c r="AS767" s="15" t="s">
        <v>1896</v>
      </c>
      <c r="AT767" s="15" t="s">
        <v>8159</v>
      </c>
      <c r="AW767" s="15" t="s">
        <v>628</v>
      </c>
      <c r="AY767" s="15" t="s">
        <v>413</v>
      </c>
      <c r="AZ767" s="15" t="b">
        <v>0</v>
      </c>
      <c r="BA767" s="15" t="s">
        <v>413</v>
      </c>
      <c r="BB767" s="15" t="b">
        <v>0</v>
      </c>
      <c r="BC767" s="15" t="s">
        <v>8178</v>
      </c>
      <c r="BD767" s="15" t="s">
        <v>742</v>
      </c>
      <c r="BE767" s="15" t="str">
        <f t="shared" si="1300"/>
        <v>1</v>
      </c>
      <c r="BF767" s="15" t="s">
        <v>416</v>
      </c>
      <c r="BG767" s="15" t="str">
        <f>"37.8"</f>
        <v>37.8</v>
      </c>
      <c r="BH767" s="15" t="s">
        <v>756</v>
      </c>
      <c r="BI767" s="15" t="str">
        <f>"25.79"</f>
        <v>25.79</v>
      </c>
      <c r="BJ767" s="15" t="s">
        <v>631</v>
      </c>
      <c r="BK767" s="15" t="str">
        <f>"30.71"</f>
        <v>30.71</v>
      </c>
      <c r="BL767" s="15" t="s">
        <v>1281</v>
      </c>
      <c r="BM767" s="15" t="str">
        <f>"97"</f>
        <v>97</v>
      </c>
      <c r="BN767" s="15" t="s">
        <v>5886</v>
      </c>
      <c r="BQ767" s="15" t="s">
        <v>444</v>
      </c>
      <c r="BS767" s="15" t="s">
        <v>444</v>
      </c>
      <c r="BU767" s="15" t="s">
        <v>444</v>
      </c>
      <c r="BW767" s="15" t="s">
        <v>444</v>
      </c>
      <c r="BZ767" s="15" t="s">
        <v>444</v>
      </c>
      <c r="CB767" s="15" t="s">
        <v>444</v>
      </c>
      <c r="CD767" s="15" t="s">
        <v>444</v>
      </c>
      <c r="CF767" s="15" t="s">
        <v>444</v>
      </c>
      <c r="CI767" s="15" t="s">
        <v>444</v>
      </c>
      <c r="CK767" s="15" t="s">
        <v>444</v>
      </c>
      <c r="CM767" s="15" t="s">
        <v>444</v>
      </c>
      <c r="CO767" s="15" t="s">
        <v>444</v>
      </c>
      <c r="CP767" s="15" t="str">
        <f>"17.3"</f>
        <v>17.3</v>
      </c>
      <c r="CQ767" s="15" t="str">
        <f>"0.49"</f>
        <v>0.49</v>
      </c>
      <c r="CR767" s="15" t="s">
        <v>465</v>
      </c>
      <c r="DC767" s="15" t="str">
        <f>IFERROR(__xludf.DUMMYFUNCTION("""COMPUTED_VALUE"""),"")</f>
        <v/>
      </c>
      <c r="DE767" s="15" t="str">
        <f>IFERROR(__xludf.DUMMYFUNCTION("""COMPUTED_VALUE"""),"")</f>
        <v/>
      </c>
      <c r="DG767" s="15" t="str">
        <f>IFERROR(__xludf.DUMMYFUNCTION("""COMPUTED_VALUE"""),"")</f>
        <v/>
      </c>
      <c r="DL767" s="15" t="str">
        <f>IFERROR(__xludf.DUMMYFUNCTION("""COMPUTED_VALUE"""),"")</f>
        <v/>
      </c>
      <c r="DM767" s="15" t="s">
        <v>444</v>
      </c>
      <c r="DN767" s="15" t="s">
        <v>418</v>
      </c>
      <c r="DO767" s="15">
        <v>2.0</v>
      </c>
      <c r="DP767" s="15" t="s">
        <v>419</v>
      </c>
      <c r="DR767" s="15">
        <v>0.0</v>
      </c>
      <c r="DT767" s="15" t="s">
        <v>1111</v>
      </c>
      <c r="DU767" s="15" t="s">
        <v>421</v>
      </c>
      <c r="DY767" s="15">
        <v>0.0</v>
      </c>
      <c r="EF767" s="15" t="s">
        <v>471</v>
      </c>
      <c r="EG767" s="15" t="s">
        <v>472</v>
      </c>
      <c r="EH767" s="15" t="s">
        <v>8165</v>
      </c>
      <c r="EJ767" s="15" t="s">
        <v>500</v>
      </c>
      <c r="EK767" s="15" t="s">
        <v>501</v>
      </c>
      <c r="EM767" s="15" t="str">
        <f>IFERROR(__xludf.DUMMYFUNCTION("""COMPUTED_VALUE"""),"")</f>
        <v/>
      </c>
      <c r="EW767" s="15" t="s">
        <v>761</v>
      </c>
      <c r="FL767" s="15" t="s">
        <v>426</v>
      </c>
      <c r="FM767" s="15">
        <v>0.0</v>
      </c>
      <c r="GH767" s="15">
        <v>0.0</v>
      </c>
      <c r="GI767" s="15" t="s">
        <v>427</v>
      </c>
      <c r="GQ767" s="15" t="s">
        <v>1430</v>
      </c>
      <c r="GS767" s="15" t="s">
        <v>8179</v>
      </c>
      <c r="GU767" s="15" t="s">
        <v>8180</v>
      </c>
      <c r="GW767" s="15" t="s">
        <v>8168</v>
      </c>
      <c r="GY767" s="15" t="s">
        <v>764</v>
      </c>
    </row>
    <row r="768" ht="15.75" customHeight="1">
      <c r="A768" s="14" t="s">
        <v>391</v>
      </c>
      <c r="B768" s="15" t="s">
        <v>8181</v>
      </c>
      <c r="C768" s="16"/>
      <c r="D768" s="15" t="s">
        <v>432</v>
      </c>
      <c r="G768" s="14" t="s">
        <v>393</v>
      </c>
      <c r="H768" s="14" t="s">
        <v>394</v>
      </c>
      <c r="I768" s="14" t="b">
        <v>1</v>
      </c>
      <c r="J768" s="14" t="s">
        <v>395</v>
      </c>
      <c r="L768" s="14" t="b">
        <v>0</v>
      </c>
      <c r="M768" s="15" t="s">
        <v>8182</v>
      </c>
      <c r="N768" s="14" t="s">
        <v>393</v>
      </c>
      <c r="O768" s="14" t="s">
        <v>393</v>
      </c>
      <c r="P768" s="15" t="s">
        <v>397</v>
      </c>
      <c r="Q768" s="15" t="s">
        <v>8159</v>
      </c>
      <c r="T768" s="14" t="b">
        <v>0</v>
      </c>
      <c r="U768" s="15" t="s">
        <v>8183</v>
      </c>
      <c r="V768" s="15" t="s">
        <v>7028</v>
      </c>
      <c r="W768" s="15" t="s">
        <v>401</v>
      </c>
      <c r="X768" s="15" t="s">
        <v>742</v>
      </c>
      <c r="Y768" s="15">
        <v>2405.0</v>
      </c>
      <c r="AA768" s="15" t="str">
        <f>"925"</f>
        <v>925</v>
      </c>
      <c r="AB768" s="14" t="b">
        <v>1</v>
      </c>
      <c r="AC768" s="14" t="b">
        <v>1</v>
      </c>
      <c r="AD768" s="15" t="str">
        <f>"198394060226"</f>
        <v>198394060226</v>
      </c>
      <c r="AE768" s="15" t="s">
        <v>8184</v>
      </c>
      <c r="AF768" s="14" t="s">
        <v>404</v>
      </c>
      <c r="AG768" s="14" t="s">
        <v>405</v>
      </c>
      <c r="AH768" s="14" t="s">
        <v>406</v>
      </c>
      <c r="AI768" s="15">
        <v>0.0</v>
      </c>
      <c r="AL768" s="15" t="s">
        <v>2036</v>
      </c>
      <c r="AM768" s="15" t="s">
        <v>770</v>
      </c>
      <c r="AN768" s="15" t="s">
        <v>771</v>
      </c>
      <c r="AO768" s="15" t="s">
        <v>409</v>
      </c>
      <c r="AP768" s="15" t="s">
        <v>438</v>
      </c>
      <c r="AQ768" s="15" t="s">
        <v>410</v>
      </c>
      <c r="AR768" s="15" t="s">
        <v>439</v>
      </c>
      <c r="AS768" s="15" t="s">
        <v>1896</v>
      </c>
      <c r="AT768" s="15" t="s">
        <v>8159</v>
      </c>
      <c r="AW768" s="15" t="s">
        <v>664</v>
      </c>
      <c r="AY768" s="15" t="s">
        <v>413</v>
      </c>
      <c r="AZ768" s="15" t="b">
        <v>0</v>
      </c>
      <c r="BA768" s="15" t="s">
        <v>413</v>
      </c>
      <c r="BB768" s="15" t="b">
        <v>0</v>
      </c>
      <c r="BC768" s="15" t="s">
        <v>8185</v>
      </c>
      <c r="BD768" s="15" t="s">
        <v>742</v>
      </c>
      <c r="BE768" s="15" t="str">
        <f t="shared" si="1300"/>
        <v>1</v>
      </c>
      <c r="BF768" s="15" t="s">
        <v>416</v>
      </c>
      <c r="BG768" s="15" t="str">
        <f>"99.41"</f>
        <v>99.41</v>
      </c>
      <c r="BH768" s="15" t="s">
        <v>8186</v>
      </c>
      <c r="BI768" s="15" t="str">
        <f>"25.39"</f>
        <v>25.39</v>
      </c>
      <c r="BJ768" s="15" t="s">
        <v>5779</v>
      </c>
      <c r="BK768" s="15" t="str">
        <f>"39.57"</f>
        <v>39.57</v>
      </c>
      <c r="BL768" s="15" t="s">
        <v>6665</v>
      </c>
      <c r="BM768" s="15" t="str">
        <f>"237"</f>
        <v>237</v>
      </c>
      <c r="BN768" s="15" t="s">
        <v>8187</v>
      </c>
      <c r="BQ768" s="15" t="s">
        <v>444</v>
      </c>
      <c r="BS768" s="15" t="s">
        <v>444</v>
      </c>
      <c r="BU768" s="15" t="s">
        <v>444</v>
      </c>
      <c r="BW768" s="15" t="s">
        <v>444</v>
      </c>
      <c r="BZ768" s="15" t="s">
        <v>444</v>
      </c>
      <c r="CB768" s="15" t="s">
        <v>444</v>
      </c>
      <c r="CD768" s="15" t="s">
        <v>444</v>
      </c>
      <c r="CF768" s="15" t="s">
        <v>444</v>
      </c>
      <c r="CI768" s="15" t="s">
        <v>444</v>
      </c>
      <c r="CK768" s="15" t="s">
        <v>444</v>
      </c>
      <c r="CM768" s="15" t="s">
        <v>444</v>
      </c>
      <c r="CO768" s="15" t="s">
        <v>444</v>
      </c>
      <c r="CP768" s="15" t="str">
        <f>"57.81"</f>
        <v>57.81</v>
      </c>
      <c r="CQ768" s="15" t="str">
        <f>"1.637"</f>
        <v>1.637</v>
      </c>
      <c r="CR768" s="15" t="s">
        <v>497</v>
      </c>
      <c r="CV768" s="15" t="s">
        <v>2348</v>
      </c>
      <c r="CW768" s="15" t="s">
        <v>2273</v>
      </c>
      <c r="CX768" s="15" t="s">
        <v>8188</v>
      </c>
      <c r="DC768" s="15" t="str">
        <f>IFERROR(__xludf.DUMMYFUNCTION("""COMPUTED_VALUE"""),"")</f>
        <v/>
      </c>
      <c r="DE768" s="15" t="str">
        <f>IFERROR(__xludf.DUMMYFUNCTION("""COMPUTED_VALUE"""),"")</f>
        <v/>
      </c>
      <c r="DG768" s="15" t="str">
        <f>IFERROR(__xludf.DUMMYFUNCTION("""COMPUTED_VALUE"""),"")</f>
        <v/>
      </c>
      <c r="DL768" s="15" t="str">
        <f>IFERROR(__xludf.DUMMYFUNCTION("""COMPUTED_VALUE"""),"")</f>
        <v/>
      </c>
      <c r="DM768" s="15" t="s">
        <v>444</v>
      </c>
      <c r="DN768" s="15" t="s">
        <v>419</v>
      </c>
      <c r="DO768" s="15">
        <v>0.0</v>
      </c>
      <c r="DP768" s="15" t="s">
        <v>419</v>
      </c>
      <c r="DR768" s="15">
        <v>0.0</v>
      </c>
      <c r="DT768" s="15" t="s">
        <v>1388</v>
      </c>
      <c r="DU768" s="15" t="s">
        <v>610</v>
      </c>
      <c r="DW768" s="15">
        <v>18.14</v>
      </c>
      <c r="DX768" s="15">
        <v>40.0</v>
      </c>
      <c r="DY768" s="15">
        <v>2.0</v>
      </c>
      <c r="EG768" s="15" t="s">
        <v>444</v>
      </c>
      <c r="EH768" s="15" t="s">
        <v>8165</v>
      </c>
      <c r="EJ768" s="15" t="s">
        <v>424</v>
      </c>
      <c r="EK768" s="15" t="s">
        <v>446</v>
      </c>
      <c r="EM768" s="15" t="str">
        <f>IFERROR(__xludf.DUMMYFUNCTION("""COMPUTED_VALUE"""),"")</f>
        <v/>
      </c>
      <c r="EW768" s="15" t="s">
        <v>3954</v>
      </c>
      <c r="FL768" s="15" t="s">
        <v>426</v>
      </c>
      <c r="FM768" s="15">
        <v>2.0</v>
      </c>
      <c r="FY768" s="15" t="s">
        <v>1445</v>
      </c>
      <c r="FZ768" s="15" t="s">
        <v>782</v>
      </c>
      <c r="GA768" s="15" t="s">
        <v>8189</v>
      </c>
      <c r="GB768" s="15" t="s">
        <v>2348</v>
      </c>
      <c r="GC768" s="15" t="s">
        <v>782</v>
      </c>
      <c r="GD768" s="15" t="s">
        <v>8188</v>
      </c>
      <c r="GE768" s="15">
        <v>0.0</v>
      </c>
      <c r="GG768" s="15" t="s">
        <v>1883</v>
      </c>
      <c r="GH768" s="15">
        <v>4.0</v>
      </c>
      <c r="GI768" s="15" t="s">
        <v>614</v>
      </c>
      <c r="GJ768" s="15" t="s">
        <v>1045</v>
      </c>
      <c r="GK768" s="15">
        <v>0.0</v>
      </c>
      <c r="GL768" s="15" t="s">
        <v>426</v>
      </c>
      <c r="GN768" s="15" t="s">
        <v>616</v>
      </c>
      <c r="HA768" s="15" t="s">
        <v>2348</v>
      </c>
      <c r="HB768" s="15" t="s">
        <v>2273</v>
      </c>
      <c r="HC768" s="15" t="s">
        <v>8188</v>
      </c>
      <c r="HW768" s="15" t="s">
        <v>1957</v>
      </c>
      <c r="IH768" s="15" t="s">
        <v>426</v>
      </c>
    </row>
    <row r="769" ht="15.75" customHeight="1">
      <c r="A769" s="14" t="s">
        <v>391</v>
      </c>
      <c r="B769" s="15" t="s">
        <v>8190</v>
      </c>
      <c r="C769" s="16"/>
      <c r="D769" s="15" t="s">
        <v>432</v>
      </c>
      <c r="G769" s="14" t="s">
        <v>393</v>
      </c>
      <c r="H769" s="14" t="s">
        <v>394</v>
      </c>
      <c r="I769" s="14" t="b">
        <v>1</v>
      </c>
      <c r="J769" s="14" t="s">
        <v>395</v>
      </c>
      <c r="L769" s="14" t="b">
        <v>0</v>
      </c>
      <c r="M769" s="15" t="s">
        <v>8191</v>
      </c>
      <c r="N769" s="14" t="s">
        <v>393</v>
      </c>
      <c r="O769" s="14" t="s">
        <v>393</v>
      </c>
      <c r="P769" s="15" t="s">
        <v>397</v>
      </c>
      <c r="Q769" s="15" t="s">
        <v>8192</v>
      </c>
      <c r="T769" s="14" t="b">
        <v>0</v>
      </c>
      <c r="U769" s="15" t="s">
        <v>8193</v>
      </c>
      <c r="V769" s="15" t="s">
        <v>8194</v>
      </c>
      <c r="W769" s="15" t="s">
        <v>401</v>
      </c>
      <c r="X769" s="15" t="s">
        <v>742</v>
      </c>
      <c r="Y769" s="15">
        <v>2730.0</v>
      </c>
      <c r="AA769" s="15" t="str">
        <f>"1050"</f>
        <v>1050</v>
      </c>
      <c r="AB769" s="14" t="b">
        <v>1</v>
      </c>
      <c r="AC769" s="14" t="b">
        <v>1</v>
      </c>
      <c r="AD769" s="15" t="str">
        <f>"801542739768"</f>
        <v>801542739768</v>
      </c>
      <c r="AE769" s="15" t="s">
        <v>8195</v>
      </c>
      <c r="AF769" s="14" t="s">
        <v>404</v>
      </c>
      <c r="AG769" s="14" t="s">
        <v>405</v>
      </c>
      <c r="AH769" s="14" t="s">
        <v>406</v>
      </c>
      <c r="AI769" s="15">
        <v>0.0</v>
      </c>
      <c r="AL769" s="15" t="s">
        <v>4874</v>
      </c>
      <c r="AM769" s="15" t="s">
        <v>2037</v>
      </c>
      <c r="AN769" s="15" t="s">
        <v>2038</v>
      </c>
      <c r="AO769" s="15" t="s">
        <v>409</v>
      </c>
      <c r="AP769" s="15" t="s">
        <v>438</v>
      </c>
      <c r="AQ769" s="15" t="s">
        <v>1276</v>
      </c>
      <c r="AR769" s="15" t="s">
        <v>1277</v>
      </c>
      <c r="AS769" s="15" t="s">
        <v>2759</v>
      </c>
      <c r="AT769" s="15" t="s">
        <v>8192</v>
      </c>
      <c r="AU769" s="15" t="s">
        <v>8196</v>
      </c>
      <c r="AW769" s="15" t="s">
        <v>412</v>
      </c>
      <c r="AY769" s="15" t="s">
        <v>413</v>
      </c>
      <c r="AZ769" s="15" t="b">
        <v>0</v>
      </c>
      <c r="BA769" s="15" t="s">
        <v>413</v>
      </c>
      <c r="BB769" s="15" t="b">
        <v>0</v>
      </c>
      <c r="BC769" s="15" t="s">
        <v>8197</v>
      </c>
      <c r="BD769" s="15" t="s">
        <v>742</v>
      </c>
      <c r="BE769" s="15" t="str">
        <f t="shared" si="1300"/>
        <v>1</v>
      </c>
      <c r="BF769" s="15" t="s">
        <v>8198</v>
      </c>
      <c r="BG769" s="15" t="str">
        <f>"62.99"</f>
        <v>62.99</v>
      </c>
      <c r="BH769" s="15" t="s">
        <v>2334</v>
      </c>
      <c r="BI769" s="15" t="str">
        <f>"23.43"</f>
        <v>23.43</v>
      </c>
      <c r="BJ769" s="15" t="s">
        <v>2091</v>
      </c>
      <c r="BK769" s="15" t="str">
        <f>"36.02"</f>
        <v>36.02</v>
      </c>
      <c r="BL769" s="15" t="s">
        <v>4053</v>
      </c>
      <c r="BM769" s="15" t="str">
        <f>"326.28"</f>
        <v>326.28</v>
      </c>
      <c r="BN769" s="15" t="s">
        <v>1387</v>
      </c>
      <c r="BQ769" s="15" t="s">
        <v>444</v>
      </c>
      <c r="BS769" s="15" t="s">
        <v>444</v>
      </c>
      <c r="BU769" s="15" t="s">
        <v>444</v>
      </c>
      <c r="BW769" s="15" t="s">
        <v>444</v>
      </c>
      <c r="BZ769" s="15" t="s">
        <v>444</v>
      </c>
      <c r="CB769" s="15" t="s">
        <v>444</v>
      </c>
      <c r="CD769" s="15" t="s">
        <v>444</v>
      </c>
      <c r="CF769" s="15" t="s">
        <v>444</v>
      </c>
      <c r="CI769" s="15" t="s">
        <v>444</v>
      </c>
      <c r="CK769" s="15" t="s">
        <v>444</v>
      </c>
      <c r="CM769" s="15" t="s">
        <v>444</v>
      </c>
      <c r="CO769" s="15" t="s">
        <v>444</v>
      </c>
      <c r="CP769" s="15" t="str">
        <f>"30.76"</f>
        <v>30.76</v>
      </c>
      <c r="CQ769" s="15" t="str">
        <f>"0.871"</f>
        <v>0.871</v>
      </c>
      <c r="CR769" s="15" t="s">
        <v>465</v>
      </c>
      <c r="DC769" s="15" t="str">
        <f>IFERROR(__xludf.DUMMYFUNCTION("""COMPUTED_VALUE"""),"")</f>
        <v/>
      </c>
      <c r="DE769" s="15" t="str">
        <f>IFERROR(__xludf.DUMMYFUNCTION("""COMPUTED_VALUE"""),"")</f>
        <v/>
      </c>
      <c r="DG769" s="15" t="str">
        <f>IFERROR(__xludf.DUMMYFUNCTION("""COMPUTED_VALUE"""),"")</f>
        <v/>
      </c>
      <c r="DL769" s="15" t="str">
        <f>IFERROR(__xludf.DUMMYFUNCTION("""COMPUTED_VALUE"""),"")</f>
        <v/>
      </c>
      <c r="DM769" s="15" t="s">
        <v>444</v>
      </c>
      <c r="DN769" s="15" t="s">
        <v>418</v>
      </c>
      <c r="DO769" s="15">
        <v>6.0</v>
      </c>
      <c r="DP769" s="15" t="s">
        <v>419</v>
      </c>
      <c r="DR769" s="15">
        <v>0.0</v>
      </c>
      <c r="DT769" s="15" t="s">
        <v>420</v>
      </c>
      <c r="DU769" s="15" t="s">
        <v>421</v>
      </c>
      <c r="DY769" s="15">
        <v>0.0</v>
      </c>
      <c r="EF769" s="15" t="s">
        <v>422</v>
      </c>
      <c r="EG769" s="15" t="s">
        <v>445</v>
      </c>
      <c r="EH769" s="15" t="s">
        <v>8199</v>
      </c>
      <c r="EJ769" s="15" t="s">
        <v>500</v>
      </c>
      <c r="EK769" s="15" t="s">
        <v>501</v>
      </c>
      <c r="EM769" s="15" t="str">
        <f>IFERROR(__xludf.DUMMYFUNCTION("""COMPUTED_VALUE"""),"")</f>
        <v/>
      </c>
      <c r="EW769" s="15" t="s">
        <v>2505</v>
      </c>
      <c r="FL769" s="15" t="s">
        <v>426</v>
      </c>
      <c r="FM769" s="15">
        <v>0.0</v>
      </c>
      <c r="GH769" s="15">
        <v>0.0</v>
      </c>
      <c r="GI769" s="15" t="s">
        <v>427</v>
      </c>
      <c r="GO769" s="15" t="s">
        <v>426</v>
      </c>
      <c r="GQ769" s="15" t="s">
        <v>2348</v>
      </c>
      <c r="GS769" s="15" t="s">
        <v>4375</v>
      </c>
      <c r="GU769" s="15" t="s">
        <v>8200</v>
      </c>
      <c r="GW769" s="15" t="s">
        <v>431</v>
      </c>
      <c r="GY769" s="15" t="s">
        <v>764</v>
      </c>
    </row>
    <row r="770" ht="15.75" customHeight="1">
      <c r="A770" s="14" t="s">
        <v>391</v>
      </c>
      <c r="B770" s="15" t="s">
        <v>8201</v>
      </c>
      <c r="C770" s="16"/>
      <c r="D770" s="15" t="s">
        <v>432</v>
      </c>
      <c r="G770" s="14" t="s">
        <v>393</v>
      </c>
      <c r="H770" s="14" t="s">
        <v>394</v>
      </c>
      <c r="I770" s="14" t="b">
        <v>1</v>
      </c>
      <c r="J770" s="14" t="s">
        <v>395</v>
      </c>
      <c r="L770" s="14" t="b">
        <v>0</v>
      </c>
      <c r="M770" s="15" t="s">
        <v>8202</v>
      </c>
      <c r="N770" s="14" t="s">
        <v>393</v>
      </c>
      <c r="O770" s="14" t="s">
        <v>393</v>
      </c>
      <c r="P770" s="15" t="s">
        <v>397</v>
      </c>
      <c r="Q770" s="15" t="s">
        <v>8196</v>
      </c>
      <c r="T770" s="14" t="b">
        <v>0</v>
      </c>
      <c r="U770" s="15" t="s">
        <v>8203</v>
      </c>
      <c r="V770" s="15" t="s">
        <v>3108</v>
      </c>
      <c r="W770" s="15" t="s">
        <v>401</v>
      </c>
      <c r="X770" s="15" t="s">
        <v>742</v>
      </c>
      <c r="Y770" s="15">
        <v>819.0</v>
      </c>
      <c r="AA770" s="15" t="str">
        <f>"315"</f>
        <v>315</v>
      </c>
      <c r="AB770" s="14" t="b">
        <v>1</v>
      </c>
      <c r="AC770" s="14" t="b">
        <v>1</v>
      </c>
      <c r="AD770" s="15" t="str">
        <f>"801542731427"</f>
        <v>801542731427</v>
      </c>
      <c r="AE770" s="15" t="s">
        <v>8204</v>
      </c>
      <c r="AF770" s="14" t="s">
        <v>404</v>
      </c>
      <c r="AG770" s="14" t="s">
        <v>405</v>
      </c>
      <c r="AH770" s="14" t="s">
        <v>406</v>
      </c>
      <c r="AI770" s="15">
        <v>0.0</v>
      </c>
      <c r="AL770" s="15" t="s">
        <v>1025</v>
      </c>
      <c r="AM770" s="15" t="s">
        <v>1175</v>
      </c>
      <c r="AN770" s="15" t="s">
        <v>1176</v>
      </c>
      <c r="AO770" s="15" t="s">
        <v>1007</v>
      </c>
      <c r="AP770" s="15" t="s">
        <v>1008</v>
      </c>
      <c r="AQ770" s="15" t="s">
        <v>8205</v>
      </c>
      <c r="AR770" s="15" t="s">
        <v>6199</v>
      </c>
      <c r="AS770" s="15" t="s">
        <v>2759</v>
      </c>
      <c r="AT770" s="15" t="s">
        <v>8196</v>
      </c>
      <c r="AW770" s="15" t="s">
        <v>628</v>
      </c>
      <c r="AY770" s="15" t="s">
        <v>413</v>
      </c>
      <c r="AZ770" s="15" t="b">
        <v>0</v>
      </c>
      <c r="BA770" s="15" t="s">
        <v>413</v>
      </c>
      <c r="BB770" s="15" t="b">
        <v>0</v>
      </c>
      <c r="BC770" s="15" t="s">
        <v>8206</v>
      </c>
      <c r="BD770" s="15" t="s">
        <v>742</v>
      </c>
      <c r="BE770" s="15" t="str">
        <f t="shared" si="1300"/>
        <v>1</v>
      </c>
      <c r="BF770" s="15" t="s">
        <v>8207</v>
      </c>
      <c r="BG770" s="15" t="str">
        <f>"29.13"</f>
        <v>29.13</v>
      </c>
      <c r="BH770" s="15" t="s">
        <v>1566</v>
      </c>
      <c r="BI770" s="15" t="str">
        <f>"20.87"</f>
        <v>20.87</v>
      </c>
      <c r="BJ770" s="15" t="s">
        <v>495</v>
      </c>
      <c r="BK770" s="15" t="str">
        <f>"26.57"</f>
        <v>26.57</v>
      </c>
      <c r="BL770" s="15" t="s">
        <v>3718</v>
      </c>
      <c r="BM770" s="15" t="str">
        <f>"81.57"</f>
        <v>81.57</v>
      </c>
      <c r="BN770" s="15" t="s">
        <v>8208</v>
      </c>
      <c r="BQ770" s="15" t="s">
        <v>444</v>
      </c>
      <c r="BS770" s="15" t="s">
        <v>444</v>
      </c>
      <c r="BU770" s="15" t="s">
        <v>444</v>
      </c>
      <c r="BW770" s="15" t="s">
        <v>444</v>
      </c>
      <c r="BZ770" s="15" t="s">
        <v>444</v>
      </c>
      <c r="CB770" s="15" t="s">
        <v>444</v>
      </c>
      <c r="CD770" s="15" t="s">
        <v>444</v>
      </c>
      <c r="CF770" s="15" t="s">
        <v>444</v>
      </c>
      <c r="CI770" s="15" t="s">
        <v>444</v>
      </c>
      <c r="CK770" s="15" t="s">
        <v>444</v>
      </c>
      <c r="CM770" s="15" t="s">
        <v>444</v>
      </c>
      <c r="CO770" s="15" t="s">
        <v>444</v>
      </c>
      <c r="CP770" s="15" t="str">
        <f>"9.36"</f>
        <v>9.36</v>
      </c>
      <c r="CQ770" s="15" t="str">
        <f>"0.265"</f>
        <v>0.265</v>
      </c>
      <c r="CR770" s="15" t="s">
        <v>465</v>
      </c>
      <c r="DC770" s="15" t="str">
        <f>IFERROR(__xludf.DUMMYFUNCTION("""COMPUTED_VALUE"""),"")</f>
        <v/>
      </c>
      <c r="DE770" s="15" t="str">
        <f>IFERROR(__xludf.DUMMYFUNCTION("""COMPUTED_VALUE"""),"")</f>
        <v/>
      </c>
      <c r="DG770" s="15" t="str">
        <f>IFERROR(__xludf.DUMMYFUNCTION("""COMPUTED_VALUE"""),"")</f>
        <v/>
      </c>
      <c r="DL770" s="15" t="str">
        <f>IFERROR(__xludf.DUMMYFUNCTION("""COMPUTED_VALUE"""),"")</f>
        <v/>
      </c>
      <c r="DM770" s="15" t="s">
        <v>444</v>
      </c>
      <c r="DN770" s="15" t="s">
        <v>418</v>
      </c>
      <c r="DO770" s="15">
        <v>1.0</v>
      </c>
      <c r="DP770" s="15" t="s">
        <v>419</v>
      </c>
      <c r="DR770" s="15">
        <v>0.0</v>
      </c>
      <c r="DT770" s="15" t="s">
        <v>420</v>
      </c>
      <c r="DU770" s="15" t="s">
        <v>421</v>
      </c>
      <c r="DY770" s="15">
        <v>0.0</v>
      </c>
      <c r="EF770" s="15" t="s">
        <v>471</v>
      </c>
      <c r="EG770" s="15" t="s">
        <v>472</v>
      </c>
      <c r="EH770" s="15" t="s">
        <v>8199</v>
      </c>
      <c r="EJ770" s="15" t="s">
        <v>500</v>
      </c>
      <c r="EK770" s="15" t="s">
        <v>501</v>
      </c>
      <c r="EM770" s="15" t="str">
        <f>IFERROR(__xludf.DUMMYFUNCTION("""COMPUTED_VALUE"""),"")</f>
        <v/>
      </c>
      <c r="EW770" s="15" t="s">
        <v>4128</v>
      </c>
      <c r="FL770" s="15" t="s">
        <v>426</v>
      </c>
      <c r="FM770" s="15">
        <v>0.0</v>
      </c>
      <c r="GH770" s="15">
        <v>0.0</v>
      </c>
      <c r="GI770" s="15" t="s">
        <v>427</v>
      </c>
      <c r="GO770" s="15" t="s">
        <v>426</v>
      </c>
      <c r="GQ770" s="15" t="s">
        <v>8209</v>
      </c>
      <c r="GS770" s="15" t="s">
        <v>5622</v>
      </c>
      <c r="GU770" s="15" t="s">
        <v>5633</v>
      </c>
      <c r="GW770" s="15" t="s">
        <v>431</v>
      </c>
      <c r="GY770" s="15" t="s">
        <v>764</v>
      </c>
    </row>
    <row r="771" ht="15.75" customHeight="1">
      <c r="A771" s="14" t="s">
        <v>391</v>
      </c>
      <c r="B771" s="15" t="s">
        <v>8210</v>
      </c>
      <c r="C771" s="16"/>
      <c r="D771" s="15" t="s">
        <v>432</v>
      </c>
      <c r="G771" s="14" t="s">
        <v>393</v>
      </c>
      <c r="H771" s="14" t="s">
        <v>394</v>
      </c>
      <c r="I771" s="14" t="b">
        <v>1</v>
      </c>
      <c r="J771" s="14" t="s">
        <v>395</v>
      </c>
      <c r="L771" s="14" t="b">
        <v>0</v>
      </c>
      <c r="M771" s="15" t="s">
        <v>8211</v>
      </c>
      <c r="N771" s="14" t="s">
        <v>393</v>
      </c>
      <c r="O771" s="14" t="s">
        <v>393</v>
      </c>
      <c r="P771" s="15" t="s">
        <v>397</v>
      </c>
      <c r="Q771" s="15" t="s">
        <v>8196</v>
      </c>
      <c r="T771" s="14" t="b">
        <v>0</v>
      </c>
      <c r="U771" s="15" t="s">
        <v>8212</v>
      </c>
      <c r="V771" s="15" t="s">
        <v>8213</v>
      </c>
      <c r="W771" s="15" t="s">
        <v>401</v>
      </c>
      <c r="X771" s="15" t="s">
        <v>742</v>
      </c>
      <c r="Y771" s="15">
        <v>3276.0</v>
      </c>
      <c r="AA771" s="15" t="str">
        <f>"1260"</f>
        <v>1260</v>
      </c>
      <c r="AB771" s="14" t="b">
        <v>1</v>
      </c>
      <c r="AC771" s="14" t="b">
        <v>1</v>
      </c>
      <c r="AD771" s="15" t="str">
        <f>"801542734534"</f>
        <v>801542734534</v>
      </c>
      <c r="AE771" s="15" t="s">
        <v>8214</v>
      </c>
      <c r="AF771" s="14" t="s">
        <v>404</v>
      </c>
      <c r="AG771" s="14" t="s">
        <v>405</v>
      </c>
      <c r="AH771" s="14" t="s">
        <v>406</v>
      </c>
      <c r="AI771" s="15">
        <v>0.0</v>
      </c>
      <c r="AL771" s="15" t="s">
        <v>407</v>
      </c>
      <c r="AM771" s="15" t="s">
        <v>7508</v>
      </c>
      <c r="AN771" s="15" t="s">
        <v>7509</v>
      </c>
      <c r="AO771" s="15" t="s">
        <v>409</v>
      </c>
      <c r="AP771" s="15" t="s">
        <v>438</v>
      </c>
      <c r="AQ771" s="15" t="s">
        <v>662</v>
      </c>
      <c r="AR771" s="15" t="s">
        <v>663</v>
      </c>
      <c r="AS771" s="15" t="s">
        <v>2759</v>
      </c>
      <c r="AT771" s="15" t="s">
        <v>8196</v>
      </c>
      <c r="AW771" s="15" t="s">
        <v>664</v>
      </c>
      <c r="AY771" s="15" t="s">
        <v>413</v>
      </c>
      <c r="AZ771" s="15" t="b">
        <v>0</v>
      </c>
      <c r="BA771" s="15" t="s">
        <v>413</v>
      </c>
      <c r="BB771" s="15" t="b">
        <v>0</v>
      </c>
      <c r="BC771" s="15" t="s">
        <v>8215</v>
      </c>
      <c r="BD771" s="15" t="s">
        <v>742</v>
      </c>
      <c r="BE771" s="15" t="str">
        <f t="shared" si="1300"/>
        <v>1</v>
      </c>
      <c r="BF771" s="15" t="s">
        <v>6317</v>
      </c>
      <c r="BG771" s="15" t="str">
        <f>"78.35"</f>
        <v>78.35</v>
      </c>
      <c r="BH771" s="15" t="s">
        <v>4198</v>
      </c>
      <c r="BI771" s="15" t="str">
        <f>"23.43"</f>
        <v>23.43</v>
      </c>
      <c r="BJ771" s="15" t="s">
        <v>2091</v>
      </c>
      <c r="BK771" s="15" t="str">
        <f>"39.57"</f>
        <v>39.57</v>
      </c>
      <c r="BL771" s="15" t="s">
        <v>6665</v>
      </c>
      <c r="BM771" s="15" t="str">
        <f>"297.62"</f>
        <v>297.62</v>
      </c>
      <c r="BN771" s="15" t="s">
        <v>2267</v>
      </c>
      <c r="BQ771" s="15" t="s">
        <v>444</v>
      </c>
      <c r="BS771" s="15" t="s">
        <v>444</v>
      </c>
      <c r="BU771" s="15" t="s">
        <v>444</v>
      </c>
      <c r="BW771" s="15" t="s">
        <v>444</v>
      </c>
      <c r="BZ771" s="15" t="s">
        <v>444</v>
      </c>
      <c r="CB771" s="15" t="s">
        <v>444</v>
      </c>
      <c r="CD771" s="15" t="s">
        <v>444</v>
      </c>
      <c r="CF771" s="15" t="s">
        <v>444</v>
      </c>
      <c r="CI771" s="15" t="s">
        <v>444</v>
      </c>
      <c r="CK771" s="15" t="s">
        <v>444</v>
      </c>
      <c r="CM771" s="15" t="s">
        <v>444</v>
      </c>
      <c r="CO771" s="15" t="s">
        <v>444</v>
      </c>
      <c r="CP771" s="15" t="str">
        <f>"42.02"</f>
        <v>42.02</v>
      </c>
      <c r="CQ771" s="15" t="str">
        <f>"1.19"</f>
        <v>1.19</v>
      </c>
      <c r="CR771" s="15" t="s">
        <v>417</v>
      </c>
      <c r="CV771" s="15" t="s">
        <v>8216</v>
      </c>
      <c r="CW771" s="15" t="s">
        <v>3690</v>
      </c>
      <c r="CX771" s="15" t="s">
        <v>8217</v>
      </c>
      <c r="DC771" s="15" t="str">
        <f>IFERROR(__xludf.DUMMYFUNCTION("""COMPUTED_VALUE"""),"")</f>
        <v/>
      </c>
      <c r="DE771" s="15" t="str">
        <f>IFERROR(__xludf.DUMMYFUNCTION("""COMPUTED_VALUE"""),"")</f>
        <v/>
      </c>
      <c r="DG771" s="15" t="str">
        <f>IFERROR(__xludf.DUMMYFUNCTION("""COMPUTED_VALUE"""),"")</f>
        <v/>
      </c>
      <c r="DL771" s="15" t="str">
        <f>IFERROR(__xludf.DUMMYFUNCTION("""COMPUTED_VALUE"""),"")</f>
        <v/>
      </c>
      <c r="DM771" s="15" t="s">
        <v>444</v>
      </c>
      <c r="DN771" s="15" t="s">
        <v>419</v>
      </c>
      <c r="DO771" s="15">
        <v>0.0</v>
      </c>
      <c r="DP771" s="15" t="s">
        <v>419</v>
      </c>
      <c r="DR771" s="15">
        <v>0.0</v>
      </c>
      <c r="DT771" s="15" t="s">
        <v>420</v>
      </c>
      <c r="DU771" s="15" t="s">
        <v>610</v>
      </c>
      <c r="DW771" s="15">
        <v>18.14</v>
      </c>
      <c r="DX771" s="15">
        <v>40.0</v>
      </c>
      <c r="DY771" s="15">
        <v>4.0</v>
      </c>
      <c r="EG771" s="15" t="s">
        <v>444</v>
      </c>
      <c r="EH771" s="15" t="s">
        <v>8199</v>
      </c>
      <c r="EJ771" s="15" t="s">
        <v>424</v>
      </c>
      <c r="EK771" s="15" t="s">
        <v>446</v>
      </c>
      <c r="EM771" s="15" t="str">
        <f>IFERROR(__xludf.DUMMYFUNCTION("""COMPUTED_VALUE"""),"")</f>
        <v/>
      </c>
      <c r="EW771" s="15" t="s">
        <v>2505</v>
      </c>
      <c r="FL771" s="15" t="s">
        <v>426</v>
      </c>
      <c r="FM771" s="15">
        <v>2.0</v>
      </c>
      <c r="FY771" s="15" t="s">
        <v>558</v>
      </c>
      <c r="FZ771" s="15" t="s">
        <v>1042</v>
      </c>
      <c r="GA771" s="15" t="s">
        <v>1065</v>
      </c>
      <c r="GB771" s="15" t="s">
        <v>8216</v>
      </c>
      <c r="GC771" s="15" t="s">
        <v>2046</v>
      </c>
      <c r="GD771" s="15" t="s">
        <v>8217</v>
      </c>
      <c r="GE771" s="15">
        <v>0.0</v>
      </c>
      <c r="GF771" s="15" t="s">
        <v>426</v>
      </c>
      <c r="GG771" s="15" t="s">
        <v>785</v>
      </c>
      <c r="GH771" s="15">
        <v>4.0</v>
      </c>
      <c r="GI771" s="15" t="s">
        <v>614</v>
      </c>
      <c r="GJ771" s="15" t="s">
        <v>615</v>
      </c>
      <c r="GK771" s="15">
        <v>0.0</v>
      </c>
      <c r="GL771" s="15" t="s">
        <v>426</v>
      </c>
      <c r="GN771" s="15" t="s">
        <v>616</v>
      </c>
      <c r="HW771" s="15" t="s">
        <v>2144</v>
      </c>
      <c r="IH771" s="15" t="s">
        <v>426</v>
      </c>
      <c r="LF771" s="15" t="s">
        <v>1185</v>
      </c>
    </row>
    <row r="772" ht="15.75" customHeight="1">
      <c r="A772" s="14" t="s">
        <v>391</v>
      </c>
      <c r="B772" s="15" t="s">
        <v>8218</v>
      </c>
      <c r="C772" s="16"/>
      <c r="D772" s="15" t="s">
        <v>432</v>
      </c>
      <c r="G772" s="14" t="s">
        <v>393</v>
      </c>
      <c r="H772" s="14" t="s">
        <v>394</v>
      </c>
      <c r="I772" s="14" t="b">
        <v>1</v>
      </c>
      <c r="J772" s="14" t="s">
        <v>395</v>
      </c>
      <c r="L772" s="14" t="b">
        <v>0</v>
      </c>
      <c r="M772" s="15" t="s">
        <v>8219</v>
      </c>
      <c r="N772" s="14" t="s">
        <v>393</v>
      </c>
      <c r="O772" s="14" t="s">
        <v>393</v>
      </c>
      <c r="P772" s="15" t="s">
        <v>397</v>
      </c>
      <c r="Q772" s="15" t="s">
        <v>8220</v>
      </c>
      <c r="T772" s="14" t="b">
        <v>0</v>
      </c>
      <c r="U772" s="15" t="s">
        <v>8221</v>
      </c>
      <c r="V772" s="15" t="s">
        <v>6977</v>
      </c>
      <c r="W772" s="15" t="s">
        <v>401</v>
      </c>
      <c r="X772" s="15" t="s">
        <v>1172</v>
      </c>
      <c r="Y772" s="15">
        <v>767.0</v>
      </c>
      <c r="AA772" s="15" t="str">
        <f>"295"</f>
        <v>295</v>
      </c>
      <c r="AB772" s="14" t="b">
        <v>1</v>
      </c>
      <c r="AC772" s="14" t="b">
        <v>1</v>
      </c>
      <c r="AD772" s="15" t="str">
        <f>"801542418748"</f>
        <v>801542418748</v>
      </c>
      <c r="AE772" s="15" t="s">
        <v>8222</v>
      </c>
      <c r="AF772" s="14" t="s">
        <v>404</v>
      </c>
      <c r="AG772" s="14" t="s">
        <v>405</v>
      </c>
      <c r="AH772" s="14" t="s">
        <v>406</v>
      </c>
      <c r="AI772" s="15">
        <v>0.0</v>
      </c>
      <c r="AL772" s="15" t="s">
        <v>8223</v>
      </c>
      <c r="AM772" s="15" t="s">
        <v>622</v>
      </c>
      <c r="AN772" s="15" t="s">
        <v>623</v>
      </c>
      <c r="AO772" s="15" t="s">
        <v>622</v>
      </c>
      <c r="AP772" s="15" t="s">
        <v>623</v>
      </c>
      <c r="AQ772" s="15" t="s">
        <v>1150</v>
      </c>
      <c r="AR772" s="15" t="s">
        <v>1151</v>
      </c>
      <c r="AS772" s="15" t="s">
        <v>6785</v>
      </c>
      <c r="AT772" s="15" t="s">
        <v>8220</v>
      </c>
      <c r="AU772" s="15" t="s">
        <v>8224</v>
      </c>
      <c r="AW772" s="15" t="s">
        <v>6377</v>
      </c>
      <c r="AX772" s="15" t="s">
        <v>8225</v>
      </c>
      <c r="AY772" s="15" t="s">
        <v>413</v>
      </c>
      <c r="AZ772" s="15" t="b">
        <v>0</v>
      </c>
      <c r="BA772" s="15" t="s">
        <v>413</v>
      </c>
      <c r="BB772" s="15" t="b">
        <v>0</v>
      </c>
      <c r="BC772" s="15" t="s">
        <v>8226</v>
      </c>
      <c r="BD772" s="15" t="s">
        <v>1181</v>
      </c>
      <c r="BE772" s="15" t="str">
        <f t="shared" si="1300"/>
        <v>1</v>
      </c>
      <c r="BF772" s="15" t="s">
        <v>416</v>
      </c>
      <c r="BG772" s="15" t="str">
        <f>"41"</f>
        <v>41</v>
      </c>
      <c r="BH772" s="15" t="s">
        <v>2377</v>
      </c>
      <c r="BI772" s="15" t="str">
        <f>"41"</f>
        <v>41</v>
      </c>
      <c r="BJ772" s="15" t="s">
        <v>2377</v>
      </c>
      <c r="BK772" s="15" t="str">
        <f>"20.25"</f>
        <v>20.25</v>
      </c>
      <c r="BL772" s="15" t="s">
        <v>516</v>
      </c>
      <c r="BM772" s="15" t="str">
        <f>"31.31"</f>
        <v>31.31</v>
      </c>
      <c r="BN772" s="15" t="s">
        <v>8227</v>
      </c>
      <c r="BQ772" s="15" t="s">
        <v>444</v>
      </c>
      <c r="BS772" s="15" t="s">
        <v>444</v>
      </c>
      <c r="BU772" s="15" t="s">
        <v>444</v>
      </c>
      <c r="BW772" s="15" t="s">
        <v>444</v>
      </c>
      <c r="BZ772" s="15" t="s">
        <v>444</v>
      </c>
      <c r="CB772" s="15" t="s">
        <v>444</v>
      </c>
      <c r="CD772" s="15" t="s">
        <v>444</v>
      </c>
      <c r="CF772" s="15" t="s">
        <v>444</v>
      </c>
      <c r="CI772" s="15" t="s">
        <v>444</v>
      </c>
      <c r="CK772" s="15" t="s">
        <v>444</v>
      </c>
      <c r="CM772" s="15" t="s">
        <v>444</v>
      </c>
      <c r="CO772" s="15" t="s">
        <v>444</v>
      </c>
      <c r="CP772" s="15" t="str">
        <f>"19.71"</f>
        <v>19.71</v>
      </c>
      <c r="CQ772" s="15" t="str">
        <f>"0.558"</f>
        <v>0.558</v>
      </c>
      <c r="CR772" s="15" t="s">
        <v>497</v>
      </c>
      <c r="DC772" s="15" t="str">
        <f>IFERROR(__xludf.DUMMYFUNCTION("""COMPUTED_VALUE"""),"")</f>
        <v/>
      </c>
      <c r="DE772" s="15" t="str">
        <f>IFERROR(__xludf.DUMMYFUNCTION("""COMPUTED_VALUE"""),"")</f>
        <v/>
      </c>
      <c r="DG772" s="15" t="str">
        <f>IFERROR(__xludf.DUMMYFUNCTION("""COMPUTED_VALUE"""),"")</f>
        <v/>
      </c>
      <c r="DK772" s="15" t="s">
        <v>718</v>
      </c>
      <c r="DL772" s="15" t="str">
        <f>IFERROR(__xludf.DUMMYFUNCTION("""COMPUTED_VALUE"""),"Vacuum or light brush only. Do not use water or any cleaning products.")</f>
        <v>Vacuum or light brush only. Do not use water or any cleaning products.</v>
      </c>
      <c r="DM772" s="15" t="s">
        <v>719</v>
      </c>
      <c r="DN772" s="15" t="s">
        <v>419</v>
      </c>
      <c r="DO772" s="15">
        <v>0.0</v>
      </c>
      <c r="DP772" s="15" t="s">
        <v>419</v>
      </c>
      <c r="DR772" s="15">
        <v>0.0</v>
      </c>
      <c r="DU772" s="15" t="s">
        <v>419</v>
      </c>
      <c r="DY772" s="15">
        <v>0.0</v>
      </c>
      <c r="DZ772" s="15">
        <v>0.0</v>
      </c>
      <c r="EF772" s="15" t="s">
        <v>1157</v>
      </c>
      <c r="EG772" s="15" t="s">
        <v>1158</v>
      </c>
      <c r="EH772" s="15" t="s">
        <v>8228</v>
      </c>
      <c r="EJ772" s="15" t="s">
        <v>500</v>
      </c>
      <c r="EK772" s="15" t="s">
        <v>501</v>
      </c>
      <c r="EM772" s="15" t="str">
        <f>IFERROR(__xludf.DUMMYFUNCTION("""COMPUTED_VALUE"""),"")</f>
        <v/>
      </c>
      <c r="FH772" s="15" t="s">
        <v>4339</v>
      </c>
      <c r="FI772" s="15" t="s">
        <v>1160</v>
      </c>
      <c r="FJ772" s="15" t="s">
        <v>4339</v>
      </c>
      <c r="FM772" s="15">
        <v>0.0</v>
      </c>
      <c r="FN772" s="15">
        <v>0.0</v>
      </c>
    </row>
    <row r="773" ht="15.75" customHeight="1">
      <c r="A773" s="14" t="s">
        <v>391</v>
      </c>
      <c r="B773" s="15" t="s">
        <v>8229</v>
      </c>
      <c r="C773" s="16"/>
      <c r="D773" s="15" t="s">
        <v>432</v>
      </c>
      <c r="G773" s="14" t="s">
        <v>393</v>
      </c>
      <c r="H773" s="14" t="s">
        <v>394</v>
      </c>
      <c r="I773" s="14" t="b">
        <v>1</v>
      </c>
      <c r="J773" s="14" t="s">
        <v>395</v>
      </c>
      <c r="L773" s="14" t="b">
        <v>0</v>
      </c>
      <c r="M773" s="15" t="s">
        <v>8230</v>
      </c>
      <c r="N773" s="14" t="s">
        <v>393</v>
      </c>
      <c r="O773" s="14" t="s">
        <v>393</v>
      </c>
      <c r="P773" s="15" t="s">
        <v>397</v>
      </c>
      <c r="Q773" s="15" t="s">
        <v>8231</v>
      </c>
      <c r="T773" s="14" t="b">
        <v>0</v>
      </c>
      <c r="U773" s="15" t="s">
        <v>8232</v>
      </c>
      <c r="V773" s="15" t="s">
        <v>8233</v>
      </c>
      <c r="W773" s="15" t="s">
        <v>401</v>
      </c>
      <c r="X773" s="15" t="s">
        <v>402</v>
      </c>
      <c r="Y773" s="15">
        <v>9828.0</v>
      </c>
      <c r="AA773" s="15" t="str">
        <f t="shared" ref="AA773:AA774" si="1301">"3780"</f>
        <v>3780</v>
      </c>
      <c r="AB773" s="14" t="b">
        <v>1</v>
      </c>
      <c r="AC773" s="14" t="b">
        <v>1</v>
      </c>
      <c r="AD773" s="15" t="str">
        <f>"198394138642"</f>
        <v>198394138642</v>
      </c>
      <c r="AE773" s="15" t="s">
        <v>8234</v>
      </c>
      <c r="AF773" s="14" t="s">
        <v>404</v>
      </c>
      <c r="AG773" s="14" t="s">
        <v>405</v>
      </c>
      <c r="AH773" s="14" t="s">
        <v>406</v>
      </c>
      <c r="AI773" s="15">
        <v>0.0</v>
      </c>
      <c r="AL773" s="15" t="s">
        <v>8235</v>
      </c>
      <c r="AM773" s="15" t="s">
        <v>8236</v>
      </c>
      <c r="AN773" s="15" t="s">
        <v>8237</v>
      </c>
      <c r="AO773" s="15" t="s">
        <v>8238</v>
      </c>
      <c r="AP773" s="15" t="s">
        <v>8239</v>
      </c>
      <c r="AQ773" s="15" t="s">
        <v>3234</v>
      </c>
      <c r="AR773" s="15" t="s">
        <v>3235</v>
      </c>
      <c r="AS773" s="15" t="s">
        <v>411</v>
      </c>
      <c r="AT773" s="15" t="s">
        <v>8231</v>
      </c>
      <c r="AU773" s="15" t="s">
        <v>8240</v>
      </c>
      <c r="AW773" s="15" t="s">
        <v>3792</v>
      </c>
      <c r="AY773" s="15" t="s">
        <v>413</v>
      </c>
      <c r="AZ773" s="15" t="b">
        <v>0</v>
      </c>
      <c r="BA773" s="15" t="s">
        <v>413</v>
      </c>
      <c r="BB773" s="15" t="b">
        <v>0</v>
      </c>
      <c r="BC773" s="15" t="s">
        <v>8241</v>
      </c>
      <c r="BD773" s="15" t="s">
        <v>415</v>
      </c>
      <c r="BE773" s="15" t="str">
        <f t="shared" ref="BE773:BE774" si="1302">"2"</f>
        <v>2</v>
      </c>
      <c r="BF773" s="15" t="s">
        <v>8242</v>
      </c>
      <c r="BG773" s="15" t="str">
        <f t="shared" ref="BG773:BG774" si="1303">"122.05"</f>
        <v>122.05</v>
      </c>
      <c r="BH773" s="15" t="s">
        <v>8243</v>
      </c>
      <c r="BI773" s="15" t="str">
        <f t="shared" ref="BI773:BI774" si="1304">"6.69"</f>
        <v>6.69</v>
      </c>
      <c r="BJ773" s="15" t="s">
        <v>2461</v>
      </c>
      <c r="BK773" s="15" t="str">
        <f t="shared" ref="BK773:BK774" si="1305">"64.57"</f>
        <v>64.57</v>
      </c>
      <c r="BL773" s="15" t="s">
        <v>8244</v>
      </c>
      <c r="BM773" s="15" t="str">
        <f t="shared" ref="BM773:BM774" si="1306">"335.98"</f>
        <v>335.98</v>
      </c>
      <c r="BN773" s="15" t="s">
        <v>8245</v>
      </c>
      <c r="BO773" s="15" t="s">
        <v>8246</v>
      </c>
      <c r="BP773" s="15" t="str">
        <f t="shared" ref="BP773:BP774" si="1307">"53.15"</f>
        <v>53.15</v>
      </c>
      <c r="BQ773" s="15" t="s">
        <v>6302</v>
      </c>
      <c r="BR773" s="15" t="str">
        <f t="shared" ref="BR773:BR774" si="1308">"44.88"</f>
        <v>44.88</v>
      </c>
      <c r="BS773" s="15" t="s">
        <v>3445</v>
      </c>
      <c r="BT773" s="15" t="str">
        <f t="shared" ref="BT773:BT774" si="1309">"37.4"</f>
        <v>37.4</v>
      </c>
      <c r="BU773" s="15" t="s">
        <v>3175</v>
      </c>
      <c r="BV773" s="15" t="str">
        <f t="shared" ref="BV773:BV774" si="1310">"166.89"</f>
        <v>166.89</v>
      </c>
      <c r="BW773" s="15" t="s">
        <v>8247</v>
      </c>
      <c r="BZ773" s="15" t="s">
        <v>444</v>
      </c>
      <c r="CB773" s="15" t="s">
        <v>444</v>
      </c>
      <c r="CD773" s="15" t="s">
        <v>444</v>
      </c>
      <c r="CF773" s="15" t="s">
        <v>444</v>
      </c>
      <c r="CI773" s="15" t="s">
        <v>444</v>
      </c>
      <c r="CK773" s="15" t="s">
        <v>444</v>
      </c>
      <c r="CM773" s="15" t="s">
        <v>444</v>
      </c>
      <c r="CO773" s="15" t="s">
        <v>444</v>
      </c>
      <c r="CP773" s="15" t="str">
        <f t="shared" ref="CP773:CP774" si="1311">"82.14"</f>
        <v>82.14</v>
      </c>
      <c r="CQ773" s="15" t="str">
        <f t="shared" ref="CQ773:CQ774" si="1312">"2.326"</f>
        <v>2.326</v>
      </c>
      <c r="CR773" s="15" t="s">
        <v>465</v>
      </c>
      <c r="DC773" s="15" t="str">
        <f>IFERROR(__xludf.DUMMYFUNCTION("""COMPUTED_VALUE"""),"")</f>
        <v/>
      </c>
      <c r="DE773" s="15" t="str">
        <f>IFERROR(__xludf.DUMMYFUNCTION("""COMPUTED_VALUE"""),"")</f>
        <v/>
      </c>
      <c r="DG773" s="15" t="str">
        <f>IFERROR(__xludf.DUMMYFUNCTION("""COMPUTED_VALUE"""),"")</f>
        <v/>
      </c>
      <c r="DL773" s="15" t="str">
        <f>IFERROR(__xludf.DUMMYFUNCTION("""COMPUTED_VALUE"""),"")</f>
        <v/>
      </c>
      <c r="DM773" s="15" t="s">
        <v>444</v>
      </c>
      <c r="EG773" s="15" t="s">
        <v>444</v>
      </c>
      <c r="EH773" s="15" t="s">
        <v>8248</v>
      </c>
      <c r="EK773" s="15" t="s">
        <v>444</v>
      </c>
      <c r="EM773" s="15" t="str">
        <f>IFERROR(__xludf.DUMMYFUNCTION("""COMPUTED_VALUE"""),"")</f>
        <v/>
      </c>
      <c r="EW773" s="15" t="s">
        <v>1574</v>
      </c>
      <c r="FH773" s="15" t="s">
        <v>8249</v>
      </c>
      <c r="FI773" s="15" t="s">
        <v>1574</v>
      </c>
      <c r="FJ773" s="15" t="s">
        <v>2931</v>
      </c>
      <c r="FL773" s="15" t="s">
        <v>426</v>
      </c>
      <c r="FW773" s="15" t="s">
        <v>8250</v>
      </c>
      <c r="MU773" s="15">
        <v>4.0</v>
      </c>
      <c r="MV773" s="15">
        <v>0.0</v>
      </c>
      <c r="MX773" s="15">
        <v>0.0</v>
      </c>
      <c r="MY773" s="15">
        <v>0.0</v>
      </c>
      <c r="MZ773" s="15">
        <v>0.0</v>
      </c>
      <c r="NA773" s="15" t="s">
        <v>8251</v>
      </c>
      <c r="NB773" s="15">
        <v>4.0</v>
      </c>
      <c r="NC773" s="15">
        <v>0.0</v>
      </c>
      <c r="ND773" s="15">
        <v>0.0</v>
      </c>
      <c r="NE773" s="15">
        <v>0.0</v>
      </c>
      <c r="NF773" s="15">
        <v>0.0</v>
      </c>
      <c r="NH773" s="15" t="s">
        <v>1607</v>
      </c>
      <c r="NI773" s="15" t="s">
        <v>8252</v>
      </c>
      <c r="NJ773" s="15" t="s">
        <v>3635</v>
      </c>
      <c r="NK773" s="15" t="s">
        <v>1235</v>
      </c>
      <c r="NL773" s="15" t="s">
        <v>2899</v>
      </c>
      <c r="NM773" s="15" t="s">
        <v>8253</v>
      </c>
    </row>
    <row r="774" ht="15.75" customHeight="1">
      <c r="A774" s="14" t="s">
        <v>391</v>
      </c>
      <c r="B774" s="15" t="s">
        <v>8229</v>
      </c>
      <c r="C774" s="16"/>
      <c r="D774" s="15" t="s">
        <v>432</v>
      </c>
      <c r="G774" s="14" t="s">
        <v>393</v>
      </c>
      <c r="H774" s="14" t="s">
        <v>394</v>
      </c>
      <c r="I774" s="14" t="b">
        <v>1</v>
      </c>
      <c r="J774" s="14" t="s">
        <v>395</v>
      </c>
      <c r="L774" s="14" t="b">
        <v>0</v>
      </c>
      <c r="M774" s="15" t="s">
        <v>8254</v>
      </c>
      <c r="N774" s="14" t="s">
        <v>393</v>
      </c>
      <c r="O774" s="14" t="s">
        <v>393</v>
      </c>
      <c r="P774" s="15" t="s">
        <v>397</v>
      </c>
      <c r="Q774" s="15" t="s">
        <v>8255</v>
      </c>
      <c r="T774" s="14" t="b">
        <v>0</v>
      </c>
      <c r="U774" s="15" t="s">
        <v>8256</v>
      </c>
      <c r="V774" s="15" t="s">
        <v>8233</v>
      </c>
      <c r="W774" s="15" t="s">
        <v>401</v>
      </c>
      <c r="X774" s="15" t="s">
        <v>402</v>
      </c>
      <c r="Y774" s="15">
        <v>9828.0</v>
      </c>
      <c r="AA774" s="15" t="str">
        <f t="shared" si="1301"/>
        <v>3780</v>
      </c>
      <c r="AB774" s="14" t="b">
        <v>1</v>
      </c>
      <c r="AC774" s="14" t="b">
        <v>1</v>
      </c>
      <c r="AD774" s="15" t="str">
        <f>"198394138659"</f>
        <v>198394138659</v>
      </c>
      <c r="AE774" s="15" t="s">
        <v>8257</v>
      </c>
      <c r="AF774" s="14" t="s">
        <v>404</v>
      </c>
      <c r="AG774" s="14" t="s">
        <v>405</v>
      </c>
      <c r="AH774" s="14" t="s">
        <v>406</v>
      </c>
      <c r="AI774" s="15">
        <v>0.0</v>
      </c>
      <c r="AL774" s="15" t="s">
        <v>1845</v>
      </c>
      <c r="AM774" s="15" t="s">
        <v>8236</v>
      </c>
      <c r="AN774" s="15" t="s">
        <v>8237</v>
      </c>
      <c r="AO774" s="15" t="s">
        <v>8238</v>
      </c>
      <c r="AP774" s="15" t="s">
        <v>8239</v>
      </c>
      <c r="AQ774" s="15" t="s">
        <v>3234</v>
      </c>
      <c r="AR774" s="15" t="s">
        <v>3235</v>
      </c>
      <c r="AS774" s="15" t="s">
        <v>411</v>
      </c>
      <c r="AT774" s="15" t="s">
        <v>8255</v>
      </c>
      <c r="AU774" s="15" t="s">
        <v>8231</v>
      </c>
      <c r="AV774" s="15" t="s">
        <v>8258</v>
      </c>
      <c r="AW774" s="15" t="s">
        <v>3792</v>
      </c>
      <c r="AY774" s="15" t="s">
        <v>413</v>
      </c>
      <c r="AZ774" s="15" t="b">
        <v>0</v>
      </c>
      <c r="BA774" s="15" t="s">
        <v>413</v>
      </c>
      <c r="BB774" s="15" t="b">
        <v>0</v>
      </c>
      <c r="BC774" s="15" t="s">
        <v>8259</v>
      </c>
      <c r="BD774" s="15" t="s">
        <v>415</v>
      </c>
      <c r="BE774" s="15" t="str">
        <f t="shared" si="1302"/>
        <v>2</v>
      </c>
      <c r="BF774" s="15" t="s">
        <v>8242</v>
      </c>
      <c r="BG774" s="15" t="str">
        <f t="shared" si="1303"/>
        <v>122.05</v>
      </c>
      <c r="BH774" s="15" t="s">
        <v>8243</v>
      </c>
      <c r="BI774" s="15" t="str">
        <f t="shared" si="1304"/>
        <v>6.69</v>
      </c>
      <c r="BJ774" s="15" t="s">
        <v>2461</v>
      </c>
      <c r="BK774" s="15" t="str">
        <f t="shared" si="1305"/>
        <v>64.57</v>
      </c>
      <c r="BL774" s="15" t="s">
        <v>8244</v>
      </c>
      <c r="BM774" s="15" t="str">
        <f t="shared" si="1306"/>
        <v>335.98</v>
      </c>
      <c r="BN774" s="15" t="s">
        <v>8245</v>
      </c>
      <c r="BO774" s="15" t="s">
        <v>8246</v>
      </c>
      <c r="BP774" s="15" t="str">
        <f t="shared" si="1307"/>
        <v>53.15</v>
      </c>
      <c r="BQ774" s="15" t="s">
        <v>6302</v>
      </c>
      <c r="BR774" s="15" t="str">
        <f t="shared" si="1308"/>
        <v>44.88</v>
      </c>
      <c r="BS774" s="15" t="s">
        <v>3445</v>
      </c>
      <c r="BT774" s="15" t="str">
        <f t="shared" si="1309"/>
        <v>37.4</v>
      </c>
      <c r="BU774" s="15" t="s">
        <v>3175</v>
      </c>
      <c r="BV774" s="15" t="str">
        <f t="shared" si="1310"/>
        <v>166.89</v>
      </c>
      <c r="BW774" s="15" t="s">
        <v>8247</v>
      </c>
      <c r="BZ774" s="15" t="s">
        <v>444</v>
      </c>
      <c r="CB774" s="15" t="s">
        <v>444</v>
      </c>
      <c r="CD774" s="15" t="s">
        <v>444</v>
      </c>
      <c r="CF774" s="15" t="s">
        <v>444</v>
      </c>
      <c r="CI774" s="15" t="s">
        <v>444</v>
      </c>
      <c r="CK774" s="15" t="s">
        <v>444</v>
      </c>
      <c r="CM774" s="15" t="s">
        <v>444</v>
      </c>
      <c r="CO774" s="15" t="s">
        <v>444</v>
      </c>
      <c r="CP774" s="15" t="str">
        <f t="shared" si="1311"/>
        <v>82.14</v>
      </c>
      <c r="CQ774" s="15" t="str">
        <f t="shared" si="1312"/>
        <v>2.326</v>
      </c>
      <c r="CR774" s="15" t="s">
        <v>497</v>
      </c>
      <c r="DC774" s="15" t="str">
        <f>IFERROR(__xludf.DUMMYFUNCTION("""COMPUTED_VALUE"""),"")</f>
        <v/>
      </c>
      <c r="DE774" s="15" t="str">
        <f>IFERROR(__xludf.DUMMYFUNCTION("""COMPUTED_VALUE"""),"")</f>
        <v/>
      </c>
      <c r="DG774" s="15" t="str">
        <f>IFERROR(__xludf.DUMMYFUNCTION("""COMPUTED_VALUE"""),"")</f>
        <v/>
      </c>
      <c r="DL774" s="15" t="str">
        <f>IFERROR(__xludf.DUMMYFUNCTION("""COMPUTED_VALUE"""),"")</f>
        <v/>
      </c>
      <c r="DM774" s="15" t="s">
        <v>444</v>
      </c>
      <c r="EG774" s="15" t="s">
        <v>444</v>
      </c>
      <c r="EH774" s="15" t="s">
        <v>8248</v>
      </c>
      <c r="EK774" s="15" t="s">
        <v>444</v>
      </c>
      <c r="EM774" s="15" t="str">
        <f>IFERROR(__xludf.DUMMYFUNCTION("""COMPUTED_VALUE"""),"")</f>
        <v/>
      </c>
      <c r="EW774" s="15" t="s">
        <v>1574</v>
      </c>
      <c r="FH774" s="15" t="s">
        <v>8249</v>
      </c>
      <c r="FI774" s="15" t="s">
        <v>1574</v>
      </c>
      <c r="FJ774" s="15" t="s">
        <v>2931</v>
      </c>
      <c r="FL774" s="15" t="s">
        <v>426</v>
      </c>
      <c r="FW774" s="15" t="s">
        <v>8250</v>
      </c>
      <c r="MU774" s="15">
        <v>4.0</v>
      </c>
      <c r="MV774" s="15">
        <v>0.0</v>
      </c>
      <c r="MX774" s="15">
        <v>0.0</v>
      </c>
      <c r="MY774" s="15">
        <v>0.0</v>
      </c>
      <c r="MZ774" s="15">
        <v>0.0</v>
      </c>
      <c r="NA774" s="15" t="s">
        <v>8251</v>
      </c>
      <c r="NB774" s="15">
        <v>4.0</v>
      </c>
      <c r="NC774" s="15">
        <v>0.0</v>
      </c>
      <c r="ND774" s="15">
        <v>0.0</v>
      </c>
      <c r="NE774" s="15">
        <v>0.0</v>
      </c>
      <c r="NF774" s="15">
        <v>0.0</v>
      </c>
      <c r="NH774" s="15" t="s">
        <v>1607</v>
      </c>
      <c r="NI774" s="15" t="s">
        <v>8252</v>
      </c>
      <c r="NJ774" s="15" t="s">
        <v>3635</v>
      </c>
      <c r="NK774" s="15" t="s">
        <v>1235</v>
      </c>
      <c r="NL774" s="15" t="s">
        <v>2899</v>
      </c>
      <c r="NM774" s="15" t="s">
        <v>8253</v>
      </c>
    </row>
    <row r="775" ht="15.75" customHeight="1">
      <c r="A775" s="14" t="s">
        <v>391</v>
      </c>
      <c r="B775" s="15" t="s">
        <v>8260</v>
      </c>
      <c r="C775" s="16"/>
      <c r="D775" s="15" t="s">
        <v>432</v>
      </c>
      <c r="G775" s="14" t="s">
        <v>393</v>
      </c>
      <c r="H775" s="14" t="s">
        <v>394</v>
      </c>
      <c r="I775" s="14" t="b">
        <v>1</v>
      </c>
      <c r="J775" s="14" t="s">
        <v>395</v>
      </c>
      <c r="L775" s="14" t="b">
        <v>0</v>
      </c>
      <c r="M775" s="15" t="s">
        <v>8261</v>
      </c>
      <c r="N775" s="14" t="s">
        <v>393</v>
      </c>
      <c r="O775" s="14" t="s">
        <v>393</v>
      </c>
      <c r="P775" s="15" t="s">
        <v>397</v>
      </c>
      <c r="Q775" s="15" t="s">
        <v>5649</v>
      </c>
      <c r="T775" s="14" t="b">
        <v>0</v>
      </c>
      <c r="U775" s="15" t="s">
        <v>8262</v>
      </c>
      <c r="V775" s="15" t="s">
        <v>8263</v>
      </c>
      <c r="W775" s="15" t="s">
        <v>401</v>
      </c>
      <c r="X775" s="15" t="s">
        <v>695</v>
      </c>
      <c r="Y775" s="15">
        <v>3393.0</v>
      </c>
      <c r="AA775" s="15" t="str">
        <f>"1305"</f>
        <v>1305</v>
      </c>
      <c r="AB775" s="14" t="b">
        <v>1</v>
      </c>
      <c r="AC775" s="14" t="b">
        <v>1</v>
      </c>
      <c r="AD775" s="15" t="str">
        <f>"801542106515"</f>
        <v>801542106515</v>
      </c>
      <c r="AE775" s="15" t="s">
        <v>8264</v>
      </c>
      <c r="AF775" s="14" t="s">
        <v>404</v>
      </c>
      <c r="AG775" s="14" t="s">
        <v>405</v>
      </c>
      <c r="AH775" s="14" t="s">
        <v>406</v>
      </c>
      <c r="AI775" s="15">
        <v>0.0</v>
      </c>
      <c r="AL775" s="15" t="s">
        <v>2354</v>
      </c>
      <c r="AM775" s="15" t="s">
        <v>2355</v>
      </c>
      <c r="AN775" s="15" t="s">
        <v>2356</v>
      </c>
      <c r="AO775" s="15" t="s">
        <v>1007</v>
      </c>
      <c r="AP775" s="15" t="s">
        <v>1008</v>
      </c>
      <c r="AQ775" s="15" t="s">
        <v>1085</v>
      </c>
      <c r="AR775" s="15" t="s">
        <v>1086</v>
      </c>
      <c r="AS775" s="15" t="s">
        <v>1317</v>
      </c>
      <c r="AT775" s="15" t="s">
        <v>5649</v>
      </c>
      <c r="AW775" s="15" t="s">
        <v>602</v>
      </c>
      <c r="AY775" s="15" t="s">
        <v>413</v>
      </c>
      <c r="AZ775" s="15" t="b">
        <v>0</v>
      </c>
      <c r="BA775" s="15" t="s">
        <v>413</v>
      </c>
      <c r="BB775" s="15" t="b">
        <v>0</v>
      </c>
      <c r="BC775" s="15" t="s">
        <v>8265</v>
      </c>
      <c r="BD775" s="15" t="s">
        <v>709</v>
      </c>
      <c r="BE775" s="15" t="str">
        <f t="shared" ref="BE775:BE777" si="1313">"1"</f>
        <v>1</v>
      </c>
      <c r="BF775" s="15" t="s">
        <v>416</v>
      </c>
      <c r="BG775" s="15" t="str">
        <f>"81.1"</f>
        <v>81.1</v>
      </c>
      <c r="BH775" s="15" t="s">
        <v>6148</v>
      </c>
      <c r="BI775" s="15" t="str">
        <f>"21.26"</f>
        <v>21.26</v>
      </c>
      <c r="BJ775" s="15" t="s">
        <v>684</v>
      </c>
      <c r="BK775" s="15" t="str">
        <f>"31.1"</f>
        <v>31.1</v>
      </c>
      <c r="BL775" s="15" t="s">
        <v>1386</v>
      </c>
      <c r="BM775" s="15" t="str">
        <f>"208.78"</f>
        <v>208.78</v>
      </c>
      <c r="BN775" s="15" t="s">
        <v>8266</v>
      </c>
      <c r="BQ775" s="15" t="s">
        <v>444</v>
      </c>
      <c r="BS775" s="15" t="s">
        <v>444</v>
      </c>
      <c r="BU775" s="15" t="s">
        <v>444</v>
      </c>
      <c r="BW775" s="15" t="s">
        <v>444</v>
      </c>
      <c r="BZ775" s="15" t="s">
        <v>444</v>
      </c>
      <c r="CB775" s="15" t="s">
        <v>444</v>
      </c>
      <c r="CD775" s="15" t="s">
        <v>444</v>
      </c>
      <c r="CF775" s="15" t="s">
        <v>444</v>
      </c>
      <c r="CI775" s="15" t="s">
        <v>444</v>
      </c>
      <c r="CK775" s="15" t="s">
        <v>444</v>
      </c>
      <c r="CM775" s="15" t="s">
        <v>444</v>
      </c>
      <c r="CO775" s="15" t="s">
        <v>444</v>
      </c>
      <c r="CP775" s="15" t="str">
        <f>"31.04"</f>
        <v>31.04</v>
      </c>
      <c r="CQ775" s="15" t="str">
        <f>"0.879"</f>
        <v>0.879</v>
      </c>
      <c r="CR775" s="15" t="s">
        <v>465</v>
      </c>
      <c r="CV775" s="15" t="s">
        <v>2618</v>
      </c>
      <c r="CW775" s="15" t="s">
        <v>2312</v>
      </c>
      <c r="CX775" s="15" t="s">
        <v>2384</v>
      </c>
      <c r="DC775" s="15" t="str">
        <f>IFERROR(__xludf.DUMMYFUNCTION("""COMPUTED_VALUE"""),"")</f>
        <v/>
      </c>
      <c r="DE775" s="15" t="str">
        <f>IFERROR(__xludf.DUMMYFUNCTION("""COMPUTED_VALUE"""),"")</f>
        <v/>
      </c>
      <c r="DG775" s="15" t="str">
        <f>IFERROR(__xludf.DUMMYFUNCTION("""COMPUTED_VALUE"""),"")</f>
        <v/>
      </c>
      <c r="DL775" s="15" t="str">
        <f>IFERROR(__xludf.DUMMYFUNCTION("""COMPUTED_VALUE"""),"")</f>
        <v/>
      </c>
      <c r="DM775" s="15" t="s">
        <v>444</v>
      </c>
      <c r="DN775" s="15" t="s">
        <v>418</v>
      </c>
      <c r="DO775" s="15">
        <v>6.0</v>
      </c>
      <c r="DP775" s="15" t="s">
        <v>419</v>
      </c>
      <c r="DR775" s="15">
        <v>0.0</v>
      </c>
      <c r="DT775" s="15" t="s">
        <v>420</v>
      </c>
      <c r="DU775" s="15" t="s">
        <v>610</v>
      </c>
      <c r="DW775" s="15">
        <v>18.14</v>
      </c>
      <c r="DX775" s="15">
        <v>40.0</v>
      </c>
      <c r="DY775" s="15">
        <v>1.0</v>
      </c>
      <c r="EG775" s="15" t="s">
        <v>444</v>
      </c>
      <c r="EH775" s="15" t="s">
        <v>8267</v>
      </c>
      <c r="EK775" s="15" t="s">
        <v>444</v>
      </c>
      <c r="EM775" s="15" t="str">
        <f>IFERROR(__xludf.DUMMYFUNCTION("""COMPUTED_VALUE"""),"")</f>
        <v/>
      </c>
      <c r="EW775" s="15" t="s">
        <v>1235</v>
      </c>
      <c r="FL775" s="15" t="s">
        <v>426</v>
      </c>
      <c r="FM775" s="15">
        <v>1.0</v>
      </c>
      <c r="FY775" s="15" t="s">
        <v>2198</v>
      </c>
      <c r="FZ775" s="15" t="s">
        <v>612</v>
      </c>
      <c r="GA775" s="15" t="s">
        <v>1982</v>
      </c>
      <c r="GB775" s="15" t="s">
        <v>2618</v>
      </c>
      <c r="GC775" s="15" t="s">
        <v>612</v>
      </c>
      <c r="GD775" s="15" t="s">
        <v>2384</v>
      </c>
      <c r="GF775" s="15" t="s">
        <v>426</v>
      </c>
      <c r="GG775" s="15" t="s">
        <v>785</v>
      </c>
      <c r="GH775" s="15">
        <v>2.0</v>
      </c>
      <c r="GI775" s="15" t="s">
        <v>614</v>
      </c>
      <c r="GJ775" s="15" t="s">
        <v>615</v>
      </c>
      <c r="GL775" s="15" t="s">
        <v>426</v>
      </c>
      <c r="GN775" s="15" t="s">
        <v>616</v>
      </c>
      <c r="GQ775" s="15" t="s">
        <v>1329</v>
      </c>
      <c r="GS775" s="15" t="s">
        <v>477</v>
      </c>
      <c r="GU775" s="15" t="s">
        <v>1214</v>
      </c>
      <c r="GW775" s="15" t="s">
        <v>431</v>
      </c>
      <c r="GY775" s="15" t="s">
        <v>420</v>
      </c>
      <c r="HD775" s="15">
        <v>0.0</v>
      </c>
      <c r="HW775" s="15" t="s">
        <v>1807</v>
      </c>
      <c r="IH775" s="15" t="s">
        <v>426</v>
      </c>
    </row>
    <row r="776" ht="15.75" customHeight="1">
      <c r="A776" s="14" t="s">
        <v>391</v>
      </c>
      <c r="B776" s="15" t="s">
        <v>8268</v>
      </c>
      <c r="C776" s="16"/>
      <c r="D776" s="15" t="s">
        <v>432</v>
      </c>
      <c r="G776" s="14" t="s">
        <v>393</v>
      </c>
      <c r="H776" s="14" t="s">
        <v>394</v>
      </c>
      <c r="I776" s="14" t="b">
        <v>1</v>
      </c>
      <c r="J776" s="14" t="s">
        <v>395</v>
      </c>
      <c r="L776" s="14" t="b">
        <v>0</v>
      </c>
      <c r="M776" s="15" t="s">
        <v>8269</v>
      </c>
      <c r="N776" s="14" t="s">
        <v>393</v>
      </c>
      <c r="O776" s="14" t="s">
        <v>393</v>
      </c>
      <c r="P776" s="15" t="s">
        <v>397</v>
      </c>
      <c r="Q776" s="15" t="s">
        <v>4875</v>
      </c>
      <c r="T776" s="14" t="b">
        <v>0</v>
      </c>
      <c r="U776" s="15" t="s">
        <v>8270</v>
      </c>
      <c r="V776" s="15" t="s">
        <v>8271</v>
      </c>
      <c r="W776" s="15" t="s">
        <v>401</v>
      </c>
      <c r="X776" s="15" t="s">
        <v>742</v>
      </c>
      <c r="Y776" s="15">
        <v>2522.0</v>
      </c>
      <c r="AA776" s="15" t="str">
        <f>"970"</f>
        <v>970</v>
      </c>
      <c r="AB776" s="14" t="b">
        <v>1</v>
      </c>
      <c r="AC776" s="14" t="b">
        <v>1</v>
      </c>
      <c r="AD776" s="15" t="str">
        <f>"801542192129"</f>
        <v>801542192129</v>
      </c>
      <c r="AE776" s="15" t="s">
        <v>8272</v>
      </c>
      <c r="AF776" s="14" t="s">
        <v>404</v>
      </c>
      <c r="AG776" s="14" t="s">
        <v>405</v>
      </c>
      <c r="AH776" s="14" t="s">
        <v>406</v>
      </c>
      <c r="AI776" s="15">
        <v>0.0</v>
      </c>
      <c r="AL776" s="15" t="s">
        <v>8273</v>
      </c>
      <c r="AM776" s="15" t="s">
        <v>2355</v>
      </c>
      <c r="AN776" s="15" t="s">
        <v>2356</v>
      </c>
      <c r="AO776" s="15" t="s">
        <v>1007</v>
      </c>
      <c r="AP776" s="15" t="s">
        <v>1008</v>
      </c>
      <c r="AQ776" s="15" t="s">
        <v>1175</v>
      </c>
      <c r="AR776" s="15" t="s">
        <v>1176</v>
      </c>
      <c r="AS776" s="15" t="s">
        <v>2063</v>
      </c>
      <c r="AT776" s="15" t="s">
        <v>4875</v>
      </c>
      <c r="AU776" s="15" t="s">
        <v>2818</v>
      </c>
      <c r="AW776" s="15" t="s">
        <v>602</v>
      </c>
      <c r="AY776" s="15" t="s">
        <v>413</v>
      </c>
      <c r="AZ776" s="15" t="b">
        <v>0</v>
      </c>
      <c r="BA776" s="15" t="s">
        <v>413</v>
      </c>
      <c r="BB776" s="15" t="b">
        <v>0</v>
      </c>
      <c r="BC776" s="15" t="s">
        <v>8274</v>
      </c>
      <c r="BD776" s="15" t="s">
        <v>742</v>
      </c>
      <c r="BE776" s="15" t="str">
        <f t="shared" si="1313"/>
        <v>1</v>
      </c>
      <c r="BF776" s="15" t="s">
        <v>1421</v>
      </c>
      <c r="BG776" s="15" t="str">
        <f>"81.69"</f>
        <v>81.69</v>
      </c>
      <c r="BH776" s="15" t="s">
        <v>8275</v>
      </c>
      <c r="BI776" s="15" t="str">
        <f>"26.77"</f>
        <v>26.77</v>
      </c>
      <c r="BJ776" s="15" t="s">
        <v>2322</v>
      </c>
      <c r="BK776" s="15" t="str">
        <f>"21.65"</f>
        <v>21.65</v>
      </c>
      <c r="BL776" s="15" t="s">
        <v>1506</v>
      </c>
      <c r="BM776" s="15" t="str">
        <f>"211.2"</f>
        <v>211.2</v>
      </c>
      <c r="BN776" s="15" t="s">
        <v>8276</v>
      </c>
      <c r="BQ776" s="15" t="s">
        <v>444</v>
      </c>
      <c r="BS776" s="15" t="s">
        <v>444</v>
      </c>
      <c r="BU776" s="15" t="s">
        <v>444</v>
      </c>
      <c r="BW776" s="15" t="s">
        <v>444</v>
      </c>
      <c r="BZ776" s="15" t="s">
        <v>444</v>
      </c>
      <c r="CB776" s="15" t="s">
        <v>444</v>
      </c>
      <c r="CD776" s="15" t="s">
        <v>444</v>
      </c>
      <c r="CF776" s="15" t="s">
        <v>444</v>
      </c>
      <c r="CI776" s="15" t="s">
        <v>444</v>
      </c>
      <c r="CK776" s="15" t="s">
        <v>444</v>
      </c>
      <c r="CM776" s="15" t="s">
        <v>444</v>
      </c>
      <c r="CO776" s="15" t="s">
        <v>444</v>
      </c>
      <c r="CP776" s="15" t="str">
        <f>"27.4"</f>
        <v>27.4</v>
      </c>
      <c r="CQ776" s="15" t="str">
        <f>"0.776"</f>
        <v>0.776</v>
      </c>
      <c r="CR776" s="15" t="s">
        <v>497</v>
      </c>
      <c r="CV776" s="15" t="s">
        <v>8277</v>
      </c>
      <c r="CW776" s="15" t="s">
        <v>824</v>
      </c>
      <c r="CX776" s="15" t="s">
        <v>984</v>
      </c>
      <c r="DC776" s="15" t="str">
        <f>IFERROR(__xludf.DUMMYFUNCTION("""COMPUTED_VALUE"""),"")</f>
        <v/>
      </c>
      <c r="DE776" s="15" t="str">
        <f>IFERROR(__xludf.DUMMYFUNCTION("""COMPUTED_VALUE"""),"")</f>
        <v/>
      </c>
      <c r="DG776" s="15" t="str">
        <f>IFERROR(__xludf.DUMMYFUNCTION("""COMPUTED_VALUE"""),"")</f>
        <v/>
      </c>
      <c r="DL776" s="15" t="str">
        <f>IFERROR(__xludf.DUMMYFUNCTION("""COMPUTED_VALUE"""),"")</f>
        <v/>
      </c>
      <c r="DM776" s="15" t="s">
        <v>444</v>
      </c>
      <c r="DN776" s="15" t="s">
        <v>419</v>
      </c>
      <c r="DO776" s="15">
        <v>0.0</v>
      </c>
      <c r="DP776" s="15" t="s">
        <v>419</v>
      </c>
      <c r="DR776" s="15">
        <v>0.0</v>
      </c>
      <c r="DT776" s="15" t="s">
        <v>1186</v>
      </c>
      <c r="DU776" s="15" t="s">
        <v>610</v>
      </c>
      <c r="DW776" s="15">
        <v>18.14</v>
      </c>
      <c r="DX776" s="15">
        <v>40.0</v>
      </c>
      <c r="DY776" s="15">
        <v>3.0</v>
      </c>
      <c r="EG776" s="15" t="s">
        <v>444</v>
      </c>
      <c r="EH776" s="15" t="s">
        <v>8278</v>
      </c>
      <c r="EK776" s="15" t="s">
        <v>444</v>
      </c>
      <c r="EM776" s="15" t="str">
        <f>IFERROR(__xludf.DUMMYFUNCTION("""COMPUTED_VALUE"""),"")</f>
        <v/>
      </c>
      <c r="EW776" s="15" t="s">
        <v>1955</v>
      </c>
      <c r="FL776" s="15" t="s">
        <v>426</v>
      </c>
      <c r="FM776" s="15">
        <v>3.0</v>
      </c>
      <c r="FY776" s="15" t="s">
        <v>8279</v>
      </c>
      <c r="FZ776" s="15" t="s">
        <v>612</v>
      </c>
      <c r="GA776" s="15" t="s">
        <v>8280</v>
      </c>
      <c r="GB776" s="15" t="s">
        <v>8277</v>
      </c>
      <c r="GC776" s="15" t="s">
        <v>612</v>
      </c>
      <c r="GD776" s="15" t="s">
        <v>984</v>
      </c>
      <c r="GF776" s="15" t="s">
        <v>426</v>
      </c>
      <c r="GG776" s="15" t="s">
        <v>785</v>
      </c>
      <c r="GH776" s="15">
        <v>6.0</v>
      </c>
      <c r="GI776" s="15" t="s">
        <v>614</v>
      </c>
      <c r="GJ776" s="15" t="s">
        <v>1045</v>
      </c>
      <c r="GL776" s="15" t="s">
        <v>426</v>
      </c>
      <c r="GN776" s="15" t="s">
        <v>616</v>
      </c>
      <c r="HA776" s="15" t="s">
        <v>8277</v>
      </c>
      <c r="HB776" s="15" t="s">
        <v>824</v>
      </c>
      <c r="HC776" s="15" t="s">
        <v>8094</v>
      </c>
      <c r="HD776" s="15">
        <v>0.0</v>
      </c>
      <c r="HW776" s="15" t="s">
        <v>789</v>
      </c>
      <c r="ID776" s="15" t="s">
        <v>8277</v>
      </c>
      <c r="IE776" s="15" t="s">
        <v>612</v>
      </c>
      <c r="IF776" s="15" t="s">
        <v>8094</v>
      </c>
      <c r="IH776" s="15" t="s">
        <v>426</v>
      </c>
    </row>
    <row r="777" ht="15.75" customHeight="1">
      <c r="A777" s="14" t="s">
        <v>391</v>
      </c>
      <c r="B777" s="15" t="s">
        <v>8281</v>
      </c>
      <c r="C777" s="16"/>
      <c r="D777" s="15" t="s">
        <v>432</v>
      </c>
      <c r="G777" s="14" t="s">
        <v>393</v>
      </c>
      <c r="H777" s="14" t="s">
        <v>394</v>
      </c>
      <c r="I777" s="14" t="b">
        <v>1</v>
      </c>
      <c r="J777" s="14" t="s">
        <v>395</v>
      </c>
      <c r="L777" s="14" t="b">
        <v>0</v>
      </c>
      <c r="M777" s="15" t="s">
        <v>8282</v>
      </c>
      <c r="N777" s="14" t="s">
        <v>393</v>
      </c>
      <c r="O777" s="14" t="s">
        <v>393</v>
      </c>
      <c r="P777" s="15" t="s">
        <v>397</v>
      </c>
      <c r="Q777" s="15" t="s">
        <v>4875</v>
      </c>
      <c r="T777" s="14" t="b">
        <v>0</v>
      </c>
      <c r="U777" s="15" t="s">
        <v>8283</v>
      </c>
      <c r="V777" s="15" t="s">
        <v>8284</v>
      </c>
      <c r="W777" s="15" t="s">
        <v>401</v>
      </c>
      <c r="X777" s="15" t="s">
        <v>742</v>
      </c>
      <c r="Y777" s="15">
        <v>1092.0</v>
      </c>
      <c r="AA777" s="15" t="str">
        <f>"420"</f>
        <v>420</v>
      </c>
      <c r="AB777" s="14" t="b">
        <v>1</v>
      </c>
      <c r="AC777" s="14" t="b">
        <v>1</v>
      </c>
      <c r="AD777" s="15" t="str">
        <f>"801542331665"</f>
        <v>801542331665</v>
      </c>
      <c r="AE777" s="15" t="s">
        <v>8285</v>
      </c>
      <c r="AF777" s="14" t="s">
        <v>404</v>
      </c>
      <c r="AG777" s="14" t="s">
        <v>405</v>
      </c>
      <c r="AH777" s="14" t="s">
        <v>406</v>
      </c>
      <c r="AI777" s="15">
        <v>0.0</v>
      </c>
      <c r="AL777" s="15" t="s">
        <v>8273</v>
      </c>
      <c r="AM777" s="15" t="s">
        <v>645</v>
      </c>
      <c r="AN777" s="15" t="s">
        <v>646</v>
      </c>
      <c r="AO777" s="15" t="s">
        <v>1007</v>
      </c>
      <c r="AP777" s="15" t="s">
        <v>1008</v>
      </c>
      <c r="AQ777" s="15" t="s">
        <v>645</v>
      </c>
      <c r="AR777" s="15" t="s">
        <v>646</v>
      </c>
      <c r="AS777" s="15" t="s">
        <v>2063</v>
      </c>
      <c r="AT777" s="15" t="s">
        <v>4875</v>
      </c>
      <c r="AU777" s="15" t="s">
        <v>2818</v>
      </c>
      <c r="AW777" s="15" t="s">
        <v>2891</v>
      </c>
      <c r="AY777" s="15" t="s">
        <v>413</v>
      </c>
      <c r="AZ777" s="15" t="b">
        <v>0</v>
      </c>
      <c r="BA777" s="15" t="s">
        <v>413</v>
      </c>
      <c r="BB777" s="15" t="b">
        <v>0</v>
      </c>
      <c r="BC777" s="15" t="s">
        <v>8286</v>
      </c>
      <c r="BD777" s="15" t="s">
        <v>742</v>
      </c>
      <c r="BE777" s="15" t="str">
        <f t="shared" si="1313"/>
        <v>1</v>
      </c>
      <c r="BF777" s="15" t="s">
        <v>8281</v>
      </c>
      <c r="BG777" s="15" t="str">
        <f>"38.98"</f>
        <v>38.98</v>
      </c>
      <c r="BH777" s="15" t="s">
        <v>927</v>
      </c>
      <c r="BI777" s="15" t="str">
        <f>"22.05"</f>
        <v>22.05</v>
      </c>
      <c r="BJ777" s="15" t="s">
        <v>2310</v>
      </c>
      <c r="BK777" s="15" t="str">
        <f>"36.22"</f>
        <v>36.22</v>
      </c>
      <c r="BL777" s="15" t="s">
        <v>1779</v>
      </c>
      <c r="BM777" s="15" t="str">
        <f>"126.99"</f>
        <v>126.99</v>
      </c>
      <c r="BN777" s="15" t="s">
        <v>8287</v>
      </c>
      <c r="BQ777" s="15" t="s">
        <v>444</v>
      </c>
      <c r="BS777" s="15" t="s">
        <v>444</v>
      </c>
      <c r="BU777" s="15" t="s">
        <v>444</v>
      </c>
      <c r="BW777" s="15" t="s">
        <v>444</v>
      </c>
      <c r="BZ777" s="15" t="s">
        <v>444</v>
      </c>
      <c r="CB777" s="15" t="s">
        <v>444</v>
      </c>
      <c r="CD777" s="15" t="s">
        <v>444</v>
      </c>
      <c r="CF777" s="15" t="s">
        <v>444</v>
      </c>
      <c r="CI777" s="15" t="s">
        <v>444</v>
      </c>
      <c r="CK777" s="15" t="s">
        <v>444</v>
      </c>
      <c r="CM777" s="15" t="s">
        <v>444</v>
      </c>
      <c r="CO777" s="15" t="s">
        <v>444</v>
      </c>
      <c r="CP777" s="15" t="str">
        <f>"18.01"</f>
        <v>18.01</v>
      </c>
      <c r="CQ777" s="15" t="str">
        <f>"0.51"</f>
        <v>0.51</v>
      </c>
      <c r="CR777" s="15" t="s">
        <v>417</v>
      </c>
      <c r="CV777" s="15" t="s">
        <v>8277</v>
      </c>
      <c r="CW777" s="15" t="s">
        <v>673</v>
      </c>
      <c r="CX777" s="15" t="s">
        <v>8288</v>
      </c>
      <c r="DC777" s="15" t="str">
        <f>IFERROR(__xludf.DUMMYFUNCTION("""COMPUTED_VALUE"""),"")</f>
        <v/>
      </c>
      <c r="DE777" s="15" t="str">
        <f>IFERROR(__xludf.DUMMYFUNCTION("""COMPUTED_VALUE"""),"")</f>
        <v/>
      </c>
      <c r="DG777" s="15" t="str">
        <f>IFERROR(__xludf.DUMMYFUNCTION("""COMPUTED_VALUE"""),"")</f>
        <v/>
      </c>
      <c r="DL777" s="15" t="str">
        <f>IFERROR(__xludf.DUMMYFUNCTION("""COMPUTED_VALUE"""),"")</f>
        <v/>
      </c>
      <c r="DM777" s="15" t="s">
        <v>444</v>
      </c>
      <c r="DN777" s="15" t="s">
        <v>419</v>
      </c>
      <c r="DO777" s="15">
        <v>0.0</v>
      </c>
      <c r="DP777" s="15" t="s">
        <v>419</v>
      </c>
      <c r="DR777" s="15">
        <v>0.0</v>
      </c>
      <c r="DT777" s="15" t="s">
        <v>1186</v>
      </c>
      <c r="DU777" s="15" t="s">
        <v>610</v>
      </c>
      <c r="DW777" s="15">
        <v>18.14</v>
      </c>
      <c r="DX777" s="15">
        <v>40.0</v>
      </c>
      <c r="DY777" s="15">
        <v>1.0</v>
      </c>
      <c r="EF777" s="15" t="s">
        <v>1906</v>
      </c>
      <c r="EG777" s="15" t="s">
        <v>1907</v>
      </c>
      <c r="EH777" s="15" t="s">
        <v>8278</v>
      </c>
      <c r="EK777" s="15" t="s">
        <v>444</v>
      </c>
      <c r="EM777" s="15" t="str">
        <f>IFERROR(__xludf.DUMMYFUNCTION("""COMPUTED_VALUE"""),"")</f>
        <v/>
      </c>
      <c r="EW777" s="15" t="s">
        <v>4553</v>
      </c>
      <c r="FL777" s="15" t="s">
        <v>426</v>
      </c>
      <c r="FM777" s="15">
        <v>1.0</v>
      </c>
      <c r="FY777" s="15" t="s">
        <v>8289</v>
      </c>
      <c r="FZ777" s="15" t="s">
        <v>612</v>
      </c>
      <c r="GA777" s="15" t="s">
        <v>788</v>
      </c>
      <c r="GB777" s="15" t="s">
        <v>8277</v>
      </c>
      <c r="GC777" s="15" t="s">
        <v>612</v>
      </c>
      <c r="GD777" s="15" t="s">
        <v>8288</v>
      </c>
      <c r="GE777" s="15">
        <v>0.0</v>
      </c>
      <c r="GG777" s="15" t="s">
        <v>785</v>
      </c>
      <c r="GH777" s="15">
        <v>2.0</v>
      </c>
      <c r="GI777" s="15" t="s">
        <v>614</v>
      </c>
      <c r="GJ777" s="15" t="s">
        <v>1045</v>
      </c>
      <c r="GK777" s="15">
        <v>0.0</v>
      </c>
      <c r="GL777" s="15" t="s">
        <v>426</v>
      </c>
      <c r="GM777" s="15" t="s">
        <v>2898</v>
      </c>
      <c r="GN777" s="15" t="s">
        <v>616</v>
      </c>
      <c r="GP777" s="15">
        <v>0.0</v>
      </c>
      <c r="HW777" s="15" t="s">
        <v>789</v>
      </c>
      <c r="IH777" s="15" t="s">
        <v>426</v>
      </c>
    </row>
    <row r="778" ht="15.75" customHeight="1">
      <c r="A778" s="14" t="s">
        <v>391</v>
      </c>
      <c r="B778" s="15" t="s">
        <v>8290</v>
      </c>
      <c r="C778" s="16"/>
      <c r="D778" s="15" t="s">
        <v>432</v>
      </c>
      <c r="G778" s="14" t="s">
        <v>393</v>
      </c>
      <c r="H778" s="14" t="s">
        <v>394</v>
      </c>
      <c r="I778" s="14" t="b">
        <v>1</v>
      </c>
      <c r="J778" s="14" t="s">
        <v>395</v>
      </c>
      <c r="L778" s="14" t="b">
        <v>0</v>
      </c>
      <c r="M778" s="15" t="s">
        <v>8291</v>
      </c>
      <c r="N778" s="14" t="s">
        <v>393</v>
      </c>
      <c r="O778" s="14" t="s">
        <v>393</v>
      </c>
      <c r="P778" s="15" t="s">
        <v>397</v>
      </c>
      <c r="Q778" s="15" t="s">
        <v>1646</v>
      </c>
      <c r="R778" s="15" t="s">
        <v>265</v>
      </c>
      <c r="S778" s="15" t="s">
        <v>828</v>
      </c>
      <c r="T778" s="14" t="b">
        <v>0</v>
      </c>
      <c r="U778" s="15" t="s">
        <v>8292</v>
      </c>
      <c r="V778" s="15" t="s">
        <v>8293</v>
      </c>
      <c r="W778" s="15" t="s">
        <v>401</v>
      </c>
      <c r="X778" s="15" t="s">
        <v>695</v>
      </c>
      <c r="Y778" s="15">
        <v>2626.0</v>
      </c>
      <c r="AA778" s="15" t="str">
        <f>"1010"</f>
        <v>1010</v>
      </c>
      <c r="AB778" s="14" t="b">
        <v>1</v>
      </c>
      <c r="AC778" s="14" t="b">
        <v>1</v>
      </c>
      <c r="AD778" s="15" t="str">
        <f>"801542627898"</f>
        <v>801542627898</v>
      </c>
      <c r="AE778" s="15" t="s">
        <v>8294</v>
      </c>
      <c r="AF778" s="14" t="s">
        <v>404</v>
      </c>
      <c r="AG778" s="14" t="s">
        <v>405</v>
      </c>
      <c r="AH778" s="14" t="s">
        <v>406</v>
      </c>
      <c r="AI778" s="15">
        <v>0.0</v>
      </c>
      <c r="AL778" s="15" t="s">
        <v>8295</v>
      </c>
      <c r="AM778" s="15" t="s">
        <v>8296</v>
      </c>
      <c r="AN778" s="15" t="s">
        <v>6198</v>
      </c>
      <c r="AO778" s="15" t="s">
        <v>582</v>
      </c>
      <c r="AP778" s="15" t="s">
        <v>583</v>
      </c>
      <c r="AQ778" s="15" t="s">
        <v>487</v>
      </c>
      <c r="AR778" s="15" t="s">
        <v>488</v>
      </c>
      <c r="AS778" s="15" t="s">
        <v>915</v>
      </c>
      <c r="AT778" s="15" t="s">
        <v>1646</v>
      </c>
      <c r="AU778" s="15" t="s">
        <v>1087</v>
      </c>
      <c r="AW778" s="15" t="s">
        <v>839</v>
      </c>
      <c r="AX778" s="15" t="s">
        <v>828</v>
      </c>
      <c r="AY778" s="15" t="s">
        <v>426</v>
      </c>
      <c r="AZ778" s="15" t="b">
        <v>1</v>
      </c>
      <c r="BA778" s="15" t="s">
        <v>426</v>
      </c>
      <c r="BB778" s="15" t="b">
        <v>1</v>
      </c>
      <c r="BC778" s="15" t="s">
        <v>8297</v>
      </c>
      <c r="BD778" s="15" t="s">
        <v>709</v>
      </c>
      <c r="BE778" s="15" t="str">
        <f t="shared" ref="BE778:BE784" si="1314">"3"</f>
        <v>3</v>
      </c>
      <c r="BF778" s="15" t="s">
        <v>926</v>
      </c>
      <c r="BG778" s="15" t="str">
        <f>"83.86"</f>
        <v>83.86</v>
      </c>
      <c r="BH778" s="15" t="s">
        <v>5542</v>
      </c>
      <c r="BI778" s="15" t="str">
        <f>"14.17"</f>
        <v>14.17</v>
      </c>
      <c r="BJ778" s="15" t="s">
        <v>8298</v>
      </c>
      <c r="BK778" s="15" t="str">
        <f>"50.98"</f>
        <v>50.98</v>
      </c>
      <c r="BL778" s="15" t="s">
        <v>8299</v>
      </c>
      <c r="BM778" s="15" t="str">
        <f>"110.23"</f>
        <v>110.23</v>
      </c>
      <c r="BN778" s="15" t="s">
        <v>1131</v>
      </c>
      <c r="BO778" s="15" t="s">
        <v>5840</v>
      </c>
      <c r="BP778" s="15" t="str">
        <f t="shared" ref="BP778:BP779" si="1315">"85.75"</f>
        <v>85.75</v>
      </c>
      <c r="BQ778" s="15" t="s">
        <v>3093</v>
      </c>
      <c r="BR778" s="15" t="str">
        <f t="shared" ref="BR778:BR784" si="1316">"9.06"</f>
        <v>9.06</v>
      </c>
      <c r="BS778" s="15" t="s">
        <v>2481</v>
      </c>
      <c r="BT778" s="15" t="str">
        <f t="shared" ref="BT778:BT779" si="1317">"10.24"</f>
        <v>10.24</v>
      </c>
      <c r="BU778" s="15" t="s">
        <v>6791</v>
      </c>
      <c r="BV778" s="15" t="str">
        <f t="shared" ref="BV778:BV779" si="1318">"47.84"</f>
        <v>47.84</v>
      </c>
      <c r="BW778" s="15" t="s">
        <v>2496</v>
      </c>
      <c r="BX778" s="15" t="s">
        <v>917</v>
      </c>
      <c r="BY778" s="15" t="str">
        <f t="shared" ref="BY778:BY779" si="1319">"81.73"</f>
        <v>81.73</v>
      </c>
      <c r="BZ778" s="15" t="s">
        <v>918</v>
      </c>
      <c r="CA778" s="15" t="str">
        <f t="shared" ref="CA778:CA779" si="1320">"5.39"</f>
        <v>5.39</v>
      </c>
      <c r="CB778" s="15" t="s">
        <v>919</v>
      </c>
      <c r="CC778" s="15" t="str">
        <f>"40.35"</f>
        <v>40.35</v>
      </c>
      <c r="CD778" s="15" t="s">
        <v>920</v>
      </c>
      <c r="CE778" s="15" t="str">
        <f>"52.91"</f>
        <v>52.91</v>
      </c>
      <c r="CF778" s="15" t="s">
        <v>921</v>
      </c>
      <c r="CI778" s="15" t="s">
        <v>444</v>
      </c>
      <c r="CK778" s="15" t="s">
        <v>444</v>
      </c>
      <c r="CM778" s="15" t="s">
        <v>444</v>
      </c>
      <c r="CO778" s="15" t="s">
        <v>444</v>
      </c>
      <c r="CP778" s="15" t="str">
        <f>"49.97"</f>
        <v>49.97</v>
      </c>
      <c r="CQ778" s="15" t="str">
        <f>"1.415"</f>
        <v>1.415</v>
      </c>
      <c r="CR778" s="15" t="s">
        <v>497</v>
      </c>
      <c r="DC778" s="15" t="str">
        <f>IFERROR(__xludf.DUMMYFUNCTION("""COMPUTED_VALUE"""),"")</f>
        <v/>
      </c>
      <c r="DE778" s="15" t="str">
        <f>IFERROR(__xludf.DUMMYFUNCTION("""COMPUTED_VALUE"""),"")</f>
        <v/>
      </c>
      <c r="DG778" s="15" t="str">
        <f>IFERROR(__xludf.DUMMYFUNCTION("""COMPUTED_VALUE"""),"")</f>
        <v/>
      </c>
      <c r="DK778" s="15" t="s">
        <v>855</v>
      </c>
      <c r="DL778" s="15" t="str">
        <f>IFERROR(__xludf.DUMMYFUNCTION("""COMPUTED_VALUE"""),"Clean with solvent-based (dry clean only) products. Do not use water.")</f>
        <v>Clean with solvent-based (dry clean only) products. Do not use water.</v>
      </c>
      <c r="DM778" s="15" t="s">
        <v>856</v>
      </c>
      <c r="DN778" s="15" t="s">
        <v>419</v>
      </c>
      <c r="DO778" s="15">
        <v>0.0</v>
      </c>
      <c r="DP778" s="15" t="s">
        <v>419</v>
      </c>
      <c r="DR778" s="15">
        <v>0.0</v>
      </c>
      <c r="DT778" s="15" t="s">
        <v>721</v>
      </c>
      <c r="DU778" s="15" t="s">
        <v>419</v>
      </c>
      <c r="DW778" s="15">
        <v>0.0</v>
      </c>
      <c r="DX778" s="15">
        <v>0.0</v>
      </c>
      <c r="DY778" s="15">
        <v>0.0</v>
      </c>
      <c r="DZ778" s="15">
        <v>25000.0</v>
      </c>
      <c r="EG778" s="15" t="s">
        <v>444</v>
      </c>
      <c r="EH778" s="15" t="s">
        <v>8300</v>
      </c>
      <c r="EJ778" s="15" t="s">
        <v>858</v>
      </c>
      <c r="EK778" s="15" t="s">
        <v>859</v>
      </c>
      <c r="EM778" s="15" t="str">
        <f>IFERROR(__xludf.DUMMYFUNCTION("""COMPUTED_VALUE"""),"")</f>
        <v/>
      </c>
      <c r="FF778" s="15" t="s">
        <v>8301</v>
      </c>
      <c r="FM778" s="15">
        <v>0.0</v>
      </c>
      <c r="IM778" s="15" t="s">
        <v>505</v>
      </c>
      <c r="IN778" s="15" t="s">
        <v>505</v>
      </c>
      <c r="IO778" s="15" t="s">
        <v>505</v>
      </c>
      <c r="IP778" s="15" t="s">
        <v>1288</v>
      </c>
      <c r="IQ778" s="15" t="s">
        <v>1807</v>
      </c>
      <c r="IR778" s="15" t="s">
        <v>4844</v>
      </c>
      <c r="IS778" s="15" t="s">
        <v>2337</v>
      </c>
      <c r="IT778" s="15" t="s">
        <v>1329</v>
      </c>
      <c r="IU778" s="15" t="s">
        <v>4844</v>
      </c>
      <c r="IV778" s="15" t="s">
        <v>6260</v>
      </c>
      <c r="IW778" s="15" t="s">
        <v>672</v>
      </c>
      <c r="IX778" s="15" t="s">
        <v>3007</v>
      </c>
      <c r="IY778" s="15" t="s">
        <v>2116</v>
      </c>
      <c r="IZ778" s="15" t="s">
        <v>4508</v>
      </c>
      <c r="JA778" s="15" t="s">
        <v>1807</v>
      </c>
      <c r="JB778" s="15" t="s">
        <v>426</v>
      </c>
      <c r="JC778" s="15" t="s">
        <v>871</v>
      </c>
      <c r="JD778" s="15" t="s">
        <v>872</v>
      </c>
      <c r="JE778" s="15" t="s">
        <v>873</v>
      </c>
      <c r="JF778" s="15" t="s">
        <v>828</v>
      </c>
      <c r="JL778" s="15" t="s">
        <v>635</v>
      </c>
      <c r="JM778" s="15" t="s">
        <v>1576</v>
      </c>
      <c r="JO778" s="15" t="s">
        <v>426</v>
      </c>
      <c r="JP778" s="15" t="s">
        <v>875</v>
      </c>
      <c r="JS778" s="15" t="s">
        <v>6260</v>
      </c>
      <c r="JT778" s="15" t="s">
        <v>6331</v>
      </c>
    </row>
    <row r="779" ht="15.75" customHeight="1">
      <c r="A779" s="14" t="s">
        <v>391</v>
      </c>
      <c r="B779" s="15" t="s">
        <v>8290</v>
      </c>
      <c r="C779" s="16"/>
      <c r="D779" s="15" t="s">
        <v>432</v>
      </c>
      <c r="G779" s="14" t="s">
        <v>393</v>
      </c>
      <c r="H779" s="14" t="s">
        <v>394</v>
      </c>
      <c r="I779" s="14" t="b">
        <v>1</v>
      </c>
      <c r="J779" s="14" t="s">
        <v>395</v>
      </c>
      <c r="L779" s="14" t="b">
        <v>0</v>
      </c>
      <c r="M779" s="15" t="s">
        <v>8302</v>
      </c>
      <c r="N779" s="14" t="s">
        <v>393</v>
      </c>
      <c r="O779" s="14" t="s">
        <v>393</v>
      </c>
      <c r="P779" s="15" t="s">
        <v>397</v>
      </c>
      <c r="Q779" s="15" t="s">
        <v>1646</v>
      </c>
      <c r="R779" s="15" t="s">
        <v>265</v>
      </c>
      <c r="S779" s="15" t="s">
        <v>877</v>
      </c>
      <c r="T779" s="14" t="b">
        <v>0</v>
      </c>
      <c r="U779" s="15" t="s">
        <v>8303</v>
      </c>
      <c r="V779" s="15" t="s">
        <v>5591</v>
      </c>
      <c r="W779" s="15" t="s">
        <v>401</v>
      </c>
      <c r="X779" s="15" t="s">
        <v>695</v>
      </c>
      <c r="Y779" s="15">
        <v>2301.0</v>
      </c>
      <c r="AA779" s="15" t="str">
        <f>"885"</f>
        <v>885</v>
      </c>
      <c r="AB779" s="14" t="b">
        <v>1</v>
      </c>
      <c r="AC779" s="14" t="b">
        <v>1</v>
      </c>
      <c r="AD779" s="15" t="str">
        <f>"801542618544"</f>
        <v>801542618544</v>
      </c>
      <c r="AE779" s="15" t="s">
        <v>8304</v>
      </c>
      <c r="AF779" s="14" t="s">
        <v>404</v>
      </c>
      <c r="AG779" s="14" t="s">
        <v>405</v>
      </c>
      <c r="AH779" s="14" t="s">
        <v>406</v>
      </c>
      <c r="AI779" s="15">
        <v>0.0</v>
      </c>
      <c r="AL779" s="15" t="s">
        <v>8295</v>
      </c>
      <c r="AM779" s="15" t="s">
        <v>3326</v>
      </c>
      <c r="AN779" s="15" t="s">
        <v>3327</v>
      </c>
      <c r="AO779" s="15" t="s">
        <v>582</v>
      </c>
      <c r="AP779" s="15" t="s">
        <v>583</v>
      </c>
      <c r="AQ779" s="15" t="s">
        <v>487</v>
      </c>
      <c r="AR779" s="15" t="s">
        <v>488</v>
      </c>
      <c r="AS779" s="15" t="s">
        <v>915</v>
      </c>
      <c r="AT779" s="15" t="s">
        <v>1646</v>
      </c>
      <c r="AU779" s="15" t="s">
        <v>1087</v>
      </c>
      <c r="AW779" s="15" t="s">
        <v>839</v>
      </c>
      <c r="AX779" s="15" t="s">
        <v>877</v>
      </c>
      <c r="AY779" s="15" t="s">
        <v>426</v>
      </c>
      <c r="AZ779" s="15" t="b">
        <v>1</v>
      </c>
      <c r="BA779" s="15" t="s">
        <v>426</v>
      </c>
      <c r="BB779" s="15" t="b">
        <v>1</v>
      </c>
      <c r="BC779" s="15" t="s">
        <v>8297</v>
      </c>
      <c r="BD779" s="15" t="s">
        <v>709</v>
      </c>
      <c r="BE779" s="15" t="str">
        <f t="shared" si="1314"/>
        <v>3</v>
      </c>
      <c r="BF779" s="15" t="s">
        <v>8305</v>
      </c>
      <c r="BG779" s="15" t="str">
        <f>"67.32"</f>
        <v>67.32</v>
      </c>
      <c r="BH779" s="15" t="s">
        <v>4754</v>
      </c>
      <c r="BI779" s="15" t="str">
        <f>"50.98"</f>
        <v>50.98</v>
      </c>
      <c r="BJ779" s="15" t="s">
        <v>8299</v>
      </c>
      <c r="BK779" s="15" t="str">
        <f>"14.17"</f>
        <v>14.17</v>
      </c>
      <c r="BL779" s="15" t="s">
        <v>8298</v>
      </c>
      <c r="BM779" s="15" t="str">
        <f>"99.65"</f>
        <v>99.65</v>
      </c>
      <c r="BN779" s="15" t="s">
        <v>8306</v>
      </c>
      <c r="BO779" s="15" t="s">
        <v>2966</v>
      </c>
      <c r="BP779" s="15" t="str">
        <f t="shared" si="1315"/>
        <v>85.75</v>
      </c>
      <c r="BQ779" s="15" t="s">
        <v>3093</v>
      </c>
      <c r="BR779" s="15" t="str">
        <f t="shared" si="1316"/>
        <v>9.06</v>
      </c>
      <c r="BS779" s="15" t="s">
        <v>2481</v>
      </c>
      <c r="BT779" s="15" t="str">
        <f t="shared" si="1317"/>
        <v>10.24</v>
      </c>
      <c r="BU779" s="15" t="s">
        <v>6791</v>
      </c>
      <c r="BV779" s="15" t="str">
        <f t="shared" si="1318"/>
        <v>47.84</v>
      </c>
      <c r="BW779" s="15" t="s">
        <v>2496</v>
      </c>
      <c r="BX779" s="15" t="s">
        <v>917</v>
      </c>
      <c r="BY779" s="15" t="str">
        <f t="shared" si="1319"/>
        <v>81.73</v>
      </c>
      <c r="BZ779" s="15" t="s">
        <v>918</v>
      </c>
      <c r="CA779" s="15" t="str">
        <f t="shared" si="1320"/>
        <v>5.39</v>
      </c>
      <c r="CB779" s="15" t="s">
        <v>919</v>
      </c>
      <c r="CC779" s="15" t="str">
        <f>"32.28"</f>
        <v>32.28</v>
      </c>
      <c r="CD779" s="15" t="s">
        <v>954</v>
      </c>
      <c r="CE779" s="15" t="str">
        <f>"43.87"</f>
        <v>43.87</v>
      </c>
      <c r="CF779" s="15" t="s">
        <v>955</v>
      </c>
      <c r="CI779" s="15" t="s">
        <v>444</v>
      </c>
      <c r="CK779" s="15" t="s">
        <v>444</v>
      </c>
      <c r="CM779" s="15" t="s">
        <v>444</v>
      </c>
      <c r="CO779" s="15" t="s">
        <v>444</v>
      </c>
      <c r="CP779" s="15" t="str">
        <f>"40.97"</f>
        <v>40.97</v>
      </c>
      <c r="CQ779" s="15" t="str">
        <f>"1.16"</f>
        <v>1.16</v>
      </c>
      <c r="CR779" s="15" t="s">
        <v>497</v>
      </c>
      <c r="DC779" s="15" t="str">
        <f>IFERROR(__xludf.DUMMYFUNCTION("""COMPUTED_VALUE"""),"")</f>
        <v/>
      </c>
      <c r="DE779" s="15" t="str">
        <f>IFERROR(__xludf.DUMMYFUNCTION("""COMPUTED_VALUE"""),"")</f>
        <v/>
      </c>
      <c r="DG779" s="15" t="str">
        <f>IFERROR(__xludf.DUMMYFUNCTION("""COMPUTED_VALUE"""),"")</f>
        <v/>
      </c>
      <c r="DK779" s="15" t="s">
        <v>855</v>
      </c>
      <c r="DL779" s="15" t="str">
        <f>IFERROR(__xludf.DUMMYFUNCTION("""COMPUTED_VALUE"""),"Clean with solvent-based (dry clean only) products. Do not use water.")</f>
        <v>Clean with solvent-based (dry clean only) products. Do not use water.</v>
      </c>
      <c r="DM779" s="15" t="s">
        <v>856</v>
      </c>
      <c r="DN779" s="15" t="s">
        <v>419</v>
      </c>
      <c r="DO779" s="15">
        <v>0.0</v>
      </c>
      <c r="DP779" s="15" t="s">
        <v>419</v>
      </c>
      <c r="DR779" s="15">
        <v>0.0</v>
      </c>
      <c r="DT779" s="15" t="s">
        <v>721</v>
      </c>
      <c r="DU779" s="15" t="s">
        <v>419</v>
      </c>
      <c r="DW779" s="15">
        <v>0.0</v>
      </c>
      <c r="DX779" s="15">
        <v>0.0</v>
      </c>
      <c r="DY779" s="15">
        <v>0.0</v>
      </c>
      <c r="DZ779" s="15">
        <v>25000.0</v>
      </c>
      <c r="EG779" s="15" t="s">
        <v>444</v>
      </c>
      <c r="EH779" s="15" t="s">
        <v>8300</v>
      </c>
      <c r="EJ779" s="15" t="s">
        <v>858</v>
      </c>
      <c r="EK779" s="15" t="s">
        <v>859</v>
      </c>
      <c r="EM779" s="15" t="str">
        <f>IFERROR(__xludf.DUMMYFUNCTION("""COMPUTED_VALUE"""),"")</f>
        <v/>
      </c>
      <c r="FF779" s="15" t="s">
        <v>8301</v>
      </c>
      <c r="FM779" s="15">
        <v>0.0</v>
      </c>
      <c r="IM779" s="15" t="s">
        <v>505</v>
      </c>
      <c r="IN779" s="15" t="s">
        <v>505</v>
      </c>
      <c r="IO779" s="15" t="s">
        <v>505</v>
      </c>
      <c r="IP779" s="15" t="s">
        <v>1288</v>
      </c>
      <c r="IQ779" s="15" t="s">
        <v>1807</v>
      </c>
      <c r="IR779" s="15" t="s">
        <v>2570</v>
      </c>
      <c r="IS779" s="15" t="s">
        <v>2337</v>
      </c>
      <c r="IT779" s="15" t="s">
        <v>1329</v>
      </c>
      <c r="IU779" s="15" t="s">
        <v>2570</v>
      </c>
      <c r="IV779" s="15" t="s">
        <v>6260</v>
      </c>
      <c r="IW779" s="15" t="s">
        <v>672</v>
      </c>
      <c r="IX779" s="15" t="s">
        <v>1682</v>
      </c>
      <c r="IY779" s="15" t="s">
        <v>2116</v>
      </c>
      <c r="IZ779" s="15" t="s">
        <v>4508</v>
      </c>
      <c r="JA779" s="15" t="s">
        <v>1807</v>
      </c>
      <c r="JB779" s="15" t="s">
        <v>426</v>
      </c>
      <c r="JC779" s="15" t="s">
        <v>871</v>
      </c>
      <c r="JD779" s="15" t="s">
        <v>872</v>
      </c>
      <c r="JE779" s="15" t="s">
        <v>873</v>
      </c>
      <c r="JF779" s="15" t="s">
        <v>877</v>
      </c>
      <c r="JL779" s="15" t="s">
        <v>635</v>
      </c>
      <c r="JM779" s="15" t="s">
        <v>1576</v>
      </c>
      <c r="JO779" s="15" t="s">
        <v>426</v>
      </c>
      <c r="JP779" s="15" t="s">
        <v>875</v>
      </c>
      <c r="JS779" s="15" t="s">
        <v>6260</v>
      </c>
      <c r="JT779" s="15" t="s">
        <v>6826</v>
      </c>
    </row>
    <row r="780" ht="15.75" customHeight="1">
      <c r="A780" s="14" t="s">
        <v>391</v>
      </c>
      <c r="B780" s="15" t="s">
        <v>8290</v>
      </c>
      <c r="C780" s="16"/>
      <c r="D780" s="15" t="s">
        <v>432</v>
      </c>
      <c r="G780" s="14" t="s">
        <v>393</v>
      </c>
      <c r="H780" s="14" t="s">
        <v>394</v>
      </c>
      <c r="I780" s="14" t="b">
        <v>1</v>
      </c>
      <c r="J780" s="14" t="s">
        <v>395</v>
      </c>
      <c r="L780" s="14" t="b">
        <v>0</v>
      </c>
      <c r="M780" s="15" t="s">
        <v>8307</v>
      </c>
      <c r="N780" s="14" t="s">
        <v>393</v>
      </c>
      <c r="O780" s="14" t="s">
        <v>393</v>
      </c>
      <c r="P780" s="15" t="s">
        <v>397</v>
      </c>
      <c r="Q780" s="15" t="s">
        <v>1646</v>
      </c>
      <c r="R780" s="15" t="s">
        <v>265</v>
      </c>
      <c r="S780" s="15" t="s">
        <v>3025</v>
      </c>
      <c r="T780" s="14" t="b">
        <v>0</v>
      </c>
      <c r="U780" s="15" t="s">
        <v>8308</v>
      </c>
      <c r="V780" s="15" t="s">
        <v>8309</v>
      </c>
      <c r="W780" s="15" t="s">
        <v>401</v>
      </c>
      <c r="X780" s="15" t="s">
        <v>695</v>
      </c>
      <c r="Y780" s="15">
        <v>1586.0</v>
      </c>
      <c r="AA780" s="15" t="str">
        <f>"610"</f>
        <v>610</v>
      </c>
      <c r="AB780" s="14" t="b">
        <v>1</v>
      </c>
      <c r="AC780" s="14" t="b">
        <v>1</v>
      </c>
      <c r="AD780" s="15" t="str">
        <f>"198394083386"</f>
        <v>198394083386</v>
      </c>
      <c r="AE780" s="15" t="s">
        <v>8310</v>
      </c>
      <c r="AF780" s="14" t="s">
        <v>404</v>
      </c>
      <c r="AG780" s="14" t="s">
        <v>405</v>
      </c>
      <c r="AH780" s="14" t="s">
        <v>406</v>
      </c>
      <c r="AI780" s="15">
        <v>0.0</v>
      </c>
      <c r="AL780" s="15" t="s">
        <v>8295</v>
      </c>
      <c r="AM780" s="15" t="s">
        <v>4614</v>
      </c>
      <c r="AN780" s="15" t="s">
        <v>4615</v>
      </c>
      <c r="AO780" s="15" t="s">
        <v>1450</v>
      </c>
      <c r="AP780" s="15" t="s">
        <v>1451</v>
      </c>
      <c r="AQ780" s="15" t="s">
        <v>487</v>
      </c>
      <c r="AR780" s="15" t="s">
        <v>488</v>
      </c>
      <c r="AS780" s="15" t="s">
        <v>915</v>
      </c>
      <c r="AT780" s="15" t="s">
        <v>1646</v>
      </c>
      <c r="AU780" s="15" t="s">
        <v>1087</v>
      </c>
      <c r="AW780" s="15" t="s">
        <v>839</v>
      </c>
      <c r="AX780" s="15" t="s">
        <v>3025</v>
      </c>
      <c r="AY780" s="15" t="s">
        <v>426</v>
      </c>
      <c r="AZ780" s="15" t="b">
        <v>1</v>
      </c>
      <c r="BA780" s="15" t="s">
        <v>426</v>
      </c>
      <c r="BB780" s="15" t="b">
        <v>1</v>
      </c>
      <c r="BC780" s="15" t="s">
        <v>8311</v>
      </c>
      <c r="BD780" s="15" t="s">
        <v>709</v>
      </c>
      <c r="BE780" s="15" t="str">
        <f t="shared" si="1314"/>
        <v>3</v>
      </c>
      <c r="BF780" s="15" t="s">
        <v>926</v>
      </c>
      <c r="BG780" s="15" t="str">
        <f>"45.28"</f>
        <v>45.28</v>
      </c>
      <c r="BH780" s="15" t="s">
        <v>682</v>
      </c>
      <c r="BI780" s="15" t="str">
        <f>"14.17"</f>
        <v>14.17</v>
      </c>
      <c r="BJ780" s="15" t="s">
        <v>8298</v>
      </c>
      <c r="BK780" s="15" t="str">
        <f>"50.98"</f>
        <v>50.98</v>
      </c>
      <c r="BL780" s="15" t="s">
        <v>8299</v>
      </c>
      <c r="BM780" s="15" t="str">
        <f>"74.3"</f>
        <v>74.3</v>
      </c>
      <c r="BN780" s="15" t="s">
        <v>8312</v>
      </c>
      <c r="BO780" s="15" t="s">
        <v>2966</v>
      </c>
      <c r="BP780" s="15" t="str">
        <f>"70.87"</f>
        <v>70.87</v>
      </c>
      <c r="BQ780" s="15" t="s">
        <v>5116</v>
      </c>
      <c r="BR780" s="15" t="str">
        <f t="shared" si="1316"/>
        <v>9.06</v>
      </c>
      <c r="BS780" s="15" t="s">
        <v>2481</v>
      </c>
      <c r="BT780" s="15" t="str">
        <f>"9.06"</f>
        <v>9.06</v>
      </c>
      <c r="BU780" s="15" t="s">
        <v>2481</v>
      </c>
      <c r="BV780" s="15" t="str">
        <f>"33.51"</f>
        <v>33.51</v>
      </c>
      <c r="BW780" s="15" t="s">
        <v>8313</v>
      </c>
      <c r="BX780" s="15" t="s">
        <v>917</v>
      </c>
      <c r="BY780" s="15" t="str">
        <f>"75.98"</f>
        <v>75.98</v>
      </c>
      <c r="BZ780" s="15" t="s">
        <v>7370</v>
      </c>
      <c r="CA780" s="15" t="str">
        <f>"3.94"</f>
        <v>3.94</v>
      </c>
      <c r="CB780" s="15" t="s">
        <v>5155</v>
      </c>
      <c r="CC780" s="15" t="str">
        <f>"40.55"</f>
        <v>40.55</v>
      </c>
      <c r="CD780" s="15" t="s">
        <v>6657</v>
      </c>
      <c r="CE780" s="15" t="str">
        <f>"32.41"</f>
        <v>32.41</v>
      </c>
      <c r="CF780" s="15" t="s">
        <v>8314</v>
      </c>
      <c r="CI780" s="15" t="s">
        <v>444</v>
      </c>
      <c r="CK780" s="15" t="s">
        <v>444</v>
      </c>
      <c r="CM780" s="15" t="s">
        <v>444</v>
      </c>
      <c r="CO780" s="15" t="s">
        <v>444</v>
      </c>
      <c r="CP780" s="15" t="str">
        <f>"29.31"</f>
        <v>29.31</v>
      </c>
      <c r="CQ780" s="15" t="str">
        <f>"0.83"</f>
        <v>0.83</v>
      </c>
      <c r="CR780" s="15" t="s">
        <v>465</v>
      </c>
      <c r="DC780" s="15" t="str">
        <f>IFERROR(__xludf.DUMMYFUNCTION("""COMPUTED_VALUE"""),"")</f>
        <v/>
      </c>
      <c r="DE780" s="15" t="str">
        <f>IFERROR(__xludf.DUMMYFUNCTION("""COMPUTED_VALUE"""),"")</f>
        <v/>
      </c>
      <c r="DG780" s="15" t="str">
        <f>IFERROR(__xludf.DUMMYFUNCTION("""COMPUTED_VALUE"""),"")</f>
        <v/>
      </c>
      <c r="DK780" s="15" t="s">
        <v>855</v>
      </c>
      <c r="DL780" s="15" t="str">
        <f>IFERROR(__xludf.DUMMYFUNCTION("""COMPUTED_VALUE"""),"Clean with solvent-based (dry clean only) products. Do not use water.")</f>
        <v>Clean with solvent-based (dry clean only) products. Do not use water.</v>
      </c>
      <c r="DM780" s="15" t="s">
        <v>856</v>
      </c>
      <c r="DN780" s="15" t="s">
        <v>419</v>
      </c>
      <c r="DO780" s="15">
        <v>0.0</v>
      </c>
      <c r="DP780" s="15" t="s">
        <v>419</v>
      </c>
      <c r="DR780" s="15">
        <v>0.0</v>
      </c>
      <c r="DT780" s="15" t="s">
        <v>721</v>
      </c>
      <c r="DU780" s="15" t="s">
        <v>419</v>
      </c>
      <c r="DW780" s="15">
        <v>0.0</v>
      </c>
      <c r="DX780" s="15">
        <v>0.0</v>
      </c>
      <c r="DY780" s="15">
        <v>0.0</v>
      </c>
      <c r="DZ780" s="15">
        <v>25000.0</v>
      </c>
      <c r="EG780" s="15" t="s">
        <v>444</v>
      </c>
      <c r="EH780" s="15" t="s">
        <v>8300</v>
      </c>
      <c r="EJ780" s="15" t="s">
        <v>858</v>
      </c>
      <c r="EK780" s="15" t="s">
        <v>859</v>
      </c>
      <c r="EM780" s="15" t="str">
        <f>IFERROR(__xludf.DUMMYFUNCTION("""COMPUTED_VALUE"""),"")</f>
        <v/>
      </c>
      <c r="FF780" s="15" t="s">
        <v>8301</v>
      </c>
      <c r="FM780" s="15">
        <v>0.0</v>
      </c>
      <c r="IM780" s="15" t="s">
        <v>505</v>
      </c>
      <c r="IN780" s="15" t="s">
        <v>505</v>
      </c>
      <c r="IO780" s="15" t="s">
        <v>505</v>
      </c>
      <c r="IP780" s="15" t="s">
        <v>1288</v>
      </c>
      <c r="IQ780" s="15" t="s">
        <v>1807</v>
      </c>
      <c r="IR780" s="15" t="s">
        <v>996</v>
      </c>
      <c r="IS780" s="15" t="s">
        <v>2337</v>
      </c>
      <c r="IT780" s="15" t="s">
        <v>1329</v>
      </c>
      <c r="IU780" s="15" t="s">
        <v>996</v>
      </c>
      <c r="IV780" s="15" t="s">
        <v>6331</v>
      </c>
      <c r="IW780" s="15" t="s">
        <v>672</v>
      </c>
      <c r="IX780" s="15" t="s">
        <v>671</v>
      </c>
      <c r="IY780" s="15" t="s">
        <v>2116</v>
      </c>
      <c r="IZ780" s="15" t="s">
        <v>4508</v>
      </c>
      <c r="JA780" s="15" t="s">
        <v>1807</v>
      </c>
      <c r="JB780" s="15" t="s">
        <v>426</v>
      </c>
      <c r="JC780" s="15" t="s">
        <v>871</v>
      </c>
      <c r="JD780" s="15" t="s">
        <v>872</v>
      </c>
      <c r="JE780" s="15" t="s">
        <v>873</v>
      </c>
      <c r="JF780" s="15" t="s">
        <v>3025</v>
      </c>
      <c r="JL780" s="15" t="s">
        <v>635</v>
      </c>
      <c r="JM780" s="15" t="s">
        <v>1576</v>
      </c>
      <c r="JO780" s="15" t="s">
        <v>426</v>
      </c>
      <c r="JP780" s="15" t="s">
        <v>875</v>
      </c>
      <c r="JS780" s="15" t="s">
        <v>6331</v>
      </c>
      <c r="JT780" s="15" t="s">
        <v>2403</v>
      </c>
    </row>
    <row r="781" ht="15.75" customHeight="1">
      <c r="A781" s="14" t="s">
        <v>391</v>
      </c>
      <c r="B781" s="15" t="s">
        <v>8290</v>
      </c>
      <c r="C781" s="16"/>
      <c r="D781" s="15" t="s">
        <v>432</v>
      </c>
      <c r="G781" s="14" t="s">
        <v>393</v>
      </c>
      <c r="H781" s="14" t="s">
        <v>394</v>
      </c>
      <c r="I781" s="14" t="b">
        <v>1</v>
      </c>
      <c r="J781" s="14" t="s">
        <v>395</v>
      </c>
      <c r="L781" s="14" t="b">
        <v>0</v>
      </c>
      <c r="M781" s="15" t="s">
        <v>8315</v>
      </c>
      <c r="N781" s="14" t="s">
        <v>393</v>
      </c>
      <c r="O781" s="14" t="s">
        <v>393</v>
      </c>
      <c r="P781" s="15" t="s">
        <v>397</v>
      </c>
      <c r="Q781" s="15" t="s">
        <v>8316</v>
      </c>
      <c r="R781" s="15" t="s">
        <v>265</v>
      </c>
      <c r="S781" s="15" t="s">
        <v>877</v>
      </c>
      <c r="T781" s="14" t="b">
        <v>0</v>
      </c>
      <c r="U781" s="15" t="s">
        <v>8317</v>
      </c>
      <c r="V781" s="15" t="s">
        <v>5591</v>
      </c>
      <c r="W781" s="15" t="s">
        <v>401</v>
      </c>
      <c r="X781" s="15" t="s">
        <v>695</v>
      </c>
      <c r="Y781" s="15">
        <v>2301.0</v>
      </c>
      <c r="AA781" s="15" t="str">
        <f>"885"</f>
        <v>885</v>
      </c>
      <c r="AB781" s="14" t="b">
        <v>1</v>
      </c>
      <c r="AC781" s="14" t="b">
        <v>1</v>
      </c>
      <c r="AD781" s="15" t="str">
        <f>"801542678401"</f>
        <v>801542678401</v>
      </c>
      <c r="AE781" s="15" t="s">
        <v>8318</v>
      </c>
      <c r="AF781" s="14" t="s">
        <v>404</v>
      </c>
      <c r="AG781" s="14" t="s">
        <v>405</v>
      </c>
      <c r="AH781" s="14" t="s">
        <v>406</v>
      </c>
      <c r="AI781" s="15">
        <v>0.0</v>
      </c>
      <c r="AL781" s="15" t="s">
        <v>832</v>
      </c>
      <c r="AM781" s="15" t="s">
        <v>3326</v>
      </c>
      <c r="AN781" s="15" t="s">
        <v>3327</v>
      </c>
      <c r="AO781" s="15" t="s">
        <v>582</v>
      </c>
      <c r="AP781" s="15" t="s">
        <v>583</v>
      </c>
      <c r="AQ781" s="15" t="s">
        <v>487</v>
      </c>
      <c r="AR781" s="15" t="s">
        <v>488</v>
      </c>
      <c r="AS781" s="15" t="s">
        <v>915</v>
      </c>
      <c r="AT781" s="15" t="s">
        <v>8316</v>
      </c>
      <c r="AU781" s="15" t="s">
        <v>1087</v>
      </c>
      <c r="AW781" s="15" t="s">
        <v>839</v>
      </c>
      <c r="AX781" s="15" t="s">
        <v>877</v>
      </c>
      <c r="AY781" s="15" t="s">
        <v>413</v>
      </c>
      <c r="AZ781" s="15" t="b">
        <v>0</v>
      </c>
      <c r="BA781" s="15" t="s">
        <v>413</v>
      </c>
      <c r="BB781" s="15" t="b">
        <v>0</v>
      </c>
      <c r="BC781" s="15" t="s">
        <v>8319</v>
      </c>
      <c r="BD781" s="15" t="s">
        <v>709</v>
      </c>
      <c r="BE781" s="15" t="str">
        <f t="shared" si="1314"/>
        <v>3</v>
      </c>
      <c r="BF781" s="15" t="s">
        <v>926</v>
      </c>
      <c r="BG781" s="15" t="str">
        <f>"67.32"</f>
        <v>67.32</v>
      </c>
      <c r="BH781" s="15" t="s">
        <v>4754</v>
      </c>
      <c r="BI781" s="15" t="str">
        <f>"50.98"</f>
        <v>50.98</v>
      </c>
      <c r="BJ781" s="15" t="s">
        <v>8299</v>
      </c>
      <c r="BK781" s="15" t="str">
        <f>"14.17"</f>
        <v>14.17</v>
      </c>
      <c r="BL781" s="15" t="s">
        <v>8298</v>
      </c>
      <c r="BM781" s="15" t="str">
        <f>"99.65"</f>
        <v>99.65</v>
      </c>
      <c r="BN781" s="15" t="s">
        <v>8306</v>
      </c>
      <c r="BO781" s="15" t="s">
        <v>5840</v>
      </c>
      <c r="BP781" s="15" t="str">
        <f t="shared" ref="BP781:BP784" si="1321">"85.75"</f>
        <v>85.75</v>
      </c>
      <c r="BQ781" s="15" t="s">
        <v>3093</v>
      </c>
      <c r="BR781" s="15" t="str">
        <f t="shared" si="1316"/>
        <v>9.06</v>
      </c>
      <c r="BS781" s="15" t="s">
        <v>2481</v>
      </c>
      <c r="BT781" s="15" t="str">
        <f t="shared" ref="BT781:BT784" si="1322">"10.24"</f>
        <v>10.24</v>
      </c>
      <c r="BU781" s="15" t="s">
        <v>6791</v>
      </c>
      <c r="BV781" s="15" t="str">
        <f t="shared" ref="BV781:BV784" si="1323">"47.84"</f>
        <v>47.84</v>
      </c>
      <c r="BW781" s="15" t="s">
        <v>2496</v>
      </c>
      <c r="BX781" s="15" t="s">
        <v>917</v>
      </c>
      <c r="BY781" s="15" t="str">
        <f t="shared" ref="BY781:BY784" si="1324">"81.73"</f>
        <v>81.73</v>
      </c>
      <c r="BZ781" s="15" t="s">
        <v>918</v>
      </c>
      <c r="CA781" s="15" t="str">
        <f t="shared" ref="CA781:CA784" si="1325">"5.39"</f>
        <v>5.39</v>
      </c>
      <c r="CB781" s="15" t="s">
        <v>919</v>
      </c>
      <c r="CC781" s="15" t="str">
        <f>"32.28"</f>
        <v>32.28</v>
      </c>
      <c r="CD781" s="15" t="s">
        <v>954</v>
      </c>
      <c r="CE781" s="15" t="str">
        <f>"43.87"</f>
        <v>43.87</v>
      </c>
      <c r="CF781" s="15" t="s">
        <v>955</v>
      </c>
      <c r="CI781" s="15" t="s">
        <v>444</v>
      </c>
      <c r="CK781" s="15" t="s">
        <v>444</v>
      </c>
      <c r="CM781" s="15" t="s">
        <v>444</v>
      </c>
      <c r="CO781" s="15" t="s">
        <v>444</v>
      </c>
      <c r="CP781" s="15" t="str">
        <f>"40.97"</f>
        <v>40.97</v>
      </c>
      <c r="CQ781" s="15" t="str">
        <f>"1.16"</f>
        <v>1.16</v>
      </c>
      <c r="CR781" s="15" t="s">
        <v>417</v>
      </c>
      <c r="DC781" s="15" t="str">
        <f>IFERROR(__xludf.DUMMYFUNCTION("""COMPUTED_VALUE"""),"")</f>
        <v/>
      </c>
      <c r="DE781" s="15" t="str">
        <f>IFERROR(__xludf.DUMMYFUNCTION("""COMPUTED_VALUE"""),"")</f>
        <v/>
      </c>
      <c r="DG781" s="15" t="str">
        <f>IFERROR(__xludf.DUMMYFUNCTION("""COMPUTED_VALUE"""),"")</f>
        <v/>
      </c>
      <c r="DK781" s="15" t="s">
        <v>897</v>
      </c>
      <c r="DL781" s="15" t="str">
        <f>IFERROR(__xludf.DUMMYFUNCTION("""COMPUTED_VALUE"""),"Clean with water-based products only. Use mild detergent or upholstery shampoo.")</f>
        <v>Clean with water-based products only. Use mild detergent or upholstery shampoo.</v>
      </c>
      <c r="DM781" s="15" t="s">
        <v>898</v>
      </c>
      <c r="DN781" s="15" t="s">
        <v>419</v>
      </c>
      <c r="DO781" s="15">
        <v>0.0</v>
      </c>
      <c r="DP781" s="15" t="s">
        <v>419</v>
      </c>
      <c r="DR781" s="15">
        <v>0.0</v>
      </c>
      <c r="DT781" s="15" t="s">
        <v>721</v>
      </c>
      <c r="DU781" s="15" t="s">
        <v>419</v>
      </c>
      <c r="DW781" s="15">
        <v>0.0</v>
      </c>
      <c r="DX781" s="15">
        <v>0.0</v>
      </c>
      <c r="DY781" s="15">
        <v>0.0</v>
      </c>
      <c r="DZ781" s="15">
        <v>25000.0</v>
      </c>
      <c r="EG781" s="15" t="s">
        <v>444</v>
      </c>
      <c r="EH781" s="15" t="s">
        <v>8300</v>
      </c>
      <c r="EJ781" s="15" t="s">
        <v>858</v>
      </c>
      <c r="EK781" s="15" t="s">
        <v>859</v>
      </c>
      <c r="EM781" s="15" t="str">
        <f>IFERROR(__xludf.DUMMYFUNCTION("""COMPUTED_VALUE"""),"")</f>
        <v/>
      </c>
      <c r="FF781" s="15" t="s">
        <v>8301</v>
      </c>
      <c r="FM781" s="15">
        <v>0.0</v>
      </c>
      <c r="IM781" s="15" t="s">
        <v>505</v>
      </c>
      <c r="IN781" s="15" t="s">
        <v>505</v>
      </c>
      <c r="IO781" s="15" t="s">
        <v>505</v>
      </c>
      <c r="IP781" s="15" t="s">
        <v>1288</v>
      </c>
      <c r="IQ781" s="15" t="s">
        <v>1807</v>
      </c>
      <c r="IR781" s="15" t="s">
        <v>2570</v>
      </c>
      <c r="IS781" s="15" t="s">
        <v>2337</v>
      </c>
      <c r="IT781" s="15" t="s">
        <v>1329</v>
      </c>
      <c r="IU781" s="15" t="s">
        <v>2570</v>
      </c>
      <c r="IV781" s="15" t="s">
        <v>6260</v>
      </c>
      <c r="IW781" s="15" t="s">
        <v>672</v>
      </c>
      <c r="IX781" s="15" t="s">
        <v>1682</v>
      </c>
      <c r="IY781" s="15" t="s">
        <v>2116</v>
      </c>
      <c r="IZ781" s="15" t="s">
        <v>4508</v>
      </c>
      <c r="JA781" s="15" t="s">
        <v>1807</v>
      </c>
      <c r="JB781" s="15" t="s">
        <v>426</v>
      </c>
      <c r="JC781" s="15" t="s">
        <v>871</v>
      </c>
      <c r="JD781" s="15" t="s">
        <v>872</v>
      </c>
      <c r="JE781" s="15" t="s">
        <v>873</v>
      </c>
      <c r="JF781" s="15" t="s">
        <v>877</v>
      </c>
      <c r="JL781" s="15" t="s">
        <v>635</v>
      </c>
      <c r="JM781" s="15" t="s">
        <v>1576</v>
      </c>
      <c r="JO781" s="15" t="s">
        <v>426</v>
      </c>
      <c r="JP781" s="15" t="s">
        <v>875</v>
      </c>
      <c r="JS781" s="15" t="s">
        <v>6260</v>
      </c>
      <c r="JT781" s="15" t="s">
        <v>6826</v>
      </c>
    </row>
    <row r="782" ht="15.75" customHeight="1">
      <c r="A782" s="14" t="s">
        <v>391</v>
      </c>
      <c r="B782" s="15" t="s">
        <v>8290</v>
      </c>
      <c r="C782" s="16"/>
      <c r="D782" s="15" t="s">
        <v>432</v>
      </c>
      <c r="G782" s="14" t="s">
        <v>393</v>
      </c>
      <c r="H782" s="14" t="s">
        <v>394</v>
      </c>
      <c r="I782" s="14" t="b">
        <v>1</v>
      </c>
      <c r="J782" s="14" t="s">
        <v>395</v>
      </c>
      <c r="L782" s="14" t="b">
        <v>0</v>
      </c>
      <c r="M782" s="15" t="s">
        <v>8320</v>
      </c>
      <c r="N782" s="14" t="s">
        <v>393</v>
      </c>
      <c r="O782" s="14" t="s">
        <v>393</v>
      </c>
      <c r="P782" s="15" t="s">
        <v>397</v>
      </c>
      <c r="Q782" s="15" t="s">
        <v>8316</v>
      </c>
      <c r="R782" s="15" t="s">
        <v>265</v>
      </c>
      <c r="S782" s="15" t="s">
        <v>828</v>
      </c>
      <c r="T782" s="14" t="b">
        <v>0</v>
      </c>
      <c r="U782" s="15" t="s">
        <v>8321</v>
      </c>
      <c r="V782" s="15" t="s">
        <v>8293</v>
      </c>
      <c r="W782" s="15" t="s">
        <v>401</v>
      </c>
      <c r="X782" s="15" t="s">
        <v>695</v>
      </c>
      <c r="Y782" s="15">
        <v>2626.0</v>
      </c>
      <c r="AA782" s="15" t="str">
        <f t="shared" ref="AA782:AA783" si="1326">"1010"</f>
        <v>1010</v>
      </c>
      <c r="AB782" s="14" t="b">
        <v>1</v>
      </c>
      <c r="AC782" s="14" t="b">
        <v>1</v>
      </c>
      <c r="AD782" s="15" t="str">
        <f>"801542678371"</f>
        <v>801542678371</v>
      </c>
      <c r="AE782" s="15" t="s">
        <v>8322</v>
      </c>
      <c r="AF782" s="14" t="s">
        <v>404</v>
      </c>
      <c r="AG782" s="14" t="s">
        <v>405</v>
      </c>
      <c r="AH782" s="14" t="s">
        <v>406</v>
      </c>
      <c r="AI782" s="15">
        <v>0.0</v>
      </c>
      <c r="AL782" s="15" t="s">
        <v>832</v>
      </c>
      <c r="AM782" s="15" t="s">
        <v>8296</v>
      </c>
      <c r="AN782" s="15" t="s">
        <v>6198</v>
      </c>
      <c r="AO782" s="15" t="s">
        <v>582</v>
      </c>
      <c r="AP782" s="15" t="s">
        <v>583</v>
      </c>
      <c r="AQ782" s="15" t="s">
        <v>487</v>
      </c>
      <c r="AR782" s="15" t="s">
        <v>488</v>
      </c>
      <c r="AS782" s="15" t="s">
        <v>915</v>
      </c>
      <c r="AT782" s="15" t="s">
        <v>8316</v>
      </c>
      <c r="AU782" s="15" t="s">
        <v>1087</v>
      </c>
      <c r="AW782" s="15" t="s">
        <v>839</v>
      </c>
      <c r="AX782" s="15" t="s">
        <v>828</v>
      </c>
      <c r="AY782" s="15" t="s">
        <v>413</v>
      </c>
      <c r="AZ782" s="15" t="b">
        <v>0</v>
      </c>
      <c r="BA782" s="15" t="s">
        <v>413</v>
      </c>
      <c r="BB782" s="15" t="b">
        <v>0</v>
      </c>
      <c r="BC782" s="15" t="s">
        <v>8319</v>
      </c>
      <c r="BD782" s="15" t="s">
        <v>709</v>
      </c>
      <c r="BE782" s="15" t="str">
        <f t="shared" si="1314"/>
        <v>3</v>
      </c>
      <c r="BF782" s="15" t="s">
        <v>926</v>
      </c>
      <c r="BG782" s="15" t="str">
        <f t="shared" ref="BG782:BG783" si="1327">"83.86"</f>
        <v>83.86</v>
      </c>
      <c r="BH782" s="15" t="s">
        <v>5542</v>
      </c>
      <c r="BI782" s="15" t="str">
        <f t="shared" ref="BI782:BI783" si="1328">"14.17"</f>
        <v>14.17</v>
      </c>
      <c r="BJ782" s="15" t="s">
        <v>8298</v>
      </c>
      <c r="BK782" s="15" t="str">
        <f t="shared" ref="BK782:BK783" si="1329">"50.98"</f>
        <v>50.98</v>
      </c>
      <c r="BL782" s="15" t="s">
        <v>8299</v>
      </c>
      <c r="BM782" s="15" t="str">
        <f t="shared" ref="BM782:BM783" si="1330">"110.23"</f>
        <v>110.23</v>
      </c>
      <c r="BN782" s="15" t="s">
        <v>1131</v>
      </c>
      <c r="BO782" s="15" t="s">
        <v>5840</v>
      </c>
      <c r="BP782" s="15" t="str">
        <f t="shared" si="1321"/>
        <v>85.75</v>
      </c>
      <c r="BQ782" s="15" t="s">
        <v>3093</v>
      </c>
      <c r="BR782" s="15" t="str">
        <f t="shared" si="1316"/>
        <v>9.06</v>
      </c>
      <c r="BS782" s="15" t="s">
        <v>2481</v>
      </c>
      <c r="BT782" s="15" t="str">
        <f t="shared" si="1322"/>
        <v>10.24</v>
      </c>
      <c r="BU782" s="15" t="s">
        <v>6791</v>
      </c>
      <c r="BV782" s="15" t="str">
        <f t="shared" si="1323"/>
        <v>47.84</v>
      </c>
      <c r="BW782" s="15" t="s">
        <v>2496</v>
      </c>
      <c r="BX782" s="15" t="s">
        <v>917</v>
      </c>
      <c r="BY782" s="15" t="str">
        <f t="shared" si="1324"/>
        <v>81.73</v>
      </c>
      <c r="BZ782" s="15" t="s">
        <v>918</v>
      </c>
      <c r="CA782" s="15" t="str">
        <f t="shared" si="1325"/>
        <v>5.39</v>
      </c>
      <c r="CB782" s="15" t="s">
        <v>919</v>
      </c>
      <c r="CC782" s="15" t="str">
        <f t="shared" ref="CC782:CC783" si="1331">"40.35"</f>
        <v>40.35</v>
      </c>
      <c r="CD782" s="15" t="s">
        <v>920</v>
      </c>
      <c r="CE782" s="15" t="str">
        <f t="shared" ref="CE782:CE783" si="1332">"52.91"</f>
        <v>52.91</v>
      </c>
      <c r="CF782" s="15" t="s">
        <v>921</v>
      </c>
      <c r="CI782" s="15" t="s">
        <v>444</v>
      </c>
      <c r="CK782" s="15" t="s">
        <v>444</v>
      </c>
      <c r="CM782" s="15" t="s">
        <v>444</v>
      </c>
      <c r="CO782" s="15" t="s">
        <v>444</v>
      </c>
      <c r="CP782" s="15" t="str">
        <f t="shared" ref="CP782:CP783" si="1333">"49.97"</f>
        <v>49.97</v>
      </c>
      <c r="CQ782" s="15" t="str">
        <f t="shared" ref="CQ782:CQ783" si="1334">"1.415"</f>
        <v>1.415</v>
      </c>
      <c r="CR782" s="15" t="s">
        <v>417</v>
      </c>
      <c r="DC782" s="15" t="str">
        <f>IFERROR(__xludf.DUMMYFUNCTION("""COMPUTED_VALUE"""),"")</f>
        <v/>
      </c>
      <c r="DE782" s="15" t="str">
        <f>IFERROR(__xludf.DUMMYFUNCTION("""COMPUTED_VALUE"""),"")</f>
        <v/>
      </c>
      <c r="DG782" s="15" t="str">
        <f>IFERROR(__xludf.DUMMYFUNCTION("""COMPUTED_VALUE"""),"")</f>
        <v/>
      </c>
      <c r="DK782" s="15" t="s">
        <v>897</v>
      </c>
      <c r="DL782" s="15" t="str">
        <f>IFERROR(__xludf.DUMMYFUNCTION("""COMPUTED_VALUE"""),"Clean with water-based products only. Use mild detergent or upholstery shampoo.")</f>
        <v>Clean with water-based products only. Use mild detergent or upholstery shampoo.</v>
      </c>
      <c r="DM782" s="15" t="s">
        <v>898</v>
      </c>
      <c r="DN782" s="15" t="s">
        <v>419</v>
      </c>
      <c r="DO782" s="15">
        <v>0.0</v>
      </c>
      <c r="DP782" s="15" t="s">
        <v>419</v>
      </c>
      <c r="DR782" s="15">
        <v>0.0</v>
      </c>
      <c r="DT782" s="15" t="s">
        <v>721</v>
      </c>
      <c r="DU782" s="15" t="s">
        <v>419</v>
      </c>
      <c r="DW782" s="15">
        <v>0.0</v>
      </c>
      <c r="DX782" s="15">
        <v>0.0</v>
      </c>
      <c r="DY782" s="15">
        <v>0.0</v>
      </c>
      <c r="DZ782" s="15">
        <v>25000.0</v>
      </c>
      <c r="EG782" s="15" t="s">
        <v>444</v>
      </c>
      <c r="EH782" s="15" t="s">
        <v>8300</v>
      </c>
      <c r="EJ782" s="15" t="s">
        <v>858</v>
      </c>
      <c r="EK782" s="15" t="s">
        <v>859</v>
      </c>
      <c r="EM782" s="15" t="str">
        <f>IFERROR(__xludf.DUMMYFUNCTION("""COMPUTED_VALUE"""),"")</f>
        <v/>
      </c>
      <c r="FF782" s="15" t="s">
        <v>8301</v>
      </c>
      <c r="FM782" s="15">
        <v>0.0</v>
      </c>
      <c r="IM782" s="15" t="s">
        <v>505</v>
      </c>
      <c r="IN782" s="15" t="s">
        <v>505</v>
      </c>
      <c r="IO782" s="15" t="s">
        <v>505</v>
      </c>
      <c r="IP782" s="15" t="s">
        <v>1288</v>
      </c>
      <c r="IQ782" s="15" t="s">
        <v>1807</v>
      </c>
      <c r="IR782" s="15" t="s">
        <v>4844</v>
      </c>
      <c r="IS782" s="15" t="s">
        <v>2337</v>
      </c>
      <c r="IT782" s="15" t="s">
        <v>1329</v>
      </c>
      <c r="IU782" s="15" t="s">
        <v>4844</v>
      </c>
      <c r="IV782" s="15" t="s">
        <v>6260</v>
      </c>
      <c r="IW782" s="15" t="s">
        <v>672</v>
      </c>
      <c r="IX782" s="15" t="s">
        <v>3007</v>
      </c>
      <c r="IY782" s="15" t="s">
        <v>2116</v>
      </c>
      <c r="IZ782" s="15" t="s">
        <v>4508</v>
      </c>
      <c r="JA782" s="15" t="s">
        <v>1807</v>
      </c>
      <c r="JB782" s="15" t="s">
        <v>426</v>
      </c>
      <c r="JC782" s="15" t="s">
        <v>871</v>
      </c>
      <c r="JD782" s="15" t="s">
        <v>872</v>
      </c>
      <c r="JE782" s="15" t="s">
        <v>873</v>
      </c>
      <c r="JF782" s="15" t="s">
        <v>828</v>
      </c>
      <c r="JL782" s="15" t="s">
        <v>635</v>
      </c>
      <c r="JM782" s="15" t="s">
        <v>1576</v>
      </c>
      <c r="JO782" s="15" t="s">
        <v>426</v>
      </c>
      <c r="JP782" s="15" t="s">
        <v>875</v>
      </c>
      <c r="JS782" s="15" t="s">
        <v>6260</v>
      </c>
      <c r="JT782" s="15" t="s">
        <v>6331</v>
      </c>
    </row>
    <row r="783" ht="15.75" customHeight="1">
      <c r="A783" s="14" t="s">
        <v>391</v>
      </c>
      <c r="B783" s="15" t="s">
        <v>8290</v>
      </c>
      <c r="C783" s="16"/>
      <c r="D783" s="15" t="s">
        <v>432</v>
      </c>
      <c r="G783" s="14" t="s">
        <v>393</v>
      </c>
      <c r="H783" s="14" t="s">
        <v>394</v>
      </c>
      <c r="I783" s="14" t="b">
        <v>1</v>
      </c>
      <c r="J783" s="14" t="s">
        <v>395</v>
      </c>
      <c r="L783" s="14" t="b">
        <v>0</v>
      </c>
      <c r="M783" s="15" t="s">
        <v>8323</v>
      </c>
      <c r="N783" s="14" t="s">
        <v>393</v>
      </c>
      <c r="O783" s="14" t="s">
        <v>393</v>
      </c>
      <c r="P783" s="15" t="s">
        <v>397</v>
      </c>
      <c r="Q783" s="15" t="s">
        <v>1612</v>
      </c>
      <c r="R783" s="15" t="s">
        <v>265</v>
      </c>
      <c r="S783" s="15" t="s">
        <v>828</v>
      </c>
      <c r="T783" s="14" t="b">
        <v>0</v>
      </c>
      <c r="U783" s="15" t="s">
        <v>8324</v>
      </c>
      <c r="V783" s="15" t="s">
        <v>8293</v>
      </c>
      <c r="W783" s="15" t="s">
        <v>401</v>
      </c>
      <c r="X783" s="15" t="s">
        <v>695</v>
      </c>
      <c r="Y783" s="15">
        <v>2626.0</v>
      </c>
      <c r="AA783" s="15" t="str">
        <f t="shared" si="1326"/>
        <v>1010</v>
      </c>
      <c r="AB783" s="14" t="b">
        <v>1</v>
      </c>
      <c r="AC783" s="14" t="b">
        <v>1</v>
      </c>
      <c r="AD783" s="15" t="str">
        <f>"801542058524"</f>
        <v>801542058524</v>
      </c>
      <c r="AE783" s="15" t="s">
        <v>8325</v>
      </c>
      <c r="AF783" s="14" t="s">
        <v>404</v>
      </c>
      <c r="AG783" s="14" t="s">
        <v>405</v>
      </c>
      <c r="AH783" s="14" t="s">
        <v>406</v>
      </c>
      <c r="AI783" s="15">
        <v>0.0</v>
      </c>
      <c r="AL783" s="15" t="s">
        <v>8326</v>
      </c>
      <c r="AM783" s="15" t="s">
        <v>8296</v>
      </c>
      <c r="AN783" s="15" t="s">
        <v>6198</v>
      </c>
      <c r="AO783" s="15" t="s">
        <v>582</v>
      </c>
      <c r="AP783" s="15" t="s">
        <v>583</v>
      </c>
      <c r="AQ783" s="15" t="s">
        <v>487</v>
      </c>
      <c r="AR783" s="15" t="s">
        <v>488</v>
      </c>
      <c r="AS783" s="15" t="s">
        <v>915</v>
      </c>
      <c r="AT783" s="15" t="s">
        <v>1612</v>
      </c>
      <c r="AU783" s="15" t="s">
        <v>8327</v>
      </c>
      <c r="AW783" s="15" t="s">
        <v>839</v>
      </c>
      <c r="AX783" s="15" t="s">
        <v>828</v>
      </c>
      <c r="AY783" s="15" t="s">
        <v>426</v>
      </c>
      <c r="AZ783" s="15" t="b">
        <v>1</v>
      </c>
      <c r="BA783" s="15" t="s">
        <v>413</v>
      </c>
      <c r="BB783" s="15" t="b">
        <v>0</v>
      </c>
      <c r="BC783" s="15" t="s">
        <v>8328</v>
      </c>
      <c r="BD783" s="15" t="s">
        <v>709</v>
      </c>
      <c r="BE783" s="15" t="str">
        <f t="shared" si="1314"/>
        <v>3</v>
      </c>
      <c r="BF783" s="15" t="s">
        <v>926</v>
      </c>
      <c r="BG783" s="15" t="str">
        <f t="shared" si="1327"/>
        <v>83.86</v>
      </c>
      <c r="BH783" s="15" t="s">
        <v>5542</v>
      </c>
      <c r="BI783" s="15" t="str">
        <f t="shared" si="1328"/>
        <v>14.17</v>
      </c>
      <c r="BJ783" s="15" t="s">
        <v>8298</v>
      </c>
      <c r="BK783" s="15" t="str">
        <f t="shared" si="1329"/>
        <v>50.98</v>
      </c>
      <c r="BL783" s="15" t="s">
        <v>8299</v>
      </c>
      <c r="BM783" s="15" t="str">
        <f t="shared" si="1330"/>
        <v>110.23</v>
      </c>
      <c r="BN783" s="15" t="s">
        <v>1131</v>
      </c>
      <c r="BO783" s="15" t="s">
        <v>5840</v>
      </c>
      <c r="BP783" s="15" t="str">
        <f t="shared" si="1321"/>
        <v>85.75</v>
      </c>
      <c r="BQ783" s="15" t="s">
        <v>3093</v>
      </c>
      <c r="BR783" s="15" t="str">
        <f t="shared" si="1316"/>
        <v>9.06</v>
      </c>
      <c r="BS783" s="15" t="s">
        <v>2481</v>
      </c>
      <c r="BT783" s="15" t="str">
        <f t="shared" si="1322"/>
        <v>10.24</v>
      </c>
      <c r="BU783" s="15" t="s">
        <v>6791</v>
      </c>
      <c r="BV783" s="15" t="str">
        <f t="shared" si="1323"/>
        <v>47.84</v>
      </c>
      <c r="BW783" s="15" t="s">
        <v>2496</v>
      </c>
      <c r="BX783" s="15" t="s">
        <v>917</v>
      </c>
      <c r="BY783" s="15" t="str">
        <f t="shared" si="1324"/>
        <v>81.73</v>
      </c>
      <c r="BZ783" s="15" t="s">
        <v>918</v>
      </c>
      <c r="CA783" s="15" t="str">
        <f t="shared" si="1325"/>
        <v>5.39</v>
      </c>
      <c r="CB783" s="15" t="s">
        <v>919</v>
      </c>
      <c r="CC783" s="15" t="str">
        <f t="shared" si="1331"/>
        <v>40.35</v>
      </c>
      <c r="CD783" s="15" t="s">
        <v>920</v>
      </c>
      <c r="CE783" s="15" t="str">
        <f t="shared" si="1332"/>
        <v>52.91</v>
      </c>
      <c r="CF783" s="15" t="s">
        <v>921</v>
      </c>
      <c r="CI783" s="15" t="s">
        <v>444</v>
      </c>
      <c r="CK783" s="15" t="s">
        <v>444</v>
      </c>
      <c r="CM783" s="15" t="s">
        <v>444</v>
      </c>
      <c r="CO783" s="15" t="s">
        <v>444</v>
      </c>
      <c r="CP783" s="15" t="str">
        <f t="shared" si="1333"/>
        <v>49.97</v>
      </c>
      <c r="CQ783" s="15" t="str">
        <f t="shared" si="1334"/>
        <v>1.415</v>
      </c>
      <c r="CR783" s="15" t="s">
        <v>497</v>
      </c>
      <c r="DC783" s="15" t="str">
        <f>IFERROR(__xludf.DUMMYFUNCTION("""COMPUTED_VALUE"""),"")</f>
        <v/>
      </c>
      <c r="DE783" s="15" t="str">
        <f>IFERROR(__xludf.DUMMYFUNCTION("""COMPUTED_VALUE"""),"")</f>
        <v/>
      </c>
      <c r="DG783" s="15" t="str">
        <f>IFERROR(__xludf.DUMMYFUNCTION("""COMPUTED_VALUE"""),"")</f>
        <v/>
      </c>
      <c r="DK783" s="15" t="s">
        <v>718</v>
      </c>
      <c r="DL783" s="15" t="str">
        <f>IFERROR(__xludf.DUMMYFUNCTION("""COMPUTED_VALUE"""),"Vacuum or light brush only. Do not use water or any cleaning products.")</f>
        <v>Vacuum or light brush only. Do not use water or any cleaning products.</v>
      </c>
      <c r="DM783" s="15" t="s">
        <v>719</v>
      </c>
      <c r="DN783" s="15" t="s">
        <v>419</v>
      </c>
      <c r="DO783" s="15">
        <v>0.0</v>
      </c>
      <c r="DP783" s="15" t="s">
        <v>419</v>
      </c>
      <c r="DR783" s="15">
        <v>0.0</v>
      </c>
      <c r="DT783" s="15" t="s">
        <v>721</v>
      </c>
      <c r="DU783" s="15" t="s">
        <v>419</v>
      </c>
      <c r="DW783" s="15">
        <v>0.0</v>
      </c>
      <c r="DX783" s="15">
        <v>0.0</v>
      </c>
      <c r="DY783" s="15">
        <v>0.0</v>
      </c>
      <c r="DZ783" s="15">
        <v>30000.0</v>
      </c>
      <c r="EG783" s="15" t="s">
        <v>444</v>
      </c>
      <c r="EH783" s="15" t="s">
        <v>8300</v>
      </c>
      <c r="EJ783" s="15" t="s">
        <v>858</v>
      </c>
      <c r="EK783" s="15" t="s">
        <v>859</v>
      </c>
      <c r="EM783" s="15" t="str">
        <f>IFERROR(__xludf.DUMMYFUNCTION("""COMPUTED_VALUE"""),"")</f>
        <v/>
      </c>
      <c r="FF783" s="15" t="s">
        <v>8301</v>
      </c>
      <c r="FM783" s="15">
        <v>0.0</v>
      </c>
      <c r="IM783" s="15" t="s">
        <v>505</v>
      </c>
      <c r="IN783" s="15" t="s">
        <v>505</v>
      </c>
      <c r="IO783" s="15" t="s">
        <v>505</v>
      </c>
      <c r="IP783" s="15" t="s">
        <v>1288</v>
      </c>
      <c r="IQ783" s="15" t="s">
        <v>1807</v>
      </c>
      <c r="IR783" s="15" t="s">
        <v>4844</v>
      </c>
      <c r="IS783" s="15" t="s">
        <v>2337</v>
      </c>
      <c r="IT783" s="15" t="s">
        <v>1329</v>
      </c>
      <c r="IU783" s="15" t="s">
        <v>4844</v>
      </c>
      <c r="IV783" s="15" t="s">
        <v>6260</v>
      </c>
      <c r="IW783" s="15" t="s">
        <v>672</v>
      </c>
      <c r="IX783" s="15" t="s">
        <v>3007</v>
      </c>
      <c r="IY783" s="15" t="s">
        <v>2116</v>
      </c>
      <c r="IZ783" s="15" t="s">
        <v>4508</v>
      </c>
      <c r="JA783" s="15" t="s">
        <v>1807</v>
      </c>
      <c r="JB783" s="15" t="s">
        <v>426</v>
      </c>
      <c r="JC783" s="15" t="s">
        <v>871</v>
      </c>
      <c r="JD783" s="15" t="s">
        <v>872</v>
      </c>
      <c r="JE783" s="15" t="s">
        <v>873</v>
      </c>
      <c r="JF783" s="15" t="s">
        <v>828</v>
      </c>
      <c r="JL783" s="15" t="s">
        <v>635</v>
      </c>
      <c r="JM783" s="15" t="s">
        <v>1576</v>
      </c>
      <c r="JO783" s="15" t="s">
        <v>426</v>
      </c>
      <c r="JP783" s="15" t="s">
        <v>875</v>
      </c>
      <c r="JS783" s="15" t="s">
        <v>6260</v>
      </c>
      <c r="JT783" s="15" t="s">
        <v>6331</v>
      </c>
    </row>
    <row r="784" ht="15.75" customHeight="1">
      <c r="A784" s="14" t="s">
        <v>391</v>
      </c>
      <c r="B784" s="15" t="s">
        <v>8290</v>
      </c>
      <c r="C784" s="16"/>
      <c r="D784" s="15" t="s">
        <v>432</v>
      </c>
      <c r="G784" s="14" t="s">
        <v>393</v>
      </c>
      <c r="H784" s="14" t="s">
        <v>394</v>
      </c>
      <c r="I784" s="14" t="b">
        <v>1</v>
      </c>
      <c r="J784" s="14" t="s">
        <v>395</v>
      </c>
      <c r="L784" s="14" t="b">
        <v>0</v>
      </c>
      <c r="M784" s="15" t="s">
        <v>8329</v>
      </c>
      <c r="N784" s="14" t="s">
        <v>393</v>
      </c>
      <c r="O784" s="14" t="s">
        <v>393</v>
      </c>
      <c r="P784" s="15" t="s">
        <v>397</v>
      </c>
      <c r="Q784" s="15" t="s">
        <v>1612</v>
      </c>
      <c r="R784" s="15" t="s">
        <v>265</v>
      </c>
      <c r="S784" s="15" t="s">
        <v>877</v>
      </c>
      <c r="T784" s="14" t="b">
        <v>0</v>
      </c>
      <c r="U784" s="15" t="s">
        <v>8330</v>
      </c>
      <c r="V784" s="15" t="s">
        <v>5591</v>
      </c>
      <c r="W784" s="15" t="s">
        <v>401</v>
      </c>
      <c r="X784" s="15" t="s">
        <v>695</v>
      </c>
      <c r="Y784" s="15">
        <v>2301.0</v>
      </c>
      <c r="AA784" s="15" t="str">
        <f>"885"</f>
        <v>885</v>
      </c>
      <c r="AB784" s="14" t="b">
        <v>1</v>
      </c>
      <c r="AC784" s="14" t="b">
        <v>1</v>
      </c>
      <c r="AD784" s="15" t="str">
        <f>"801542058555"</f>
        <v>801542058555</v>
      </c>
      <c r="AE784" s="15" t="s">
        <v>8331</v>
      </c>
      <c r="AF784" s="14" t="s">
        <v>404</v>
      </c>
      <c r="AG784" s="14" t="s">
        <v>405</v>
      </c>
      <c r="AH784" s="14" t="s">
        <v>406</v>
      </c>
      <c r="AI784" s="15">
        <v>0.0</v>
      </c>
      <c r="AL784" s="15" t="s">
        <v>8326</v>
      </c>
      <c r="AM784" s="15" t="s">
        <v>3326</v>
      </c>
      <c r="AN784" s="15" t="s">
        <v>3327</v>
      </c>
      <c r="AO784" s="15" t="s">
        <v>582</v>
      </c>
      <c r="AP784" s="15" t="s">
        <v>583</v>
      </c>
      <c r="AQ784" s="15" t="s">
        <v>487</v>
      </c>
      <c r="AR784" s="15" t="s">
        <v>488</v>
      </c>
      <c r="AS784" s="15" t="s">
        <v>915</v>
      </c>
      <c r="AT784" s="15" t="s">
        <v>1612</v>
      </c>
      <c r="AU784" s="15" t="s">
        <v>8327</v>
      </c>
      <c r="AW784" s="15" t="s">
        <v>839</v>
      </c>
      <c r="AX784" s="15" t="s">
        <v>877</v>
      </c>
      <c r="AY784" s="15" t="s">
        <v>426</v>
      </c>
      <c r="AZ784" s="15" t="b">
        <v>1</v>
      </c>
      <c r="BA784" s="15" t="s">
        <v>413</v>
      </c>
      <c r="BB784" s="15" t="b">
        <v>0</v>
      </c>
      <c r="BC784" s="15" t="s">
        <v>8328</v>
      </c>
      <c r="BD784" s="15" t="s">
        <v>709</v>
      </c>
      <c r="BE784" s="15" t="str">
        <f t="shared" si="1314"/>
        <v>3</v>
      </c>
      <c r="BF784" s="15" t="s">
        <v>926</v>
      </c>
      <c r="BG784" s="15" t="str">
        <f>"67.32"</f>
        <v>67.32</v>
      </c>
      <c r="BH784" s="15" t="s">
        <v>4754</v>
      </c>
      <c r="BI784" s="15" t="str">
        <f>"50.98"</f>
        <v>50.98</v>
      </c>
      <c r="BJ784" s="15" t="s">
        <v>8299</v>
      </c>
      <c r="BK784" s="15" t="str">
        <f>"14.17"</f>
        <v>14.17</v>
      </c>
      <c r="BL784" s="15" t="s">
        <v>8298</v>
      </c>
      <c r="BM784" s="15" t="str">
        <f>"99.65"</f>
        <v>99.65</v>
      </c>
      <c r="BN784" s="15" t="s">
        <v>8306</v>
      </c>
      <c r="BO784" s="15" t="s">
        <v>5840</v>
      </c>
      <c r="BP784" s="15" t="str">
        <f t="shared" si="1321"/>
        <v>85.75</v>
      </c>
      <c r="BQ784" s="15" t="s">
        <v>3093</v>
      </c>
      <c r="BR784" s="15" t="str">
        <f t="shared" si="1316"/>
        <v>9.06</v>
      </c>
      <c r="BS784" s="15" t="s">
        <v>2481</v>
      </c>
      <c r="BT784" s="15" t="str">
        <f t="shared" si="1322"/>
        <v>10.24</v>
      </c>
      <c r="BU784" s="15" t="s">
        <v>6791</v>
      </c>
      <c r="BV784" s="15" t="str">
        <f t="shared" si="1323"/>
        <v>47.84</v>
      </c>
      <c r="BW784" s="15" t="s">
        <v>2496</v>
      </c>
      <c r="BX784" s="15" t="s">
        <v>917</v>
      </c>
      <c r="BY784" s="15" t="str">
        <f t="shared" si="1324"/>
        <v>81.73</v>
      </c>
      <c r="BZ784" s="15" t="s">
        <v>918</v>
      </c>
      <c r="CA784" s="15" t="str">
        <f t="shared" si="1325"/>
        <v>5.39</v>
      </c>
      <c r="CB784" s="15" t="s">
        <v>919</v>
      </c>
      <c r="CC784" s="15" t="str">
        <f>"32.28"</f>
        <v>32.28</v>
      </c>
      <c r="CD784" s="15" t="s">
        <v>954</v>
      </c>
      <c r="CE784" s="15" t="str">
        <f>"43.87"</f>
        <v>43.87</v>
      </c>
      <c r="CF784" s="15" t="s">
        <v>955</v>
      </c>
      <c r="CI784" s="15" t="s">
        <v>444</v>
      </c>
      <c r="CK784" s="15" t="s">
        <v>444</v>
      </c>
      <c r="CM784" s="15" t="s">
        <v>444</v>
      </c>
      <c r="CO784" s="15" t="s">
        <v>444</v>
      </c>
      <c r="CP784" s="15" t="str">
        <f>"40.97"</f>
        <v>40.97</v>
      </c>
      <c r="CQ784" s="15" t="str">
        <f>"1.16"</f>
        <v>1.16</v>
      </c>
      <c r="CR784" s="15" t="s">
        <v>465</v>
      </c>
      <c r="DC784" s="15" t="str">
        <f>IFERROR(__xludf.DUMMYFUNCTION("""COMPUTED_VALUE"""),"")</f>
        <v/>
      </c>
      <c r="DE784" s="15" t="str">
        <f>IFERROR(__xludf.DUMMYFUNCTION("""COMPUTED_VALUE"""),"")</f>
        <v/>
      </c>
      <c r="DG784" s="15" t="str">
        <f>IFERROR(__xludf.DUMMYFUNCTION("""COMPUTED_VALUE"""),"")</f>
        <v/>
      </c>
      <c r="DK784" s="15" t="s">
        <v>718</v>
      </c>
      <c r="DL784" s="15" t="str">
        <f>IFERROR(__xludf.DUMMYFUNCTION("""COMPUTED_VALUE"""),"Vacuum or light brush only. Do not use water or any cleaning products.")</f>
        <v>Vacuum or light brush only. Do not use water or any cleaning products.</v>
      </c>
      <c r="DM784" s="15" t="s">
        <v>719</v>
      </c>
      <c r="DN784" s="15" t="s">
        <v>419</v>
      </c>
      <c r="DO784" s="15">
        <v>0.0</v>
      </c>
      <c r="DP784" s="15" t="s">
        <v>419</v>
      </c>
      <c r="DR784" s="15">
        <v>0.0</v>
      </c>
      <c r="DT784" s="15" t="s">
        <v>721</v>
      </c>
      <c r="DU784" s="15" t="s">
        <v>419</v>
      </c>
      <c r="DW784" s="15">
        <v>0.0</v>
      </c>
      <c r="DX784" s="15">
        <v>0.0</v>
      </c>
      <c r="DY784" s="15">
        <v>0.0</v>
      </c>
      <c r="DZ784" s="15">
        <v>30000.0</v>
      </c>
      <c r="EG784" s="15" t="s">
        <v>444</v>
      </c>
      <c r="EH784" s="15" t="s">
        <v>8300</v>
      </c>
      <c r="EJ784" s="15" t="s">
        <v>858</v>
      </c>
      <c r="EK784" s="15" t="s">
        <v>859</v>
      </c>
      <c r="EM784" s="15" t="str">
        <f>IFERROR(__xludf.DUMMYFUNCTION("""COMPUTED_VALUE"""),"")</f>
        <v/>
      </c>
      <c r="FF784" s="15" t="s">
        <v>8301</v>
      </c>
      <c r="FM784" s="15">
        <v>0.0</v>
      </c>
      <c r="IM784" s="15" t="s">
        <v>505</v>
      </c>
      <c r="IN784" s="15" t="s">
        <v>505</v>
      </c>
      <c r="IO784" s="15" t="s">
        <v>505</v>
      </c>
      <c r="IP784" s="15" t="s">
        <v>1288</v>
      </c>
      <c r="IQ784" s="15" t="s">
        <v>1807</v>
      </c>
      <c r="IR784" s="15" t="s">
        <v>2570</v>
      </c>
      <c r="IS784" s="15" t="s">
        <v>2337</v>
      </c>
      <c r="IT784" s="15" t="s">
        <v>1329</v>
      </c>
      <c r="IU784" s="15" t="s">
        <v>2570</v>
      </c>
      <c r="IV784" s="15" t="s">
        <v>6260</v>
      </c>
      <c r="IW784" s="15" t="s">
        <v>672</v>
      </c>
      <c r="IX784" s="15" t="s">
        <v>1682</v>
      </c>
      <c r="IY784" s="15" t="s">
        <v>2116</v>
      </c>
      <c r="IZ784" s="15" t="s">
        <v>4508</v>
      </c>
      <c r="JA784" s="15" t="s">
        <v>1807</v>
      </c>
      <c r="JB784" s="15" t="s">
        <v>426</v>
      </c>
      <c r="JC784" s="15" t="s">
        <v>871</v>
      </c>
      <c r="JD784" s="15" t="s">
        <v>872</v>
      </c>
      <c r="JE784" s="15" t="s">
        <v>873</v>
      </c>
      <c r="JF784" s="15" t="s">
        <v>877</v>
      </c>
      <c r="JL784" s="15" t="s">
        <v>635</v>
      </c>
      <c r="JM784" s="15" t="s">
        <v>1576</v>
      </c>
      <c r="JO784" s="15" t="s">
        <v>426</v>
      </c>
      <c r="JP784" s="15" t="s">
        <v>875</v>
      </c>
      <c r="JS784" s="15" t="s">
        <v>6260</v>
      </c>
      <c r="JT784" s="15" t="s">
        <v>6826</v>
      </c>
    </row>
    <row r="785" ht="15.75" customHeight="1">
      <c r="A785" s="14" t="s">
        <v>391</v>
      </c>
      <c r="B785" s="15" t="s">
        <v>8332</v>
      </c>
      <c r="C785" s="16"/>
      <c r="D785" s="15" t="s">
        <v>432</v>
      </c>
      <c r="G785" s="14" t="s">
        <v>393</v>
      </c>
      <c r="H785" s="14" t="s">
        <v>394</v>
      </c>
      <c r="I785" s="14" t="b">
        <v>1</v>
      </c>
      <c r="J785" s="14" t="s">
        <v>395</v>
      </c>
      <c r="L785" s="14" t="b">
        <v>0</v>
      </c>
      <c r="M785" s="15" t="s">
        <v>8333</v>
      </c>
      <c r="N785" s="14" t="s">
        <v>393</v>
      </c>
      <c r="O785" s="14" t="s">
        <v>393</v>
      </c>
      <c r="P785" s="15" t="s">
        <v>397</v>
      </c>
      <c r="Q785" s="15" t="s">
        <v>3625</v>
      </c>
      <c r="R785" s="15" t="s">
        <v>265</v>
      </c>
      <c r="S785" s="15" t="s">
        <v>2557</v>
      </c>
      <c r="T785" s="14" t="b">
        <v>0</v>
      </c>
      <c r="U785" s="15" t="s">
        <v>8334</v>
      </c>
      <c r="V785" s="15" t="s">
        <v>8335</v>
      </c>
      <c r="W785" s="15" t="s">
        <v>401</v>
      </c>
      <c r="X785" s="15" t="s">
        <v>695</v>
      </c>
      <c r="Y785" s="15">
        <v>2626.0</v>
      </c>
      <c r="AA785" s="15" t="str">
        <f>"1010"</f>
        <v>1010</v>
      </c>
      <c r="AB785" s="14" t="b">
        <v>1</v>
      </c>
      <c r="AC785" s="14" t="b">
        <v>1</v>
      </c>
      <c r="AD785" s="15" t="str">
        <f>"801542456740"</f>
        <v>801542456740</v>
      </c>
      <c r="AE785" s="15" t="s">
        <v>8336</v>
      </c>
      <c r="AF785" s="14" t="s">
        <v>404</v>
      </c>
      <c r="AG785" s="14" t="s">
        <v>405</v>
      </c>
      <c r="AH785" s="14" t="s">
        <v>406</v>
      </c>
      <c r="AI785" s="15">
        <v>0.0</v>
      </c>
      <c r="AL785" s="15" t="s">
        <v>8337</v>
      </c>
      <c r="AM785" s="15" t="s">
        <v>2557</v>
      </c>
      <c r="AN785" s="15" t="s">
        <v>2558</v>
      </c>
      <c r="AO785" s="15" t="s">
        <v>2557</v>
      </c>
      <c r="AP785" s="15" t="s">
        <v>2558</v>
      </c>
      <c r="AQ785" s="15" t="s">
        <v>2306</v>
      </c>
      <c r="AR785" s="15" t="s">
        <v>2307</v>
      </c>
      <c r="AS785" s="15" t="s">
        <v>3185</v>
      </c>
      <c r="AT785" s="15" t="s">
        <v>3625</v>
      </c>
      <c r="AU785" s="15" t="s">
        <v>8338</v>
      </c>
      <c r="AV785" s="15" t="s">
        <v>8339</v>
      </c>
      <c r="AW785" s="15" t="s">
        <v>548</v>
      </c>
      <c r="AX785" s="15" t="s">
        <v>549</v>
      </c>
      <c r="AY785" s="15" t="s">
        <v>413</v>
      </c>
      <c r="AZ785" s="15" t="b">
        <v>0</v>
      </c>
      <c r="BA785" s="15" t="s">
        <v>413</v>
      </c>
      <c r="BB785" s="15" t="b">
        <v>0</v>
      </c>
      <c r="BC785" s="15" t="s">
        <v>8340</v>
      </c>
      <c r="BD785" s="15" t="s">
        <v>709</v>
      </c>
      <c r="BE785" s="15" t="str">
        <f t="shared" ref="BE785:BE790" si="1335">"2"</f>
        <v>2</v>
      </c>
      <c r="BF785" s="15" t="s">
        <v>2238</v>
      </c>
      <c r="BG785" s="15" t="str">
        <f>"25.59"</f>
        <v>25.59</v>
      </c>
      <c r="BH785" s="15" t="s">
        <v>441</v>
      </c>
      <c r="BI785" s="15" t="str">
        <f>"25.59"</f>
        <v>25.59</v>
      </c>
      <c r="BJ785" s="15" t="s">
        <v>441</v>
      </c>
      <c r="BK785" s="15" t="str">
        <f t="shared" ref="BK785:BK786" si="1336">"33.46"</f>
        <v>33.46</v>
      </c>
      <c r="BL785" s="15" t="s">
        <v>1109</v>
      </c>
      <c r="BM785" s="15" t="str">
        <f>"72.75"</f>
        <v>72.75</v>
      </c>
      <c r="BN785" s="15" t="s">
        <v>3022</v>
      </c>
      <c r="BO785" s="15" t="s">
        <v>1564</v>
      </c>
      <c r="BP785" s="15" t="str">
        <f>"47.24"</f>
        <v>47.24</v>
      </c>
      <c r="BQ785" s="15" t="s">
        <v>2287</v>
      </c>
      <c r="BR785" s="15" t="str">
        <f t="shared" ref="BR785:BR786" si="1337">"6.89"</f>
        <v>6.89</v>
      </c>
      <c r="BS785" s="15" t="s">
        <v>5842</v>
      </c>
      <c r="BT785" s="15" t="str">
        <f>"47.24"</f>
        <v>47.24</v>
      </c>
      <c r="BU785" s="15" t="s">
        <v>2287</v>
      </c>
      <c r="BV785" s="15" t="str">
        <f>"167.77"</f>
        <v>167.77</v>
      </c>
      <c r="BW785" s="15" t="s">
        <v>8341</v>
      </c>
      <c r="BZ785" s="15" t="s">
        <v>444</v>
      </c>
      <c r="CB785" s="15" t="s">
        <v>444</v>
      </c>
      <c r="CD785" s="15" t="s">
        <v>444</v>
      </c>
      <c r="CF785" s="15" t="s">
        <v>444</v>
      </c>
      <c r="CI785" s="15" t="s">
        <v>444</v>
      </c>
      <c r="CK785" s="15" t="s">
        <v>444</v>
      </c>
      <c r="CM785" s="15" t="s">
        <v>444</v>
      </c>
      <c r="CO785" s="15" t="s">
        <v>444</v>
      </c>
      <c r="CP785" s="15" t="str">
        <f>"21.58"</f>
        <v>21.58</v>
      </c>
      <c r="CQ785" s="15" t="str">
        <f>"0.611"</f>
        <v>0.611</v>
      </c>
      <c r="CR785" s="15" t="s">
        <v>497</v>
      </c>
      <c r="DC785" s="15" t="str">
        <f>IFERROR(__xludf.DUMMYFUNCTION("""COMPUTED_VALUE"""),"")</f>
        <v/>
      </c>
      <c r="DE785" s="15" t="str">
        <f>IFERROR(__xludf.DUMMYFUNCTION("""COMPUTED_VALUE"""),"")</f>
        <v/>
      </c>
      <c r="DG785" s="15" t="str">
        <f>IFERROR(__xludf.DUMMYFUNCTION("""COMPUTED_VALUE"""),"")</f>
        <v/>
      </c>
      <c r="DL785" s="15" t="str">
        <f>IFERROR(__xludf.DUMMYFUNCTION("""COMPUTED_VALUE"""),"")</f>
        <v/>
      </c>
      <c r="DM785" s="15" t="s">
        <v>444</v>
      </c>
      <c r="DN785" s="15" t="s">
        <v>419</v>
      </c>
      <c r="DO785" s="15">
        <v>0.0</v>
      </c>
      <c r="DP785" s="15" t="s">
        <v>419</v>
      </c>
      <c r="DR785" s="15">
        <v>0.0</v>
      </c>
      <c r="DT785" s="15" t="s">
        <v>1186</v>
      </c>
      <c r="DU785" s="15" t="s">
        <v>419</v>
      </c>
      <c r="DW785" s="15">
        <v>0.0</v>
      </c>
      <c r="DX785" s="15">
        <v>0.0</v>
      </c>
      <c r="DY785" s="15">
        <v>0.0</v>
      </c>
      <c r="EE785" s="15">
        <v>4.0</v>
      </c>
      <c r="EF785" s="15" t="s">
        <v>1157</v>
      </c>
      <c r="EG785" s="15" t="s">
        <v>1158</v>
      </c>
      <c r="EH785" s="15" t="s">
        <v>8342</v>
      </c>
      <c r="EJ785" s="15" t="s">
        <v>500</v>
      </c>
      <c r="EK785" s="15" t="s">
        <v>501</v>
      </c>
      <c r="EM785" s="15" t="str">
        <f>IFERROR(__xludf.DUMMYFUNCTION("""COMPUTED_VALUE"""),"")</f>
        <v/>
      </c>
      <c r="EW785" s="15" t="s">
        <v>1445</v>
      </c>
      <c r="FH785" s="15" t="s">
        <v>3165</v>
      </c>
      <c r="FI785" s="15" t="s">
        <v>1445</v>
      </c>
      <c r="FJ785" s="15" t="s">
        <v>3165</v>
      </c>
      <c r="FK785" s="15" t="s">
        <v>1957</v>
      </c>
      <c r="FL785" s="15" t="s">
        <v>426</v>
      </c>
      <c r="FM785" s="15">
        <v>0.0</v>
      </c>
      <c r="FN785" s="15">
        <v>0.0</v>
      </c>
      <c r="FV785" s="15" t="s">
        <v>1445</v>
      </c>
      <c r="FW785" s="15" t="s">
        <v>8343</v>
      </c>
      <c r="FX785" s="15" t="s">
        <v>2244</v>
      </c>
    </row>
    <row r="786" ht="15.75" customHeight="1">
      <c r="A786" s="14" t="s">
        <v>391</v>
      </c>
      <c r="B786" s="15" t="s">
        <v>8332</v>
      </c>
      <c r="C786" s="16"/>
      <c r="D786" s="15" t="s">
        <v>432</v>
      </c>
      <c r="G786" s="14" t="s">
        <v>393</v>
      </c>
      <c r="H786" s="14" t="s">
        <v>394</v>
      </c>
      <c r="I786" s="14" t="b">
        <v>1</v>
      </c>
      <c r="J786" s="14" t="s">
        <v>395</v>
      </c>
      <c r="L786" s="14" t="b">
        <v>0</v>
      </c>
      <c r="M786" s="15" t="s">
        <v>8344</v>
      </c>
      <c r="N786" s="14" t="s">
        <v>393</v>
      </c>
      <c r="O786" s="14" t="s">
        <v>393</v>
      </c>
      <c r="P786" s="15" t="s">
        <v>397</v>
      </c>
      <c r="Q786" s="15" t="s">
        <v>3625</v>
      </c>
      <c r="R786" s="15" t="s">
        <v>265</v>
      </c>
      <c r="S786" s="15" t="s">
        <v>487</v>
      </c>
      <c r="T786" s="14" t="b">
        <v>0</v>
      </c>
      <c r="U786" s="15" t="s">
        <v>8345</v>
      </c>
      <c r="V786" s="15" t="s">
        <v>741</v>
      </c>
      <c r="W786" s="15" t="s">
        <v>401</v>
      </c>
      <c r="X786" s="15" t="s">
        <v>695</v>
      </c>
      <c r="Y786" s="15">
        <v>3822.0</v>
      </c>
      <c r="AA786" s="15" t="str">
        <f>"1470"</f>
        <v>1470</v>
      </c>
      <c r="AB786" s="14" t="b">
        <v>1</v>
      </c>
      <c r="AC786" s="14" t="b">
        <v>1</v>
      </c>
      <c r="AD786" s="15" t="str">
        <f>"801542456788"</f>
        <v>801542456788</v>
      </c>
      <c r="AE786" s="15" t="s">
        <v>8346</v>
      </c>
      <c r="AF786" s="14" t="s">
        <v>404</v>
      </c>
      <c r="AG786" s="14" t="s">
        <v>405</v>
      </c>
      <c r="AH786" s="14" t="s">
        <v>406</v>
      </c>
      <c r="AI786" s="15">
        <v>0.0</v>
      </c>
      <c r="AL786" s="15" t="s">
        <v>8337</v>
      </c>
      <c r="AM786" s="15" t="s">
        <v>487</v>
      </c>
      <c r="AN786" s="15" t="s">
        <v>488</v>
      </c>
      <c r="AO786" s="15" t="s">
        <v>487</v>
      </c>
      <c r="AP786" s="15" t="s">
        <v>488</v>
      </c>
      <c r="AQ786" s="15" t="s">
        <v>2306</v>
      </c>
      <c r="AR786" s="15" t="s">
        <v>2307</v>
      </c>
      <c r="AS786" s="15" t="s">
        <v>3185</v>
      </c>
      <c r="AT786" s="15" t="s">
        <v>3625</v>
      </c>
      <c r="AU786" s="15" t="s">
        <v>8338</v>
      </c>
      <c r="AV786" s="15" t="s">
        <v>8339</v>
      </c>
      <c r="AW786" s="15" t="s">
        <v>548</v>
      </c>
      <c r="AX786" s="15" t="s">
        <v>549</v>
      </c>
      <c r="AY786" s="15" t="s">
        <v>413</v>
      </c>
      <c r="AZ786" s="15" t="b">
        <v>0</v>
      </c>
      <c r="BA786" s="15" t="s">
        <v>413</v>
      </c>
      <c r="BB786" s="15" t="b">
        <v>0</v>
      </c>
      <c r="BC786" s="15" t="s">
        <v>8347</v>
      </c>
      <c r="BD786" s="15" t="s">
        <v>709</v>
      </c>
      <c r="BE786" s="15" t="str">
        <f t="shared" si="1335"/>
        <v>2</v>
      </c>
      <c r="BF786" s="15" t="s">
        <v>2238</v>
      </c>
      <c r="BG786" s="15" t="str">
        <f>"31.1"</f>
        <v>31.1</v>
      </c>
      <c r="BH786" s="15" t="s">
        <v>1386</v>
      </c>
      <c r="BI786" s="15" t="str">
        <f>"31.5"</f>
        <v>31.5</v>
      </c>
      <c r="BJ786" s="15" t="s">
        <v>1322</v>
      </c>
      <c r="BK786" s="15" t="str">
        <f t="shared" si="1336"/>
        <v>33.46</v>
      </c>
      <c r="BL786" s="15" t="s">
        <v>1109</v>
      </c>
      <c r="BM786" s="15" t="str">
        <f>"134.48"</f>
        <v>134.48</v>
      </c>
      <c r="BN786" s="15" t="s">
        <v>983</v>
      </c>
      <c r="BO786" s="15" t="s">
        <v>1564</v>
      </c>
      <c r="BP786" s="15" t="str">
        <f>"60.24"</f>
        <v>60.24</v>
      </c>
      <c r="BQ786" s="15" t="s">
        <v>6130</v>
      </c>
      <c r="BR786" s="15" t="str">
        <f t="shared" si="1337"/>
        <v>6.89</v>
      </c>
      <c r="BS786" s="15" t="s">
        <v>5842</v>
      </c>
      <c r="BT786" s="15" t="str">
        <f>"60.24"</f>
        <v>60.24</v>
      </c>
      <c r="BU786" s="15" t="s">
        <v>6130</v>
      </c>
      <c r="BV786" s="15" t="str">
        <f>"266.76"</f>
        <v>266.76</v>
      </c>
      <c r="BW786" s="15" t="s">
        <v>6423</v>
      </c>
      <c r="BZ786" s="15" t="s">
        <v>444</v>
      </c>
      <c r="CB786" s="15" t="s">
        <v>444</v>
      </c>
      <c r="CD786" s="15" t="s">
        <v>444</v>
      </c>
      <c r="CF786" s="15" t="s">
        <v>444</v>
      </c>
      <c r="CI786" s="15" t="s">
        <v>444</v>
      </c>
      <c r="CK786" s="15" t="s">
        <v>444</v>
      </c>
      <c r="CM786" s="15" t="s">
        <v>444</v>
      </c>
      <c r="CO786" s="15" t="s">
        <v>444</v>
      </c>
      <c r="CP786" s="15" t="str">
        <f>"33.44"</f>
        <v>33.44</v>
      </c>
      <c r="CQ786" s="15" t="str">
        <f>"0.947"</f>
        <v>0.947</v>
      </c>
      <c r="CR786" s="15" t="s">
        <v>465</v>
      </c>
      <c r="DC786" s="15" t="str">
        <f>IFERROR(__xludf.DUMMYFUNCTION("""COMPUTED_VALUE"""),"")</f>
        <v/>
      </c>
      <c r="DE786" s="15" t="str">
        <f>IFERROR(__xludf.DUMMYFUNCTION("""COMPUTED_VALUE"""),"")</f>
        <v/>
      </c>
      <c r="DG786" s="15" t="str">
        <f>IFERROR(__xludf.DUMMYFUNCTION("""COMPUTED_VALUE"""),"")</f>
        <v/>
      </c>
      <c r="DL786" s="15" t="str">
        <f>IFERROR(__xludf.DUMMYFUNCTION("""COMPUTED_VALUE"""),"")</f>
        <v/>
      </c>
      <c r="DM786" s="15" t="s">
        <v>444</v>
      </c>
      <c r="DN786" s="15" t="s">
        <v>419</v>
      </c>
      <c r="DO786" s="15">
        <v>0.0</v>
      </c>
      <c r="DP786" s="15" t="s">
        <v>419</v>
      </c>
      <c r="DR786" s="15">
        <v>0.0</v>
      </c>
      <c r="DT786" s="15" t="s">
        <v>1186</v>
      </c>
      <c r="DU786" s="15" t="s">
        <v>419</v>
      </c>
      <c r="DW786" s="15">
        <v>0.0</v>
      </c>
      <c r="DX786" s="15">
        <v>0.0</v>
      </c>
      <c r="DY786" s="15">
        <v>0.0</v>
      </c>
      <c r="EE786" s="15">
        <v>6.0</v>
      </c>
      <c r="EF786" s="15" t="s">
        <v>1157</v>
      </c>
      <c r="EG786" s="15" t="s">
        <v>1158</v>
      </c>
      <c r="EH786" s="15" t="s">
        <v>8342</v>
      </c>
      <c r="EJ786" s="15" t="s">
        <v>500</v>
      </c>
      <c r="EK786" s="15" t="s">
        <v>501</v>
      </c>
      <c r="EM786" s="15" t="str">
        <f>IFERROR(__xludf.DUMMYFUNCTION("""COMPUTED_VALUE"""),"")</f>
        <v/>
      </c>
      <c r="EW786" s="15" t="s">
        <v>1411</v>
      </c>
      <c r="FH786" s="15" t="s">
        <v>1116</v>
      </c>
      <c r="FI786" s="15" t="s">
        <v>1411</v>
      </c>
      <c r="FJ786" s="15" t="s">
        <v>1116</v>
      </c>
      <c r="FK786" s="15" t="s">
        <v>5972</v>
      </c>
      <c r="FL786" s="15" t="s">
        <v>426</v>
      </c>
      <c r="FM786" s="15">
        <v>0.0</v>
      </c>
      <c r="FN786" s="15">
        <v>0.0</v>
      </c>
      <c r="FV786" s="15" t="s">
        <v>1411</v>
      </c>
      <c r="FW786" s="15" t="s">
        <v>8348</v>
      </c>
      <c r="FX786" s="15" t="s">
        <v>2244</v>
      </c>
    </row>
    <row r="787" ht="15.75" customHeight="1">
      <c r="A787" s="14" t="s">
        <v>391</v>
      </c>
      <c r="B787" s="15" t="s">
        <v>8332</v>
      </c>
      <c r="C787" s="16"/>
      <c r="D787" s="15" t="s">
        <v>432</v>
      </c>
      <c r="G787" s="14" t="s">
        <v>393</v>
      </c>
      <c r="H787" s="14" t="s">
        <v>394</v>
      </c>
      <c r="I787" s="14" t="b">
        <v>1</v>
      </c>
      <c r="J787" s="14" t="s">
        <v>395</v>
      </c>
      <c r="L787" s="14" t="b">
        <v>0</v>
      </c>
      <c r="M787" s="15" t="s">
        <v>8349</v>
      </c>
      <c r="N787" s="14" t="s">
        <v>393</v>
      </c>
      <c r="O787" s="14" t="s">
        <v>393</v>
      </c>
      <c r="P787" s="15" t="s">
        <v>397</v>
      </c>
      <c r="Q787" s="15" t="s">
        <v>8350</v>
      </c>
      <c r="R787" s="15" t="s">
        <v>265</v>
      </c>
      <c r="S787" s="15" t="s">
        <v>2557</v>
      </c>
      <c r="T787" s="14" t="b">
        <v>0</v>
      </c>
      <c r="U787" s="15" t="s">
        <v>8351</v>
      </c>
      <c r="V787" s="15" t="s">
        <v>1762</v>
      </c>
      <c r="W787" s="15" t="s">
        <v>401</v>
      </c>
      <c r="X787" s="15" t="s">
        <v>695</v>
      </c>
      <c r="Y787" s="15">
        <v>1859.0</v>
      </c>
      <c r="AA787" s="15" t="str">
        <f>"715"</f>
        <v>715</v>
      </c>
      <c r="AB787" s="14" t="b">
        <v>1</v>
      </c>
      <c r="AC787" s="14" t="b">
        <v>1</v>
      </c>
      <c r="AD787" s="15" t="str">
        <f>"801542718497"</f>
        <v>801542718497</v>
      </c>
      <c r="AE787" s="15" t="s">
        <v>8352</v>
      </c>
      <c r="AF787" s="14" t="s">
        <v>404</v>
      </c>
      <c r="AG787" s="14" t="s">
        <v>405</v>
      </c>
      <c r="AH787" s="14" t="s">
        <v>406</v>
      </c>
      <c r="AI787" s="15">
        <v>0.0</v>
      </c>
      <c r="AL787" s="15" t="s">
        <v>8353</v>
      </c>
      <c r="AM787" s="15" t="s">
        <v>2557</v>
      </c>
      <c r="AN787" s="15" t="s">
        <v>2558</v>
      </c>
      <c r="AO787" s="15" t="s">
        <v>2557</v>
      </c>
      <c r="AP787" s="15" t="s">
        <v>2558</v>
      </c>
      <c r="AQ787" s="15" t="s">
        <v>546</v>
      </c>
      <c r="AR787" s="15" t="s">
        <v>547</v>
      </c>
      <c r="AS787" s="15" t="s">
        <v>3185</v>
      </c>
      <c r="AT787" s="15" t="s">
        <v>8350</v>
      </c>
      <c r="AU787" s="15" t="s">
        <v>8338</v>
      </c>
      <c r="AW787" s="15" t="s">
        <v>548</v>
      </c>
      <c r="AX787" s="15" t="s">
        <v>549</v>
      </c>
      <c r="AY787" s="15" t="s">
        <v>413</v>
      </c>
      <c r="AZ787" s="15" t="b">
        <v>0</v>
      </c>
      <c r="BA787" s="15" t="s">
        <v>413</v>
      </c>
      <c r="BB787" s="15" t="b">
        <v>0</v>
      </c>
      <c r="BC787" s="15" t="s">
        <v>8354</v>
      </c>
      <c r="BD787" s="15" t="s">
        <v>709</v>
      </c>
      <c r="BE787" s="15" t="str">
        <f t="shared" si="1335"/>
        <v>2</v>
      </c>
      <c r="BF787" s="15" t="s">
        <v>1564</v>
      </c>
      <c r="BG787" s="15" t="str">
        <f>"47.24"</f>
        <v>47.24</v>
      </c>
      <c r="BH787" s="15" t="s">
        <v>2287</v>
      </c>
      <c r="BI787" s="15" t="str">
        <f>"3.15"</f>
        <v>3.15</v>
      </c>
      <c r="BJ787" s="15" t="s">
        <v>8355</v>
      </c>
      <c r="BK787" s="15" t="str">
        <f>"47.24"</f>
        <v>47.24</v>
      </c>
      <c r="BL787" s="15" t="s">
        <v>2287</v>
      </c>
      <c r="BM787" s="15" t="str">
        <f>"72.75"</f>
        <v>72.75</v>
      </c>
      <c r="BN787" s="15" t="s">
        <v>3022</v>
      </c>
      <c r="BO787" s="15" t="s">
        <v>2238</v>
      </c>
      <c r="BP787" s="15" t="str">
        <f>"25.2"</f>
        <v>25.2</v>
      </c>
      <c r="BQ787" s="15" t="s">
        <v>585</v>
      </c>
      <c r="BR787" s="15" t="str">
        <f>"25.2"</f>
        <v>25.2</v>
      </c>
      <c r="BS787" s="15" t="s">
        <v>585</v>
      </c>
      <c r="BT787" s="15" t="str">
        <f>"33.46"</f>
        <v>33.46</v>
      </c>
      <c r="BU787" s="15" t="s">
        <v>1109</v>
      </c>
      <c r="BV787" s="15" t="str">
        <f>"70.55"</f>
        <v>70.55</v>
      </c>
      <c r="BW787" s="15" t="s">
        <v>845</v>
      </c>
      <c r="BZ787" s="15" t="s">
        <v>444</v>
      </c>
      <c r="CB787" s="15" t="s">
        <v>444</v>
      </c>
      <c r="CD787" s="15" t="s">
        <v>444</v>
      </c>
      <c r="CF787" s="15" t="s">
        <v>444</v>
      </c>
      <c r="CI787" s="15" t="s">
        <v>444</v>
      </c>
      <c r="CK787" s="15" t="s">
        <v>444</v>
      </c>
      <c r="CM787" s="15" t="s">
        <v>444</v>
      </c>
      <c r="CO787" s="15" t="s">
        <v>444</v>
      </c>
      <c r="CP787" s="15" t="str">
        <f>"16.35"</f>
        <v>16.35</v>
      </c>
      <c r="CQ787" s="15" t="str">
        <f>"0.463"</f>
        <v>0.463</v>
      </c>
      <c r="CR787" s="15" t="s">
        <v>465</v>
      </c>
      <c r="DC787" s="15" t="str">
        <f>IFERROR(__xludf.DUMMYFUNCTION("""COMPUTED_VALUE"""),"")</f>
        <v/>
      </c>
      <c r="DE787" s="15" t="str">
        <f>IFERROR(__xludf.DUMMYFUNCTION("""COMPUTED_VALUE"""),"")</f>
        <v/>
      </c>
      <c r="DG787" s="15" t="str">
        <f>IFERROR(__xludf.DUMMYFUNCTION("""COMPUTED_VALUE"""),"")</f>
        <v/>
      </c>
      <c r="DL787" s="15" t="str">
        <f>IFERROR(__xludf.DUMMYFUNCTION("""COMPUTED_VALUE"""),"")</f>
        <v/>
      </c>
      <c r="DM787" s="15" t="s">
        <v>444</v>
      </c>
      <c r="DN787" s="15" t="s">
        <v>419</v>
      </c>
      <c r="DO787" s="15">
        <v>0.0</v>
      </c>
      <c r="DP787" s="15" t="s">
        <v>419</v>
      </c>
      <c r="DR787" s="15">
        <v>0.0</v>
      </c>
      <c r="DT787" s="15" t="s">
        <v>1186</v>
      </c>
      <c r="DU787" s="15" t="s">
        <v>419</v>
      </c>
      <c r="DW787" s="15">
        <v>0.0</v>
      </c>
      <c r="DX787" s="15">
        <v>0.0</v>
      </c>
      <c r="DY787" s="15">
        <v>0.0</v>
      </c>
      <c r="EE787" s="15">
        <v>4.0</v>
      </c>
      <c r="EF787" s="15" t="s">
        <v>1157</v>
      </c>
      <c r="EG787" s="15" t="s">
        <v>1158</v>
      </c>
      <c r="EH787" s="15" t="s">
        <v>8342</v>
      </c>
      <c r="EJ787" s="15" t="s">
        <v>500</v>
      </c>
      <c r="EK787" s="15" t="s">
        <v>501</v>
      </c>
      <c r="EM787" s="15" t="str">
        <f>IFERROR(__xludf.DUMMYFUNCTION("""COMPUTED_VALUE"""),"")</f>
        <v/>
      </c>
      <c r="EW787" s="15" t="s">
        <v>1445</v>
      </c>
      <c r="FH787" s="15" t="s">
        <v>3165</v>
      </c>
      <c r="FI787" s="15" t="s">
        <v>1445</v>
      </c>
      <c r="FJ787" s="15" t="s">
        <v>3165</v>
      </c>
      <c r="FK787" s="15" t="s">
        <v>1957</v>
      </c>
      <c r="FL787" s="15" t="s">
        <v>426</v>
      </c>
      <c r="FM787" s="15">
        <v>0.0</v>
      </c>
      <c r="FN787" s="15">
        <v>0.0</v>
      </c>
      <c r="FV787" s="15" t="s">
        <v>1445</v>
      </c>
      <c r="FW787" s="15" t="s">
        <v>8343</v>
      </c>
      <c r="FX787" s="15" t="s">
        <v>2244</v>
      </c>
    </row>
    <row r="788" ht="15.75" customHeight="1">
      <c r="A788" s="14" t="s">
        <v>391</v>
      </c>
      <c r="B788" s="15" t="s">
        <v>8332</v>
      </c>
      <c r="C788" s="16"/>
      <c r="D788" s="15" t="s">
        <v>432</v>
      </c>
      <c r="G788" s="14" t="s">
        <v>393</v>
      </c>
      <c r="H788" s="14" t="s">
        <v>394</v>
      </c>
      <c r="I788" s="14" t="b">
        <v>1</v>
      </c>
      <c r="J788" s="14" t="s">
        <v>395</v>
      </c>
      <c r="L788" s="14" t="b">
        <v>0</v>
      </c>
      <c r="M788" s="15" t="s">
        <v>8356</v>
      </c>
      <c r="N788" s="14" t="s">
        <v>393</v>
      </c>
      <c r="O788" s="14" t="s">
        <v>393</v>
      </c>
      <c r="P788" s="15" t="s">
        <v>397</v>
      </c>
      <c r="Q788" s="15" t="s">
        <v>8350</v>
      </c>
      <c r="R788" s="15" t="s">
        <v>265</v>
      </c>
      <c r="S788" s="15" t="s">
        <v>487</v>
      </c>
      <c r="T788" s="14" t="b">
        <v>0</v>
      </c>
      <c r="U788" s="15" t="s">
        <v>8357</v>
      </c>
      <c r="V788" s="15" t="s">
        <v>8358</v>
      </c>
      <c r="W788" s="15" t="s">
        <v>401</v>
      </c>
      <c r="X788" s="15" t="s">
        <v>695</v>
      </c>
      <c r="Y788" s="15">
        <v>2730.0</v>
      </c>
      <c r="AA788" s="15" t="str">
        <f>"1050"</f>
        <v>1050</v>
      </c>
      <c r="AB788" s="14" t="b">
        <v>1</v>
      </c>
      <c r="AC788" s="14" t="b">
        <v>1</v>
      </c>
      <c r="AD788" s="15" t="str">
        <f>"801542323738"</f>
        <v>801542323738</v>
      </c>
      <c r="AE788" s="15" t="s">
        <v>8359</v>
      </c>
      <c r="AF788" s="14" t="s">
        <v>404</v>
      </c>
      <c r="AG788" s="14" t="s">
        <v>405</v>
      </c>
      <c r="AH788" s="14" t="s">
        <v>406</v>
      </c>
      <c r="AI788" s="15">
        <v>0.0</v>
      </c>
      <c r="AL788" s="15" t="s">
        <v>8353</v>
      </c>
      <c r="AM788" s="15" t="s">
        <v>487</v>
      </c>
      <c r="AN788" s="15" t="s">
        <v>488</v>
      </c>
      <c r="AO788" s="15" t="s">
        <v>487</v>
      </c>
      <c r="AP788" s="15" t="s">
        <v>488</v>
      </c>
      <c r="AQ788" s="15" t="s">
        <v>546</v>
      </c>
      <c r="AR788" s="15" t="s">
        <v>547</v>
      </c>
      <c r="AS788" s="15" t="s">
        <v>3185</v>
      </c>
      <c r="AT788" s="15" t="s">
        <v>8350</v>
      </c>
      <c r="AU788" s="15" t="s">
        <v>8338</v>
      </c>
      <c r="AW788" s="15" t="s">
        <v>548</v>
      </c>
      <c r="AX788" s="15" t="s">
        <v>549</v>
      </c>
      <c r="AY788" s="15" t="s">
        <v>413</v>
      </c>
      <c r="AZ788" s="15" t="b">
        <v>0</v>
      </c>
      <c r="BA788" s="15" t="s">
        <v>413</v>
      </c>
      <c r="BB788" s="15" t="b">
        <v>0</v>
      </c>
      <c r="BC788" s="15" t="s">
        <v>8354</v>
      </c>
      <c r="BD788" s="15" t="s">
        <v>709</v>
      </c>
      <c r="BE788" s="15" t="str">
        <f t="shared" si="1335"/>
        <v>2</v>
      </c>
      <c r="BF788" s="15" t="s">
        <v>2238</v>
      </c>
      <c r="BG788" s="15" t="str">
        <f>"31.5"</f>
        <v>31.5</v>
      </c>
      <c r="BH788" s="15" t="s">
        <v>1322</v>
      </c>
      <c r="BI788" s="15" t="str">
        <f>"31.5"</f>
        <v>31.5</v>
      </c>
      <c r="BJ788" s="15" t="s">
        <v>1322</v>
      </c>
      <c r="BK788" s="15" t="str">
        <f>"33.86"</f>
        <v>33.86</v>
      </c>
      <c r="BL788" s="15" t="s">
        <v>1209</v>
      </c>
      <c r="BM788" s="15" t="str">
        <f>"130.07"</f>
        <v>130.07</v>
      </c>
      <c r="BN788" s="15" t="s">
        <v>3331</v>
      </c>
      <c r="BO788" s="15" t="s">
        <v>1564</v>
      </c>
      <c r="BP788" s="15" t="str">
        <f>"60.24"</f>
        <v>60.24</v>
      </c>
      <c r="BQ788" s="15" t="s">
        <v>6130</v>
      </c>
      <c r="BR788" s="15" t="str">
        <f>"59.84"</f>
        <v>59.84</v>
      </c>
      <c r="BS788" s="15" t="s">
        <v>4804</v>
      </c>
      <c r="BT788" s="15" t="str">
        <f>"3.15"</f>
        <v>3.15</v>
      </c>
      <c r="BU788" s="15" t="s">
        <v>8355</v>
      </c>
      <c r="BV788" s="15" t="str">
        <f>"77.16"</f>
        <v>77.16</v>
      </c>
      <c r="BW788" s="15" t="s">
        <v>3001</v>
      </c>
      <c r="BZ788" s="15" t="s">
        <v>444</v>
      </c>
      <c r="CB788" s="15" t="s">
        <v>444</v>
      </c>
      <c r="CD788" s="15" t="s">
        <v>444</v>
      </c>
      <c r="CF788" s="15" t="s">
        <v>444</v>
      </c>
      <c r="CI788" s="15" t="s">
        <v>444</v>
      </c>
      <c r="CK788" s="15" t="s">
        <v>444</v>
      </c>
      <c r="CM788" s="15" t="s">
        <v>444</v>
      </c>
      <c r="CO788" s="15" t="s">
        <v>444</v>
      </c>
      <c r="CP788" s="15" t="str">
        <f>"25.99"</f>
        <v>25.99</v>
      </c>
      <c r="CQ788" s="15" t="str">
        <f>"0.736"</f>
        <v>0.736</v>
      </c>
      <c r="CR788" s="15" t="s">
        <v>465</v>
      </c>
      <c r="DC788" s="15" t="str">
        <f>IFERROR(__xludf.DUMMYFUNCTION("""COMPUTED_VALUE"""),"")</f>
        <v/>
      </c>
      <c r="DE788" s="15" t="str">
        <f>IFERROR(__xludf.DUMMYFUNCTION("""COMPUTED_VALUE"""),"")</f>
        <v/>
      </c>
      <c r="DG788" s="15" t="str">
        <f>IFERROR(__xludf.DUMMYFUNCTION("""COMPUTED_VALUE"""),"")</f>
        <v/>
      </c>
      <c r="DL788" s="15" t="str">
        <f>IFERROR(__xludf.DUMMYFUNCTION("""COMPUTED_VALUE"""),"")</f>
        <v/>
      </c>
      <c r="DM788" s="15" t="s">
        <v>444</v>
      </c>
      <c r="DN788" s="15" t="s">
        <v>419</v>
      </c>
      <c r="DO788" s="15">
        <v>0.0</v>
      </c>
      <c r="DP788" s="15" t="s">
        <v>419</v>
      </c>
      <c r="DR788" s="15">
        <v>0.0</v>
      </c>
      <c r="DT788" s="15" t="s">
        <v>1186</v>
      </c>
      <c r="DU788" s="15" t="s">
        <v>419</v>
      </c>
      <c r="DW788" s="15">
        <v>0.0</v>
      </c>
      <c r="DX788" s="15">
        <v>0.0</v>
      </c>
      <c r="DY788" s="15">
        <v>0.0</v>
      </c>
      <c r="EE788" s="15">
        <v>6.0</v>
      </c>
      <c r="EF788" s="15" t="s">
        <v>1157</v>
      </c>
      <c r="EG788" s="15" t="s">
        <v>1158</v>
      </c>
      <c r="EH788" s="15" t="s">
        <v>8342</v>
      </c>
      <c r="EJ788" s="15" t="s">
        <v>500</v>
      </c>
      <c r="EK788" s="15" t="s">
        <v>501</v>
      </c>
      <c r="EM788" s="15" t="str">
        <f>IFERROR(__xludf.DUMMYFUNCTION("""COMPUTED_VALUE"""),"")</f>
        <v/>
      </c>
      <c r="EW788" s="15" t="s">
        <v>1411</v>
      </c>
      <c r="FH788" s="15" t="s">
        <v>1116</v>
      </c>
      <c r="FI788" s="15" t="s">
        <v>1411</v>
      </c>
      <c r="FJ788" s="15" t="s">
        <v>1116</v>
      </c>
      <c r="FK788" s="15" t="s">
        <v>5972</v>
      </c>
      <c r="FL788" s="15" t="s">
        <v>426</v>
      </c>
      <c r="FM788" s="15">
        <v>0.0</v>
      </c>
      <c r="FN788" s="15">
        <v>0.0</v>
      </c>
      <c r="FV788" s="15" t="s">
        <v>1411</v>
      </c>
      <c r="FW788" s="15" t="s">
        <v>8348</v>
      </c>
      <c r="FX788" s="15" t="s">
        <v>2244</v>
      </c>
    </row>
    <row r="789" ht="15.75" customHeight="1">
      <c r="A789" s="14" t="s">
        <v>391</v>
      </c>
      <c r="B789" s="15" t="s">
        <v>8332</v>
      </c>
      <c r="C789" s="16"/>
      <c r="D789" s="15" t="s">
        <v>432</v>
      </c>
      <c r="G789" s="14" t="s">
        <v>393</v>
      </c>
      <c r="H789" s="14" t="s">
        <v>394</v>
      </c>
      <c r="I789" s="14" t="b">
        <v>1</v>
      </c>
      <c r="J789" s="14" t="s">
        <v>395</v>
      </c>
      <c r="L789" s="14" t="b">
        <v>0</v>
      </c>
      <c r="M789" s="15" t="s">
        <v>8360</v>
      </c>
      <c r="N789" s="14" t="s">
        <v>393</v>
      </c>
      <c r="O789" s="14" t="s">
        <v>393</v>
      </c>
      <c r="P789" s="15" t="s">
        <v>397</v>
      </c>
      <c r="Q789" s="15" t="s">
        <v>4941</v>
      </c>
      <c r="R789" s="15" t="s">
        <v>265</v>
      </c>
      <c r="S789" s="15" t="s">
        <v>2557</v>
      </c>
      <c r="T789" s="14" t="b">
        <v>0</v>
      </c>
      <c r="U789" s="15" t="s">
        <v>8361</v>
      </c>
      <c r="V789" s="15" t="s">
        <v>8335</v>
      </c>
      <c r="W789" s="15" t="s">
        <v>401</v>
      </c>
      <c r="X789" s="15" t="s">
        <v>695</v>
      </c>
      <c r="Y789" s="15">
        <v>2626.0</v>
      </c>
      <c r="AA789" s="15" t="str">
        <f>"1010"</f>
        <v>1010</v>
      </c>
      <c r="AB789" s="14" t="b">
        <v>1</v>
      </c>
      <c r="AC789" s="14" t="b">
        <v>1</v>
      </c>
      <c r="AD789" s="15" t="str">
        <f>"801542460549"</f>
        <v>801542460549</v>
      </c>
      <c r="AE789" s="15" t="s">
        <v>8362</v>
      </c>
      <c r="AF789" s="14" t="s">
        <v>404</v>
      </c>
      <c r="AG789" s="14" t="s">
        <v>405</v>
      </c>
      <c r="AH789" s="14" t="s">
        <v>406</v>
      </c>
      <c r="AI789" s="15">
        <v>0.0</v>
      </c>
      <c r="AL789" s="15" t="s">
        <v>8363</v>
      </c>
      <c r="AM789" s="15" t="s">
        <v>2557</v>
      </c>
      <c r="AN789" s="15" t="s">
        <v>2558</v>
      </c>
      <c r="AO789" s="15" t="s">
        <v>2557</v>
      </c>
      <c r="AP789" s="15" t="s">
        <v>2558</v>
      </c>
      <c r="AQ789" s="15" t="s">
        <v>2306</v>
      </c>
      <c r="AR789" s="15" t="s">
        <v>2307</v>
      </c>
      <c r="AS789" s="15" t="s">
        <v>3185</v>
      </c>
      <c r="AT789" s="15" t="s">
        <v>4941</v>
      </c>
      <c r="AU789" s="15" t="s">
        <v>8338</v>
      </c>
      <c r="AV789" s="15" t="s">
        <v>2014</v>
      </c>
      <c r="AW789" s="15" t="s">
        <v>548</v>
      </c>
      <c r="AX789" s="15" t="s">
        <v>549</v>
      </c>
      <c r="AY789" s="15" t="s">
        <v>413</v>
      </c>
      <c r="AZ789" s="15" t="b">
        <v>0</v>
      </c>
      <c r="BA789" s="15" t="s">
        <v>413</v>
      </c>
      <c r="BB789" s="15" t="b">
        <v>0</v>
      </c>
      <c r="BC789" s="15" t="s">
        <v>8364</v>
      </c>
      <c r="BD789" s="15" t="s">
        <v>709</v>
      </c>
      <c r="BE789" s="15" t="str">
        <f t="shared" si="1335"/>
        <v>2</v>
      </c>
      <c r="BF789" s="15" t="s">
        <v>2238</v>
      </c>
      <c r="BG789" s="15" t="str">
        <f>"25.59"</f>
        <v>25.59</v>
      </c>
      <c r="BH789" s="15" t="s">
        <v>441</v>
      </c>
      <c r="BI789" s="15" t="str">
        <f>"25.59"</f>
        <v>25.59</v>
      </c>
      <c r="BJ789" s="15" t="s">
        <v>441</v>
      </c>
      <c r="BK789" s="15" t="str">
        <f t="shared" ref="BK789:BK790" si="1338">"33.46"</f>
        <v>33.46</v>
      </c>
      <c r="BL789" s="15" t="s">
        <v>1109</v>
      </c>
      <c r="BM789" s="15" t="str">
        <f>"72.75"</f>
        <v>72.75</v>
      </c>
      <c r="BN789" s="15" t="s">
        <v>3022</v>
      </c>
      <c r="BO789" s="15" t="s">
        <v>1564</v>
      </c>
      <c r="BP789" s="15" t="str">
        <f>"47.24"</f>
        <v>47.24</v>
      </c>
      <c r="BQ789" s="15" t="s">
        <v>2287</v>
      </c>
      <c r="BR789" s="15" t="str">
        <f t="shared" ref="BR789:BR790" si="1339">"6.89"</f>
        <v>6.89</v>
      </c>
      <c r="BS789" s="15" t="s">
        <v>5842</v>
      </c>
      <c r="BT789" s="15" t="str">
        <f>"47.24"</f>
        <v>47.24</v>
      </c>
      <c r="BU789" s="15" t="s">
        <v>2287</v>
      </c>
      <c r="BV789" s="15" t="str">
        <f>"167.77"</f>
        <v>167.77</v>
      </c>
      <c r="BW789" s="15" t="s">
        <v>8341</v>
      </c>
      <c r="BZ789" s="15" t="s">
        <v>444</v>
      </c>
      <c r="CB789" s="15" t="s">
        <v>444</v>
      </c>
      <c r="CD789" s="15" t="s">
        <v>444</v>
      </c>
      <c r="CF789" s="15" t="s">
        <v>444</v>
      </c>
      <c r="CI789" s="15" t="s">
        <v>444</v>
      </c>
      <c r="CK789" s="15" t="s">
        <v>444</v>
      </c>
      <c r="CM789" s="15" t="s">
        <v>444</v>
      </c>
      <c r="CO789" s="15" t="s">
        <v>444</v>
      </c>
      <c r="CP789" s="15" t="str">
        <f>"21.58"</f>
        <v>21.58</v>
      </c>
      <c r="CQ789" s="15" t="str">
        <f>"0.611"</f>
        <v>0.611</v>
      </c>
      <c r="CR789" s="15" t="s">
        <v>497</v>
      </c>
      <c r="DC789" s="15" t="str">
        <f>IFERROR(__xludf.DUMMYFUNCTION("""COMPUTED_VALUE"""),"")</f>
        <v/>
      </c>
      <c r="DE789" s="15" t="str">
        <f>IFERROR(__xludf.DUMMYFUNCTION("""COMPUTED_VALUE"""),"")</f>
        <v/>
      </c>
      <c r="DG789" s="15" t="str">
        <f>IFERROR(__xludf.DUMMYFUNCTION("""COMPUTED_VALUE"""),"")</f>
        <v/>
      </c>
      <c r="DL789" s="15" t="str">
        <f>IFERROR(__xludf.DUMMYFUNCTION("""COMPUTED_VALUE"""),"")</f>
        <v/>
      </c>
      <c r="DM789" s="15" t="s">
        <v>444</v>
      </c>
      <c r="DN789" s="15" t="s">
        <v>419</v>
      </c>
      <c r="DO789" s="15">
        <v>0.0</v>
      </c>
      <c r="DP789" s="15" t="s">
        <v>419</v>
      </c>
      <c r="DR789" s="15">
        <v>0.0</v>
      </c>
      <c r="DT789" s="15" t="s">
        <v>1186</v>
      </c>
      <c r="DU789" s="15" t="s">
        <v>419</v>
      </c>
      <c r="DW789" s="15">
        <v>0.0</v>
      </c>
      <c r="DX789" s="15">
        <v>0.0</v>
      </c>
      <c r="DY789" s="15">
        <v>0.0</v>
      </c>
      <c r="EE789" s="15">
        <v>4.0</v>
      </c>
      <c r="EF789" s="15" t="s">
        <v>1157</v>
      </c>
      <c r="EG789" s="15" t="s">
        <v>1158</v>
      </c>
      <c r="EH789" s="15" t="s">
        <v>8342</v>
      </c>
      <c r="EJ789" s="15" t="s">
        <v>500</v>
      </c>
      <c r="EK789" s="15" t="s">
        <v>501</v>
      </c>
      <c r="EM789" s="15" t="str">
        <f>IFERROR(__xludf.DUMMYFUNCTION("""COMPUTED_VALUE"""),"")</f>
        <v/>
      </c>
      <c r="EW789" s="15" t="s">
        <v>1445</v>
      </c>
      <c r="FH789" s="15" t="s">
        <v>3165</v>
      </c>
      <c r="FI789" s="15" t="s">
        <v>1445</v>
      </c>
      <c r="FJ789" s="15" t="s">
        <v>3165</v>
      </c>
      <c r="FK789" s="15" t="s">
        <v>1957</v>
      </c>
      <c r="FL789" s="15" t="s">
        <v>426</v>
      </c>
      <c r="FM789" s="15">
        <v>0.0</v>
      </c>
      <c r="FN789" s="15">
        <v>0.0</v>
      </c>
      <c r="FV789" s="15" t="s">
        <v>1445</v>
      </c>
      <c r="FW789" s="15" t="s">
        <v>8343</v>
      </c>
      <c r="FX789" s="15" t="s">
        <v>2244</v>
      </c>
    </row>
    <row r="790" ht="15.75" customHeight="1">
      <c r="A790" s="14" t="s">
        <v>391</v>
      </c>
      <c r="B790" s="15" t="s">
        <v>8332</v>
      </c>
      <c r="C790" s="16"/>
      <c r="D790" s="15" t="s">
        <v>432</v>
      </c>
      <c r="G790" s="14" t="s">
        <v>393</v>
      </c>
      <c r="H790" s="14" t="s">
        <v>394</v>
      </c>
      <c r="I790" s="14" t="b">
        <v>1</v>
      </c>
      <c r="J790" s="14" t="s">
        <v>395</v>
      </c>
      <c r="L790" s="14" t="b">
        <v>0</v>
      </c>
      <c r="M790" s="15" t="s">
        <v>8365</v>
      </c>
      <c r="N790" s="14" t="s">
        <v>393</v>
      </c>
      <c r="O790" s="14" t="s">
        <v>393</v>
      </c>
      <c r="P790" s="15" t="s">
        <v>397</v>
      </c>
      <c r="Q790" s="15" t="s">
        <v>4941</v>
      </c>
      <c r="R790" s="15" t="s">
        <v>265</v>
      </c>
      <c r="S790" s="15" t="s">
        <v>487</v>
      </c>
      <c r="T790" s="14" t="b">
        <v>0</v>
      </c>
      <c r="U790" s="15" t="s">
        <v>8366</v>
      </c>
      <c r="V790" s="15" t="s">
        <v>5027</v>
      </c>
      <c r="W790" s="15" t="s">
        <v>401</v>
      </c>
      <c r="X790" s="15" t="s">
        <v>695</v>
      </c>
      <c r="Y790" s="15">
        <v>3822.0</v>
      </c>
      <c r="AA790" s="15" t="str">
        <f>"1470"</f>
        <v>1470</v>
      </c>
      <c r="AB790" s="14" t="b">
        <v>1</v>
      </c>
      <c r="AC790" s="14" t="b">
        <v>1</v>
      </c>
      <c r="AD790" s="15" t="str">
        <f>"801542456771"</f>
        <v>801542456771</v>
      </c>
      <c r="AE790" s="15" t="s">
        <v>8367</v>
      </c>
      <c r="AF790" s="14" t="s">
        <v>404</v>
      </c>
      <c r="AG790" s="14" t="s">
        <v>405</v>
      </c>
      <c r="AH790" s="14" t="s">
        <v>406</v>
      </c>
      <c r="AI790" s="15">
        <v>0.0</v>
      </c>
      <c r="AL790" s="15" t="s">
        <v>8363</v>
      </c>
      <c r="AM790" s="15" t="s">
        <v>487</v>
      </c>
      <c r="AN790" s="15" t="s">
        <v>488</v>
      </c>
      <c r="AO790" s="15" t="s">
        <v>487</v>
      </c>
      <c r="AP790" s="15" t="s">
        <v>488</v>
      </c>
      <c r="AQ790" s="15" t="s">
        <v>2306</v>
      </c>
      <c r="AR790" s="15" t="s">
        <v>2307</v>
      </c>
      <c r="AS790" s="15" t="s">
        <v>3185</v>
      </c>
      <c r="AT790" s="15" t="s">
        <v>4941</v>
      </c>
      <c r="AU790" s="15" t="s">
        <v>8338</v>
      </c>
      <c r="AV790" s="15" t="s">
        <v>2014</v>
      </c>
      <c r="AW790" s="15" t="s">
        <v>548</v>
      </c>
      <c r="AX790" s="15" t="s">
        <v>549</v>
      </c>
      <c r="AY790" s="15" t="s">
        <v>413</v>
      </c>
      <c r="AZ790" s="15" t="b">
        <v>0</v>
      </c>
      <c r="BA790" s="15" t="s">
        <v>413</v>
      </c>
      <c r="BB790" s="15" t="b">
        <v>0</v>
      </c>
      <c r="BC790" s="15" t="s">
        <v>8368</v>
      </c>
      <c r="BD790" s="15" t="s">
        <v>709</v>
      </c>
      <c r="BE790" s="15" t="str">
        <f t="shared" si="1335"/>
        <v>2</v>
      </c>
      <c r="BF790" s="15" t="s">
        <v>2238</v>
      </c>
      <c r="BG790" s="15" t="str">
        <f>"31.1"</f>
        <v>31.1</v>
      </c>
      <c r="BH790" s="15" t="s">
        <v>1386</v>
      </c>
      <c r="BI790" s="15" t="str">
        <f>"31.5"</f>
        <v>31.5</v>
      </c>
      <c r="BJ790" s="15" t="s">
        <v>1322</v>
      </c>
      <c r="BK790" s="15" t="str">
        <f t="shared" si="1338"/>
        <v>33.46</v>
      </c>
      <c r="BL790" s="15" t="s">
        <v>1109</v>
      </c>
      <c r="BM790" s="15" t="str">
        <f>"134.48"</f>
        <v>134.48</v>
      </c>
      <c r="BN790" s="15" t="s">
        <v>983</v>
      </c>
      <c r="BO790" s="15" t="s">
        <v>1564</v>
      </c>
      <c r="BP790" s="15" t="str">
        <f>"60.24"</f>
        <v>60.24</v>
      </c>
      <c r="BQ790" s="15" t="s">
        <v>6130</v>
      </c>
      <c r="BR790" s="15" t="str">
        <f t="shared" si="1339"/>
        <v>6.89</v>
      </c>
      <c r="BS790" s="15" t="s">
        <v>5842</v>
      </c>
      <c r="BT790" s="15" t="str">
        <f>"60.24"</f>
        <v>60.24</v>
      </c>
      <c r="BU790" s="15" t="s">
        <v>6130</v>
      </c>
      <c r="BV790" s="15" t="str">
        <f>"266.76"</f>
        <v>266.76</v>
      </c>
      <c r="BW790" s="15" t="s">
        <v>6423</v>
      </c>
      <c r="BZ790" s="15" t="s">
        <v>444</v>
      </c>
      <c r="CB790" s="15" t="s">
        <v>444</v>
      </c>
      <c r="CD790" s="15" t="s">
        <v>444</v>
      </c>
      <c r="CF790" s="15" t="s">
        <v>444</v>
      </c>
      <c r="CI790" s="15" t="s">
        <v>444</v>
      </c>
      <c r="CK790" s="15" t="s">
        <v>444</v>
      </c>
      <c r="CM790" s="15" t="s">
        <v>444</v>
      </c>
      <c r="CO790" s="15" t="s">
        <v>444</v>
      </c>
      <c r="CP790" s="15" t="str">
        <f>"33.44"</f>
        <v>33.44</v>
      </c>
      <c r="CQ790" s="15" t="str">
        <f>"0.947"</f>
        <v>0.947</v>
      </c>
      <c r="CR790" s="15" t="s">
        <v>465</v>
      </c>
      <c r="DC790" s="15" t="str">
        <f>IFERROR(__xludf.DUMMYFUNCTION("""COMPUTED_VALUE"""),"")</f>
        <v/>
      </c>
      <c r="DE790" s="15" t="str">
        <f>IFERROR(__xludf.DUMMYFUNCTION("""COMPUTED_VALUE"""),"")</f>
        <v/>
      </c>
      <c r="DG790" s="15" t="str">
        <f>IFERROR(__xludf.DUMMYFUNCTION("""COMPUTED_VALUE"""),"")</f>
        <v/>
      </c>
      <c r="DL790" s="15" t="str">
        <f>IFERROR(__xludf.DUMMYFUNCTION("""COMPUTED_VALUE"""),"")</f>
        <v/>
      </c>
      <c r="DM790" s="15" t="s">
        <v>444</v>
      </c>
      <c r="DN790" s="15" t="s">
        <v>419</v>
      </c>
      <c r="DO790" s="15">
        <v>0.0</v>
      </c>
      <c r="DP790" s="15" t="s">
        <v>419</v>
      </c>
      <c r="DR790" s="15">
        <v>0.0</v>
      </c>
      <c r="DT790" s="15" t="s">
        <v>1186</v>
      </c>
      <c r="DU790" s="15" t="s">
        <v>419</v>
      </c>
      <c r="DW790" s="15">
        <v>0.0</v>
      </c>
      <c r="DX790" s="15">
        <v>0.0</v>
      </c>
      <c r="DY790" s="15">
        <v>0.0</v>
      </c>
      <c r="EE790" s="15">
        <v>6.0</v>
      </c>
      <c r="EF790" s="15" t="s">
        <v>1157</v>
      </c>
      <c r="EG790" s="15" t="s">
        <v>1158</v>
      </c>
      <c r="EH790" s="15" t="s">
        <v>8342</v>
      </c>
      <c r="EJ790" s="15" t="s">
        <v>500</v>
      </c>
      <c r="EK790" s="15" t="s">
        <v>501</v>
      </c>
      <c r="EM790" s="15" t="str">
        <f>IFERROR(__xludf.DUMMYFUNCTION("""COMPUTED_VALUE"""),"")</f>
        <v/>
      </c>
      <c r="EW790" s="15" t="s">
        <v>1411</v>
      </c>
      <c r="FH790" s="15" t="s">
        <v>1116</v>
      </c>
      <c r="FI790" s="15" t="s">
        <v>1411</v>
      </c>
      <c r="FJ790" s="15" t="s">
        <v>1116</v>
      </c>
      <c r="FK790" s="15" t="s">
        <v>5972</v>
      </c>
      <c r="FL790" s="15" t="s">
        <v>426</v>
      </c>
      <c r="FM790" s="15">
        <v>0.0</v>
      </c>
      <c r="FN790" s="15">
        <v>0.0</v>
      </c>
      <c r="FV790" s="15" t="s">
        <v>1411</v>
      </c>
      <c r="FW790" s="15" t="s">
        <v>8348</v>
      </c>
      <c r="FX790" s="15" t="s">
        <v>2244</v>
      </c>
    </row>
    <row r="791" ht="15.75" customHeight="1">
      <c r="A791" s="14" t="s">
        <v>391</v>
      </c>
      <c r="B791" s="15" t="s">
        <v>8369</v>
      </c>
      <c r="C791" s="16"/>
      <c r="D791" s="15" t="s">
        <v>432</v>
      </c>
      <c r="G791" s="14" t="s">
        <v>393</v>
      </c>
      <c r="H791" s="14" t="s">
        <v>394</v>
      </c>
      <c r="I791" s="14" t="b">
        <v>1</v>
      </c>
      <c r="J791" s="14" t="s">
        <v>395</v>
      </c>
      <c r="L791" s="14" t="b">
        <v>0</v>
      </c>
      <c r="M791" s="15" t="s">
        <v>8370</v>
      </c>
      <c r="N791" s="14" t="s">
        <v>393</v>
      </c>
      <c r="O791" s="14" t="s">
        <v>393</v>
      </c>
      <c r="P791" s="15" t="s">
        <v>397</v>
      </c>
      <c r="Q791" s="15" t="s">
        <v>8371</v>
      </c>
      <c r="R791" s="15" t="s">
        <v>265</v>
      </c>
      <c r="S791" s="15" t="s">
        <v>877</v>
      </c>
      <c r="T791" s="14" t="b">
        <v>0</v>
      </c>
      <c r="U791" s="15" t="s">
        <v>8372</v>
      </c>
      <c r="V791" s="15" t="s">
        <v>8373</v>
      </c>
      <c r="W791" s="15" t="s">
        <v>401</v>
      </c>
      <c r="X791" s="15" t="s">
        <v>742</v>
      </c>
      <c r="Y791" s="15">
        <v>1755.0</v>
      </c>
      <c r="AA791" s="15" t="str">
        <f>"675"</f>
        <v>675</v>
      </c>
      <c r="AB791" s="14" t="b">
        <v>1</v>
      </c>
      <c r="AC791" s="14" t="b">
        <v>1</v>
      </c>
      <c r="AD791" s="15" t="str">
        <f>"801542172930"</f>
        <v>801542172930</v>
      </c>
      <c r="AE791" s="15" t="s">
        <v>8374</v>
      </c>
      <c r="AF791" s="14" t="s">
        <v>404</v>
      </c>
      <c r="AG791" s="14" t="s">
        <v>405</v>
      </c>
      <c r="AH791" s="14" t="s">
        <v>406</v>
      </c>
      <c r="AI791" s="15">
        <v>0.0</v>
      </c>
      <c r="AL791" s="15" t="s">
        <v>8375</v>
      </c>
      <c r="AM791" s="15" t="s">
        <v>3197</v>
      </c>
      <c r="AN791" s="15" t="s">
        <v>3198</v>
      </c>
      <c r="AO791" s="15" t="s">
        <v>8376</v>
      </c>
      <c r="AP791" s="15" t="s">
        <v>8377</v>
      </c>
      <c r="AQ791" s="15" t="s">
        <v>2088</v>
      </c>
      <c r="AR791" s="15" t="s">
        <v>2089</v>
      </c>
      <c r="AS791" s="15" t="s">
        <v>837</v>
      </c>
      <c r="AT791" s="15" t="s">
        <v>8371</v>
      </c>
      <c r="AU791" s="15" t="s">
        <v>838</v>
      </c>
      <c r="AW791" s="15" t="s">
        <v>839</v>
      </c>
      <c r="AX791" s="15" t="s">
        <v>877</v>
      </c>
      <c r="AY791" s="15" t="s">
        <v>413</v>
      </c>
      <c r="AZ791" s="15" t="b">
        <v>0</v>
      </c>
      <c r="BA791" s="15" t="s">
        <v>426</v>
      </c>
      <c r="BB791" s="15" t="b">
        <v>1</v>
      </c>
      <c r="BC791" s="15" t="s">
        <v>8378</v>
      </c>
      <c r="BD791" s="15" t="s">
        <v>742</v>
      </c>
      <c r="BE791" s="15" t="str">
        <f t="shared" ref="BE791:BE796" si="1340">"3"</f>
        <v>3</v>
      </c>
      <c r="BF791" s="15" t="s">
        <v>8379</v>
      </c>
      <c r="BG791" s="15" t="str">
        <f>"74.02"</f>
        <v>74.02</v>
      </c>
      <c r="BH791" s="15" t="s">
        <v>3201</v>
      </c>
      <c r="BI791" s="15" t="str">
        <f>"49.61"</f>
        <v>49.61</v>
      </c>
      <c r="BJ791" s="15" t="s">
        <v>7319</v>
      </c>
      <c r="BK791" s="15" t="str">
        <f t="shared" ref="BK791:BK796" si="1341">"5.91"</f>
        <v>5.91</v>
      </c>
      <c r="BL791" s="15" t="s">
        <v>7613</v>
      </c>
      <c r="BM791" s="15" t="str">
        <f>"68.34"</f>
        <v>68.34</v>
      </c>
      <c r="BN791" s="15" t="s">
        <v>3744</v>
      </c>
      <c r="BO791" s="15" t="s">
        <v>8380</v>
      </c>
      <c r="BP791" s="15" t="str">
        <f>"71.85"</f>
        <v>71.85</v>
      </c>
      <c r="BQ791" s="15" t="s">
        <v>8381</v>
      </c>
      <c r="BR791" s="15" t="str">
        <f t="shared" ref="BR791:BR796" si="1342">"15.94"</f>
        <v>15.94</v>
      </c>
      <c r="BS791" s="15" t="s">
        <v>8382</v>
      </c>
      <c r="BT791" s="15" t="str">
        <f t="shared" ref="BT791:BT796" si="1343">"8.86"</f>
        <v>8.86</v>
      </c>
      <c r="BU791" s="15" t="s">
        <v>7919</v>
      </c>
      <c r="BV791" s="15" t="str">
        <f>"67.68"</f>
        <v>67.68</v>
      </c>
      <c r="BW791" s="15" t="s">
        <v>8383</v>
      </c>
      <c r="BX791" s="15" t="s">
        <v>8384</v>
      </c>
      <c r="BY791" s="15" t="str">
        <f t="shared" ref="BY791:BY796" si="1344">"85.43"</f>
        <v>85.43</v>
      </c>
      <c r="BZ791" s="15" t="s">
        <v>3967</v>
      </c>
      <c r="CA791" s="15" t="str">
        <f t="shared" ref="CA791:CA796" si="1345">"15.16"</f>
        <v>15.16</v>
      </c>
      <c r="CB791" s="15" t="s">
        <v>6000</v>
      </c>
      <c r="CC791" s="15" t="str">
        <f t="shared" ref="CC791:CC796" si="1346">"14.17"</f>
        <v>14.17</v>
      </c>
      <c r="CD791" s="15" t="s">
        <v>8298</v>
      </c>
      <c r="CE791" s="15" t="str">
        <f>"86.86"</f>
        <v>86.86</v>
      </c>
      <c r="CF791" s="15" t="s">
        <v>8385</v>
      </c>
      <c r="CI791" s="15" t="s">
        <v>444</v>
      </c>
      <c r="CK791" s="15" t="s">
        <v>444</v>
      </c>
      <c r="CM791" s="15" t="s">
        <v>444</v>
      </c>
      <c r="CO791" s="15" t="s">
        <v>444</v>
      </c>
      <c r="CP791" s="15" t="str">
        <f>"29.03"</f>
        <v>29.03</v>
      </c>
      <c r="CQ791" s="15" t="str">
        <f>"0.822"</f>
        <v>0.822</v>
      </c>
      <c r="CR791" s="15" t="s">
        <v>497</v>
      </c>
      <c r="DC791" s="15" t="str">
        <f>IFERROR(__xludf.DUMMYFUNCTION("""COMPUTED_VALUE"""),"")</f>
        <v/>
      </c>
      <c r="DE791" s="15" t="str">
        <f>IFERROR(__xludf.DUMMYFUNCTION("""COMPUTED_VALUE"""),"")</f>
        <v/>
      </c>
      <c r="DG791" s="15" t="str">
        <f>IFERROR(__xludf.DUMMYFUNCTION("""COMPUTED_VALUE"""),"")</f>
        <v/>
      </c>
      <c r="DK791" s="15" t="s">
        <v>855</v>
      </c>
      <c r="DL791" s="15" t="str">
        <f>IFERROR(__xludf.DUMMYFUNCTION("""COMPUTED_VALUE"""),"Clean with solvent-based (dry clean only) products. Do not use water.")</f>
        <v>Clean with solvent-based (dry clean only) products. Do not use water.</v>
      </c>
      <c r="DM791" s="15" t="s">
        <v>856</v>
      </c>
      <c r="DN791" s="15" t="s">
        <v>419</v>
      </c>
      <c r="DO791" s="15">
        <v>0.0</v>
      </c>
      <c r="DP791" s="15" t="s">
        <v>419</v>
      </c>
      <c r="DR791" s="15">
        <v>0.0</v>
      </c>
      <c r="DT791" s="15" t="s">
        <v>989</v>
      </c>
      <c r="DU791" s="15" t="s">
        <v>419</v>
      </c>
      <c r="DW791" s="15">
        <v>0.0</v>
      </c>
      <c r="DX791" s="15">
        <v>0.0</v>
      </c>
      <c r="DY791" s="15">
        <v>0.0</v>
      </c>
      <c r="DZ791" s="15">
        <v>25000.0</v>
      </c>
      <c r="EG791" s="15" t="s">
        <v>444</v>
      </c>
      <c r="EH791" s="15" t="s">
        <v>8386</v>
      </c>
      <c r="EJ791" s="15" t="s">
        <v>858</v>
      </c>
      <c r="EK791" s="15" t="s">
        <v>859</v>
      </c>
      <c r="EM791" s="15" t="str">
        <f>IFERROR(__xludf.DUMMYFUNCTION("""COMPUTED_VALUE"""),"")</f>
        <v/>
      </c>
      <c r="FF791" s="15" t="s">
        <v>860</v>
      </c>
      <c r="FM791" s="15">
        <v>0.0</v>
      </c>
      <c r="IM791" s="15" t="s">
        <v>8387</v>
      </c>
      <c r="IN791" s="15" t="s">
        <v>8387</v>
      </c>
      <c r="IO791" s="15" t="s">
        <v>8387</v>
      </c>
      <c r="IP791" s="15" t="s">
        <v>5940</v>
      </c>
      <c r="IQ791" s="15" t="s">
        <v>5481</v>
      </c>
      <c r="IR791" s="15" t="s">
        <v>8388</v>
      </c>
      <c r="IS791" s="15" t="s">
        <v>2467</v>
      </c>
      <c r="IT791" s="15" t="s">
        <v>761</v>
      </c>
      <c r="IU791" s="15" t="s">
        <v>8389</v>
      </c>
      <c r="IV791" s="15" t="s">
        <v>2971</v>
      </c>
      <c r="IW791" s="15" t="s">
        <v>5722</v>
      </c>
      <c r="IX791" s="15" t="s">
        <v>5852</v>
      </c>
      <c r="IY791" s="15" t="s">
        <v>4827</v>
      </c>
      <c r="IZ791" s="15" t="s">
        <v>8390</v>
      </c>
      <c r="JA791" s="15" t="s">
        <v>5481</v>
      </c>
      <c r="JB791" s="15" t="s">
        <v>426</v>
      </c>
      <c r="JC791" s="15" t="s">
        <v>947</v>
      </c>
      <c r="JD791" s="15" t="s">
        <v>872</v>
      </c>
      <c r="JE791" s="15" t="s">
        <v>873</v>
      </c>
      <c r="JF791" s="15" t="s">
        <v>877</v>
      </c>
      <c r="JL791" s="15" t="s">
        <v>759</v>
      </c>
      <c r="JM791" s="15" t="s">
        <v>8391</v>
      </c>
      <c r="JO791" s="15" t="s">
        <v>426</v>
      </c>
      <c r="JP791" s="15" t="s">
        <v>2474</v>
      </c>
    </row>
    <row r="792" ht="15.75" customHeight="1">
      <c r="A792" s="14" t="s">
        <v>391</v>
      </c>
      <c r="B792" s="15" t="s">
        <v>8369</v>
      </c>
      <c r="C792" s="16"/>
      <c r="D792" s="15" t="s">
        <v>432</v>
      </c>
      <c r="G792" s="14" t="s">
        <v>393</v>
      </c>
      <c r="H792" s="14" t="s">
        <v>394</v>
      </c>
      <c r="I792" s="14" t="b">
        <v>1</v>
      </c>
      <c r="J792" s="14" t="s">
        <v>395</v>
      </c>
      <c r="L792" s="14" t="b">
        <v>0</v>
      </c>
      <c r="M792" s="15" t="s">
        <v>8392</v>
      </c>
      <c r="N792" s="14" t="s">
        <v>393</v>
      </c>
      <c r="O792" s="14" t="s">
        <v>393</v>
      </c>
      <c r="P792" s="15" t="s">
        <v>397</v>
      </c>
      <c r="Q792" s="15" t="s">
        <v>8371</v>
      </c>
      <c r="R792" s="15" t="s">
        <v>265</v>
      </c>
      <c r="S792" s="15" t="s">
        <v>828</v>
      </c>
      <c r="T792" s="14" t="b">
        <v>0</v>
      </c>
      <c r="U792" s="15" t="s">
        <v>8393</v>
      </c>
      <c r="V792" s="15" t="s">
        <v>8394</v>
      </c>
      <c r="W792" s="15" t="s">
        <v>401</v>
      </c>
      <c r="X792" s="15" t="s">
        <v>742</v>
      </c>
      <c r="Y792" s="15">
        <v>1859.0</v>
      </c>
      <c r="AA792" s="15" t="str">
        <f>"715"</f>
        <v>715</v>
      </c>
      <c r="AB792" s="14" t="b">
        <v>1</v>
      </c>
      <c r="AC792" s="14" t="b">
        <v>1</v>
      </c>
      <c r="AD792" s="15" t="str">
        <f>"801542172923"</f>
        <v>801542172923</v>
      </c>
      <c r="AE792" s="15" t="s">
        <v>8395</v>
      </c>
      <c r="AF792" s="14" t="s">
        <v>404</v>
      </c>
      <c r="AG792" s="14" t="s">
        <v>405</v>
      </c>
      <c r="AH792" s="14" t="s">
        <v>406</v>
      </c>
      <c r="AI792" s="15">
        <v>0.0</v>
      </c>
      <c r="AL792" s="15" t="s">
        <v>8375</v>
      </c>
      <c r="AM792" s="15" t="s">
        <v>8396</v>
      </c>
      <c r="AN792" s="15" t="s">
        <v>8397</v>
      </c>
      <c r="AO792" s="15" t="s">
        <v>8376</v>
      </c>
      <c r="AP792" s="15" t="s">
        <v>8377</v>
      </c>
      <c r="AQ792" s="15" t="s">
        <v>2088</v>
      </c>
      <c r="AR792" s="15" t="s">
        <v>2089</v>
      </c>
      <c r="AS792" s="15" t="s">
        <v>837</v>
      </c>
      <c r="AT792" s="15" t="s">
        <v>8371</v>
      </c>
      <c r="AU792" s="15" t="s">
        <v>838</v>
      </c>
      <c r="AW792" s="15" t="s">
        <v>839</v>
      </c>
      <c r="AX792" s="15" t="s">
        <v>828</v>
      </c>
      <c r="AY792" s="15" t="s">
        <v>413</v>
      </c>
      <c r="AZ792" s="15" t="b">
        <v>0</v>
      </c>
      <c r="BA792" s="15" t="s">
        <v>426</v>
      </c>
      <c r="BB792" s="15" t="b">
        <v>1</v>
      </c>
      <c r="BC792" s="15" t="s">
        <v>8378</v>
      </c>
      <c r="BD792" s="15" t="s">
        <v>742</v>
      </c>
      <c r="BE792" s="15" t="str">
        <f t="shared" si="1340"/>
        <v>3</v>
      </c>
      <c r="BF792" s="15" t="s">
        <v>8379</v>
      </c>
      <c r="BG792" s="15" t="str">
        <f>"90.16"</f>
        <v>90.16</v>
      </c>
      <c r="BH792" s="15" t="s">
        <v>3095</v>
      </c>
      <c r="BI792" s="15" t="str">
        <f>"49.41"</f>
        <v>49.41</v>
      </c>
      <c r="BJ792" s="15" t="s">
        <v>8398</v>
      </c>
      <c r="BK792" s="15" t="str">
        <f t="shared" si="1341"/>
        <v>5.91</v>
      </c>
      <c r="BL792" s="15" t="s">
        <v>7613</v>
      </c>
      <c r="BM792" s="15" t="str">
        <f>"94.8"</f>
        <v>94.8</v>
      </c>
      <c r="BN792" s="15" t="s">
        <v>1231</v>
      </c>
      <c r="BO792" s="15" t="s">
        <v>8380</v>
      </c>
      <c r="BP792" s="15" t="str">
        <f>"88.78"</f>
        <v>88.78</v>
      </c>
      <c r="BQ792" s="15" t="s">
        <v>6922</v>
      </c>
      <c r="BR792" s="15" t="str">
        <f t="shared" si="1342"/>
        <v>15.94</v>
      </c>
      <c r="BS792" s="15" t="s">
        <v>8382</v>
      </c>
      <c r="BT792" s="15" t="str">
        <f t="shared" si="1343"/>
        <v>8.86</v>
      </c>
      <c r="BU792" s="15" t="s">
        <v>7919</v>
      </c>
      <c r="BV792" s="15" t="str">
        <f>"85.98"</f>
        <v>85.98</v>
      </c>
      <c r="BW792" s="15" t="s">
        <v>928</v>
      </c>
      <c r="BX792" s="15" t="s">
        <v>8384</v>
      </c>
      <c r="BY792" s="15" t="str">
        <f t="shared" si="1344"/>
        <v>85.43</v>
      </c>
      <c r="BZ792" s="15" t="s">
        <v>3967</v>
      </c>
      <c r="CA792" s="15" t="str">
        <f t="shared" si="1345"/>
        <v>15.16</v>
      </c>
      <c r="CB792" s="15" t="s">
        <v>6000</v>
      </c>
      <c r="CC792" s="15" t="str">
        <f t="shared" si="1346"/>
        <v>14.17</v>
      </c>
      <c r="CD792" s="15" t="s">
        <v>8298</v>
      </c>
      <c r="CE792" s="15" t="str">
        <f>"94.8"</f>
        <v>94.8</v>
      </c>
      <c r="CF792" s="15" t="s">
        <v>1231</v>
      </c>
      <c r="CI792" s="15" t="s">
        <v>444</v>
      </c>
      <c r="CK792" s="15" t="s">
        <v>444</v>
      </c>
      <c r="CM792" s="15" t="s">
        <v>444</v>
      </c>
      <c r="CO792" s="15" t="s">
        <v>444</v>
      </c>
      <c r="CP792" s="15" t="str">
        <f>"33.09"</f>
        <v>33.09</v>
      </c>
      <c r="CQ792" s="15" t="str">
        <f>"0.937"</f>
        <v>0.937</v>
      </c>
      <c r="CR792" s="15" t="s">
        <v>497</v>
      </c>
      <c r="DC792" s="15" t="str">
        <f>IFERROR(__xludf.DUMMYFUNCTION("""COMPUTED_VALUE"""),"")</f>
        <v/>
      </c>
      <c r="DE792" s="15" t="str">
        <f>IFERROR(__xludf.DUMMYFUNCTION("""COMPUTED_VALUE"""),"")</f>
        <v/>
      </c>
      <c r="DG792" s="15" t="str">
        <f>IFERROR(__xludf.DUMMYFUNCTION("""COMPUTED_VALUE"""),"")</f>
        <v/>
      </c>
      <c r="DK792" s="15" t="s">
        <v>855</v>
      </c>
      <c r="DL792" s="15" t="str">
        <f>IFERROR(__xludf.DUMMYFUNCTION("""COMPUTED_VALUE"""),"Clean with solvent-based (dry clean only) products. Do not use water.")</f>
        <v>Clean with solvent-based (dry clean only) products. Do not use water.</v>
      </c>
      <c r="DM792" s="15" t="s">
        <v>856</v>
      </c>
      <c r="DN792" s="15" t="s">
        <v>419</v>
      </c>
      <c r="DO792" s="15">
        <v>0.0</v>
      </c>
      <c r="DP792" s="15" t="s">
        <v>419</v>
      </c>
      <c r="DR792" s="15">
        <v>0.0</v>
      </c>
      <c r="DT792" s="15" t="s">
        <v>989</v>
      </c>
      <c r="DU792" s="15" t="s">
        <v>419</v>
      </c>
      <c r="DW792" s="15">
        <v>0.0</v>
      </c>
      <c r="DX792" s="15">
        <v>0.0</v>
      </c>
      <c r="DY792" s="15">
        <v>0.0</v>
      </c>
      <c r="DZ792" s="15">
        <v>25000.0</v>
      </c>
      <c r="EG792" s="15" t="s">
        <v>444</v>
      </c>
      <c r="EH792" s="15" t="s">
        <v>8386</v>
      </c>
      <c r="EJ792" s="15" t="s">
        <v>858</v>
      </c>
      <c r="EK792" s="15" t="s">
        <v>859</v>
      </c>
      <c r="EM792" s="15" t="str">
        <f>IFERROR(__xludf.DUMMYFUNCTION("""COMPUTED_VALUE"""),"")</f>
        <v/>
      </c>
      <c r="FF792" s="15" t="s">
        <v>860</v>
      </c>
      <c r="FM792" s="15">
        <v>0.0</v>
      </c>
      <c r="IM792" s="15" t="s">
        <v>8387</v>
      </c>
      <c r="IN792" s="15" t="s">
        <v>8387</v>
      </c>
      <c r="IO792" s="15" t="s">
        <v>8387</v>
      </c>
      <c r="IP792" s="15" t="s">
        <v>5940</v>
      </c>
      <c r="IQ792" s="15" t="s">
        <v>5481</v>
      </c>
      <c r="IR792" s="15" t="s">
        <v>8399</v>
      </c>
      <c r="IS792" s="15" t="s">
        <v>2467</v>
      </c>
      <c r="IT792" s="15" t="s">
        <v>761</v>
      </c>
      <c r="IU792" s="15" t="s">
        <v>8400</v>
      </c>
      <c r="IV792" s="15" t="s">
        <v>2971</v>
      </c>
      <c r="IW792" s="15" t="s">
        <v>5722</v>
      </c>
      <c r="IX792" s="15" t="s">
        <v>4384</v>
      </c>
      <c r="IY792" s="15" t="s">
        <v>4827</v>
      </c>
      <c r="IZ792" s="15" t="s">
        <v>8390</v>
      </c>
      <c r="JA792" s="15" t="s">
        <v>5481</v>
      </c>
      <c r="JB792" s="15" t="s">
        <v>426</v>
      </c>
      <c r="JC792" s="15" t="s">
        <v>947</v>
      </c>
      <c r="JD792" s="15" t="s">
        <v>872</v>
      </c>
      <c r="JE792" s="15" t="s">
        <v>873</v>
      </c>
      <c r="JF792" s="15" t="s">
        <v>828</v>
      </c>
      <c r="JL792" s="15" t="s">
        <v>759</v>
      </c>
      <c r="JM792" s="15" t="s">
        <v>8391</v>
      </c>
      <c r="JO792" s="15" t="s">
        <v>426</v>
      </c>
      <c r="JP792" s="15" t="s">
        <v>2474</v>
      </c>
    </row>
    <row r="793" ht="15.75" customHeight="1">
      <c r="A793" s="14" t="s">
        <v>391</v>
      </c>
      <c r="B793" s="15" t="s">
        <v>8369</v>
      </c>
      <c r="C793" s="16"/>
      <c r="D793" s="15" t="s">
        <v>432</v>
      </c>
      <c r="G793" s="14" t="s">
        <v>393</v>
      </c>
      <c r="H793" s="14" t="s">
        <v>394</v>
      </c>
      <c r="I793" s="14" t="b">
        <v>1</v>
      </c>
      <c r="J793" s="14" t="s">
        <v>395</v>
      </c>
      <c r="L793" s="14" t="b">
        <v>0</v>
      </c>
      <c r="M793" s="15" t="s">
        <v>8401</v>
      </c>
      <c r="N793" s="14" t="s">
        <v>393</v>
      </c>
      <c r="O793" s="14" t="s">
        <v>393</v>
      </c>
      <c r="P793" s="15" t="s">
        <v>397</v>
      </c>
      <c r="Q793" s="15" t="s">
        <v>8402</v>
      </c>
      <c r="R793" s="15" t="s">
        <v>265</v>
      </c>
      <c r="S793" s="15" t="s">
        <v>877</v>
      </c>
      <c r="T793" s="14" t="b">
        <v>0</v>
      </c>
      <c r="U793" s="15" t="s">
        <v>8403</v>
      </c>
      <c r="V793" s="15" t="s">
        <v>8373</v>
      </c>
      <c r="W793" s="15" t="s">
        <v>401</v>
      </c>
      <c r="X793" s="15" t="s">
        <v>742</v>
      </c>
      <c r="Y793" s="15">
        <v>1755.0</v>
      </c>
      <c r="AA793" s="15" t="str">
        <f>"675"</f>
        <v>675</v>
      </c>
      <c r="AB793" s="14" t="b">
        <v>1</v>
      </c>
      <c r="AC793" s="14" t="b">
        <v>1</v>
      </c>
      <c r="AD793" s="15" t="str">
        <f>"801542172954"</f>
        <v>801542172954</v>
      </c>
      <c r="AE793" s="15" t="s">
        <v>8404</v>
      </c>
      <c r="AF793" s="14" t="s">
        <v>404</v>
      </c>
      <c r="AG793" s="14" t="s">
        <v>405</v>
      </c>
      <c r="AH793" s="14" t="s">
        <v>406</v>
      </c>
      <c r="AI793" s="15">
        <v>0.0</v>
      </c>
      <c r="AL793" s="15" t="s">
        <v>8405</v>
      </c>
      <c r="AM793" s="15" t="s">
        <v>3197</v>
      </c>
      <c r="AN793" s="15" t="s">
        <v>3198</v>
      </c>
      <c r="AO793" s="15" t="s">
        <v>8376</v>
      </c>
      <c r="AP793" s="15" t="s">
        <v>8377</v>
      </c>
      <c r="AQ793" s="15" t="s">
        <v>2088</v>
      </c>
      <c r="AR793" s="15" t="s">
        <v>2089</v>
      </c>
      <c r="AS793" s="15" t="s">
        <v>837</v>
      </c>
      <c r="AT793" s="15" t="s">
        <v>8402</v>
      </c>
      <c r="AU793" s="15" t="s">
        <v>838</v>
      </c>
      <c r="AW793" s="15" t="s">
        <v>839</v>
      </c>
      <c r="AX793" s="15" t="s">
        <v>877</v>
      </c>
      <c r="AY793" s="15" t="s">
        <v>413</v>
      </c>
      <c r="AZ793" s="15" t="b">
        <v>0</v>
      </c>
      <c r="BA793" s="15" t="s">
        <v>426</v>
      </c>
      <c r="BB793" s="15" t="b">
        <v>1</v>
      </c>
      <c r="BC793" s="15" t="s">
        <v>8378</v>
      </c>
      <c r="BD793" s="15" t="s">
        <v>742</v>
      </c>
      <c r="BE793" s="15" t="str">
        <f t="shared" si="1340"/>
        <v>3</v>
      </c>
      <c r="BF793" s="15" t="s">
        <v>8379</v>
      </c>
      <c r="BG793" s="15" t="str">
        <f>"74.02"</f>
        <v>74.02</v>
      </c>
      <c r="BH793" s="15" t="s">
        <v>3201</v>
      </c>
      <c r="BI793" s="15" t="str">
        <f>"49.61"</f>
        <v>49.61</v>
      </c>
      <c r="BJ793" s="15" t="s">
        <v>7319</v>
      </c>
      <c r="BK793" s="15" t="str">
        <f t="shared" si="1341"/>
        <v>5.91</v>
      </c>
      <c r="BL793" s="15" t="s">
        <v>7613</v>
      </c>
      <c r="BM793" s="15" t="str">
        <f>"68.34"</f>
        <v>68.34</v>
      </c>
      <c r="BN793" s="15" t="s">
        <v>3744</v>
      </c>
      <c r="BO793" s="15" t="s">
        <v>8380</v>
      </c>
      <c r="BP793" s="15" t="str">
        <f>"71.85"</f>
        <v>71.85</v>
      </c>
      <c r="BQ793" s="15" t="s">
        <v>8381</v>
      </c>
      <c r="BR793" s="15" t="str">
        <f t="shared" si="1342"/>
        <v>15.94</v>
      </c>
      <c r="BS793" s="15" t="s">
        <v>8382</v>
      </c>
      <c r="BT793" s="15" t="str">
        <f t="shared" si="1343"/>
        <v>8.86</v>
      </c>
      <c r="BU793" s="15" t="s">
        <v>7919</v>
      </c>
      <c r="BV793" s="15" t="str">
        <f>"67.68"</f>
        <v>67.68</v>
      </c>
      <c r="BW793" s="15" t="s">
        <v>8383</v>
      </c>
      <c r="BX793" s="15" t="s">
        <v>8384</v>
      </c>
      <c r="BY793" s="15" t="str">
        <f t="shared" si="1344"/>
        <v>85.43</v>
      </c>
      <c r="BZ793" s="15" t="s">
        <v>3967</v>
      </c>
      <c r="CA793" s="15" t="str">
        <f t="shared" si="1345"/>
        <v>15.16</v>
      </c>
      <c r="CB793" s="15" t="s">
        <v>6000</v>
      </c>
      <c r="CC793" s="15" t="str">
        <f t="shared" si="1346"/>
        <v>14.17</v>
      </c>
      <c r="CD793" s="15" t="s">
        <v>8298</v>
      </c>
      <c r="CE793" s="15" t="str">
        <f>"86.86"</f>
        <v>86.86</v>
      </c>
      <c r="CF793" s="15" t="s">
        <v>8385</v>
      </c>
      <c r="CI793" s="15" t="s">
        <v>444</v>
      </c>
      <c r="CK793" s="15" t="s">
        <v>444</v>
      </c>
      <c r="CM793" s="15" t="s">
        <v>444</v>
      </c>
      <c r="CO793" s="15" t="s">
        <v>444</v>
      </c>
      <c r="CP793" s="15" t="str">
        <f>"29.03"</f>
        <v>29.03</v>
      </c>
      <c r="CQ793" s="15" t="str">
        <f>"0.822"</f>
        <v>0.822</v>
      </c>
      <c r="CR793" s="15" t="s">
        <v>497</v>
      </c>
      <c r="DC793" s="15" t="str">
        <f>IFERROR(__xludf.DUMMYFUNCTION("""COMPUTED_VALUE"""),"")</f>
        <v/>
      </c>
      <c r="DE793" s="15" t="str">
        <f>IFERROR(__xludf.DUMMYFUNCTION("""COMPUTED_VALUE"""),"")</f>
        <v/>
      </c>
      <c r="DG793" s="15" t="str">
        <f>IFERROR(__xludf.DUMMYFUNCTION("""COMPUTED_VALUE"""),"")</f>
        <v/>
      </c>
      <c r="DK793" s="15" t="s">
        <v>855</v>
      </c>
      <c r="DL793" s="15" t="str">
        <f>IFERROR(__xludf.DUMMYFUNCTION("""COMPUTED_VALUE"""),"Clean with solvent-based (dry clean only) products. Do not use water.")</f>
        <v>Clean with solvent-based (dry clean only) products. Do not use water.</v>
      </c>
      <c r="DM793" s="15" t="s">
        <v>856</v>
      </c>
      <c r="DN793" s="15" t="s">
        <v>419</v>
      </c>
      <c r="DO793" s="15">
        <v>0.0</v>
      </c>
      <c r="DP793" s="15" t="s">
        <v>419</v>
      </c>
      <c r="DR793" s="15">
        <v>0.0</v>
      </c>
      <c r="DT793" s="15" t="s">
        <v>989</v>
      </c>
      <c r="DU793" s="15" t="s">
        <v>419</v>
      </c>
      <c r="DW793" s="15">
        <v>0.0</v>
      </c>
      <c r="DX793" s="15">
        <v>0.0</v>
      </c>
      <c r="DY793" s="15">
        <v>0.0</v>
      </c>
      <c r="DZ793" s="15">
        <v>25000.0</v>
      </c>
      <c r="EG793" s="15" t="s">
        <v>444</v>
      </c>
      <c r="EH793" s="15" t="s">
        <v>8386</v>
      </c>
      <c r="EJ793" s="15" t="s">
        <v>858</v>
      </c>
      <c r="EK793" s="15" t="s">
        <v>859</v>
      </c>
      <c r="EM793" s="15" t="str">
        <f>IFERROR(__xludf.DUMMYFUNCTION("""COMPUTED_VALUE"""),"")</f>
        <v/>
      </c>
      <c r="FF793" s="15" t="s">
        <v>860</v>
      </c>
      <c r="FM793" s="15">
        <v>0.0</v>
      </c>
      <c r="IM793" s="15" t="s">
        <v>8387</v>
      </c>
      <c r="IN793" s="15" t="s">
        <v>8387</v>
      </c>
      <c r="IO793" s="15" t="s">
        <v>8387</v>
      </c>
      <c r="IP793" s="15" t="s">
        <v>5940</v>
      </c>
      <c r="IQ793" s="15" t="s">
        <v>5481</v>
      </c>
      <c r="IR793" s="15" t="s">
        <v>8388</v>
      </c>
      <c r="IS793" s="15" t="s">
        <v>2467</v>
      </c>
      <c r="IT793" s="15" t="s">
        <v>761</v>
      </c>
      <c r="IU793" s="15" t="s">
        <v>8389</v>
      </c>
      <c r="IV793" s="15" t="s">
        <v>2971</v>
      </c>
      <c r="IW793" s="15" t="s">
        <v>5722</v>
      </c>
      <c r="IX793" s="15" t="s">
        <v>5852</v>
      </c>
      <c r="IY793" s="15" t="s">
        <v>4827</v>
      </c>
      <c r="IZ793" s="15" t="s">
        <v>8390</v>
      </c>
      <c r="JA793" s="15" t="s">
        <v>5481</v>
      </c>
      <c r="JB793" s="15" t="s">
        <v>426</v>
      </c>
      <c r="JC793" s="15" t="s">
        <v>947</v>
      </c>
      <c r="JD793" s="15" t="s">
        <v>872</v>
      </c>
      <c r="JE793" s="15" t="s">
        <v>873</v>
      </c>
      <c r="JF793" s="15" t="s">
        <v>877</v>
      </c>
      <c r="JL793" s="15" t="s">
        <v>759</v>
      </c>
      <c r="JM793" s="15" t="s">
        <v>8391</v>
      </c>
      <c r="JO793" s="15" t="s">
        <v>426</v>
      </c>
      <c r="JP793" s="15" t="s">
        <v>2474</v>
      </c>
    </row>
    <row r="794" ht="15.75" customHeight="1">
      <c r="A794" s="14" t="s">
        <v>391</v>
      </c>
      <c r="B794" s="15" t="s">
        <v>8369</v>
      </c>
      <c r="C794" s="16"/>
      <c r="D794" s="15" t="s">
        <v>432</v>
      </c>
      <c r="G794" s="14" t="s">
        <v>393</v>
      </c>
      <c r="H794" s="14" t="s">
        <v>394</v>
      </c>
      <c r="I794" s="14" t="b">
        <v>1</v>
      </c>
      <c r="J794" s="14" t="s">
        <v>395</v>
      </c>
      <c r="L794" s="14" t="b">
        <v>0</v>
      </c>
      <c r="M794" s="15" t="s">
        <v>8406</v>
      </c>
      <c r="N794" s="14" t="s">
        <v>393</v>
      </c>
      <c r="O794" s="14" t="s">
        <v>393</v>
      </c>
      <c r="P794" s="15" t="s">
        <v>397</v>
      </c>
      <c r="Q794" s="15" t="s">
        <v>8402</v>
      </c>
      <c r="R794" s="15" t="s">
        <v>265</v>
      </c>
      <c r="S794" s="15" t="s">
        <v>828</v>
      </c>
      <c r="T794" s="14" t="b">
        <v>0</v>
      </c>
      <c r="U794" s="15" t="s">
        <v>8407</v>
      </c>
      <c r="V794" s="15" t="s">
        <v>8394</v>
      </c>
      <c r="W794" s="15" t="s">
        <v>401</v>
      </c>
      <c r="X794" s="15" t="s">
        <v>742</v>
      </c>
      <c r="Y794" s="15">
        <v>1859.0</v>
      </c>
      <c r="AA794" s="15" t="str">
        <f>"715"</f>
        <v>715</v>
      </c>
      <c r="AB794" s="14" t="b">
        <v>1</v>
      </c>
      <c r="AC794" s="14" t="b">
        <v>1</v>
      </c>
      <c r="AD794" s="15" t="str">
        <f>"801542172947"</f>
        <v>801542172947</v>
      </c>
      <c r="AE794" s="15" t="s">
        <v>8408</v>
      </c>
      <c r="AF794" s="14" t="s">
        <v>404</v>
      </c>
      <c r="AG794" s="14" t="s">
        <v>405</v>
      </c>
      <c r="AH794" s="14" t="s">
        <v>406</v>
      </c>
      <c r="AI794" s="15">
        <v>0.0</v>
      </c>
      <c r="AL794" s="15" t="s">
        <v>8405</v>
      </c>
      <c r="AM794" s="15" t="s">
        <v>8396</v>
      </c>
      <c r="AN794" s="15" t="s">
        <v>8397</v>
      </c>
      <c r="AO794" s="15" t="s">
        <v>8376</v>
      </c>
      <c r="AP794" s="15" t="s">
        <v>8377</v>
      </c>
      <c r="AQ794" s="15" t="s">
        <v>2088</v>
      </c>
      <c r="AR794" s="15" t="s">
        <v>2089</v>
      </c>
      <c r="AS794" s="15" t="s">
        <v>837</v>
      </c>
      <c r="AT794" s="15" t="s">
        <v>8402</v>
      </c>
      <c r="AU794" s="15" t="s">
        <v>838</v>
      </c>
      <c r="AW794" s="15" t="s">
        <v>839</v>
      </c>
      <c r="AX794" s="15" t="s">
        <v>828</v>
      </c>
      <c r="AY794" s="15" t="s">
        <v>413</v>
      </c>
      <c r="AZ794" s="15" t="b">
        <v>0</v>
      </c>
      <c r="BA794" s="15" t="s">
        <v>426</v>
      </c>
      <c r="BB794" s="15" t="b">
        <v>1</v>
      </c>
      <c r="BC794" s="15" t="s">
        <v>8378</v>
      </c>
      <c r="BD794" s="15" t="s">
        <v>742</v>
      </c>
      <c r="BE794" s="15" t="str">
        <f t="shared" si="1340"/>
        <v>3</v>
      </c>
      <c r="BF794" s="15" t="s">
        <v>8379</v>
      </c>
      <c r="BG794" s="15" t="str">
        <f>"90.16"</f>
        <v>90.16</v>
      </c>
      <c r="BH794" s="15" t="s">
        <v>3095</v>
      </c>
      <c r="BI794" s="15" t="str">
        <f>"49.41"</f>
        <v>49.41</v>
      </c>
      <c r="BJ794" s="15" t="s">
        <v>8398</v>
      </c>
      <c r="BK794" s="15" t="str">
        <f t="shared" si="1341"/>
        <v>5.91</v>
      </c>
      <c r="BL794" s="15" t="s">
        <v>7613</v>
      </c>
      <c r="BM794" s="15" t="str">
        <f>"94.8"</f>
        <v>94.8</v>
      </c>
      <c r="BN794" s="15" t="s">
        <v>1231</v>
      </c>
      <c r="BO794" s="15" t="s">
        <v>8380</v>
      </c>
      <c r="BP794" s="15" t="str">
        <f>"88.78"</f>
        <v>88.78</v>
      </c>
      <c r="BQ794" s="15" t="s">
        <v>6922</v>
      </c>
      <c r="BR794" s="15" t="str">
        <f t="shared" si="1342"/>
        <v>15.94</v>
      </c>
      <c r="BS794" s="15" t="s">
        <v>8382</v>
      </c>
      <c r="BT794" s="15" t="str">
        <f t="shared" si="1343"/>
        <v>8.86</v>
      </c>
      <c r="BU794" s="15" t="s">
        <v>7919</v>
      </c>
      <c r="BV794" s="15" t="str">
        <f>"85.98"</f>
        <v>85.98</v>
      </c>
      <c r="BW794" s="15" t="s">
        <v>928</v>
      </c>
      <c r="BX794" s="15" t="s">
        <v>8384</v>
      </c>
      <c r="BY794" s="15" t="str">
        <f t="shared" si="1344"/>
        <v>85.43</v>
      </c>
      <c r="BZ794" s="15" t="s">
        <v>3967</v>
      </c>
      <c r="CA794" s="15" t="str">
        <f t="shared" si="1345"/>
        <v>15.16</v>
      </c>
      <c r="CB794" s="15" t="s">
        <v>6000</v>
      </c>
      <c r="CC794" s="15" t="str">
        <f t="shared" si="1346"/>
        <v>14.17</v>
      </c>
      <c r="CD794" s="15" t="s">
        <v>8298</v>
      </c>
      <c r="CE794" s="15" t="str">
        <f>"94.8"</f>
        <v>94.8</v>
      </c>
      <c r="CF794" s="15" t="s">
        <v>1231</v>
      </c>
      <c r="CI794" s="15" t="s">
        <v>444</v>
      </c>
      <c r="CK794" s="15" t="s">
        <v>444</v>
      </c>
      <c r="CM794" s="15" t="s">
        <v>444</v>
      </c>
      <c r="CO794" s="15" t="s">
        <v>444</v>
      </c>
      <c r="CP794" s="15" t="str">
        <f>"33.09"</f>
        <v>33.09</v>
      </c>
      <c r="CQ794" s="15" t="str">
        <f>"0.937"</f>
        <v>0.937</v>
      </c>
      <c r="CR794" s="15" t="s">
        <v>497</v>
      </c>
      <c r="DC794" s="15" t="str">
        <f>IFERROR(__xludf.DUMMYFUNCTION("""COMPUTED_VALUE"""),"")</f>
        <v/>
      </c>
      <c r="DE794" s="15" t="str">
        <f>IFERROR(__xludf.DUMMYFUNCTION("""COMPUTED_VALUE"""),"")</f>
        <v/>
      </c>
      <c r="DG794" s="15" t="str">
        <f>IFERROR(__xludf.DUMMYFUNCTION("""COMPUTED_VALUE"""),"")</f>
        <v/>
      </c>
      <c r="DK794" s="15" t="s">
        <v>855</v>
      </c>
      <c r="DL794" s="15" t="str">
        <f>IFERROR(__xludf.DUMMYFUNCTION("""COMPUTED_VALUE"""),"Clean with solvent-based (dry clean only) products. Do not use water.")</f>
        <v>Clean with solvent-based (dry clean only) products. Do not use water.</v>
      </c>
      <c r="DM794" s="15" t="s">
        <v>856</v>
      </c>
      <c r="DN794" s="15" t="s">
        <v>419</v>
      </c>
      <c r="DO794" s="15">
        <v>0.0</v>
      </c>
      <c r="DP794" s="15" t="s">
        <v>419</v>
      </c>
      <c r="DR794" s="15">
        <v>0.0</v>
      </c>
      <c r="DT794" s="15" t="s">
        <v>989</v>
      </c>
      <c r="DU794" s="15" t="s">
        <v>419</v>
      </c>
      <c r="DW794" s="15">
        <v>0.0</v>
      </c>
      <c r="DX794" s="15">
        <v>0.0</v>
      </c>
      <c r="DY794" s="15">
        <v>0.0</v>
      </c>
      <c r="DZ794" s="15">
        <v>25000.0</v>
      </c>
      <c r="EG794" s="15" t="s">
        <v>444</v>
      </c>
      <c r="EH794" s="15" t="s">
        <v>8386</v>
      </c>
      <c r="EJ794" s="15" t="s">
        <v>858</v>
      </c>
      <c r="EK794" s="15" t="s">
        <v>859</v>
      </c>
      <c r="EM794" s="15" t="str">
        <f>IFERROR(__xludf.DUMMYFUNCTION("""COMPUTED_VALUE"""),"")</f>
        <v/>
      </c>
      <c r="FF794" s="15" t="s">
        <v>860</v>
      </c>
      <c r="FM794" s="15">
        <v>0.0</v>
      </c>
      <c r="IM794" s="15" t="s">
        <v>8387</v>
      </c>
      <c r="IN794" s="15" t="s">
        <v>8387</v>
      </c>
      <c r="IO794" s="15" t="s">
        <v>8387</v>
      </c>
      <c r="IP794" s="15" t="s">
        <v>5940</v>
      </c>
      <c r="IQ794" s="15" t="s">
        <v>5481</v>
      </c>
      <c r="IR794" s="15" t="s">
        <v>8399</v>
      </c>
      <c r="IS794" s="15" t="s">
        <v>2467</v>
      </c>
      <c r="IT794" s="15" t="s">
        <v>761</v>
      </c>
      <c r="IU794" s="15" t="s">
        <v>8400</v>
      </c>
      <c r="IV794" s="15" t="s">
        <v>2971</v>
      </c>
      <c r="IW794" s="15" t="s">
        <v>5722</v>
      </c>
      <c r="IX794" s="15" t="s">
        <v>4384</v>
      </c>
      <c r="IY794" s="15" t="s">
        <v>4827</v>
      </c>
      <c r="IZ794" s="15" t="s">
        <v>8390</v>
      </c>
      <c r="JA794" s="15" t="s">
        <v>5481</v>
      </c>
      <c r="JB794" s="15" t="s">
        <v>426</v>
      </c>
      <c r="JC794" s="15" t="s">
        <v>947</v>
      </c>
      <c r="JD794" s="15" t="s">
        <v>872</v>
      </c>
      <c r="JE794" s="15" t="s">
        <v>873</v>
      </c>
      <c r="JF794" s="15" t="s">
        <v>828</v>
      </c>
      <c r="JL794" s="15" t="s">
        <v>759</v>
      </c>
      <c r="JM794" s="15" t="s">
        <v>8391</v>
      </c>
      <c r="JO794" s="15" t="s">
        <v>426</v>
      </c>
      <c r="JP794" s="15" t="s">
        <v>2474</v>
      </c>
    </row>
    <row r="795" ht="15.75" customHeight="1">
      <c r="A795" s="14" t="s">
        <v>391</v>
      </c>
      <c r="B795" s="15" t="s">
        <v>8369</v>
      </c>
      <c r="C795" s="16"/>
      <c r="D795" s="15" t="s">
        <v>432</v>
      </c>
      <c r="G795" s="14" t="s">
        <v>393</v>
      </c>
      <c r="H795" s="14" t="s">
        <v>394</v>
      </c>
      <c r="I795" s="14" t="b">
        <v>1</v>
      </c>
      <c r="J795" s="14" t="s">
        <v>395</v>
      </c>
      <c r="L795" s="14" t="b">
        <v>0</v>
      </c>
      <c r="M795" s="15" t="s">
        <v>8409</v>
      </c>
      <c r="N795" s="14" t="s">
        <v>393</v>
      </c>
      <c r="O795" s="14" t="s">
        <v>393</v>
      </c>
      <c r="P795" s="15" t="s">
        <v>397</v>
      </c>
      <c r="Q795" s="15" t="s">
        <v>827</v>
      </c>
      <c r="R795" s="15" t="s">
        <v>265</v>
      </c>
      <c r="S795" s="15" t="s">
        <v>877</v>
      </c>
      <c r="T795" s="14" t="b">
        <v>0</v>
      </c>
      <c r="U795" s="15" t="s">
        <v>8410</v>
      </c>
      <c r="V795" s="15" t="s">
        <v>8373</v>
      </c>
      <c r="W795" s="15" t="s">
        <v>401</v>
      </c>
      <c r="X795" s="15" t="s">
        <v>742</v>
      </c>
      <c r="Y795" s="15">
        <v>1638.0</v>
      </c>
      <c r="AA795" s="15" t="str">
        <f>"630"</f>
        <v>630</v>
      </c>
      <c r="AB795" s="14" t="b">
        <v>1</v>
      </c>
      <c r="AC795" s="14" t="b">
        <v>1</v>
      </c>
      <c r="AD795" s="15" t="str">
        <f>"198394018715"</f>
        <v>198394018715</v>
      </c>
      <c r="AE795" s="15" t="s">
        <v>8411</v>
      </c>
      <c r="AF795" s="14" t="s">
        <v>404</v>
      </c>
      <c r="AG795" s="14" t="s">
        <v>405</v>
      </c>
      <c r="AH795" s="14" t="s">
        <v>406</v>
      </c>
      <c r="AI795" s="15">
        <v>0.0</v>
      </c>
      <c r="AL795" s="15" t="s">
        <v>832</v>
      </c>
      <c r="AM795" s="15" t="s">
        <v>3197</v>
      </c>
      <c r="AN795" s="15" t="s">
        <v>3198</v>
      </c>
      <c r="AO795" s="15" t="s">
        <v>8376</v>
      </c>
      <c r="AP795" s="15" t="s">
        <v>8377</v>
      </c>
      <c r="AQ795" s="15" t="s">
        <v>2088</v>
      </c>
      <c r="AR795" s="15" t="s">
        <v>2089</v>
      </c>
      <c r="AS795" s="15" t="s">
        <v>837</v>
      </c>
      <c r="AT795" s="15" t="s">
        <v>827</v>
      </c>
      <c r="AU795" s="15" t="s">
        <v>838</v>
      </c>
      <c r="AW795" s="15" t="s">
        <v>839</v>
      </c>
      <c r="AX795" s="15" t="s">
        <v>877</v>
      </c>
      <c r="AY795" s="15" t="s">
        <v>413</v>
      </c>
      <c r="AZ795" s="15" t="b">
        <v>0</v>
      </c>
      <c r="BA795" s="15" t="s">
        <v>426</v>
      </c>
      <c r="BB795" s="15" t="b">
        <v>1</v>
      </c>
      <c r="BC795" s="15" t="s">
        <v>8378</v>
      </c>
      <c r="BD795" s="15" t="s">
        <v>742</v>
      </c>
      <c r="BE795" s="15" t="str">
        <f t="shared" si="1340"/>
        <v>3</v>
      </c>
      <c r="BF795" s="15" t="s">
        <v>8379</v>
      </c>
      <c r="BG795" s="15" t="str">
        <f>"74.02"</f>
        <v>74.02</v>
      </c>
      <c r="BH795" s="15" t="s">
        <v>3201</v>
      </c>
      <c r="BI795" s="15" t="str">
        <f>"49.61"</f>
        <v>49.61</v>
      </c>
      <c r="BJ795" s="15" t="s">
        <v>7319</v>
      </c>
      <c r="BK795" s="15" t="str">
        <f t="shared" si="1341"/>
        <v>5.91</v>
      </c>
      <c r="BL795" s="15" t="s">
        <v>7613</v>
      </c>
      <c r="BM795" s="15" t="str">
        <f>"68.34"</f>
        <v>68.34</v>
      </c>
      <c r="BN795" s="15" t="s">
        <v>3744</v>
      </c>
      <c r="BO795" s="15" t="s">
        <v>8380</v>
      </c>
      <c r="BP795" s="15" t="str">
        <f>"71.85"</f>
        <v>71.85</v>
      </c>
      <c r="BQ795" s="15" t="s">
        <v>8381</v>
      </c>
      <c r="BR795" s="15" t="str">
        <f t="shared" si="1342"/>
        <v>15.94</v>
      </c>
      <c r="BS795" s="15" t="s">
        <v>8382</v>
      </c>
      <c r="BT795" s="15" t="str">
        <f t="shared" si="1343"/>
        <v>8.86</v>
      </c>
      <c r="BU795" s="15" t="s">
        <v>7919</v>
      </c>
      <c r="BV795" s="15" t="str">
        <f>"67.68"</f>
        <v>67.68</v>
      </c>
      <c r="BW795" s="15" t="s">
        <v>8383</v>
      </c>
      <c r="BX795" s="15" t="s">
        <v>8384</v>
      </c>
      <c r="BY795" s="15" t="str">
        <f t="shared" si="1344"/>
        <v>85.43</v>
      </c>
      <c r="BZ795" s="15" t="s">
        <v>3967</v>
      </c>
      <c r="CA795" s="15" t="str">
        <f t="shared" si="1345"/>
        <v>15.16</v>
      </c>
      <c r="CB795" s="15" t="s">
        <v>6000</v>
      </c>
      <c r="CC795" s="15" t="str">
        <f t="shared" si="1346"/>
        <v>14.17</v>
      </c>
      <c r="CD795" s="15" t="s">
        <v>8298</v>
      </c>
      <c r="CE795" s="15" t="str">
        <f>"86.86"</f>
        <v>86.86</v>
      </c>
      <c r="CF795" s="15" t="s">
        <v>8385</v>
      </c>
      <c r="CI795" s="15" t="s">
        <v>444</v>
      </c>
      <c r="CK795" s="15" t="s">
        <v>444</v>
      </c>
      <c r="CM795" s="15" t="s">
        <v>444</v>
      </c>
      <c r="CO795" s="15" t="s">
        <v>444</v>
      </c>
      <c r="CP795" s="15" t="str">
        <f>"29.03"</f>
        <v>29.03</v>
      </c>
      <c r="CQ795" s="15" t="str">
        <f>"0.822"</f>
        <v>0.822</v>
      </c>
      <c r="CR795" s="15" t="s">
        <v>417</v>
      </c>
      <c r="DC795" s="15" t="str">
        <f>IFERROR(__xludf.DUMMYFUNCTION("""COMPUTED_VALUE"""),"")</f>
        <v/>
      </c>
      <c r="DE795" s="15" t="str">
        <f>IFERROR(__xludf.DUMMYFUNCTION("""COMPUTED_VALUE"""),"")</f>
        <v/>
      </c>
      <c r="DG795" s="15" t="str">
        <f>IFERROR(__xludf.DUMMYFUNCTION("""COMPUTED_VALUE"""),"")</f>
        <v/>
      </c>
      <c r="DK795" s="15" t="s">
        <v>855</v>
      </c>
      <c r="DL795" s="15" t="str">
        <f>IFERROR(__xludf.DUMMYFUNCTION("""COMPUTED_VALUE"""),"Clean with solvent-based (dry clean only) products. Do not use water.")</f>
        <v>Clean with solvent-based (dry clean only) products. Do not use water.</v>
      </c>
      <c r="DM795" s="15" t="s">
        <v>856</v>
      </c>
      <c r="DN795" s="15" t="s">
        <v>419</v>
      </c>
      <c r="DO795" s="15">
        <v>0.0</v>
      </c>
      <c r="DP795" s="15" t="s">
        <v>419</v>
      </c>
      <c r="DR795" s="15">
        <v>0.0</v>
      </c>
      <c r="DT795" s="15" t="s">
        <v>989</v>
      </c>
      <c r="DU795" s="15" t="s">
        <v>419</v>
      </c>
      <c r="DW795" s="15">
        <v>0.0</v>
      </c>
      <c r="DX795" s="15">
        <v>0.0</v>
      </c>
      <c r="DY795" s="15">
        <v>0.0</v>
      </c>
      <c r="DZ795" s="15">
        <v>15000.0</v>
      </c>
      <c r="EG795" s="15" t="s">
        <v>444</v>
      </c>
      <c r="EH795" s="15" t="s">
        <v>8386</v>
      </c>
      <c r="EJ795" s="15" t="s">
        <v>858</v>
      </c>
      <c r="EK795" s="15" t="s">
        <v>859</v>
      </c>
      <c r="EM795" s="15" t="str">
        <f>IFERROR(__xludf.DUMMYFUNCTION("""COMPUTED_VALUE"""),"")</f>
        <v/>
      </c>
      <c r="FF795" s="15" t="s">
        <v>860</v>
      </c>
      <c r="FM795" s="15">
        <v>0.0</v>
      </c>
      <c r="IM795" s="15" t="s">
        <v>8387</v>
      </c>
      <c r="IN795" s="15" t="s">
        <v>8387</v>
      </c>
      <c r="IO795" s="15" t="s">
        <v>8387</v>
      </c>
      <c r="IP795" s="15" t="s">
        <v>5940</v>
      </c>
      <c r="IQ795" s="15" t="s">
        <v>5481</v>
      </c>
      <c r="IR795" s="15" t="s">
        <v>8388</v>
      </c>
      <c r="IS795" s="15" t="s">
        <v>2467</v>
      </c>
      <c r="IT795" s="15" t="s">
        <v>761</v>
      </c>
      <c r="IU795" s="15" t="s">
        <v>8389</v>
      </c>
      <c r="IV795" s="15" t="s">
        <v>2971</v>
      </c>
      <c r="IW795" s="15" t="s">
        <v>5722</v>
      </c>
      <c r="IX795" s="15" t="s">
        <v>5852</v>
      </c>
      <c r="IY795" s="15" t="s">
        <v>4827</v>
      </c>
      <c r="IZ795" s="15" t="s">
        <v>8390</v>
      </c>
      <c r="JA795" s="15" t="s">
        <v>5481</v>
      </c>
      <c r="JB795" s="15" t="s">
        <v>426</v>
      </c>
      <c r="JC795" s="15" t="s">
        <v>947</v>
      </c>
      <c r="JD795" s="15" t="s">
        <v>872</v>
      </c>
      <c r="JE795" s="15" t="s">
        <v>873</v>
      </c>
      <c r="JF795" s="15" t="s">
        <v>877</v>
      </c>
      <c r="JL795" s="15" t="s">
        <v>759</v>
      </c>
      <c r="JM795" s="15" t="s">
        <v>8391</v>
      </c>
      <c r="JO795" s="15" t="s">
        <v>426</v>
      </c>
      <c r="JP795" s="15" t="s">
        <v>2474</v>
      </c>
    </row>
    <row r="796" ht="15.75" customHeight="1">
      <c r="A796" s="14" t="s">
        <v>391</v>
      </c>
      <c r="B796" s="15" t="s">
        <v>8369</v>
      </c>
      <c r="C796" s="16"/>
      <c r="D796" s="15" t="s">
        <v>432</v>
      </c>
      <c r="G796" s="14" t="s">
        <v>393</v>
      </c>
      <c r="H796" s="14" t="s">
        <v>394</v>
      </c>
      <c r="I796" s="14" t="b">
        <v>1</v>
      </c>
      <c r="J796" s="14" t="s">
        <v>395</v>
      </c>
      <c r="L796" s="14" t="b">
        <v>0</v>
      </c>
      <c r="M796" s="15" t="s">
        <v>8412</v>
      </c>
      <c r="N796" s="14" t="s">
        <v>393</v>
      </c>
      <c r="O796" s="14" t="s">
        <v>393</v>
      </c>
      <c r="P796" s="15" t="s">
        <v>397</v>
      </c>
      <c r="Q796" s="15" t="s">
        <v>827</v>
      </c>
      <c r="R796" s="15" t="s">
        <v>265</v>
      </c>
      <c r="S796" s="15" t="s">
        <v>828</v>
      </c>
      <c r="T796" s="14" t="b">
        <v>0</v>
      </c>
      <c r="U796" s="15" t="s">
        <v>8413</v>
      </c>
      <c r="V796" s="15" t="s">
        <v>8394</v>
      </c>
      <c r="W796" s="15" t="s">
        <v>401</v>
      </c>
      <c r="X796" s="15" t="s">
        <v>742</v>
      </c>
      <c r="Y796" s="15">
        <v>1755.0</v>
      </c>
      <c r="AA796" s="15" t="str">
        <f>"675"</f>
        <v>675</v>
      </c>
      <c r="AB796" s="14" t="b">
        <v>1</v>
      </c>
      <c r="AC796" s="14" t="b">
        <v>1</v>
      </c>
      <c r="AD796" s="15" t="str">
        <f>"198394018708"</f>
        <v>198394018708</v>
      </c>
      <c r="AE796" s="15" t="s">
        <v>8414</v>
      </c>
      <c r="AF796" s="14" t="s">
        <v>404</v>
      </c>
      <c r="AG796" s="14" t="s">
        <v>405</v>
      </c>
      <c r="AH796" s="14" t="s">
        <v>406</v>
      </c>
      <c r="AI796" s="15">
        <v>0.0</v>
      </c>
      <c r="AL796" s="15" t="s">
        <v>832</v>
      </c>
      <c r="AM796" s="15" t="s">
        <v>8396</v>
      </c>
      <c r="AN796" s="15" t="s">
        <v>8397</v>
      </c>
      <c r="AO796" s="15" t="s">
        <v>8376</v>
      </c>
      <c r="AP796" s="15" t="s">
        <v>8377</v>
      </c>
      <c r="AQ796" s="15" t="s">
        <v>2088</v>
      </c>
      <c r="AR796" s="15" t="s">
        <v>2089</v>
      </c>
      <c r="AS796" s="15" t="s">
        <v>837</v>
      </c>
      <c r="AT796" s="15" t="s">
        <v>827</v>
      </c>
      <c r="AU796" s="15" t="s">
        <v>838</v>
      </c>
      <c r="AW796" s="15" t="s">
        <v>839</v>
      </c>
      <c r="AX796" s="15" t="s">
        <v>828</v>
      </c>
      <c r="AY796" s="15" t="s">
        <v>413</v>
      </c>
      <c r="AZ796" s="15" t="b">
        <v>0</v>
      </c>
      <c r="BA796" s="15" t="s">
        <v>426</v>
      </c>
      <c r="BB796" s="15" t="b">
        <v>1</v>
      </c>
      <c r="BC796" s="15" t="s">
        <v>8378</v>
      </c>
      <c r="BD796" s="15" t="s">
        <v>742</v>
      </c>
      <c r="BE796" s="15" t="str">
        <f t="shared" si="1340"/>
        <v>3</v>
      </c>
      <c r="BF796" s="15" t="s">
        <v>8379</v>
      </c>
      <c r="BG796" s="15" t="str">
        <f>"90.16"</f>
        <v>90.16</v>
      </c>
      <c r="BH796" s="15" t="s">
        <v>3095</v>
      </c>
      <c r="BI796" s="15" t="str">
        <f>"49.41"</f>
        <v>49.41</v>
      </c>
      <c r="BJ796" s="15" t="s">
        <v>8398</v>
      </c>
      <c r="BK796" s="15" t="str">
        <f t="shared" si="1341"/>
        <v>5.91</v>
      </c>
      <c r="BL796" s="15" t="s">
        <v>7613</v>
      </c>
      <c r="BM796" s="15" t="str">
        <f>"94.8"</f>
        <v>94.8</v>
      </c>
      <c r="BN796" s="15" t="s">
        <v>1231</v>
      </c>
      <c r="BO796" s="15" t="s">
        <v>8380</v>
      </c>
      <c r="BP796" s="15" t="str">
        <f>"88.78"</f>
        <v>88.78</v>
      </c>
      <c r="BQ796" s="15" t="s">
        <v>6922</v>
      </c>
      <c r="BR796" s="15" t="str">
        <f t="shared" si="1342"/>
        <v>15.94</v>
      </c>
      <c r="BS796" s="15" t="s">
        <v>8382</v>
      </c>
      <c r="BT796" s="15" t="str">
        <f t="shared" si="1343"/>
        <v>8.86</v>
      </c>
      <c r="BU796" s="15" t="s">
        <v>7919</v>
      </c>
      <c r="BV796" s="15" t="str">
        <f>"85.98"</f>
        <v>85.98</v>
      </c>
      <c r="BW796" s="15" t="s">
        <v>928</v>
      </c>
      <c r="BX796" s="15" t="s">
        <v>8384</v>
      </c>
      <c r="BY796" s="15" t="str">
        <f t="shared" si="1344"/>
        <v>85.43</v>
      </c>
      <c r="BZ796" s="15" t="s">
        <v>3967</v>
      </c>
      <c r="CA796" s="15" t="str">
        <f t="shared" si="1345"/>
        <v>15.16</v>
      </c>
      <c r="CB796" s="15" t="s">
        <v>6000</v>
      </c>
      <c r="CC796" s="15" t="str">
        <f t="shared" si="1346"/>
        <v>14.17</v>
      </c>
      <c r="CD796" s="15" t="s">
        <v>8298</v>
      </c>
      <c r="CE796" s="15" t="str">
        <f>"94.8"</f>
        <v>94.8</v>
      </c>
      <c r="CF796" s="15" t="s">
        <v>1231</v>
      </c>
      <c r="CI796" s="15" t="s">
        <v>444</v>
      </c>
      <c r="CK796" s="15" t="s">
        <v>444</v>
      </c>
      <c r="CM796" s="15" t="s">
        <v>444</v>
      </c>
      <c r="CO796" s="15" t="s">
        <v>444</v>
      </c>
      <c r="CP796" s="15" t="str">
        <f>"33.09"</f>
        <v>33.09</v>
      </c>
      <c r="CQ796" s="15" t="str">
        <f>"0.937"</f>
        <v>0.937</v>
      </c>
      <c r="CR796" s="15" t="s">
        <v>465</v>
      </c>
      <c r="DC796" s="15" t="str">
        <f>IFERROR(__xludf.DUMMYFUNCTION("""COMPUTED_VALUE"""),"")</f>
        <v/>
      </c>
      <c r="DE796" s="15" t="str">
        <f>IFERROR(__xludf.DUMMYFUNCTION("""COMPUTED_VALUE"""),"")</f>
        <v/>
      </c>
      <c r="DG796" s="15" t="str">
        <f>IFERROR(__xludf.DUMMYFUNCTION("""COMPUTED_VALUE"""),"")</f>
        <v/>
      </c>
      <c r="DK796" s="15" t="s">
        <v>855</v>
      </c>
      <c r="DL796" s="15" t="str">
        <f>IFERROR(__xludf.DUMMYFUNCTION("""COMPUTED_VALUE"""),"Clean with solvent-based (dry clean only) products. Do not use water.")</f>
        <v>Clean with solvent-based (dry clean only) products. Do not use water.</v>
      </c>
      <c r="DM796" s="15" t="s">
        <v>856</v>
      </c>
      <c r="DN796" s="15" t="s">
        <v>419</v>
      </c>
      <c r="DO796" s="15">
        <v>0.0</v>
      </c>
      <c r="DP796" s="15" t="s">
        <v>419</v>
      </c>
      <c r="DR796" s="15">
        <v>0.0</v>
      </c>
      <c r="DT796" s="15" t="s">
        <v>989</v>
      </c>
      <c r="DU796" s="15" t="s">
        <v>419</v>
      </c>
      <c r="DW796" s="15">
        <v>0.0</v>
      </c>
      <c r="DX796" s="15">
        <v>0.0</v>
      </c>
      <c r="DY796" s="15">
        <v>0.0</v>
      </c>
      <c r="DZ796" s="15">
        <v>15000.0</v>
      </c>
      <c r="EG796" s="15" t="s">
        <v>444</v>
      </c>
      <c r="EH796" s="15" t="s">
        <v>8386</v>
      </c>
      <c r="EJ796" s="15" t="s">
        <v>858</v>
      </c>
      <c r="EK796" s="15" t="s">
        <v>859</v>
      </c>
      <c r="EM796" s="15" t="str">
        <f>IFERROR(__xludf.DUMMYFUNCTION("""COMPUTED_VALUE"""),"")</f>
        <v/>
      </c>
      <c r="FF796" s="15" t="s">
        <v>860</v>
      </c>
      <c r="FM796" s="15">
        <v>0.0</v>
      </c>
      <c r="IM796" s="15" t="s">
        <v>8387</v>
      </c>
      <c r="IN796" s="15" t="s">
        <v>8387</v>
      </c>
      <c r="IO796" s="15" t="s">
        <v>8387</v>
      </c>
      <c r="IP796" s="15" t="s">
        <v>5940</v>
      </c>
      <c r="IQ796" s="15" t="s">
        <v>5481</v>
      </c>
      <c r="IR796" s="15" t="s">
        <v>8399</v>
      </c>
      <c r="IS796" s="15" t="s">
        <v>2467</v>
      </c>
      <c r="IT796" s="15" t="s">
        <v>761</v>
      </c>
      <c r="IU796" s="15" t="s">
        <v>8400</v>
      </c>
      <c r="IV796" s="15" t="s">
        <v>2971</v>
      </c>
      <c r="IW796" s="15" t="s">
        <v>5722</v>
      </c>
      <c r="IX796" s="15" t="s">
        <v>4384</v>
      </c>
      <c r="IY796" s="15" t="s">
        <v>4827</v>
      </c>
      <c r="IZ796" s="15" t="s">
        <v>8390</v>
      </c>
      <c r="JA796" s="15" t="s">
        <v>5481</v>
      </c>
      <c r="JB796" s="15" t="s">
        <v>426</v>
      </c>
      <c r="JC796" s="15" t="s">
        <v>947</v>
      </c>
      <c r="JD796" s="15" t="s">
        <v>872</v>
      </c>
      <c r="JE796" s="15" t="s">
        <v>873</v>
      </c>
      <c r="JF796" s="15" t="s">
        <v>828</v>
      </c>
      <c r="JL796" s="15" t="s">
        <v>759</v>
      </c>
      <c r="JM796" s="15" t="s">
        <v>8391</v>
      </c>
      <c r="JO796" s="15" t="s">
        <v>426</v>
      </c>
      <c r="JP796" s="15" t="s">
        <v>2474</v>
      </c>
    </row>
    <row r="797" ht="15.75" customHeight="1">
      <c r="A797" s="14" t="s">
        <v>391</v>
      </c>
      <c r="B797" s="15" t="s">
        <v>8415</v>
      </c>
      <c r="C797" s="16"/>
      <c r="D797" s="15" t="s">
        <v>432</v>
      </c>
      <c r="G797" s="14" t="s">
        <v>393</v>
      </c>
      <c r="H797" s="14" t="s">
        <v>394</v>
      </c>
      <c r="I797" s="14" t="b">
        <v>1</v>
      </c>
      <c r="J797" s="14" t="s">
        <v>395</v>
      </c>
      <c r="L797" s="14" t="b">
        <v>0</v>
      </c>
      <c r="M797" s="15" t="s">
        <v>8416</v>
      </c>
      <c r="N797" s="14" t="s">
        <v>393</v>
      </c>
      <c r="O797" s="14" t="s">
        <v>393</v>
      </c>
      <c r="P797" s="15" t="s">
        <v>397</v>
      </c>
      <c r="Q797" s="15" t="s">
        <v>8417</v>
      </c>
      <c r="T797" s="14" t="b">
        <v>0</v>
      </c>
      <c r="U797" s="15" t="s">
        <v>8418</v>
      </c>
      <c r="V797" s="15" t="s">
        <v>8419</v>
      </c>
      <c r="W797" s="15" t="s">
        <v>401</v>
      </c>
      <c r="X797" s="15" t="s">
        <v>695</v>
      </c>
      <c r="Y797" s="15">
        <v>4160.0</v>
      </c>
      <c r="AA797" s="15" t="str">
        <f t="shared" ref="AA797:AA799" si="1347">"1600"</f>
        <v>1600</v>
      </c>
      <c r="AB797" s="14" t="b">
        <v>1</v>
      </c>
      <c r="AC797" s="14" t="b">
        <v>1</v>
      </c>
      <c r="AD797" s="15" t="str">
        <f>"801542152604"</f>
        <v>801542152604</v>
      </c>
      <c r="AE797" s="15" t="s">
        <v>8420</v>
      </c>
      <c r="AF797" s="14" t="s">
        <v>404</v>
      </c>
      <c r="AG797" s="14" t="s">
        <v>405</v>
      </c>
      <c r="AH797" s="14" t="s">
        <v>406</v>
      </c>
      <c r="AI797" s="15">
        <v>0.0</v>
      </c>
      <c r="AL797" s="15" t="s">
        <v>8421</v>
      </c>
      <c r="AM797" s="15" t="s">
        <v>8422</v>
      </c>
      <c r="AN797" s="15" t="s">
        <v>6485</v>
      </c>
      <c r="AO797" s="15" t="s">
        <v>8423</v>
      </c>
      <c r="AP797" s="15" t="s">
        <v>8424</v>
      </c>
      <c r="AQ797" s="15" t="s">
        <v>546</v>
      </c>
      <c r="AR797" s="15" t="s">
        <v>547</v>
      </c>
      <c r="AS797" s="15" t="s">
        <v>2343</v>
      </c>
      <c r="AT797" s="15" t="s">
        <v>8417</v>
      </c>
      <c r="AW797" s="15" t="s">
        <v>1629</v>
      </c>
      <c r="AX797" s="15" t="s">
        <v>7473</v>
      </c>
      <c r="AY797" s="15" t="s">
        <v>413</v>
      </c>
      <c r="AZ797" s="15" t="b">
        <v>0</v>
      </c>
      <c r="BA797" s="15" t="s">
        <v>426</v>
      </c>
      <c r="BB797" s="15" t="b">
        <v>1</v>
      </c>
      <c r="BC797" s="15" t="s">
        <v>8425</v>
      </c>
      <c r="BD797" s="15" t="s">
        <v>709</v>
      </c>
      <c r="BE797" s="15" t="str">
        <f t="shared" ref="BE797:BE801" si="1348">"2"</f>
        <v>2</v>
      </c>
      <c r="BF797" s="15" t="s">
        <v>416</v>
      </c>
      <c r="BG797" s="15" t="str">
        <f t="shared" ref="BG797:BG802" si="1349">"45.67"</f>
        <v>45.67</v>
      </c>
      <c r="BH797" s="15" t="s">
        <v>683</v>
      </c>
      <c r="BI797" s="15" t="str">
        <f t="shared" ref="BI797:BI802" si="1350">"44.88"</f>
        <v>44.88</v>
      </c>
      <c r="BJ797" s="15" t="s">
        <v>3445</v>
      </c>
      <c r="BK797" s="15" t="str">
        <f t="shared" ref="BK797:BK802" si="1351">"31.1"</f>
        <v>31.1</v>
      </c>
      <c r="BL797" s="15" t="s">
        <v>1386</v>
      </c>
      <c r="BM797" s="15" t="str">
        <f t="shared" ref="BM797:BM802" si="1352">"183.42"</f>
        <v>183.42</v>
      </c>
      <c r="BN797" s="15" t="s">
        <v>8426</v>
      </c>
      <c r="BO797" s="15" t="s">
        <v>416</v>
      </c>
      <c r="BP797" s="15" t="str">
        <f t="shared" ref="BP797:BP802" si="1353">"45.67"</f>
        <v>45.67</v>
      </c>
      <c r="BQ797" s="15" t="s">
        <v>683</v>
      </c>
      <c r="BR797" s="15" t="str">
        <f t="shared" ref="BR797:BR802" si="1354">"44.88"</f>
        <v>44.88</v>
      </c>
      <c r="BS797" s="15" t="s">
        <v>3445</v>
      </c>
      <c r="BT797" s="15" t="str">
        <f t="shared" ref="BT797:BT802" si="1355">"31.1"</f>
        <v>31.1</v>
      </c>
      <c r="BU797" s="15" t="s">
        <v>1386</v>
      </c>
      <c r="BV797" s="15" t="str">
        <f t="shared" ref="BV797:BV802" si="1356">"183.42"</f>
        <v>183.42</v>
      </c>
      <c r="BW797" s="15" t="s">
        <v>8426</v>
      </c>
      <c r="BZ797" s="15" t="s">
        <v>444</v>
      </c>
      <c r="CB797" s="15" t="s">
        <v>444</v>
      </c>
      <c r="CD797" s="15" t="s">
        <v>444</v>
      </c>
      <c r="CF797" s="15" t="s">
        <v>444</v>
      </c>
      <c r="CI797" s="15" t="s">
        <v>444</v>
      </c>
      <c r="CK797" s="15" t="s">
        <v>444</v>
      </c>
      <c r="CM797" s="15" t="s">
        <v>444</v>
      </c>
      <c r="CO797" s="15" t="s">
        <v>444</v>
      </c>
      <c r="CP797" s="15" t="str">
        <f t="shared" ref="CP797:CP801" si="1357">"73.81"</f>
        <v>73.81</v>
      </c>
      <c r="CQ797" s="15" t="str">
        <f t="shared" ref="CQ797:CQ801" si="1358">"2.09"</f>
        <v>2.09</v>
      </c>
      <c r="CR797" s="15" t="s">
        <v>465</v>
      </c>
      <c r="DC797" s="15" t="str">
        <f>IFERROR(__xludf.DUMMYFUNCTION("""COMPUTED_VALUE"""),"")</f>
        <v/>
      </c>
      <c r="DE797" s="15" t="str">
        <f>IFERROR(__xludf.DUMMYFUNCTION("""COMPUTED_VALUE"""),"")</f>
        <v/>
      </c>
      <c r="DG797" s="15" t="str">
        <f>IFERROR(__xludf.DUMMYFUNCTION("""COMPUTED_VALUE"""),"")</f>
        <v/>
      </c>
      <c r="DJ797" s="15" t="s">
        <v>717</v>
      </c>
      <c r="DK797" s="15" t="s">
        <v>855</v>
      </c>
      <c r="DL797" s="15" t="str">
        <f>IFERROR(__xludf.DUMMYFUNCTION("""COMPUTED_VALUE"""),"Clean with solvent-based (dry clean only) products. Do not use water.")</f>
        <v>Clean with solvent-based (dry clean only) products. Do not use water.</v>
      </c>
      <c r="DM797" s="15" t="s">
        <v>856</v>
      </c>
      <c r="DT797" s="15" t="s">
        <v>721</v>
      </c>
      <c r="DU797" s="15" t="s">
        <v>329</v>
      </c>
      <c r="DZ797" s="15">
        <v>25000.0</v>
      </c>
      <c r="EA797" s="15" t="s">
        <v>990</v>
      </c>
      <c r="EE797" s="15">
        <v>4.0</v>
      </c>
      <c r="EF797" s="15" t="s">
        <v>7473</v>
      </c>
      <c r="EG797" s="15" t="s">
        <v>7474</v>
      </c>
      <c r="EH797" s="15" t="s">
        <v>8427</v>
      </c>
      <c r="EJ797" s="15" t="s">
        <v>588</v>
      </c>
      <c r="EK797" s="15" t="s">
        <v>589</v>
      </c>
      <c r="EM797" s="15" t="str">
        <f>IFERROR(__xludf.DUMMYFUNCTION("""COMPUTED_VALUE"""),"")</f>
        <v/>
      </c>
      <c r="FF797" s="15" t="s">
        <v>8428</v>
      </c>
      <c r="HO797" s="15" t="s">
        <v>1638</v>
      </c>
      <c r="HP797" s="15" t="s">
        <v>7473</v>
      </c>
      <c r="LQ797" s="15" t="s">
        <v>426</v>
      </c>
      <c r="LR797" s="15" t="s">
        <v>426</v>
      </c>
    </row>
    <row r="798" ht="15.75" customHeight="1">
      <c r="A798" s="14" t="s">
        <v>391</v>
      </c>
      <c r="B798" s="15" t="s">
        <v>8415</v>
      </c>
      <c r="C798" s="16"/>
      <c r="D798" s="15" t="s">
        <v>432</v>
      </c>
      <c r="G798" s="14" t="s">
        <v>393</v>
      </c>
      <c r="H798" s="14" t="s">
        <v>394</v>
      </c>
      <c r="I798" s="14" t="b">
        <v>1</v>
      </c>
      <c r="J798" s="14" t="s">
        <v>395</v>
      </c>
      <c r="L798" s="14" t="b">
        <v>0</v>
      </c>
      <c r="M798" s="15" t="s">
        <v>8429</v>
      </c>
      <c r="N798" s="14" t="s">
        <v>393</v>
      </c>
      <c r="O798" s="14" t="s">
        <v>393</v>
      </c>
      <c r="P798" s="15" t="s">
        <v>397</v>
      </c>
      <c r="Q798" s="15" t="s">
        <v>1619</v>
      </c>
      <c r="T798" s="14" t="b">
        <v>0</v>
      </c>
      <c r="U798" s="15" t="s">
        <v>8430</v>
      </c>
      <c r="V798" s="15" t="s">
        <v>8419</v>
      </c>
      <c r="W798" s="15" t="s">
        <v>401</v>
      </c>
      <c r="X798" s="15" t="s">
        <v>695</v>
      </c>
      <c r="Y798" s="15">
        <v>4160.0</v>
      </c>
      <c r="AA798" s="15" t="str">
        <f t="shared" si="1347"/>
        <v>1600</v>
      </c>
      <c r="AB798" s="14" t="b">
        <v>1</v>
      </c>
      <c r="AC798" s="14" t="b">
        <v>1</v>
      </c>
      <c r="AD798" s="15" t="str">
        <f>"198394083454"</f>
        <v>198394083454</v>
      </c>
      <c r="AE798" s="15" t="s">
        <v>8431</v>
      </c>
      <c r="AF798" s="14" t="s">
        <v>404</v>
      </c>
      <c r="AG798" s="14" t="s">
        <v>405</v>
      </c>
      <c r="AH798" s="14" t="s">
        <v>406</v>
      </c>
      <c r="AI798" s="15">
        <v>0.0</v>
      </c>
      <c r="AL798" s="15" t="s">
        <v>1623</v>
      </c>
      <c r="AM798" s="15" t="s">
        <v>8422</v>
      </c>
      <c r="AN798" s="15" t="s">
        <v>6485</v>
      </c>
      <c r="AO798" s="15" t="s">
        <v>8423</v>
      </c>
      <c r="AP798" s="15" t="s">
        <v>8424</v>
      </c>
      <c r="AQ798" s="15" t="s">
        <v>546</v>
      </c>
      <c r="AR798" s="15" t="s">
        <v>547</v>
      </c>
      <c r="AS798" s="15" t="s">
        <v>2343</v>
      </c>
      <c r="AT798" s="15" t="s">
        <v>1619</v>
      </c>
      <c r="AW798" s="15" t="s">
        <v>1629</v>
      </c>
      <c r="AX798" s="15" t="s">
        <v>7473</v>
      </c>
      <c r="AY798" s="15" t="s">
        <v>413</v>
      </c>
      <c r="AZ798" s="15" t="b">
        <v>0</v>
      </c>
      <c r="BA798" s="15" t="s">
        <v>426</v>
      </c>
      <c r="BB798" s="15" t="b">
        <v>1</v>
      </c>
      <c r="BC798" s="15" t="s">
        <v>8432</v>
      </c>
      <c r="BD798" s="15" t="s">
        <v>709</v>
      </c>
      <c r="BE798" s="15" t="str">
        <f t="shared" si="1348"/>
        <v>2</v>
      </c>
      <c r="BF798" s="15" t="s">
        <v>416</v>
      </c>
      <c r="BG798" s="15" t="str">
        <f t="shared" si="1349"/>
        <v>45.67</v>
      </c>
      <c r="BH798" s="15" t="s">
        <v>683</v>
      </c>
      <c r="BI798" s="15" t="str">
        <f t="shared" si="1350"/>
        <v>44.88</v>
      </c>
      <c r="BJ798" s="15" t="s">
        <v>3445</v>
      </c>
      <c r="BK798" s="15" t="str">
        <f t="shared" si="1351"/>
        <v>31.1</v>
      </c>
      <c r="BL798" s="15" t="s">
        <v>1386</v>
      </c>
      <c r="BM798" s="15" t="str">
        <f t="shared" si="1352"/>
        <v>183.42</v>
      </c>
      <c r="BN798" s="15" t="s">
        <v>8426</v>
      </c>
      <c r="BO798" s="15" t="s">
        <v>416</v>
      </c>
      <c r="BP798" s="15" t="str">
        <f t="shared" si="1353"/>
        <v>45.67</v>
      </c>
      <c r="BQ798" s="15" t="s">
        <v>683</v>
      </c>
      <c r="BR798" s="15" t="str">
        <f t="shared" si="1354"/>
        <v>44.88</v>
      </c>
      <c r="BS798" s="15" t="s">
        <v>3445</v>
      </c>
      <c r="BT798" s="15" t="str">
        <f t="shared" si="1355"/>
        <v>31.1</v>
      </c>
      <c r="BU798" s="15" t="s">
        <v>1386</v>
      </c>
      <c r="BV798" s="15" t="str">
        <f t="shared" si="1356"/>
        <v>183.42</v>
      </c>
      <c r="BW798" s="15" t="s">
        <v>8426</v>
      </c>
      <c r="BZ798" s="15" t="s">
        <v>444</v>
      </c>
      <c r="CB798" s="15" t="s">
        <v>444</v>
      </c>
      <c r="CD798" s="15" t="s">
        <v>444</v>
      </c>
      <c r="CF798" s="15" t="s">
        <v>444</v>
      </c>
      <c r="CI798" s="15" t="s">
        <v>444</v>
      </c>
      <c r="CK798" s="15" t="s">
        <v>444</v>
      </c>
      <c r="CM798" s="15" t="s">
        <v>444</v>
      </c>
      <c r="CO798" s="15" t="s">
        <v>444</v>
      </c>
      <c r="CP798" s="15" t="str">
        <f t="shared" si="1357"/>
        <v>73.81</v>
      </c>
      <c r="CQ798" s="15" t="str">
        <f t="shared" si="1358"/>
        <v>2.09</v>
      </c>
      <c r="CR798" s="15" t="s">
        <v>465</v>
      </c>
      <c r="DC798" s="15" t="str">
        <f>IFERROR(__xludf.DUMMYFUNCTION("""COMPUTED_VALUE"""),"")</f>
        <v/>
      </c>
      <c r="DE798" s="15" t="str">
        <f>IFERROR(__xludf.DUMMYFUNCTION("""COMPUTED_VALUE"""),"")</f>
        <v/>
      </c>
      <c r="DG798" s="15" t="str">
        <f>IFERROR(__xludf.DUMMYFUNCTION("""COMPUTED_VALUE"""),"")</f>
        <v/>
      </c>
      <c r="DJ798" s="15" t="s">
        <v>717</v>
      </c>
      <c r="DK798" s="15" t="s">
        <v>897</v>
      </c>
      <c r="DL798" s="15" t="str">
        <f>IFERROR(__xludf.DUMMYFUNCTION("""COMPUTED_VALUE"""),"Clean with water-based products only. Use mild detergent or upholstery shampoo.")</f>
        <v>Clean with water-based products only. Use mild detergent or upholstery shampoo.</v>
      </c>
      <c r="DM798" s="15" t="s">
        <v>898</v>
      </c>
      <c r="DT798" s="15" t="s">
        <v>721</v>
      </c>
      <c r="DU798" s="15" t="s">
        <v>329</v>
      </c>
      <c r="DZ798" s="15">
        <v>50000.0</v>
      </c>
      <c r="EA798" s="15" t="s">
        <v>990</v>
      </c>
      <c r="EE798" s="15">
        <v>4.0</v>
      </c>
      <c r="EF798" s="15" t="s">
        <v>7473</v>
      </c>
      <c r="EG798" s="15" t="s">
        <v>7474</v>
      </c>
      <c r="EH798" s="15" t="s">
        <v>8427</v>
      </c>
      <c r="EJ798" s="15" t="s">
        <v>588</v>
      </c>
      <c r="EK798" s="15" t="s">
        <v>589</v>
      </c>
      <c r="EM798" s="15" t="str">
        <f>IFERROR(__xludf.DUMMYFUNCTION("""COMPUTED_VALUE"""),"")</f>
        <v/>
      </c>
      <c r="FF798" s="15" t="s">
        <v>8428</v>
      </c>
      <c r="HO798" s="15" t="s">
        <v>1638</v>
      </c>
      <c r="HP798" s="15" t="s">
        <v>7473</v>
      </c>
      <c r="LQ798" s="15" t="s">
        <v>426</v>
      </c>
      <c r="LR798" s="15" t="s">
        <v>426</v>
      </c>
    </row>
    <row r="799" ht="15.75" customHeight="1">
      <c r="A799" s="14" t="s">
        <v>391</v>
      </c>
      <c r="B799" s="15" t="s">
        <v>8415</v>
      </c>
      <c r="C799" s="16"/>
      <c r="D799" s="15" t="s">
        <v>432</v>
      </c>
      <c r="G799" s="14" t="s">
        <v>393</v>
      </c>
      <c r="H799" s="14" t="s">
        <v>394</v>
      </c>
      <c r="I799" s="14" t="b">
        <v>1</v>
      </c>
      <c r="J799" s="14" t="s">
        <v>395</v>
      </c>
      <c r="L799" s="14" t="b">
        <v>0</v>
      </c>
      <c r="M799" s="15" t="s">
        <v>8433</v>
      </c>
      <c r="N799" s="14" t="s">
        <v>393</v>
      </c>
      <c r="O799" s="14" t="s">
        <v>393</v>
      </c>
      <c r="P799" s="15" t="s">
        <v>397</v>
      </c>
      <c r="Q799" s="15" t="s">
        <v>8434</v>
      </c>
      <c r="T799" s="14" t="b">
        <v>0</v>
      </c>
      <c r="U799" s="15" t="s">
        <v>8435</v>
      </c>
      <c r="V799" s="15" t="s">
        <v>8419</v>
      </c>
      <c r="W799" s="15" t="s">
        <v>401</v>
      </c>
      <c r="X799" s="15" t="s">
        <v>695</v>
      </c>
      <c r="Y799" s="15">
        <v>4160.0</v>
      </c>
      <c r="AA799" s="15" t="str">
        <f t="shared" si="1347"/>
        <v>1600</v>
      </c>
      <c r="AB799" s="14" t="b">
        <v>1</v>
      </c>
      <c r="AC799" s="14" t="b">
        <v>1</v>
      </c>
      <c r="AD799" s="15" t="str">
        <f>"801542008048"</f>
        <v>801542008048</v>
      </c>
      <c r="AE799" s="15" t="s">
        <v>8436</v>
      </c>
      <c r="AF799" s="14" t="s">
        <v>404</v>
      </c>
      <c r="AG799" s="14" t="s">
        <v>405</v>
      </c>
      <c r="AH799" s="14" t="s">
        <v>406</v>
      </c>
      <c r="AI799" s="15">
        <v>0.0</v>
      </c>
      <c r="AL799" s="15" t="s">
        <v>7030</v>
      </c>
      <c r="AM799" s="15" t="s">
        <v>8422</v>
      </c>
      <c r="AN799" s="15" t="s">
        <v>6485</v>
      </c>
      <c r="AO799" s="15" t="s">
        <v>8423</v>
      </c>
      <c r="AP799" s="15" t="s">
        <v>8424</v>
      </c>
      <c r="AQ799" s="15" t="s">
        <v>546</v>
      </c>
      <c r="AR799" s="15" t="s">
        <v>547</v>
      </c>
      <c r="AS799" s="15" t="s">
        <v>2343</v>
      </c>
      <c r="AT799" s="15" t="s">
        <v>8434</v>
      </c>
      <c r="AW799" s="15" t="s">
        <v>1629</v>
      </c>
      <c r="AX799" s="15" t="s">
        <v>7473</v>
      </c>
      <c r="AY799" s="15" t="s">
        <v>413</v>
      </c>
      <c r="AZ799" s="15" t="b">
        <v>0</v>
      </c>
      <c r="BA799" s="15" t="s">
        <v>413</v>
      </c>
      <c r="BB799" s="15" t="b">
        <v>0</v>
      </c>
      <c r="BC799" s="15" t="s">
        <v>8437</v>
      </c>
      <c r="BD799" s="15" t="s">
        <v>709</v>
      </c>
      <c r="BE799" s="15" t="str">
        <f t="shared" si="1348"/>
        <v>2</v>
      </c>
      <c r="BF799" s="15" t="s">
        <v>416</v>
      </c>
      <c r="BG799" s="15" t="str">
        <f t="shared" si="1349"/>
        <v>45.67</v>
      </c>
      <c r="BH799" s="15" t="s">
        <v>683</v>
      </c>
      <c r="BI799" s="15" t="str">
        <f t="shared" si="1350"/>
        <v>44.88</v>
      </c>
      <c r="BJ799" s="15" t="s">
        <v>3445</v>
      </c>
      <c r="BK799" s="15" t="str">
        <f t="shared" si="1351"/>
        <v>31.1</v>
      </c>
      <c r="BL799" s="15" t="s">
        <v>1386</v>
      </c>
      <c r="BM799" s="15" t="str">
        <f t="shared" si="1352"/>
        <v>183.42</v>
      </c>
      <c r="BN799" s="15" t="s">
        <v>8426</v>
      </c>
      <c r="BO799" s="15" t="s">
        <v>416</v>
      </c>
      <c r="BP799" s="15" t="str">
        <f t="shared" si="1353"/>
        <v>45.67</v>
      </c>
      <c r="BQ799" s="15" t="s">
        <v>683</v>
      </c>
      <c r="BR799" s="15" t="str">
        <f t="shared" si="1354"/>
        <v>44.88</v>
      </c>
      <c r="BS799" s="15" t="s">
        <v>3445</v>
      </c>
      <c r="BT799" s="15" t="str">
        <f t="shared" si="1355"/>
        <v>31.1</v>
      </c>
      <c r="BU799" s="15" t="s">
        <v>1386</v>
      </c>
      <c r="BV799" s="15" t="str">
        <f t="shared" si="1356"/>
        <v>183.42</v>
      </c>
      <c r="BW799" s="15" t="s">
        <v>8426</v>
      </c>
      <c r="BZ799" s="15" t="s">
        <v>444</v>
      </c>
      <c r="CB799" s="15" t="s">
        <v>444</v>
      </c>
      <c r="CD799" s="15" t="s">
        <v>444</v>
      </c>
      <c r="CF799" s="15" t="s">
        <v>444</v>
      </c>
      <c r="CI799" s="15" t="s">
        <v>444</v>
      </c>
      <c r="CK799" s="15" t="s">
        <v>444</v>
      </c>
      <c r="CM799" s="15" t="s">
        <v>444</v>
      </c>
      <c r="CO799" s="15" t="s">
        <v>444</v>
      </c>
      <c r="CP799" s="15" t="str">
        <f t="shared" si="1357"/>
        <v>73.81</v>
      </c>
      <c r="CQ799" s="15" t="str">
        <f t="shared" si="1358"/>
        <v>2.09</v>
      </c>
      <c r="CR799" s="15" t="s">
        <v>465</v>
      </c>
      <c r="DC799" s="15" t="str">
        <f>IFERROR(__xludf.DUMMYFUNCTION("""COMPUTED_VALUE"""),"")</f>
        <v/>
      </c>
      <c r="DE799" s="15" t="str">
        <f>IFERROR(__xludf.DUMMYFUNCTION("""COMPUTED_VALUE"""),"")</f>
        <v/>
      </c>
      <c r="DG799" s="15" t="str">
        <f>IFERROR(__xludf.DUMMYFUNCTION("""COMPUTED_VALUE"""),"")</f>
        <v/>
      </c>
      <c r="DJ799" s="15" t="s">
        <v>717</v>
      </c>
      <c r="DK799" s="15" t="s">
        <v>934</v>
      </c>
      <c r="DL799" s="15" t="str">
        <f>IFERROR(__xludf.DUMMYFUNCTION("""COMPUTED_VALUE"""),"Spot clean with water-based or solvent-based cleaner. Use mild detergent or upholstery shampoo.")</f>
        <v>Spot clean with water-based or solvent-based cleaner. Use mild detergent or upholstery shampoo.</v>
      </c>
      <c r="DM799" s="15" t="s">
        <v>935</v>
      </c>
      <c r="DT799" s="15" t="s">
        <v>721</v>
      </c>
      <c r="DU799" s="15" t="s">
        <v>329</v>
      </c>
      <c r="DZ799" s="15">
        <v>15000.0</v>
      </c>
      <c r="EA799" s="15" t="s">
        <v>990</v>
      </c>
      <c r="EE799" s="15">
        <v>4.0</v>
      </c>
      <c r="EF799" s="15" t="s">
        <v>7473</v>
      </c>
      <c r="EG799" s="15" t="s">
        <v>7474</v>
      </c>
      <c r="EH799" s="15" t="s">
        <v>8427</v>
      </c>
      <c r="EJ799" s="15" t="s">
        <v>588</v>
      </c>
      <c r="EK799" s="15" t="s">
        <v>589</v>
      </c>
      <c r="EM799" s="15" t="str">
        <f>IFERROR(__xludf.DUMMYFUNCTION("""COMPUTED_VALUE"""),"")</f>
        <v/>
      </c>
      <c r="FF799" s="15" t="s">
        <v>8428</v>
      </c>
      <c r="HO799" s="15" t="s">
        <v>1638</v>
      </c>
      <c r="HP799" s="15" t="s">
        <v>7473</v>
      </c>
      <c r="LQ799" s="15" t="s">
        <v>426</v>
      </c>
      <c r="LR799" s="15" t="s">
        <v>426</v>
      </c>
    </row>
    <row r="800" ht="15.75" customHeight="1">
      <c r="A800" s="14" t="s">
        <v>391</v>
      </c>
      <c r="B800" s="15" t="s">
        <v>8415</v>
      </c>
      <c r="C800" s="16"/>
      <c r="D800" s="15" t="s">
        <v>432</v>
      </c>
      <c r="G800" s="14" t="s">
        <v>393</v>
      </c>
      <c r="H800" s="14" t="s">
        <v>394</v>
      </c>
      <c r="I800" s="14" t="b">
        <v>1</v>
      </c>
      <c r="J800" s="14" t="s">
        <v>395</v>
      </c>
      <c r="L800" s="14" t="b">
        <v>0</v>
      </c>
      <c r="M800" s="15" t="s">
        <v>8438</v>
      </c>
      <c r="N800" s="14" t="s">
        <v>393</v>
      </c>
      <c r="O800" s="14" t="s">
        <v>393</v>
      </c>
      <c r="P800" s="15" t="s">
        <v>397</v>
      </c>
      <c r="Q800" s="15" t="s">
        <v>3874</v>
      </c>
      <c r="T800" s="14" t="b">
        <v>0</v>
      </c>
      <c r="U800" s="15" t="s">
        <v>8439</v>
      </c>
      <c r="V800" s="15" t="s">
        <v>8419</v>
      </c>
      <c r="W800" s="15" t="s">
        <v>401</v>
      </c>
      <c r="X800" s="15" t="s">
        <v>695</v>
      </c>
      <c r="Y800" s="15">
        <v>6344.0</v>
      </c>
      <c r="AA800" s="15" t="str">
        <f t="shared" ref="AA800:AA801" si="1359">"2440"</f>
        <v>2440</v>
      </c>
      <c r="AB800" s="14" t="b">
        <v>1</v>
      </c>
      <c r="AC800" s="14" t="b">
        <v>1</v>
      </c>
      <c r="AD800" s="15" t="str">
        <f>"801542152611"</f>
        <v>801542152611</v>
      </c>
      <c r="AE800" s="15" t="s">
        <v>8440</v>
      </c>
      <c r="AF800" s="14" t="s">
        <v>404</v>
      </c>
      <c r="AG800" s="14" t="s">
        <v>405</v>
      </c>
      <c r="AH800" s="14" t="s">
        <v>406</v>
      </c>
      <c r="AI800" s="15">
        <v>0.0</v>
      </c>
      <c r="AL800" s="15" t="s">
        <v>1600</v>
      </c>
      <c r="AM800" s="15" t="s">
        <v>8422</v>
      </c>
      <c r="AN800" s="15" t="s">
        <v>6485</v>
      </c>
      <c r="AO800" s="15" t="s">
        <v>8423</v>
      </c>
      <c r="AP800" s="15" t="s">
        <v>8424</v>
      </c>
      <c r="AQ800" s="15" t="s">
        <v>546</v>
      </c>
      <c r="AR800" s="15" t="s">
        <v>547</v>
      </c>
      <c r="AS800" s="15" t="s">
        <v>2343</v>
      </c>
      <c r="AT800" s="15" t="s">
        <v>3874</v>
      </c>
      <c r="AW800" s="15" t="s">
        <v>1629</v>
      </c>
      <c r="AX800" s="15" t="s">
        <v>7473</v>
      </c>
      <c r="AY800" s="15" t="s">
        <v>413</v>
      </c>
      <c r="AZ800" s="15" t="b">
        <v>0</v>
      </c>
      <c r="BA800" s="15" t="s">
        <v>413</v>
      </c>
      <c r="BB800" s="15" t="b">
        <v>0</v>
      </c>
      <c r="BC800" s="15" t="s">
        <v>8441</v>
      </c>
      <c r="BD800" s="15" t="s">
        <v>709</v>
      </c>
      <c r="BE800" s="15" t="str">
        <f t="shared" si="1348"/>
        <v>2</v>
      </c>
      <c r="BF800" s="15" t="s">
        <v>416</v>
      </c>
      <c r="BG800" s="15" t="str">
        <f t="shared" si="1349"/>
        <v>45.67</v>
      </c>
      <c r="BH800" s="15" t="s">
        <v>683</v>
      </c>
      <c r="BI800" s="15" t="str">
        <f t="shared" si="1350"/>
        <v>44.88</v>
      </c>
      <c r="BJ800" s="15" t="s">
        <v>3445</v>
      </c>
      <c r="BK800" s="15" t="str">
        <f t="shared" si="1351"/>
        <v>31.1</v>
      </c>
      <c r="BL800" s="15" t="s">
        <v>1386</v>
      </c>
      <c r="BM800" s="15" t="str">
        <f t="shared" si="1352"/>
        <v>183.42</v>
      </c>
      <c r="BN800" s="15" t="s">
        <v>8426</v>
      </c>
      <c r="BO800" s="15" t="s">
        <v>416</v>
      </c>
      <c r="BP800" s="15" t="str">
        <f t="shared" si="1353"/>
        <v>45.67</v>
      </c>
      <c r="BQ800" s="15" t="s">
        <v>683</v>
      </c>
      <c r="BR800" s="15" t="str">
        <f t="shared" si="1354"/>
        <v>44.88</v>
      </c>
      <c r="BS800" s="15" t="s">
        <v>3445</v>
      </c>
      <c r="BT800" s="15" t="str">
        <f t="shared" si="1355"/>
        <v>31.1</v>
      </c>
      <c r="BU800" s="15" t="s">
        <v>1386</v>
      </c>
      <c r="BV800" s="15" t="str">
        <f t="shared" si="1356"/>
        <v>183.42</v>
      </c>
      <c r="BW800" s="15" t="s">
        <v>8426</v>
      </c>
      <c r="BZ800" s="15" t="s">
        <v>444</v>
      </c>
      <c r="CB800" s="15" t="s">
        <v>444</v>
      </c>
      <c r="CD800" s="15" t="s">
        <v>444</v>
      </c>
      <c r="CF800" s="15" t="s">
        <v>444</v>
      </c>
      <c r="CI800" s="15" t="s">
        <v>444</v>
      </c>
      <c r="CK800" s="15" t="s">
        <v>444</v>
      </c>
      <c r="CM800" s="15" t="s">
        <v>444</v>
      </c>
      <c r="CO800" s="15" t="s">
        <v>444</v>
      </c>
      <c r="CP800" s="15" t="str">
        <f t="shared" si="1357"/>
        <v>73.81</v>
      </c>
      <c r="CQ800" s="15" t="str">
        <f t="shared" si="1358"/>
        <v>2.09</v>
      </c>
      <c r="CR800" s="15" t="s">
        <v>497</v>
      </c>
      <c r="DC800" s="15" t="str">
        <f>IFERROR(__xludf.DUMMYFUNCTION("""COMPUTED_VALUE"""),"")</f>
        <v/>
      </c>
      <c r="DE800" s="15" t="str">
        <f>IFERROR(__xludf.DUMMYFUNCTION("""COMPUTED_VALUE"""),"")</f>
        <v/>
      </c>
      <c r="DG800" s="15" t="str">
        <f>IFERROR(__xludf.DUMMYFUNCTION("""COMPUTED_VALUE"""),"")</f>
        <v/>
      </c>
      <c r="DJ800" s="15" t="s">
        <v>717</v>
      </c>
      <c r="DK800" s="15" t="s">
        <v>718</v>
      </c>
      <c r="DL800" s="15" t="str">
        <f>IFERROR(__xludf.DUMMYFUNCTION("""COMPUTED_VALUE"""),"Vacuum or light brush only. Do not use water or any cleaning products.")</f>
        <v>Vacuum or light brush only. Do not use water or any cleaning products.</v>
      </c>
      <c r="DM800" s="15" t="s">
        <v>719</v>
      </c>
      <c r="DT800" s="15" t="s">
        <v>721</v>
      </c>
      <c r="DU800" s="15" t="s">
        <v>329</v>
      </c>
      <c r="DZ800" s="15">
        <v>0.0</v>
      </c>
      <c r="EA800" s="15" t="s">
        <v>990</v>
      </c>
      <c r="EE800" s="15">
        <v>4.0</v>
      </c>
      <c r="EF800" s="15" t="s">
        <v>7473</v>
      </c>
      <c r="EG800" s="15" t="s">
        <v>7474</v>
      </c>
      <c r="EH800" s="15" t="s">
        <v>8427</v>
      </c>
      <c r="EJ800" s="15" t="s">
        <v>588</v>
      </c>
      <c r="EK800" s="15" t="s">
        <v>589</v>
      </c>
      <c r="EM800" s="15" t="str">
        <f>IFERROR(__xludf.DUMMYFUNCTION("""COMPUTED_VALUE"""),"")</f>
        <v/>
      </c>
      <c r="FF800" s="15" t="s">
        <v>8428</v>
      </c>
      <c r="HO800" s="15" t="s">
        <v>1638</v>
      </c>
      <c r="HP800" s="15" t="s">
        <v>7473</v>
      </c>
      <c r="LQ800" s="15" t="s">
        <v>426</v>
      </c>
      <c r="LR800" s="15" t="s">
        <v>426</v>
      </c>
    </row>
    <row r="801" ht="15.75" customHeight="1">
      <c r="A801" s="14" t="s">
        <v>391</v>
      </c>
      <c r="B801" s="15" t="s">
        <v>8415</v>
      </c>
      <c r="C801" s="16"/>
      <c r="D801" s="15" t="s">
        <v>432</v>
      </c>
      <c r="G801" s="14" t="s">
        <v>393</v>
      </c>
      <c r="H801" s="14" t="s">
        <v>394</v>
      </c>
      <c r="I801" s="14" t="b">
        <v>1</v>
      </c>
      <c r="J801" s="14" t="s">
        <v>395</v>
      </c>
      <c r="L801" s="14" t="b">
        <v>0</v>
      </c>
      <c r="M801" s="15" t="s">
        <v>8442</v>
      </c>
      <c r="N801" s="14" t="s">
        <v>393</v>
      </c>
      <c r="O801" s="14" t="s">
        <v>393</v>
      </c>
      <c r="P801" s="15" t="s">
        <v>397</v>
      </c>
      <c r="Q801" s="15" t="s">
        <v>2004</v>
      </c>
      <c r="T801" s="14" t="b">
        <v>0</v>
      </c>
      <c r="U801" s="15" t="s">
        <v>8443</v>
      </c>
      <c r="V801" s="15" t="s">
        <v>8419</v>
      </c>
      <c r="W801" s="15" t="s">
        <v>401</v>
      </c>
      <c r="X801" s="15" t="s">
        <v>695</v>
      </c>
      <c r="Y801" s="15">
        <v>6344.0</v>
      </c>
      <c r="AA801" s="15" t="str">
        <f t="shared" si="1359"/>
        <v>2440</v>
      </c>
      <c r="AB801" s="14" t="b">
        <v>1</v>
      </c>
      <c r="AC801" s="14" t="b">
        <v>1</v>
      </c>
      <c r="AD801" s="15" t="str">
        <f>"198394083461"</f>
        <v>198394083461</v>
      </c>
      <c r="AE801" s="15" t="s">
        <v>8444</v>
      </c>
      <c r="AF801" s="14" t="s">
        <v>404</v>
      </c>
      <c r="AG801" s="14" t="s">
        <v>405</v>
      </c>
      <c r="AH801" s="14" t="s">
        <v>406</v>
      </c>
      <c r="AI801" s="15">
        <v>0.0</v>
      </c>
      <c r="AL801" s="15" t="s">
        <v>1600</v>
      </c>
      <c r="AM801" s="15" t="s">
        <v>8422</v>
      </c>
      <c r="AN801" s="15" t="s">
        <v>6485</v>
      </c>
      <c r="AO801" s="15" t="s">
        <v>8423</v>
      </c>
      <c r="AP801" s="15" t="s">
        <v>8424</v>
      </c>
      <c r="AQ801" s="15" t="s">
        <v>546</v>
      </c>
      <c r="AR801" s="15" t="s">
        <v>547</v>
      </c>
      <c r="AS801" s="15" t="s">
        <v>2343</v>
      </c>
      <c r="AT801" s="15" t="s">
        <v>2004</v>
      </c>
      <c r="AW801" s="15" t="s">
        <v>1629</v>
      </c>
      <c r="AX801" s="15" t="s">
        <v>7473</v>
      </c>
      <c r="AY801" s="15" t="s">
        <v>413</v>
      </c>
      <c r="AZ801" s="15" t="b">
        <v>0</v>
      </c>
      <c r="BA801" s="15" t="s">
        <v>413</v>
      </c>
      <c r="BB801" s="15" t="b">
        <v>0</v>
      </c>
      <c r="BC801" s="15" t="s">
        <v>8441</v>
      </c>
      <c r="BD801" s="15" t="s">
        <v>709</v>
      </c>
      <c r="BE801" s="15" t="str">
        <f t="shared" si="1348"/>
        <v>2</v>
      </c>
      <c r="BF801" s="15" t="s">
        <v>416</v>
      </c>
      <c r="BG801" s="15" t="str">
        <f t="shared" si="1349"/>
        <v>45.67</v>
      </c>
      <c r="BH801" s="15" t="s">
        <v>683</v>
      </c>
      <c r="BI801" s="15" t="str">
        <f t="shared" si="1350"/>
        <v>44.88</v>
      </c>
      <c r="BJ801" s="15" t="s">
        <v>3445</v>
      </c>
      <c r="BK801" s="15" t="str">
        <f t="shared" si="1351"/>
        <v>31.1</v>
      </c>
      <c r="BL801" s="15" t="s">
        <v>1386</v>
      </c>
      <c r="BM801" s="15" t="str">
        <f t="shared" si="1352"/>
        <v>183.42</v>
      </c>
      <c r="BN801" s="15" t="s">
        <v>8426</v>
      </c>
      <c r="BO801" s="15" t="s">
        <v>416</v>
      </c>
      <c r="BP801" s="15" t="str">
        <f t="shared" si="1353"/>
        <v>45.67</v>
      </c>
      <c r="BQ801" s="15" t="s">
        <v>683</v>
      </c>
      <c r="BR801" s="15" t="str">
        <f t="shared" si="1354"/>
        <v>44.88</v>
      </c>
      <c r="BS801" s="15" t="s">
        <v>3445</v>
      </c>
      <c r="BT801" s="15" t="str">
        <f t="shared" si="1355"/>
        <v>31.1</v>
      </c>
      <c r="BU801" s="15" t="s">
        <v>1386</v>
      </c>
      <c r="BV801" s="15" t="str">
        <f t="shared" si="1356"/>
        <v>183.42</v>
      </c>
      <c r="BW801" s="15" t="s">
        <v>8426</v>
      </c>
      <c r="BZ801" s="15" t="s">
        <v>444</v>
      </c>
      <c r="CB801" s="15" t="s">
        <v>444</v>
      </c>
      <c r="CD801" s="15" t="s">
        <v>444</v>
      </c>
      <c r="CF801" s="15" t="s">
        <v>444</v>
      </c>
      <c r="CI801" s="15" t="s">
        <v>444</v>
      </c>
      <c r="CK801" s="15" t="s">
        <v>444</v>
      </c>
      <c r="CM801" s="15" t="s">
        <v>444</v>
      </c>
      <c r="CO801" s="15" t="s">
        <v>444</v>
      </c>
      <c r="CP801" s="15" t="str">
        <f t="shared" si="1357"/>
        <v>73.81</v>
      </c>
      <c r="CQ801" s="15" t="str">
        <f t="shared" si="1358"/>
        <v>2.09</v>
      </c>
      <c r="CR801" s="15" t="s">
        <v>465</v>
      </c>
      <c r="DC801" s="15" t="str">
        <f>IFERROR(__xludf.DUMMYFUNCTION("""COMPUTED_VALUE"""),"")</f>
        <v/>
      </c>
      <c r="DE801" s="15" t="str">
        <f>IFERROR(__xludf.DUMMYFUNCTION("""COMPUTED_VALUE"""),"")</f>
        <v/>
      </c>
      <c r="DG801" s="15" t="str">
        <f>IFERROR(__xludf.DUMMYFUNCTION("""COMPUTED_VALUE"""),"")</f>
        <v/>
      </c>
      <c r="DJ801" s="15" t="s">
        <v>717</v>
      </c>
      <c r="DK801" s="15" t="s">
        <v>718</v>
      </c>
      <c r="DL801" s="15" t="str">
        <f>IFERROR(__xludf.DUMMYFUNCTION("""COMPUTED_VALUE"""),"Vacuum or light brush only. Do not use water or any cleaning products.")</f>
        <v>Vacuum or light brush only. Do not use water or any cleaning products.</v>
      </c>
      <c r="DM801" s="15" t="s">
        <v>719</v>
      </c>
      <c r="DT801" s="15" t="s">
        <v>721</v>
      </c>
      <c r="DU801" s="15" t="s">
        <v>329</v>
      </c>
      <c r="DZ801" s="15">
        <v>0.0</v>
      </c>
      <c r="EA801" s="15" t="s">
        <v>990</v>
      </c>
      <c r="EE801" s="15">
        <v>4.0</v>
      </c>
      <c r="EF801" s="15" t="s">
        <v>7473</v>
      </c>
      <c r="EG801" s="15" t="s">
        <v>7474</v>
      </c>
      <c r="EH801" s="15" t="s">
        <v>8427</v>
      </c>
      <c r="EJ801" s="15" t="s">
        <v>588</v>
      </c>
      <c r="EK801" s="15" t="s">
        <v>589</v>
      </c>
      <c r="EM801" s="15" t="str">
        <f>IFERROR(__xludf.DUMMYFUNCTION("""COMPUTED_VALUE"""),"")</f>
        <v/>
      </c>
      <c r="FF801" s="15" t="s">
        <v>8428</v>
      </c>
      <c r="HO801" s="15" t="s">
        <v>1638</v>
      </c>
      <c r="HP801" s="15" t="s">
        <v>7473</v>
      </c>
      <c r="LQ801" s="15" t="s">
        <v>426</v>
      </c>
      <c r="LR801" s="15" t="s">
        <v>426</v>
      </c>
    </row>
    <row r="802" ht="15.75" customHeight="1">
      <c r="A802" s="14" t="s">
        <v>391</v>
      </c>
      <c r="B802" s="15" t="s">
        <v>8445</v>
      </c>
      <c r="C802" s="16"/>
      <c r="D802" s="15" t="s">
        <v>432</v>
      </c>
      <c r="G802" s="14" t="s">
        <v>393</v>
      </c>
      <c r="H802" s="14" t="s">
        <v>394</v>
      </c>
      <c r="I802" s="14" t="b">
        <v>1</v>
      </c>
      <c r="J802" s="14" t="s">
        <v>395</v>
      </c>
      <c r="L802" s="14" t="b">
        <v>0</v>
      </c>
      <c r="M802" s="15" t="s">
        <v>8446</v>
      </c>
      <c r="N802" s="14" t="s">
        <v>393</v>
      </c>
      <c r="O802" s="14" t="s">
        <v>393</v>
      </c>
      <c r="P802" s="15" t="s">
        <v>397</v>
      </c>
      <c r="Q802" s="15" t="s">
        <v>2004</v>
      </c>
      <c r="T802" s="14" t="b">
        <v>0</v>
      </c>
      <c r="U802" s="15" t="s">
        <v>8447</v>
      </c>
      <c r="V802" s="15" t="s">
        <v>8448</v>
      </c>
      <c r="W802" s="15" t="s">
        <v>401</v>
      </c>
      <c r="X802" s="15" t="s">
        <v>695</v>
      </c>
      <c r="Y802" s="15">
        <v>8632.0</v>
      </c>
      <c r="AA802" s="15" t="str">
        <f>"3320"</f>
        <v>3320</v>
      </c>
      <c r="AB802" s="14" t="b">
        <v>1</v>
      </c>
      <c r="AC802" s="14" t="b">
        <v>1</v>
      </c>
      <c r="AD802" s="15" t="str">
        <f>"198394083485"</f>
        <v>198394083485</v>
      </c>
      <c r="AE802" s="15" t="s">
        <v>8449</v>
      </c>
      <c r="AF802" s="14" t="s">
        <v>404</v>
      </c>
      <c r="AG802" s="14" t="s">
        <v>405</v>
      </c>
      <c r="AH802" s="14" t="s">
        <v>406</v>
      </c>
      <c r="AI802" s="15">
        <v>0.0</v>
      </c>
      <c r="AL802" s="15" t="s">
        <v>1600</v>
      </c>
      <c r="AM802" s="15" t="s">
        <v>8450</v>
      </c>
      <c r="AN802" s="15" t="s">
        <v>8451</v>
      </c>
      <c r="AO802" s="15" t="s">
        <v>8423</v>
      </c>
      <c r="AP802" s="15" t="s">
        <v>8424</v>
      </c>
      <c r="AQ802" s="15" t="s">
        <v>546</v>
      </c>
      <c r="AR802" s="15" t="s">
        <v>547</v>
      </c>
      <c r="AS802" s="15" t="s">
        <v>2343</v>
      </c>
      <c r="AT802" s="15" t="s">
        <v>2004</v>
      </c>
      <c r="AW802" s="15" t="s">
        <v>1629</v>
      </c>
      <c r="AX802" s="15" t="s">
        <v>7473</v>
      </c>
      <c r="AY802" s="15" t="s">
        <v>413</v>
      </c>
      <c r="AZ802" s="15" t="b">
        <v>0</v>
      </c>
      <c r="BA802" s="15" t="s">
        <v>413</v>
      </c>
      <c r="BB802" s="15" t="b">
        <v>0</v>
      </c>
      <c r="BC802" s="15" t="s">
        <v>8441</v>
      </c>
      <c r="BD802" s="15" t="s">
        <v>709</v>
      </c>
      <c r="BE802" s="15" t="str">
        <f>"3"</f>
        <v>3</v>
      </c>
      <c r="BF802" s="15" t="s">
        <v>416</v>
      </c>
      <c r="BG802" s="15" t="str">
        <f t="shared" si="1349"/>
        <v>45.67</v>
      </c>
      <c r="BH802" s="15" t="s">
        <v>683</v>
      </c>
      <c r="BI802" s="15" t="str">
        <f t="shared" si="1350"/>
        <v>44.88</v>
      </c>
      <c r="BJ802" s="15" t="s">
        <v>3445</v>
      </c>
      <c r="BK802" s="15" t="str">
        <f t="shared" si="1351"/>
        <v>31.1</v>
      </c>
      <c r="BL802" s="15" t="s">
        <v>1386</v>
      </c>
      <c r="BM802" s="15" t="str">
        <f t="shared" si="1352"/>
        <v>183.42</v>
      </c>
      <c r="BN802" s="15" t="s">
        <v>8426</v>
      </c>
      <c r="BO802" s="15" t="s">
        <v>416</v>
      </c>
      <c r="BP802" s="15" t="str">
        <f t="shared" si="1353"/>
        <v>45.67</v>
      </c>
      <c r="BQ802" s="15" t="s">
        <v>683</v>
      </c>
      <c r="BR802" s="15" t="str">
        <f t="shared" si="1354"/>
        <v>44.88</v>
      </c>
      <c r="BS802" s="15" t="s">
        <v>3445</v>
      </c>
      <c r="BT802" s="15" t="str">
        <f t="shared" si="1355"/>
        <v>31.1</v>
      </c>
      <c r="BU802" s="15" t="s">
        <v>1386</v>
      </c>
      <c r="BV802" s="15" t="str">
        <f t="shared" si="1356"/>
        <v>183.42</v>
      </c>
      <c r="BW802" s="15" t="s">
        <v>8426</v>
      </c>
      <c r="BX802" s="15" t="s">
        <v>8452</v>
      </c>
      <c r="BY802" s="15" t="str">
        <f>"33.86"</f>
        <v>33.86</v>
      </c>
      <c r="BZ802" s="15" t="s">
        <v>1209</v>
      </c>
      <c r="CA802" s="15" t="str">
        <f>"45.28"</f>
        <v>45.28</v>
      </c>
      <c r="CB802" s="15" t="s">
        <v>682</v>
      </c>
      <c r="CC802" s="15" t="str">
        <f>"31.1"</f>
        <v>31.1</v>
      </c>
      <c r="CD802" s="15" t="s">
        <v>1386</v>
      </c>
      <c r="CE802" s="15" t="str">
        <f>"146.39"</f>
        <v>146.39</v>
      </c>
      <c r="CF802" s="15" t="s">
        <v>8453</v>
      </c>
      <c r="CI802" s="15" t="s">
        <v>444</v>
      </c>
      <c r="CK802" s="15" t="s">
        <v>444</v>
      </c>
      <c r="CM802" s="15" t="s">
        <v>444</v>
      </c>
      <c r="CO802" s="15" t="s">
        <v>444</v>
      </c>
      <c r="CP802" s="15" t="str">
        <f>"97.22"</f>
        <v>97.22</v>
      </c>
      <c r="CQ802" s="15" t="str">
        <f>"2.753"</f>
        <v>2.753</v>
      </c>
      <c r="CR802" s="15" t="s">
        <v>465</v>
      </c>
      <c r="DC802" s="15" t="str">
        <f>IFERROR(__xludf.DUMMYFUNCTION("""COMPUTED_VALUE"""),"")</f>
        <v/>
      </c>
      <c r="DE802" s="15" t="str">
        <f>IFERROR(__xludf.DUMMYFUNCTION("""COMPUTED_VALUE"""),"")</f>
        <v/>
      </c>
      <c r="DG802" s="15" t="str">
        <f>IFERROR(__xludf.DUMMYFUNCTION("""COMPUTED_VALUE"""),"")</f>
        <v/>
      </c>
      <c r="DJ802" s="15" t="s">
        <v>717</v>
      </c>
      <c r="DK802" s="15" t="s">
        <v>718</v>
      </c>
      <c r="DL802" s="15" t="str">
        <f>IFERROR(__xludf.DUMMYFUNCTION("""COMPUTED_VALUE"""),"Vacuum or light brush only. Do not use water or any cleaning products.")</f>
        <v>Vacuum or light brush only. Do not use water or any cleaning products.</v>
      </c>
      <c r="DM802" s="15" t="s">
        <v>719</v>
      </c>
      <c r="DT802" s="15" t="s">
        <v>721</v>
      </c>
      <c r="DU802" s="15" t="s">
        <v>329</v>
      </c>
      <c r="DZ802" s="15">
        <v>0.0</v>
      </c>
      <c r="EA802" s="15" t="s">
        <v>990</v>
      </c>
      <c r="EE802" s="15">
        <v>6.0</v>
      </c>
      <c r="EF802" s="15" t="s">
        <v>7473</v>
      </c>
      <c r="EG802" s="15" t="s">
        <v>7474</v>
      </c>
      <c r="EH802" s="15" t="s">
        <v>8427</v>
      </c>
      <c r="EJ802" s="15" t="s">
        <v>8454</v>
      </c>
      <c r="EK802" s="15" t="s">
        <v>8455</v>
      </c>
      <c r="EM802" s="15" t="str">
        <f>IFERROR(__xludf.DUMMYFUNCTION("""COMPUTED_VALUE"""),"")</f>
        <v/>
      </c>
      <c r="FF802" s="15" t="s">
        <v>8428</v>
      </c>
      <c r="HO802" s="15" t="s">
        <v>1638</v>
      </c>
      <c r="HP802" s="15" t="s">
        <v>7473</v>
      </c>
      <c r="LQ802" s="15" t="s">
        <v>426</v>
      </c>
      <c r="LR802" s="15" t="s">
        <v>426</v>
      </c>
    </row>
    <row r="803" ht="15.75" customHeight="1">
      <c r="A803" s="14" t="s">
        <v>391</v>
      </c>
      <c r="B803" s="15" t="s">
        <v>8456</v>
      </c>
      <c r="C803" s="16"/>
      <c r="D803" s="15" t="s">
        <v>432</v>
      </c>
      <c r="G803" s="14" t="s">
        <v>393</v>
      </c>
      <c r="H803" s="14" t="s">
        <v>394</v>
      </c>
      <c r="I803" s="14" t="b">
        <v>1</v>
      </c>
      <c r="J803" s="14" t="s">
        <v>395</v>
      </c>
      <c r="L803" s="14" t="b">
        <v>0</v>
      </c>
      <c r="M803" s="15" t="s">
        <v>8457</v>
      </c>
      <c r="N803" s="14" t="s">
        <v>393</v>
      </c>
      <c r="O803" s="14" t="s">
        <v>393</v>
      </c>
      <c r="P803" s="15" t="s">
        <v>397</v>
      </c>
      <c r="Q803" s="15" t="s">
        <v>8458</v>
      </c>
      <c r="T803" s="14" t="b">
        <v>0</v>
      </c>
      <c r="U803" s="15" t="s">
        <v>8459</v>
      </c>
      <c r="V803" s="15" t="s">
        <v>8460</v>
      </c>
      <c r="W803" s="15" t="s">
        <v>401</v>
      </c>
      <c r="X803" s="15" t="s">
        <v>1296</v>
      </c>
      <c r="Y803" s="15">
        <v>1859.0</v>
      </c>
      <c r="AA803" s="15" t="str">
        <f>"715"</f>
        <v>715</v>
      </c>
      <c r="AB803" s="14" t="b">
        <v>1</v>
      </c>
      <c r="AC803" s="14" t="b">
        <v>1</v>
      </c>
      <c r="AD803" s="15" t="str">
        <f>"801542092214"</f>
        <v>801542092214</v>
      </c>
      <c r="AE803" s="15" t="s">
        <v>8461</v>
      </c>
      <c r="AF803" s="14" t="s">
        <v>404</v>
      </c>
      <c r="AG803" s="14" t="s">
        <v>405</v>
      </c>
      <c r="AH803" s="14" t="s">
        <v>406</v>
      </c>
      <c r="AI803" s="15">
        <v>0.0</v>
      </c>
      <c r="AL803" s="15" t="s">
        <v>3369</v>
      </c>
      <c r="AM803" s="15" t="s">
        <v>8462</v>
      </c>
      <c r="AN803" s="15" t="s">
        <v>1280</v>
      </c>
      <c r="AO803" s="15" t="s">
        <v>409</v>
      </c>
      <c r="AP803" s="15" t="s">
        <v>438</v>
      </c>
      <c r="AQ803" s="15" t="s">
        <v>6707</v>
      </c>
      <c r="AR803" s="15" t="s">
        <v>6708</v>
      </c>
      <c r="AS803" s="15" t="s">
        <v>8463</v>
      </c>
      <c r="AT803" s="15" t="s">
        <v>8458</v>
      </c>
      <c r="AW803" s="15" t="s">
        <v>8464</v>
      </c>
      <c r="AY803" s="15" t="s">
        <v>413</v>
      </c>
      <c r="AZ803" s="15" t="b">
        <v>0</v>
      </c>
      <c r="BA803" s="15" t="s">
        <v>413</v>
      </c>
      <c r="BB803" s="15" t="b">
        <v>0</v>
      </c>
      <c r="BC803" s="15" t="s">
        <v>8465</v>
      </c>
      <c r="BD803" s="15" t="s">
        <v>1303</v>
      </c>
      <c r="BE803" s="15" t="str">
        <f t="shared" ref="BE803:BE819" si="1360">"1"</f>
        <v>1</v>
      </c>
      <c r="BF803" s="15" t="s">
        <v>416</v>
      </c>
      <c r="BG803" s="15" t="str">
        <f>"42.5"</f>
        <v>42.5</v>
      </c>
      <c r="BH803" s="15" t="s">
        <v>3346</v>
      </c>
      <c r="BI803" s="15" t="str">
        <f>"23.5"</f>
        <v>23.5</v>
      </c>
      <c r="BJ803" s="15" t="s">
        <v>2060</v>
      </c>
      <c r="BK803" s="15" t="str">
        <f>"41.5"</f>
        <v>41.5</v>
      </c>
      <c r="BL803" s="15" t="s">
        <v>1402</v>
      </c>
      <c r="BM803" s="15" t="str">
        <f>"180.78"</f>
        <v>180.78</v>
      </c>
      <c r="BN803" s="15" t="s">
        <v>6658</v>
      </c>
      <c r="BQ803" s="15" t="s">
        <v>444</v>
      </c>
      <c r="BS803" s="15" t="s">
        <v>444</v>
      </c>
      <c r="BU803" s="15" t="s">
        <v>444</v>
      </c>
      <c r="BW803" s="15" t="s">
        <v>444</v>
      </c>
      <c r="BZ803" s="15" t="s">
        <v>444</v>
      </c>
      <c r="CB803" s="15" t="s">
        <v>444</v>
      </c>
      <c r="CD803" s="15" t="s">
        <v>444</v>
      </c>
      <c r="CF803" s="15" t="s">
        <v>444</v>
      </c>
      <c r="CI803" s="15" t="s">
        <v>444</v>
      </c>
      <c r="CK803" s="15" t="s">
        <v>444</v>
      </c>
      <c r="CM803" s="15" t="s">
        <v>444</v>
      </c>
      <c r="CO803" s="15" t="s">
        <v>444</v>
      </c>
      <c r="CP803" s="15" t="str">
        <f>"23.98"</f>
        <v>23.98</v>
      </c>
      <c r="CQ803" s="15" t="str">
        <f>"0.679"</f>
        <v>0.679</v>
      </c>
      <c r="CR803" s="15" t="s">
        <v>497</v>
      </c>
      <c r="CS803" s="15" t="s">
        <v>824</v>
      </c>
      <c r="CT803" s="15" t="s">
        <v>1188</v>
      </c>
      <c r="CU803" s="15" t="s">
        <v>824</v>
      </c>
      <c r="CV803" s="15" t="s">
        <v>824</v>
      </c>
      <c r="CW803" s="15" t="s">
        <v>1213</v>
      </c>
      <c r="CX803" s="15" t="s">
        <v>824</v>
      </c>
      <c r="DC803" s="15" t="str">
        <f>IFERROR(__xludf.DUMMYFUNCTION("""COMPUTED_VALUE"""),"")</f>
        <v/>
      </c>
      <c r="DE803" s="15" t="str">
        <f>IFERROR(__xludf.DUMMYFUNCTION("""COMPUTED_VALUE"""),"")</f>
        <v/>
      </c>
      <c r="DG803" s="15" t="str">
        <f>IFERROR(__xludf.DUMMYFUNCTION("""COMPUTED_VALUE"""),"")</f>
        <v/>
      </c>
      <c r="DL803" s="15" t="str">
        <f>IFERROR(__xludf.DUMMYFUNCTION("""COMPUTED_VALUE"""),"")</f>
        <v/>
      </c>
      <c r="DM803" s="15" t="s">
        <v>444</v>
      </c>
      <c r="DN803" s="15" t="s">
        <v>419</v>
      </c>
      <c r="DO803" s="15">
        <v>0.0</v>
      </c>
      <c r="DP803" s="15" t="s">
        <v>419</v>
      </c>
      <c r="DR803" s="15">
        <v>1.0</v>
      </c>
      <c r="DS803" s="15" t="s">
        <v>426</v>
      </c>
      <c r="DT803" s="15" t="s">
        <v>420</v>
      </c>
      <c r="DU803" s="15" t="s">
        <v>8466</v>
      </c>
      <c r="DW803" s="15">
        <v>18.14</v>
      </c>
      <c r="DX803" s="15">
        <v>40.0</v>
      </c>
      <c r="DY803" s="15">
        <v>1.0</v>
      </c>
      <c r="EG803" s="15" t="s">
        <v>444</v>
      </c>
      <c r="EH803" s="15" t="s">
        <v>8467</v>
      </c>
      <c r="EJ803" s="15" t="s">
        <v>500</v>
      </c>
      <c r="EK803" s="15" t="s">
        <v>501</v>
      </c>
      <c r="EM803" s="15" t="str">
        <f>IFERROR(__xludf.DUMMYFUNCTION("""COMPUTED_VALUE"""),"")</f>
        <v/>
      </c>
      <c r="EW803" s="15" t="s">
        <v>429</v>
      </c>
      <c r="FL803" s="15" t="s">
        <v>426</v>
      </c>
      <c r="FM803" s="15">
        <v>2.0</v>
      </c>
      <c r="FY803" s="15" t="s">
        <v>3336</v>
      </c>
      <c r="FZ803" s="15" t="s">
        <v>1188</v>
      </c>
      <c r="GA803" s="15" t="s">
        <v>650</v>
      </c>
      <c r="GB803" s="15" t="s">
        <v>824</v>
      </c>
      <c r="GC803" s="15" t="s">
        <v>1188</v>
      </c>
      <c r="GD803" s="15" t="s">
        <v>824</v>
      </c>
      <c r="GE803" s="15">
        <v>12.0</v>
      </c>
      <c r="GH803" s="15">
        <v>2.0</v>
      </c>
      <c r="GI803" s="15" t="s">
        <v>614</v>
      </c>
      <c r="GJ803" s="15" t="s">
        <v>1045</v>
      </c>
      <c r="GK803" s="15">
        <v>1.0</v>
      </c>
      <c r="GL803" s="15" t="s">
        <v>426</v>
      </c>
      <c r="GN803" s="15" t="s">
        <v>616</v>
      </c>
      <c r="HA803" s="15" t="s">
        <v>824</v>
      </c>
      <c r="HB803" s="15" t="s">
        <v>942</v>
      </c>
      <c r="HC803" s="15" t="s">
        <v>824</v>
      </c>
      <c r="JZ803" s="15" t="s">
        <v>477</v>
      </c>
      <c r="KA803" s="15" t="s">
        <v>426</v>
      </c>
    </row>
    <row r="804" ht="15.75" customHeight="1">
      <c r="A804" s="14" t="s">
        <v>391</v>
      </c>
      <c r="B804" s="15" t="s">
        <v>8468</v>
      </c>
      <c r="C804" s="16"/>
      <c r="D804" s="15" t="s">
        <v>432</v>
      </c>
      <c r="G804" s="14" t="s">
        <v>393</v>
      </c>
      <c r="H804" s="14" t="s">
        <v>394</v>
      </c>
      <c r="I804" s="14" t="b">
        <v>1</v>
      </c>
      <c r="J804" s="14" t="s">
        <v>395</v>
      </c>
      <c r="L804" s="14" t="b">
        <v>0</v>
      </c>
      <c r="M804" s="15" t="s">
        <v>8469</v>
      </c>
      <c r="N804" s="14" t="s">
        <v>393</v>
      </c>
      <c r="O804" s="14" t="s">
        <v>393</v>
      </c>
      <c r="P804" s="15" t="s">
        <v>397</v>
      </c>
      <c r="Q804" s="15" t="s">
        <v>1850</v>
      </c>
      <c r="T804" s="14" t="b">
        <v>0</v>
      </c>
      <c r="U804" s="15" t="s">
        <v>8470</v>
      </c>
      <c r="V804" s="15" t="s">
        <v>8471</v>
      </c>
      <c r="W804" s="15" t="s">
        <v>401</v>
      </c>
      <c r="X804" s="15" t="s">
        <v>1296</v>
      </c>
      <c r="Y804" s="15">
        <v>2522.0</v>
      </c>
      <c r="AA804" s="15" t="str">
        <f>"970"</f>
        <v>970</v>
      </c>
      <c r="AB804" s="14" t="b">
        <v>1</v>
      </c>
      <c r="AC804" s="14" t="b">
        <v>1</v>
      </c>
      <c r="AD804" s="15" t="str">
        <f>"801542431679"</f>
        <v>801542431679</v>
      </c>
      <c r="AE804" s="15" t="s">
        <v>8472</v>
      </c>
      <c r="AF804" s="14" t="s">
        <v>404</v>
      </c>
      <c r="AG804" s="14" t="s">
        <v>405</v>
      </c>
      <c r="AH804" s="14" t="s">
        <v>406</v>
      </c>
      <c r="AI804" s="15">
        <v>0.0</v>
      </c>
      <c r="AL804" s="15" t="s">
        <v>4243</v>
      </c>
      <c r="AM804" s="15" t="s">
        <v>6313</v>
      </c>
      <c r="AN804" s="15" t="s">
        <v>6314</v>
      </c>
      <c r="AO804" s="15" t="s">
        <v>600</v>
      </c>
      <c r="AP804" s="15" t="s">
        <v>601</v>
      </c>
      <c r="AQ804" s="15" t="s">
        <v>2229</v>
      </c>
      <c r="AR804" s="15" t="s">
        <v>2230</v>
      </c>
      <c r="AS804" s="15" t="s">
        <v>8463</v>
      </c>
      <c r="AT804" s="15" t="s">
        <v>1850</v>
      </c>
      <c r="AU804" s="15" t="s">
        <v>8473</v>
      </c>
      <c r="AW804" s="15" t="s">
        <v>2134</v>
      </c>
      <c r="AX804" s="15" t="s">
        <v>2135</v>
      </c>
      <c r="AY804" s="15" t="s">
        <v>413</v>
      </c>
      <c r="AZ804" s="15" t="b">
        <v>0</v>
      </c>
      <c r="BA804" s="15" t="s">
        <v>413</v>
      </c>
      <c r="BB804" s="15" t="b">
        <v>0</v>
      </c>
      <c r="BC804" s="15" t="s">
        <v>8474</v>
      </c>
      <c r="BD804" s="15" t="s">
        <v>1303</v>
      </c>
      <c r="BE804" s="15" t="str">
        <f t="shared" si="1360"/>
        <v>1</v>
      </c>
      <c r="BF804" s="15" t="s">
        <v>416</v>
      </c>
      <c r="BG804" s="15" t="str">
        <f>"74.25"</f>
        <v>74.25</v>
      </c>
      <c r="BH804" s="15" t="s">
        <v>8475</v>
      </c>
      <c r="BI804" s="15" t="str">
        <f>"30"</f>
        <v>30</v>
      </c>
      <c r="BJ804" s="15" t="s">
        <v>547</v>
      </c>
      <c r="BK804" s="15" t="str">
        <f>"27.5"</f>
        <v>27.5</v>
      </c>
      <c r="BL804" s="15" t="s">
        <v>1056</v>
      </c>
      <c r="BM804" s="15" t="str">
        <f>"257.06"</f>
        <v>257.06</v>
      </c>
      <c r="BN804" s="15" t="s">
        <v>8476</v>
      </c>
      <c r="BQ804" s="15" t="s">
        <v>444</v>
      </c>
      <c r="BS804" s="15" t="s">
        <v>444</v>
      </c>
      <c r="BU804" s="15" t="s">
        <v>444</v>
      </c>
      <c r="BW804" s="15" t="s">
        <v>444</v>
      </c>
      <c r="BZ804" s="15" t="s">
        <v>444</v>
      </c>
      <c r="CB804" s="15" t="s">
        <v>444</v>
      </c>
      <c r="CD804" s="15" t="s">
        <v>444</v>
      </c>
      <c r="CF804" s="15" t="s">
        <v>444</v>
      </c>
      <c r="CI804" s="15" t="s">
        <v>444</v>
      </c>
      <c r="CK804" s="15" t="s">
        <v>444</v>
      </c>
      <c r="CM804" s="15" t="s">
        <v>444</v>
      </c>
      <c r="CO804" s="15" t="s">
        <v>444</v>
      </c>
      <c r="CP804" s="15" t="str">
        <f>"35.46"</f>
        <v>35.46</v>
      </c>
      <c r="CQ804" s="15" t="str">
        <f>"1.004"</f>
        <v>1.004</v>
      </c>
      <c r="CR804" s="15" t="s">
        <v>497</v>
      </c>
      <c r="CV804" s="15" t="s">
        <v>525</v>
      </c>
      <c r="CW804" s="15" t="s">
        <v>824</v>
      </c>
      <c r="CX804" s="15" t="s">
        <v>1237</v>
      </c>
      <c r="DC804" s="15" t="str">
        <f>IFERROR(__xludf.DUMMYFUNCTION("""COMPUTED_VALUE"""),"")</f>
        <v/>
      </c>
      <c r="DE804" s="15" t="str">
        <f>IFERROR(__xludf.DUMMYFUNCTION("""COMPUTED_VALUE"""),"")</f>
        <v/>
      </c>
      <c r="DG804" s="15" t="str">
        <f>IFERROR(__xludf.DUMMYFUNCTION("""COMPUTED_VALUE"""),"")</f>
        <v/>
      </c>
      <c r="DL804" s="15" t="str">
        <f>IFERROR(__xludf.DUMMYFUNCTION("""COMPUTED_VALUE"""),"")</f>
        <v/>
      </c>
      <c r="DM804" s="15" t="s">
        <v>444</v>
      </c>
      <c r="DN804" s="15" t="s">
        <v>419</v>
      </c>
      <c r="DO804" s="15">
        <v>0.0</v>
      </c>
      <c r="DP804" s="15" t="s">
        <v>419</v>
      </c>
      <c r="DR804" s="15">
        <v>0.0</v>
      </c>
      <c r="DT804" s="15" t="s">
        <v>420</v>
      </c>
      <c r="DU804" s="15" t="s">
        <v>610</v>
      </c>
      <c r="DY804" s="15">
        <v>2.0</v>
      </c>
      <c r="EF804" s="15" t="s">
        <v>2137</v>
      </c>
      <c r="EG804" s="15" t="s">
        <v>2138</v>
      </c>
      <c r="EH804" s="15" t="s">
        <v>8467</v>
      </c>
      <c r="EJ804" s="15" t="s">
        <v>424</v>
      </c>
      <c r="EK804" s="15" t="s">
        <v>446</v>
      </c>
      <c r="EM804" s="15" t="str">
        <f>IFERROR(__xludf.DUMMYFUNCTION("""COMPUTED_VALUE"""),"")</f>
        <v/>
      </c>
      <c r="EW804" s="15" t="s">
        <v>1069</v>
      </c>
      <c r="EX804" s="15" t="s">
        <v>1700</v>
      </c>
      <c r="EY804" s="15" t="s">
        <v>1072</v>
      </c>
      <c r="FH804" s="15" t="s">
        <v>612</v>
      </c>
      <c r="FI804" s="15" t="s">
        <v>2547</v>
      </c>
      <c r="FJ804" s="15" t="s">
        <v>612</v>
      </c>
      <c r="FK804" s="15" t="s">
        <v>672</v>
      </c>
      <c r="FL804" s="15" t="s">
        <v>426</v>
      </c>
      <c r="FM804" s="15">
        <v>3.0</v>
      </c>
      <c r="FV804" s="15" t="s">
        <v>555</v>
      </c>
      <c r="FY804" s="15" t="s">
        <v>1237</v>
      </c>
      <c r="FZ804" s="15" t="s">
        <v>1188</v>
      </c>
      <c r="GA804" s="15" t="s">
        <v>1072</v>
      </c>
      <c r="GB804" s="15" t="s">
        <v>525</v>
      </c>
      <c r="GC804" s="15" t="s">
        <v>1188</v>
      </c>
      <c r="GD804" s="15" t="s">
        <v>1237</v>
      </c>
      <c r="GG804" s="15" t="s">
        <v>785</v>
      </c>
      <c r="GH804" s="15">
        <v>2.0</v>
      </c>
      <c r="GI804" s="15" t="s">
        <v>614</v>
      </c>
      <c r="GJ804" s="15" t="s">
        <v>1045</v>
      </c>
      <c r="GL804" s="15" t="s">
        <v>426</v>
      </c>
      <c r="GN804" s="15" t="s">
        <v>616</v>
      </c>
      <c r="HA804" s="15" t="s">
        <v>8477</v>
      </c>
      <c r="HB804" s="15" t="s">
        <v>1807</v>
      </c>
      <c r="HC804" s="15" t="s">
        <v>468</v>
      </c>
      <c r="HD804" s="15">
        <v>0.0</v>
      </c>
      <c r="IG804" s="15" t="s">
        <v>426</v>
      </c>
    </row>
    <row r="805" ht="15.75" customHeight="1">
      <c r="A805" s="14" t="s">
        <v>391</v>
      </c>
      <c r="B805" s="15" t="s">
        <v>8478</v>
      </c>
      <c r="C805" s="16"/>
      <c r="D805" s="15" t="s">
        <v>432</v>
      </c>
      <c r="G805" s="14" t="s">
        <v>393</v>
      </c>
      <c r="H805" s="14" t="s">
        <v>394</v>
      </c>
      <c r="I805" s="14" t="b">
        <v>1</v>
      </c>
      <c r="J805" s="14" t="s">
        <v>395</v>
      </c>
      <c r="L805" s="14" t="b">
        <v>0</v>
      </c>
      <c r="M805" s="15" t="s">
        <v>8479</v>
      </c>
      <c r="N805" s="14" t="s">
        <v>393</v>
      </c>
      <c r="O805" s="14" t="s">
        <v>393</v>
      </c>
      <c r="P805" s="15" t="s">
        <v>397</v>
      </c>
      <c r="Q805" s="15" t="s">
        <v>8480</v>
      </c>
      <c r="T805" s="14" t="b">
        <v>0</v>
      </c>
      <c r="U805" s="15" t="s">
        <v>8481</v>
      </c>
      <c r="V805" s="15" t="s">
        <v>8482</v>
      </c>
      <c r="W805" s="15" t="s">
        <v>401</v>
      </c>
      <c r="X805" s="15" t="s">
        <v>742</v>
      </c>
      <c r="Y805" s="15">
        <v>2847.0</v>
      </c>
      <c r="AA805" s="15" t="str">
        <f>"1095"</f>
        <v>1095</v>
      </c>
      <c r="AB805" s="14" t="b">
        <v>1</v>
      </c>
      <c r="AC805" s="14" t="b">
        <v>1</v>
      </c>
      <c r="AD805" s="15" t="str">
        <f>"801542307516"</f>
        <v>801542307516</v>
      </c>
      <c r="AE805" s="15" t="s">
        <v>8483</v>
      </c>
      <c r="AF805" s="14" t="s">
        <v>404</v>
      </c>
      <c r="AG805" s="14" t="s">
        <v>405</v>
      </c>
      <c r="AH805" s="14" t="s">
        <v>406</v>
      </c>
      <c r="AI805" s="15">
        <v>0.0</v>
      </c>
      <c r="AL805" s="15" t="s">
        <v>407</v>
      </c>
      <c r="AM805" s="15" t="s">
        <v>770</v>
      </c>
      <c r="AN805" s="15" t="s">
        <v>771</v>
      </c>
      <c r="AO805" s="15" t="s">
        <v>2557</v>
      </c>
      <c r="AP805" s="15" t="s">
        <v>2558</v>
      </c>
      <c r="AQ805" s="15" t="s">
        <v>546</v>
      </c>
      <c r="AR805" s="15" t="s">
        <v>547</v>
      </c>
      <c r="AS805" s="15" t="s">
        <v>1502</v>
      </c>
      <c r="AT805" s="15" t="s">
        <v>8480</v>
      </c>
      <c r="AU805" s="15" t="s">
        <v>1503</v>
      </c>
      <c r="AW805" s="15" t="s">
        <v>548</v>
      </c>
      <c r="AX805" s="15" t="s">
        <v>549</v>
      </c>
      <c r="AY805" s="15" t="s">
        <v>413</v>
      </c>
      <c r="AZ805" s="15" t="b">
        <v>0</v>
      </c>
      <c r="BA805" s="15" t="s">
        <v>413</v>
      </c>
      <c r="BB805" s="15" t="b">
        <v>0</v>
      </c>
      <c r="BC805" s="15" t="s">
        <v>8484</v>
      </c>
      <c r="BD805" s="15" t="s">
        <v>742</v>
      </c>
      <c r="BE805" s="15" t="str">
        <f t="shared" si="1360"/>
        <v>1</v>
      </c>
      <c r="BF805" s="15" t="s">
        <v>416</v>
      </c>
      <c r="BG805" s="15" t="str">
        <f>"100.59"</f>
        <v>100.59</v>
      </c>
      <c r="BH805" s="15" t="s">
        <v>604</v>
      </c>
      <c r="BI805" s="15" t="str">
        <f>"12.8"</f>
        <v>12.8</v>
      </c>
      <c r="BJ805" s="15" t="s">
        <v>5315</v>
      </c>
      <c r="BK805" s="15" t="str">
        <f>"48.43"</f>
        <v>48.43</v>
      </c>
      <c r="BL805" s="15" t="s">
        <v>7612</v>
      </c>
      <c r="BM805" s="15" t="str">
        <f>"302.03"</f>
        <v>302.03</v>
      </c>
      <c r="BN805" s="15" t="s">
        <v>8485</v>
      </c>
      <c r="BQ805" s="15" t="s">
        <v>444</v>
      </c>
      <c r="BS805" s="15" t="s">
        <v>444</v>
      </c>
      <c r="BU805" s="15" t="s">
        <v>444</v>
      </c>
      <c r="BW805" s="15" t="s">
        <v>444</v>
      </c>
      <c r="BZ805" s="15" t="s">
        <v>444</v>
      </c>
      <c r="CB805" s="15" t="s">
        <v>444</v>
      </c>
      <c r="CD805" s="15" t="s">
        <v>444</v>
      </c>
      <c r="CF805" s="15" t="s">
        <v>444</v>
      </c>
      <c r="CI805" s="15" t="s">
        <v>444</v>
      </c>
      <c r="CK805" s="15" t="s">
        <v>444</v>
      </c>
      <c r="CM805" s="15" t="s">
        <v>444</v>
      </c>
      <c r="CO805" s="15" t="s">
        <v>444</v>
      </c>
      <c r="CP805" s="15" t="str">
        <f>"36.06"</f>
        <v>36.06</v>
      </c>
      <c r="CQ805" s="15" t="str">
        <f>"1.021"</f>
        <v>1.021</v>
      </c>
      <c r="CR805" s="15" t="s">
        <v>417</v>
      </c>
      <c r="DC805" s="15" t="str">
        <f>IFERROR(__xludf.DUMMYFUNCTION("""COMPUTED_VALUE"""),"")</f>
        <v/>
      </c>
      <c r="DE805" s="15" t="str">
        <f>IFERROR(__xludf.DUMMYFUNCTION("""COMPUTED_VALUE"""),"")</f>
        <v/>
      </c>
      <c r="DG805" s="15" t="str">
        <f>IFERROR(__xludf.DUMMYFUNCTION("""COMPUTED_VALUE"""),"")</f>
        <v/>
      </c>
      <c r="DL805" s="15" t="str">
        <f>IFERROR(__xludf.DUMMYFUNCTION("""COMPUTED_VALUE"""),"")</f>
        <v/>
      </c>
      <c r="DM805" s="15" t="s">
        <v>444</v>
      </c>
      <c r="DN805" s="15" t="s">
        <v>419</v>
      </c>
      <c r="DO805" s="15">
        <v>0.0</v>
      </c>
      <c r="DP805" s="15" t="s">
        <v>419</v>
      </c>
      <c r="DR805" s="15">
        <v>0.0</v>
      </c>
      <c r="DT805" s="15" t="s">
        <v>1509</v>
      </c>
      <c r="DU805" s="15" t="s">
        <v>419</v>
      </c>
      <c r="DW805" s="15">
        <v>0.0</v>
      </c>
      <c r="DX805" s="15">
        <v>0.0</v>
      </c>
      <c r="DY805" s="15">
        <v>0.0</v>
      </c>
      <c r="EE805" s="15">
        <v>10.0</v>
      </c>
      <c r="EF805" s="15" t="s">
        <v>471</v>
      </c>
      <c r="EG805" s="15" t="s">
        <v>472</v>
      </c>
      <c r="EH805" s="15" t="s">
        <v>8486</v>
      </c>
      <c r="EJ805" s="15" t="s">
        <v>424</v>
      </c>
      <c r="EK805" s="15" t="s">
        <v>446</v>
      </c>
      <c r="EM805" s="15" t="str">
        <f>IFERROR(__xludf.DUMMYFUNCTION("""COMPUTED_VALUE"""),"")</f>
        <v/>
      </c>
      <c r="EW805" s="15" t="s">
        <v>8487</v>
      </c>
      <c r="EY805" s="15" t="s">
        <v>8488</v>
      </c>
      <c r="FH805" s="15" t="s">
        <v>8489</v>
      </c>
      <c r="FI805" s="15" t="s">
        <v>3908</v>
      </c>
      <c r="FJ805" s="15" t="s">
        <v>4163</v>
      </c>
      <c r="FK805" s="15" t="s">
        <v>1517</v>
      </c>
      <c r="FL805" s="15" t="s">
        <v>426</v>
      </c>
      <c r="FM805" s="15">
        <v>0.0</v>
      </c>
      <c r="FN805" s="15">
        <v>0.0</v>
      </c>
      <c r="FV805" s="15" t="s">
        <v>3908</v>
      </c>
      <c r="FW805" s="15" t="s">
        <v>1238</v>
      </c>
      <c r="FX805" s="15" t="s">
        <v>1123</v>
      </c>
    </row>
    <row r="806" ht="15.75" customHeight="1">
      <c r="A806" s="14" t="s">
        <v>391</v>
      </c>
      <c r="B806" s="15" t="s">
        <v>8490</v>
      </c>
      <c r="C806" s="16"/>
      <c r="D806" s="15" t="s">
        <v>432</v>
      </c>
      <c r="G806" s="14" t="s">
        <v>393</v>
      </c>
      <c r="H806" s="14" t="s">
        <v>394</v>
      </c>
      <c r="I806" s="14" t="b">
        <v>1</v>
      </c>
      <c r="J806" s="14" t="s">
        <v>395</v>
      </c>
      <c r="L806" s="14" t="b">
        <v>0</v>
      </c>
      <c r="M806" s="15" t="s">
        <v>8491</v>
      </c>
      <c r="N806" s="14" t="s">
        <v>393</v>
      </c>
      <c r="O806" s="14" t="s">
        <v>393</v>
      </c>
      <c r="P806" s="15" t="s">
        <v>397</v>
      </c>
      <c r="Q806" s="15" t="s">
        <v>8492</v>
      </c>
      <c r="T806" s="14" t="b">
        <v>0</v>
      </c>
      <c r="U806" s="15" t="s">
        <v>8493</v>
      </c>
      <c r="V806" s="15" t="s">
        <v>8494</v>
      </c>
      <c r="W806" s="15" t="s">
        <v>401</v>
      </c>
      <c r="X806" s="15" t="s">
        <v>742</v>
      </c>
      <c r="Y806" s="15">
        <v>5031.0</v>
      </c>
      <c r="AA806" s="15" t="str">
        <f>"1935"</f>
        <v>1935</v>
      </c>
      <c r="AB806" s="14" t="b">
        <v>1</v>
      </c>
      <c r="AC806" s="14" t="b">
        <v>1</v>
      </c>
      <c r="AD806" s="15" t="str">
        <f>"801542805906"</f>
        <v>801542805906</v>
      </c>
      <c r="AE806" s="15" t="s">
        <v>8495</v>
      </c>
      <c r="AF806" s="14" t="s">
        <v>404</v>
      </c>
      <c r="AG806" s="14" t="s">
        <v>405</v>
      </c>
      <c r="AH806" s="14" t="s">
        <v>406</v>
      </c>
      <c r="AI806" s="15">
        <v>0.0</v>
      </c>
      <c r="AL806" s="15" t="s">
        <v>6706</v>
      </c>
      <c r="AM806" s="15" t="s">
        <v>8496</v>
      </c>
      <c r="AN806" s="15" t="s">
        <v>8497</v>
      </c>
      <c r="AO806" s="15" t="s">
        <v>624</v>
      </c>
      <c r="AP806" s="15" t="s">
        <v>625</v>
      </c>
      <c r="AQ806" s="15" t="s">
        <v>1276</v>
      </c>
      <c r="AR806" s="15" t="s">
        <v>1277</v>
      </c>
      <c r="AS806" s="15" t="s">
        <v>2759</v>
      </c>
      <c r="AT806" s="15" t="s">
        <v>8492</v>
      </c>
      <c r="AW806" s="15" t="s">
        <v>664</v>
      </c>
      <c r="AY806" s="15" t="s">
        <v>413</v>
      </c>
      <c r="AZ806" s="15" t="b">
        <v>0</v>
      </c>
      <c r="BA806" s="15" t="s">
        <v>413</v>
      </c>
      <c r="BB806" s="15" t="b">
        <v>0</v>
      </c>
      <c r="BC806" s="15" t="s">
        <v>8498</v>
      </c>
      <c r="BD806" s="15" t="s">
        <v>742</v>
      </c>
      <c r="BE806" s="15" t="str">
        <f t="shared" si="1360"/>
        <v>1</v>
      </c>
      <c r="BF806" s="15" t="s">
        <v>416</v>
      </c>
      <c r="BG806" s="15" t="str">
        <f>"95.87"</f>
        <v>95.87</v>
      </c>
      <c r="BH806" s="15" t="s">
        <v>8499</v>
      </c>
      <c r="BI806" s="15" t="str">
        <f>"23.82"</f>
        <v>23.82</v>
      </c>
      <c r="BJ806" s="15" t="s">
        <v>8500</v>
      </c>
      <c r="BK806" s="15" t="str">
        <f>"39.76"</f>
        <v>39.76</v>
      </c>
      <c r="BL806" s="15" t="s">
        <v>5501</v>
      </c>
      <c r="BM806" s="15" t="str">
        <f>"366.63"</f>
        <v>366.63</v>
      </c>
      <c r="BN806" s="15" t="s">
        <v>8501</v>
      </c>
      <c r="BQ806" s="15" t="s">
        <v>444</v>
      </c>
      <c r="BS806" s="15" t="s">
        <v>444</v>
      </c>
      <c r="BU806" s="15" t="s">
        <v>444</v>
      </c>
      <c r="BW806" s="15" t="s">
        <v>444</v>
      </c>
      <c r="BZ806" s="15" t="s">
        <v>444</v>
      </c>
      <c r="CB806" s="15" t="s">
        <v>444</v>
      </c>
      <c r="CD806" s="15" t="s">
        <v>444</v>
      </c>
      <c r="CF806" s="15" t="s">
        <v>444</v>
      </c>
      <c r="CI806" s="15" t="s">
        <v>444</v>
      </c>
      <c r="CK806" s="15" t="s">
        <v>444</v>
      </c>
      <c r="CM806" s="15" t="s">
        <v>444</v>
      </c>
      <c r="CO806" s="15" t="s">
        <v>444</v>
      </c>
      <c r="CP806" s="15" t="str">
        <f>"52.55"</f>
        <v>52.55</v>
      </c>
      <c r="CQ806" s="15" t="str">
        <f>"1.488"</f>
        <v>1.488</v>
      </c>
      <c r="CR806" s="15" t="s">
        <v>497</v>
      </c>
      <c r="CV806" s="15" t="s">
        <v>3777</v>
      </c>
      <c r="CW806" s="15" t="s">
        <v>8502</v>
      </c>
      <c r="CX806" s="15" t="s">
        <v>8503</v>
      </c>
      <c r="DC806" s="15" t="str">
        <f>IFERROR(__xludf.DUMMYFUNCTION("""COMPUTED_VALUE"""),"")</f>
        <v/>
      </c>
      <c r="DE806" s="15" t="str">
        <f>IFERROR(__xludf.DUMMYFUNCTION("""COMPUTED_VALUE"""),"")</f>
        <v/>
      </c>
      <c r="DG806" s="15" t="str">
        <f>IFERROR(__xludf.DUMMYFUNCTION("""COMPUTED_VALUE"""),"")</f>
        <v/>
      </c>
      <c r="DL806" s="15" t="str">
        <f>IFERROR(__xludf.DUMMYFUNCTION("""COMPUTED_VALUE"""),"")</f>
        <v/>
      </c>
      <c r="DM806" s="15" t="s">
        <v>444</v>
      </c>
      <c r="DN806" s="15" t="s">
        <v>419</v>
      </c>
      <c r="DO806" s="15">
        <v>0.0</v>
      </c>
      <c r="DP806" s="15" t="s">
        <v>419</v>
      </c>
      <c r="DR806" s="15">
        <v>0.0</v>
      </c>
      <c r="DT806" s="15" t="s">
        <v>420</v>
      </c>
      <c r="DU806" s="15" t="s">
        <v>610</v>
      </c>
      <c r="DW806" s="15">
        <v>18.14</v>
      </c>
      <c r="DX806" s="15">
        <v>40.0</v>
      </c>
      <c r="DY806" s="15">
        <v>2.0</v>
      </c>
      <c r="EG806" s="15" t="s">
        <v>444</v>
      </c>
      <c r="EH806" s="15" t="s">
        <v>8504</v>
      </c>
      <c r="EJ806" s="15" t="s">
        <v>424</v>
      </c>
      <c r="EK806" s="15" t="s">
        <v>446</v>
      </c>
      <c r="EM806" s="15" t="str">
        <f>IFERROR(__xludf.DUMMYFUNCTION("""COMPUTED_VALUE"""),"")</f>
        <v/>
      </c>
      <c r="EW806" s="15" t="s">
        <v>2969</v>
      </c>
      <c r="FL806" s="15" t="s">
        <v>426</v>
      </c>
      <c r="FM806" s="15">
        <v>2.0</v>
      </c>
      <c r="FY806" s="15" t="s">
        <v>2017</v>
      </c>
      <c r="FZ806" s="15" t="s">
        <v>3911</v>
      </c>
      <c r="GA806" s="15" t="s">
        <v>715</v>
      </c>
      <c r="GB806" s="15" t="s">
        <v>3777</v>
      </c>
      <c r="GC806" s="15" t="s">
        <v>2046</v>
      </c>
      <c r="GD806" s="15" t="s">
        <v>8503</v>
      </c>
      <c r="GE806" s="15">
        <v>0.0</v>
      </c>
      <c r="GH806" s="15">
        <v>4.0</v>
      </c>
      <c r="GI806" s="15" t="s">
        <v>614</v>
      </c>
      <c r="GJ806" s="15" t="s">
        <v>1045</v>
      </c>
      <c r="GK806" s="15">
        <v>0.0</v>
      </c>
      <c r="GL806" s="15" t="s">
        <v>426</v>
      </c>
      <c r="GN806" s="15" t="s">
        <v>616</v>
      </c>
      <c r="HA806" s="15" t="s">
        <v>3777</v>
      </c>
      <c r="HB806" s="15" t="s">
        <v>8502</v>
      </c>
      <c r="HC806" s="15" t="s">
        <v>8503</v>
      </c>
      <c r="HW806" s="15" t="s">
        <v>1957</v>
      </c>
      <c r="IH806" s="15" t="s">
        <v>426</v>
      </c>
    </row>
    <row r="807" ht="15.75" customHeight="1">
      <c r="A807" s="14" t="s">
        <v>391</v>
      </c>
      <c r="B807" s="15" t="s">
        <v>8505</v>
      </c>
      <c r="C807" s="16"/>
      <c r="D807" s="15" t="s">
        <v>432</v>
      </c>
      <c r="G807" s="14" t="s">
        <v>393</v>
      </c>
      <c r="H807" s="14" t="s">
        <v>394</v>
      </c>
      <c r="I807" s="14" t="b">
        <v>1</v>
      </c>
      <c r="J807" s="14" t="s">
        <v>395</v>
      </c>
      <c r="L807" s="14" t="b">
        <v>0</v>
      </c>
      <c r="M807" s="15" t="s">
        <v>8506</v>
      </c>
      <c r="N807" s="14" t="s">
        <v>393</v>
      </c>
      <c r="O807" s="14" t="s">
        <v>393</v>
      </c>
      <c r="P807" s="15" t="s">
        <v>397</v>
      </c>
      <c r="Q807" s="15" t="s">
        <v>1612</v>
      </c>
      <c r="T807" s="14" t="b">
        <v>0</v>
      </c>
      <c r="U807" s="15" t="s">
        <v>8507</v>
      </c>
      <c r="V807" s="15" t="s">
        <v>6822</v>
      </c>
      <c r="W807" s="15" t="s">
        <v>401</v>
      </c>
      <c r="X807" s="15" t="s">
        <v>402</v>
      </c>
      <c r="Y807" s="15">
        <v>1755.0</v>
      </c>
      <c r="AA807" s="15" t="str">
        <f>"675"</f>
        <v>675</v>
      </c>
      <c r="AB807" s="14" t="b">
        <v>1</v>
      </c>
      <c r="AC807" s="14" t="b">
        <v>1</v>
      </c>
      <c r="AD807" s="15" t="str">
        <f>"801542108083"</f>
        <v>801542108083</v>
      </c>
      <c r="AE807" s="15" t="s">
        <v>8508</v>
      </c>
      <c r="AF807" s="14" t="s">
        <v>404</v>
      </c>
      <c r="AG807" s="14" t="s">
        <v>405</v>
      </c>
      <c r="AH807" s="14" t="s">
        <v>406</v>
      </c>
      <c r="AI807" s="15">
        <v>0.0</v>
      </c>
      <c r="AL807" s="15" t="s">
        <v>1615</v>
      </c>
      <c r="AM807" s="15" t="s">
        <v>1222</v>
      </c>
      <c r="AN807" s="15" t="s">
        <v>1223</v>
      </c>
      <c r="AO807" s="15" t="s">
        <v>1944</v>
      </c>
      <c r="AP807" s="15" t="s">
        <v>1945</v>
      </c>
      <c r="AQ807" s="15" t="s">
        <v>1175</v>
      </c>
      <c r="AR807" s="15" t="s">
        <v>1176</v>
      </c>
      <c r="AS807" s="15" t="s">
        <v>2108</v>
      </c>
      <c r="AT807" s="15" t="s">
        <v>1612</v>
      </c>
      <c r="AW807" s="15" t="s">
        <v>706</v>
      </c>
      <c r="AX807" s="15" t="s">
        <v>707</v>
      </c>
      <c r="AY807" s="15" t="s">
        <v>413</v>
      </c>
      <c r="AZ807" s="15" t="b">
        <v>0</v>
      </c>
      <c r="BA807" s="15" t="s">
        <v>413</v>
      </c>
      <c r="BB807" s="15" t="b">
        <v>0</v>
      </c>
      <c r="BC807" s="15" t="s">
        <v>8509</v>
      </c>
      <c r="BD807" s="15" t="s">
        <v>415</v>
      </c>
      <c r="BE807" s="15" t="str">
        <f t="shared" si="1360"/>
        <v>1</v>
      </c>
      <c r="BF807" s="15" t="s">
        <v>416</v>
      </c>
      <c r="BG807" s="15" t="str">
        <f>"36.22"</f>
        <v>36.22</v>
      </c>
      <c r="BH807" s="15" t="s">
        <v>1779</v>
      </c>
      <c r="BI807" s="15" t="str">
        <f>"36.22"</f>
        <v>36.22</v>
      </c>
      <c r="BJ807" s="15" t="s">
        <v>1779</v>
      </c>
      <c r="BK807" s="15" t="str">
        <f>"27.17"</f>
        <v>27.17</v>
      </c>
      <c r="BL807" s="15" t="s">
        <v>1478</v>
      </c>
      <c r="BM807" s="15" t="str">
        <f>"82.01"</f>
        <v>82.01</v>
      </c>
      <c r="BN807" s="15" t="s">
        <v>8510</v>
      </c>
      <c r="BQ807" s="15" t="s">
        <v>444</v>
      </c>
      <c r="BS807" s="15" t="s">
        <v>444</v>
      </c>
      <c r="BU807" s="15" t="s">
        <v>444</v>
      </c>
      <c r="BW807" s="15" t="s">
        <v>444</v>
      </c>
      <c r="BZ807" s="15" t="s">
        <v>444</v>
      </c>
      <c r="CB807" s="15" t="s">
        <v>444</v>
      </c>
      <c r="CD807" s="15" t="s">
        <v>444</v>
      </c>
      <c r="CF807" s="15" t="s">
        <v>444</v>
      </c>
      <c r="CI807" s="15" t="s">
        <v>444</v>
      </c>
      <c r="CK807" s="15" t="s">
        <v>444</v>
      </c>
      <c r="CM807" s="15" t="s">
        <v>444</v>
      </c>
      <c r="CO807" s="15" t="s">
        <v>444</v>
      </c>
      <c r="CP807" s="15" t="str">
        <f>"20.62"</f>
        <v>20.62</v>
      </c>
      <c r="CQ807" s="15" t="str">
        <f>"0.584"</f>
        <v>0.584</v>
      </c>
      <c r="CR807" s="15" t="s">
        <v>465</v>
      </c>
      <c r="CY807" s="15" t="s">
        <v>1286</v>
      </c>
      <c r="CZ807" s="15" t="s">
        <v>2116</v>
      </c>
      <c r="DA807" s="15" t="s">
        <v>1212</v>
      </c>
      <c r="DB807" s="15" t="s">
        <v>1286</v>
      </c>
      <c r="DC807" s="15" t="str">
        <f>IFERROR(__xludf.DUMMYFUNCTION("""COMPUTED_VALUE"""),"{""value"":23.50,""unit"":""in""}")</f>
        <v>{"value":23.50,"unit":"in"}</v>
      </c>
      <c r="DD807" s="15" t="s">
        <v>1161</v>
      </c>
      <c r="DE807" s="15" t="str">
        <f>IFERROR(__xludf.DUMMYFUNCTION("""COMPUTED_VALUE"""),"{""value"":17.00,""unit"":""in""}")</f>
        <v>{"value":17.00,"unit":"in"}</v>
      </c>
      <c r="DG807" s="15" t="str">
        <f>IFERROR(__xludf.DUMMYFUNCTION("""COMPUTED_VALUE"""),"")</f>
        <v/>
      </c>
      <c r="DH807" s="15">
        <v>0.0</v>
      </c>
      <c r="DI807" s="15">
        <v>0.0</v>
      </c>
      <c r="DJ807" s="15" t="s">
        <v>717</v>
      </c>
      <c r="DK807" s="15" t="s">
        <v>718</v>
      </c>
      <c r="DL807" s="15" t="str">
        <f>IFERROR(__xludf.DUMMYFUNCTION("""COMPUTED_VALUE"""),"Vacuum or light brush only. Do not use water or any cleaning products.")</f>
        <v>Vacuum or light brush only. Do not use water or any cleaning products.</v>
      </c>
      <c r="DM807" s="15" t="s">
        <v>719</v>
      </c>
      <c r="DQ807" s="15" t="s">
        <v>8511</v>
      </c>
      <c r="DT807" s="15" t="s">
        <v>721</v>
      </c>
      <c r="DU807" s="15" t="s">
        <v>1605</v>
      </c>
      <c r="DV807" s="15">
        <v>0.0</v>
      </c>
      <c r="DZ807" s="15">
        <v>30000.0</v>
      </c>
      <c r="EA807" s="15" t="s">
        <v>722</v>
      </c>
      <c r="EB807" s="15" t="s">
        <v>723</v>
      </c>
      <c r="EC807" s="15" t="s">
        <v>724</v>
      </c>
      <c r="ED807" s="15">
        <v>1.0</v>
      </c>
      <c r="EE807" s="15">
        <v>1.0</v>
      </c>
      <c r="EG807" s="15" t="s">
        <v>444</v>
      </c>
      <c r="EH807" s="15" t="s">
        <v>8512</v>
      </c>
      <c r="EI807" s="15">
        <v>0.0</v>
      </c>
      <c r="EJ807" s="15" t="s">
        <v>726</v>
      </c>
      <c r="EK807" s="15" t="s">
        <v>727</v>
      </c>
      <c r="EL807" s="15" t="s">
        <v>1806</v>
      </c>
      <c r="EM807" s="15" t="str">
        <f>IFERROR(__xludf.DUMMYFUNCTION("""COMPUTED_VALUE"""),"{""value"":26.00,""unit"":""in""}")</f>
        <v>{"value":26.00,"unit":"in"}</v>
      </c>
      <c r="EN807" s="15" t="s">
        <v>939</v>
      </c>
      <c r="EO807" s="15" t="s">
        <v>2637</v>
      </c>
      <c r="ES807" s="15" t="s">
        <v>505</v>
      </c>
      <c r="EW807" s="15" t="s">
        <v>672</v>
      </c>
      <c r="EZ807" s="15" t="s">
        <v>1593</v>
      </c>
      <c r="FF807" s="15" t="s">
        <v>1239</v>
      </c>
      <c r="FO807" s="15" t="s">
        <v>467</v>
      </c>
      <c r="FP807" s="15" t="s">
        <v>555</v>
      </c>
      <c r="FQ807" s="15">
        <v>0.0</v>
      </c>
      <c r="FR807" s="15">
        <v>0.0</v>
      </c>
      <c r="FT807" s="15">
        <v>0.0</v>
      </c>
      <c r="IL807" s="15" t="s">
        <v>1610</v>
      </c>
    </row>
    <row r="808" ht="15.75" customHeight="1">
      <c r="A808" s="14" t="s">
        <v>391</v>
      </c>
      <c r="B808" s="15" t="s">
        <v>8513</v>
      </c>
      <c r="C808" s="16"/>
      <c r="D808" s="15" t="s">
        <v>432</v>
      </c>
      <c r="G808" s="14" t="s">
        <v>393</v>
      </c>
      <c r="H808" s="14" t="s">
        <v>394</v>
      </c>
      <c r="I808" s="14" t="b">
        <v>1</v>
      </c>
      <c r="J808" s="14" t="s">
        <v>395</v>
      </c>
      <c r="L808" s="14" t="b">
        <v>0</v>
      </c>
      <c r="M808" s="15" t="s">
        <v>8514</v>
      </c>
      <c r="N808" s="14" t="s">
        <v>393</v>
      </c>
      <c r="O808" s="14" t="s">
        <v>393</v>
      </c>
      <c r="P808" s="15" t="s">
        <v>397</v>
      </c>
      <c r="Q808" s="15" t="s">
        <v>1556</v>
      </c>
      <c r="T808" s="14" t="b">
        <v>0</v>
      </c>
      <c r="U808" s="15" t="s">
        <v>8515</v>
      </c>
      <c r="V808" s="15" t="s">
        <v>768</v>
      </c>
      <c r="W808" s="15" t="s">
        <v>401</v>
      </c>
      <c r="X808" s="15" t="s">
        <v>402</v>
      </c>
      <c r="Y808" s="15">
        <v>4706.0</v>
      </c>
      <c r="AA808" s="15" t="str">
        <f>"1810"</f>
        <v>1810</v>
      </c>
      <c r="AB808" s="14" t="b">
        <v>1</v>
      </c>
      <c r="AC808" s="14" t="b">
        <v>1</v>
      </c>
      <c r="AD808" s="15" t="str">
        <f>"801542245696"</f>
        <v>801542245696</v>
      </c>
      <c r="AE808" s="15" t="s">
        <v>8516</v>
      </c>
      <c r="AF808" s="14" t="s">
        <v>404</v>
      </c>
      <c r="AG808" s="14" t="s">
        <v>405</v>
      </c>
      <c r="AH808" s="14" t="s">
        <v>406</v>
      </c>
      <c r="AI808" s="15">
        <v>0.0</v>
      </c>
      <c r="AL808" s="15" t="s">
        <v>8517</v>
      </c>
      <c r="AM808" s="15" t="s">
        <v>4293</v>
      </c>
      <c r="AN808" s="15" t="s">
        <v>4294</v>
      </c>
      <c r="AO808" s="15" t="s">
        <v>1007</v>
      </c>
      <c r="AP808" s="15" t="s">
        <v>1008</v>
      </c>
      <c r="AQ808" s="15" t="s">
        <v>1085</v>
      </c>
      <c r="AR808" s="15" t="s">
        <v>1086</v>
      </c>
      <c r="AS808" s="15" t="s">
        <v>411</v>
      </c>
      <c r="AT808" s="15" t="s">
        <v>1556</v>
      </c>
      <c r="AU808" s="15" t="s">
        <v>8518</v>
      </c>
      <c r="AW808" s="15" t="s">
        <v>602</v>
      </c>
      <c r="AY808" s="15" t="s">
        <v>413</v>
      </c>
      <c r="AZ808" s="15" t="b">
        <v>0</v>
      </c>
      <c r="BA808" s="15" t="s">
        <v>413</v>
      </c>
      <c r="BB808" s="15" t="b">
        <v>0</v>
      </c>
      <c r="BC808" s="15" t="s">
        <v>8519</v>
      </c>
      <c r="BD808" s="15" t="s">
        <v>415</v>
      </c>
      <c r="BE808" s="15" t="str">
        <f t="shared" si="1360"/>
        <v>1</v>
      </c>
      <c r="BF808" s="15" t="s">
        <v>416</v>
      </c>
      <c r="BG808" s="15" t="str">
        <f>"97.64"</f>
        <v>97.64</v>
      </c>
      <c r="BH808" s="15" t="s">
        <v>7268</v>
      </c>
      <c r="BI808" s="15" t="str">
        <f>"24.02"</f>
        <v>24.02</v>
      </c>
      <c r="BJ808" s="15" t="s">
        <v>755</v>
      </c>
      <c r="BK808" s="15" t="str">
        <f>"35.04"</f>
        <v>35.04</v>
      </c>
      <c r="BL808" s="15" t="s">
        <v>1404</v>
      </c>
      <c r="BM808" s="15" t="str">
        <f>"327.38"</f>
        <v>327.38</v>
      </c>
      <c r="BN808" s="15" t="s">
        <v>8520</v>
      </c>
      <c r="BQ808" s="15" t="s">
        <v>444</v>
      </c>
      <c r="BS808" s="15" t="s">
        <v>444</v>
      </c>
      <c r="BU808" s="15" t="s">
        <v>444</v>
      </c>
      <c r="BW808" s="15" t="s">
        <v>444</v>
      </c>
      <c r="BZ808" s="15" t="s">
        <v>444</v>
      </c>
      <c r="CB808" s="15" t="s">
        <v>444</v>
      </c>
      <c r="CD808" s="15" t="s">
        <v>444</v>
      </c>
      <c r="CF808" s="15" t="s">
        <v>444</v>
      </c>
      <c r="CI808" s="15" t="s">
        <v>444</v>
      </c>
      <c r="CK808" s="15" t="s">
        <v>444</v>
      </c>
      <c r="CM808" s="15" t="s">
        <v>444</v>
      </c>
      <c r="CO808" s="15" t="s">
        <v>444</v>
      </c>
      <c r="CP808" s="15" t="str">
        <f>"47.53"</f>
        <v>47.53</v>
      </c>
      <c r="CQ808" s="15" t="str">
        <f>"1.346"</f>
        <v>1.346</v>
      </c>
      <c r="CR808" s="15" t="s">
        <v>497</v>
      </c>
      <c r="CV808" s="15" t="s">
        <v>1160</v>
      </c>
      <c r="CW808" s="15" t="s">
        <v>6775</v>
      </c>
      <c r="CX808" s="15" t="s">
        <v>8521</v>
      </c>
      <c r="DC808" s="15" t="str">
        <f>IFERROR(__xludf.DUMMYFUNCTION("""COMPUTED_VALUE"""),"")</f>
        <v/>
      </c>
      <c r="DE808" s="15" t="str">
        <f>IFERROR(__xludf.DUMMYFUNCTION("""COMPUTED_VALUE"""),"")</f>
        <v/>
      </c>
      <c r="DG808" s="15" t="str">
        <f>IFERROR(__xludf.DUMMYFUNCTION("""COMPUTED_VALUE"""),"")</f>
        <v/>
      </c>
      <c r="DL808" s="15" t="str">
        <f>IFERROR(__xludf.DUMMYFUNCTION("""COMPUTED_VALUE"""),"")</f>
        <v/>
      </c>
      <c r="DM808" s="15" t="s">
        <v>444</v>
      </c>
      <c r="DN808" s="15" t="s">
        <v>419</v>
      </c>
      <c r="DO808" s="15">
        <v>0.0</v>
      </c>
      <c r="DP808" s="15" t="s">
        <v>419</v>
      </c>
      <c r="DR808" s="15">
        <v>0.0</v>
      </c>
      <c r="DT808" s="15" t="s">
        <v>1388</v>
      </c>
      <c r="DU808" s="15" t="s">
        <v>610</v>
      </c>
      <c r="DW808" s="15">
        <v>18.14</v>
      </c>
      <c r="DX808" s="15">
        <v>40.0</v>
      </c>
      <c r="DY808" s="15">
        <v>2.0</v>
      </c>
      <c r="EG808" s="15" t="s">
        <v>444</v>
      </c>
      <c r="EH808" s="15" t="s">
        <v>8522</v>
      </c>
      <c r="EK808" s="15" t="s">
        <v>444</v>
      </c>
      <c r="EM808" s="15" t="str">
        <f>IFERROR(__xludf.DUMMYFUNCTION("""COMPUTED_VALUE"""),"")</f>
        <v/>
      </c>
      <c r="EW808" s="15" t="s">
        <v>5722</v>
      </c>
      <c r="FL808" s="15" t="s">
        <v>426</v>
      </c>
      <c r="FM808" s="15">
        <v>2.0</v>
      </c>
      <c r="FY808" s="15" t="s">
        <v>525</v>
      </c>
      <c r="FZ808" s="15" t="s">
        <v>3762</v>
      </c>
      <c r="GA808" s="15" t="s">
        <v>2312</v>
      </c>
      <c r="GB808" s="15" t="s">
        <v>943</v>
      </c>
      <c r="GC808" s="15" t="s">
        <v>2638</v>
      </c>
      <c r="GD808" s="15" t="s">
        <v>8521</v>
      </c>
      <c r="GF808" s="15" t="s">
        <v>426</v>
      </c>
      <c r="GH808" s="15">
        <v>4.0</v>
      </c>
      <c r="GI808" s="15" t="s">
        <v>614</v>
      </c>
      <c r="GJ808" s="15" t="s">
        <v>615</v>
      </c>
      <c r="GL808" s="15" t="s">
        <v>426</v>
      </c>
      <c r="GN808" s="15" t="s">
        <v>616</v>
      </c>
      <c r="HA808" s="15" t="s">
        <v>1160</v>
      </c>
      <c r="HB808" s="15" t="s">
        <v>6775</v>
      </c>
      <c r="HC808" s="15" t="s">
        <v>8521</v>
      </c>
      <c r="HD808" s="15">
        <v>0.0</v>
      </c>
    </row>
    <row r="809" ht="15.75" customHeight="1">
      <c r="A809" s="14" t="s">
        <v>391</v>
      </c>
      <c r="B809" s="15" t="s">
        <v>8523</v>
      </c>
      <c r="C809" s="16"/>
      <c r="D809" s="15" t="s">
        <v>432</v>
      </c>
      <c r="G809" s="14" t="s">
        <v>393</v>
      </c>
      <c r="H809" s="14" t="s">
        <v>394</v>
      </c>
      <c r="I809" s="14" t="b">
        <v>1</v>
      </c>
      <c r="J809" s="14" t="s">
        <v>395</v>
      </c>
      <c r="L809" s="14" t="b">
        <v>0</v>
      </c>
      <c r="M809" s="15" t="s">
        <v>8524</v>
      </c>
      <c r="N809" s="14" t="s">
        <v>393</v>
      </c>
      <c r="O809" s="14" t="s">
        <v>393</v>
      </c>
      <c r="P809" s="15" t="s">
        <v>397</v>
      </c>
      <c r="Q809" s="15" t="s">
        <v>2517</v>
      </c>
      <c r="T809" s="14" t="b">
        <v>0</v>
      </c>
      <c r="U809" s="15" t="s">
        <v>8525</v>
      </c>
      <c r="V809" s="15" t="s">
        <v>8526</v>
      </c>
      <c r="W809" s="15" t="s">
        <v>401</v>
      </c>
      <c r="X809" s="15" t="s">
        <v>695</v>
      </c>
      <c r="Y809" s="15">
        <v>4368.0</v>
      </c>
      <c r="AA809" s="15" t="str">
        <f>"1680"</f>
        <v>1680</v>
      </c>
      <c r="AB809" s="14" t="b">
        <v>1</v>
      </c>
      <c r="AC809" s="14" t="b">
        <v>1</v>
      </c>
      <c r="AD809" s="15" t="str">
        <f>"801542457402"</f>
        <v>801542457402</v>
      </c>
      <c r="AE809" s="15" t="s">
        <v>8527</v>
      </c>
      <c r="AF809" s="14" t="s">
        <v>404</v>
      </c>
      <c r="AG809" s="14" t="s">
        <v>405</v>
      </c>
      <c r="AH809" s="14" t="s">
        <v>406</v>
      </c>
      <c r="AI809" s="15">
        <v>0.0</v>
      </c>
      <c r="AL809" s="15" t="s">
        <v>2799</v>
      </c>
      <c r="AM809" s="15" t="s">
        <v>5666</v>
      </c>
      <c r="AN809" s="15" t="s">
        <v>5667</v>
      </c>
      <c r="AO809" s="15" t="s">
        <v>645</v>
      </c>
      <c r="AP809" s="15" t="s">
        <v>646</v>
      </c>
      <c r="AQ809" s="15" t="s">
        <v>1944</v>
      </c>
      <c r="AR809" s="15" t="s">
        <v>1945</v>
      </c>
      <c r="AS809" s="15" t="s">
        <v>2492</v>
      </c>
      <c r="AT809" s="15" t="s">
        <v>2517</v>
      </c>
      <c r="AU809" s="15" t="s">
        <v>8528</v>
      </c>
      <c r="AW809" s="15" t="s">
        <v>1732</v>
      </c>
      <c r="AY809" s="15" t="s">
        <v>413</v>
      </c>
      <c r="AZ809" s="15" t="b">
        <v>0</v>
      </c>
      <c r="BA809" s="15" t="s">
        <v>413</v>
      </c>
      <c r="BB809" s="15" t="b">
        <v>0</v>
      </c>
      <c r="BC809" s="15" t="s">
        <v>8529</v>
      </c>
      <c r="BD809" s="15" t="s">
        <v>709</v>
      </c>
      <c r="BE809" s="15" t="str">
        <f t="shared" si="1360"/>
        <v>1</v>
      </c>
      <c r="BF809" s="15" t="s">
        <v>416</v>
      </c>
      <c r="BG809" s="15" t="str">
        <f t="shared" ref="BG809:BG810" si="1361">"77.36"</f>
        <v>77.36</v>
      </c>
      <c r="BH809" s="15" t="s">
        <v>3281</v>
      </c>
      <c r="BI809" s="15" t="str">
        <f t="shared" ref="BI809:BI810" si="1362">"35.83"</f>
        <v>35.83</v>
      </c>
      <c r="BJ809" s="15" t="s">
        <v>1505</v>
      </c>
      <c r="BK809" s="15" t="str">
        <f t="shared" ref="BK809:BK810" si="1363">"22.44"</f>
        <v>22.44</v>
      </c>
      <c r="BL809" s="15" t="s">
        <v>1156</v>
      </c>
      <c r="BM809" s="15" t="str">
        <f t="shared" ref="BM809:BM810" si="1364">"147.49"</f>
        <v>147.49</v>
      </c>
      <c r="BN809" s="15" t="s">
        <v>8530</v>
      </c>
      <c r="BQ809" s="15" t="s">
        <v>444</v>
      </c>
      <c r="BS809" s="15" t="s">
        <v>444</v>
      </c>
      <c r="BU809" s="15" t="s">
        <v>444</v>
      </c>
      <c r="BW809" s="15" t="s">
        <v>444</v>
      </c>
      <c r="BZ809" s="15" t="s">
        <v>444</v>
      </c>
      <c r="CB809" s="15" t="s">
        <v>444</v>
      </c>
      <c r="CD809" s="15" t="s">
        <v>444</v>
      </c>
      <c r="CF809" s="15" t="s">
        <v>444</v>
      </c>
      <c r="CI809" s="15" t="s">
        <v>444</v>
      </c>
      <c r="CK809" s="15" t="s">
        <v>444</v>
      </c>
      <c r="CM809" s="15" t="s">
        <v>444</v>
      </c>
      <c r="CO809" s="15" t="s">
        <v>444</v>
      </c>
      <c r="CP809" s="15" t="str">
        <f t="shared" ref="CP809:CP810" si="1365">"35.99"</f>
        <v>35.99</v>
      </c>
      <c r="CQ809" s="15" t="str">
        <f t="shared" ref="CQ809:CQ810" si="1366">"1.019"</f>
        <v>1.019</v>
      </c>
      <c r="CR809" s="15" t="s">
        <v>497</v>
      </c>
      <c r="CY809" s="15" t="s">
        <v>2839</v>
      </c>
      <c r="CZ809" s="15" t="s">
        <v>2899</v>
      </c>
      <c r="DA809" s="15" t="s">
        <v>5081</v>
      </c>
      <c r="DB809" s="15" t="s">
        <v>1237</v>
      </c>
      <c r="DC809" s="15" t="str">
        <f>IFERROR(__xludf.DUMMYFUNCTION("""COMPUTED_VALUE"""),"{""value"":20.50,""unit"":""in""}")</f>
        <v>{"value":20.50,"unit":"in"}</v>
      </c>
      <c r="DD809" s="15" t="s">
        <v>824</v>
      </c>
      <c r="DE809" s="15" t="str">
        <f>IFERROR(__xludf.DUMMYFUNCTION("""COMPUTED_VALUE"""),"{""value"":18.50,""unit"":""in""}")</f>
        <v>{"value":18.50,"unit":"in"}</v>
      </c>
      <c r="DF809" s="15" t="s">
        <v>8531</v>
      </c>
      <c r="DG809" s="15" t="str">
        <f>IFERROR(__xludf.DUMMYFUNCTION("""COMPUTED_VALUE"""),"{""value"":62.25,""unit"":""in""}")</f>
        <v>{"value":62.25,"unit":"in"}</v>
      </c>
      <c r="DH809" s="15">
        <v>2.0</v>
      </c>
      <c r="DI809" s="15">
        <v>2.0</v>
      </c>
      <c r="DJ809" s="15" t="s">
        <v>717</v>
      </c>
      <c r="DK809" s="15" t="s">
        <v>718</v>
      </c>
      <c r="DL809" s="15" t="str">
        <f>IFERROR(__xludf.DUMMYFUNCTION("""COMPUTED_VALUE"""),"Vacuum or light brush only. Do not use water or any cleaning products.")</f>
        <v>Vacuum or light brush only. Do not use water or any cleaning products.</v>
      </c>
      <c r="DM809" s="15" t="s">
        <v>719</v>
      </c>
      <c r="DQ809" s="15" t="s">
        <v>2502</v>
      </c>
      <c r="DT809" s="15" t="s">
        <v>721</v>
      </c>
      <c r="DU809" s="15" t="s">
        <v>419</v>
      </c>
      <c r="DV809" s="15">
        <v>0.0</v>
      </c>
      <c r="DZ809" s="15">
        <v>0.0</v>
      </c>
      <c r="EA809" s="15" t="s">
        <v>990</v>
      </c>
      <c r="EB809" s="15" t="s">
        <v>723</v>
      </c>
      <c r="EC809" s="15" t="s">
        <v>724</v>
      </c>
      <c r="ED809" s="15">
        <v>2.0</v>
      </c>
      <c r="EE809" s="15">
        <v>3.0</v>
      </c>
      <c r="EG809" s="15" t="s">
        <v>444</v>
      </c>
      <c r="EH809" s="15" t="s">
        <v>8532</v>
      </c>
      <c r="EI809" s="15">
        <v>0.0</v>
      </c>
      <c r="EJ809" s="15" t="s">
        <v>473</v>
      </c>
      <c r="EK809" s="15" t="s">
        <v>474</v>
      </c>
      <c r="EL809" s="15" t="s">
        <v>2712</v>
      </c>
      <c r="EM809" s="15" t="str">
        <f>IFERROR(__xludf.DUMMYFUNCTION("""COMPUTED_VALUE"""),"{""value"":27.25,""unit"":""in""}")</f>
        <v>{"value":27.25,"unit":"in"}</v>
      </c>
      <c r="EN809" s="15" t="s">
        <v>3241</v>
      </c>
      <c r="EO809" s="15" t="s">
        <v>2434</v>
      </c>
      <c r="EP809" s="15" t="s">
        <v>2312</v>
      </c>
      <c r="EQ809" s="15" t="s">
        <v>3011</v>
      </c>
      <c r="ER809" s="15" t="s">
        <v>429</v>
      </c>
      <c r="ES809" s="15" t="s">
        <v>5586</v>
      </c>
      <c r="ET809" s="15" t="s">
        <v>2402</v>
      </c>
      <c r="EU809" s="15" t="s">
        <v>1065</v>
      </c>
      <c r="EV809" s="15" t="s">
        <v>5081</v>
      </c>
      <c r="EW809" s="15" t="s">
        <v>505</v>
      </c>
      <c r="EX809" s="15" t="s">
        <v>1064</v>
      </c>
      <c r="EY809" s="15" t="s">
        <v>960</v>
      </c>
      <c r="EZ809" s="15" t="s">
        <v>3735</v>
      </c>
      <c r="FA809" s="15" t="s">
        <v>1076</v>
      </c>
      <c r="FB809" s="15" t="s">
        <v>426</v>
      </c>
      <c r="FC809" s="15" t="s">
        <v>723</v>
      </c>
      <c r="FD809" s="15" t="s">
        <v>724</v>
      </c>
      <c r="FE809" s="15" t="s">
        <v>8533</v>
      </c>
      <c r="FF809" s="15" t="s">
        <v>2502</v>
      </c>
      <c r="FG809" s="15" t="s">
        <v>1076</v>
      </c>
    </row>
    <row r="810" ht="15.75" customHeight="1">
      <c r="A810" s="14" t="s">
        <v>391</v>
      </c>
      <c r="B810" s="15" t="s">
        <v>8523</v>
      </c>
      <c r="C810" s="16"/>
      <c r="D810" s="15" t="s">
        <v>432</v>
      </c>
      <c r="G810" s="14" t="s">
        <v>393</v>
      </c>
      <c r="H810" s="14" t="s">
        <v>394</v>
      </c>
      <c r="I810" s="14" t="b">
        <v>1</v>
      </c>
      <c r="J810" s="14" t="s">
        <v>395</v>
      </c>
      <c r="L810" s="14" t="b">
        <v>0</v>
      </c>
      <c r="M810" s="15" t="s">
        <v>8534</v>
      </c>
      <c r="N810" s="14" t="s">
        <v>393</v>
      </c>
      <c r="O810" s="14" t="s">
        <v>393</v>
      </c>
      <c r="P810" s="15" t="s">
        <v>397</v>
      </c>
      <c r="Q810" s="15" t="s">
        <v>2818</v>
      </c>
      <c r="T810" s="14" t="b">
        <v>0</v>
      </c>
      <c r="U810" s="15" t="s">
        <v>8535</v>
      </c>
      <c r="V810" s="15" t="s">
        <v>8526</v>
      </c>
      <c r="W810" s="15" t="s">
        <v>401</v>
      </c>
      <c r="X810" s="15" t="s">
        <v>695</v>
      </c>
      <c r="Y810" s="15">
        <v>4914.0</v>
      </c>
      <c r="AA810" s="15" t="str">
        <f>"1890"</f>
        <v>1890</v>
      </c>
      <c r="AB810" s="14" t="b">
        <v>1</v>
      </c>
      <c r="AC810" s="14" t="b">
        <v>1</v>
      </c>
      <c r="AD810" s="15" t="str">
        <f>"801542116095"</f>
        <v>801542116095</v>
      </c>
      <c r="AE810" s="15" t="s">
        <v>8536</v>
      </c>
      <c r="AF810" s="14" t="s">
        <v>404</v>
      </c>
      <c r="AG810" s="14" t="s">
        <v>405</v>
      </c>
      <c r="AH810" s="14" t="s">
        <v>406</v>
      </c>
      <c r="AI810" s="15">
        <v>0.0</v>
      </c>
      <c r="AL810" s="15" t="s">
        <v>2799</v>
      </c>
      <c r="AM810" s="15" t="s">
        <v>5666</v>
      </c>
      <c r="AN810" s="15" t="s">
        <v>5667</v>
      </c>
      <c r="AO810" s="15" t="s">
        <v>645</v>
      </c>
      <c r="AP810" s="15" t="s">
        <v>646</v>
      </c>
      <c r="AQ810" s="15" t="s">
        <v>1944</v>
      </c>
      <c r="AR810" s="15" t="s">
        <v>1945</v>
      </c>
      <c r="AS810" s="15" t="s">
        <v>2492</v>
      </c>
      <c r="AT810" s="15" t="s">
        <v>2818</v>
      </c>
      <c r="AU810" s="15" t="s">
        <v>8528</v>
      </c>
      <c r="AW810" s="15" t="s">
        <v>1732</v>
      </c>
      <c r="AY810" s="15" t="s">
        <v>413</v>
      </c>
      <c r="AZ810" s="15" t="b">
        <v>0</v>
      </c>
      <c r="BA810" s="15" t="s">
        <v>413</v>
      </c>
      <c r="BB810" s="15" t="b">
        <v>0</v>
      </c>
      <c r="BC810" s="15" t="s">
        <v>8537</v>
      </c>
      <c r="BD810" s="15" t="s">
        <v>709</v>
      </c>
      <c r="BE810" s="15" t="str">
        <f t="shared" si="1360"/>
        <v>1</v>
      </c>
      <c r="BF810" s="15" t="s">
        <v>416</v>
      </c>
      <c r="BG810" s="15" t="str">
        <f t="shared" si="1361"/>
        <v>77.36</v>
      </c>
      <c r="BH810" s="15" t="s">
        <v>3281</v>
      </c>
      <c r="BI810" s="15" t="str">
        <f t="shared" si="1362"/>
        <v>35.83</v>
      </c>
      <c r="BJ810" s="15" t="s">
        <v>1505</v>
      </c>
      <c r="BK810" s="15" t="str">
        <f t="shared" si="1363"/>
        <v>22.44</v>
      </c>
      <c r="BL810" s="15" t="s">
        <v>1156</v>
      </c>
      <c r="BM810" s="15" t="str">
        <f t="shared" si="1364"/>
        <v>147.49</v>
      </c>
      <c r="BN810" s="15" t="s">
        <v>8530</v>
      </c>
      <c r="BQ810" s="15" t="s">
        <v>444</v>
      </c>
      <c r="BS810" s="15" t="s">
        <v>444</v>
      </c>
      <c r="BU810" s="15" t="s">
        <v>444</v>
      </c>
      <c r="BW810" s="15" t="s">
        <v>444</v>
      </c>
      <c r="BZ810" s="15" t="s">
        <v>444</v>
      </c>
      <c r="CB810" s="15" t="s">
        <v>444</v>
      </c>
      <c r="CD810" s="15" t="s">
        <v>444</v>
      </c>
      <c r="CF810" s="15" t="s">
        <v>444</v>
      </c>
      <c r="CI810" s="15" t="s">
        <v>444</v>
      </c>
      <c r="CK810" s="15" t="s">
        <v>444</v>
      </c>
      <c r="CM810" s="15" t="s">
        <v>444</v>
      </c>
      <c r="CO810" s="15" t="s">
        <v>444</v>
      </c>
      <c r="CP810" s="15" t="str">
        <f t="shared" si="1365"/>
        <v>35.99</v>
      </c>
      <c r="CQ810" s="15" t="str">
        <f t="shared" si="1366"/>
        <v>1.019</v>
      </c>
      <c r="CR810" s="15" t="s">
        <v>497</v>
      </c>
      <c r="CY810" s="15" t="s">
        <v>2839</v>
      </c>
      <c r="CZ810" s="15" t="s">
        <v>2899</v>
      </c>
      <c r="DA810" s="15" t="s">
        <v>5081</v>
      </c>
      <c r="DB810" s="15" t="s">
        <v>1237</v>
      </c>
      <c r="DC810" s="15" t="str">
        <f>IFERROR(__xludf.DUMMYFUNCTION("""COMPUTED_VALUE"""),"{""value"":20.50,""unit"":""in""}")</f>
        <v>{"value":20.50,"unit":"in"}</v>
      </c>
      <c r="DD810" s="15" t="s">
        <v>824</v>
      </c>
      <c r="DE810" s="15" t="str">
        <f>IFERROR(__xludf.DUMMYFUNCTION("""COMPUTED_VALUE"""),"{""value"":18.50,""unit"":""in""}")</f>
        <v>{"value":18.50,"unit":"in"}</v>
      </c>
      <c r="DF810" s="15" t="s">
        <v>8531</v>
      </c>
      <c r="DG810" s="15" t="str">
        <f>IFERROR(__xludf.DUMMYFUNCTION("""COMPUTED_VALUE"""),"{""value"":62.25,""unit"":""in""}")</f>
        <v>{"value":62.25,"unit":"in"}</v>
      </c>
      <c r="DH810" s="15">
        <v>2.0</v>
      </c>
      <c r="DI810" s="15">
        <v>2.0</v>
      </c>
      <c r="DJ810" s="15" t="s">
        <v>717</v>
      </c>
      <c r="DK810" s="15" t="s">
        <v>718</v>
      </c>
      <c r="DL810" s="15" t="str">
        <f>IFERROR(__xludf.DUMMYFUNCTION("""COMPUTED_VALUE"""),"Vacuum or light brush only. Do not use water or any cleaning products.")</f>
        <v>Vacuum or light brush only. Do not use water or any cleaning products.</v>
      </c>
      <c r="DM810" s="15" t="s">
        <v>719</v>
      </c>
      <c r="DQ810" s="15" t="s">
        <v>2502</v>
      </c>
      <c r="DT810" s="15" t="s">
        <v>721</v>
      </c>
      <c r="DU810" s="15" t="s">
        <v>419</v>
      </c>
      <c r="DV810" s="15">
        <v>0.0</v>
      </c>
      <c r="DZ810" s="15">
        <v>0.0</v>
      </c>
      <c r="EA810" s="15" t="s">
        <v>990</v>
      </c>
      <c r="EB810" s="15" t="s">
        <v>723</v>
      </c>
      <c r="EC810" s="15" t="s">
        <v>724</v>
      </c>
      <c r="ED810" s="15">
        <v>2.0</v>
      </c>
      <c r="EE810" s="15">
        <v>3.0</v>
      </c>
      <c r="EG810" s="15" t="s">
        <v>444</v>
      </c>
      <c r="EH810" s="15" t="s">
        <v>8532</v>
      </c>
      <c r="EI810" s="15">
        <v>0.0</v>
      </c>
      <c r="EJ810" s="15" t="s">
        <v>473</v>
      </c>
      <c r="EK810" s="15" t="s">
        <v>474</v>
      </c>
      <c r="EL810" s="15" t="s">
        <v>2712</v>
      </c>
      <c r="EM810" s="15" t="str">
        <f>IFERROR(__xludf.DUMMYFUNCTION("""COMPUTED_VALUE"""),"{""value"":27.25,""unit"":""in""}")</f>
        <v>{"value":27.25,"unit":"in"}</v>
      </c>
      <c r="EN810" s="15" t="s">
        <v>3241</v>
      </c>
      <c r="EO810" s="15" t="s">
        <v>2434</v>
      </c>
      <c r="EP810" s="15" t="s">
        <v>2312</v>
      </c>
      <c r="EQ810" s="15" t="s">
        <v>3011</v>
      </c>
      <c r="ER810" s="15" t="s">
        <v>429</v>
      </c>
      <c r="ES810" s="15" t="s">
        <v>5586</v>
      </c>
      <c r="ET810" s="15" t="s">
        <v>2402</v>
      </c>
      <c r="EU810" s="15" t="s">
        <v>1065</v>
      </c>
      <c r="EV810" s="15" t="s">
        <v>5081</v>
      </c>
      <c r="EW810" s="15" t="s">
        <v>505</v>
      </c>
      <c r="EX810" s="15" t="s">
        <v>1064</v>
      </c>
      <c r="EY810" s="15" t="s">
        <v>960</v>
      </c>
      <c r="EZ810" s="15" t="s">
        <v>3735</v>
      </c>
      <c r="FA810" s="15" t="s">
        <v>1076</v>
      </c>
      <c r="FB810" s="15" t="s">
        <v>426</v>
      </c>
      <c r="FC810" s="15" t="s">
        <v>723</v>
      </c>
      <c r="FD810" s="15" t="s">
        <v>724</v>
      </c>
      <c r="FE810" s="15" t="s">
        <v>8533</v>
      </c>
      <c r="FF810" s="15" t="s">
        <v>2502</v>
      </c>
      <c r="FG810" s="15" t="s">
        <v>1076</v>
      </c>
    </row>
    <row r="811" ht="15.75" customHeight="1">
      <c r="A811" s="14" t="s">
        <v>391</v>
      </c>
      <c r="B811" s="15" t="s">
        <v>8538</v>
      </c>
      <c r="C811" s="16"/>
      <c r="D811" s="15" t="s">
        <v>432</v>
      </c>
      <c r="G811" s="14" t="s">
        <v>393</v>
      </c>
      <c r="H811" s="14" t="s">
        <v>394</v>
      </c>
      <c r="I811" s="14" t="b">
        <v>1</v>
      </c>
      <c r="J811" s="14" t="s">
        <v>395</v>
      </c>
      <c r="L811" s="14" t="b">
        <v>0</v>
      </c>
      <c r="M811" s="15" t="s">
        <v>8539</v>
      </c>
      <c r="N811" s="14" t="s">
        <v>393</v>
      </c>
      <c r="O811" s="14" t="s">
        <v>393</v>
      </c>
      <c r="P811" s="15" t="s">
        <v>397</v>
      </c>
      <c r="Q811" s="15" t="s">
        <v>2575</v>
      </c>
      <c r="T811" s="14" t="b">
        <v>0</v>
      </c>
      <c r="U811" s="15" t="s">
        <v>8540</v>
      </c>
      <c r="V811" s="15" t="s">
        <v>3868</v>
      </c>
      <c r="W811" s="15" t="s">
        <v>401</v>
      </c>
      <c r="X811" s="15" t="s">
        <v>695</v>
      </c>
      <c r="Y811" s="15">
        <v>2301.0</v>
      </c>
      <c r="AA811" s="15" t="str">
        <f t="shared" ref="AA811:AA812" si="1367">"885"</f>
        <v>885</v>
      </c>
      <c r="AB811" s="14" t="b">
        <v>1</v>
      </c>
      <c r="AC811" s="14" t="b">
        <v>1</v>
      </c>
      <c r="AD811" s="15" t="str">
        <f>"801542099374"</f>
        <v>801542099374</v>
      </c>
      <c r="AE811" s="15" t="s">
        <v>8541</v>
      </c>
      <c r="AF811" s="14" t="s">
        <v>404</v>
      </c>
      <c r="AG811" s="14" t="s">
        <v>405</v>
      </c>
      <c r="AH811" s="14" t="s">
        <v>406</v>
      </c>
      <c r="AI811" s="15">
        <v>0.0</v>
      </c>
      <c r="AL811" s="15" t="s">
        <v>975</v>
      </c>
      <c r="AM811" s="15" t="s">
        <v>3396</v>
      </c>
      <c r="AN811" s="15" t="s">
        <v>2893</v>
      </c>
      <c r="AO811" s="15" t="s">
        <v>913</v>
      </c>
      <c r="AP811" s="15" t="s">
        <v>914</v>
      </c>
      <c r="AQ811" s="15" t="s">
        <v>1801</v>
      </c>
      <c r="AR811" s="15" t="s">
        <v>1322</v>
      </c>
      <c r="AS811" s="15" t="s">
        <v>915</v>
      </c>
      <c r="AT811" s="15" t="s">
        <v>2575</v>
      </c>
      <c r="AU811" s="15" t="s">
        <v>978</v>
      </c>
      <c r="AW811" s="15" t="s">
        <v>706</v>
      </c>
      <c r="AX811" s="15" t="s">
        <v>707</v>
      </c>
      <c r="AY811" s="15" t="s">
        <v>413</v>
      </c>
      <c r="AZ811" s="15" t="b">
        <v>0</v>
      </c>
      <c r="BA811" s="15" t="s">
        <v>413</v>
      </c>
      <c r="BB811" s="15" t="b">
        <v>0</v>
      </c>
      <c r="BC811" s="15" t="s">
        <v>8542</v>
      </c>
      <c r="BD811" s="15" t="s">
        <v>709</v>
      </c>
      <c r="BE811" s="15" t="str">
        <f t="shared" si="1360"/>
        <v>1</v>
      </c>
      <c r="BF811" s="15" t="s">
        <v>416</v>
      </c>
      <c r="BG811" s="15" t="str">
        <f t="shared" ref="BG811:BG812" si="1368">"38.58"</f>
        <v>38.58</v>
      </c>
      <c r="BH811" s="15" t="s">
        <v>442</v>
      </c>
      <c r="BI811" s="15" t="str">
        <f t="shared" ref="BI811:BI812" si="1369">"35.43"</f>
        <v>35.43</v>
      </c>
      <c r="BJ811" s="15" t="s">
        <v>1034</v>
      </c>
      <c r="BK811" s="15" t="str">
        <f t="shared" ref="BK811:BK812" si="1370">"32.68"</f>
        <v>32.68</v>
      </c>
      <c r="BL811" s="15" t="s">
        <v>2066</v>
      </c>
      <c r="BM811" s="15" t="str">
        <f t="shared" ref="BM811:BM812" si="1371">"74.96"</f>
        <v>74.96</v>
      </c>
      <c r="BN811" s="15" t="s">
        <v>3559</v>
      </c>
      <c r="BQ811" s="15" t="s">
        <v>444</v>
      </c>
      <c r="BS811" s="15" t="s">
        <v>444</v>
      </c>
      <c r="BU811" s="15" t="s">
        <v>444</v>
      </c>
      <c r="BW811" s="15" t="s">
        <v>444</v>
      </c>
      <c r="BZ811" s="15" t="s">
        <v>444</v>
      </c>
      <c r="CB811" s="15" t="s">
        <v>444</v>
      </c>
      <c r="CD811" s="15" t="s">
        <v>444</v>
      </c>
      <c r="CF811" s="15" t="s">
        <v>444</v>
      </c>
      <c r="CI811" s="15" t="s">
        <v>444</v>
      </c>
      <c r="CK811" s="15" t="s">
        <v>444</v>
      </c>
      <c r="CM811" s="15" t="s">
        <v>444</v>
      </c>
      <c r="CO811" s="15" t="s">
        <v>444</v>
      </c>
      <c r="CP811" s="15" t="str">
        <f t="shared" ref="CP811:CP812" si="1372">"25.85"</f>
        <v>25.85</v>
      </c>
      <c r="CQ811" s="15" t="str">
        <f t="shared" ref="CQ811:CQ812" si="1373">"0.732"</f>
        <v>0.732</v>
      </c>
      <c r="CR811" s="15" t="s">
        <v>465</v>
      </c>
      <c r="DB811" s="15" t="s">
        <v>1072</v>
      </c>
      <c r="DC811" s="15" t="str">
        <f>IFERROR(__xludf.DUMMYFUNCTION("""COMPUTED_VALUE"""),"{""value"":22.00,""unit"":""in""}")</f>
        <v>{"value":22.00,"unit":"in"}</v>
      </c>
      <c r="DD811" s="15" t="s">
        <v>1065</v>
      </c>
      <c r="DE811" s="15" t="str">
        <f>IFERROR(__xludf.DUMMYFUNCTION("""COMPUTED_VALUE"""),"{""value"":18.00,""unit"":""in""}")</f>
        <v>{"value":18.00,"unit":"in"}</v>
      </c>
      <c r="DG811" s="15" t="str">
        <f>IFERROR(__xludf.DUMMYFUNCTION("""COMPUTED_VALUE"""),"")</f>
        <v/>
      </c>
      <c r="DH811" s="15">
        <v>0.0</v>
      </c>
      <c r="DI811" s="15">
        <v>1.0</v>
      </c>
      <c r="DJ811" s="15" t="s">
        <v>717</v>
      </c>
      <c r="DK811" s="15" t="s">
        <v>718</v>
      </c>
      <c r="DL811" s="15" t="str">
        <f>IFERROR(__xludf.DUMMYFUNCTION("""COMPUTED_VALUE"""),"Vacuum or light brush only. Do not use water or any cleaning products.")</f>
        <v>Vacuum or light brush only. Do not use water or any cleaning products.</v>
      </c>
      <c r="DM811" s="15" t="s">
        <v>719</v>
      </c>
      <c r="DT811" s="15" t="s">
        <v>721</v>
      </c>
      <c r="DU811" s="15" t="s">
        <v>419</v>
      </c>
      <c r="DV811" s="15">
        <v>0.0</v>
      </c>
      <c r="DZ811" s="15">
        <v>0.0</v>
      </c>
      <c r="EA811" s="15" t="s">
        <v>990</v>
      </c>
      <c r="EB811" s="15" t="s">
        <v>1016</v>
      </c>
      <c r="ED811" s="15">
        <v>1.0</v>
      </c>
      <c r="EE811" s="15">
        <v>1.0</v>
      </c>
      <c r="EG811" s="15" t="s">
        <v>444</v>
      </c>
      <c r="EH811" s="15" t="s">
        <v>8543</v>
      </c>
      <c r="EI811" s="15">
        <v>0.0</v>
      </c>
      <c r="EJ811" s="15" t="s">
        <v>726</v>
      </c>
      <c r="EK811" s="15" t="s">
        <v>727</v>
      </c>
      <c r="EL811" s="15" t="s">
        <v>734</v>
      </c>
      <c r="EM811" s="15" t="str">
        <f>IFERROR(__xludf.DUMMYFUNCTION("""COMPUTED_VALUE"""),"{""value"":31.50,""unit"":""in""}")</f>
        <v>{"value":31.50,"unit":"in"}</v>
      </c>
      <c r="EN811" s="15" t="s">
        <v>1238</v>
      </c>
      <c r="EO811" s="15" t="s">
        <v>1739</v>
      </c>
      <c r="ES811" s="15" t="s">
        <v>505</v>
      </c>
      <c r="EW811" s="15" t="s">
        <v>1327</v>
      </c>
      <c r="EX811" s="15" t="s">
        <v>3500</v>
      </c>
      <c r="EY811" s="15" t="s">
        <v>1212</v>
      </c>
      <c r="EZ811" s="15" t="s">
        <v>1238</v>
      </c>
      <c r="FC811" s="15" t="s">
        <v>1016</v>
      </c>
      <c r="FO811" s="15" t="s">
        <v>467</v>
      </c>
      <c r="FP811" s="15" t="s">
        <v>1331</v>
      </c>
      <c r="FQ811" s="15">
        <v>0.0</v>
      </c>
      <c r="FR811" s="15">
        <v>0.0</v>
      </c>
      <c r="FT811" s="15">
        <v>0.0</v>
      </c>
    </row>
    <row r="812" ht="15.75" customHeight="1">
      <c r="A812" s="14" t="s">
        <v>391</v>
      </c>
      <c r="B812" s="15" t="s">
        <v>8538</v>
      </c>
      <c r="C812" s="16"/>
      <c r="D812" s="15" t="s">
        <v>432</v>
      </c>
      <c r="G812" s="14" t="s">
        <v>393</v>
      </c>
      <c r="H812" s="14" t="s">
        <v>394</v>
      </c>
      <c r="I812" s="14" t="b">
        <v>1</v>
      </c>
      <c r="J812" s="14" t="s">
        <v>395</v>
      </c>
      <c r="L812" s="14" t="b">
        <v>0</v>
      </c>
      <c r="M812" s="15" t="s">
        <v>8544</v>
      </c>
      <c r="N812" s="14" t="s">
        <v>393</v>
      </c>
      <c r="O812" s="14" t="s">
        <v>393</v>
      </c>
      <c r="P812" s="15" t="s">
        <v>397</v>
      </c>
      <c r="Q812" s="15" t="s">
        <v>1596</v>
      </c>
      <c r="T812" s="14" t="b">
        <v>0</v>
      </c>
      <c r="U812" s="15" t="s">
        <v>8545</v>
      </c>
      <c r="V812" s="15" t="s">
        <v>3868</v>
      </c>
      <c r="W812" s="15" t="s">
        <v>401</v>
      </c>
      <c r="X812" s="15" t="s">
        <v>695</v>
      </c>
      <c r="Y812" s="15">
        <v>2301.0</v>
      </c>
      <c r="AA812" s="15" t="str">
        <f t="shared" si="1367"/>
        <v>885</v>
      </c>
      <c r="AB812" s="14" t="b">
        <v>1</v>
      </c>
      <c r="AC812" s="14" t="b">
        <v>1</v>
      </c>
      <c r="AD812" s="15" t="str">
        <f>"801542149840"</f>
        <v>801542149840</v>
      </c>
      <c r="AE812" s="15" t="s">
        <v>8546</v>
      </c>
      <c r="AF812" s="14" t="s">
        <v>404</v>
      </c>
      <c r="AG812" s="14" t="s">
        <v>405</v>
      </c>
      <c r="AH812" s="14" t="s">
        <v>406</v>
      </c>
      <c r="AI812" s="15">
        <v>0.0</v>
      </c>
      <c r="AL812" s="15" t="s">
        <v>975</v>
      </c>
      <c r="AM812" s="15" t="s">
        <v>3396</v>
      </c>
      <c r="AN812" s="15" t="s">
        <v>2893</v>
      </c>
      <c r="AO812" s="15" t="s">
        <v>913</v>
      </c>
      <c r="AP812" s="15" t="s">
        <v>914</v>
      </c>
      <c r="AQ812" s="15" t="s">
        <v>1801</v>
      </c>
      <c r="AR812" s="15" t="s">
        <v>1322</v>
      </c>
      <c r="AS812" s="15" t="s">
        <v>915</v>
      </c>
      <c r="AT812" s="15" t="s">
        <v>1596</v>
      </c>
      <c r="AU812" s="15" t="s">
        <v>978</v>
      </c>
      <c r="AW812" s="15" t="s">
        <v>706</v>
      </c>
      <c r="AX812" s="15" t="s">
        <v>707</v>
      </c>
      <c r="AY812" s="15" t="s">
        <v>413</v>
      </c>
      <c r="AZ812" s="15" t="b">
        <v>0</v>
      </c>
      <c r="BA812" s="15" t="s">
        <v>413</v>
      </c>
      <c r="BB812" s="15" t="b">
        <v>0</v>
      </c>
      <c r="BC812" s="15" t="s">
        <v>8542</v>
      </c>
      <c r="BD812" s="15" t="s">
        <v>709</v>
      </c>
      <c r="BE812" s="15" t="str">
        <f t="shared" si="1360"/>
        <v>1</v>
      </c>
      <c r="BF812" s="15" t="s">
        <v>416</v>
      </c>
      <c r="BG812" s="15" t="str">
        <f t="shared" si="1368"/>
        <v>38.58</v>
      </c>
      <c r="BH812" s="15" t="s">
        <v>442</v>
      </c>
      <c r="BI812" s="15" t="str">
        <f t="shared" si="1369"/>
        <v>35.43</v>
      </c>
      <c r="BJ812" s="15" t="s">
        <v>1034</v>
      </c>
      <c r="BK812" s="15" t="str">
        <f t="shared" si="1370"/>
        <v>32.68</v>
      </c>
      <c r="BL812" s="15" t="s">
        <v>2066</v>
      </c>
      <c r="BM812" s="15" t="str">
        <f t="shared" si="1371"/>
        <v>74.96</v>
      </c>
      <c r="BN812" s="15" t="s">
        <v>3559</v>
      </c>
      <c r="BQ812" s="15" t="s">
        <v>444</v>
      </c>
      <c r="BS812" s="15" t="s">
        <v>444</v>
      </c>
      <c r="BU812" s="15" t="s">
        <v>444</v>
      </c>
      <c r="BW812" s="15" t="s">
        <v>444</v>
      </c>
      <c r="BZ812" s="15" t="s">
        <v>444</v>
      </c>
      <c r="CB812" s="15" t="s">
        <v>444</v>
      </c>
      <c r="CD812" s="15" t="s">
        <v>444</v>
      </c>
      <c r="CF812" s="15" t="s">
        <v>444</v>
      </c>
      <c r="CI812" s="15" t="s">
        <v>444</v>
      </c>
      <c r="CK812" s="15" t="s">
        <v>444</v>
      </c>
      <c r="CM812" s="15" t="s">
        <v>444</v>
      </c>
      <c r="CO812" s="15" t="s">
        <v>444</v>
      </c>
      <c r="CP812" s="15" t="str">
        <f t="shared" si="1372"/>
        <v>25.85</v>
      </c>
      <c r="CQ812" s="15" t="str">
        <f t="shared" si="1373"/>
        <v>0.732</v>
      </c>
      <c r="CR812" s="15" t="s">
        <v>465</v>
      </c>
      <c r="DB812" s="15" t="s">
        <v>1072</v>
      </c>
      <c r="DC812" s="15" t="str">
        <f>IFERROR(__xludf.DUMMYFUNCTION("""COMPUTED_VALUE"""),"{""value"":22.00,""unit"":""in""}")</f>
        <v>{"value":22.00,"unit":"in"}</v>
      </c>
      <c r="DD812" s="15" t="s">
        <v>1065</v>
      </c>
      <c r="DE812" s="15" t="str">
        <f>IFERROR(__xludf.DUMMYFUNCTION("""COMPUTED_VALUE"""),"{""value"":18.00,""unit"":""in""}")</f>
        <v>{"value":18.00,"unit":"in"}</v>
      </c>
      <c r="DG812" s="15" t="str">
        <f>IFERROR(__xludf.DUMMYFUNCTION("""COMPUTED_VALUE"""),"")</f>
        <v/>
      </c>
      <c r="DH812" s="15">
        <v>0.0</v>
      </c>
      <c r="DI812" s="15">
        <v>1.0</v>
      </c>
      <c r="DJ812" s="15" t="s">
        <v>717</v>
      </c>
      <c r="DK812" s="15" t="s">
        <v>718</v>
      </c>
      <c r="DL812" s="15" t="str">
        <f>IFERROR(__xludf.DUMMYFUNCTION("""COMPUTED_VALUE"""),"Vacuum or light brush only. Do not use water or any cleaning products.")</f>
        <v>Vacuum or light brush only. Do not use water or any cleaning products.</v>
      </c>
      <c r="DM812" s="15" t="s">
        <v>719</v>
      </c>
      <c r="DT812" s="15" t="s">
        <v>721</v>
      </c>
      <c r="DU812" s="15" t="s">
        <v>419</v>
      </c>
      <c r="DV812" s="15">
        <v>0.0</v>
      </c>
      <c r="DZ812" s="15">
        <v>0.0</v>
      </c>
      <c r="EA812" s="15" t="s">
        <v>990</v>
      </c>
      <c r="EB812" s="15" t="s">
        <v>1016</v>
      </c>
      <c r="ED812" s="15">
        <v>1.0</v>
      </c>
      <c r="EE812" s="15">
        <v>1.0</v>
      </c>
      <c r="EG812" s="15" t="s">
        <v>444</v>
      </c>
      <c r="EH812" s="15" t="s">
        <v>8543</v>
      </c>
      <c r="EI812" s="15">
        <v>0.0</v>
      </c>
      <c r="EJ812" s="15" t="s">
        <v>726</v>
      </c>
      <c r="EK812" s="15" t="s">
        <v>727</v>
      </c>
      <c r="EL812" s="15" t="s">
        <v>734</v>
      </c>
      <c r="EM812" s="15" t="str">
        <f>IFERROR(__xludf.DUMMYFUNCTION("""COMPUTED_VALUE"""),"{""value"":31.50,""unit"":""in""}")</f>
        <v>{"value":31.50,"unit":"in"}</v>
      </c>
      <c r="EN812" s="15" t="s">
        <v>1238</v>
      </c>
      <c r="EO812" s="15" t="s">
        <v>1739</v>
      </c>
      <c r="ES812" s="15" t="s">
        <v>505</v>
      </c>
      <c r="EW812" s="15" t="s">
        <v>1327</v>
      </c>
      <c r="EX812" s="15" t="s">
        <v>3500</v>
      </c>
      <c r="EY812" s="15" t="s">
        <v>1212</v>
      </c>
      <c r="EZ812" s="15" t="s">
        <v>1238</v>
      </c>
      <c r="FC812" s="15" t="s">
        <v>1016</v>
      </c>
      <c r="FO812" s="15" t="s">
        <v>467</v>
      </c>
      <c r="FP812" s="15" t="s">
        <v>1331</v>
      </c>
      <c r="FQ812" s="15">
        <v>0.0</v>
      </c>
      <c r="FR812" s="15">
        <v>0.0</v>
      </c>
      <c r="FT812" s="15">
        <v>0.0</v>
      </c>
    </row>
    <row r="813" ht="15.75" customHeight="1">
      <c r="A813" s="14" t="s">
        <v>391</v>
      </c>
      <c r="B813" s="15" t="s">
        <v>8547</v>
      </c>
      <c r="C813" s="16"/>
      <c r="D813" s="15" t="s">
        <v>432</v>
      </c>
      <c r="G813" s="14" t="s">
        <v>393</v>
      </c>
      <c r="H813" s="14" t="s">
        <v>394</v>
      </c>
      <c r="I813" s="14" t="b">
        <v>1</v>
      </c>
      <c r="J813" s="14" t="s">
        <v>395</v>
      </c>
      <c r="L813" s="14" t="b">
        <v>0</v>
      </c>
      <c r="M813" s="15" t="s">
        <v>8548</v>
      </c>
      <c r="N813" s="14" t="s">
        <v>393</v>
      </c>
      <c r="O813" s="14" t="s">
        <v>393</v>
      </c>
      <c r="P813" s="15" t="s">
        <v>397</v>
      </c>
      <c r="Q813" s="15" t="s">
        <v>8549</v>
      </c>
      <c r="T813" s="14" t="b">
        <v>0</v>
      </c>
      <c r="U813" s="15" t="s">
        <v>8550</v>
      </c>
      <c r="V813" s="15" t="s">
        <v>1762</v>
      </c>
      <c r="W813" s="15" t="s">
        <v>401</v>
      </c>
      <c r="X813" s="15" t="s">
        <v>695</v>
      </c>
      <c r="Y813" s="15">
        <v>2522.0</v>
      </c>
      <c r="AA813" s="15" t="str">
        <f t="shared" ref="AA813:AA814" si="1374">"970"</f>
        <v>970</v>
      </c>
      <c r="AB813" s="14" t="b">
        <v>1</v>
      </c>
      <c r="AC813" s="14" t="b">
        <v>1</v>
      </c>
      <c r="AD813" s="15" t="str">
        <f>"801542201371"</f>
        <v>801542201371</v>
      </c>
      <c r="AE813" s="15" t="s">
        <v>8551</v>
      </c>
      <c r="AF813" s="14" t="s">
        <v>404</v>
      </c>
      <c r="AG813" s="14" t="s">
        <v>405</v>
      </c>
      <c r="AH813" s="14" t="s">
        <v>406</v>
      </c>
      <c r="AI813" s="15">
        <v>0.0</v>
      </c>
      <c r="AL813" s="15" t="s">
        <v>8552</v>
      </c>
      <c r="AM813" s="15" t="s">
        <v>745</v>
      </c>
      <c r="AN813" s="15" t="s">
        <v>746</v>
      </c>
      <c r="AO813" s="15" t="s">
        <v>546</v>
      </c>
      <c r="AP813" s="15" t="s">
        <v>547</v>
      </c>
      <c r="AQ813" s="15" t="s">
        <v>546</v>
      </c>
      <c r="AR813" s="15" t="s">
        <v>547</v>
      </c>
      <c r="AS813" s="15" t="s">
        <v>2612</v>
      </c>
      <c r="AT813" s="15" t="s">
        <v>8549</v>
      </c>
      <c r="AW813" s="15" t="s">
        <v>2134</v>
      </c>
      <c r="AX813" s="15" t="s">
        <v>2135</v>
      </c>
      <c r="AY813" s="15" t="s">
        <v>413</v>
      </c>
      <c r="AZ813" s="15" t="b">
        <v>0</v>
      </c>
      <c r="BA813" s="15" t="s">
        <v>413</v>
      </c>
      <c r="BB813" s="15" t="b">
        <v>0</v>
      </c>
      <c r="BC813" s="15" t="s">
        <v>8553</v>
      </c>
      <c r="BD813" s="15" t="s">
        <v>709</v>
      </c>
      <c r="BE813" s="15" t="str">
        <f t="shared" si="1360"/>
        <v>1</v>
      </c>
      <c r="BF813" s="15" t="s">
        <v>416</v>
      </c>
      <c r="BG813" s="15" t="str">
        <f t="shared" ref="BG813:BG814" si="1375">"75.98"</f>
        <v>75.98</v>
      </c>
      <c r="BH813" s="15" t="s">
        <v>7370</v>
      </c>
      <c r="BI813" s="15" t="str">
        <f t="shared" ref="BI813:BI814" si="1376">"34.25"</f>
        <v>34.25</v>
      </c>
      <c r="BJ813" s="15" t="s">
        <v>605</v>
      </c>
      <c r="BK813" s="15" t="str">
        <f t="shared" ref="BK813:BK814" si="1377">"16.93"</f>
        <v>16.93</v>
      </c>
      <c r="BL813" s="15" t="s">
        <v>7091</v>
      </c>
      <c r="BM813" s="15" t="str">
        <f t="shared" ref="BM813:BM814" si="1378">"143.3"</f>
        <v>143.3</v>
      </c>
      <c r="BN813" s="15" t="s">
        <v>3950</v>
      </c>
      <c r="BQ813" s="15" t="s">
        <v>444</v>
      </c>
      <c r="BS813" s="15" t="s">
        <v>444</v>
      </c>
      <c r="BU813" s="15" t="s">
        <v>444</v>
      </c>
      <c r="BW813" s="15" t="s">
        <v>444</v>
      </c>
      <c r="BZ813" s="15" t="s">
        <v>444</v>
      </c>
      <c r="CB813" s="15" t="s">
        <v>444</v>
      </c>
      <c r="CD813" s="15" t="s">
        <v>444</v>
      </c>
      <c r="CF813" s="15" t="s">
        <v>444</v>
      </c>
      <c r="CI813" s="15" t="s">
        <v>444</v>
      </c>
      <c r="CK813" s="15" t="s">
        <v>444</v>
      </c>
      <c r="CM813" s="15" t="s">
        <v>444</v>
      </c>
      <c r="CO813" s="15" t="s">
        <v>444</v>
      </c>
      <c r="CP813" s="15" t="str">
        <f t="shared" ref="CP813:CP814" si="1379">"25.5"</f>
        <v>25.5</v>
      </c>
      <c r="CQ813" s="15" t="str">
        <f t="shared" ref="CQ813:CQ814" si="1380">"0.722"</f>
        <v>0.722</v>
      </c>
      <c r="CR813" s="15" t="s">
        <v>417</v>
      </c>
      <c r="DC813" s="15" t="str">
        <f>IFERROR(__xludf.DUMMYFUNCTION("""COMPUTED_VALUE"""),"")</f>
        <v/>
      </c>
      <c r="DE813" s="15" t="str">
        <f>IFERROR(__xludf.DUMMYFUNCTION("""COMPUTED_VALUE"""),"")</f>
        <v/>
      </c>
      <c r="DG813" s="15" t="str">
        <f>IFERROR(__xludf.DUMMYFUNCTION("""COMPUTED_VALUE"""),"")</f>
        <v/>
      </c>
      <c r="DL813" s="15" t="str">
        <f>IFERROR(__xludf.DUMMYFUNCTION("""COMPUTED_VALUE"""),"")</f>
        <v/>
      </c>
      <c r="DM813" s="15" t="s">
        <v>444</v>
      </c>
      <c r="DN813" s="15" t="s">
        <v>4002</v>
      </c>
      <c r="DO813" s="15">
        <v>5.0</v>
      </c>
      <c r="DP813" s="15" t="s">
        <v>2601</v>
      </c>
      <c r="DR813" s="15">
        <v>0.0</v>
      </c>
      <c r="DT813" s="15" t="s">
        <v>721</v>
      </c>
      <c r="DU813" s="15" t="s">
        <v>421</v>
      </c>
      <c r="DY813" s="15">
        <v>0.0</v>
      </c>
      <c r="EF813" s="15" t="s">
        <v>2137</v>
      </c>
      <c r="EG813" s="15" t="s">
        <v>2138</v>
      </c>
      <c r="EH813" s="15" t="s">
        <v>8554</v>
      </c>
      <c r="EJ813" s="15" t="s">
        <v>424</v>
      </c>
      <c r="EK813" s="15" t="s">
        <v>446</v>
      </c>
      <c r="EM813" s="15" t="str">
        <f>IFERROR(__xludf.DUMMYFUNCTION("""COMPUTED_VALUE"""),"")</f>
        <v/>
      </c>
      <c r="EW813" s="15" t="s">
        <v>2505</v>
      </c>
      <c r="EX813" s="15" t="s">
        <v>1515</v>
      </c>
      <c r="EY813" s="15" t="s">
        <v>8555</v>
      </c>
      <c r="FH813" s="15" t="s">
        <v>8556</v>
      </c>
      <c r="FI813" s="15" t="s">
        <v>5023</v>
      </c>
      <c r="FJ813" s="15" t="s">
        <v>8557</v>
      </c>
      <c r="FK813" s="15" t="s">
        <v>1517</v>
      </c>
      <c r="FL813" s="15" t="s">
        <v>426</v>
      </c>
      <c r="FM813" s="15">
        <v>0.0</v>
      </c>
      <c r="FV813" s="15" t="s">
        <v>984</v>
      </c>
      <c r="GH813" s="15">
        <v>0.0</v>
      </c>
      <c r="GI813" s="15" t="s">
        <v>427</v>
      </c>
      <c r="GQ813" s="15" t="s">
        <v>1287</v>
      </c>
      <c r="GR813" s="15" t="s">
        <v>1287</v>
      </c>
      <c r="GS813" s="15" t="s">
        <v>1236</v>
      </c>
      <c r="GT813" s="15" t="s">
        <v>2638</v>
      </c>
      <c r="GU813" s="15" t="s">
        <v>1592</v>
      </c>
      <c r="GV813" s="15" t="s">
        <v>558</v>
      </c>
      <c r="GW813" s="15" t="s">
        <v>2604</v>
      </c>
      <c r="GY813" s="15" t="s">
        <v>764</v>
      </c>
      <c r="GZ813" s="15" t="s">
        <v>426</v>
      </c>
      <c r="HD813" s="15">
        <v>0.0</v>
      </c>
      <c r="IG813" s="15" t="s">
        <v>426</v>
      </c>
    </row>
    <row r="814" ht="15.75" customHeight="1">
      <c r="A814" s="14" t="s">
        <v>391</v>
      </c>
      <c r="B814" s="15" t="s">
        <v>8547</v>
      </c>
      <c r="C814" s="16"/>
      <c r="D814" s="15" t="s">
        <v>432</v>
      </c>
      <c r="G814" s="14" t="s">
        <v>393</v>
      </c>
      <c r="H814" s="14" t="s">
        <v>394</v>
      </c>
      <c r="I814" s="14" t="b">
        <v>1</v>
      </c>
      <c r="J814" s="14" t="s">
        <v>395</v>
      </c>
      <c r="L814" s="14" t="b">
        <v>0</v>
      </c>
      <c r="M814" s="15" t="s">
        <v>8558</v>
      </c>
      <c r="N814" s="14" t="s">
        <v>393</v>
      </c>
      <c r="O814" s="14" t="s">
        <v>393</v>
      </c>
      <c r="P814" s="15" t="s">
        <v>397</v>
      </c>
      <c r="Q814" s="15" t="s">
        <v>1136</v>
      </c>
      <c r="T814" s="14" t="b">
        <v>0</v>
      </c>
      <c r="U814" s="15" t="s">
        <v>8559</v>
      </c>
      <c r="V814" s="15" t="s">
        <v>1762</v>
      </c>
      <c r="W814" s="15" t="s">
        <v>401</v>
      </c>
      <c r="X814" s="15" t="s">
        <v>695</v>
      </c>
      <c r="Y814" s="15">
        <v>2522.0</v>
      </c>
      <c r="AA814" s="15" t="str">
        <f t="shared" si="1374"/>
        <v>970</v>
      </c>
      <c r="AB814" s="14" t="b">
        <v>1</v>
      </c>
      <c r="AC814" s="14" t="b">
        <v>1</v>
      </c>
      <c r="AD814" s="15" t="str">
        <f>"801542028855"</f>
        <v>801542028855</v>
      </c>
      <c r="AE814" s="15" t="s">
        <v>8560</v>
      </c>
      <c r="AF814" s="14" t="s">
        <v>404</v>
      </c>
      <c r="AG814" s="14" t="s">
        <v>405</v>
      </c>
      <c r="AH814" s="14" t="s">
        <v>406</v>
      </c>
      <c r="AI814" s="15">
        <v>0.0</v>
      </c>
      <c r="AL814" s="15" t="s">
        <v>1099</v>
      </c>
      <c r="AM814" s="15" t="s">
        <v>745</v>
      </c>
      <c r="AN814" s="15" t="s">
        <v>746</v>
      </c>
      <c r="AO814" s="15" t="s">
        <v>546</v>
      </c>
      <c r="AP814" s="15" t="s">
        <v>547</v>
      </c>
      <c r="AQ814" s="15" t="s">
        <v>546</v>
      </c>
      <c r="AR814" s="15" t="s">
        <v>547</v>
      </c>
      <c r="AS814" s="15" t="s">
        <v>2612</v>
      </c>
      <c r="AT814" s="15" t="s">
        <v>1136</v>
      </c>
      <c r="AW814" s="15" t="s">
        <v>2134</v>
      </c>
      <c r="AX814" s="15" t="s">
        <v>2135</v>
      </c>
      <c r="AY814" s="15" t="s">
        <v>413</v>
      </c>
      <c r="AZ814" s="15" t="b">
        <v>0</v>
      </c>
      <c r="BA814" s="15" t="s">
        <v>413</v>
      </c>
      <c r="BB814" s="15" t="b">
        <v>0</v>
      </c>
      <c r="BC814" s="15" t="s">
        <v>8553</v>
      </c>
      <c r="BD814" s="15" t="s">
        <v>709</v>
      </c>
      <c r="BE814" s="15" t="str">
        <f t="shared" si="1360"/>
        <v>1</v>
      </c>
      <c r="BF814" s="15" t="s">
        <v>416</v>
      </c>
      <c r="BG814" s="15" t="str">
        <f t="shared" si="1375"/>
        <v>75.98</v>
      </c>
      <c r="BH814" s="15" t="s">
        <v>7370</v>
      </c>
      <c r="BI814" s="15" t="str">
        <f t="shared" si="1376"/>
        <v>34.25</v>
      </c>
      <c r="BJ814" s="15" t="s">
        <v>605</v>
      </c>
      <c r="BK814" s="15" t="str">
        <f t="shared" si="1377"/>
        <v>16.93</v>
      </c>
      <c r="BL814" s="15" t="s">
        <v>7091</v>
      </c>
      <c r="BM814" s="15" t="str">
        <f t="shared" si="1378"/>
        <v>143.3</v>
      </c>
      <c r="BN814" s="15" t="s">
        <v>3950</v>
      </c>
      <c r="BQ814" s="15" t="s">
        <v>444</v>
      </c>
      <c r="BS814" s="15" t="s">
        <v>444</v>
      </c>
      <c r="BU814" s="15" t="s">
        <v>444</v>
      </c>
      <c r="BW814" s="15" t="s">
        <v>444</v>
      </c>
      <c r="BZ814" s="15" t="s">
        <v>444</v>
      </c>
      <c r="CB814" s="15" t="s">
        <v>444</v>
      </c>
      <c r="CD814" s="15" t="s">
        <v>444</v>
      </c>
      <c r="CF814" s="15" t="s">
        <v>444</v>
      </c>
      <c r="CI814" s="15" t="s">
        <v>444</v>
      </c>
      <c r="CK814" s="15" t="s">
        <v>444</v>
      </c>
      <c r="CM814" s="15" t="s">
        <v>444</v>
      </c>
      <c r="CO814" s="15" t="s">
        <v>444</v>
      </c>
      <c r="CP814" s="15" t="str">
        <f t="shared" si="1379"/>
        <v>25.5</v>
      </c>
      <c r="CQ814" s="15" t="str">
        <f t="shared" si="1380"/>
        <v>0.722</v>
      </c>
      <c r="CR814" s="15" t="s">
        <v>417</v>
      </c>
      <c r="DC814" s="15" t="str">
        <f>IFERROR(__xludf.DUMMYFUNCTION("""COMPUTED_VALUE"""),"")</f>
        <v/>
      </c>
      <c r="DE814" s="15" t="str">
        <f>IFERROR(__xludf.DUMMYFUNCTION("""COMPUTED_VALUE"""),"")</f>
        <v/>
      </c>
      <c r="DG814" s="15" t="str">
        <f>IFERROR(__xludf.DUMMYFUNCTION("""COMPUTED_VALUE"""),"")</f>
        <v/>
      </c>
      <c r="DL814" s="15" t="str">
        <f>IFERROR(__xludf.DUMMYFUNCTION("""COMPUTED_VALUE"""),"")</f>
        <v/>
      </c>
      <c r="DM814" s="15" t="s">
        <v>444</v>
      </c>
      <c r="DN814" s="15" t="s">
        <v>4002</v>
      </c>
      <c r="DO814" s="15">
        <v>5.0</v>
      </c>
      <c r="DP814" s="15" t="s">
        <v>2601</v>
      </c>
      <c r="DR814" s="15">
        <v>0.0</v>
      </c>
      <c r="DT814" s="15" t="s">
        <v>721</v>
      </c>
      <c r="DU814" s="15" t="s">
        <v>421</v>
      </c>
      <c r="DY814" s="15">
        <v>0.0</v>
      </c>
      <c r="EF814" s="15" t="s">
        <v>2137</v>
      </c>
      <c r="EG814" s="15" t="s">
        <v>2138</v>
      </c>
      <c r="EH814" s="15" t="s">
        <v>8554</v>
      </c>
      <c r="EJ814" s="15" t="s">
        <v>424</v>
      </c>
      <c r="EK814" s="15" t="s">
        <v>446</v>
      </c>
      <c r="EM814" s="15" t="str">
        <f>IFERROR(__xludf.DUMMYFUNCTION("""COMPUTED_VALUE"""),"")</f>
        <v/>
      </c>
      <c r="EW814" s="15" t="s">
        <v>2505</v>
      </c>
      <c r="EX814" s="15" t="s">
        <v>1515</v>
      </c>
      <c r="EY814" s="15" t="s">
        <v>8555</v>
      </c>
      <c r="FH814" s="15" t="s">
        <v>8556</v>
      </c>
      <c r="FI814" s="15" t="s">
        <v>5023</v>
      </c>
      <c r="FJ814" s="15" t="s">
        <v>8557</v>
      </c>
      <c r="FK814" s="15" t="s">
        <v>1517</v>
      </c>
      <c r="FL814" s="15" t="s">
        <v>426</v>
      </c>
      <c r="FM814" s="15">
        <v>0.0</v>
      </c>
      <c r="FV814" s="15" t="s">
        <v>984</v>
      </c>
      <c r="GH814" s="15">
        <v>0.0</v>
      </c>
      <c r="GI814" s="15" t="s">
        <v>427</v>
      </c>
      <c r="GQ814" s="15" t="s">
        <v>1287</v>
      </c>
      <c r="GR814" s="15" t="s">
        <v>1287</v>
      </c>
      <c r="GS814" s="15" t="s">
        <v>1236</v>
      </c>
      <c r="GT814" s="15" t="s">
        <v>2638</v>
      </c>
      <c r="GU814" s="15" t="s">
        <v>1592</v>
      </c>
      <c r="GV814" s="15" t="s">
        <v>558</v>
      </c>
      <c r="GW814" s="15" t="s">
        <v>2604</v>
      </c>
      <c r="GY814" s="15" t="s">
        <v>764</v>
      </c>
      <c r="GZ814" s="15" t="s">
        <v>426</v>
      </c>
      <c r="HD814" s="15">
        <v>0.0</v>
      </c>
      <c r="IG814" s="15" t="s">
        <v>426</v>
      </c>
    </row>
    <row r="815" ht="15.75" customHeight="1">
      <c r="A815" s="14" t="s">
        <v>391</v>
      </c>
      <c r="B815" s="15" t="s">
        <v>8561</v>
      </c>
      <c r="C815" s="16"/>
      <c r="D815" s="15" t="s">
        <v>432</v>
      </c>
      <c r="G815" s="14" t="s">
        <v>393</v>
      </c>
      <c r="H815" s="14" t="s">
        <v>394</v>
      </c>
      <c r="I815" s="14" t="b">
        <v>1</v>
      </c>
      <c r="J815" s="14" t="s">
        <v>395</v>
      </c>
      <c r="L815" s="14" t="b">
        <v>0</v>
      </c>
      <c r="M815" s="15" t="s">
        <v>8562</v>
      </c>
      <c r="N815" s="14" t="s">
        <v>393</v>
      </c>
      <c r="O815" s="14" t="s">
        <v>393</v>
      </c>
      <c r="P815" s="15" t="s">
        <v>397</v>
      </c>
      <c r="Q815" s="15" t="s">
        <v>8492</v>
      </c>
      <c r="T815" s="14" t="b">
        <v>0</v>
      </c>
      <c r="U815" s="15" t="s">
        <v>8563</v>
      </c>
      <c r="V815" s="15" t="s">
        <v>8564</v>
      </c>
      <c r="W815" s="15" t="s">
        <v>401</v>
      </c>
      <c r="X815" s="15" t="s">
        <v>742</v>
      </c>
      <c r="Y815" s="15">
        <v>2405.0</v>
      </c>
      <c r="AA815" s="15" t="str">
        <f>"925"</f>
        <v>925</v>
      </c>
      <c r="AB815" s="14" t="b">
        <v>1</v>
      </c>
      <c r="AC815" s="14" t="b">
        <v>1</v>
      </c>
      <c r="AD815" s="15" t="str">
        <f>"801542805913"</f>
        <v>801542805913</v>
      </c>
      <c r="AE815" s="15" t="s">
        <v>8565</v>
      </c>
      <c r="AF815" s="14" t="s">
        <v>404</v>
      </c>
      <c r="AG815" s="14" t="s">
        <v>405</v>
      </c>
      <c r="AH815" s="14" t="s">
        <v>406</v>
      </c>
      <c r="AI815" s="15">
        <v>0.0</v>
      </c>
      <c r="AL815" s="15" t="s">
        <v>6706</v>
      </c>
      <c r="AM815" s="15" t="s">
        <v>5048</v>
      </c>
      <c r="AN815" s="15" t="s">
        <v>4426</v>
      </c>
      <c r="AO815" s="15" t="s">
        <v>5048</v>
      </c>
      <c r="AP815" s="15" t="s">
        <v>4426</v>
      </c>
      <c r="AQ815" s="15" t="s">
        <v>5398</v>
      </c>
      <c r="AR815" s="15" t="s">
        <v>5399</v>
      </c>
      <c r="AS815" s="15" t="s">
        <v>2759</v>
      </c>
      <c r="AT815" s="15" t="s">
        <v>8492</v>
      </c>
      <c r="AW815" s="15" t="s">
        <v>491</v>
      </c>
      <c r="AY815" s="15" t="s">
        <v>413</v>
      </c>
      <c r="AZ815" s="15" t="b">
        <v>0</v>
      </c>
      <c r="BA815" s="15" t="s">
        <v>413</v>
      </c>
      <c r="BB815" s="15" t="b">
        <v>0</v>
      </c>
      <c r="BC815" s="15" t="s">
        <v>8566</v>
      </c>
      <c r="BD815" s="15" t="s">
        <v>742</v>
      </c>
      <c r="BE815" s="15" t="str">
        <f t="shared" si="1360"/>
        <v>1</v>
      </c>
      <c r="BF815" s="15" t="s">
        <v>416</v>
      </c>
      <c r="BG815" s="15" t="str">
        <f>"57.76"</f>
        <v>57.76</v>
      </c>
      <c r="BH815" s="15" t="s">
        <v>8567</v>
      </c>
      <c r="BI815" s="15" t="str">
        <f>"57.2"</f>
        <v>57.2</v>
      </c>
      <c r="BJ815" s="15" t="s">
        <v>8568</v>
      </c>
      <c r="BK815" s="15" t="str">
        <f>"17.91"</f>
        <v>17.91</v>
      </c>
      <c r="BL815" s="15" t="s">
        <v>5780</v>
      </c>
      <c r="BM815" s="15" t="str">
        <f>"184.75"</f>
        <v>184.75</v>
      </c>
      <c r="BN815" s="15" t="s">
        <v>8569</v>
      </c>
      <c r="BQ815" s="15" t="s">
        <v>444</v>
      </c>
      <c r="BS815" s="15" t="s">
        <v>444</v>
      </c>
      <c r="BU815" s="15" t="s">
        <v>444</v>
      </c>
      <c r="BW815" s="15" t="s">
        <v>444</v>
      </c>
      <c r="BZ815" s="15" t="s">
        <v>444</v>
      </c>
      <c r="CB815" s="15" t="s">
        <v>444</v>
      </c>
      <c r="CD815" s="15" t="s">
        <v>444</v>
      </c>
      <c r="CF815" s="15" t="s">
        <v>444</v>
      </c>
      <c r="CI815" s="15" t="s">
        <v>444</v>
      </c>
      <c r="CK815" s="15" t="s">
        <v>444</v>
      </c>
      <c r="CM815" s="15" t="s">
        <v>444</v>
      </c>
      <c r="CO815" s="15" t="s">
        <v>444</v>
      </c>
      <c r="CP815" s="15" t="str">
        <f>"34.26"</f>
        <v>34.26</v>
      </c>
      <c r="CQ815" s="15" t="str">
        <f>"0.97"</f>
        <v>0.97</v>
      </c>
      <c r="CR815" s="15" t="s">
        <v>497</v>
      </c>
      <c r="DC815" s="15" t="str">
        <f>IFERROR(__xludf.DUMMYFUNCTION("""COMPUTED_VALUE"""),"")</f>
        <v/>
      </c>
      <c r="DE815" s="15" t="str">
        <f>IFERROR(__xludf.DUMMYFUNCTION("""COMPUTED_VALUE"""),"")</f>
        <v/>
      </c>
      <c r="DG815" s="15" t="str">
        <f>IFERROR(__xludf.DUMMYFUNCTION("""COMPUTED_VALUE"""),"")</f>
        <v/>
      </c>
      <c r="DL815" s="15" t="str">
        <f>IFERROR(__xludf.DUMMYFUNCTION("""COMPUTED_VALUE"""),"")</f>
        <v/>
      </c>
      <c r="DM815" s="15" t="s">
        <v>444</v>
      </c>
      <c r="DN815" s="15" t="s">
        <v>419</v>
      </c>
      <c r="DO815" s="15">
        <v>0.0</v>
      </c>
      <c r="DP815" s="15" t="s">
        <v>419</v>
      </c>
      <c r="DR815" s="15">
        <v>0.0</v>
      </c>
      <c r="DT815" s="15" t="s">
        <v>420</v>
      </c>
      <c r="DU815" s="15" t="s">
        <v>419</v>
      </c>
      <c r="DY815" s="15">
        <v>0.0</v>
      </c>
      <c r="EF815" s="15" t="s">
        <v>1157</v>
      </c>
      <c r="EG815" s="15" t="s">
        <v>1158</v>
      </c>
      <c r="EH815" s="15" t="s">
        <v>8570</v>
      </c>
      <c r="EJ815" s="15" t="s">
        <v>500</v>
      </c>
      <c r="EK815" s="15" t="s">
        <v>501</v>
      </c>
      <c r="EM815" s="15" t="str">
        <f>IFERROR(__xludf.DUMMYFUNCTION("""COMPUTED_VALUE"""),"")</f>
        <v/>
      </c>
      <c r="EW815" s="15" t="s">
        <v>2505</v>
      </c>
      <c r="FH815" s="15" t="s">
        <v>8571</v>
      </c>
      <c r="FI815" s="15" t="s">
        <v>2505</v>
      </c>
      <c r="FJ815" s="15" t="s">
        <v>8571</v>
      </c>
      <c r="FK815" s="15" t="s">
        <v>8572</v>
      </c>
      <c r="FL815" s="15" t="s">
        <v>426</v>
      </c>
      <c r="FM815" s="15">
        <v>0.0</v>
      </c>
      <c r="FN815" s="15">
        <v>0.0</v>
      </c>
      <c r="FW815" s="15" t="s">
        <v>7242</v>
      </c>
    </row>
    <row r="816" ht="15.75" customHeight="1">
      <c r="A816" s="14" t="s">
        <v>391</v>
      </c>
      <c r="B816" s="15" t="s">
        <v>8573</v>
      </c>
      <c r="C816" s="16"/>
      <c r="D816" s="15" t="s">
        <v>432</v>
      </c>
      <c r="G816" s="14" t="s">
        <v>393</v>
      </c>
      <c r="H816" s="14" t="s">
        <v>394</v>
      </c>
      <c r="I816" s="14" t="b">
        <v>1</v>
      </c>
      <c r="J816" s="14" t="s">
        <v>395</v>
      </c>
      <c r="L816" s="14" t="b">
        <v>0</v>
      </c>
      <c r="M816" s="15" t="s">
        <v>8574</v>
      </c>
      <c r="N816" s="14" t="s">
        <v>393</v>
      </c>
      <c r="O816" s="14" t="s">
        <v>393</v>
      </c>
      <c r="P816" s="15" t="s">
        <v>397</v>
      </c>
      <c r="Q816" s="15" t="s">
        <v>7040</v>
      </c>
      <c r="T816" s="14" t="b">
        <v>0</v>
      </c>
      <c r="U816" s="15" t="s">
        <v>8575</v>
      </c>
      <c r="V816" s="15" t="s">
        <v>8576</v>
      </c>
      <c r="W816" s="15" t="s">
        <v>401</v>
      </c>
      <c r="X816" s="15" t="s">
        <v>742</v>
      </c>
      <c r="Y816" s="15">
        <v>1261.0</v>
      </c>
      <c r="AA816" s="15" t="str">
        <f>"485"</f>
        <v>485</v>
      </c>
      <c r="AB816" s="14" t="b">
        <v>1</v>
      </c>
      <c r="AC816" s="14" t="b">
        <v>1</v>
      </c>
      <c r="AD816" s="15" t="str">
        <f>"801542805920"</f>
        <v>801542805920</v>
      </c>
      <c r="AE816" s="15" t="s">
        <v>8577</v>
      </c>
      <c r="AF816" s="14" t="s">
        <v>404</v>
      </c>
      <c r="AG816" s="14" t="s">
        <v>405</v>
      </c>
      <c r="AH816" s="14" t="s">
        <v>406</v>
      </c>
      <c r="AI816" s="15">
        <v>0.0</v>
      </c>
      <c r="AL816" s="15" t="s">
        <v>8578</v>
      </c>
      <c r="AM816" s="15" t="s">
        <v>1175</v>
      </c>
      <c r="AN816" s="15" t="s">
        <v>1176</v>
      </c>
      <c r="AO816" s="15" t="s">
        <v>1175</v>
      </c>
      <c r="AP816" s="15" t="s">
        <v>1176</v>
      </c>
      <c r="AQ816" s="15" t="s">
        <v>1248</v>
      </c>
      <c r="AR816" s="15" t="s">
        <v>1249</v>
      </c>
      <c r="AS816" s="15" t="s">
        <v>2759</v>
      </c>
      <c r="AT816" s="15" t="s">
        <v>7040</v>
      </c>
      <c r="AW816" s="15" t="s">
        <v>1154</v>
      </c>
      <c r="AY816" s="15" t="s">
        <v>413</v>
      </c>
      <c r="AZ816" s="15" t="b">
        <v>0</v>
      </c>
      <c r="BA816" s="15" t="s">
        <v>413</v>
      </c>
      <c r="BB816" s="15" t="b">
        <v>0</v>
      </c>
      <c r="BC816" s="15" t="s">
        <v>8579</v>
      </c>
      <c r="BD816" s="15" t="s">
        <v>742</v>
      </c>
      <c r="BE816" s="15" t="str">
        <f t="shared" si="1360"/>
        <v>1</v>
      </c>
      <c r="BF816" s="15" t="s">
        <v>416</v>
      </c>
      <c r="BG816" s="15" t="str">
        <f t="shared" ref="BG816:BG817" si="1381">"28.15"</f>
        <v>28.15</v>
      </c>
      <c r="BH816" s="15" t="s">
        <v>8164</v>
      </c>
      <c r="BI816" s="15" t="str">
        <f t="shared" ref="BI816:BI817" si="1382">"28.15"</f>
        <v>28.15</v>
      </c>
      <c r="BJ816" s="15" t="s">
        <v>8164</v>
      </c>
      <c r="BK816" s="15" t="str">
        <f t="shared" ref="BK816:BK817" si="1383">"25.98"</f>
        <v>25.98</v>
      </c>
      <c r="BL816" s="15" t="s">
        <v>522</v>
      </c>
      <c r="BM816" s="15" t="str">
        <f t="shared" ref="BM816:BM817" si="1384">"91.05"</f>
        <v>91.05</v>
      </c>
      <c r="BN816" s="15" t="s">
        <v>6567</v>
      </c>
      <c r="BQ816" s="15" t="s">
        <v>444</v>
      </c>
      <c r="BS816" s="15" t="s">
        <v>444</v>
      </c>
      <c r="BU816" s="15" t="s">
        <v>444</v>
      </c>
      <c r="BW816" s="15" t="s">
        <v>444</v>
      </c>
      <c r="BZ816" s="15" t="s">
        <v>444</v>
      </c>
      <c r="CB816" s="15" t="s">
        <v>444</v>
      </c>
      <c r="CD816" s="15" t="s">
        <v>444</v>
      </c>
      <c r="CF816" s="15" t="s">
        <v>444</v>
      </c>
      <c r="CI816" s="15" t="s">
        <v>444</v>
      </c>
      <c r="CK816" s="15" t="s">
        <v>444</v>
      </c>
      <c r="CM816" s="15" t="s">
        <v>444</v>
      </c>
      <c r="CO816" s="15" t="s">
        <v>444</v>
      </c>
      <c r="CP816" s="15" t="str">
        <f t="shared" ref="CP816:CP817" si="1385">"11.9"</f>
        <v>11.9</v>
      </c>
      <c r="CQ816" s="15" t="str">
        <f t="shared" ref="CQ816:CQ817" si="1386">"0.337"</f>
        <v>0.337</v>
      </c>
      <c r="CR816" s="15" t="s">
        <v>465</v>
      </c>
      <c r="DC816" s="15" t="str">
        <f>IFERROR(__xludf.DUMMYFUNCTION("""COMPUTED_VALUE"""),"")</f>
        <v/>
      </c>
      <c r="DE816" s="15" t="str">
        <f>IFERROR(__xludf.DUMMYFUNCTION("""COMPUTED_VALUE"""),"")</f>
        <v/>
      </c>
      <c r="DG816" s="15" t="str">
        <f>IFERROR(__xludf.DUMMYFUNCTION("""COMPUTED_VALUE"""),"")</f>
        <v/>
      </c>
      <c r="DL816" s="15" t="str">
        <f>IFERROR(__xludf.DUMMYFUNCTION("""COMPUTED_VALUE"""),"")</f>
        <v/>
      </c>
      <c r="DM816" s="15" t="s">
        <v>444</v>
      </c>
      <c r="DN816" s="15" t="s">
        <v>419</v>
      </c>
      <c r="DO816" s="15">
        <v>0.0</v>
      </c>
      <c r="DP816" s="15" t="s">
        <v>419</v>
      </c>
      <c r="DR816" s="15">
        <v>0.0</v>
      </c>
      <c r="DT816" s="15" t="s">
        <v>420</v>
      </c>
      <c r="DU816" s="15" t="s">
        <v>419</v>
      </c>
      <c r="DY816" s="15">
        <v>0.0</v>
      </c>
      <c r="EF816" s="15" t="s">
        <v>1157</v>
      </c>
      <c r="EG816" s="15" t="s">
        <v>1158</v>
      </c>
      <c r="EH816" s="15" t="s">
        <v>8570</v>
      </c>
      <c r="EJ816" s="15" t="s">
        <v>500</v>
      </c>
      <c r="EK816" s="15" t="s">
        <v>501</v>
      </c>
      <c r="EM816" s="15" t="str">
        <f>IFERROR(__xludf.DUMMYFUNCTION("""COMPUTED_VALUE"""),"")</f>
        <v/>
      </c>
      <c r="EW816" s="15" t="s">
        <v>1485</v>
      </c>
      <c r="FH816" s="15" t="s">
        <v>5632</v>
      </c>
      <c r="FI816" s="15" t="s">
        <v>1485</v>
      </c>
      <c r="FJ816" s="15" t="s">
        <v>5632</v>
      </c>
      <c r="FK816" s="15" t="s">
        <v>8580</v>
      </c>
      <c r="FL816" s="15" t="s">
        <v>426</v>
      </c>
      <c r="FM816" s="15">
        <v>0.0</v>
      </c>
      <c r="FN816" s="15">
        <v>0.0</v>
      </c>
      <c r="FW816" s="15" t="s">
        <v>8581</v>
      </c>
    </row>
    <row r="817" ht="15.75" customHeight="1">
      <c r="A817" s="14" t="s">
        <v>391</v>
      </c>
      <c r="B817" s="15" t="s">
        <v>8573</v>
      </c>
      <c r="C817" s="16"/>
      <c r="D817" s="15" t="s">
        <v>432</v>
      </c>
      <c r="G817" s="14" t="s">
        <v>393</v>
      </c>
      <c r="H817" s="14" t="s">
        <v>394</v>
      </c>
      <c r="I817" s="14" t="b">
        <v>1</v>
      </c>
      <c r="J817" s="14" t="s">
        <v>395</v>
      </c>
      <c r="L817" s="14" t="b">
        <v>0</v>
      </c>
      <c r="M817" s="15" t="s">
        <v>8582</v>
      </c>
      <c r="N817" s="14" t="s">
        <v>393</v>
      </c>
      <c r="O817" s="14" t="s">
        <v>393</v>
      </c>
      <c r="P817" s="15" t="s">
        <v>397</v>
      </c>
      <c r="Q817" s="15" t="s">
        <v>3142</v>
      </c>
      <c r="T817" s="14" t="b">
        <v>0</v>
      </c>
      <c r="U817" s="15" t="s">
        <v>8583</v>
      </c>
      <c r="V817" s="15" t="s">
        <v>8576</v>
      </c>
      <c r="W817" s="15" t="s">
        <v>401</v>
      </c>
      <c r="X817" s="15" t="s">
        <v>742</v>
      </c>
      <c r="Y817" s="15">
        <v>1157.0</v>
      </c>
      <c r="AA817" s="15" t="str">
        <f>"445"</f>
        <v>445</v>
      </c>
      <c r="AB817" s="14" t="b">
        <v>1</v>
      </c>
      <c r="AC817" s="14" t="b">
        <v>1</v>
      </c>
      <c r="AD817" s="15" t="str">
        <f>"801542805937"</f>
        <v>801542805937</v>
      </c>
      <c r="AE817" s="15" t="s">
        <v>8584</v>
      </c>
      <c r="AF817" s="14" t="s">
        <v>404</v>
      </c>
      <c r="AG817" s="14" t="s">
        <v>405</v>
      </c>
      <c r="AH817" s="14" t="s">
        <v>406</v>
      </c>
      <c r="AI817" s="15">
        <v>0.0</v>
      </c>
      <c r="AL817" s="15" t="s">
        <v>8585</v>
      </c>
      <c r="AM817" s="15" t="s">
        <v>1175</v>
      </c>
      <c r="AN817" s="15" t="s">
        <v>1176</v>
      </c>
      <c r="AO817" s="15" t="s">
        <v>1175</v>
      </c>
      <c r="AP817" s="15" t="s">
        <v>1176</v>
      </c>
      <c r="AQ817" s="15" t="s">
        <v>1248</v>
      </c>
      <c r="AR817" s="15" t="s">
        <v>1249</v>
      </c>
      <c r="AS817" s="15" t="s">
        <v>2759</v>
      </c>
      <c r="AT817" s="15" t="s">
        <v>3142</v>
      </c>
      <c r="AU817" s="15" t="s">
        <v>6419</v>
      </c>
      <c r="AW817" s="15" t="s">
        <v>1154</v>
      </c>
      <c r="AY817" s="15" t="s">
        <v>413</v>
      </c>
      <c r="AZ817" s="15" t="b">
        <v>0</v>
      </c>
      <c r="BA817" s="15" t="s">
        <v>413</v>
      </c>
      <c r="BB817" s="15" t="b">
        <v>0</v>
      </c>
      <c r="BC817" s="15" t="s">
        <v>8586</v>
      </c>
      <c r="BD817" s="15" t="s">
        <v>742</v>
      </c>
      <c r="BE817" s="15" t="str">
        <f t="shared" si="1360"/>
        <v>1</v>
      </c>
      <c r="BF817" s="15" t="s">
        <v>416</v>
      </c>
      <c r="BG817" s="15" t="str">
        <f t="shared" si="1381"/>
        <v>28.15</v>
      </c>
      <c r="BH817" s="15" t="s">
        <v>8164</v>
      </c>
      <c r="BI817" s="15" t="str">
        <f t="shared" si="1382"/>
        <v>28.15</v>
      </c>
      <c r="BJ817" s="15" t="s">
        <v>8164</v>
      </c>
      <c r="BK817" s="15" t="str">
        <f t="shared" si="1383"/>
        <v>25.98</v>
      </c>
      <c r="BL817" s="15" t="s">
        <v>522</v>
      </c>
      <c r="BM817" s="15" t="str">
        <f t="shared" si="1384"/>
        <v>91.05</v>
      </c>
      <c r="BN817" s="15" t="s">
        <v>6567</v>
      </c>
      <c r="BQ817" s="15" t="s">
        <v>444</v>
      </c>
      <c r="BS817" s="15" t="s">
        <v>444</v>
      </c>
      <c r="BU817" s="15" t="s">
        <v>444</v>
      </c>
      <c r="BW817" s="15" t="s">
        <v>444</v>
      </c>
      <c r="BZ817" s="15" t="s">
        <v>444</v>
      </c>
      <c r="CB817" s="15" t="s">
        <v>444</v>
      </c>
      <c r="CD817" s="15" t="s">
        <v>444</v>
      </c>
      <c r="CF817" s="15" t="s">
        <v>444</v>
      </c>
      <c r="CI817" s="15" t="s">
        <v>444</v>
      </c>
      <c r="CK817" s="15" t="s">
        <v>444</v>
      </c>
      <c r="CM817" s="15" t="s">
        <v>444</v>
      </c>
      <c r="CO817" s="15" t="s">
        <v>444</v>
      </c>
      <c r="CP817" s="15" t="str">
        <f t="shared" si="1385"/>
        <v>11.9</v>
      </c>
      <c r="CQ817" s="15" t="str">
        <f t="shared" si="1386"/>
        <v>0.337</v>
      </c>
      <c r="CR817" s="15" t="s">
        <v>465</v>
      </c>
      <c r="DC817" s="15" t="str">
        <f>IFERROR(__xludf.DUMMYFUNCTION("""COMPUTED_VALUE"""),"")</f>
        <v/>
      </c>
      <c r="DE817" s="15" t="str">
        <f>IFERROR(__xludf.DUMMYFUNCTION("""COMPUTED_VALUE"""),"")</f>
        <v/>
      </c>
      <c r="DG817" s="15" t="str">
        <f>IFERROR(__xludf.DUMMYFUNCTION("""COMPUTED_VALUE"""),"")</f>
        <v/>
      </c>
      <c r="DL817" s="15" t="str">
        <f>IFERROR(__xludf.DUMMYFUNCTION("""COMPUTED_VALUE"""),"")</f>
        <v/>
      </c>
      <c r="DM817" s="15" t="s">
        <v>444</v>
      </c>
      <c r="DN817" s="15" t="s">
        <v>419</v>
      </c>
      <c r="DO817" s="15">
        <v>0.0</v>
      </c>
      <c r="DP817" s="15" t="s">
        <v>419</v>
      </c>
      <c r="DR817" s="15">
        <v>0.0</v>
      </c>
      <c r="DT817" s="15" t="s">
        <v>420</v>
      </c>
      <c r="DU817" s="15" t="s">
        <v>419</v>
      </c>
      <c r="DY817" s="15">
        <v>0.0</v>
      </c>
      <c r="EF817" s="15" t="s">
        <v>1157</v>
      </c>
      <c r="EG817" s="15" t="s">
        <v>1158</v>
      </c>
      <c r="EH817" s="15" t="s">
        <v>8570</v>
      </c>
      <c r="EJ817" s="15" t="s">
        <v>500</v>
      </c>
      <c r="EK817" s="15" t="s">
        <v>501</v>
      </c>
      <c r="EM817" s="15" t="str">
        <f>IFERROR(__xludf.DUMMYFUNCTION("""COMPUTED_VALUE"""),"")</f>
        <v/>
      </c>
      <c r="EW817" s="15" t="s">
        <v>1485</v>
      </c>
      <c r="FH817" s="15" t="s">
        <v>5632</v>
      </c>
      <c r="FI817" s="15" t="s">
        <v>1485</v>
      </c>
      <c r="FJ817" s="15" t="s">
        <v>5632</v>
      </c>
      <c r="FK817" s="15" t="s">
        <v>8580</v>
      </c>
      <c r="FL817" s="15" t="s">
        <v>426</v>
      </c>
      <c r="FM817" s="15">
        <v>0.0</v>
      </c>
      <c r="FN817" s="15">
        <v>0.0</v>
      </c>
      <c r="FW817" s="15" t="s">
        <v>8581</v>
      </c>
    </row>
    <row r="818" ht="15.75" customHeight="1">
      <c r="A818" s="14" t="s">
        <v>391</v>
      </c>
      <c r="B818" s="15" t="s">
        <v>8587</v>
      </c>
      <c r="C818" s="16"/>
      <c r="D818" s="15" t="s">
        <v>432</v>
      </c>
      <c r="G818" s="14" t="s">
        <v>393</v>
      </c>
      <c r="H818" s="14" t="s">
        <v>394</v>
      </c>
      <c r="I818" s="14" t="b">
        <v>1</v>
      </c>
      <c r="J818" s="14" t="s">
        <v>395</v>
      </c>
      <c r="L818" s="14" t="b">
        <v>0</v>
      </c>
      <c r="M818" s="15" t="s">
        <v>8588</v>
      </c>
      <c r="N818" s="14" t="s">
        <v>393</v>
      </c>
      <c r="O818" s="14" t="s">
        <v>393</v>
      </c>
      <c r="P818" s="15" t="s">
        <v>397</v>
      </c>
      <c r="Q818" s="15" t="s">
        <v>8589</v>
      </c>
      <c r="T818" s="14" t="b">
        <v>0</v>
      </c>
      <c r="U818" s="15" t="s">
        <v>8590</v>
      </c>
      <c r="V818" s="15" t="s">
        <v>8591</v>
      </c>
      <c r="W818" s="15" t="s">
        <v>401</v>
      </c>
      <c r="X818" s="15" t="s">
        <v>695</v>
      </c>
      <c r="Y818" s="15">
        <v>2626.0</v>
      </c>
      <c r="AA818" s="15" t="str">
        <f>"1010"</f>
        <v>1010</v>
      </c>
      <c r="AB818" s="14" t="b">
        <v>1</v>
      </c>
      <c r="AC818" s="14" t="b">
        <v>1</v>
      </c>
      <c r="AD818" s="15" t="str">
        <f>"801542099169"</f>
        <v>801542099169</v>
      </c>
      <c r="AE818" s="15" t="s">
        <v>8592</v>
      </c>
      <c r="AF818" s="14" t="s">
        <v>404</v>
      </c>
      <c r="AG818" s="14" t="s">
        <v>405</v>
      </c>
      <c r="AH818" s="14" t="s">
        <v>406</v>
      </c>
      <c r="AI818" s="15">
        <v>0.0</v>
      </c>
      <c r="AL818" s="15" t="s">
        <v>1532</v>
      </c>
      <c r="AM818" s="15" t="s">
        <v>745</v>
      </c>
      <c r="AN818" s="15" t="s">
        <v>746</v>
      </c>
      <c r="AO818" s="15" t="s">
        <v>1152</v>
      </c>
      <c r="AP818" s="15" t="s">
        <v>1153</v>
      </c>
      <c r="AQ818" s="15" t="s">
        <v>410</v>
      </c>
      <c r="AR818" s="15" t="s">
        <v>439</v>
      </c>
      <c r="AS818" s="15" t="s">
        <v>2594</v>
      </c>
      <c r="AT818" s="15" t="s">
        <v>8589</v>
      </c>
      <c r="AU818" s="15" t="s">
        <v>8593</v>
      </c>
      <c r="AW818" s="15" t="s">
        <v>664</v>
      </c>
      <c r="AY818" s="15" t="s">
        <v>413</v>
      </c>
      <c r="AZ818" s="15" t="b">
        <v>0</v>
      </c>
      <c r="BA818" s="15" t="s">
        <v>413</v>
      </c>
      <c r="BB818" s="15" t="b">
        <v>0</v>
      </c>
      <c r="BC818" s="15" t="s">
        <v>8594</v>
      </c>
      <c r="BD818" s="15" t="s">
        <v>709</v>
      </c>
      <c r="BE818" s="15" t="str">
        <f t="shared" si="1360"/>
        <v>1</v>
      </c>
      <c r="BF818" s="15" t="s">
        <v>416</v>
      </c>
      <c r="BG818" s="15" t="str">
        <f>"75.59"</f>
        <v>75.59</v>
      </c>
      <c r="BH818" s="15" t="s">
        <v>3401</v>
      </c>
      <c r="BI818" s="15" t="str">
        <f>"21.06"</f>
        <v>21.06</v>
      </c>
      <c r="BJ818" s="15" t="s">
        <v>3187</v>
      </c>
      <c r="BK818" s="15" t="str">
        <f>"37.01"</f>
        <v>37.01</v>
      </c>
      <c r="BL818" s="15" t="s">
        <v>1990</v>
      </c>
      <c r="BM818" s="15" t="str">
        <f>"141.76"</f>
        <v>141.76</v>
      </c>
      <c r="BN818" s="15" t="s">
        <v>8595</v>
      </c>
      <c r="BQ818" s="15" t="s">
        <v>444</v>
      </c>
      <c r="BS818" s="15" t="s">
        <v>444</v>
      </c>
      <c r="BU818" s="15" t="s">
        <v>444</v>
      </c>
      <c r="BW818" s="15" t="s">
        <v>444</v>
      </c>
      <c r="BZ818" s="15" t="s">
        <v>444</v>
      </c>
      <c r="CB818" s="15" t="s">
        <v>444</v>
      </c>
      <c r="CD818" s="15" t="s">
        <v>444</v>
      </c>
      <c r="CF818" s="15" t="s">
        <v>444</v>
      </c>
      <c r="CI818" s="15" t="s">
        <v>444</v>
      </c>
      <c r="CK818" s="15" t="s">
        <v>444</v>
      </c>
      <c r="CM818" s="15" t="s">
        <v>444</v>
      </c>
      <c r="CO818" s="15" t="s">
        <v>444</v>
      </c>
      <c r="CP818" s="15" t="str">
        <f>"34.08"</f>
        <v>34.08</v>
      </c>
      <c r="CQ818" s="15" t="str">
        <f>"0.965"</f>
        <v>0.965</v>
      </c>
      <c r="CR818" s="15" t="s">
        <v>465</v>
      </c>
      <c r="CV818" s="15" t="s">
        <v>8596</v>
      </c>
      <c r="CW818" s="15" t="s">
        <v>1480</v>
      </c>
      <c r="CX818" s="15" t="s">
        <v>2184</v>
      </c>
      <c r="DC818" s="15" t="str">
        <f>IFERROR(__xludf.DUMMYFUNCTION("""COMPUTED_VALUE"""),"")</f>
        <v/>
      </c>
      <c r="DE818" s="15" t="str">
        <f>IFERROR(__xludf.DUMMYFUNCTION("""COMPUTED_VALUE"""),"")</f>
        <v/>
      </c>
      <c r="DG818" s="15" t="str">
        <f>IFERROR(__xludf.DUMMYFUNCTION("""COMPUTED_VALUE"""),"")</f>
        <v/>
      </c>
      <c r="DL818" s="15" t="str">
        <f>IFERROR(__xludf.DUMMYFUNCTION("""COMPUTED_VALUE"""),"")</f>
        <v/>
      </c>
      <c r="DM818" s="15" t="s">
        <v>444</v>
      </c>
      <c r="DN818" s="15" t="s">
        <v>419</v>
      </c>
      <c r="DO818" s="15">
        <v>0.0</v>
      </c>
      <c r="DP818" s="15" t="s">
        <v>419</v>
      </c>
      <c r="DR818" s="15">
        <v>0.0</v>
      </c>
      <c r="DT818" s="15" t="s">
        <v>1388</v>
      </c>
      <c r="DU818" s="15" t="s">
        <v>610</v>
      </c>
      <c r="DW818" s="15">
        <v>18.14</v>
      </c>
      <c r="DX818" s="15">
        <v>40.0</v>
      </c>
      <c r="DY818" s="15">
        <v>2.0</v>
      </c>
      <c r="EG818" s="15" t="s">
        <v>444</v>
      </c>
      <c r="EH818" s="15" t="s">
        <v>8597</v>
      </c>
      <c r="EJ818" s="15" t="s">
        <v>424</v>
      </c>
      <c r="EK818" s="15" t="s">
        <v>446</v>
      </c>
      <c r="EM818" s="15" t="str">
        <f>IFERROR(__xludf.DUMMYFUNCTION("""COMPUTED_VALUE"""),"")</f>
        <v/>
      </c>
      <c r="EW818" s="15" t="s">
        <v>531</v>
      </c>
      <c r="FL818" s="15" t="s">
        <v>426</v>
      </c>
      <c r="FM818" s="15">
        <v>2.0</v>
      </c>
      <c r="FY818" s="15" t="s">
        <v>5005</v>
      </c>
      <c r="FZ818" s="15" t="s">
        <v>612</v>
      </c>
      <c r="GA818" s="15" t="s">
        <v>669</v>
      </c>
      <c r="GB818" s="15" t="s">
        <v>8596</v>
      </c>
      <c r="GC818" s="15" t="s">
        <v>612</v>
      </c>
      <c r="GD818" s="15" t="s">
        <v>2184</v>
      </c>
      <c r="GE818" s="15">
        <v>0.0</v>
      </c>
      <c r="GF818" s="15" t="s">
        <v>426</v>
      </c>
      <c r="GG818" s="15" t="s">
        <v>785</v>
      </c>
      <c r="GH818" s="15">
        <v>4.0</v>
      </c>
      <c r="GI818" s="15" t="s">
        <v>614</v>
      </c>
      <c r="GJ818" s="15" t="s">
        <v>615</v>
      </c>
      <c r="GK818" s="15">
        <v>0.0</v>
      </c>
      <c r="GL818" s="15" t="s">
        <v>426</v>
      </c>
      <c r="GN818" s="15" t="s">
        <v>616</v>
      </c>
    </row>
    <row r="819" ht="15.75" customHeight="1">
      <c r="A819" s="14" t="s">
        <v>391</v>
      </c>
      <c r="B819" s="15" t="s">
        <v>8598</v>
      </c>
      <c r="C819" s="16"/>
      <c r="D819" s="15" t="s">
        <v>432</v>
      </c>
      <c r="G819" s="14" t="s">
        <v>393</v>
      </c>
      <c r="H819" s="14" t="s">
        <v>394</v>
      </c>
      <c r="I819" s="14" t="b">
        <v>1</v>
      </c>
      <c r="J819" s="14" t="s">
        <v>395</v>
      </c>
      <c r="L819" s="14" t="b">
        <v>0</v>
      </c>
      <c r="M819" s="15" t="s">
        <v>8599</v>
      </c>
      <c r="N819" s="14" t="s">
        <v>393</v>
      </c>
      <c r="O819" s="14" t="s">
        <v>393</v>
      </c>
      <c r="P819" s="15" t="s">
        <v>397</v>
      </c>
      <c r="Q819" s="15" t="s">
        <v>8600</v>
      </c>
      <c r="T819" s="14" t="b">
        <v>0</v>
      </c>
      <c r="U819" s="15" t="s">
        <v>8601</v>
      </c>
      <c r="V819" s="15" t="s">
        <v>8602</v>
      </c>
      <c r="W819" s="15" t="s">
        <v>401</v>
      </c>
      <c r="X819" s="15" t="s">
        <v>695</v>
      </c>
      <c r="Y819" s="15">
        <v>1092.0</v>
      </c>
      <c r="AA819" s="15" t="str">
        <f>"420"</f>
        <v>420</v>
      </c>
      <c r="AB819" s="14" t="b">
        <v>1</v>
      </c>
      <c r="AC819" s="14" t="b">
        <v>1</v>
      </c>
      <c r="AD819" s="15" t="str">
        <f>"801542618728"</f>
        <v>801542618728</v>
      </c>
      <c r="AE819" s="15" t="s">
        <v>8603</v>
      </c>
      <c r="AF819" s="14" t="s">
        <v>404</v>
      </c>
      <c r="AG819" s="14" t="s">
        <v>405</v>
      </c>
      <c r="AH819" s="14" t="s">
        <v>406</v>
      </c>
      <c r="AI819" s="15">
        <v>0.0</v>
      </c>
      <c r="AL819" s="15" t="s">
        <v>8604</v>
      </c>
      <c r="AM819" s="15" t="s">
        <v>1085</v>
      </c>
      <c r="AN819" s="15" t="s">
        <v>1086</v>
      </c>
      <c r="AO819" s="15" t="s">
        <v>749</v>
      </c>
      <c r="AP819" s="15" t="s">
        <v>750</v>
      </c>
      <c r="AQ819" s="15" t="s">
        <v>517</v>
      </c>
      <c r="AR819" s="15" t="s">
        <v>518</v>
      </c>
      <c r="AS819" s="15" t="s">
        <v>725</v>
      </c>
      <c r="AT819" s="15" t="s">
        <v>8600</v>
      </c>
      <c r="AU819" s="15" t="s">
        <v>8605</v>
      </c>
      <c r="AV819" s="15" t="s">
        <v>8606</v>
      </c>
      <c r="AW819" s="15" t="s">
        <v>706</v>
      </c>
      <c r="AX819" s="15" t="s">
        <v>707</v>
      </c>
      <c r="AY819" s="15" t="s">
        <v>413</v>
      </c>
      <c r="AZ819" s="15" t="b">
        <v>0</v>
      </c>
      <c r="BA819" s="15" t="s">
        <v>413</v>
      </c>
      <c r="BB819" s="15" t="b">
        <v>0</v>
      </c>
      <c r="BC819" s="15" t="s">
        <v>8607</v>
      </c>
      <c r="BD819" s="15" t="s">
        <v>709</v>
      </c>
      <c r="BE819" s="15" t="str">
        <f t="shared" si="1360"/>
        <v>1</v>
      </c>
      <c r="BF819" s="15" t="s">
        <v>6688</v>
      </c>
      <c r="BG819" s="15" t="str">
        <f>"29.13"</f>
        <v>29.13</v>
      </c>
      <c r="BH819" s="15" t="s">
        <v>1566</v>
      </c>
      <c r="BI819" s="15" t="str">
        <f>"33.07"</f>
        <v>33.07</v>
      </c>
      <c r="BJ819" s="15" t="s">
        <v>1091</v>
      </c>
      <c r="BK819" s="15" t="str">
        <f>"34.65"</f>
        <v>34.65</v>
      </c>
      <c r="BL819" s="15" t="s">
        <v>1229</v>
      </c>
      <c r="BM819" s="15" t="str">
        <f>"44.73"</f>
        <v>44.73</v>
      </c>
      <c r="BN819" s="15" t="s">
        <v>8608</v>
      </c>
      <c r="BQ819" s="15" t="s">
        <v>444</v>
      </c>
      <c r="BS819" s="15" t="s">
        <v>444</v>
      </c>
      <c r="BU819" s="15" t="s">
        <v>444</v>
      </c>
      <c r="BW819" s="15" t="s">
        <v>444</v>
      </c>
      <c r="BZ819" s="15" t="s">
        <v>444</v>
      </c>
      <c r="CB819" s="15" t="s">
        <v>444</v>
      </c>
      <c r="CD819" s="15" t="s">
        <v>444</v>
      </c>
      <c r="CF819" s="15" t="s">
        <v>444</v>
      </c>
      <c r="CI819" s="15" t="s">
        <v>444</v>
      </c>
      <c r="CK819" s="15" t="s">
        <v>444</v>
      </c>
      <c r="CM819" s="15" t="s">
        <v>444</v>
      </c>
      <c r="CO819" s="15" t="s">
        <v>444</v>
      </c>
      <c r="CP819" s="15" t="str">
        <f>"16.95"</f>
        <v>16.95</v>
      </c>
      <c r="CQ819" s="15" t="str">
        <f>"0.48"</f>
        <v>0.48</v>
      </c>
      <c r="CR819" s="15" t="s">
        <v>417</v>
      </c>
      <c r="DB819" s="15" t="s">
        <v>1074</v>
      </c>
      <c r="DC819" s="15" t="str">
        <f>IFERROR(__xludf.DUMMYFUNCTION("""COMPUTED_VALUE"""),"{""value"":22.05,""unit"":""in""}")</f>
        <v>{"value":22.05,"unit":"in"}</v>
      </c>
      <c r="DD819" s="15" t="s">
        <v>2165</v>
      </c>
      <c r="DE819" s="15" t="str">
        <f>IFERROR(__xludf.DUMMYFUNCTION("""COMPUTED_VALUE"""),"{""value"":17.91,""unit"":""in""}")</f>
        <v>{"value":17.91,"unit":"in"}</v>
      </c>
      <c r="DF819" s="15" t="s">
        <v>713</v>
      </c>
      <c r="DG819" s="15" t="str">
        <f>IFERROR(__xludf.DUMMYFUNCTION("""COMPUTED_VALUE"""),"{""value"":23.62,""unit"":""in""}")</f>
        <v>{"value":23.62,"unit":"in"}</v>
      </c>
      <c r="DH819" s="15">
        <v>0.0</v>
      </c>
      <c r="DI819" s="15">
        <v>0.0</v>
      </c>
      <c r="DJ819" s="15" t="s">
        <v>717</v>
      </c>
      <c r="DK819" s="15" t="s">
        <v>855</v>
      </c>
      <c r="DL819" s="15" t="str">
        <f>IFERROR(__xludf.DUMMYFUNCTION("""COMPUTED_VALUE"""),"Clean with solvent-based (dry clean only) products. Do not use water.")</f>
        <v>Clean with solvent-based (dry clean only) products. Do not use water.</v>
      </c>
      <c r="DM819" s="15" t="s">
        <v>856</v>
      </c>
      <c r="DT819" s="15" t="s">
        <v>721</v>
      </c>
      <c r="DU819" s="15" t="s">
        <v>419</v>
      </c>
      <c r="DV819" s="15">
        <v>0.0</v>
      </c>
      <c r="DZ819" s="15">
        <v>25000.0</v>
      </c>
      <c r="EA819" s="15" t="s">
        <v>990</v>
      </c>
      <c r="ED819" s="15">
        <v>0.0</v>
      </c>
      <c r="EE819" s="15">
        <v>1.0</v>
      </c>
      <c r="EG819" s="15" t="s">
        <v>444</v>
      </c>
      <c r="EH819" s="15" t="s">
        <v>8609</v>
      </c>
      <c r="EI819" s="15">
        <v>0.0</v>
      </c>
      <c r="EJ819" s="15" t="s">
        <v>726</v>
      </c>
      <c r="EK819" s="15" t="s">
        <v>727</v>
      </c>
      <c r="EL819" s="15" t="s">
        <v>1068</v>
      </c>
      <c r="EM819" s="15" t="str">
        <f>IFERROR(__xludf.DUMMYFUNCTION("""COMPUTED_VALUE"""),"{""value"":24.80,""unit"":""in""}")</f>
        <v>{"value":24.80,"unit":"in"}</v>
      </c>
      <c r="EN819" s="15" t="s">
        <v>3052</v>
      </c>
      <c r="EO819" s="15" t="s">
        <v>673</v>
      </c>
      <c r="ES819" s="15" t="s">
        <v>2465</v>
      </c>
      <c r="EW819" s="15" t="s">
        <v>862</v>
      </c>
      <c r="EX819" s="15" t="s">
        <v>3858</v>
      </c>
      <c r="EY819" s="15" t="s">
        <v>1116</v>
      </c>
      <c r="EZ819" s="15" t="s">
        <v>2348</v>
      </c>
      <c r="FF819" s="15" t="s">
        <v>2502</v>
      </c>
      <c r="FO819" s="15" t="s">
        <v>3927</v>
      </c>
      <c r="FP819" s="15" t="s">
        <v>6042</v>
      </c>
      <c r="FQ819" s="15">
        <v>0.0</v>
      </c>
      <c r="FR819" s="15">
        <v>0.0</v>
      </c>
      <c r="FT819" s="15">
        <v>0.0</v>
      </c>
    </row>
    <row r="820" ht="15.75" customHeight="1">
      <c r="A820" s="14" t="s">
        <v>391</v>
      </c>
      <c r="B820" s="15" t="s">
        <v>8610</v>
      </c>
      <c r="C820" s="16"/>
      <c r="D820" s="15" t="s">
        <v>432</v>
      </c>
      <c r="G820" s="14" t="s">
        <v>393</v>
      </c>
      <c r="H820" s="14" t="s">
        <v>394</v>
      </c>
      <c r="I820" s="14" t="b">
        <v>1</v>
      </c>
      <c r="J820" s="14" t="s">
        <v>395</v>
      </c>
      <c r="L820" s="14" t="b">
        <v>0</v>
      </c>
      <c r="M820" s="15" t="s">
        <v>8611</v>
      </c>
      <c r="N820" s="14" t="s">
        <v>393</v>
      </c>
      <c r="O820" s="14" t="s">
        <v>393</v>
      </c>
      <c r="P820" s="15" t="s">
        <v>397</v>
      </c>
      <c r="Q820" s="15" t="s">
        <v>8612</v>
      </c>
      <c r="T820" s="14" t="b">
        <v>0</v>
      </c>
      <c r="U820" s="15" t="s">
        <v>8613</v>
      </c>
      <c r="V820" s="15" t="s">
        <v>8614</v>
      </c>
      <c r="W820" s="15" t="s">
        <v>401</v>
      </c>
      <c r="X820" s="15" t="s">
        <v>1296</v>
      </c>
      <c r="Y820" s="15">
        <v>2301.0</v>
      </c>
      <c r="AA820" s="15" t="str">
        <f t="shared" ref="AA820:AA821" si="1387">"885"</f>
        <v>885</v>
      </c>
      <c r="AB820" s="14" t="b">
        <v>1</v>
      </c>
      <c r="AC820" s="14" t="b">
        <v>1</v>
      </c>
      <c r="AD820" s="15" t="str">
        <f>"801542212940"</f>
        <v>801542212940</v>
      </c>
      <c r="AE820" s="15" t="s">
        <v>8615</v>
      </c>
      <c r="AF820" s="14" t="s">
        <v>404</v>
      </c>
      <c r="AG820" s="14" t="s">
        <v>405</v>
      </c>
      <c r="AH820" s="14" t="s">
        <v>406</v>
      </c>
      <c r="AI820" s="15">
        <v>0.0</v>
      </c>
      <c r="AL820" s="15" t="s">
        <v>8616</v>
      </c>
      <c r="AM820" s="15" t="s">
        <v>2557</v>
      </c>
      <c r="AN820" s="15" t="s">
        <v>2558</v>
      </c>
      <c r="AO820" s="15" t="s">
        <v>409</v>
      </c>
      <c r="AP820" s="15" t="s">
        <v>438</v>
      </c>
      <c r="AQ820" s="15" t="s">
        <v>770</v>
      </c>
      <c r="AR820" s="15" t="s">
        <v>771</v>
      </c>
      <c r="AS820" s="15" t="s">
        <v>2231</v>
      </c>
      <c r="AT820" s="15" t="s">
        <v>8612</v>
      </c>
      <c r="AU820" s="15" t="s">
        <v>2232</v>
      </c>
      <c r="AW820" s="15" t="s">
        <v>1899</v>
      </c>
      <c r="AY820" s="15" t="s">
        <v>413</v>
      </c>
      <c r="AZ820" s="15" t="b">
        <v>0</v>
      </c>
      <c r="BA820" s="15" t="s">
        <v>413</v>
      </c>
      <c r="BB820" s="15" t="b">
        <v>0</v>
      </c>
      <c r="BC820" s="15" t="s">
        <v>8617</v>
      </c>
      <c r="BD820" s="15" t="s">
        <v>1303</v>
      </c>
      <c r="BE820" s="15" t="str">
        <f t="shared" ref="BE820:BE821" si="1388">"2"</f>
        <v>2</v>
      </c>
      <c r="BF820" s="15" t="s">
        <v>4730</v>
      </c>
      <c r="BG820" s="15" t="str">
        <f t="shared" ref="BG820:BG821" si="1389">"50"</f>
        <v>50</v>
      </c>
      <c r="BH820" s="15" t="s">
        <v>5529</v>
      </c>
      <c r="BI820" s="15" t="str">
        <f t="shared" ref="BI820:BI821" si="1390">"6"</f>
        <v>6</v>
      </c>
      <c r="BJ820" s="15" t="s">
        <v>2999</v>
      </c>
      <c r="BK820" s="15" t="str">
        <f t="shared" ref="BK820:BK821" si="1391">"97.2"</f>
        <v>97.2</v>
      </c>
      <c r="BL820" s="15" t="s">
        <v>8618</v>
      </c>
      <c r="BM820" s="15" t="str">
        <f t="shared" ref="BM820:BM821" si="1392">"92.37"</f>
        <v>92.37</v>
      </c>
      <c r="BN820" s="15" t="s">
        <v>8619</v>
      </c>
      <c r="BO820" s="15" t="s">
        <v>8620</v>
      </c>
      <c r="BP820" s="15" t="str">
        <f t="shared" ref="BP820:BP821" si="1393">"41"</f>
        <v>41</v>
      </c>
      <c r="BQ820" s="15" t="s">
        <v>2377</v>
      </c>
      <c r="BR820" s="15" t="str">
        <f t="shared" ref="BR820:BR821" si="1394">"21"</f>
        <v>21</v>
      </c>
      <c r="BS820" s="15" t="s">
        <v>1676</v>
      </c>
      <c r="BT820" s="15" t="str">
        <f t="shared" ref="BT820:BT821" si="1395">"33"</f>
        <v>33</v>
      </c>
      <c r="BU820" s="15" t="s">
        <v>518</v>
      </c>
      <c r="BV820" s="15" t="str">
        <f t="shared" ref="BV820:BV821" si="1396">"133.37"</f>
        <v>133.37</v>
      </c>
      <c r="BW820" s="15" t="s">
        <v>8621</v>
      </c>
      <c r="BZ820" s="15" t="s">
        <v>444</v>
      </c>
      <c r="CB820" s="15" t="s">
        <v>444</v>
      </c>
      <c r="CD820" s="15" t="s">
        <v>444</v>
      </c>
      <c r="CF820" s="15" t="s">
        <v>444</v>
      </c>
      <c r="CI820" s="15" t="s">
        <v>444</v>
      </c>
      <c r="CK820" s="15" t="s">
        <v>444</v>
      </c>
      <c r="CM820" s="15" t="s">
        <v>444</v>
      </c>
      <c r="CO820" s="15" t="s">
        <v>444</v>
      </c>
      <c r="CP820" s="15" t="str">
        <f t="shared" ref="CP820:CP821" si="1397">"33.34"</f>
        <v>33.34</v>
      </c>
      <c r="CQ820" s="15" t="str">
        <f t="shared" ref="CQ820:CQ821" si="1398">"0.944"</f>
        <v>0.944</v>
      </c>
      <c r="CR820" s="15" t="s">
        <v>417</v>
      </c>
      <c r="CS820" s="15" t="s">
        <v>1065</v>
      </c>
      <c r="CT820" s="15" t="s">
        <v>3545</v>
      </c>
      <c r="CU820" s="15" t="s">
        <v>2385</v>
      </c>
      <c r="CV820" s="15" t="s">
        <v>1065</v>
      </c>
      <c r="CW820" s="15" t="s">
        <v>1075</v>
      </c>
      <c r="CX820" s="15" t="s">
        <v>2385</v>
      </c>
      <c r="DC820" s="15" t="str">
        <f>IFERROR(__xludf.DUMMYFUNCTION("""COMPUTED_VALUE"""),"")</f>
        <v/>
      </c>
      <c r="DE820" s="15" t="str">
        <f>IFERROR(__xludf.DUMMYFUNCTION("""COMPUTED_VALUE"""),"")</f>
        <v/>
      </c>
      <c r="DG820" s="15" t="str">
        <f>IFERROR(__xludf.DUMMYFUNCTION("""COMPUTED_VALUE"""),"")</f>
        <v/>
      </c>
      <c r="DL820" s="15" t="str">
        <f>IFERROR(__xludf.DUMMYFUNCTION("""COMPUTED_VALUE"""),"")</f>
        <v/>
      </c>
      <c r="DM820" s="15" t="s">
        <v>444</v>
      </c>
      <c r="DN820" s="15" t="s">
        <v>419</v>
      </c>
      <c r="DO820" s="15">
        <v>0.0</v>
      </c>
      <c r="DP820" s="15" t="s">
        <v>419</v>
      </c>
      <c r="DR820" s="15">
        <v>3.0</v>
      </c>
      <c r="DS820" s="15" t="s">
        <v>426</v>
      </c>
      <c r="DT820" s="15" t="s">
        <v>1111</v>
      </c>
      <c r="DU820" s="15" t="s">
        <v>610</v>
      </c>
      <c r="DW820" s="15">
        <v>18.14</v>
      </c>
      <c r="DX820" s="15">
        <v>40.0</v>
      </c>
      <c r="DY820" s="15">
        <v>1.0</v>
      </c>
      <c r="EF820" s="15" t="s">
        <v>1906</v>
      </c>
      <c r="EG820" s="15" t="s">
        <v>1907</v>
      </c>
      <c r="EH820" s="15" t="s">
        <v>8622</v>
      </c>
      <c r="EK820" s="15" t="s">
        <v>444</v>
      </c>
      <c r="EM820" s="15" t="str">
        <f>IFERROR(__xludf.DUMMYFUNCTION("""COMPUTED_VALUE"""),"")</f>
        <v/>
      </c>
      <c r="EW820" s="15" t="s">
        <v>2899</v>
      </c>
      <c r="FL820" s="15" t="s">
        <v>426</v>
      </c>
      <c r="FM820" s="15">
        <v>5.0</v>
      </c>
      <c r="FY820" s="15" t="s">
        <v>5646</v>
      </c>
      <c r="FZ820" s="15" t="s">
        <v>1188</v>
      </c>
      <c r="GA820" s="15" t="s">
        <v>8623</v>
      </c>
      <c r="GB820" s="15" t="s">
        <v>1329</v>
      </c>
      <c r="GC820" s="15" t="s">
        <v>1309</v>
      </c>
      <c r="GD820" s="15" t="s">
        <v>5081</v>
      </c>
      <c r="GG820" s="15" t="s">
        <v>785</v>
      </c>
      <c r="GH820" s="15">
        <v>2.0</v>
      </c>
      <c r="GI820" s="15" t="s">
        <v>614</v>
      </c>
      <c r="GJ820" s="15" t="s">
        <v>615</v>
      </c>
      <c r="GL820" s="15" t="s">
        <v>426</v>
      </c>
      <c r="GN820" s="15" t="s">
        <v>616</v>
      </c>
      <c r="HA820" s="15" t="s">
        <v>1065</v>
      </c>
      <c r="HB820" s="15" t="s">
        <v>1075</v>
      </c>
      <c r="HC820" s="15" t="s">
        <v>2385</v>
      </c>
      <c r="HQ820" s="15" t="s">
        <v>1065</v>
      </c>
      <c r="HR820" s="15" t="s">
        <v>1065</v>
      </c>
      <c r="HS820" s="15" t="s">
        <v>1075</v>
      </c>
      <c r="HT820" s="15" t="s">
        <v>1075</v>
      </c>
      <c r="HU820" s="15" t="s">
        <v>2385</v>
      </c>
      <c r="HV820" s="15" t="s">
        <v>2385</v>
      </c>
      <c r="KX820" s="15" t="s">
        <v>1161</v>
      </c>
      <c r="KY820" s="15" t="s">
        <v>6089</v>
      </c>
      <c r="KZ820" s="15" t="s">
        <v>5081</v>
      </c>
    </row>
    <row r="821" ht="15.75" customHeight="1">
      <c r="A821" s="14" t="s">
        <v>391</v>
      </c>
      <c r="B821" s="15" t="s">
        <v>8610</v>
      </c>
      <c r="C821" s="16"/>
      <c r="D821" s="15" t="s">
        <v>432</v>
      </c>
      <c r="G821" s="14" t="s">
        <v>393</v>
      </c>
      <c r="H821" s="14" t="s">
        <v>394</v>
      </c>
      <c r="I821" s="14" t="b">
        <v>1</v>
      </c>
      <c r="J821" s="14" t="s">
        <v>395</v>
      </c>
      <c r="L821" s="14" t="b">
        <v>0</v>
      </c>
      <c r="M821" s="15" t="s">
        <v>8624</v>
      </c>
      <c r="N821" s="14" t="s">
        <v>393</v>
      </c>
      <c r="O821" s="14" t="s">
        <v>393</v>
      </c>
      <c r="P821" s="15" t="s">
        <v>397</v>
      </c>
      <c r="Q821" s="15" t="s">
        <v>8625</v>
      </c>
      <c r="T821" s="14" t="b">
        <v>0</v>
      </c>
      <c r="U821" s="15" t="s">
        <v>8626</v>
      </c>
      <c r="V821" s="15" t="s">
        <v>8614</v>
      </c>
      <c r="W821" s="15" t="s">
        <v>401</v>
      </c>
      <c r="X821" s="15" t="s">
        <v>1296</v>
      </c>
      <c r="Y821" s="15">
        <v>2301.0</v>
      </c>
      <c r="AA821" s="15" t="str">
        <f t="shared" si="1387"/>
        <v>885</v>
      </c>
      <c r="AB821" s="14" t="b">
        <v>1</v>
      </c>
      <c r="AC821" s="14" t="b">
        <v>1</v>
      </c>
      <c r="AD821" s="15" t="str">
        <f>"801542213022"</f>
        <v>801542213022</v>
      </c>
      <c r="AE821" s="15" t="s">
        <v>8627</v>
      </c>
      <c r="AF821" s="14" t="s">
        <v>404</v>
      </c>
      <c r="AG821" s="14" t="s">
        <v>405</v>
      </c>
      <c r="AH821" s="14" t="s">
        <v>406</v>
      </c>
      <c r="AI821" s="15">
        <v>0.0</v>
      </c>
      <c r="AL821" s="15" t="s">
        <v>8616</v>
      </c>
      <c r="AM821" s="15" t="s">
        <v>2557</v>
      </c>
      <c r="AN821" s="15" t="s">
        <v>2558</v>
      </c>
      <c r="AO821" s="15" t="s">
        <v>409</v>
      </c>
      <c r="AP821" s="15" t="s">
        <v>438</v>
      </c>
      <c r="AQ821" s="15" t="s">
        <v>770</v>
      </c>
      <c r="AR821" s="15" t="s">
        <v>771</v>
      </c>
      <c r="AS821" s="15" t="s">
        <v>2231</v>
      </c>
      <c r="AT821" s="15" t="s">
        <v>8625</v>
      </c>
      <c r="AU821" s="15" t="s">
        <v>2251</v>
      </c>
      <c r="AW821" s="15" t="s">
        <v>1899</v>
      </c>
      <c r="AY821" s="15" t="s">
        <v>413</v>
      </c>
      <c r="AZ821" s="15" t="b">
        <v>0</v>
      </c>
      <c r="BA821" s="15" t="s">
        <v>413</v>
      </c>
      <c r="BB821" s="15" t="b">
        <v>0</v>
      </c>
      <c r="BC821" s="15" t="s">
        <v>8628</v>
      </c>
      <c r="BD821" s="15" t="s">
        <v>1303</v>
      </c>
      <c r="BE821" s="15" t="str">
        <f t="shared" si="1388"/>
        <v>2</v>
      </c>
      <c r="BF821" s="15" t="s">
        <v>4730</v>
      </c>
      <c r="BG821" s="15" t="str">
        <f t="shared" si="1389"/>
        <v>50</v>
      </c>
      <c r="BH821" s="15" t="s">
        <v>5529</v>
      </c>
      <c r="BI821" s="15" t="str">
        <f t="shared" si="1390"/>
        <v>6</v>
      </c>
      <c r="BJ821" s="15" t="s">
        <v>2999</v>
      </c>
      <c r="BK821" s="15" t="str">
        <f t="shared" si="1391"/>
        <v>97.2</v>
      </c>
      <c r="BL821" s="15" t="s">
        <v>8618</v>
      </c>
      <c r="BM821" s="15" t="str">
        <f t="shared" si="1392"/>
        <v>92.37</v>
      </c>
      <c r="BN821" s="15" t="s">
        <v>8619</v>
      </c>
      <c r="BO821" s="15" t="s">
        <v>8620</v>
      </c>
      <c r="BP821" s="15" t="str">
        <f t="shared" si="1393"/>
        <v>41</v>
      </c>
      <c r="BQ821" s="15" t="s">
        <v>2377</v>
      </c>
      <c r="BR821" s="15" t="str">
        <f t="shared" si="1394"/>
        <v>21</v>
      </c>
      <c r="BS821" s="15" t="s">
        <v>1676</v>
      </c>
      <c r="BT821" s="15" t="str">
        <f t="shared" si="1395"/>
        <v>33</v>
      </c>
      <c r="BU821" s="15" t="s">
        <v>518</v>
      </c>
      <c r="BV821" s="15" t="str">
        <f t="shared" si="1396"/>
        <v>133.37</v>
      </c>
      <c r="BW821" s="15" t="s">
        <v>8621</v>
      </c>
      <c r="BZ821" s="15" t="s">
        <v>444</v>
      </c>
      <c r="CB821" s="15" t="s">
        <v>444</v>
      </c>
      <c r="CD821" s="15" t="s">
        <v>444</v>
      </c>
      <c r="CF821" s="15" t="s">
        <v>444</v>
      </c>
      <c r="CI821" s="15" t="s">
        <v>444</v>
      </c>
      <c r="CK821" s="15" t="s">
        <v>444</v>
      </c>
      <c r="CM821" s="15" t="s">
        <v>444</v>
      </c>
      <c r="CO821" s="15" t="s">
        <v>444</v>
      </c>
      <c r="CP821" s="15" t="str">
        <f t="shared" si="1397"/>
        <v>33.34</v>
      </c>
      <c r="CQ821" s="15" t="str">
        <f t="shared" si="1398"/>
        <v>0.944</v>
      </c>
      <c r="CR821" s="15" t="s">
        <v>465</v>
      </c>
      <c r="CS821" s="15" t="s">
        <v>1065</v>
      </c>
      <c r="CT821" s="15" t="s">
        <v>3545</v>
      </c>
      <c r="CU821" s="15" t="s">
        <v>2385</v>
      </c>
      <c r="CV821" s="15" t="s">
        <v>1065</v>
      </c>
      <c r="CW821" s="15" t="s">
        <v>1075</v>
      </c>
      <c r="CX821" s="15" t="s">
        <v>2385</v>
      </c>
      <c r="DC821" s="15" t="str">
        <f>IFERROR(__xludf.DUMMYFUNCTION("""COMPUTED_VALUE"""),"")</f>
        <v/>
      </c>
      <c r="DE821" s="15" t="str">
        <f>IFERROR(__xludf.DUMMYFUNCTION("""COMPUTED_VALUE"""),"")</f>
        <v/>
      </c>
      <c r="DG821" s="15" t="str">
        <f>IFERROR(__xludf.DUMMYFUNCTION("""COMPUTED_VALUE"""),"")</f>
        <v/>
      </c>
      <c r="DL821" s="15" t="str">
        <f>IFERROR(__xludf.DUMMYFUNCTION("""COMPUTED_VALUE"""),"")</f>
        <v/>
      </c>
      <c r="DM821" s="15" t="s">
        <v>444</v>
      </c>
      <c r="DN821" s="15" t="s">
        <v>419</v>
      </c>
      <c r="DO821" s="15">
        <v>0.0</v>
      </c>
      <c r="DP821" s="15" t="s">
        <v>419</v>
      </c>
      <c r="DR821" s="15">
        <v>3.0</v>
      </c>
      <c r="DS821" s="15" t="s">
        <v>426</v>
      </c>
      <c r="DT821" s="15" t="s">
        <v>1111</v>
      </c>
      <c r="DU821" s="15" t="s">
        <v>610</v>
      </c>
      <c r="DW821" s="15">
        <v>18.14</v>
      </c>
      <c r="DX821" s="15">
        <v>40.0</v>
      </c>
      <c r="DY821" s="15">
        <v>1.0</v>
      </c>
      <c r="EF821" s="15" t="s">
        <v>1906</v>
      </c>
      <c r="EG821" s="15" t="s">
        <v>1907</v>
      </c>
      <c r="EH821" s="15" t="s">
        <v>8622</v>
      </c>
      <c r="EK821" s="15" t="s">
        <v>444</v>
      </c>
      <c r="EM821" s="15" t="str">
        <f>IFERROR(__xludf.DUMMYFUNCTION("""COMPUTED_VALUE"""),"")</f>
        <v/>
      </c>
      <c r="EW821" s="15" t="s">
        <v>2899</v>
      </c>
      <c r="FL821" s="15" t="s">
        <v>426</v>
      </c>
      <c r="FM821" s="15">
        <v>5.0</v>
      </c>
      <c r="FY821" s="15" t="s">
        <v>5646</v>
      </c>
      <c r="FZ821" s="15" t="s">
        <v>1188</v>
      </c>
      <c r="GA821" s="15" t="s">
        <v>8623</v>
      </c>
      <c r="GB821" s="15" t="s">
        <v>1329</v>
      </c>
      <c r="GC821" s="15" t="s">
        <v>1309</v>
      </c>
      <c r="GD821" s="15" t="s">
        <v>5081</v>
      </c>
      <c r="GG821" s="15" t="s">
        <v>785</v>
      </c>
      <c r="GH821" s="15">
        <v>2.0</v>
      </c>
      <c r="GI821" s="15" t="s">
        <v>614</v>
      </c>
      <c r="GJ821" s="15" t="s">
        <v>615</v>
      </c>
      <c r="GL821" s="15" t="s">
        <v>426</v>
      </c>
      <c r="GN821" s="15" t="s">
        <v>616</v>
      </c>
      <c r="HA821" s="15" t="s">
        <v>1065</v>
      </c>
      <c r="HB821" s="15" t="s">
        <v>1075</v>
      </c>
      <c r="HC821" s="15" t="s">
        <v>2385</v>
      </c>
      <c r="HQ821" s="15" t="s">
        <v>1065</v>
      </c>
      <c r="HR821" s="15" t="s">
        <v>1065</v>
      </c>
      <c r="HS821" s="15" t="s">
        <v>1075</v>
      </c>
      <c r="HT821" s="15" t="s">
        <v>1075</v>
      </c>
      <c r="HU821" s="15" t="s">
        <v>2385</v>
      </c>
      <c r="HV821" s="15" t="s">
        <v>2385</v>
      </c>
      <c r="KX821" s="15" t="s">
        <v>1161</v>
      </c>
      <c r="KY821" s="15" t="s">
        <v>6089</v>
      </c>
      <c r="KZ821" s="15" t="s">
        <v>5081</v>
      </c>
    </row>
    <row r="822" ht="15.75" customHeight="1">
      <c r="A822" s="14" t="s">
        <v>391</v>
      </c>
      <c r="B822" s="15" t="s">
        <v>8629</v>
      </c>
      <c r="C822" s="16"/>
      <c r="D822" s="15" t="s">
        <v>432</v>
      </c>
      <c r="G822" s="14" t="s">
        <v>393</v>
      </c>
      <c r="H822" s="14" t="s">
        <v>394</v>
      </c>
      <c r="I822" s="14" t="b">
        <v>1</v>
      </c>
      <c r="J822" s="14" t="s">
        <v>395</v>
      </c>
      <c r="L822" s="14" t="b">
        <v>0</v>
      </c>
      <c r="M822" s="15" t="s">
        <v>8630</v>
      </c>
      <c r="N822" s="14" t="s">
        <v>393</v>
      </c>
      <c r="O822" s="14" t="s">
        <v>393</v>
      </c>
      <c r="P822" s="15" t="s">
        <v>397</v>
      </c>
      <c r="Q822" s="15" t="s">
        <v>2232</v>
      </c>
      <c r="T822" s="14" t="b">
        <v>0</v>
      </c>
      <c r="U822" s="15" t="s">
        <v>8631</v>
      </c>
      <c r="V822" s="15" t="s">
        <v>8632</v>
      </c>
      <c r="W822" s="15" t="s">
        <v>401</v>
      </c>
      <c r="X822" s="15" t="s">
        <v>1296</v>
      </c>
      <c r="Y822" s="15">
        <v>2951.0</v>
      </c>
      <c r="AA822" s="15" t="str">
        <f t="shared" ref="AA822:AA823" si="1399">"1135"</f>
        <v>1135</v>
      </c>
      <c r="AB822" s="14" t="b">
        <v>1</v>
      </c>
      <c r="AC822" s="14" t="b">
        <v>1</v>
      </c>
      <c r="AD822" s="15" t="str">
        <f>"801542978877"</f>
        <v>801542978877</v>
      </c>
      <c r="AE822" s="15" t="s">
        <v>8633</v>
      </c>
      <c r="AF822" s="14" t="s">
        <v>404</v>
      </c>
      <c r="AG822" s="14" t="s">
        <v>405</v>
      </c>
      <c r="AH822" s="14" t="s">
        <v>406</v>
      </c>
      <c r="AI822" s="15">
        <v>0.0</v>
      </c>
      <c r="AL822" s="15" t="s">
        <v>8634</v>
      </c>
      <c r="AM822" s="15" t="s">
        <v>452</v>
      </c>
      <c r="AN822" s="15" t="s">
        <v>453</v>
      </c>
      <c r="AO822" s="15" t="s">
        <v>410</v>
      </c>
      <c r="AP822" s="15" t="s">
        <v>439</v>
      </c>
      <c r="AQ822" s="15" t="s">
        <v>1057</v>
      </c>
      <c r="AR822" s="15" t="s">
        <v>1058</v>
      </c>
      <c r="AS822" s="15" t="s">
        <v>2231</v>
      </c>
      <c r="AT822" s="15" t="s">
        <v>2232</v>
      </c>
      <c r="AU822" s="15" t="s">
        <v>8612</v>
      </c>
      <c r="AW822" s="15" t="s">
        <v>2134</v>
      </c>
      <c r="AX822" s="15" t="s">
        <v>2135</v>
      </c>
      <c r="AY822" s="15" t="s">
        <v>413</v>
      </c>
      <c r="AZ822" s="15" t="b">
        <v>0</v>
      </c>
      <c r="BA822" s="15" t="s">
        <v>413</v>
      </c>
      <c r="BB822" s="15" t="b">
        <v>0</v>
      </c>
      <c r="BC822" s="15" t="s">
        <v>8635</v>
      </c>
      <c r="BD822" s="15" t="s">
        <v>1303</v>
      </c>
      <c r="BE822" s="15" t="str">
        <f t="shared" ref="BE822:BE826" si="1400">"1"</f>
        <v>1</v>
      </c>
      <c r="BF822" s="15" t="s">
        <v>416</v>
      </c>
      <c r="BG822" s="15" t="str">
        <f t="shared" ref="BG822:BG823" si="1401">"72.75"</f>
        <v>72.75</v>
      </c>
      <c r="BH822" s="15" t="s">
        <v>8636</v>
      </c>
      <c r="BI822" s="15" t="str">
        <f t="shared" ref="BI822:BI823" si="1402">"33.75"</f>
        <v>33.75</v>
      </c>
      <c r="BJ822" s="15" t="s">
        <v>1204</v>
      </c>
      <c r="BK822" s="15" t="str">
        <f t="shared" ref="BK822:BK823" si="1403">"36"</f>
        <v>36</v>
      </c>
      <c r="BL822" s="15" t="s">
        <v>623</v>
      </c>
      <c r="BM822" s="15" t="str">
        <f t="shared" ref="BM822:BM823" si="1404">"239.64"</f>
        <v>239.64</v>
      </c>
      <c r="BN822" s="15" t="s">
        <v>8637</v>
      </c>
      <c r="BQ822" s="15" t="s">
        <v>444</v>
      </c>
      <c r="BS822" s="15" t="s">
        <v>444</v>
      </c>
      <c r="BU822" s="15" t="s">
        <v>444</v>
      </c>
      <c r="BW822" s="15" t="s">
        <v>444</v>
      </c>
      <c r="BZ822" s="15" t="s">
        <v>444</v>
      </c>
      <c r="CB822" s="15" t="s">
        <v>444</v>
      </c>
      <c r="CD822" s="15" t="s">
        <v>444</v>
      </c>
      <c r="CF822" s="15" t="s">
        <v>444</v>
      </c>
      <c r="CI822" s="15" t="s">
        <v>444</v>
      </c>
      <c r="CK822" s="15" t="s">
        <v>444</v>
      </c>
      <c r="CM822" s="15" t="s">
        <v>444</v>
      </c>
      <c r="CO822" s="15" t="s">
        <v>444</v>
      </c>
      <c r="CP822" s="15" t="str">
        <f t="shared" ref="CP822:CP823" si="1405">"51.14"</f>
        <v>51.14</v>
      </c>
      <c r="CQ822" s="15" t="str">
        <f t="shared" ref="CQ822:CQ823" si="1406">"1.448"</f>
        <v>1.448</v>
      </c>
      <c r="CR822" s="15" t="s">
        <v>497</v>
      </c>
      <c r="DC822" s="15" t="str">
        <f>IFERROR(__xludf.DUMMYFUNCTION("""COMPUTED_VALUE"""),"")</f>
        <v/>
      </c>
      <c r="DE822" s="15" t="str">
        <f>IFERROR(__xludf.DUMMYFUNCTION("""COMPUTED_VALUE"""),"")</f>
        <v/>
      </c>
      <c r="DG822" s="15" t="str">
        <f>IFERROR(__xludf.DUMMYFUNCTION("""COMPUTED_VALUE"""),"")</f>
        <v/>
      </c>
      <c r="DL822" s="15" t="str">
        <f>IFERROR(__xludf.DUMMYFUNCTION("""COMPUTED_VALUE"""),"")</f>
        <v/>
      </c>
      <c r="DM822" s="15" t="s">
        <v>444</v>
      </c>
      <c r="DN822" s="15" t="s">
        <v>418</v>
      </c>
      <c r="DO822" s="15">
        <v>5.0</v>
      </c>
      <c r="DP822" s="15" t="s">
        <v>2601</v>
      </c>
      <c r="DR822" s="15">
        <v>0.0</v>
      </c>
      <c r="DT822" s="15" t="s">
        <v>420</v>
      </c>
      <c r="DU822" s="15" t="s">
        <v>421</v>
      </c>
      <c r="DY822" s="15">
        <v>0.0</v>
      </c>
      <c r="EF822" s="15" t="s">
        <v>2137</v>
      </c>
      <c r="EG822" s="15" t="s">
        <v>2138</v>
      </c>
      <c r="EH822" s="15" t="s">
        <v>8622</v>
      </c>
      <c r="EJ822" s="15" t="s">
        <v>500</v>
      </c>
      <c r="EK822" s="15" t="s">
        <v>501</v>
      </c>
      <c r="EM822" s="15" t="str">
        <f>IFERROR(__xludf.DUMMYFUNCTION("""COMPUTED_VALUE"""),"")</f>
        <v/>
      </c>
      <c r="EW822" s="15" t="s">
        <v>3011</v>
      </c>
      <c r="EX822" s="15" t="s">
        <v>1064</v>
      </c>
      <c r="EY822" s="15" t="s">
        <v>3763</v>
      </c>
      <c r="FK822" s="15" t="s">
        <v>1512</v>
      </c>
      <c r="FL822" s="15" t="s">
        <v>426</v>
      </c>
      <c r="FM822" s="15">
        <v>0.0</v>
      </c>
      <c r="FV822" s="15" t="s">
        <v>1212</v>
      </c>
      <c r="GH822" s="15">
        <v>0.0</v>
      </c>
      <c r="GI822" s="15" t="s">
        <v>427</v>
      </c>
      <c r="GO822" s="15" t="s">
        <v>426</v>
      </c>
      <c r="GQ822" s="15" t="s">
        <v>3238</v>
      </c>
      <c r="GR822" s="15" t="s">
        <v>3238</v>
      </c>
      <c r="GS822" s="15" t="s">
        <v>784</v>
      </c>
      <c r="GT822" s="15" t="s">
        <v>8638</v>
      </c>
      <c r="GU822" s="15" t="s">
        <v>1161</v>
      </c>
      <c r="GV822" s="15" t="s">
        <v>1161</v>
      </c>
      <c r="GW822" s="15" t="s">
        <v>431</v>
      </c>
      <c r="GY822" s="15" t="s">
        <v>420</v>
      </c>
      <c r="GZ822" s="15" t="s">
        <v>426</v>
      </c>
      <c r="HD822" s="15">
        <v>2.0</v>
      </c>
      <c r="HX822" s="15" t="s">
        <v>8639</v>
      </c>
      <c r="HZ822" s="15" t="s">
        <v>1807</v>
      </c>
      <c r="IB822" s="15" t="s">
        <v>636</v>
      </c>
      <c r="IG822" s="15" t="s">
        <v>426</v>
      </c>
    </row>
    <row r="823" ht="15.75" customHeight="1">
      <c r="A823" s="14" t="s">
        <v>391</v>
      </c>
      <c r="B823" s="15" t="s">
        <v>8629</v>
      </c>
      <c r="C823" s="16"/>
      <c r="D823" s="15" t="s">
        <v>432</v>
      </c>
      <c r="G823" s="14" t="s">
        <v>393</v>
      </c>
      <c r="H823" s="14" t="s">
        <v>394</v>
      </c>
      <c r="I823" s="14" t="b">
        <v>1</v>
      </c>
      <c r="J823" s="14" t="s">
        <v>395</v>
      </c>
      <c r="L823" s="14" t="b">
        <v>0</v>
      </c>
      <c r="M823" s="15" t="s">
        <v>8640</v>
      </c>
      <c r="N823" s="14" t="s">
        <v>393</v>
      </c>
      <c r="O823" s="14" t="s">
        <v>393</v>
      </c>
      <c r="P823" s="15" t="s">
        <v>397</v>
      </c>
      <c r="Q823" s="15" t="s">
        <v>2251</v>
      </c>
      <c r="T823" s="14" t="b">
        <v>0</v>
      </c>
      <c r="U823" s="15" t="s">
        <v>8641</v>
      </c>
      <c r="V823" s="15" t="s">
        <v>8632</v>
      </c>
      <c r="W823" s="15" t="s">
        <v>401</v>
      </c>
      <c r="X823" s="15" t="s">
        <v>1296</v>
      </c>
      <c r="Y823" s="15">
        <v>2951.0</v>
      </c>
      <c r="AA823" s="15" t="str">
        <f t="shared" si="1399"/>
        <v>1135</v>
      </c>
      <c r="AB823" s="14" t="b">
        <v>1</v>
      </c>
      <c r="AC823" s="14" t="b">
        <v>1</v>
      </c>
      <c r="AD823" s="15" t="str">
        <f>"801542978884"</f>
        <v>801542978884</v>
      </c>
      <c r="AE823" s="15" t="s">
        <v>8642</v>
      </c>
      <c r="AF823" s="14" t="s">
        <v>404</v>
      </c>
      <c r="AG823" s="14" t="s">
        <v>405</v>
      </c>
      <c r="AH823" s="14" t="s">
        <v>406</v>
      </c>
      <c r="AI823" s="15">
        <v>0.0</v>
      </c>
      <c r="AL823" s="15" t="s">
        <v>8634</v>
      </c>
      <c r="AM823" s="15" t="s">
        <v>452</v>
      </c>
      <c r="AN823" s="15" t="s">
        <v>453</v>
      </c>
      <c r="AO823" s="15" t="s">
        <v>410</v>
      </c>
      <c r="AP823" s="15" t="s">
        <v>439</v>
      </c>
      <c r="AQ823" s="15" t="s">
        <v>1057</v>
      </c>
      <c r="AR823" s="15" t="s">
        <v>1058</v>
      </c>
      <c r="AS823" s="15" t="s">
        <v>2231</v>
      </c>
      <c r="AT823" s="15" t="s">
        <v>2251</v>
      </c>
      <c r="AU823" s="15" t="s">
        <v>8625</v>
      </c>
      <c r="AW823" s="15" t="s">
        <v>2134</v>
      </c>
      <c r="AX823" s="15" t="s">
        <v>2135</v>
      </c>
      <c r="AY823" s="15" t="s">
        <v>413</v>
      </c>
      <c r="AZ823" s="15" t="b">
        <v>0</v>
      </c>
      <c r="BA823" s="15" t="s">
        <v>413</v>
      </c>
      <c r="BB823" s="15" t="b">
        <v>0</v>
      </c>
      <c r="BC823" s="15" t="s">
        <v>8643</v>
      </c>
      <c r="BD823" s="15" t="s">
        <v>1303</v>
      </c>
      <c r="BE823" s="15" t="str">
        <f t="shared" si="1400"/>
        <v>1</v>
      </c>
      <c r="BF823" s="15" t="s">
        <v>416</v>
      </c>
      <c r="BG823" s="15" t="str">
        <f t="shared" si="1401"/>
        <v>72.75</v>
      </c>
      <c r="BH823" s="15" t="s">
        <v>8636</v>
      </c>
      <c r="BI823" s="15" t="str">
        <f t="shared" si="1402"/>
        <v>33.75</v>
      </c>
      <c r="BJ823" s="15" t="s">
        <v>1204</v>
      </c>
      <c r="BK823" s="15" t="str">
        <f t="shared" si="1403"/>
        <v>36</v>
      </c>
      <c r="BL823" s="15" t="s">
        <v>623</v>
      </c>
      <c r="BM823" s="15" t="str">
        <f t="shared" si="1404"/>
        <v>239.64</v>
      </c>
      <c r="BN823" s="15" t="s">
        <v>8637</v>
      </c>
      <c r="BQ823" s="15" t="s">
        <v>444</v>
      </c>
      <c r="BS823" s="15" t="s">
        <v>444</v>
      </c>
      <c r="BU823" s="15" t="s">
        <v>444</v>
      </c>
      <c r="BW823" s="15" t="s">
        <v>444</v>
      </c>
      <c r="BZ823" s="15" t="s">
        <v>444</v>
      </c>
      <c r="CB823" s="15" t="s">
        <v>444</v>
      </c>
      <c r="CD823" s="15" t="s">
        <v>444</v>
      </c>
      <c r="CF823" s="15" t="s">
        <v>444</v>
      </c>
      <c r="CI823" s="15" t="s">
        <v>444</v>
      </c>
      <c r="CK823" s="15" t="s">
        <v>444</v>
      </c>
      <c r="CM823" s="15" t="s">
        <v>444</v>
      </c>
      <c r="CO823" s="15" t="s">
        <v>444</v>
      </c>
      <c r="CP823" s="15" t="str">
        <f t="shared" si="1405"/>
        <v>51.14</v>
      </c>
      <c r="CQ823" s="15" t="str">
        <f t="shared" si="1406"/>
        <v>1.448</v>
      </c>
      <c r="CR823" s="15" t="s">
        <v>497</v>
      </c>
      <c r="DC823" s="15" t="str">
        <f>IFERROR(__xludf.DUMMYFUNCTION("""COMPUTED_VALUE"""),"")</f>
        <v/>
      </c>
      <c r="DE823" s="15" t="str">
        <f>IFERROR(__xludf.DUMMYFUNCTION("""COMPUTED_VALUE"""),"")</f>
        <v/>
      </c>
      <c r="DG823" s="15" t="str">
        <f>IFERROR(__xludf.DUMMYFUNCTION("""COMPUTED_VALUE"""),"")</f>
        <v/>
      </c>
      <c r="DL823" s="15" t="str">
        <f>IFERROR(__xludf.DUMMYFUNCTION("""COMPUTED_VALUE"""),"")</f>
        <v/>
      </c>
      <c r="DM823" s="15" t="s">
        <v>444</v>
      </c>
      <c r="DN823" s="15" t="s">
        <v>418</v>
      </c>
      <c r="DO823" s="15">
        <v>5.0</v>
      </c>
      <c r="DP823" s="15" t="s">
        <v>2601</v>
      </c>
      <c r="DR823" s="15">
        <v>0.0</v>
      </c>
      <c r="DT823" s="15" t="s">
        <v>420</v>
      </c>
      <c r="DU823" s="15" t="s">
        <v>421</v>
      </c>
      <c r="DY823" s="15">
        <v>0.0</v>
      </c>
      <c r="EF823" s="15" t="s">
        <v>2137</v>
      </c>
      <c r="EG823" s="15" t="s">
        <v>2138</v>
      </c>
      <c r="EH823" s="15" t="s">
        <v>8622</v>
      </c>
      <c r="EJ823" s="15" t="s">
        <v>500</v>
      </c>
      <c r="EK823" s="15" t="s">
        <v>501</v>
      </c>
      <c r="EM823" s="15" t="str">
        <f>IFERROR(__xludf.DUMMYFUNCTION("""COMPUTED_VALUE"""),"")</f>
        <v/>
      </c>
      <c r="EW823" s="15" t="s">
        <v>3011</v>
      </c>
      <c r="EX823" s="15" t="s">
        <v>1064</v>
      </c>
      <c r="EY823" s="15" t="s">
        <v>3763</v>
      </c>
      <c r="FK823" s="15" t="s">
        <v>1512</v>
      </c>
      <c r="FL823" s="15" t="s">
        <v>426</v>
      </c>
      <c r="FM823" s="15">
        <v>0.0</v>
      </c>
      <c r="FV823" s="15" t="s">
        <v>1212</v>
      </c>
      <c r="GH823" s="15">
        <v>0.0</v>
      </c>
      <c r="GI823" s="15" t="s">
        <v>427</v>
      </c>
      <c r="GO823" s="15" t="s">
        <v>426</v>
      </c>
      <c r="GQ823" s="15" t="s">
        <v>3238</v>
      </c>
      <c r="GR823" s="15" t="s">
        <v>3238</v>
      </c>
      <c r="GS823" s="15" t="s">
        <v>784</v>
      </c>
      <c r="GT823" s="15" t="s">
        <v>8638</v>
      </c>
      <c r="GU823" s="15" t="s">
        <v>1161</v>
      </c>
      <c r="GV823" s="15" t="s">
        <v>1161</v>
      </c>
      <c r="GW823" s="15" t="s">
        <v>431</v>
      </c>
      <c r="GY823" s="15" t="s">
        <v>420</v>
      </c>
      <c r="GZ823" s="15" t="s">
        <v>426</v>
      </c>
      <c r="HD823" s="15">
        <v>2.0</v>
      </c>
      <c r="HX823" s="15" t="s">
        <v>8639</v>
      </c>
      <c r="HZ823" s="15" t="s">
        <v>1807</v>
      </c>
      <c r="IB823" s="15" t="s">
        <v>636</v>
      </c>
      <c r="IG823" s="15" t="s">
        <v>426</v>
      </c>
    </row>
    <row r="824" ht="15.75" customHeight="1">
      <c r="A824" s="14" t="s">
        <v>391</v>
      </c>
      <c r="B824" s="15" t="s">
        <v>8644</v>
      </c>
      <c r="C824" s="16"/>
      <c r="D824" s="15" t="s">
        <v>432</v>
      </c>
      <c r="G824" s="14" t="s">
        <v>393</v>
      </c>
      <c r="H824" s="14" t="s">
        <v>394</v>
      </c>
      <c r="I824" s="14" t="b">
        <v>1</v>
      </c>
      <c r="J824" s="14" t="s">
        <v>395</v>
      </c>
      <c r="L824" s="14" t="b">
        <v>0</v>
      </c>
      <c r="M824" s="15" t="s">
        <v>8645</v>
      </c>
      <c r="N824" s="14" t="s">
        <v>393</v>
      </c>
      <c r="O824" s="14" t="s">
        <v>393</v>
      </c>
      <c r="P824" s="15" t="s">
        <v>397</v>
      </c>
      <c r="Q824" s="15" t="s">
        <v>2232</v>
      </c>
      <c r="T824" s="14" t="b">
        <v>0</v>
      </c>
      <c r="U824" s="15" t="s">
        <v>8646</v>
      </c>
      <c r="V824" s="15" t="s">
        <v>8647</v>
      </c>
      <c r="W824" s="15" t="s">
        <v>401</v>
      </c>
      <c r="X824" s="15" t="s">
        <v>1296</v>
      </c>
      <c r="Y824" s="15">
        <v>2184.0</v>
      </c>
      <c r="AA824" s="15" t="str">
        <f t="shared" ref="AA824:AA825" si="1407">"840"</f>
        <v>840</v>
      </c>
      <c r="AB824" s="14" t="b">
        <v>1</v>
      </c>
      <c r="AC824" s="14" t="b">
        <v>1</v>
      </c>
      <c r="AD824" s="15" t="str">
        <f>"801542577285"</f>
        <v>801542577285</v>
      </c>
      <c r="AE824" s="15" t="s">
        <v>8648</v>
      </c>
      <c r="AF824" s="14" t="s">
        <v>404</v>
      </c>
      <c r="AG824" s="14" t="s">
        <v>405</v>
      </c>
      <c r="AH824" s="14" t="s">
        <v>406</v>
      </c>
      <c r="AI824" s="15">
        <v>0.0</v>
      </c>
      <c r="AL824" s="15" t="s">
        <v>8634</v>
      </c>
      <c r="AM824" s="15" t="s">
        <v>2151</v>
      </c>
      <c r="AN824" s="15" t="s">
        <v>2152</v>
      </c>
      <c r="AO824" s="15" t="s">
        <v>1007</v>
      </c>
      <c r="AP824" s="15" t="s">
        <v>1008</v>
      </c>
      <c r="AQ824" s="15" t="s">
        <v>701</v>
      </c>
      <c r="AR824" s="15" t="s">
        <v>702</v>
      </c>
      <c r="AS824" s="15" t="s">
        <v>2231</v>
      </c>
      <c r="AT824" s="15" t="s">
        <v>2232</v>
      </c>
      <c r="AU824" s="15" t="s">
        <v>8612</v>
      </c>
      <c r="AW824" s="15" t="s">
        <v>602</v>
      </c>
      <c r="AY824" s="15" t="s">
        <v>413</v>
      </c>
      <c r="AZ824" s="15" t="b">
        <v>0</v>
      </c>
      <c r="BA824" s="15" t="s">
        <v>413</v>
      </c>
      <c r="BB824" s="15" t="b">
        <v>0</v>
      </c>
      <c r="BC824" s="15" t="s">
        <v>8649</v>
      </c>
      <c r="BD824" s="15" t="s">
        <v>1303</v>
      </c>
      <c r="BE824" s="15" t="str">
        <f t="shared" si="1400"/>
        <v>1</v>
      </c>
      <c r="BF824" s="15" t="s">
        <v>416</v>
      </c>
      <c r="BG824" s="15" t="str">
        <f t="shared" ref="BG824:BG825" si="1408">"88.5"</f>
        <v>88.5</v>
      </c>
      <c r="BH824" s="15" t="s">
        <v>3148</v>
      </c>
      <c r="BI824" s="15" t="str">
        <f t="shared" ref="BI824:BI826" si="1409">"21.5"</f>
        <v>21.5</v>
      </c>
      <c r="BJ824" s="15" t="s">
        <v>748</v>
      </c>
      <c r="BK824" s="15" t="str">
        <f t="shared" ref="BK824:BK825" si="1410">"33"</f>
        <v>33</v>
      </c>
      <c r="BL824" s="15" t="s">
        <v>518</v>
      </c>
      <c r="BM824" s="15" t="str">
        <f t="shared" ref="BM824:BM825" si="1411">"203.92"</f>
        <v>203.92</v>
      </c>
      <c r="BN824" s="15" t="s">
        <v>8650</v>
      </c>
      <c r="BQ824" s="15" t="s">
        <v>444</v>
      </c>
      <c r="BS824" s="15" t="s">
        <v>444</v>
      </c>
      <c r="BU824" s="15" t="s">
        <v>444</v>
      </c>
      <c r="BW824" s="15" t="s">
        <v>444</v>
      </c>
      <c r="BZ824" s="15" t="s">
        <v>444</v>
      </c>
      <c r="CB824" s="15" t="s">
        <v>444</v>
      </c>
      <c r="CD824" s="15" t="s">
        <v>444</v>
      </c>
      <c r="CF824" s="15" t="s">
        <v>444</v>
      </c>
      <c r="CI824" s="15" t="s">
        <v>444</v>
      </c>
      <c r="CK824" s="15" t="s">
        <v>444</v>
      </c>
      <c r="CM824" s="15" t="s">
        <v>444</v>
      </c>
      <c r="CO824" s="15" t="s">
        <v>444</v>
      </c>
      <c r="CP824" s="15" t="str">
        <f t="shared" ref="CP824:CP825" si="1412">"36.34"</f>
        <v>36.34</v>
      </c>
      <c r="CQ824" s="15" t="str">
        <f t="shared" ref="CQ824:CQ825" si="1413">"1.029"</f>
        <v>1.029</v>
      </c>
      <c r="CR824" s="15" t="s">
        <v>497</v>
      </c>
      <c r="CV824" s="15" t="s">
        <v>1161</v>
      </c>
      <c r="CW824" s="15" t="s">
        <v>1254</v>
      </c>
      <c r="CX824" s="15" t="s">
        <v>1882</v>
      </c>
      <c r="DC824" s="15" t="str">
        <f>IFERROR(__xludf.DUMMYFUNCTION("""COMPUTED_VALUE"""),"")</f>
        <v/>
      </c>
      <c r="DE824" s="15" t="str">
        <f>IFERROR(__xludf.DUMMYFUNCTION("""COMPUTED_VALUE"""),"")</f>
        <v/>
      </c>
      <c r="DG824" s="15" t="str">
        <f>IFERROR(__xludf.DUMMYFUNCTION("""COMPUTED_VALUE"""),"")</f>
        <v/>
      </c>
      <c r="DL824" s="15" t="str">
        <f>IFERROR(__xludf.DUMMYFUNCTION("""COMPUTED_VALUE"""),"")</f>
        <v/>
      </c>
      <c r="DM824" s="15" t="s">
        <v>444</v>
      </c>
      <c r="DN824" s="15" t="s">
        <v>419</v>
      </c>
      <c r="DO824" s="15">
        <v>0.0</v>
      </c>
      <c r="DP824" s="15" t="s">
        <v>419</v>
      </c>
      <c r="DR824" s="15">
        <v>0.0</v>
      </c>
      <c r="DT824" s="15" t="s">
        <v>2048</v>
      </c>
      <c r="DU824" s="15" t="s">
        <v>610</v>
      </c>
      <c r="DW824" s="15">
        <v>18.14</v>
      </c>
      <c r="DX824" s="15">
        <v>40.0</v>
      </c>
      <c r="DY824" s="15">
        <v>3.0</v>
      </c>
      <c r="EG824" s="15" t="s">
        <v>444</v>
      </c>
      <c r="EH824" s="15" t="s">
        <v>8622</v>
      </c>
      <c r="EK824" s="15" t="s">
        <v>444</v>
      </c>
      <c r="EM824" s="15" t="str">
        <f>IFERROR(__xludf.DUMMYFUNCTION("""COMPUTED_VALUE"""),"")</f>
        <v/>
      </c>
      <c r="EW824" s="15" t="s">
        <v>2899</v>
      </c>
      <c r="EX824" s="15" t="s">
        <v>1592</v>
      </c>
      <c r="FL824" s="15" t="s">
        <v>426</v>
      </c>
      <c r="FM824" s="15">
        <v>3.0</v>
      </c>
      <c r="FY824" s="15" t="s">
        <v>5646</v>
      </c>
      <c r="FZ824" s="15" t="s">
        <v>1309</v>
      </c>
      <c r="GA824" s="15" t="s">
        <v>1288</v>
      </c>
      <c r="GB824" s="15" t="s">
        <v>1996</v>
      </c>
      <c r="GC824" s="15" t="s">
        <v>1309</v>
      </c>
      <c r="GD824" s="15" t="s">
        <v>1306</v>
      </c>
      <c r="GF824" s="15" t="s">
        <v>426</v>
      </c>
      <c r="GG824" s="15" t="s">
        <v>785</v>
      </c>
      <c r="GH824" s="15">
        <v>6.0</v>
      </c>
      <c r="GI824" s="15" t="s">
        <v>614</v>
      </c>
      <c r="GJ824" s="15" t="s">
        <v>1045</v>
      </c>
      <c r="GL824" s="15" t="s">
        <v>426</v>
      </c>
      <c r="GN824" s="15" t="s">
        <v>616</v>
      </c>
      <c r="HD824" s="15">
        <v>0.0</v>
      </c>
      <c r="IH824" s="15" t="s">
        <v>426</v>
      </c>
      <c r="KF824" s="15" t="s">
        <v>1996</v>
      </c>
      <c r="KG824" s="15" t="s">
        <v>1309</v>
      </c>
      <c r="KH824" s="15" t="s">
        <v>1306</v>
      </c>
      <c r="KI824" s="15" t="s">
        <v>1254</v>
      </c>
      <c r="KJ824" s="15" t="s">
        <v>996</v>
      </c>
      <c r="KK824" s="15" t="s">
        <v>5321</v>
      </c>
    </row>
    <row r="825" ht="15.75" customHeight="1">
      <c r="A825" s="14" t="s">
        <v>391</v>
      </c>
      <c r="B825" s="15" t="s">
        <v>8644</v>
      </c>
      <c r="C825" s="16"/>
      <c r="D825" s="15" t="s">
        <v>432</v>
      </c>
      <c r="G825" s="14" t="s">
        <v>393</v>
      </c>
      <c r="H825" s="14" t="s">
        <v>394</v>
      </c>
      <c r="I825" s="14" t="b">
        <v>1</v>
      </c>
      <c r="J825" s="14" t="s">
        <v>395</v>
      </c>
      <c r="L825" s="14" t="b">
        <v>0</v>
      </c>
      <c r="M825" s="15" t="s">
        <v>8651</v>
      </c>
      <c r="N825" s="14" t="s">
        <v>393</v>
      </c>
      <c r="O825" s="14" t="s">
        <v>393</v>
      </c>
      <c r="P825" s="15" t="s">
        <v>397</v>
      </c>
      <c r="Q825" s="15" t="s">
        <v>2251</v>
      </c>
      <c r="T825" s="14" t="b">
        <v>0</v>
      </c>
      <c r="U825" s="15" t="s">
        <v>8652</v>
      </c>
      <c r="V825" s="15" t="s">
        <v>8647</v>
      </c>
      <c r="W825" s="15" t="s">
        <v>401</v>
      </c>
      <c r="X825" s="15" t="s">
        <v>1296</v>
      </c>
      <c r="Y825" s="15">
        <v>2184.0</v>
      </c>
      <c r="AA825" s="15" t="str">
        <f t="shared" si="1407"/>
        <v>840</v>
      </c>
      <c r="AB825" s="14" t="b">
        <v>1</v>
      </c>
      <c r="AC825" s="14" t="b">
        <v>1</v>
      </c>
      <c r="AD825" s="15" t="str">
        <f>"801542234331"</f>
        <v>801542234331</v>
      </c>
      <c r="AE825" s="15" t="s">
        <v>8653</v>
      </c>
      <c r="AF825" s="14" t="s">
        <v>404</v>
      </c>
      <c r="AG825" s="14" t="s">
        <v>405</v>
      </c>
      <c r="AH825" s="14" t="s">
        <v>406</v>
      </c>
      <c r="AI825" s="15">
        <v>0.0</v>
      </c>
      <c r="AL825" s="15" t="s">
        <v>8634</v>
      </c>
      <c r="AM825" s="15" t="s">
        <v>2151</v>
      </c>
      <c r="AN825" s="15" t="s">
        <v>2152</v>
      </c>
      <c r="AO825" s="15" t="s">
        <v>1007</v>
      </c>
      <c r="AP825" s="15" t="s">
        <v>1008</v>
      </c>
      <c r="AQ825" s="15" t="s">
        <v>701</v>
      </c>
      <c r="AR825" s="15" t="s">
        <v>702</v>
      </c>
      <c r="AS825" s="15" t="s">
        <v>2231</v>
      </c>
      <c r="AT825" s="15" t="s">
        <v>2251</v>
      </c>
      <c r="AU825" s="15" t="s">
        <v>8625</v>
      </c>
      <c r="AW825" s="15" t="s">
        <v>602</v>
      </c>
      <c r="AY825" s="15" t="s">
        <v>413</v>
      </c>
      <c r="AZ825" s="15" t="b">
        <v>0</v>
      </c>
      <c r="BA825" s="15" t="s">
        <v>413</v>
      </c>
      <c r="BB825" s="15" t="b">
        <v>0</v>
      </c>
      <c r="BC825" s="15" t="s">
        <v>8654</v>
      </c>
      <c r="BD825" s="15" t="s">
        <v>1303</v>
      </c>
      <c r="BE825" s="15" t="str">
        <f t="shared" si="1400"/>
        <v>1</v>
      </c>
      <c r="BF825" s="15" t="s">
        <v>416</v>
      </c>
      <c r="BG825" s="15" t="str">
        <f t="shared" si="1408"/>
        <v>88.5</v>
      </c>
      <c r="BH825" s="15" t="s">
        <v>3148</v>
      </c>
      <c r="BI825" s="15" t="str">
        <f t="shared" si="1409"/>
        <v>21.5</v>
      </c>
      <c r="BJ825" s="15" t="s">
        <v>748</v>
      </c>
      <c r="BK825" s="15" t="str">
        <f t="shared" si="1410"/>
        <v>33</v>
      </c>
      <c r="BL825" s="15" t="s">
        <v>518</v>
      </c>
      <c r="BM825" s="15" t="str">
        <f t="shared" si="1411"/>
        <v>203.92</v>
      </c>
      <c r="BN825" s="15" t="s">
        <v>8650</v>
      </c>
      <c r="BQ825" s="15" t="s">
        <v>444</v>
      </c>
      <c r="BS825" s="15" t="s">
        <v>444</v>
      </c>
      <c r="BU825" s="15" t="s">
        <v>444</v>
      </c>
      <c r="BW825" s="15" t="s">
        <v>444</v>
      </c>
      <c r="BZ825" s="15" t="s">
        <v>444</v>
      </c>
      <c r="CB825" s="15" t="s">
        <v>444</v>
      </c>
      <c r="CD825" s="15" t="s">
        <v>444</v>
      </c>
      <c r="CF825" s="15" t="s">
        <v>444</v>
      </c>
      <c r="CI825" s="15" t="s">
        <v>444</v>
      </c>
      <c r="CK825" s="15" t="s">
        <v>444</v>
      </c>
      <c r="CM825" s="15" t="s">
        <v>444</v>
      </c>
      <c r="CO825" s="15" t="s">
        <v>444</v>
      </c>
      <c r="CP825" s="15" t="str">
        <f t="shared" si="1412"/>
        <v>36.34</v>
      </c>
      <c r="CQ825" s="15" t="str">
        <f t="shared" si="1413"/>
        <v>1.029</v>
      </c>
      <c r="CR825" s="15" t="s">
        <v>465</v>
      </c>
      <c r="CV825" s="15" t="s">
        <v>1161</v>
      </c>
      <c r="CW825" s="15" t="s">
        <v>1254</v>
      </c>
      <c r="CX825" s="15" t="s">
        <v>1882</v>
      </c>
      <c r="DC825" s="15" t="str">
        <f>IFERROR(__xludf.DUMMYFUNCTION("""COMPUTED_VALUE"""),"")</f>
        <v/>
      </c>
      <c r="DE825" s="15" t="str">
        <f>IFERROR(__xludf.DUMMYFUNCTION("""COMPUTED_VALUE"""),"")</f>
        <v/>
      </c>
      <c r="DG825" s="15" t="str">
        <f>IFERROR(__xludf.DUMMYFUNCTION("""COMPUTED_VALUE"""),"")</f>
        <v/>
      </c>
      <c r="DL825" s="15" t="str">
        <f>IFERROR(__xludf.DUMMYFUNCTION("""COMPUTED_VALUE"""),"")</f>
        <v/>
      </c>
      <c r="DM825" s="15" t="s">
        <v>444</v>
      </c>
      <c r="DN825" s="15" t="s">
        <v>419</v>
      </c>
      <c r="DO825" s="15">
        <v>0.0</v>
      </c>
      <c r="DP825" s="15" t="s">
        <v>419</v>
      </c>
      <c r="DR825" s="15">
        <v>0.0</v>
      </c>
      <c r="DT825" s="15" t="s">
        <v>2048</v>
      </c>
      <c r="DU825" s="15" t="s">
        <v>610</v>
      </c>
      <c r="DW825" s="15">
        <v>18.14</v>
      </c>
      <c r="DX825" s="15">
        <v>40.0</v>
      </c>
      <c r="DY825" s="15">
        <v>3.0</v>
      </c>
      <c r="EG825" s="15" t="s">
        <v>444</v>
      </c>
      <c r="EH825" s="15" t="s">
        <v>8622</v>
      </c>
      <c r="EK825" s="15" t="s">
        <v>444</v>
      </c>
      <c r="EM825" s="15" t="str">
        <f>IFERROR(__xludf.DUMMYFUNCTION("""COMPUTED_VALUE"""),"")</f>
        <v/>
      </c>
      <c r="EW825" s="15" t="s">
        <v>2899</v>
      </c>
      <c r="EX825" s="15" t="s">
        <v>1592</v>
      </c>
      <c r="FL825" s="15" t="s">
        <v>426</v>
      </c>
      <c r="FM825" s="15">
        <v>3.0</v>
      </c>
      <c r="FY825" s="15" t="s">
        <v>5646</v>
      </c>
      <c r="FZ825" s="15" t="s">
        <v>1309</v>
      </c>
      <c r="GA825" s="15" t="s">
        <v>1288</v>
      </c>
      <c r="GB825" s="15" t="s">
        <v>1996</v>
      </c>
      <c r="GC825" s="15" t="s">
        <v>1309</v>
      </c>
      <c r="GD825" s="15" t="s">
        <v>1306</v>
      </c>
      <c r="GF825" s="15" t="s">
        <v>426</v>
      </c>
      <c r="GG825" s="15" t="s">
        <v>785</v>
      </c>
      <c r="GH825" s="15">
        <v>6.0</v>
      </c>
      <c r="GI825" s="15" t="s">
        <v>614</v>
      </c>
      <c r="GJ825" s="15" t="s">
        <v>1045</v>
      </c>
      <c r="GL825" s="15" t="s">
        <v>426</v>
      </c>
      <c r="GN825" s="15" t="s">
        <v>616</v>
      </c>
      <c r="HD825" s="15">
        <v>0.0</v>
      </c>
      <c r="IH825" s="15" t="s">
        <v>426</v>
      </c>
      <c r="KF825" s="15" t="s">
        <v>1996</v>
      </c>
      <c r="KG825" s="15" t="s">
        <v>1309</v>
      </c>
      <c r="KH825" s="15" t="s">
        <v>1306</v>
      </c>
      <c r="KI825" s="15" t="s">
        <v>1254</v>
      </c>
      <c r="KJ825" s="15" t="s">
        <v>996</v>
      </c>
      <c r="KK825" s="15" t="s">
        <v>5321</v>
      </c>
    </row>
    <row r="826" ht="15.75" customHeight="1">
      <c r="A826" s="14" t="s">
        <v>391</v>
      </c>
      <c r="B826" s="15" t="s">
        <v>8655</v>
      </c>
      <c r="C826" s="16"/>
      <c r="D826" s="15" t="s">
        <v>432</v>
      </c>
      <c r="G826" s="14" t="s">
        <v>393</v>
      </c>
      <c r="H826" s="14" t="s">
        <v>394</v>
      </c>
      <c r="I826" s="14" t="b">
        <v>1</v>
      </c>
      <c r="J826" s="14" t="s">
        <v>395</v>
      </c>
      <c r="L826" s="14" t="b">
        <v>0</v>
      </c>
      <c r="M826" s="15" t="s">
        <v>8656</v>
      </c>
      <c r="N826" s="14" t="s">
        <v>393</v>
      </c>
      <c r="O826" s="14" t="s">
        <v>393</v>
      </c>
      <c r="P826" s="15" t="s">
        <v>397</v>
      </c>
      <c r="Q826" s="15" t="s">
        <v>2232</v>
      </c>
      <c r="T826" s="14" t="b">
        <v>0</v>
      </c>
      <c r="U826" s="15" t="s">
        <v>8657</v>
      </c>
      <c r="V826" s="15" t="s">
        <v>8658</v>
      </c>
      <c r="W826" s="15" t="s">
        <v>401</v>
      </c>
      <c r="X826" s="15" t="s">
        <v>1296</v>
      </c>
      <c r="Y826" s="15">
        <v>2080.0</v>
      </c>
      <c r="AA826" s="15" t="str">
        <f>"800"</f>
        <v>800</v>
      </c>
      <c r="AB826" s="14" t="b">
        <v>1</v>
      </c>
      <c r="AC826" s="14" t="b">
        <v>1</v>
      </c>
      <c r="AD826" s="15" t="str">
        <f>"801542577292"</f>
        <v>801542577292</v>
      </c>
      <c r="AE826" s="15" t="s">
        <v>8659</v>
      </c>
      <c r="AF826" s="14" t="s">
        <v>404</v>
      </c>
      <c r="AG826" s="14" t="s">
        <v>405</v>
      </c>
      <c r="AH826" s="14" t="s">
        <v>406</v>
      </c>
      <c r="AI826" s="15">
        <v>0.0</v>
      </c>
      <c r="AL826" s="15" t="s">
        <v>8634</v>
      </c>
      <c r="AM826" s="15" t="s">
        <v>452</v>
      </c>
      <c r="AN826" s="15" t="s">
        <v>453</v>
      </c>
      <c r="AO826" s="15" t="s">
        <v>1007</v>
      </c>
      <c r="AP826" s="15" t="s">
        <v>1008</v>
      </c>
      <c r="AQ826" s="15" t="s">
        <v>410</v>
      </c>
      <c r="AR826" s="15" t="s">
        <v>439</v>
      </c>
      <c r="AS826" s="15" t="s">
        <v>2231</v>
      </c>
      <c r="AT826" s="15" t="s">
        <v>2232</v>
      </c>
      <c r="AU826" s="15" t="s">
        <v>8612</v>
      </c>
      <c r="AW826" s="15" t="s">
        <v>664</v>
      </c>
      <c r="AY826" s="15" t="s">
        <v>413</v>
      </c>
      <c r="AZ826" s="15" t="b">
        <v>0</v>
      </c>
      <c r="BA826" s="15" t="s">
        <v>413</v>
      </c>
      <c r="BB826" s="15" t="b">
        <v>0</v>
      </c>
      <c r="BC826" s="15" t="s">
        <v>8660</v>
      </c>
      <c r="BD826" s="15" t="s">
        <v>1303</v>
      </c>
      <c r="BE826" s="15" t="str">
        <f t="shared" si="1400"/>
        <v>1</v>
      </c>
      <c r="BF826" s="15" t="s">
        <v>416</v>
      </c>
      <c r="BG826" s="15" t="str">
        <f>"73.5"</f>
        <v>73.5</v>
      </c>
      <c r="BH826" s="15" t="s">
        <v>5597</v>
      </c>
      <c r="BI826" s="15" t="str">
        <f t="shared" si="1409"/>
        <v>21.5</v>
      </c>
      <c r="BJ826" s="15" t="s">
        <v>748</v>
      </c>
      <c r="BK826" s="15" t="str">
        <f>"37.5"</f>
        <v>37.5</v>
      </c>
      <c r="BL826" s="15" t="s">
        <v>4837</v>
      </c>
      <c r="BM826" s="15" t="str">
        <f>"179.23"</f>
        <v>179.23</v>
      </c>
      <c r="BN826" s="15" t="s">
        <v>8661</v>
      </c>
      <c r="BQ826" s="15" t="s">
        <v>444</v>
      </c>
      <c r="BS826" s="15" t="s">
        <v>444</v>
      </c>
      <c r="BU826" s="15" t="s">
        <v>444</v>
      </c>
      <c r="BW826" s="15" t="s">
        <v>444</v>
      </c>
      <c r="BZ826" s="15" t="s">
        <v>444</v>
      </c>
      <c r="CB826" s="15" t="s">
        <v>444</v>
      </c>
      <c r="CD826" s="15" t="s">
        <v>444</v>
      </c>
      <c r="CF826" s="15" t="s">
        <v>444</v>
      </c>
      <c r="CI826" s="15" t="s">
        <v>444</v>
      </c>
      <c r="CK826" s="15" t="s">
        <v>444</v>
      </c>
      <c r="CM826" s="15" t="s">
        <v>444</v>
      </c>
      <c r="CO826" s="15" t="s">
        <v>444</v>
      </c>
      <c r="CP826" s="15" t="str">
        <f>"34.29"</f>
        <v>34.29</v>
      </c>
      <c r="CQ826" s="15" t="str">
        <f>"0.971"</f>
        <v>0.971</v>
      </c>
      <c r="CR826" s="15" t="s">
        <v>497</v>
      </c>
      <c r="CV826" s="15" t="s">
        <v>6018</v>
      </c>
      <c r="CW826" s="15" t="s">
        <v>1576</v>
      </c>
      <c r="CX826" s="15" t="s">
        <v>1994</v>
      </c>
      <c r="DC826" s="15" t="str">
        <f>IFERROR(__xludf.DUMMYFUNCTION("""COMPUTED_VALUE"""),"")</f>
        <v/>
      </c>
      <c r="DE826" s="15" t="str">
        <f>IFERROR(__xludf.DUMMYFUNCTION("""COMPUTED_VALUE"""),"")</f>
        <v/>
      </c>
      <c r="DG826" s="15" t="str">
        <f>IFERROR(__xludf.DUMMYFUNCTION("""COMPUTED_VALUE"""),"")</f>
        <v/>
      </c>
      <c r="DL826" s="15" t="str">
        <f>IFERROR(__xludf.DUMMYFUNCTION("""COMPUTED_VALUE"""),"")</f>
        <v/>
      </c>
      <c r="DM826" s="15" t="s">
        <v>444</v>
      </c>
      <c r="DN826" s="15" t="s">
        <v>419</v>
      </c>
      <c r="DO826" s="15">
        <v>0.0</v>
      </c>
      <c r="DP826" s="15" t="s">
        <v>419</v>
      </c>
      <c r="DR826" s="15">
        <v>0.0</v>
      </c>
      <c r="DT826" s="15" t="s">
        <v>1111</v>
      </c>
      <c r="DU826" s="15" t="s">
        <v>610</v>
      </c>
      <c r="DW826" s="15">
        <v>18.14</v>
      </c>
      <c r="DX826" s="15">
        <v>40.0</v>
      </c>
      <c r="DY826" s="15">
        <v>2.0</v>
      </c>
      <c r="EG826" s="15" t="s">
        <v>444</v>
      </c>
      <c r="EH826" s="15" t="s">
        <v>8622</v>
      </c>
      <c r="EJ826" s="15" t="s">
        <v>500</v>
      </c>
      <c r="EK826" s="15" t="s">
        <v>501</v>
      </c>
      <c r="EM826" s="15" t="str">
        <f>IFERROR(__xludf.DUMMYFUNCTION("""COMPUTED_VALUE"""),"")</f>
        <v/>
      </c>
      <c r="EW826" s="15" t="s">
        <v>2899</v>
      </c>
      <c r="FL826" s="15" t="s">
        <v>426</v>
      </c>
      <c r="FM826" s="15">
        <v>2.0</v>
      </c>
      <c r="FY826" s="15" t="s">
        <v>1213</v>
      </c>
      <c r="FZ826" s="15" t="s">
        <v>1309</v>
      </c>
      <c r="GA826" s="15" t="s">
        <v>2732</v>
      </c>
      <c r="GB826" s="15" t="s">
        <v>1329</v>
      </c>
      <c r="GC826" s="15" t="s">
        <v>1309</v>
      </c>
      <c r="GD826" s="15" t="s">
        <v>1994</v>
      </c>
      <c r="GE826" s="15">
        <v>0.0</v>
      </c>
      <c r="GF826" s="15" t="s">
        <v>426</v>
      </c>
      <c r="GG826" s="15" t="s">
        <v>785</v>
      </c>
      <c r="GH826" s="15">
        <v>4.0</v>
      </c>
      <c r="GI826" s="15" t="s">
        <v>614</v>
      </c>
      <c r="GJ826" s="15" t="s">
        <v>1045</v>
      </c>
      <c r="GK826" s="15">
        <v>0.0</v>
      </c>
      <c r="GL826" s="15" t="s">
        <v>426</v>
      </c>
      <c r="GN826" s="15" t="s">
        <v>616</v>
      </c>
      <c r="GX826" s="15" t="s">
        <v>426</v>
      </c>
      <c r="IH826" s="15" t="s">
        <v>426</v>
      </c>
      <c r="KF826" s="15" t="s">
        <v>1329</v>
      </c>
      <c r="KG826" s="15" t="s">
        <v>1309</v>
      </c>
      <c r="KH826" s="15" t="s">
        <v>1994</v>
      </c>
      <c r="KI826" s="15" t="s">
        <v>1576</v>
      </c>
    </row>
    <row r="827" ht="15.75" customHeight="1">
      <c r="A827" s="14" t="s">
        <v>391</v>
      </c>
      <c r="B827" s="15" t="s">
        <v>8662</v>
      </c>
      <c r="C827" s="16"/>
      <c r="D827" s="15" t="s">
        <v>432</v>
      </c>
      <c r="G827" s="14" t="s">
        <v>393</v>
      </c>
      <c r="H827" s="14" t="s">
        <v>394</v>
      </c>
      <c r="I827" s="14" t="b">
        <v>1</v>
      </c>
      <c r="J827" s="14" t="s">
        <v>395</v>
      </c>
      <c r="L827" s="14" t="b">
        <v>0</v>
      </c>
      <c r="M827" s="15" t="s">
        <v>8663</v>
      </c>
      <c r="N827" s="14" t="s">
        <v>393</v>
      </c>
      <c r="O827" s="14" t="s">
        <v>393</v>
      </c>
      <c r="P827" s="15" t="s">
        <v>397</v>
      </c>
      <c r="Q827" s="15" t="s">
        <v>8612</v>
      </c>
      <c r="T827" s="14" t="b">
        <v>0</v>
      </c>
      <c r="U827" s="15" t="s">
        <v>8664</v>
      </c>
      <c r="V827" s="15" t="s">
        <v>8665</v>
      </c>
      <c r="W827" s="15" t="s">
        <v>401</v>
      </c>
      <c r="X827" s="15" t="s">
        <v>1296</v>
      </c>
      <c r="Y827" s="15">
        <v>4706.0</v>
      </c>
      <c r="AA827" s="15" t="str">
        <f t="shared" ref="AA827:AA828" si="1414">"1810"</f>
        <v>1810</v>
      </c>
      <c r="AB827" s="14" t="b">
        <v>1</v>
      </c>
      <c r="AC827" s="14" t="b">
        <v>1</v>
      </c>
      <c r="AD827" s="15" t="str">
        <f>"801542106942"</f>
        <v>801542106942</v>
      </c>
      <c r="AE827" s="15" t="s">
        <v>8666</v>
      </c>
      <c r="AF827" s="14" t="s">
        <v>404</v>
      </c>
      <c r="AG827" s="14" t="s">
        <v>405</v>
      </c>
      <c r="AH827" s="14" t="s">
        <v>406</v>
      </c>
      <c r="AI827" s="15">
        <v>0.0</v>
      </c>
      <c r="AL827" s="15" t="s">
        <v>8616</v>
      </c>
      <c r="AM827" s="15" t="s">
        <v>2151</v>
      </c>
      <c r="AN827" s="15" t="s">
        <v>2152</v>
      </c>
      <c r="AO827" s="15" t="s">
        <v>409</v>
      </c>
      <c r="AP827" s="15" t="s">
        <v>438</v>
      </c>
      <c r="AQ827" s="15" t="s">
        <v>770</v>
      </c>
      <c r="AR827" s="15" t="s">
        <v>771</v>
      </c>
      <c r="AS827" s="15" t="s">
        <v>2231</v>
      </c>
      <c r="AT827" s="15" t="s">
        <v>8612</v>
      </c>
      <c r="AU827" s="15" t="s">
        <v>2232</v>
      </c>
      <c r="AW827" s="15" t="s">
        <v>1899</v>
      </c>
      <c r="AY827" s="15" t="s">
        <v>413</v>
      </c>
      <c r="AZ827" s="15" t="b">
        <v>0</v>
      </c>
      <c r="BA827" s="15" t="s">
        <v>413</v>
      </c>
      <c r="BB827" s="15" t="b">
        <v>0</v>
      </c>
      <c r="BC827" s="15" t="s">
        <v>8667</v>
      </c>
      <c r="BD827" s="15" t="s">
        <v>1303</v>
      </c>
      <c r="BE827" s="15" t="str">
        <f t="shared" ref="BE827:BE828" si="1415">"3"</f>
        <v>3</v>
      </c>
      <c r="BF827" s="15" t="s">
        <v>8668</v>
      </c>
      <c r="BG827" s="15" t="str">
        <f t="shared" ref="BG827:BG828" si="1416">"83.25"</f>
        <v>83.25</v>
      </c>
      <c r="BH827" s="15" t="s">
        <v>3003</v>
      </c>
      <c r="BI827" s="15" t="str">
        <f t="shared" ref="BI827:BI828" si="1417">"21.75"</f>
        <v>21.75</v>
      </c>
      <c r="BJ827" s="15" t="s">
        <v>2878</v>
      </c>
      <c r="BK827" s="15" t="str">
        <f t="shared" ref="BK827:BK828" si="1418">"24"</f>
        <v>24</v>
      </c>
      <c r="BL827" s="15" t="s">
        <v>1178</v>
      </c>
      <c r="BM827" s="15" t="str">
        <f t="shared" ref="BM827:BM828" si="1419">"175.49"</f>
        <v>175.49</v>
      </c>
      <c r="BN827" s="15" t="s">
        <v>4984</v>
      </c>
      <c r="BO827" s="15" t="s">
        <v>8669</v>
      </c>
      <c r="BP827" s="15" t="str">
        <f t="shared" ref="BP827:BP828" si="1420">"83.5"</f>
        <v>83.5</v>
      </c>
      <c r="BQ827" s="15" t="s">
        <v>2993</v>
      </c>
      <c r="BR827" s="15" t="str">
        <f t="shared" ref="BR827:BR828" si="1421">"21.25"</f>
        <v>21.25</v>
      </c>
      <c r="BS827" s="15" t="s">
        <v>1536</v>
      </c>
      <c r="BT827" s="15" t="str">
        <f t="shared" ref="BT827:BT828" si="1422">"17.75"</f>
        <v>17.75</v>
      </c>
      <c r="BU827" s="15" t="s">
        <v>1875</v>
      </c>
      <c r="BV827" s="15" t="str">
        <f t="shared" ref="BV827:BV828" si="1423">"172.95"</f>
        <v>172.95</v>
      </c>
      <c r="BW827" s="15" t="s">
        <v>8670</v>
      </c>
      <c r="BX827" s="15" t="s">
        <v>4730</v>
      </c>
      <c r="BY827" s="15" t="str">
        <f t="shared" ref="BY827:BY828" si="1424">"91.75"</f>
        <v>91.75</v>
      </c>
      <c r="BZ827" s="15" t="s">
        <v>8671</v>
      </c>
      <c r="CA827" s="15" t="str">
        <f t="shared" ref="CA827:CA828" si="1425">"6.5"</f>
        <v>6.5</v>
      </c>
      <c r="CB827" s="15" t="s">
        <v>7686</v>
      </c>
      <c r="CC827" s="15" t="str">
        <f t="shared" ref="CC827:CC828" si="1426">"98"</f>
        <v>98</v>
      </c>
      <c r="CD827" s="15" t="s">
        <v>1873</v>
      </c>
      <c r="CE827" s="15" t="str">
        <f t="shared" ref="CE827:CE828" si="1427">"122.47"</f>
        <v>122.47</v>
      </c>
      <c r="CF827" s="15" t="s">
        <v>8672</v>
      </c>
      <c r="CI827" s="15" t="s">
        <v>444</v>
      </c>
      <c r="CK827" s="15" t="s">
        <v>444</v>
      </c>
      <c r="CM827" s="15" t="s">
        <v>444</v>
      </c>
      <c r="CO827" s="15" t="s">
        <v>444</v>
      </c>
      <c r="CP827" s="15" t="str">
        <f t="shared" ref="CP827:CP828" si="1428">"77.2"</f>
        <v>77.2</v>
      </c>
      <c r="CQ827" s="15" t="str">
        <f t="shared" ref="CQ827:CQ828" si="1429">"2.186"</f>
        <v>2.186</v>
      </c>
      <c r="CR827" s="15" t="s">
        <v>497</v>
      </c>
      <c r="CS827" s="15" t="s">
        <v>1065</v>
      </c>
      <c r="CT827" s="15" t="s">
        <v>1512</v>
      </c>
      <c r="CU827" s="15" t="s">
        <v>5321</v>
      </c>
      <c r="CV827" s="15" t="s">
        <v>2020</v>
      </c>
      <c r="CW827" s="15" t="s">
        <v>4286</v>
      </c>
      <c r="CX827" s="15" t="s">
        <v>1755</v>
      </c>
      <c r="DC827" s="15" t="str">
        <f>IFERROR(__xludf.DUMMYFUNCTION("""COMPUTED_VALUE"""),"")</f>
        <v/>
      </c>
      <c r="DE827" s="15" t="str">
        <f>IFERROR(__xludf.DUMMYFUNCTION("""COMPUTED_VALUE"""),"")</f>
        <v/>
      </c>
      <c r="DG827" s="15" t="str">
        <f>IFERROR(__xludf.DUMMYFUNCTION("""COMPUTED_VALUE"""),"")</f>
        <v/>
      </c>
      <c r="DL827" s="15" t="str">
        <f>IFERROR(__xludf.DUMMYFUNCTION("""COMPUTED_VALUE"""),"")</f>
        <v/>
      </c>
      <c r="DM827" s="15" t="s">
        <v>444</v>
      </c>
      <c r="DN827" s="15" t="s">
        <v>419</v>
      </c>
      <c r="DO827" s="15">
        <v>0.0</v>
      </c>
      <c r="DP827" s="15" t="s">
        <v>419</v>
      </c>
      <c r="DR827" s="15">
        <v>3.0</v>
      </c>
      <c r="DS827" s="15" t="s">
        <v>426</v>
      </c>
      <c r="DT827" s="15" t="s">
        <v>1111</v>
      </c>
      <c r="DU827" s="15" t="s">
        <v>610</v>
      </c>
      <c r="DW827" s="15">
        <v>18.14</v>
      </c>
      <c r="DX827" s="15">
        <v>40.0</v>
      </c>
      <c r="DY827" s="15">
        <v>3.0</v>
      </c>
      <c r="EF827" s="15" t="s">
        <v>1915</v>
      </c>
      <c r="EG827" s="15" t="s">
        <v>1916</v>
      </c>
      <c r="EH827" s="15" t="s">
        <v>8622</v>
      </c>
      <c r="EK827" s="15" t="s">
        <v>444</v>
      </c>
      <c r="EM827" s="15" t="str">
        <f>IFERROR(__xludf.DUMMYFUNCTION("""COMPUTED_VALUE"""),"")</f>
        <v/>
      </c>
      <c r="EW827" s="15" t="s">
        <v>2899</v>
      </c>
      <c r="FL827" s="15" t="s">
        <v>426</v>
      </c>
      <c r="FM827" s="15">
        <v>7.0</v>
      </c>
      <c r="FY827" s="15" t="s">
        <v>824</v>
      </c>
      <c r="FZ827" s="15" t="s">
        <v>1188</v>
      </c>
      <c r="GA827" s="15" t="s">
        <v>8673</v>
      </c>
      <c r="GB827" s="15" t="s">
        <v>1329</v>
      </c>
      <c r="GC827" s="15" t="s">
        <v>1512</v>
      </c>
      <c r="GD827" s="15" t="s">
        <v>1212</v>
      </c>
      <c r="GF827" s="15" t="s">
        <v>426</v>
      </c>
      <c r="GG827" s="15" t="s">
        <v>785</v>
      </c>
      <c r="GH827" s="15">
        <v>6.0</v>
      </c>
      <c r="GI827" s="15" t="s">
        <v>614</v>
      </c>
      <c r="GJ827" s="15" t="s">
        <v>615</v>
      </c>
      <c r="GL827" s="15" t="s">
        <v>426</v>
      </c>
      <c r="GN827" s="15" t="s">
        <v>616</v>
      </c>
      <c r="HA827" s="15" t="s">
        <v>2020</v>
      </c>
      <c r="HB827" s="15" t="s">
        <v>4286</v>
      </c>
      <c r="HC827" s="15" t="s">
        <v>1755</v>
      </c>
      <c r="HQ827" s="15" t="s">
        <v>2020</v>
      </c>
      <c r="HR827" s="15" t="s">
        <v>2020</v>
      </c>
      <c r="HS827" s="15" t="s">
        <v>4286</v>
      </c>
      <c r="HT827" s="15" t="s">
        <v>4286</v>
      </c>
      <c r="HU827" s="15" t="s">
        <v>1755</v>
      </c>
      <c r="HV827" s="15" t="s">
        <v>1755</v>
      </c>
      <c r="KX827" s="15" t="s">
        <v>1161</v>
      </c>
      <c r="KY827" s="15" t="s">
        <v>824</v>
      </c>
      <c r="KZ827" s="15" t="s">
        <v>1212</v>
      </c>
      <c r="LK827" s="15" t="s">
        <v>1161</v>
      </c>
      <c r="LL827" s="15" t="s">
        <v>1161</v>
      </c>
      <c r="LM827" s="15" t="s">
        <v>824</v>
      </c>
      <c r="LN827" s="15" t="s">
        <v>824</v>
      </c>
      <c r="LO827" s="15" t="s">
        <v>1212</v>
      </c>
      <c r="LP827" s="15" t="s">
        <v>1212</v>
      </c>
    </row>
    <row r="828" ht="15.75" customHeight="1">
      <c r="A828" s="14" t="s">
        <v>391</v>
      </c>
      <c r="B828" s="15" t="s">
        <v>8662</v>
      </c>
      <c r="C828" s="16"/>
      <c r="D828" s="15" t="s">
        <v>432</v>
      </c>
      <c r="G828" s="14" t="s">
        <v>393</v>
      </c>
      <c r="H828" s="14" t="s">
        <v>394</v>
      </c>
      <c r="I828" s="14" t="b">
        <v>1</v>
      </c>
      <c r="J828" s="14" t="s">
        <v>395</v>
      </c>
      <c r="L828" s="14" t="b">
        <v>0</v>
      </c>
      <c r="M828" s="15" t="s">
        <v>8674</v>
      </c>
      <c r="N828" s="14" t="s">
        <v>393</v>
      </c>
      <c r="O828" s="14" t="s">
        <v>393</v>
      </c>
      <c r="P828" s="15" t="s">
        <v>397</v>
      </c>
      <c r="Q828" s="15" t="s">
        <v>8625</v>
      </c>
      <c r="T828" s="14" t="b">
        <v>0</v>
      </c>
      <c r="U828" s="15" t="s">
        <v>8675</v>
      </c>
      <c r="V828" s="15" t="s">
        <v>8665</v>
      </c>
      <c r="W828" s="15" t="s">
        <v>401</v>
      </c>
      <c r="X828" s="15" t="s">
        <v>1296</v>
      </c>
      <c r="Y828" s="15">
        <v>4706.0</v>
      </c>
      <c r="AA828" s="15" t="str">
        <f t="shared" si="1414"/>
        <v>1810</v>
      </c>
      <c r="AB828" s="14" t="b">
        <v>1</v>
      </c>
      <c r="AC828" s="14" t="b">
        <v>1</v>
      </c>
      <c r="AD828" s="15" t="str">
        <f>"801542250904"</f>
        <v>801542250904</v>
      </c>
      <c r="AE828" s="15" t="s">
        <v>8676</v>
      </c>
      <c r="AF828" s="14" t="s">
        <v>404</v>
      </c>
      <c r="AG828" s="14" t="s">
        <v>405</v>
      </c>
      <c r="AH828" s="14" t="s">
        <v>406</v>
      </c>
      <c r="AI828" s="15">
        <v>0.0</v>
      </c>
      <c r="AL828" s="15" t="s">
        <v>8616</v>
      </c>
      <c r="AM828" s="15" t="s">
        <v>2151</v>
      </c>
      <c r="AN828" s="15" t="s">
        <v>2152</v>
      </c>
      <c r="AO828" s="15" t="s">
        <v>409</v>
      </c>
      <c r="AP828" s="15" t="s">
        <v>438</v>
      </c>
      <c r="AQ828" s="15" t="s">
        <v>770</v>
      </c>
      <c r="AR828" s="15" t="s">
        <v>771</v>
      </c>
      <c r="AS828" s="15" t="s">
        <v>2231</v>
      </c>
      <c r="AT828" s="15" t="s">
        <v>8625</v>
      </c>
      <c r="AU828" s="15" t="s">
        <v>2251</v>
      </c>
      <c r="AW828" s="15" t="s">
        <v>1899</v>
      </c>
      <c r="AY828" s="15" t="s">
        <v>413</v>
      </c>
      <c r="AZ828" s="15" t="b">
        <v>0</v>
      </c>
      <c r="BA828" s="15" t="s">
        <v>413</v>
      </c>
      <c r="BB828" s="15" t="b">
        <v>0</v>
      </c>
      <c r="BC828" s="15" t="s">
        <v>8677</v>
      </c>
      <c r="BD828" s="15" t="s">
        <v>1303</v>
      </c>
      <c r="BE828" s="15" t="str">
        <f t="shared" si="1415"/>
        <v>3</v>
      </c>
      <c r="BF828" s="15" t="s">
        <v>8668</v>
      </c>
      <c r="BG828" s="15" t="str">
        <f t="shared" si="1416"/>
        <v>83.25</v>
      </c>
      <c r="BH828" s="15" t="s">
        <v>3003</v>
      </c>
      <c r="BI828" s="15" t="str">
        <f t="shared" si="1417"/>
        <v>21.75</v>
      </c>
      <c r="BJ828" s="15" t="s">
        <v>2878</v>
      </c>
      <c r="BK828" s="15" t="str">
        <f t="shared" si="1418"/>
        <v>24</v>
      </c>
      <c r="BL828" s="15" t="s">
        <v>1178</v>
      </c>
      <c r="BM828" s="15" t="str">
        <f t="shared" si="1419"/>
        <v>175.49</v>
      </c>
      <c r="BN828" s="15" t="s">
        <v>4984</v>
      </c>
      <c r="BO828" s="15" t="s">
        <v>8669</v>
      </c>
      <c r="BP828" s="15" t="str">
        <f t="shared" si="1420"/>
        <v>83.5</v>
      </c>
      <c r="BQ828" s="15" t="s">
        <v>2993</v>
      </c>
      <c r="BR828" s="15" t="str">
        <f t="shared" si="1421"/>
        <v>21.25</v>
      </c>
      <c r="BS828" s="15" t="s">
        <v>1536</v>
      </c>
      <c r="BT828" s="15" t="str">
        <f t="shared" si="1422"/>
        <v>17.75</v>
      </c>
      <c r="BU828" s="15" t="s">
        <v>1875</v>
      </c>
      <c r="BV828" s="15" t="str">
        <f t="shared" si="1423"/>
        <v>172.95</v>
      </c>
      <c r="BW828" s="15" t="s">
        <v>8670</v>
      </c>
      <c r="BX828" s="15" t="s">
        <v>4730</v>
      </c>
      <c r="BY828" s="15" t="str">
        <f t="shared" si="1424"/>
        <v>91.75</v>
      </c>
      <c r="BZ828" s="15" t="s">
        <v>8671</v>
      </c>
      <c r="CA828" s="15" t="str">
        <f t="shared" si="1425"/>
        <v>6.5</v>
      </c>
      <c r="CB828" s="15" t="s">
        <v>7686</v>
      </c>
      <c r="CC828" s="15" t="str">
        <f t="shared" si="1426"/>
        <v>98</v>
      </c>
      <c r="CD828" s="15" t="s">
        <v>1873</v>
      </c>
      <c r="CE828" s="15" t="str">
        <f t="shared" si="1427"/>
        <v>122.47</v>
      </c>
      <c r="CF828" s="15" t="s">
        <v>8672</v>
      </c>
      <c r="CI828" s="15" t="s">
        <v>444</v>
      </c>
      <c r="CK828" s="15" t="s">
        <v>444</v>
      </c>
      <c r="CM828" s="15" t="s">
        <v>444</v>
      </c>
      <c r="CO828" s="15" t="s">
        <v>444</v>
      </c>
      <c r="CP828" s="15" t="str">
        <f t="shared" si="1428"/>
        <v>77.2</v>
      </c>
      <c r="CQ828" s="15" t="str">
        <f t="shared" si="1429"/>
        <v>2.186</v>
      </c>
      <c r="CR828" s="15" t="s">
        <v>417</v>
      </c>
      <c r="CS828" s="15" t="s">
        <v>1065</v>
      </c>
      <c r="CT828" s="15" t="s">
        <v>1512</v>
      </c>
      <c r="CU828" s="15" t="s">
        <v>5321</v>
      </c>
      <c r="CV828" s="15" t="s">
        <v>2020</v>
      </c>
      <c r="CW828" s="15" t="s">
        <v>4286</v>
      </c>
      <c r="CX828" s="15" t="s">
        <v>1755</v>
      </c>
      <c r="DC828" s="15" t="str">
        <f>IFERROR(__xludf.DUMMYFUNCTION("""COMPUTED_VALUE"""),"")</f>
        <v/>
      </c>
      <c r="DE828" s="15" t="str">
        <f>IFERROR(__xludf.DUMMYFUNCTION("""COMPUTED_VALUE"""),"")</f>
        <v/>
      </c>
      <c r="DG828" s="15" t="str">
        <f>IFERROR(__xludf.DUMMYFUNCTION("""COMPUTED_VALUE"""),"")</f>
        <v/>
      </c>
      <c r="DL828" s="15" t="str">
        <f>IFERROR(__xludf.DUMMYFUNCTION("""COMPUTED_VALUE"""),"")</f>
        <v/>
      </c>
      <c r="DM828" s="15" t="s">
        <v>444</v>
      </c>
      <c r="DN828" s="15" t="s">
        <v>419</v>
      </c>
      <c r="DO828" s="15">
        <v>0.0</v>
      </c>
      <c r="DP828" s="15" t="s">
        <v>419</v>
      </c>
      <c r="DR828" s="15">
        <v>3.0</v>
      </c>
      <c r="DS828" s="15" t="s">
        <v>426</v>
      </c>
      <c r="DT828" s="15" t="s">
        <v>1111</v>
      </c>
      <c r="DU828" s="15" t="s">
        <v>610</v>
      </c>
      <c r="DW828" s="15">
        <v>18.14</v>
      </c>
      <c r="DX828" s="15">
        <v>40.0</v>
      </c>
      <c r="DY828" s="15">
        <v>3.0</v>
      </c>
      <c r="EF828" s="15" t="s">
        <v>1915</v>
      </c>
      <c r="EG828" s="15" t="s">
        <v>1916</v>
      </c>
      <c r="EH828" s="15" t="s">
        <v>8622</v>
      </c>
      <c r="EK828" s="15" t="s">
        <v>444</v>
      </c>
      <c r="EM828" s="15" t="str">
        <f>IFERROR(__xludf.DUMMYFUNCTION("""COMPUTED_VALUE"""),"")</f>
        <v/>
      </c>
      <c r="EW828" s="15" t="s">
        <v>2899</v>
      </c>
      <c r="FL828" s="15" t="s">
        <v>426</v>
      </c>
      <c r="FM828" s="15">
        <v>7.0</v>
      </c>
      <c r="FY828" s="15" t="s">
        <v>824</v>
      </c>
      <c r="FZ828" s="15" t="s">
        <v>1188</v>
      </c>
      <c r="GA828" s="15" t="s">
        <v>8673</v>
      </c>
      <c r="GB828" s="15" t="s">
        <v>1329</v>
      </c>
      <c r="GC828" s="15" t="s">
        <v>1512</v>
      </c>
      <c r="GD828" s="15" t="s">
        <v>1212</v>
      </c>
      <c r="GF828" s="15" t="s">
        <v>426</v>
      </c>
      <c r="GG828" s="15" t="s">
        <v>785</v>
      </c>
      <c r="GH828" s="15">
        <v>6.0</v>
      </c>
      <c r="GI828" s="15" t="s">
        <v>614</v>
      </c>
      <c r="GJ828" s="15" t="s">
        <v>615</v>
      </c>
      <c r="GL828" s="15" t="s">
        <v>426</v>
      </c>
      <c r="GN828" s="15" t="s">
        <v>616</v>
      </c>
      <c r="HA828" s="15" t="s">
        <v>2020</v>
      </c>
      <c r="HB828" s="15" t="s">
        <v>4286</v>
      </c>
      <c r="HC828" s="15" t="s">
        <v>1755</v>
      </c>
      <c r="HQ828" s="15" t="s">
        <v>2020</v>
      </c>
      <c r="HR828" s="15" t="s">
        <v>2020</v>
      </c>
      <c r="HS828" s="15" t="s">
        <v>4286</v>
      </c>
      <c r="HT828" s="15" t="s">
        <v>4286</v>
      </c>
      <c r="HU828" s="15" t="s">
        <v>1755</v>
      </c>
      <c r="HV828" s="15" t="s">
        <v>1755</v>
      </c>
      <c r="KX828" s="15" t="s">
        <v>1161</v>
      </c>
      <c r="KY828" s="15" t="s">
        <v>824</v>
      </c>
      <c r="KZ828" s="15" t="s">
        <v>1212</v>
      </c>
      <c r="LK828" s="15" t="s">
        <v>1161</v>
      </c>
      <c r="LL828" s="15" t="s">
        <v>1161</v>
      </c>
      <c r="LM828" s="15" t="s">
        <v>824</v>
      </c>
      <c r="LN828" s="15" t="s">
        <v>824</v>
      </c>
      <c r="LO828" s="15" t="s">
        <v>1212</v>
      </c>
      <c r="LP828" s="15" t="s">
        <v>1212</v>
      </c>
    </row>
    <row r="829" ht="15.75" customHeight="1">
      <c r="A829" s="14" t="s">
        <v>391</v>
      </c>
      <c r="B829" s="15" t="s">
        <v>8678</v>
      </c>
      <c r="C829" s="16"/>
      <c r="D829" s="15" t="s">
        <v>432</v>
      </c>
      <c r="G829" s="14" t="s">
        <v>393</v>
      </c>
      <c r="H829" s="14" t="s">
        <v>394</v>
      </c>
      <c r="I829" s="14" t="b">
        <v>1</v>
      </c>
      <c r="J829" s="14" t="s">
        <v>395</v>
      </c>
      <c r="L829" s="14" t="b">
        <v>0</v>
      </c>
      <c r="M829" s="15" t="s">
        <v>8679</v>
      </c>
      <c r="N829" s="14" t="s">
        <v>393</v>
      </c>
      <c r="O829" s="14" t="s">
        <v>393</v>
      </c>
      <c r="P829" s="15" t="s">
        <v>397</v>
      </c>
      <c r="Q829" s="15" t="s">
        <v>4870</v>
      </c>
      <c r="T829" s="14" t="b">
        <v>0</v>
      </c>
      <c r="U829" s="15" t="s">
        <v>8680</v>
      </c>
      <c r="V829" s="15" t="s">
        <v>8681</v>
      </c>
      <c r="W829" s="15" t="s">
        <v>401</v>
      </c>
      <c r="X829" s="15" t="s">
        <v>742</v>
      </c>
      <c r="Y829" s="15">
        <v>1859.0</v>
      </c>
      <c r="AA829" s="15" t="str">
        <f>"715"</f>
        <v>715</v>
      </c>
      <c r="AB829" s="14" t="b">
        <v>1</v>
      </c>
      <c r="AC829" s="14" t="b">
        <v>1</v>
      </c>
      <c r="AD829" s="15" t="str">
        <f>"801542009977"</f>
        <v>801542009977</v>
      </c>
      <c r="AE829" s="15" t="s">
        <v>8682</v>
      </c>
      <c r="AF829" s="14" t="s">
        <v>404</v>
      </c>
      <c r="AG829" s="14" t="s">
        <v>405</v>
      </c>
      <c r="AH829" s="14" t="s">
        <v>406</v>
      </c>
      <c r="AI829" s="15">
        <v>0.0</v>
      </c>
      <c r="AL829" s="15" t="s">
        <v>1532</v>
      </c>
      <c r="AM829" s="15" t="s">
        <v>2355</v>
      </c>
      <c r="AN829" s="15" t="s">
        <v>2356</v>
      </c>
      <c r="AO829" s="15" t="s">
        <v>1007</v>
      </c>
      <c r="AP829" s="15" t="s">
        <v>1008</v>
      </c>
      <c r="AQ829" s="15" t="s">
        <v>1085</v>
      </c>
      <c r="AR829" s="15" t="s">
        <v>1086</v>
      </c>
      <c r="AS829" s="15" t="s">
        <v>1896</v>
      </c>
      <c r="AT829" s="15" t="s">
        <v>4870</v>
      </c>
      <c r="AU829" s="15" t="s">
        <v>8683</v>
      </c>
      <c r="AW829" s="15" t="s">
        <v>602</v>
      </c>
      <c r="AY829" s="15" t="s">
        <v>413</v>
      </c>
      <c r="AZ829" s="15" t="b">
        <v>0</v>
      </c>
      <c r="BA829" s="15" t="s">
        <v>413</v>
      </c>
      <c r="BB829" s="15" t="b">
        <v>0</v>
      </c>
      <c r="BC829" s="15" t="s">
        <v>8684</v>
      </c>
      <c r="BD829" s="15" t="s">
        <v>742</v>
      </c>
      <c r="BE829" s="15" t="str">
        <f t="shared" ref="BE829:BE834" si="1430">"1"</f>
        <v>1</v>
      </c>
      <c r="BF829" s="15" t="s">
        <v>416</v>
      </c>
      <c r="BG829" s="15" t="str">
        <f>"81.89"</f>
        <v>81.89</v>
      </c>
      <c r="BH829" s="15" t="s">
        <v>2358</v>
      </c>
      <c r="BI829" s="15" t="str">
        <f>"21.65"</f>
        <v>21.65</v>
      </c>
      <c r="BJ829" s="15" t="s">
        <v>1506</v>
      </c>
      <c r="BK829" s="15" t="str">
        <f>"34.65"</f>
        <v>34.65</v>
      </c>
      <c r="BL829" s="15" t="s">
        <v>1229</v>
      </c>
      <c r="BM829" s="15" t="str">
        <f>"181.44"</f>
        <v>181.44</v>
      </c>
      <c r="BN829" s="15" t="s">
        <v>8685</v>
      </c>
      <c r="BQ829" s="15" t="s">
        <v>444</v>
      </c>
      <c r="BS829" s="15" t="s">
        <v>444</v>
      </c>
      <c r="BU829" s="15" t="s">
        <v>444</v>
      </c>
      <c r="BW829" s="15" t="s">
        <v>444</v>
      </c>
      <c r="BZ829" s="15" t="s">
        <v>444</v>
      </c>
      <c r="CB829" s="15" t="s">
        <v>444</v>
      </c>
      <c r="CD829" s="15" t="s">
        <v>444</v>
      </c>
      <c r="CF829" s="15" t="s">
        <v>444</v>
      </c>
      <c r="CI829" s="15" t="s">
        <v>444</v>
      </c>
      <c r="CK829" s="15" t="s">
        <v>444</v>
      </c>
      <c r="CM829" s="15" t="s">
        <v>444</v>
      </c>
      <c r="CO829" s="15" t="s">
        <v>444</v>
      </c>
      <c r="CP829" s="15" t="str">
        <f>"35.56"</f>
        <v>35.56</v>
      </c>
      <c r="CQ829" s="15" t="str">
        <f>"1.007"</f>
        <v>1.007</v>
      </c>
      <c r="CR829" s="15" t="s">
        <v>497</v>
      </c>
      <c r="CV829" s="15" t="s">
        <v>2348</v>
      </c>
      <c r="CW829" s="15" t="s">
        <v>6271</v>
      </c>
      <c r="CX829" s="15" t="s">
        <v>8686</v>
      </c>
      <c r="DC829" s="15" t="str">
        <f>IFERROR(__xludf.DUMMYFUNCTION("""COMPUTED_VALUE"""),"")</f>
        <v/>
      </c>
      <c r="DE829" s="15" t="str">
        <f>IFERROR(__xludf.DUMMYFUNCTION("""COMPUTED_VALUE"""),"")</f>
        <v/>
      </c>
      <c r="DG829" s="15" t="str">
        <f>IFERROR(__xludf.DUMMYFUNCTION("""COMPUTED_VALUE"""),"")</f>
        <v/>
      </c>
      <c r="DL829" s="15" t="str">
        <f>IFERROR(__xludf.DUMMYFUNCTION("""COMPUTED_VALUE"""),"")</f>
        <v/>
      </c>
      <c r="DM829" s="15" t="s">
        <v>444</v>
      </c>
      <c r="DN829" s="15" t="s">
        <v>419</v>
      </c>
      <c r="DO829" s="15">
        <v>0.0</v>
      </c>
      <c r="DP829" s="15" t="s">
        <v>419</v>
      </c>
      <c r="DR829" s="15">
        <v>0.0</v>
      </c>
      <c r="DT829" s="15" t="s">
        <v>1186</v>
      </c>
      <c r="DU829" s="15" t="s">
        <v>610</v>
      </c>
      <c r="DW829" s="15">
        <v>18.14</v>
      </c>
      <c r="DX829" s="15">
        <v>40.0</v>
      </c>
      <c r="DY829" s="15">
        <v>2.0</v>
      </c>
      <c r="EG829" s="15" t="s">
        <v>444</v>
      </c>
      <c r="EH829" s="15" t="s">
        <v>8687</v>
      </c>
      <c r="EK829" s="15" t="s">
        <v>444</v>
      </c>
      <c r="EM829" s="15" t="str">
        <f>IFERROR(__xludf.DUMMYFUNCTION("""COMPUTED_VALUE"""),"")</f>
        <v/>
      </c>
      <c r="EW829" s="15" t="s">
        <v>5304</v>
      </c>
      <c r="FL829" s="15" t="s">
        <v>426</v>
      </c>
      <c r="FM829" s="15">
        <v>2.0</v>
      </c>
      <c r="FY829" s="15" t="s">
        <v>1484</v>
      </c>
      <c r="FZ829" s="15" t="s">
        <v>1042</v>
      </c>
      <c r="GA829" s="15" t="s">
        <v>7240</v>
      </c>
      <c r="GB829" s="15" t="s">
        <v>2348</v>
      </c>
      <c r="GC829" s="15" t="s">
        <v>782</v>
      </c>
      <c r="GD829" s="15" t="s">
        <v>8686</v>
      </c>
      <c r="GF829" s="15" t="s">
        <v>426</v>
      </c>
      <c r="GG829" s="15" t="s">
        <v>785</v>
      </c>
      <c r="GH829" s="15">
        <v>4.0</v>
      </c>
      <c r="GI829" s="15" t="s">
        <v>614</v>
      </c>
      <c r="GJ829" s="15" t="s">
        <v>1045</v>
      </c>
      <c r="GL829" s="15" t="s">
        <v>426</v>
      </c>
      <c r="GN829" s="15" t="s">
        <v>616</v>
      </c>
      <c r="HA829" s="15" t="s">
        <v>2348</v>
      </c>
      <c r="HB829" s="15" t="s">
        <v>6271</v>
      </c>
      <c r="HC829" s="15" t="s">
        <v>8686</v>
      </c>
      <c r="HD829" s="15">
        <v>0.0</v>
      </c>
      <c r="HW829" s="15" t="s">
        <v>1957</v>
      </c>
      <c r="IH829" s="15" t="s">
        <v>426</v>
      </c>
    </row>
    <row r="830" ht="15.75" customHeight="1">
      <c r="A830" s="14" t="s">
        <v>391</v>
      </c>
      <c r="B830" s="15" t="s">
        <v>8688</v>
      </c>
      <c r="C830" s="16"/>
      <c r="D830" s="15" t="s">
        <v>432</v>
      </c>
      <c r="G830" s="14" t="s">
        <v>393</v>
      </c>
      <c r="H830" s="14" t="s">
        <v>394</v>
      </c>
      <c r="I830" s="14" t="b">
        <v>1</v>
      </c>
      <c r="J830" s="14" t="s">
        <v>395</v>
      </c>
      <c r="L830" s="14" t="b">
        <v>0</v>
      </c>
      <c r="M830" s="15" t="s">
        <v>8689</v>
      </c>
      <c r="N830" s="14" t="s">
        <v>393</v>
      </c>
      <c r="O830" s="14" t="s">
        <v>393</v>
      </c>
      <c r="P830" s="15" t="s">
        <v>397</v>
      </c>
      <c r="Q830" s="15" t="s">
        <v>8690</v>
      </c>
      <c r="T830" s="14" t="b">
        <v>0</v>
      </c>
      <c r="U830" s="15" t="s">
        <v>8691</v>
      </c>
      <c r="V830" s="15" t="s">
        <v>7088</v>
      </c>
      <c r="W830" s="15" t="s">
        <v>401</v>
      </c>
      <c r="X830" s="15" t="s">
        <v>695</v>
      </c>
      <c r="Y830" s="15">
        <v>1755.0</v>
      </c>
      <c r="AA830" s="15" t="str">
        <f>"675"</f>
        <v>675</v>
      </c>
      <c r="AB830" s="14" t="b">
        <v>1</v>
      </c>
      <c r="AC830" s="14" t="b">
        <v>1</v>
      </c>
      <c r="AD830" s="15" t="str">
        <f>"801542823504"</f>
        <v>801542823504</v>
      </c>
      <c r="AE830" s="15" t="s">
        <v>8692</v>
      </c>
      <c r="AF830" s="14" t="s">
        <v>404</v>
      </c>
      <c r="AG830" s="14" t="s">
        <v>405</v>
      </c>
      <c r="AH830" s="14" t="s">
        <v>406</v>
      </c>
      <c r="AI830" s="15">
        <v>0.0</v>
      </c>
      <c r="AL830" s="15" t="s">
        <v>1298</v>
      </c>
      <c r="AM830" s="15" t="s">
        <v>546</v>
      </c>
      <c r="AN830" s="15" t="s">
        <v>547</v>
      </c>
      <c r="AO830" s="15" t="s">
        <v>489</v>
      </c>
      <c r="AP830" s="15" t="s">
        <v>490</v>
      </c>
      <c r="AQ830" s="15" t="s">
        <v>7508</v>
      </c>
      <c r="AR830" s="15" t="s">
        <v>7509</v>
      </c>
      <c r="AS830" s="15" t="s">
        <v>1317</v>
      </c>
      <c r="AT830" s="15" t="s">
        <v>8690</v>
      </c>
      <c r="AW830" s="15" t="s">
        <v>1899</v>
      </c>
      <c r="AY830" s="15" t="s">
        <v>413</v>
      </c>
      <c r="AZ830" s="15" t="b">
        <v>0</v>
      </c>
      <c r="BA830" s="15" t="s">
        <v>413</v>
      </c>
      <c r="BB830" s="15" t="b">
        <v>0</v>
      </c>
      <c r="BC830" s="15" t="s">
        <v>8693</v>
      </c>
      <c r="BD830" s="15" t="s">
        <v>709</v>
      </c>
      <c r="BE830" s="15" t="str">
        <f t="shared" si="1430"/>
        <v>1</v>
      </c>
      <c r="BF830" s="15" t="s">
        <v>416</v>
      </c>
      <c r="BG830" s="15" t="str">
        <f>"33.66"</f>
        <v>33.66</v>
      </c>
      <c r="BH830" s="15" t="s">
        <v>7149</v>
      </c>
      <c r="BI830" s="15" t="str">
        <f>"17.72"</f>
        <v>17.72</v>
      </c>
      <c r="BJ830" s="15" t="s">
        <v>3633</v>
      </c>
      <c r="BK830" s="15" t="str">
        <f>"77.56"</f>
        <v>77.56</v>
      </c>
      <c r="BL830" s="15" t="s">
        <v>6772</v>
      </c>
      <c r="BM830" s="15" t="str">
        <f>"116.84"</f>
        <v>116.84</v>
      </c>
      <c r="BN830" s="15" t="s">
        <v>1012</v>
      </c>
      <c r="BQ830" s="15" t="s">
        <v>444</v>
      </c>
      <c r="BS830" s="15" t="s">
        <v>444</v>
      </c>
      <c r="BU830" s="15" t="s">
        <v>444</v>
      </c>
      <c r="BW830" s="15" t="s">
        <v>444</v>
      </c>
      <c r="BZ830" s="15" t="s">
        <v>444</v>
      </c>
      <c r="CB830" s="15" t="s">
        <v>444</v>
      </c>
      <c r="CD830" s="15" t="s">
        <v>444</v>
      </c>
      <c r="CF830" s="15" t="s">
        <v>444</v>
      </c>
      <c r="CI830" s="15" t="s">
        <v>444</v>
      </c>
      <c r="CK830" s="15" t="s">
        <v>444</v>
      </c>
      <c r="CM830" s="15" t="s">
        <v>444</v>
      </c>
      <c r="CO830" s="15" t="s">
        <v>444</v>
      </c>
      <c r="CP830" s="15" t="str">
        <f>"26.77"</f>
        <v>26.77</v>
      </c>
      <c r="CQ830" s="15" t="str">
        <f>"0.758"</f>
        <v>0.758</v>
      </c>
      <c r="CR830" s="15" t="s">
        <v>465</v>
      </c>
      <c r="CS830" s="15" t="s">
        <v>504</v>
      </c>
      <c r="CT830" s="15" t="s">
        <v>1188</v>
      </c>
      <c r="CU830" s="15" t="s">
        <v>1574</v>
      </c>
      <c r="CV830" s="15" t="s">
        <v>504</v>
      </c>
      <c r="CW830" s="15" t="s">
        <v>2739</v>
      </c>
      <c r="CX830" s="15" t="s">
        <v>1574</v>
      </c>
      <c r="DC830" s="15" t="str">
        <f>IFERROR(__xludf.DUMMYFUNCTION("""COMPUTED_VALUE"""),"")</f>
        <v/>
      </c>
      <c r="DE830" s="15" t="str">
        <f>IFERROR(__xludf.DUMMYFUNCTION("""COMPUTED_VALUE"""),"")</f>
        <v/>
      </c>
      <c r="DG830" s="15" t="str">
        <f>IFERROR(__xludf.DUMMYFUNCTION("""COMPUTED_VALUE"""),"")</f>
        <v/>
      </c>
      <c r="DL830" s="15" t="str">
        <f>IFERROR(__xludf.DUMMYFUNCTION("""COMPUTED_VALUE"""),"")</f>
        <v/>
      </c>
      <c r="DM830" s="15" t="s">
        <v>444</v>
      </c>
      <c r="DN830" s="15" t="s">
        <v>419</v>
      </c>
      <c r="DO830" s="15">
        <v>0.0</v>
      </c>
      <c r="DP830" s="15" t="s">
        <v>419</v>
      </c>
      <c r="DR830" s="15">
        <v>6.0</v>
      </c>
      <c r="DS830" s="15" t="s">
        <v>426</v>
      </c>
      <c r="DT830" s="15" t="s">
        <v>420</v>
      </c>
      <c r="DW830" s="15">
        <v>18.14</v>
      </c>
      <c r="DX830" s="15">
        <v>40.0</v>
      </c>
      <c r="DY830" s="15">
        <v>0.0</v>
      </c>
      <c r="EG830" s="15" t="s">
        <v>444</v>
      </c>
      <c r="EH830" s="15" t="s">
        <v>8694</v>
      </c>
      <c r="EK830" s="15" t="s">
        <v>444</v>
      </c>
      <c r="EM830" s="15" t="str">
        <f>IFERROR(__xludf.DUMMYFUNCTION("""COMPUTED_VALUE"""),"")</f>
        <v/>
      </c>
      <c r="FL830" s="15" t="s">
        <v>426</v>
      </c>
      <c r="FM830" s="15">
        <v>7.0</v>
      </c>
      <c r="GH830" s="15">
        <v>0.0</v>
      </c>
      <c r="GI830" s="15" t="s">
        <v>427</v>
      </c>
      <c r="HA830" s="15" t="s">
        <v>504</v>
      </c>
      <c r="HB830" s="15" t="s">
        <v>1593</v>
      </c>
      <c r="HC830" s="15" t="s">
        <v>1574</v>
      </c>
      <c r="HQ830" s="15" t="s">
        <v>504</v>
      </c>
      <c r="HR830" s="15" t="s">
        <v>504</v>
      </c>
      <c r="HS830" s="15" t="s">
        <v>475</v>
      </c>
      <c r="HT830" s="15" t="s">
        <v>467</v>
      </c>
      <c r="HU830" s="15" t="s">
        <v>1238</v>
      </c>
      <c r="HV830" s="15" t="s">
        <v>1238</v>
      </c>
      <c r="KL830" s="15" t="s">
        <v>504</v>
      </c>
      <c r="KM830" s="15" t="s">
        <v>1188</v>
      </c>
      <c r="KN830" s="15" t="s">
        <v>1238</v>
      </c>
      <c r="KX830" s="15" t="s">
        <v>504</v>
      </c>
      <c r="KY830" s="15" t="s">
        <v>467</v>
      </c>
      <c r="KZ830" s="15" t="s">
        <v>1574</v>
      </c>
    </row>
    <row r="831" ht="15.75" customHeight="1">
      <c r="A831" s="14" t="s">
        <v>391</v>
      </c>
      <c r="B831" s="15" t="s">
        <v>8695</v>
      </c>
      <c r="C831" s="16"/>
      <c r="D831" s="15" t="s">
        <v>432</v>
      </c>
      <c r="G831" s="14" t="s">
        <v>393</v>
      </c>
      <c r="H831" s="14" t="s">
        <v>394</v>
      </c>
      <c r="I831" s="14" t="b">
        <v>1</v>
      </c>
      <c r="J831" s="14" t="s">
        <v>395</v>
      </c>
      <c r="L831" s="14" t="b">
        <v>0</v>
      </c>
      <c r="M831" s="15" t="s">
        <v>8696</v>
      </c>
      <c r="N831" s="14" t="s">
        <v>393</v>
      </c>
      <c r="O831" s="14" t="s">
        <v>393</v>
      </c>
      <c r="P831" s="15" t="s">
        <v>397</v>
      </c>
      <c r="Q831" s="15" t="s">
        <v>8697</v>
      </c>
      <c r="T831" s="14" t="b">
        <v>0</v>
      </c>
      <c r="U831" s="15" t="s">
        <v>8698</v>
      </c>
      <c r="V831" s="15" t="s">
        <v>8699</v>
      </c>
      <c r="W831" s="15" t="s">
        <v>401</v>
      </c>
      <c r="X831" s="15" t="s">
        <v>1296</v>
      </c>
      <c r="Y831" s="15">
        <v>611.0</v>
      </c>
      <c r="AA831" s="15" t="str">
        <f t="shared" ref="AA831:AA832" si="1431">"235"</f>
        <v>235</v>
      </c>
      <c r="AB831" s="14" t="b">
        <v>1</v>
      </c>
      <c r="AC831" s="14" t="b">
        <v>1</v>
      </c>
      <c r="AD831" s="15" t="str">
        <f>"801542920944"</f>
        <v>801542920944</v>
      </c>
      <c r="AE831" s="15" t="s">
        <v>8700</v>
      </c>
      <c r="AF831" s="14" t="s">
        <v>404</v>
      </c>
      <c r="AG831" s="14" t="s">
        <v>405</v>
      </c>
      <c r="AH831" s="14" t="s">
        <v>406</v>
      </c>
      <c r="AI831" s="15">
        <v>0.0</v>
      </c>
      <c r="AL831" s="15" t="s">
        <v>2689</v>
      </c>
      <c r="AM831" s="15" t="s">
        <v>1561</v>
      </c>
      <c r="AN831" s="15" t="s">
        <v>1562</v>
      </c>
      <c r="AO831" s="15" t="s">
        <v>1561</v>
      </c>
      <c r="AP831" s="15" t="s">
        <v>1562</v>
      </c>
      <c r="AQ831" s="15" t="s">
        <v>1177</v>
      </c>
      <c r="AR831" s="15" t="s">
        <v>1178</v>
      </c>
      <c r="AS831" s="15" t="s">
        <v>2677</v>
      </c>
      <c r="AT831" s="15" t="s">
        <v>8697</v>
      </c>
      <c r="AW831" s="15" t="s">
        <v>1154</v>
      </c>
      <c r="AY831" s="15" t="s">
        <v>413</v>
      </c>
      <c r="AZ831" s="15" t="b">
        <v>0</v>
      </c>
      <c r="BA831" s="15" t="s">
        <v>413</v>
      </c>
      <c r="BB831" s="15" t="b">
        <v>0</v>
      </c>
      <c r="BC831" s="15" t="s">
        <v>8701</v>
      </c>
      <c r="BD831" s="15" t="s">
        <v>1303</v>
      </c>
      <c r="BE831" s="15" t="str">
        <f t="shared" si="1430"/>
        <v>1</v>
      </c>
      <c r="BF831" s="15" t="s">
        <v>416</v>
      </c>
      <c r="BG831" s="15" t="str">
        <f t="shared" ref="BG831:BG832" si="1432">"26"</f>
        <v>26</v>
      </c>
      <c r="BH831" s="15" t="s">
        <v>1176</v>
      </c>
      <c r="BI831" s="15" t="str">
        <f t="shared" ref="BI831:BI832" si="1433">"26"</f>
        <v>26</v>
      </c>
      <c r="BJ831" s="15" t="s">
        <v>1176</v>
      </c>
      <c r="BK831" s="15" t="str">
        <f t="shared" ref="BK831:BK832" si="1434">"28.5"</f>
        <v>28.5</v>
      </c>
      <c r="BL831" s="15" t="s">
        <v>2013</v>
      </c>
      <c r="BM831" s="15" t="str">
        <f t="shared" ref="BM831:BM832" si="1435">"45.19"</f>
        <v>45.19</v>
      </c>
      <c r="BN831" s="15" t="s">
        <v>3375</v>
      </c>
      <c r="BQ831" s="15" t="s">
        <v>444</v>
      </c>
      <c r="BS831" s="15" t="s">
        <v>444</v>
      </c>
      <c r="BU831" s="15" t="s">
        <v>444</v>
      </c>
      <c r="BW831" s="15" t="s">
        <v>444</v>
      </c>
      <c r="BZ831" s="15" t="s">
        <v>444</v>
      </c>
      <c r="CB831" s="15" t="s">
        <v>444</v>
      </c>
      <c r="CD831" s="15" t="s">
        <v>444</v>
      </c>
      <c r="CF831" s="15" t="s">
        <v>444</v>
      </c>
      <c r="CI831" s="15" t="s">
        <v>444</v>
      </c>
      <c r="CK831" s="15" t="s">
        <v>444</v>
      </c>
      <c r="CM831" s="15" t="s">
        <v>444</v>
      </c>
      <c r="CO831" s="15" t="s">
        <v>444</v>
      </c>
      <c r="CP831" s="15" t="str">
        <f t="shared" ref="CP831:CP832" si="1436">"11.16"</f>
        <v>11.16</v>
      </c>
      <c r="CQ831" s="15" t="str">
        <f t="shared" ref="CQ831:CQ832" si="1437">"0.316"</f>
        <v>0.316</v>
      </c>
      <c r="CR831" s="15" t="s">
        <v>465</v>
      </c>
      <c r="DC831" s="15" t="str">
        <f>IFERROR(__xludf.DUMMYFUNCTION("""COMPUTED_VALUE"""),"")</f>
        <v/>
      </c>
      <c r="DE831" s="15" t="str">
        <f>IFERROR(__xludf.DUMMYFUNCTION("""COMPUTED_VALUE"""),"")</f>
        <v/>
      </c>
      <c r="DG831" s="15" t="str">
        <f>IFERROR(__xludf.DUMMYFUNCTION("""COMPUTED_VALUE"""),"")</f>
        <v/>
      </c>
      <c r="DL831" s="15" t="str">
        <f>IFERROR(__xludf.DUMMYFUNCTION("""COMPUTED_VALUE"""),"")</f>
        <v/>
      </c>
      <c r="DM831" s="15" t="s">
        <v>444</v>
      </c>
      <c r="DN831" s="15" t="s">
        <v>419</v>
      </c>
      <c r="DO831" s="15">
        <v>0.0</v>
      </c>
      <c r="DP831" s="15" t="s">
        <v>419</v>
      </c>
      <c r="DR831" s="15">
        <v>0.0</v>
      </c>
      <c r="DT831" s="15" t="s">
        <v>1111</v>
      </c>
      <c r="DU831" s="15" t="s">
        <v>419</v>
      </c>
      <c r="DY831" s="15">
        <v>0.0</v>
      </c>
      <c r="EF831" s="15" t="s">
        <v>1157</v>
      </c>
      <c r="EG831" s="15" t="s">
        <v>1158</v>
      </c>
      <c r="EH831" s="15" t="s">
        <v>8702</v>
      </c>
      <c r="EJ831" s="15" t="s">
        <v>500</v>
      </c>
      <c r="EK831" s="15" t="s">
        <v>501</v>
      </c>
      <c r="EM831" s="15" t="str">
        <f>IFERROR(__xludf.DUMMYFUNCTION("""COMPUTED_VALUE"""),"")</f>
        <v/>
      </c>
      <c r="EW831" s="15" t="s">
        <v>2638</v>
      </c>
      <c r="FH831" s="15" t="s">
        <v>2402</v>
      </c>
      <c r="FI831" s="15" t="s">
        <v>2732</v>
      </c>
      <c r="FJ831" s="15" t="s">
        <v>1807</v>
      </c>
      <c r="FK831" s="15" t="s">
        <v>2638</v>
      </c>
      <c r="FM831" s="15">
        <v>0.0</v>
      </c>
      <c r="FN831" s="15">
        <v>0.0</v>
      </c>
      <c r="FW831" s="15" t="s">
        <v>1236</v>
      </c>
    </row>
    <row r="832" ht="15.75" customHeight="1">
      <c r="A832" s="14" t="s">
        <v>391</v>
      </c>
      <c r="B832" s="15" t="s">
        <v>8695</v>
      </c>
      <c r="C832" s="16"/>
      <c r="D832" s="15" t="s">
        <v>432</v>
      </c>
      <c r="G832" s="14" t="s">
        <v>393</v>
      </c>
      <c r="H832" s="14" t="s">
        <v>394</v>
      </c>
      <c r="I832" s="14" t="b">
        <v>1</v>
      </c>
      <c r="J832" s="14" t="s">
        <v>395</v>
      </c>
      <c r="L832" s="14" t="b">
        <v>0</v>
      </c>
      <c r="M832" s="15" t="s">
        <v>8703</v>
      </c>
      <c r="N832" s="14" t="s">
        <v>393</v>
      </c>
      <c r="O832" s="14" t="s">
        <v>393</v>
      </c>
      <c r="P832" s="15" t="s">
        <v>397</v>
      </c>
      <c r="Q832" s="15" t="s">
        <v>8704</v>
      </c>
      <c r="T832" s="14" t="b">
        <v>0</v>
      </c>
      <c r="U832" s="15" t="s">
        <v>8705</v>
      </c>
      <c r="V832" s="15" t="s">
        <v>8699</v>
      </c>
      <c r="W832" s="15" t="s">
        <v>401</v>
      </c>
      <c r="X832" s="15" t="s">
        <v>1296</v>
      </c>
      <c r="Y832" s="15">
        <v>611.0</v>
      </c>
      <c r="AA832" s="15" t="str">
        <f t="shared" si="1431"/>
        <v>235</v>
      </c>
      <c r="AB832" s="14" t="b">
        <v>1</v>
      </c>
      <c r="AC832" s="14" t="b">
        <v>1</v>
      </c>
      <c r="AD832" s="15" t="str">
        <f>"801542979775"</f>
        <v>801542979775</v>
      </c>
      <c r="AE832" s="15" t="s">
        <v>8706</v>
      </c>
      <c r="AF832" s="14" t="s">
        <v>404</v>
      </c>
      <c r="AG832" s="14" t="s">
        <v>405</v>
      </c>
      <c r="AH832" s="14" t="s">
        <v>406</v>
      </c>
      <c r="AI832" s="15">
        <v>0.0</v>
      </c>
      <c r="AL832" s="15" t="s">
        <v>2689</v>
      </c>
      <c r="AM832" s="15" t="s">
        <v>1561</v>
      </c>
      <c r="AN832" s="15" t="s">
        <v>1562</v>
      </c>
      <c r="AO832" s="15" t="s">
        <v>1561</v>
      </c>
      <c r="AP832" s="15" t="s">
        <v>1562</v>
      </c>
      <c r="AQ832" s="15" t="s">
        <v>1177</v>
      </c>
      <c r="AR832" s="15" t="s">
        <v>1178</v>
      </c>
      <c r="AS832" s="15" t="s">
        <v>2677</v>
      </c>
      <c r="AT832" s="15" t="s">
        <v>8704</v>
      </c>
      <c r="AW832" s="15" t="s">
        <v>1154</v>
      </c>
      <c r="AY832" s="15" t="s">
        <v>413</v>
      </c>
      <c r="AZ832" s="15" t="b">
        <v>0</v>
      </c>
      <c r="BA832" s="15" t="s">
        <v>413</v>
      </c>
      <c r="BB832" s="15" t="b">
        <v>0</v>
      </c>
      <c r="BC832" s="15" t="s">
        <v>8707</v>
      </c>
      <c r="BD832" s="15" t="s">
        <v>1303</v>
      </c>
      <c r="BE832" s="15" t="str">
        <f t="shared" si="1430"/>
        <v>1</v>
      </c>
      <c r="BF832" s="15" t="s">
        <v>416</v>
      </c>
      <c r="BG832" s="15" t="str">
        <f t="shared" si="1432"/>
        <v>26</v>
      </c>
      <c r="BH832" s="15" t="s">
        <v>1176</v>
      </c>
      <c r="BI832" s="15" t="str">
        <f t="shared" si="1433"/>
        <v>26</v>
      </c>
      <c r="BJ832" s="15" t="s">
        <v>1176</v>
      </c>
      <c r="BK832" s="15" t="str">
        <f t="shared" si="1434"/>
        <v>28.5</v>
      </c>
      <c r="BL832" s="15" t="s">
        <v>2013</v>
      </c>
      <c r="BM832" s="15" t="str">
        <f t="shared" si="1435"/>
        <v>45.19</v>
      </c>
      <c r="BN832" s="15" t="s">
        <v>3375</v>
      </c>
      <c r="BQ832" s="15" t="s">
        <v>444</v>
      </c>
      <c r="BS832" s="15" t="s">
        <v>444</v>
      </c>
      <c r="BU832" s="15" t="s">
        <v>444</v>
      </c>
      <c r="BW832" s="15" t="s">
        <v>444</v>
      </c>
      <c r="BZ832" s="15" t="s">
        <v>444</v>
      </c>
      <c r="CB832" s="15" t="s">
        <v>444</v>
      </c>
      <c r="CD832" s="15" t="s">
        <v>444</v>
      </c>
      <c r="CF832" s="15" t="s">
        <v>444</v>
      </c>
      <c r="CI832" s="15" t="s">
        <v>444</v>
      </c>
      <c r="CK832" s="15" t="s">
        <v>444</v>
      </c>
      <c r="CM832" s="15" t="s">
        <v>444</v>
      </c>
      <c r="CO832" s="15" t="s">
        <v>444</v>
      </c>
      <c r="CP832" s="15" t="str">
        <f t="shared" si="1436"/>
        <v>11.16</v>
      </c>
      <c r="CQ832" s="15" t="str">
        <f t="shared" si="1437"/>
        <v>0.316</v>
      </c>
      <c r="CR832" s="15" t="s">
        <v>465</v>
      </c>
      <c r="DC832" s="15" t="str">
        <f>IFERROR(__xludf.DUMMYFUNCTION("""COMPUTED_VALUE"""),"")</f>
        <v/>
      </c>
      <c r="DE832" s="15" t="str">
        <f>IFERROR(__xludf.DUMMYFUNCTION("""COMPUTED_VALUE"""),"")</f>
        <v/>
      </c>
      <c r="DG832" s="15" t="str">
        <f>IFERROR(__xludf.DUMMYFUNCTION("""COMPUTED_VALUE"""),"")</f>
        <v/>
      </c>
      <c r="DL832" s="15" t="str">
        <f>IFERROR(__xludf.DUMMYFUNCTION("""COMPUTED_VALUE"""),"")</f>
        <v/>
      </c>
      <c r="DM832" s="15" t="s">
        <v>444</v>
      </c>
      <c r="DN832" s="15" t="s">
        <v>419</v>
      </c>
      <c r="DO832" s="15">
        <v>0.0</v>
      </c>
      <c r="DP832" s="15" t="s">
        <v>419</v>
      </c>
      <c r="DR832" s="15">
        <v>0.0</v>
      </c>
      <c r="DT832" s="15" t="s">
        <v>1111</v>
      </c>
      <c r="DU832" s="15" t="s">
        <v>419</v>
      </c>
      <c r="DY832" s="15">
        <v>0.0</v>
      </c>
      <c r="EF832" s="15" t="s">
        <v>1157</v>
      </c>
      <c r="EG832" s="15" t="s">
        <v>1158</v>
      </c>
      <c r="EH832" s="15" t="s">
        <v>8702</v>
      </c>
      <c r="EJ832" s="15" t="s">
        <v>500</v>
      </c>
      <c r="EK832" s="15" t="s">
        <v>501</v>
      </c>
      <c r="EM832" s="15" t="str">
        <f>IFERROR(__xludf.DUMMYFUNCTION("""COMPUTED_VALUE"""),"")</f>
        <v/>
      </c>
      <c r="EW832" s="15" t="s">
        <v>2638</v>
      </c>
      <c r="FH832" s="15" t="s">
        <v>2402</v>
      </c>
      <c r="FI832" s="15" t="s">
        <v>2732</v>
      </c>
      <c r="FJ832" s="15" t="s">
        <v>1807</v>
      </c>
      <c r="FK832" s="15" t="s">
        <v>2638</v>
      </c>
      <c r="FM832" s="15">
        <v>0.0</v>
      </c>
      <c r="FN832" s="15">
        <v>0.0</v>
      </c>
      <c r="FW832" s="15" t="s">
        <v>1236</v>
      </c>
    </row>
    <row r="833" ht="15.75" customHeight="1">
      <c r="A833" s="14" t="s">
        <v>391</v>
      </c>
      <c r="B833" s="15" t="s">
        <v>8708</v>
      </c>
      <c r="C833" s="16"/>
      <c r="D833" s="15" t="s">
        <v>432</v>
      </c>
      <c r="G833" s="14" t="s">
        <v>393</v>
      </c>
      <c r="H833" s="14" t="s">
        <v>394</v>
      </c>
      <c r="I833" s="14" t="b">
        <v>1</v>
      </c>
      <c r="J833" s="14" t="s">
        <v>395</v>
      </c>
      <c r="L833" s="14" t="b">
        <v>0</v>
      </c>
      <c r="M833" s="15" t="s">
        <v>8709</v>
      </c>
      <c r="N833" s="14" t="s">
        <v>393</v>
      </c>
      <c r="O833" s="14" t="s">
        <v>393</v>
      </c>
      <c r="P833" s="15" t="s">
        <v>397</v>
      </c>
      <c r="Q833" s="15" t="s">
        <v>4875</v>
      </c>
      <c r="T833" s="14" t="b">
        <v>0</v>
      </c>
      <c r="U833" s="15" t="s">
        <v>8710</v>
      </c>
      <c r="V833" s="15" t="s">
        <v>7505</v>
      </c>
      <c r="W833" s="15" t="s">
        <v>401</v>
      </c>
      <c r="X833" s="15" t="s">
        <v>742</v>
      </c>
      <c r="Y833" s="15">
        <v>2301.0</v>
      </c>
      <c r="AA833" s="15" t="str">
        <f t="shared" ref="AA833:AA835" si="1438">"885"</f>
        <v>885</v>
      </c>
      <c r="AB833" s="14" t="b">
        <v>1</v>
      </c>
      <c r="AC833" s="14" t="b">
        <v>1</v>
      </c>
      <c r="AD833" s="15" t="str">
        <f>"801542190477"</f>
        <v>801542190477</v>
      </c>
      <c r="AE833" s="15" t="s">
        <v>8711</v>
      </c>
      <c r="AF833" s="14" t="s">
        <v>404</v>
      </c>
      <c r="AG833" s="14" t="s">
        <v>405</v>
      </c>
      <c r="AH833" s="14" t="s">
        <v>406</v>
      </c>
      <c r="AI833" s="15">
        <v>0.0</v>
      </c>
      <c r="AL833" s="15" t="s">
        <v>2354</v>
      </c>
      <c r="AM833" s="15" t="s">
        <v>7508</v>
      </c>
      <c r="AN833" s="15" t="s">
        <v>7509</v>
      </c>
      <c r="AO833" s="15" t="s">
        <v>409</v>
      </c>
      <c r="AP833" s="15" t="s">
        <v>438</v>
      </c>
      <c r="AQ833" s="15" t="s">
        <v>1801</v>
      </c>
      <c r="AR833" s="15" t="s">
        <v>1322</v>
      </c>
      <c r="AS833" s="15" t="s">
        <v>2063</v>
      </c>
      <c r="AT833" s="15" t="s">
        <v>4875</v>
      </c>
      <c r="AW833" s="15" t="s">
        <v>412</v>
      </c>
      <c r="AY833" s="15" t="s">
        <v>413</v>
      </c>
      <c r="AZ833" s="15" t="b">
        <v>0</v>
      </c>
      <c r="BA833" s="15" t="s">
        <v>413</v>
      </c>
      <c r="BB833" s="15" t="b">
        <v>0</v>
      </c>
      <c r="BC833" s="15" t="s">
        <v>8712</v>
      </c>
      <c r="BD833" s="15" t="s">
        <v>742</v>
      </c>
      <c r="BE833" s="15" t="str">
        <f t="shared" si="1430"/>
        <v>1</v>
      </c>
      <c r="BF833" s="15" t="s">
        <v>416</v>
      </c>
      <c r="BG833" s="15" t="str">
        <f t="shared" ref="BG833:BG834" si="1439">"78.74"</f>
        <v>78.74</v>
      </c>
      <c r="BH833" s="15" t="s">
        <v>8713</v>
      </c>
      <c r="BI833" s="15" t="str">
        <f t="shared" ref="BI833:BI834" si="1440">"23.82"</f>
        <v>23.82</v>
      </c>
      <c r="BJ833" s="15" t="s">
        <v>8500</v>
      </c>
      <c r="BK833" s="15" t="str">
        <f t="shared" ref="BK833:BK834" si="1441">"38.39"</f>
        <v>38.39</v>
      </c>
      <c r="BL833" s="15" t="s">
        <v>1602</v>
      </c>
      <c r="BM833" s="15" t="str">
        <f t="shared" ref="BM833:BM834" si="1442">"304.24"</f>
        <v>304.24</v>
      </c>
      <c r="BN833" s="15" t="s">
        <v>5630</v>
      </c>
      <c r="BQ833" s="15" t="s">
        <v>444</v>
      </c>
      <c r="BS833" s="15" t="s">
        <v>444</v>
      </c>
      <c r="BU833" s="15" t="s">
        <v>444</v>
      </c>
      <c r="BW833" s="15" t="s">
        <v>444</v>
      </c>
      <c r="BZ833" s="15" t="s">
        <v>444</v>
      </c>
      <c r="CB833" s="15" t="s">
        <v>444</v>
      </c>
      <c r="CD833" s="15" t="s">
        <v>444</v>
      </c>
      <c r="CF833" s="15" t="s">
        <v>444</v>
      </c>
      <c r="CI833" s="15" t="s">
        <v>444</v>
      </c>
      <c r="CK833" s="15" t="s">
        <v>444</v>
      </c>
      <c r="CM833" s="15" t="s">
        <v>444</v>
      </c>
      <c r="CO833" s="15" t="s">
        <v>444</v>
      </c>
      <c r="CP833" s="15" t="str">
        <f t="shared" ref="CP833:CP834" si="1443">"41.67"</f>
        <v>41.67</v>
      </c>
      <c r="CQ833" s="15" t="str">
        <f t="shared" ref="CQ833:CQ834" si="1444">"1.18"</f>
        <v>1.18</v>
      </c>
      <c r="CR833" s="15" t="s">
        <v>497</v>
      </c>
      <c r="DC833" s="15" t="str">
        <f>IFERROR(__xludf.DUMMYFUNCTION("""COMPUTED_VALUE"""),"")</f>
        <v/>
      </c>
      <c r="DE833" s="15" t="str">
        <f>IFERROR(__xludf.DUMMYFUNCTION("""COMPUTED_VALUE"""),"")</f>
        <v/>
      </c>
      <c r="DG833" s="15" t="str">
        <f>IFERROR(__xludf.DUMMYFUNCTION("""COMPUTED_VALUE"""),"")</f>
        <v/>
      </c>
      <c r="DL833" s="15" t="str">
        <f>IFERROR(__xludf.DUMMYFUNCTION("""COMPUTED_VALUE"""),"")</f>
        <v/>
      </c>
      <c r="DM833" s="15" t="s">
        <v>444</v>
      </c>
      <c r="DN833" s="15" t="s">
        <v>1371</v>
      </c>
      <c r="DO833" s="15">
        <v>6.0</v>
      </c>
      <c r="DP833" s="15" t="s">
        <v>419</v>
      </c>
      <c r="DR833" s="15">
        <v>0.0</v>
      </c>
      <c r="DT833" s="15" t="s">
        <v>1186</v>
      </c>
      <c r="DU833" s="15" t="s">
        <v>421</v>
      </c>
      <c r="DY833" s="15">
        <v>0.0</v>
      </c>
      <c r="EF833" s="15" t="s">
        <v>422</v>
      </c>
      <c r="EG833" s="15" t="s">
        <v>445</v>
      </c>
      <c r="EH833" s="15" t="s">
        <v>8714</v>
      </c>
      <c r="EJ833" s="15" t="s">
        <v>424</v>
      </c>
      <c r="EK833" s="15" t="s">
        <v>446</v>
      </c>
      <c r="EM833" s="15" t="str">
        <f>IFERROR(__xludf.DUMMYFUNCTION("""COMPUTED_VALUE"""),"")</f>
        <v/>
      </c>
      <c r="EW833" s="15" t="s">
        <v>1955</v>
      </c>
      <c r="FL833" s="15" t="s">
        <v>426</v>
      </c>
      <c r="FM833" s="15">
        <v>0.0</v>
      </c>
      <c r="GH833" s="15">
        <v>0.0</v>
      </c>
      <c r="GI833" s="15" t="s">
        <v>427</v>
      </c>
      <c r="GQ833" s="15" t="s">
        <v>3781</v>
      </c>
      <c r="GS833" s="15" t="s">
        <v>1391</v>
      </c>
      <c r="GU833" s="15" t="s">
        <v>734</v>
      </c>
      <c r="GW833" s="15" t="s">
        <v>838</v>
      </c>
      <c r="GY833" s="15" t="s">
        <v>764</v>
      </c>
    </row>
    <row r="834" ht="15.75" customHeight="1">
      <c r="A834" s="14" t="s">
        <v>391</v>
      </c>
      <c r="B834" s="15" t="s">
        <v>8708</v>
      </c>
      <c r="C834" s="16"/>
      <c r="D834" s="15" t="s">
        <v>432</v>
      </c>
      <c r="G834" s="14" t="s">
        <v>393</v>
      </c>
      <c r="H834" s="14" t="s">
        <v>394</v>
      </c>
      <c r="I834" s="14" t="b">
        <v>1</v>
      </c>
      <c r="J834" s="14" t="s">
        <v>395</v>
      </c>
      <c r="L834" s="14" t="b">
        <v>0</v>
      </c>
      <c r="M834" s="15" t="s">
        <v>8715</v>
      </c>
      <c r="N834" s="14" t="s">
        <v>393</v>
      </c>
      <c r="O834" s="14" t="s">
        <v>393</v>
      </c>
      <c r="P834" s="15" t="s">
        <v>397</v>
      </c>
      <c r="Q834" s="15" t="s">
        <v>8716</v>
      </c>
      <c r="T834" s="14" t="b">
        <v>0</v>
      </c>
      <c r="U834" s="15" t="s">
        <v>8717</v>
      </c>
      <c r="V834" s="15" t="s">
        <v>7505</v>
      </c>
      <c r="W834" s="15" t="s">
        <v>401</v>
      </c>
      <c r="X834" s="15" t="s">
        <v>742</v>
      </c>
      <c r="Y834" s="15">
        <v>2301.0</v>
      </c>
      <c r="AA834" s="15" t="str">
        <f t="shared" si="1438"/>
        <v>885</v>
      </c>
      <c r="AB834" s="14" t="b">
        <v>1</v>
      </c>
      <c r="AC834" s="14" t="b">
        <v>1</v>
      </c>
      <c r="AD834" s="15" t="str">
        <f>"801542381950"</f>
        <v>801542381950</v>
      </c>
      <c r="AE834" s="15" t="s">
        <v>8718</v>
      </c>
      <c r="AF834" s="14" t="s">
        <v>404</v>
      </c>
      <c r="AG834" s="14" t="s">
        <v>405</v>
      </c>
      <c r="AH834" s="14" t="s">
        <v>406</v>
      </c>
      <c r="AI834" s="15">
        <v>0.0</v>
      </c>
      <c r="AL834" s="15" t="s">
        <v>2354</v>
      </c>
      <c r="AM834" s="15" t="s">
        <v>7508</v>
      </c>
      <c r="AN834" s="15" t="s">
        <v>7509</v>
      </c>
      <c r="AO834" s="15" t="s">
        <v>409</v>
      </c>
      <c r="AP834" s="15" t="s">
        <v>438</v>
      </c>
      <c r="AQ834" s="15" t="s">
        <v>1801</v>
      </c>
      <c r="AR834" s="15" t="s">
        <v>1322</v>
      </c>
      <c r="AS834" s="15" t="s">
        <v>2063</v>
      </c>
      <c r="AT834" s="15" t="s">
        <v>8716</v>
      </c>
      <c r="AW834" s="15" t="s">
        <v>412</v>
      </c>
      <c r="AY834" s="15" t="s">
        <v>413</v>
      </c>
      <c r="AZ834" s="15" t="b">
        <v>0</v>
      </c>
      <c r="BA834" s="15" t="s">
        <v>413</v>
      </c>
      <c r="BB834" s="15" t="b">
        <v>0</v>
      </c>
      <c r="BC834" s="15" t="s">
        <v>8719</v>
      </c>
      <c r="BD834" s="15" t="s">
        <v>742</v>
      </c>
      <c r="BE834" s="15" t="str">
        <f t="shared" si="1430"/>
        <v>1</v>
      </c>
      <c r="BF834" s="15" t="s">
        <v>416</v>
      </c>
      <c r="BG834" s="15" t="str">
        <f t="shared" si="1439"/>
        <v>78.74</v>
      </c>
      <c r="BH834" s="15" t="s">
        <v>8713</v>
      </c>
      <c r="BI834" s="15" t="str">
        <f t="shared" si="1440"/>
        <v>23.82</v>
      </c>
      <c r="BJ834" s="15" t="s">
        <v>8500</v>
      </c>
      <c r="BK834" s="15" t="str">
        <f t="shared" si="1441"/>
        <v>38.39</v>
      </c>
      <c r="BL834" s="15" t="s">
        <v>1602</v>
      </c>
      <c r="BM834" s="15" t="str">
        <f t="shared" si="1442"/>
        <v>304.24</v>
      </c>
      <c r="BN834" s="15" t="s">
        <v>5630</v>
      </c>
      <c r="BQ834" s="15" t="s">
        <v>444</v>
      </c>
      <c r="BS834" s="15" t="s">
        <v>444</v>
      </c>
      <c r="BU834" s="15" t="s">
        <v>444</v>
      </c>
      <c r="BW834" s="15" t="s">
        <v>444</v>
      </c>
      <c r="BZ834" s="15" t="s">
        <v>444</v>
      </c>
      <c r="CB834" s="15" t="s">
        <v>444</v>
      </c>
      <c r="CD834" s="15" t="s">
        <v>444</v>
      </c>
      <c r="CF834" s="15" t="s">
        <v>444</v>
      </c>
      <c r="CI834" s="15" t="s">
        <v>444</v>
      </c>
      <c r="CK834" s="15" t="s">
        <v>444</v>
      </c>
      <c r="CM834" s="15" t="s">
        <v>444</v>
      </c>
      <c r="CO834" s="15" t="s">
        <v>444</v>
      </c>
      <c r="CP834" s="15" t="str">
        <f t="shared" si="1443"/>
        <v>41.67</v>
      </c>
      <c r="CQ834" s="15" t="str">
        <f t="shared" si="1444"/>
        <v>1.18</v>
      </c>
      <c r="CR834" s="15" t="s">
        <v>465</v>
      </c>
      <c r="DC834" s="15" t="str">
        <f>IFERROR(__xludf.DUMMYFUNCTION("""COMPUTED_VALUE"""),"")</f>
        <v/>
      </c>
      <c r="DE834" s="15" t="str">
        <f>IFERROR(__xludf.DUMMYFUNCTION("""COMPUTED_VALUE"""),"")</f>
        <v/>
      </c>
      <c r="DG834" s="15" t="str">
        <f>IFERROR(__xludf.DUMMYFUNCTION("""COMPUTED_VALUE"""),"")</f>
        <v/>
      </c>
      <c r="DL834" s="15" t="str">
        <f>IFERROR(__xludf.DUMMYFUNCTION("""COMPUTED_VALUE"""),"")</f>
        <v/>
      </c>
      <c r="DM834" s="15" t="s">
        <v>444</v>
      </c>
      <c r="DN834" s="15" t="s">
        <v>1371</v>
      </c>
      <c r="DO834" s="15">
        <v>6.0</v>
      </c>
      <c r="DP834" s="15" t="s">
        <v>419</v>
      </c>
      <c r="DR834" s="15">
        <v>0.0</v>
      </c>
      <c r="DT834" s="15" t="s">
        <v>1186</v>
      </c>
      <c r="DU834" s="15" t="s">
        <v>421</v>
      </c>
      <c r="DY834" s="15">
        <v>0.0</v>
      </c>
      <c r="EF834" s="15" t="s">
        <v>422</v>
      </c>
      <c r="EG834" s="15" t="s">
        <v>445</v>
      </c>
      <c r="EH834" s="15" t="s">
        <v>8714</v>
      </c>
      <c r="EJ834" s="15" t="s">
        <v>424</v>
      </c>
      <c r="EK834" s="15" t="s">
        <v>446</v>
      </c>
      <c r="EM834" s="15" t="str">
        <f>IFERROR(__xludf.DUMMYFUNCTION("""COMPUTED_VALUE"""),"")</f>
        <v/>
      </c>
      <c r="EW834" s="15" t="s">
        <v>1955</v>
      </c>
      <c r="FL834" s="15" t="s">
        <v>426</v>
      </c>
      <c r="FM834" s="15">
        <v>0.0</v>
      </c>
      <c r="GH834" s="15">
        <v>0.0</v>
      </c>
      <c r="GI834" s="15" t="s">
        <v>427</v>
      </c>
      <c r="GQ834" s="15" t="s">
        <v>3781</v>
      </c>
      <c r="GS834" s="15" t="s">
        <v>1391</v>
      </c>
      <c r="GU834" s="15" t="s">
        <v>734</v>
      </c>
      <c r="GW834" s="15" t="s">
        <v>838</v>
      </c>
      <c r="GY834" s="15" t="s">
        <v>764</v>
      </c>
    </row>
    <row r="835" ht="15.75" customHeight="1">
      <c r="A835" s="14" t="s">
        <v>391</v>
      </c>
      <c r="B835" s="15" t="s">
        <v>8720</v>
      </c>
      <c r="C835" s="16"/>
      <c r="D835" s="15" t="s">
        <v>432</v>
      </c>
      <c r="G835" s="14" t="s">
        <v>393</v>
      </c>
      <c r="H835" s="14" t="s">
        <v>394</v>
      </c>
      <c r="I835" s="14" t="b">
        <v>1</v>
      </c>
      <c r="J835" s="14" t="s">
        <v>395</v>
      </c>
      <c r="L835" s="14" t="b">
        <v>0</v>
      </c>
      <c r="M835" s="15" t="s">
        <v>8721</v>
      </c>
      <c r="N835" s="14" t="s">
        <v>393</v>
      </c>
      <c r="O835" s="14" t="s">
        <v>393</v>
      </c>
      <c r="P835" s="15" t="s">
        <v>397</v>
      </c>
      <c r="Q835" s="15" t="s">
        <v>2365</v>
      </c>
      <c r="R835" s="15" t="s">
        <v>265</v>
      </c>
      <c r="S835" s="15" t="s">
        <v>877</v>
      </c>
      <c r="T835" s="14" t="b">
        <v>0</v>
      </c>
      <c r="U835" s="15" t="s">
        <v>8722</v>
      </c>
      <c r="V835" s="15" t="s">
        <v>3881</v>
      </c>
      <c r="W835" s="15" t="s">
        <v>401</v>
      </c>
      <c r="X835" s="15" t="s">
        <v>742</v>
      </c>
      <c r="Y835" s="15">
        <v>2301.0</v>
      </c>
      <c r="AA835" s="15" t="str">
        <f t="shared" si="1438"/>
        <v>885</v>
      </c>
      <c r="AB835" s="14" t="b">
        <v>1</v>
      </c>
      <c r="AC835" s="14" t="b">
        <v>1</v>
      </c>
      <c r="AD835" s="15" t="str">
        <f>"801542183851"</f>
        <v>801542183851</v>
      </c>
      <c r="AE835" s="15" t="s">
        <v>8723</v>
      </c>
      <c r="AF835" s="14" t="s">
        <v>404</v>
      </c>
      <c r="AG835" s="14" t="s">
        <v>405</v>
      </c>
      <c r="AH835" s="14" t="s">
        <v>406</v>
      </c>
      <c r="AI835" s="15">
        <v>0.0</v>
      </c>
      <c r="AL835" s="15" t="s">
        <v>8724</v>
      </c>
      <c r="AM835" s="15" t="s">
        <v>2479</v>
      </c>
      <c r="AN835" s="15" t="s">
        <v>2480</v>
      </c>
      <c r="AO835" s="15" t="s">
        <v>513</v>
      </c>
      <c r="AP835" s="15" t="s">
        <v>514</v>
      </c>
      <c r="AQ835" s="15" t="s">
        <v>2088</v>
      </c>
      <c r="AR835" s="15" t="s">
        <v>2089</v>
      </c>
      <c r="AS835" s="15" t="s">
        <v>2063</v>
      </c>
      <c r="AT835" s="15" t="s">
        <v>2365</v>
      </c>
      <c r="AU835" s="15" t="s">
        <v>4870</v>
      </c>
      <c r="AV835" s="15" t="s">
        <v>4875</v>
      </c>
      <c r="AW835" s="15" t="s">
        <v>839</v>
      </c>
      <c r="AX835" s="15" t="s">
        <v>877</v>
      </c>
      <c r="AY835" s="15" t="s">
        <v>413</v>
      </c>
      <c r="AZ835" s="15" t="b">
        <v>0</v>
      </c>
      <c r="BA835" s="15" t="s">
        <v>413</v>
      </c>
      <c r="BB835" s="15" t="b">
        <v>0</v>
      </c>
      <c r="BC835" s="15" t="s">
        <v>8725</v>
      </c>
      <c r="BD835" s="15" t="s">
        <v>742</v>
      </c>
      <c r="BE835" s="15" t="str">
        <f t="shared" ref="BE835:BE838" si="1445">"2"</f>
        <v>2</v>
      </c>
      <c r="BF835" s="15" t="s">
        <v>2455</v>
      </c>
      <c r="BG835" s="15" t="str">
        <f>"68.7"</f>
        <v>68.7</v>
      </c>
      <c r="BH835" s="15" t="s">
        <v>8726</v>
      </c>
      <c r="BI835" s="15" t="str">
        <f>"52.48"</f>
        <v>52.48</v>
      </c>
      <c r="BJ835" s="15" t="s">
        <v>8727</v>
      </c>
      <c r="BK835" s="15" t="str">
        <f>"11.42"</f>
        <v>11.42</v>
      </c>
      <c r="BL835" s="15" t="s">
        <v>853</v>
      </c>
      <c r="BM835" s="15" t="str">
        <f>"80.91"</f>
        <v>80.91</v>
      </c>
      <c r="BN835" s="15" t="s">
        <v>5183</v>
      </c>
      <c r="BO835" s="15" t="s">
        <v>8728</v>
      </c>
      <c r="BP835" s="15" t="str">
        <f t="shared" ref="BP835:BP838" si="1446">"84.96"</f>
        <v>84.96</v>
      </c>
      <c r="BQ835" s="15" t="s">
        <v>8729</v>
      </c>
      <c r="BR835" s="15" t="str">
        <f t="shared" ref="BR835:BR838" si="1447">"13.78"</f>
        <v>13.78</v>
      </c>
      <c r="BS835" s="15" t="s">
        <v>6566</v>
      </c>
      <c r="BT835" s="15" t="str">
        <f t="shared" ref="BT835:BT838" si="1448">"10.43"</f>
        <v>10.43</v>
      </c>
      <c r="BU835" s="15" t="s">
        <v>8730</v>
      </c>
      <c r="BV835" s="15" t="str">
        <f>"84.44"</f>
        <v>84.44</v>
      </c>
      <c r="BW835" s="15" t="s">
        <v>8731</v>
      </c>
      <c r="BZ835" s="15" t="s">
        <v>444</v>
      </c>
      <c r="CB835" s="15" t="s">
        <v>444</v>
      </c>
      <c r="CD835" s="15" t="s">
        <v>444</v>
      </c>
      <c r="CF835" s="15" t="s">
        <v>444</v>
      </c>
      <c r="CI835" s="15" t="s">
        <v>444</v>
      </c>
      <c r="CK835" s="15" t="s">
        <v>444</v>
      </c>
      <c r="CM835" s="15" t="s">
        <v>444</v>
      </c>
      <c r="CO835" s="15" t="s">
        <v>444</v>
      </c>
      <c r="CP835" s="15" t="str">
        <f>"30.9"</f>
        <v>30.9</v>
      </c>
      <c r="CQ835" s="15" t="str">
        <f>"0.875"</f>
        <v>0.875</v>
      </c>
      <c r="CR835" s="15" t="s">
        <v>465</v>
      </c>
      <c r="DC835" s="15" t="str">
        <f>IFERROR(__xludf.DUMMYFUNCTION("""COMPUTED_VALUE"""),"")</f>
        <v/>
      </c>
      <c r="DE835" s="15" t="str">
        <f>IFERROR(__xludf.DUMMYFUNCTION("""COMPUTED_VALUE"""),"")</f>
        <v/>
      </c>
      <c r="DG835" s="15" t="str">
        <f>IFERROR(__xludf.DUMMYFUNCTION("""COMPUTED_VALUE"""),"")</f>
        <v/>
      </c>
      <c r="DK835" s="15" t="s">
        <v>897</v>
      </c>
      <c r="DL835" s="15" t="str">
        <f>IFERROR(__xludf.DUMMYFUNCTION("""COMPUTED_VALUE"""),"Clean with water-based products only. Use mild detergent or upholstery shampoo.")</f>
        <v>Clean with water-based products only. Use mild detergent or upholstery shampoo.</v>
      </c>
      <c r="DM835" s="15" t="s">
        <v>898</v>
      </c>
      <c r="DN835" s="15" t="s">
        <v>419</v>
      </c>
      <c r="DO835" s="15">
        <v>0.0</v>
      </c>
      <c r="DP835" s="15" t="s">
        <v>419</v>
      </c>
      <c r="DR835" s="15">
        <v>0.0</v>
      </c>
      <c r="DT835" s="15" t="s">
        <v>1186</v>
      </c>
      <c r="DU835" s="15" t="s">
        <v>419</v>
      </c>
      <c r="DW835" s="15">
        <v>0.0</v>
      </c>
      <c r="DX835" s="15">
        <v>0.0</v>
      </c>
      <c r="DY835" s="15">
        <v>0.0</v>
      </c>
      <c r="DZ835" s="15">
        <v>27000.0</v>
      </c>
      <c r="EG835" s="15" t="s">
        <v>444</v>
      </c>
      <c r="EH835" s="15" t="s">
        <v>8714</v>
      </c>
      <c r="EJ835" s="15" t="s">
        <v>858</v>
      </c>
      <c r="EK835" s="15" t="s">
        <v>859</v>
      </c>
      <c r="EM835" s="15" t="str">
        <f>IFERROR(__xludf.DUMMYFUNCTION("""COMPUTED_VALUE"""),"")</f>
        <v/>
      </c>
      <c r="FM835" s="15">
        <v>0.0</v>
      </c>
      <c r="FS835" s="15" t="s">
        <v>938</v>
      </c>
      <c r="IM835" s="15" t="s">
        <v>429</v>
      </c>
      <c r="IN835" s="15" t="s">
        <v>429</v>
      </c>
      <c r="IO835" s="15" t="s">
        <v>429</v>
      </c>
      <c r="IP835" s="15" t="s">
        <v>1443</v>
      </c>
      <c r="IQ835" s="15" t="s">
        <v>1807</v>
      </c>
      <c r="IR835" s="15" t="s">
        <v>8732</v>
      </c>
      <c r="IS835" s="15" t="s">
        <v>5320</v>
      </c>
      <c r="IT835" s="15" t="s">
        <v>8733</v>
      </c>
      <c r="IU835" s="15" t="s">
        <v>8732</v>
      </c>
      <c r="IV835" s="15" t="s">
        <v>2971</v>
      </c>
      <c r="IW835" s="15" t="s">
        <v>4685</v>
      </c>
      <c r="IX835" s="15" t="s">
        <v>890</v>
      </c>
      <c r="IY835" s="15" t="s">
        <v>5304</v>
      </c>
      <c r="IZ835" s="15" t="s">
        <v>8734</v>
      </c>
      <c r="JA835" s="15" t="s">
        <v>1042</v>
      </c>
      <c r="JB835" s="15" t="s">
        <v>426</v>
      </c>
      <c r="JC835" s="15" t="s">
        <v>2973</v>
      </c>
      <c r="JD835" s="15" t="s">
        <v>872</v>
      </c>
      <c r="JE835" s="15" t="s">
        <v>873</v>
      </c>
      <c r="JF835" s="15" t="s">
        <v>877</v>
      </c>
      <c r="JL835" s="15" t="s">
        <v>759</v>
      </c>
      <c r="JM835" s="15" t="s">
        <v>939</v>
      </c>
      <c r="JO835" s="15" t="s">
        <v>426</v>
      </c>
      <c r="JP835" s="15" t="s">
        <v>2474</v>
      </c>
    </row>
    <row r="836" ht="15.75" customHeight="1">
      <c r="A836" s="14" t="s">
        <v>391</v>
      </c>
      <c r="B836" s="15" t="s">
        <v>8720</v>
      </c>
      <c r="C836" s="16"/>
      <c r="D836" s="15" t="s">
        <v>432</v>
      </c>
      <c r="G836" s="14" t="s">
        <v>393</v>
      </c>
      <c r="H836" s="14" t="s">
        <v>394</v>
      </c>
      <c r="I836" s="14" t="b">
        <v>1</v>
      </c>
      <c r="J836" s="14" t="s">
        <v>395</v>
      </c>
      <c r="L836" s="14" t="b">
        <v>0</v>
      </c>
      <c r="M836" s="15" t="s">
        <v>8735</v>
      </c>
      <c r="N836" s="14" t="s">
        <v>393</v>
      </c>
      <c r="O836" s="14" t="s">
        <v>393</v>
      </c>
      <c r="P836" s="15" t="s">
        <v>397</v>
      </c>
      <c r="Q836" s="15" t="s">
        <v>2365</v>
      </c>
      <c r="R836" s="15" t="s">
        <v>265</v>
      </c>
      <c r="S836" s="15" t="s">
        <v>828</v>
      </c>
      <c r="T836" s="14" t="b">
        <v>0</v>
      </c>
      <c r="U836" s="15" t="s">
        <v>8736</v>
      </c>
      <c r="V836" s="15" t="s">
        <v>8737</v>
      </c>
      <c r="W836" s="15" t="s">
        <v>401</v>
      </c>
      <c r="X836" s="15" t="s">
        <v>742</v>
      </c>
      <c r="Y836" s="15">
        <v>2522.0</v>
      </c>
      <c r="AA836" s="15" t="str">
        <f>"970"</f>
        <v>970</v>
      </c>
      <c r="AB836" s="14" t="b">
        <v>1</v>
      </c>
      <c r="AC836" s="14" t="b">
        <v>1</v>
      </c>
      <c r="AD836" s="15" t="str">
        <f>"801542183844"</f>
        <v>801542183844</v>
      </c>
      <c r="AE836" s="15" t="s">
        <v>8738</v>
      </c>
      <c r="AF836" s="14" t="s">
        <v>404</v>
      </c>
      <c r="AG836" s="14" t="s">
        <v>405</v>
      </c>
      <c r="AH836" s="14" t="s">
        <v>406</v>
      </c>
      <c r="AI836" s="15">
        <v>0.0</v>
      </c>
      <c r="AL836" s="15" t="s">
        <v>8724</v>
      </c>
      <c r="AM836" s="15" t="s">
        <v>6799</v>
      </c>
      <c r="AN836" s="15" t="s">
        <v>6800</v>
      </c>
      <c r="AO836" s="15" t="s">
        <v>513</v>
      </c>
      <c r="AP836" s="15" t="s">
        <v>514</v>
      </c>
      <c r="AQ836" s="15" t="s">
        <v>2088</v>
      </c>
      <c r="AR836" s="15" t="s">
        <v>2089</v>
      </c>
      <c r="AS836" s="15" t="s">
        <v>2063</v>
      </c>
      <c r="AT836" s="15" t="s">
        <v>2365</v>
      </c>
      <c r="AU836" s="15" t="s">
        <v>4870</v>
      </c>
      <c r="AV836" s="15" t="s">
        <v>4875</v>
      </c>
      <c r="AW836" s="15" t="s">
        <v>839</v>
      </c>
      <c r="AX836" s="15" t="s">
        <v>828</v>
      </c>
      <c r="AY836" s="15" t="s">
        <v>413</v>
      </c>
      <c r="AZ836" s="15" t="b">
        <v>0</v>
      </c>
      <c r="BA836" s="15" t="s">
        <v>413</v>
      </c>
      <c r="BB836" s="15" t="b">
        <v>0</v>
      </c>
      <c r="BC836" s="15" t="s">
        <v>8725</v>
      </c>
      <c r="BD836" s="15" t="s">
        <v>742</v>
      </c>
      <c r="BE836" s="15" t="str">
        <f t="shared" si="1445"/>
        <v>2</v>
      </c>
      <c r="BF836" s="15" t="s">
        <v>2455</v>
      </c>
      <c r="BG836" s="15" t="str">
        <f>"85.24"</f>
        <v>85.24</v>
      </c>
      <c r="BH836" s="15" t="s">
        <v>847</v>
      </c>
      <c r="BI836" s="15" t="str">
        <f>"53.15"</f>
        <v>53.15</v>
      </c>
      <c r="BJ836" s="15" t="s">
        <v>6302</v>
      </c>
      <c r="BK836" s="15" t="str">
        <f>"11.22"</f>
        <v>11.22</v>
      </c>
      <c r="BL836" s="15" t="s">
        <v>848</v>
      </c>
      <c r="BM836" s="15" t="str">
        <f>"103.62"</f>
        <v>103.62</v>
      </c>
      <c r="BN836" s="15" t="s">
        <v>2045</v>
      </c>
      <c r="BO836" s="15" t="s">
        <v>8739</v>
      </c>
      <c r="BP836" s="15" t="str">
        <f t="shared" si="1446"/>
        <v>84.96</v>
      </c>
      <c r="BQ836" s="15" t="s">
        <v>8729</v>
      </c>
      <c r="BR836" s="15" t="str">
        <f t="shared" si="1447"/>
        <v>13.78</v>
      </c>
      <c r="BS836" s="15" t="s">
        <v>6566</v>
      </c>
      <c r="BT836" s="15" t="str">
        <f t="shared" si="1448"/>
        <v>10.43</v>
      </c>
      <c r="BU836" s="15" t="s">
        <v>8730</v>
      </c>
      <c r="BV836" s="15" t="str">
        <f>"99.21"</f>
        <v>99.21</v>
      </c>
      <c r="BW836" s="15" t="s">
        <v>1507</v>
      </c>
      <c r="BZ836" s="15" t="s">
        <v>444</v>
      </c>
      <c r="CB836" s="15" t="s">
        <v>444</v>
      </c>
      <c r="CD836" s="15" t="s">
        <v>444</v>
      </c>
      <c r="CF836" s="15" t="s">
        <v>444</v>
      </c>
      <c r="CI836" s="15" t="s">
        <v>444</v>
      </c>
      <c r="CK836" s="15" t="s">
        <v>444</v>
      </c>
      <c r="CM836" s="15" t="s">
        <v>444</v>
      </c>
      <c r="CO836" s="15" t="s">
        <v>444</v>
      </c>
      <c r="CP836" s="15" t="str">
        <f>"36.48"</f>
        <v>36.48</v>
      </c>
      <c r="CQ836" s="15" t="str">
        <f>"1.033"</f>
        <v>1.033</v>
      </c>
      <c r="CR836" s="15" t="s">
        <v>465</v>
      </c>
      <c r="DC836" s="15" t="str">
        <f>IFERROR(__xludf.DUMMYFUNCTION("""COMPUTED_VALUE"""),"")</f>
        <v/>
      </c>
      <c r="DE836" s="15" t="str">
        <f>IFERROR(__xludf.DUMMYFUNCTION("""COMPUTED_VALUE"""),"")</f>
        <v/>
      </c>
      <c r="DG836" s="15" t="str">
        <f>IFERROR(__xludf.DUMMYFUNCTION("""COMPUTED_VALUE"""),"")</f>
        <v/>
      </c>
      <c r="DK836" s="15" t="s">
        <v>897</v>
      </c>
      <c r="DL836" s="15" t="str">
        <f>IFERROR(__xludf.DUMMYFUNCTION("""COMPUTED_VALUE"""),"Clean with water-based products only. Use mild detergent or upholstery shampoo.")</f>
        <v>Clean with water-based products only. Use mild detergent or upholstery shampoo.</v>
      </c>
      <c r="DM836" s="15" t="s">
        <v>898</v>
      </c>
      <c r="DN836" s="15" t="s">
        <v>419</v>
      </c>
      <c r="DO836" s="15">
        <v>0.0</v>
      </c>
      <c r="DP836" s="15" t="s">
        <v>419</v>
      </c>
      <c r="DR836" s="15">
        <v>0.0</v>
      </c>
      <c r="DT836" s="15" t="s">
        <v>1186</v>
      </c>
      <c r="DU836" s="15" t="s">
        <v>419</v>
      </c>
      <c r="DW836" s="15">
        <v>0.0</v>
      </c>
      <c r="DX836" s="15">
        <v>0.0</v>
      </c>
      <c r="DY836" s="15">
        <v>0.0</v>
      </c>
      <c r="DZ836" s="15">
        <v>27000.0</v>
      </c>
      <c r="EG836" s="15" t="s">
        <v>444</v>
      </c>
      <c r="EH836" s="15" t="s">
        <v>8714</v>
      </c>
      <c r="EJ836" s="15" t="s">
        <v>858</v>
      </c>
      <c r="EK836" s="15" t="s">
        <v>859</v>
      </c>
      <c r="EM836" s="15" t="str">
        <f>IFERROR(__xludf.DUMMYFUNCTION("""COMPUTED_VALUE"""),"")</f>
        <v/>
      </c>
      <c r="FM836" s="15">
        <v>0.0</v>
      </c>
      <c r="FS836" s="15" t="s">
        <v>938</v>
      </c>
      <c r="IM836" s="15" t="s">
        <v>429</v>
      </c>
      <c r="IN836" s="15" t="s">
        <v>429</v>
      </c>
      <c r="IO836" s="15" t="s">
        <v>429</v>
      </c>
      <c r="IP836" s="15" t="s">
        <v>1443</v>
      </c>
      <c r="IQ836" s="15" t="s">
        <v>1807</v>
      </c>
      <c r="IR836" s="15" t="s">
        <v>8740</v>
      </c>
      <c r="IS836" s="15" t="s">
        <v>5320</v>
      </c>
      <c r="IT836" s="15" t="s">
        <v>8733</v>
      </c>
      <c r="IU836" s="15" t="s">
        <v>8740</v>
      </c>
      <c r="IV836" s="15" t="s">
        <v>2971</v>
      </c>
      <c r="IW836" s="15" t="s">
        <v>4685</v>
      </c>
      <c r="IX836" s="15" t="s">
        <v>869</v>
      </c>
      <c r="IY836" s="15" t="s">
        <v>5304</v>
      </c>
      <c r="IZ836" s="15" t="s">
        <v>8734</v>
      </c>
      <c r="JA836" s="15" t="s">
        <v>1042</v>
      </c>
      <c r="JB836" s="15" t="s">
        <v>426</v>
      </c>
      <c r="JC836" s="15" t="s">
        <v>2973</v>
      </c>
      <c r="JD836" s="15" t="s">
        <v>872</v>
      </c>
      <c r="JE836" s="15" t="s">
        <v>873</v>
      </c>
      <c r="JF836" s="15" t="s">
        <v>828</v>
      </c>
      <c r="JL836" s="15" t="s">
        <v>759</v>
      </c>
      <c r="JM836" s="15" t="s">
        <v>939</v>
      </c>
      <c r="JO836" s="15" t="s">
        <v>426</v>
      </c>
      <c r="JP836" s="15" t="s">
        <v>2474</v>
      </c>
    </row>
    <row r="837" ht="15.75" customHeight="1">
      <c r="A837" s="14" t="s">
        <v>391</v>
      </c>
      <c r="B837" s="15" t="s">
        <v>8720</v>
      </c>
      <c r="C837" s="16"/>
      <c r="D837" s="15" t="s">
        <v>432</v>
      </c>
      <c r="G837" s="14" t="s">
        <v>393</v>
      </c>
      <c r="H837" s="14" t="s">
        <v>394</v>
      </c>
      <c r="I837" s="14" t="b">
        <v>1</v>
      </c>
      <c r="J837" s="14" t="s">
        <v>395</v>
      </c>
      <c r="L837" s="14" t="b">
        <v>0</v>
      </c>
      <c r="M837" s="15" t="s">
        <v>8741</v>
      </c>
      <c r="N837" s="14" t="s">
        <v>393</v>
      </c>
      <c r="O837" s="14" t="s">
        <v>393</v>
      </c>
      <c r="P837" s="15" t="s">
        <v>397</v>
      </c>
      <c r="Q837" s="15" t="s">
        <v>1658</v>
      </c>
      <c r="R837" s="15" t="s">
        <v>265</v>
      </c>
      <c r="S837" s="15" t="s">
        <v>877</v>
      </c>
      <c r="T837" s="14" t="b">
        <v>0</v>
      </c>
      <c r="U837" s="15" t="s">
        <v>8742</v>
      </c>
      <c r="V837" s="15" t="s">
        <v>3881</v>
      </c>
      <c r="W837" s="15" t="s">
        <v>401</v>
      </c>
      <c r="X837" s="15" t="s">
        <v>742</v>
      </c>
      <c r="Y837" s="15">
        <v>2678.0</v>
      </c>
      <c r="AA837" s="15" t="str">
        <f>"1030"</f>
        <v>1030</v>
      </c>
      <c r="AB837" s="14" t="b">
        <v>1</v>
      </c>
      <c r="AC837" s="14" t="b">
        <v>1</v>
      </c>
      <c r="AD837" s="15" t="str">
        <f>"801542381974"</f>
        <v>801542381974</v>
      </c>
      <c r="AE837" s="15" t="s">
        <v>8743</v>
      </c>
      <c r="AF837" s="14" t="s">
        <v>404</v>
      </c>
      <c r="AG837" s="14" t="s">
        <v>405</v>
      </c>
      <c r="AH837" s="14" t="s">
        <v>406</v>
      </c>
      <c r="AI837" s="15">
        <v>0.0</v>
      </c>
      <c r="AL837" s="15" t="s">
        <v>8744</v>
      </c>
      <c r="AM837" s="15" t="s">
        <v>2479</v>
      </c>
      <c r="AN837" s="15" t="s">
        <v>2480</v>
      </c>
      <c r="AO837" s="15" t="s">
        <v>513</v>
      </c>
      <c r="AP837" s="15" t="s">
        <v>514</v>
      </c>
      <c r="AQ837" s="15" t="s">
        <v>2088</v>
      </c>
      <c r="AR837" s="15" t="s">
        <v>2089</v>
      </c>
      <c r="AS837" s="15" t="s">
        <v>2063</v>
      </c>
      <c r="AT837" s="15" t="s">
        <v>1658</v>
      </c>
      <c r="AU837" s="15" t="s">
        <v>4870</v>
      </c>
      <c r="AV837" s="15" t="s">
        <v>4875</v>
      </c>
      <c r="AW837" s="15" t="s">
        <v>839</v>
      </c>
      <c r="AX837" s="15" t="s">
        <v>877</v>
      </c>
      <c r="AY837" s="15" t="s">
        <v>413</v>
      </c>
      <c r="AZ837" s="15" t="b">
        <v>0</v>
      </c>
      <c r="BA837" s="15" t="s">
        <v>413</v>
      </c>
      <c r="BB837" s="15" t="b">
        <v>0</v>
      </c>
      <c r="BC837" s="15" t="s">
        <v>8745</v>
      </c>
      <c r="BD837" s="15" t="s">
        <v>742</v>
      </c>
      <c r="BE837" s="15" t="str">
        <f t="shared" si="1445"/>
        <v>2</v>
      </c>
      <c r="BF837" s="15" t="s">
        <v>2455</v>
      </c>
      <c r="BG837" s="15" t="str">
        <f>"68.7"</f>
        <v>68.7</v>
      </c>
      <c r="BH837" s="15" t="s">
        <v>8726</v>
      </c>
      <c r="BI837" s="15" t="str">
        <f>"52.48"</f>
        <v>52.48</v>
      </c>
      <c r="BJ837" s="15" t="s">
        <v>8727</v>
      </c>
      <c r="BK837" s="15" t="str">
        <f>"11.42"</f>
        <v>11.42</v>
      </c>
      <c r="BL837" s="15" t="s">
        <v>853</v>
      </c>
      <c r="BM837" s="15" t="str">
        <f>"80.91"</f>
        <v>80.91</v>
      </c>
      <c r="BN837" s="15" t="s">
        <v>5183</v>
      </c>
      <c r="BO837" s="15" t="s">
        <v>8739</v>
      </c>
      <c r="BP837" s="15" t="str">
        <f t="shared" si="1446"/>
        <v>84.96</v>
      </c>
      <c r="BQ837" s="15" t="s">
        <v>8729</v>
      </c>
      <c r="BR837" s="15" t="str">
        <f t="shared" si="1447"/>
        <v>13.78</v>
      </c>
      <c r="BS837" s="15" t="s">
        <v>6566</v>
      </c>
      <c r="BT837" s="15" t="str">
        <f t="shared" si="1448"/>
        <v>10.43</v>
      </c>
      <c r="BU837" s="15" t="s">
        <v>8730</v>
      </c>
      <c r="BV837" s="15" t="str">
        <f>"84.44"</f>
        <v>84.44</v>
      </c>
      <c r="BW837" s="15" t="s">
        <v>8731</v>
      </c>
      <c r="BZ837" s="15" t="s">
        <v>444</v>
      </c>
      <c r="CB837" s="15" t="s">
        <v>444</v>
      </c>
      <c r="CD837" s="15" t="s">
        <v>444</v>
      </c>
      <c r="CF837" s="15" t="s">
        <v>444</v>
      </c>
      <c r="CI837" s="15" t="s">
        <v>444</v>
      </c>
      <c r="CK837" s="15" t="s">
        <v>444</v>
      </c>
      <c r="CM837" s="15" t="s">
        <v>444</v>
      </c>
      <c r="CO837" s="15" t="s">
        <v>444</v>
      </c>
      <c r="CP837" s="15" t="str">
        <f>"30.9"</f>
        <v>30.9</v>
      </c>
      <c r="CQ837" s="15" t="str">
        <f>"0.875"</f>
        <v>0.875</v>
      </c>
      <c r="CR837" s="15" t="s">
        <v>497</v>
      </c>
      <c r="DC837" s="15" t="str">
        <f>IFERROR(__xludf.DUMMYFUNCTION("""COMPUTED_VALUE"""),"")</f>
        <v/>
      </c>
      <c r="DE837" s="15" t="str">
        <f>IFERROR(__xludf.DUMMYFUNCTION("""COMPUTED_VALUE"""),"")</f>
        <v/>
      </c>
      <c r="DG837" s="15" t="str">
        <f>IFERROR(__xludf.DUMMYFUNCTION("""COMPUTED_VALUE"""),"")</f>
        <v/>
      </c>
      <c r="DK837" s="15" t="s">
        <v>718</v>
      </c>
      <c r="DL837" s="15" t="str">
        <f>IFERROR(__xludf.DUMMYFUNCTION("""COMPUTED_VALUE"""),"Vacuum or light brush only. Do not use water or any cleaning products.")</f>
        <v>Vacuum or light brush only. Do not use water or any cleaning products.</v>
      </c>
      <c r="DM837" s="15" t="s">
        <v>719</v>
      </c>
      <c r="DN837" s="15" t="s">
        <v>419</v>
      </c>
      <c r="DO837" s="15">
        <v>0.0</v>
      </c>
      <c r="DP837" s="15" t="s">
        <v>419</v>
      </c>
      <c r="DR837" s="15">
        <v>0.0</v>
      </c>
      <c r="DT837" s="15" t="s">
        <v>1186</v>
      </c>
      <c r="DU837" s="15" t="s">
        <v>419</v>
      </c>
      <c r="DW837" s="15">
        <v>0.0</v>
      </c>
      <c r="DX837" s="15">
        <v>0.0</v>
      </c>
      <c r="DY837" s="15">
        <v>0.0</v>
      </c>
      <c r="DZ837" s="15">
        <v>0.0</v>
      </c>
      <c r="EG837" s="15" t="s">
        <v>444</v>
      </c>
      <c r="EH837" s="15" t="s">
        <v>8714</v>
      </c>
      <c r="EJ837" s="15" t="s">
        <v>858</v>
      </c>
      <c r="EK837" s="15" t="s">
        <v>859</v>
      </c>
      <c r="EM837" s="15" t="str">
        <f>IFERROR(__xludf.DUMMYFUNCTION("""COMPUTED_VALUE"""),"")</f>
        <v/>
      </c>
      <c r="FM837" s="15">
        <v>0.0</v>
      </c>
      <c r="FS837" s="15" t="s">
        <v>938</v>
      </c>
      <c r="IM837" s="15" t="s">
        <v>429</v>
      </c>
      <c r="IN837" s="15" t="s">
        <v>429</v>
      </c>
      <c r="IO837" s="15" t="s">
        <v>429</v>
      </c>
      <c r="IP837" s="15" t="s">
        <v>1443</v>
      </c>
      <c r="IQ837" s="15" t="s">
        <v>1807</v>
      </c>
      <c r="IR837" s="15" t="s">
        <v>8732</v>
      </c>
      <c r="IS837" s="15" t="s">
        <v>5320</v>
      </c>
      <c r="IT837" s="15" t="s">
        <v>8733</v>
      </c>
      <c r="IU837" s="15" t="s">
        <v>8732</v>
      </c>
      <c r="IV837" s="15" t="s">
        <v>2971</v>
      </c>
      <c r="IW837" s="15" t="s">
        <v>4685</v>
      </c>
      <c r="IX837" s="15" t="s">
        <v>890</v>
      </c>
      <c r="IY837" s="15" t="s">
        <v>5304</v>
      </c>
      <c r="IZ837" s="15" t="s">
        <v>8734</v>
      </c>
      <c r="JA837" s="15" t="s">
        <v>1042</v>
      </c>
      <c r="JB837" s="15" t="s">
        <v>426</v>
      </c>
      <c r="JC837" s="15" t="s">
        <v>2973</v>
      </c>
      <c r="JD837" s="15" t="s">
        <v>872</v>
      </c>
      <c r="JE837" s="15" t="s">
        <v>873</v>
      </c>
      <c r="JF837" s="15" t="s">
        <v>877</v>
      </c>
      <c r="JL837" s="15" t="s">
        <v>759</v>
      </c>
      <c r="JM837" s="15" t="s">
        <v>939</v>
      </c>
      <c r="JO837" s="15" t="s">
        <v>426</v>
      </c>
      <c r="JP837" s="15" t="s">
        <v>2474</v>
      </c>
    </row>
    <row r="838" ht="15.75" customHeight="1">
      <c r="A838" s="14" t="s">
        <v>391</v>
      </c>
      <c r="B838" s="15" t="s">
        <v>8720</v>
      </c>
      <c r="C838" s="16"/>
      <c r="D838" s="15" t="s">
        <v>432</v>
      </c>
      <c r="G838" s="14" t="s">
        <v>393</v>
      </c>
      <c r="H838" s="14" t="s">
        <v>394</v>
      </c>
      <c r="I838" s="14" t="b">
        <v>1</v>
      </c>
      <c r="J838" s="14" t="s">
        <v>395</v>
      </c>
      <c r="L838" s="14" t="b">
        <v>0</v>
      </c>
      <c r="M838" s="15" t="s">
        <v>8746</v>
      </c>
      <c r="N838" s="14" t="s">
        <v>393</v>
      </c>
      <c r="O838" s="14" t="s">
        <v>393</v>
      </c>
      <c r="P838" s="15" t="s">
        <v>397</v>
      </c>
      <c r="Q838" s="15" t="s">
        <v>1658</v>
      </c>
      <c r="R838" s="15" t="s">
        <v>265</v>
      </c>
      <c r="S838" s="15" t="s">
        <v>828</v>
      </c>
      <c r="T838" s="14" t="b">
        <v>0</v>
      </c>
      <c r="U838" s="15" t="s">
        <v>8747</v>
      </c>
      <c r="V838" s="15" t="s">
        <v>8737</v>
      </c>
      <c r="W838" s="15" t="s">
        <v>401</v>
      </c>
      <c r="X838" s="15" t="s">
        <v>742</v>
      </c>
      <c r="Y838" s="15">
        <v>3172.0</v>
      </c>
      <c r="AA838" s="15" t="str">
        <f>"1220"</f>
        <v>1220</v>
      </c>
      <c r="AB838" s="14" t="b">
        <v>1</v>
      </c>
      <c r="AC838" s="14" t="b">
        <v>1</v>
      </c>
      <c r="AD838" s="15" t="str">
        <f>"801542381967"</f>
        <v>801542381967</v>
      </c>
      <c r="AE838" s="15" t="s">
        <v>8748</v>
      </c>
      <c r="AF838" s="14" t="s">
        <v>404</v>
      </c>
      <c r="AG838" s="14" t="s">
        <v>405</v>
      </c>
      <c r="AH838" s="14" t="s">
        <v>406</v>
      </c>
      <c r="AI838" s="15">
        <v>0.0</v>
      </c>
      <c r="AL838" s="15" t="s">
        <v>8744</v>
      </c>
      <c r="AM838" s="15" t="s">
        <v>6799</v>
      </c>
      <c r="AN838" s="15" t="s">
        <v>6800</v>
      </c>
      <c r="AO838" s="15" t="s">
        <v>513</v>
      </c>
      <c r="AP838" s="15" t="s">
        <v>514</v>
      </c>
      <c r="AQ838" s="15" t="s">
        <v>2088</v>
      </c>
      <c r="AR838" s="15" t="s">
        <v>2089</v>
      </c>
      <c r="AS838" s="15" t="s">
        <v>2063</v>
      </c>
      <c r="AT838" s="15" t="s">
        <v>1658</v>
      </c>
      <c r="AU838" s="15" t="s">
        <v>4870</v>
      </c>
      <c r="AV838" s="15" t="s">
        <v>4875</v>
      </c>
      <c r="AW838" s="15" t="s">
        <v>839</v>
      </c>
      <c r="AX838" s="15" t="s">
        <v>828</v>
      </c>
      <c r="AY838" s="15" t="s">
        <v>413</v>
      </c>
      <c r="AZ838" s="15" t="b">
        <v>0</v>
      </c>
      <c r="BA838" s="15" t="s">
        <v>413</v>
      </c>
      <c r="BB838" s="15" t="b">
        <v>0</v>
      </c>
      <c r="BC838" s="15" t="s">
        <v>8745</v>
      </c>
      <c r="BD838" s="15" t="s">
        <v>742</v>
      </c>
      <c r="BE838" s="15" t="str">
        <f t="shared" si="1445"/>
        <v>2</v>
      </c>
      <c r="BF838" s="15" t="s">
        <v>2455</v>
      </c>
      <c r="BG838" s="15" t="str">
        <f>"85.24"</f>
        <v>85.24</v>
      </c>
      <c r="BH838" s="15" t="s">
        <v>847</v>
      </c>
      <c r="BI838" s="15" t="str">
        <f>"53.15"</f>
        <v>53.15</v>
      </c>
      <c r="BJ838" s="15" t="s">
        <v>6302</v>
      </c>
      <c r="BK838" s="15" t="str">
        <f>"11.22"</f>
        <v>11.22</v>
      </c>
      <c r="BL838" s="15" t="s">
        <v>848</v>
      </c>
      <c r="BM838" s="15" t="str">
        <f>"103.62"</f>
        <v>103.62</v>
      </c>
      <c r="BN838" s="15" t="s">
        <v>2045</v>
      </c>
      <c r="BO838" s="15" t="s">
        <v>8739</v>
      </c>
      <c r="BP838" s="15" t="str">
        <f t="shared" si="1446"/>
        <v>84.96</v>
      </c>
      <c r="BQ838" s="15" t="s">
        <v>8729</v>
      </c>
      <c r="BR838" s="15" t="str">
        <f t="shared" si="1447"/>
        <v>13.78</v>
      </c>
      <c r="BS838" s="15" t="s">
        <v>6566</v>
      </c>
      <c r="BT838" s="15" t="str">
        <f t="shared" si="1448"/>
        <v>10.43</v>
      </c>
      <c r="BU838" s="15" t="s">
        <v>8730</v>
      </c>
      <c r="BV838" s="15" t="str">
        <f>"99.21"</f>
        <v>99.21</v>
      </c>
      <c r="BW838" s="15" t="s">
        <v>1507</v>
      </c>
      <c r="BZ838" s="15" t="s">
        <v>444</v>
      </c>
      <c r="CB838" s="15" t="s">
        <v>444</v>
      </c>
      <c r="CD838" s="15" t="s">
        <v>444</v>
      </c>
      <c r="CF838" s="15" t="s">
        <v>444</v>
      </c>
      <c r="CI838" s="15" t="s">
        <v>444</v>
      </c>
      <c r="CK838" s="15" t="s">
        <v>444</v>
      </c>
      <c r="CM838" s="15" t="s">
        <v>444</v>
      </c>
      <c r="CO838" s="15" t="s">
        <v>444</v>
      </c>
      <c r="CP838" s="15" t="str">
        <f>"36.48"</f>
        <v>36.48</v>
      </c>
      <c r="CQ838" s="15" t="str">
        <f>"1.033"</f>
        <v>1.033</v>
      </c>
      <c r="CR838" s="15" t="s">
        <v>497</v>
      </c>
      <c r="DC838" s="15" t="str">
        <f>IFERROR(__xludf.DUMMYFUNCTION("""COMPUTED_VALUE"""),"")</f>
        <v/>
      </c>
      <c r="DE838" s="15" t="str">
        <f>IFERROR(__xludf.DUMMYFUNCTION("""COMPUTED_VALUE"""),"")</f>
        <v/>
      </c>
      <c r="DG838" s="15" t="str">
        <f>IFERROR(__xludf.DUMMYFUNCTION("""COMPUTED_VALUE"""),"")</f>
        <v/>
      </c>
      <c r="DK838" s="15" t="s">
        <v>718</v>
      </c>
      <c r="DL838" s="15" t="str">
        <f>IFERROR(__xludf.DUMMYFUNCTION("""COMPUTED_VALUE"""),"Vacuum or light brush only. Do not use water or any cleaning products.")</f>
        <v>Vacuum or light brush only. Do not use water or any cleaning products.</v>
      </c>
      <c r="DM838" s="15" t="s">
        <v>719</v>
      </c>
      <c r="DN838" s="15" t="s">
        <v>419</v>
      </c>
      <c r="DO838" s="15">
        <v>0.0</v>
      </c>
      <c r="DP838" s="15" t="s">
        <v>419</v>
      </c>
      <c r="DR838" s="15">
        <v>0.0</v>
      </c>
      <c r="DT838" s="15" t="s">
        <v>1186</v>
      </c>
      <c r="DU838" s="15" t="s">
        <v>419</v>
      </c>
      <c r="DW838" s="15">
        <v>0.0</v>
      </c>
      <c r="DX838" s="15">
        <v>0.0</v>
      </c>
      <c r="DY838" s="15">
        <v>0.0</v>
      </c>
      <c r="DZ838" s="15">
        <v>0.0</v>
      </c>
      <c r="EG838" s="15" t="s">
        <v>444</v>
      </c>
      <c r="EH838" s="15" t="s">
        <v>8714</v>
      </c>
      <c r="EJ838" s="15" t="s">
        <v>858</v>
      </c>
      <c r="EK838" s="15" t="s">
        <v>859</v>
      </c>
      <c r="EM838" s="15" t="str">
        <f>IFERROR(__xludf.DUMMYFUNCTION("""COMPUTED_VALUE"""),"")</f>
        <v/>
      </c>
      <c r="FM838" s="15">
        <v>0.0</v>
      </c>
      <c r="FS838" s="15" t="s">
        <v>938</v>
      </c>
      <c r="IM838" s="15" t="s">
        <v>429</v>
      </c>
      <c r="IN838" s="15" t="s">
        <v>429</v>
      </c>
      <c r="IO838" s="15" t="s">
        <v>429</v>
      </c>
      <c r="IP838" s="15" t="s">
        <v>1443</v>
      </c>
      <c r="IQ838" s="15" t="s">
        <v>1807</v>
      </c>
      <c r="IR838" s="15" t="s">
        <v>8740</v>
      </c>
      <c r="IS838" s="15" t="s">
        <v>5320</v>
      </c>
      <c r="IT838" s="15" t="s">
        <v>8733</v>
      </c>
      <c r="IU838" s="15" t="s">
        <v>8740</v>
      </c>
      <c r="IV838" s="15" t="s">
        <v>2971</v>
      </c>
      <c r="IW838" s="15" t="s">
        <v>4685</v>
      </c>
      <c r="IX838" s="15" t="s">
        <v>869</v>
      </c>
      <c r="IY838" s="15" t="s">
        <v>5304</v>
      </c>
      <c r="IZ838" s="15" t="s">
        <v>8734</v>
      </c>
      <c r="JA838" s="15" t="s">
        <v>1042</v>
      </c>
      <c r="JB838" s="15" t="s">
        <v>426</v>
      </c>
      <c r="JC838" s="15" t="s">
        <v>2973</v>
      </c>
      <c r="JD838" s="15" t="s">
        <v>872</v>
      </c>
      <c r="JE838" s="15" t="s">
        <v>873</v>
      </c>
      <c r="JF838" s="15" t="s">
        <v>828</v>
      </c>
      <c r="JL838" s="15" t="s">
        <v>759</v>
      </c>
      <c r="JM838" s="15" t="s">
        <v>939</v>
      </c>
      <c r="JO838" s="15" t="s">
        <v>426</v>
      </c>
      <c r="JP838" s="15" t="s">
        <v>2474</v>
      </c>
    </row>
    <row r="839" ht="15.75" customHeight="1">
      <c r="A839" s="14" t="s">
        <v>391</v>
      </c>
      <c r="B839" s="15" t="s">
        <v>8749</v>
      </c>
      <c r="C839" s="16"/>
      <c r="D839" s="15" t="s">
        <v>432</v>
      </c>
      <c r="G839" s="14" t="s">
        <v>393</v>
      </c>
      <c r="H839" s="14" t="s">
        <v>394</v>
      </c>
      <c r="I839" s="14" t="b">
        <v>1</v>
      </c>
      <c r="J839" s="14" t="s">
        <v>395</v>
      </c>
      <c r="L839" s="14" t="b">
        <v>0</v>
      </c>
      <c r="M839" s="15" t="s">
        <v>8750</v>
      </c>
      <c r="N839" s="14" t="s">
        <v>393</v>
      </c>
      <c r="O839" s="14" t="s">
        <v>393</v>
      </c>
      <c r="P839" s="15" t="s">
        <v>397</v>
      </c>
      <c r="Q839" s="15" t="s">
        <v>4875</v>
      </c>
      <c r="T839" s="14" t="b">
        <v>0</v>
      </c>
      <c r="U839" s="15" t="s">
        <v>8751</v>
      </c>
      <c r="V839" s="15" t="s">
        <v>8752</v>
      </c>
      <c r="W839" s="15" t="s">
        <v>401</v>
      </c>
      <c r="X839" s="15" t="s">
        <v>742</v>
      </c>
      <c r="Y839" s="15">
        <v>2405.0</v>
      </c>
      <c r="AA839" s="15" t="str">
        <f t="shared" ref="AA839:AA840" si="1449">"925"</f>
        <v>925</v>
      </c>
      <c r="AB839" s="14" t="b">
        <v>1</v>
      </c>
      <c r="AC839" s="14" t="b">
        <v>1</v>
      </c>
      <c r="AD839" s="15" t="str">
        <f>"198394025751"</f>
        <v>198394025751</v>
      </c>
      <c r="AE839" s="15" t="s">
        <v>8753</v>
      </c>
      <c r="AF839" s="14" t="s">
        <v>404</v>
      </c>
      <c r="AG839" s="14" t="s">
        <v>405</v>
      </c>
      <c r="AH839" s="14" t="s">
        <v>406</v>
      </c>
      <c r="AI839" s="15">
        <v>0.0</v>
      </c>
      <c r="AL839" s="15" t="s">
        <v>2354</v>
      </c>
      <c r="AM839" s="15" t="s">
        <v>1026</v>
      </c>
      <c r="AN839" s="15" t="s">
        <v>1027</v>
      </c>
      <c r="AO839" s="15" t="s">
        <v>454</v>
      </c>
      <c r="AP839" s="15" t="s">
        <v>455</v>
      </c>
      <c r="AQ839" s="15" t="s">
        <v>546</v>
      </c>
      <c r="AR839" s="15" t="s">
        <v>547</v>
      </c>
      <c r="AS839" s="15" t="s">
        <v>2063</v>
      </c>
      <c r="AT839" s="15" t="s">
        <v>4875</v>
      </c>
      <c r="AW839" s="15" t="s">
        <v>602</v>
      </c>
      <c r="AY839" s="15" t="s">
        <v>413</v>
      </c>
      <c r="AZ839" s="15" t="b">
        <v>0</v>
      </c>
      <c r="BA839" s="15" t="s">
        <v>413</v>
      </c>
      <c r="BB839" s="15" t="b">
        <v>0</v>
      </c>
      <c r="BC839" s="15" t="s">
        <v>8754</v>
      </c>
      <c r="BD839" s="15" t="s">
        <v>742</v>
      </c>
      <c r="BE839" s="15" t="str">
        <f t="shared" ref="BE839:BE850" si="1450">"1"</f>
        <v>1</v>
      </c>
      <c r="BF839" s="15" t="s">
        <v>416</v>
      </c>
      <c r="BG839" s="15" t="str">
        <f t="shared" ref="BG839:BG840" si="1451">"85.43"</f>
        <v>85.43</v>
      </c>
      <c r="BH839" s="15" t="s">
        <v>3967</v>
      </c>
      <c r="BI839" s="15" t="str">
        <f t="shared" ref="BI839:BI840" si="1452">"25.2"</f>
        <v>25.2</v>
      </c>
      <c r="BJ839" s="15" t="s">
        <v>585</v>
      </c>
      <c r="BK839" s="15" t="str">
        <f t="shared" ref="BK839:BK840" si="1453">"37.2"</f>
        <v>37.2</v>
      </c>
      <c r="BL839" s="15" t="s">
        <v>4678</v>
      </c>
      <c r="BM839" s="15" t="str">
        <f t="shared" ref="BM839:BM840" si="1454">"314.16"</f>
        <v>314.16</v>
      </c>
      <c r="BN839" s="15" t="s">
        <v>8755</v>
      </c>
      <c r="BQ839" s="15" t="s">
        <v>444</v>
      </c>
      <c r="BS839" s="15" t="s">
        <v>444</v>
      </c>
      <c r="BU839" s="15" t="s">
        <v>444</v>
      </c>
      <c r="BW839" s="15" t="s">
        <v>444</v>
      </c>
      <c r="BZ839" s="15" t="s">
        <v>444</v>
      </c>
      <c r="CB839" s="15" t="s">
        <v>444</v>
      </c>
      <c r="CD839" s="15" t="s">
        <v>444</v>
      </c>
      <c r="CF839" s="15" t="s">
        <v>444</v>
      </c>
      <c r="CI839" s="15" t="s">
        <v>444</v>
      </c>
      <c r="CK839" s="15" t="s">
        <v>444</v>
      </c>
      <c r="CM839" s="15" t="s">
        <v>444</v>
      </c>
      <c r="CO839" s="15" t="s">
        <v>444</v>
      </c>
      <c r="CP839" s="15" t="str">
        <f t="shared" ref="CP839:CP840" si="1455">"46.33"</f>
        <v>46.33</v>
      </c>
      <c r="CQ839" s="15" t="str">
        <f t="shared" ref="CQ839:CQ840" si="1456">"1.312"</f>
        <v>1.312</v>
      </c>
      <c r="CR839" s="15" t="s">
        <v>497</v>
      </c>
      <c r="CS839" s="15" t="s">
        <v>8756</v>
      </c>
      <c r="CT839" s="15" t="s">
        <v>1042</v>
      </c>
      <c r="CU839" s="15" t="s">
        <v>8757</v>
      </c>
      <c r="CV839" s="15" t="s">
        <v>8756</v>
      </c>
      <c r="CW839" s="15" t="s">
        <v>1040</v>
      </c>
      <c r="CX839" s="15" t="s">
        <v>8757</v>
      </c>
      <c r="DC839" s="15" t="str">
        <f>IFERROR(__xludf.DUMMYFUNCTION("""COMPUTED_VALUE"""),"")</f>
        <v/>
      </c>
      <c r="DE839" s="15" t="str">
        <f>IFERROR(__xludf.DUMMYFUNCTION("""COMPUTED_VALUE"""),"")</f>
        <v/>
      </c>
      <c r="DG839" s="15" t="str">
        <f>IFERROR(__xludf.DUMMYFUNCTION("""COMPUTED_VALUE"""),"")</f>
        <v/>
      </c>
      <c r="DL839" s="15" t="str">
        <f>IFERROR(__xludf.DUMMYFUNCTION("""COMPUTED_VALUE"""),"")</f>
        <v/>
      </c>
      <c r="DM839" s="15" t="s">
        <v>444</v>
      </c>
      <c r="DN839" s="15" t="s">
        <v>418</v>
      </c>
      <c r="DO839" s="15">
        <v>4.0</v>
      </c>
      <c r="DP839" s="15" t="s">
        <v>419</v>
      </c>
      <c r="DR839" s="15">
        <v>1.0</v>
      </c>
      <c r="DS839" s="15" t="s">
        <v>426</v>
      </c>
      <c r="DT839" s="15" t="s">
        <v>420</v>
      </c>
      <c r="DU839" s="15" t="s">
        <v>610</v>
      </c>
      <c r="DW839" s="15">
        <v>18.14</v>
      </c>
      <c r="DX839" s="15">
        <v>40.0</v>
      </c>
      <c r="DY839" s="15">
        <v>1.0</v>
      </c>
      <c r="EG839" s="15" t="s">
        <v>444</v>
      </c>
      <c r="EH839" s="15" t="s">
        <v>8714</v>
      </c>
      <c r="EK839" s="15" t="s">
        <v>444</v>
      </c>
      <c r="EM839" s="15" t="str">
        <f>IFERROR(__xludf.DUMMYFUNCTION("""COMPUTED_VALUE"""),"")</f>
        <v/>
      </c>
      <c r="EW839" s="15" t="s">
        <v>429</v>
      </c>
      <c r="FL839" s="15" t="s">
        <v>426</v>
      </c>
      <c r="FM839" s="15">
        <v>2.0</v>
      </c>
      <c r="FY839" s="15" t="s">
        <v>7457</v>
      </c>
      <c r="FZ839" s="15" t="s">
        <v>612</v>
      </c>
      <c r="GA839" s="15" t="s">
        <v>8279</v>
      </c>
      <c r="GB839" s="15" t="s">
        <v>1425</v>
      </c>
      <c r="GC839" s="15" t="s">
        <v>612</v>
      </c>
      <c r="GD839" s="15" t="s">
        <v>8758</v>
      </c>
      <c r="GF839" s="15" t="s">
        <v>426</v>
      </c>
      <c r="GG839" s="15" t="s">
        <v>785</v>
      </c>
      <c r="GH839" s="15">
        <v>2.0</v>
      </c>
      <c r="GI839" s="15" t="s">
        <v>614</v>
      </c>
      <c r="GJ839" s="15" t="s">
        <v>1045</v>
      </c>
      <c r="GL839" s="15" t="s">
        <v>426</v>
      </c>
      <c r="GN839" s="15" t="s">
        <v>616</v>
      </c>
      <c r="GQ839" s="15" t="s">
        <v>8759</v>
      </c>
      <c r="GS839" s="15" t="s">
        <v>1391</v>
      </c>
      <c r="GU839" s="15" t="s">
        <v>8760</v>
      </c>
      <c r="GW839" s="15" t="s">
        <v>431</v>
      </c>
      <c r="GY839" s="15" t="s">
        <v>420</v>
      </c>
      <c r="HA839" s="15" t="s">
        <v>1936</v>
      </c>
      <c r="HC839" s="15" t="s">
        <v>3293</v>
      </c>
      <c r="HD839" s="15">
        <v>0.0</v>
      </c>
      <c r="HS839" s="15" t="s">
        <v>504</v>
      </c>
      <c r="HW839" s="15" t="s">
        <v>1957</v>
      </c>
      <c r="IH839" s="15" t="s">
        <v>426</v>
      </c>
    </row>
    <row r="840" ht="15.75" customHeight="1">
      <c r="A840" s="14" t="s">
        <v>391</v>
      </c>
      <c r="B840" s="15" t="s">
        <v>8749</v>
      </c>
      <c r="C840" s="16"/>
      <c r="D840" s="15" t="s">
        <v>432</v>
      </c>
      <c r="G840" s="14" t="s">
        <v>393</v>
      </c>
      <c r="H840" s="14" t="s">
        <v>394</v>
      </c>
      <c r="I840" s="14" t="b">
        <v>1</v>
      </c>
      <c r="J840" s="14" t="s">
        <v>395</v>
      </c>
      <c r="L840" s="14" t="b">
        <v>0</v>
      </c>
      <c r="M840" s="15" t="s">
        <v>8761</v>
      </c>
      <c r="N840" s="14" t="s">
        <v>393</v>
      </c>
      <c r="O840" s="14" t="s">
        <v>393</v>
      </c>
      <c r="P840" s="15" t="s">
        <v>397</v>
      </c>
      <c r="Q840" s="15" t="s">
        <v>8716</v>
      </c>
      <c r="T840" s="14" t="b">
        <v>0</v>
      </c>
      <c r="U840" s="15" t="s">
        <v>8762</v>
      </c>
      <c r="V840" s="15" t="s">
        <v>8752</v>
      </c>
      <c r="W840" s="15" t="s">
        <v>401</v>
      </c>
      <c r="X840" s="15" t="s">
        <v>742</v>
      </c>
      <c r="Y840" s="15">
        <v>2405.0</v>
      </c>
      <c r="AA840" s="15" t="str">
        <f t="shared" si="1449"/>
        <v>925</v>
      </c>
      <c r="AB840" s="14" t="b">
        <v>1</v>
      </c>
      <c r="AC840" s="14" t="b">
        <v>1</v>
      </c>
      <c r="AD840" s="15" t="str">
        <f>"198394025768"</f>
        <v>198394025768</v>
      </c>
      <c r="AE840" s="15" t="s">
        <v>8763</v>
      </c>
      <c r="AF840" s="14" t="s">
        <v>404</v>
      </c>
      <c r="AG840" s="14" t="s">
        <v>405</v>
      </c>
      <c r="AH840" s="14" t="s">
        <v>406</v>
      </c>
      <c r="AI840" s="15">
        <v>0.0</v>
      </c>
      <c r="AL840" s="15" t="s">
        <v>2354</v>
      </c>
      <c r="AM840" s="15" t="s">
        <v>1026</v>
      </c>
      <c r="AN840" s="15" t="s">
        <v>1027</v>
      </c>
      <c r="AO840" s="15" t="s">
        <v>454</v>
      </c>
      <c r="AP840" s="15" t="s">
        <v>455</v>
      </c>
      <c r="AQ840" s="15" t="s">
        <v>546</v>
      </c>
      <c r="AR840" s="15" t="s">
        <v>547</v>
      </c>
      <c r="AS840" s="15" t="s">
        <v>2063</v>
      </c>
      <c r="AT840" s="15" t="s">
        <v>8716</v>
      </c>
      <c r="AW840" s="15" t="s">
        <v>602</v>
      </c>
      <c r="AY840" s="15" t="s">
        <v>413</v>
      </c>
      <c r="AZ840" s="15" t="b">
        <v>0</v>
      </c>
      <c r="BA840" s="15" t="s">
        <v>413</v>
      </c>
      <c r="BB840" s="15" t="b">
        <v>0</v>
      </c>
      <c r="BC840" s="15" t="s">
        <v>8764</v>
      </c>
      <c r="BD840" s="15" t="s">
        <v>742</v>
      </c>
      <c r="BE840" s="15" t="str">
        <f t="shared" si="1450"/>
        <v>1</v>
      </c>
      <c r="BF840" s="15" t="s">
        <v>416</v>
      </c>
      <c r="BG840" s="15" t="str">
        <f t="shared" si="1451"/>
        <v>85.43</v>
      </c>
      <c r="BH840" s="15" t="s">
        <v>3967</v>
      </c>
      <c r="BI840" s="15" t="str">
        <f t="shared" si="1452"/>
        <v>25.2</v>
      </c>
      <c r="BJ840" s="15" t="s">
        <v>585</v>
      </c>
      <c r="BK840" s="15" t="str">
        <f t="shared" si="1453"/>
        <v>37.2</v>
      </c>
      <c r="BL840" s="15" t="s">
        <v>4678</v>
      </c>
      <c r="BM840" s="15" t="str">
        <f t="shared" si="1454"/>
        <v>314.16</v>
      </c>
      <c r="BN840" s="15" t="s">
        <v>8755</v>
      </c>
      <c r="BQ840" s="15" t="s">
        <v>444</v>
      </c>
      <c r="BS840" s="15" t="s">
        <v>444</v>
      </c>
      <c r="BU840" s="15" t="s">
        <v>444</v>
      </c>
      <c r="BW840" s="15" t="s">
        <v>444</v>
      </c>
      <c r="BZ840" s="15" t="s">
        <v>444</v>
      </c>
      <c r="CB840" s="15" t="s">
        <v>444</v>
      </c>
      <c r="CD840" s="15" t="s">
        <v>444</v>
      </c>
      <c r="CF840" s="15" t="s">
        <v>444</v>
      </c>
      <c r="CI840" s="15" t="s">
        <v>444</v>
      </c>
      <c r="CK840" s="15" t="s">
        <v>444</v>
      </c>
      <c r="CM840" s="15" t="s">
        <v>444</v>
      </c>
      <c r="CO840" s="15" t="s">
        <v>444</v>
      </c>
      <c r="CP840" s="15" t="str">
        <f t="shared" si="1455"/>
        <v>46.33</v>
      </c>
      <c r="CQ840" s="15" t="str">
        <f t="shared" si="1456"/>
        <v>1.312</v>
      </c>
      <c r="CR840" s="15" t="s">
        <v>497</v>
      </c>
      <c r="CS840" s="15" t="s">
        <v>8756</v>
      </c>
      <c r="CT840" s="15" t="s">
        <v>1042</v>
      </c>
      <c r="CU840" s="15" t="s">
        <v>8757</v>
      </c>
      <c r="CV840" s="15" t="s">
        <v>8756</v>
      </c>
      <c r="CW840" s="15" t="s">
        <v>1040</v>
      </c>
      <c r="CX840" s="15" t="s">
        <v>8757</v>
      </c>
      <c r="DC840" s="15" t="str">
        <f>IFERROR(__xludf.DUMMYFUNCTION("""COMPUTED_VALUE"""),"")</f>
        <v/>
      </c>
      <c r="DE840" s="15" t="str">
        <f>IFERROR(__xludf.DUMMYFUNCTION("""COMPUTED_VALUE"""),"")</f>
        <v/>
      </c>
      <c r="DG840" s="15" t="str">
        <f>IFERROR(__xludf.DUMMYFUNCTION("""COMPUTED_VALUE"""),"")</f>
        <v/>
      </c>
      <c r="DL840" s="15" t="str">
        <f>IFERROR(__xludf.DUMMYFUNCTION("""COMPUTED_VALUE"""),"")</f>
        <v/>
      </c>
      <c r="DM840" s="15" t="s">
        <v>444</v>
      </c>
      <c r="DN840" s="15" t="s">
        <v>418</v>
      </c>
      <c r="DO840" s="15">
        <v>4.0</v>
      </c>
      <c r="DP840" s="15" t="s">
        <v>419</v>
      </c>
      <c r="DR840" s="15">
        <v>1.0</v>
      </c>
      <c r="DS840" s="15" t="s">
        <v>426</v>
      </c>
      <c r="DT840" s="15" t="s">
        <v>420</v>
      </c>
      <c r="DU840" s="15" t="s">
        <v>610</v>
      </c>
      <c r="DW840" s="15">
        <v>18.14</v>
      </c>
      <c r="DX840" s="15">
        <v>40.0</v>
      </c>
      <c r="DY840" s="15">
        <v>1.0</v>
      </c>
      <c r="EG840" s="15" t="s">
        <v>444</v>
      </c>
      <c r="EH840" s="15" t="s">
        <v>8714</v>
      </c>
      <c r="EK840" s="15" t="s">
        <v>444</v>
      </c>
      <c r="EM840" s="15" t="str">
        <f>IFERROR(__xludf.DUMMYFUNCTION("""COMPUTED_VALUE"""),"")</f>
        <v/>
      </c>
      <c r="EW840" s="15" t="s">
        <v>429</v>
      </c>
      <c r="FL840" s="15" t="s">
        <v>426</v>
      </c>
      <c r="FM840" s="15">
        <v>2.0</v>
      </c>
      <c r="FY840" s="15" t="s">
        <v>7457</v>
      </c>
      <c r="FZ840" s="15" t="s">
        <v>612</v>
      </c>
      <c r="GA840" s="15" t="s">
        <v>8279</v>
      </c>
      <c r="GB840" s="15" t="s">
        <v>1425</v>
      </c>
      <c r="GC840" s="15" t="s">
        <v>612</v>
      </c>
      <c r="GD840" s="15" t="s">
        <v>8758</v>
      </c>
      <c r="GF840" s="15" t="s">
        <v>426</v>
      </c>
      <c r="GG840" s="15" t="s">
        <v>785</v>
      </c>
      <c r="GH840" s="15">
        <v>2.0</v>
      </c>
      <c r="GI840" s="15" t="s">
        <v>614</v>
      </c>
      <c r="GJ840" s="15" t="s">
        <v>1045</v>
      </c>
      <c r="GL840" s="15" t="s">
        <v>426</v>
      </c>
      <c r="GN840" s="15" t="s">
        <v>616</v>
      </c>
      <c r="GQ840" s="15" t="s">
        <v>8759</v>
      </c>
      <c r="GS840" s="15" t="s">
        <v>1391</v>
      </c>
      <c r="GU840" s="15" t="s">
        <v>8760</v>
      </c>
      <c r="GW840" s="15" t="s">
        <v>431</v>
      </c>
      <c r="GY840" s="15" t="s">
        <v>420</v>
      </c>
      <c r="HA840" s="15" t="s">
        <v>1936</v>
      </c>
      <c r="HC840" s="15" t="s">
        <v>3293</v>
      </c>
      <c r="HD840" s="15">
        <v>0.0</v>
      </c>
      <c r="HS840" s="15" t="s">
        <v>504</v>
      </c>
      <c r="HW840" s="15" t="s">
        <v>1957</v>
      </c>
      <c r="IH840" s="15" t="s">
        <v>426</v>
      </c>
    </row>
    <row r="841" ht="15.75" customHeight="1">
      <c r="A841" s="14" t="s">
        <v>391</v>
      </c>
      <c r="B841" s="15" t="s">
        <v>8765</v>
      </c>
      <c r="C841" s="16"/>
      <c r="D841" s="15" t="s">
        <v>432</v>
      </c>
      <c r="G841" s="14" t="s">
        <v>393</v>
      </c>
      <c r="H841" s="14" t="s">
        <v>394</v>
      </c>
      <c r="I841" s="14" t="b">
        <v>1</v>
      </c>
      <c r="J841" s="14" t="s">
        <v>395</v>
      </c>
      <c r="L841" s="14" t="b">
        <v>0</v>
      </c>
      <c r="M841" s="15" t="s">
        <v>8766</v>
      </c>
      <c r="N841" s="14" t="s">
        <v>393</v>
      </c>
      <c r="O841" s="14" t="s">
        <v>393</v>
      </c>
      <c r="P841" s="15" t="s">
        <v>397</v>
      </c>
      <c r="Q841" s="15" t="s">
        <v>4875</v>
      </c>
      <c r="T841" s="14" t="b">
        <v>0</v>
      </c>
      <c r="U841" s="15" t="s">
        <v>8767</v>
      </c>
      <c r="V841" s="15" t="s">
        <v>2414</v>
      </c>
      <c r="W841" s="15" t="s">
        <v>401</v>
      </c>
      <c r="X841" s="15" t="s">
        <v>742</v>
      </c>
      <c r="Y841" s="15">
        <v>988.0</v>
      </c>
      <c r="AA841" s="15" t="str">
        <f t="shared" ref="AA841:AA842" si="1457">"380"</f>
        <v>380</v>
      </c>
      <c r="AB841" s="14" t="b">
        <v>1</v>
      </c>
      <c r="AC841" s="14" t="b">
        <v>1</v>
      </c>
      <c r="AD841" s="15" t="str">
        <f>"801542190484"</f>
        <v>801542190484</v>
      </c>
      <c r="AE841" s="15" t="s">
        <v>8768</v>
      </c>
      <c r="AF841" s="14" t="s">
        <v>404</v>
      </c>
      <c r="AG841" s="14" t="s">
        <v>405</v>
      </c>
      <c r="AH841" s="14" t="s">
        <v>406</v>
      </c>
      <c r="AI841" s="15">
        <v>0.0</v>
      </c>
      <c r="AL841" s="15" t="s">
        <v>2354</v>
      </c>
      <c r="AM841" s="15" t="s">
        <v>546</v>
      </c>
      <c r="AN841" s="15" t="s">
        <v>547</v>
      </c>
      <c r="AO841" s="15" t="s">
        <v>1152</v>
      </c>
      <c r="AP841" s="15" t="s">
        <v>1153</v>
      </c>
      <c r="AQ841" s="15" t="s">
        <v>1177</v>
      </c>
      <c r="AR841" s="15" t="s">
        <v>1178</v>
      </c>
      <c r="AS841" s="15" t="s">
        <v>2063</v>
      </c>
      <c r="AT841" s="15" t="s">
        <v>4875</v>
      </c>
      <c r="AW841" s="15" t="s">
        <v>628</v>
      </c>
      <c r="AY841" s="15" t="s">
        <v>413</v>
      </c>
      <c r="AZ841" s="15" t="b">
        <v>0</v>
      </c>
      <c r="BA841" s="15" t="s">
        <v>413</v>
      </c>
      <c r="BB841" s="15" t="b">
        <v>0</v>
      </c>
      <c r="BC841" s="15" t="s">
        <v>8769</v>
      </c>
      <c r="BD841" s="15" t="s">
        <v>742</v>
      </c>
      <c r="BE841" s="15" t="str">
        <f t="shared" si="1450"/>
        <v>1</v>
      </c>
      <c r="BF841" s="15" t="s">
        <v>8770</v>
      </c>
      <c r="BG841" s="15" t="str">
        <f t="shared" ref="BG841:BG842" si="1458">"33.39"</f>
        <v>33.39</v>
      </c>
      <c r="BH841" s="15" t="s">
        <v>8771</v>
      </c>
      <c r="BI841" s="15" t="str">
        <f t="shared" ref="BI841:BI842" si="1459">"20.59"</f>
        <v>20.59</v>
      </c>
      <c r="BJ841" s="15" t="s">
        <v>8772</v>
      </c>
      <c r="BK841" s="15" t="str">
        <f t="shared" ref="BK841:BK842" si="1460">"31.02"</f>
        <v>31.02</v>
      </c>
      <c r="BL841" s="15" t="s">
        <v>8773</v>
      </c>
      <c r="BM841" s="15" t="str">
        <f t="shared" ref="BM841:BM842" si="1461">"95.9"</f>
        <v>95.9</v>
      </c>
      <c r="BN841" s="15" t="s">
        <v>4161</v>
      </c>
      <c r="BQ841" s="15" t="s">
        <v>444</v>
      </c>
      <c r="BS841" s="15" t="s">
        <v>444</v>
      </c>
      <c r="BU841" s="15" t="s">
        <v>444</v>
      </c>
      <c r="BW841" s="15" t="s">
        <v>444</v>
      </c>
      <c r="BZ841" s="15" t="s">
        <v>444</v>
      </c>
      <c r="CB841" s="15" t="s">
        <v>444</v>
      </c>
      <c r="CD841" s="15" t="s">
        <v>444</v>
      </c>
      <c r="CF841" s="15" t="s">
        <v>444</v>
      </c>
      <c r="CI841" s="15" t="s">
        <v>444</v>
      </c>
      <c r="CK841" s="15" t="s">
        <v>444</v>
      </c>
      <c r="CM841" s="15" t="s">
        <v>444</v>
      </c>
      <c r="CO841" s="15" t="s">
        <v>444</v>
      </c>
      <c r="CP841" s="15" t="str">
        <f t="shared" ref="CP841:CP842" si="1462">"12.32"</f>
        <v>12.32</v>
      </c>
      <c r="CQ841" s="15" t="str">
        <f t="shared" ref="CQ841:CQ842" si="1463">"0.349"</f>
        <v>0.349</v>
      </c>
      <c r="CR841" s="15" t="s">
        <v>497</v>
      </c>
      <c r="DC841" s="15" t="str">
        <f>IFERROR(__xludf.DUMMYFUNCTION("""COMPUTED_VALUE"""),"")</f>
        <v/>
      </c>
      <c r="DE841" s="15" t="str">
        <f>IFERROR(__xludf.DUMMYFUNCTION("""COMPUTED_VALUE"""),"")</f>
        <v/>
      </c>
      <c r="DG841" s="15" t="str">
        <f>IFERROR(__xludf.DUMMYFUNCTION("""COMPUTED_VALUE"""),"")</f>
        <v/>
      </c>
      <c r="DL841" s="15" t="str">
        <f>IFERROR(__xludf.DUMMYFUNCTION("""COMPUTED_VALUE"""),"")</f>
        <v/>
      </c>
      <c r="DM841" s="15" t="s">
        <v>444</v>
      </c>
      <c r="DN841" s="15" t="s">
        <v>1371</v>
      </c>
      <c r="DO841" s="15">
        <v>2.0</v>
      </c>
      <c r="DP841" s="15" t="s">
        <v>419</v>
      </c>
      <c r="DR841" s="15">
        <v>0.0</v>
      </c>
      <c r="DT841" s="15" t="s">
        <v>1186</v>
      </c>
      <c r="DU841" s="15" t="s">
        <v>421</v>
      </c>
      <c r="DY841" s="15">
        <v>0.0</v>
      </c>
      <c r="EF841" s="15" t="s">
        <v>471</v>
      </c>
      <c r="EG841" s="15" t="s">
        <v>472</v>
      </c>
      <c r="EH841" s="15" t="s">
        <v>8714</v>
      </c>
      <c r="EJ841" s="15" t="s">
        <v>500</v>
      </c>
      <c r="EK841" s="15" t="s">
        <v>501</v>
      </c>
      <c r="EM841" s="15" t="str">
        <f>IFERROR(__xludf.DUMMYFUNCTION("""COMPUTED_VALUE"""),"")</f>
        <v/>
      </c>
      <c r="EW841" s="15" t="s">
        <v>1955</v>
      </c>
      <c r="FL841" s="15" t="s">
        <v>426</v>
      </c>
      <c r="FM841" s="15">
        <v>0.0</v>
      </c>
      <c r="GH841" s="15">
        <v>0.0</v>
      </c>
      <c r="GI841" s="15" t="s">
        <v>427</v>
      </c>
      <c r="GQ841" s="15" t="s">
        <v>2968</v>
      </c>
      <c r="GS841" s="15" t="s">
        <v>3101</v>
      </c>
      <c r="GU841" s="15" t="s">
        <v>6039</v>
      </c>
      <c r="GW841" s="15" t="s">
        <v>838</v>
      </c>
      <c r="GY841" s="15" t="s">
        <v>764</v>
      </c>
    </row>
    <row r="842" ht="15.75" customHeight="1">
      <c r="A842" s="14" t="s">
        <v>391</v>
      </c>
      <c r="B842" s="15" t="s">
        <v>8765</v>
      </c>
      <c r="C842" s="16"/>
      <c r="D842" s="15" t="s">
        <v>432</v>
      </c>
      <c r="G842" s="14" t="s">
        <v>393</v>
      </c>
      <c r="H842" s="14" t="s">
        <v>394</v>
      </c>
      <c r="I842" s="14" t="b">
        <v>1</v>
      </c>
      <c r="J842" s="14" t="s">
        <v>395</v>
      </c>
      <c r="L842" s="14" t="b">
        <v>0</v>
      </c>
      <c r="M842" s="15" t="s">
        <v>8774</v>
      </c>
      <c r="N842" s="14" t="s">
        <v>393</v>
      </c>
      <c r="O842" s="14" t="s">
        <v>393</v>
      </c>
      <c r="P842" s="15" t="s">
        <v>397</v>
      </c>
      <c r="Q842" s="15" t="s">
        <v>8716</v>
      </c>
      <c r="T842" s="14" t="b">
        <v>0</v>
      </c>
      <c r="U842" s="15" t="s">
        <v>8775</v>
      </c>
      <c r="V842" s="15" t="s">
        <v>2414</v>
      </c>
      <c r="W842" s="15" t="s">
        <v>401</v>
      </c>
      <c r="X842" s="15" t="s">
        <v>742</v>
      </c>
      <c r="Y842" s="15">
        <v>988.0</v>
      </c>
      <c r="AA842" s="15" t="str">
        <f t="shared" si="1457"/>
        <v>380</v>
      </c>
      <c r="AB842" s="14" t="b">
        <v>1</v>
      </c>
      <c r="AC842" s="14" t="b">
        <v>1</v>
      </c>
      <c r="AD842" s="15" t="str">
        <f>"801542329983"</f>
        <v>801542329983</v>
      </c>
      <c r="AE842" s="15" t="s">
        <v>8776</v>
      </c>
      <c r="AF842" s="14" t="s">
        <v>404</v>
      </c>
      <c r="AG842" s="14" t="s">
        <v>405</v>
      </c>
      <c r="AH842" s="14" t="s">
        <v>406</v>
      </c>
      <c r="AI842" s="15">
        <v>0.0</v>
      </c>
      <c r="AL842" s="15" t="s">
        <v>2354</v>
      </c>
      <c r="AM842" s="15" t="s">
        <v>546</v>
      </c>
      <c r="AN842" s="15" t="s">
        <v>547</v>
      </c>
      <c r="AO842" s="15" t="s">
        <v>1152</v>
      </c>
      <c r="AP842" s="15" t="s">
        <v>1153</v>
      </c>
      <c r="AQ842" s="15" t="s">
        <v>1177</v>
      </c>
      <c r="AR842" s="15" t="s">
        <v>1178</v>
      </c>
      <c r="AS842" s="15" t="s">
        <v>2063</v>
      </c>
      <c r="AT842" s="15" t="s">
        <v>8716</v>
      </c>
      <c r="AW842" s="15" t="s">
        <v>628</v>
      </c>
      <c r="AY842" s="15" t="s">
        <v>413</v>
      </c>
      <c r="AZ842" s="15" t="b">
        <v>0</v>
      </c>
      <c r="BA842" s="15" t="s">
        <v>413</v>
      </c>
      <c r="BB842" s="15" t="b">
        <v>0</v>
      </c>
      <c r="BC842" s="15" t="s">
        <v>8777</v>
      </c>
      <c r="BD842" s="15" t="s">
        <v>742</v>
      </c>
      <c r="BE842" s="15" t="str">
        <f t="shared" si="1450"/>
        <v>1</v>
      </c>
      <c r="BF842" s="15" t="s">
        <v>8770</v>
      </c>
      <c r="BG842" s="15" t="str">
        <f t="shared" si="1458"/>
        <v>33.39</v>
      </c>
      <c r="BH842" s="15" t="s">
        <v>8771</v>
      </c>
      <c r="BI842" s="15" t="str">
        <f t="shared" si="1459"/>
        <v>20.59</v>
      </c>
      <c r="BJ842" s="15" t="s">
        <v>8772</v>
      </c>
      <c r="BK842" s="15" t="str">
        <f t="shared" si="1460"/>
        <v>31.02</v>
      </c>
      <c r="BL842" s="15" t="s">
        <v>8773</v>
      </c>
      <c r="BM842" s="15" t="str">
        <f t="shared" si="1461"/>
        <v>95.9</v>
      </c>
      <c r="BN842" s="15" t="s">
        <v>4161</v>
      </c>
      <c r="BQ842" s="15" t="s">
        <v>444</v>
      </c>
      <c r="BS842" s="15" t="s">
        <v>444</v>
      </c>
      <c r="BU842" s="15" t="s">
        <v>444</v>
      </c>
      <c r="BW842" s="15" t="s">
        <v>444</v>
      </c>
      <c r="BZ842" s="15" t="s">
        <v>444</v>
      </c>
      <c r="CB842" s="15" t="s">
        <v>444</v>
      </c>
      <c r="CD842" s="15" t="s">
        <v>444</v>
      </c>
      <c r="CF842" s="15" t="s">
        <v>444</v>
      </c>
      <c r="CI842" s="15" t="s">
        <v>444</v>
      </c>
      <c r="CK842" s="15" t="s">
        <v>444</v>
      </c>
      <c r="CM842" s="15" t="s">
        <v>444</v>
      </c>
      <c r="CO842" s="15" t="s">
        <v>444</v>
      </c>
      <c r="CP842" s="15" t="str">
        <f t="shared" si="1462"/>
        <v>12.32</v>
      </c>
      <c r="CQ842" s="15" t="str">
        <f t="shared" si="1463"/>
        <v>0.349</v>
      </c>
      <c r="CR842" s="15" t="s">
        <v>417</v>
      </c>
      <c r="DC842" s="15" t="str">
        <f>IFERROR(__xludf.DUMMYFUNCTION("""COMPUTED_VALUE"""),"")</f>
        <v/>
      </c>
      <c r="DE842" s="15" t="str">
        <f>IFERROR(__xludf.DUMMYFUNCTION("""COMPUTED_VALUE"""),"")</f>
        <v/>
      </c>
      <c r="DG842" s="15" t="str">
        <f>IFERROR(__xludf.DUMMYFUNCTION("""COMPUTED_VALUE"""),"")</f>
        <v/>
      </c>
      <c r="DL842" s="15" t="str">
        <f>IFERROR(__xludf.DUMMYFUNCTION("""COMPUTED_VALUE"""),"")</f>
        <v/>
      </c>
      <c r="DM842" s="15" t="s">
        <v>444</v>
      </c>
      <c r="DN842" s="15" t="s">
        <v>1371</v>
      </c>
      <c r="DO842" s="15">
        <v>2.0</v>
      </c>
      <c r="DP842" s="15" t="s">
        <v>419</v>
      </c>
      <c r="DR842" s="15">
        <v>0.0</v>
      </c>
      <c r="DT842" s="15" t="s">
        <v>1186</v>
      </c>
      <c r="DU842" s="15" t="s">
        <v>421</v>
      </c>
      <c r="DY842" s="15">
        <v>0.0</v>
      </c>
      <c r="EF842" s="15" t="s">
        <v>471</v>
      </c>
      <c r="EG842" s="15" t="s">
        <v>472</v>
      </c>
      <c r="EH842" s="15" t="s">
        <v>8714</v>
      </c>
      <c r="EJ842" s="15" t="s">
        <v>500</v>
      </c>
      <c r="EK842" s="15" t="s">
        <v>501</v>
      </c>
      <c r="EM842" s="15" t="str">
        <f>IFERROR(__xludf.DUMMYFUNCTION("""COMPUTED_VALUE"""),"")</f>
        <v/>
      </c>
      <c r="EW842" s="15" t="s">
        <v>1955</v>
      </c>
      <c r="FL842" s="15" t="s">
        <v>426</v>
      </c>
      <c r="FM842" s="15">
        <v>0.0</v>
      </c>
      <c r="GH842" s="15">
        <v>0.0</v>
      </c>
      <c r="GI842" s="15" t="s">
        <v>427</v>
      </c>
      <c r="GQ842" s="15" t="s">
        <v>2968</v>
      </c>
      <c r="GS842" s="15" t="s">
        <v>3101</v>
      </c>
      <c r="GU842" s="15" t="s">
        <v>6039</v>
      </c>
      <c r="GW842" s="15" t="s">
        <v>838</v>
      </c>
      <c r="GY842" s="15" t="s">
        <v>764</v>
      </c>
    </row>
    <row r="843" ht="15.75" customHeight="1">
      <c r="A843" s="14" t="s">
        <v>391</v>
      </c>
      <c r="B843" s="15" t="s">
        <v>8778</v>
      </c>
      <c r="C843" s="16"/>
      <c r="D843" s="15" t="s">
        <v>432</v>
      </c>
      <c r="G843" s="14" t="s">
        <v>393</v>
      </c>
      <c r="H843" s="14" t="s">
        <v>394</v>
      </c>
      <c r="I843" s="14" t="b">
        <v>1</v>
      </c>
      <c r="J843" s="14" t="s">
        <v>395</v>
      </c>
      <c r="L843" s="14" t="b">
        <v>0</v>
      </c>
      <c r="M843" s="15" t="s">
        <v>8779</v>
      </c>
      <c r="N843" s="14" t="s">
        <v>393</v>
      </c>
      <c r="O843" s="14" t="s">
        <v>393</v>
      </c>
      <c r="P843" s="15" t="s">
        <v>397</v>
      </c>
      <c r="Q843" s="15" t="s">
        <v>8716</v>
      </c>
      <c r="T843" s="14" t="b">
        <v>0</v>
      </c>
      <c r="U843" s="15" t="s">
        <v>8780</v>
      </c>
      <c r="V843" s="15" t="s">
        <v>8781</v>
      </c>
      <c r="W843" s="15" t="s">
        <v>401</v>
      </c>
      <c r="X843" s="15" t="s">
        <v>742</v>
      </c>
      <c r="Y843" s="15">
        <v>1040.0</v>
      </c>
      <c r="AA843" s="15" t="str">
        <f t="shared" ref="AA843:AA844" si="1464">"400"</f>
        <v>400</v>
      </c>
      <c r="AB843" s="14" t="b">
        <v>1</v>
      </c>
      <c r="AC843" s="14" t="b">
        <v>1</v>
      </c>
      <c r="AD843" s="15" t="str">
        <f>"801542757441"</f>
        <v>801542757441</v>
      </c>
      <c r="AE843" s="15" t="s">
        <v>8782</v>
      </c>
      <c r="AF843" s="14" t="s">
        <v>404</v>
      </c>
      <c r="AG843" s="14" t="s">
        <v>405</v>
      </c>
      <c r="AH843" s="14" t="s">
        <v>406</v>
      </c>
      <c r="AI843" s="15">
        <v>0.0</v>
      </c>
      <c r="AL843" s="15" t="s">
        <v>8783</v>
      </c>
      <c r="AM843" s="15" t="s">
        <v>3396</v>
      </c>
      <c r="AN843" s="15" t="s">
        <v>2893</v>
      </c>
      <c r="AO843" s="15" t="s">
        <v>7136</v>
      </c>
      <c r="AP843" s="15" t="s">
        <v>3732</v>
      </c>
      <c r="AQ843" s="15" t="s">
        <v>3396</v>
      </c>
      <c r="AR843" s="15" t="s">
        <v>2893</v>
      </c>
      <c r="AS843" s="15" t="s">
        <v>5652</v>
      </c>
      <c r="AT843" s="15" t="s">
        <v>8716</v>
      </c>
      <c r="AU843" s="15" t="s">
        <v>8784</v>
      </c>
      <c r="AW843" s="15" t="s">
        <v>412</v>
      </c>
      <c r="AY843" s="15" t="s">
        <v>426</v>
      </c>
      <c r="AZ843" s="15" t="b">
        <v>1</v>
      </c>
      <c r="BA843" s="15" t="s">
        <v>413</v>
      </c>
      <c r="BB843" s="15" t="b">
        <v>0</v>
      </c>
      <c r="BC843" s="15" t="s">
        <v>8785</v>
      </c>
      <c r="BD843" s="15" t="s">
        <v>742</v>
      </c>
      <c r="BE843" s="15" t="str">
        <f t="shared" si="1450"/>
        <v>1</v>
      </c>
      <c r="BF843" s="15" t="s">
        <v>8786</v>
      </c>
      <c r="BG843" s="15" t="str">
        <f t="shared" ref="BG843:BG844" si="1465">"36.81"</f>
        <v>36.81</v>
      </c>
      <c r="BH843" s="15" t="s">
        <v>3742</v>
      </c>
      <c r="BI843" s="15" t="str">
        <f t="shared" ref="BI843:BI848" si="1466">"22.64"</f>
        <v>22.64</v>
      </c>
      <c r="BJ843" s="15" t="s">
        <v>5982</v>
      </c>
      <c r="BK843" s="15" t="str">
        <f t="shared" ref="BK843:BK844" si="1467">"38.78"</f>
        <v>38.78</v>
      </c>
      <c r="BL843" s="15" t="s">
        <v>1406</v>
      </c>
      <c r="BM843" s="15" t="str">
        <f t="shared" ref="BM843:BM844" si="1468">"147.71"</f>
        <v>147.71</v>
      </c>
      <c r="BN843" s="15" t="s">
        <v>3080</v>
      </c>
      <c r="BQ843" s="15" t="s">
        <v>444</v>
      </c>
      <c r="BS843" s="15" t="s">
        <v>444</v>
      </c>
      <c r="BU843" s="15" t="s">
        <v>444</v>
      </c>
      <c r="BW843" s="15" t="s">
        <v>444</v>
      </c>
      <c r="BZ843" s="15" t="s">
        <v>444</v>
      </c>
      <c r="CB843" s="15" t="s">
        <v>444</v>
      </c>
      <c r="CD843" s="15" t="s">
        <v>444</v>
      </c>
      <c r="CF843" s="15" t="s">
        <v>444</v>
      </c>
      <c r="CI843" s="15" t="s">
        <v>444</v>
      </c>
      <c r="CK843" s="15" t="s">
        <v>444</v>
      </c>
      <c r="CM843" s="15" t="s">
        <v>444</v>
      </c>
      <c r="CO843" s="15" t="s">
        <v>444</v>
      </c>
      <c r="CP843" s="15" t="str">
        <f t="shared" ref="CP843:CP844" si="1469">"18.72"</f>
        <v>18.72</v>
      </c>
      <c r="CQ843" s="15" t="str">
        <f t="shared" ref="CQ843:CQ844" si="1470">"0.53"</f>
        <v>0.53</v>
      </c>
      <c r="CR843" s="15" t="s">
        <v>465</v>
      </c>
      <c r="DC843" s="15" t="str">
        <f>IFERROR(__xludf.DUMMYFUNCTION("""COMPUTED_VALUE"""),"")</f>
        <v/>
      </c>
      <c r="DE843" s="15" t="str">
        <f>IFERROR(__xludf.DUMMYFUNCTION("""COMPUTED_VALUE"""),"")</f>
        <v/>
      </c>
      <c r="DG843" s="15" t="str">
        <f>IFERROR(__xludf.DUMMYFUNCTION("""COMPUTED_VALUE"""),"")</f>
        <v/>
      </c>
      <c r="DL843" s="15" t="str">
        <f>IFERROR(__xludf.DUMMYFUNCTION("""COMPUTED_VALUE"""),"")</f>
        <v/>
      </c>
      <c r="DM843" s="15" t="s">
        <v>444</v>
      </c>
      <c r="DN843" s="15" t="s">
        <v>1371</v>
      </c>
      <c r="DO843" s="15">
        <v>3.0</v>
      </c>
      <c r="DP843" s="15" t="s">
        <v>419</v>
      </c>
      <c r="DR843" s="15">
        <v>0.0</v>
      </c>
      <c r="DT843" s="15" t="s">
        <v>420</v>
      </c>
      <c r="DU843" s="15" t="s">
        <v>421</v>
      </c>
      <c r="DY843" s="15">
        <v>0.0</v>
      </c>
      <c r="EF843" s="15" t="s">
        <v>1408</v>
      </c>
      <c r="EG843" s="15" t="s">
        <v>1409</v>
      </c>
      <c r="EH843" s="15" t="s">
        <v>8787</v>
      </c>
      <c r="EJ843" s="15" t="s">
        <v>500</v>
      </c>
      <c r="EK843" s="15" t="s">
        <v>501</v>
      </c>
      <c r="EM843" s="15" t="str">
        <f>IFERROR(__xludf.DUMMYFUNCTION("""COMPUTED_VALUE"""),"")</f>
        <v/>
      </c>
      <c r="EW843" s="15" t="s">
        <v>8788</v>
      </c>
      <c r="FL843" s="15" t="s">
        <v>426</v>
      </c>
      <c r="FM843" s="15">
        <v>0.0</v>
      </c>
      <c r="GH843" s="15">
        <v>0.0</v>
      </c>
      <c r="GI843" s="15" t="s">
        <v>427</v>
      </c>
      <c r="GQ843" s="15" t="s">
        <v>6427</v>
      </c>
      <c r="GR843" s="15" t="s">
        <v>6427</v>
      </c>
      <c r="GS843" s="15" t="s">
        <v>2464</v>
      </c>
      <c r="GT843" s="15" t="s">
        <v>1132</v>
      </c>
      <c r="GU843" s="15" t="s">
        <v>6079</v>
      </c>
      <c r="GV843" s="15" t="s">
        <v>6079</v>
      </c>
      <c r="GW843" s="15" t="s">
        <v>431</v>
      </c>
      <c r="GY843" s="15" t="s">
        <v>764</v>
      </c>
    </row>
    <row r="844" ht="15.75" customHeight="1">
      <c r="A844" s="14" t="s">
        <v>391</v>
      </c>
      <c r="B844" s="15" t="s">
        <v>8778</v>
      </c>
      <c r="C844" s="16"/>
      <c r="D844" s="15" t="s">
        <v>432</v>
      </c>
      <c r="G844" s="14" t="s">
        <v>393</v>
      </c>
      <c r="H844" s="14" t="s">
        <v>394</v>
      </c>
      <c r="I844" s="14" t="b">
        <v>1</v>
      </c>
      <c r="J844" s="14" t="s">
        <v>395</v>
      </c>
      <c r="L844" s="14" t="b">
        <v>0</v>
      </c>
      <c r="M844" s="15" t="s">
        <v>8789</v>
      </c>
      <c r="N844" s="14" t="s">
        <v>393</v>
      </c>
      <c r="O844" s="14" t="s">
        <v>393</v>
      </c>
      <c r="P844" s="15" t="s">
        <v>397</v>
      </c>
      <c r="Q844" s="15" t="s">
        <v>8790</v>
      </c>
      <c r="T844" s="14" t="b">
        <v>0</v>
      </c>
      <c r="U844" s="15" t="s">
        <v>8791</v>
      </c>
      <c r="V844" s="15" t="s">
        <v>8781</v>
      </c>
      <c r="W844" s="15" t="s">
        <v>401</v>
      </c>
      <c r="X844" s="15" t="s">
        <v>742</v>
      </c>
      <c r="Y844" s="15">
        <v>1040.0</v>
      </c>
      <c r="AA844" s="15" t="str">
        <f t="shared" si="1464"/>
        <v>400</v>
      </c>
      <c r="AB844" s="14" t="b">
        <v>1</v>
      </c>
      <c r="AC844" s="14" t="b">
        <v>1</v>
      </c>
      <c r="AD844" s="15" t="str">
        <f>"801542633578"</f>
        <v>801542633578</v>
      </c>
      <c r="AE844" s="15" t="s">
        <v>8792</v>
      </c>
      <c r="AF844" s="14" t="s">
        <v>404</v>
      </c>
      <c r="AG844" s="14" t="s">
        <v>405</v>
      </c>
      <c r="AH844" s="14" t="s">
        <v>406</v>
      </c>
      <c r="AI844" s="15">
        <v>0.0</v>
      </c>
      <c r="AL844" s="15" t="s">
        <v>8783</v>
      </c>
      <c r="AM844" s="15" t="s">
        <v>3396</v>
      </c>
      <c r="AN844" s="15" t="s">
        <v>2893</v>
      </c>
      <c r="AO844" s="15" t="s">
        <v>7136</v>
      </c>
      <c r="AP844" s="15" t="s">
        <v>3732</v>
      </c>
      <c r="AQ844" s="15" t="s">
        <v>3396</v>
      </c>
      <c r="AR844" s="15" t="s">
        <v>2893</v>
      </c>
      <c r="AS844" s="15" t="s">
        <v>5652</v>
      </c>
      <c r="AT844" s="15" t="s">
        <v>8790</v>
      </c>
      <c r="AU844" s="15" t="s">
        <v>8784</v>
      </c>
      <c r="AW844" s="15" t="s">
        <v>412</v>
      </c>
      <c r="AY844" s="15" t="s">
        <v>426</v>
      </c>
      <c r="AZ844" s="15" t="b">
        <v>1</v>
      </c>
      <c r="BA844" s="15" t="s">
        <v>413</v>
      </c>
      <c r="BB844" s="15" t="b">
        <v>0</v>
      </c>
      <c r="BC844" s="15" t="s">
        <v>8793</v>
      </c>
      <c r="BD844" s="15" t="s">
        <v>742</v>
      </c>
      <c r="BE844" s="15" t="str">
        <f t="shared" si="1450"/>
        <v>1</v>
      </c>
      <c r="BF844" s="15" t="s">
        <v>8786</v>
      </c>
      <c r="BG844" s="15" t="str">
        <f t="shared" si="1465"/>
        <v>36.81</v>
      </c>
      <c r="BH844" s="15" t="s">
        <v>3742</v>
      </c>
      <c r="BI844" s="15" t="str">
        <f t="shared" si="1466"/>
        <v>22.64</v>
      </c>
      <c r="BJ844" s="15" t="s">
        <v>5982</v>
      </c>
      <c r="BK844" s="15" t="str">
        <f t="shared" si="1467"/>
        <v>38.78</v>
      </c>
      <c r="BL844" s="15" t="s">
        <v>1406</v>
      </c>
      <c r="BM844" s="15" t="str">
        <f t="shared" si="1468"/>
        <v>147.71</v>
      </c>
      <c r="BN844" s="15" t="s">
        <v>3080</v>
      </c>
      <c r="BQ844" s="15" t="s">
        <v>444</v>
      </c>
      <c r="BS844" s="15" t="s">
        <v>444</v>
      </c>
      <c r="BU844" s="15" t="s">
        <v>444</v>
      </c>
      <c r="BW844" s="15" t="s">
        <v>444</v>
      </c>
      <c r="BZ844" s="15" t="s">
        <v>444</v>
      </c>
      <c r="CB844" s="15" t="s">
        <v>444</v>
      </c>
      <c r="CD844" s="15" t="s">
        <v>444</v>
      </c>
      <c r="CF844" s="15" t="s">
        <v>444</v>
      </c>
      <c r="CI844" s="15" t="s">
        <v>444</v>
      </c>
      <c r="CK844" s="15" t="s">
        <v>444</v>
      </c>
      <c r="CM844" s="15" t="s">
        <v>444</v>
      </c>
      <c r="CO844" s="15" t="s">
        <v>444</v>
      </c>
      <c r="CP844" s="15" t="str">
        <f t="shared" si="1469"/>
        <v>18.72</v>
      </c>
      <c r="CQ844" s="15" t="str">
        <f t="shared" si="1470"/>
        <v>0.53</v>
      </c>
      <c r="CR844" s="15" t="s">
        <v>465</v>
      </c>
      <c r="DC844" s="15" t="str">
        <f>IFERROR(__xludf.DUMMYFUNCTION("""COMPUTED_VALUE"""),"")</f>
        <v/>
      </c>
      <c r="DE844" s="15" t="str">
        <f>IFERROR(__xludf.DUMMYFUNCTION("""COMPUTED_VALUE"""),"")</f>
        <v/>
      </c>
      <c r="DG844" s="15" t="str">
        <f>IFERROR(__xludf.DUMMYFUNCTION("""COMPUTED_VALUE"""),"")</f>
        <v/>
      </c>
      <c r="DL844" s="15" t="str">
        <f>IFERROR(__xludf.DUMMYFUNCTION("""COMPUTED_VALUE"""),"")</f>
        <v/>
      </c>
      <c r="DM844" s="15" t="s">
        <v>444</v>
      </c>
      <c r="DN844" s="15" t="s">
        <v>1371</v>
      </c>
      <c r="DO844" s="15">
        <v>3.0</v>
      </c>
      <c r="DP844" s="15" t="s">
        <v>419</v>
      </c>
      <c r="DR844" s="15">
        <v>0.0</v>
      </c>
      <c r="DT844" s="15" t="s">
        <v>420</v>
      </c>
      <c r="DU844" s="15" t="s">
        <v>421</v>
      </c>
      <c r="DY844" s="15">
        <v>0.0</v>
      </c>
      <c r="EF844" s="15" t="s">
        <v>1408</v>
      </c>
      <c r="EG844" s="15" t="s">
        <v>1409</v>
      </c>
      <c r="EH844" s="15" t="s">
        <v>8787</v>
      </c>
      <c r="EJ844" s="15" t="s">
        <v>500</v>
      </c>
      <c r="EK844" s="15" t="s">
        <v>501</v>
      </c>
      <c r="EM844" s="15" t="str">
        <f>IFERROR(__xludf.DUMMYFUNCTION("""COMPUTED_VALUE"""),"")</f>
        <v/>
      </c>
      <c r="EW844" s="15" t="s">
        <v>8788</v>
      </c>
      <c r="FL844" s="15" t="s">
        <v>426</v>
      </c>
      <c r="FM844" s="15">
        <v>0.0</v>
      </c>
      <c r="GH844" s="15">
        <v>0.0</v>
      </c>
      <c r="GI844" s="15" t="s">
        <v>427</v>
      </c>
      <c r="GQ844" s="15" t="s">
        <v>6427</v>
      </c>
      <c r="GR844" s="15" t="s">
        <v>6427</v>
      </c>
      <c r="GS844" s="15" t="s">
        <v>2464</v>
      </c>
      <c r="GT844" s="15" t="s">
        <v>1132</v>
      </c>
      <c r="GU844" s="15" t="s">
        <v>6079</v>
      </c>
      <c r="GV844" s="15" t="s">
        <v>6079</v>
      </c>
      <c r="GW844" s="15" t="s">
        <v>431</v>
      </c>
      <c r="GY844" s="15" t="s">
        <v>764</v>
      </c>
    </row>
    <row r="845" ht="15.75" customHeight="1">
      <c r="A845" s="14" t="s">
        <v>391</v>
      </c>
      <c r="B845" s="15" t="s">
        <v>8794</v>
      </c>
      <c r="C845" s="16"/>
      <c r="D845" s="15" t="s">
        <v>432</v>
      </c>
      <c r="G845" s="14" t="s">
        <v>393</v>
      </c>
      <c r="H845" s="14" t="s">
        <v>394</v>
      </c>
      <c r="I845" s="14" t="b">
        <v>1</v>
      </c>
      <c r="J845" s="14" t="s">
        <v>395</v>
      </c>
      <c r="L845" s="14" t="b">
        <v>0</v>
      </c>
      <c r="M845" s="15" t="s">
        <v>8795</v>
      </c>
      <c r="N845" s="14" t="s">
        <v>393</v>
      </c>
      <c r="O845" s="14" t="s">
        <v>393</v>
      </c>
      <c r="P845" s="15" t="s">
        <v>397</v>
      </c>
      <c r="Q845" s="15" t="s">
        <v>8716</v>
      </c>
      <c r="T845" s="14" t="b">
        <v>0</v>
      </c>
      <c r="U845" s="15" t="s">
        <v>8796</v>
      </c>
      <c r="V845" s="15" t="s">
        <v>8797</v>
      </c>
      <c r="W845" s="15" t="s">
        <v>401</v>
      </c>
      <c r="X845" s="15" t="s">
        <v>742</v>
      </c>
      <c r="Y845" s="15">
        <v>1859.0</v>
      </c>
      <c r="AA845" s="15" t="str">
        <f t="shared" ref="AA845:AA846" si="1471">"715"</f>
        <v>715</v>
      </c>
      <c r="AB845" s="14" t="b">
        <v>1</v>
      </c>
      <c r="AC845" s="14" t="b">
        <v>1</v>
      </c>
      <c r="AD845" s="15" t="str">
        <f>"801542757137"</f>
        <v>801542757137</v>
      </c>
      <c r="AE845" s="15" t="s">
        <v>8798</v>
      </c>
      <c r="AF845" s="14" t="s">
        <v>404</v>
      </c>
      <c r="AG845" s="14" t="s">
        <v>405</v>
      </c>
      <c r="AH845" s="14" t="s">
        <v>406</v>
      </c>
      <c r="AI845" s="15">
        <v>0.0</v>
      </c>
      <c r="AL845" s="15" t="s">
        <v>8783</v>
      </c>
      <c r="AM845" s="15" t="s">
        <v>8799</v>
      </c>
      <c r="AN845" s="15" t="s">
        <v>8800</v>
      </c>
      <c r="AO845" s="15" t="s">
        <v>7136</v>
      </c>
      <c r="AP845" s="15" t="s">
        <v>3732</v>
      </c>
      <c r="AQ845" s="15" t="s">
        <v>517</v>
      </c>
      <c r="AR845" s="15" t="s">
        <v>518</v>
      </c>
      <c r="AS845" s="15" t="s">
        <v>5652</v>
      </c>
      <c r="AT845" s="15" t="s">
        <v>8716</v>
      </c>
      <c r="AU845" s="15" t="s">
        <v>8784</v>
      </c>
      <c r="AW845" s="15" t="s">
        <v>412</v>
      </c>
      <c r="AY845" s="15" t="s">
        <v>426</v>
      </c>
      <c r="AZ845" s="15" t="b">
        <v>1</v>
      </c>
      <c r="BA845" s="15" t="s">
        <v>413</v>
      </c>
      <c r="BB845" s="15" t="b">
        <v>0</v>
      </c>
      <c r="BC845" s="15" t="s">
        <v>8801</v>
      </c>
      <c r="BD845" s="15" t="s">
        <v>742</v>
      </c>
      <c r="BE845" s="15" t="str">
        <f t="shared" si="1450"/>
        <v>1</v>
      </c>
      <c r="BF845" s="15" t="s">
        <v>8786</v>
      </c>
      <c r="BG845" s="15" t="str">
        <f t="shared" ref="BG845:BG846" si="1472">"67.13"</f>
        <v>67.13</v>
      </c>
      <c r="BH845" s="15" t="s">
        <v>4706</v>
      </c>
      <c r="BI845" s="15" t="str">
        <f t="shared" si="1466"/>
        <v>22.64</v>
      </c>
      <c r="BJ845" s="15" t="s">
        <v>5982</v>
      </c>
      <c r="BK845" s="15" t="str">
        <f t="shared" ref="BK845:BK846" si="1473">"39.37"</f>
        <v>39.37</v>
      </c>
      <c r="BL845" s="15" t="s">
        <v>523</v>
      </c>
      <c r="BM845" s="15" t="str">
        <f t="shared" ref="BM845:BM846" si="1474">"220.46"</f>
        <v>220.46</v>
      </c>
      <c r="BN845" s="15" t="s">
        <v>2777</v>
      </c>
      <c r="BQ845" s="15" t="s">
        <v>444</v>
      </c>
      <c r="BS845" s="15" t="s">
        <v>444</v>
      </c>
      <c r="BU845" s="15" t="s">
        <v>444</v>
      </c>
      <c r="BW845" s="15" t="s">
        <v>444</v>
      </c>
      <c r="BZ845" s="15" t="s">
        <v>444</v>
      </c>
      <c r="CB845" s="15" t="s">
        <v>444</v>
      </c>
      <c r="CD845" s="15" t="s">
        <v>444</v>
      </c>
      <c r="CF845" s="15" t="s">
        <v>444</v>
      </c>
      <c r="CI845" s="15" t="s">
        <v>444</v>
      </c>
      <c r="CK845" s="15" t="s">
        <v>444</v>
      </c>
      <c r="CM845" s="15" t="s">
        <v>444</v>
      </c>
      <c r="CO845" s="15" t="s">
        <v>444</v>
      </c>
      <c r="CP845" s="15" t="str">
        <f t="shared" ref="CP845:CP846" si="1475">"34.61"</f>
        <v>34.61</v>
      </c>
      <c r="CQ845" s="15" t="str">
        <f t="shared" ref="CQ845:CQ846" si="1476">"0.98"</f>
        <v>0.98</v>
      </c>
      <c r="CR845" s="15" t="s">
        <v>497</v>
      </c>
      <c r="DC845" s="15" t="str">
        <f>IFERROR(__xludf.DUMMYFUNCTION("""COMPUTED_VALUE"""),"")</f>
        <v/>
      </c>
      <c r="DE845" s="15" t="str">
        <f>IFERROR(__xludf.DUMMYFUNCTION("""COMPUTED_VALUE"""),"")</f>
        <v/>
      </c>
      <c r="DG845" s="15" t="str">
        <f>IFERROR(__xludf.DUMMYFUNCTION("""COMPUTED_VALUE"""),"")</f>
        <v/>
      </c>
      <c r="DL845" s="15" t="str">
        <f>IFERROR(__xludf.DUMMYFUNCTION("""COMPUTED_VALUE"""),"")</f>
        <v/>
      </c>
      <c r="DM845" s="15" t="s">
        <v>444</v>
      </c>
      <c r="DN845" s="15" t="s">
        <v>1371</v>
      </c>
      <c r="DO845" s="15">
        <v>6.0</v>
      </c>
      <c r="DP845" s="15" t="s">
        <v>419</v>
      </c>
      <c r="DR845" s="15">
        <v>0.0</v>
      </c>
      <c r="DT845" s="15" t="s">
        <v>420</v>
      </c>
      <c r="DU845" s="15" t="s">
        <v>421</v>
      </c>
      <c r="DY845" s="15">
        <v>0.0</v>
      </c>
      <c r="EF845" s="15" t="s">
        <v>422</v>
      </c>
      <c r="EG845" s="15" t="s">
        <v>445</v>
      </c>
      <c r="EH845" s="15" t="s">
        <v>8787</v>
      </c>
      <c r="EJ845" s="15" t="s">
        <v>500</v>
      </c>
      <c r="EK845" s="15" t="s">
        <v>501</v>
      </c>
      <c r="EM845" s="15" t="str">
        <f>IFERROR(__xludf.DUMMYFUNCTION("""COMPUTED_VALUE"""),"")</f>
        <v/>
      </c>
      <c r="EW845" s="15" t="s">
        <v>2736</v>
      </c>
      <c r="FL845" s="15" t="s">
        <v>426</v>
      </c>
      <c r="FM845" s="15">
        <v>0.0</v>
      </c>
      <c r="GH845" s="15">
        <v>0.0</v>
      </c>
      <c r="GI845" s="15" t="s">
        <v>427</v>
      </c>
      <c r="GQ845" s="15" t="s">
        <v>6427</v>
      </c>
      <c r="GR845" s="15" t="s">
        <v>6427</v>
      </c>
      <c r="GS845" s="15" t="s">
        <v>2464</v>
      </c>
      <c r="GT845" s="15" t="s">
        <v>2026</v>
      </c>
      <c r="GU845" s="15" t="s">
        <v>6700</v>
      </c>
      <c r="GV845" s="15" t="s">
        <v>6700</v>
      </c>
      <c r="GW845" s="15" t="s">
        <v>431</v>
      </c>
      <c r="GX845" s="15" t="s">
        <v>426</v>
      </c>
      <c r="GY845" s="15" t="s">
        <v>764</v>
      </c>
    </row>
    <row r="846" ht="15.75" customHeight="1">
      <c r="A846" s="14" t="s">
        <v>391</v>
      </c>
      <c r="B846" s="15" t="s">
        <v>8794</v>
      </c>
      <c r="C846" s="16"/>
      <c r="D846" s="15" t="s">
        <v>432</v>
      </c>
      <c r="G846" s="14" t="s">
        <v>393</v>
      </c>
      <c r="H846" s="14" t="s">
        <v>394</v>
      </c>
      <c r="I846" s="14" t="b">
        <v>1</v>
      </c>
      <c r="J846" s="14" t="s">
        <v>395</v>
      </c>
      <c r="L846" s="14" t="b">
        <v>0</v>
      </c>
      <c r="M846" s="15" t="s">
        <v>8802</v>
      </c>
      <c r="N846" s="14" t="s">
        <v>393</v>
      </c>
      <c r="O846" s="14" t="s">
        <v>393</v>
      </c>
      <c r="P846" s="15" t="s">
        <v>397</v>
      </c>
      <c r="Q846" s="15" t="s">
        <v>8790</v>
      </c>
      <c r="T846" s="14" t="b">
        <v>0</v>
      </c>
      <c r="U846" s="15" t="s">
        <v>8803</v>
      </c>
      <c r="V846" s="15" t="s">
        <v>8797</v>
      </c>
      <c r="W846" s="15" t="s">
        <v>401</v>
      </c>
      <c r="X846" s="15" t="s">
        <v>742</v>
      </c>
      <c r="Y846" s="15">
        <v>1859.0</v>
      </c>
      <c r="AA846" s="15" t="str">
        <f t="shared" si="1471"/>
        <v>715</v>
      </c>
      <c r="AB846" s="14" t="b">
        <v>1</v>
      </c>
      <c r="AC846" s="14" t="b">
        <v>1</v>
      </c>
      <c r="AD846" s="15" t="str">
        <f>"801542633592"</f>
        <v>801542633592</v>
      </c>
      <c r="AE846" s="15" t="s">
        <v>8804</v>
      </c>
      <c r="AF846" s="14" t="s">
        <v>404</v>
      </c>
      <c r="AG846" s="14" t="s">
        <v>405</v>
      </c>
      <c r="AH846" s="14" t="s">
        <v>406</v>
      </c>
      <c r="AI846" s="15">
        <v>0.0</v>
      </c>
      <c r="AL846" s="15" t="s">
        <v>8783</v>
      </c>
      <c r="AM846" s="15" t="s">
        <v>8799</v>
      </c>
      <c r="AN846" s="15" t="s">
        <v>8800</v>
      </c>
      <c r="AO846" s="15" t="s">
        <v>7136</v>
      </c>
      <c r="AP846" s="15" t="s">
        <v>3732</v>
      </c>
      <c r="AQ846" s="15" t="s">
        <v>517</v>
      </c>
      <c r="AR846" s="15" t="s">
        <v>518</v>
      </c>
      <c r="AS846" s="15" t="s">
        <v>5652</v>
      </c>
      <c r="AT846" s="15" t="s">
        <v>8790</v>
      </c>
      <c r="AU846" s="15" t="s">
        <v>8784</v>
      </c>
      <c r="AW846" s="15" t="s">
        <v>412</v>
      </c>
      <c r="AY846" s="15" t="s">
        <v>426</v>
      </c>
      <c r="AZ846" s="15" t="b">
        <v>1</v>
      </c>
      <c r="BA846" s="15" t="s">
        <v>413</v>
      </c>
      <c r="BB846" s="15" t="b">
        <v>0</v>
      </c>
      <c r="BC846" s="15" t="s">
        <v>8805</v>
      </c>
      <c r="BD846" s="15" t="s">
        <v>742</v>
      </c>
      <c r="BE846" s="15" t="str">
        <f t="shared" si="1450"/>
        <v>1</v>
      </c>
      <c r="BF846" s="15" t="s">
        <v>8786</v>
      </c>
      <c r="BG846" s="15" t="str">
        <f t="shared" si="1472"/>
        <v>67.13</v>
      </c>
      <c r="BH846" s="15" t="s">
        <v>4706</v>
      </c>
      <c r="BI846" s="15" t="str">
        <f t="shared" si="1466"/>
        <v>22.64</v>
      </c>
      <c r="BJ846" s="15" t="s">
        <v>5982</v>
      </c>
      <c r="BK846" s="15" t="str">
        <f t="shared" si="1473"/>
        <v>39.37</v>
      </c>
      <c r="BL846" s="15" t="s">
        <v>523</v>
      </c>
      <c r="BM846" s="15" t="str">
        <f t="shared" si="1474"/>
        <v>220.46</v>
      </c>
      <c r="BN846" s="15" t="s">
        <v>2777</v>
      </c>
      <c r="BQ846" s="15" t="s">
        <v>444</v>
      </c>
      <c r="BS846" s="15" t="s">
        <v>444</v>
      </c>
      <c r="BU846" s="15" t="s">
        <v>444</v>
      </c>
      <c r="BW846" s="15" t="s">
        <v>444</v>
      </c>
      <c r="BZ846" s="15" t="s">
        <v>444</v>
      </c>
      <c r="CB846" s="15" t="s">
        <v>444</v>
      </c>
      <c r="CD846" s="15" t="s">
        <v>444</v>
      </c>
      <c r="CF846" s="15" t="s">
        <v>444</v>
      </c>
      <c r="CI846" s="15" t="s">
        <v>444</v>
      </c>
      <c r="CK846" s="15" t="s">
        <v>444</v>
      </c>
      <c r="CM846" s="15" t="s">
        <v>444</v>
      </c>
      <c r="CO846" s="15" t="s">
        <v>444</v>
      </c>
      <c r="CP846" s="15" t="str">
        <f t="shared" si="1475"/>
        <v>34.61</v>
      </c>
      <c r="CQ846" s="15" t="str">
        <f t="shared" si="1476"/>
        <v>0.98</v>
      </c>
      <c r="CR846" s="15" t="s">
        <v>497</v>
      </c>
      <c r="DC846" s="15" t="str">
        <f>IFERROR(__xludf.DUMMYFUNCTION("""COMPUTED_VALUE"""),"")</f>
        <v/>
      </c>
      <c r="DE846" s="15" t="str">
        <f>IFERROR(__xludf.DUMMYFUNCTION("""COMPUTED_VALUE"""),"")</f>
        <v/>
      </c>
      <c r="DG846" s="15" t="str">
        <f>IFERROR(__xludf.DUMMYFUNCTION("""COMPUTED_VALUE"""),"")</f>
        <v/>
      </c>
      <c r="DL846" s="15" t="str">
        <f>IFERROR(__xludf.DUMMYFUNCTION("""COMPUTED_VALUE"""),"")</f>
        <v/>
      </c>
      <c r="DM846" s="15" t="s">
        <v>444</v>
      </c>
      <c r="DN846" s="15" t="s">
        <v>1371</v>
      </c>
      <c r="DO846" s="15">
        <v>6.0</v>
      </c>
      <c r="DP846" s="15" t="s">
        <v>419</v>
      </c>
      <c r="DR846" s="15">
        <v>0.0</v>
      </c>
      <c r="DT846" s="15" t="s">
        <v>420</v>
      </c>
      <c r="DU846" s="15" t="s">
        <v>421</v>
      </c>
      <c r="DY846" s="15">
        <v>0.0</v>
      </c>
      <c r="EF846" s="15" t="s">
        <v>422</v>
      </c>
      <c r="EG846" s="15" t="s">
        <v>445</v>
      </c>
      <c r="EH846" s="15" t="s">
        <v>8787</v>
      </c>
      <c r="EJ846" s="15" t="s">
        <v>500</v>
      </c>
      <c r="EK846" s="15" t="s">
        <v>501</v>
      </c>
      <c r="EM846" s="15" t="str">
        <f>IFERROR(__xludf.DUMMYFUNCTION("""COMPUTED_VALUE"""),"")</f>
        <v/>
      </c>
      <c r="EW846" s="15" t="s">
        <v>2736</v>
      </c>
      <c r="FL846" s="15" t="s">
        <v>426</v>
      </c>
      <c r="FM846" s="15">
        <v>0.0</v>
      </c>
      <c r="GH846" s="15">
        <v>0.0</v>
      </c>
      <c r="GI846" s="15" t="s">
        <v>427</v>
      </c>
      <c r="GQ846" s="15" t="s">
        <v>6427</v>
      </c>
      <c r="GR846" s="15" t="s">
        <v>6427</v>
      </c>
      <c r="GS846" s="15" t="s">
        <v>2464</v>
      </c>
      <c r="GT846" s="15" t="s">
        <v>2026</v>
      </c>
      <c r="GU846" s="15" t="s">
        <v>6700</v>
      </c>
      <c r="GV846" s="15" t="s">
        <v>6700</v>
      </c>
      <c r="GW846" s="15" t="s">
        <v>431</v>
      </c>
      <c r="GX846" s="15" t="s">
        <v>426</v>
      </c>
      <c r="GY846" s="15" t="s">
        <v>764</v>
      </c>
    </row>
    <row r="847" ht="15.75" customHeight="1">
      <c r="A847" s="14" t="s">
        <v>391</v>
      </c>
      <c r="B847" s="15" t="s">
        <v>8806</v>
      </c>
      <c r="C847" s="16"/>
      <c r="D847" s="15" t="s">
        <v>432</v>
      </c>
      <c r="G847" s="14" t="s">
        <v>393</v>
      </c>
      <c r="H847" s="14" t="s">
        <v>394</v>
      </c>
      <c r="I847" s="14" t="b">
        <v>1</v>
      </c>
      <c r="J847" s="14" t="s">
        <v>395</v>
      </c>
      <c r="L847" s="14" t="b">
        <v>0</v>
      </c>
      <c r="M847" s="15" t="s">
        <v>8807</v>
      </c>
      <c r="N847" s="14" t="s">
        <v>393</v>
      </c>
      <c r="O847" s="14" t="s">
        <v>393</v>
      </c>
      <c r="P847" s="15" t="s">
        <v>397</v>
      </c>
      <c r="Q847" s="15" t="s">
        <v>8716</v>
      </c>
      <c r="T847" s="14" t="b">
        <v>0</v>
      </c>
      <c r="U847" s="15" t="s">
        <v>8808</v>
      </c>
      <c r="V847" s="15" t="s">
        <v>8809</v>
      </c>
      <c r="W847" s="15" t="s">
        <v>401</v>
      </c>
      <c r="X847" s="15" t="s">
        <v>742</v>
      </c>
      <c r="Y847" s="15">
        <v>1638.0</v>
      </c>
      <c r="AA847" s="15" t="str">
        <f t="shared" ref="AA847:AA848" si="1477">"630"</f>
        <v>630</v>
      </c>
      <c r="AB847" s="14" t="b">
        <v>1</v>
      </c>
      <c r="AC847" s="14" t="b">
        <v>1</v>
      </c>
      <c r="AD847" s="15" t="str">
        <f>"801542757144"</f>
        <v>801542757144</v>
      </c>
      <c r="AE847" s="15" t="s">
        <v>8810</v>
      </c>
      <c r="AF847" s="14" t="s">
        <v>404</v>
      </c>
      <c r="AG847" s="14" t="s">
        <v>405</v>
      </c>
      <c r="AH847" s="14" t="s">
        <v>406</v>
      </c>
      <c r="AI847" s="15">
        <v>0.0</v>
      </c>
      <c r="AL847" s="15" t="s">
        <v>8783</v>
      </c>
      <c r="AM847" s="15" t="s">
        <v>976</v>
      </c>
      <c r="AN847" s="15" t="s">
        <v>977</v>
      </c>
      <c r="AO847" s="15" t="s">
        <v>7136</v>
      </c>
      <c r="AP847" s="15" t="s">
        <v>3732</v>
      </c>
      <c r="AQ847" s="15" t="s">
        <v>7653</v>
      </c>
      <c r="AR847" s="15" t="s">
        <v>7654</v>
      </c>
      <c r="AS847" s="15" t="s">
        <v>5652</v>
      </c>
      <c r="AT847" s="15" t="s">
        <v>8716</v>
      </c>
      <c r="AU847" s="15" t="s">
        <v>8784</v>
      </c>
      <c r="AW847" s="15" t="s">
        <v>412</v>
      </c>
      <c r="AY847" s="15" t="s">
        <v>413</v>
      </c>
      <c r="AZ847" s="15" t="b">
        <v>0</v>
      </c>
      <c r="BA847" s="15" t="s">
        <v>413</v>
      </c>
      <c r="BB847" s="15" t="b">
        <v>0</v>
      </c>
      <c r="BC847" s="15" t="s">
        <v>8801</v>
      </c>
      <c r="BD847" s="15" t="s">
        <v>742</v>
      </c>
      <c r="BE847" s="15" t="str">
        <f t="shared" si="1450"/>
        <v>1</v>
      </c>
      <c r="BF847" s="15" t="s">
        <v>8786</v>
      </c>
      <c r="BG847" s="15" t="str">
        <f t="shared" ref="BG847:BG848" si="1478">"40.94"</f>
        <v>40.94</v>
      </c>
      <c r="BH847" s="15" t="s">
        <v>648</v>
      </c>
      <c r="BI847" s="15" t="str">
        <f t="shared" si="1466"/>
        <v>22.64</v>
      </c>
      <c r="BJ847" s="15" t="s">
        <v>5982</v>
      </c>
      <c r="BK847" s="15" t="str">
        <f t="shared" ref="BK847:BK848" si="1479">"55.51"</f>
        <v>55.51</v>
      </c>
      <c r="BL847" s="15" t="s">
        <v>8811</v>
      </c>
      <c r="BM847" s="15" t="str">
        <f t="shared" ref="BM847:BM848" si="1480">"208.33"</f>
        <v>208.33</v>
      </c>
      <c r="BN847" s="15" t="s">
        <v>2114</v>
      </c>
      <c r="BQ847" s="15" t="s">
        <v>444</v>
      </c>
      <c r="BS847" s="15" t="s">
        <v>444</v>
      </c>
      <c r="BU847" s="15" t="s">
        <v>444</v>
      </c>
      <c r="BW847" s="15" t="s">
        <v>444</v>
      </c>
      <c r="BZ847" s="15" t="s">
        <v>444</v>
      </c>
      <c r="CB847" s="15" t="s">
        <v>444</v>
      </c>
      <c r="CD847" s="15" t="s">
        <v>444</v>
      </c>
      <c r="CF847" s="15" t="s">
        <v>444</v>
      </c>
      <c r="CI847" s="15" t="s">
        <v>444</v>
      </c>
      <c r="CK847" s="15" t="s">
        <v>444</v>
      </c>
      <c r="CM847" s="15" t="s">
        <v>444</v>
      </c>
      <c r="CO847" s="15" t="s">
        <v>444</v>
      </c>
      <c r="CP847" s="15" t="str">
        <f t="shared" ref="CP847:CP848" si="1481">"29.77"</f>
        <v>29.77</v>
      </c>
      <c r="CQ847" s="15" t="str">
        <f t="shared" ref="CQ847:CQ848" si="1482">"0.843"</f>
        <v>0.843</v>
      </c>
      <c r="CR847" s="15" t="s">
        <v>497</v>
      </c>
      <c r="DC847" s="15" t="str">
        <f>IFERROR(__xludf.DUMMYFUNCTION("""COMPUTED_VALUE"""),"")</f>
        <v/>
      </c>
      <c r="DE847" s="15" t="str">
        <f>IFERROR(__xludf.DUMMYFUNCTION("""COMPUTED_VALUE"""),"")</f>
        <v/>
      </c>
      <c r="DG847" s="15" t="str">
        <f>IFERROR(__xludf.DUMMYFUNCTION("""COMPUTED_VALUE"""),"")</f>
        <v/>
      </c>
      <c r="DL847" s="15" t="str">
        <f>IFERROR(__xludf.DUMMYFUNCTION("""COMPUTED_VALUE"""),"")</f>
        <v/>
      </c>
      <c r="DM847" s="15" t="s">
        <v>444</v>
      </c>
      <c r="DN847" s="15" t="s">
        <v>1371</v>
      </c>
      <c r="DO847" s="15">
        <v>6.0</v>
      </c>
      <c r="DP847" s="15" t="s">
        <v>419</v>
      </c>
      <c r="DR847" s="15">
        <v>0.0</v>
      </c>
      <c r="DT847" s="15" t="s">
        <v>420</v>
      </c>
      <c r="DU847" s="15" t="s">
        <v>421</v>
      </c>
      <c r="DY847" s="15">
        <v>0.0</v>
      </c>
      <c r="EF847" s="15" t="s">
        <v>2094</v>
      </c>
      <c r="EG847" s="15" t="s">
        <v>2095</v>
      </c>
      <c r="EH847" s="15" t="s">
        <v>8787</v>
      </c>
      <c r="EJ847" s="15" t="s">
        <v>500</v>
      </c>
      <c r="EK847" s="15" t="s">
        <v>501</v>
      </c>
      <c r="EM847" s="15" t="str">
        <f>IFERROR(__xludf.DUMMYFUNCTION("""COMPUTED_VALUE"""),"")</f>
        <v/>
      </c>
      <c r="EW847" s="15" t="s">
        <v>2736</v>
      </c>
      <c r="FL847" s="15" t="s">
        <v>426</v>
      </c>
      <c r="FM847" s="15">
        <v>0.0</v>
      </c>
      <c r="GH847" s="15">
        <v>0.0</v>
      </c>
      <c r="GI847" s="15" t="s">
        <v>427</v>
      </c>
      <c r="GQ847" s="15" t="s">
        <v>6427</v>
      </c>
      <c r="GR847" s="15" t="s">
        <v>6427</v>
      </c>
      <c r="GS847" s="15" t="s">
        <v>2026</v>
      </c>
      <c r="GT847" s="15" t="s">
        <v>732</v>
      </c>
      <c r="GU847" s="15" t="s">
        <v>8812</v>
      </c>
      <c r="GV847" s="15" t="s">
        <v>1592</v>
      </c>
      <c r="GW847" s="15" t="s">
        <v>431</v>
      </c>
      <c r="GY847" s="15" t="s">
        <v>764</v>
      </c>
    </row>
    <row r="848" ht="15.75" customHeight="1">
      <c r="A848" s="14" t="s">
        <v>391</v>
      </c>
      <c r="B848" s="15" t="s">
        <v>8806</v>
      </c>
      <c r="C848" s="16"/>
      <c r="D848" s="15" t="s">
        <v>432</v>
      </c>
      <c r="G848" s="14" t="s">
        <v>393</v>
      </c>
      <c r="H848" s="14" t="s">
        <v>394</v>
      </c>
      <c r="I848" s="14" t="b">
        <v>1</v>
      </c>
      <c r="J848" s="14" t="s">
        <v>395</v>
      </c>
      <c r="L848" s="14" t="b">
        <v>0</v>
      </c>
      <c r="M848" s="15" t="s">
        <v>8813</v>
      </c>
      <c r="N848" s="14" t="s">
        <v>393</v>
      </c>
      <c r="O848" s="14" t="s">
        <v>393</v>
      </c>
      <c r="P848" s="15" t="s">
        <v>397</v>
      </c>
      <c r="Q848" s="15" t="s">
        <v>8790</v>
      </c>
      <c r="T848" s="14" t="b">
        <v>0</v>
      </c>
      <c r="U848" s="15" t="s">
        <v>8814</v>
      </c>
      <c r="V848" s="15" t="s">
        <v>8809</v>
      </c>
      <c r="W848" s="15" t="s">
        <v>401</v>
      </c>
      <c r="X848" s="15" t="s">
        <v>742</v>
      </c>
      <c r="Y848" s="15">
        <v>1638.0</v>
      </c>
      <c r="AA848" s="15" t="str">
        <f t="shared" si="1477"/>
        <v>630</v>
      </c>
      <c r="AB848" s="14" t="b">
        <v>1</v>
      </c>
      <c r="AC848" s="14" t="b">
        <v>1</v>
      </c>
      <c r="AD848" s="15" t="str">
        <f>"801542633585"</f>
        <v>801542633585</v>
      </c>
      <c r="AE848" s="15" t="s">
        <v>8815</v>
      </c>
      <c r="AF848" s="14" t="s">
        <v>404</v>
      </c>
      <c r="AG848" s="14" t="s">
        <v>405</v>
      </c>
      <c r="AH848" s="14" t="s">
        <v>406</v>
      </c>
      <c r="AI848" s="15">
        <v>0.0</v>
      </c>
      <c r="AL848" s="15" t="s">
        <v>8783</v>
      </c>
      <c r="AM848" s="15" t="s">
        <v>976</v>
      </c>
      <c r="AN848" s="15" t="s">
        <v>977</v>
      </c>
      <c r="AO848" s="15" t="s">
        <v>7136</v>
      </c>
      <c r="AP848" s="15" t="s">
        <v>3732</v>
      </c>
      <c r="AQ848" s="15" t="s">
        <v>7653</v>
      </c>
      <c r="AR848" s="15" t="s">
        <v>7654</v>
      </c>
      <c r="AS848" s="15" t="s">
        <v>5652</v>
      </c>
      <c r="AT848" s="15" t="s">
        <v>8790</v>
      </c>
      <c r="AU848" s="15" t="s">
        <v>8784</v>
      </c>
      <c r="AW848" s="15" t="s">
        <v>412</v>
      </c>
      <c r="AY848" s="15" t="s">
        <v>413</v>
      </c>
      <c r="AZ848" s="15" t="b">
        <v>0</v>
      </c>
      <c r="BA848" s="15" t="s">
        <v>413</v>
      </c>
      <c r="BB848" s="15" t="b">
        <v>0</v>
      </c>
      <c r="BC848" s="15" t="s">
        <v>8805</v>
      </c>
      <c r="BD848" s="15" t="s">
        <v>742</v>
      </c>
      <c r="BE848" s="15" t="str">
        <f t="shared" si="1450"/>
        <v>1</v>
      </c>
      <c r="BF848" s="15" t="s">
        <v>8786</v>
      </c>
      <c r="BG848" s="15" t="str">
        <f t="shared" si="1478"/>
        <v>40.94</v>
      </c>
      <c r="BH848" s="15" t="s">
        <v>648</v>
      </c>
      <c r="BI848" s="15" t="str">
        <f t="shared" si="1466"/>
        <v>22.64</v>
      </c>
      <c r="BJ848" s="15" t="s">
        <v>5982</v>
      </c>
      <c r="BK848" s="15" t="str">
        <f t="shared" si="1479"/>
        <v>55.51</v>
      </c>
      <c r="BL848" s="15" t="s">
        <v>8811</v>
      </c>
      <c r="BM848" s="15" t="str">
        <f t="shared" si="1480"/>
        <v>208.33</v>
      </c>
      <c r="BN848" s="15" t="s">
        <v>2114</v>
      </c>
      <c r="BQ848" s="15" t="s">
        <v>444</v>
      </c>
      <c r="BS848" s="15" t="s">
        <v>444</v>
      </c>
      <c r="BU848" s="15" t="s">
        <v>444</v>
      </c>
      <c r="BW848" s="15" t="s">
        <v>444</v>
      </c>
      <c r="BZ848" s="15" t="s">
        <v>444</v>
      </c>
      <c r="CB848" s="15" t="s">
        <v>444</v>
      </c>
      <c r="CD848" s="15" t="s">
        <v>444</v>
      </c>
      <c r="CF848" s="15" t="s">
        <v>444</v>
      </c>
      <c r="CI848" s="15" t="s">
        <v>444</v>
      </c>
      <c r="CK848" s="15" t="s">
        <v>444</v>
      </c>
      <c r="CM848" s="15" t="s">
        <v>444</v>
      </c>
      <c r="CO848" s="15" t="s">
        <v>444</v>
      </c>
      <c r="CP848" s="15" t="str">
        <f t="shared" si="1481"/>
        <v>29.77</v>
      </c>
      <c r="CQ848" s="15" t="str">
        <f t="shared" si="1482"/>
        <v>0.843</v>
      </c>
      <c r="CR848" s="15" t="s">
        <v>497</v>
      </c>
      <c r="DC848" s="15" t="str">
        <f>IFERROR(__xludf.DUMMYFUNCTION("""COMPUTED_VALUE"""),"")</f>
        <v/>
      </c>
      <c r="DE848" s="15" t="str">
        <f>IFERROR(__xludf.DUMMYFUNCTION("""COMPUTED_VALUE"""),"")</f>
        <v/>
      </c>
      <c r="DG848" s="15" t="str">
        <f>IFERROR(__xludf.DUMMYFUNCTION("""COMPUTED_VALUE"""),"")</f>
        <v/>
      </c>
      <c r="DL848" s="15" t="str">
        <f>IFERROR(__xludf.DUMMYFUNCTION("""COMPUTED_VALUE"""),"")</f>
        <v/>
      </c>
      <c r="DM848" s="15" t="s">
        <v>444</v>
      </c>
      <c r="DN848" s="15" t="s">
        <v>1371</v>
      </c>
      <c r="DO848" s="15">
        <v>6.0</v>
      </c>
      <c r="DP848" s="15" t="s">
        <v>419</v>
      </c>
      <c r="DR848" s="15">
        <v>0.0</v>
      </c>
      <c r="DT848" s="15" t="s">
        <v>420</v>
      </c>
      <c r="DU848" s="15" t="s">
        <v>421</v>
      </c>
      <c r="DY848" s="15">
        <v>0.0</v>
      </c>
      <c r="EF848" s="15" t="s">
        <v>2094</v>
      </c>
      <c r="EG848" s="15" t="s">
        <v>2095</v>
      </c>
      <c r="EH848" s="15" t="s">
        <v>8787</v>
      </c>
      <c r="EJ848" s="15" t="s">
        <v>500</v>
      </c>
      <c r="EK848" s="15" t="s">
        <v>501</v>
      </c>
      <c r="EM848" s="15" t="str">
        <f>IFERROR(__xludf.DUMMYFUNCTION("""COMPUTED_VALUE"""),"")</f>
        <v/>
      </c>
      <c r="EW848" s="15" t="s">
        <v>2736</v>
      </c>
      <c r="FL848" s="15" t="s">
        <v>426</v>
      </c>
      <c r="FM848" s="15">
        <v>0.0</v>
      </c>
      <c r="GH848" s="15">
        <v>0.0</v>
      </c>
      <c r="GI848" s="15" t="s">
        <v>427</v>
      </c>
      <c r="GQ848" s="15" t="s">
        <v>6427</v>
      </c>
      <c r="GR848" s="15" t="s">
        <v>6427</v>
      </c>
      <c r="GS848" s="15" t="s">
        <v>2026</v>
      </c>
      <c r="GT848" s="15" t="s">
        <v>732</v>
      </c>
      <c r="GU848" s="15" t="s">
        <v>8812</v>
      </c>
      <c r="GV848" s="15" t="s">
        <v>1592</v>
      </c>
      <c r="GW848" s="15" t="s">
        <v>431</v>
      </c>
      <c r="GY848" s="15" t="s">
        <v>764</v>
      </c>
    </row>
    <row r="849" ht="15.75" customHeight="1">
      <c r="A849" s="14" t="s">
        <v>391</v>
      </c>
      <c r="B849" s="15" t="s">
        <v>8816</v>
      </c>
      <c r="C849" s="16"/>
      <c r="D849" s="15" t="s">
        <v>432</v>
      </c>
      <c r="G849" s="14" t="s">
        <v>393</v>
      </c>
      <c r="H849" s="14" t="s">
        <v>394</v>
      </c>
      <c r="I849" s="14" t="b">
        <v>1</v>
      </c>
      <c r="J849" s="14" t="s">
        <v>395</v>
      </c>
      <c r="L849" s="14" t="b">
        <v>0</v>
      </c>
      <c r="M849" s="15" t="s">
        <v>8817</v>
      </c>
      <c r="N849" s="14" t="s">
        <v>393</v>
      </c>
      <c r="O849" s="14" t="s">
        <v>393</v>
      </c>
      <c r="P849" s="15" t="s">
        <v>397</v>
      </c>
      <c r="Q849" s="15" t="s">
        <v>8716</v>
      </c>
      <c r="T849" s="14" t="b">
        <v>0</v>
      </c>
      <c r="U849" s="15" t="s">
        <v>8818</v>
      </c>
      <c r="V849" s="15" t="s">
        <v>3090</v>
      </c>
      <c r="W849" s="15" t="s">
        <v>401</v>
      </c>
      <c r="X849" s="15" t="s">
        <v>742</v>
      </c>
      <c r="Y849" s="15">
        <v>2080.0</v>
      </c>
      <c r="AA849" s="15" t="str">
        <f t="shared" ref="AA849:AA850" si="1483">"800"</f>
        <v>800</v>
      </c>
      <c r="AB849" s="14" t="b">
        <v>1</v>
      </c>
      <c r="AC849" s="14" t="b">
        <v>1</v>
      </c>
      <c r="AD849" s="15" t="str">
        <f>"198394062190"</f>
        <v>198394062190</v>
      </c>
      <c r="AE849" s="15" t="s">
        <v>8819</v>
      </c>
      <c r="AF849" s="14" t="s">
        <v>404</v>
      </c>
      <c r="AG849" s="14" t="s">
        <v>405</v>
      </c>
      <c r="AH849" s="14" t="s">
        <v>406</v>
      </c>
      <c r="AI849" s="15">
        <v>0.0</v>
      </c>
      <c r="AL849" s="15" t="s">
        <v>8783</v>
      </c>
      <c r="AM849" s="15" t="s">
        <v>8799</v>
      </c>
      <c r="AN849" s="15" t="s">
        <v>8800</v>
      </c>
      <c r="AO849" s="15" t="s">
        <v>1248</v>
      </c>
      <c r="AP849" s="15" t="s">
        <v>1249</v>
      </c>
      <c r="AQ849" s="15" t="s">
        <v>8462</v>
      </c>
      <c r="AR849" s="15" t="s">
        <v>1280</v>
      </c>
      <c r="AS849" s="15" t="s">
        <v>5652</v>
      </c>
      <c r="AT849" s="15" t="s">
        <v>8716</v>
      </c>
      <c r="AU849" s="15" t="s">
        <v>8784</v>
      </c>
      <c r="AW849" s="15" t="s">
        <v>412</v>
      </c>
      <c r="AY849" s="15" t="s">
        <v>413</v>
      </c>
      <c r="AZ849" s="15" t="b">
        <v>0</v>
      </c>
      <c r="BA849" s="15" t="s">
        <v>413</v>
      </c>
      <c r="BB849" s="15" t="b">
        <v>0</v>
      </c>
      <c r="BD849" s="15" t="s">
        <v>742</v>
      </c>
      <c r="BE849" s="15" t="str">
        <f t="shared" si="1450"/>
        <v>1</v>
      </c>
      <c r="BF849" s="15" t="s">
        <v>416</v>
      </c>
      <c r="BG849" s="15" t="str">
        <f t="shared" ref="BG849:BG850" si="1484">"66.34"</f>
        <v>66.34</v>
      </c>
      <c r="BH849" s="15" t="s">
        <v>6548</v>
      </c>
      <c r="BI849" s="15" t="str">
        <f t="shared" ref="BI849:BI850" si="1485">"24.8"</f>
        <v>24.8</v>
      </c>
      <c r="BJ849" s="15" t="s">
        <v>711</v>
      </c>
      <c r="BK849" s="15" t="str">
        <f t="shared" ref="BK849:BK850" si="1486">"46.65"</f>
        <v>46.65</v>
      </c>
      <c r="BL849" s="15" t="s">
        <v>7871</v>
      </c>
      <c r="BM849" s="15" t="str">
        <f t="shared" ref="BM849:BM850" si="1487">"273.37"</f>
        <v>273.37</v>
      </c>
      <c r="BN849" s="15" t="s">
        <v>2093</v>
      </c>
      <c r="BQ849" s="15" t="s">
        <v>444</v>
      </c>
      <c r="BS849" s="15" t="s">
        <v>444</v>
      </c>
      <c r="BU849" s="15" t="s">
        <v>444</v>
      </c>
      <c r="BW849" s="15" t="s">
        <v>444</v>
      </c>
      <c r="BZ849" s="15" t="s">
        <v>444</v>
      </c>
      <c r="CB849" s="15" t="s">
        <v>444</v>
      </c>
      <c r="CD849" s="15" t="s">
        <v>444</v>
      </c>
      <c r="CF849" s="15" t="s">
        <v>444</v>
      </c>
      <c r="CI849" s="15" t="s">
        <v>444</v>
      </c>
      <c r="CK849" s="15" t="s">
        <v>444</v>
      </c>
      <c r="CM849" s="15" t="s">
        <v>444</v>
      </c>
      <c r="CO849" s="15" t="s">
        <v>444</v>
      </c>
      <c r="CP849" s="15" t="str">
        <f t="shared" ref="CP849:CP850" si="1488">"44.43"</f>
        <v>44.43</v>
      </c>
      <c r="CQ849" s="15" t="str">
        <f t="shared" ref="CQ849:CQ850" si="1489">"1.258"</f>
        <v>1.258</v>
      </c>
      <c r="CR849" s="15" t="s">
        <v>465</v>
      </c>
      <c r="DC849" s="15" t="str">
        <f>IFERROR(__xludf.DUMMYFUNCTION("""COMPUTED_VALUE"""),"")</f>
        <v/>
      </c>
      <c r="DE849" s="15" t="str">
        <f>IFERROR(__xludf.DUMMYFUNCTION("""COMPUTED_VALUE"""),"")</f>
        <v/>
      </c>
      <c r="DG849" s="15" t="str">
        <f>IFERROR(__xludf.DUMMYFUNCTION("""COMPUTED_VALUE"""),"")</f>
        <v/>
      </c>
      <c r="DL849" s="15" t="str">
        <f>IFERROR(__xludf.DUMMYFUNCTION("""COMPUTED_VALUE"""),"")</f>
        <v/>
      </c>
      <c r="DM849" s="15" t="s">
        <v>444</v>
      </c>
      <c r="DN849" s="15" t="s">
        <v>1371</v>
      </c>
      <c r="DO849" s="15">
        <v>8.0</v>
      </c>
      <c r="DP849" s="15" t="s">
        <v>419</v>
      </c>
      <c r="DR849" s="15">
        <v>0.0</v>
      </c>
      <c r="DT849" s="15" t="s">
        <v>764</v>
      </c>
      <c r="DU849" s="15" t="s">
        <v>421</v>
      </c>
      <c r="DY849" s="15">
        <v>0.0</v>
      </c>
      <c r="EF849" s="15" t="s">
        <v>422</v>
      </c>
      <c r="EG849" s="15" t="s">
        <v>445</v>
      </c>
      <c r="EH849" s="15" t="s">
        <v>8787</v>
      </c>
      <c r="EJ849" s="15" t="s">
        <v>500</v>
      </c>
      <c r="EK849" s="15" t="s">
        <v>501</v>
      </c>
      <c r="EM849" s="15" t="str">
        <f>IFERROR(__xludf.DUMMYFUNCTION("""COMPUTED_VALUE"""),"")</f>
        <v/>
      </c>
      <c r="EW849" s="15" t="s">
        <v>762</v>
      </c>
      <c r="FL849" s="15" t="s">
        <v>426</v>
      </c>
      <c r="FM849" s="15">
        <v>0.0</v>
      </c>
      <c r="GH849" s="15">
        <v>0.0</v>
      </c>
      <c r="GI849" s="15" t="s">
        <v>427</v>
      </c>
      <c r="GQ849" s="15" t="s">
        <v>5557</v>
      </c>
      <c r="GR849" s="15" t="s">
        <v>5557</v>
      </c>
      <c r="GS849" s="15" t="s">
        <v>8820</v>
      </c>
      <c r="GT849" s="15" t="s">
        <v>3155</v>
      </c>
      <c r="GU849" s="15" t="s">
        <v>6700</v>
      </c>
      <c r="GV849" s="15" t="s">
        <v>6700</v>
      </c>
      <c r="GW849" s="15" t="s">
        <v>431</v>
      </c>
      <c r="GY849" s="15" t="s">
        <v>764</v>
      </c>
    </row>
    <row r="850" ht="15.75" customHeight="1">
      <c r="A850" s="14" t="s">
        <v>391</v>
      </c>
      <c r="B850" s="15" t="s">
        <v>8816</v>
      </c>
      <c r="C850" s="16"/>
      <c r="D850" s="15" t="s">
        <v>432</v>
      </c>
      <c r="G850" s="14" t="s">
        <v>393</v>
      </c>
      <c r="H850" s="14" t="s">
        <v>394</v>
      </c>
      <c r="I850" s="14" t="b">
        <v>1</v>
      </c>
      <c r="J850" s="14" t="s">
        <v>395</v>
      </c>
      <c r="L850" s="14" t="b">
        <v>0</v>
      </c>
      <c r="M850" s="15" t="s">
        <v>8821</v>
      </c>
      <c r="N850" s="14" t="s">
        <v>393</v>
      </c>
      <c r="O850" s="14" t="s">
        <v>393</v>
      </c>
      <c r="P850" s="15" t="s">
        <v>397</v>
      </c>
      <c r="Q850" s="15" t="s">
        <v>8790</v>
      </c>
      <c r="T850" s="14" t="b">
        <v>0</v>
      </c>
      <c r="U850" s="15" t="s">
        <v>8822</v>
      </c>
      <c r="V850" s="15" t="s">
        <v>3090</v>
      </c>
      <c r="W850" s="15" t="s">
        <v>401</v>
      </c>
      <c r="X850" s="15" t="s">
        <v>742</v>
      </c>
      <c r="Y850" s="15">
        <v>2080.0</v>
      </c>
      <c r="AA850" s="15" t="str">
        <f t="shared" si="1483"/>
        <v>800</v>
      </c>
      <c r="AB850" s="14" t="b">
        <v>1</v>
      </c>
      <c r="AC850" s="14" t="b">
        <v>1</v>
      </c>
      <c r="AD850" s="15" t="str">
        <f>"801542985714"</f>
        <v>801542985714</v>
      </c>
      <c r="AE850" s="15" t="s">
        <v>8823</v>
      </c>
      <c r="AF850" s="14" t="s">
        <v>404</v>
      </c>
      <c r="AG850" s="14" t="s">
        <v>405</v>
      </c>
      <c r="AH850" s="14" t="s">
        <v>406</v>
      </c>
      <c r="AI850" s="15">
        <v>0.0</v>
      </c>
      <c r="AL850" s="15" t="s">
        <v>8783</v>
      </c>
      <c r="AM850" s="15" t="s">
        <v>8799</v>
      </c>
      <c r="AN850" s="15" t="s">
        <v>8800</v>
      </c>
      <c r="AO850" s="15" t="s">
        <v>1248</v>
      </c>
      <c r="AP850" s="15" t="s">
        <v>1249</v>
      </c>
      <c r="AQ850" s="15" t="s">
        <v>8462</v>
      </c>
      <c r="AR850" s="15" t="s">
        <v>1280</v>
      </c>
      <c r="AS850" s="15" t="s">
        <v>5652</v>
      </c>
      <c r="AT850" s="15" t="s">
        <v>8790</v>
      </c>
      <c r="AU850" s="15" t="s">
        <v>8784</v>
      </c>
      <c r="AW850" s="15" t="s">
        <v>412</v>
      </c>
      <c r="AY850" s="15" t="s">
        <v>413</v>
      </c>
      <c r="AZ850" s="15" t="b">
        <v>0</v>
      </c>
      <c r="BA850" s="15" t="s">
        <v>413</v>
      </c>
      <c r="BB850" s="15" t="b">
        <v>0</v>
      </c>
      <c r="BD850" s="15" t="s">
        <v>742</v>
      </c>
      <c r="BE850" s="15" t="str">
        <f t="shared" si="1450"/>
        <v>1</v>
      </c>
      <c r="BF850" s="15" t="s">
        <v>416</v>
      </c>
      <c r="BG850" s="15" t="str">
        <f t="shared" si="1484"/>
        <v>66.34</v>
      </c>
      <c r="BH850" s="15" t="s">
        <v>6548</v>
      </c>
      <c r="BI850" s="15" t="str">
        <f t="shared" si="1485"/>
        <v>24.8</v>
      </c>
      <c r="BJ850" s="15" t="s">
        <v>711</v>
      </c>
      <c r="BK850" s="15" t="str">
        <f t="shared" si="1486"/>
        <v>46.65</v>
      </c>
      <c r="BL850" s="15" t="s">
        <v>7871</v>
      </c>
      <c r="BM850" s="15" t="str">
        <f t="shared" si="1487"/>
        <v>273.37</v>
      </c>
      <c r="BN850" s="15" t="s">
        <v>2093</v>
      </c>
      <c r="BQ850" s="15" t="s">
        <v>444</v>
      </c>
      <c r="BS850" s="15" t="s">
        <v>444</v>
      </c>
      <c r="BU850" s="15" t="s">
        <v>444</v>
      </c>
      <c r="BW850" s="15" t="s">
        <v>444</v>
      </c>
      <c r="BZ850" s="15" t="s">
        <v>444</v>
      </c>
      <c r="CB850" s="15" t="s">
        <v>444</v>
      </c>
      <c r="CD850" s="15" t="s">
        <v>444</v>
      </c>
      <c r="CF850" s="15" t="s">
        <v>444</v>
      </c>
      <c r="CI850" s="15" t="s">
        <v>444</v>
      </c>
      <c r="CK850" s="15" t="s">
        <v>444</v>
      </c>
      <c r="CM850" s="15" t="s">
        <v>444</v>
      </c>
      <c r="CO850" s="15" t="s">
        <v>444</v>
      </c>
      <c r="CP850" s="15" t="str">
        <f t="shared" si="1488"/>
        <v>44.43</v>
      </c>
      <c r="CQ850" s="15" t="str">
        <f t="shared" si="1489"/>
        <v>1.258</v>
      </c>
      <c r="CR850" s="15" t="s">
        <v>465</v>
      </c>
      <c r="DC850" s="15" t="str">
        <f>IFERROR(__xludf.DUMMYFUNCTION("""COMPUTED_VALUE"""),"")</f>
        <v/>
      </c>
      <c r="DE850" s="15" t="str">
        <f>IFERROR(__xludf.DUMMYFUNCTION("""COMPUTED_VALUE"""),"")</f>
        <v/>
      </c>
      <c r="DG850" s="15" t="str">
        <f>IFERROR(__xludf.DUMMYFUNCTION("""COMPUTED_VALUE"""),"")</f>
        <v/>
      </c>
      <c r="DL850" s="15" t="str">
        <f>IFERROR(__xludf.DUMMYFUNCTION("""COMPUTED_VALUE"""),"")</f>
        <v/>
      </c>
      <c r="DM850" s="15" t="s">
        <v>444</v>
      </c>
      <c r="DN850" s="15" t="s">
        <v>1371</v>
      </c>
      <c r="DO850" s="15">
        <v>8.0</v>
      </c>
      <c r="DP850" s="15" t="s">
        <v>419</v>
      </c>
      <c r="DR850" s="15">
        <v>0.0</v>
      </c>
      <c r="DT850" s="15" t="s">
        <v>764</v>
      </c>
      <c r="DU850" s="15" t="s">
        <v>421</v>
      </c>
      <c r="DY850" s="15">
        <v>0.0</v>
      </c>
      <c r="EF850" s="15" t="s">
        <v>422</v>
      </c>
      <c r="EG850" s="15" t="s">
        <v>445</v>
      </c>
      <c r="EH850" s="15" t="s">
        <v>8787</v>
      </c>
      <c r="EJ850" s="15" t="s">
        <v>500</v>
      </c>
      <c r="EK850" s="15" t="s">
        <v>501</v>
      </c>
      <c r="EM850" s="15" t="str">
        <f>IFERROR(__xludf.DUMMYFUNCTION("""COMPUTED_VALUE"""),"")</f>
        <v/>
      </c>
      <c r="EW850" s="15" t="s">
        <v>762</v>
      </c>
      <c r="FL850" s="15" t="s">
        <v>426</v>
      </c>
      <c r="FM850" s="15">
        <v>0.0</v>
      </c>
      <c r="GH850" s="15">
        <v>0.0</v>
      </c>
      <c r="GI850" s="15" t="s">
        <v>427</v>
      </c>
      <c r="GQ850" s="15" t="s">
        <v>5557</v>
      </c>
      <c r="GR850" s="15" t="s">
        <v>5557</v>
      </c>
      <c r="GS850" s="15" t="s">
        <v>8820</v>
      </c>
      <c r="GT850" s="15" t="s">
        <v>3155</v>
      </c>
      <c r="GU850" s="15" t="s">
        <v>6700</v>
      </c>
      <c r="GV850" s="15" t="s">
        <v>6700</v>
      </c>
      <c r="GW850" s="15" t="s">
        <v>431</v>
      </c>
      <c r="GY850" s="15" t="s">
        <v>764</v>
      </c>
    </row>
    <row r="851" ht="15.75" customHeight="1">
      <c r="A851" s="14" t="s">
        <v>391</v>
      </c>
      <c r="B851" s="15" t="s">
        <v>8824</v>
      </c>
      <c r="C851" s="16"/>
      <c r="D851" s="15" t="s">
        <v>432</v>
      </c>
      <c r="G851" s="14" t="s">
        <v>393</v>
      </c>
      <c r="H851" s="14" t="s">
        <v>394</v>
      </c>
      <c r="I851" s="14" t="b">
        <v>1</v>
      </c>
      <c r="J851" s="14" t="s">
        <v>395</v>
      </c>
      <c r="L851" s="14" t="b">
        <v>0</v>
      </c>
      <c r="M851" s="15" t="s">
        <v>8825</v>
      </c>
      <c r="N851" s="14" t="s">
        <v>393</v>
      </c>
      <c r="O851" s="14" t="s">
        <v>393</v>
      </c>
      <c r="P851" s="15" t="s">
        <v>397</v>
      </c>
      <c r="Q851" s="15" t="s">
        <v>8784</v>
      </c>
      <c r="R851" s="15" t="s">
        <v>265</v>
      </c>
      <c r="S851" s="15" t="s">
        <v>877</v>
      </c>
      <c r="T851" s="14" t="b">
        <v>0</v>
      </c>
      <c r="U851" s="15" t="s">
        <v>8826</v>
      </c>
      <c r="V851" s="15" t="s">
        <v>8827</v>
      </c>
      <c r="W851" s="15" t="s">
        <v>401</v>
      </c>
      <c r="X851" s="15" t="s">
        <v>742</v>
      </c>
      <c r="Y851" s="15">
        <v>2184.0</v>
      </c>
      <c r="AA851" s="15" t="str">
        <f>"840"</f>
        <v>840</v>
      </c>
      <c r="AB851" s="14" t="b">
        <v>1</v>
      </c>
      <c r="AC851" s="14" t="b">
        <v>1</v>
      </c>
      <c r="AD851" s="15" t="str">
        <f>"801542633646"</f>
        <v>801542633646</v>
      </c>
      <c r="AE851" s="15" t="s">
        <v>8828</v>
      </c>
      <c r="AF851" s="14" t="s">
        <v>404</v>
      </c>
      <c r="AG851" s="14" t="s">
        <v>405</v>
      </c>
      <c r="AH851" s="14" t="s">
        <v>406</v>
      </c>
      <c r="AI851" s="15">
        <v>0.0</v>
      </c>
      <c r="AL851" s="15" t="s">
        <v>8829</v>
      </c>
      <c r="AM851" s="15" t="s">
        <v>3769</v>
      </c>
      <c r="AN851" s="15" t="s">
        <v>2234</v>
      </c>
      <c r="AO851" s="15" t="s">
        <v>1381</v>
      </c>
      <c r="AP851" s="15" t="s">
        <v>1382</v>
      </c>
      <c r="AQ851" s="15" t="s">
        <v>4424</v>
      </c>
      <c r="AR851" s="15" t="s">
        <v>3620</v>
      </c>
      <c r="AS851" s="15" t="s">
        <v>5652</v>
      </c>
      <c r="AT851" s="15" t="s">
        <v>8784</v>
      </c>
      <c r="AU851" s="15" t="s">
        <v>8790</v>
      </c>
      <c r="AW851" s="15" t="s">
        <v>839</v>
      </c>
      <c r="AX851" s="15" t="s">
        <v>877</v>
      </c>
      <c r="AY851" s="15" t="s">
        <v>413</v>
      </c>
      <c r="AZ851" s="15" t="b">
        <v>0</v>
      </c>
      <c r="BA851" s="15" t="s">
        <v>413</v>
      </c>
      <c r="BB851" s="15" t="b">
        <v>0</v>
      </c>
      <c r="BC851" s="15" t="s">
        <v>8830</v>
      </c>
      <c r="BD851" s="15" t="s">
        <v>742</v>
      </c>
      <c r="BE851" s="15" t="str">
        <f t="shared" ref="BE851:BE856" si="1490">"3"</f>
        <v>3</v>
      </c>
      <c r="BF851" s="15" t="s">
        <v>841</v>
      </c>
      <c r="BG851" s="15" t="str">
        <f>"66.93"</f>
        <v>66.93</v>
      </c>
      <c r="BH851" s="15" t="s">
        <v>1230</v>
      </c>
      <c r="BI851" s="15" t="str">
        <f t="shared" ref="BI851:BI856" si="1491">"5.91"</f>
        <v>5.91</v>
      </c>
      <c r="BJ851" s="15" t="s">
        <v>7613</v>
      </c>
      <c r="BK851" s="15" t="str">
        <f t="shared" ref="BK851:BK856" si="1492">"54.72"</f>
        <v>54.72</v>
      </c>
      <c r="BL851" s="15" t="s">
        <v>6622</v>
      </c>
      <c r="BM851" s="15" t="str">
        <f>"84.88"</f>
        <v>84.88</v>
      </c>
      <c r="BN851" s="15" t="s">
        <v>2981</v>
      </c>
      <c r="BO851" s="15" t="s">
        <v>8831</v>
      </c>
      <c r="BP851" s="15" t="str">
        <f>"66.93"</f>
        <v>66.93</v>
      </c>
      <c r="BQ851" s="15" t="s">
        <v>1230</v>
      </c>
      <c r="BR851" s="15" t="str">
        <f t="shared" ref="BR851:BR856" si="1493">"4.72"</f>
        <v>4.72</v>
      </c>
      <c r="BS851" s="15" t="s">
        <v>6740</v>
      </c>
      <c r="BT851" s="15" t="str">
        <f t="shared" ref="BT851:BT856" si="1494">"37.8"</f>
        <v>37.8</v>
      </c>
      <c r="BU851" s="15" t="s">
        <v>756</v>
      </c>
      <c r="BV851" s="15" t="str">
        <f>"65.04"</f>
        <v>65.04</v>
      </c>
      <c r="BW851" s="15" t="s">
        <v>4327</v>
      </c>
      <c r="BX851" s="15" t="s">
        <v>2966</v>
      </c>
      <c r="BY851" s="15" t="str">
        <f t="shared" ref="BY851:BY856" si="1495">"85.43"</f>
        <v>85.43</v>
      </c>
      <c r="BZ851" s="15" t="s">
        <v>3967</v>
      </c>
      <c r="CA851" s="15" t="str">
        <f t="shared" ref="CA851:CA856" si="1496">"5.91"</f>
        <v>5.91</v>
      </c>
      <c r="CB851" s="15" t="s">
        <v>7613</v>
      </c>
      <c r="CC851" s="15" t="str">
        <f t="shared" ref="CC851:CC856" si="1497">"13.39"</f>
        <v>13.39</v>
      </c>
      <c r="CD851" s="15" t="s">
        <v>6551</v>
      </c>
      <c r="CE851" s="15" t="str">
        <f t="shared" ref="CE851:CE856" si="1498">"46.3"</f>
        <v>46.3</v>
      </c>
      <c r="CF851" s="15" t="s">
        <v>8832</v>
      </c>
      <c r="CI851" s="15" t="s">
        <v>444</v>
      </c>
      <c r="CK851" s="15" t="s">
        <v>444</v>
      </c>
      <c r="CM851" s="15" t="s">
        <v>444</v>
      </c>
      <c r="CO851" s="15" t="s">
        <v>444</v>
      </c>
      <c r="CP851" s="15" t="str">
        <f>"23.34"</f>
        <v>23.34</v>
      </c>
      <c r="CQ851" s="15" t="str">
        <f>"0.661"</f>
        <v>0.661</v>
      </c>
      <c r="CR851" s="15" t="s">
        <v>497</v>
      </c>
      <c r="DC851" s="15" t="str">
        <f>IFERROR(__xludf.DUMMYFUNCTION("""COMPUTED_VALUE"""),"")</f>
        <v/>
      </c>
      <c r="DE851" s="15" t="str">
        <f>IFERROR(__xludf.DUMMYFUNCTION("""COMPUTED_VALUE"""),"")</f>
        <v/>
      </c>
      <c r="DG851" s="15" t="str">
        <f>IFERROR(__xludf.DUMMYFUNCTION("""COMPUTED_VALUE"""),"")</f>
        <v/>
      </c>
      <c r="DK851" s="15" t="s">
        <v>718</v>
      </c>
      <c r="DL851" s="15" t="str">
        <f>IFERROR(__xludf.DUMMYFUNCTION("""COMPUTED_VALUE"""),"Vacuum or light brush only. Do not use water or any cleaning products.")</f>
        <v>Vacuum or light brush only. Do not use water or any cleaning products.</v>
      </c>
      <c r="DM851" s="15" t="s">
        <v>719</v>
      </c>
      <c r="DN851" s="15" t="s">
        <v>419</v>
      </c>
      <c r="DO851" s="15">
        <v>0.0</v>
      </c>
      <c r="DP851" s="15" t="s">
        <v>419</v>
      </c>
      <c r="DR851" s="15">
        <v>0.0</v>
      </c>
      <c r="DT851" s="15" t="s">
        <v>420</v>
      </c>
      <c r="DU851" s="15" t="s">
        <v>419</v>
      </c>
      <c r="DW851" s="15">
        <v>0.0</v>
      </c>
      <c r="DX851" s="15">
        <v>0.0</v>
      </c>
      <c r="DY851" s="15">
        <v>0.0</v>
      </c>
      <c r="DZ851" s="15">
        <v>0.0</v>
      </c>
      <c r="EG851" s="15" t="s">
        <v>444</v>
      </c>
      <c r="EH851" s="15" t="s">
        <v>8787</v>
      </c>
      <c r="EJ851" s="15" t="s">
        <v>858</v>
      </c>
      <c r="EK851" s="15" t="s">
        <v>859</v>
      </c>
      <c r="EM851" s="15" t="str">
        <f>IFERROR(__xludf.DUMMYFUNCTION("""COMPUTED_VALUE"""),"")</f>
        <v/>
      </c>
      <c r="FM851" s="15">
        <v>0.0</v>
      </c>
      <c r="IM851" s="15" t="s">
        <v>4493</v>
      </c>
      <c r="IN851" s="15" t="s">
        <v>4493</v>
      </c>
      <c r="IO851" s="15" t="s">
        <v>4493</v>
      </c>
      <c r="IP851" s="15" t="s">
        <v>2652</v>
      </c>
      <c r="IQ851" s="15" t="s">
        <v>1607</v>
      </c>
      <c r="IR851" s="15" t="s">
        <v>8833</v>
      </c>
      <c r="IS851" s="15" t="s">
        <v>8834</v>
      </c>
      <c r="IT851" s="15" t="s">
        <v>5055</v>
      </c>
      <c r="IU851" s="15" t="s">
        <v>8833</v>
      </c>
      <c r="IV851" s="15" t="s">
        <v>8835</v>
      </c>
      <c r="IW851" s="15" t="s">
        <v>1957</v>
      </c>
      <c r="IX851" s="15" t="s">
        <v>8836</v>
      </c>
      <c r="IY851" s="15" t="s">
        <v>729</v>
      </c>
      <c r="IZ851" s="15" t="s">
        <v>7596</v>
      </c>
      <c r="JA851" s="15" t="s">
        <v>2969</v>
      </c>
      <c r="JB851" s="15" t="s">
        <v>426</v>
      </c>
      <c r="JC851" s="15" t="s">
        <v>2471</v>
      </c>
      <c r="JD851" s="15" t="s">
        <v>872</v>
      </c>
      <c r="JE851" s="15" t="s">
        <v>873</v>
      </c>
      <c r="JF851" s="15" t="s">
        <v>877</v>
      </c>
      <c r="JL851" s="15" t="s">
        <v>759</v>
      </c>
      <c r="JM851" s="15" t="s">
        <v>1425</v>
      </c>
      <c r="JN851" s="15" t="s">
        <v>759</v>
      </c>
      <c r="JO851" s="15" t="s">
        <v>426</v>
      </c>
      <c r="JP851" s="15" t="s">
        <v>2474</v>
      </c>
    </row>
    <row r="852" ht="15.75" customHeight="1">
      <c r="A852" s="14" t="s">
        <v>391</v>
      </c>
      <c r="B852" s="15" t="s">
        <v>8824</v>
      </c>
      <c r="C852" s="16"/>
      <c r="D852" s="15" t="s">
        <v>432</v>
      </c>
      <c r="G852" s="14" t="s">
        <v>393</v>
      </c>
      <c r="H852" s="14" t="s">
        <v>394</v>
      </c>
      <c r="I852" s="14" t="b">
        <v>1</v>
      </c>
      <c r="J852" s="14" t="s">
        <v>395</v>
      </c>
      <c r="L852" s="14" t="b">
        <v>0</v>
      </c>
      <c r="M852" s="15" t="s">
        <v>8837</v>
      </c>
      <c r="N852" s="14" t="s">
        <v>393</v>
      </c>
      <c r="O852" s="14" t="s">
        <v>393</v>
      </c>
      <c r="P852" s="15" t="s">
        <v>397</v>
      </c>
      <c r="Q852" s="15" t="s">
        <v>8784</v>
      </c>
      <c r="R852" s="15" t="s">
        <v>265</v>
      </c>
      <c r="S852" s="15" t="s">
        <v>828</v>
      </c>
      <c r="T852" s="14" t="b">
        <v>0</v>
      </c>
      <c r="U852" s="15" t="s">
        <v>8838</v>
      </c>
      <c r="V852" s="15" t="s">
        <v>1415</v>
      </c>
      <c r="W852" s="15" t="s">
        <v>401</v>
      </c>
      <c r="X852" s="15" t="s">
        <v>742</v>
      </c>
      <c r="Y852" s="15">
        <v>2522.0</v>
      </c>
      <c r="AA852" s="15" t="str">
        <f>"970"</f>
        <v>970</v>
      </c>
      <c r="AB852" s="14" t="b">
        <v>1</v>
      </c>
      <c r="AC852" s="14" t="b">
        <v>1</v>
      </c>
      <c r="AD852" s="15" t="str">
        <f>"801542633615"</f>
        <v>801542633615</v>
      </c>
      <c r="AE852" s="15" t="s">
        <v>8839</v>
      </c>
      <c r="AF852" s="14" t="s">
        <v>404</v>
      </c>
      <c r="AG852" s="14" t="s">
        <v>405</v>
      </c>
      <c r="AH852" s="14" t="s">
        <v>406</v>
      </c>
      <c r="AI852" s="15">
        <v>0.0</v>
      </c>
      <c r="AL852" s="15" t="s">
        <v>8829</v>
      </c>
      <c r="AM852" s="15" t="s">
        <v>4174</v>
      </c>
      <c r="AN852" s="15" t="s">
        <v>4175</v>
      </c>
      <c r="AO852" s="15" t="s">
        <v>1381</v>
      </c>
      <c r="AP852" s="15" t="s">
        <v>1382</v>
      </c>
      <c r="AQ852" s="15" t="s">
        <v>4424</v>
      </c>
      <c r="AR852" s="15" t="s">
        <v>3620</v>
      </c>
      <c r="AS852" s="15" t="s">
        <v>5652</v>
      </c>
      <c r="AT852" s="15" t="s">
        <v>8784</v>
      </c>
      <c r="AU852" s="15" t="s">
        <v>8790</v>
      </c>
      <c r="AW852" s="15" t="s">
        <v>839</v>
      </c>
      <c r="AX852" s="15" t="s">
        <v>828</v>
      </c>
      <c r="AY852" s="15" t="s">
        <v>413</v>
      </c>
      <c r="AZ852" s="15" t="b">
        <v>0</v>
      </c>
      <c r="BA852" s="15" t="s">
        <v>413</v>
      </c>
      <c r="BB852" s="15" t="b">
        <v>0</v>
      </c>
      <c r="BC852" s="15" t="s">
        <v>8830</v>
      </c>
      <c r="BD852" s="15" t="s">
        <v>742</v>
      </c>
      <c r="BE852" s="15" t="str">
        <f t="shared" si="1490"/>
        <v>3</v>
      </c>
      <c r="BF852" s="15" t="s">
        <v>841</v>
      </c>
      <c r="BG852" s="15" t="str">
        <f>"83.07"</f>
        <v>83.07</v>
      </c>
      <c r="BH852" s="15" t="s">
        <v>930</v>
      </c>
      <c r="BI852" s="15" t="str">
        <f t="shared" si="1491"/>
        <v>5.91</v>
      </c>
      <c r="BJ852" s="15" t="s">
        <v>7613</v>
      </c>
      <c r="BK852" s="15" t="str">
        <f t="shared" si="1492"/>
        <v>54.72</v>
      </c>
      <c r="BL852" s="15" t="s">
        <v>6622</v>
      </c>
      <c r="BM852" s="15" t="str">
        <f>"104.72"</f>
        <v>104.72</v>
      </c>
      <c r="BN852" s="15" t="s">
        <v>7684</v>
      </c>
      <c r="BO852" s="15" t="s">
        <v>8831</v>
      </c>
      <c r="BP852" s="15" t="str">
        <f>"83.07"</f>
        <v>83.07</v>
      </c>
      <c r="BQ852" s="15" t="s">
        <v>930</v>
      </c>
      <c r="BR852" s="15" t="str">
        <f t="shared" si="1493"/>
        <v>4.72</v>
      </c>
      <c r="BS852" s="15" t="s">
        <v>6740</v>
      </c>
      <c r="BT852" s="15" t="str">
        <f t="shared" si="1494"/>
        <v>37.8</v>
      </c>
      <c r="BU852" s="15" t="s">
        <v>756</v>
      </c>
      <c r="BV852" s="15" t="str">
        <f>"81.57"</f>
        <v>81.57</v>
      </c>
      <c r="BW852" s="15" t="s">
        <v>8208</v>
      </c>
      <c r="BX852" s="15" t="s">
        <v>2966</v>
      </c>
      <c r="BY852" s="15" t="str">
        <f t="shared" si="1495"/>
        <v>85.43</v>
      </c>
      <c r="BZ852" s="15" t="s">
        <v>3967</v>
      </c>
      <c r="CA852" s="15" t="str">
        <f t="shared" si="1496"/>
        <v>5.91</v>
      </c>
      <c r="CB852" s="15" t="s">
        <v>7613</v>
      </c>
      <c r="CC852" s="15" t="str">
        <f t="shared" si="1497"/>
        <v>13.39</v>
      </c>
      <c r="CD852" s="15" t="s">
        <v>6551</v>
      </c>
      <c r="CE852" s="15" t="str">
        <f t="shared" si="1498"/>
        <v>46.3</v>
      </c>
      <c r="CF852" s="15" t="s">
        <v>8832</v>
      </c>
      <c r="CI852" s="15" t="s">
        <v>444</v>
      </c>
      <c r="CK852" s="15" t="s">
        <v>444</v>
      </c>
      <c r="CM852" s="15" t="s">
        <v>444</v>
      </c>
      <c r="CO852" s="15" t="s">
        <v>444</v>
      </c>
      <c r="CP852" s="15" t="str">
        <f>"28.04"</f>
        <v>28.04</v>
      </c>
      <c r="CQ852" s="15" t="str">
        <f>"0.794"</f>
        <v>0.794</v>
      </c>
      <c r="CR852" s="15" t="s">
        <v>497</v>
      </c>
      <c r="DC852" s="15" t="str">
        <f>IFERROR(__xludf.DUMMYFUNCTION("""COMPUTED_VALUE"""),"")</f>
        <v/>
      </c>
      <c r="DE852" s="15" t="str">
        <f>IFERROR(__xludf.DUMMYFUNCTION("""COMPUTED_VALUE"""),"")</f>
        <v/>
      </c>
      <c r="DG852" s="15" t="str">
        <f>IFERROR(__xludf.DUMMYFUNCTION("""COMPUTED_VALUE"""),"")</f>
        <v/>
      </c>
      <c r="DK852" s="15" t="s">
        <v>718</v>
      </c>
      <c r="DL852" s="15" t="str">
        <f>IFERROR(__xludf.DUMMYFUNCTION("""COMPUTED_VALUE"""),"Vacuum or light brush only. Do not use water or any cleaning products.")</f>
        <v>Vacuum or light brush only. Do not use water or any cleaning products.</v>
      </c>
      <c r="DM852" s="15" t="s">
        <v>719</v>
      </c>
      <c r="DN852" s="15" t="s">
        <v>419</v>
      </c>
      <c r="DO852" s="15">
        <v>0.0</v>
      </c>
      <c r="DP852" s="15" t="s">
        <v>419</v>
      </c>
      <c r="DR852" s="15">
        <v>0.0</v>
      </c>
      <c r="DT852" s="15" t="s">
        <v>420</v>
      </c>
      <c r="DU852" s="15" t="s">
        <v>419</v>
      </c>
      <c r="DW852" s="15">
        <v>0.0</v>
      </c>
      <c r="DX852" s="15">
        <v>0.0</v>
      </c>
      <c r="DY852" s="15">
        <v>0.0</v>
      </c>
      <c r="DZ852" s="15">
        <v>0.0</v>
      </c>
      <c r="EG852" s="15" t="s">
        <v>444</v>
      </c>
      <c r="EH852" s="15" t="s">
        <v>8787</v>
      </c>
      <c r="EJ852" s="15" t="s">
        <v>858</v>
      </c>
      <c r="EK852" s="15" t="s">
        <v>859</v>
      </c>
      <c r="EM852" s="15" t="str">
        <f>IFERROR(__xludf.DUMMYFUNCTION("""COMPUTED_VALUE"""),"")</f>
        <v/>
      </c>
      <c r="FM852" s="15">
        <v>0.0</v>
      </c>
      <c r="IM852" s="15" t="s">
        <v>4493</v>
      </c>
      <c r="IN852" s="15" t="s">
        <v>4493</v>
      </c>
      <c r="IO852" s="15" t="s">
        <v>4493</v>
      </c>
      <c r="IP852" s="15" t="s">
        <v>2652</v>
      </c>
      <c r="IQ852" s="15" t="s">
        <v>1607</v>
      </c>
      <c r="IR852" s="15" t="s">
        <v>8840</v>
      </c>
      <c r="IS852" s="15" t="s">
        <v>8834</v>
      </c>
      <c r="IT852" s="15" t="s">
        <v>5055</v>
      </c>
      <c r="IU852" s="15" t="s">
        <v>8840</v>
      </c>
      <c r="IV852" s="15" t="s">
        <v>8835</v>
      </c>
      <c r="IW852" s="15" t="s">
        <v>1957</v>
      </c>
      <c r="IX852" s="15" t="s">
        <v>869</v>
      </c>
      <c r="IY852" s="15" t="s">
        <v>729</v>
      </c>
      <c r="IZ852" s="15" t="s">
        <v>7596</v>
      </c>
      <c r="JA852" s="15" t="s">
        <v>2969</v>
      </c>
      <c r="JB852" s="15" t="s">
        <v>426</v>
      </c>
      <c r="JC852" s="15" t="s">
        <v>2471</v>
      </c>
      <c r="JD852" s="15" t="s">
        <v>872</v>
      </c>
      <c r="JE852" s="15" t="s">
        <v>873</v>
      </c>
      <c r="JF852" s="15" t="s">
        <v>828</v>
      </c>
      <c r="JL852" s="15" t="s">
        <v>759</v>
      </c>
      <c r="JM852" s="15" t="s">
        <v>1425</v>
      </c>
      <c r="JN852" s="15" t="s">
        <v>759</v>
      </c>
      <c r="JO852" s="15" t="s">
        <v>426</v>
      </c>
      <c r="JP852" s="15" t="s">
        <v>2474</v>
      </c>
    </row>
    <row r="853" ht="15.75" customHeight="1">
      <c r="A853" s="14" t="s">
        <v>391</v>
      </c>
      <c r="B853" s="15" t="s">
        <v>8824</v>
      </c>
      <c r="C853" s="16"/>
      <c r="D853" s="15" t="s">
        <v>432</v>
      </c>
      <c r="G853" s="14" t="s">
        <v>393</v>
      </c>
      <c r="H853" s="14" t="s">
        <v>394</v>
      </c>
      <c r="I853" s="14" t="b">
        <v>1</v>
      </c>
      <c r="J853" s="14" t="s">
        <v>395</v>
      </c>
      <c r="L853" s="14" t="b">
        <v>0</v>
      </c>
      <c r="M853" s="15" t="s">
        <v>8841</v>
      </c>
      <c r="N853" s="14" t="s">
        <v>393</v>
      </c>
      <c r="O853" s="14" t="s">
        <v>393</v>
      </c>
      <c r="P853" s="15" t="s">
        <v>397</v>
      </c>
      <c r="Q853" s="15" t="s">
        <v>1081</v>
      </c>
      <c r="R853" s="15" t="s">
        <v>265</v>
      </c>
      <c r="S853" s="15" t="s">
        <v>877</v>
      </c>
      <c r="T853" s="14" t="b">
        <v>0</v>
      </c>
      <c r="U853" s="15" t="s">
        <v>8842</v>
      </c>
      <c r="V853" s="15" t="s">
        <v>1397</v>
      </c>
      <c r="W853" s="15" t="s">
        <v>401</v>
      </c>
      <c r="X853" s="15" t="s">
        <v>742</v>
      </c>
      <c r="Y853" s="15">
        <v>1859.0</v>
      </c>
      <c r="AA853" s="15" t="str">
        <f>"715"</f>
        <v>715</v>
      </c>
      <c r="AB853" s="14" t="b">
        <v>1</v>
      </c>
      <c r="AC853" s="14" t="b">
        <v>1</v>
      </c>
      <c r="AD853" s="15" t="str">
        <f>"801542751708"</f>
        <v>801542751708</v>
      </c>
      <c r="AE853" s="15" t="s">
        <v>8843</v>
      </c>
      <c r="AF853" s="14" t="s">
        <v>404</v>
      </c>
      <c r="AG853" s="14" t="s">
        <v>405</v>
      </c>
      <c r="AH853" s="14" t="s">
        <v>406</v>
      </c>
      <c r="AI853" s="15">
        <v>0.0</v>
      </c>
      <c r="AL853" s="15" t="s">
        <v>8844</v>
      </c>
      <c r="AM853" s="15" t="s">
        <v>3769</v>
      </c>
      <c r="AN853" s="15" t="s">
        <v>2234</v>
      </c>
      <c r="AO853" s="15" t="s">
        <v>1381</v>
      </c>
      <c r="AP853" s="15" t="s">
        <v>1382</v>
      </c>
      <c r="AQ853" s="15" t="s">
        <v>4424</v>
      </c>
      <c r="AR853" s="15" t="s">
        <v>3620</v>
      </c>
      <c r="AS853" s="15" t="s">
        <v>5652</v>
      </c>
      <c r="AT853" s="15" t="s">
        <v>1081</v>
      </c>
      <c r="AU853" s="15" t="s">
        <v>8790</v>
      </c>
      <c r="AW853" s="15" t="s">
        <v>839</v>
      </c>
      <c r="AX853" s="15" t="s">
        <v>877</v>
      </c>
      <c r="AY853" s="15" t="s">
        <v>426</v>
      </c>
      <c r="AZ853" s="15" t="b">
        <v>1</v>
      </c>
      <c r="BA853" s="15" t="s">
        <v>426</v>
      </c>
      <c r="BB853" s="15" t="b">
        <v>1</v>
      </c>
      <c r="BC853" s="15" t="s">
        <v>8845</v>
      </c>
      <c r="BD853" s="15" t="s">
        <v>742</v>
      </c>
      <c r="BE853" s="15" t="str">
        <f t="shared" si="1490"/>
        <v>3</v>
      </c>
      <c r="BF853" s="15" t="s">
        <v>841</v>
      </c>
      <c r="BG853" s="15" t="str">
        <f>"66.93"</f>
        <v>66.93</v>
      </c>
      <c r="BH853" s="15" t="s">
        <v>1230</v>
      </c>
      <c r="BI853" s="15" t="str">
        <f t="shared" si="1491"/>
        <v>5.91</v>
      </c>
      <c r="BJ853" s="15" t="s">
        <v>7613</v>
      </c>
      <c r="BK853" s="15" t="str">
        <f t="shared" si="1492"/>
        <v>54.72</v>
      </c>
      <c r="BL853" s="15" t="s">
        <v>6622</v>
      </c>
      <c r="BM853" s="15" t="str">
        <f>"84.88"</f>
        <v>84.88</v>
      </c>
      <c r="BN853" s="15" t="s">
        <v>2981</v>
      </c>
      <c r="BO853" s="15" t="s">
        <v>8831</v>
      </c>
      <c r="BP853" s="15" t="str">
        <f>"66.93"</f>
        <v>66.93</v>
      </c>
      <c r="BQ853" s="15" t="s">
        <v>1230</v>
      </c>
      <c r="BR853" s="15" t="str">
        <f t="shared" si="1493"/>
        <v>4.72</v>
      </c>
      <c r="BS853" s="15" t="s">
        <v>6740</v>
      </c>
      <c r="BT853" s="15" t="str">
        <f t="shared" si="1494"/>
        <v>37.8</v>
      </c>
      <c r="BU853" s="15" t="s">
        <v>756</v>
      </c>
      <c r="BV853" s="15" t="str">
        <f>"65.04"</f>
        <v>65.04</v>
      </c>
      <c r="BW853" s="15" t="s">
        <v>4327</v>
      </c>
      <c r="BX853" s="15" t="s">
        <v>2966</v>
      </c>
      <c r="BY853" s="15" t="str">
        <f t="shared" si="1495"/>
        <v>85.43</v>
      </c>
      <c r="BZ853" s="15" t="s">
        <v>3967</v>
      </c>
      <c r="CA853" s="15" t="str">
        <f t="shared" si="1496"/>
        <v>5.91</v>
      </c>
      <c r="CB853" s="15" t="s">
        <v>7613</v>
      </c>
      <c r="CC853" s="15" t="str">
        <f t="shared" si="1497"/>
        <v>13.39</v>
      </c>
      <c r="CD853" s="15" t="s">
        <v>6551</v>
      </c>
      <c r="CE853" s="15" t="str">
        <f t="shared" si="1498"/>
        <v>46.3</v>
      </c>
      <c r="CF853" s="15" t="s">
        <v>8832</v>
      </c>
      <c r="CI853" s="15" t="s">
        <v>444</v>
      </c>
      <c r="CK853" s="15" t="s">
        <v>444</v>
      </c>
      <c r="CM853" s="15" t="s">
        <v>444</v>
      </c>
      <c r="CO853" s="15" t="s">
        <v>444</v>
      </c>
      <c r="CP853" s="15" t="str">
        <f>"23.34"</f>
        <v>23.34</v>
      </c>
      <c r="CQ853" s="15" t="str">
        <f>"0.661"</f>
        <v>0.661</v>
      </c>
      <c r="CR853" s="15" t="s">
        <v>465</v>
      </c>
      <c r="DC853" s="15" t="str">
        <f>IFERROR(__xludf.DUMMYFUNCTION("""COMPUTED_VALUE"""),"")</f>
        <v/>
      </c>
      <c r="DE853" s="15" t="str">
        <f>IFERROR(__xludf.DUMMYFUNCTION("""COMPUTED_VALUE"""),"")</f>
        <v/>
      </c>
      <c r="DG853" s="15" t="str">
        <f>IFERROR(__xludf.DUMMYFUNCTION("""COMPUTED_VALUE"""),"")</f>
        <v/>
      </c>
      <c r="DK853" s="15" t="s">
        <v>855</v>
      </c>
      <c r="DL853" s="15" t="str">
        <f>IFERROR(__xludf.DUMMYFUNCTION("""COMPUTED_VALUE"""),"Clean with solvent-based (dry clean only) products. Do not use water.")</f>
        <v>Clean with solvent-based (dry clean only) products. Do not use water.</v>
      </c>
      <c r="DM853" s="15" t="s">
        <v>856</v>
      </c>
      <c r="DN853" s="15" t="s">
        <v>419</v>
      </c>
      <c r="DO853" s="15">
        <v>0.0</v>
      </c>
      <c r="DP853" s="15" t="s">
        <v>419</v>
      </c>
      <c r="DR853" s="15">
        <v>0.0</v>
      </c>
      <c r="DT853" s="15" t="s">
        <v>420</v>
      </c>
      <c r="DU853" s="15" t="s">
        <v>419</v>
      </c>
      <c r="DW853" s="15">
        <v>0.0</v>
      </c>
      <c r="DX853" s="15">
        <v>0.0</v>
      </c>
      <c r="DY853" s="15">
        <v>0.0</v>
      </c>
      <c r="DZ853" s="15">
        <v>25000.0</v>
      </c>
      <c r="EG853" s="15" t="s">
        <v>444</v>
      </c>
      <c r="EH853" s="15" t="s">
        <v>8787</v>
      </c>
      <c r="EJ853" s="15" t="s">
        <v>858</v>
      </c>
      <c r="EK853" s="15" t="s">
        <v>859</v>
      </c>
      <c r="EM853" s="15" t="str">
        <f>IFERROR(__xludf.DUMMYFUNCTION("""COMPUTED_VALUE"""),"")</f>
        <v/>
      </c>
      <c r="FM853" s="15">
        <v>0.0</v>
      </c>
      <c r="IM853" s="15" t="s">
        <v>4493</v>
      </c>
      <c r="IN853" s="15" t="s">
        <v>4493</v>
      </c>
      <c r="IO853" s="15" t="s">
        <v>4493</v>
      </c>
      <c r="IP853" s="15" t="s">
        <v>2652</v>
      </c>
      <c r="IQ853" s="15" t="s">
        <v>1607</v>
      </c>
      <c r="IR853" s="15" t="s">
        <v>8833</v>
      </c>
      <c r="IS853" s="15" t="s">
        <v>8834</v>
      </c>
      <c r="IT853" s="15" t="s">
        <v>5055</v>
      </c>
      <c r="IU853" s="15" t="s">
        <v>8833</v>
      </c>
      <c r="IV853" s="15" t="s">
        <v>8835</v>
      </c>
      <c r="IW853" s="15" t="s">
        <v>1957</v>
      </c>
      <c r="IX853" s="15" t="s">
        <v>8836</v>
      </c>
      <c r="IY853" s="15" t="s">
        <v>729</v>
      </c>
      <c r="IZ853" s="15" t="s">
        <v>7596</v>
      </c>
      <c r="JA853" s="15" t="s">
        <v>2969</v>
      </c>
      <c r="JB853" s="15" t="s">
        <v>426</v>
      </c>
      <c r="JC853" s="15" t="s">
        <v>2471</v>
      </c>
      <c r="JD853" s="15" t="s">
        <v>872</v>
      </c>
      <c r="JE853" s="15" t="s">
        <v>873</v>
      </c>
      <c r="JF853" s="15" t="s">
        <v>877</v>
      </c>
      <c r="JL853" s="15" t="s">
        <v>759</v>
      </c>
      <c r="JM853" s="15" t="s">
        <v>1425</v>
      </c>
      <c r="JN853" s="15" t="s">
        <v>759</v>
      </c>
      <c r="JO853" s="15" t="s">
        <v>426</v>
      </c>
      <c r="JP853" s="15" t="s">
        <v>2474</v>
      </c>
    </row>
    <row r="854" ht="15.75" customHeight="1">
      <c r="A854" s="14" t="s">
        <v>391</v>
      </c>
      <c r="B854" s="15" t="s">
        <v>8824</v>
      </c>
      <c r="C854" s="16"/>
      <c r="D854" s="15" t="s">
        <v>432</v>
      </c>
      <c r="G854" s="14" t="s">
        <v>393</v>
      </c>
      <c r="H854" s="14" t="s">
        <v>394</v>
      </c>
      <c r="I854" s="14" t="b">
        <v>1</v>
      </c>
      <c r="J854" s="14" t="s">
        <v>395</v>
      </c>
      <c r="L854" s="14" t="b">
        <v>0</v>
      </c>
      <c r="M854" s="15" t="s">
        <v>8846</v>
      </c>
      <c r="N854" s="14" t="s">
        <v>393</v>
      </c>
      <c r="O854" s="14" t="s">
        <v>393</v>
      </c>
      <c r="P854" s="15" t="s">
        <v>397</v>
      </c>
      <c r="Q854" s="15" t="s">
        <v>1081</v>
      </c>
      <c r="R854" s="15" t="s">
        <v>265</v>
      </c>
      <c r="S854" s="15" t="s">
        <v>828</v>
      </c>
      <c r="T854" s="14" t="b">
        <v>0</v>
      </c>
      <c r="U854" s="15" t="s">
        <v>8847</v>
      </c>
      <c r="V854" s="15" t="s">
        <v>1415</v>
      </c>
      <c r="W854" s="15" t="s">
        <v>401</v>
      </c>
      <c r="X854" s="15" t="s">
        <v>742</v>
      </c>
      <c r="Y854" s="15">
        <v>2184.0</v>
      </c>
      <c r="AA854" s="15" t="str">
        <f t="shared" ref="AA854:AA855" si="1499">"840"</f>
        <v>840</v>
      </c>
      <c r="AB854" s="14" t="b">
        <v>1</v>
      </c>
      <c r="AC854" s="14" t="b">
        <v>1</v>
      </c>
      <c r="AD854" s="15" t="str">
        <f>"801542751685"</f>
        <v>801542751685</v>
      </c>
      <c r="AE854" s="15" t="s">
        <v>8848</v>
      </c>
      <c r="AF854" s="14" t="s">
        <v>404</v>
      </c>
      <c r="AG854" s="14" t="s">
        <v>405</v>
      </c>
      <c r="AH854" s="14" t="s">
        <v>406</v>
      </c>
      <c r="AI854" s="15">
        <v>0.0</v>
      </c>
      <c r="AL854" s="15" t="s">
        <v>8844</v>
      </c>
      <c r="AM854" s="15" t="s">
        <v>4174</v>
      </c>
      <c r="AN854" s="15" t="s">
        <v>4175</v>
      </c>
      <c r="AO854" s="15" t="s">
        <v>1381</v>
      </c>
      <c r="AP854" s="15" t="s">
        <v>1382</v>
      </c>
      <c r="AQ854" s="15" t="s">
        <v>4424</v>
      </c>
      <c r="AR854" s="15" t="s">
        <v>3620</v>
      </c>
      <c r="AS854" s="15" t="s">
        <v>5652</v>
      </c>
      <c r="AT854" s="15" t="s">
        <v>1081</v>
      </c>
      <c r="AU854" s="15" t="s">
        <v>8790</v>
      </c>
      <c r="AW854" s="15" t="s">
        <v>839</v>
      </c>
      <c r="AX854" s="15" t="s">
        <v>828</v>
      </c>
      <c r="AY854" s="15" t="s">
        <v>426</v>
      </c>
      <c r="AZ854" s="15" t="b">
        <v>1</v>
      </c>
      <c r="BA854" s="15" t="s">
        <v>426</v>
      </c>
      <c r="BB854" s="15" t="b">
        <v>1</v>
      </c>
      <c r="BC854" s="15" t="s">
        <v>8849</v>
      </c>
      <c r="BD854" s="15" t="s">
        <v>742</v>
      </c>
      <c r="BE854" s="15" t="str">
        <f t="shared" si="1490"/>
        <v>3</v>
      </c>
      <c r="BF854" s="15" t="s">
        <v>841</v>
      </c>
      <c r="BG854" s="15" t="str">
        <f t="shared" ref="BG854:BG855" si="1500">"83.07"</f>
        <v>83.07</v>
      </c>
      <c r="BH854" s="15" t="s">
        <v>930</v>
      </c>
      <c r="BI854" s="15" t="str">
        <f t="shared" si="1491"/>
        <v>5.91</v>
      </c>
      <c r="BJ854" s="15" t="s">
        <v>7613</v>
      </c>
      <c r="BK854" s="15" t="str">
        <f t="shared" si="1492"/>
        <v>54.72</v>
      </c>
      <c r="BL854" s="15" t="s">
        <v>6622</v>
      </c>
      <c r="BM854" s="15" t="str">
        <f t="shared" ref="BM854:BM855" si="1501">"104.72"</f>
        <v>104.72</v>
      </c>
      <c r="BN854" s="15" t="s">
        <v>7684</v>
      </c>
      <c r="BO854" s="15" t="s">
        <v>8831</v>
      </c>
      <c r="BP854" s="15" t="str">
        <f t="shared" ref="BP854:BP855" si="1502">"83.07"</f>
        <v>83.07</v>
      </c>
      <c r="BQ854" s="15" t="s">
        <v>930</v>
      </c>
      <c r="BR854" s="15" t="str">
        <f t="shared" si="1493"/>
        <v>4.72</v>
      </c>
      <c r="BS854" s="15" t="s">
        <v>6740</v>
      </c>
      <c r="BT854" s="15" t="str">
        <f t="shared" si="1494"/>
        <v>37.8</v>
      </c>
      <c r="BU854" s="15" t="s">
        <v>756</v>
      </c>
      <c r="BV854" s="15" t="str">
        <f t="shared" ref="BV854:BV855" si="1503">"81.57"</f>
        <v>81.57</v>
      </c>
      <c r="BW854" s="15" t="s">
        <v>8208</v>
      </c>
      <c r="BX854" s="15" t="s">
        <v>2966</v>
      </c>
      <c r="BY854" s="15" t="str">
        <f t="shared" si="1495"/>
        <v>85.43</v>
      </c>
      <c r="BZ854" s="15" t="s">
        <v>3967</v>
      </c>
      <c r="CA854" s="15" t="str">
        <f t="shared" si="1496"/>
        <v>5.91</v>
      </c>
      <c r="CB854" s="15" t="s">
        <v>7613</v>
      </c>
      <c r="CC854" s="15" t="str">
        <f t="shared" si="1497"/>
        <v>13.39</v>
      </c>
      <c r="CD854" s="15" t="s">
        <v>6551</v>
      </c>
      <c r="CE854" s="15" t="str">
        <f t="shared" si="1498"/>
        <v>46.3</v>
      </c>
      <c r="CF854" s="15" t="s">
        <v>8832</v>
      </c>
      <c r="CI854" s="15" t="s">
        <v>444</v>
      </c>
      <c r="CK854" s="15" t="s">
        <v>444</v>
      </c>
      <c r="CM854" s="15" t="s">
        <v>444</v>
      </c>
      <c r="CO854" s="15" t="s">
        <v>444</v>
      </c>
      <c r="CP854" s="15" t="str">
        <f t="shared" ref="CP854:CP855" si="1504">"28.04"</f>
        <v>28.04</v>
      </c>
      <c r="CQ854" s="15" t="str">
        <f t="shared" ref="CQ854:CQ855" si="1505">"0.794"</f>
        <v>0.794</v>
      </c>
      <c r="CR854" s="15" t="s">
        <v>417</v>
      </c>
      <c r="DC854" s="15" t="str">
        <f>IFERROR(__xludf.DUMMYFUNCTION("""COMPUTED_VALUE"""),"")</f>
        <v/>
      </c>
      <c r="DE854" s="15" t="str">
        <f>IFERROR(__xludf.DUMMYFUNCTION("""COMPUTED_VALUE"""),"")</f>
        <v/>
      </c>
      <c r="DG854" s="15" t="str">
        <f>IFERROR(__xludf.DUMMYFUNCTION("""COMPUTED_VALUE"""),"")</f>
        <v/>
      </c>
      <c r="DK854" s="15" t="s">
        <v>855</v>
      </c>
      <c r="DL854" s="15" t="str">
        <f>IFERROR(__xludf.DUMMYFUNCTION("""COMPUTED_VALUE"""),"Clean with solvent-based (dry clean only) products. Do not use water.")</f>
        <v>Clean with solvent-based (dry clean only) products. Do not use water.</v>
      </c>
      <c r="DM854" s="15" t="s">
        <v>856</v>
      </c>
      <c r="DN854" s="15" t="s">
        <v>419</v>
      </c>
      <c r="DO854" s="15">
        <v>0.0</v>
      </c>
      <c r="DP854" s="15" t="s">
        <v>419</v>
      </c>
      <c r="DR854" s="15">
        <v>0.0</v>
      </c>
      <c r="DT854" s="15" t="s">
        <v>420</v>
      </c>
      <c r="DU854" s="15" t="s">
        <v>419</v>
      </c>
      <c r="DW854" s="15">
        <v>0.0</v>
      </c>
      <c r="DX854" s="15">
        <v>0.0</v>
      </c>
      <c r="DY854" s="15">
        <v>0.0</v>
      </c>
      <c r="DZ854" s="15">
        <v>25000.0</v>
      </c>
      <c r="EG854" s="15" t="s">
        <v>444</v>
      </c>
      <c r="EH854" s="15" t="s">
        <v>8787</v>
      </c>
      <c r="EJ854" s="15" t="s">
        <v>858</v>
      </c>
      <c r="EK854" s="15" t="s">
        <v>859</v>
      </c>
      <c r="EM854" s="15" t="str">
        <f>IFERROR(__xludf.DUMMYFUNCTION("""COMPUTED_VALUE"""),"")</f>
        <v/>
      </c>
      <c r="FM854" s="15">
        <v>0.0</v>
      </c>
      <c r="IM854" s="15" t="s">
        <v>4493</v>
      </c>
      <c r="IN854" s="15" t="s">
        <v>4493</v>
      </c>
      <c r="IO854" s="15" t="s">
        <v>4493</v>
      </c>
      <c r="IP854" s="15" t="s">
        <v>2652</v>
      </c>
      <c r="IQ854" s="15" t="s">
        <v>1607</v>
      </c>
      <c r="IR854" s="15" t="s">
        <v>8840</v>
      </c>
      <c r="IS854" s="15" t="s">
        <v>8834</v>
      </c>
      <c r="IT854" s="15" t="s">
        <v>5055</v>
      </c>
      <c r="IU854" s="15" t="s">
        <v>8840</v>
      </c>
      <c r="IV854" s="15" t="s">
        <v>8835</v>
      </c>
      <c r="IW854" s="15" t="s">
        <v>1957</v>
      </c>
      <c r="IX854" s="15" t="s">
        <v>869</v>
      </c>
      <c r="IY854" s="15" t="s">
        <v>729</v>
      </c>
      <c r="IZ854" s="15" t="s">
        <v>7596</v>
      </c>
      <c r="JA854" s="15" t="s">
        <v>2969</v>
      </c>
      <c r="JB854" s="15" t="s">
        <v>426</v>
      </c>
      <c r="JC854" s="15" t="s">
        <v>2471</v>
      </c>
      <c r="JD854" s="15" t="s">
        <v>872</v>
      </c>
      <c r="JE854" s="15" t="s">
        <v>873</v>
      </c>
      <c r="JF854" s="15" t="s">
        <v>828</v>
      </c>
      <c r="JL854" s="15" t="s">
        <v>759</v>
      </c>
      <c r="JM854" s="15" t="s">
        <v>1425</v>
      </c>
      <c r="JN854" s="15" t="s">
        <v>759</v>
      </c>
      <c r="JO854" s="15" t="s">
        <v>426</v>
      </c>
      <c r="JP854" s="15" t="s">
        <v>2474</v>
      </c>
    </row>
    <row r="855" ht="15.75" customHeight="1">
      <c r="A855" s="14" t="s">
        <v>391</v>
      </c>
      <c r="B855" s="15" t="s">
        <v>8824</v>
      </c>
      <c r="C855" s="16"/>
      <c r="D855" s="15" t="s">
        <v>432</v>
      </c>
      <c r="G855" s="14" t="s">
        <v>393</v>
      </c>
      <c r="H855" s="14" t="s">
        <v>394</v>
      </c>
      <c r="I855" s="14" t="b">
        <v>1</v>
      </c>
      <c r="J855" s="14" t="s">
        <v>395</v>
      </c>
      <c r="L855" s="14" t="b">
        <v>0</v>
      </c>
      <c r="M855" s="15" t="s">
        <v>8850</v>
      </c>
      <c r="N855" s="14" t="s">
        <v>393</v>
      </c>
      <c r="O855" s="14" t="s">
        <v>393</v>
      </c>
      <c r="P855" s="15" t="s">
        <v>397</v>
      </c>
      <c r="Q855" s="15" t="s">
        <v>4359</v>
      </c>
      <c r="R855" s="15" t="s">
        <v>265</v>
      </c>
      <c r="S855" s="15" t="s">
        <v>828</v>
      </c>
      <c r="T855" s="14" t="b">
        <v>0</v>
      </c>
      <c r="U855" s="15" t="s">
        <v>8851</v>
      </c>
      <c r="V855" s="15" t="s">
        <v>1415</v>
      </c>
      <c r="W855" s="15" t="s">
        <v>401</v>
      </c>
      <c r="X855" s="15" t="s">
        <v>742</v>
      </c>
      <c r="Y855" s="15">
        <v>2184.0</v>
      </c>
      <c r="AA855" s="15" t="str">
        <f t="shared" si="1499"/>
        <v>840</v>
      </c>
      <c r="AB855" s="14" t="b">
        <v>1</v>
      </c>
      <c r="AC855" s="14" t="b">
        <v>1</v>
      </c>
      <c r="AD855" s="15" t="str">
        <f>"801542759148"</f>
        <v>801542759148</v>
      </c>
      <c r="AE855" s="15" t="s">
        <v>8852</v>
      </c>
      <c r="AF855" s="14" t="s">
        <v>404</v>
      </c>
      <c r="AG855" s="14" t="s">
        <v>405</v>
      </c>
      <c r="AH855" s="14" t="s">
        <v>406</v>
      </c>
      <c r="AI855" s="15">
        <v>0.0</v>
      </c>
      <c r="AL855" s="15" t="s">
        <v>8844</v>
      </c>
      <c r="AM855" s="15" t="s">
        <v>4174</v>
      </c>
      <c r="AN855" s="15" t="s">
        <v>4175</v>
      </c>
      <c r="AO855" s="15" t="s">
        <v>1381</v>
      </c>
      <c r="AP855" s="15" t="s">
        <v>1382</v>
      </c>
      <c r="AQ855" s="15" t="s">
        <v>4424</v>
      </c>
      <c r="AR855" s="15" t="s">
        <v>3620</v>
      </c>
      <c r="AS855" s="15" t="s">
        <v>5652</v>
      </c>
      <c r="AT855" s="15" t="s">
        <v>4359</v>
      </c>
      <c r="AU855" s="15" t="s">
        <v>8716</v>
      </c>
      <c r="AW855" s="15" t="s">
        <v>839</v>
      </c>
      <c r="AX855" s="15" t="s">
        <v>828</v>
      </c>
      <c r="AY855" s="15" t="s">
        <v>426</v>
      </c>
      <c r="AZ855" s="15" t="b">
        <v>1</v>
      </c>
      <c r="BA855" s="15" t="s">
        <v>426</v>
      </c>
      <c r="BB855" s="15" t="b">
        <v>1</v>
      </c>
      <c r="BC855" s="15" t="s">
        <v>8853</v>
      </c>
      <c r="BD855" s="15" t="s">
        <v>742</v>
      </c>
      <c r="BE855" s="15" t="str">
        <f t="shared" si="1490"/>
        <v>3</v>
      </c>
      <c r="BF855" s="15" t="s">
        <v>841</v>
      </c>
      <c r="BG855" s="15" t="str">
        <f t="shared" si="1500"/>
        <v>83.07</v>
      </c>
      <c r="BH855" s="15" t="s">
        <v>930</v>
      </c>
      <c r="BI855" s="15" t="str">
        <f t="shared" si="1491"/>
        <v>5.91</v>
      </c>
      <c r="BJ855" s="15" t="s">
        <v>7613</v>
      </c>
      <c r="BK855" s="15" t="str">
        <f t="shared" si="1492"/>
        <v>54.72</v>
      </c>
      <c r="BL855" s="15" t="s">
        <v>6622</v>
      </c>
      <c r="BM855" s="15" t="str">
        <f t="shared" si="1501"/>
        <v>104.72</v>
      </c>
      <c r="BN855" s="15" t="s">
        <v>7684</v>
      </c>
      <c r="BO855" s="15" t="s">
        <v>8831</v>
      </c>
      <c r="BP855" s="15" t="str">
        <f t="shared" si="1502"/>
        <v>83.07</v>
      </c>
      <c r="BQ855" s="15" t="s">
        <v>930</v>
      </c>
      <c r="BR855" s="15" t="str">
        <f t="shared" si="1493"/>
        <v>4.72</v>
      </c>
      <c r="BS855" s="15" t="s">
        <v>6740</v>
      </c>
      <c r="BT855" s="15" t="str">
        <f t="shared" si="1494"/>
        <v>37.8</v>
      </c>
      <c r="BU855" s="15" t="s">
        <v>756</v>
      </c>
      <c r="BV855" s="15" t="str">
        <f t="shared" si="1503"/>
        <v>81.57</v>
      </c>
      <c r="BW855" s="15" t="s">
        <v>8208</v>
      </c>
      <c r="BX855" s="15" t="s">
        <v>2966</v>
      </c>
      <c r="BY855" s="15" t="str">
        <f t="shared" si="1495"/>
        <v>85.43</v>
      </c>
      <c r="BZ855" s="15" t="s">
        <v>3967</v>
      </c>
      <c r="CA855" s="15" t="str">
        <f t="shared" si="1496"/>
        <v>5.91</v>
      </c>
      <c r="CB855" s="15" t="s">
        <v>7613</v>
      </c>
      <c r="CC855" s="15" t="str">
        <f t="shared" si="1497"/>
        <v>13.39</v>
      </c>
      <c r="CD855" s="15" t="s">
        <v>6551</v>
      </c>
      <c r="CE855" s="15" t="str">
        <f t="shared" si="1498"/>
        <v>46.3</v>
      </c>
      <c r="CF855" s="15" t="s">
        <v>8832</v>
      </c>
      <c r="CI855" s="15" t="s">
        <v>444</v>
      </c>
      <c r="CK855" s="15" t="s">
        <v>444</v>
      </c>
      <c r="CM855" s="15" t="s">
        <v>444</v>
      </c>
      <c r="CO855" s="15" t="s">
        <v>444</v>
      </c>
      <c r="CP855" s="15" t="str">
        <f t="shared" si="1504"/>
        <v>28.04</v>
      </c>
      <c r="CQ855" s="15" t="str">
        <f t="shared" si="1505"/>
        <v>0.794</v>
      </c>
      <c r="CR855" s="15" t="s">
        <v>465</v>
      </c>
      <c r="DC855" s="15" t="str">
        <f>IFERROR(__xludf.DUMMYFUNCTION("""COMPUTED_VALUE"""),"")</f>
        <v/>
      </c>
      <c r="DE855" s="15" t="str">
        <f>IFERROR(__xludf.DUMMYFUNCTION("""COMPUTED_VALUE"""),"")</f>
        <v/>
      </c>
      <c r="DG855" s="15" t="str">
        <f>IFERROR(__xludf.DUMMYFUNCTION("""COMPUTED_VALUE"""),"")</f>
        <v/>
      </c>
      <c r="DK855" s="15" t="s">
        <v>855</v>
      </c>
      <c r="DL855" s="15" t="str">
        <f>IFERROR(__xludf.DUMMYFUNCTION("""COMPUTED_VALUE"""),"Clean with solvent-based (dry clean only) products. Do not use water.")</f>
        <v>Clean with solvent-based (dry clean only) products. Do not use water.</v>
      </c>
      <c r="DM855" s="15" t="s">
        <v>856</v>
      </c>
      <c r="DN855" s="15" t="s">
        <v>419</v>
      </c>
      <c r="DO855" s="15">
        <v>0.0</v>
      </c>
      <c r="DP855" s="15" t="s">
        <v>419</v>
      </c>
      <c r="DR855" s="15">
        <v>0.0</v>
      </c>
      <c r="DT855" s="15" t="s">
        <v>420</v>
      </c>
      <c r="DU855" s="15" t="s">
        <v>419</v>
      </c>
      <c r="DW855" s="15">
        <v>0.0</v>
      </c>
      <c r="DX855" s="15">
        <v>0.0</v>
      </c>
      <c r="DY855" s="15">
        <v>0.0</v>
      </c>
      <c r="DZ855" s="15">
        <v>25000.0</v>
      </c>
      <c r="EG855" s="15" t="s">
        <v>444</v>
      </c>
      <c r="EH855" s="15" t="s">
        <v>8787</v>
      </c>
      <c r="EJ855" s="15" t="s">
        <v>858</v>
      </c>
      <c r="EK855" s="15" t="s">
        <v>859</v>
      </c>
      <c r="EM855" s="15" t="str">
        <f>IFERROR(__xludf.DUMMYFUNCTION("""COMPUTED_VALUE"""),"")</f>
        <v/>
      </c>
      <c r="FM855" s="15">
        <v>0.0</v>
      </c>
      <c r="IM855" s="15" t="s">
        <v>4493</v>
      </c>
      <c r="IN855" s="15" t="s">
        <v>4493</v>
      </c>
      <c r="IO855" s="15" t="s">
        <v>4493</v>
      </c>
      <c r="IP855" s="15" t="s">
        <v>2652</v>
      </c>
      <c r="IQ855" s="15" t="s">
        <v>1607</v>
      </c>
      <c r="IR855" s="15" t="s">
        <v>8840</v>
      </c>
      <c r="IS855" s="15" t="s">
        <v>8834</v>
      </c>
      <c r="IT855" s="15" t="s">
        <v>5055</v>
      </c>
      <c r="IU855" s="15" t="s">
        <v>8840</v>
      </c>
      <c r="IV855" s="15" t="s">
        <v>8835</v>
      </c>
      <c r="IW855" s="15" t="s">
        <v>1957</v>
      </c>
      <c r="IX855" s="15" t="s">
        <v>869</v>
      </c>
      <c r="IY855" s="15" t="s">
        <v>729</v>
      </c>
      <c r="IZ855" s="15" t="s">
        <v>7596</v>
      </c>
      <c r="JA855" s="15" t="s">
        <v>2969</v>
      </c>
      <c r="JB855" s="15" t="s">
        <v>426</v>
      </c>
      <c r="JC855" s="15" t="s">
        <v>2471</v>
      </c>
      <c r="JD855" s="15" t="s">
        <v>872</v>
      </c>
      <c r="JE855" s="15" t="s">
        <v>873</v>
      </c>
      <c r="JF855" s="15" t="s">
        <v>828</v>
      </c>
      <c r="JL855" s="15" t="s">
        <v>759</v>
      </c>
      <c r="JM855" s="15" t="s">
        <v>1425</v>
      </c>
      <c r="JN855" s="15" t="s">
        <v>759</v>
      </c>
      <c r="JO855" s="15" t="s">
        <v>426</v>
      </c>
      <c r="JP855" s="15" t="s">
        <v>2474</v>
      </c>
    </row>
    <row r="856" ht="15.75" customHeight="1">
      <c r="A856" s="14" t="s">
        <v>391</v>
      </c>
      <c r="B856" s="15" t="s">
        <v>8824</v>
      </c>
      <c r="C856" s="16"/>
      <c r="D856" s="15" t="s">
        <v>432</v>
      </c>
      <c r="G856" s="14" t="s">
        <v>393</v>
      </c>
      <c r="H856" s="14" t="s">
        <v>394</v>
      </c>
      <c r="I856" s="14" t="b">
        <v>1</v>
      </c>
      <c r="J856" s="14" t="s">
        <v>395</v>
      </c>
      <c r="L856" s="14" t="b">
        <v>0</v>
      </c>
      <c r="M856" s="15" t="s">
        <v>8854</v>
      </c>
      <c r="N856" s="14" t="s">
        <v>393</v>
      </c>
      <c r="O856" s="14" t="s">
        <v>393</v>
      </c>
      <c r="P856" s="15" t="s">
        <v>397</v>
      </c>
      <c r="Q856" s="15" t="s">
        <v>4359</v>
      </c>
      <c r="R856" s="15" t="s">
        <v>265</v>
      </c>
      <c r="S856" s="15" t="s">
        <v>877</v>
      </c>
      <c r="T856" s="14" t="b">
        <v>0</v>
      </c>
      <c r="U856" s="15" t="s">
        <v>8855</v>
      </c>
      <c r="V856" s="15" t="s">
        <v>1397</v>
      </c>
      <c r="W856" s="15" t="s">
        <v>401</v>
      </c>
      <c r="X856" s="15" t="s">
        <v>742</v>
      </c>
      <c r="Y856" s="15">
        <v>1859.0</v>
      </c>
      <c r="AA856" s="15" t="str">
        <f>"715"</f>
        <v>715</v>
      </c>
      <c r="AB856" s="14" t="b">
        <v>1</v>
      </c>
      <c r="AC856" s="14" t="b">
        <v>1</v>
      </c>
      <c r="AD856" s="15" t="str">
        <f>"801542759162"</f>
        <v>801542759162</v>
      </c>
      <c r="AE856" s="15" t="s">
        <v>8856</v>
      </c>
      <c r="AF856" s="14" t="s">
        <v>404</v>
      </c>
      <c r="AG856" s="14" t="s">
        <v>405</v>
      </c>
      <c r="AH856" s="14" t="s">
        <v>406</v>
      </c>
      <c r="AI856" s="15">
        <v>0.0</v>
      </c>
      <c r="AL856" s="15" t="s">
        <v>8844</v>
      </c>
      <c r="AM856" s="15" t="s">
        <v>3769</v>
      </c>
      <c r="AN856" s="15" t="s">
        <v>2234</v>
      </c>
      <c r="AO856" s="15" t="s">
        <v>1381</v>
      </c>
      <c r="AP856" s="15" t="s">
        <v>1382</v>
      </c>
      <c r="AQ856" s="15" t="s">
        <v>4424</v>
      </c>
      <c r="AR856" s="15" t="s">
        <v>3620</v>
      </c>
      <c r="AS856" s="15" t="s">
        <v>5652</v>
      </c>
      <c r="AT856" s="15" t="s">
        <v>4359</v>
      </c>
      <c r="AU856" s="15" t="s">
        <v>8716</v>
      </c>
      <c r="AW856" s="15" t="s">
        <v>839</v>
      </c>
      <c r="AX856" s="15" t="s">
        <v>877</v>
      </c>
      <c r="AY856" s="15" t="s">
        <v>426</v>
      </c>
      <c r="AZ856" s="15" t="b">
        <v>1</v>
      </c>
      <c r="BA856" s="15" t="s">
        <v>426</v>
      </c>
      <c r="BB856" s="15" t="b">
        <v>1</v>
      </c>
      <c r="BC856" s="15" t="s">
        <v>8853</v>
      </c>
      <c r="BD856" s="15" t="s">
        <v>742</v>
      </c>
      <c r="BE856" s="15" t="str">
        <f t="shared" si="1490"/>
        <v>3</v>
      </c>
      <c r="BF856" s="15" t="s">
        <v>841</v>
      </c>
      <c r="BG856" s="15" t="str">
        <f>"66.93"</f>
        <v>66.93</v>
      </c>
      <c r="BH856" s="15" t="s">
        <v>1230</v>
      </c>
      <c r="BI856" s="15" t="str">
        <f t="shared" si="1491"/>
        <v>5.91</v>
      </c>
      <c r="BJ856" s="15" t="s">
        <v>7613</v>
      </c>
      <c r="BK856" s="15" t="str">
        <f t="shared" si="1492"/>
        <v>54.72</v>
      </c>
      <c r="BL856" s="15" t="s">
        <v>6622</v>
      </c>
      <c r="BM856" s="15" t="str">
        <f>"84.88"</f>
        <v>84.88</v>
      </c>
      <c r="BN856" s="15" t="s">
        <v>2981</v>
      </c>
      <c r="BO856" s="15" t="s">
        <v>8831</v>
      </c>
      <c r="BP856" s="15" t="str">
        <f>"66.93"</f>
        <v>66.93</v>
      </c>
      <c r="BQ856" s="15" t="s">
        <v>1230</v>
      </c>
      <c r="BR856" s="15" t="str">
        <f t="shared" si="1493"/>
        <v>4.72</v>
      </c>
      <c r="BS856" s="15" t="s">
        <v>6740</v>
      </c>
      <c r="BT856" s="15" t="str">
        <f t="shared" si="1494"/>
        <v>37.8</v>
      </c>
      <c r="BU856" s="15" t="s">
        <v>756</v>
      </c>
      <c r="BV856" s="15" t="str">
        <f>"65.04"</f>
        <v>65.04</v>
      </c>
      <c r="BW856" s="15" t="s">
        <v>4327</v>
      </c>
      <c r="BX856" s="15" t="s">
        <v>2966</v>
      </c>
      <c r="BY856" s="15" t="str">
        <f t="shared" si="1495"/>
        <v>85.43</v>
      </c>
      <c r="BZ856" s="15" t="s">
        <v>3967</v>
      </c>
      <c r="CA856" s="15" t="str">
        <f t="shared" si="1496"/>
        <v>5.91</v>
      </c>
      <c r="CB856" s="15" t="s">
        <v>7613</v>
      </c>
      <c r="CC856" s="15" t="str">
        <f t="shared" si="1497"/>
        <v>13.39</v>
      </c>
      <c r="CD856" s="15" t="s">
        <v>6551</v>
      </c>
      <c r="CE856" s="15" t="str">
        <f t="shared" si="1498"/>
        <v>46.3</v>
      </c>
      <c r="CF856" s="15" t="s">
        <v>8832</v>
      </c>
      <c r="CI856" s="15" t="s">
        <v>444</v>
      </c>
      <c r="CK856" s="15" t="s">
        <v>444</v>
      </c>
      <c r="CM856" s="15" t="s">
        <v>444</v>
      </c>
      <c r="CO856" s="15" t="s">
        <v>444</v>
      </c>
      <c r="CP856" s="15" t="str">
        <f>"23.34"</f>
        <v>23.34</v>
      </c>
      <c r="CQ856" s="15" t="str">
        <f>"0.661"</f>
        <v>0.661</v>
      </c>
      <c r="CR856" s="15" t="s">
        <v>465</v>
      </c>
      <c r="DC856" s="15" t="str">
        <f>IFERROR(__xludf.DUMMYFUNCTION("""COMPUTED_VALUE"""),"")</f>
        <v/>
      </c>
      <c r="DE856" s="15" t="str">
        <f>IFERROR(__xludf.DUMMYFUNCTION("""COMPUTED_VALUE"""),"")</f>
        <v/>
      </c>
      <c r="DG856" s="15" t="str">
        <f>IFERROR(__xludf.DUMMYFUNCTION("""COMPUTED_VALUE"""),"")</f>
        <v/>
      </c>
      <c r="DK856" s="15" t="s">
        <v>855</v>
      </c>
      <c r="DL856" s="15" t="str">
        <f>IFERROR(__xludf.DUMMYFUNCTION("""COMPUTED_VALUE"""),"Clean with solvent-based (dry clean only) products. Do not use water.")</f>
        <v>Clean with solvent-based (dry clean only) products. Do not use water.</v>
      </c>
      <c r="DM856" s="15" t="s">
        <v>856</v>
      </c>
      <c r="DN856" s="15" t="s">
        <v>419</v>
      </c>
      <c r="DO856" s="15">
        <v>0.0</v>
      </c>
      <c r="DP856" s="15" t="s">
        <v>419</v>
      </c>
      <c r="DR856" s="15">
        <v>0.0</v>
      </c>
      <c r="DT856" s="15" t="s">
        <v>420</v>
      </c>
      <c r="DU856" s="15" t="s">
        <v>419</v>
      </c>
      <c r="DW856" s="15">
        <v>0.0</v>
      </c>
      <c r="DX856" s="15">
        <v>0.0</v>
      </c>
      <c r="DY856" s="15">
        <v>0.0</v>
      </c>
      <c r="DZ856" s="15">
        <v>25000.0</v>
      </c>
      <c r="EG856" s="15" t="s">
        <v>444</v>
      </c>
      <c r="EH856" s="15" t="s">
        <v>8787</v>
      </c>
      <c r="EJ856" s="15" t="s">
        <v>858</v>
      </c>
      <c r="EK856" s="15" t="s">
        <v>859</v>
      </c>
      <c r="EM856" s="15" t="str">
        <f>IFERROR(__xludf.DUMMYFUNCTION("""COMPUTED_VALUE"""),"")</f>
        <v/>
      </c>
      <c r="FM856" s="15">
        <v>0.0</v>
      </c>
      <c r="IM856" s="15" t="s">
        <v>4493</v>
      </c>
      <c r="IN856" s="15" t="s">
        <v>4493</v>
      </c>
      <c r="IO856" s="15" t="s">
        <v>4493</v>
      </c>
      <c r="IP856" s="15" t="s">
        <v>2652</v>
      </c>
      <c r="IQ856" s="15" t="s">
        <v>1607</v>
      </c>
      <c r="IR856" s="15" t="s">
        <v>8833</v>
      </c>
      <c r="IS856" s="15" t="s">
        <v>8834</v>
      </c>
      <c r="IT856" s="15" t="s">
        <v>5055</v>
      </c>
      <c r="IU856" s="15" t="s">
        <v>8833</v>
      </c>
      <c r="IV856" s="15" t="s">
        <v>8835</v>
      </c>
      <c r="IW856" s="15" t="s">
        <v>1957</v>
      </c>
      <c r="IX856" s="15" t="s">
        <v>8836</v>
      </c>
      <c r="IY856" s="15" t="s">
        <v>729</v>
      </c>
      <c r="IZ856" s="15" t="s">
        <v>7596</v>
      </c>
      <c r="JA856" s="15" t="s">
        <v>2969</v>
      </c>
      <c r="JB856" s="15" t="s">
        <v>426</v>
      </c>
      <c r="JC856" s="15" t="s">
        <v>2471</v>
      </c>
      <c r="JD856" s="15" t="s">
        <v>872</v>
      </c>
      <c r="JE856" s="15" t="s">
        <v>873</v>
      </c>
      <c r="JF856" s="15" t="s">
        <v>877</v>
      </c>
      <c r="JL856" s="15" t="s">
        <v>759</v>
      </c>
      <c r="JM856" s="15" t="s">
        <v>1425</v>
      </c>
      <c r="JN856" s="15" t="s">
        <v>759</v>
      </c>
      <c r="JO856" s="15" t="s">
        <v>426</v>
      </c>
      <c r="JP856" s="15" t="s">
        <v>2474</v>
      </c>
    </row>
    <row r="857" ht="15.75" customHeight="1">
      <c r="A857" s="14" t="s">
        <v>391</v>
      </c>
      <c r="B857" s="15" t="s">
        <v>8857</v>
      </c>
      <c r="C857" s="16"/>
      <c r="D857" s="15" t="s">
        <v>432</v>
      </c>
      <c r="G857" s="14" t="s">
        <v>393</v>
      </c>
      <c r="H857" s="14" t="s">
        <v>394</v>
      </c>
      <c r="I857" s="14" t="b">
        <v>1</v>
      </c>
      <c r="J857" s="14" t="s">
        <v>395</v>
      </c>
      <c r="L857" s="14" t="b">
        <v>0</v>
      </c>
      <c r="M857" s="15" t="s">
        <v>8858</v>
      </c>
      <c r="N857" s="14" t="s">
        <v>393</v>
      </c>
      <c r="O857" s="14" t="s">
        <v>393</v>
      </c>
      <c r="P857" s="15" t="s">
        <v>397</v>
      </c>
      <c r="Q857" s="15" t="s">
        <v>8716</v>
      </c>
      <c r="T857" s="14" t="b">
        <v>0</v>
      </c>
      <c r="U857" s="15" t="s">
        <v>8859</v>
      </c>
      <c r="V857" s="15" t="s">
        <v>5855</v>
      </c>
      <c r="W857" s="15" t="s">
        <v>401</v>
      </c>
      <c r="X857" s="15" t="s">
        <v>742</v>
      </c>
      <c r="Y857" s="15">
        <v>2184.0</v>
      </c>
      <c r="AA857" s="15" t="str">
        <f t="shared" ref="AA857:AA859" si="1506">"840"</f>
        <v>840</v>
      </c>
      <c r="AB857" s="14" t="b">
        <v>1</v>
      </c>
      <c r="AC857" s="14" t="b">
        <v>1</v>
      </c>
      <c r="AD857" s="15" t="str">
        <f>"801542987749"</f>
        <v>801542987749</v>
      </c>
      <c r="AE857" s="15" t="s">
        <v>8860</v>
      </c>
      <c r="AF857" s="14" t="s">
        <v>404</v>
      </c>
      <c r="AG857" s="14" t="s">
        <v>405</v>
      </c>
      <c r="AH857" s="14" t="s">
        <v>406</v>
      </c>
      <c r="AI857" s="15">
        <v>0.0</v>
      </c>
      <c r="AL857" s="15" t="s">
        <v>8273</v>
      </c>
      <c r="AM857" s="15" t="s">
        <v>1220</v>
      </c>
      <c r="AN857" s="15" t="s">
        <v>8636</v>
      </c>
      <c r="AO857" s="15" t="s">
        <v>546</v>
      </c>
      <c r="AP857" s="15" t="s">
        <v>547</v>
      </c>
      <c r="AQ857" s="15" t="s">
        <v>546</v>
      </c>
      <c r="AR857" s="15" t="s">
        <v>547</v>
      </c>
      <c r="AS857" s="15" t="s">
        <v>5652</v>
      </c>
      <c r="AT857" s="15" t="s">
        <v>8716</v>
      </c>
      <c r="AU857" s="15" t="s">
        <v>8784</v>
      </c>
      <c r="AW857" s="15" t="s">
        <v>2134</v>
      </c>
      <c r="AX857" s="15" t="s">
        <v>2135</v>
      </c>
      <c r="AY857" s="15" t="s">
        <v>413</v>
      </c>
      <c r="AZ857" s="15" t="b">
        <v>0</v>
      </c>
      <c r="BA857" s="15" t="s">
        <v>413</v>
      </c>
      <c r="BB857" s="15" t="b">
        <v>0</v>
      </c>
      <c r="BC857" s="15" t="s">
        <v>8861</v>
      </c>
      <c r="BD857" s="15" t="s">
        <v>742</v>
      </c>
      <c r="BE857" s="15" t="str">
        <f t="shared" ref="BE857:BE871" si="1507">"1"</f>
        <v>1</v>
      </c>
      <c r="BF857" s="15" t="s">
        <v>416</v>
      </c>
      <c r="BG857" s="15" t="str">
        <f t="shared" ref="BG857:BG858" si="1508">"74.02"</f>
        <v>74.02</v>
      </c>
      <c r="BH857" s="15" t="s">
        <v>3201</v>
      </c>
      <c r="BI857" s="15" t="str">
        <f t="shared" ref="BI857:BI858" si="1509">"34.25"</f>
        <v>34.25</v>
      </c>
      <c r="BJ857" s="15" t="s">
        <v>605</v>
      </c>
      <c r="BK857" s="15" t="str">
        <f t="shared" ref="BK857:BK858" si="1510">"26.38"</f>
        <v>26.38</v>
      </c>
      <c r="BL857" s="15" t="s">
        <v>1735</v>
      </c>
      <c r="BM857" s="15" t="str">
        <f t="shared" ref="BM857:BM858" si="1511">"268.96"</f>
        <v>268.96</v>
      </c>
      <c r="BN857" s="15" t="s">
        <v>8862</v>
      </c>
      <c r="BQ857" s="15" t="s">
        <v>444</v>
      </c>
      <c r="BS857" s="15" t="s">
        <v>444</v>
      </c>
      <c r="BU857" s="15" t="s">
        <v>444</v>
      </c>
      <c r="BW857" s="15" t="s">
        <v>444</v>
      </c>
      <c r="BZ857" s="15" t="s">
        <v>444</v>
      </c>
      <c r="CB857" s="15" t="s">
        <v>444</v>
      </c>
      <c r="CD857" s="15" t="s">
        <v>444</v>
      </c>
      <c r="CF857" s="15" t="s">
        <v>444</v>
      </c>
      <c r="CI857" s="15" t="s">
        <v>444</v>
      </c>
      <c r="CK857" s="15" t="s">
        <v>444</v>
      </c>
      <c r="CM857" s="15" t="s">
        <v>444</v>
      </c>
      <c r="CO857" s="15" t="s">
        <v>444</v>
      </c>
      <c r="CP857" s="15" t="str">
        <f t="shared" ref="CP857:CP858" si="1512">"38.7"</f>
        <v>38.7</v>
      </c>
      <c r="CQ857" s="15" t="str">
        <f t="shared" ref="CQ857:CQ858" si="1513">"1.096"</f>
        <v>1.096</v>
      </c>
      <c r="CR857" s="15" t="s">
        <v>497</v>
      </c>
      <c r="CV857" s="15" t="s">
        <v>714</v>
      </c>
      <c r="CW857" s="15" t="s">
        <v>4943</v>
      </c>
      <c r="CX857" s="15" t="s">
        <v>8863</v>
      </c>
      <c r="DC857" s="15" t="str">
        <f>IFERROR(__xludf.DUMMYFUNCTION("""COMPUTED_VALUE"""),"")</f>
        <v/>
      </c>
      <c r="DE857" s="15" t="str">
        <f>IFERROR(__xludf.DUMMYFUNCTION("""COMPUTED_VALUE"""),"")</f>
        <v/>
      </c>
      <c r="DG857" s="15" t="str">
        <f>IFERROR(__xludf.DUMMYFUNCTION("""COMPUTED_VALUE"""),"")</f>
        <v/>
      </c>
      <c r="DL857" s="15" t="str">
        <f>IFERROR(__xludf.DUMMYFUNCTION("""COMPUTED_VALUE"""),"")</f>
        <v/>
      </c>
      <c r="DM857" s="15" t="s">
        <v>444</v>
      </c>
      <c r="DN857" s="15" t="s">
        <v>1371</v>
      </c>
      <c r="DO857" s="15">
        <v>5.0</v>
      </c>
      <c r="DP857" s="15" t="s">
        <v>419</v>
      </c>
      <c r="DR857" s="15">
        <v>0.0</v>
      </c>
      <c r="DT857" s="15" t="s">
        <v>721</v>
      </c>
      <c r="DU857" s="15" t="s">
        <v>610</v>
      </c>
      <c r="DY857" s="15">
        <v>3.0</v>
      </c>
      <c r="EF857" s="15" t="s">
        <v>2137</v>
      </c>
      <c r="EG857" s="15" t="s">
        <v>2138</v>
      </c>
      <c r="EH857" s="15" t="s">
        <v>8787</v>
      </c>
      <c r="EJ857" s="15" t="s">
        <v>424</v>
      </c>
      <c r="EK857" s="15" t="s">
        <v>446</v>
      </c>
      <c r="EM857" s="15" t="str">
        <f>IFERROR(__xludf.DUMMYFUNCTION("""COMPUTED_VALUE"""),"")</f>
        <v/>
      </c>
      <c r="EW857" s="15" t="s">
        <v>1957</v>
      </c>
      <c r="EX857" s="15" t="s">
        <v>2647</v>
      </c>
      <c r="EY857" s="15" t="s">
        <v>8557</v>
      </c>
      <c r="FK857" s="15" t="s">
        <v>612</v>
      </c>
      <c r="FL857" s="15" t="s">
        <v>426</v>
      </c>
      <c r="FM857" s="15">
        <v>3.0</v>
      </c>
      <c r="GB857" s="15" t="s">
        <v>714</v>
      </c>
      <c r="GC857" s="15" t="s">
        <v>612</v>
      </c>
      <c r="GD857" s="15" t="s">
        <v>8863</v>
      </c>
      <c r="GH857" s="15">
        <v>2.0</v>
      </c>
      <c r="GI857" s="15" t="s">
        <v>614</v>
      </c>
      <c r="GJ857" s="15" t="s">
        <v>1045</v>
      </c>
      <c r="GL857" s="15" t="s">
        <v>426</v>
      </c>
      <c r="GQ857" s="15" t="s">
        <v>4151</v>
      </c>
      <c r="GR857" s="15" t="s">
        <v>4151</v>
      </c>
      <c r="GS857" s="15" t="s">
        <v>8864</v>
      </c>
      <c r="GT857" s="15" t="s">
        <v>8864</v>
      </c>
      <c r="GU857" s="15" t="s">
        <v>5571</v>
      </c>
      <c r="GV857" s="15" t="s">
        <v>8865</v>
      </c>
      <c r="GW857" s="15" t="s">
        <v>431</v>
      </c>
      <c r="GY857" s="15" t="s">
        <v>764</v>
      </c>
      <c r="HA857" s="15" t="s">
        <v>731</v>
      </c>
      <c r="HB857" s="15" t="s">
        <v>4943</v>
      </c>
      <c r="HC857" s="15" t="s">
        <v>4180</v>
      </c>
      <c r="HD857" s="15">
        <v>4.0</v>
      </c>
      <c r="HQ857" s="15" t="s">
        <v>731</v>
      </c>
      <c r="HS857" s="15" t="s">
        <v>4943</v>
      </c>
      <c r="HU857" s="15" t="s">
        <v>4180</v>
      </c>
      <c r="HW857" s="15" t="s">
        <v>1957</v>
      </c>
      <c r="HX857" s="15" t="s">
        <v>4151</v>
      </c>
      <c r="HZ857" s="15" t="s">
        <v>8866</v>
      </c>
      <c r="IB857" s="15" t="s">
        <v>5571</v>
      </c>
      <c r="IG857" s="15" t="s">
        <v>426</v>
      </c>
      <c r="IH857" s="15" t="s">
        <v>426</v>
      </c>
    </row>
    <row r="858" ht="15.75" customHeight="1">
      <c r="A858" s="14" t="s">
        <v>391</v>
      </c>
      <c r="B858" s="15" t="s">
        <v>8857</v>
      </c>
      <c r="C858" s="16"/>
      <c r="D858" s="15" t="s">
        <v>432</v>
      </c>
      <c r="G858" s="14" t="s">
        <v>393</v>
      </c>
      <c r="H858" s="14" t="s">
        <v>394</v>
      </c>
      <c r="I858" s="14" t="b">
        <v>1</v>
      </c>
      <c r="J858" s="14" t="s">
        <v>395</v>
      </c>
      <c r="L858" s="14" t="b">
        <v>0</v>
      </c>
      <c r="M858" s="15" t="s">
        <v>8867</v>
      </c>
      <c r="N858" s="14" t="s">
        <v>393</v>
      </c>
      <c r="O858" s="14" t="s">
        <v>393</v>
      </c>
      <c r="P858" s="15" t="s">
        <v>397</v>
      </c>
      <c r="Q858" s="15" t="s">
        <v>8790</v>
      </c>
      <c r="T858" s="14" t="b">
        <v>0</v>
      </c>
      <c r="U858" s="15" t="s">
        <v>8868</v>
      </c>
      <c r="V858" s="15" t="s">
        <v>5855</v>
      </c>
      <c r="W858" s="15" t="s">
        <v>401</v>
      </c>
      <c r="X858" s="15" t="s">
        <v>742</v>
      </c>
      <c r="Y858" s="15">
        <v>2184.0</v>
      </c>
      <c r="AA858" s="15" t="str">
        <f t="shared" si="1506"/>
        <v>840</v>
      </c>
      <c r="AB858" s="14" t="b">
        <v>1</v>
      </c>
      <c r="AC858" s="14" t="b">
        <v>1</v>
      </c>
      <c r="AD858" s="15" t="str">
        <f>"801542987756"</f>
        <v>801542987756</v>
      </c>
      <c r="AE858" s="15" t="s">
        <v>8869</v>
      </c>
      <c r="AF858" s="14" t="s">
        <v>404</v>
      </c>
      <c r="AG858" s="14" t="s">
        <v>405</v>
      </c>
      <c r="AH858" s="14" t="s">
        <v>406</v>
      </c>
      <c r="AI858" s="15">
        <v>0.0</v>
      </c>
      <c r="AL858" s="15" t="s">
        <v>8273</v>
      </c>
      <c r="AM858" s="15" t="s">
        <v>1220</v>
      </c>
      <c r="AN858" s="15" t="s">
        <v>8636</v>
      </c>
      <c r="AO858" s="15" t="s">
        <v>546</v>
      </c>
      <c r="AP858" s="15" t="s">
        <v>547</v>
      </c>
      <c r="AQ858" s="15" t="s">
        <v>546</v>
      </c>
      <c r="AR858" s="15" t="s">
        <v>547</v>
      </c>
      <c r="AS858" s="15" t="s">
        <v>5652</v>
      </c>
      <c r="AT858" s="15" t="s">
        <v>8790</v>
      </c>
      <c r="AU858" s="15" t="s">
        <v>8784</v>
      </c>
      <c r="AW858" s="15" t="s">
        <v>2134</v>
      </c>
      <c r="AX858" s="15" t="s">
        <v>2135</v>
      </c>
      <c r="AY858" s="15" t="s">
        <v>413</v>
      </c>
      <c r="AZ858" s="15" t="b">
        <v>0</v>
      </c>
      <c r="BA858" s="15" t="s">
        <v>413</v>
      </c>
      <c r="BB858" s="15" t="b">
        <v>0</v>
      </c>
      <c r="BC858" s="15" t="s">
        <v>8870</v>
      </c>
      <c r="BD858" s="15" t="s">
        <v>742</v>
      </c>
      <c r="BE858" s="15" t="str">
        <f t="shared" si="1507"/>
        <v>1</v>
      </c>
      <c r="BF858" s="15" t="s">
        <v>416</v>
      </c>
      <c r="BG858" s="15" t="str">
        <f t="shared" si="1508"/>
        <v>74.02</v>
      </c>
      <c r="BH858" s="15" t="s">
        <v>3201</v>
      </c>
      <c r="BI858" s="15" t="str">
        <f t="shared" si="1509"/>
        <v>34.25</v>
      </c>
      <c r="BJ858" s="15" t="s">
        <v>605</v>
      </c>
      <c r="BK858" s="15" t="str">
        <f t="shared" si="1510"/>
        <v>26.38</v>
      </c>
      <c r="BL858" s="15" t="s">
        <v>1735</v>
      </c>
      <c r="BM858" s="15" t="str">
        <f t="shared" si="1511"/>
        <v>268.96</v>
      </c>
      <c r="BN858" s="15" t="s">
        <v>8862</v>
      </c>
      <c r="BQ858" s="15" t="s">
        <v>444</v>
      </c>
      <c r="BS858" s="15" t="s">
        <v>444</v>
      </c>
      <c r="BU858" s="15" t="s">
        <v>444</v>
      </c>
      <c r="BW858" s="15" t="s">
        <v>444</v>
      </c>
      <c r="BZ858" s="15" t="s">
        <v>444</v>
      </c>
      <c r="CB858" s="15" t="s">
        <v>444</v>
      </c>
      <c r="CD858" s="15" t="s">
        <v>444</v>
      </c>
      <c r="CF858" s="15" t="s">
        <v>444</v>
      </c>
      <c r="CI858" s="15" t="s">
        <v>444</v>
      </c>
      <c r="CK858" s="15" t="s">
        <v>444</v>
      </c>
      <c r="CM858" s="15" t="s">
        <v>444</v>
      </c>
      <c r="CO858" s="15" t="s">
        <v>444</v>
      </c>
      <c r="CP858" s="15" t="str">
        <f t="shared" si="1512"/>
        <v>38.7</v>
      </c>
      <c r="CQ858" s="15" t="str">
        <f t="shared" si="1513"/>
        <v>1.096</v>
      </c>
      <c r="CR858" s="15" t="s">
        <v>497</v>
      </c>
      <c r="CV858" s="15" t="s">
        <v>714</v>
      </c>
      <c r="CW858" s="15" t="s">
        <v>4943</v>
      </c>
      <c r="CX858" s="15" t="s">
        <v>8863</v>
      </c>
      <c r="DC858" s="15" t="str">
        <f>IFERROR(__xludf.DUMMYFUNCTION("""COMPUTED_VALUE"""),"")</f>
        <v/>
      </c>
      <c r="DE858" s="15" t="str">
        <f>IFERROR(__xludf.DUMMYFUNCTION("""COMPUTED_VALUE"""),"")</f>
        <v/>
      </c>
      <c r="DG858" s="15" t="str">
        <f>IFERROR(__xludf.DUMMYFUNCTION("""COMPUTED_VALUE"""),"")</f>
        <v/>
      </c>
      <c r="DL858" s="15" t="str">
        <f>IFERROR(__xludf.DUMMYFUNCTION("""COMPUTED_VALUE"""),"")</f>
        <v/>
      </c>
      <c r="DM858" s="15" t="s">
        <v>444</v>
      </c>
      <c r="DN858" s="15" t="s">
        <v>1371</v>
      </c>
      <c r="DO858" s="15">
        <v>5.0</v>
      </c>
      <c r="DP858" s="15" t="s">
        <v>419</v>
      </c>
      <c r="DR858" s="15">
        <v>0.0</v>
      </c>
      <c r="DT858" s="15" t="s">
        <v>721</v>
      </c>
      <c r="DU858" s="15" t="s">
        <v>610</v>
      </c>
      <c r="DY858" s="15">
        <v>3.0</v>
      </c>
      <c r="EF858" s="15" t="s">
        <v>2137</v>
      </c>
      <c r="EG858" s="15" t="s">
        <v>2138</v>
      </c>
      <c r="EH858" s="15" t="s">
        <v>8787</v>
      </c>
      <c r="EJ858" s="15" t="s">
        <v>424</v>
      </c>
      <c r="EK858" s="15" t="s">
        <v>446</v>
      </c>
      <c r="EM858" s="15" t="str">
        <f>IFERROR(__xludf.DUMMYFUNCTION("""COMPUTED_VALUE"""),"")</f>
        <v/>
      </c>
      <c r="EW858" s="15" t="s">
        <v>1957</v>
      </c>
      <c r="EX858" s="15" t="s">
        <v>2647</v>
      </c>
      <c r="EY858" s="15" t="s">
        <v>8557</v>
      </c>
      <c r="FK858" s="15" t="s">
        <v>612</v>
      </c>
      <c r="FL858" s="15" t="s">
        <v>426</v>
      </c>
      <c r="FM858" s="15">
        <v>3.0</v>
      </c>
      <c r="GB858" s="15" t="s">
        <v>714</v>
      </c>
      <c r="GC858" s="15" t="s">
        <v>612</v>
      </c>
      <c r="GD858" s="15" t="s">
        <v>8863</v>
      </c>
      <c r="GH858" s="15">
        <v>2.0</v>
      </c>
      <c r="GI858" s="15" t="s">
        <v>614</v>
      </c>
      <c r="GJ858" s="15" t="s">
        <v>1045</v>
      </c>
      <c r="GL858" s="15" t="s">
        <v>426</v>
      </c>
      <c r="GQ858" s="15" t="s">
        <v>4151</v>
      </c>
      <c r="GR858" s="15" t="s">
        <v>4151</v>
      </c>
      <c r="GS858" s="15" t="s">
        <v>8864</v>
      </c>
      <c r="GT858" s="15" t="s">
        <v>8864</v>
      </c>
      <c r="GU858" s="15" t="s">
        <v>5571</v>
      </c>
      <c r="GV858" s="15" t="s">
        <v>8865</v>
      </c>
      <c r="GW858" s="15" t="s">
        <v>431</v>
      </c>
      <c r="GY858" s="15" t="s">
        <v>764</v>
      </c>
      <c r="HA858" s="15" t="s">
        <v>731</v>
      </c>
      <c r="HB858" s="15" t="s">
        <v>4943</v>
      </c>
      <c r="HC858" s="15" t="s">
        <v>4180</v>
      </c>
      <c r="HD858" s="15">
        <v>4.0</v>
      </c>
      <c r="HQ858" s="15" t="s">
        <v>731</v>
      </c>
      <c r="HS858" s="15" t="s">
        <v>4943</v>
      </c>
      <c r="HU858" s="15" t="s">
        <v>4180</v>
      </c>
      <c r="HW858" s="15" t="s">
        <v>1957</v>
      </c>
      <c r="HX858" s="15" t="s">
        <v>4151</v>
      </c>
      <c r="HZ858" s="15" t="s">
        <v>8866</v>
      </c>
      <c r="IB858" s="15" t="s">
        <v>5571</v>
      </c>
      <c r="IG858" s="15" t="s">
        <v>426</v>
      </c>
      <c r="IH858" s="15" t="s">
        <v>426</v>
      </c>
    </row>
    <row r="859" ht="15.75" customHeight="1">
      <c r="A859" s="14" t="s">
        <v>391</v>
      </c>
      <c r="B859" s="15" t="s">
        <v>8871</v>
      </c>
      <c r="C859" s="16"/>
      <c r="D859" s="15" t="s">
        <v>432</v>
      </c>
      <c r="G859" s="14" t="s">
        <v>393</v>
      </c>
      <c r="H859" s="14" t="s">
        <v>394</v>
      </c>
      <c r="I859" s="14" t="b">
        <v>1</v>
      </c>
      <c r="J859" s="14" t="s">
        <v>395</v>
      </c>
      <c r="L859" s="14" t="b">
        <v>0</v>
      </c>
      <c r="M859" s="15" t="s">
        <v>8872</v>
      </c>
      <c r="N859" s="14" t="s">
        <v>393</v>
      </c>
      <c r="O859" s="14" t="s">
        <v>393</v>
      </c>
      <c r="P859" s="15" t="s">
        <v>397</v>
      </c>
      <c r="Q859" s="15" t="s">
        <v>8784</v>
      </c>
      <c r="T859" s="14" t="b">
        <v>0</v>
      </c>
      <c r="U859" s="15" t="s">
        <v>8873</v>
      </c>
      <c r="V859" s="15" t="s">
        <v>4121</v>
      </c>
      <c r="W859" s="15" t="s">
        <v>401</v>
      </c>
      <c r="X859" s="15" t="s">
        <v>742</v>
      </c>
      <c r="Y859" s="15">
        <v>2184.0</v>
      </c>
      <c r="AA859" s="15" t="str">
        <f t="shared" si="1506"/>
        <v>840</v>
      </c>
      <c r="AB859" s="14" t="b">
        <v>1</v>
      </c>
      <c r="AC859" s="14" t="b">
        <v>1</v>
      </c>
      <c r="AD859" s="15" t="str">
        <f>"801542964320"</f>
        <v>801542964320</v>
      </c>
      <c r="AE859" s="15" t="s">
        <v>8874</v>
      </c>
      <c r="AF859" s="14" t="s">
        <v>404</v>
      </c>
      <c r="AG859" s="14" t="s">
        <v>405</v>
      </c>
      <c r="AH859" s="14" t="s">
        <v>406</v>
      </c>
      <c r="AI859" s="15">
        <v>0.0</v>
      </c>
      <c r="AL859" s="15" t="s">
        <v>8875</v>
      </c>
      <c r="AM859" s="15" t="s">
        <v>8876</v>
      </c>
      <c r="AN859" s="15" t="s">
        <v>8877</v>
      </c>
      <c r="AO859" s="15" t="s">
        <v>1007</v>
      </c>
      <c r="AP859" s="15" t="s">
        <v>1008</v>
      </c>
      <c r="AQ859" s="15" t="s">
        <v>1085</v>
      </c>
      <c r="AR859" s="15" t="s">
        <v>1086</v>
      </c>
      <c r="AS859" s="15" t="s">
        <v>5652</v>
      </c>
      <c r="AT859" s="15" t="s">
        <v>8784</v>
      </c>
      <c r="AU859" s="15" t="s">
        <v>8716</v>
      </c>
      <c r="AW859" s="15" t="s">
        <v>602</v>
      </c>
      <c r="AY859" s="15" t="s">
        <v>426</v>
      </c>
      <c r="AZ859" s="15" t="b">
        <v>1</v>
      </c>
      <c r="BA859" s="15" t="s">
        <v>413</v>
      </c>
      <c r="BB859" s="15" t="b">
        <v>0</v>
      </c>
      <c r="BD859" s="15" t="s">
        <v>742</v>
      </c>
      <c r="BE859" s="15" t="str">
        <f t="shared" si="1507"/>
        <v>1</v>
      </c>
      <c r="BF859" s="15" t="s">
        <v>2043</v>
      </c>
      <c r="BG859" s="15" t="str">
        <f>"98.82"</f>
        <v>98.82</v>
      </c>
      <c r="BH859" s="15" t="s">
        <v>8878</v>
      </c>
      <c r="BI859" s="15" t="str">
        <f t="shared" ref="BI859:BI861" si="1514">"22.64"</f>
        <v>22.64</v>
      </c>
      <c r="BJ859" s="15" t="s">
        <v>5982</v>
      </c>
      <c r="BK859" s="15" t="str">
        <f>"33.86"</f>
        <v>33.86</v>
      </c>
      <c r="BL859" s="15" t="s">
        <v>1209</v>
      </c>
      <c r="BM859" s="15" t="str">
        <f>"262.35"</f>
        <v>262.35</v>
      </c>
      <c r="BN859" s="15" t="s">
        <v>1370</v>
      </c>
      <c r="BQ859" s="15" t="s">
        <v>444</v>
      </c>
      <c r="BS859" s="15" t="s">
        <v>444</v>
      </c>
      <c r="BU859" s="15" t="s">
        <v>444</v>
      </c>
      <c r="BW859" s="15" t="s">
        <v>444</v>
      </c>
      <c r="BZ859" s="15" t="s">
        <v>444</v>
      </c>
      <c r="CB859" s="15" t="s">
        <v>444</v>
      </c>
      <c r="CD859" s="15" t="s">
        <v>444</v>
      </c>
      <c r="CF859" s="15" t="s">
        <v>444</v>
      </c>
      <c r="CI859" s="15" t="s">
        <v>444</v>
      </c>
      <c r="CK859" s="15" t="s">
        <v>444</v>
      </c>
      <c r="CM859" s="15" t="s">
        <v>444</v>
      </c>
      <c r="CO859" s="15" t="s">
        <v>444</v>
      </c>
      <c r="CP859" s="15" t="str">
        <f>"43.83"</f>
        <v>43.83</v>
      </c>
      <c r="CQ859" s="15" t="str">
        <f>"1.241"</f>
        <v>1.241</v>
      </c>
      <c r="CR859" s="15" t="s">
        <v>497</v>
      </c>
      <c r="CV859" s="15" t="s">
        <v>778</v>
      </c>
      <c r="CW859" s="15" t="s">
        <v>3225</v>
      </c>
      <c r="CX859" s="15" t="s">
        <v>8879</v>
      </c>
      <c r="DC859" s="15" t="str">
        <f>IFERROR(__xludf.DUMMYFUNCTION("""COMPUTED_VALUE"""),"")</f>
        <v/>
      </c>
      <c r="DE859" s="15" t="str">
        <f>IFERROR(__xludf.DUMMYFUNCTION("""COMPUTED_VALUE"""),"")</f>
        <v/>
      </c>
      <c r="DG859" s="15" t="str">
        <f>IFERROR(__xludf.DUMMYFUNCTION("""COMPUTED_VALUE"""),"")</f>
        <v/>
      </c>
      <c r="DK859" s="15" t="s">
        <v>718</v>
      </c>
      <c r="DL859" s="15" t="str">
        <f>IFERROR(__xludf.DUMMYFUNCTION("""COMPUTED_VALUE"""),"Vacuum or light brush only. Do not use water or any cleaning products.")</f>
        <v>Vacuum or light brush only. Do not use water or any cleaning products.</v>
      </c>
      <c r="DM859" s="15" t="s">
        <v>719</v>
      </c>
      <c r="DN859" s="15" t="s">
        <v>1371</v>
      </c>
      <c r="DO859" s="15">
        <v>3.0</v>
      </c>
      <c r="DP859" s="15" t="s">
        <v>419</v>
      </c>
      <c r="DR859" s="15">
        <v>0.0</v>
      </c>
      <c r="DT859" s="15" t="s">
        <v>420</v>
      </c>
      <c r="DU859" s="15" t="s">
        <v>610</v>
      </c>
      <c r="DW859" s="15">
        <v>18.14</v>
      </c>
      <c r="DX859" s="15">
        <v>40.0</v>
      </c>
      <c r="DY859" s="15">
        <v>2.0</v>
      </c>
      <c r="DZ859" s="15">
        <v>0.0</v>
      </c>
      <c r="EG859" s="15" t="s">
        <v>444</v>
      </c>
      <c r="EH859" s="15" t="s">
        <v>8787</v>
      </c>
      <c r="EK859" s="15" t="s">
        <v>444</v>
      </c>
      <c r="EM859" s="15" t="str">
        <f>IFERROR(__xludf.DUMMYFUNCTION("""COMPUTED_VALUE"""),"")</f>
        <v/>
      </c>
      <c r="EW859" s="15" t="s">
        <v>8880</v>
      </c>
      <c r="FM859" s="15">
        <v>2.0</v>
      </c>
      <c r="FY859" s="15" t="s">
        <v>8881</v>
      </c>
      <c r="FZ859" s="15" t="s">
        <v>612</v>
      </c>
      <c r="GA859" s="15" t="s">
        <v>8882</v>
      </c>
      <c r="GB859" s="15" t="s">
        <v>778</v>
      </c>
      <c r="GC859" s="15" t="s">
        <v>782</v>
      </c>
      <c r="GD859" s="15" t="s">
        <v>8879</v>
      </c>
      <c r="GF859" s="15" t="s">
        <v>426</v>
      </c>
      <c r="GH859" s="15">
        <v>4.0</v>
      </c>
      <c r="GI859" s="15" t="s">
        <v>614</v>
      </c>
      <c r="GJ859" s="15" t="s">
        <v>1045</v>
      </c>
      <c r="GL859" s="15" t="s">
        <v>426</v>
      </c>
      <c r="GQ859" s="15" t="s">
        <v>5738</v>
      </c>
      <c r="GR859" s="15" t="s">
        <v>5738</v>
      </c>
      <c r="GS859" s="15" t="s">
        <v>8883</v>
      </c>
      <c r="GT859" s="15" t="s">
        <v>8884</v>
      </c>
      <c r="GU859" s="15" t="s">
        <v>8885</v>
      </c>
      <c r="GV859" s="15" t="s">
        <v>8885</v>
      </c>
      <c r="HA859" s="15" t="s">
        <v>778</v>
      </c>
      <c r="HB859" s="15" t="s">
        <v>3225</v>
      </c>
      <c r="HC859" s="15" t="s">
        <v>8879</v>
      </c>
      <c r="HD859" s="15">
        <v>0.0</v>
      </c>
      <c r="HW859" s="15" t="s">
        <v>1957</v>
      </c>
      <c r="IH859" s="15" t="s">
        <v>426</v>
      </c>
    </row>
    <row r="860" ht="15.75" customHeight="1">
      <c r="A860" s="14" t="s">
        <v>391</v>
      </c>
      <c r="B860" s="15" t="s">
        <v>8886</v>
      </c>
      <c r="C860" s="16"/>
      <c r="D860" s="15" t="s">
        <v>432</v>
      </c>
      <c r="G860" s="14" t="s">
        <v>393</v>
      </c>
      <c r="H860" s="14" t="s">
        <v>394</v>
      </c>
      <c r="I860" s="14" t="b">
        <v>1</v>
      </c>
      <c r="J860" s="14" t="s">
        <v>395</v>
      </c>
      <c r="L860" s="14" t="b">
        <v>0</v>
      </c>
      <c r="M860" s="15" t="s">
        <v>8887</v>
      </c>
      <c r="N860" s="14" t="s">
        <v>393</v>
      </c>
      <c r="O860" s="14" t="s">
        <v>393</v>
      </c>
      <c r="P860" s="15" t="s">
        <v>397</v>
      </c>
      <c r="Q860" s="15" t="s">
        <v>8716</v>
      </c>
      <c r="T860" s="14" t="b">
        <v>0</v>
      </c>
      <c r="U860" s="15" t="s">
        <v>8888</v>
      </c>
      <c r="V860" s="15" t="s">
        <v>4133</v>
      </c>
      <c r="W860" s="15" t="s">
        <v>401</v>
      </c>
      <c r="X860" s="15" t="s">
        <v>742</v>
      </c>
      <c r="Y860" s="15">
        <v>767.0</v>
      </c>
      <c r="AA860" s="15" t="str">
        <f t="shared" ref="AA860:AA861" si="1515">"295"</f>
        <v>295</v>
      </c>
      <c r="AB860" s="14" t="b">
        <v>1</v>
      </c>
      <c r="AC860" s="14" t="b">
        <v>1</v>
      </c>
      <c r="AD860" s="15" t="str">
        <f>"801542748869"</f>
        <v>801542748869</v>
      </c>
      <c r="AE860" s="15" t="s">
        <v>8889</v>
      </c>
      <c r="AF860" s="14" t="s">
        <v>404</v>
      </c>
      <c r="AG860" s="14" t="s">
        <v>405</v>
      </c>
      <c r="AH860" s="14" t="s">
        <v>406</v>
      </c>
      <c r="AI860" s="15">
        <v>0.0</v>
      </c>
      <c r="AL860" s="15" t="s">
        <v>8783</v>
      </c>
      <c r="AM860" s="15" t="s">
        <v>772</v>
      </c>
      <c r="AN860" s="15" t="s">
        <v>773</v>
      </c>
      <c r="AO860" s="15" t="s">
        <v>7136</v>
      </c>
      <c r="AP860" s="15" t="s">
        <v>3732</v>
      </c>
      <c r="AQ860" s="15" t="s">
        <v>1175</v>
      </c>
      <c r="AR860" s="15" t="s">
        <v>1176</v>
      </c>
      <c r="AS860" s="15" t="s">
        <v>5652</v>
      </c>
      <c r="AT860" s="15" t="s">
        <v>8716</v>
      </c>
      <c r="AU860" s="15" t="s">
        <v>8784</v>
      </c>
      <c r="AW860" s="15" t="s">
        <v>628</v>
      </c>
      <c r="AY860" s="15" t="s">
        <v>426</v>
      </c>
      <c r="AZ860" s="15" t="b">
        <v>1</v>
      </c>
      <c r="BA860" s="15" t="s">
        <v>413</v>
      </c>
      <c r="BB860" s="15" t="b">
        <v>0</v>
      </c>
      <c r="BC860" s="15" t="s">
        <v>8890</v>
      </c>
      <c r="BD860" s="15" t="s">
        <v>742</v>
      </c>
      <c r="BE860" s="15" t="str">
        <f t="shared" si="1507"/>
        <v>1</v>
      </c>
      <c r="BF860" s="15" t="s">
        <v>1439</v>
      </c>
      <c r="BG860" s="15" t="str">
        <f t="shared" ref="BG860:BG861" si="1516">"31.89"</f>
        <v>31.89</v>
      </c>
      <c r="BH860" s="15" t="s">
        <v>1183</v>
      </c>
      <c r="BI860" s="15" t="str">
        <f t="shared" si="1514"/>
        <v>22.64</v>
      </c>
      <c r="BJ860" s="15" t="s">
        <v>5982</v>
      </c>
      <c r="BK860" s="15" t="str">
        <f t="shared" ref="BK860:BK861" si="1517">"32.28"</f>
        <v>32.28</v>
      </c>
      <c r="BL860" s="15" t="s">
        <v>954</v>
      </c>
      <c r="BM860" s="15" t="str">
        <f t="shared" ref="BM860:BM861" si="1518">"74.96"</f>
        <v>74.96</v>
      </c>
      <c r="BN860" s="15" t="s">
        <v>3559</v>
      </c>
      <c r="BQ860" s="15" t="s">
        <v>444</v>
      </c>
      <c r="BS860" s="15" t="s">
        <v>444</v>
      </c>
      <c r="BU860" s="15" t="s">
        <v>444</v>
      </c>
      <c r="BW860" s="15" t="s">
        <v>444</v>
      </c>
      <c r="BZ860" s="15" t="s">
        <v>444</v>
      </c>
      <c r="CB860" s="15" t="s">
        <v>444</v>
      </c>
      <c r="CD860" s="15" t="s">
        <v>444</v>
      </c>
      <c r="CF860" s="15" t="s">
        <v>444</v>
      </c>
      <c r="CI860" s="15" t="s">
        <v>444</v>
      </c>
      <c r="CK860" s="15" t="s">
        <v>444</v>
      </c>
      <c r="CM860" s="15" t="s">
        <v>444</v>
      </c>
      <c r="CO860" s="15" t="s">
        <v>444</v>
      </c>
      <c r="CP860" s="15" t="str">
        <f t="shared" ref="CP860:CP861" si="1519">"13.49"</f>
        <v>13.49</v>
      </c>
      <c r="CQ860" s="15" t="str">
        <f t="shared" ref="CQ860:CQ861" si="1520">"0.382"</f>
        <v>0.382</v>
      </c>
      <c r="CR860" s="15" t="s">
        <v>497</v>
      </c>
      <c r="DC860" s="15" t="str">
        <f>IFERROR(__xludf.DUMMYFUNCTION("""COMPUTED_VALUE"""),"")</f>
        <v/>
      </c>
      <c r="DE860" s="15" t="str">
        <f>IFERROR(__xludf.DUMMYFUNCTION("""COMPUTED_VALUE"""),"")</f>
        <v/>
      </c>
      <c r="DG860" s="15" t="str">
        <f>IFERROR(__xludf.DUMMYFUNCTION("""COMPUTED_VALUE"""),"")</f>
        <v/>
      </c>
      <c r="DL860" s="15" t="str">
        <f>IFERROR(__xludf.DUMMYFUNCTION("""COMPUTED_VALUE"""),"")</f>
        <v/>
      </c>
      <c r="DM860" s="15" t="s">
        <v>444</v>
      </c>
      <c r="DN860" s="15" t="s">
        <v>1371</v>
      </c>
      <c r="DO860" s="15">
        <v>2.0</v>
      </c>
      <c r="DP860" s="15" t="s">
        <v>419</v>
      </c>
      <c r="DR860" s="15">
        <v>0.0</v>
      </c>
      <c r="DT860" s="15" t="s">
        <v>420</v>
      </c>
      <c r="DU860" s="15" t="s">
        <v>421</v>
      </c>
      <c r="DY860" s="15">
        <v>0.0</v>
      </c>
      <c r="EF860" s="15" t="s">
        <v>471</v>
      </c>
      <c r="EG860" s="15" t="s">
        <v>472</v>
      </c>
      <c r="EH860" s="15" t="s">
        <v>8787</v>
      </c>
      <c r="EJ860" s="15" t="s">
        <v>500</v>
      </c>
      <c r="EK860" s="15" t="s">
        <v>501</v>
      </c>
      <c r="EM860" s="15" t="str">
        <f>IFERROR(__xludf.DUMMYFUNCTION("""COMPUTED_VALUE"""),"")</f>
        <v/>
      </c>
      <c r="EW860" s="15" t="s">
        <v>531</v>
      </c>
      <c r="FL860" s="15" t="s">
        <v>426</v>
      </c>
      <c r="FM860" s="15">
        <v>0.0</v>
      </c>
      <c r="GH860" s="15">
        <v>0.0</v>
      </c>
      <c r="GI860" s="15" t="s">
        <v>427</v>
      </c>
      <c r="GQ860" s="15" t="s">
        <v>428</v>
      </c>
      <c r="GS860" s="15" t="s">
        <v>2548</v>
      </c>
      <c r="GU860" s="15" t="s">
        <v>1286</v>
      </c>
      <c r="GW860" s="15" t="s">
        <v>431</v>
      </c>
      <c r="GY860" s="15" t="s">
        <v>764</v>
      </c>
    </row>
    <row r="861" ht="15.75" customHeight="1">
      <c r="A861" s="14" t="s">
        <v>391</v>
      </c>
      <c r="B861" s="15" t="s">
        <v>8886</v>
      </c>
      <c r="C861" s="16"/>
      <c r="D861" s="15" t="s">
        <v>432</v>
      </c>
      <c r="G861" s="14" t="s">
        <v>393</v>
      </c>
      <c r="H861" s="14" t="s">
        <v>394</v>
      </c>
      <c r="I861" s="14" t="b">
        <v>1</v>
      </c>
      <c r="J861" s="14" t="s">
        <v>395</v>
      </c>
      <c r="L861" s="14" t="b">
        <v>0</v>
      </c>
      <c r="M861" s="15" t="s">
        <v>8891</v>
      </c>
      <c r="N861" s="14" t="s">
        <v>393</v>
      </c>
      <c r="O861" s="14" t="s">
        <v>393</v>
      </c>
      <c r="P861" s="15" t="s">
        <v>397</v>
      </c>
      <c r="Q861" s="15" t="s">
        <v>8790</v>
      </c>
      <c r="T861" s="14" t="b">
        <v>0</v>
      </c>
      <c r="U861" s="15" t="s">
        <v>8892</v>
      </c>
      <c r="V861" s="15" t="s">
        <v>4133</v>
      </c>
      <c r="W861" s="15" t="s">
        <v>401</v>
      </c>
      <c r="X861" s="15" t="s">
        <v>742</v>
      </c>
      <c r="Y861" s="15">
        <v>767.0</v>
      </c>
      <c r="AA861" s="15" t="str">
        <f t="shared" si="1515"/>
        <v>295</v>
      </c>
      <c r="AB861" s="14" t="b">
        <v>1</v>
      </c>
      <c r="AC861" s="14" t="b">
        <v>1</v>
      </c>
      <c r="AD861" s="15" t="str">
        <f>"801542036805"</f>
        <v>801542036805</v>
      </c>
      <c r="AE861" s="15" t="s">
        <v>8893</v>
      </c>
      <c r="AF861" s="14" t="s">
        <v>404</v>
      </c>
      <c r="AG861" s="14" t="s">
        <v>405</v>
      </c>
      <c r="AH861" s="14" t="s">
        <v>406</v>
      </c>
      <c r="AI861" s="15">
        <v>0.0</v>
      </c>
      <c r="AL861" s="15" t="s">
        <v>8783</v>
      </c>
      <c r="AM861" s="15" t="s">
        <v>772</v>
      </c>
      <c r="AN861" s="15" t="s">
        <v>773</v>
      </c>
      <c r="AO861" s="15" t="s">
        <v>7136</v>
      </c>
      <c r="AP861" s="15" t="s">
        <v>3732</v>
      </c>
      <c r="AQ861" s="15" t="s">
        <v>1175</v>
      </c>
      <c r="AR861" s="15" t="s">
        <v>1176</v>
      </c>
      <c r="AS861" s="15" t="s">
        <v>5652</v>
      </c>
      <c r="AT861" s="15" t="s">
        <v>8790</v>
      </c>
      <c r="AU861" s="15" t="s">
        <v>8784</v>
      </c>
      <c r="AW861" s="15" t="s">
        <v>628</v>
      </c>
      <c r="AY861" s="15" t="s">
        <v>426</v>
      </c>
      <c r="AZ861" s="15" t="b">
        <v>1</v>
      </c>
      <c r="BA861" s="15" t="s">
        <v>413</v>
      </c>
      <c r="BB861" s="15" t="b">
        <v>0</v>
      </c>
      <c r="BC861" s="15" t="s">
        <v>8894</v>
      </c>
      <c r="BD861" s="15" t="s">
        <v>742</v>
      </c>
      <c r="BE861" s="15" t="str">
        <f t="shared" si="1507"/>
        <v>1</v>
      </c>
      <c r="BF861" s="15" t="s">
        <v>1439</v>
      </c>
      <c r="BG861" s="15" t="str">
        <f t="shared" si="1516"/>
        <v>31.89</v>
      </c>
      <c r="BH861" s="15" t="s">
        <v>1183</v>
      </c>
      <c r="BI861" s="15" t="str">
        <f t="shared" si="1514"/>
        <v>22.64</v>
      </c>
      <c r="BJ861" s="15" t="s">
        <v>5982</v>
      </c>
      <c r="BK861" s="15" t="str">
        <f t="shared" si="1517"/>
        <v>32.28</v>
      </c>
      <c r="BL861" s="15" t="s">
        <v>954</v>
      </c>
      <c r="BM861" s="15" t="str">
        <f t="shared" si="1518"/>
        <v>74.96</v>
      </c>
      <c r="BN861" s="15" t="s">
        <v>3559</v>
      </c>
      <c r="BQ861" s="15" t="s">
        <v>444</v>
      </c>
      <c r="BS861" s="15" t="s">
        <v>444</v>
      </c>
      <c r="BU861" s="15" t="s">
        <v>444</v>
      </c>
      <c r="BW861" s="15" t="s">
        <v>444</v>
      </c>
      <c r="BZ861" s="15" t="s">
        <v>444</v>
      </c>
      <c r="CB861" s="15" t="s">
        <v>444</v>
      </c>
      <c r="CD861" s="15" t="s">
        <v>444</v>
      </c>
      <c r="CF861" s="15" t="s">
        <v>444</v>
      </c>
      <c r="CI861" s="15" t="s">
        <v>444</v>
      </c>
      <c r="CK861" s="15" t="s">
        <v>444</v>
      </c>
      <c r="CM861" s="15" t="s">
        <v>444</v>
      </c>
      <c r="CO861" s="15" t="s">
        <v>444</v>
      </c>
      <c r="CP861" s="15" t="str">
        <f t="shared" si="1519"/>
        <v>13.49</v>
      </c>
      <c r="CQ861" s="15" t="str">
        <f t="shared" si="1520"/>
        <v>0.382</v>
      </c>
      <c r="CR861" s="15" t="s">
        <v>497</v>
      </c>
      <c r="DC861" s="15" t="str">
        <f>IFERROR(__xludf.DUMMYFUNCTION("""COMPUTED_VALUE"""),"")</f>
        <v/>
      </c>
      <c r="DE861" s="15" t="str">
        <f>IFERROR(__xludf.DUMMYFUNCTION("""COMPUTED_VALUE"""),"")</f>
        <v/>
      </c>
      <c r="DG861" s="15" t="str">
        <f>IFERROR(__xludf.DUMMYFUNCTION("""COMPUTED_VALUE"""),"")</f>
        <v/>
      </c>
      <c r="DL861" s="15" t="str">
        <f>IFERROR(__xludf.DUMMYFUNCTION("""COMPUTED_VALUE"""),"")</f>
        <v/>
      </c>
      <c r="DM861" s="15" t="s">
        <v>444</v>
      </c>
      <c r="DN861" s="15" t="s">
        <v>1371</v>
      </c>
      <c r="DO861" s="15">
        <v>2.0</v>
      </c>
      <c r="DP861" s="15" t="s">
        <v>419</v>
      </c>
      <c r="DR861" s="15">
        <v>0.0</v>
      </c>
      <c r="DT861" s="15" t="s">
        <v>420</v>
      </c>
      <c r="DU861" s="15" t="s">
        <v>421</v>
      </c>
      <c r="DY861" s="15">
        <v>0.0</v>
      </c>
      <c r="EF861" s="15" t="s">
        <v>471</v>
      </c>
      <c r="EG861" s="15" t="s">
        <v>472</v>
      </c>
      <c r="EH861" s="15" t="s">
        <v>8787</v>
      </c>
      <c r="EJ861" s="15" t="s">
        <v>500</v>
      </c>
      <c r="EK861" s="15" t="s">
        <v>501</v>
      </c>
      <c r="EM861" s="15" t="str">
        <f>IFERROR(__xludf.DUMMYFUNCTION("""COMPUTED_VALUE"""),"")</f>
        <v/>
      </c>
      <c r="EW861" s="15" t="s">
        <v>531</v>
      </c>
      <c r="FL861" s="15" t="s">
        <v>426</v>
      </c>
      <c r="FM861" s="15">
        <v>0.0</v>
      </c>
      <c r="GH861" s="15">
        <v>0.0</v>
      </c>
      <c r="GI861" s="15" t="s">
        <v>427</v>
      </c>
      <c r="GQ861" s="15" t="s">
        <v>428</v>
      </c>
      <c r="GS861" s="15" t="s">
        <v>2548</v>
      </c>
      <c r="GU861" s="15" t="s">
        <v>1286</v>
      </c>
      <c r="GW861" s="15" t="s">
        <v>431</v>
      </c>
      <c r="GY861" s="15" t="s">
        <v>764</v>
      </c>
    </row>
    <row r="862" ht="15.75" customHeight="1">
      <c r="A862" s="14" t="s">
        <v>391</v>
      </c>
      <c r="B862" s="15" t="s">
        <v>8895</v>
      </c>
      <c r="C862" s="16"/>
      <c r="D862" s="15" t="s">
        <v>432</v>
      </c>
      <c r="G862" s="14" t="s">
        <v>393</v>
      </c>
      <c r="H862" s="14" t="s">
        <v>394</v>
      </c>
      <c r="I862" s="14" t="b">
        <v>1</v>
      </c>
      <c r="J862" s="14" t="s">
        <v>395</v>
      </c>
      <c r="L862" s="14" t="b">
        <v>0</v>
      </c>
      <c r="M862" s="15" t="s">
        <v>8896</v>
      </c>
      <c r="N862" s="14" t="s">
        <v>393</v>
      </c>
      <c r="O862" s="14" t="s">
        <v>393</v>
      </c>
      <c r="P862" s="15" t="s">
        <v>397</v>
      </c>
      <c r="Q862" s="15" t="s">
        <v>8716</v>
      </c>
      <c r="T862" s="14" t="b">
        <v>0</v>
      </c>
      <c r="U862" s="15" t="s">
        <v>8897</v>
      </c>
      <c r="V862" s="15" t="s">
        <v>906</v>
      </c>
      <c r="W862" s="15" t="s">
        <v>401</v>
      </c>
      <c r="X862" s="15" t="s">
        <v>742</v>
      </c>
      <c r="Y862" s="15">
        <v>1859.0</v>
      </c>
      <c r="AA862" s="15" t="str">
        <f t="shared" ref="AA862:AA863" si="1521">"715"</f>
        <v>715</v>
      </c>
      <c r="AB862" s="14" t="b">
        <v>1</v>
      </c>
      <c r="AC862" s="14" t="b">
        <v>1</v>
      </c>
      <c r="AD862" s="15" t="str">
        <f>"198394005586"</f>
        <v>198394005586</v>
      </c>
      <c r="AE862" s="15" t="s">
        <v>8898</v>
      </c>
      <c r="AF862" s="14" t="s">
        <v>404</v>
      </c>
      <c r="AG862" s="14" t="s">
        <v>405</v>
      </c>
      <c r="AH862" s="14" t="s">
        <v>406</v>
      </c>
      <c r="AI862" s="15">
        <v>0.0</v>
      </c>
      <c r="AL862" s="15" t="s">
        <v>8273</v>
      </c>
      <c r="AM862" s="15" t="s">
        <v>8899</v>
      </c>
      <c r="AN862" s="15" t="s">
        <v>8900</v>
      </c>
      <c r="AO862" s="15" t="s">
        <v>1007</v>
      </c>
      <c r="AP862" s="15" t="s">
        <v>1008</v>
      </c>
      <c r="AQ862" s="15" t="s">
        <v>546</v>
      </c>
      <c r="AR862" s="15" t="s">
        <v>547</v>
      </c>
      <c r="AS862" s="15" t="s">
        <v>5652</v>
      </c>
      <c r="AT862" s="15" t="s">
        <v>8716</v>
      </c>
      <c r="AU862" s="15" t="s">
        <v>8784</v>
      </c>
      <c r="AW862" s="15" t="s">
        <v>664</v>
      </c>
      <c r="AY862" s="15" t="s">
        <v>426</v>
      </c>
      <c r="AZ862" s="15" t="b">
        <v>1</v>
      </c>
      <c r="BA862" s="15" t="s">
        <v>413</v>
      </c>
      <c r="BB862" s="15" t="b">
        <v>0</v>
      </c>
      <c r="BC862" s="15" t="s">
        <v>8901</v>
      </c>
      <c r="BD862" s="15" t="s">
        <v>742</v>
      </c>
      <c r="BE862" s="15" t="str">
        <f t="shared" si="1507"/>
        <v>1</v>
      </c>
      <c r="BF862" s="15" t="s">
        <v>2043</v>
      </c>
      <c r="BG862" s="15" t="str">
        <f t="shared" ref="BG862:BG863" si="1522">"77.95"</f>
        <v>77.95</v>
      </c>
      <c r="BH862" s="15" t="s">
        <v>8902</v>
      </c>
      <c r="BI862" s="15" t="str">
        <f t="shared" ref="BI862:BI863" si="1523">"23.03"</f>
        <v>23.03</v>
      </c>
      <c r="BJ862" s="15" t="s">
        <v>2154</v>
      </c>
      <c r="BK862" s="15" t="str">
        <f t="shared" ref="BK862:BK863" si="1524">"35.83"</f>
        <v>35.83</v>
      </c>
      <c r="BL862" s="15" t="s">
        <v>1505</v>
      </c>
      <c r="BM862" s="15" t="str">
        <f t="shared" ref="BM862:BM863" si="1525">"202.83"</f>
        <v>202.83</v>
      </c>
      <c r="BN862" s="15" t="s">
        <v>5584</v>
      </c>
      <c r="BQ862" s="15" t="s">
        <v>444</v>
      </c>
      <c r="BS862" s="15" t="s">
        <v>444</v>
      </c>
      <c r="BU862" s="15" t="s">
        <v>444</v>
      </c>
      <c r="BW862" s="15" t="s">
        <v>444</v>
      </c>
      <c r="BZ862" s="15" t="s">
        <v>444</v>
      </c>
      <c r="CB862" s="15" t="s">
        <v>444</v>
      </c>
      <c r="CD862" s="15" t="s">
        <v>444</v>
      </c>
      <c r="CF862" s="15" t="s">
        <v>444</v>
      </c>
      <c r="CI862" s="15" t="s">
        <v>444</v>
      </c>
      <c r="CK862" s="15" t="s">
        <v>444</v>
      </c>
      <c r="CM862" s="15" t="s">
        <v>444</v>
      </c>
      <c r="CO862" s="15" t="s">
        <v>444</v>
      </c>
      <c r="CP862" s="15" t="str">
        <f t="shared" ref="CP862:CP863" si="1526">"37.22"</f>
        <v>37.22</v>
      </c>
      <c r="CQ862" s="15" t="str">
        <f t="shared" ref="CQ862:CQ863" si="1527">"1.054"</f>
        <v>1.054</v>
      </c>
      <c r="CR862" s="15" t="s">
        <v>497</v>
      </c>
      <c r="CV862" s="15" t="s">
        <v>4178</v>
      </c>
      <c r="CW862" s="15" t="s">
        <v>6272</v>
      </c>
      <c r="CX862" s="15" t="s">
        <v>8903</v>
      </c>
      <c r="DC862" s="15" t="str">
        <f>IFERROR(__xludf.DUMMYFUNCTION("""COMPUTED_VALUE"""),"")</f>
        <v/>
      </c>
      <c r="DE862" s="15" t="str">
        <f>IFERROR(__xludf.DUMMYFUNCTION("""COMPUTED_VALUE"""),"")</f>
        <v/>
      </c>
      <c r="DG862" s="15" t="str">
        <f>IFERROR(__xludf.DUMMYFUNCTION("""COMPUTED_VALUE"""),"")</f>
        <v/>
      </c>
      <c r="DL862" s="15" t="str">
        <f>IFERROR(__xludf.DUMMYFUNCTION("""COMPUTED_VALUE"""),"")</f>
        <v/>
      </c>
      <c r="DM862" s="15" t="s">
        <v>444</v>
      </c>
      <c r="DN862" s="15" t="s">
        <v>419</v>
      </c>
      <c r="DO862" s="15">
        <v>0.0</v>
      </c>
      <c r="DP862" s="15" t="s">
        <v>419</v>
      </c>
      <c r="DR862" s="15">
        <v>0.0</v>
      </c>
      <c r="DT862" s="15" t="s">
        <v>1509</v>
      </c>
      <c r="DU862" s="15" t="s">
        <v>610</v>
      </c>
      <c r="DW862" s="15">
        <v>0.0</v>
      </c>
      <c r="DX862" s="15">
        <v>0.0</v>
      </c>
      <c r="DY862" s="15">
        <v>2.0</v>
      </c>
      <c r="EG862" s="15" t="s">
        <v>444</v>
      </c>
      <c r="EH862" s="15" t="s">
        <v>8787</v>
      </c>
      <c r="EJ862" s="15" t="s">
        <v>424</v>
      </c>
      <c r="EK862" s="15" t="s">
        <v>446</v>
      </c>
      <c r="EM862" s="15" t="str">
        <f>IFERROR(__xludf.DUMMYFUNCTION("""COMPUTED_VALUE"""),"")</f>
        <v/>
      </c>
      <c r="EW862" s="15" t="s">
        <v>1957</v>
      </c>
      <c r="FL862" s="15" t="s">
        <v>426</v>
      </c>
      <c r="FM862" s="15">
        <v>2.0</v>
      </c>
      <c r="FY862" s="15" t="s">
        <v>3927</v>
      </c>
      <c r="FZ862" s="15" t="s">
        <v>782</v>
      </c>
      <c r="GA862" s="15" t="s">
        <v>8904</v>
      </c>
      <c r="GB862" s="15" t="s">
        <v>4178</v>
      </c>
      <c r="GC862" s="15" t="s">
        <v>612</v>
      </c>
      <c r="GD862" s="15" t="s">
        <v>8903</v>
      </c>
      <c r="GE862" s="15">
        <v>0.0</v>
      </c>
      <c r="GG862" s="15" t="s">
        <v>4148</v>
      </c>
      <c r="GH862" s="15">
        <v>4.0</v>
      </c>
      <c r="GI862" s="15" t="s">
        <v>614</v>
      </c>
      <c r="GJ862" s="15" t="s">
        <v>615</v>
      </c>
      <c r="GK862" s="15">
        <v>0.0</v>
      </c>
      <c r="GL862" s="15" t="s">
        <v>426</v>
      </c>
      <c r="GN862" s="15" t="s">
        <v>616</v>
      </c>
      <c r="HA862" s="15" t="s">
        <v>4178</v>
      </c>
      <c r="HB862" s="15" t="s">
        <v>6272</v>
      </c>
      <c r="HC862" s="15" t="s">
        <v>8903</v>
      </c>
      <c r="HW862" s="15" t="s">
        <v>1957</v>
      </c>
      <c r="IH862" s="15" t="s">
        <v>426</v>
      </c>
    </row>
    <row r="863" ht="15.75" customHeight="1">
      <c r="A863" s="14" t="s">
        <v>391</v>
      </c>
      <c r="B863" s="15" t="s">
        <v>8895</v>
      </c>
      <c r="C863" s="16"/>
      <c r="D863" s="15" t="s">
        <v>432</v>
      </c>
      <c r="G863" s="14" t="s">
        <v>393</v>
      </c>
      <c r="H863" s="14" t="s">
        <v>394</v>
      </c>
      <c r="I863" s="14" t="b">
        <v>1</v>
      </c>
      <c r="J863" s="14" t="s">
        <v>395</v>
      </c>
      <c r="L863" s="14" t="b">
        <v>0</v>
      </c>
      <c r="M863" s="15" t="s">
        <v>8905</v>
      </c>
      <c r="N863" s="14" t="s">
        <v>393</v>
      </c>
      <c r="O863" s="14" t="s">
        <v>393</v>
      </c>
      <c r="P863" s="15" t="s">
        <v>397</v>
      </c>
      <c r="Q863" s="15" t="s">
        <v>8790</v>
      </c>
      <c r="T863" s="14" t="b">
        <v>0</v>
      </c>
      <c r="U863" s="15" t="s">
        <v>8906</v>
      </c>
      <c r="V863" s="15" t="s">
        <v>906</v>
      </c>
      <c r="W863" s="15" t="s">
        <v>401</v>
      </c>
      <c r="X863" s="15" t="s">
        <v>742</v>
      </c>
      <c r="Y863" s="15">
        <v>1859.0</v>
      </c>
      <c r="AA863" s="15" t="str">
        <f t="shared" si="1521"/>
        <v>715</v>
      </c>
      <c r="AB863" s="14" t="b">
        <v>1</v>
      </c>
      <c r="AC863" s="14" t="b">
        <v>1</v>
      </c>
      <c r="AD863" s="15" t="str">
        <f>"801542066307"</f>
        <v>801542066307</v>
      </c>
      <c r="AE863" s="15" t="s">
        <v>8907</v>
      </c>
      <c r="AF863" s="14" t="s">
        <v>404</v>
      </c>
      <c r="AG863" s="14" t="s">
        <v>405</v>
      </c>
      <c r="AH863" s="14" t="s">
        <v>406</v>
      </c>
      <c r="AI863" s="15">
        <v>0.0</v>
      </c>
      <c r="AL863" s="15" t="s">
        <v>8273</v>
      </c>
      <c r="AM863" s="15" t="s">
        <v>8899</v>
      </c>
      <c r="AN863" s="15" t="s">
        <v>8900</v>
      </c>
      <c r="AO863" s="15" t="s">
        <v>1007</v>
      </c>
      <c r="AP863" s="15" t="s">
        <v>1008</v>
      </c>
      <c r="AQ863" s="15" t="s">
        <v>546</v>
      </c>
      <c r="AR863" s="15" t="s">
        <v>547</v>
      </c>
      <c r="AS863" s="15" t="s">
        <v>5652</v>
      </c>
      <c r="AT863" s="15" t="s">
        <v>8790</v>
      </c>
      <c r="AU863" s="15" t="s">
        <v>8784</v>
      </c>
      <c r="AW863" s="15" t="s">
        <v>664</v>
      </c>
      <c r="AY863" s="15" t="s">
        <v>426</v>
      </c>
      <c r="AZ863" s="15" t="b">
        <v>1</v>
      </c>
      <c r="BA863" s="15" t="s">
        <v>413</v>
      </c>
      <c r="BB863" s="15" t="b">
        <v>0</v>
      </c>
      <c r="BC863" s="15" t="s">
        <v>8908</v>
      </c>
      <c r="BD863" s="15" t="s">
        <v>742</v>
      </c>
      <c r="BE863" s="15" t="str">
        <f t="shared" si="1507"/>
        <v>1</v>
      </c>
      <c r="BF863" s="15" t="s">
        <v>2043</v>
      </c>
      <c r="BG863" s="15" t="str">
        <f t="shared" si="1522"/>
        <v>77.95</v>
      </c>
      <c r="BH863" s="15" t="s">
        <v>8902</v>
      </c>
      <c r="BI863" s="15" t="str">
        <f t="shared" si="1523"/>
        <v>23.03</v>
      </c>
      <c r="BJ863" s="15" t="s">
        <v>2154</v>
      </c>
      <c r="BK863" s="15" t="str">
        <f t="shared" si="1524"/>
        <v>35.83</v>
      </c>
      <c r="BL863" s="15" t="s">
        <v>1505</v>
      </c>
      <c r="BM863" s="15" t="str">
        <f t="shared" si="1525"/>
        <v>202.83</v>
      </c>
      <c r="BN863" s="15" t="s">
        <v>5584</v>
      </c>
      <c r="BQ863" s="15" t="s">
        <v>444</v>
      </c>
      <c r="BS863" s="15" t="s">
        <v>444</v>
      </c>
      <c r="BU863" s="15" t="s">
        <v>444</v>
      </c>
      <c r="BW863" s="15" t="s">
        <v>444</v>
      </c>
      <c r="BZ863" s="15" t="s">
        <v>444</v>
      </c>
      <c r="CB863" s="15" t="s">
        <v>444</v>
      </c>
      <c r="CD863" s="15" t="s">
        <v>444</v>
      </c>
      <c r="CF863" s="15" t="s">
        <v>444</v>
      </c>
      <c r="CI863" s="15" t="s">
        <v>444</v>
      </c>
      <c r="CK863" s="15" t="s">
        <v>444</v>
      </c>
      <c r="CM863" s="15" t="s">
        <v>444</v>
      </c>
      <c r="CO863" s="15" t="s">
        <v>444</v>
      </c>
      <c r="CP863" s="15" t="str">
        <f t="shared" si="1526"/>
        <v>37.22</v>
      </c>
      <c r="CQ863" s="15" t="str">
        <f t="shared" si="1527"/>
        <v>1.054</v>
      </c>
      <c r="CR863" s="15" t="s">
        <v>497</v>
      </c>
      <c r="CV863" s="15" t="s">
        <v>4178</v>
      </c>
      <c r="CW863" s="15" t="s">
        <v>6272</v>
      </c>
      <c r="CX863" s="15" t="s">
        <v>8903</v>
      </c>
      <c r="DC863" s="15" t="str">
        <f>IFERROR(__xludf.DUMMYFUNCTION("""COMPUTED_VALUE"""),"")</f>
        <v/>
      </c>
      <c r="DE863" s="15" t="str">
        <f>IFERROR(__xludf.DUMMYFUNCTION("""COMPUTED_VALUE"""),"")</f>
        <v/>
      </c>
      <c r="DG863" s="15" t="str">
        <f>IFERROR(__xludf.DUMMYFUNCTION("""COMPUTED_VALUE"""),"")</f>
        <v/>
      </c>
      <c r="DL863" s="15" t="str">
        <f>IFERROR(__xludf.DUMMYFUNCTION("""COMPUTED_VALUE"""),"")</f>
        <v/>
      </c>
      <c r="DM863" s="15" t="s">
        <v>444</v>
      </c>
      <c r="DN863" s="15" t="s">
        <v>419</v>
      </c>
      <c r="DO863" s="15">
        <v>0.0</v>
      </c>
      <c r="DP863" s="15" t="s">
        <v>419</v>
      </c>
      <c r="DR863" s="15">
        <v>0.0</v>
      </c>
      <c r="DT863" s="15" t="s">
        <v>1509</v>
      </c>
      <c r="DU863" s="15" t="s">
        <v>610</v>
      </c>
      <c r="DW863" s="15">
        <v>0.0</v>
      </c>
      <c r="DX863" s="15">
        <v>0.0</v>
      </c>
      <c r="DY863" s="15">
        <v>2.0</v>
      </c>
      <c r="EG863" s="15" t="s">
        <v>444</v>
      </c>
      <c r="EH863" s="15" t="s">
        <v>8787</v>
      </c>
      <c r="EJ863" s="15" t="s">
        <v>424</v>
      </c>
      <c r="EK863" s="15" t="s">
        <v>446</v>
      </c>
      <c r="EM863" s="15" t="str">
        <f>IFERROR(__xludf.DUMMYFUNCTION("""COMPUTED_VALUE"""),"")</f>
        <v/>
      </c>
      <c r="EW863" s="15" t="s">
        <v>1957</v>
      </c>
      <c r="FL863" s="15" t="s">
        <v>426</v>
      </c>
      <c r="FM863" s="15">
        <v>2.0</v>
      </c>
      <c r="FY863" s="15" t="s">
        <v>3927</v>
      </c>
      <c r="FZ863" s="15" t="s">
        <v>782</v>
      </c>
      <c r="GA863" s="15" t="s">
        <v>8904</v>
      </c>
      <c r="GB863" s="15" t="s">
        <v>4178</v>
      </c>
      <c r="GC863" s="15" t="s">
        <v>612</v>
      </c>
      <c r="GD863" s="15" t="s">
        <v>8903</v>
      </c>
      <c r="GE863" s="15">
        <v>0.0</v>
      </c>
      <c r="GG863" s="15" t="s">
        <v>4148</v>
      </c>
      <c r="GH863" s="15">
        <v>4.0</v>
      </c>
      <c r="GI863" s="15" t="s">
        <v>614</v>
      </c>
      <c r="GJ863" s="15" t="s">
        <v>615</v>
      </c>
      <c r="GK863" s="15">
        <v>0.0</v>
      </c>
      <c r="GL863" s="15" t="s">
        <v>426</v>
      </c>
      <c r="GN863" s="15" t="s">
        <v>616</v>
      </c>
      <c r="HA863" s="15" t="s">
        <v>4178</v>
      </c>
      <c r="HB863" s="15" t="s">
        <v>6272</v>
      </c>
      <c r="HC863" s="15" t="s">
        <v>8903</v>
      </c>
      <c r="HW863" s="15" t="s">
        <v>1957</v>
      </c>
      <c r="IH863" s="15" t="s">
        <v>426</v>
      </c>
    </row>
    <row r="864" ht="15.75" customHeight="1">
      <c r="A864" s="14" t="s">
        <v>391</v>
      </c>
      <c r="B864" s="15" t="s">
        <v>8909</v>
      </c>
      <c r="C864" s="16"/>
      <c r="D864" s="15" t="s">
        <v>432</v>
      </c>
      <c r="G864" s="14" t="s">
        <v>393</v>
      </c>
      <c r="H864" s="14" t="s">
        <v>394</v>
      </c>
      <c r="I864" s="14" t="b">
        <v>1</v>
      </c>
      <c r="J864" s="14" t="s">
        <v>395</v>
      </c>
      <c r="L864" s="14" t="b">
        <v>0</v>
      </c>
      <c r="M864" s="15" t="s">
        <v>8910</v>
      </c>
      <c r="N864" s="14" t="s">
        <v>393</v>
      </c>
      <c r="O864" s="14" t="s">
        <v>393</v>
      </c>
      <c r="P864" s="15" t="s">
        <v>397</v>
      </c>
      <c r="Q864" s="15" t="s">
        <v>6999</v>
      </c>
      <c r="T864" s="14" t="b">
        <v>0</v>
      </c>
      <c r="U864" s="15" t="s">
        <v>8911</v>
      </c>
      <c r="V864" s="15" t="s">
        <v>8912</v>
      </c>
      <c r="W864" s="15" t="s">
        <v>401</v>
      </c>
      <c r="X864" s="15" t="s">
        <v>742</v>
      </c>
      <c r="Y864" s="15">
        <v>4264.0</v>
      </c>
      <c r="AA864" s="15" t="str">
        <f>"1640"</f>
        <v>1640</v>
      </c>
      <c r="AB864" s="14" t="b">
        <v>1</v>
      </c>
      <c r="AC864" s="14" t="b">
        <v>1</v>
      </c>
      <c r="AD864" s="15" t="str">
        <f>"198394083539"</f>
        <v>198394083539</v>
      </c>
      <c r="AE864" s="15" t="s">
        <v>8913</v>
      </c>
      <c r="AF864" s="14" t="s">
        <v>404</v>
      </c>
      <c r="AG864" s="14" t="s">
        <v>405</v>
      </c>
      <c r="AH864" s="14" t="s">
        <v>406</v>
      </c>
      <c r="AI864" s="15">
        <v>0.0</v>
      </c>
      <c r="AL864" s="15" t="s">
        <v>8914</v>
      </c>
      <c r="AM864" s="15" t="s">
        <v>745</v>
      </c>
      <c r="AN864" s="15" t="s">
        <v>746</v>
      </c>
      <c r="AO864" s="15" t="s">
        <v>409</v>
      </c>
      <c r="AP864" s="15" t="s">
        <v>438</v>
      </c>
      <c r="AQ864" s="15" t="s">
        <v>662</v>
      </c>
      <c r="AR864" s="15" t="s">
        <v>663</v>
      </c>
      <c r="AS864" s="15" t="s">
        <v>8915</v>
      </c>
      <c r="AT864" s="15" t="s">
        <v>6999</v>
      </c>
      <c r="AU864" s="15" t="s">
        <v>6520</v>
      </c>
      <c r="AV864" s="15" t="s">
        <v>3674</v>
      </c>
      <c r="AW864" s="15" t="s">
        <v>412</v>
      </c>
      <c r="AY864" s="15" t="s">
        <v>413</v>
      </c>
      <c r="AZ864" s="15" t="b">
        <v>0</v>
      </c>
      <c r="BA864" s="15" t="s">
        <v>413</v>
      </c>
      <c r="BB864" s="15" t="b">
        <v>0</v>
      </c>
      <c r="BC864" s="15" t="s">
        <v>8916</v>
      </c>
      <c r="BD864" s="15" t="s">
        <v>742</v>
      </c>
      <c r="BE864" s="15" t="str">
        <f t="shared" si="1507"/>
        <v>1</v>
      </c>
      <c r="BF864" s="15" t="s">
        <v>416</v>
      </c>
      <c r="BG864" s="15" t="str">
        <f>"74.8"</f>
        <v>74.8</v>
      </c>
      <c r="BH864" s="15" t="s">
        <v>6710</v>
      </c>
      <c r="BI864" s="15" t="str">
        <f>"24.02"</f>
        <v>24.02</v>
      </c>
      <c r="BJ864" s="15" t="s">
        <v>755</v>
      </c>
      <c r="BK864" s="15" t="str">
        <f>"43.7"</f>
        <v>43.7</v>
      </c>
      <c r="BL864" s="15" t="s">
        <v>4506</v>
      </c>
      <c r="BM864" s="15" t="str">
        <f>"412.93"</f>
        <v>412.93</v>
      </c>
      <c r="BN864" s="15" t="s">
        <v>8917</v>
      </c>
      <c r="BQ864" s="15" t="s">
        <v>444</v>
      </c>
      <c r="BS864" s="15" t="s">
        <v>444</v>
      </c>
      <c r="BU864" s="15" t="s">
        <v>444</v>
      </c>
      <c r="BW864" s="15" t="s">
        <v>444</v>
      </c>
      <c r="BZ864" s="15" t="s">
        <v>444</v>
      </c>
      <c r="CB864" s="15" t="s">
        <v>444</v>
      </c>
      <c r="CD864" s="15" t="s">
        <v>444</v>
      </c>
      <c r="CF864" s="15" t="s">
        <v>444</v>
      </c>
      <c r="CI864" s="15" t="s">
        <v>444</v>
      </c>
      <c r="CK864" s="15" t="s">
        <v>444</v>
      </c>
      <c r="CM864" s="15" t="s">
        <v>444</v>
      </c>
      <c r="CO864" s="15" t="s">
        <v>444</v>
      </c>
      <c r="CP864" s="15" t="str">
        <f>"45.41"</f>
        <v>45.41</v>
      </c>
      <c r="CQ864" s="15" t="str">
        <f>"1.286"</f>
        <v>1.286</v>
      </c>
      <c r="CR864" s="15" t="s">
        <v>465</v>
      </c>
      <c r="DC864" s="15" t="str">
        <f>IFERROR(__xludf.DUMMYFUNCTION("""COMPUTED_VALUE"""),"")</f>
        <v/>
      </c>
      <c r="DE864" s="15" t="str">
        <f>IFERROR(__xludf.DUMMYFUNCTION("""COMPUTED_VALUE"""),"")</f>
        <v/>
      </c>
      <c r="DG864" s="15" t="str">
        <f>IFERROR(__xludf.DUMMYFUNCTION("""COMPUTED_VALUE"""),"")</f>
        <v/>
      </c>
      <c r="DL864" s="15" t="str">
        <f>IFERROR(__xludf.DUMMYFUNCTION("""COMPUTED_VALUE"""),"")</f>
        <v/>
      </c>
      <c r="DM864" s="15" t="s">
        <v>444</v>
      </c>
      <c r="DN864" s="15" t="s">
        <v>418</v>
      </c>
      <c r="DO864" s="15">
        <v>6.0</v>
      </c>
      <c r="DP864" s="15" t="s">
        <v>1185</v>
      </c>
      <c r="DR864" s="15">
        <v>0.0</v>
      </c>
      <c r="DT864" s="15" t="s">
        <v>420</v>
      </c>
      <c r="DU864" s="15" t="s">
        <v>421</v>
      </c>
      <c r="DY864" s="15">
        <v>0.0</v>
      </c>
      <c r="DZ864" s="15">
        <v>0.0</v>
      </c>
      <c r="EF864" s="15" t="s">
        <v>422</v>
      </c>
      <c r="EG864" s="15" t="s">
        <v>445</v>
      </c>
      <c r="EH864" s="15" t="s">
        <v>8918</v>
      </c>
      <c r="EJ864" s="15" t="s">
        <v>424</v>
      </c>
      <c r="EK864" s="15" t="s">
        <v>446</v>
      </c>
      <c r="EM864" s="15" t="str">
        <f>IFERROR(__xludf.DUMMYFUNCTION("""COMPUTED_VALUE"""),"")</f>
        <v/>
      </c>
      <c r="EW864" s="15" t="s">
        <v>8919</v>
      </c>
      <c r="FL864" s="15" t="s">
        <v>426</v>
      </c>
      <c r="FM864" s="15">
        <v>0.0</v>
      </c>
      <c r="GH864" s="15">
        <v>0.0</v>
      </c>
      <c r="GI864" s="15" t="s">
        <v>427</v>
      </c>
      <c r="GO864" s="15" t="s">
        <v>426</v>
      </c>
      <c r="GQ864" s="15" t="s">
        <v>2766</v>
      </c>
      <c r="GS864" s="15" t="s">
        <v>4127</v>
      </c>
      <c r="GU864" s="15" t="s">
        <v>8920</v>
      </c>
      <c r="GW864" s="15" t="s">
        <v>431</v>
      </c>
      <c r="GY864" s="15" t="s">
        <v>764</v>
      </c>
      <c r="GZ864" s="15" t="s">
        <v>426</v>
      </c>
      <c r="LE864" s="15" t="s">
        <v>426</v>
      </c>
    </row>
    <row r="865" ht="15.75" customHeight="1">
      <c r="A865" s="14" t="s">
        <v>391</v>
      </c>
      <c r="B865" s="15" t="s">
        <v>8921</v>
      </c>
      <c r="C865" s="16"/>
      <c r="D865" s="15" t="s">
        <v>432</v>
      </c>
      <c r="G865" s="14" t="s">
        <v>393</v>
      </c>
      <c r="H865" s="14" t="s">
        <v>394</v>
      </c>
      <c r="I865" s="14" t="b">
        <v>1</v>
      </c>
      <c r="J865" s="14" t="s">
        <v>395</v>
      </c>
      <c r="L865" s="14" t="b">
        <v>0</v>
      </c>
      <c r="M865" s="15" t="s">
        <v>8922</v>
      </c>
      <c r="N865" s="14" t="s">
        <v>393</v>
      </c>
      <c r="O865" s="14" t="s">
        <v>393</v>
      </c>
      <c r="P865" s="15" t="s">
        <v>397</v>
      </c>
      <c r="Q865" s="15" t="s">
        <v>1312</v>
      </c>
      <c r="T865" s="14" t="b">
        <v>0</v>
      </c>
      <c r="U865" s="15" t="s">
        <v>8923</v>
      </c>
      <c r="V865" s="15" t="s">
        <v>3317</v>
      </c>
      <c r="W865" s="15" t="s">
        <v>401</v>
      </c>
      <c r="X865" s="15" t="s">
        <v>695</v>
      </c>
      <c r="Y865" s="15">
        <v>1586.0</v>
      </c>
      <c r="AA865" s="15" t="str">
        <f t="shared" ref="AA865:AA866" si="1528">"610"</f>
        <v>610</v>
      </c>
      <c r="AB865" s="14" t="b">
        <v>1</v>
      </c>
      <c r="AC865" s="14" t="b">
        <v>1</v>
      </c>
      <c r="AD865" s="15" t="str">
        <f>"801542074463"</f>
        <v>801542074463</v>
      </c>
      <c r="AE865" s="15" t="s">
        <v>8924</v>
      </c>
      <c r="AF865" s="14" t="s">
        <v>404</v>
      </c>
      <c r="AG865" s="14" t="s">
        <v>405</v>
      </c>
      <c r="AH865" s="14" t="s">
        <v>406</v>
      </c>
      <c r="AI865" s="15">
        <v>0.0</v>
      </c>
      <c r="AL865" s="15" t="s">
        <v>8925</v>
      </c>
      <c r="AM865" s="15" t="s">
        <v>1055</v>
      </c>
      <c r="AN865" s="15" t="s">
        <v>1056</v>
      </c>
      <c r="AO865" s="15" t="s">
        <v>410</v>
      </c>
      <c r="AP865" s="15" t="s">
        <v>439</v>
      </c>
      <c r="AQ865" s="15" t="s">
        <v>1276</v>
      </c>
      <c r="AR865" s="15" t="s">
        <v>1277</v>
      </c>
      <c r="AS865" s="15" t="s">
        <v>1628</v>
      </c>
      <c r="AT865" s="15" t="s">
        <v>1312</v>
      </c>
      <c r="AU865" s="15" t="s">
        <v>2914</v>
      </c>
      <c r="AV865" s="15" t="s">
        <v>7147</v>
      </c>
      <c r="AW865" s="15" t="s">
        <v>706</v>
      </c>
      <c r="AX865" s="15" t="s">
        <v>707</v>
      </c>
      <c r="AY865" s="15" t="s">
        <v>413</v>
      </c>
      <c r="AZ865" s="15" t="b">
        <v>0</v>
      </c>
      <c r="BA865" s="15" t="s">
        <v>426</v>
      </c>
      <c r="BB865" s="15" t="b">
        <v>1</v>
      </c>
      <c r="BC865" s="15" t="s">
        <v>8926</v>
      </c>
      <c r="BD865" s="15" t="s">
        <v>709</v>
      </c>
      <c r="BE865" s="15" t="str">
        <f t="shared" si="1507"/>
        <v>1</v>
      </c>
      <c r="BF865" s="15" t="s">
        <v>416</v>
      </c>
      <c r="BG865" s="15" t="str">
        <f t="shared" ref="BG865:BG869" si="1529">"34.65"</f>
        <v>34.65</v>
      </c>
      <c r="BH865" s="15" t="s">
        <v>1229</v>
      </c>
      <c r="BI865" s="15" t="str">
        <f t="shared" ref="BI865:BI869" si="1530">"30.31"</f>
        <v>30.31</v>
      </c>
      <c r="BJ865" s="15" t="s">
        <v>982</v>
      </c>
      <c r="BK865" s="15" t="str">
        <f t="shared" ref="BK865:BK869" si="1531">"27.56"</f>
        <v>27.56</v>
      </c>
      <c r="BL865" s="15" t="s">
        <v>1780</v>
      </c>
      <c r="BM865" s="15" t="str">
        <f t="shared" ref="BM865:BM869" si="1532">"53.13"</f>
        <v>53.13</v>
      </c>
      <c r="BN865" s="15" t="s">
        <v>8927</v>
      </c>
      <c r="BQ865" s="15" t="s">
        <v>444</v>
      </c>
      <c r="BS865" s="15" t="s">
        <v>444</v>
      </c>
      <c r="BU865" s="15" t="s">
        <v>444</v>
      </c>
      <c r="BW865" s="15" t="s">
        <v>444</v>
      </c>
      <c r="BZ865" s="15" t="s">
        <v>444</v>
      </c>
      <c r="CB865" s="15" t="s">
        <v>444</v>
      </c>
      <c r="CD865" s="15" t="s">
        <v>444</v>
      </c>
      <c r="CF865" s="15" t="s">
        <v>444</v>
      </c>
      <c r="CI865" s="15" t="s">
        <v>444</v>
      </c>
      <c r="CK865" s="15" t="s">
        <v>444</v>
      </c>
      <c r="CM865" s="15" t="s">
        <v>444</v>
      </c>
      <c r="CO865" s="15" t="s">
        <v>444</v>
      </c>
      <c r="CP865" s="15" t="str">
        <f t="shared" ref="CP865:CP869" si="1533">"16.74"</f>
        <v>16.74</v>
      </c>
      <c r="CQ865" s="15" t="str">
        <f t="shared" ref="CQ865:CQ869" si="1534">"0.474"</f>
        <v>0.474</v>
      </c>
      <c r="CR865" s="15" t="s">
        <v>417</v>
      </c>
      <c r="CY865" s="15" t="s">
        <v>1806</v>
      </c>
      <c r="CZ865" s="15" t="s">
        <v>2116</v>
      </c>
      <c r="DA865" s="15" t="s">
        <v>2384</v>
      </c>
      <c r="DB865" s="15" t="s">
        <v>1331</v>
      </c>
      <c r="DC865" s="15" t="str">
        <f>IFERROR(__xludf.DUMMYFUNCTION("""COMPUTED_VALUE"""),"{""value"":21.00,""unit"":""in""}")</f>
        <v>{"value":21.00,"unit":"in"}</v>
      </c>
      <c r="DD865" s="15" t="s">
        <v>1324</v>
      </c>
      <c r="DE865" s="15" t="str">
        <f>IFERROR(__xludf.DUMMYFUNCTION("""COMPUTED_VALUE"""),"{""value"":20.00,""unit"":""in""}")</f>
        <v>{"value":20.00,"unit":"in"}</v>
      </c>
      <c r="DF865" s="15" t="s">
        <v>2384</v>
      </c>
      <c r="DG865" s="15" t="str">
        <f>IFERROR(__xludf.DUMMYFUNCTION("""COMPUTED_VALUE"""),"{""value"":24.50,""unit"":""in""}")</f>
        <v>{"value":24.50,"unit":"in"}</v>
      </c>
      <c r="DH865" s="15">
        <v>0.0</v>
      </c>
      <c r="DI865" s="15">
        <v>1.0</v>
      </c>
      <c r="DJ865" s="15" t="s">
        <v>717</v>
      </c>
      <c r="DK865" s="15" t="s">
        <v>855</v>
      </c>
      <c r="DL865" s="15" t="str">
        <f>IFERROR(__xludf.DUMMYFUNCTION("""COMPUTED_VALUE"""),"Clean with solvent-based (dry clean only) products. Do not use water.")</f>
        <v>Clean with solvent-based (dry clean only) products. Do not use water.</v>
      </c>
      <c r="DM865" s="15" t="s">
        <v>856</v>
      </c>
      <c r="DQ865" s="15" t="s">
        <v>3543</v>
      </c>
      <c r="DT865" s="15" t="s">
        <v>1111</v>
      </c>
      <c r="DU865" s="15" t="s">
        <v>419</v>
      </c>
      <c r="DV865" s="15">
        <v>0.0</v>
      </c>
      <c r="DZ865" s="15">
        <v>25000.0</v>
      </c>
      <c r="EA865" s="15" t="s">
        <v>3384</v>
      </c>
      <c r="EB865" s="15" t="s">
        <v>723</v>
      </c>
      <c r="EC865" s="15" t="s">
        <v>724</v>
      </c>
      <c r="ED865" s="15">
        <v>1.0</v>
      </c>
      <c r="EE865" s="15">
        <v>1.0</v>
      </c>
      <c r="EG865" s="15" t="s">
        <v>444</v>
      </c>
      <c r="EH865" s="15" t="s">
        <v>8928</v>
      </c>
      <c r="EI865" s="15">
        <v>0.0</v>
      </c>
      <c r="EJ865" s="15" t="s">
        <v>726</v>
      </c>
      <c r="EK865" s="15" t="s">
        <v>727</v>
      </c>
      <c r="EL865" s="15" t="s">
        <v>525</v>
      </c>
      <c r="EM865" s="15" t="str">
        <f>IFERROR(__xludf.DUMMYFUNCTION("""COMPUTED_VALUE"""),"{""value"":23.00,""unit"":""in""}")</f>
        <v>{"value":23.00,"unit":"in"}</v>
      </c>
      <c r="EN865" s="15" t="s">
        <v>1236</v>
      </c>
      <c r="EO865" s="15" t="s">
        <v>734</v>
      </c>
      <c r="ES865" s="15" t="s">
        <v>425</v>
      </c>
      <c r="ET865" s="15" t="s">
        <v>2116</v>
      </c>
      <c r="EU865" s="15" t="s">
        <v>1592</v>
      </c>
      <c r="EV865" s="15" t="s">
        <v>555</v>
      </c>
      <c r="EW865" s="15" t="s">
        <v>2402</v>
      </c>
      <c r="EX865" s="15" t="s">
        <v>2839</v>
      </c>
      <c r="EY865" s="15" t="s">
        <v>1806</v>
      </c>
      <c r="EZ865" s="15" t="s">
        <v>429</v>
      </c>
      <c r="FC865" s="15" t="s">
        <v>723</v>
      </c>
      <c r="FD865" s="15" t="s">
        <v>724</v>
      </c>
      <c r="FE865" s="15" t="s">
        <v>2028</v>
      </c>
      <c r="FO865" s="15" t="s">
        <v>2384</v>
      </c>
      <c r="FP865" s="15" t="s">
        <v>2384</v>
      </c>
      <c r="FQ865" s="15">
        <v>0.0</v>
      </c>
      <c r="FR865" s="15">
        <v>0.0</v>
      </c>
      <c r="FT865" s="15">
        <v>0.0</v>
      </c>
    </row>
    <row r="866" ht="15.75" customHeight="1">
      <c r="A866" s="14" t="s">
        <v>391</v>
      </c>
      <c r="B866" s="15" t="s">
        <v>8921</v>
      </c>
      <c r="C866" s="16"/>
      <c r="D866" s="15" t="s">
        <v>432</v>
      </c>
      <c r="G866" s="14" t="s">
        <v>393</v>
      </c>
      <c r="H866" s="14" t="s">
        <v>394</v>
      </c>
      <c r="I866" s="14" t="b">
        <v>1</v>
      </c>
      <c r="J866" s="14" t="s">
        <v>395</v>
      </c>
      <c r="L866" s="14" t="b">
        <v>0</v>
      </c>
      <c r="M866" s="15" t="s">
        <v>8929</v>
      </c>
      <c r="N866" s="14" t="s">
        <v>393</v>
      </c>
      <c r="O866" s="14" t="s">
        <v>393</v>
      </c>
      <c r="P866" s="15" t="s">
        <v>397</v>
      </c>
      <c r="Q866" s="15" t="s">
        <v>8930</v>
      </c>
      <c r="T866" s="14" t="b">
        <v>0</v>
      </c>
      <c r="U866" s="15" t="s">
        <v>8931</v>
      </c>
      <c r="V866" s="15" t="s">
        <v>3317</v>
      </c>
      <c r="W866" s="15" t="s">
        <v>401</v>
      </c>
      <c r="X866" s="15" t="s">
        <v>695</v>
      </c>
      <c r="Y866" s="15">
        <v>1586.0</v>
      </c>
      <c r="AA866" s="15" t="str">
        <f t="shared" si="1528"/>
        <v>610</v>
      </c>
      <c r="AB866" s="14" t="b">
        <v>1</v>
      </c>
      <c r="AC866" s="14" t="b">
        <v>1</v>
      </c>
      <c r="AD866" s="15" t="str">
        <f>"801542698621"</f>
        <v>801542698621</v>
      </c>
      <c r="AE866" s="15" t="s">
        <v>8932</v>
      </c>
      <c r="AF866" s="14" t="s">
        <v>404</v>
      </c>
      <c r="AG866" s="14" t="s">
        <v>405</v>
      </c>
      <c r="AH866" s="14" t="s">
        <v>406</v>
      </c>
      <c r="AI866" s="15">
        <v>0.0</v>
      </c>
      <c r="AL866" s="15" t="s">
        <v>8933</v>
      </c>
      <c r="AM866" s="15" t="s">
        <v>1055</v>
      </c>
      <c r="AN866" s="15" t="s">
        <v>1056</v>
      </c>
      <c r="AO866" s="15" t="s">
        <v>410</v>
      </c>
      <c r="AP866" s="15" t="s">
        <v>439</v>
      </c>
      <c r="AQ866" s="15" t="s">
        <v>1276</v>
      </c>
      <c r="AR866" s="15" t="s">
        <v>1277</v>
      </c>
      <c r="AS866" s="15" t="s">
        <v>1628</v>
      </c>
      <c r="AT866" s="15" t="s">
        <v>8930</v>
      </c>
      <c r="AU866" s="15" t="s">
        <v>2914</v>
      </c>
      <c r="AV866" s="15" t="s">
        <v>2520</v>
      </c>
      <c r="AW866" s="15" t="s">
        <v>706</v>
      </c>
      <c r="AX866" s="15" t="s">
        <v>707</v>
      </c>
      <c r="AY866" s="15" t="s">
        <v>426</v>
      </c>
      <c r="AZ866" s="15" t="b">
        <v>1</v>
      </c>
      <c r="BA866" s="15" t="s">
        <v>426</v>
      </c>
      <c r="BB866" s="15" t="b">
        <v>1</v>
      </c>
      <c r="BC866" s="15" t="s">
        <v>8934</v>
      </c>
      <c r="BD866" s="15" t="s">
        <v>709</v>
      </c>
      <c r="BE866" s="15" t="str">
        <f t="shared" si="1507"/>
        <v>1</v>
      </c>
      <c r="BF866" s="15" t="s">
        <v>416</v>
      </c>
      <c r="BG866" s="15" t="str">
        <f t="shared" si="1529"/>
        <v>34.65</v>
      </c>
      <c r="BH866" s="15" t="s">
        <v>1229</v>
      </c>
      <c r="BI866" s="15" t="str">
        <f t="shared" si="1530"/>
        <v>30.31</v>
      </c>
      <c r="BJ866" s="15" t="s">
        <v>982</v>
      </c>
      <c r="BK866" s="15" t="str">
        <f t="shared" si="1531"/>
        <v>27.56</v>
      </c>
      <c r="BL866" s="15" t="s">
        <v>1780</v>
      </c>
      <c r="BM866" s="15" t="str">
        <f t="shared" si="1532"/>
        <v>53.13</v>
      </c>
      <c r="BN866" s="15" t="s">
        <v>8927</v>
      </c>
      <c r="BQ866" s="15" t="s">
        <v>444</v>
      </c>
      <c r="BS866" s="15" t="s">
        <v>444</v>
      </c>
      <c r="BU866" s="15" t="s">
        <v>444</v>
      </c>
      <c r="BW866" s="15" t="s">
        <v>444</v>
      </c>
      <c r="BZ866" s="15" t="s">
        <v>444</v>
      </c>
      <c r="CB866" s="15" t="s">
        <v>444</v>
      </c>
      <c r="CD866" s="15" t="s">
        <v>444</v>
      </c>
      <c r="CF866" s="15" t="s">
        <v>444</v>
      </c>
      <c r="CI866" s="15" t="s">
        <v>444</v>
      </c>
      <c r="CK866" s="15" t="s">
        <v>444</v>
      </c>
      <c r="CM866" s="15" t="s">
        <v>444</v>
      </c>
      <c r="CO866" s="15" t="s">
        <v>444</v>
      </c>
      <c r="CP866" s="15" t="str">
        <f t="shared" si="1533"/>
        <v>16.74</v>
      </c>
      <c r="CQ866" s="15" t="str">
        <f t="shared" si="1534"/>
        <v>0.474</v>
      </c>
      <c r="CR866" s="15" t="s">
        <v>417</v>
      </c>
      <c r="CY866" s="15" t="s">
        <v>1806</v>
      </c>
      <c r="CZ866" s="15" t="s">
        <v>2116</v>
      </c>
      <c r="DA866" s="15" t="s">
        <v>2384</v>
      </c>
      <c r="DB866" s="15" t="s">
        <v>1331</v>
      </c>
      <c r="DC866" s="15" t="str">
        <f>IFERROR(__xludf.DUMMYFUNCTION("""COMPUTED_VALUE"""),"{""value"":21.00,""unit"":""in""}")</f>
        <v>{"value":21.00,"unit":"in"}</v>
      </c>
      <c r="DD866" s="15" t="s">
        <v>1324</v>
      </c>
      <c r="DE866" s="15" t="str">
        <f>IFERROR(__xludf.DUMMYFUNCTION("""COMPUTED_VALUE"""),"{""value"":20.00,""unit"":""in""}")</f>
        <v>{"value":20.00,"unit":"in"}</v>
      </c>
      <c r="DF866" s="15" t="s">
        <v>2384</v>
      </c>
      <c r="DG866" s="15" t="str">
        <f>IFERROR(__xludf.DUMMYFUNCTION("""COMPUTED_VALUE"""),"{""value"":24.50,""unit"":""in""}")</f>
        <v>{"value":24.50,"unit":"in"}</v>
      </c>
      <c r="DH866" s="15">
        <v>0.0</v>
      </c>
      <c r="DI866" s="15">
        <v>1.0</v>
      </c>
      <c r="DJ866" s="15" t="s">
        <v>717</v>
      </c>
      <c r="DK866" s="15" t="s">
        <v>855</v>
      </c>
      <c r="DL866" s="15" t="str">
        <f>IFERROR(__xludf.DUMMYFUNCTION("""COMPUTED_VALUE"""),"Clean with solvent-based (dry clean only) products. Do not use water.")</f>
        <v>Clean with solvent-based (dry clean only) products. Do not use water.</v>
      </c>
      <c r="DM866" s="15" t="s">
        <v>856</v>
      </c>
      <c r="DQ866" s="15" t="s">
        <v>3543</v>
      </c>
      <c r="DT866" s="15" t="s">
        <v>1111</v>
      </c>
      <c r="DU866" s="15" t="s">
        <v>419</v>
      </c>
      <c r="DV866" s="15">
        <v>0.0</v>
      </c>
      <c r="DZ866" s="15">
        <v>25000.0</v>
      </c>
      <c r="EA866" s="15" t="s">
        <v>3384</v>
      </c>
      <c r="EB866" s="15" t="s">
        <v>723</v>
      </c>
      <c r="EC866" s="15" t="s">
        <v>724</v>
      </c>
      <c r="ED866" s="15">
        <v>1.0</v>
      </c>
      <c r="EE866" s="15">
        <v>1.0</v>
      </c>
      <c r="EG866" s="15" t="s">
        <v>444</v>
      </c>
      <c r="EH866" s="15" t="s">
        <v>8928</v>
      </c>
      <c r="EI866" s="15">
        <v>0.0</v>
      </c>
      <c r="EJ866" s="15" t="s">
        <v>726</v>
      </c>
      <c r="EK866" s="15" t="s">
        <v>727</v>
      </c>
      <c r="EL866" s="15" t="s">
        <v>525</v>
      </c>
      <c r="EM866" s="15" t="str">
        <f>IFERROR(__xludf.DUMMYFUNCTION("""COMPUTED_VALUE"""),"{""value"":23.00,""unit"":""in""}")</f>
        <v>{"value":23.00,"unit":"in"}</v>
      </c>
      <c r="EN866" s="15" t="s">
        <v>1236</v>
      </c>
      <c r="EO866" s="15" t="s">
        <v>734</v>
      </c>
      <c r="ES866" s="15" t="s">
        <v>425</v>
      </c>
      <c r="ET866" s="15" t="s">
        <v>2116</v>
      </c>
      <c r="EU866" s="15" t="s">
        <v>1592</v>
      </c>
      <c r="EV866" s="15" t="s">
        <v>555</v>
      </c>
      <c r="EW866" s="15" t="s">
        <v>2402</v>
      </c>
      <c r="EX866" s="15" t="s">
        <v>2839</v>
      </c>
      <c r="EY866" s="15" t="s">
        <v>1806</v>
      </c>
      <c r="EZ866" s="15" t="s">
        <v>429</v>
      </c>
      <c r="FC866" s="15" t="s">
        <v>723</v>
      </c>
      <c r="FD866" s="15" t="s">
        <v>724</v>
      </c>
      <c r="FE866" s="15" t="s">
        <v>2028</v>
      </c>
      <c r="FO866" s="15" t="s">
        <v>2384</v>
      </c>
      <c r="FP866" s="15" t="s">
        <v>2384</v>
      </c>
      <c r="FQ866" s="15">
        <v>0.0</v>
      </c>
      <c r="FR866" s="15">
        <v>0.0</v>
      </c>
      <c r="FT866" s="15">
        <v>0.0</v>
      </c>
    </row>
    <row r="867" ht="15.75" customHeight="1">
      <c r="A867" s="14" t="s">
        <v>391</v>
      </c>
      <c r="B867" s="15" t="s">
        <v>8921</v>
      </c>
      <c r="C867" s="16"/>
      <c r="D867" s="15" t="s">
        <v>432</v>
      </c>
      <c r="G867" s="14" t="s">
        <v>393</v>
      </c>
      <c r="H867" s="14" t="s">
        <v>394</v>
      </c>
      <c r="I867" s="14" t="b">
        <v>1</v>
      </c>
      <c r="J867" s="14" t="s">
        <v>395</v>
      </c>
      <c r="L867" s="14" t="b">
        <v>0</v>
      </c>
      <c r="M867" s="15" t="s">
        <v>8935</v>
      </c>
      <c r="N867" s="14" t="s">
        <v>393</v>
      </c>
      <c r="O867" s="14" t="s">
        <v>393</v>
      </c>
      <c r="P867" s="15" t="s">
        <v>397</v>
      </c>
      <c r="Q867" s="15" t="s">
        <v>1658</v>
      </c>
      <c r="T867" s="14" t="b">
        <v>0</v>
      </c>
      <c r="U867" s="15" t="s">
        <v>8936</v>
      </c>
      <c r="V867" s="15" t="s">
        <v>3317</v>
      </c>
      <c r="W867" s="15" t="s">
        <v>401</v>
      </c>
      <c r="X867" s="15" t="s">
        <v>695</v>
      </c>
      <c r="Y867" s="15">
        <v>2522.0</v>
      </c>
      <c r="AA867" s="15" t="str">
        <f t="shared" ref="AA867:AA868" si="1535">"970"</f>
        <v>970</v>
      </c>
      <c r="AB867" s="14" t="b">
        <v>1</v>
      </c>
      <c r="AC867" s="14" t="b">
        <v>1</v>
      </c>
      <c r="AD867" s="15" t="str">
        <f>"801542698638"</f>
        <v>801542698638</v>
      </c>
      <c r="AE867" s="15" t="s">
        <v>8937</v>
      </c>
      <c r="AF867" s="14" t="s">
        <v>404</v>
      </c>
      <c r="AG867" s="14" t="s">
        <v>405</v>
      </c>
      <c r="AH867" s="14" t="s">
        <v>406</v>
      </c>
      <c r="AI867" s="15">
        <v>0.0</v>
      </c>
      <c r="AL867" s="15" t="s">
        <v>3312</v>
      </c>
      <c r="AM867" s="15" t="s">
        <v>1055</v>
      </c>
      <c r="AN867" s="15" t="s">
        <v>1056</v>
      </c>
      <c r="AO867" s="15" t="s">
        <v>410</v>
      </c>
      <c r="AP867" s="15" t="s">
        <v>439</v>
      </c>
      <c r="AQ867" s="15" t="s">
        <v>1276</v>
      </c>
      <c r="AR867" s="15" t="s">
        <v>1277</v>
      </c>
      <c r="AS867" s="15" t="s">
        <v>1628</v>
      </c>
      <c r="AT867" s="15" t="s">
        <v>1658</v>
      </c>
      <c r="AU867" s="15" t="s">
        <v>2914</v>
      </c>
      <c r="AV867" s="15" t="s">
        <v>1342</v>
      </c>
      <c r="AW867" s="15" t="s">
        <v>706</v>
      </c>
      <c r="AX867" s="15" t="s">
        <v>707</v>
      </c>
      <c r="AY867" s="15" t="s">
        <v>413</v>
      </c>
      <c r="AZ867" s="15" t="b">
        <v>0</v>
      </c>
      <c r="BA867" s="15" t="s">
        <v>413</v>
      </c>
      <c r="BB867" s="15" t="b">
        <v>0</v>
      </c>
      <c r="BC867" s="15" t="s">
        <v>8938</v>
      </c>
      <c r="BD867" s="15" t="s">
        <v>709</v>
      </c>
      <c r="BE867" s="15" t="str">
        <f t="shared" si="1507"/>
        <v>1</v>
      </c>
      <c r="BF867" s="15" t="s">
        <v>416</v>
      </c>
      <c r="BG867" s="15" t="str">
        <f t="shared" si="1529"/>
        <v>34.65</v>
      </c>
      <c r="BH867" s="15" t="s">
        <v>1229</v>
      </c>
      <c r="BI867" s="15" t="str">
        <f t="shared" si="1530"/>
        <v>30.31</v>
      </c>
      <c r="BJ867" s="15" t="s">
        <v>982</v>
      </c>
      <c r="BK867" s="15" t="str">
        <f t="shared" si="1531"/>
        <v>27.56</v>
      </c>
      <c r="BL867" s="15" t="s">
        <v>1780</v>
      </c>
      <c r="BM867" s="15" t="str">
        <f t="shared" si="1532"/>
        <v>53.13</v>
      </c>
      <c r="BN867" s="15" t="s">
        <v>8927</v>
      </c>
      <c r="BQ867" s="15" t="s">
        <v>444</v>
      </c>
      <c r="BS867" s="15" t="s">
        <v>444</v>
      </c>
      <c r="BU867" s="15" t="s">
        <v>444</v>
      </c>
      <c r="BW867" s="15" t="s">
        <v>444</v>
      </c>
      <c r="BZ867" s="15" t="s">
        <v>444</v>
      </c>
      <c r="CB867" s="15" t="s">
        <v>444</v>
      </c>
      <c r="CD867" s="15" t="s">
        <v>444</v>
      </c>
      <c r="CF867" s="15" t="s">
        <v>444</v>
      </c>
      <c r="CI867" s="15" t="s">
        <v>444</v>
      </c>
      <c r="CK867" s="15" t="s">
        <v>444</v>
      </c>
      <c r="CM867" s="15" t="s">
        <v>444</v>
      </c>
      <c r="CO867" s="15" t="s">
        <v>444</v>
      </c>
      <c r="CP867" s="15" t="str">
        <f t="shared" si="1533"/>
        <v>16.74</v>
      </c>
      <c r="CQ867" s="15" t="str">
        <f t="shared" si="1534"/>
        <v>0.474</v>
      </c>
      <c r="CR867" s="15" t="s">
        <v>465</v>
      </c>
      <c r="CY867" s="15" t="s">
        <v>1806</v>
      </c>
      <c r="CZ867" s="15" t="s">
        <v>2116</v>
      </c>
      <c r="DA867" s="15" t="s">
        <v>2384</v>
      </c>
      <c r="DB867" s="15" t="s">
        <v>1331</v>
      </c>
      <c r="DC867" s="15" t="str">
        <f>IFERROR(__xludf.DUMMYFUNCTION("""COMPUTED_VALUE"""),"{""value"":21.00,""unit"":""in""}")</f>
        <v>{"value":21.00,"unit":"in"}</v>
      </c>
      <c r="DD867" s="15" t="s">
        <v>1324</v>
      </c>
      <c r="DE867" s="15" t="str">
        <f>IFERROR(__xludf.DUMMYFUNCTION("""COMPUTED_VALUE"""),"{""value"":20.00,""unit"":""in""}")</f>
        <v>{"value":20.00,"unit":"in"}</v>
      </c>
      <c r="DF867" s="15" t="s">
        <v>2384</v>
      </c>
      <c r="DG867" s="15" t="str">
        <f>IFERROR(__xludf.DUMMYFUNCTION("""COMPUTED_VALUE"""),"{""value"":24.50,""unit"":""in""}")</f>
        <v>{"value":24.50,"unit":"in"}</v>
      </c>
      <c r="DH867" s="15">
        <v>0.0</v>
      </c>
      <c r="DI867" s="15">
        <v>1.0</v>
      </c>
      <c r="DJ867" s="15" t="s">
        <v>717</v>
      </c>
      <c r="DK867" s="15" t="s">
        <v>718</v>
      </c>
      <c r="DL867" s="15" t="str">
        <f>IFERROR(__xludf.DUMMYFUNCTION("""COMPUTED_VALUE"""),"Vacuum or light brush only. Do not use water or any cleaning products.")</f>
        <v>Vacuum or light brush only. Do not use water or any cleaning products.</v>
      </c>
      <c r="DM867" s="15" t="s">
        <v>719</v>
      </c>
      <c r="DQ867" s="15" t="s">
        <v>3543</v>
      </c>
      <c r="DT867" s="15" t="s">
        <v>1111</v>
      </c>
      <c r="DU867" s="15" t="s">
        <v>419</v>
      </c>
      <c r="DV867" s="15">
        <v>0.0</v>
      </c>
      <c r="DZ867" s="15">
        <v>0.0</v>
      </c>
      <c r="EA867" s="15" t="s">
        <v>3384</v>
      </c>
      <c r="EB867" s="15" t="s">
        <v>723</v>
      </c>
      <c r="EC867" s="15" t="s">
        <v>724</v>
      </c>
      <c r="ED867" s="15">
        <v>1.0</v>
      </c>
      <c r="EE867" s="15">
        <v>1.0</v>
      </c>
      <c r="EG867" s="15" t="s">
        <v>444</v>
      </c>
      <c r="EH867" s="15" t="s">
        <v>8928</v>
      </c>
      <c r="EI867" s="15">
        <v>0.0</v>
      </c>
      <c r="EJ867" s="15" t="s">
        <v>726</v>
      </c>
      <c r="EK867" s="15" t="s">
        <v>727</v>
      </c>
      <c r="EL867" s="15" t="s">
        <v>525</v>
      </c>
      <c r="EM867" s="15" t="str">
        <f>IFERROR(__xludf.DUMMYFUNCTION("""COMPUTED_VALUE"""),"{""value"":23.00,""unit"":""in""}")</f>
        <v>{"value":23.00,"unit":"in"}</v>
      </c>
      <c r="EN867" s="15" t="s">
        <v>1236</v>
      </c>
      <c r="EO867" s="15" t="s">
        <v>734</v>
      </c>
      <c r="ES867" s="15" t="s">
        <v>425</v>
      </c>
      <c r="ET867" s="15" t="s">
        <v>2116</v>
      </c>
      <c r="EU867" s="15" t="s">
        <v>1592</v>
      </c>
      <c r="EV867" s="15" t="s">
        <v>555</v>
      </c>
      <c r="EW867" s="15" t="s">
        <v>2402</v>
      </c>
      <c r="EX867" s="15" t="s">
        <v>2839</v>
      </c>
      <c r="EY867" s="15" t="s">
        <v>1806</v>
      </c>
      <c r="EZ867" s="15" t="s">
        <v>429</v>
      </c>
      <c r="FC867" s="15" t="s">
        <v>723</v>
      </c>
      <c r="FD867" s="15" t="s">
        <v>724</v>
      </c>
      <c r="FE867" s="15" t="s">
        <v>2028</v>
      </c>
      <c r="FO867" s="15" t="s">
        <v>2384</v>
      </c>
      <c r="FP867" s="15" t="s">
        <v>2384</v>
      </c>
      <c r="FQ867" s="15">
        <v>0.0</v>
      </c>
      <c r="FR867" s="15">
        <v>0.0</v>
      </c>
      <c r="FT867" s="15">
        <v>0.0</v>
      </c>
    </row>
    <row r="868" ht="15.75" customHeight="1">
      <c r="A868" s="14" t="s">
        <v>391</v>
      </c>
      <c r="B868" s="15" t="s">
        <v>8921</v>
      </c>
      <c r="C868" s="16"/>
      <c r="D868" s="15" t="s">
        <v>432</v>
      </c>
      <c r="G868" s="14" t="s">
        <v>393</v>
      </c>
      <c r="H868" s="14" t="s">
        <v>394</v>
      </c>
      <c r="I868" s="14" t="b">
        <v>1</v>
      </c>
      <c r="J868" s="14" t="s">
        <v>395</v>
      </c>
      <c r="L868" s="14" t="b">
        <v>0</v>
      </c>
      <c r="M868" s="15" t="s">
        <v>8939</v>
      </c>
      <c r="N868" s="14" t="s">
        <v>393</v>
      </c>
      <c r="O868" s="14" t="s">
        <v>393</v>
      </c>
      <c r="P868" s="15" t="s">
        <v>397</v>
      </c>
      <c r="Q868" s="15" t="s">
        <v>4231</v>
      </c>
      <c r="T868" s="14" t="b">
        <v>0</v>
      </c>
      <c r="U868" s="15" t="s">
        <v>8940</v>
      </c>
      <c r="V868" s="15" t="s">
        <v>3317</v>
      </c>
      <c r="W868" s="15" t="s">
        <v>401</v>
      </c>
      <c r="X868" s="15" t="s">
        <v>695</v>
      </c>
      <c r="Y868" s="15">
        <v>2522.0</v>
      </c>
      <c r="AA868" s="15" t="str">
        <f t="shared" si="1535"/>
        <v>970</v>
      </c>
      <c r="AB868" s="14" t="b">
        <v>1</v>
      </c>
      <c r="AC868" s="14" t="b">
        <v>1</v>
      </c>
      <c r="AD868" s="15" t="str">
        <f>"801542698645"</f>
        <v>801542698645</v>
      </c>
      <c r="AE868" s="15" t="s">
        <v>8941</v>
      </c>
      <c r="AF868" s="14" t="s">
        <v>404</v>
      </c>
      <c r="AG868" s="14" t="s">
        <v>405</v>
      </c>
      <c r="AH868" s="14" t="s">
        <v>406</v>
      </c>
      <c r="AI868" s="15">
        <v>0.0</v>
      </c>
      <c r="AL868" s="15" t="s">
        <v>8942</v>
      </c>
      <c r="AM868" s="15" t="s">
        <v>1055</v>
      </c>
      <c r="AN868" s="15" t="s">
        <v>1056</v>
      </c>
      <c r="AO868" s="15" t="s">
        <v>410</v>
      </c>
      <c r="AP868" s="15" t="s">
        <v>439</v>
      </c>
      <c r="AQ868" s="15" t="s">
        <v>1276</v>
      </c>
      <c r="AR868" s="15" t="s">
        <v>1277</v>
      </c>
      <c r="AS868" s="15" t="s">
        <v>1628</v>
      </c>
      <c r="AT868" s="15" t="s">
        <v>4231</v>
      </c>
      <c r="AU868" s="15" t="s">
        <v>2914</v>
      </c>
      <c r="AV868" s="15" t="s">
        <v>2520</v>
      </c>
      <c r="AW868" s="15" t="s">
        <v>706</v>
      </c>
      <c r="AX868" s="15" t="s">
        <v>707</v>
      </c>
      <c r="AY868" s="15" t="s">
        <v>413</v>
      </c>
      <c r="AZ868" s="15" t="b">
        <v>0</v>
      </c>
      <c r="BA868" s="15" t="s">
        <v>413</v>
      </c>
      <c r="BB868" s="15" t="b">
        <v>0</v>
      </c>
      <c r="BC868" s="15" t="s">
        <v>8943</v>
      </c>
      <c r="BD868" s="15" t="s">
        <v>709</v>
      </c>
      <c r="BE868" s="15" t="str">
        <f t="shared" si="1507"/>
        <v>1</v>
      </c>
      <c r="BF868" s="15" t="s">
        <v>416</v>
      </c>
      <c r="BG868" s="15" t="str">
        <f t="shared" si="1529"/>
        <v>34.65</v>
      </c>
      <c r="BH868" s="15" t="s">
        <v>1229</v>
      </c>
      <c r="BI868" s="15" t="str">
        <f t="shared" si="1530"/>
        <v>30.31</v>
      </c>
      <c r="BJ868" s="15" t="s">
        <v>982</v>
      </c>
      <c r="BK868" s="15" t="str">
        <f t="shared" si="1531"/>
        <v>27.56</v>
      </c>
      <c r="BL868" s="15" t="s">
        <v>1780</v>
      </c>
      <c r="BM868" s="15" t="str">
        <f t="shared" si="1532"/>
        <v>53.13</v>
      </c>
      <c r="BN868" s="15" t="s">
        <v>8927</v>
      </c>
      <c r="BQ868" s="15" t="s">
        <v>444</v>
      </c>
      <c r="BS868" s="15" t="s">
        <v>444</v>
      </c>
      <c r="BU868" s="15" t="s">
        <v>444</v>
      </c>
      <c r="BW868" s="15" t="s">
        <v>444</v>
      </c>
      <c r="BZ868" s="15" t="s">
        <v>444</v>
      </c>
      <c r="CB868" s="15" t="s">
        <v>444</v>
      </c>
      <c r="CD868" s="15" t="s">
        <v>444</v>
      </c>
      <c r="CF868" s="15" t="s">
        <v>444</v>
      </c>
      <c r="CI868" s="15" t="s">
        <v>444</v>
      </c>
      <c r="CK868" s="15" t="s">
        <v>444</v>
      </c>
      <c r="CM868" s="15" t="s">
        <v>444</v>
      </c>
      <c r="CO868" s="15" t="s">
        <v>444</v>
      </c>
      <c r="CP868" s="15" t="str">
        <f t="shared" si="1533"/>
        <v>16.74</v>
      </c>
      <c r="CQ868" s="15" t="str">
        <f t="shared" si="1534"/>
        <v>0.474</v>
      </c>
      <c r="CR868" s="15" t="s">
        <v>417</v>
      </c>
      <c r="CY868" s="15" t="s">
        <v>1806</v>
      </c>
      <c r="CZ868" s="15" t="s">
        <v>2116</v>
      </c>
      <c r="DA868" s="15" t="s">
        <v>2384</v>
      </c>
      <c r="DB868" s="15" t="s">
        <v>1331</v>
      </c>
      <c r="DC868" s="15" t="str">
        <f>IFERROR(__xludf.DUMMYFUNCTION("""COMPUTED_VALUE"""),"{""value"":21.00,""unit"":""in""}")</f>
        <v>{"value":21.00,"unit":"in"}</v>
      </c>
      <c r="DD868" s="15" t="s">
        <v>1324</v>
      </c>
      <c r="DE868" s="15" t="str">
        <f>IFERROR(__xludf.DUMMYFUNCTION("""COMPUTED_VALUE"""),"{""value"":20.00,""unit"":""in""}")</f>
        <v>{"value":20.00,"unit":"in"}</v>
      </c>
      <c r="DF868" s="15" t="s">
        <v>2384</v>
      </c>
      <c r="DG868" s="15" t="str">
        <f>IFERROR(__xludf.DUMMYFUNCTION("""COMPUTED_VALUE"""),"{""value"":24.50,""unit"":""in""}")</f>
        <v>{"value":24.50,"unit":"in"}</v>
      </c>
      <c r="DH868" s="15">
        <v>0.0</v>
      </c>
      <c r="DI868" s="15">
        <v>1.0</v>
      </c>
      <c r="DJ868" s="15" t="s">
        <v>717</v>
      </c>
      <c r="DK868" s="15" t="s">
        <v>718</v>
      </c>
      <c r="DL868" s="15" t="str">
        <f>IFERROR(__xludf.DUMMYFUNCTION("""COMPUTED_VALUE"""),"Vacuum or light brush only. Do not use water or any cleaning products.")</f>
        <v>Vacuum or light brush only. Do not use water or any cleaning products.</v>
      </c>
      <c r="DM868" s="15" t="s">
        <v>719</v>
      </c>
      <c r="DQ868" s="15" t="s">
        <v>3543</v>
      </c>
      <c r="DT868" s="15" t="s">
        <v>1111</v>
      </c>
      <c r="DU868" s="15" t="s">
        <v>419</v>
      </c>
      <c r="DV868" s="15">
        <v>0.0</v>
      </c>
      <c r="DZ868" s="15">
        <v>0.0</v>
      </c>
      <c r="EA868" s="15" t="s">
        <v>3384</v>
      </c>
      <c r="EB868" s="15" t="s">
        <v>723</v>
      </c>
      <c r="EC868" s="15" t="s">
        <v>724</v>
      </c>
      <c r="ED868" s="15">
        <v>1.0</v>
      </c>
      <c r="EE868" s="15">
        <v>1.0</v>
      </c>
      <c r="EG868" s="15" t="s">
        <v>444</v>
      </c>
      <c r="EH868" s="15" t="s">
        <v>8928</v>
      </c>
      <c r="EI868" s="15">
        <v>0.0</v>
      </c>
      <c r="EJ868" s="15" t="s">
        <v>726</v>
      </c>
      <c r="EK868" s="15" t="s">
        <v>727</v>
      </c>
      <c r="EL868" s="15" t="s">
        <v>525</v>
      </c>
      <c r="EM868" s="15" t="str">
        <f>IFERROR(__xludf.DUMMYFUNCTION("""COMPUTED_VALUE"""),"{""value"":23.00,""unit"":""in""}")</f>
        <v>{"value":23.00,"unit":"in"}</v>
      </c>
      <c r="EN868" s="15" t="s">
        <v>1236</v>
      </c>
      <c r="EO868" s="15" t="s">
        <v>734</v>
      </c>
      <c r="ES868" s="15" t="s">
        <v>425</v>
      </c>
      <c r="ET868" s="15" t="s">
        <v>2116</v>
      </c>
      <c r="EU868" s="15" t="s">
        <v>1592</v>
      </c>
      <c r="EV868" s="15" t="s">
        <v>555</v>
      </c>
      <c r="EW868" s="15" t="s">
        <v>2402</v>
      </c>
      <c r="EX868" s="15" t="s">
        <v>2839</v>
      </c>
      <c r="EY868" s="15" t="s">
        <v>1806</v>
      </c>
      <c r="EZ868" s="15" t="s">
        <v>429</v>
      </c>
      <c r="FC868" s="15" t="s">
        <v>723</v>
      </c>
      <c r="FD868" s="15" t="s">
        <v>724</v>
      </c>
      <c r="FE868" s="15" t="s">
        <v>2028</v>
      </c>
      <c r="FO868" s="15" t="s">
        <v>2384</v>
      </c>
      <c r="FP868" s="15" t="s">
        <v>2384</v>
      </c>
      <c r="FQ868" s="15">
        <v>0.0</v>
      </c>
      <c r="FR868" s="15">
        <v>0.0</v>
      </c>
      <c r="FT868" s="15">
        <v>0.0</v>
      </c>
    </row>
    <row r="869" ht="15.75" customHeight="1">
      <c r="A869" s="14" t="s">
        <v>391</v>
      </c>
      <c r="B869" s="15" t="s">
        <v>8921</v>
      </c>
      <c r="C869" s="16"/>
      <c r="D869" s="15" t="s">
        <v>432</v>
      </c>
      <c r="G869" s="14" t="s">
        <v>393</v>
      </c>
      <c r="H869" s="14" t="s">
        <v>394</v>
      </c>
      <c r="I869" s="14" t="b">
        <v>1</v>
      </c>
      <c r="J869" s="14" t="s">
        <v>395</v>
      </c>
      <c r="L869" s="14" t="b">
        <v>0</v>
      </c>
      <c r="M869" s="15" t="s">
        <v>8944</v>
      </c>
      <c r="N869" s="14" t="s">
        <v>393</v>
      </c>
      <c r="O869" s="14" t="s">
        <v>393</v>
      </c>
      <c r="P869" s="15" t="s">
        <v>397</v>
      </c>
      <c r="Q869" s="15" t="s">
        <v>3315</v>
      </c>
      <c r="T869" s="14" t="b">
        <v>0</v>
      </c>
      <c r="U869" s="15" t="s">
        <v>8945</v>
      </c>
      <c r="V869" s="15" t="s">
        <v>3317</v>
      </c>
      <c r="W869" s="15" t="s">
        <v>401</v>
      </c>
      <c r="X869" s="15" t="s">
        <v>695</v>
      </c>
      <c r="Y869" s="15">
        <v>1586.0</v>
      </c>
      <c r="AA869" s="15" t="str">
        <f>"610"</f>
        <v>610</v>
      </c>
      <c r="AB869" s="14" t="b">
        <v>1</v>
      </c>
      <c r="AC869" s="14" t="b">
        <v>1</v>
      </c>
      <c r="AD869" s="15" t="str">
        <f>"801542698652"</f>
        <v>801542698652</v>
      </c>
      <c r="AE869" s="15" t="s">
        <v>8946</v>
      </c>
      <c r="AF869" s="14" t="s">
        <v>404</v>
      </c>
      <c r="AG869" s="14" t="s">
        <v>405</v>
      </c>
      <c r="AH869" s="14" t="s">
        <v>406</v>
      </c>
      <c r="AI869" s="15">
        <v>0.0</v>
      </c>
      <c r="AL869" s="15" t="s">
        <v>3319</v>
      </c>
      <c r="AM869" s="15" t="s">
        <v>1055</v>
      </c>
      <c r="AN869" s="15" t="s">
        <v>1056</v>
      </c>
      <c r="AO869" s="15" t="s">
        <v>410</v>
      </c>
      <c r="AP869" s="15" t="s">
        <v>439</v>
      </c>
      <c r="AQ869" s="15" t="s">
        <v>1276</v>
      </c>
      <c r="AR869" s="15" t="s">
        <v>1277</v>
      </c>
      <c r="AS869" s="15" t="s">
        <v>1628</v>
      </c>
      <c r="AT869" s="15" t="s">
        <v>3315</v>
      </c>
      <c r="AU869" s="15" t="s">
        <v>2914</v>
      </c>
      <c r="AV869" s="15" t="s">
        <v>2520</v>
      </c>
      <c r="AW869" s="15" t="s">
        <v>706</v>
      </c>
      <c r="AX869" s="15" t="s">
        <v>707</v>
      </c>
      <c r="AY869" s="15" t="s">
        <v>426</v>
      </c>
      <c r="AZ869" s="15" t="b">
        <v>1</v>
      </c>
      <c r="BA869" s="15" t="s">
        <v>426</v>
      </c>
      <c r="BB869" s="15" t="b">
        <v>1</v>
      </c>
      <c r="BC869" s="15" t="s">
        <v>8947</v>
      </c>
      <c r="BD869" s="15" t="s">
        <v>709</v>
      </c>
      <c r="BE869" s="15" t="str">
        <f t="shared" si="1507"/>
        <v>1</v>
      </c>
      <c r="BF869" s="15" t="s">
        <v>416</v>
      </c>
      <c r="BG869" s="15" t="str">
        <f t="shared" si="1529"/>
        <v>34.65</v>
      </c>
      <c r="BH869" s="15" t="s">
        <v>1229</v>
      </c>
      <c r="BI869" s="15" t="str">
        <f t="shared" si="1530"/>
        <v>30.31</v>
      </c>
      <c r="BJ869" s="15" t="s">
        <v>982</v>
      </c>
      <c r="BK869" s="15" t="str">
        <f t="shared" si="1531"/>
        <v>27.56</v>
      </c>
      <c r="BL869" s="15" t="s">
        <v>1780</v>
      </c>
      <c r="BM869" s="15" t="str">
        <f t="shared" si="1532"/>
        <v>53.13</v>
      </c>
      <c r="BN869" s="15" t="s">
        <v>8927</v>
      </c>
      <c r="BQ869" s="15" t="s">
        <v>444</v>
      </c>
      <c r="BS869" s="15" t="s">
        <v>444</v>
      </c>
      <c r="BU869" s="15" t="s">
        <v>444</v>
      </c>
      <c r="BW869" s="15" t="s">
        <v>444</v>
      </c>
      <c r="BZ869" s="15" t="s">
        <v>444</v>
      </c>
      <c r="CB869" s="15" t="s">
        <v>444</v>
      </c>
      <c r="CD869" s="15" t="s">
        <v>444</v>
      </c>
      <c r="CF869" s="15" t="s">
        <v>444</v>
      </c>
      <c r="CI869" s="15" t="s">
        <v>444</v>
      </c>
      <c r="CK869" s="15" t="s">
        <v>444</v>
      </c>
      <c r="CM869" s="15" t="s">
        <v>444</v>
      </c>
      <c r="CO869" s="15" t="s">
        <v>444</v>
      </c>
      <c r="CP869" s="15" t="str">
        <f t="shared" si="1533"/>
        <v>16.74</v>
      </c>
      <c r="CQ869" s="15" t="str">
        <f t="shared" si="1534"/>
        <v>0.474</v>
      </c>
      <c r="CR869" s="15" t="s">
        <v>497</v>
      </c>
      <c r="CY869" s="15" t="s">
        <v>1806</v>
      </c>
      <c r="CZ869" s="15" t="s">
        <v>2116</v>
      </c>
      <c r="DA869" s="15" t="s">
        <v>2384</v>
      </c>
      <c r="DB869" s="15" t="s">
        <v>1331</v>
      </c>
      <c r="DC869" s="15" t="str">
        <f>IFERROR(__xludf.DUMMYFUNCTION("""COMPUTED_VALUE"""),"{""value"":21.00,""unit"":""in""}")</f>
        <v>{"value":21.00,"unit":"in"}</v>
      </c>
      <c r="DD869" s="15" t="s">
        <v>1324</v>
      </c>
      <c r="DE869" s="15" t="str">
        <f>IFERROR(__xludf.DUMMYFUNCTION("""COMPUTED_VALUE"""),"{""value"":20.00,""unit"":""in""}")</f>
        <v>{"value":20.00,"unit":"in"}</v>
      </c>
      <c r="DF869" s="15" t="s">
        <v>2384</v>
      </c>
      <c r="DG869" s="15" t="str">
        <f>IFERROR(__xludf.DUMMYFUNCTION("""COMPUTED_VALUE"""),"{""value"":24.50,""unit"":""in""}")</f>
        <v>{"value":24.50,"unit":"in"}</v>
      </c>
      <c r="DH869" s="15">
        <v>0.0</v>
      </c>
      <c r="DI869" s="15">
        <v>1.0</v>
      </c>
      <c r="DJ869" s="15" t="s">
        <v>717</v>
      </c>
      <c r="DK869" s="15" t="s">
        <v>855</v>
      </c>
      <c r="DL869" s="15" t="str">
        <f>IFERROR(__xludf.DUMMYFUNCTION("""COMPUTED_VALUE"""),"Clean with solvent-based (dry clean only) products. Do not use water.")</f>
        <v>Clean with solvent-based (dry clean only) products. Do not use water.</v>
      </c>
      <c r="DM869" s="15" t="s">
        <v>856</v>
      </c>
      <c r="DQ869" s="15" t="s">
        <v>3543</v>
      </c>
      <c r="DT869" s="15" t="s">
        <v>1111</v>
      </c>
      <c r="DU869" s="15" t="s">
        <v>419</v>
      </c>
      <c r="DV869" s="15">
        <v>0.0</v>
      </c>
      <c r="DZ869" s="15">
        <v>25000.0</v>
      </c>
      <c r="EA869" s="15" t="s">
        <v>3384</v>
      </c>
      <c r="EB869" s="15" t="s">
        <v>723</v>
      </c>
      <c r="EC869" s="15" t="s">
        <v>724</v>
      </c>
      <c r="ED869" s="15">
        <v>1.0</v>
      </c>
      <c r="EE869" s="15">
        <v>1.0</v>
      </c>
      <c r="EG869" s="15" t="s">
        <v>444</v>
      </c>
      <c r="EH869" s="15" t="s">
        <v>8928</v>
      </c>
      <c r="EI869" s="15">
        <v>0.0</v>
      </c>
      <c r="EJ869" s="15" t="s">
        <v>726</v>
      </c>
      <c r="EK869" s="15" t="s">
        <v>727</v>
      </c>
      <c r="EL869" s="15" t="s">
        <v>525</v>
      </c>
      <c r="EM869" s="15" t="str">
        <f>IFERROR(__xludf.DUMMYFUNCTION("""COMPUTED_VALUE"""),"{""value"":23.00,""unit"":""in""}")</f>
        <v>{"value":23.00,"unit":"in"}</v>
      </c>
      <c r="EN869" s="15" t="s">
        <v>1236</v>
      </c>
      <c r="EO869" s="15" t="s">
        <v>734</v>
      </c>
      <c r="ES869" s="15" t="s">
        <v>425</v>
      </c>
      <c r="ET869" s="15" t="s">
        <v>2116</v>
      </c>
      <c r="EU869" s="15" t="s">
        <v>1592</v>
      </c>
      <c r="EV869" s="15" t="s">
        <v>555</v>
      </c>
      <c r="EW869" s="15" t="s">
        <v>2402</v>
      </c>
      <c r="EX869" s="15" t="s">
        <v>2839</v>
      </c>
      <c r="EY869" s="15" t="s">
        <v>1806</v>
      </c>
      <c r="EZ869" s="15" t="s">
        <v>429</v>
      </c>
      <c r="FC869" s="15" t="s">
        <v>723</v>
      </c>
      <c r="FD869" s="15" t="s">
        <v>724</v>
      </c>
      <c r="FE869" s="15" t="s">
        <v>2028</v>
      </c>
      <c r="FO869" s="15" t="s">
        <v>2384</v>
      </c>
      <c r="FP869" s="15" t="s">
        <v>2384</v>
      </c>
      <c r="FQ869" s="15">
        <v>0.0</v>
      </c>
      <c r="FR869" s="15">
        <v>0.0</v>
      </c>
      <c r="FT869" s="15">
        <v>0.0</v>
      </c>
    </row>
    <row r="870" ht="15.75" customHeight="1">
      <c r="A870" s="14" t="s">
        <v>391</v>
      </c>
      <c r="B870" s="15" t="s">
        <v>8948</v>
      </c>
      <c r="C870" s="16"/>
      <c r="D870" s="15" t="s">
        <v>432</v>
      </c>
      <c r="G870" s="14" t="s">
        <v>393</v>
      </c>
      <c r="H870" s="14" t="s">
        <v>394</v>
      </c>
      <c r="I870" s="14" t="b">
        <v>1</v>
      </c>
      <c r="J870" s="14" t="s">
        <v>395</v>
      </c>
      <c r="L870" s="14" t="b">
        <v>0</v>
      </c>
      <c r="M870" s="15" t="s">
        <v>8949</v>
      </c>
      <c r="N870" s="14" t="s">
        <v>393</v>
      </c>
      <c r="O870" s="14" t="s">
        <v>393</v>
      </c>
      <c r="P870" s="15" t="s">
        <v>397</v>
      </c>
      <c r="Q870" s="15" t="s">
        <v>7153</v>
      </c>
      <c r="T870" s="14" t="b">
        <v>0</v>
      </c>
      <c r="U870" s="15" t="s">
        <v>8950</v>
      </c>
      <c r="V870" s="15" t="s">
        <v>8951</v>
      </c>
      <c r="W870" s="15" t="s">
        <v>401</v>
      </c>
      <c r="X870" s="15" t="s">
        <v>742</v>
      </c>
      <c r="Y870" s="15">
        <v>2847.0</v>
      </c>
      <c r="AA870" s="15" t="str">
        <f>"1095"</f>
        <v>1095</v>
      </c>
      <c r="AB870" s="14" t="b">
        <v>1</v>
      </c>
      <c r="AC870" s="14" t="b">
        <v>1</v>
      </c>
      <c r="AD870" s="15" t="str">
        <f>"801542316747"</f>
        <v>801542316747</v>
      </c>
      <c r="AE870" s="15" t="s">
        <v>8952</v>
      </c>
      <c r="AF870" s="14" t="s">
        <v>404</v>
      </c>
      <c r="AG870" s="14" t="s">
        <v>405</v>
      </c>
      <c r="AH870" s="14" t="s">
        <v>406</v>
      </c>
      <c r="AI870" s="15">
        <v>0.0</v>
      </c>
      <c r="AL870" s="15" t="s">
        <v>2354</v>
      </c>
      <c r="AM870" s="15" t="s">
        <v>745</v>
      </c>
      <c r="AN870" s="15" t="s">
        <v>746</v>
      </c>
      <c r="AO870" s="15" t="s">
        <v>1675</v>
      </c>
      <c r="AP870" s="15" t="s">
        <v>1676</v>
      </c>
      <c r="AQ870" s="15" t="s">
        <v>5196</v>
      </c>
      <c r="AR870" s="15" t="s">
        <v>5197</v>
      </c>
      <c r="AS870" s="15" t="s">
        <v>2063</v>
      </c>
      <c r="AT870" s="15" t="s">
        <v>7153</v>
      </c>
      <c r="AW870" s="15" t="s">
        <v>412</v>
      </c>
      <c r="AY870" s="15" t="s">
        <v>413</v>
      </c>
      <c r="AZ870" s="15" t="b">
        <v>0</v>
      </c>
      <c r="BA870" s="15" t="s">
        <v>413</v>
      </c>
      <c r="BB870" s="15" t="b">
        <v>0</v>
      </c>
      <c r="BC870" s="15" t="s">
        <v>8953</v>
      </c>
      <c r="BD870" s="15" t="s">
        <v>742</v>
      </c>
      <c r="BE870" s="15" t="str">
        <f t="shared" si="1507"/>
        <v>1</v>
      </c>
      <c r="BF870" s="15" t="s">
        <v>8948</v>
      </c>
      <c r="BG870" s="15" t="str">
        <f>"76.18"</f>
        <v>76.18</v>
      </c>
      <c r="BH870" s="15" t="s">
        <v>7848</v>
      </c>
      <c r="BI870" s="15" t="str">
        <f>"25"</f>
        <v>25</v>
      </c>
      <c r="BJ870" s="15" t="s">
        <v>2214</v>
      </c>
      <c r="BK870" s="15" t="str">
        <f>"51.77"</f>
        <v>51.77</v>
      </c>
      <c r="BL870" s="15" t="s">
        <v>8954</v>
      </c>
      <c r="BM870" s="15" t="str">
        <f>"358.25"</f>
        <v>358.25</v>
      </c>
      <c r="BN870" s="15" t="s">
        <v>8955</v>
      </c>
      <c r="BQ870" s="15" t="s">
        <v>444</v>
      </c>
      <c r="BS870" s="15" t="s">
        <v>444</v>
      </c>
      <c r="BU870" s="15" t="s">
        <v>444</v>
      </c>
      <c r="BW870" s="15" t="s">
        <v>444</v>
      </c>
      <c r="BZ870" s="15" t="s">
        <v>444</v>
      </c>
      <c r="CB870" s="15" t="s">
        <v>444</v>
      </c>
      <c r="CD870" s="15" t="s">
        <v>444</v>
      </c>
      <c r="CF870" s="15" t="s">
        <v>444</v>
      </c>
      <c r="CI870" s="15" t="s">
        <v>444</v>
      </c>
      <c r="CK870" s="15" t="s">
        <v>444</v>
      </c>
      <c r="CM870" s="15" t="s">
        <v>444</v>
      </c>
      <c r="CO870" s="15" t="s">
        <v>444</v>
      </c>
      <c r="CP870" s="15" t="str">
        <f>"57.07"</f>
        <v>57.07</v>
      </c>
      <c r="CQ870" s="15" t="str">
        <f>"1.616"</f>
        <v>1.616</v>
      </c>
      <c r="CR870" s="15" t="s">
        <v>497</v>
      </c>
      <c r="DC870" s="15" t="str">
        <f>IFERROR(__xludf.DUMMYFUNCTION("""COMPUTED_VALUE"""),"")</f>
        <v/>
      </c>
      <c r="DE870" s="15" t="str">
        <f>IFERROR(__xludf.DUMMYFUNCTION("""COMPUTED_VALUE"""),"")</f>
        <v/>
      </c>
      <c r="DG870" s="15" t="str">
        <f>IFERROR(__xludf.DUMMYFUNCTION("""COMPUTED_VALUE"""),"")</f>
        <v/>
      </c>
      <c r="DL870" s="15" t="str">
        <f>IFERROR(__xludf.DUMMYFUNCTION("""COMPUTED_VALUE"""),"")</f>
        <v/>
      </c>
      <c r="DM870" s="15" t="s">
        <v>444</v>
      </c>
      <c r="DN870" s="15" t="s">
        <v>419</v>
      </c>
      <c r="DO870" s="15">
        <v>7.0</v>
      </c>
      <c r="DP870" s="15" t="s">
        <v>419</v>
      </c>
      <c r="DR870" s="15">
        <v>0.0</v>
      </c>
      <c r="DT870" s="15" t="s">
        <v>1186</v>
      </c>
      <c r="DU870" s="15" t="s">
        <v>421</v>
      </c>
      <c r="DY870" s="15">
        <v>0.0</v>
      </c>
      <c r="EF870" s="15" t="s">
        <v>422</v>
      </c>
      <c r="EG870" s="15" t="s">
        <v>445</v>
      </c>
      <c r="EH870" s="15" t="s">
        <v>8956</v>
      </c>
      <c r="EJ870" s="15" t="s">
        <v>424</v>
      </c>
      <c r="EK870" s="15" t="s">
        <v>446</v>
      </c>
      <c r="EM870" s="15" t="str">
        <f>IFERROR(__xludf.DUMMYFUNCTION("""COMPUTED_VALUE"""),"")</f>
        <v/>
      </c>
      <c r="EW870" s="15" t="s">
        <v>429</v>
      </c>
      <c r="FL870" s="15" t="s">
        <v>426</v>
      </c>
      <c r="FM870" s="15">
        <v>0.0</v>
      </c>
      <c r="GH870" s="15">
        <v>0.0</v>
      </c>
      <c r="GI870" s="15" t="s">
        <v>427</v>
      </c>
      <c r="GQ870" s="15" t="s">
        <v>2161</v>
      </c>
      <c r="GR870" s="15" t="s">
        <v>2161</v>
      </c>
      <c r="GS870" s="15" t="s">
        <v>7750</v>
      </c>
      <c r="GT870" s="15" t="s">
        <v>6046</v>
      </c>
      <c r="GU870" s="15" t="s">
        <v>716</v>
      </c>
      <c r="GV870" s="15" t="s">
        <v>8957</v>
      </c>
    </row>
    <row r="871" ht="15.75" customHeight="1">
      <c r="A871" s="14" t="s">
        <v>391</v>
      </c>
      <c r="B871" s="15" t="s">
        <v>8958</v>
      </c>
      <c r="C871" s="16"/>
      <c r="D871" s="15" t="s">
        <v>432</v>
      </c>
      <c r="G871" s="14" t="s">
        <v>393</v>
      </c>
      <c r="H871" s="14" t="s">
        <v>394</v>
      </c>
      <c r="I871" s="14" t="b">
        <v>1</v>
      </c>
      <c r="J871" s="14" t="s">
        <v>395</v>
      </c>
      <c r="L871" s="14" t="b">
        <v>0</v>
      </c>
      <c r="M871" s="15" t="s">
        <v>8959</v>
      </c>
      <c r="N871" s="14" t="s">
        <v>393</v>
      </c>
      <c r="O871" s="14" t="s">
        <v>393</v>
      </c>
      <c r="P871" s="15" t="s">
        <v>397</v>
      </c>
      <c r="Q871" s="15" t="s">
        <v>8960</v>
      </c>
      <c r="T871" s="14" t="b">
        <v>0</v>
      </c>
      <c r="U871" s="15" t="s">
        <v>8961</v>
      </c>
      <c r="V871" s="15" t="s">
        <v>8962</v>
      </c>
      <c r="W871" s="15" t="s">
        <v>401</v>
      </c>
      <c r="X871" s="15" t="s">
        <v>742</v>
      </c>
      <c r="Y871" s="15">
        <v>1157.0</v>
      </c>
      <c r="AA871" s="15" t="str">
        <f>"445"</f>
        <v>445</v>
      </c>
      <c r="AB871" s="14" t="b">
        <v>1</v>
      </c>
      <c r="AC871" s="14" t="b">
        <v>1</v>
      </c>
      <c r="AD871" s="15" t="str">
        <f>"801542316754"</f>
        <v>801542316754</v>
      </c>
      <c r="AE871" s="15" t="s">
        <v>8963</v>
      </c>
      <c r="AF871" s="14" t="s">
        <v>404</v>
      </c>
      <c r="AG871" s="14" t="s">
        <v>405</v>
      </c>
      <c r="AH871" s="14" t="s">
        <v>406</v>
      </c>
      <c r="AI871" s="15">
        <v>0.0</v>
      </c>
      <c r="AL871" s="15" t="s">
        <v>1532</v>
      </c>
      <c r="AM871" s="15" t="s">
        <v>622</v>
      </c>
      <c r="AN871" s="15" t="s">
        <v>623</v>
      </c>
      <c r="AO871" s="15" t="s">
        <v>1675</v>
      </c>
      <c r="AP871" s="15" t="s">
        <v>1676</v>
      </c>
      <c r="AQ871" s="15" t="s">
        <v>1626</v>
      </c>
      <c r="AR871" s="15" t="s">
        <v>1627</v>
      </c>
      <c r="AS871" s="15" t="s">
        <v>2063</v>
      </c>
      <c r="AT871" s="15" t="s">
        <v>8960</v>
      </c>
      <c r="AU871" s="15" t="s">
        <v>7153</v>
      </c>
      <c r="AW871" s="15" t="s">
        <v>628</v>
      </c>
      <c r="AY871" s="15" t="s">
        <v>413</v>
      </c>
      <c r="AZ871" s="15" t="b">
        <v>0</v>
      </c>
      <c r="BA871" s="15" t="s">
        <v>413</v>
      </c>
      <c r="BB871" s="15" t="b">
        <v>0</v>
      </c>
      <c r="BC871" s="15" t="s">
        <v>8964</v>
      </c>
      <c r="BD871" s="15" t="s">
        <v>742</v>
      </c>
      <c r="BE871" s="15" t="str">
        <f t="shared" si="1507"/>
        <v>1</v>
      </c>
      <c r="BF871" s="15" t="s">
        <v>8958</v>
      </c>
      <c r="BG871" s="15" t="str">
        <f>"39.96"</f>
        <v>39.96</v>
      </c>
      <c r="BH871" s="15" t="s">
        <v>6320</v>
      </c>
      <c r="BI871" s="15" t="str">
        <f>"24.8"</f>
        <v>24.8</v>
      </c>
      <c r="BJ871" s="15" t="s">
        <v>711</v>
      </c>
      <c r="BK871" s="15" t="str">
        <f>"32.09"</f>
        <v>32.09</v>
      </c>
      <c r="BL871" s="15" t="s">
        <v>2174</v>
      </c>
      <c r="BM871" s="15" t="str">
        <f>"143.3"</f>
        <v>143.3</v>
      </c>
      <c r="BN871" s="15" t="s">
        <v>3950</v>
      </c>
      <c r="BQ871" s="15" t="s">
        <v>444</v>
      </c>
      <c r="BS871" s="15" t="s">
        <v>444</v>
      </c>
      <c r="BU871" s="15" t="s">
        <v>444</v>
      </c>
      <c r="BW871" s="15" t="s">
        <v>444</v>
      </c>
      <c r="BZ871" s="15" t="s">
        <v>444</v>
      </c>
      <c r="CB871" s="15" t="s">
        <v>444</v>
      </c>
      <c r="CD871" s="15" t="s">
        <v>444</v>
      </c>
      <c r="CF871" s="15" t="s">
        <v>444</v>
      </c>
      <c r="CI871" s="15" t="s">
        <v>444</v>
      </c>
      <c r="CK871" s="15" t="s">
        <v>444</v>
      </c>
      <c r="CM871" s="15" t="s">
        <v>444</v>
      </c>
      <c r="CO871" s="15" t="s">
        <v>444</v>
      </c>
      <c r="CP871" s="15" t="str">
        <f>"18.4"</f>
        <v>18.4</v>
      </c>
      <c r="CQ871" s="15" t="str">
        <f>"0.521"</f>
        <v>0.521</v>
      </c>
      <c r="CR871" s="15" t="s">
        <v>465</v>
      </c>
      <c r="DC871" s="15" t="str">
        <f>IFERROR(__xludf.DUMMYFUNCTION("""COMPUTED_VALUE"""),"")</f>
        <v/>
      </c>
      <c r="DE871" s="15" t="str">
        <f>IFERROR(__xludf.DUMMYFUNCTION("""COMPUTED_VALUE"""),"")</f>
        <v/>
      </c>
      <c r="DG871" s="15" t="str">
        <f>IFERROR(__xludf.DUMMYFUNCTION("""COMPUTED_VALUE"""),"")</f>
        <v/>
      </c>
      <c r="DL871" s="15" t="str">
        <f>IFERROR(__xludf.DUMMYFUNCTION("""COMPUTED_VALUE"""),"")</f>
        <v/>
      </c>
      <c r="DM871" s="15" t="s">
        <v>444</v>
      </c>
      <c r="DN871" s="15" t="s">
        <v>418</v>
      </c>
      <c r="DO871" s="15">
        <v>2.0</v>
      </c>
      <c r="DP871" s="15" t="s">
        <v>419</v>
      </c>
      <c r="DR871" s="15">
        <v>0.0</v>
      </c>
      <c r="DT871" s="15" t="s">
        <v>1186</v>
      </c>
      <c r="DU871" s="15" t="s">
        <v>421</v>
      </c>
      <c r="DY871" s="15">
        <v>0.0</v>
      </c>
      <c r="EF871" s="15" t="s">
        <v>471</v>
      </c>
      <c r="EG871" s="15" t="s">
        <v>472</v>
      </c>
      <c r="EH871" s="15" t="s">
        <v>8956</v>
      </c>
      <c r="EJ871" s="15" t="s">
        <v>500</v>
      </c>
      <c r="EK871" s="15" t="s">
        <v>501</v>
      </c>
      <c r="EM871" s="15" t="str">
        <f>IFERROR(__xludf.DUMMYFUNCTION("""COMPUTED_VALUE"""),"")</f>
        <v/>
      </c>
      <c r="EW871" s="15" t="s">
        <v>429</v>
      </c>
      <c r="FL871" s="15" t="s">
        <v>426</v>
      </c>
      <c r="FM871" s="15">
        <v>0.0</v>
      </c>
      <c r="GH871" s="15">
        <v>0.0</v>
      </c>
      <c r="GI871" s="15" t="s">
        <v>427</v>
      </c>
      <c r="GO871" s="15" t="s">
        <v>426</v>
      </c>
      <c r="GQ871" s="15" t="s">
        <v>2161</v>
      </c>
      <c r="GS871" s="15" t="s">
        <v>8965</v>
      </c>
      <c r="GU871" s="15" t="s">
        <v>8489</v>
      </c>
      <c r="GW871" s="15" t="s">
        <v>838</v>
      </c>
    </row>
    <row r="872" ht="15.75" customHeight="1">
      <c r="A872" s="14" t="s">
        <v>391</v>
      </c>
      <c r="B872" s="15" t="s">
        <v>8966</v>
      </c>
      <c r="C872" s="16"/>
      <c r="D872" s="15" t="s">
        <v>432</v>
      </c>
      <c r="G872" s="14" t="s">
        <v>393</v>
      </c>
      <c r="H872" s="14" t="s">
        <v>394</v>
      </c>
      <c r="I872" s="14" t="b">
        <v>1</v>
      </c>
      <c r="J872" s="14" t="s">
        <v>395</v>
      </c>
      <c r="L872" s="14" t="b">
        <v>0</v>
      </c>
      <c r="M872" s="15" t="s">
        <v>8967</v>
      </c>
      <c r="N872" s="14" t="s">
        <v>393</v>
      </c>
      <c r="O872" s="14" t="s">
        <v>393</v>
      </c>
      <c r="P872" s="15" t="s">
        <v>397</v>
      </c>
      <c r="Q872" s="15" t="s">
        <v>8968</v>
      </c>
      <c r="T872" s="14" t="b">
        <v>0</v>
      </c>
      <c r="U872" s="15" t="s">
        <v>8969</v>
      </c>
      <c r="V872" s="15" t="s">
        <v>8970</v>
      </c>
      <c r="W872" s="15" t="s">
        <v>401</v>
      </c>
      <c r="X872" s="15" t="s">
        <v>1296</v>
      </c>
      <c r="Y872" s="15">
        <v>546.0</v>
      </c>
      <c r="AA872" s="15" t="str">
        <f>"210"</f>
        <v>210</v>
      </c>
      <c r="AB872" s="14" t="b">
        <v>1</v>
      </c>
      <c r="AC872" s="14" t="b">
        <v>1</v>
      </c>
      <c r="AD872" s="15" t="str">
        <f>"801542061722"</f>
        <v>801542061722</v>
      </c>
      <c r="AE872" s="15" t="s">
        <v>8971</v>
      </c>
      <c r="AF872" s="14" t="s">
        <v>404</v>
      </c>
      <c r="AG872" s="14" t="s">
        <v>405</v>
      </c>
      <c r="AH872" s="14" t="s">
        <v>406</v>
      </c>
      <c r="AI872" s="15">
        <v>0.0</v>
      </c>
      <c r="AL872" s="15" t="s">
        <v>2689</v>
      </c>
      <c r="AM872" s="15" t="s">
        <v>1561</v>
      </c>
      <c r="AN872" s="15" t="s">
        <v>1562</v>
      </c>
      <c r="AO872" s="15" t="s">
        <v>1561</v>
      </c>
      <c r="AP872" s="15" t="s">
        <v>1562</v>
      </c>
      <c r="AQ872" s="15" t="s">
        <v>1675</v>
      </c>
      <c r="AR872" s="15" t="s">
        <v>1676</v>
      </c>
      <c r="AS872" s="15" t="s">
        <v>2677</v>
      </c>
      <c r="AT872" s="15" t="s">
        <v>8968</v>
      </c>
      <c r="AW872" s="15" t="s">
        <v>1154</v>
      </c>
      <c r="AY872" s="15" t="s">
        <v>413</v>
      </c>
      <c r="AZ872" s="15" t="b">
        <v>0</v>
      </c>
      <c r="BA872" s="15" t="s">
        <v>413</v>
      </c>
      <c r="BB872" s="15" t="b">
        <v>0</v>
      </c>
      <c r="BC872" s="15" t="s">
        <v>8972</v>
      </c>
      <c r="BD872" s="15" t="s">
        <v>1303</v>
      </c>
      <c r="BE872" s="15" t="str">
        <f>"2"</f>
        <v>2</v>
      </c>
      <c r="BF872" s="15" t="s">
        <v>1564</v>
      </c>
      <c r="BG872" s="15" t="str">
        <f>"25.5"</f>
        <v>25.5</v>
      </c>
      <c r="BH872" s="15" t="s">
        <v>2062</v>
      </c>
      <c r="BI872" s="15" t="str">
        <f>"4.75"</f>
        <v>4.75</v>
      </c>
      <c r="BJ872" s="15" t="s">
        <v>8973</v>
      </c>
      <c r="BK872" s="15" t="str">
        <f>"25.5"</f>
        <v>25.5</v>
      </c>
      <c r="BL872" s="15" t="s">
        <v>2062</v>
      </c>
      <c r="BM872" s="15" t="str">
        <f>"22.05"</f>
        <v>22.05</v>
      </c>
      <c r="BN872" s="15" t="s">
        <v>2790</v>
      </c>
      <c r="BO872" s="15" t="s">
        <v>2238</v>
      </c>
      <c r="BP872" s="15" t="str">
        <f>"16"</f>
        <v>16</v>
      </c>
      <c r="BQ872" s="15" t="s">
        <v>2040</v>
      </c>
      <c r="BR872" s="15" t="str">
        <f>"16"</f>
        <v>16</v>
      </c>
      <c r="BS872" s="15" t="s">
        <v>2040</v>
      </c>
      <c r="BT872" s="15" t="str">
        <f>"23.5"</f>
        <v>23.5</v>
      </c>
      <c r="BU872" s="15" t="s">
        <v>2060</v>
      </c>
      <c r="BV872" s="15" t="str">
        <f>"23.37"</f>
        <v>23.37</v>
      </c>
      <c r="BW872" s="15" t="s">
        <v>8974</v>
      </c>
      <c r="BZ872" s="15" t="s">
        <v>444</v>
      </c>
      <c r="CB872" s="15" t="s">
        <v>444</v>
      </c>
      <c r="CD872" s="15" t="s">
        <v>444</v>
      </c>
      <c r="CF872" s="15" t="s">
        <v>444</v>
      </c>
      <c r="CI872" s="15" t="s">
        <v>444</v>
      </c>
      <c r="CK872" s="15" t="s">
        <v>444</v>
      </c>
      <c r="CM872" s="15" t="s">
        <v>444</v>
      </c>
      <c r="CO872" s="15" t="s">
        <v>444</v>
      </c>
      <c r="CP872" s="15" t="str">
        <f>"5.3"</f>
        <v>5.3</v>
      </c>
      <c r="CQ872" s="15" t="str">
        <f>"0.15"</f>
        <v>0.15</v>
      </c>
      <c r="CR872" s="15" t="s">
        <v>497</v>
      </c>
      <c r="DC872" s="15" t="str">
        <f>IFERROR(__xludf.DUMMYFUNCTION("""COMPUTED_VALUE"""),"")</f>
        <v/>
      </c>
      <c r="DE872" s="15" t="str">
        <f>IFERROR(__xludf.DUMMYFUNCTION("""COMPUTED_VALUE"""),"")</f>
        <v/>
      </c>
      <c r="DG872" s="15" t="str">
        <f>IFERROR(__xludf.DUMMYFUNCTION("""COMPUTED_VALUE"""),"")</f>
        <v/>
      </c>
      <c r="DL872" s="15" t="str">
        <f>IFERROR(__xludf.DUMMYFUNCTION("""COMPUTED_VALUE"""),"")</f>
        <v/>
      </c>
      <c r="DM872" s="15" t="s">
        <v>444</v>
      </c>
      <c r="DN872" s="15" t="s">
        <v>419</v>
      </c>
      <c r="DO872" s="15">
        <v>0.0</v>
      </c>
      <c r="DP872" s="15" t="s">
        <v>419</v>
      </c>
      <c r="DR872" s="15">
        <v>0.0</v>
      </c>
      <c r="DU872" s="15" t="s">
        <v>419</v>
      </c>
      <c r="DY872" s="15">
        <v>0.0</v>
      </c>
      <c r="EF872" s="15" t="s">
        <v>1157</v>
      </c>
      <c r="EG872" s="15" t="s">
        <v>1158</v>
      </c>
      <c r="EH872" s="15" t="s">
        <v>8975</v>
      </c>
      <c r="EJ872" s="15" t="s">
        <v>500</v>
      </c>
      <c r="EK872" s="15" t="s">
        <v>501</v>
      </c>
      <c r="EM872" s="15" t="str">
        <f>IFERROR(__xludf.DUMMYFUNCTION("""COMPUTED_VALUE"""),"")</f>
        <v/>
      </c>
      <c r="EW872" s="15" t="s">
        <v>784</v>
      </c>
      <c r="FH872" s="15" t="s">
        <v>1576</v>
      </c>
      <c r="FI872" s="15" t="s">
        <v>6717</v>
      </c>
      <c r="FJ872" s="15" t="s">
        <v>1576</v>
      </c>
      <c r="FK872" s="15" t="s">
        <v>3911</v>
      </c>
      <c r="FM872" s="15">
        <v>0.0</v>
      </c>
      <c r="FN872" s="15">
        <v>0.0</v>
      </c>
      <c r="FW872" s="15" t="s">
        <v>3305</v>
      </c>
    </row>
    <row r="873" ht="15.75" customHeight="1">
      <c r="A873" s="14" t="s">
        <v>391</v>
      </c>
      <c r="B873" s="15" t="s">
        <v>8976</v>
      </c>
      <c r="C873" s="16"/>
      <c r="D873" s="15" t="s">
        <v>432</v>
      </c>
      <c r="G873" s="14" t="s">
        <v>393</v>
      </c>
      <c r="H873" s="14" t="s">
        <v>394</v>
      </c>
      <c r="I873" s="14" t="b">
        <v>1</v>
      </c>
      <c r="J873" s="14" t="s">
        <v>395</v>
      </c>
      <c r="L873" s="14" t="b">
        <v>0</v>
      </c>
      <c r="M873" s="15" t="s">
        <v>8977</v>
      </c>
      <c r="N873" s="14" t="s">
        <v>393</v>
      </c>
      <c r="O873" s="14" t="s">
        <v>393</v>
      </c>
      <c r="P873" s="15" t="s">
        <v>397</v>
      </c>
      <c r="Q873" s="15" t="s">
        <v>3670</v>
      </c>
      <c r="T873" s="14" t="b">
        <v>0</v>
      </c>
      <c r="U873" s="15" t="s">
        <v>8978</v>
      </c>
      <c r="V873" s="15" t="s">
        <v>7380</v>
      </c>
      <c r="W873" s="15" t="s">
        <v>401</v>
      </c>
      <c r="X873" s="15" t="s">
        <v>742</v>
      </c>
      <c r="Y873" s="15">
        <v>2951.0</v>
      </c>
      <c r="AA873" s="15" t="str">
        <f>"1135"</f>
        <v>1135</v>
      </c>
      <c r="AB873" s="14" t="b">
        <v>1</v>
      </c>
      <c r="AC873" s="14" t="b">
        <v>1</v>
      </c>
      <c r="AD873" s="15" t="str">
        <f>"801542101954"</f>
        <v>801542101954</v>
      </c>
      <c r="AE873" s="15" t="s">
        <v>8979</v>
      </c>
      <c r="AF873" s="14" t="s">
        <v>404</v>
      </c>
      <c r="AG873" s="14" t="s">
        <v>405</v>
      </c>
      <c r="AH873" s="14" t="s">
        <v>406</v>
      </c>
      <c r="AI873" s="15">
        <v>0.0</v>
      </c>
      <c r="AL873" s="15" t="s">
        <v>8980</v>
      </c>
      <c r="AM873" s="15" t="s">
        <v>8981</v>
      </c>
      <c r="AN873" s="15" t="s">
        <v>8982</v>
      </c>
      <c r="AO873" s="15" t="s">
        <v>8981</v>
      </c>
      <c r="AP873" s="15" t="s">
        <v>8982</v>
      </c>
      <c r="AQ873" s="15" t="s">
        <v>1152</v>
      </c>
      <c r="AR873" s="15" t="s">
        <v>1153</v>
      </c>
      <c r="AS873" s="15" t="s">
        <v>2759</v>
      </c>
      <c r="AT873" s="15" t="s">
        <v>3670</v>
      </c>
      <c r="AU873" s="15" t="s">
        <v>6520</v>
      </c>
      <c r="AW873" s="15" t="s">
        <v>491</v>
      </c>
      <c r="AY873" s="15" t="s">
        <v>413</v>
      </c>
      <c r="AZ873" s="15" t="b">
        <v>0</v>
      </c>
      <c r="BA873" s="15" t="s">
        <v>413</v>
      </c>
      <c r="BB873" s="15" t="b">
        <v>0</v>
      </c>
      <c r="BC873" s="15" t="s">
        <v>8983</v>
      </c>
      <c r="BD873" s="15" t="s">
        <v>742</v>
      </c>
      <c r="BE873" s="15" t="str">
        <f>"1"</f>
        <v>1</v>
      </c>
      <c r="BF873" s="15" t="s">
        <v>8984</v>
      </c>
      <c r="BG873" s="15" t="str">
        <f>"51.97"</f>
        <v>51.97</v>
      </c>
      <c r="BH873" s="15" t="s">
        <v>6920</v>
      </c>
      <c r="BI873" s="15" t="str">
        <f>"51.77"</f>
        <v>51.77</v>
      </c>
      <c r="BJ873" s="15" t="s">
        <v>8954</v>
      </c>
      <c r="BK873" s="15" t="str">
        <f>"22.05"</f>
        <v>22.05</v>
      </c>
      <c r="BL873" s="15" t="s">
        <v>2310</v>
      </c>
      <c r="BM873" s="15" t="str">
        <f>"180.78"</f>
        <v>180.78</v>
      </c>
      <c r="BN873" s="15" t="s">
        <v>6658</v>
      </c>
      <c r="BQ873" s="15" t="s">
        <v>444</v>
      </c>
      <c r="BS873" s="15" t="s">
        <v>444</v>
      </c>
      <c r="BU873" s="15" t="s">
        <v>444</v>
      </c>
      <c r="BW873" s="15" t="s">
        <v>444</v>
      </c>
      <c r="BZ873" s="15" t="s">
        <v>444</v>
      </c>
      <c r="CB873" s="15" t="s">
        <v>444</v>
      </c>
      <c r="CD873" s="15" t="s">
        <v>444</v>
      </c>
      <c r="CF873" s="15" t="s">
        <v>444</v>
      </c>
      <c r="CI873" s="15" t="s">
        <v>444</v>
      </c>
      <c r="CK873" s="15" t="s">
        <v>444</v>
      </c>
      <c r="CM873" s="15" t="s">
        <v>444</v>
      </c>
      <c r="CO873" s="15" t="s">
        <v>444</v>
      </c>
      <c r="CP873" s="15" t="str">
        <f>"34.33"</f>
        <v>34.33</v>
      </c>
      <c r="CQ873" s="15" t="str">
        <f>"0.972"</f>
        <v>0.972</v>
      </c>
      <c r="CR873" s="15" t="s">
        <v>465</v>
      </c>
      <c r="DC873" s="15" t="str">
        <f>IFERROR(__xludf.DUMMYFUNCTION("""COMPUTED_VALUE"""),"")</f>
        <v/>
      </c>
      <c r="DE873" s="15" t="str">
        <f>IFERROR(__xludf.DUMMYFUNCTION("""COMPUTED_VALUE"""),"")</f>
        <v/>
      </c>
      <c r="DG873" s="15" t="str">
        <f>IFERROR(__xludf.DUMMYFUNCTION("""COMPUTED_VALUE"""),"")</f>
        <v/>
      </c>
      <c r="DL873" s="15" t="str">
        <f>IFERROR(__xludf.DUMMYFUNCTION("""COMPUTED_VALUE"""),"")</f>
        <v/>
      </c>
      <c r="DM873" s="15" t="s">
        <v>444</v>
      </c>
      <c r="DN873" s="15" t="s">
        <v>419</v>
      </c>
      <c r="DO873" s="15">
        <v>0.0</v>
      </c>
      <c r="DP873" s="15" t="s">
        <v>419</v>
      </c>
      <c r="DR873" s="15">
        <v>0.0</v>
      </c>
      <c r="DT873" s="15" t="s">
        <v>420</v>
      </c>
      <c r="DU873" s="15" t="s">
        <v>419</v>
      </c>
      <c r="DY873" s="15">
        <v>0.0</v>
      </c>
      <c r="EF873" s="15" t="s">
        <v>1157</v>
      </c>
      <c r="EG873" s="15" t="s">
        <v>1158</v>
      </c>
      <c r="EH873" s="15" t="s">
        <v>8985</v>
      </c>
      <c r="EJ873" s="15" t="s">
        <v>500</v>
      </c>
      <c r="EK873" s="15" t="s">
        <v>501</v>
      </c>
      <c r="EM873" s="15" t="str">
        <f>IFERROR(__xludf.DUMMYFUNCTION("""COMPUTED_VALUE"""),"")</f>
        <v/>
      </c>
      <c r="FH873" s="15" t="s">
        <v>8986</v>
      </c>
      <c r="FI873" s="15" t="s">
        <v>1425</v>
      </c>
      <c r="FJ873" s="15" t="s">
        <v>8986</v>
      </c>
      <c r="FK873" s="15" t="s">
        <v>612</v>
      </c>
      <c r="FL873" s="15" t="s">
        <v>426</v>
      </c>
      <c r="FM873" s="15">
        <v>0.0</v>
      </c>
      <c r="FN873" s="15">
        <v>0.0</v>
      </c>
      <c r="FW873" s="15" t="s">
        <v>8987</v>
      </c>
    </row>
    <row r="874" ht="15.75" customHeight="1">
      <c r="A874" s="14" t="s">
        <v>391</v>
      </c>
      <c r="B874" s="15" t="s">
        <v>8988</v>
      </c>
      <c r="C874" s="16"/>
      <c r="D874" s="15" t="s">
        <v>432</v>
      </c>
      <c r="G874" s="14" t="s">
        <v>393</v>
      </c>
      <c r="H874" s="14" t="s">
        <v>394</v>
      </c>
      <c r="I874" s="14" t="b">
        <v>1</v>
      </c>
      <c r="J874" s="14" t="s">
        <v>395</v>
      </c>
      <c r="L874" s="14" t="b">
        <v>0</v>
      </c>
      <c r="M874" s="15" t="s">
        <v>8989</v>
      </c>
      <c r="N874" s="14" t="s">
        <v>393</v>
      </c>
      <c r="O874" s="14" t="s">
        <v>393</v>
      </c>
      <c r="P874" s="15" t="s">
        <v>397</v>
      </c>
      <c r="Q874" s="15" t="s">
        <v>8417</v>
      </c>
      <c r="R874" s="15" t="s">
        <v>265</v>
      </c>
      <c r="S874" s="15" t="s">
        <v>877</v>
      </c>
      <c r="T874" s="14" t="b">
        <v>0</v>
      </c>
      <c r="U874" s="15" t="s">
        <v>8990</v>
      </c>
      <c r="V874" s="15" t="s">
        <v>8991</v>
      </c>
      <c r="W874" s="15" t="s">
        <v>401</v>
      </c>
      <c r="X874" s="15" t="s">
        <v>742</v>
      </c>
      <c r="Y874" s="15">
        <v>2301.0</v>
      </c>
      <c r="AA874" s="15" t="str">
        <f>"885"</f>
        <v>885</v>
      </c>
      <c r="AB874" s="14" t="b">
        <v>1</v>
      </c>
      <c r="AC874" s="14" t="b">
        <v>1</v>
      </c>
      <c r="AD874" s="15" t="str">
        <f>"198394056403"</f>
        <v>198394056403</v>
      </c>
      <c r="AE874" s="15" t="s">
        <v>8992</v>
      </c>
      <c r="AF874" s="14" t="s">
        <v>404</v>
      </c>
      <c r="AG874" s="14" t="s">
        <v>405</v>
      </c>
      <c r="AH874" s="14" t="s">
        <v>406</v>
      </c>
      <c r="AI874" s="15">
        <v>0.0</v>
      </c>
      <c r="AL874" s="15" t="s">
        <v>8993</v>
      </c>
      <c r="AM874" s="15" t="s">
        <v>8994</v>
      </c>
      <c r="AN874" s="15" t="s">
        <v>8995</v>
      </c>
      <c r="AO874" s="15" t="s">
        <v>1450</v>
      </c>
      <c r="AP874" s="15" t="s">
        <v>1451</v>
      </c>
      <c r="AQ874" s="15" t="s">
        <v>2675</v>
      </c>
      <c r="AR874" s="15" t="s">
        <v>2676</v>
      </c>
      <c r="AS874" s="15" t="s">
        <v>2063</v>
      </c>
      <c r="AT874" s="15" t="s">
        <v>8417</v>
      </c>
      <c r="AU874" s="15" t="s">
        <v>7632</v>
      </c>
      <c r="AW874" s="15" t="s">
        <v>839</v>
      </c>
      <c r="AX874" s="15" t="s">
        <v>877</v>
      </c>
      <c r="AY874" s="15" t="s">
        <v>413</v>
      </c>
      <c r="AZ874" s="15" t="b">
        <v>0</v>
      </c>
      <c r="BA874" s="15" t="s">
        <v>426</v>
      </c>
      <c r="BB874" s="15" t="b">
        <v>1</v>
      </c>
      <c r="BD874" s="15" t="s">
        <v>742</v>
      </c>
      <c r="BE874" s="15" t="str">
        <f t="shared" ref="BE874:BE879" si="1536">"2"</f>
        <v>2</v>
      </c>
      <c r="BF874" s="15" t="s">
        <v>8996</v>
      </c>
      <c r="BG874" s="15" t="str">
        <f>"68.5"</f>
        <v>68.5</v>
      </c>
      <c r="BH874" s="15" t="s">
        <v>3121</v>
      </c>
      <c r="BI874" s="15" t="str">
        <f t="shared" ref="BI874:BI875" si="1537">"8.86"</f>
        <v>8.86</v>
      </c>
      <c r="BJ874" s="15" t="s">
        <v>7919</v>
      </c>
      <c r="BK874" s="15" t="str">
        <f t="shared" ref="BK874:BK875" si="1538">"58.07"</f>
        <v>58.07</v>
      </c>
      <c r="BL874" s="15" t="s">
        <v>1542</v>
      </c>
      <c r="BM874" s="15" t="str">
        <f>"110.23"</f>
        <v>110.23</v>
      </c>
      <c r="BN874" s="15" t="s">
        <v>1131</v>
      </c>
      <c r="BO874" s="15" t="s">
        <v>8996</v>
      </c>
      <c r="BP874" s="15" t="str">
        <f t="shared" ref="BP874:BP879" si="1539">"84.65"</f>
        <v>84.65</v>
      </c>
      <c r="BQ874" s="15" t="s">
        <v>852</v>
      </c>
      <c r="BR874" s="15" t="str">
        <f t="shared" ref="BR874:BR879" si="1540">"14.96"</f>
        <v>14.96</v>
      </c>
      <c r="BS874" s="15" t="s">
        <v>5362</v>
      </c>
      <c r="BT874" s="15" t="str">
        <f t="shared" ref="BT874:BT879" si="1541">"9.65"</f>
        <v>9.65</v>
      </c>
      <c r="BU874" s="15" t="s">
        <v>5182</v>
      </c>
      <c r="BV874" s="15" t="str">
        <f>"82.67"</f>
        <v>82.67</v>
      </c>
      <c r="BW874" s="15" t="s">
        <v>1781</v>
      </c>
      <c r="BZ874" s="15" t="s">
        <v>444</v>
      </c>
      <c r="CB874" s="15" t="s">
        <v>444</v>
      </c>
      <c r="CD874" s="15" t="s">
        <v>444</v>
      </c>
      <c r="CF874" s="15" t="s">
        <v>444</v>
      </c>
      <c r="CI874" s="15" t="s">
        <v>444</v>
      </c>
      <c r="CK874" s="15" t="s">
        <v>444</v>
      </c>
      <c r="CM874" s="15" t="s">
        <v>444</v>
      </c>
      <c r="CO874" s="15" t="s">
        <v>444</v>
      </c>
      <c r="CP874" s="15" t="str">
        <f>"27.44"</f>
        <v>27.44</v>
      </c>
      <c r="CQ874" s="15" t="str">
        <f>"0.777"</f>
        <v>0.777</v>
      </c>
      <c r="CR874" s="15" t="s">
        <v>497</v>
      </c>
      <c r="DC874" s="15" t="str">
        <f>IFERROR(__xludf.DUMMYFUNCTION("""COMPUTED_VALUE"""),"")</f>
        <v/>
      </c>
      <c r="DE874" s="15" t="str">
        <f>IFERROR(__xludf.DUMMYFUNCTION("""COMPUTED_VALUE"""),"")</f>
        <v/>
      </c>
      <c r="DG874" s="15" t="str">
        <f>IFERROR(__xludf.DUMMYFUNCTION("""COMPUTED_VALUE"""),"")</f>
        <v/>
      </c>
      <c r="DK874" s="15" t="s">
        <v>855</v>
      </c>
      <c r="DL874" s="15" t="str">
        <f>IFERROR(__xludf.DUMMYFUNCTION("""COMPUTED_VALUE"""),"Clean with solvent-based (dry clean only) products. Do not use water.")</f>
        <v>Clean with solvent-based (dry clean only) products. Do not use water.</v>
      </c>
      <c r="DM874" s="15" t="s">
        <v>856</v>
      </c>
      <c r="DN874" s="15" t="s">
        <v>419</v>
      </c>
      <c r="DO874" s="15">
        <v>0.0</v>
      </c>
      <c r="DP874" s="15" t="s">
        <v>419</v>
      </c>
      <c r="DR874" s="15">
        <v>0.0</v>
      </c>
      <c r="DT874" s="15" t="s">
        <v>1186</v>
      </c>
      <c r="DU874" s="15" t="s">
        <v>419</v>
      </c>
      <c r="DW874" s="15">
        <v>0.0</v>
      </c>
      <c r="DX874" s="15">
        <v>0.0</v>
      </c>
      <c r="DY874" s="15">
        <v>0.0</v>
      </c>
      <c r="DZ874" s="15">
        <v>25000.0</v>
      </c>
      <c r="EG874" s="15" t="s">
        <v>444</v>
      </c>
      <c r="EH874" s="15" t="s">
        <v>8997</v>
      </c>
      <c r="EJ874" s="15" t="s">
        <v>858</v>
      </c>
      <c r="EK874" s="15" t="s">
        <v>859</v>
      </c>
      <c r="EM874" s="15" t="str">
        <f>IFERROR(__xludf.DUMMYFUNCTION("""COMPUTED_VALUE"""),"")</f>
        <v/>
      </c>
      <c r="FM874" s="15">
        <v>0.0</v>
      </c>
      <c r="IM874" s="15" t="s">
        <v>5304</v>
      </c>
      <c r="IN874" s="15" t="s">
        <v>5304</v>
      </c>
      <c r="IO874" s="15" t="s">
        <v>5304</v>
      </c>
      <c r="IP874" s="15" t="s">
        <v>555</v>
      </c>
      <c r="IQ874" s="15" t="s">
        <v>6267</v>
      </c>
      <c r="IR874" s="15" t="s">
        <v>8998</v>
      </c>
      <c r="IS874" s="15" t="s">
        <v>8999</v>
      </c>
      <c r="IT874" s="15" t="s">
        <v>6267</v>
      </c>
      <c r="IU874" s="15" t="s">
        <v>8998</v>
      </c>
      <c r="IV874" s="15" t="s">
        <v>2971</v>
      </c>
      <c r="IW874" s="15" t="s">
        <v>1957</v>
      </c>
      <c r="IX874" s="15" t="s">
        <v>5852</v>
      </c>
      <c r="IY874" s="15" t="s">
        <v>762</v>
      </c>
      <c r="IZ874" s="15" t="s">
        <v>9000</v>
      </c>
      <c r="JA874" s="15" t="s">
        <v>784</v>
      </c>
      <c r="JB874" s="15" t="s">
        <v>426</v>
      </c>
      <c r="JC874" s="15" t="s">
        <v>2471</v>
      </c>
      <c r="JD874" s="15" t="s">
        <v>872</v>
      </c>
      <c r="JE874" s="15" t="s">
        <v>873</v>
      </c>
      <c r="JF874" s="15" t="s">
        <v>877</v>
      </c>
      <c r="JL874" s="15" t="s">
        <v>759</v>
      </c>
      <c r="JM874" s="15" t="s">
        <v>5059</v>
      </c>
      <c r="JN874" s="15" t="s">
        <v>759</v>
      </c>
      <c r="JO874" s="15" t="s">
        <v>426</v>
      </c>
      <c r="JP874" s="15" t="s">
        <v>2474</v>
      </c>
    </row>
    <row r="875" ht="15.75" customHeight="1">
      <c r="A875" s="14" t="s">
        <v>391</v>
      </c>
      <c r="B875" s="15" t="s">
        <v>8988</v>
      </c>
      <c r="C875" s="16"/>
      <c r="D875" s="15" t="s">
        <v>432</v>
      </c>
      <c r="G875" s="14" t="s">
        <v>393</v>
      </c>
      <c r="H875" s="14" t="s">
        <v>394</v>
      </c>
      <c r="I875" s="14" t="b">
        <v>1</v>
      </c>
      <c r="J875" s="14" t="s">
        <v>395</v>
      </c>
      <c r="L875" s="14" t="b">
        <v>0</v>
      </c>
      <c r="M875" s="15" t="s">
        <v>9001</v>
      </c>
      <c r="N875" s="14" t="s">
        <v>393</v>
      </c>
      <c r="O875" s="14" t="s">
        <v>393</v>
      </c>
      <c r="P875" s="15" t="s">
        <v>397</v>
      </c>
      <c r="Q875" s="15" t="s">
        <v>8417</v>
      </c>
      <c r="R875" s="15" t="s">
        <v>265</v>
      </c>
      <c r="S875" s="15" t="s">
        <v>828</v>
      </c>
      <c r="T875" s="14" t="b">
        <v>0</v>
      </c>
      <c r="U875" s="15" t="s">
        <v>9002</v>
      </c>
      <c r="V875" s="15" t="s">
        <v>5062</v>
      </c>
      <c r="W875" s="15" t="s">
        <v>401</v>
      </c>
      <c r="X875" s="15" t="s">
        <v>742</v>
      </c>
      <c r="Y875" s="15">
        <v>2522.0</v>
      </c>
      <c r="AA875" s="15" t="str">
        <f>"970"</f>
        <v>970</v>
      </c>
      <c r="AB875" s="14" t="b">
        <v>1</v>
      </c>
      <c r="AC875" s="14" t="b">
        <v>1</v>
      </c>
      <c r="AD875" s="15" t="str">
        <f>"198394056397"</f>
        <v>198394056397</v>
      </c>
      <c r="AE875" s="15" t="s">
        <v>9003</v>
      </c>
      <c r="AF875" s="14" t="s">
        <v>404</v>
      </c>
      <c r="AG875" s="14" t="s">
        <v>405</v>
      </c>
      <c r="AH875" s="14" t="s">
        <v>406</v>
      </c>
      <c r="AI875" s="15">
        <v>0.0</v>
      </c>
      <c r="AL875" s="15" t="s">
        <v>8993</v>
      </c>
      <c r="AM875" s="15" t="s">
        <v>4522</v>
      </c>
      <c r="AN875" s="15" t="s">
        <v>2998</v>
      </c>
      <c r="AO875" s="15" t="s">
        <v>1450</v>
      </c>
      <c r="AP875" s="15" t="s">
        <v>1451</v>
      </c>
      <c r="AQ875" s="15" t="s">
        <v>2675</v>
      </c>
      <c r="AR875" s="15" t="s">
        <v>2676</v>
      </c>
      <c r="AS875" s="15" t="s">
        <v>2063</v>
      </c>
      <c r="AT875" s="15" t="s">
        <v>8417</v>
      </c>
      <c r="AU875" s="15" t="s">
        <v>7632</v>
      </c>
      <c r="AW875" s="15" t="s">
        <v>839</v>
      </c>
      <c r="AX875" s="15" t="s">
        <v>828</v>
      </c>
      <c r="AY875" s="15" t="s">
        <v>413</v>
      </c>
      <c r="AZ875" s="15" t="b">
        <v>0</v>
      </c>
      <c r="BA875" s="15" t="s">
        <v>426</v>
      </c>
      <c r="BB875" s="15" t="b">
        <v>1</v>
      </c>
      <c r="BD875" s="15" t="s">
        <v>742</v>
      </c>
      <c r="BE875" s="15" t="str">
        <f t="shared" si="1536"/>
        <v>2</v>
      </c>
      <c r="BF875" s="15" t="s">
        <v>8996</v>
      </c>
      <c r="BG875" s="15" t="str">
        <f t="shared" ref="BG875:BG876" si="1542">"84.65"</f>
        <v>84.65</v>
      </c>
      <c r="BH875" s="15" t="s">
        <v>852</v>
      </c>
      <c r="BI875" s="15" t="str">
        <f t="shared" si="1537"/>
        <v>8.86</v>
      </c>
      <c r="BJ875" s="15" t="s">
        <v>7919</v>
      </c>
      <c r="BK875" s="15" t="str">
        <f t="shared" si="1538"/>
        <v>58.07</v>
      </c>
      <c r="BL875" s="15" t="s">
        <v>1542</v>
      </c>
      <c r="BM875" s="15" t="str">
        <f t="shared" ref="BM875:BM876" si="1543">"126.77"</f>
        <v>126.77</v>
      </c>
      <c r="BN875" s="15" t="s">
        <v>7416</v>
      </c>
      <c r="BO875" s="15" t="s">
        <v>8996</v>
      </c>
      <c r="BP875" s="15" t="str">
        <f t="shared" si="1539"/>
        <v>84.65</v>
      </c>
      <c r="BQ875" s="15" t="s">
        <v>852</v>
      </c>
      <c r="BR875" s="15" t="str">
        <f t="shared" si="1540"/>
        <v>14.96</v>
      </c>
      <c r="BS875" s="15" t="s">
        <v>5362</v>
      </c>
      <c r="BT875" s="15" t="str">
        <f t="shared" si="1541"/>
        <v>9.65</v>
      </c>
      <c r="BU875" s="15" t="s">
        <v>5182</v>
      </c>
      <c r="BV875" s="15" t="str">
        <f t="shared" ref="BV875:BV876" si="1544">"88.18"</f>
        <v>88.18</v>
      </c>
      <c r="BW875" s="15" t="s">
        <v>5169</v>
      </c>
      <c r="BZ875" s="15" t="s">
        <v>444</v>
      </c>
      <c r="CB875" s="15" t="s">
        <v>444</v>
      </c>
      <c r="CD875" s="15" t="s">
        <v>444</v>
      </c>
      <c r="CF875" s="15" t="s">
        <v>444</v>
      </c>
      <c r="CI875" s="15" t="s">
        <v>444</v>
      </c>
      <c r="CK875" s="15" t="s">
        <v>444</v>
      </c>
      <c r="CM875" s="15" t="s">
        <v>444</v>
      </c>
      <c r="CO875" s="15" t="s">
        <v>444</v>
      </c>
      <c r="CP875" s="15" t="str">
        <f t="shared" ref="CP875:CP876" si="1545">"32.28"</f>
        <v>32.28</v>
      </c>
      <c r="CQ875" s="15" t="str">
        <f t="shared" ref="CQ875:CQ876" si="1546">"0.914"</f>
        <v>0.914</v>
      </c>
      <c r="CR875" s="15" t="s">
        <v>497</v>
      </c>
      <c r="DC875" s="15" t="str">
        <f>IFERROR(__xludf.DUMMYFUNCTION("""COMPUTED_VALUE"""),"")</f>
        <v/>
      </c>
      <c r="DE875" s="15" t="str">
        <f>IFERROR(__xludf.DUMMYFUNCTION("""COMPUTED_VALUE"""),"")</f>
        <v/>
      </c>
      <c r="DG875" s="15" t="str">
        <f>IFERROR(__xludf.DUMMYFUNCTION("""COMPUTED_VALUE"""),"")</f>
        <v/>
      </c>
      <c r="DK875" s="15" t="s">
        <v>855</v>
      </c>
      <c r="DL875" s="15" t="str">
        <f>IFERROR(__xludf.DUMMYFUNCTION("""COMPUTED_VALUE"""),"Clean with solvent-based (dry clean only) products. Do not use water.")</f>
        <v>Clean with solvent-based (dry clean only) products. Do not use water.</v>
      </c>
      <c r="DM875" s="15" t="s">
        <v>856</v>
      </c>
      <c r="DN875" s="15" t="s">
        <v>419</v>
      </c>
      <c r="DO875" s="15">
        <v>0.0</v>
      </c>
      <c r="DP875" s="15" t="s">
        <v>419</v>
      </c>
      <c r="DR875" s="15">
        <v>0.0</v>
      </c>
      <c r="DT875" s="15" t="s">
        <v>1186</v>
      </c>
      <c r="DU875" s="15" t="s">
        <v>419</v>
      </c>
      <c r="DW875" s="15">
        <v>0.0</v>
      </c>
      <c r="DX875" s="15">
        <v>0.0</v>
      </c>
      <c r="DY875" s="15">
        <v>0.0</v>
      </c>
      <c r="DZ875" s="15">
        <v>25000.0</v>
      </c>
      <c r="EG875" s="15" t="s">
        <v>444</v>
      </c>
      <c r="EH875" s="15" t="s">
        <v>8997</v>
      </c>
      <c r="EJ875" s="15" t="s">
        <v>858</v>
      </c>
      <c r="EK875" s="15" t="s">
        <v>859</v>
      </c>
      <c r="EM875" s="15" t="str">
        <f>IFERROR(__xludf.DUMMYFUNCTION("""COMPUTED_VALUE"""),"")</f>
        <v/>
      </c>
      <c r="FM875" s="15">
        <v>0.0</v>
      </c>
      <c r="IM875" s="15" t="s">
        <v>5304</v>
      </c>
      <c r="IN875" s="15" t="s">
        <v>5304</v>
      </c>
      <c r="IO875" s="15" t="s">
        <v>5304</v>
      </c>
      <c r="IP875" s="15" t="s">
        <v>555</v>
      </c>
      <c r="IQ875" s="15" t="s">
        <v>6267</v>
      </c>
      <c r="IR875" s="15" t="s">
        <v>6554</v>
      </c>
      <c r="IS875" s="15" t="s">
        <v>8999</v>
      </c>
      <c r="IT875" s="15" t="s">
        <v>6267</v>
      </c>
      <c r="IU875" s="15" t="s">
        <v>6554</v>
      </c>
      <c r="IV875" s="15" t="s">
        <v>2971</v>
      </c>
      <c r="IW875" s="15" t="s">
        <v>1957</v>
      </c>
      <c r="IX875" s="15" t="s">
        <v>869</v>
      </c>
      <c r="IY875" s="15" t="s">
        <v>762</v>
      </c>
      <c r="IZ875" s="15" t="s">
        <v>9000</v>
      </c>
      <c r="JA875" s="15" t="s">
        <v>784</v>
      </c>
      <c r="JB875" s="15" t="s">
        <v>426</v>
      </c>
      <c r="JC875" s="15" t="s">
        <v>2471</v>
      </c>
      <c r="JD875" s="15" t="s">
        <v>872</v>
      </c>
      <c r="JE875" s="15" t="s">
        <v>873</v>
      </c>
      <c r="JF875" s="15" t="s">
        <v>828</v>
      </c>
      <c r="JL875" s="15" t="s">
        <v>759</v>
      </c>
      <c r="JM875" s="15" t="s">
        <v>5059</v>
      </c>
      <c r="JN875" s="15" t="s">
        <v>759</v>
      </c>
      <c r="JO875" s="15" t="s">
        <v>426</v>
      </c>
      <c r="JP875" s="15" t="s">
        <v>2474</v>
      </c>
    </row>
    <row r="876" ht="15.75" customHeight="1">
      <c r="A876" s="14" t="s">
        <v>391</v>
      </c>
      <c r="B876" s="15" t="s">
        <v>8988</v>
      </c>
      <c r="C876" s="16"/>
      <c r="D876" s="15" t="s">
        <v>432</v>
      </c>
      <c r="G876" s="14" t="s">
        <v>393</v>
      </c>
      <c r="H876" s="14" t="s">
        <v>394</v>
      </c>
      <c r="I876" s="14" t="b">
        <v>1</v>
      </c>
      <c r="J876" s="14" t="s">
        <v>395</v>
      </c>
      <c r="L876" s="14" t="b">
        <v>0</v>
      </c>
      <c r="M876" s="15" t="s">
        <v>9004</v>
      </c>
      <c r="N876" s="14" t="s">
        <v>393</v>
      </c>
      <c r="O876" s="14" t="s">
        <v>393</v>
      </c>
      <c r="P876" s="15" t="s">
        <v>397</v>
      </c>
      <c r="Q876" s="15" t="s">
        <v>3417</v>
      </c>
      <c r="R876" s="15" t="s">
        <v>265</v>
      </c>
      <c r="S876" s="15" t="s">
        <v>828</v>
      </c>
      <c r="T876" s="14" t="b">
        <v>0</v>
      </c>
      <c r="U876" s="15" t="s">
        <v>9005</v>
      </c>
      <c r="V876" s="15" t="s">
        <v>5062</v>
      </c>
      <c r="W876" s="15" t="s">
        <v>401</v>
      </c>
      <c r="X876" s="15" t="s">
        <v>742</v>
      </c>
      <c r="Y876" s="15">
        <v>2847.0</v>
      </c>
      <c r="AA876" s="15" t="str">
        <f>"1095"</f>
        <v>1095</v>
      </c>
      <c r="AB876" s="14" t="b">
        <v>1</v>
      </c>
      <c r="AC876" s="14" t="b">
        <v>1</v>
      </c>
      <c r="AD876" s="15" t="str">
        <f>"801542158118"</f>
        <v>801542158118</v>
      </c>
      <c r="AE876" s="15" t="s">
        <v>9006</v>
      </c>
      <c r="AF876" s="14" t="s">
        <v>404</v>
      </c>
      <c r="AG876" s="14" t="s">
        <v>405</v>
      </c>
      <c r="AH876" s="14" t="s">
        <v>406</v>
      </c>
      <c r="AI876" s="15">
        <v>0.0</v>
      </c>
      <c r="AL876" s="15" t="s">
        <v>2491</v>
      </c>
      <c r="AM876" s="15" t="s">
        <v>4522</v>
      </c>
      <c r="AN876" s="15" t="s">
        <v>2998</v>
      </c>
      <c r="AO876" s="15" t="s">
        <v>1450</v>
      </c>
      <c r="AP876" s="15" t="s">
        <v>1451</v>
      </c>
      <c r="AQ876" s="15" t="s">
        <v>2675</v>
      </c>
      <c r="AR876" s="15" t="s">
        <v>2676</v>
      </c>
      <c r="AS876" s="15" t="s">
        <v>2063</v>
      </c>
      <c r="AT876" s="15" t="s">
        <v>3417</v>
      </c>
      <c r="AU876" s="15" t="s">
        <v>9007</v>
      </c>
      <c r="AW876" s="15" t="s">
        <v>839</v>
      </c>
      <c r="AX876" s="15" t="s">
        <v>828</v>
      </c>
      <c r="AY876" s="15" t="s">
        <v>413</v>
      </c>
      <c r="AZ876" s="15" t="b">
        <v>0</v>
      </c>
      <c r="BA876" s="15" t="s">
        <v>413</v>
      </c>
      <c r="BB876" s="15" t="b">
        <v>0</v>
      </c>
      <c r="BC876" s="15" t="s">
        <v>9008</v>
      </c>
      <c r="BD876" s="15" t="s">
        <v>742</v>
      </c>
      <c r="BE876" s="15" t="str">
        <f t="shared" si="1536"/>
        <v>2</v>
      </c>
      <c r="BF876" s="15" t="s">
        <v>8996</v>
      </c>
      <c r="BG876" s="15" t="str">
        <f t="shared" si="1542"/>
        <v>84.65</v>
      </c>
      <c r="BH876" s="15" t="s">
        <v>852</v>
      </c>
      <c r="BI876" s="15" t="str">
        <f t="shared" ref="BI876:BI879" si="1547">"58.07"</f>
        <v>58.07</v>
      </c>
      <c r="BJ876" s="15" t="s">
        <v>1542</v>
      </c>
      <c r="BK876" s="15" t="str">
        <f t="shared" ref="BK876:BK879" si="1548">"8.86"</f>
        <v>8.86</v>
      </c>
      <c r="BL876" s="15" t="s">
        <v>7919</v>
      </c>
      <c r="BM876" s="15" t="str">
        <f t="shared" si="1543"/>
        <v>126.77</v>
      </c>
      <c r="BN876" s="15" t="s">
        <v>7416</v>
      </c>
      <c r="BO876" s="15" t="s">
        <v>8996</v>
      </c>
      <c r="BP876" s="15" t="str">
        <f t="shared" si="1539"/>
        <v>84.65</v>
      </c>
      <c r="BQ876" s="15" t="s">
        <v>852</v>
      </c>
      <c r="BR876" s="15" t="str">
        <f t="shared" si="1540"/>
        <v>14.96</v>
      </c>
      <c r="BS876" s="15" t="s">
        <v>5362</v>
      </c>
      <c r="BT876" s="15" t="str">
        <f t="shared" si="1541"/>
        <v>9.65</v>
      </c>
      <c r="BU876" s="15" t="s">
        <v>5182</v>
      </c>
      <c r="BV876" s="15" t="str">
        <f t="shared" si="1544"/>
        <v>88.18</v>
      </c>
      <c r="BW876" s="15" t="s">
        <v>5169</v>
      </c>
      <c r="BZ876" s="15" t="s">
        <v>444</v>
      </c>
      <c r="CB876" s="15" t="s">
        <v>444</v>
      </c>
      <c r="CD876" s="15" t="s">
        <v>444</v>
      </c>
      <c r="CF876" s="15" t="s">
        <v>444</v>
      </c>
      <c r="CI876" s="15" t="s">
        <v>444</v>
      </c>
      <c r="CK876" s="15" t="s">
        <v>444</v>
      </c>
      <c r="CM876" s="15" t="s">
        <v>444</v>
      </c>
      <c r="CO876" s="15" t="s">
        <v>444</v>
      </c>
      <c r="CP876" s="15" t="str">
        <f t="shared" si="1545"/>
        <v>32.28</v>
      </c>
      <c r="CQ876" s="15" t="str">
        <f t="shared" si="1546"/>
        <v>0.914</v>
      </c>
      <c r="CR876" s="15" t="s">
        <v>497</v>
      </c>
      <c r="DC876" s="15" t="str">
        <f>IFERROR(__xludf.DUMMYFUNCTION("""COMPUTED_VALUE"""),"")</f>
        <v/>
      </c>
      <c r="DE876" s="15" t="str">
        <f>IFERROR(__xludf.DUMMYFUNCTION("""COMPUTED_VALUE"""),"")</f>
        <v/>
      </c>
      <c r="DG876" s="15" t="str">
        <f>IFERROR(__xludf.DUMMYFUNCTION("""COMPUTED_VALUE"""),"")</f>
        <v/>
      </c>
      <c r="DK876" s="15" t="s">
        <v>718</v>
      </c>
      <c r="DL876" s="15" t="str">
        <f>IFERROR(__xludf.DUMMYFUNCTION("""COMPUTED_VALUE"""),"Vacuum or light brush only. Do not use water or any cleaning products.")</f>
        <v>Vacuum or light brush only. Do not use water or any cleaning products.</v>
      </c>
      <c r="DM876" s="15" t="s">
        <v>719</v>
      </c>
      <c r="DN876" s="15" t="s">
        <v>419</v>
      </c>
      <c r="DO876" s="15">
        <v>0.0</v>
      </c>
      <c r="DP876" s="15" t="s">
        <v>419</v>
      </c>
      <c r="DR876" s="15">
        <v>0.0</v>
      </c>
      <c r="DT876" s="15" t="s">
        <v>1186</v>
      </c>
      <c r="DU876" s="15" t="s">
        <v>419</v>
      </c>
      <c r="DW876" s="15">
        <v>0.0</v>
      </c>
      <c r="DX876" s="15">
        <v>0.0</v>
      </c>
      <c r="DY876" s="15">
        <v>0.0</v>
      </c>
      <c r="DZ876" s="15">
        <v>0.0</v>
      </c>
      <c r="EG876" s="15" t="s">
        <v>444</v>
      </c>
      <c r="EH876" s="15" t="s">
        <v>8997</v>
      </c>
      <c r="EJ876" s="15" t="s">
        <v>858</v>
      </c>
      <c r="EK876" s="15" t="s">
        <v>859</v>
      </c>
      <c r="EM876" s="15" t="str">
        <f>IFERROR(__xludf.DUMMYFUNCTION("""COMPUTED_VALUE"""),"")</f>
        <v/>
      </c>
      <c r="FM876" s="15">
        <v>0.0</v>
      </c>
      <c r="IM876" s="15" t="s">
        <v>5304</v>
      </c>
      <c r="IN876" s="15" t="s">
        <v>5304</v>
      </c>
      <c r="IO876" s="15" t="s">
        <v>5304</v>
      </c>
      <c r="IP876" s="15" t="s">
        <v>555</v>
      </c>
      <c r="IQ876" s="15" t="s">
        <v>6267</v>
      </c>
      <c r="IR876" s="15" t="s">
        <v>6554</v>
      </c>
      <c r="IS876" s="15" t="s">
        <v>8999</v>
      </c>
      <c r="IT876" s="15" t="s">
        <v>6267</v>
      </c>
      <c r="IU876" s="15" t="s">
        <v>6554</v>
      </c>
      <c r="IV876" s="15" t="s">
        <v>2971</v>
      </c>
      <c r="IW876" s="15" t="s">
        <v>1957</v>
      </c>
      <c r="IX876" s="15" t="s">
        <v>869</v>
      </c>
      <c r="IY876" s="15" t="s">
        <v>762</v>
      </c>
      <c r="IZ876" s="15" t="s">
        <v>9000</v>
      </c>
      <c r="JA876" s="15" t="s">
        <v>784</v>
      </c>
      <c r="JB876" s="15" t="s">
        <v>426</v>
      </c>
      <c r="JC876" s="15" t="s">
        <v>2471</v>
      </c>
      <c r="JD876" s="15" t="s">
        <v>872</v>
      </c>
      <c r="JE876" s="15" t="s">
        <v>873</v>
      </c>
      <c r="JF876" s="15" t="s">
        <v>828</v>
      </c>
      <c r="JL876" s="15" t="s">
        <v>759</v>
      </c>
      <c r="JM876" s="15" t="s">
        <v>5059</v>
      </c>
      <c r="JN876" s="15" t="s">
        <v>759</v>
      </c>
      <c r="JO876" s="15" t="s">
        <v>426</v>
      </c>
      <c r="JP876" s="15" t="s">
        <v>2474</v>
      </c>
    </row>
    <row r="877" ht="15.75" customHeight="1">
      <c r="A877" s="14" t="s">
        <v>391</v>
      </c>
      <c r="B877" s="15" t="s">
        <v>8988</v>
      </c>
      <c r="C877" s="16"/>
      <c r="D877" s="15" t="s">
        <v>432</v>
      </c>
      <c r="G877" s="14" t="s">
        <v>393</v>
      </c>
      <c r="H877" s="14" t="s">
        <v>394</v>
      </c>
      <c r="I877" s="14" t="b">
        <v>1</v>
      </c>
      <c r="J877" s="14" t="s">
        <v>395</v>
      </c>
      <c r="L877" s="14" t="b">
        <v>0</v>
      </c>
      <c r="M877" s="15" t="s">
        <v>9009</v>
      </c>
      <c r="N877" s="14" t="s">
        <v>393</v>
      </c>
      <c r="O877" s="14" t="s">
        <v>393</v>
      </c>
      <c r="P877" s="15" t="s">
        <v>397</v>
      </c>
      <c r="Q877" s="15" t="s">
        <v>3417</v>
      </c>
      <c r="R877" s="15" t="s">
        <v>265</v>
      </c>
      <c r="S877" s="15" t="s">
        <v>877</v>
      </c>
      <c r="T877" s="14" t="b">
        <v>0</v>
      </c>
      <c r="U877" s="15" t="s">
        <v>9010</v>
      </c>
      <c r="V877" s="15" t="s">
        <v>8991</v>
      </c>
      <c r="W877" s="15" t="s">
        <v>401</v>
      </c>
      <c r="X877" s="15" t="s">
        <v>742</v>
      </c>
      <c r="Y877" s="15">
        <v>2522.0</v>
      </c>
      <c r="AA877" s="15" t="str">
        <f>"970"</f>
        <v>970</v>
      </c>
      <c r="AB877" s="14" t="b">
        <v>1</v>
      </c>
      <c r="AC877" s="14" t="b">
        <v>1</v>
      </c>
      <c r="AD877" s="15" t="str">
        <f>"801542203924"</f>
        <v>801542203924</v>
      </c>
      <c r="AE877" s="15" t="s">
        <v>9011</v>
      </c>
      <c r="AF877" s="14" t="s">
        <v>404</v>
      </c>
      <c r="AG877" s="14" t="s">
        <v>405</v>
      </c>
      <c r="AH877" s="14" t="s">
        <v>406</v>
      </c>
      <c r="AI877" s="15">
        <v>0.0</v>
      </c>
      <c r="AL877" s="15" t="s">
        <v>2491</v>
      </c>
      <c r="AM877" s="15" t="s">
        <v>8994</v>
      </c>
      <c r="AN877" s="15" t="s">
        <v>8995</v>
      </c>
      <c r="AO877" s="15" t="s">
        <v>1450</v>
      </c>
      <c r="AP877" s="15" t="s">
        <v>1451</v>
      </c>
      <c r="AQ877" s="15" t="s">
        <v>2675</v>
      </c>
      <c r="AR877" s="15" t="s">
        <v>2676</v>
      </c>
      <c r="AS877" s="15" t="s">
        <v>2063</v>
      </c>
      <c r="AT877" s="15" t="s">
        <v>3417</v>
      </c>
      <c r="AU877" s="15" t="s">
        <v>9007</v>
      </c>
      <c r="AW877" s="15" t="s">
        <v>839</v>
      </c>
      <c r="AX877" s="15" t="s">
        <v>877</v>
      </c>
      <c r="AY877" s="15" t="s">
        <v>413</v>
      </c>
      <c r="AZ877" s="15" t="b">
        <v>0</v>
      </c>
      <c r="BA877" s="15" t="s">
        <v>413</v>
      </c>
      <c r="BB877" s="15" t="b">
        <v>0</v>
      </c>
      <c r="BC877" s="15" t="s">
        <v>9012</v>
      </c>
      <c r="BD877" s="15" t="s">
        <v>742</v>
      </c>
      <c r="BE877" s="15" t="str">
        <f t="shared" si="1536"/>
        <v>2</v>
      </c>
      <c r="BF877" s="15" t="s">
        <v>8996</v>
      </c>
      <c r="BG877" s="15" t="str">
        <f>"68.5"</f>
        <v>68.5</v>
      </c>
      <c r="BH877" s="15" t="s">
        <v>3121</v>
      </c>
      <c r="BI877" s="15" t="str">
        <f t="shared" si="1547"/>
        <v>58.07</v>
      </c>
      <c r="BJ877" s="15" t="s">
        <v>1542</v>
      </c>
      <c r="BK877" s="15" t="str">
        <f t="shared" si="1548"/>
        <v>8.86</v>
      </c>
      <c r="BL877" s="15" t="s">
        <v>7919</v>
      </c>
      <c r="BM877" s="15" t="str">
        <f>"110.23"</f>
        <v>110.23</v>
      </c>
      <c r="BN877" s="15" t="s">
        <v>1131</v>
      </c>
      <c r="BO877" s="15" t="s">
        <v>8996</v>
      </c>
      <c r="BP877" s="15" t="str">
        <f t="shared" si="1539"/>
        <v>84.65</v>
      </c>
      <c r="BQ877" s="15" t="s">
        <v>852</v>
      </c>
      <c r="BR877" s="15" t="str">
        <f t="shared" si="1540"/>
        <v>14.96</v>
      </c>
      <c r="BS877" s="15" t="s">
        <v>5362</v>
      </c>
      <c r="BT877" s="15" t="str">
        <f t="shared" si="1541"/>
        <v>9.65</v>
      </c>
      <c r="BU877" s="15" t="s">
        <v>5182</v>
      </c>
      <c r="BV877" s="15" t="str">
        <f>"82.67"</f>
        <v>82.67</v>
      </c>
      <c r="BW877" s="15" t="s">
        <v>1781</v>
      </c>
      <c r="BZ877" s="15" t="s">
        <v>444</v>
      </c>
      <c r="CB877" s="15" t="s">
        <v>444</v>
      </c>
      <c r="CD877" s="15" t="s">
        <v>444</v>
      </c>
      <c r="CF877" s="15" t="s">
        <v>444</v>
      </c>
      <c r="CI877" s="15" t="s">
        <v>444</v>
      </c>
      <c r="CK877" s="15" t="s">
        <v>444</v>
      </c>
      <c r="CM877" s="15" t="s">
        <v>444</v>
      </c>
      <c r="CO877" s="15" t="s">
        <v>444</v>
      </c>
      <c r="CP877" s="15" t="str">
        <f>"27.44"</f>
        <v>27.44</v>
      </c>
      <c r="CQ877" s="15" t="str">
        <f>"0.777"</f>
        <v>0.777</v>
      </c>
      <c r="CR877" s="15" t="s">
        <v>497</v>
      </c>
      <c r="DC877" s="15" t="str">
        <f>IFERROR(__xludf.DUMMYFUNCTION("""COMPUTED_VALUE"""),"")</f>
        <v/>
      </c>
      <c r="DE877" s="15" t="str">
        <f>IFERROR(__xludf.DUMMYFUNCTION("""COMPUTED_VALUE"""),"")</f>
        <v/>
      </c>
      <c r="DG877" s="15" t="str">
        <f>IFERROR(__xludf.DUMMYFUNCTION("""COMPUTED_VALUE"""),"")</f>
        <v/>
      </c>
      <c r="DK877" s="15" t="s">
        <v>718</v>
      </c>
      <c r="DL877" s="15" t="str">
        <f>IFERROR(__xludf.DUMMYFUNCTION("""COMPUTED_VALUE"""),"Vacuum or light brush only. Do not use water or any cleaning products.")</f>
        <v>Vacuum or light brush only. Do not use water or any cleaning products.</v>
      </c>
      <c r="DM877" s="15" t="s">
        <v>719</v>
      </c>
      <c r="DN877" s="15" t="s">
        <v>419</v>
      </c>
      <c r="DO877" s="15">
        <v>0.0</v>
      </c>
      <c r="DP877" s="15" t="s">
        <v>419</v>
      </c>
      <c r="DR877" s="15">
        <v>0.0</v>
      </c>
      <c r="DT877" s="15" t="s">
        <v>1186</v>
      </c>
      <c r="DU877" s="15" t="s">
        <v>419</v>
      </c>
      <c r="DW877" s="15">
        <v>0.0</v>
      </c>
      <c r="DX877" s="15">
        <v>0.0</v>
      </c>
      <c r="DY877" s="15">
        <v>0.0</v>
      </c>
      <c r="DZ877" s="15">
        <v>0.0</v>
      </c>
      <c r="EG877" s="15" t="s">
        <v>444</v>
      </c>
      <c r="EH877" s="15" t="s">
        <v>8997</v>
      </c>
      <c r="EJ877" s="15" t="s">
        <v>858</v>
      </c>
      <c r="EK877" s="15" t="s">
        <v>859</v>
      </c>
      <c r="EM877" s="15" t="str">
        <f>IFERROR(__xludf.DUMMYFUNCTION("""COMPUTED_VALUE"""),"")</f>
        <v/>
      </c>
      <c r="FM877" s="15">
        <v>0.0</v>
      </c>
      <c r="IM877" s="15" t="s">
        <v>5304</v>
      </c>
      <c r="IN877" s="15" t="s">
        <v>5304</v>
      </c>
      <c r="IO877" s="15" t="s">
        <v>5304</v>
      </c>
      <c r="IP877" s="15" t="s">
        <v>555</v>
      </c>
      <c r="IQ877" s="15" t="s">
        <v>6267</v>
      </c>
      <c r="IR877" s="15" t="s">
        <v>8998</v>
      </c>
      <c r="IS877" s="15" t="s">
        <v>8999</v>
      </c>
      <c r="IT877" s="15" t="s">
        <v>6267</v>
      </c>
      <c r="IU877" s="15" t="s">
        <v>8998</v>
      </c>
      <c r="IV877" s="15" t="s">
        <v>2971</v>
      </c>
      <c r="IW877" s="15" t="s">
        <v>1957</v>
      </c>
      <c r="IX877" s="15" t="s">
        <v>5852</v>
      </c>
      <c r="IY877" s="15" t="s">
        <v>762</v>
      </c>
      <c r="IZ877" s="15" t="s">
        <v>9000</v>
      </c>
      <c r="JA877" s="15" t="s">
        <v>784</v>
      </c>
      <c r="JB877" s="15" t="s">
        <v>426</v>
      </c>
      <c r="JC877" s="15" t="s">
        <v>2471</v>
      </c>
      <c r="JD877" s="15" t="s">
        <v>872</v>
      </c>
      <c r="JE877" s="15" t="s">
        <v>873</v>
      </c>
      <c r="JF877" s="15" t="s">
        <v>877</v>
      </c>
      <c r="JL877" s="15" t="s">
        <v>759</v>
      </c>
      <c r="JM877" s="15" t="s">
        <v>5059</v>
      </c>
      <c r="JN877" s="15" t="s">
        <v>759</v>
      </c>
      <c r="JO877" s="15" t="s">
        <v>426</v>
      </c>
      <c r="JP877" s="15" t="s">
        <v>2474</v>
      </c>
    </row>
    <row r="878" ht="15.75" customHeight="1">
      <c r="A878" s="14" t="s">
        <v>391</v>
      </c>
      <c r="B878" s="15" t="s">
        <v>8988</v>
      </c>
      <c r="C878" s="16"/>
      <c r="D878" s="15" t="s">
        <v>432</v>
      </c>
      <c r="G878" s="14" t="s">
        <v>393</v>
      </c>
      <c r="H878" s="14" t="s">
        <v>394</v>
      </c>
      <c r="I878" s="14" t="b">
        <v>1</v>
      </c>
      <c r="J878" s="14" t="s">
        <v>395</v>
      </c>
      <c r="L878" s="14" t="b">
        <v>0</v>
      </c>
      <c r="M878" s="15" t="s">
        <v>9013</v>
      </c>
      <c r="N878" s="14" t="s">
        <v>393</v>
      </c>
      <c r="O878" s="14" t="s">
        <v>393</v>
      </c>
      <c r="P878" s="15" t="s">
        <v>397</v>
      </c>
      <c r="Q878" s="15" t="s">
        <v>1596</v>
      </c>
      <c r="T878" s="14" t="b">
        <v>0</v>
      </c>
      <c r="U878" s="15" t="s">
        <v>9014</v>
      </c>
      <c r="V878" s="15" t="s">
        <v>5062</v>
      </c>
      <c r="W878" s="15" t="s">
        <v>401</v>
      </c>
      <c r="X878" s="15" t="s">
        <v>742</v>
      </c>
      <c r="Y878" s="15">
        <v>2847.0</v>
      </c>
      <c r="AA878" s="15" t="str">
        <f>"1095"</f>
        <v>1095</v>
      </c>
      <c r="AB878" s="14" t="b">
        <v>1</v>
      </c>
      <c r="AC878" s="14" t="b">
        <v>1</v>
      </c>
      <c r="AD878" s="15" t="str">
        <f>"801542170301"</f>
        <v>801542170301</v>
      </c>
      <c r="AE878" s="15" t="s">
        <v>9015</v>
      </c>
      <c r="AF878" s="14" t="s">
        <v>404</v>
      </c>
      <c r="AG878" s="14" t="s">
        <v>405</v>
      </c>
      <c r="AH878" s="14" t="s">
        <v>406</v>
      </c>
      <c r="AI878" s="15">
        <v>0.0</v>
      </c>
      <c r="AL878" s="15" t="s">
        <v>1341</v>
      </c>
      <c r="AM878" s="15" t="s">
        <v>4522</v>
      </c>
      <c r="AN878" s="15" t="s">
        <v>2998</v>
      </c>
      <c r="AO878" s="15" t="s">
        <v>1450</v>
      </c>
      <c r="AP878" s="15" t="s">
        <v>1451</v>
      </c>
      <c r="AQ878" s="15" t="s">
        <v>2675</v>
      </c>
      <c r="AR878" s="15" t="s">
        <v>2676</v>
      </c>
      <c r="AS878" s="15" t="s">
        <v>2063</v>
      </c>
      <c r="AT878" s="15" t="s">
        <v>1596</v>
      </c>
      <c r="AU878" s="15" t="s">
        <v>9016</v>
      </c>
      <c r="AW878" s="15" t="s">
        <v>839</v>
      </c>
      <c r="AX878" s="15" t="s">
        <v>828</v>
      </c>
      <c r="AY878" s="15" t="s">
        <v>413</v>
      </c>
      <c r="AZ878" s="15" t="b">
        <v>0</v>
      </c>
      <c r="BA878" s="15" t="s">
        <v>413</v>
      </c>
      <c r="BB878" s="15" t="b">
        <v>0</v>
      </c>
      <c r="BC878" s="15" t="s">
        <v>9017</v>
      </c>
      <c r="BD878" s="15" t="s">
        <v>742</v>
      </c>
      <c r="BE878" s="15" t="str">
        <f t="shared" si="1536"/>
        <v>2</v>
      </c>
      <c r="BF878" s="15" t="s">
        <v>8996</v>
      </c>
      <c r="BG878" s="15" t="str">
        <f>"84.65"</f>
        <v>84.65</v>
      </c>
      <c r="BH878" s="15" t="s">
        <v>852</v>
      </c>
      <c r="BI878" s="15" t="str">
        <f t="shared" si="1547"/>
        <v>58.07</v>
      </c>
      <c r="BJ878" s="15" t="s">
        <v>1542</v>
      </c>
      <c r="BK878" s="15" t="str">
        <f t="shared" si="1548"/>
        <v>8.86</v>
      </c>
      <c r="BL878" s="15" t="s">
        <v>7919</v>
      </c>
      <c r="BM878" s="15" t="str">
        <f>"126.77"</f>
        <v>126.77</v>
      </c>
      <c r="BN878" s="15" t="s">
        <v>7416</v>
      </c>
      <c r="BO878" s="15" t="s">
        <v>8996</v>
      </c>
      <c r="BP878" s="15" t="str">
        <f t="shared" si="1539"/>
        <v>84.65</v>
      </c>
      <c r="BQ878" s="15" t="s">
        <v>852</v>
      </c>
      <c r="BR878" s="15" t="str">
        <f t="shared" si="1540"/>
        <v>14.96</v>
      </c>
      <c r="BS878" s="15" t="s">
        <v>5362</v>
      </c>
      <c r="BT878" s="15" t="str">
        <f t="shared" si="1541"/>
        <v>9.65</v>
      </c>
      <c r="BU878" s="15" t="s">
        <v>5182</v>
      </c>
      <c r="BV878" s="15" t="str">
        <f>"88.18"</f>
        <v>88.18</v>
      </c>
      <c r="BW878" s="15" t="s">
        <v>5169</v>
      </c>
      <c r="BZ878" s="15" t="s">
        <v>444</v>
      </c>
      <c r="CB878" s="15" t="s">
        <v>444</v>
      </c>
      <c r="CD878" s="15" t="s">
        <v>444</v>
      </c>
      <c r="CF878" s="15" t="s">
        <v>444</v>
      </c>
      <c r="CI878" s="15" t="s">
        <v>444</v>
      </c>
      <c r="CK878" s="15" t="s">
        <v>444</v>
      </c>
      <c r="CM878" s="15" t="s">
        <v>444</v>
      </c>
      <c r="CO878" s="15" t="s">
        <v>444</v>
      </c>
      <c r="CP878" s="15" t="str">
        <f>"32.28"</f>
        <v>32.28</v>
      </c>
      <c r="CQ878" s="15" t="str">
        <f>"0.914"</f>
        <v>0.914</v>
      </c>
      <c r="CR878" s="15" t="s">
        <v>1793</v>
      </c>
      <c r="DC878" s="15" t="str">
        <f>IFERROR(__xludf.DUMMYFUNCTION("""COMPUTED_VALUE"""),"")</f>
        <v/>
      </c>
      <c r="DE878" s="15" t="str">
        <f>IFERROR(__xludf.DUMMYFUNCTION("""COMPUTED_VALUE"""),"")</f>
        <v/>
      </c>
      <c r="DG878" s="15" t="str">
        <f>IFERROR(__xludf.DUMMYFUNCTION("""COMPUTED_VALUE"""),"")</f>
        <v/>
      </c>
      <c r="DK878" s="15" t="s">
        <v>718</v>
      </c>
      <c r="DL878" s="15" t="str">
        <f>IFERROR(__xludf.DUMMYFUNCTION("""COMPUTED_VALUE"""),"Vacuum or light brush only. Do not use water or any cleaning products.")</f>
        <v>Vacuum or light brush only. Do not use water or any cleaning products.</v>
      </c>
      <c r="DM878" s="15" t="s">
        <v>719</v>
      </c>
      <c r="DN878" s="15" t="s">
        <v>419</v>
      </c>
      <c r="DO878" s="15">
        <v>0.0</v>
      </c>
      <c r="DP878" s="15" t="s">
        <v>419</v>
      </c>
      <c r="DR878" s="15">
        <v>0.0</v>
      </c>
      <c r="DT878" s="15" t="s">
        <v>1186</v>
      </c>
      <c r="DU878" s="15" t="s">
        <v>419</v>
      </c>
      <c r="DW878" s="15">
        <v>0.0</v>
      </c>
      <c r="DX878" s="15">
        <v>0.0</v>
      </c>
      <c r="DY878" s="15">
        <v>0.0</v>
      </c>
      <c r="DZ878" s="15">
        <v>0.0</v>
      </c>
      <c r="EG878" s="15" t="s">
        <v>444</v>
      </c>
      <c r="EH878" s="15" t="s">
        <v>8997</v>
      </c>
      <c r="EJ878" s="15" t="s">
        <v>858</v>
      </c>
      <c r="EK878" s="15" t="s">
        <v>859</v>
      </c>
      <c r="EM878" s="15" t="str">
        <f>IFERROR(__xludf.DUMMYFUNCTION("""COMPUTED_VALUE"""),"")</f>
        <v/>
      </c>
      <c r="FM878" s="15">
        <v>0.0</v>
      </c>
      <c r="IM878" s="15" t="s">
        <v>5304</v>
      </c>
      <c r="IN878" s="15" t="s">
        <v>5304</v>
      </c>
      <c r="IO878" s="15" t="s">
        <v>5304</v>
      </c>
      <c r="IP878" s="15" t="s">
        <v>555</v>
      </c>
      <c r="IQ878" s="15" t="s">
        <v>6267</v>
      </c>
      <c r="IR878" s="15" t="s">
        <v>6554</v>
      </c>
      <c r="IS878" s="15" t="s">
        <v>8999</v>
      </c>
      <c r="IT878" s="15" t="s">
        <v>6267</v>
      </c>
      <c r="IU878" s="15" t="s">
        <v>6554</v>
      </c>
      <c r="IV878" s="15" t="s">
        <v>2971</v>
      </c>
      <c r="IW878" s="15" t="s">
        <v>1957</v>
      </c>
      <c r="IX878" s="15" t="s">
        <v>869</v>
      </c>
      <c r="IY878" s="15" t="s">
        <v>762</v>
      </c>
      <c r="IZ878" s="15" t="s">
        <v>9000</v>
      </c>
      <c r="JA878" s="15" t="s">
        <v>784</v>
      </c>
      <c r="JB878" s="15" t="s">
        <v>426</v>
      </c>
      <c r="JC878" s="15" t="s">
        <v>2471</v>
      </c>
      <c r="JD878" s="15" t="s">
        <v>872</v>
      </c>
      <c r="JE878" s="15" t="s">
        <v>873</v>
      </c>
      <c r="JF878" s="15" t="s">
        <v>828</v>
      </c>
      <c r="JL878" s="15" t="s">
        <v>759</v>
      </c>
      <c r="JM878" s="15" t="s">
        <v>5059</v>
      </c>
      <c r="JN878" s="15" t="s">
        <v>759</v>
      </c>
      <c r="JO878" s="15" t="s">
        <v>426</v>
      </c>
      <c r="JP878" s="15" t="s">
        <v>2474</v>
      </c>
    </row>
    <row r="879" ht="15.75" customHeight="1">
      <c r="A879" s="14" t="s">
        <v>391</v>
      </c>
      <c r="B879" s="15" t="s">
        <v>8988</v>
      </c>
      <c r="C879" s="16"/>
      <c r="D879" s="15" t="s">
        <v>432</v>
      </c>
      <c r="G879" s="14" t="s">
        <v>393</v>
      </c>
      <c r="H879" s="14" t="s">
        <v>394</v>
      </c>
      <c r="I879" s="14" t="b">
        <v>1</v>
      </c>
      <c r="J879" s="14" t="s">
        <v>395</v>
      </c>
      <c r="L879" s="14" t="b">
        <v>0</v>
      </c>
      <c r="M879" s="15" t="s">
        <v>9018</v>
      </c>
      <c r="N879" s="14" t="s">
        <v>393</v>
      </c>
      <c r="O879" s="14" t="s">
        <v>393</v>
      </c>
      <c r="P879" s="15" t="s">
        <v>397</v>
      </c>
      <c r="Q879" s="15" t="s">
        <v>9019</v>
      </c>
      <c r="T879" s="14" t="b">
        <v>0</v>
      </c>
      <c r="U879" s="15" t="s">
        <v>9020</v>
      </c>
      <c r="V879" s="15" t="s">
        <v>8991</v>
      </c>
      <c r="W879" s="15" t="s">
        <v>401</v>
      </c>
      <c r="X879" s="15" t="s">
        <v>742</v>
      </c>
      <c r="Y879" s="15">
        <v>2522.0</v>
      </c>
      <c r="AA879" s="15" t="str">
        <f>"970"</f>
        <v>970</v>
      </c>
      <c r="AB879" s="14" t="b">
        <v>1</v>
      </c>
      <c r="AC879" s="14" t="b">
        <v>1</v>
      </c>
      <c r="AD879" s="15" t="str">
        <f>"801542170387"</f>
        <v>801542170387</v>
      </c>
      <c r="AE879" s="15" t="s">
        <v>9021</v>
      </c>
      <c r="AF879" s="14" t="s">
        <v>404</v>
      </c>
      <c r="AG879" s="14" t="s">
        <v>405</v>
      </c>
      <c r="AH879" s="14" t="s">
        <v>406</v>
      </c>
      <c r="AI879" s="15">
        <v>0.0</v>
      </c>
      <c r="AL879" s="15" t="s">
        <v>1341</v>
      </c>
      <c r="AM879" s="15" t="s">
        <v>8994</v>
      </c>
      <c r="AN879" s="15" t="s">
        <v>8995</v>
      </c>
      <c r="AO879" s="15" t="s">
        <v>1450</v>
      </c>
      <c r="AP879" s="15" t="s">
        <v>1451</v>
      </c>
      <c r="AQ879" s="15" t="s">
        <v>2675</v>
      </c>
      <c r="AR879" s="15" t="s">
        <v>2676</v>
      </c>
      <c r="AS879" s="15" t="s">
        <v>2063</v>
      </c>
      <c r="AT879" s="15" t="s">
        <v>9019</v>
      </c>
      <c r="AU879" s="15" t="s">
        <v>9016</v>
      </c>
      <c r="AW879" s="15" t="s">
        <v>839</v>
      </c>
      <c r="AX879" s="15" t="s">
        <v>877</v>
      </c>
      <c r="AY879" s="15" t="s">
        <v>413</v>
      </c>
      <c r="AZ879" s="15" t="b">
        <v>0</v>
      </c>
      <c r="BA879" s="15" t="s">
        <v>413</v>
      </c>
      <c r="BB879" s="15" t="b">
        <v>0</v>
      </c>
      <c r="BC879" s="15" t="s">
        <v>9017</v>
      </c>
      <c r="BD879" s="15" t="s">
        <v>742</v>
      </c>
      <c r="BE879" s="15" t="str">
        <f t="shared" si="1536"/>
        <v>2</v>
      </c>
      <c r="BF879" s="15" t="s">
        <v>8996</v>
      </c>
      <c r="BG879" s="15" t="str">
        <f>"68.5"</f>
        <v>68.5</v>
      </c>
      <c r="BH879" s="15" t="s">
        <v>3121</v>
      </c>
      <c r="BI879" s="15" t="str">
        <f t="shared" si="1547"/>
        <v>58.07</v>
      </c>
      <c r="BJ879" s="15" t="s">
        <v>1542</v>
      </c>
      <c r="BK879" s="15" t="str">
        <f t="shared" si="1548"/>
        <v>8.86</v>
      </c>
      <c r="BL879" s="15" t="s">
        <v>7919</v>
      </c>
      <c r="BM879" s="15" t="str">
        <f>"110.23"</f>
        <v>110.23</v>
      </c>
      <c r="BN879" s="15" t="s">
        <v>1131</v>
      </c>
      <c r="BO879" s="15" t="s">
        <v>8996</v>
      </c>
      <c r="BP879" s="15" t="str">
        <f t="shared" si="1539"/>
        <v>84.65</v>
      </c>
      <c r="BQ879" s="15" t="s">
        <v>852</v>
      </c>
      <c r="BR879" s="15" t="str">
        <f t="shared" si="1540"/>
        <v>14.96</v>
      </c>
      <c r="BS879" s="15" t="s">
        <v>5362</v>
      </c>
      <c r="BT879" s="15" t="str">
        <f t="shared" si="1541"/>
        <v>9.65</v>
      </c>
      <c r="BU879" s="15" t="s">
        <v>5182</v>
      </c>
      <c r="BV879" s="15" t="str">
        <f>"82.67"</f>
        <v>82.67</v>
      </c>
      <c r="BW879" s="15" t="s">
        <v>1781</v>
      </c>
      <c r="BZ879" s="15" t="s">
        <v>444</v>
      </c>
      <c r="CB879" s="15" t="s">
        <v>444</v>
      </c>
      <c r="CD879" s="15" t="s">
        <v>444</v>
      </c>
      <c r="CF879" s="15" t="s">
        <v>444</v>
      </c>
      <c r="CI879" s="15" t="s">
        <v>444</v>
      </c>
      <c r="CK879" s="15" t="s">
        <v>444</v>
      </c>
      <c r="CM879" s="15" t="s">
        <v>444</v>
      </c>
      <c r="CO879" s="15" t="s">
        <v>444</v>
      </c>
      <c r="CP879" s="15" t="str">
        <f>"27.44"</f>
        <v>27.44</v>
      </c>
      <c r="CQ879" s="15" t="str">
        <f>"0.777"</f>
        <v>0.777</v>
      </c>
      <c r="CR879" s="15" t="s">
        <v>497</v>
      </c>
      <c r="DC879" s="15" t="str">
        <f>IFERROR(__xludf.DUMMYFUNCTION("""COMPUTED_VALUE"""),"")</f>
        <v/>
      </c>
      <c r="DE879" s="15" t="str">
        <f>IFERROR(__xludf.DUMMYFUNCTION("""COMPUTED_VALUE"""),"")</f>
        <v/>
      </c>
      <c r="DG879" s="15" t="str">
        <f>IFERROR(__xludf.DUMMYFUNCTION("""COMPUTED_VALUE"""),"")</f>
        <v/>
      </c>
      <c r="DK879" s="15" t="s">
        <v>718</v>
      </c>
      <c r="DL879" s="15" t="str">
        <f>IFERROR(__xludf.DUMMYFUNCTION("""COMPUTED_VALUE"""),"Vacuum or light brush only. Do not use water or any cleaning products.")</f>
        <v>Vacuum or light brush only. Do not use water or any cleaning products.</v>
      </c>
      <c r="DM879" s="15" t="s">
        <v>719</v>
      </c>
      <c r="DN879" s="15" t="s">
        <v>419</v>
      </c>
      <c r="DO879" s="15">
        <v>0.0</v>
      </c>
      <c r="DP879" s="15" t="s">
        <v>419</v>
      </c>
      <c r="DR879" s="15">
        <v>0.0</v>
      </c>
      <c r="DT879" s="15" t="s">
        <v>1186</v>
      </c>
      <c r="DU879" s="15" t="s">
        <v>419</v>
      </c>
      <c r="DW879" s="15">
        <v>0.0</v>
      </c>
      <c r="DX879" s="15">
        <v>0.0</v>
      </c>
      <c r="DY879" s="15">
        <v>0.0</v>
      </c>
      <c r="DZ879" s="15">
        <v>0.0</v>
      </c>
      <c r="EG879" s="15" t="s">
        <v>444</v>
      </c>
      <c r="EH879" s="15" t="s">
        <v>8997</v>
      </c>
      <c r="EJ879" s="15" t="s">
        <v>858</v>
      </c>
      <c r="EK879" s="15" t="s">
        <v>859</v>
      </c>
      <c r="EM879" s="15" t="str">
        <f>IFERROR(__xludf.DUMMYFUNCTION("""COMPUTED_VALUE"""),"")</f>
        <v/>
      </c>
      <c r="FM879" s="15">
        <v>0.0</v>
      </c>
      <c r="IM879" s="15" t="s">
        <v>5304</v>
      </c>
      <c r="IN879" s="15" t="s">
        <v>5304</v>
      </c>
      <c r="IO879" s="15" t="s">
        <v>5304</v>
      </c>
      <c r="IP879" s="15" t="s">
        <v>555</v>
      </c>
      <c r="IQ879" s="15" t="s">
        <v>6267</v>
      </c>
      <c r="IR879" s="15" t="s">
        <v>8998</v>
      </c>
      <c r="IS879" s="15" t="s">
        <v>8999</v>
      </c>
      <c r="IT879" s="15" t="s">
        <v>6267</v>
      </c>
      <c r="IU879" s="15" t="s">
        <v>8998</v>
      </c>
      <c r="IV879" s="15" t="s">
        <v>2971</v>
      </c>
      <c r="IW879" s="15" t="s">
        <v>1957</v>
      </c>
      <c r="IX879" s="15" t="s">
        <v>5852</v>
      </c>
      <c r="IY879" s="15" t="s">
        <v>762</v>
      </c>
      <c r="IZ879" s="15" t="s">
        <v>9000</v>
      </c>
      <c r="JA879" s="15" t="s">
        <v>784</v>
      </c>
      <c r="JB879" s="15" t="s">
        <v>426</v>
      </c>
      <c r="JC879" s="15" t="s">
        <v>2471</v>
      </c>
      <c r="JD879" s="15" t="s">
        <v>872</v>
      </c>
      <c r="JE879" s="15" t="s">
        <v>873</v>
      </c>
      <c r="JF879" s="15" t="s">
        <v>877</v>
      </c>
      <c r="JL879" s="15" t="s">
        <v>759</v>
      </c>
      <c r="JM879" s="15" t="s">
        <v>5059</v>
      </c>
      <c r="JN879" s="15" t="s">
        <v>759</v>
      </c>
      <c r="JO879" s="15" t="s">
        <v>426</v>
      </c>
      <c r="JP879" s="15" t="s">
        <v>2474</v>
      </c>
    </row>
    <row r="880" ht="15.75" customHeight="1">
      <c r="A880" s="14" t="s">
        <v>391</v>
      </c>
      <c r="B880" s="15" t="s">
        <v>9022</v>
      </c>
      <c r="C880" s="16"/>
      <c r="D880" s="15" t="s">
        <v>432</v>
      </c>
      <c r="G880" s="14" t="s">
        <v>393</v>
      </c>
      <c r="H880" s="14" t="s">
        <v>394</v>
      </c>
      <c r="I880" s="14" t="b">
        <v>1</v>
      </c>
      <c r="J880" s="14" t="s">
        <v>395</v>
      </c>
      <c r="L880" s="14" t="b">
        <v>0</v>
      </c>
      <c r="M880" s="15" t="s">
        <v>9023</v>
      </c>
      <c r="N880" s="14" t="s">
        <v>393</v>
      </c>
      <c r="O880" s="14" t="s">
        <v>393</v>
      </c>
      <c r="P880" s="15" t="s">
        <v>397</v>
      </c>
      <c r="Q880" s="15" t="s">
        <v>9024</v>
      </c>
      <c r="T880" s="14" t="b">
        <v>0</v>
      </c>
      <c r="U880" s="15" t="s">
        <v>9025</v>
      </c>
      <c r="V880" s="15" t="s">
        <v>1843</v>
      </c>
      <c r="W880" s="15" t="s">
        <v>401</v>
      </c>
      <c r="X880" s="15" t="s">
        <v>695</v>
      </c>
      <c r="Y880" s="15">
        <v>2080.0</v>
      </c>
      <c r="AA880" s="15" t="str">
        <f>"800"</f>
        <v>800</v>
      </c>
      <c r="AB880" s="14" t="b">
        <v>1</v>
      </c>
      <c r="AC880" s="14" t="b">
        <v>1</v>
      </c>
      <c r="AD880" s="15" t="str">
        <f>"801542827915"</f>
        <v>801542827915</v>
      </c>
      <c r="AE880" s="15" t="s">
        <v>9026</v>
      </c>
      <c r="AF880" s="14" t="s">
        <v>404</v>
      </c>
      <c r="AG880" s="14" t="s">
        <v>405</v>
      </c>
      <c r="AH880" s="14" t="s">
        <v>406</v>
      </c>
      <c r="AI880" s="15">
        <v>0.0</v>
      </c>
      <c r="AL880" s="15" t="s">
        <v>1600</v>
      </c>
      <c r="AM880" s="15" t="s">
        <v>2557</v>
      </c>
      <c r="AN880" s="15" t="s">
        <v>2558</v>
      </c>
      <c r="AO880" s="15" t="s">
        <v>622</v>
      </c>
      <c r="AP880" s="15" t="s">
        <v>623</v>
      </c>
      <c r="AQ880" s="15" t="s">
        <v>1085</v>
      </c>
      <c r="AR880" s="15" t="s">
        <v>1086</v>
      </c>
      <c r="AS880" s="15" t="s">
        <v>915</v>
      </c>
      <c r="AT880" s="15" t="s">
        <v>9024</v>
      </c>
      <c r="AW880" s="15" t="s">
        <v>706</v>
      </c>
      <c r="AX880" s="15" t="s">
        <v>707</v>
      </c>
      <c r="AY880" s="15" t="s">
        <v>413</v>
      </c>
      <c r="AZ880" s="15" t="b">
        <v>0</v>
      </c>
      <c r="BA880" s="15" t="s">
        <v>413</v>
      </c>
      <c r="BB880" s="15" t="b">
        <v>0</v>
      </c>
      <c r="BC880" s="15" t="s">
        <v>9027</v>
      </c>
      <c r="BD880" s="15" t="s">
        <v>709</v>
      </c>
      <c r="BE880" s="15" t="str">
        <f t="shared" ref="BE880:BE882" si="1549">"1"</f>
        <v>1</v>
      </c>
      <c r="BF880" s="15" t="s">
        <v>416</v>
      </c>
      <c r="BG880" s="15" t="str">
        <f>"43.31"</f>
        <v>43.31</v>
      </c>
      <c r="BH880" s="15" t="s">
        <v>3446</v>
      </c>
      <c r="BI880" s="15" t="str">
        <f>"37.8"</f>
        <v>37.8</v>
      </c>
      <c r="BJ880" s="15" t="s">
        <v>756</v>
      </c>
      <c r="BK880" s="15" t="str">
        <f>"29.92"</f>
        <v>29.92</v>
      </c>
      <c r="BL880" s="15" t="s">
        <v>1321</v>
      </c>
      <c r="BM880" s="15" t="str">
        <f>"92.59"</f>
        <v>92.59</v>
      </c>
      <c r="BN880" s="15" t="s">
        <v>3348</v>
      </c>
      <c r="BQ880" s="15" t="s">
        <v>444</v>
      </c>
      <c r="BS880" s="15" t="s">
        <v>444</v>
      </c>
      <c r="BU880" s="15" t="s">
        <v>444</v>
      </c>
      <c r="BW880" s="15" t="s">
        <v>444</v>
      </c>
      <c r="BZ880" s="15" t="s">
        <v>444</v>
      </c>
      <c r="CB880" s="15" t="s">
        <v>444</v>
      </c>
      <c r="CD880" s="15" t="s">
        <v>444</v>
      </c>
      <c r="CF880" s="15" t="s">
        <v>444</v>
      </c>
      <c r="CI880" s="15" t="s">
        <v>444</v>
      </c>
      <c r="CK880" s="15" t="s">
        <v>444</v>
      </c>
      <c r="CM880" s="15" t="s">
        <v>444</v>
      </c>
      <c r="CO880" s="15" t="s">
        <v>444</v>
      </c>
      <c r="CP880" s="15" t="str">
        <f>"28.36"</f>
        <v>28.36</v>
      </c>
      <c r="CQ880" s="15" t="str">
        <f>"0.803"</f>
        <v>0.803</v>
      </c>
      <c r="CR880" s="15" t="s">
        <v>465</v>
      </c>
      <c r="DB880" s="15" t="s">
        <v>1286</v>
      </c>
      <c r="DC880" s="15" t="str">
        <f>IFERROR(__xludf.DUMMYFUNCTION("""COMPUTED_VALUE"""),"{""value"":23.50,""unit"":""in""}")</f>
        <v>{"value":23.50,"unit":"in"}</v>
      </c>
      <c r="DD880" s="15" t="s">
        <v>467</v>
      </c>
      <c r="DE880" s="15" t="str">
        <f>IFERROR(__xludf.DUMMYFUNCTION("""COMPUTED_VALUE"""),"{""value"":19.00,""unit"":""in""}")</f>
        <v>{"value":19.00,"unit":"in"}</v>
      </c>
      <c r="DG880" s="15" t="str">
        <f>IFERROR(__xludf.DUMMYFUNCTION("""COMPUTED_VALUE"""),"")</f>
        <v/>
      </c>
      <c r="DH880" s="15">
        <v>0.0</v>
      </c>
      <c r="DI880" s="15">
        <v>0.0</v>
      </c>
      <c r="DJ880" s="15" t="s">
        <v>717</v>
      </c>
      <c r="DK880" s="15" t="s">
        <v>718</v>
      </c>
      <c r="DL880" s="15" t="str">
        <f>IFERROR(__xludf.DUMMYFUNCTION("""COMPUTED_VALUE"""),"Vacuum or light brush only. Do not use water or any cleaning products.")</f>
        <v>Vacuum or light brush only. Do not use water or any cleaning products.</v>
      </c>
      <c r="DM880" s="15" t="s">
        <v>719</v>
      </c>
      <c r="DQ880" s="15" t="s">
        <v>9028</v>
      </c>
      <c r="DT880" s="15" t="s">
        <v>721</v>
      </c>
      <c r="DU880" s="15" t="s">
        <v>1605</v>
      </c>
      <c r="DV880" s="15">
        <v>0.0</v>
      </c>
      <c r="DZ880" s="15">
        <v>0.0</v>
      </c>
      <c r="EA880" s="15" t="s">
        <v>990</v>
      </c>
      <c r="EB880" s="15" t="s">
        <v>723</v>
      </c>
      <c r="ED880" s="15">
        <v>1.0</v>
      </c>
      <c r="EE880" s="15">
        <v>1.0</v>
      </c>
      <c r="EG880" s="15" t="s">
        <v>444</v>
      </c>
      <c r="EH880" s="15" t="s">
        <v>9029</v>
      </c>
      <c r="EI880" s="15">
        <v>0.0</v>
      </c>
      <c r="EJ880" s="15" t="s">
        <v>726</v>
      </c>
      <c r="EK880" s="15" t="s">
        <v>727</v>
      </c>
      <c r="EL880" s="15" t="s">
        <v>525</v>
      </c>
      <c r="EM880" s="15" t="str">
        <f>IFERROR(__xludf.DUMMYFUNCTION("""COMPUTED_VALUE"""),"{""value"":23.00,""unit"":""in""}")</f>
        <v>{"value":23.00,"unit":"in"}</v>
      </c>
      <c r="EN880" s="15" t="s">
        <v>477</v>
      </c>
      <c r="EO880" s="15" t="s">
        <v>1806</v>
      </c>
      <c r="ES880" s="15" t="s">
        <v>475</v>
      </c>
      <c r="EZ880" s="15" t="s">
        <v>475</v>
      </c>
      <c r="FF880" s="15" t="s">
        <v>1290</v>
      </c>
      <c r="FO880" s="15" t="s">
        <v>1065</v>
      </c>
      <c r="FP880" s="15" t="s">
        <v>1064</v>
      </c>
      <c r="FQ880" s="15">
        <v>0.0</v>
      </c>
      <c r="FR880" s="15">
        <v>0.0</v>
      </c>
      <c r="FT880" s="15">
        <v>0.0</v>
      </c>
      <c r="IL880" s="15" t="s">
        <v>1610</v>
      </c>
    </row>
    <row r="881" ht="15.75" customHeight="1">
      <c r="A881" s="14" t="s">
        <v>391</v>
      </c>
      <c r="B881" s="15" t="s">
        <v>9030</v>
      </c>
      <c r="C881" s="16"/>
      <c r="D881" s="15" t="s">
        <v>432</v>
      </c>
      <c r="G881" s="14" t="s">
        <v>393</v>
      </c>
      <c r="H881" s="14" t="s">
        <v>394</v>
      </c>
      <c r="I881" s="14" t="b">
        <v>1</v>
      </c>
      <c r="J881" s="14" t="s">
        <v>395</v>
      </c>
      <c r="L881" s="14" t="b">
        <v>0</v>
      </c>
      <c r="M881" s="15" t="s">
        <v>9031</v>
      </c>
      <c r="N881" s="14" t="s">
        <v>393</v>
      </c>
      <c r="O881" s="14" t="s">
        <v>393</v>
      </c>
      <c r="P881" s="15" t="s">
        <v>397</v>
      </c>
      <c r="Q881" s="15" t="s">
        <v>9032</v>
      </c>
      <c r="T881" s="14" t="b">
        <v>0</v>
      </c>
      <c r="U881" s="15" t="s">
        <v>9033</v>
      </c>
      <c r="V881" s="15" t="s">
        <v>9034</v>
      </c>
      <c r="W881" s="15" t="s">
        <v>401</v>
      </c>
      <c r="X881" s="15" t="s">
        <v>742</v>
      </c>
      <c r="Y881" s="15">
        <v>3939.0</v>
      </c>
      <c r="AA881" s="15" t="str">
        <f>"1515"</f>
        <v>1515</v>
      </c>
      <c r="AB881" s="14" t="b">
        <v>1</v>
      </c>
      <c r="AC881" s="14" t="b">
        <v>1</v>
      </c>
      <c r="AD881" s="15" t="str">
        <f>"801542806026"</f>
        <v>801542806026</v>
      </c>
      <c r="AE881" s="15" t="s">
        <v>9035</v>
      </c>
      <c r="AF881" s="14" t="s">
        <v>404</v>
      </c>
      <c r="AG881" s="14" t="s">
        <v>405</v>
      </c>
      <c r="AH881" s="14" t="s">
        <v>406</v>
      </c>
      <c r="AI881" s="15">
        <v>0.0</v>
      </c>
      <c r="AL881" s="15" t="s">
        <v>2491</v>
      </c>
      <c r="AM881" s="15" t="s">
        <v>4614</v>
      </c>
      <c r="AN881" s="15" t="s">
        <v>4615</v>
      </c>
      <c r="AO881" s="15" t="s">
        <v>3442</v>
      </c>
      <c r="AP881" s="15" t="s">
        <v>3443</v>
      </c>
      <c r="AQ881" s="15" t="s">
        <v>2306</v>
      </c>
      <c r="AR881" s="15" t="s">
        <v>2307</v>
      </c>
      <c r="AS881" s="15" t="s">
        <v>2759</v>
      </c>
      <c r="AT881" s="15" t="s">
        <v>9032</v>
      </c>
      <c r="AU881" s="15" t="s">
        <v>2760</v>
      </c>
      <c r="AV881" s="15" t="s">
        <v>7054</v>
      </c>
      <c r="AW881" s="15" t="s">
        <v>706</v>
      </c>
      <c r="AX881" s="15" t="s">
        <v>707</v>
      </c>
      <c r="AY881" s="15" t="s">
        <v>413</v>
      </c>
      <c r="AZ881" s="15" t="b">
        <v>0</v>
      </c>
      <c r="BA881" s="15" t="s">
        <v>413</v>
      </c>
      <c r="BB881" s="15" t="b">
        <v>0</v>
      </c>
      <c r="BC881" s="15" t="s">
        <v>9036</v>
      </c>
      <c r="BD881" s="15" t="s">
        <v>742</v>
      </c>
      <c r="BE881" s="15" t="str">
        <f t="shared" si="1549"/>
        <v>1</v>
      </c>
      <c r="BF881" s="15" t="s">
        <v>416</v>
      </c>
      <c r="BG881" s="15" t="str">
        <f>"45.87"</f>
        <v>45.87</v>
      </c>
      <c r="BH881" s="15" t="s">
        <v>9037</v>
      </c>
      <c r="BI881" s="15" t="str">
        <f>"43.31"</f>
        <v>43.31</v>
      </c>
      <c r="BJ881" s="15" t="s">
        <v>3446</v>
      </c>
      <c r="BK881" s="15" t="str">
        <f>"36.22"</f>
        <v>36.22</v>
      </c>
      <c r="BL881" s="15" t="s">
        <v>1779</v>
      </c>
      <c r="BM881" s="15" t="str">
        <f>"154.98"</f>
        <v>154.98</v>
      </c>
      <c r="BN881" s="15" t="s">
        <v>9038</v>
      </c>
      <c r="BQ881" s="15" t="s">
        <v>444</v>
      </c>
      <c r="BS881" s="15" t="s">
        <v>444</v>
      </c>
      <c r="BU881" s="15" t="s">
        <v>444</v>
      </c>
      <c r="BW881" s="15" t="s">
        <v>444</v>
      </c>
      <c r="BZ881" s="15" t="s">
        <v>444</v>
      </c>
      <c r="CB881" s="15" t="s">
        <v>444</v>
      </c>
      <c r="CD881" s="15" t="s">
        <v>444</v>
      </c>
      <c r="CF881" s="15" t="s">
        <v>444</v>
      </c>
      <c r="CI881" s="15" t="s">
        <v>444</v>
      </c>
      <c r="CK881" s="15" t="s">
        <v>444</v>
      </c>
      <c r="CM881" s="15" t="s">
        <v>444</v>
      </c>
      <c r="CO881" s="15" t="s">
        <v>444</v>
      </c>
      <c r="CP881" s="15" t="str">
        <f>"41.64"</f>
        <v>41.64</v>
      </c>
      <c r="CQ881" s="15" t="str">
        <f>"1.179"</f>
        <v>1.179</v>
      </c>
      <c r="CR881" s="15" t="s">
        <v>417</v>
      </c>
      <c r="DB881" s="15" t="s">
        <v>3927</v>
      </c>
      <c r="DC881" s="15" t="str">
        <f>IFERROR(__xludf.DUMMYFUNCTION("""COMPUTED_VALUE"""),"{""value"":22.44,""unit"":""in""}")</f>
        <v>{"value":22.44,"unit":"in"}</v>
      </c>
      <c r="DD881" s="15" t="s">
        <v>1604</v>
      </c>
      <c r="DE881" s="15" t="str">
        <f>IFERROR(__xludf.DUMMYFUNCTION("""COMPUTED_VALUE"""),"{""value"":16.93,""unit"":""in""}")</f>
        <v>{"value":16.93,"unit":"in"}</v>
      </c>
      <c r="DF881" s="15" t="s">
        <v>1488</v>
      </c>
      <c r="DG881" s="15" t="str">
        <f>IFERROR(__xludf.DUMMYFUNCTION("""COMPUTED_VALUE"""),"{""value"":20.87,""unit"":""in""}")</f>
        <v>{"value":20.87,"unit":"in"}</v>
      </c>
      <c r="DH881" s="15">
        <v>0.0</v>
      </c>
      <c r="DI881" s="15">
        <v>0.0</v>
      </c>
      <c r="DJ881" s="15" t="s">
        <v>717</v>
      </c>
      <c r="DK881" s="15" t="s">
        <v>718</v>
      </c>
      <c r="DL881" s="15" t="str">
        <f>IFERROR(__xludf.DUMMYFUNCTION("""COMPUTED_VALUE"""),"Vacuum or light brush only. Do not use water or any cleaning products.")</f>
        <v>Vacuum or light brush only. Do not use water or any cleaning products.</v>
      </c>
      <c r="DM881" s="15" t="s">
        <v>719</v>
      </c>
      <c r="DU881" s="15" t="s">
        <v>419</v>
      </c>
      <c r="DV881" s="15">
        <v>0.0</v>
      </c>
      <c r="DZ881" s="15">
        <v>0.0</v>
      </c>
      <c r="EA881" s="15" t="s">
        <v>3384</v>
      </c>
      <c r="ED881" s="15">
        <v>0.0</v>
      </c>
      <c r="EE881" s="15">
        <v>1.0</v>
      </c>
      <c r="EG881" s="15" t="s">
        <v>444</v>
      </c>
      <c r="EH881" s="15" t="s">
        <v>9039</v>
      </c>
      <c r="EI881" s="15">
        <v>0.0</v>
      </c>
      <c r="EJ881" s="15" t="s">
        <v>726</v>
      </c>
      <c r="EK881" s="15" t="s">
        <v>727</v>
      </c>
      <c r="EL881" s="15" t="s">
        <v>2647</v>
      </c>
      <c r="EM881" s="15" t="str">
        <f>IFERROR(__xludf.DUMMYFUNCTION("""COMPUTED_VALUE"""),"{""value"":25.20,""unit"":""in""}")</f>
        <v>{"value":25.20,"unit":"in"}</v>
      </c>
      <c r="EN881" s="15" t="s">
        <v>2841</v>
      </c>
      <c r="EO881" s="15" t="s">
        <v>3512</v>
      </c>
      <c r="ES881" s="15" t="s">
        <v>7417</v>
      </c>
      <c r="EW881" s="15" t="s">
        <v>5055</v>
      </c>
      <c r="EX881" s="15" t="s">
        <v>2019</v>
      </c>
      <c r="EY881" s="15" t="s">
        <v>9040</v>
      </c>
      <c r="EZ881" s="15" t="s">
        <v>4470</v>
      </c>
      <c r="FL881" s="15" t="s">
        <v>426</v>
      </c>
      <c r="FO881" s="15" t="s">
        <v>2507</v>
      </c>
      <c r="FP881" s="15" t="s">
        <v>9041</v>
      </c>
      <c r="FQ881" s="15">
        <v>0.0</v>
      </c>
      <c r="FR881" s="15">
        <v>0.0</v>
      </c>
      <c r="FT881" s="15">
        <v>0.0</v>
      </c>
    </row>
    <row r="882" ht="15.75" customHeight="1">
      <c r="A882" s="14" t="s">
        <v>391</v>
      </c>
      <c r="B882" s="15" t="s">
        <v>9042</v>
      </c>
      <c r="C882" s="16"/>
      <c r="D882" s="15" t="s">
        <v>432</v>
      </c>
      <c r="G882" s="14" t="s">
        <v>393</v>
      </c>
      <c r="H882" s="14" t="s">
        <v>394</v>
      </c>
      <c r="I882" s="14" t="b">
        <v>1</v>
      </c>
      <c r="J882" s="14" t="s">
        <v>395</v>
      </c>
      <c r="L882" s="14" t="b">
        <v>0</v>
      </c>
      <c r="M882" s="15" t="s">
        <v>9043</v>
      </c>
      <c r="N882" s="14" t="s">
        <v>393</v>
      </c>
      <c r="O882" s="14" t="s">
        <v>393</v>
      </c>
      <c r="P882" s="15" t="s">
        <v>397</v>
      </c>
      <c r="Q882" s="15" t="s">
        <v>9044</v>
      </c>
      <c r="T882" s="14" t="b">
        <v>0</v>
      </c>
      <c r="U882" s="15" t="s">
        <v>9045</v>
      </c>
      <c r="V882" s="15" t="s">
        <v>5913</v>
      </c>
      <c r="W882" s="15" t="s">
        <v>401</v>
      </c>
      <c r="X882" s="15" t="s">
        <v>695</v>
      </c>
      <c r="Y882" s="15">
        <v>2626.0</v>
      </c>
      <c r="AA882" s="15" t="str">
        <f>"1010"</f>
        <v>1010</v>
      </c>
      <c r="AB882" s="14" t="b">
        <v>1</v>
      </c>
      <c r="AC882" s="14" t="b">
        <v>1</v>
      </c>
      <c r="AD882" s="15" t="str">
        <f>"198394067645"</f>
        <v>198394067645</v>
      </c>
      <c r="AE882" s="15" t="s">
        <v>9046</v>
      </c>
      <c r="AF882" s="14" t="s">
        <v>404</v>
      </c>
      <c r="AG882" s="14" t="s">
        <v>405</v>
      </c>
      <c r="AH882" s="14" t="s">
        <v>406</v>
      </c>
      <c r="AI882" s="15">
        <v>0.0</v>
      </c>
      <c r="AL882" s="15" t="s">
        <v>9047</v>
      </c>
      <c r="AM882" s="15" t="s">
        <v>2306</v>
      </c>
      <c r="AN882" s="15" t="s">
        <v>2307</v>
      </c>
      <c r="AO882" s="15" t="s">
        <v>9048</v>
      </c>
      <c r="AP882" s="15" t="s">
        <v>3590</v>
      </c>
      <c r="AQ882" s="15" t="s">
        <v>3396</v>
      </c>
      <c r="AR882" s="15" t="s">
        <v>2893</v>
      </c>
      <c r="AS882" s="15" t="s">
        <v>915</v>
      </c>
      <c r="AT882" s="15" t="s">
        <v>9044</v>
      </c>
      <c r="AU882" s="15" t="s">
        <v>978</v>
      </c>
      <c r="AW882" s="15" t="s">
        <v>706</v>
      </c>
      <c r="AX882" s="15" t="s">
        <v>707</v>
      </c>
      <c r="AY882" s="15" t="s">
        <v>413</v>
      </c>
      <c r="AZ882" s="15" t="b">
        <v>0</v>
      </c>
      <c r="BA882" s="15" t="s">
        <v>413</v>
      </c>
      <c r="BB882" s="15" t="b">
        <v>0</v>
      </c>
      <c r="BC882" s="15" t="s">
        <v>1227</v>
      </c>
      <c r="BD882" s="15" t="s">
        <v>709</v>
      </c>
      <c r="BE882" s="15" t="str">
        <f t="shared" si="1549"/>
        <v>1</v>
      </c>
      <c r="BF882" s="15" t="s">
        <v>1208</v>
      </c>
      <c r="BG882" s="15" t="str">
        <f>"31.1"</f>
        <v>31.1</v>
      </c>
      <c r="BH882" s="15" t="s">
        <v>1386</v>
      </c>
      <c r="BI882" s="15" t="str">
        <f>"42.91"</f>
        <v>42.91</v>
      </c>
      <c r="BJ882" s="15" t="s">
        <v>4755</v>
      </c>
      <c r="BK882" s="15" t="str">
        <f>"33.86"</f>
        <v>33.86</v>
      </c>
      <c r="BL882" s="15" t="s">
        <v>1209</v>
      </c>
      <c r="BM882" s="15" t="str">
        <f>"67.24"</f>
        <v>67.24</v>
      </c>
      <c r="BN882" s="15" t="s">
        <v>3589</v>
      </c>
      <c r="BQ882" s="15" t="s">
        <v>444</v>
      </c>
      <c r="BS882" s="15" t="s">
        <v>444</v>
      </c>
      <c r="BU882" s="15" t="s">
        <v>444</v>
      </c>
      <c r="BW882" s="15" t="s">
        <v>444</v>
      </c>
      <c r="BZ882" s="15" t="s">
        <v>444</v>
      </c>
      <c r="CB882" s="15" t="s">
        <v>444</v>
      </c>
      <c r="CD882" s="15" t="s">
        <v>444</v>
      </c>
      <c r="CF882" s="15" t="s">
        <v>444</v>
      </c>
      <c r="CI882" s="15" t="s">
        <v>444</v>
      </c>
      <c r="CK882" s="15" t="s">
        <v>444</v>
      </c>
      <c r="CM882" s="15" t="s">
        <v>444</v>
      </c>
      <c r="CO882" s="15" t="s">
        <v>444</v>
      </c>
      <c r="CP882" s="15" t="str">
        <f>"23.87"</f>
        <v>23.87</v>
      </c>
      <c r="CQ882" s="15" t="str">
        <f>"0.676"</f>
        <v>0.676</v>
      </c>
      <c r="CR882" s="15" t="s">
        <v>497</v>
      </c>
      <c r="DB882" s="15" t="s">
        <v>1211</v>
      </c>
      <c r="DC882" s="15" t="str">
        <f>IFERROR(__xludf.DUMMYFUNCTION("""COMPUTED_VALUE"""),"{""value"":24.00,""unit"":""in""}")</f>
        <v>{"value":24.00,"unit":"in"}</v>
      </c>
      <c r="DD882" s="15" t="s">
        <v>1065</v>
      </c>
      <c r="DE882" s="15" t="str">
        <f>IFERROR(__xludf.DUMMYFUNCTION("""COMPUTED_VALUE"""),"{""value"":18.00,""unit"":""in""}")</f>
        <v>{"value":18.00,"unit":"in"}</v>
      </c>
      <c r="DG882" s="15" t="str">
        <f>IFERROR(__xludf.DUMMYFUNCTION("""COMPUTED_VALUE"""),"")</f>
        <v/>
      </c>
      <c r="DH882" s="15">
        <v>0.0</v>
      </c>
      <c r="DI882" s="15">
        <v>0.0</v>
      </c>
      <c r="DJ882" s="15" t="s">
        <v>717</v>
      </c>
      <c r="DK882" s="15" t="s">
        <v>718</v>
      </c>
      <c r="DL882" s="15" t="str">
        <f>IFERROR(__xludf.DUMMYFUNCTION("""COMPUTED_VALUE"""),"Vacuum or light brush only. Do not use water or any cleaning products.")</f>
        <v>Vacuum or light brush only. Do not use water or any cleaning products.</v>
      </c>
      <c r="DM882" s="15" t="s">
        <v>719</v>
      </c>
      <c r="DT882" s="15" t="s">
        <v>989</v>
      </c>
      <c r="DU882" s="15" t="s">
        <v>419</v>
      </c>
      <c r="DV882" s="15">
        <v>0.0</v>
      </c>
      <c r="DZ882" s="15">
        <v>0.0</v>
      </c>
      <c r="EA882" s="15" t="s">
        <v>990</v>
      </c>
      <c r="ED882" s="15">
        <v>0.0</v>
      </c>
      <c r="EE882" s="15">
        <v>1.0</v>
      </c>
      <c r="EG882" s="15" t="s">
        <v>444</v>
      </c>
      <c r="EH882" s="15" t="s">
        <v>9049</v>
      </c>
      <c r="EI882" s="15">
        <v>0.0</v>
      </c>
      <c r="EJ882" s="15" t="s">
        <v>726</v>
      </c>
      <c r="EK882" s="15" t="s">
        <v>727</v>
      </c>
      <c r="EL882" s="15" t="s">
        <v>1212</v>
      </c>
      <c r="EM882" s="15" t="str">
        <f>IFERROR(__xludf.DUMMYFUNCTION("""COMPUTED_VALUE"""),"{""value"":25.50,""unit"":""in""}")</f>
        <v>{"value":25.50,"unit":"in"}</v>
      </c>
      <c r="EN882" s="15" t="s">
        <v>2547</v>
      </c>
      <c r="EO882" s="15" t="s">
        <v>1072</v>
      </c>
      <c r="ES882" s="15" t="s">
        <v>672</v>
      </c>
      <c r="EW882" s="15" t="s">
        <v>635</v>
      </c>
      <c r="EX882" s="15" t="s">
        <v>2840</v>
      </c>
      <c r="EY882" s="15" t="s">
        <v>1806</v>
      </c>
      <c r="EZ882" s="15" t="s">
        <v>1592</v>
      </c>
      <c r="FF882" s="15" t="s">
        <v>1239</v>
      </c>
      <c r="FO882" s="15" t="s">
        <v>1286</v>
      </c>
      <c r="FP882" s="15" t="s">
        <v>555</v>
      </c>
      <c r="FQ882" s="15">
        <v>0.0</v>
      </c>
      <c r="FR882" s="15">
        <v>0.0</v>
      </c>
      <c r="FT882" s="15">
        <v>0.0</v>
      </c>
    </row>
    <row r="883" ht="15.75" customHeight="1">
      <c r="A883" s="14" t="s">
        <v>391</v>
      </c>
      <c r="B883" s="15" t="s">
        <v>9050</v>
      </c>
      <c r="C883" s="16"/>
      <c r="D883" s="15" t="s">
        <v>432</v>
      </c>
      <c r="G883" s="14" t="s">
        <v>393</v>
      </c>
      <c r="H883" s="14" t="s">
        <v>394</v>
      </c>
      <c r="I883" s="14" t="b">
        <v>1</v>
      </c>
      <c r="J883" s="14" t="s">
        <v>395</v>
      </c>
      <c r="L883" s="14" t="b">
        <v>0</v>
      </c>
      <c r="M883" s="15" t="s">
        <v>9051</v>
      </c>
      <c r="N883" s="14" t="s">
        <v>393</v>
      </c>
      <c r="O883" s="14" t="s">
        <v>393</v>
      </c>
      <c r="P883" s="15" t="s">
        <v>397</v>
      </c>
      <c r="Q883" s="15" t="s">
        <v>9052</v>
      </c>
      <c r="R883" s="15" t="s">
        <v>265</v>
      </c>
      <c r="S883" s="15" t="s">
        <v>2557</v>
      </c>
      <c r="T883" s="14" t="b">
        <v>0</v>
      </c>
      <c r="U883" s="15" t="s">
        <v>9053</v>
      </c>
      <c r="V883" s="15" t="s">
        <v>9054</v>
      </c>
      <c r="W883" s="15" t="s">
        <v>401</v>
      </c>
      <c r="X883" s="15" t="s">
        <v>1296</v>
      </c>
      <c r="Y883" s="15">
        <v>1313.0</v>
      </c>
      <c r="AA883" s="15" t="str">
        <f>"505"</f>
        <v>505</v>
      </c>
      <c r="AB883" s="14" t="b">
        <v>1</v>
      </c>
      <c r="AC883" s="14" t="b">
        <v>1</v>
      </c>
      <c r="AD883" s="15" t="str">
        <f>"801542642471"</f>
        <v>801542642471</v>
      </c>
      <c r="AE883" s="15" t="s">
        <v>9055</v>
      </c>
      <c r="AF883" s="14" t="s">
        <v>404</v>
      </c>
      <c r="AG883" s="14" t="s">
        <v>405</v>
      </c>
      <c r="AH883" s="14" t="s">
        <v>406</v>
      </c>
      <c r="AI883" s="15">
        <v>0.0</v>
      </c>
      <c r="AL883" s="15" t="s">
        <v>9056</v>
      </c>
      <c r="AM883" s="15" t="s">
        <v>452</v>
      </c>
      <c r="AN883" s="15" t="s">
        <v>453</v>
      </c>
      <c r="AO883" s="15" t="s">
        <v>1085</v>
      </c>
      <c r="AP883" s="15" t="s">
        <v>1086</v>
      </c>
      <c r="AQ883" s="15" t="s">
        <v>2557</v>
      </c>
      <c r="AR883" s="15" t="s">
        <v>2558</v>
      </c>
      <c r="AS883" s="15" t="s">
        <v>2231</v>
      </c>
      <c r="AT883" s="15" t="s">
        <v>2246</v>
      </c>
      <c r="AU883" s="15" t="s">
        <v>9052</v>
      </c>
      <c r="AW883" s="15" t="s">
        <v>548</v>
      </c>
      <c r="AX883" s="15" t="s">
        <v>4401</v>
      </c>
      <c r="AY883" s="15" t="s">
        <v>413</v>
      </c>
      <c r="AZ883" s="15" t="b">
        <v>0</v>
      </c>
      <c r="BA883" s="15" t="s">
        <v>413</v>
      </c>
      <c r="BB883" s="15" t="b">
        <v>0</v>
      </c>
      <c r="BC883" s="15" t="s">
        <v>9057</v>
      </c>
      <c r="BD883" s="15" t="s">
        <v>1303</v>
      </c>
      <c r="BE883" s="15" t="str">
        <f t="shared" ref="BE883:BE885" si="1550">"2"</f>
        <v>2</v>
      </c>
      <c r="BF883" s="15" t="s">
        <v>1564</v>
      </c>
      <c r="BG883" s="15" t="str">
        <f t="shared" ref="BG883:BG885" si="1551">"77.25"</f>
        <v>77.25</v>
      </c>
      <c r="BH883" s="15" t="s">
        <v>9058</v>
      </c>
      <c r="BI883" s="15" t="str">
        <f t="shared" ref="BI883:BI885" si="1552">"7.5"</f>
        <v>7.5</v>
      </c>
      <c r="BJ883" s="15" t="s">
        <v>2566</v>
      </c>
      <c r="BK883" s="15" t="str">
        <f>"30.75"</f>
        <v>30.75</v>
      </c>
      <c r="BL883" s="15" t="s">
        <v>3276</v>
      </c>
      <c r="BM883" s="15" t="str">
        <f>"195.77"</f>
        <v>195.77</v>
      </c>
      <c r="BN883" s="15" t="s">
        <v>9059</v>
      </c>
      <c r="BO883" s="15" t="s">
        <v>5617</v>
      </c>
      <c r="BP883" s="15" t="str">
        <f>"69"</f>
        <v>69</v>
      </c>
      <c r="BQ883" s="15" t="s">
        <v>6216</v>
      </c>
      <c r="BR883" s="15" t="str">
        <f t="shared" ref="BR883:BR885" si="1553">"10.25"</f>
        <v>10.25</v>
      </c>
      <c r="BS883" s="15" t="s">
        <v>9060</v>
      </c>
      <c r="BT883" s="15" t="str">
        <f>"46.5"</f>
        <v>46.5</v>
      </c>
      <c r="BU883" s="15" t="s">
        <v>4109</v>
      </c>
      <c r="BV883" s="15" t="str">
        <f>"110.56"</f>
        <v>110.56</v>
      </c>
      <c r="BW883" s="15" t="s">
        <v>9061</v>
      </c>
      <c r="BZ883" s="15" t="s">
        <v>444</v>
      </c>
      <c r="CB883" s="15" t="s">
        <v>444</v>
      </c>
      <c r="CD883" s="15" t="s">
        <v>444</v>
      </c>
      <c r="CF883" s="15" t="s">
        <v>444</v>
      </c>
      <c r="CI883" s="15" t="s">
        <v>444</v>
      </c>
      <c r="CK883" s="15" t="s">
        <v>444</v>
      </c>
      <c r="CM883" s="15" t="s">
        <v>444</v>
      </c>
      <c r="CO883" s="15" t="s">
        <v>444</v>
      </c>
      <c r="CP883" s="15" t="str">
        <f>"29.35"</f>
        <v>29.35</v>
      </c>
      <c r="CQ883" s="15" t="str">
        <f>"0.831"</f>
        <v>0.831</v>
      </c>
      <c r="CR883" s="15" t="s">
        <v>417</v>
      </c>
      <c r="DC883" s="15" t="str">
        <f>IFERROR(__xludf.DUMMYFUNCTION("""COMPUTED_VALUE"""),"")</f>
        <v/>
      </c>
      <c r="DE883" s="15" t="str">
        <f>IFERROR(__xludf.DUMMYFUNCTION("""COMPUTED_VALUE"""),"")</f>
        <v/>
      </c>
      <c r="DG883" s="15" t="str">
        <f>IFERROR(__xludf.DUMMYFUNCTION("""COMPUTED_VALUE"""),"")</f>
        <v/>
      </c>
      <c r="DL883" s="15" t="str">
        <f>IFERROR(__xludf.DUMMYFUNCTION("""COMPUTED_VALUE"""),"")</f>
        <v/>
      </c>
      <c r="DM883" s="15" t="s">
        <v>444</v>
      </c>
      <c r="DN883" s="15" t="s">
        <v>419</v>
      </c>
      <c r="DO883" s="15">
        <v>0.0</v>
      </c>
      <c r="DP883" s="15" t="s">
        <v>419</v>
      </c>
      <c r="DR883" s="15">
        <v>0.0</v>
      </c>
      <c r="DT883" s="15" t="s">
        <v>1111</v>
      </c>
      <c r="DU883" s="15" t="s">
        <v>419</v>
      </c>
      <c r="DW883" s="15">
        <v>0.0</v>
      </c>
      <c r="DX883" s="15">
        <v>0.0</v>
      </c>
      <c r="DY883" s="15">
        <v>0.0</v>
      </c>
      <c r="EE883" s="15">
        <v>6.0</v>
      </c>
      <c r="EF883" s="15" t="s">
        <v>471</v>
      </c>
      <c r="EG883" s="15" t="s">
        <v>472</v>
      </c>
      <c r="EH883" s="15" t="s">
        <v>9062</v>
      </c>
      <c r="EJ883" s="15" t="s">
        <v>500</v>
      </c>
      <c r="EK883" s="15" t="s">
        <v>501</v>
      </c>
      <c r="EM883" s="15" t="str">
        <f>IFERROR(__xludf.DUMMYFUNCTION("""COMPUTED_VALUE"""),"")</f>
        <v/>
      </c>
      <c r="EW883" s="15" t="s">
        <v>1236</v>
      </c>
      <c r="EX883" s="15" t="s">
        <v>9063</v>
      </c>
      <c r="EY883" s="15" t="s">
        <v>3023</v>
      </c>
      <c r="FH883" s="15" t="s">
        <v>1574</v>
      </c>
      <c r="FI883" s="15" t="s">
        <v>3332</v>
      </c>
      <c r="FJ883" s="15" t="s">
        <v>9064</v>
      </c>
      <c r="FK883" s="15" t="s">
        <v>1512</v>
      </c>
      <c r="FL883" s="15" t="s">
        <v>426</v>
      </c>
      <c r="FM883" s="15">
        <v>0.0</v>
      </c>
      <c r="FN883" s="15">
        <v>0.0</v>
      </c>
      <c r="FU883" s="15" t="s">
        <v>1236</v>
      </c>
      <c r="JF883" s="15" t="s">
        <v>4412</v>
      </c>
    </row>
    <row r="884" ht="15.75" customHeight="1">
      <c r="A884" s="14" t="s">
        <v>391</v>
      </c>
      <c r="B884" s="15" t="s">
        <v>9050</v>
      </c>
      <c r="C884" s="16"/>
      <c r="D884" s="15" t="s">
        <v>432</v>
      </c>
      <c r="G884" s="14" t="s">
        <v>393</v>
      </c>
      <c r="H884" s="14" t="s">
        <v>394</v>
      </c>
      <c r="I884" s="14" t="b">
        <v>1</v>
      </c>
      <c r="J884" s="14" t="s">
        <v>395</v>
      </c>
      <c r="L884" s="14" t="b">
        <v>0</v>
      </c>
      <c r="M884" s="15" t="s">
        <v>9065</v>
      </c>
      <c r="N884" s="14" t="s">
        <v>393</v>
      </c>
      <c r="O884" s="14" t="s">
        <v>393</v>
      </c>
      <c r="P884" s="15" t="s">
        <v>397</v>
      </c>
      <c r="Q884" s="15" t="s">
        <v>9052</v>
      </c>
      <c r="R884" s="15" t="s">
        <v>265</v>
      </c>
      <c r="S884" s="15" t="s">
        <v>622</v>
      </c>
      <c r="T884" s="14" t="b">
        <v>0</v>
      </c>
      <c r="U884" s="15" t="s">
        <v>9066</v>
      </c>
      <c r="V884" s="15" t="s">
        <v>9067</v>
      </c>
      <c r="W884" s="15" t="s">
        <v>401</v>
      </c>
      <c r="X884" s="15" t="s">
        <v>1296</v>
      </c>
      <c r="Y884" s="15">
        <v>1209.0</v>
      </c>
      <c r="AA884" s="15" t="str">
        <f t="shared" ref="AA884:AA885" si="1554">"465"</f>
        <v>465</v>
      </c>
      <c r="AB884" s="14" t="b">
        <v>1</v>
      </c>
      <c r="AC884" s="14" t="b">
        <v>1</v>
      </c>
      <c r="AD884" s="15" t="str">
        <f>"801542642488"</f>
        <v>801542642488</v>
      </c>
      <c r="AE884" s="15" t="s">
        <v>9068</v>
      </c>
      <c r="AF884" s="14" t="s">
        <v>404</v>
      </c>
      <c r="AG884" s="14" t="s">
        <v>405</v>
      </c>
      <c r="AH884" s="14" t="s">
        <v>406</v>
      </c>
      <c r="AI884" s="15">
        <v>0.0</v>
      </c>
      <c r="AL884" s="15" t="s">
        <v>9056</v>
      </c>
      <c r="AM884" s="15" t="s">
        <v>452</v>
      </c>
      <c r="AN884" s="15" t="s">
        <v>453</v>
      </c>
      <c r="AO884" s="15" t="s">
        <v>1175</v>
      </c>
      <c r="AP884" s="15" t="s">
        <v>1176</v>
      </c>
      <c r="AQ884" s="15" t="s">
        <v>622</v>
      </c>
      <c r="AR884" s="15" t="s">
        <v>623</v>
      </c>
      <c r="AS884" s="15" t="s">
        <v>2231</v>
      </c>
      <c r="AT884" s="15" t="s">
        <v>2246</v>
      </c>
      <c r="AU884" s="15" t="s">
        <v>9052</v>
      </c>
      <c r="AW884" s="15" t="s">
        <v>548</v>
      </c>
      <c r="AX884" s="15" t="s">
        <v>4401</v>
      </c>
      <c r="AY884" s="15" t="s">
        <v>413</v>
      </c>
      <c r="AZ884" s="15" t="b">
        <v>0</v>
      </c>
      <c r="BA884" s="15" t="s">
        <v>413</v>
      </c>
      <c r="BB884" s="15" t="b">
        <v>0</v>
      </c>
      <c r="BC884" s="15" t="s">
        <v>9069</v>
      </c>
      <c r="BD884" s="15" t="s">
        <v>1303</v>
      </c>
      <c r="BE884" s="15" t="str">
        <f t="shared" si="1550"/>
        <v>2</v>
      </c>
      <c r="BF884" s="15" t="s">
        <v>1564</v>
      </c>
      <c r="BG884" s="15" t="str">
        <f t="shared" si="1551"/>
        <v>77.25</v>
      </c>
      <c r="BH884" s="15" t="s">
        <v>9058</v>
      </c>
      <c r="BI884" s="15" t="str">
        <f t="shared" si="1552"/>
        <v>7.5</v>
      </c>
      <c r="BJ884" s="15" t="s">
        <v>2566</v>
      </c>
      <c r="BK884" s="15" t="str">
        <f t="shared" ref="BK884:BK885" si="1555">"30"</f>
        <v>30</v>
      </c>
      <c r="BL884" s="15" t="s">
        <v>547</v>
      </c>
      <c r="BM884" s="15" t="str">
        <f t="shared" ref="BM884:BM885" si="1556">"186.29"</f>
        <v>186.29</v>
      </c>
      <c r="BN884" s="15" t="s">
        <v>7920</v>
      </c>
      <c r="BO884" s="15" t="s">
        <v>5617</v>
      </c>
      <c r="BP884" s="15" t="str">
        <f t="shared" ref="BP884:BP885" si="1557">"67"</f>
        <v>67</v>
      </c>
      <c r="BQ884" s="15" t="s">
        <v>4011</v>
      </c>
      <c r="BR884" s="15" t="str">
        <f t="shared" si="1553"/>
        <v>10.25</v>
      </c>
      <c r="BS884" s="15" t="s">
        <v>9060</v>
      </c>
      <c r="BT884" s="15" t="str">
        <f t="shared" ref="BT884:BT885" si="1558">"44"</f>
        <v>44</v>
      </c>
      <c r="BU884" s="15" t="s">
        <v>3831</v>
      </c>
      <c r="BV884" s="15" t="str">
        <f t="shared" ref="BV884:BV885" si="1559">"94.58"</f>
        <v>94.58</v>
      </c>
      <c r="BW884" s="15" t="s">
        <v>2483</v>
      </c>
      <c r="BZ884" s="15" t="s">
        <v>444</v>
      </c>
      <c r="CB884" s="15" t="s">
        <v>444</v>
      </c>
      <c r="CD884" s="15" t="s">
        <v>444</v>
      </c>
      <c r="CF884" s="15" t="s">
        <v>444</v>
      </c>
      <c r="CI884" s="15" t="s">
        <v>444</v>
      </c>
      <c r="CK884" s="15" t="s">
        <v>444</v>
      </c>
      <c r="CM884" s="15" t="s">
        <v>444</v>
      </c>
      <c r="CO884" s="15" t="s">
        <v>444</v>
      </c>
      <c r="CP884" s="15" t="str">
        <f t="shared" ref="CP884:CP885" si="1560">"27.55"</f>
        <v>27.55</v>
      </c>
      <c r="CQ884" s="15" t="str">
        <f t="shared" ref="CQ884:CQ885" si="1561">"0.78"</f>
        <v>0.78</v>
      </c>
      <c r="CR884" s="15" t="s">
        <v>417</v>
      </c>
      <c r="DC884" s="15" t="str">
        <f>IFERROR(__xludf.DUMMYFUNCTION("""COMPUTED_VALUE"""),"")</f>
        <v/>
      </c>
      <c r="DE884" s="15" t="str">
        <f>IFERROR(__xludf.DUMMYFUNCTION("""COMPUTED_VALUE"""),"")</f>
        <v/>
      </c>
      <c r="DG884" s="15" t="str">
        <f>IFERROR(__xludf.DUMMYFUNCTION("""COMPUTED_VALUE"""),"")</f>
        <v/>
      </c>
      <c r="DL884" s="15" t="str">
        <f>IFERROR(__xludf.DUMMYFUNCTION("""COMPUTED_VALUE"""),"")</f>
        <v/>
      </c>
      <c r="DM884" s="15" t="s">
        <v>444</v>
      </c>
      <c r="DN884" s="15" t="s">
        <v>419</v>
      </c>
      <c r="DO884" s="15">
        <v>0.0</v>
      </c>
      <c r="DP884" s="15" t="s">
        <v>419</v>
      </c>
      <c r="DR884" s="15">
        <v>0.0</v>
      </c>
      <c r="DT884" s="15" t="s">
        <v>1111</v>
      </c>
      <c r="DU884" s="15" t="s">
        <v>419</v>
      </c>
      <c r="DW884" s="15">
        <v>0.0</v>
      </c>
      <c r="DX884" s="15">
        <v>0.0</v>
      </c>
      <c r="DY884" s="15">
        <v>0.0</v>
      </c>
      <c r="EE884" s="15">
        <v>6.0</v>
      </c>
      <c r="EF884" s="15" t="s">
        <v>471</v>
      </c>
      <c r="EG884" s="15" t="s">
        <v>472</v>
      </c>
      <c r="EH884" s="15" t="s">
        <v>9062</v>
      </c>
      <c r="EJ884" s="15" t="s">
        <v>500</v>
      </c>
      <c r="EK884" s="15" t="s">
        <v>501</v>
      </c>
      <c r="EM884" s="15" t="str">
        <f>IFERROR(__xludf.DUMMYFUNCTION("""COMPUTED_VALUE"""),"")</f>
        <v/>
      </c>
      <c r="EW884" s="15" t="s">
        <v>1236</v>
      </c>
      <c r="EX884" s="15" t="s">
        <v>9070</v>
      </c>
      <c r="EY884" s="15" t="s">
        <v>4590</v>
      </c>
      <c r="FH884" s="15" t="s">
        <v>1806</v>
      </c>
      <c r="FI884" s="15" t="s">
        <v>4339</v>
      </c>
      <c r="FJ884" s="15" t="s">
        <v>2570</v>
      </c>
      <c r="FK884" s="15" t="s">
        <v>1512</v>
      </c>
      <c r="FL884" s="15" t="s">
        <v>426</v>
      </c>
      <c r="FM884" s="15">
        <v>0.0</v>
      </c>
      <c r="FN884" s="15">
        <v>0.0</v>
      </c>
      <c r="FU884" s="15" t="s">
        <v>1236</v>
      </c>
      <c r="JF884" s="15" t="s">
        <v>4593</v>
      </c>
    </row>
    <row r="885" ht="15.75" customHeight="1">
      <c r="A885" s="14" t="s">
        <v>391</v>
      </c>
      <c r="B885" s="15" t="s">
        <v>9050</v>
      </c>
      <c r="C885" s="16"/>
      <c r="D885" s="15" t="s">
        <v>432</v>
      </c>
      <c r="G885" s="14" t="s">
        <v>393</v>
      </c>
      <c r="H885" s="14" t="s">
        <v>394</v>
      </c>
      <c r="I885" s="14" t="b">
        <v>1</v>
      </c>
      <c r="J885" s="14" t="s">
        <v>395</v>
      </c>
      <c r="L885" s="14" t="b">
        <v>0</v>
      </c>
      <c r="M885" s="15" t="s">
        <v>9071</v>
      </c>
      <c r="N885" s="14" t="s">
        <v>393</v>
      </c>
      <c r="O885" s="14" t="s">
        <v>393</v>
      </c>
      <c r="P885" s="15" t="s">
        <v>397</v>
      </c>
      <c r="Q885" s="15" t="s">
        <v>3600</v>
      </c>
      <c r="T885" s="14" t="b">
        <v>0</v>
      </c>
      <c r="U885" s="15" t="s">
        <v>9072</v>
      </c>
      <c r="V885" s="15" t="s">
        <v>9067</v>
      </c>
      <c r="W885" s="15" t="s">
        <v>401</v>
      </c>
      <c r="X885" s="15" t="s">
        <v>1296</v>
      </c>
      <c r="Y885" s="15">
        <v>1209.0</v>
      </c>
      <c r="AA885" s="15" t="str">
        <f t="shared" si="1554"/>
        <v>465</v>
      </c>
      <c r="AB885" s="14" t="b">
        <v>1</v>
      </c>
      <c r="AC885" s="14" t="b">
        <v>1</v>
      </c>
      <c r="AD885" s="15" t="str">
        <f>"801542067656"</f>
        <v>801542067656</v>
      </c>
      <c r="AE885" s="15" t="s">
        <v>9073</v>
      </c>
      <c r="AF885" s="14" t="s">
        <v>404</v>
      </c>
      <c r="AG885" s="14" t="s">
        <v>405</v>
      </c>
      <c r="AH885" s="14" t="s">
        <v>406</v>
      </c>
      <c r="AI885" s="15">
        <v>0.0</v>
      </c>
      <c r="AL885" s="15" t="s">
        <v>9056</v>
      </c>
      <c r="AM885" s="15" t="s">
        <v>452</v>
      </c>
      <c r="AN885" s="15" t="s">
        <v>453</v>
      </c>
      <c r="AO885" s="15" t="s">
        <v>1175</v>
      </c>
      <c r="AP885" s="15" t="s">
        <v>1176</v>
      </c>
      <c r="AQ885" s="15" t="s">
        <v>622</v>
      </c>
      <c r="AR885" s="15" t="s">
        <v>623</v>
      </c>
      <c r="AS885" s="15" t="s">
        <v>2231</v>
      </c>
      <c r="AT885" s="15" t="s">
        <v>3600</v>
      </c>
      <c r="AU885" s="15" t="s">
        <v>9074</v>
      </c>
      <c r="AW885" s="15" t="s">
        <v>548</v>
      </c>
      <c r="AX885" s="15" t="s">
        <v>4401</v>
      </c>
      <c r="AY885" s="15" t="s">
        <v>413</v>
      </c>
      <c r="AZ885" s="15" t="b">
        <v>0</v>
      </c>
      <c r="BA885" s="15" t="s">
        <v>413</v>
      </c>
      <c r="BB885" s="15" t="b">
        <v>0</v>
      </c>
      <c r="BC885" s="15" t="s">
        <v>9075</v>
      </c>
      <c r="BD885" s="15" t="s">
        <v>1303</v>
      </c>
      <c r="BE885" s="15" t="str">
        <f t="shared" si="1550"/>
        <v>2</v>
      </c>
      <c r="BF885" s="15" t="s">
        <v>1564</v>
      </c>
      <c r="BG885" s="15" t="str">
        <f t="shared" si="1551"/>
        <v>77.25</v>
      </c>
      <c r="BH885" s="15" t="s">
        <v>9058</v>
      </c>
      <c r="BI885" s="15" t="str">
        <f t="shared" si="1552"/>
        <v>7.5</v>
      </c>
      <c r="BJ885" s="15" t="s">
        <v>2566</v>
      </c>
      <c r="BK885" s="15" t="str">
        <f t="shared" si="1555"/>
        <v>30</v>
      </c>
      <c r="BL885" s="15" t="s">
        <v>547</v>
      </c>
      <c r="BM885" s="15" t="str">
        <f t="shared" si="1556"/>
        <v>186.29</v>
      </c>
      <c r="BN885" s="15" t="s">
        <v>7920</v>
      </c>
      <c r="BO885" s="15" t="s">
        <v>5617</v>
      </c>
      <c r="BP885" s="15" t="str">
        <f t="shared" si="1557"/>
        <v>67</v>
      </c>
      <c r="BQ885" s="15" t="s">
        <v>4011</v>
      </c>
      <c r="BR885" s="15" t="str">
        <f t="shared" si="1553"/>
        <v>10.25</v>
      </c>
      <c r="BS885" s="15" t="s">
        <v>9060</v>
      </c>
      <c r="BT885" s="15" t="str">
        <f t="shared" si="1558"/>
        <v>44</v>
      </c>
      <c r="BU885" s="15" t="s">
        <v>3831</v>
      </c>
      <c r="BV885" s="15" t="str">
        <f t="shared" si="1559"/>
        <v>94.58</v>
      </c>
      <c r="BW885" s="15" t="s">
        <v>2483</v>
      </c>
      <c r="BZ885" s="15" t="s">
        <v>444</v>
      </c>
      <c r="CB885" s="15" t="s">
        <v>444</v>
      </c>
      <c r="CD885" s="15" t="s">
        <v>444</v>
      </c>
      <c r="CF885" s="15" t="s">
        <v>444</v>
      </c>
      <c r="CI885" s="15" t="s">
        <v>444</v>
      </c>
      <c r="CK885" s="15" t="s">
        <v>444</v>
      </c>
      <c r="CM885" s="15" t="s">
        <v>444</v>
      </c>
      <c r="CO885" s="15" t="s">
        <v>444</v>
      </c>
      <c r="CP885" s="15" t="str">
        <f t="shared" si="1560"/>
        <v>27.55</v>
      </c>
      <c r="CQ885" s="15" t="str">
        <f t="shared" si="1561"/>
        <v>0.78</v>
      </c>
      <c r="CR885" s="15" t="s">
        <v>497</v>
      </c>
      <c r="DC885" s="15" t="str">
        <f>IFERROR(__xludf.DUMMYFUNCTION("""COMPUTED_VALUE"""),"")</f>
        <v/>
      </c>
      <c r="DE885" s="15" t="str">
        <f>IFERROR(__xludf.DUMMYFUNCTION("""COMPUTED_VALUE"""),"")</f>
        <v/>
      </c>
      <c r="DG885" s="15" t="str">
        <f>IFERROR(__xludf.DUMMYFUNCTION("""COMPUTED_VALUE"""),"")</f>
        <v/>
      </c>
      <c r="DL885" s="15" t="str">
        <f>IFERROR(__xludf.DUMMYFUNCTION("""COMPUTED_VALUE"""),"")</f>
        <v/>
      </c>
      <c r="DM885" s="15" t="s">
        <v>444</v>
      </c>
      <c r="DN885" s="15" t="s">
        <v>419</v>
      </c>
      <c r="DO885" s="15">
        <v>0.0</v>
      </c>
      <c r="DP885" s="15" t="s">
        <v>419</v>
      </c>
      <c r="DR885" s="15">
        <v>0.0</v>
      </c>
      <c r="DT885" s="15" t="s">
        <v>1111</v>
      </c>
      <c r="DU885" s="15" t="s">
        <v>419</v>
      </c>
      <c r="DW885" s="15">
        <v>0.0</v>
      </c>
      <c r="DX885" s="15">
        <v>0.0</v>
      </c>
      <c r="DY885" s="15">
        <v>0.0</v>
      </c>
      <c r="EE885" s="15">
        <v>6.0</v>
      </c>
      <c r="EF885" s="15" t="s">
        <v>471</v>
      </c>
      <c r="EG885" s="15" t="s">
        <v>472</v>
      </c>
      <c r="EH885" s="15" t="s">
        <v>9062</v>
      </c>
      <c r="EJ885" s="15" t="s">
        <v>500</v>
      </c>
      <c r="EK885" s="15" t="s">
        <v>501</v>
      </c>
      <c r="EM885" s="15" t="str">
        <f>IFERROR(__xludf.DUMMYFUNCTION("""COMPUTED_VALUE"""),"")</f>
        <v/>
      </c>
      <c r="EW885" s="15" t="s">
        <v>1236</v>
      </c>
      <c r="EX885" s="15" t="s">
        <v>9070</v>
      </c>
      <c r="EY885" s="15" t="s">
        <v>4590</v>
      </c>
      <c r="FH885" s="15" t="s">
        <v>1806</v>
      </c>
      <c r="FI885" s="15" t="s">
        <v>4339</v>
      </c>
      <c r="FJ885" s="15" t="s">
        <v>2570</v>
      </c>
      <c r="FK885" s="15" t="s">
        <v>1512</v>
      </c>
      <c r="FL885" s="15" t="s">
        <v>426</v>
      </c>
      <c r="FM885" s="15">
        <v>0.0</v>
      </c>
      <c r="FN885" s="15">
        <v>0.0</v>
      </c>
      <c r="FU885" s="15" t="s">
        <v>1236</v>
      </c>
      <c r="JF885" s="15" t="s">
        <v>4593</v>
      </c>
    </row>
    <row r="886" ht="15.75" customHeight="1">
      <c r="A886" s="14" t="s">
        <v>391</v>
      </c>
      <c r="B886" s="15" t="s">
        <v>9076</v>
      </c>
      <c r="C886" s="16"/>
      <c r="D886" s="15" t="s">
        <v>432</v>
      </c>
      <c r="G886" s="14" t="s">
        <v>393</v>
      </c>
      <c r="H886" s="14" t="s">
        <v>394</v>
      </c>
      <c r="I886" s="14" t="b">
        <v>1</v>
      </c>
      <c r="J886" s="14" t="s">
        <v>395</v>
      </c>
      <c r="L886" s="14" t="b">
        <v>0</v>
      </c>
      <c r="M886" s="15" t="s">
        <v>9077</v>
      </c>
      <c r="N886" s="14" t="s">
        <v>393</v>
      </c>
      <c r="O886" s="14" t="s">
        <v>393</v>
      </c>
      <c r="P886" s="15" t="s">
        <v>397</v>
      </c>
      <c r="Q886" s="15" t="s">
        <v>4501</v>
      </c>
      <c r="T886" s="14" t="b">
        <v>0</v>
      </c>
      <c r="U886" s="15" t="s">
        <v>9078</v>
      </c>
      <c r="V886" s="15" t="s">
        <v>1798</v>
      </c>
      <c r="W886" s="15" t="s">
        <v>401</v>
      </c>
      <c r="X886" s="15" t="s">
        <v>695</v>
      </c>
      <c r="Y886" s="15">
        <v>884.0</v>
      </c>
      <c r="AA886" s="15" t="str">
        <f>"340"</f>
        <v>340</v>
      </c>
      <c r="AB886" s="14" t="b">
        <v>1</v>
      </c>
      <c r="AC886" s="14" t="b">
        <v>1</v>
      </c>
      <c r="AD886" s="15" t="str">
        <f>"198394028851"</f>
        <v>198394028851</v>
      </c>
      <c r="AE886" s="15" t="s">
        <v>9079</v>
      </c>
      <c r="AF886" s="14" t="s">
        <v>404</v>
      </c>
      <c r="AG886" s="14" t="s">
        <v>405</v>
      </c>
      <c r="AH886" s="14" t="s">
        <v>406</v>
      </c>
      <c r="AI886" s="15">
        <v>0.0</v>
      </c>
      <c r="AL886" s="15" t="s">
        <v>5411</v>
      </c>
      <c r="AM886" s="15" t="s">
        <v>452</v>
      </c>
      <c r="AN886" s="15" t="s">
        <v>453</v>
      </c>
      <c r="AO886" s="15" t="s">
        <v>1007</v>
      </c>
      <c r="AP886" s="15" t="s">
        <v>1008</v>
      </c>
      <c r="AQ886" s="15" t="s">
        <v>456</v>
      </c>
      <c r="AR886" s="15" t="s">
        <v>457</v>
      </c>
      <c r="AS886" s="15" t="s">
        <v>2800</v>
      </c>
      <c r="AT886" s="15" t="s">
        <v>4501</v>
      </c>
      <c r="AW886" s="15" t="s">
        <v>458</v>
      </c>
      <c r="AX886" s="15" t="s">
        <v>459</v>
      </c>
      <c r="AY886" s="15" t="s">
        <v>413</v>
      </c>
      <c r="AZ886" s="15" t="b">
        <v>0</v>
      </c>
      <c r="BA886" s="15" t="s">
        <v>426</v>
      </c>
      <c r="BB886" s="15" t="b">
        <v>1</v>
      </c>
      <c r="BC886" s="15" t="s">
        <v>9080</v>
      </c>
      <c r="BD886" s="15" t="s">
        <v>709</v>
      </c>
      <c r="BE886" s="15" t="str">
        <f t="shared" ref="BE886:BE900" si="1562">"1"</f>
        <v>1</v>
      </c>
      <c r="BF886" s="15" t="s">
        <v>416</v>
      </c>
      <c r="BG886" s="15" t="str">
        <f t="shared" ref="BG886:BG888" si="1563">"71.06"</f>
        <v>71.06</v>
      </c>
      <c r="BH886" s="15" t="s">
        <v>9081</v>
      </c>
      <c r="BI886" s="15" t="str">
        <f t="shared" ref="BI886:BI888" si="1564">"19.09"</f>
        <v>19.09</v>
      </c>
      <c r="BJ886" s="15" t="s">
        <v>1440</v>
      </c>
      <c r="BK886" s="15" t="str">
        <f t="shared" ref="BK886:BK888" si="1565">"21.26"</f>
        <v>21.26</v>
      </c>
      <c r="BL886" s="15" t="s">
        <v>684</v>
      </c>
      <c r="BM886" s="15" t="str">
        <f t="shared" ref="BM886:BM888" si="1566">"60.85"</f>
        <v>60.85</v>
      </c>
      <c r="BN886" s="15" t="s">
        <v>9082</v>
      </c>
      <c r="BQ886" s="15" t="s">
        <v>444</v>
      </c>
      <c r="BS886" s="15" t="s">
        <v>444</v>
      </c>
      <c r="BU886" s="15" t="s">
        <v>444</v>
      </c>
      <c r="BW886" s="15" t="s">
        <v>444</v>
      </c>
      <c r="BZ886" s="15" t="s">
        <v>444</v>
      </c>
      <c r="CB886" s="15" t="s">
        <v>444</v>
      </c>
      <c r="CD886" s="15" t="s">
        <v>444</v>
      </c>
      <c r="CF886" s="15" t="s">
        <v>444</v>
      </c>
      <c r="CI886" s="15" t="s">
        <v>444</v>
      </c>
      <c r="CK886" s="15" t="s">
        <v>444</v>
      </c>
      <c r="CM886" s="15" t="s">
        <v>444</v>
      </c>
      <c r="CO886" s="15" t="s">
        <v>444</v>
      </c>
      <c r="CP886" s="15" t="str">
        <f t="shared" ref="CP886:CP888" si="1567">"16.7"</f>
        <v>16.7</v>
      </c>
      <c r="CQ886" s="15" t="str">
        <f t="shared" ref="CQ886:CQ888" si="1568">"0.473"</f>
        <v>0.473</v>
      </c>
      <c r="CR886" s="15" t="s">
        <v>465</v>
      </c>
      <c r="CY886" s="15" t="s">
        <v>1065</v>
      </c>
      <c r="CZ886" s="15" t="s">
        <v>477</v>
      </c>
      <c r="DA886" s="15" t="s">
        <v>9083</v>
      </c>
      <c r="DB886" s="15" t="s">
        <v>1065</v>
      </c>
      <c r="DC886" s="15" t="str">
        <f>IFERROR(__xludf.DUMMYFUNCTION("""COMPUTED_VALUE"""),"{""value"":18.00,""unit"":""in""}")</f>
        <v>{"value":18.00,"unit":"in"}</v>
      </c>
      <c r="DD886" s="15" t="s">
        <v>1161</v>
      </c>
      <c r="DE886" s="15" t="str">
        <f>IFERROR(__xludf.DUMMYFUNCTION("""COMPUTED_VALUE"""),"{""value"":17.00,""unit"":""in""}")</f>
        <v>{"value":17.00,"unit":"in"}</v>
      </c>
      <c r="DF886" s="15" t="s">
        <v>4531</v>
      </c>
      <c r="DG886" s="15" t="str">
        <f>IFERROR(__xludf.DUMMYFUNCTION("""COMPUTED_VALUE"""),"{""value"":63.00,""unit"":""in""}")</f>
        <v>{"value":63.00,"unit":"in"}</v>
      </c>
      <c r="DH886" s="15">
        <v>0.0</v>
      </c>
      <c r="DI886" s="15">
        <v>0.0</v>
      </c>
      <c r="DJ886" s="15" t="s">
        <v>469</v>
      </c>
      <c r="DK886" s="15" t="s">
        <v>855</v>
      </c>
      <c r="DL886" s="15" t="str">
        <f>IFERROR(__xludf.DUMMYFUNCTION("""COMPUTED_VALUE"""),"Clean with solvent-based (dry clean only) products. Do not use water.")</f>
        <v>Clean with solvent-based (dry clean only) products. Do not use water.</v>
      </c>
      <c r="DM886" s="15" t="s">
        <v>856</v>
      </c>
      <c r="DN886" s="15" t="s">
        <v>419</v>
      </c>
      <c r="DO886" s="15">
        <v>0.0</v>
      </c>
      <c r="DP886" s="15" t="s">
        <v>419</v>
      </c>
      <c r="DQ886" s="15" t="s">
        <v>1239</v>
      </c>
      <c r="DR886" s="15">
        <v>0.0</v>
      </c>
      <c r="DT886" s="15" t="s">
        <v>721</v>
      </c>
      <c r="DU886" s="15" t="s">
        <v>419</v>
      </c>
      <c r="DV886" s="15">
        <v>0.0</v>
      </c>
      <c r="DW886" s="15">
        <v>0.0</v>
      </c>
      <c r="DX886" s="15">
        <v>0.0</v>
      </c>
      <c r="DY886" s="15">
        <v>0.0</v>
      </c>
      <c r="DZ886" s="15">
        <v>30000.0</v>
      </c>
      <c r="EA886" s="15" t="s">
        <v>470</v>
      </c>
      <c r="EB886" s="15" t="s">
        <v>723</v>
      </c>
      <c r="EC886" s="15" t="s">
        <v>724</v>
      </c>
      <c r="ED886" s="15">
        <v>1.0</v>
      </c>
      <c r="EE886" s="15">
        <v>3.0</v>
      </c>
      <c r="EF886" s="15" t="s">
        <v>471</v>
      </c>
      <c r="EG886" s="15" t="s">
        <v>472</v>
      </c>
      <c r="EH886" s="15" t="s">
        <v>9084</v>
      </c>
      <c r="EI886" s="15">
        <v>0.0</v>
      </c>
      <c r="EJ886" s="15" t="s">
        <v>473</v>
      </c>
      <c r="EK886" s="15" t="s">
        <v>474</v>
      </c>
      <c r="EL886" s="15" t="s">
        <v>467</v>
      </c>
      <c r="EM886" s="15" t="str">
        <f>IFERROR(__xludf.DUMMYFUNCTION("""COMPUTED_VALUE"""),"{""value"":19.00,""unit"":""in""}")</f>
        <v>{"value":19.00,"unit":"in"}</v>
      </c>
      <c r="EN886" s="15" t="s">
        <v>672</v>
      </c>
      <c r="ES886" s="15" t="s">
        <v>940</v>
      </c>
      <c r="EW886" s="15" t="s">
        <v>8108</v>
      </c>
      <c r="EY886" s="15" t="s">
        <v>9085</v>
      </c>
      <c r="FF886" s="15" t="s">
        <v>1239</v>
      </c>
      <c r="FL886" s="15" t="s">
        <v>426</v>
      </c>
    </row>
    <row r="887" ht="15.75" customHeight="1">
      <c r="A887" s="14" t="s">
        <v>391</v>
      </c>
      <c r="B887" s="15" t="s">
        <v>9076</v>
      </c>
      <c r="C887" s="16"/>
      <c r="D887" s="15" t="s">
        <v>432</v>
      </c>
      <c r="G887" s="14" t="s">
        <v>393</v>
      </c>
      <c r="H887" s="14" t="s">
        <v>394</v>
      </c>
      <c r="I887" s="14" t="b">
        <v>1</v>
      </c>
      <c r="J887" s="14" t="s">
        <v>395</v>
      </c>
      <c r="L887" s="14" t="b">
        <v>0</v>
      </c>
      <c r="M887" s="15" t="s">
        <v>9086</v>
      </c>
      <c r="N887" s="14" t="s">
        <v>393</v>
      </c>
      <c r="O887" s="14" t="s">
        <v>393</v>
      </c>
      <c r="P887" s="15" t="s">
        <v>397</v>
      </c>
      <c r="Q887" s="15" t="s">
        <v>9087</v>
      </c>
      <c r="T887" s="14" t="b">
        <v>0</v>
      </c>
      <c r="U887" s="15" t="s">
        <v>9088</v>
      </c>
      <c r="V887" s="15" t="s">
        <v>1798</v>
      </c>
      <c r="W887" s="15" t="s">
        <v>401</v>
      </c>
      <c r="X887" s="15" t="s">
        <v>695</v>
      </c>
      <c r="Y887" s="15">
        <v>819.0</v>
      </c>
      <c r="AA887" s="15" t="str">
        <f t="shared" ref="AA887:AA889" si="1569">"315"</f>
        <v>315</v>
      </c>
      <c r="AB887" s="14" t="b">
        <v>1</v>
      </c>
      <c r="AC887" s="14" t="b">
        <v>1</v>
      </c>
      <c r="AD887" s="15" t="str">
        <f>"801542240547"</f>
        <v>801542240547</v>
      </c>
      <c r="AE887" s="15" t="s">
        <v>9089</v>
      </c>
      <c r="AF887" s="14" t="s">
        <v>404</v>
      </c>
      <c r="AG887" s="14" t="s">
        <v>405</v>
      </c>
      <c r="AH887" s="14" t="s">
        <v>406</v>
      </c>
      <c r="AI887" s="15">
        <v>0.0</v>
      </c>
      <c r="AL887" s="15" t="s">
        <v>9090</v>
      </c>
      <c r="AM887" s="15" t="s">
        <v>452</v>
      </c>
      <c r="AN887" s="15" t="s">
        <v>453</v>
      </c>
      <c r="AO887" s="15" t="s">
        <v>1007</v>
      </c>
      <c r="AP887" s="15" t="s">
        <v>1008</v>
      </c>
      <c r="AQ887" s="15" t="s">
        <v>456</v>
      </c>
      <c r="AR887" s="15" t="s">
        <v>457</v>
      </c>
      <c r="AS887" s="15" t="s">
        <v>2800</v>
      </c>
      <c r="AT887" s="15" t="s">
        <v>9087</v>
      </c>
      <c r="AW887" s="15" t="s">
        <v>458</v>
      </c>
      <c r="AX887" s="15" t="s">
        <v>459</v>
      </c>
      <c r="AY887" s="15" t="s">
        <v>413</v>
      </c>
      <c r="AZ887" s="15" t="b">
        <v>0</v>
      </c>
      <c r="BA887" s="15" t="s">
        <v>413</v>
      </c>
      <c r="BB887" s="15" t="b">
        <v>0</v>
      </c>
      <c r="BC887" s="15" t="s">
        <v>9091</v>
      </c>
      <c r="BD887" s="15" t="s">
        <v>709</v>
      </c>
      <c r="BE887" s="15" t="str">
        <f t="shared" si="1562"/>
        <v>1</v>
      </c>
      <c r="BF887" s="15" t="s">
        <v>416</v>
      </c>
      <c r="BG887" s="15" t="str">
        <f t="shared" si="1563"/>
        <v>71.06</v>
      </c>
      <c r="BH887" s="15" t="s">
        <v>9081</v>
      </c>
      <c r="BI887" s="15" t="str">
        <f t="shared" si="1564"/>
        <v>19.09</v>
      </c>
      <c r="BJ887" s="15" t="s">
        <v>1440</v>
      </c>
      <c r="BK887" s="15" t="str">
        <f t="shared" si="1565"/>
        <v>21.26</v>
      </c>
      <c r="BL887" s="15" t="s">
        <v>684</v>
      </c>
      <c r="BM887" s="15" t="str">
        <f t="shared" si="1566"/>
        <v>60.85</v>
      </c>
      <c r="BN887" s="15" t="s">
        <v>9082</v>
      </c>
      <c r="BQ887" s="15" t="s">
        <v>444</v>
      </c>
      <c r="BS887" s="15" t="s">
        <v>444</v>
      </c>
      <c r="BU887" s="15" t="s">
        <v>444</v>
      </c>
      <c r="BW887" s="15" t="s">
        <v>444</v>
      </c>
      <c r="BZ887" s="15" t="s">
        <v>444</v>
      </c>
      <c r="CB887" s="15" t="s">
        <v>444</v>
      </c>
      <c r="CD887" s="15" t="s">
        <v>444</v>
      </c>
      <c r="CF887" s="15" t="s">
        <v>444</v>
      </c>
      <c r="CI887" s="15" t="s">
        <v>444</v>
      </c>
      <c r="CK887" s="15" t="s">
        <v>444</v>
      </c>
      <c r="CM887" s="15" t="s">
        <v>444</v>
      </c>
      <c r="CO887" s="15" t="s">
        <v>444</v>
      </c>
      <c r="CP887" s="15" t="str">
        <f t="shared" si="1567"/>
        <v>16.7</v>
      </c>
      <c r="CQ887" s="15" t="str">
        <f t="shared" si="1568"/>
        <v>0.473</v>
      </c>
      <c r="CR887" s="15" t="s">
        <v>497</v>
      </c>
      <c r="CY887" s="15" t="s">
        <v>1065</v>
      </c>
      <c r="CZ887" s="15" t="s">
        <v>477</v>
      </c>
      <c r="DA887" s="15" t="s">
        <v>9083</v>
      </c>
      <c r="DB887" s="15" t="s">
        <v>1065</v>
      </c>
      <c r="DC887" s="15" t="str">
        <f>IFERROR(__xludf.DUMMYFUNCTION("""COMPUTED_VALUE"""),"{""value"":18.00,""unit"":""in""}")</f>
        <v>{"value":18.00,"unit":"in"}</v>
      </c>
      <c r="DD887" s="15" t="s">
        <v>1161</v>
      </c>
      <c r="DE887" s="15" t="str">
        <f>IFERROR(__xludf.DUMMYFUNCTION("""COMPUTED_VALUE"""),"{""value"":17.00,""unit"":""in""}")</f>
        <v>{"value":17.00,"unit":"in"}</v>
      </c>
      <c r="DF887" s="15" t="s">
        <v>4531</v>
      </c>
      <c r="DG887" s="15" t="str">
        <f>IFERROR(__xludf.DUMMYFUNCTION("""COMPUTED_VALUE"""),"{""value"":63.00,""unit"":""in""}")</f>
        <v>{"value":63.00,"unit":"in"}</v>
      </c>
      <c r="DH887" s="15">
        <v>0.0</v>
      </c>
      <c r="DI887" s="15">
        <v>0.0</v>
      </c>
      <c r="DJ887" s="15" t="s">
        <v>469</v>
      </c>
      <c r="DK887" s="15" t="s">
        <v>855</v>
      </c>
      <c r="DL887" s="15" t="str">
        <f>IFERROR(__xludf.DUMMYFUNCTION("""COMPUTED_VALUE"""),"Clean with solvent-based (dry clean only) products. Do not use water.")</f>
        <v>Clean with solvent-based (dry clean only) products. Do not use water.</v>
      </c>
      <c r="DM887" s="15" t="s">
        <v>856</v>
      </c>
      <c r="DN887" s="15" t="s">
        <v>419</v>
      </c>
      <c r="DO887" s="15">
        <v>0.0</v>
      </c>
      <c r="DP887" s="15" t="s">
        <v>419</v>
      </c>
      <c r="DQ887" s="15" t="s">
        <v>1239</v>
      </c>
      <c r="DR887" s="15">
        <v>0.0</v>
      </c>
      <c r="DT887" s="15" t="s">
        <v>721</v>
      </c>
      <c r="DU887" s="15" t="s">
        <v>419</v>
      </c>
      <c r="DV887" s="15">
        <v>0.0</v>
      </c>
      <c r="DW887" s="15">
        <v>0.0</v>
      </c>
      <c r="DX887" s="15">
        <v>0.0</v>
      </c>
      <c r="DY887" s="15">
        <v>0.0</v>
      </c>
      <c r="DZ887" s="15">
        <v>25000.0</v>
      </c>
      <c r="EA887" s="15" t="s">
        <v>470</v>
      </c>
      <c r="EB887" s="15" t="s">
        <v>723</v>
      </c>
      <c r="EC887" s="15" t="s">
        <v>724</v>
      </c>
      <c r="ED887" s="15">
        <v>1.0</v>
      </c>
      <c r="EE887" s="15">
        <v>3.0</v>
      </c>
      <c r="EF887" s="15" t="s">
        <v>471</v>
      </c>
      <c r="EG887" s="15" t="s">
        <v>472</v>
      </c>
      <c r="EH887" s="15" t="s">
        <v>9084</v>
      </c>
      <c r="EI887" s="15">
        <v>0.0</v>
      </c>
      <c r="EJ887" s="15" t="s">
        <v>473</v>
      </c>
      <c r="EK887" s="15" t="s">
        <v>474</v>
      </c>
      <c r="EL887" s="15" t="s">
        <v>467</v>
      </c>
      <c r="EM887" s="15" t="str">
        <f>IFERROR(__xludf.DUMMYFUNCTION("""COMPUTED_VALUE"""),"{""value"":19.00,""unit"":""in""}")</f>
        <v>{"value":19.00,"unit":"in"}</v>
      </c>
      <c r="EN887" s="15" t="s">
        <v>672</v>
      </c>
      <c r="ES887" s="15" t="s">
        <v>940</v>
      </c>
      <c r="EW887" s="15" t="s">
        <v>8108</v>
      </c>
      <c r="EY887" s="15" t="s">
        <v>9085</v>
      </c>
      <c r="FF887" s="15" t="s">
        <v>1239</v>
      </c>
      <c r="FL887" s="15" t="s">
        <v>426</v>
      </c>
    </row>
    <row r="888" ht="15.75" customHeight="1">
      <c r="A888" s="14" t="s">
        <v>391</v>
      </c>
      <c r="B888" s="15" t="s">
        <v>9076</v>
      </c>
      <c r="C888" s="16"/>
      <c r="D888" s="15" t="s">
        <v>432</v>
      </c>
      <c r="G888" s="14" t="s">
        <v>393</v>
      </c>
      <c r="H888" s="14" t="s">
        <v>394</v>
      </c>
      <c r="I888" s="14" t="b">
        <v>1</v>
      </c>
      <c r="J888" s="14" t="s">
        <v>395</v>
      </c>
      <c r="L888" s="14" t="b">
        <v>0</v>
      </c>
      <c r="M888" s="15" t="s">
        <v>9092</v>
      </c>
      <c r="N888" s="14" t="s">
        <v>393</v>
      </c>
      <c r="O888" s="14" t="s">
        <v>393</v>
      </c>
      <c r="P888" s="15" t="s">
        <v>397</v>
      </c>
      <c r="Q888" s="15" t="s">
        <v>1350</v>
      </c>
      <c r="T888" s="14" t="b">
        <v>0</v>
      </c>
      <c r="U888" s="15" t="s">
        <v>9093</v>
      </c>
      <c r="V888" s="15" t="s">
        <v>1798</v>
      </c>
      <c r="W888" s="15" t="s">
        <v>401</v>
      </c>
      <c r="X888" s="15" t="s">
        <v>695</v>
      </c>
      <c r="Y888" s="15">
        <v>819.0</v>
      </c>
      <c r="AA888" s="15" t="str">
        <f t="shared" si="1569"/>
        <v>315</v>
      </c>
      <c r="AB888" s="14" t="b">
        <v>1</v>
      </c>
      <c r="AC888" s="14" t="b">
        <v>1</v>
      </c>
      <c r="AD888" s="15" t="str">
        <f>"801542187231"</f>
        <v>801542187231</v>
      </c>
      <c r="AE888" s="15" t="s">
        <v>9094</v>
      </c>
      <c r="AF888" s="14" t="s">
        <v>404</v>
      </c>
      <c r="AG888" s="14" t="s">
        <v>405</v>
      </c>
      <c r="AH888" s="14" t="s">
        <v>406</v>
      </c>
      <c r="AI888" s="15">
        <v>0.0</v>
      </c>
      <c r="AL888" s="15" t="s">
        <v>1655</v>
      </c>
      <c r="AM888" s="15" t="s">
        <v>452</v>
      </c>
      <c r="AN888" s="15" t="s">
        <v>453</v>
      </c>
      <c r="AO888" s="15" t="s">
        <v>1007</v>
      </c>
      <c r="AP888" s="15" t="s">
        <v>1008</v>
      </c>
      <c r="AQ888" s="15" t="s">
        <v>456</v>
      </c>
      <c r="AR888" s="15" t="s">
        <v>457</v>
      </c>
      <c r="AS888" s="15" t="s">
        <v>2800</v>
      </c>
      <c r="AT888" s="15" t="s">
        <v>1350</v>
      </c>
      <c r="AW888" s="15" t="s">
        <v>458</v>
      </c>
      <c r="AX888" s="15" t="s">
        <v>459</v>
      </c>
      <c r="AY888" s="15" t="s">
        <v>413</v>
      </c>
      <c r="AZ888" s="15" t="b">
        <v>0</v>
      </c>
      <c r="BA888" s="15" t="s">
        <v>413</v>
      </c>
      <c r="BB888" s="15" t="b">
        <v>0</v>
      </c>
      <c r="BC888" s="15" t="s">
        <v>9095</v>
      </c>
      <c r="BD888" s="15" t="s">
        <v>709</v>
      </c>
      <c r="BE888" s="15" t="str">
        <f t="shared" si="1562"/>
        <v>1</v>
      </c>
      <c r="BF888" s="15" t="s">
        <v>416</v>
      </c>
      <c r="BG888" s="15" t="str">
        <f t="shared" si="1563"/>
        <v>71.06</v>
      </c>
      <c r="BH888" s="15" t="s">
        <v>9081</v>
      </c>
      <c r="BI888" s="15" t="str">
        <f t="shared" si="1564"/>
        <v>19.09</v>
      </c>
      <c r="BJ888" s="15" t="s">
        <v>1440</v>
      </c>
      <c r="BK888" s="15" t="str">
        <f t="shared" si="1565"/>
        <v>21.26</v>
      </c>
      <c r="BL888" s="15" t="s">
        <v>684</v>
      </c>
      <c r="BM888" s="15" t="str">
        <f t="shared" si="1566"/>
        <v>60.85</v>
      </c>
      <c r="BN888" s="15" t="s">
        <v>9082</v>
      </c>
      <c r="BQ888" s="15" t="s">
        <v>444</v>
      </c>
      <c r="BS888" s="15" t="s">
        <v>444</v>
      </c>
      <c r="BU888" s="15" t="s">
        <v>444</v>
      </c>
      <c r="BW888" s="15" t="s">
        <v>444</v>
      </c>
      <c r="BZ888" s="15" t="s">
        <v>444</v>
      </c>
      <c r="CB888" s="15" t="s">
        <v>444</v>
      </c>
      <c r="CD888" s="15" t="s">
        <v>444</v>
      </c>
      <c r="CF888" s="15" t="s">
        <v>444</v>
      </c>
      <c r="CI888" s="15" t="s">
        <v>444</v>
      </c>
      <c r="CK888" s="15" t="s">
        <v>444</v>
      </c>
      <c r="CM888" s="15" t="s">
        <v>444</v>
      </c>
      <c r="CO888" s="15" t="s">
        <v>444</v>
      </c>
      <c r="CP888" s="15" t="str">
        <f t="shared" si="1567"/>
        <v>16.7</v>
      </c>
      <c r="CQ888" s="15" t="str">
        <f t="shared" si="1568"/>
        <v>0.473</v>
      </c>
      <c r="CR888" s="15" t="s">
        <v>417</v>
      </c>
      <c r="CY888" s="15" t="s">
        <v>1065</v>
      </c>
      <c r="CZ888" s="15" t="s">
        <v>477</v>
      </c>
      <c r="DA888" s="15" t="s">
        <v>9083</v>
      </c>
      <c r="DB888" s="15" t="s">
        <v>1065</v>
      </c>
      <c r="DC888" s="15" t="str">
        <f>IFERROR(__xludf.DUMMYFUNCTION("""COMPUTED_VALUE"""),"{""value"":18.00,""unit"":""in""}")</f>
        <v>{"value":18.00,"unit":"in"}</v>
      </c>
      <c r="DD888" s="15" t="s">
        <v>1161</v>
      </c>
      <c r="DE888" s="15" t="str">
        <f>IFERROR(__xludf.DUMMYFUNCTION("""COMPUTED_VALUE"""),"{""value"":17.00,""unit"":""in""}")</f>
        <v>{"value":17.00,"unit":"in"}</v>
      </c>
      <c r="DF888" s="15" t="s">
        <v>4531</v>
      </c>
      <c r="DG888" s="15" t="str">
        <f>IFERROR(__xludf.DUMMYFUNCTION("""COMPUTED_VALUE"""),"{""value"":63.00,""unit"":""in""}")</f>
        <v>{"value":63.00,"unit":"in"}</v>
      </c>
      <c r="DH888" s="15">
        <v>0.0</v>
      </c>
      <c r="DI888" s="15">
        <v>0.0</v>
      </c>
      <c r="DJ888" s="15" t="s">
        <v>469</v>
      </c>
      <c r="DK888" s="15" t="s">
        <v>897</v>
      </c>
      <c r="DL888" s="15" t="str">
        <f>IFERROR(__xludf.DUMMYFUNCTION("""COMPUTED_VALUE"""),"Clean with water-based products only. Use mild detergent or upholstery shampoo.")</f>
        <v>Clean with water-based products only. Use mild detergent or upholstery shampoo.</v>
      </c>
      <c r="DM888" s="15" t="s">
        <v>898</v>
      </c>
      <c r="DN888" s="15" t="s">
        <v>419</v>
      </c>
      <c r="DO888" s="15">
        <v>0.0</v>
      </c>
      <c r="DP888" s="15" t="s">
        <v>419</v>
      </c>
      <c r="DQ888" s="15" t="s">
        <v>1239</v>
      </c>
      <c r="DR888" s="15">
        <v>0.0</v>
      </c>
      <c r="DT888" s="15" t="s">
        <v>721</v>
      </c>
      <c r="DU888" s="15" t="s">
        <v>419</v>
      </c>
      <c r="DV888" s="15">
        <v>0.0</v>
      </c>
      <c r="DW888" s="15">
        <v>0.0</v>
      </c>
      <c r="DX888" s="15">
        <v>0.0</v>
      </c>
      <c r="DY888" s="15">
        <v>0.0</v>
      </c>
      <c r="DZ888" s="15">
        <v>15000.0</v>
      </c>
      <c r="EA888" s="15" t="s">
        <v>470</v>
      </c>
      <c r="EB888" s="15" t="s">
        <v>723</v>
      </c>
      <c r="EC888" s="15" t="s">
        <v>724</v>
      </c>
      <c r="ED888" s="15">
        <v>1.0</v>
      </c>
      <c r="EE888" s="15">
        <v>3.0</v>
      </c>
      <c r="EF888" s="15" t="s">
        <v>471</v>
      </c>
      <c r="EG888" s="15" t="s">
        <v>472</v>
      </c>
      <c r="EH888" s="15" t="s">
        <v>9084</v>
      </c>
      <c r="EI888" s="15">
        <v>0.0</v>
      </c>
      <c r="EJ888" s="15" t="s">
        <v>473</v>
      </c>
      <c r="EK888" s="15" t="s">
        <v>474</v>
      </c>
      <c r="EL888" s="15" t="s">
        <v>467</v>
      </c>
      <c r="EM888" s="15" t="str">
        <f>IFERROR(__xludf.DUMMYFUNCTION("""COMPUTED_VALUE"""),"{""value"":19.00,""unit"":""in""}")</f>
        <v>{"value":19.00,"unit":"in"}</v>
      </c>
      <c r="EN888" s="15" t="s">
        <v>672</v>
      </c>
      <c r="ES888" s="15" t="s">
        <v>940</v>
      </c>
      <c r="EW888" s="15" t="s">
        <v>8108</v>
      </c>
      <c r="EY888" s="15" t="s">
        <v>9085</v>
      </c>
      <c r="FF888" s="15" t="s">
        <v>1239</v>
      </c>
      <c r="FL888" s="15" t="s">
        <v>426</v>
      </c>
    </row>
    <row r="889" ht="15.75" customHeight="1">
      <c r="A889" s="14" t="s">
        <v>391</v>
      </c>
      <c r="B889" s="15" t="s">
        <v>9096</v>
      </c>
      <c r="C889" s="16"/>
      <c r="D889" s="15" t="s">
        <v>432</v>
      </c>
      <c r="G889" s="14" t="s">
        <v>393</v>
      </c>
      <c r="H889" s="14" t="s">
        <v>394</v>
      </c>
      <c r="I889" s="14" t="b">
        <v>1</v>
      </c>
      <c r="J889" s="14" t="s">
        <v>395</v>
      </c>
      <c r="L889" s="14" t="b">
        <v>0</v>
      </c>
      <c r="M889" s="15" t="s">
        <v>9097</v>
      </c>
      <c r="N889" s="14" t="s">
        <v>393</v>
      </c>
      <c r="O889" s="14" t="s">
        <v>393</v>
      </c>
      <c r="P889" s="15" t="s">
        <v>397</v>
      </c>
      <c r="Q889" s="15" t="s">
        <v>6005</v>
      </c>
      <c r="T889" s="14" t="b">
        <v>0</v>
      </c>
      <c r="U889" s="15" t="s">
        <v>9098</v>
      </c>
      <c r="V889" s="15" t="s">
        <v>9099</v>
      </c>
      <c r="W889" s="15" t="s">
        <v>401</v>
      </c>
      <c r="X889" s="15" t="s">
        <v>742</v>
      </c>
      <c r="Y889" s="15">
        <v>819.0</v>
      </c>
      <c r="AA889" s="15" t="str">
        <f t="shared" si="1569"/>
        <v>315</v>
      </c>
      <c r="AB889" s="14" t="b">
        <v>1</v>
      </c>
      <c r="AC889" s="14" t="b">
        <v>1</v>
      </c>
      <c r="AD889" s="15" t="str">
        <f>"801542075897"</f>
        <v>801542075897</v>
      </c>
      <c r="AE889" s="15" t="s">
        <v>9100</v>
      </c>
      <c r="AF889" s="14" t="s">
        <v>404</v>
      </c>
      <c r="AG889" s="14" t="s">
        <v>405</v>
      </c>
      <c r="AH889" s="14" t="s">
        <v>406</v>
      </c>
      <c r="AI889" s="15">
        <v>0.0</v>
      </c>
      <c r="AL889" s="15" t="s">
        <v>9101</v>
      </c>
      <c r="AM889" s="15" t="s">
        <v>1177</v>
      </c>
      <c r="AN889" s="15" t="s">
        <v>1178</v>
      </c>
      <c r="AO889" s="15" t="s">
        <v>1177</v>
      </c>
      <c r="AP889" s="15" t="s">
        <v>1178</v>
      </c>
      <c r="AQ889" s="15" t="s">
        <v>1177</v>
      </c>
      <c r="AR889" s="15" t="s">
        <v>1178</v>
      </c>
      <c r="AS889" s="15" t="s">
        <v>2068</v>
      </c>
      <c r="AT889" s="15" t="s">
        <v>6005</v>
      </c>
      <c r="AU889" s="15" t="s">
        <v>838</v>
      </c>
      <c r="AW889" s="15" t="s">
        <v>1154</v>
      </c>
      <c r="AY889" s="15" t="s">
        <v>413</v>
      </c>
      <c r="AZ889" s="15" t="b">
        <v>0</v>
      </c>
      <c r="BA889" s="15" t="s">
        <v>413</v>
      </c>
      <c r="BB889" s="15" t="b">
        <v>0</v>
      </c>
      <c r="BC889" s="15" t="s">
        <v>9102</v>
      </c>
      <c r="BD889" s="15" t="s">
        <v>742</v>
      </c>
      <c r="BE889" s="15" t="str">
        <f t="shared" si="1562"/>
        <v>1</v>
      </c>
      <c r="BF889" s="15" t="s">
        <v>416</v>
      </c>
      <c r="BG889" s="15" t="str">
        <f>"33.07"</f>
        <v>33.07</v>
      </c>
      <c r="BH889" s="15" t="s">
        <v>1091</v>
      </c>
      <c r="BI889" s="15" t="str">
        <f>"27.56"</f>
        <v>27.56</v>
      </c>
      <c r="BJ889" s="15" t="s">
        <v>1780</v>
      </c>
      <c r="BK889" s="15" t="str">
        <f>"27.56"</f>
        <v>27.56</v>
      </c>
      <c r="BL889" s="15" t="s">
        <v>1780</v>
      </c>
      <c r="BM889" s="15" t="str">
        <f>"92.81"</f>
        <v>92.81</v>
      </c>
      <c r="BN889" s="15" t="s">
        <v>9103</v>
      </c>
      <c r="BQ889" s="15" t="s">
        <v>444</v>
      </c>
      <c r="BS889" s="15" t="s">
        <v>444</v>
      </c>
      <c r="BU889" s="15" t="s">
        <v>444</v>
      </c>
      <c r="BW889" s="15" t="s">
        <v>444</v>
      </c>
      <c r="BZ889" s="15" t="s">
        <v>444</v>
      </c>
      <c r="CB889" s="15" t="s">
        <v>444</v>
      </c>
      <c r="CD889" s="15" t="s">
        <v>444</v>
      </c>
      <c r="CF889" s="15" t="s">
        <v>444</v>
      </c>
      <c r="CI889" s="15" t="s">
        <v>444</v>
      </c>
      <c r="CK889" s="15" t="s">
        <v>444</v>
      </c>
      <c r="CM889" s="15" t="s">
        <v>444</v>
      </c>
      <c r="CO889" s="15" t="s">
        <v>444</v>
      </c>
      <c r="CP889" s="15" t="str">
        <f>"14.55"</f>
        <v>14.55</v>
      </c>
      <c r="CQ889" s="15" t="str">
        <f>"0.412"</f>
        <v>0.412</v>
      </c>
      <c r="CR889" s="15" t="s">
        <v>497</v>
      </c>
      <c r="CV889" s="15" t="s">
        <v>2652</v>
      </c>
      <c r="CW889" s="15" t="s">
        <v>1483</v>
      </c>
      <c r="CX889" s="15" t="s">
        <v>2652</v>
      </c>
      <c r="DC889" s="15" t="str">
        <f>IFERROR(__xludf.DUMMYFUNCTION("""COMPUTED_VALUE"""),"")</f>
        <v/>
      </c>
      <c r="DE889" s="15" t="str">
        <f>IFERROR(__xludf.DUMMYFUNCTION("""COMPUTED_VALUE"""),"")</f>
        <v/>
      </c>
      <c r="DG889" s="15" t="str">
        <f>IFERROR(__xludf.DUMMYFUNCTION("""COMPUTED_VALUE"""),"")</f>
        <v/>
      </c>
      <c r="DL889" s="15" t="str">
        <f>IFERROR(__xludf.DUMMYFUNCTION("""COMPUTED_VALUE"""),"")</f>
        <v/>
      </c>
      <c r="DM889" s="15" t="s">
        <v>444</v>
      </c>
      <c r="DN889" s="15" t="s">
        <v>1371</v>
      </c>
      <c r="DO889" s="15">
        <v>1.0</v>
      </c>
      <c r="DP889" s="15" t="s">
        <v>419</v>
      </c>
      <c r="DR889" s="15">
        <v>0.0</v>
      </c>
      <c r="DU889" s="15" t="s">
        <v>421</v>
      </c>
      <c r="DY889" s="15">
        <v>0.0</v>
      </c>
      <c r="EF889" s="15" t="s">
        <v>498</v>
      </c>
      <c r="EG889" s="15" t="s">
        <v>499</v>
      </c>
      <c r="EH889" s="15" t="s">
        <v>9104</v>
      </c>
      <c r="EJ889" s="15" t="s">
        <v>500</v>
      </c>
      <c r="EK889" s="15" t="s">
        <v>501</v>
      </c>
      <c r="EM889" s="15" t="str">
        <f>IFERROR(__xludf.DUMMYFUNCTION("""COMPUTED_VALUE"""),"")</f>
        <v/>
      </c>
      <c r="EW889" s="15" t="s">
        <v>1430</v>
      </c>
      <c r="EX889" s="15" t="s">
        <v>3927</v>
      </c>
      <c r="EY889" s="15" t="s">
        <v>3927</v>
      </c>
      <c r="FH889" s="15" t="s">
        <v>2652</v>
      </c>
      <c r="FI889" s="15" t="s">
        <v>2652</v>
      </c>
      <c r="FJ889" s="15" t="s">
        <v>2652</v>
      </c>
      <c r="FK889" s="15" t="s">
        <v>7183</v>
      </c>
      <c r="FL889" s="15" t="s">
        <v>426</v>
      </c>
      <c r="FM889" s="15">
        <v>1.0</v>
      </c>
      <c r="FN889" s="15">
        <v>0.0</v>
      </c>
      <c r="FY889" s="15" t="s">
        <v>761</v>
      </c>
      <c r="FZ889" s="15" t="s">
        <v>4256</v>
      </c>
      <c r="GA889" s="15" t="s">
        <v>1603</v>
      </c>
      <c r="GQ889" s="15" t="s">
        <v>5571</v>
      </c>
      <c r="GS889" s="15" t="s">
        <v>2969</v>
      </c>
      <c r="GU889" s="15" t="s">
        <v>1488</v>
      </c>
      <c r="GW889" s="15" t="s">
        <v>838</v>
      </c>
    </row>
    <row r="890" ht="15.75" customHeight="1">
      <c r="A890" s="14" t="s">
        <v>391</v>
      </c>
      <c r="B890" s="15" t="s">
        <v>9105</v>
      </c>
      <c r="C890" s="16"/>
      <c r="D890" s="15" t="s">
        <v>432</v>
      </c>
      <c r="G890" s="14" t="s">
        <v>393</v>
      </c>
      <c r="H890" s="14" t="s">
        <v>394</v>
      </c>
      <c r="I890" s="14" t="b">
        <v>1</v>
      </c>
      <c r="J890" s="14" t="s">
        <v>395</v>
      </c>
      <c r="L890" s="14" t="b">
        <v>0</v>
      </c>
      <c r="M890" s="15" t="s">
        <v>9106</v>
      </c>
      <c r="N890" s="14" t="s">
        <v>393</v>
      </c>
      <c r="O890" s="14" t="s">
        <v>393</v>
      </c>
      <c r="P890" s="15" t="s">
        <v>397</v>
      </c>
      <c r="Q890" s="15" t="s">
        <v>838</v>
      </c>
      <c r="T890" s="14" t="b">
        <v>0</v>
      </c>
      <c r="U890" s="15" t="s">
        <v>9107</v>
      </c>
      <c r="V890" s="15" t="s">
        <v>6673</v>
      </c>
      <c r="W890" s="15" t="s">
        <v>401</v>
      </c>
      <c r="X890" s="15" t="s">
        <v>742</v>
      </c>
      <c r="Y890" s="15">
        <v>1976.0</v>
      </c>
      <c r="AA890" s="15" t="str">
        <f>"760"</f>
        <v>760</v>
      </c>
      <c r="AB890" s="14" t="b">
        <v>1</v>
      </c>
      <c r="AC890" s="14" t="b">
        <v>1</v>
      </c>
      <c r="AD890" s="15" t="str">
        <f>"801542075903"</f>
        <v>801542075903</v>
      </c>
      <c r="AE890" s="15" t="s">
        <v>9108</v>
      </c>
      <c r="AF890" s="14" t="s">
        <v>404</v>
      </c>
      <c r="AG890" s="14" t="s">
        <v>405</v>
      </c>
      <c r="AH890" s="14" t="s">
        <v>406</v>
      </c>
      <c r="AI890" s="15">
        <v>0.0</v>
      </c>
      <c r="AL890" s="15" t="s">
        <v>2058</v>
      </c>
      <c r="AM890" s="15" t="s">
        <v>6215</v>
      </c>
      <c r="AN890" s="15" t="s">
        <v>6216</v>
      </c>
      <c r="AO890" s="15" t="s">
        <v>1007</v>
      </c>
      <c r="AP890" s="15" t="s">
        <v>1008</v>
      </c>
      <c r="AQ890" s="15" t="s">
        <v>1472</v>
      </c>
      <c r="AR890" s="15" t="s">
        <v>1473</v>
      </c>
      <c r="AS890" s="15" t="s">
        <v>2068</v>
      </c>
      <c r="AT890" s="15" t="s">
        <v>838</v>
      </c>
      <c r="AW890" s="15" t="s">
        <v>602</v>
      </c>
      <c r="AY890" s="15" t="s">
        <v>413</v>
      </c>
      <c r="AZ890" s="15" t="b">
        <v>0</v>
      </c>
      <c r="BA890" s="15" t="s">
        <v>413</v>
      </c>
      <c r="BB890" s="15" t="b">
        <v>0</v>
      </c>
      <c r="BC890" s="15" t="s">
        <v>9109</v>
      </c>
      <c r="BD890" s="15" t="s">
        <v>742</v>
      </c>
      <c r="BE890" s="15" t="str">
        <f t="shared" si="1562"/>
        <v>1</v>
      </c>
      <c r="BF890" s="15" t="s">
        <v>416</v>
      </c>
      <c r="BG890" s="15" t="str">
        <f>"72.44"</f>
        <v>72.44</v>
      </c>
      <c r="BH890" s="15" t="s">
        <v>9110</v>
      </c>
      <c r="BI890" s="15" t="str">
        <f>"21.65"</f>
        <v>21.65</v>
      </c>
      <c r="BJ890" s="15" t="s">
        <v>1506</v>
      </c>
      <c r="BK890" s="15" t="str">
        <f>"35.04"</f>
        <v>35.04</v>
      </c>
      <c r="BL890" s="15" t="s">
        <v>1404</v>
      </c>
      <c r="BM890" s="15" t="str">
        <f>"233.69"</f>
        <v>233.69</v>
      </c>
      <c r="BN890" s="15" t="s">
        <v>568</v>
      </c>
      <c r="BQ890" s="15" t="s">
        <v>444</v>
      </c>
      <c r="BS890" s="15" t="s">
        <v>444</v>
      </c>
      <c r="BU890" s="15" t="s">
        <v>444</v>
      </c>
      <c r="BW890" s="15" t="s">
        <v>444</v>
      </c>
      <c r="BZ890" s="15" t="s">
        <v>444</v>
      </c>
      <c r="CB890" s="15" t="s">
        <v>444</v>
      </c>
      <c r="CD890" s="15" t="s">
        <v>444</v>
      </c>
      <c r="CF890" s="15" t="s">
        <v>444</v>
      </c>
      <c r="CI890" s="15" t="s">
        <v>444</v>
      </c>
      <c r="CK890" s="15" t="s">
        <v>444</v>
      </c>
      <c r="CM890" s="15" t="s">
        <v>444</v>
      </c>
      <c r="CO890" s="15" t="s">
        <v>444</v>
      </c>
      <c r="CP890" s="15" t="str">
        <f>"31.82"</f>
        <v>31.82</v>
      </c>
      <c r="CQ890" s="15" t="str">
        <f>"0.901"</f>
        <v>0.901</v>
      </c>
      <c r="CR890" s="15" t="s">
        <v>497</v>
      </c>
      <c r="CS890" s="15" t="s">
        <v>1161</v>
      </c>
      <c r="CT890" s="15" t="s">
        <v>1188</v>
      </c>
      <c r="CU890" s="15" t="s">
        <v>1739</v>
      </c>
      <c r="CV890" s="15" t="s">
        <v>1161</v>
      </c>
      <c r="CW890" s="15" t="s">
        <v>2473</v>
      </c>
      <c r="CX890" s="15" t="s">
        <v>1739</v>
      </c>
      <c r="DC890" s="15" t="str">
        <f>IFERROR(__xludf.DUMMYFUNCTION("""COMPUTED_VALUE"""),"")</f>
        <v/>
      </c>
      <c r="DE890" s="15" t="str">
        <f>IFERROR(__xludf.DUMMYFUNCTION("""COMPUTED_VALUE"""),"")</f>
        <v/>
      </c>
      <c r="DG890" s="15" t="str">
        <f>IFERROR(__xludf.DUMMYFUNCTION("""COMPUTED_VALUE"""),"")</f>
        <v/>
      </c>
      <c r="DL890" s="15" t="str">
        <f>IFERROR(__xludf.DUMMYFUNCTION("""COMPUTED_VALUE"""),"")</f>
        <v/>
      </c>
      <c r="DM890" s="15" t="s">
        <v>444</v>
      </c>
      <c r="DN890" s="15" t="s">
        <v>1371</v>
      </c>
      <c r="DO890" s="15">
        <v>4.0</v>
      </c>
      <c r="DP890" s="15" t="s">
        <v>419</v>
      </c>
      <c r="DR890" s="15">
        <v>2.0</v>
      </c>
      <c r="DS890" s="15" t="s">
        <v>426</v>
      </c>
      <c r="DU890" s="15" t="s">
        <v>610</v>
      </c>
      <c r="DW890" s="15">
        <v>18.14</v>
      </c>
      <c r="DX890" s="15">
        <v>40.0</v>
      </c>
      <c r="DY890" s="15">
        <v>0.0</v>
      </c>
      <c r="EG890" s="15" t="s">
        <v>444</v>
      </c>
      <c r="EH890" s="15" t="s">
        <v>9104</v>
      </c>
      <c r="EK890" s="15" t="s">
        <v>444</v>
      </c>
      <c r="EM890" s="15" t="str">
        <f>IFERROR(__xludf.DUMMYFUNCTION("""COMPUTED_VALUE"""),"")</f>
        <v/>
      </c>
      <c r="EW890" s="15" t="s">
        <v>2050</v>
      </c>
      <c r="FL890" s="15" t="s">
        <v>426</v>
      </c>
      <c r="FM890" s="15">
        <v>4.0</v>
      </c>
      <c r="FY890" s="15" t="s">
        <v>1070</v>
      </c>
      <c r="FZ890" s="15" t="s">
        <v>2046</v>
      </c>
      <c r="GA890" s="15" t="s">
        <v>2020</v>
      </c>
      <c r="GF890" s="15" t="s">
        <v>426</v>
      </c>
      <c r="GG890" s="15" t="s">
        <v>785</v>
      </c>
      <c r="GH890" s="15">
        <v>4.0</v>
      </c>
      <c r="GI890" s="15" t="s">
        <v>3133</v>
      </c>
      <c r="GJ890" s="15" t="s">
        <v>615</v>
      </c>
      <c r="GN890" s="15" t="s">
        <v>3722</v>
      </c>
      <c r="GQ890" s="15" t="s">
        <v>2020</v>
      </c>
      <c r="GS890" s="15" t="s">
        <v>1444</v>
      </c>
      <c r="GU890" s="15" t="s">
        <v>2159</v>
      </c>
      <c r="GW890" s="15" t="s">
        <v>838</v>
      </c>
      <c r="HD890" s="15">
        <v>0.0</v>
      </c>
    </row>
    <row r="891" ht="15.75" customHeight="1">
      <c r="A891" s="14" t="s">
        <v>391</v>
      </c>
      <c r="B891" s="15" t="s">
        <v>9111</v>
      </c>
      <c r="C891" s="16"/>
      <c r="D891" s="15" t="s">
        <v>432</v>
      </c>
      <c r="G891" s="14" t="s">
        <v>393</v>
      </c>
      <c r="H891" s="14" t="s">
        <v>394</v>
      </c>
      <c r="I891" s="14" t="b">
        <v>1</v>
      </c>
      <c r="J891" s="14" t="s">
        <v>395</v>
      </c>
      <c r="L891" s="14" t="b">
        <v>0</v>
      </c>
      <c r="M891" s="15" t="s">
        <v>9112</v>
      </c>
      <c r="N891" s="14" t="s">
        <v>393</v>
      </c>
      <c r="O891" s="14" t="s">
        <v>393</v>
      </c>
      <c r="P891" s="15" t="s">
        <v>397</v>
      </c>
      <c r="Q891" s="15" t="s">
        <v>838</v>
      </c>
      <c r="T891" s="14" t="b">
        <v>0</v>
      </c>
      <c r="U891" s="15" t="s">
        <v>9113</v>
      </c>
      <c r="V891" s="15" t="s">
        <v>9114</v>
      </c>
      <c r="W891" s="15" t="s">
        <v>401</v>
      </c>
      <c r="X891" s="15" t="s">
        <v>742</v>
      </c>
      <c r="Y891" s="15">
        <v>1313.0</v>
      </c>
      <c r="AA891" s="15" t="str">
        <f>"505"</f>
        <v>505</v>
      </c>
      <c r="AB891" s="14" t="b">
        <v>1</v>
      </c>
      <c r="AC891" s="14" t="b">
        <v>1</v>
      </c>
      <c r="AD891" s="15" t="str">
        <f>"801542629229"</f>
        <v>801542629229</v>
      </c>
      <c r="AE891" s="15" t="s">
        <v>9115</v>
      </c>
      <c r="AF891" s="14" t="s">
        <v>404</v>
      </c>
      <c r="AG891" s="14" t="s">
        <v>405</v>
      </c>
      <c r="AH891" s="14" t="s">
        <v>406</v>
      </c>
      <c r="AI891" s="15">
        <v>0.0</v>
      </c>
      <c r="AL891" s="15" t="s">
        <v>2058</v>
      </c>
      <c r="AM891" s="15" t="s">
        <v>1085</v>
      </c>
      <c r="AN891" s="15" t="s">
        <v>1086</v>
      </c>
      <c r="AO891" s="15" t="s">
        <v>1874</v>
      </c>
      <c r="AP891" s="15" t="s">
        <v>1875</v>
      </c>
      <c r="AQ891" s="15" t="s">
        <v>546</v>
      </c>
      <c r="AR891" s="15" t="s">
        <v>547</v>
      </c>
      <c r="AS891" s="15" t="s">
        <v>2068</v>
      </c>
      <c r="AT891" s="15" t="s">
        <v>838</v>
      </c>
      <c r="AU891" s="15" t="s">
        <v>2064</v>
      </c>
      <c r="AW891" s="15" t="s">
        <v>628</v>
      </c>
      <c r="AY891" s="15" t="s">
        <v>413</v>
      </c>
      <c r="AZ891" s="15" t="b">
        <v>0</v>
      </c>
      <c r="BA891" s="15" t="s">
        <v>413</v>
      </c>
      <c r="BB891" s="15" t="b">
        <v>0</v>
      </c>
      <c r="BC891" s="15" t="s">
        <v>9116</v>
      </c>
      <c r="BD891" s="15" t="s">
        <v>742</v>
      </c>
      <c r="BE891" s="15" t="str">
        <f t="shared" si="1562"/>
        <v>1</v>
      </c>
      <c r="BF891" s="15" t="s">
        <v>416</v>
      </c>
      <c r="BG891" s="15" t="str">
        <f>"33"</f>
        <v>33</v>
      </c>
      <c r="BH891" s="15" t="s">
        <v>518</v>
      </c>
      <c r="BI891" s="15" t="str">
        <f>"22"</f>
        <v>22</v>
      </c>
      <c r="BJ891" s="15" t="s">
        <v>1562</v>
      </c>
      <c r="BK891" s="15" t="str">
        <f>"40.5"</f>
        <v>40.5</v>
      </c>
      <c r="BL891" s="15" t="s">
        <v>2417</v>
      </c>
      <c r="BM891" s="15" t="str">
        <f>"146.61"</f>
        <v>146.61</v>
      </c>
      <c r="BN891" s="15" t="s">
        <v>5285</v>
      </c>
      <c r="BQ891" s="15" t="s">
        <v>444</v>
      </c>
      <c r="BS891" s="15" t="s">
        <v>444</v>
      </c>
      <c r="BU891" s="15" t="s">
        <v>444</v>
      </c>
      <c r="BW891" s="15" t="s">
        <v>444</v>
      </c>
      <c r="BZ891" s="15" t="s">
        <v>444</v>
      </c>
      <c r="CB891" s="15" t="s">
        <v>444</v>
      </c>
      <c r="CD891" s="15" t="s">
        <v>444</v>
      </c>
      <c r="CF891" s="15" t="s">
        <v>444</v>
      </c>
      <c r="CI891" s="15" t="s">
        <v>444</v>
      </c>
      <c r="CK891" s="15" t="s">
        <v>444</v>
      </c>
      <c r="CM891" s="15" t="s">
        <v>444</v>
      </c>
      <c r="CO891" s="15" t="s">
        <v>444</v>
      </c>
      <c r="CP891" s="15" t="str">
        <f>"17.02"</f>
        <v>17.02</v>
      </c>
      <c r="CQ891" s="15" t="str">
        <f>"0.482"</f>
        <v>0.482</v>
      </c>
      <c r="CR891" s="15" t="s">
        <v>465</v>
      </c>
      <c r="CV891" s="15" t="s">
        <v>1161</v>
      </c>
      <c r="CW891" s="15" t="s">
        <v>1327</v>
      </c>
      <c r="CX891" s="15" t="s">
        <v>9117</v>
      </c>
      <c r="DC891" s="15" t="str">
        <f>IFERROR(__xludf.DUMMYFUNCTION("""COMPUTED_VALUE"""),"")</f>
        <v/>
      </c>
      <c r="DE891" s="15" t="str">
        <f>IFERROR(__xludf.DUMMYFUNCTION("""COMPUTED_VALUE"""),"")</f>
        <v/>
      </c>
      <c r="DG891" s="15" t="str">
        <f>IFERROR(__xludf.DUMMYFUNCTION("""COMPUTED_VALUE"""),"")</f>
        <v/>
      </c>
      <c r="DL891" s="15" t="str">
        <f>IFERROR(__xludf.DUMMYFUNCTION("""COMPUTED_VALUE"""),"")</f>
        <v/>
      </c>
      <c r="DM891" s="15" t="s">
        <v>444</v>
      </c>
      <c r="DN891" s="15" t="s">
        <v>1371</v>
      </c>
      <c r="DO891" s="15">
        <v>2.0</v>
      </c>
      <c r="DP891" s="15" t="s">
        <v>419</v>
      </c>
      <c r="DR891" s="15">
        <v>0.0</v>
      </c>
      <c r="DU891" s="15" t="s">
        <v>421</v>
      </c>
      <c r="DY891" s="15">
        <v>0.0</v>
      </c>
      <c r="EF891" s="15" t="s">
        <v>471</v>
      </c>
      <c r="EG891" s="15" t="s">
        <v>472</v>
      </c>
      <c r="EH891" s="15" t="s">
        <v>9104</v>
      </c>
      <c r="EJ891" s="15" t="s">
        <v>500</v>
      </c>
      <c r="EK891" s="15" t="s">
        <v>501</v>
      </c>
      <c r="EM891" s="15" t="str">
        <f>IFERROR(__xludf.DUMMYFUNCTION("""COMPUTED_VALUE"""),"")</f>
        <v/>
      </c>
      <c r="EW891" s="15" t="s">
        <v>1444</v>
      </c>
      <c r="FL891" s="15" t="s">
        <v>426</v>
      </c>
      <c r="FM891" s="15">
        <v>1.0</v>
      </c>
      <c r="FY891" s="15" t="s">
        <v>5482</v>
      </c>
      <c r="FZ891" s="15" t="s">
        <v>1309</v>
      </c>
      <c r="GA891" s="15" t="s">
        <v>9117</v>
      </c>
      <c r="GG891" s="15" t="s">
        <v>785</v>
      </c>
      <c r="GH891" s="15">
        <v>1.0</v>
      </c>
      <c r="GI891" s="15" t="s">
        <v>3501</v>
      </c>
      <c r="GJ891" s="15" t="s">
        <v>786</v>
      </c>
      <c r="GN891" s="15" t="s">
        <v>3722</v>
      </c>
      <c r="GQ891" s="15" t="s">
        <v>2069</v>
      </c>
      <c r="GR891" s="15" t="s">
        <v>2069</v>
      </c>
      <c r="GS891" s="15" t="s">
        <v>3052</v>
      </c>
      <c r="GT891" s="15" t="s">
        <v>2651</v>
      </c>
      <c r="GU891" s="15" t="s">
        <v>984</v>
      </c>
      <c r="GV891" s="15" t="s">
        <v>984</v>
      </c>
      <c r="GW891" s="15" t="s">
        <v>838</v>
      </c>
    </row>
    <row r="892" ht="15.75" customHeight="1">
      <c r="A892" s="14" t="s">
        <v>391</v>
      </c>
      <c r="B892" s="15" t="s">
        <v>9118</v>
      </c>
      <c r="C892" s="16"/>
      <c r="D892" s="15" t="s">
        <v>432</v>
      </c>
      <c r="G892" s="14" t="s">
        <v>393</v>
      </c>
      <c r="H892" s="14" t="s">
        <v>394</v>
      </c>
      <c r="I892" s="14" t="b">
        <v>1</v>
      </c>
      <c r="J892" s="14" t="s">
        <v>395</v>
      </c>
      <c r="L892" s="14" t="b">
        <v>0</v>
      </c>
      <c r="M892" s="15" t="s">
        <v>9119</v>
      </c>
      <c r="N892" s="14" t="s">
        <v>393</v>
      </c>
      <c r="O892" s="14" t="s">
        <v>393</v>
      </c>
      <c r="P892" s="15" t="s">
        <v>397</v>
      </c>
      <c r="Q892" s="15" t="s">
        <v>9120</v>
      </c>
      <c r="T892" s="14" t="b">
        <v>0</v>
      </c>
      <c r="U892" s="15" t="s">
        <v>9121</v>
      </c>
      <c r="V892" s="15" t="s">
        <v>9122</v>
      </c>
      <c r="W892" s="15" t="s">
        <v>401</v>
      </c>
      <c r="X892" s="15" t="s">
        <v>742</v>
      </c>
      <c r="Y892" s="15">
        <v>1430.0</v>
      </c>
      <c r="AA892" s="15" t="str">
        <f>"550"</f>
        <v>550</v>
      </c>
      <c r="AB892" s="14" t="b">
        <v>1</v>
      </c>
      <c r="AC892" s="14" t="b">
        <v>1</v>
      </c>
      <c r="AD892" s="15" t="str">
        <f>"801542703608"</f>
        <v>801542703608</v>
      </c>
      <c r="AE892" s="15" t="s">
        <v>9123</v>
      </c>
      <c r="AF892" s="14" t="s">
        <v>404</v>
      </c>
      <c r="AG892" s="14" t="s">
        <v>405</v>
      </c>
      <c r="AH892" s="14" t="s">
        <v>406</v>
      </c>
      <c r="AI892" s="15">
        <v>0.0</v>
      </c>
      <c r="AL892" s="15" t="s">
        <v>9124</v>
      </c>
      <c r="AM892" s="15" t="s">
        <v>2372</v>
      </c>
      <c r="AN892" s="15" t="s">
        <v>2373</v>
      </c>
      <c r="AO892" s="15" t="s">
        <v>2372</v>
      </c>
      <c r="AP892" s="15" t="s">
        <v>2373</v>
      </c>
      <c r="AQ892" s="15" t="s">
        <v>2039</v>
      </c>
      <c r="AR892" s="15" t="s">
        <v>2040</v>
      </c>
      <c r="AS892" s="15" t="s">
        <v>9125</v>
      </c>
      <c r="AT892" s="15" t="s">
        <v>9120</v>
      </c>
      <c r="AU892" s="15" t="s">
        <v>4336</v>
      </c>
      <c r="AW892" s="15" t="s">
        <v>491</v>
      </c>
      <c r="AY892" s="15" t="s">
        <v>413</v>
      </c>
      <c r="AZ892" s="15" t="b">
        <v>0</v>
      </c>
      <c r="BA892" s="15" t="s">
        <v>413</v>
      </c>
      <c r="BB892" s="15" t="b">
        <v>0</v>
      </c>
      <c r="BC892" s="15" t="s">
        <v>9126</v>
      </c>
      <c r="BD892" s="15" t="s">
        <v>742</v>
      </c>
      <c r="BE892" s="15" t="str">
        <f t="shared" si="1562"/>
        <v>1</v>
      </c>
      <c r="BF892" s="15" t="s">
        <v>416</v>
      </c>
      <c r="BG892" s="15" t="str">
        <f>"42.13"</f>
        <v>42.13</v>
      </c>
      <c r="BH892" s="15" t="s">
        <v>3794</v>
      </c>
      <c r="BI892" s="15" t="str">
        <f>"42.13"</f>
        <v>42.13</v>
      </c>
      <c r="BJ892" s="15" t="s">
        <v>3794</v>
      </c>
      <c r="BK892" s="15" t="str">
        <f>"8.46"</f>
        <v>8.46</v>
      </c>
      <c r="BL892" s="15" t="s">
        <v>7847</v>
      </c>
      <c r="BM892" s="15" t="str">
        <f>"112.44"</f>
        <v>112.44</v>
      </c>
      <c r="BN892" s="15" t="s">
        <v>2462</v>
      </c>
      <c r="BQ892" s="15" t="s">
        <v>444</v>
      </c>
      <c r="BS892" s="15" t="s">
        <v>444</v>
      </c>
      <c r="BU892" s="15" t="s">
        <v>444</v>
      </c>
      <c r="BW892" s="15" t="s">
        <v>444</v>
      </c>
      <c r="BZ892" s="15" t="s">
        <v>444</v>
      </c>
      <c r="CB892" s="15" t="s">
        <v>444</v>
      </c>
      <c r="CD892" s="15" t="s">
        <v>444</v>
      </c>
      <c r="CF892" s="15" t="s">
        <v>444</v>
      </c>
      <c r="CI892" s="15" t="s">
        <v>444</v>
      </c>
      <c r="CK892" s="15" t="s">
        <v>444</v>
      </c>
      <c r="CM892" s="15" t="s">
        <v>444</v>
      </c>
      <c r="CO892" s="15" t="s">
        <v>444</v>
      </c>
      <c r="CP892" s="15" t="str">
        <f>"8.69"</f>
        <v>8.69</v>
      </c>
      <c r="CQ892" s="15" t="str">
        <f>"0.246"</f>
        <v>0.246</v>
      </c>
      <c r="CR892" s="15" t="s">
        <v>465</v>
      </c>
      <c r="DC892" s="15" t="str">
        <f>IFERROR(__xludf.DUMMYFUNCTION("""COMPUTED_VALUE"""),"")</f>
        <v/>
      </c>
      <c r="DE892" s="15" t="str">
        <f>IFERROR(__xludf.DUMMYFUNCTION("""COMPUTED_VALUE"""),"")</f>
        <v/>
      </c>
      <c r="DG892" s="15" t="str">
        <f>IFERROR(__xludf.DUMMYFUNCTION("""COMPUTED_VALUE"""),"")</f>
        <v/>
      </c>
      <c r="DL892" s="15" t="str">
        <f>IFERROR(__xludf.DUMMYFUNCTION("""COMPUTED_VALUE"""),"")</f>
        <v/>
      </c>
      <c r="DM892" s="15" t="s">
        <v>444</v>
      </c>
      <c r="DN892" s="15" t="s">
        <v>419</v>
      </c>
      <c r="DO892" s="15">
        <v>0.0</v>
      </c>
      <c r="DP892" s="15" t="s">
        <v>419</v>
      </c>
      <c r="DR892" s="15">
        <v>0.0</v>
      </c>
      <c r="DU892" s="15" t="s">
        <v>419</v>
      </c>
      <c r="DY892" s="15">
        <v>0.0</v>
      </c>
      <c r="EF892" s="15" t="s">
        <v>1157</v>
      </c>
      <c r="EG892" s="15" t="s">
        <v>1158</v>
      </c>
      <c r="EH892" s="15" t="s">
        <v>9127</v>
      </c>
      <c r="EJ892" s="15" t="s">
        <v>500</v>
      </c>
      <c r="EK892" s="15" t="s">
        <v>501</v>
      </c>
      <c r="EM892" s="15" t="str">
        <f>IFERROR(__xludf.DUMMYFUNCTION("""COMPUTED_VALUE"""),"")</f>
        <v/>
      </c>
      <c r="EW892" s="15" t="s">
        <v>1287</v>
      </c>
      <c r="FH892" s="15" t="s">
        <v>9128</v>
      </c>
      <c r="FI892" s="15" t="s">
        <v>1287</v>
      </c>
      <c r="FJ892" s="15" t="s">
        <v>9128</v>
      </c>
      <c r="FK892" s="15" t="s">
        <v>784</v>
      </c>
      <c r="FM892" s="15">
        <v>0.0</v>
      </c>
      <c r="FN892" s="15">
        <v>0.0</v>
      </c>
      <c r="FW892" s="15" t="s">
        <v>9129</v>
      </c>
    </row>
    <row r="893" ht="15.75" customHeight="1">
      <c r="A893" s="14" t="s">
        <v>391</v>
      </c>
      <c r="B893" s="15" t="s">
        <v>9130</v>
      </c>
      <c r="C893" s="16"/>
      <c r="D893" s="15" t="s">
        <v>432</v>
      </c>
      <c r="G893" s="14" t="s">
        <v>393</v>
      </c>
      <c r="H893" s="14" t="s">
        <v>394</v>
      </c>
      <c r="I893" s="14" t="b">
        <v>1</v>
      </c>
      <c r="J893" s="14" t="s">
        <v>395</v>
      </c>
      <c r="L893" s="14" t="b">
        <v>0</v>
      </c>
      <c r="M893" s="15" t="s">
        <v>9131</v>
      </c>
      <c r="N893" s="14" t="s">
        <v>393</v>
      </c>
      <c r="O893" s="14" t="s">
        <v>393</v>
      </c>
      <c r="P893" s="15" t="s">
        <v>397</v>
      </c>
      <c r="Q893" s="15" t="s">
        <v>6501</v>
      </c>
      <c r="R893" s="15" t="s">
        <v>265</v>
      </c>
      <c r="S893" s="15" t="s">
        <v>2088</v>
      </c>
      <c r="T893" s="14" t="b">
        <v>0</v>
      </c>
      <c r="U893" s="15" t="s">
        <v>9132</v>
      </c>
      <c r="V893" s="15" t="s">
        <v>8001</v>
      </c>
      <c r="W893" s="15" t="s">
        <v>401</v>
      </c>
      <c r="X893" s="15" t="s">
        <v>742</v>
      </c>
      <c r="Y893" s="15">
        <v>1755.0</v>
      </c>
      <c r="AA893" s="15" t="str">
        <f>"675"</f>
        <v>675</v>
      </c>
      <c r="AB893" s="14" t="b">
        <v>1</v>
      </c>
      <c r="AC893" s="14" t="b">
        <v>1</v>
      </c>
      <c r="AD893" s="15" t="str">
        <f>"801542223885"</f>
        <v>801542223885</v>
      </c>
      <c r="AE893" s="15" t="s">
        <v>9133</v>
      </c>
      <c r="AF893" s="14" t="s">
        <v>404</v>
      </c>
      <c r="AG893" s="14" t="s">
        <v>405</v>
      </c>
      <c r="AH893" s="14" t="s">
        <v>406</v>
      </c>
      <c r="AI893" s="15">
        <v>0.0</v>
      </c>
      <c r="AL893" s="15" t="s">
        <v>1298</v>
      </c>
      <c r="AM893" s="15" t="s">
        <v>2088</v>
      </c>
      <c r="AN893" s="15" t="s">
        <v>2089</v>
      </c>
      <c r="AO893" s="15" t="s">
        <v>2088</v>
      </c>
      <c r="AP893" s="15" t="s">
        <v>2089</v>
      </c>
      <c r="AQ893" s="15" t="s">
        <v>9134</v>
      </c>
      <c r="AR893" s="15" t="s">
        <v>9135</v>
      </c>
      <c r="AS893" s="15" t="s">
        <v>1474</v>
      </c>
      <c r="AT893" s="15" t="s">
        <v>6501</v>
      </c>
      <c r="AW893" s="15" t="s">
        <v>491</v>
      </c>
      <c r="AY893" s="15" t="s">
        <v>413</v>
      </c>
      <c r="AZ893" s="15" t="b">
        <v>0</v>
      </c>
      <c r="BA893" s="15" t="s">
        <v>413</v>
      </c>
      <c r="BB893" s="15" t="b">
        <v>0</v>
      </c>
      <c r="BC893" s="15" t="s">
        <v>9136</v>
      </c>
      <c r="BD893" s="15" t="s">
        <v>742</v>
      </c>
      <c r="BE893" s="15" t="str">
        <f t="shared" si="1562"/>
        <v>1</v>
      </c>
      <c r="BF893" s="15" t="s">
        <v>416</v>
      </c>
      <c r="BG893" s="15" t="str">
        <f>"51.77"</f>
        <v>51.77</v>
      </c>
      <c r="BH893" s="15" t="s">
        <v>8954</v>
      </c>
      <c r="BI893" s="15" t="str">
        <f>"51.77"</f>
        <v>51.77</v>
      </c>
      <c r="BJ893" s="15" t="s">
        <v>8954</v>
      </c>
      <c r="BK893" s="15" t="str">
        <f t="shared" ref="BK893:BK896" si="1570">"16.93"</f>
        <v>16.93</v>
      </c>
      <c r="BL893" s="15" t="s">
        <v>7091</v>
      </c>
      <c r="BM893" s="15" t="str">
        <f>"132.28"</f>
        <v>132.28</v>
      </c>
      <c r="BN893" s="15" t="s">
        <v>2175</v>
      </c>
      <c r="BQ893" s="15" t="s">
        <v>444</v>
      </c>
      <c r="BS893" s="15" t="s">
        <v>444</v>
      </c>
      <c r="BU893" s="15" t="s">
        <v>444</v>
      </c>
      <c r="BW893" s="15" t="s">
        <v>444</v>
      </c>
      <c r="BZ893" s="15" t="s">
        <v>444</v>
      </c>
      <c r="CB893" s="15" t="s">
        <v>444</v>
      </c>
      <c r="CD893" s="15" t="s">
        <v>444</v>
      </c>
      <c r="CF893" s="15" t="s">
        <v>444</v>
      </c>
      <c r="CI893" s="15" t="s">
        <v>444</v>
      </c>
      <c r="CK893" s="15" t="s">
        <v>444</v>
      </c>
      <c r="CM893" s="15" t="s">
        <v>444</v>
      </c>
      <c r="CO893" s="15" t="s">
        <v>444</v>
      </c>
      <c r="CP893" s="15" t="str">
        <f>"26.27"</f>
        <v>26.27</v>
      </c>
      <c r="CQ893" s="15" t="str">
        <f>"0.744"</f>
        <v>0.744</v>
      </c>
      <c r="CR893" s="15" t="s">
        <v>465</v>
      </c>
      <c r="DC893" s="15" t="str">
        <f>IFERROR(__xludf.DUMMYFUNCTION("""COMPUTED_VALUE"""),"")</f>
        <v/>
      </c>
      <c r="DE893" s="15" t="str">
        <f>IFERROR(__xludf.DUMMYFUNCTION("""COMPUTED_VALUE"""),"")</f>
        <v/>
      </c>
      <c r="DG893" s="15" t="str">
        <f>IFERROR(__xludf.DUMMYFUNCTION("""COMPUTED_VALUE"""),"")</f>
        <v/>
      </c>
      <c r="DL893" s="15" t="str">
        <f>IFERROR(__xludf.DUMMYFUNCTION("""COMPUTED_VALUE"""),"")</f>
        <v/>
      </c>
      <c r="DM893" s="15" t="s">
        <v>444</v>
      </c>
      <c r="DN893" s="15" t="s">
        <v>419</v>
      </c>
      <c r="DO893" s="15">
        <v>0.0</v>
      </c>
      <c r="DP893" s="15" t="s">
        <v>419</v>
      </c>
      <c r="DR893" s="15">
        <v>0.0</v>
      </c>
      <c r="DT893" s="15" t="s">
        <v>721</v>
      </c>
      <c r="DU893" s="15" t="s">
        <v>419</v>
      </c>
      <c r="DY893" s="15">
        <v>0.0</v>
      </c>
      <c r="EF893" s="15" t="s">
        <v>1157</v>
      </c>
      <c r="EG893" s="15" t="s">
        <v>1158</v>
      </c>
      <c r="EH893" s="15" t="s">
        <v>9137</v>
      </c>
      <c r="EJ893" s="15" t="s">
        <v>500</v>
      </c>
      <c r="EK893" s="15" t="s">
        <v>501</v>
      </c>
      <c r="EM893" s="15" t="str">
        <f>IFERROR(__xludf.DUMMYFUNCTION("""COMPUTED_VALUE"""),"")</f>
        <v/>
      </c>
      <c r="EW893" s="15" t="s">
        <v>985</v>
      </c>
      <c r="EX893" s="15" t="s">
        <v>5559</v>
      </c>
      <c r="EY893" s="15" t="s">
        <v>781</v>
      </c>
      <c r="FH893" s="15" t="s">
        <v>2050</v>
      </c>
      <c r="FI893" s="15" t="s">
        <v>2156</v>
      </c>
      <c r="FJ893" s="15" t="s">
        <v>7457</v>
      </c>
      <c r="FK893" s="15" t="s">
        <v>2050</v>
      </c>
      <c r="FL893" s="15" t="s">
        <v>426</v>
      </c>
      <c r="FM893" s="15">
        <v>0.0</v>
      </c>
      <c r="FN893" s="15">
        <v>0.0</v>
      </c>
    </row>
    <row r="894" ht="15.75" customHeight="1">
      <c r="A894" s="14" t="s">
        <v>391</v>
      </c>
      <c r="B894" s="15" t="s">
        <v>9130</v>
      </c>
      <c r="C894" s="16"/>
      <c r="D894" s="15" t="s">
        <v>432</v>
      </c>
      <c r="G894" s="14" t="s">
        <v>393</v>
      </c>
      <c r="H894" s="14" t="s">
        <v>394</v>
      </c>
      <c r="I894" s="14" t="b">
        <v>1</v>
      </c>
      <c r="J894" s="14" t="s">
        <v>395</v>
      </c>
      <c r="L894" s="14" t="b">
        <v>0</v>
      </c>
      <c r="M894" s="15" t="s">
        <v>9138</v>
      </c>
      <c r="N894" s="14" t="s">
        <v>393</v>
      </c>
      <c r="O894" s="14" t="s">
        <v>393</v>
      </c>
      <c r="P894" s="15" t="s">
        <v>397</v>
      </c>
      <c r="Q894" s="15" t="s">
        <v>6501</v>
      </c>
      <c r="R894" s="15" t="s">
        <v>265</v>
      </c>
      <c r="S894" s="15" t="s">
        <v>2037</v>
      </c>
      <c r="T894" s="14" t="b">
        <v>0</v>
      </c>
      <c r="U894" s="15" t="s">
        <v>9139</v>
      </c>
      <c r="V894" s="15" t="s">
        <v>9140</v>
      </c>
      <c r="W894" s="15" t="s">
        <v>401</v>
      </c>
      <c r="X894" s="15" t="s">
        <v>742</v>
      </c>
      <c r="Y894" s="15">
        <v>2184.0</v>
      </c>
      <c r="AA894" s="15" t="str">
        <f>"840"</f>
        <v>840</v>
      </c>
      <c r="AB894" s="14" t="b">
        <v>1</v>
      </c>
      <c r="AC894" s="14" t="b">
        <v>1</v>
      </c>
      <c r="AD894" s="15" t="str">
        <f>"801542223861"</f>
        <v>801542223861</v>
      </c>
      <c r="AE894" s="15" t="s">
        <v>9141</v>
      </c>
      <c r="AF894" s="14" t="s">
        <v>404</v>
      </c>
      <c r="AG894" s="14" t="s">
        <v>405</v>
      </c>
      <c r="AH894" s="14" t="s">
        <v>406</v>
      </c>
      <c r="AI894" s="15">
        <v>0.0</v>
      </c>
      <c r="AL894" s="15" t="s">
        <v>1298</v>
      </c>
      <c r="AM894" s="15" t="s">
        <v>2037</v>
      </c>
      <c r="AN894" s="15" t="s">
        <v>2038</v>
      </c>
      <c r="AO894" s="15" t="s">
        <v>2037</v>
      </c>
      <c r="AP894" s="15" t="s">
        <v>2038</v>
      </c>
      <c r="AQ894" s="15" t="s">
        <v>9134</v>
      </c>
      <c r="AR894" s="15" t="s">
        <v>9135</v>
      </c>
      <c r="AS894" s="15" t="s">
        <v>1474</v>
      </c>
      <c r="AT894" s="15" t="s">
        <v>6501</v>
      </c>
      <c r="AW894" s="15" t="s">
        <v>491</v>
      </c>
      <c r="AY894" s="15" t="s">
        <v>413</v>
      </c>
      <c r="AZ894" s="15" t="b">
        <v>0</v>
      </c>
      <c r="BA894" s="15" t="s">
        <v>413</v>
      </c>
      <c r="BB894" s="15" t="b">
        <v>0</v>
      </c>
      <c r="BC894" s="15" t="s">
        <v>9142</v>
      </c>
      <c r="BD894" s="15" t="s">
        <v>742</v>
      </c>
      <c r="BE894" s="15" t="str">
        <f t="shared" si="1562"/>
        <v>1</v>
      </c>
      <c r="BF894" s="15" t="s">
        <v>416</v>
      </c>
      <c r="BG894" s="15" t="str">
        <f>"63.58"</f>
        <v>63.58</v>
      </c>
      <c r="BH894" s="15" t="s">
        <v>9143</v>
      </c>
      <c r="BI894" s="15" t="str">
        <f>"63.58"</f>
        <v>63.58</v>
      </c>
      <c r="BJ894" s="15" t="s">
        <v>9143</v>
      </c>
      <c r="BK894" s="15" t="str">
        <f t="shared" si="1570"/>
        <v>16.93</v>
      </c>
      <c r="BL894" s="15" t="s">
        <v>7091</v>
      </c>
      <c r="BM894" s="15" t="str">
        <f>"196.21"</f>
        <v>196.21</v>
      </c>
      <c r="BN894" s="15" t="s">
        <v>9144</v>
      </c>
      <c r="BQ894" s="15" t="s">
        <v>444</v>
      </c>
      <c r="BS894" s="15" t="s">
        <v>444</v>
      </c>
      <c r="BU894" s="15" t="s">
        <v>444</v>
      </c>
      <c r="BW894" s="15" t="s">
        <v>444</v>
      </c>
      <c r="BZ894" s="15" t="s">
        <v>444</v>
      </c>
      <c r="CB894" s="15" t="s">
        <v>444</v>
      </c>
      <c r="CD894" s="15" t="s">
        <v>444</v>
      </c>
      <c r="CF894" s="15" t="s">
        <v>444</v>
      </c>
      <c r="CI894" s="15" t="s">
        <v>444</v>
      </c>
      <c r="CK894" s="15" t="s">
        <v>444</v>
      </c>
      <c r="CM894" s="15" t="s">
        <v>444</v>
      </c>
      <c r="CO894" s="15" t="s">
        <v>444</v>
      </c>
      <c r="CP894" s="15" t="str">
        <f>"39.62"</f>
        <v>39.62</v>
      </c>
      <c r="CQ894" s="15" t="str">
        <f>"1.122"</f>
        <v>1.122</v>
      </c>
      <c r="CR894" s="15" t="s">
        <v>497</v>
      </c>
      <c r="DC894" s="15" t="str">
        <f>IFERROR(__xludf.DUMMYFUNCTION("""COMPUTED_VALUE"""),"")</f>
        <v/>
      </c>
      <c r="DE894" s="15" t="str">
        <f>IFERROR(__xludf.DUMMYFUNCTION("""COMPUTED_VALUE"""),"")</f>
        <v/>
      </c>
      <c r="DG894" s="15" t="str">
        <f>IFERROR(__xludf.DUMMYFUNCTION("""COMPUTED_VALUE"""),"")</f>
        <v/>
      </c>
      <c r="DL894" s="15" t="str">
        <f>IFERROR(__xludf.DUMMYFUNCTION("""COMPUTED_VALUE"""),"")</f>
        <v/>
      </c>
      <c r="DM894" s="15" t="s">
        <v>444</v>
      </c>
      <c r="DN894" s="15" t="s">
        <v>419</v>
      </c>
      <c r="DO894" s="15">
        <v>0.0</v>
      </c>
      <c r="DP894" s="15" t="s">
        <v>419</v>
      </c>
      <c r="DR894" s="15">
        <v>0.0</v>
      </c>
      <c r="DT894" s="15" t="s">
        <v>721</v>
      </c>
      <c r="DU894" s="15" t="s">
        <v>419</v>
      </c>
      <c r="DY894" s="15">
        <v>0.0</v>
      </c>
      <c r="EF894" s="15" t="s">
        <v>1157</v>
      </c>
      <c r="EG894" s="15" t="s">
        <v>1158</v>
      </c>
      <c r="EH894" s="15" t="s">
        <v>9137</v>
      </c>
      <c r="EJ894" s="15" t="s">
        <v>500</v>
      </c>
      <c r="EK894" s="15" t="s">
        <v>501</v>
      </c>
      <c r="EM894" s="15" t="str">
        <f>IFERROR(__xludf.DUMMYFUNCTION("""COMPUTED_VALUE"""),"")</f>
        <v/>
      </c>
      <c r="EW894" s="15" t="s">
        <v>2841</v>
      </c>
      <c r="EX894" s="15" t="s">
        <v>9145</v>
      </c>
      <c r="EY894" s="15" t="s">
        <v>2499</v>
      </c>
      <c r="FH894" s="15" t="s">
        <v>732</v>
      </c>
      <c r="FI894" s="15" t="s">
        <v>2156</v>
      </c>
      <c r="FJ894" s="15" t="s">
        <v>2499</v>
      </c>
      <c r="FK894" s="15" t="s">
        <v>732</v>
      </c>
      <c r="FL894" s="15" t="s">
        <v>426</v>
      </c>
      <c r="FM894" s="15">
        <v>0.0</v>
      </c>
      <c r="FN894" s="15">
        <v>0.0</v>
      </c>
    </row>
    <row r="895" ht="15.75" customHeight="1">
      <c r="A895" s="14" t="s">
        <v>391</v>
      </c>
      <c r="B895" s="15" t="s">
        <v>9130</v>
      </c>
      <c r="C895" s="16"/>
      <c r="D895" s="15" t="s">
        <v>432</v>
      </c>
      <c r="G895" s="14" t="s">
        <v>393</v>
      </c>
      <c r="H895" s="14" t="s">
        <v>394</v>
      </c>
      <c r="I895" s="14" t="b">
        <v>1</v>
      </c>
      <c r="J895" s="14" t="s">
        <v>395</v>
      </c>
      <c r="L895" s="14" t="b">
        <v>0</v>
      </c>
      <c r="M895" s="15" t="s">
        <v>9146</v>
      </c>
      <c r="N895" s="14" t="s">
        <v>393</v>
      </c>
      <c r="O895" s="14" t="s">
        <v>393</v>
      </c>
      <c r="P895" s="15" t="s">
        <v>397</v>
      </c>
      <c r="Q895" s="15" t="s">
        <v>9147</v>
      </c>
      <c r="R895" s="15" t="s">
        <v>265</v>
      </c>
      <c r="S895" s="15" t="s">
        <v>2088</v>
      </c>
      <c r="T895" s="14" t="b">
        <v>0</v>
      </c>
      <c r="U895" s="15" t="s">
        <v>9148</v>
      </c>
      <c r="V895" s="15" t="s">
        <v>8001</v>
      </c>
      <c r="W895" s="15" t="s">
        <v>401</v>
      </c>
      <c r="X895" s="15" t="s">
        <v>742</v>
      </c>
      <c r="Y895" s="15">
        <v>1755.0</v>
      </c>
      <c r="AA895" s="15" t="str">
        <f>"675"</f>
        <v>675</v>
      </c>
      <c r="AB895" s="14" t="b">
        <v>1</v>
      </c>
      <c r="AC895" s="14" t="b">
        <v>1</v>
      </c>
      <c r="AD895" s="15" t="str">
        <f>"801542223892"</f>
        <v>801542223892</v>
      </c>
      <c r="AE895" s="15" t="s">
        <v>9149</v>
      </c>
      <c r="AF895" s="14" t="s">
        <v>404</v>
      </c>
      <c r="AG895" s="14" t="s">
        <v>405</v>
      </c>
      <c r="AH895" s="14" t="s">
        <v>406</v>
      </c>
      <c r="AI895" s="15">
        <v>0.0</v>
      </c>
      <c r="AL895" s="15" t="s">
        <v>1298</v>
      </c>
      <c r="AM895" s="15" t="s">
        <v>2088</v>
      </c>
      <c r="AN895" s="15" t="s">
        <v>2089</v>
      </c>
      <c r="AO895" s="15" t="s">
        <v>2088</v>
      </c>
      <c r="AP895" s="15" t="s">
        <v>2089</v>
      </c>
      <c r="AQ895" s="15" t="s">
        <v>9134</v>
      </c>
      <c r="AR895" s="15" t="s">
        <v>9135</v>
      </c>
      <c r="AS895" s="15" t="s">
        <v>1474</v>
      </c>
      <c r="AT895" s="15" t="s">
        <v>9147</v>
      </c>
      <c r="AW895" s="15" t="s">
        <v>491</v>
      </c>
      <c r="AY895" s="15" t="s">
        <v>413</v>
      </c>
      <c r="AZ895" s="15" t="b">
        <v>0</v>
      </c>
      <c r="BA895" s="15" t="s">
        <v>413</v>
      </c>
      <c r="BB895" s="15" t="b">
        <v>0</v>
      </c>
      <c r="BC895" s="15" t="s">
        <v>9150</v>
      </c>
      <c r="BD895" s="15" t="s">
        <v>742</v>
      </c>
      <c r="BE895" s="15" t="str">
        <f t="shared" si="1562"/>
        <v>1</v>
      </c>
      <c r="BF895" s="15" t="s">
        <v>416</v>
      </c>
      <c r="BG895" s="15" t="str">
        <f>"51.77"</f>
        <v>51.77</v>
      </c>
      <c r="BH895" s="15" t="s">
        <v>8954</v>
      </c>
      <c r="BI895" s="15" t="str">
        <f>"51.77"</f>
        <v>51.77</v>
      </c>
      <c r="BJ895" s="15" t="s">
        <v>8954</v>
      </c>
      <c r="BK895" s="15" t="str">
        <f t="shared" si="1570"/>
        <v>16.93</v>
      </c>
      <c r="BL895" s="15" t="s">
        <v>7091</v>
      </c>
      <c r="BM895" s="15" t="str">
        <f>"132.28"</f>
        <v>132.28</v>
      </c>
      <c r="BN895" s="15" t="s">
        <v>2175</v>
      </c>
      <c r="BQ895" s="15" t="s">
        <v>444</v>
      </c>
      <c r="BS895" s="15" t="s">
        <v>444</v>
      </c>
      <c r="BU895" s="15" t="s">
        <v>444</v>
      </c>
      <c r="BW895" s="15" t="s">
        <v>444</v>
      </c>
      <c r="BZ895" s="15" t="s">
        <v>444</v>
      </c>
      <c r="CB895" s="15" t="s">
        <v>444</v>
      </c>
      <c r="CD895" s="15" t="s">
        <v>444</v>
      </c>
      <c r="CF895" s="15" t="s">
        <v>444</v>
      </c>
      <c r="CI895" s="15" t="s">
        <v>444</v>
      </c>
      <c r="CK895" s="15" t="s">
        <v>444</v>
      </c>
      <c r="CM895" s="15" t="s">
        <v>444</v>
      </c>
      <c r="CO895" s="15" t="s">
        <v>444</v>
      </c>
      <c r="CP895" s="15" t="str">
        <f>"26.27"</f>
        <v>26.27</v>
      </c>
      <c r="CQ895" s="15" t="str">
        <f>"0.744"</f>
        <v>0.744</v>
      </c>
      <c r="CR895" s="15" t="s">
        <v>497</v>
      </c>
      <c r="DC895" s="15" t="str">
        <f>IFERROR(__xludf.DUMMYFUNCTION("""COMPUTED_VALUE"""),"")</f>
        <v/>
      </c>
      <c r="DE895" s="15" t="str">
        <f>IFERROR(__xludf.DUMMYFUNCTION("""COMPUTED_VALUE"""),"")</f>
        <v/>
      </c>
      <c r="DG895" s="15" t="str">
        <f>IFERROR(__xludf.DUMMYFUNCTION("""COMPUTED_VALUE"""),"")</f>
        <v/>
      </c>
      <c r="DL895" s="15" t="str">
        <f>IFERROR(__xludf.DUMMYFUNCTION("""COMPUTED_VALUE"""),"")</f>
        <v/>
      </c>
      <c r="DM895" s="15" t="s">
        <v>444</v>
      </c>
      <c r="DN895" s="15" t="s">
        <v>419</v>
      </c>
      <c r="DO895" s="15">
        <v>0.0</v>
      </c>
      <c r="DP895" s="15" t="s">
        <v>419</v>
      </c>
      <c r="DR895" s="15">
        <v>0.0</v>
      </c>
      <c r="DT895" s="15" t="s">
        <v>721</v>
      </c>
      <c r="DU895" s="15" t="s">
        <v>419</v>
      </c>
      <c r="DY895" s="15">
        <v>0.0</v>
      </c>
      <c r="EF895" s="15" t="s">
        <v>1157</v>
      </c>
      <c r="EG895" s="15" t="s">
        <v>1158</v>
      </c>
      <c r="EH895" s="15" t="s">
        <v>9137</v>
      </c>
      <c r="EJ895" s="15" t="s">
        <v>500</v>
      </c>
      <c r="EK895" s="15" t="s">
        <v>501</v>
      </c>
      <c r="EM895" s="15" t="str">
        <f>IFERROR(__xludf.DUMMYFUNCTION("""COMPUTED_VALUE"""),"")</f>
        <v/>
      </c>
      <c r="EW895" s="15" t="s">
        <v>985</v>
      </c>
      <c r="EX895" s="15" t="s">
        <v>5559</v>
      </c>
      <c r="EY895" s="15" t="s">
        <v>781</v>
      </c>
      <c r="FH895" s="15" t="s">
        <v>2050</v>
      </c>
      <c r="FI895" s="15" t="s">
        <v>2156</v>
      </c>
      <c r="FJ895" s="15" t="s">
        <v>7457</v>
      </c>
      <c r="FK895" s="15" t="s">
        <v>2050</v>
      </c>
      <c r="FL895" s="15" t="s">
        <v>426</v>
      </c>
      <c r="FM895" s="15">
        <v>0.0</v>
      </c>
      <c r="FN895" s="15">
        <v>0.0</v>
      </c>
    </row>
    <row r="896" ht="15.75" customHeight="1">
      <c r="A896" s="14" t="s">
        <v>391</v>
      </c>
      <c r="B896" s="15" t="s">
        <v>9130</v>
      </c>
      <c r="C896" s="16"/>
      <c r="D896" s="15" t="s">
        <v>432</v>
      </c>
      <c r="G896" s="14" t="s">
        <v>393</v>
      </c>
      <c r="H896" s="14" t="s">
        <v>394</v>
      </c>
      <c r="I896" s="14" t="b">
        <v>1</v>
      </c>
      <c r="J896" s="14" t="s">
        <v>395</v>
      </c>
      <c r="L896" s="14" t="b">
        <v>0</v>
      </c>
      <c r="M896" s="15" t="s">
        <v>9151</v>
      </c>
      <c r="N896" s="14" t="s">
        <v>393</v>
      </c>
      <c r="O896" s="14" t="s">
        <v>393</v>
      </c>
      <c r="P896" s="15" t="s">
        <v>397</v>
      </c>
      <c r="Q896" s="15" t="s">
        <v>9147</v>
      </c>
      <c r="R896" s="15" t="s">
        <v>265</v>
      </c>
      <c r="S896" s="15" t="s">
        <v>2037</v>
      </c>
      <c r="T896" s="14" t="b">
        <v>0</v>
      </c>
      <c r="U896" s="15" t="s">
        <v>9152</v>
      </c>
      <c r="V896" s="15" t="s">
        <v>9140</v>
      </c>
      <c r="W896" s="15" t="s">
        <v>401</v>
      </c>
      <c r="X896" s="15" t="s">
        <v>742</v>
      </c>
      <c r="Y896" s="15">
        <v>2184.0</v>
      </c>
      <c r="AA896" s="15" t="str">
        <f>"840"</f>
        <v>840</v>
      </c>
      <c r="AB896" s="14" t="b">
        <v>1</v>
      </c>
      <c r="AC896" s="14" t="b">
        <v>1</v>
      </c>
      <c r="AD896" s="15" t="str">
        <f>"801542223878"</f>
        <v>801542223878</v>
      </c>
      <c r="AE896" s="15" t="s">
        <v>9153</v>
      </c>
      <c r="AF896" s="14" t="s">
        <v>404</v>
      </c>
      <c r="AG896" s="14" t="s">
        <v>405</v>
      </c>
      <c r="AH896" s="14" t="s">
        <v>406</v>
      </c>
      <c r="AI896" s="15">
        <v>0.0</v>
      </c>
      <c r="AL896" s="15" t="s">
        <v>1298</v>
      </c>
      <c r="AM896" s="15" t="s">
        <v>2037</v>
      </c>
      <c r="AN896" s="15" t="s">
        <v>2038</v>
      </c>
      <c r="AO896" s="15" t="s">
        <v>2037</v>
      </c>
      <c r="AP896" s="15" t="s">
        <v>2038</v>
      </c>
      <c r="AQ896" s="15" t="s">
        <v>9134</v>
      </c>
      <c r="AR896" s="15" t="s">
        <v>9135</v>
      </c>
      <c r="AS896" s="15" t="s">
        <v>1474</v>
      </c>
      <c r="AT896" s="15" t="s">
        <v>9147</v>
      </c>
      <c r="AW896" s="15" t="s">
        <v>491</v>
      </c>
      <c r="AY896" s="15" t="s">
        <v>413</v>
      </c>
      <c r="AZ896" s="15" t="b">
        <v>0</v>
      </c>
      <c r="BA896" s="15" t="s">
        <v>413</v>
      </c>
      <c r="BB896" s="15" t="b">
        <v>0</v>
      </c>
      <c r="BC896" s="15" t="s">
        <v>9154</v>
      </c>
      <c r="BD896" s="15" t="s">
        <v>742</v>
      </c>
      <c r="BE896" s="15" t="str">
        <f t="shared" si="1562"/>
        <v>1</v>
      </c>
      <c r="BF896" s="15" t="s">
        <v>416</v>
      </c>
      <c r="BG896" s="15" t="str">
        <f>"63.58"</f>
        <v>63.58</v>
      </c>
      <c r="BH896" s="15" t="s">
        <v>9143</v>
      </c>
      <c r="BI896" s="15" t="str">
        <f>"63.58"</f>
        <v>63.58</v>
      </c>
      <c r="BJ896" s="15" t="s">
        <v>9143</v>
      </c>
      <c r="BK896" s="15" t="str">
        <f t="shared" si="1570"/>
        <v>16.93</v>
      </c>
      <c r="BL896" s="15" t="s">
        <v>7091</v>
      </c>
      <c r="BM896" s="15" t="str">
        <f>"196.21"</f>
        <v>196.21</v>
      </c>
      <c r="BN896" s="15" t="s">
        <v>9144</v>
      </c>
      <c r="BQ896" s="15" t="s">
        <v>444</v>
      </c>
      <c r="BS896" s="15" t="s">
        <v>444</v>
      </c>
      <c r="BU896" s="15" t="s">
        <v>444</v>
      </c>
      <c r="BW896" s="15" t="s">
        <v>444</v>
      </c>
      <c r="BZ896" s="15" t="s">
        <v>444</v>
      </c>
      <c r="CB896" s="15" t="s">
        <v>444</v>
      </c>
      <c r="CD896" s="15" t="s">
        <v>444</v>
      </c>
      <c r="CF896" s="15" t="s">
        <v>444</v>
      </c>
      <c r="CI896" s="15" t="s">
        <v>444</v>
      </c>
      <c r="CK896" s="15" t="s">
        <v>444</v>
      </c>
      <c r="CM896" s="15" t="s">
        <v>444</v>
      </c>
      <c r="CO896" s="15" t="s">
        <v>444</v>
      </c>
      <c r="CP896" s="15" t="str">
        <f>"39.62"</f>
        <v>39.62</v>
      </c>
      <c r="CQ896" s="15" t="str">
        <f>"1.122"</f>
        <v>1.122</v>
      </c>
      <c r="CR896" s="15" t="s">
        <v>497</v>
      </c>
      <c r="DC896" s="15" t="str">
        <f>IFERROR(__xludf.DUMMYFUNCTION("""COMPUTED_VALUE"""),"")</f>
        <v/>
      </c>
      <c r="DE896" s="15" t="str">
        <f>IFERROR(__xludf.DUMMYFUNCTION("""COMPUTED_VALUE"""),"")</f>
        <v/>
      </c>
      <c r="DG896" s="15" t="str">
        <f>IFERROR(__xludf.DUMMYFUNCTION("""COMPUTED_VALUE"""),"")</f>
        <v/>
      </c>
      <c r="DL896" s="15" t="str">
        <f>IFERROR(__xludf.DUMMYFUNCTION("""COMPUTED_VALUE"""),"")</f>
        <v/>
      </c>
      <c r="DM896" s="15" t="s">
        <v>444</v>
      </c>
      <c r="DN896" s="15" t="s">
        <v>419</v>
      </c>
      <c r="DO896" s="15">
        <v>0.0</v>
      </c>
      <c r="DP896" s="15" t="s">
        <v>419</v>
      </c>
      <c r="DR896" s="15">
        <v>0.0</v>
      </c>
      <c r="DT896" s="15" t="s">
        <v>721</v>
      </c>
      <c r="DU896" s="15" t="s">
        <v>419</v>
      </c>
      <c r="DY896" s="15">
        <v>0.0</v>
      </c>
      <c r="EF896" s="15" t="s">
        <v>1157</v>
      </c>
      <c r="EG896" s="15" t="s">
        <v>1158</v>
      </c>
      <c r="EH896" s="15" t="s">
        <v>9137</v>
      </c>
      <c r="EJ896" s="15" t="s">
        <v>500</v>
      </c>
      <c r="EK896" s="15" t="s">
        <v>501</v>
      </c>
      <c r="EM896" s="15" t="str">
        <f>IFERROR(__xludf.DUMMYFUNCTION("""COMPUTED_VALUE"""),"")</f>
        <v/>
      </c>
      <c r="EW896" s="15" t="s">
        <v>2841</v>
      </c>
      <c r="EX896" s="15" t="s">
        <v>9145</v>
      </c>
      <c r="EY896" s="15" t="s">
        <v>2499</v>
      </c>
      <c r="FH896" s="15" t="s">
        <v>732</v>
      </c>
      <c r="FI896" s="15" t="s">
        <v>2156</v>
      </c>
      <c r="FJ896" s="15" t="s">
        <v>2499</v>
      </c>
      <c r="FK896" s="15" t="s">
        <v>732</v>
      </c>
      <c r="FL896" s="15" t="s">
        <v>426</v>
      </c>
      <c r="FM896" s="15">
        <v>0.0</v>
      </c>
      <c r="FN896" s="15">
        <v>0.0</v>
      </c>
    </row>
    <row r="897" ht="15.75" customHeight="1">
      <c r="A897" s="14" t="s">
        <v>391</v>
      </c>
      <c r="B897" s="15" t="s">
        <v>9155</v>
      </c>
      <c r="C897" s="16"/>
      <c r="D897" s="15" t="s">
        <v>432</v>
      </c>
      <c r="G897" s="14" t="s">
        <v>393</v>
      </c>
      <c r="H897" s="14" t="s">
        <v>394</v>
      </c>
      <c r="I897" s="14" t="b">
        <v>1</v>
      </c>
      <c r="J897" s="14" t="s">
        <v>395</v>
      </c>
      <c r="L897" s="14" t="b">
        <v>0</v>
      </c>
      <c r="M897" s="15" t="s">
        <v>9156</v>
      </c>
      <c r="N897" s="14" t="s">
        <v>393</v>
      </c>
      <c r="O897" s="14" t="s">
        <v>393</v>
      </c>
      <c r="P897" s="15" t="s">
        <v>397</v>
      </c>
      <c r="Q897" s="15" t="s">
        <v>2818</v>
      </c>
      <c r="T897" s="14" t="b">
        <v>0</v>
      </c>
      <c r="U897" s="15" t="s">
        <v>9157</v>
      </c>
      <c r="V897" s="15" t="s">
        <v>3232</v>
      </c>
      <c r="W897" s="15" t="s">
        <v>401</v>
      </c>
      <c r="X897" s="15" t="s">
        <v>742</v>
      </c>
      <c r="Y897" s="15">
        <v>1482.0</v>
      </c>
      <c r="AA897" s="15" t="str">
        <f>"570"</f>
        <v>570</v>
      </c>
      <c r="AB897" s="14" t="b">
        <v>1</v>
      </c>
      <c r="AC897" s="14" t="b">
        <v>1</v>
      </c>
      <c r="AD897" s="15" t="str">
        <f>"801542203009"</f>
        <v>801542203009</v>
      </c>
      <c r="AE897" s="15" t="s">
        <v>9158</v>
      </c>
      <c r="AF897" s="14" t="s">
        <v>404</v>
      </c>
      <c r="AG897" s="14" t="s">
        <v>405</v>
      </c>
      <c r="AH897" s="14" t="s">
        <v>406</v>
      </c>
      <c r="AI897" s="15">
        <v>0.0</v>
      </c>
      <c r="AL897" s="15" t="s">
        <v>975</v>
      </c>
      <c r="AM897" s="15" t="s">
        <v>1057</v>
      </c>
      <c r="AN897" s="15" t="s">
        <v>1058</v>
      </c>
      <c r="AO897" s="15" t="s">
        <v>645</v>
      </c>
      <c r="AP897" s="15" t="s">
        <v>646</v>
      </c>
      <c r="AQ897" s="15" t="s">
        <v>2306</v>
      </c>
      <c r="AR897" s="15" t="s">
        <v>2307</v>
      </c>
      <c r="AS897" s="15" t="s">
        <v>2063</v>
      </c>
      <c r="AT897" s="15" t="s">
        <v>2818</v>
      </c>
      <c r="AU897" s="15" t="s">
        <v>2418</v>
      </c>
      <c r="AW897" s="15" t="s">
        <v>706</v>
      </c>
      <c r="AX897" s="15" t="s">
        <v>707</v>
      </c>
      <c r="AY897" s="15" t="s">
        <v>413</v>
      </c>
      <c r="AZ897" s="15" t="b">
        <v>0</v>
      </c>
      <c r="BA897" s="15" t="s">
        <v>413</v>
      </c>
      <c r="BB897" s="15" t="b">
        <v>0</v>
      </c>
      <c r="BC897" s="15" t="s">
        <v>9159</v>
      </c>
      <c r="BD897" s="15" t="s">
        <v>742</v>
      </c>
      <c r="BE897" s="15" t="str">
        <f t="shared" si="1562"/>
        <v>1</v>
      </c>
      <c r="BF897" s="15" t="s">
        <v>9160</v>
      </c>
      <c r="BG897" s="15" t="str">
        <f>"36.42"</f>
        <v>36.42</v>
      </c>
      <c r="BH897" s="15" t="s">
        <v>3046</v>
      </c>
      <c r="BI897" s="15" t="str">
        <f>"32.48"</f>
        <v>32.48</v>
      </c>
      <c r="BJ897" s="15" t="s">
        <v>3743</v>
      </c>
      <c r="BK897" s="15" t="str">
        <f>"29.13"</f>
        <v>29.13</v>
      </c>
      <c r="BL897" s="15" t="s">
        <v>1566</v>
      </c>
      <c r="BM897" s="15" t="str">
        <f>"50.71"</f>
        <v>50.71</v>
      </c>
      <c r="BN897" s="15" t="s">
        <v>8087</v>
      </c>
      <c r="BQ897" s="15" t="s">
        <v>444</v>
      </c>
      <c r="BS897" s="15" t="s">
        <v>444</v>
      </c>
      <c r="BU897" s="15" t="s">
        <v>444</v>
      </c>
      <c r="BW897" s="15" t="s">
        <v>444</v>
      </c>
      <c r="BZ897" s="15" t="s">
        <v>444</v>
      </c>
      <c r="CB897" s="15" t="s">
        <v>444</v>
      </c>
      <c r="CD897" s="15" t="s">
        <v>444</v>
      </c>
      <c r="CF897" s="15" t="s">
        <v>444</v>
      </c>
      <c r="CI897" s="15" t="s">
        <v>444</v>
      </c>
      <c r="CK897" s="15" t="s">
        <v>444</v>
      </c>
      <c r="CM897" s="15" t="s">
        <v>444</v>
      </c>
      <c r="CO897" s="15" t="s">
        <v>444</v>
      </c>
      <c r="CP897" s="15" t="str">
        <f>"15.75"</f>
        <v>15.75</v>
      </c>
      <c r="CQ897" s="15" t="str">
        <f>"0.446"</f>
        <v>0.446</v>
      </c>
      <c r="CR897" s="15" t="s">
        <v>417</v>
      </c>
      <c r="CY897" s="15" t="s">
        <v>2017</v>
      </c>
      <c r="CZ897" s="15" t="s">
        <v>1483</v>
      </c>
      <c r="DA897" s="15" t="s">
        <v>3926</v>
      </c>
      <c r="DB897" s="15" t="s">
        <v>2508</v>
      </c>
      <c r="DC897" s="15" t="str">
        <f>IFERROR(__xludf.DUMMYFUNCTION("""COMPUTED_VALUE"""),"{""value"":22.76,""unit"":""in""}")</f>
        <v>{"value":22.76,"unit":"in"}</v>
      </c>
      <c r="DD897" s="15" t="s">
        <v>1070</v>
      </c>
      <c r="DE897" s="15" t="str">
        <f>IFERROR(__xludf.DUMMYFUNCTION("""COMPUTED_VALUE"""),"{""value"":17.72,""unit"":""in""}")</f>
        <v>{"value":17.72,"unit":"in"}</v>
      </c>
      <c r="DF897" s="15" t="s">
        <v>3926</v>
      </c>
      <c r="DG897" s="15" t="str">
        <f>IFERROR(__xludf.DUMMYFUNCTION("""COMPUTED_VALUE"""),"{""value"":27.17,""unit"":""in""}")</f>
        <v>{"value":27.17,"unit":"in"}</v>
      </c>
      <c r="DH897" s="15">
        <v>0.0</v>
      </c>
      <c r="DI897" s="15">
        <v>1.0</v>
      </c>
      <c r="DJ897" s="15" t="s">
        <v>469</v>
      </c>
      <c r="DK897" s="15" t="s">
        <v>718</v>
      </c>
      <c r="DL897" s="15" t="str">
        <f>IFERROR(__xludf.DUMMYFUNCTION("""COMPUTED_VALUE"""),"Vacuum or light brush only. Do not use water or any cleaning products.")</f>
        <v>Vacuum or light brush only. Do not use water or any cleaning products.</v>
      </c>
      <c r="DM897" s="15" t="s">
        <v>719</v>
      </c>
      <c r="DQ897" s="15" t="s">
        <v>9161</v>
      </c>
      <c r="DR897" s="15" t="s">
        <v>9162</v>
      </c>
      <c r="DS897" s="15" t="s">
        <v>9163</v>
      </c>
      <c r="DV897" s="15" t="s">
        <v>420</v>
      </c>
      <c r="DW897" s="15" t="s">
        <v>419</v>
      </c>
      <c r="DX897" s="15">
        <v>0.0</v>
      </c>
      <c r="EB897" s="15">
        <v>0.0</v>
      </c>
      <c r="EC897" s="15" t="s">
        <v>722</v>
      </c>
      <c r="ED897" s="15" t="s">
        <v>723</v>
      </c>
      <c r="EE897" s="15" t="s">
        <v>724</v>
      </c>
      <c r="EF897" s="15">
        <v>1.0</v>
      </c>
      <c r="EG897" s="15" t="s">
        <v>5478</v>
      </c>
      <c r="EH897" s="15">
        <v>1.0</v>
      </c>
      <c r="EJ897" s="15" t="s">
        <v>9164</v>
      </c>
      <c r="EK897" s="15" t="s">
        <v>9165</v>
      </c>
      <c r="EL897" s="15">
        <v>0.0</v>
      </c>
      <c r="EM897" s="15" t="str">
        <f>IFERROR(__xludf.DUMMYFUNCTION("""COMPUTED_VALUE"""),"#VALUE!")</f>
        <v>#VALUE!</v>
      </c>
      <c r="EN897" s="15" t="s">
        <v>726</v>
      </c>
      <c r="EV897" s="15" t="s">
        <v>6046</v>
      </c>
      <c r="EW897" s="15" t="s">
        <v>5940</v>
      </c>
      <c r="EX897" s="15" t="s">
        <v>3926</v>
      </c>
      <c r="EY897" s="15" t="s">
        <v>2473</v>
      </c>
      <c r="EZ897" s="15" t="s">
        <v>987</v>
      </c>
      <c r="FA897" s="15" t="s">
        <v>4987</v>
      </c>
      <c r="FB897" s="15" t="s">
        <v>714</v>
      </c>
      <c r="FE897" s="15" t="s">
        <v>723</v>
      </c>
      <c r="FF897" s="15" t="s">
        <v>724</v>
      </c>
      <c r="FG897" s="15" t="s">
        <v>1077</v>
      </c>
      <c r="FH897" s="15" t="s">
        <v>9166</v>
      </c>
      <c r="FT897" s="15">
        <v>0.0</v>
      </c>
      <c r="FU897" s="15">
        <v>0.0</v>
      </c>
      <c r="FW897" s="15">
        <v>0.0</v>
      </c>
    </row>
    <row r="898" ht="15.75" customHeight="1">
      <c r="A898" s="14" t="s">
        <v>391</v>
      </c>
      <c r="B898" s="15" t="s">
        <v>9167</v>
      </c>
      <c r="C898" s="16"/>
      <c r="D898" s="15" t="s">
        <v>432</v>
      </c>
      <c r="G898" s="14" t="s">
        <v>393</v>
      </c>
      <c r="H898" s="14" t="s">
        <v>394</v>
      </c>
      <c r="I898" s="14" t="b">
        <v>1</v>
      </c>
      <c r="J898" s="14" t="s">
        <v>395</v>
      </c>
      <c r="L898" s="14" t="b">
        <v>0</v>
      </c>
      <c r="M898" s="15" t="s">
        <v>9168</v>
      </c>
      <c r="N898" s="14" t="s">
        <v>393</v>
      </c>
      <c r="O898" s="14" t="s">
        <v>393</v>
      </c>
      <c r="P898" s="15" t="s">
        <v>397</v>
      </c>
      <c r="Q898" s="15" t="s">
        <v>8549</v>
      </c>
      <c r="T898" s="14" t="b">
        <v>0</v>
      </c>
      <c r="U898" s="15" t="s">
        <v>9169</v>
      </c>
      <c r="V898" s="15" t="s">
        <v>7042</v>
      </c>
      <c r="W898" s="15" t="s">
        <v>401</v>
      </c>
      <c r="X898" s="15" t="s">
        <v>695</v>
      </c>
      <c r="Y898" s="15">
        <v>3822.0</v>
      </c>
      <c r="AA898" s="15" t="str">
        <f>"1470"</f>
        <v>1470</v>
      </c>
      <c r="AB898" s="14" t="b">
        <v>1</v>
      </c>
      <c r="AC898" s="14" t="b">
        <v>1</v>
      </c>
      <c r="AD898" s="15" t="str">
        <f>"801542201630"</f>
        <v>801542201630</v>
      </c>
      <c r="AE898" s="15" t="s">
        <v>9170</v>
      </c>
      <c r="AF898" s="14" t="s">
        <v>404</v>
      </c>
      <c r="AG898" s="14" t="s">
        <v>405</v>
      </c>
      <c r="AH898" s="14" t="s">
        <v>406</v>
      </c>
      <c r="AI898" s="15">
        <v>0.0</v>
      </c>
      <c r="AL898" s="15" t="s">
        <v>9171</v>
      </c>
      <c r="AM898" s="15" t="s">
        <v>7031</v>
      </c>
      <c r="AN898" s="15" t="s">
        <v>7032</v>
      </c>
      <c r="AO898" s="15" t="s">
        <v>456</v>
      </c>
      <c r="AP898" s="15" t="s">
        <v>457</v>
      </c>
      <c r="AQ898" s="15" t="s">
        <v>1364</v>
      </c>
      <c r="AR898" s="15" t="s">
        <v>1365</v>
      </c>
      <c r="AS898" s="15" t="s">
        <v>2612</v>
      </c>
      <c r="AT898" s="15" t="s">
        <v>8549</v>
      </c>
      <c r="AU898" s="15" t="s">
        <v>2613</v>
      </c>
      <c r="AW898" s="15" t="s">
        <v>664</v>
      </c>
      <c r="AY898" s="15" t="s">
        <v>413</v>
      </c>
      <c r="AZ898" s="15" t="b">
        <v>0</v>
      </c>
      <c r="BA898" s="15" t="s">
        <v>413</v>
      </c>
      <c r="BB898" s="15" t="b">
        <v>0</v>
      </c>
      <c r="BC898" s="15" t="s">
        <v>9172</v>
      </c>
      <c r="BD898" s="15" t="s">
        <v>709</v>
      </c>
      <c r="BE898" s="15" t="str">
        <f t="shared" si="1562"/>
        <v>1</v>
      </c>
      <c r="BF898" s="15" t="s">
        <v>9173</v>
      </c>
      <c r="BG898" s="15" t="str">
        <f>"106.3"</f>
        <v>106.3</v>
      </c>
      <c r="BH898" s="15" t="s">
        <v>9174</v>
      </c>
      <c r="BI898" s="15" t="str">
        <f>"22.83"</f>
        <v>22.83</v>
      </c>
      <c r="BJ898" s="15" t="s">
        <v>1543</v>
      </c>
      <c r="BK898" s="15" t="str">
        <f>"38.98"</f>
        <v>38.98</v>
      </c>
      <c r="BL898" s="15" t="s">
        <v>927</v>
      </c>
      <c r="BM898" s="15" t="str">
        <f>"226.19"</f>
        <v>226.19</v>
      </c>
      <c r="BN898" s="15" t="s">
        <v>9175</v>
      </c>
      <c r="BQ898" s="15" t="s">
        <v>444</v>
      </c>
      <c r="BS898" s="15" t="s">
        <v>444</v>
      </c>
      <c r="BU898" s="15" t="s">
        <v>444</v>
      </c>
      <c r="BW898" s="15" t="s">
        <v>444</v>
      </c>
      <c r="BZ898" s="15" t="s">
        <v>444</v>
      </c>
      <c r="CB898" s="15" t="s">
        <v>444</v>
      </c>
      <c r="CD898" s="15" t="s">
        <v>444</v>
      </c>
      <c r="CF898" s="15" t="s">
        <v>444</v>
      </c>
      <c r="CI898" s="15" t="s">
        <v>444</v>
      </c>
      <c r="CK898" s="15" t="s">
        <v>444</v>
      </c>
      <c r="CM898" s="15" t="s">
        <v>444</v>
      </c>
      <c r="CO898" s="15" t="s">
        <v>444</v>
      </c>
      <c r="CP898" s="15" t="str">
        <f>"54.74"</f>
        <v>54.74</v>
      </c>
      <c r="CQ898" s="15" t="str">
        <f>"1.55"</f>
        <v>1.55</v>
      </c>
      <c r="CR898" s="15" t="s">
        <v>465</v>
      </c>
      <c r="CS898" s="15" t="s">
        <v>5646</v>
      </c>
      <c r="CT898" s="15" t="s">
        <v>4469</v>
      </c>
      <c r="CU898" s="15" t="s">
        <v>1445</v>
      </c>
      <c r="CV898" s="15" t="s">
        <v>1213</v>
      </c>
      <c r="CW898" s="15" t="s">
        <v>2020</v>
      </c>
      <c r="CX898" s="15" t="s">
        <v>3512</v>
      </c>
      <c r="DC898" s="15" t="str">
        <f>IFERROR(__xludf.DUMMYFUNCTION("""COMPUTED_VALUE"""),"")</f>
        <v/>
      </c>
      <c r="DE898" s="15" t="str">
        <f>IFERROR(__xludf.DUMMYFUNCTION("""COMPUTED_VALUE"""),"")</f>
        <v/>
      </c>
      <c r="DG898" s="15" t="str">
        <f>IFERROR(__xludf.DUMMYFUNCTION("""COMPUTED_VALUE"""),"")</f>
        <v/>
      </c>
      <c r="DL898" s="15" t="str">
        <f>IFERROR(__xludf.DUMMYFUNCTION("""COMPUTED_VALUE"""),"")</f>
        <v/>
      </c>
      <c r="DM898" s="15" t="s">
        <v>444</v>
      </c>
      <c r="DN898" s="15" t="s">
        <v>4002</v>
      </c>
      <c r="DO898" s="15">
        <v>4.0</v>
      </c>
      <c r="DP898" s="15" t="s">
        <v>2601</v>
      </c>
      <c r="DR898" s="15">
        <v>3.0</v>
      </c>
      <c r="DS898" s="15" t="s">
        <v>426</v>
      </c>
      <c r="DT898" s="15" t="s">
        <v>721</v>
      </c>
      <c r="DU898" s="15" t="s">
        <v>610</v>
      </c>
      <c r="DW898" s="15">
        <v>18.14</v>
      </c>
      <c r="DX898" s="15">
        <v>40.0</v>
      </c>
      <c r="DY898" s="15">
        <v>2.0</v>
      </c>
      <c r="EG898" s="15" t="s">
        <v>444</v>
      </c>
      <c r="EH898" s="15" t="s">
        <v>9176</v>
      </c>
      <c r="EJ898" s="15" t="s">
        <v>424</v>
      </c>
      <c r="EK898" s="15" t="s">
        <v>446</v>
      </c>
      <c r="EM898" s="15" t="str">
        <f>IFERROR(__xludf.DUMMYFUNCTION("""COMPUTED_VALUE"""),"")</f>
        <v/>
      </c>
      <c r="EW898" s="15" t="s">
        <v>5482</v>
      </c>
      <c r="FL898" s="15" t="s">
        <v>426</v>
      </c>
      <c r="FM898" s="15">
        <v>5.0</v>
      </c>
      <c r="FY898" s="15" t="s">
        <v>2020</v>
      </c>
      <c r="FZ898" s="15" t="s">
        <v>612</v>
      </c>
      <c r="GA898" s="15" t="s">
        <v>1592</v>
      </c>
      <c r="GB898" s="15" t="s">
        <v>1213</v>
      </c>
      <c r="GC898" s="15" t="s">
        <v>612</v>
      </c>
      <c r="GD898" s="15" t="s">
        <v>1574</v>
      </c>
      <c r="GE898" s="15">
        <v>0.0</v>
      </c>
      <c r="GF898" s="15" t="s">
        <v>426</v>
      </c>
      <c r="GH898" s="15">
        <v>4.0</v>
      </c>
      <c r="GI898" s="15" t="s">
        <v>614</v>
      </c>
      <c r="GJ898" s="15" t="s">
        <v>615</v>
      </c>
      <c r="GK898" s="15">
        <v>0.0</v>
      </c>
      <c r="GL898" s="15" t="s">
        <v>426</v>
      </c>
      <c r="GN898" s="15" t="s">
        <v>616</v>
      </c>
      <c r="GQ898" s="15" t="s">
        <v>2618</v>
      </c>
      <c r="GS898" s="15" t="s">
        <v>1235</v>
      </c>
      <c r="GU898" s="15" t="s">
        <v>2292</v>
      </c>
      <c r="GW898" s="15" t="s">
        <v>2604</v>
      </c>
      <c r="GY898" s="15" t="s">
        <v>764</v>
      </c>
      <c r="GZ898" s="15" t="s">
        <v>426</v>
      </c>
      <c r="HA898" s="15" t="s">
        <v>5646</v>
      </c>
      <c r="HB898" s="15" t="s">
        <v>9177</v>
      </c>
      <c r="HC898" s="15" t="s">
        <v>3512</v>
      </c>
      <c r="HQ898" s="15" t="s">
        <v>5646</v>
      </c>
      <c r="HR898" s="15" t="s">
        <v>1213</v>
      </c>
      <c r="HS898" s="15" t="s">
        <v>9177</v>
      </c>
      <c r="HT898" s="15" t="s">
        <v>2020</v>
      </c>
      <c r="HU898" s="15" t="s">
        <v>9178</v>
      </c>
      <c r="HV898" s="15" t="s">
        <v>3512</v>
      </c>
      <c r="HW898" s="15" t="s">
        <v>789</v>
      </c>
      <c r="IH898" s="15" t="s">
        <v>426</v>
      </c>
      <c r="KL898" s="15" t="s">
        <v>5646</v>
      </c>
      <c r="KM898" s="15" t="s">
        <v>4469</v>
      </c>
      <c r="KN898" s="15" t="s">
        <v>9178</v>
      </c>
      <c r="KX898" s="15" t="s">
        <v>5646</v>
      </c>
      <c r="KY898" s="15" t="s">
        <v>3241</v>
      </c>
      <c r="KZ898" s="15" t="s">
        <v>3512</v>
      </c>
    </row>
    <row r="899" ht="15.75" customHeight="1">
      <c r="A899" s="14" t="s">
        <v>391</v>
      </c>
      <c r="B899" s="15" t="s">
        <v>9179</v>
      </c>
      <c r="C899" s="16"/>
      <c r="D899" s="15" t="s">
        <v>432</v>
      </c>
      <c r="G899" s="14" t="s">
        <v>393</v>
      </c>
      <c r="H899" s="14" t="s">
        <v>394</v>
      </c>
      <c r="I899" s="14" t="b">
        <v>1</v>
      </c>
      <c r="J899" s="14" t="s">
        <v>395</v>
      </c>
      <c r="L899" s="14" t="b">
        <v>0</v>
      </c>
      <c r="M899" s="15" t="s">
        <v>9180</v>
      </c>
      <c r="N899" s="14" t="s">
        <v>393</v>
      </c>
      <c r="O899" s="14" t="s">
        <v>393</v>
      </c>
      <c r="P899" s="15" t="s">
        <v>397</v>
      </c>
      <c r="Q899" s="15" t="s">
        <v>2663</v>
      </c>
      <c r="T899" s="14" t="b">
        <v>0</v>
      </c>
      <c r="U899" s="15" t="s">
        <v>9181</v>
      </c>
      <c r="V899" s="15" t="s">
        <v>9182</v>
      </c>
      <c r="W899" s="15" t="s">
        <v>401</v>
      </c>
      <c r="X899" s="15" t="s">
        <v>695</v>
      </c>
      <c r="Y899" s="15">
        <v>1261.0</v>
      </c>
      <c r="AA899" s="15" t="str">
        <f>"485"</f>
        <v>485</v>
      </c>
      <c r="AB899" s="14" t="b">
        <v>1</v>
      </c>
      <c r="AC899" s="14" t="b">
        <v>1</v>
      </c>
      <c r="AD899" s="15" t="str">
        <f>"801542798918"</f>
        <v>801542798918</v>
      </c>
      <c r="AE899" s="15" t="s">
        <v>9183</v>
      </c>
      <c r="AF899" s="14" t="s">
        <v>404</v>
      </c>
      <c r="AG899" s="14" t="s">
        <v>405</v>
      </c>
      <c r="AH899" s="14" t="s">
        <v>406</v>
      </c>
      <c r="AI899" s="15">
        <v>0.0</v>
      </c>
      <c r="AL899" s="15" t="s">
        <v>2666</v>
      </c>
      <c r="AM899" s="15" t="s">
        <v>3851</v>
      </c>
      <c r="AN899" s="15" t="s">
        <v>3852</v>
      </c>
      <c r="AO899" s="15" t="s">
        <v>1364</v>
      </c>
      <c r="AP899" s="15" t="s">
        <v>1365</v>
      </c>
      <c r="AQ899" s="15" t="s">
        <v>1472</v>
      </c>
      <c r="AR899" s="15" t="s">
        <v>1473</v>
      </c>
      <c r="AS899" s="15" t="s">
        <v>2759</v>
      </c>
      <c r="AT899" s="15" t="s">
        <v>2663</v>
      </c>
      <c r="AU899" s="15" t="s">
        <v>6616</v>
      </c>
      <c r="AW899" s="15" t="s">
        <v>706</v>
      </c>
      <c r="AX899" s="15" t="s">
        <v>707</v>
      </c>
      <c r="AY899" s="15" t="s">
        <v>413</v>
      </c>
      <c r="AZ899" s="15" t="b">
        <v>0</v>
      </c>
      <c r="BA899" s="15" t="s">
        <v>413</v>
      </c>
      <c r="BB899" s="15" t="b">
        <v>0</v>
      </c>
      <c r="BC899" s="15" t="s">
        <v>9184</v>
      </c>
      <c r="BD899" s="15" t="s">
        <v>709</v>
      </c>
      <c r="BE899" s="15" t="str">
        <f t="shared" si="1562"/>
        <v>1</v>
      </c>
      <c r="BF899" s="15" t="s">
        <v>1494</v>
      </c>
      <c r="BG899" s="15" t="str">
        <f>"28.74"</f>
        <v>28.74</v>
      </c>
      <c r="BH899" s="15" t="s">
        <v>2113</v>
      </c>
      <c r="BI899" s="15" t="str">
        <f>"34.65"</f>
        <v>34.65</v>
      </c>
      <c r="BJ899" s="15" t="s">
        <v>1229</v>
      </c>
      <c r="BK899" s="15" t="str">
        <f>"30.71"</f>
        <v>30.71</v>
      </c>
      <c r="BL899" s="15" t="s">
        <v>1281</v>
      </c>
      <c r="BM899" s="15" t="str">
        <f>"73.41"</f>
        <v>73.41</v>
      </c>
      <c r="BN899" s="15" t="s">
        <v>9185</v>
      </c>
      <c r="BQ899" s="15" t="s">
        <v>444</v>
      </c>
      <c r="BS899" s="15" t="s">
        <v>444</v>
      </c>
      <c r="BU899" s="15" t="s">
        <v>444</v>
      </c>
      <c r="BW899" s="15" t="s">
        <v>444</v>
      </c>
      <c r="BZ899" s="15" t="s">
        <v>444</v>
      </c>
      <c r="CB899" s="15" t="s">
        <v>444</v>
      </c>
      <c r="CD899" s="15" t="s">
        <v>444</v>
      </c>
      <c r="CF899" s="15" t="s">
        <v>444</v>
      </c>
      <c r="CI899" s="15" t="s">
        <v>444</v>
      </c>
      <c r="CK899" s="15" t="s">
        <v>444</v>
      </c>
      <c r="CM899" s="15" t="s">
        <v>444</v>
      </c>
      <c r="CO899" s="15" t="s">
        <v>444</v>
      </c>
      <c r="CP899" s="15" t="str">
        <f>"13.95"</f>
        <v>13.95</v>
      </c>
      <c r="CQ899" s="15" t="str">
        <f>"0.395"</f>
        <v>0.395</v>
      </c>
      <c r="CR899" s="15" t="s">
        <v>465</v>
      </c>
      <c r="DB899" s="15" t="s">
        <v>2735</v>
      </c>
      <c r="DC899" s="15" t="str">
        <f>IFERROR(__xludf.DUMMYFUNCTION("""COMPUTED_VALUE"""),"{""value"":23.25,""unit"":""in""}")</f>
        <v>{"value":23.25,"unit":"in"}</v>
      </c>
      <c r="DD899" s="15" t="s">
        <v>1161</v>
      </c>
      <c r="DE899" s="15" t="str">
        <f>IFERROR(__xludf.DUMMYFUNCTION("""COMPUTED_VALUE"""),"{""value"":17.00,""unit"":""in""}")</f>
        <v>{"value":17.00,"unit":"in"}</v>
      </c>
      <c r="DF899" s="15" t="s">
        <v>2637</v>
      </c>
      <c r="DG899" s="15" t="str">
        <f>IFERROR(__xludf.DUMMYFUNCTION("""COMPUTED_VALUE"""),"{""value"":28.75,""unit"":""in""}")</f>
        <v>{"value":28.75,"unit":"in"}</v>
      </c>
      <c r="DH899" s="15">
        <v>0.0</v>
      </c>
      <c r="DI899" s="15">
        <v>1.0</v>
      </c>
      <c r="DJ899" s="15" t="s">
        <v>469</v>
      </c>
      <c r="DK899" s="15" t="s">
        <v>855</v>
      </c>
      <c r="DL899" s="15" t="str">
        <f>IFERROR(__xludf.DUMMYFUNCTION("""COMPUTED_VALUE"""),"Clean with solvent-based (dry clean only) products. Do not use water.")</f>
        <v>Clean with solvent-based (dry clean only) products. Do not use water.</v>
      </c>
      <c r="DM899" s="15" t="s">
        <v>856</v>
      </c>
      <c r="DT899" s="15" t="s">
        <v>721</v>
      </c>
      <c r="DU899" s="15" t="s">
        <v>1605</v>
      </c>
      <c r="DV899" s="15">
        <v>0.0</v>
      </c>
      <c r="DZ899" s="15">
        <v>30000.0</v>
      </c>
      <c r="EA899" s="15" t="s">
        <v>990</v>
      </c>
      <c r="EB899" s="15" t="s">
        <v>1016</v>
      </c>
      <c r="ED899" s="15">
        <v>1.0</v>
      </c>
      <c r="EE899" s="15">
        <v>1.0</v>
      </c>
      <c r="EG899" s="15" t="s">
        <v>444</v>
      </c>
      <c r="EH899" s="15" t="s">
        <v>9186</v>
      </c>
      <c r="EI899" s="15">
        <v>0.0</v>
      </c>
      <c r="EJ899" s="15" t="s">
        <v>726</v>
      </c>
      <c r="EK899" s="15" t="s">
        <v>727</v>
      </c>
      <c r="EM899" s="15" t="str">
        <f>IFERROR(__xludf.DUMMYFUNCTION("""COMPUTED_VALUE"""),"")</f>
        <v/>
      </c>
      <c r="EW899" s="15" t="s">
        <v>672</v>
      </c>
      <c r="EZ899" s="15" t="s">
        <v>1073</v>
      </c>
      <c r="FC899" s="15" t="s">
        <v>1016</v>
      </c>
      <c r="FF899" s="15" t="s">
        <v>860</v>
      </c>
      <c r="FQ899" s="15">
        <v>0.0</v>
      </c>
      <c r="FR899" s="15">
        <v>0.0</v>
      </c>
      <c r="FT899" s="15">
        <v>0.0</v>
      </c>
      <c r="IL899" s="15" t="s">
        <v>1610</v>
      </c>
    </row>
    <row r="900" ht="15.75" customHeight="1">
      <c r="A900" s="14" t="s">
        <v>391</v>
      </c>
      <c r="B900" s="15" t="s">
        <v>9187</v>
      </c>
      <c r="C900" s="16"/>
      <c r="D900" s="15" t="s">
        <v>432</v>
      </c>
      <c r="G900" s="14" t="s">
        <v>393</v>
      </c>
      <c r="H900" s="14" t="s">
        <v>394</v>
      </c>
      <c r="I900" s="14" t="b">
        <v>1</v>
      </c>
      <c r="J900" s="14" t="s">
        <v>395</v>
      </c>
      <c r="L900" s="14" t="b">
        <v>0</v>
      </c>
      <c r="M900" s="15" t="s">
        <v>9188</v>
      </c>
      <c r="N900" s="14" t="s">
        <v>393</v>
      </c>
      <c r="O900" s="14" t="s">
        <v>393</v>
      </c>
      <c r="P900" s="15" t="s">
        <v>397</v>
      </c>
      <c r="Q900" s="15" t="s">
        <v>4851</v>
      </c>
      <c r="T900" s="14" t="b">
        <v>0</v>
      </c>
      <c r="U900" s="15" t="s">
        <v>9189</v>
      </c>
      <c r="V900" s="15" t="s">
        <v>1148</v>
      </c>
      <c r="W900" s="15" t="s">
        <v>401</v>
      </c>
      <c r="X900" s="15" t="s">
        <v>695</v>
      </c>
      <c r="Y900" s="15">
        <v>2522.0</v>
      </c>
      <c r="AA900" s="15" t="str">
        <f>"970"</f>
        <v>970</v>
      </c>
      <c r="AB900" s="14" t="b">
        <v>1</v>
      </c>
      <c r="AC900" s="14" t="b">
        <v>1</v>
      </c>
      <c r="AD900" s="15" t="str">
        <f>"801542294687"</f>
        <v>801542294687</v>
      </c>
      <c r="AE900" s="15" t="s">
        <v>9190</v>
      </c>
      <c r="AF900" s="14" t="s">
        <v>404</v>
      </c>
      <c r="AG900" s="14" t="s">
        <v>405</v>
      </c>
      <c r="AH900" s="14" t="s">
        <v>406</v>
      </c>
      <c r="AI900" s="15">
        <v>0.0</v>
      </c>
      <c r="AL900" s="15" t="s">
        <v>1341</v>
      </c>
      <c r="AM900" s="15" t="s">
        <v>1085</v>
      </c>
      <c r="AN900" s="15" t="s">
        <v>1086</v>
      </c>
      <c r="AO900" s="15" t="s">
        <v>1944</v>
      </c>
      <c r="AP900" s="15" t="s">
        <v>1945</v>
      </c>
      <c r="AQ900" s="15" t="s">
        <v>517</v>
      </c>
      <c r="AR900" s="15" t="s">
        <v>518</v>
      </c>
      <c r="AS900" s="15" t="s">
        <v>813</v>
      </c>
      <c r="AT900" s="15" t="s">
        <v>4851</v>
      </c>
      <c r="AU900" s="15" t="s">
        <v>9191</v>
      </c>
      <c r="AW900" s="15" t="s">
        <v>706</v>
      </c>
      <c r="AX900" s="15" t="s">
        <v>707</v>
      </c>
      <c r="AY900" s="15" t="s">
        <v>413</v>
      </c>
      <c r="AZ900" s="15" t="b">
        <v>0</v>
      </c>
      <c r="BA900" s="15" t="s">
        <v>413</v>
      </c>
      <c r="BB900" s="15" t="b">
        <v>0</v>
      </c>
      <c r="BC900" s="15" t="s">
        <v>9192</v>
      </c>
      <c r="BD900" s="15" t="s">
        <v>709</v>
      </c>
      <c r="BE900" s="15" t="str">
        <f t="shared" si="1562"/>
        <v>1</v>
      </c>
      <c r="BF900" s="15" t="s">
        <v>416</v>
      </c>
      <c r="BG900" s="15" t="str">
        <f>"35.24"</f>
        <v>35.24</v>
      </c>
      <c r="BH900" s="15" t="s">
        <v>4491</v>
      </c>
      <c r="BI900" s="15" t="str">
        <f>"32.28"</f>
        <v>32.28</v>
      </c>
      <c r="BJ900" s="15" t="s">
        <v>954</v>
      </c>
      <c r="BK900" s="15" t="str">
        <f>"34.25"</f>
        <v>34.25</v>
      </c>
      <c r="BL900" s="15" t="s">
        <v>605</v>
      </c>
      <c r="BM900" s="15" t="str">
        <f>"51.81"</f>
        <v>51.81</v>
      </c>
      <c r="BN900" s="15" t="s">
        <v>7998</v>
      </c>
      <c r="BQ900" s="15" t="s">
        <v>444</v>
      </c>
      <c r="BS900" s="15" t="s">
        <v>444</v>
      </c>
      <c r="BU900" s="15" t="s">
        <v>444</v>
      </c>
      <c r="BW900" s="15" t="s">
        <v>444</v>
      </c>
      <c r="BZ900" s="15" t="s">
        <v>444</v>
      </c>
      <c r="CB900" s="15" t="s">
        <v>444</v>
      </c>
      <c r="CD900" s="15" t="s">
        <v>444</v>
      </c>
      <c r="CF900" s="15" t="s">
        <v>444</v>
      </c>
      <c r="CI900" s="15" t="s">
        <v>444</v>
      </c>
      <c r="CK900" s="15" t="s">
        <v>444</v>
      </c>
      <c r="CM900" s="15" t="s">
        <v>444</v>
      </c>
      <c r="CO900" s="15" t="s">
        <v>444</v>
      </c>
      <c r="CP900" s="15" t="str">
        <f>"22.53"</f>
        <v>22.53</v>
      </c>
      <c r="CQ900" s="15" t="str">
        <f>"0.638"</f>
        <v>0.638</v>
      </c>
      <c r="CR900" s="15" t="s">
        <v>465</v>
      </c>
      <c r="CY900" s="15" t="s">
        <v>1072</v>
      </c>
      <c r="CZ900" s="15" t="s">
        <v>505</v>
      </c>
      <c r="DA900" s="15" t="s">
        <v>1072</v>
      </c>
      <c r="DB900" s="15" t="s">
        <v>3748</v>
      </c>
      <c r="DC900" s="15" t="str">
        <f>IFERROR(__xludf.DUMMYFUNCTION("""COMPUTED_VALUE"""),"{""value"":19.75,""unit"":""in""}")</f>
        <v>{"value":19.75,"unit":"in"}</v>
      </c>
      <c r="DD900" s="15" t="s">
        <v>1065</v>
      </c>
      <c r="DE900" s="15" t="str">
        <f>IFERROR(__xludf.DUMMYFUNCTION("""COMPUTED_VALUE"""),"{""value"":18.00,""unit"":""in""}")</f>
        <v>{"value":18.00,"unit":"in"}</v>
      </c>
      <c r="DF900" s="15" t="s">
        <v>1072</v>
      </c>
      <c r="DG900" s="15" t="str">
        <f>IFERROR(__xludf.DUMMYFUNCTION("""COMPUTED_VALUE"""),"{""value"":22.00,""unit"":""in""}")</f>
        <v>{"value":22.00,"unit":"in"}</v>
      </c>
      <c r="DH900" s="15">
        <v>0.0</v>
      </c>
      <c r="DI900" s="15">
        <v>1.0</v>
      </c>
      <c r="DJ900" s="15" t="s">
        <v>717</v>
      </c>
      <c r="DK900" s="15" t="s">
        <v>718</v>
      </c>
      <c r="DL900" s="15" t="str">
        <f>IFERROR(__xludf.DUMMYFUNCTION("""COMPUTED_VALUE"""),"Vacuum or light brush only. Do not use water or any cleaning products.")</f>
        <v>Vacuum or light brush only. Do not use water or any cleaning products.</v>
      </c>
      <c r="DM900" s="15" t="s">
        <v>719</v>
      </c>
      <c r="DQ900" s="15" t="s">
        <v>9193</v>
      </c>
      <c r="DR900" s="15" t="s">
        <v>9194</v>
      </c>
      <c r="DS900" s="15" t="s">
        <v>9195</v>
      </c>
      <c r="DV900" s="15" t="s">
        <v>1111</v>
      </c>
      <c r="DW900" s="15" t="s">
        <v>419</v>
      </c>
      <c r="DX900" s="15">
        <v>0.0</v>
      </c>
      <c r="EB900" s="15">
        <v>0.0</v>
      </c>
      <c r="EC900" s="15" t="s">
        <v>722</v>
      </c>
      <c r="ED900" s="15" t="s">
        <v>723</v>
      </c>
      <c r="EE900" s="15" t="s">
        <v>724</v>
      </c>
      <c r="EF900" s="15">
        <v>1.0</v>
      </c>
      <c r="EG900" s="15" t="s">
        <v>5478</v>
      </c>
      <c r="EH900" s="15">
        <v>1.0</v>
      </c>
      <c r="EJ900" s="15" t="s">
        <v>9196</v>
      </c>
      <c r="EK900" s="15" t="s">
        <v>9197</v>
      </c>
      <c r="EL900" s="15">
        <v>0.0</v>
      </c>
      <c r="EM900" s="15" t="str">
        <f>IFERROR(__xludf.DUMMYFUNCTION("""COMPUTED_VALUE"""),"#VALUE!")</f>
        <v>#VALUE!</v>
      </c>
      <c r="EN900" s="15" t="s">
        <v>726</v>
      </c>
      <c r="EO900" s="15" t="s">
        <v>1995</v>
      </c>
      <c r="EP900" s="15" t="s">
        <v>2736</v>
      </c>
      <c r="EQ900" s="15" t="s">
        <v>1286</v>
      </c>
      <c r="EU900" s="15" t="s">
        <v>1236</v>
      </c>
      <c r="EV900" s="15" t="s">
        <v>477</v>
      </c>
      <c r="EW900" s="15" t="s">
        <v>467</v>
      </c>
      <c r="EX900" s="15" t="s">
        <v>1072</v>
      </c>
      <c r="EY900" s="15" t="s">
        <v>3241</v>
      </c>
      <c r="EZ900" s="15" t="s">
        <v>2571</v>
      </c>
      <c r="FA900" s="15" t="s">
        <v>1072</v>
      </c>
      <c r="FB900" s="15" t="s">
        <v>504</v>
      </c>
      <c r="FE900" s="15" t="s">
        <v>723</v>
      </c>
      <c r="FF900" s="15" t="s">
        <v>724</v>
      </c>
      <c r="FG900" s="15" t="s">
        <v>9198</v>
      </c>
      <c r="FH900" s="15" t="s">
        <v>9199</v>
      </c>
      <c r="FT900" s="15">
        <v>0.0</v>
      </c>
      <c r="FU900" s="15">
        <v>0.0</v>
      </c>
      <c r="FW900" s="15">
        <v>0.0</v>
      </c>
    </row>
    <row r="901" ht="15.75" customHeight="1">
      <c r="A901" s="14" t="s">
        <v>391</v>
      </c>
      <c r="B901" s="15" t="s">
        <v>9200</v>
      </c>
      <c r="C901" s="16"/>
      <c r="D901" s="15" t="s">
        <v>432</v>
      </c>
      <c r="G901" s="14" t="s">
        <v>393</v>
      </c>
      <c r="H901" s="14" t="s">
        <v>394</v>
      </c>
      <c r="I901" s="14" t="b">
        <v>1</v>
      </c>
      <c r="J901" s="14" t="s">
        <v>395</v>
      </c>
      <c r="L901" s="14" t="b">
        <v>0</v>
      </c>
      <c r="M901" s="15" t="s">
        <v>9201</v>
      </c>
      <c r="N901" s="14" t="s">
        <v>393</v>
      </c>
      <c r="O901" s="14" t="s">
        <v>393</v>
      </c>
      <c r="P901" s="15" t="s">
        <v>397</v>
      </c>
      <c r="Q901" s="15" t="s">
        <v>9202</v>
      </c>
      <c r="T901" s="14" t="b">
        <v>0</v>
      </c>
      <c r="U901" s="15" t="s">
        <v>9203</v>
      </c>
      <c r="V901" s="15" t="s">
        <v>9204</v>
      </c>
      <c r="W901" s="15" t="s">
        <v>401</v>
      </c>
      <c r="X901" s="15" t="s">
        <v>695</v>
      </c>
      <c r="Y901" s="15">
        <v>2847.0</v>
      </c>
      <c r="AA901" s="15" t="str">
        <f>"1095"</f>
        <v>1095</v>
      </c>
      <c r="AB901" s="14" t="b">
        <v>1</v>
      </c>
      <c r="AC901" s="14" t="b">
        <v>1</v>
      </c>
      <c r="AD901" s="15" t="str">
        <f>"801542147372"</f>
        <v>801542147372</v>
      </c>
      <c r="AE901" s="15" t="s">
        <v>9205</v>
      </c>
      <c r="AF901" s="14" t="s">
        <v>404</v>
      </c>
      <c r="AG901" s="14" t="s">
        <v>405</v>
      </c>
      <c r="AH901" s="14" t="s">
        <v>406</v>
      </c>
      <c r="AI901" s="15">
        <v>0.0</v>
      </c>
      <c r="AL901" s="15" t="s">
        <v>2354</v>
      </c>
      <c r="AM901" s="15" t="s">
        <v>1299</v>
      </c>
      <c r="AN901" s="15" t="s">
        <v>1300</v>
      </c>
      <c r="AO901" s="15" t="s">
        <v>2557</v>
      </c>
      <c r="AP901" s="15" t="s">
        <v>2558</v>
      </c>
      <c r="AQ901" s="15" t="s">
        <v>546</v>
      </c>
      <c r="AR901" s="15" t="s">
        <v>547</v>
      </c>
      <c r="AS901" s="15" t="s">
        <v>8463</v>
      </c>
      <c r="AT901" s="15" t="s">
        <v>9202</v>
      </c>
      <c r="AW901" s="15" t="s">
        <v>548</v>
      </c>
      <c r="AX901" s="15" t="s">
        <v>549</v>
      </c>
      <c r="AY901" s="15" t="s">
        <v>413</v>
      </c>
      <c r="AZ901" s="15" t="b">
        <v>0</v>
      </c>
      <c r="BA901" s="15" t="s">
        <v>413</v>
      </c>
      <c r="BB901" s="15" t="b">
        <v>0</v>
      </c>
      <c r="BC901" s="15" t="s">
        <v>9206</v>
      </c>
      <c r="BD901" s="15" t="s">
        <v>709</v>
      </c>
      <c r="BE901" s="15" t="str">
        <f t="shared" ref="BE901:BE903" si="1571">"2"</f>
        <v>2</v>
      </c>
      <c r="BF901" s="15" t="s">
        <v>1564</v>
      </c>
      <c r="BG901" s="15" t="str">
        <f>"100"</f>
        <v>100</v>
      </c>
      <c r="BH901" s="15" t="s">
        <v>551</v>
      </c>
      <c r="BI901" s="15" t="str">
        <f>"5.91"</f>
        <v>5.91</v>
      </c>
      <c r="BJ901" s="15" t="s">
        <v>7613</v>
      </c>
      <c r="BK901" s="15" t="str">
        <f>"45.47"</f>
        <v>45.47</v>
      </c>
      <c r="BL901" s="15" t="s">
        <v>9207</v>
      </c>
      <c r="BM901" s="15" t="str">
        <f>"142.86"</f>
        <v>142.86</v>
      </c>
      <c r="BN901" s="15" t="s">
        <v>9208</v>
      </c>
      <c r="BO901" s="15" t="s">
        <v>2238</v>
      </c>
      <c r="BP901" s="15" t="str">
        <f>"25.59"</f>
        <v>25.59</v>
      </c>
      <c r="BQ901" s="15" t="s">
        <v>441</v>
      </c>
      <c r="BR901" s="15" t="str">
        <f>"14.96"</f>
        <v>14.96</v>
      </c>
      <c r="BS901" s="15" t="s">
        <v>5362</v>
      </c>
      <c r="BT901" s="15" t="str">
        <f>"31.1"</f>
        <v>31.1</v>
      </c>
      <c r="BU901" s="15" t="s">
        <v>1386</v>
      </c>
      <c r="BV901" s="15" t="str">
        <f>"59.52"</f>
        <v>59.52</v>
      </c>
      <c r="BW901" s="15" t="s">
        <v>854</v>
      </c>
      <c r="BZ901" s="15" t="s">
        <v>444</v>
      </c>
      <c r="CB901" s="15" t="s">
        <v>444</v>
      </c>
      <c r="CD901" s="15" t="s">
        <v>444</v>
      </c>
      <c r="CF901" s="15" t="s">
        <v>444</v>
      </c>
      <c r="CI901" s="15" t="s">
        <v>444</v>
      </c>
      <c r="CK901" s="15" t="s">
        <v>444</v>
      </c>
      <c r="CM901" s="15" t="s">
        <v>444</v>
      </c>
      <c r="CO901" s="15" t="s">
        <v>444</v>
      </c>
      <c r="CP901" s="15" t="str">
        <f>"22.42"</f>
        <v>22.42</v>
      </c>
      <c r="CQ901" s="15" t="str">
        <f>"0.635"</f>
        <v>0.635</v>
      </c>
      <c r="CR901" s="15" t="s">
        <v>465</v>
      </c>
      <c r="DC901" s="15" t="str">
        <f>IFERROR(__xludf.DUMMYFUNCTION("""COMPUTED_VALUE"""),"")</f>
        <v/>
      </c>
      <c r="DE901" s="15" t="str">
        <f>IFERROR(__xludf.DUMMYFUNCTION("""COMPUTED_VALUE"""),"")</f>
        <v/>
      </c>
      <c r="DG901" s="15" t="str">
        <f>IFERROR(__xludf.DUMMYFUNCTION("""COMPUTED_VALUE"""),"")</f>
        <v/>
      </c>
      <c r="DL901" s="15" t="str">
        <f>IFERROR(__xludf.DUMMYFUNCTION("""COMPUTED_VALUE"""),"")</f>
        <v/>
      </c>
      <c r="DM901" s="15" t="s">
        <v>444</v>
      </c>
      <c r="DN901" s="15" t="s">
        <v>419</v>
      </c>
      <c r="DO901" s="15">
        <v>0.0</v>
      </c>
      <c r="DP901" s="15" t="s">
        <v>419</v>
      </c>
      <c r="DR901" s="15">
        <v>0.0</v>
      </c>
      <c r="DT901" s="15" t="s">
        <v>1388</v>
      </c>
      <c r="DU901" s="15" t="s">
        <v>419</v>
      </c>
      <c r="DW901" s="15">
        <v>0.0</v>
      </c>
      <c r="DX901" s="15">
        <v>0.0</v>
      </c>
      <c r="DY901" s="15">
        <v>0.0</v>
      </c>
      <c r="EE901" s="15">
        <v>10.0</v>
      </c>
      <c r="EF901" s="15" t="s">
        <v>471</v>
      </c>
      <c r="EG901" s="15" t="s">
        <v>472</v>
      </c>
      <c r="EH901" s="15" t="s">
        <v>9209</v>
      </c>
      <c r="EJ901" s="15" t="s">
        <v>424</v>
      </c>
      <c r="EK901" s="15" t="s">
        <v>446</v>
      </c>
      <c r="EM901" s="15" t="str">
        <f>IFERROR(__xludf.DUMMYFUNCTION("""COMPUTED_VALUE"""),"")</f>
        <v/>
      </c>
      <c r="EW901" s="15" t="s">
        <v>1188</v>
      </c>
      <c r="EX901" s="15" t="s">
        <v>1288</v>
      </c>
      <c r="EY901" s="15" t="s">
        <v>9210</v>
      </c>
      <c r="FH901" s="15" t="s">
        <v>1072</v>
      </c>
      <c r="FI901" s="15" t="s">
        <v>1574</v>
      </c>
      <c r="FJ901" s="15" t="s">
        <v>3204</v>
      </c>
      <c r="FK901" s="15" t="s">
        <v>672</v>
      </c>
      <c r="FL901" s="15" t="s">
        <v>426</v>
      </c>
      <c r="FM901" s="15">
        <v>0.0</v>
      </c>
      <c r="FN901" s="15">
        <v>0.0</v>
      </c>
      <c r="FV901" s="15" t="s">
        <v>1574</v>
      </c>
      <c r="FW901" s="15" t="s">
        <v>1982</v>
      </c>
      <c r="FX901" s="15" t="s">
        <v>1123</v>
      </c>
    </row>
    <row r="902" ht="15.75" customHeight="1">
      <c r="A902" s="14" t="s">
        <v>391</v>
      </c>
      <c r="B902" s="15" t="s">
        <v>9211</v>
      </c>
      <c r="C902" s="16"/>
      <c r="D902" s="15" t="s">
        <v>432</v>
      </c>
      <c r="G902" s="14" t="s">
        <v>393</v>
      </c>
      <c r="H902" s="14" t="s">
        <v>394</v>
      </c>
      <c r="I902" s="14" t="b">
        <v>1</v>
      </c>
      <c r="J902" s="14" t="s">
        <v>395</v>
      </c>
      <c r="L902" s="14" t="b">
        <v>0</v>
      </c>
      <c r="M902" s="15" t="s">
        <v>9212</v>
      </c>
      <c r="N902" s="14" t="s">
        <v>393</v>
      </c>
      <c r="O902" s="14" t="s">
        <v>393</v>
      </c>
      <c r="P902" s="15" t="s">
        <v>397</v>
      </c>
      <c r="Q902" s="15" t="s">
        <v>3697</v>
      </c>
      <c r="T902" s="14" t="b">
        <v>0</v>
      </c>
      <c r="U902" s="15" t="s">
        <v>9213</v>
      </c>
      <c r="V902" s="15" t="s">
        <v>1521</v>
      </c>
      <c r="W902" s="15" t="s">
        <v>401</v>
      </c>
      <c r="X902" s="15" t="s">
        <v>1296</v>
      </c>
      <c r="Y902" s="15">
        <v>1430.0</v>
      </c>
      <c r="AA902" s="15" t="str">
        <f t="shared" ref="AA902:AA903" si="1572">"550"</f>
        <v>550</v>
      </c>
      <c r="AB902" s="14" t="b">
        <v>1</v>
      </c>
      <c r="AC902" s="14" t="b">
        <v>1</v>
      </c>
      <c r="AD902" s="15" t="str">
        <f>"801542687151"</f>
        <v>801542687151</v>
      </c>
      <c r="AE902" s="15" t="s">
        <v>9214</v>
      </c>
      <c r="AF902" s="14" t="s">
        <v>404</v>
      </c>
      <c r="AG902" s="14" t="s">
        <v>405</v>
      </c>
      <c r="AH902" s="14" t="s">
        <v>406</v>
      </c>
      <c r="AI902" s="15">
        <v>0.0</v>
      </c>
      <c r="AL902" s="15" t="s">
        <v>3701</v>
      </c>
      <c r="AM902" s="15" t="s">
        <v>2557</v>
      </c>
      <c r="AN902" s="15" t="s">
        <v>2558</v>
      </c>
      <c r="AO902" s="15" t="s">
        <v>2557</v>
      </c>
      <c r="AP902" s="15" t="s">
        <v>2558</v>
      </c>
      <c r="AQ902" s="15" t="s">
        <v>1276</v>
      </c>
      <c r="AR902" s="15" t="s">
        <v>1277</v>
      </c>
      <c r="AS902" s="15" t="s">
        <v>3586</v>
      </c>
      <c r="AT902" s="15" t="s">
        <v>3697</v>
      </c>
      <c r="AW902" s="15" t="s">
        <v>548</v>
      </c>
      <c r="AX902" s="15" t="s">
        <v>549</v>
      </c>
      <c r="AY902" s="15" t="s">
        <v>413</v>
      </c>
      <c r="AZ902" s="15" t="b">
        <v>0</v>
      </c>
      <c r="BA902" s="15" t="s">
        <v>413</v>
      </c>
      <c r="BB902" s="15" t="b">
        <v>0</v>
      </c>
      <c r="BC902" s="15" t="s">
        <v>9215</v>
      </c>
      <c r="BD902" s="15" t="s">
        <v>1303</v>
      </c>
      <c r="BE902" s="15" t="str">
        <f t="shared" si="1571"/>
        <v>2</v>
      </c>
      <c r="BF902" s="15" t="s">
        <v>2238</v>
      </c>
      <c r="BG902" s="15" t="str">
        <f>"23.5"</f>
        <v>23.5</v>
      </c>
      <c r="BH902" s="15" t="s">
        <v>2060</v>
      </c>
      <c r="BI902" s="15" t="str">
        <f>"23.5"</f>
        <v>23.5</v>
      </c>
      <c r="BJ902" s="15" t="s">
        <v>2060</v>
      </c>
      <c r="BK902" s="15" t="str">
        <f>"32.75"</f>
        <v>32.75</v>
      </c>
      <c r="BL902" s="15" t="s">
        <v>1945</v>
      </c>
      <c r="BM902" s="15" t="str">
        <f>"36.38"</f>
        <v>36.38</v>
      </c>
      <c r="BN902" s="15" t="s">
        <v>2860</v>
      </c>
      <c r="BO902" s="15" t="s">
        <v>1564</v>
      </c>
      <c r="BP902" s="15" t="str">
        <f>"43.7"</f>
        <v>43.7</v>
      </c>
      <c r="BQ902" s="15" t="s">
        <v>4506</v>
      </c>
      <c r="BR902" s="15" t="str">
        <f>"3.25"</f>
        <v>3.25</v>
      </c>
      <c r="BS902" s="15" t="s">
        <v>9216</v>
      </c>
      <c r="BT902" s="15" t="str">
        <f>"44"</f>
        <v>44</v>
      </c>
      <c r="BU902" s="15" t="s">
        <v>3831</v>
      </c>
      <c r="BV902" s="15" t="str">
        <f>"59.79"</f>
        <v>59.79</v>
      </c>
      <c r="BW902" s="15" t="s">
        <v>9217</v>
      </c>
      <c r="BZ902" s="15" t="s">
        <v>444</v>
      </c>
      <c r="CB902" s="15" t="s">
        <v>444</v>
      </c>
      <c r="CD902" s="15" t="s">
        <v>444</v>
      </c>
      <c r="CF902" s="15" t="s">
        <v>444</v>
      </c>
      <c r="CI902" s="15" t="s">
        <v>444</v>
      </c>
      <c r="CK902" s="15" t="s">
        <v>444</v>
      </c>
      <c r="CM902" s="15" t="s">
        <v>444</v>
      </c>
      <c r="CO902" s="15" t="s">
        <v>444</v>
      </c>
      <c r="CP902" s="15" t="str">
        <f t="shared" ref="CP902:CP903" si="1573">"14.06"</f>
        <v>14.06</v>
      </c>
      <c r="CQ902" s="15" t="str">
        <f t="shared" ref="CQ902:CQ903" si="1574">"0.398"</f>
        <v>0.398</v>
      </c>
      <c r="CR902" s="15" t="s">
        <v>497</v>
      </c>
      <c r="DC902" s="15" t="str">
        <f>IFERROR(__xludf.DUMMYFUNCTION("""COMPUTED_VALUE"""),"")</f>
        <v/>
      </c>
      <c r="DE902" s="15" t="str">
        <f>IFERROR(__xludf.DUMMYFUNCTION("""COMPUTED_VALUE"""),"")</f>
        <v/>
      </c>
      <c r="DG902" s="15" t="str">
        <f>IFERROR(__xludf.DUMMYFUNCTION("""COMPUTED_VALUE"""),"")</f>
        <v/>
      </c>
      <c r="DL902" s="15" t="str">
        <f>IFERROR(__xludf.DUMMYFUNCTION("""COMPUTED_VALUE"""),"")</f>
        <v/>
      </c>
      <c r="DM902" s="15" t="s">
        <v>444</v>
      </c>
      <c r="DN902" s="15" t="s">
        <v>419</v>
      </c>
      <c r="DO902" s="15">
        <v>0.0</v>
      </c>
      <c r="DP902" s="15" t="s">
        <v>419</v>
      </c>
      <c r="DR902" s="15">
        <v>0.0</v>
      </c>
      <c r="DU902" s="15" t="s">
        <v>419</v>
      </c>
      <c r="DW902" s="15">
        <v>0.0</v>
      </c>
      <c r="DX902" s="15">
        <v>0.0</v>
      </c>
      <c r="DY902" s="15">
        <v>0.0</v>
      </c>
      <c r="EE902" s="15">
        <v>4.0</v>
      </c>
      <c r="EF902" s="15" t="s">
        <v>1157</v>
      </c>
      <c r="EG902" s="15" t="s">
        <v>1158</v>
      </c>
      <c r="EH902" s="15" t="s">
        <v>9218</v>
      </c>
      <c r="EJ902" s="15" t="s">
        <v>500</v>
      </c>
      <c r="EK902" s="15" t="s">
        <v>501</v>
      </c>
      <c r="EM902" s="15" t="str">
        <f>IFERROR(__xludf.DUMMYFUNCTION("""COMPUTED_VALUE"""),"")</f>
        <v/>
      </c>
      <c r="EW902" s="15" t="s">
        <v>1240</v>
      </c>
      <c r="FH902" s="15" t="s">
        <v>1700</v>
      </c>
      <c r="FI902" s="15" t="s">
        <v>1700</v>
      </c>
      <c r="FJ902" s="15" t="s">
        <v>1240</v>
      </c>
      <c r="FK902" s="15" t="s">
        <v>1309</v>
      </c>
      <c r="FL902" s="15" t="s">
        <v>426</v>
      </c>
      <c r="FM902" s="15">
        <v>0.0</v>
      </c>
      <c r="FN902" s="15">
        <v>0.0</v>
      </c>
      <c r="FV902" s="15" t="s">
        <v>558</v>
      </c>
      <c r="FW902" s="15" t="s">
        <v>3635</v>
      </c>
      <c r="FX902" s="15" t="s">
        <v>2244</v>
      </c>
    </row>
    <row r="903" ht="15.75" customHeight="1">
      <c r="A903" s="14" t="s">
        <v>391</v>
      </c>
      <c r="B903" s="15" t="s">
        <v>9211</v>
      </c>
      <c r="C903" s="16"/>
      <c r="D903" s="15" t="s">
        <v>432</v>
      </c>
      <c r="G903" s="14" t="s">
        <v>393</v>
      </c>
      <c r="H903" s="14" t="s">
        <v>394</v>
      </c>
      <c r="I903" s="14" t="b">
        <v>1</v>
      </c>
      <c r="J903" s="14" t="s">
        <v>395</v>
      </c>
      <c r="L903" s="14" t="b">
        <v>0</v>
      </c>
      <c r="M903" s="15" t="s">
        <v>9219</v>
      </c>
      <c r="N903" s="14" t="s">
        <v>393</v>
      </c>
      <c r="O903" s="14" t="s">
        <v>393</v>
      </c>
      <c r="P903" s="15" t="s">
        <v>397</v>
      </c>
      <c r="Q903" s="15" t="s">
        <v>9220</v>
      </c>
      <c r="T903" s="14" t="b">
        <v>0</v>
      </c>
      <c r="U903" s="15" t="s">
        <v>9221</v>
      </c>
      <c r="V903" s="15" t="s">
        <v>1521</v>
      </c>
      <c r="W903" s="15" t="s">
        <v>401</v>
      </c>
      <c r="X903" s="15" t="s">
        <v>1296</v>
      </c>
      <c r="Y903" s="15">
        <v>1430.0</v>
      </c>
      <c r="AA903" s="15" t="str">
        <f t="shared" si="1572"/>
        <v>550</v>
      </c>
      <c r="AB903" s="14" t="b">
        <v>1</v>
      </c>
      <c r="AC903" s="14" t="b">
        <v>1</v>
      </c>
      <c r="AD903" s="15" t="str">
        <f>"801542308728"</f>
        <v>801542308728</v>
      </c>
      <c r="AE903" s="15" t="s">
        <v>9222</v>
      </c>
      <c r="AF903" s="14" t="s">
        <v>404</v>
      </c>
      <c r="AG903" s="14" t="s">
        <v>405</v>
      </c>
      <c r="AH903" s="14" t="s">
        <v>406</v>
      </c>
      <c r="AI903" s="15">
        <v>0.0</v>
      </c>
      <c r="AL903" s="15" t="s">
        <v>3701</v>
      </c>
      <c r="AM903" s="15" t="s">
        <v>2557</v>
      </c>
      <c r="AN903" s="15" t="s">
        <v>2558</v>
      </c>
      <c r="AO903" s="15" t="s">
        <v>2557</v>
      </c>
      <c r="AP903" s="15" t="s">
        <v>2558</v>
      </c>
      <c r="AQ903" s="15" t="s">
        <v>1276</v>
      </c>
      <c r="AR903" s="15" t="s">
        <v>1277</v>
      </c>
      <c r="AS903" s="15" t="s">
        <v>3586</v>
      </c>
      <c r="AT903" s="15" t="s">
        <v>9220</v>
      </c>
      <c r="AW903" s="15" t="s">
        <v>548</v>
      </c>
      <c r="AX903" s="15" t="s">
        <v>549</v>
      </c>
      <c r="AY903" s="15" t="s">
        <v>413</v>
      </c>
      <c r="AZ903" s="15" t="b">
        <v>0</v>
      </c>
      <c r="BA903" s="15" t="s">
        <v>413</v>
      </c>
      <c r="BB903" s="15" t="b">
        <v>0</v>
      </c>
      <c r="BC903" s="15" t="s">
        <v>9223</v>
      </c>
      <c r="BD903" s="15" t="s">
        <v>1303</v>
      </c>
      <c r="BE903" s="15" t="str">
        <f t="shared" si="1571"/>
        <v>2</v>
      </c>
      <c r="BF903" s="15" t="s">
        <v>1564</v>
      </c>
      <c r="BG903" s="15" t="str">
        <f>"43.7"</f>
        <v>43.7</v>
      </c>
      <c r="BH903" s="15" t="s">
        <v>4506</v>
      </c>
      <c r="BI903" s="15" t="str">
        <f>"3.25"</f>
        <v>3.25</v>
      </c>
      <c r="BJ903" s="15" t="s">
        <v>9216</v>
      </c>
      <c r="BK903" s="15" t="str">
        <f>"44"</f>
        <v>44</v>
      </c>
      <c r="BL903" s="15" t="s">
        <v>3831</v>
      </c>
      <c r="BM903" s="15" t="str">
        <f>"59.79"</f>
        <v>59.79</v>
      </c>
      <c r="BN903" s="15" t="s">
        <v>9217</v>
      </c>
      <c r="BO903" s="15" t="s">
        <v>2238</v>
      </c>
      <c r="BP903" s="15" t="str">
        <f>"23.5"</f>
        <v>23.5</v>
      </c>
      <c r="BQ903" s="15" t="s">
        <v>2060</v>
      </c>
      <c r="BR903" s="15" t="str">
        <f>"23.5"</f>
        <v>23.5</v>
      </c>
      <c r="BS903" s="15" t="s">
        <v>2060</v>
      </c>
      <c r="BT903" s="15" t="str">
        <f>"32.75"</f>
        <v>32.75</v>
      </c>
      <c r="BU903" s="15" t="s">
        <v>1945</v>
      </c>
      <c r="BV903" s="15" t="str">
        <f>"36.38"</f>
        <v>36.38</v>
      </c>
      <c r="BW903" s="15" t="s">
        <v>2860</v>
      </c>
      <c r="BZ903" s="15" t="s">
        <v>444</v>
      </c>
      <c r="CB903" s="15" t="s">
        <v>444</v>
      </c>
      <c r="CD903" s="15" t="s">
        <v>444</v>
      </c>
      <c r="CF903" s="15" t="s">
        <v>444</v>
      </c>
      <c r="CI903" s="15" t="s">
        <v>444</v>
      </c>
      <c r="CK903" s="15" t="s">
        <v>444</v>
      </c>
      <c r="CM903" s="15" t="s">
        <v>444</v>
      </c>
      <c r="CO903" s="15" t="s">
        <v>444</v>
      </c>
      <c r="CP903" s="15" t="str">
        <f t="shared" si="1573"/>
        <v>14.06</v>
      </c>
      <c r="CQ903" s="15" t="str">
        <f t="shared" si="1574"/>
        <v>0.398</v>
      </c>
      <c r="CR903" s="15" t="s">
        <v>465</v>
      </c>
      <c r="DC903" s="15" t="str">
        <f>IFERROR(__xludf.DUMMYFUNCTION("""COMPUTED_VALUE"""),"")</f>
        <v/>
      </c>
      <c r="DE903" s="15" t="str">
        <f>IFERROR(__xludf.DUMMYFUNCTION("""COMPUTED_VALUE"""),"")</f>
        <v/>
      </c>
      <c r="DG903" s="15" t="str">
        <f>IFERROR(__xludf.DUMMYFUNCTION("""COMPUTED_VALUE"""),"")</f>
        <v/>
      </c>
      <c r="DL903" s="15" t="str">
        <f>IFERROR(__xludf.DUMMYFUNCTION("""COMPUTED_VALUE"""),"")</f>
        <v/>
      </c>
      <c r="DM903" s="15" t="s">
        <v>444</v>
      </c>
      <c r="DN903" s="15" t="s">
        <v>419</v>
      </c>
      <c r="DO903" s="15">
        <v>0.0</v>
      </c>
      <c r="DP903" s="15" t="s">
        <v>419</v>
      </c>
      <c r="DR903" s="15">
        <v>0.0</v>
      </c>
      <c r="DU903" s="15" t="s">
        <v>419</v>
      </c>
      <c r="DW903" s="15">
        <v>0.0</v>
      </c>
      <c r="DX903" s="15">
        <v>0.0</v>
      </c>
      <c r="DY903" s="15">
        <v>0.0</v>
      </c>
      <c r="EE903" s="15">
        <v>4.0</v>
      </c>
      <c r="EF903" s="15" t="s">
        <v>1157</v>
      </c>
      <c r="EG903" s="15" t="s">
        <v>1158</v>
      </c>
      <c r="EH903" s="15" t="s">
        <v>9218</v>
      </c>
      <c r="EJ903" s="15" t="s">
        <v>500</v>
      </c>
      <c r="EK903" s="15" t="s">
        <v>501</v>
      </c>
      <c r="EM903" s="15" t="str">
        <f>IFERROR(__xludf.DUMMYFUNCTION("""COMPUTED_VALUE"""),"")</f>
        <v/>
      </c>
      <c r="EW903" s="15" t="s">
        <v>1240</v>
      </c>
      <c r="FH903" s="15" t="s">
        <v>1700</v>
      </c>
      <c r="FI903" s="15" t="s">
        <v>1700</v>
      </c>
      <c r="FJ903" s="15" t="s">
        <v>1240</v>
      </c>
      <c r="FK903" s="15" t="s">
        <v>1309</v>
      </c>
      <c r="FL903" s="15" t="s">
        <v>426</v>
      </c>
      <c r="FM903" s="15">
        <v>0.0</v>
      </c>
      <c r="FN903" s="15">
        <v>0.0</v>
      </c>
      <c r="FV903" s="15" t="s">
        <v>558</v>
      </c>
      <c r="FW903" s="15" t="s">
        <v>3635</v>
      </c>
      <c r="FX903" s="15" t="s">
        <v>2244</v>
      </c>
    </row>
    <row r="904" ht="15.75" customHeight="1">
      <c r="A904" s="14" t="s">
        <v>391</v>
      </c>
      <c r="B904" s="15" t="s">
        <v>9224</v>
      </c>
      <c r="C904" s="16"/>
      <c r="D904" s="15" t="s">
        <v>432</v>
      </c>
      <c r="G904" s="14" t="s">
        <v>393</v>
      </c>
      <c r="H904" s="14" t="s">
        <v>394</v>
      </c>
      <c r="I904" s="14" t="b">
        <v>1</v>
      </c>
      <c r="J904" s="14" t="s">
        <v>395</v>
      </c>
      <c r="L904" s="14" t="b">
        <v>0</v>
      </c>
      <c r="M904" s="15" t="s">
        <v>9225</v>
      </c>
      <c r="N904" s="14" t="s">
        <v>393</v>
      </c>
      <c r="O904" s="14" t="s">
        <v>393</v>
      </c>
      <c r="P904" s="15" t="s">
        <v>397</v>
      </c>
      <c r="Q904" s="15" t="s">
        <v>1796</v>
      </c>
      <c r="T904" s="14" t="b">
        <v>0</v>
      </c>
      <c r="U904" s="15" t="s">
        <v>9226</v>
      </c>
      <c r="V904" s="15" t="s">
        <v>2208</v>
      </c>
      <c r="W904" s="15" t="s">
        <v>401</v>
      </c>
      <c r="X904" s="15" t="s">
        <v>695</v>
      </c>
      <c r="Y904" s="15">
        <v>884.0</v>
      </c>
      <c r="AA904" s="15" t="str">
        <f>"340"</f>
        <v>340</v>
      </c>
      <c r="AB904" s="14" t="b">
        <v>1</v>
      </c>
      <c r="AC904" s="14" t="b">
        <v>1</v>
      </c>
      <c r="AD904" s="15" t="str">
        <f>"801542815936"</f>
        <v>801542815936</v>
      </c>
      <c r="AE904" s="15" t="s">
        <v>9227</v>
      </c>
      <c r="AF904" s="14" t="s">
        <v>404</v>
      </c>
      <c r="AG904" s="14" t="s">
        <v>405</v>
      </c>
      <c r="AH904" s="14" t="s">
        <v>406</v>
      </c>
      <c r="AI904" s="15">
        <v>0.0</v>
      </c>
      <c r="AL904" s="15" t="s">
        <v>1800</v>
      </c>
      <c r="AM904" s="15" t="s">
        <v>622</v>
      </c>
      <c r="AN904" s="15" t="s">
        <v>623</v>
      </c>
      <c r="AO904" s="15" t="s">
        <v>622</v>
      </c>
      <c r="AP904" s="15" t="s">
        <v>623</v>
      </c>
      <c r="AQ904" s="15" t="s">
        <v>9228</v>
      </c>
      <c r="AR904" s="15" t="s">
        <v>4587</v>
      </c>
      <c r="AS904" s="15" t="s">
        <v>1317</v>
      </c>
      <c r="AT904" s="15" t="s">
        <v>1796</v>
      </c>
      <c r="AU904" s="15" t="s">
        <v>2801</v>
      </c>
      <c r="AW904" s="15" t="s">
        <v>1009</v>
      </c>
      <c r="AY904" s="15" t="s">
        <v>413</v>
      </c>
      <c r="AZ904" s="15" t="b">
        <v>0</v>
      </c>
      <c r="BA904" s="15" t="s">
        <v>413</v>
      </c>
      <c r="BB904" s="15" t="b">
        <v>0</v>
      </c>
      <c r="BC904" s="15" t="s">
        <v>9229</v>
      </c>
      <c r="BD904" s="15" t="s">
        <v>709</v>
      </c>
      <c r="BE904" s="15" t="str">
        <f t="shared" ref="BE904:BE928" si="1575">"1"</f>
        <v>1</v>
      </c>
      <c r="BF904" s="15" t="s">
        <v>416</v>
      </c>
      <c r="BG904" s="15" t="str">
        <f t="shared" ref="BG904:BG908" si="1576">"37.4"</f>
        <v>37.4</v>
      </c>
      <c r="BH904" s="15" t="s">
        <v>3175</v>
      </c>
      <c r="BI904" s="15" t="str">
        <f t="shared" ref="BI904:BI908" si="1577">"37.4"</f>
        <v>37.4</v>
      </c>
      <c r="BJ904" s="15" t="s">
        <v>3175</v>
      </c>
      <c r="BK904" s="15" t="str">
        <f t="shared" ref="BK904:BK908" si="1578">"17.32"</f>
        <v>17.32</v>
      </c>
      <c r="BL904" s="15" t="s">
        <v>2776</v>
      </c>
      <c r="BM904" s="15" t="str">
        <f t="shared" ref="BM904:BM908" si="1579">"44.09"</f>
        <v>44.09</v>
      </c>
      <c r="BN904" s="15" t="s">
        <v>5781</v>
      </c>
      <c r="BQ904" s="15" t="s">
        <v>444</v>
      </c>
      <c r="BS904" s="15" t="s">
        <v>444</v>
      </c>
      <c r="BU904" s="15" t="s">
        <v>444</v>
      </c>
      <c r="BW904" s="15" t="s">
        <v>444</v>
      </c>
      <c r="BZ904" s="15" t="s">
        <v>444</v>
      </c>
      <c r="CB904" s="15" t="s">
        <v>444</v>
      </c>
      <c r="CD904" s="15" t="s">
        <v>444</v>
      </c>
      <c r="CF904" s="15" t="s">
        <v>444</v>
      </c>
      <c r="CI904" s="15" t="s">
        <v>444</v>
      </c>
      <c r="CK904" s="15" t="s">
        <v>444</v>
      </c>
      <c r="CM904" s="15" t="s">
        <v>444</v>
      </c>
      <c r="CO904" s="15" t="s">
        <v>444</v>
      </c>
      <c r="CP904" s="15" t="str">
        <f t="shared" ref="CP904:CP908" si="1580">"14.02"</f>
        <v>14.02</v>
      </c>
      <c r="CQ904" s="15" t="str">
        <f t="shared" ref="CQ904:CQ908" si="1581">"0.397"</f>
        <v>0.397</v>
      </c>
      <c r="CR904" s="15" t="s">
        <v>465</v>
      </c>
      <c r="DB904" s="15" t="s">
        <v>4339</v>
      </c>
      <c r="DC904" s="15" t="str">
        <f>IFERROR(__xludf.DUMMYFUNCTION("""COMPUTED_VALUE"""),"{""value"":36.00,""unit"":""in""}")</f>
        <v>{"value":36.00,"unit":"in"}</v>
      </c>
      <c r="DD904" s="15" t="s">
        <v>1287</v>
      </c>
      <c r="DE904" s="15" t="str">
        <f>IFERROR(__xludf.DUMMYFUNCTION("""COMPUTED_VALUE"""),"{""value"":14.50,""unit"":""in""}")</f>
        <v>{"value":14.50,"unit":"in"}</v>
      </c>
      <c r="DF904" s="15" t="s">
        <v>4339</v>
      </c>
      <c r="DG904" s="15" t="str">
        <f>IFERROR(__xludf.DUMMYFUNCTION("""COMPUTED_VALUE"""),"{""value"":36.00,""unit"":""in""}")</f>
        <v>{"value":36.00,"unit":"in"}</v>
      </c>
      <c r="DI904" s="15">
        <v>0.0</v>
      </c>
      <c r="DK904" s="15" t="s">
        <v>855</v>
      </c>
      <c r="DL904" s="15" t="str">
        <f>IFERROR(__xludf.DUMMYFUNCTION("""COMPUTED_VALUE"""),"Clean with solvent-based (dry clean only) products. Do not use water.")</f>
        <v>Clean with solvent-based (dry clean only) products. Do not use water.</v>
      </c>
      <c r="DM904" s="15" t="s">
        <v>856</v>
      </c>
      <c r="DT904" s="15" t="s">
        <v>1111</v>
      </c>
      <c r="DU904" s="15" t="s">
        <v>419</v>
      </c>
      <c r="DV904" s="15">
        <v>0.0</v>
      </c>
      <c r="DZ904" s="15">
        <v>35000.0</v>
      </c>
      <c r="EA904" s="15" t="s">
        <v>722</v>
      </c>
      <c r="ED904" s="15">
        <v>0.0</v>
      </c>
      <c r="EE904" s="15">
        <v>1.0</v>
      </c>
      <c r="EF904" s="15" t="s">
        <v>1157</v>
      </c>
      <c r="EG904" s="15" t="s">
        <v>1158</v>
      </c>
      <c r="EH904" s="15" t="s">
        <v>9230</v>
      </c>
      <c r="EI904" s="15">
        <v>0.0</v>
      </c>
      <c r="EJ904" s="15" t="s">
        <v>726</v>
      </c>
      <c r="EK904" s="15" t="s">
        <v>727</v>
      </c>
      <c r="EM904" s="15" t="str">
        <f>IFERROR(__xludf.DUMMYFUNCTION("""COMPUTED_VALUE"""),"")</f>
        <v/>
      </c>
      <c r="FF904" s="15" t="s">
        <v>1255</v>
      </c>
    </row>
    <row r="905" ht="15.75" customHeight="1">
      <c r="A905" s="14" t="s">
        <v>391</v>
      </c>
      <c r="B905" s="15" t="s">
        <v>9224</v>
      </c>
      <c r="C905" s="16"/>
      <c r="D905" s="15" t="s">
        <v>432</v>
      </c>
      <c r="G905" s="14" t="s">
        <v>393</v>
      </c>
      <c r="H905" s="14" t="s">
        <v>394</v>
      </c>
      <c r="I905" s="14" t="b">
        <v>1</v>
      </c>
      <c r="J905" s="14" t="s">
        <v>395</v>
      </c>
      <c r="L905" s="14" t="b">
        <v>0</v>
      </c>
      <c r="M905" s="15" t="s">
        <v>9231</v>
      </c>
      <c r="N905" s="14" t="s">
        <v>393</v>
      </c>
      <c r="O905" s="14" t="s">
        <v>393</v>
      </c>
      <c r="P905" s="15" t="s">
        <v>397</v>
      </c>
      <c r="Q905" s="15" t="s">
        <v>1338</v>
      </c>
      <c r="T905" s="14" t="b">
        <v>0</v>
      </c>
      <c r="U905" s="15" t="s">
        <v>9232</v>
      </c>
      <c r="V905" s="15" t="s">
        <v>2208</v>
      </c>
      <c r="W905" s="15" t="s">
        <v>401</v>
      </c>
      <c r="X905" s="15" t="s">
        <v>695</v>
      </c>
      <c r="Y905" s="15">
        <v>1586.0</v>
      </c>
      <c r="AA905" s="15" t="str">
        <f>"610"</f>
        <v>610</v>
      </c>
      <c r="AB905" s="14" t="b">
        <v>1</v>
      </c>
      <c r="AC905" s="14" t="b">
        <v>1</v>
      </c>
      <c r="AD905" s="15" t="str">
        <f>"801542719623"</f>
        <v>801542719623</v>
      </c>
      <c r="AE905" s="15" t="s">
        <v>9233</v>
      </c>
      <c r="AF905" s="14" t="s">
        <v>404</v>
      </c>
      <c r="AG905" s="14" t="s">
        <v>405</v>
      </c>
      <c r="AH905" s="14" t="s">
        <v>406</v>
      </c>
      <c r="AI905" s="15">
        <v>0.0</v>
      </c>
      <c r="AL905" s="15" t="s">
        <v>1341</v>
      </c>
      <c r="AM905" s="15" t="s">
        <v>622</v>
      </c>
      <c r="AN905" s="15" t="s">
        <v>623</v>
      </c>
      <c r="AO905" s="15" t="s">
        <v>622</v>
      </c>
      <c r="AP905" s="15" t="s">
        <v>623</v>
      </c>
      <c r="AQ905" s="15" t="s">
        <v>9228</v>
      </c>
      <c r="AR905" s="15" t="s">
        <v>4587</v>
      </c>
      <c r="AS905" s="15" t="s">
        <v>1317</v>
      </c>
      <c r="AT905" s="15" t="s">
        <v>1338</v>
      </c>
      <c r="AU905" s="15" t="s">
        <v>1342</v>
      </c>
      <c r="AW905" s="15" t="s">
        <v>1009</v>
      </c>
      <c r="AY905" s="15" t="s">
        <v>413</v>
      </c>
      <c r="AZ905" s="15" t="b">
        <v>0</v>
      </c>
      <c r="BA905" s="15" t="s">
        <v>413</v>
      </c>
      <c r="BB905" s="15" t="b">
        <v>0</v>
      </c>
      <c r="BC905" s="15" t="s">
        <v>9234</v>
      </c>
      <c r="BD905" s="15" t="s">
        <v>709</v>
      </c>
      <c r="BE905" s="15" t="str">
        <f t="shared" si="1575"/>
        <v>1</v>
      </c>
      <c r="BF905" s="15" t="s">
        <v>416</v>
      </c>
      <c r="BG905" s="15" t="str">
        <f t="shared" si="1576"/>
        <v>37.4</v>
      </c>
      <c r="BH905" s="15" t="s">
        <v>3175</v>
      </c>
      <c r="BI905" s="15" t="str">
        <f t="shared" si="1577"/>
        <v>37.4</v>
      </c>
      <c r="BJ905" s="15" t="s">
        <v>3175</v>
      </c>
      <c r="BK905" s="15" t="str">
        <f t="shared" si="1578"/>
        <v>17.32</v>
      </c>
      <c r="BL905" s="15" t="s">
        <v>2776</v>
      </c>
      <c r="BM905" s="15" t="str">
        <f t="shared" si="1579"/>
        <v>44.09</v>
      </c>
      <c r="BN905" s="15" t="s">
        <v>5781</v>
      </c>
      <c r="BQ905" s="15" t="s">
        <v>444</v>
      </c>
      <c r="BS905" s="15" t="s">
        <v>444</v>
      </c>
      <c r="BU905" s="15" t="s">
        <v>444</v>
      </c>
      <c r="BW905" s="15" t="s">
        <v>444</v>
      </c>
      <c r="BZ905" s="15" t="s">
        <v>444</v>
      </c>
      <c r="CB905" s="15" t="s">
        <v>444</v>
      </c>
      <c r="CD905" s="15" t="s">
        <v>444</v>
      </c>
      <c r="CF905" s="15" t="s">
        <v>444</v>
      </c>
      <c r="CI905" s="15" t="s">
        <v>444</v>
      </c>
      <c r="CK905" s="15" t="s">
        <v>444</v>
      </c>
      <c r="CM905" s="15" t="s">
        <v>444</v>
      </c>
      <c r="CO905" s="15" t="s">
        <v>444</v>
      </c>
      <c r="CP905" s="15" t="str">
        <f t="shared" si="1580"/>
        <v>14.02</v>
      </c>
      <c r="CQ905" s="15" t="str">
        <f t="shared" si="1581"/>
        <v>0.397</v>
      </c>
      <c r="CR905" s="15" t="s">
        <v>465</v>
      </c>
      <c r="DB905" s="15" t="s">
        <v>4339</v>
      </c>
      <c r="DC905" s="15" t="str">
        <f>IFERROR(__xludf.DUMMYFUNCTION("""COMPUTED_VALUE"""),"{""value"":36.00,""unit"":""in""}")</f>
        <v>{"value":36.00,"unit":"in"}</v>
      </c>
      <c r="DD905" s="15" t="s">
        <v>1287</v>
      </c>
      <c r="DE905" s="15" t="str">
        <f>IFERROR(__xludf.DUMMYFUNCTION("""COMPUTED_VALUE"""),"{""value"":14.50,""unit"":""in""}")</f>
        <v>{"value":14.50,"unit":"in"}</v>
      </c>
      <c r="DF905" s="15" t="s">
        <v>4339</v>
      </c>
      <c r="DG905" s="15" t="str">
        <f>IFERROR(__xludf.DUMMYFUNCTION("""COMPUTED_VALUE"""),"{""value"":36.00,""unit"":""in""}")</f>
        <v>{"value":36.00,"unit":"in"}</v>
      </c>
      <c r="DI905" s="15">
        <v>0.0</v>
      </c>
      <c r="DK905" s="15" t="s">
        <v>718</v>
      </c>
      <c r="DL905" s="15" t="str">
        <f>IFERROR(__xludf.DUMMYFUNCTION("""COMPUTED_VALUE"""),"Vacuum or light brush only. Do not use water or any cleaning products.")</f>
        <v>Vacuum or light brush only. Do not use water or any cleaning products.</v>
      </c>
      <c r="DM905" s="15" t="s">
        <v>719</v>
      </c>
      <c r="DT905" s="15" t="s">
        <v>1111</v>
      </c>
      <c r="DU905" s="15" t="s">
        <v>419</v>
      </c>
      <c r="DV905" s="15">
        <v>0.0</v>
      </c>
      <c r="DZ905" s="15">
        <v>0.0</v>
      </c>
      <c r="EA905" s="15" t="s">
        <v>722</v>
      </c>
      <c r="ED905" s="15">
        <v>0.0</v>
      </c>
      <c r="EE905" s="15">
        <v>1.0</v>
      </c>
      <c r="EF905" s="15" t="s">
        <v>1157</v>
      </c>
      <c r="EG905" s="15" t="s">
        <v>1158</v>
      </c>
      <c r="EH905" s="15" t="s">
        <v>9230</v>
      </c>
      <c r="EI905" s="15">
        <v>0.0</v>
      </c>
      <c r="EJ905" s="15" t="s">
        <v>726</v>
      </c>
      <c r="EK905" s="15" t="s">
        <v>727</v>
      </c>
      <c r="EM905" s="15" t="str">
        <f>IFERROR(__xludf.DUMMYFUNCTION("""COMPUTED_VALUE"""),"")</f>
        <v/>
      </c>
      <c r="FF905" s="15" t="s">
        <v>1255</v>
      </c>
    </row>
    <row r="906" ht="15.75" customHeight="1">
      <c r="A906" s="14" t="s">
        <v>391</v>
      </c>
      <c r="B906" s="15" t="s">
        <v>9224</v>
      </c>
      <c r="C906" s="16"/>
      <c r="D906" s="15" t="s">
        <v>432</v>
      </c>
      <c r="G906" s="14" t="s">
        <v>393</v>
      </c>
      <c r="H906" s="14" t="s">
        <v>394</v>
      </c>
      <c r="I906" s="14" t="b">
        <v>1</v>
      </c>
      <c r="J906" s="14" t="s">
        <v>395</v>
      </c>
      <c r="L906" s="14" t="b">
        <v>0</v>
      </c>
      <c r="M906" s="15" t="s">
        <v>9235</v>
      </c>
      <c r="N906" s="14" t="s">
        <v>393</v>
      </c>
      <c r="O906" s="14" t="s">
        <v>393</v>
      </c>
      <c r="P906" s="15" t="s">
        <v>397</v>
      </c>
      <c r="Q906" s="15" t="s">
        <v>5202</v>
      </c>
      <c r="T906" s="14" t="b">
        <v>0</v>
      </c>
      <c r="U906" s="15" t="s">
        <v>9236</v>
      </c>
      <c r="V906" s="15" t="s">
        <v>2208</v>
      </c>
      <c r="W906" s="15" t="s">
        <v>401</v>
      </c>
      <c r="X906" s="15" t="s">
        <v>695</v>
      </c>
      <c r="Y906" s="15">
        <v>988.0</v>
      </c>
      <c r="AA906" s="15" t="str">
        <f>"380"</f>
        <v>380</v>
      </c>
      <c r="AB906" s="14" t="b">
        <v>1</v>
      </c>
      <c r="AC906" s="14" t="b">
        <v>1</v>
      </c>
      <c r="AD906" s="15" t="str">
        <f>"801542995591"</f>
        <v>801542995591</v>
      </c>
      <c r="AE906" s="15" t="s">
        <v>9237</v>
      </c>
      <c r="AF906" s="14" t="s">
        <v>404</v>
      </c>
      <c r="AG906" s="14" t="s">
        <v>405</v>
      </c>
      <c r="AH906" s="14" t="s">
        <v>406</v>
      </c>
      <c r="AI906" s="15">
        <v>0.0</v>
      </c>
      <c r="AL906" s="15" t="s">
        <v>5205</v>
      </c>
      <c r="AM906" s="15" t="s">
        <v>622</v>
      </c>
      <c r="AN906" s="15" t="s">
        <v>623</v>
      </c>
      <c r="AO906" s="15" t="s">
        <v>622</v>
      </c>
      <c r="AP906" s="15" t="s">
        <v>623</v>
      </c>
      <c r="AQ906" s="15" t="s">
        <v>9228</v>
      </c>
      <c r="AR906" s="15" t="s">
        <v>4587</v>
      </c>
      <c r="AS906" s="15" t="s">
        <v>1317</v>
      </c>
      <c r="AT906" s="15" t="s">
        <v>5202</v>
      </c>
      <c r="AU906" s="15" t="s">
        <v>2801</v>
      </c>
      <c r="AW906" s="15" t="s">
        <v>1009</v>
      </c>
      <c r="AY906" s="15" t="s">
        <v>413</v>
      </c>
      <c r="AZ906" s="15" t="b">
        <v>0</v>
      </c>
      <c r="BA906" s="15" t="s">
        <v>413</v>
      </c>
      <c r="BB906" s="15" t="b">
        <v>0</v>
      </c>
      <c r="BC906" s="15" t="s">
        <v>9238</v>
      </c>
      <c r="BD906" s="15" t="s">
        <v>709</v>
      </c>
      <c r="BE906" s="15" t="str">
        <f t="shared" si="1575"/>
        <v>1</v>
      </c>
      <c r="BF906" s="15" t="s">
        <v>416</v>
      </c>
      <c r="BG906" s="15" t="str">
        <f t="shared" si="1576"/>
        <v>37.4</v>
      </c>
      <c r="BH906" s="15" t="s">
        <v>3175</v>
      </c>
      <c r="BI906" s="15" t="str">
        <f t="shared" si="1577"/>
        <v>37.4</v>
      </c>
      <c r="BJ906" s="15" t="s">
        <v>3175</v>
      </c>
      <c r="BK906" s="15" t="str">
        <f t="shared" si="1578"/>
        <v>17.32</v>
      </c>
      <c r="BL906" s="15" t="s">
        <v>2776</v>
      </c>
      <c r="BM906" s="15" t="str">
        <f t="shared" si="1579"/>
        <v>44.09</v>
      </c>
      <c r="BN906" s="15" t="s">
        <v>5781</v>
      </c>
      <c r="BQ906" s="15" t="s">
        <v>444</v>
      </c>
      <c r="BS906" s="15" t="s">
        <v>444</v>
      </c>
      <c r="BU906" s="15" t="s">
        <v>444</v>
      </c>
      <c r="BW906" s="15" t="s">
        <v>444</v>
      </c>
      <c r="BZ906" s="15" t="s">
        <v>444</v>
      </c>
      <c r="CB906" s="15" t="s">
        <v>444</v>
      </c>
      <c r="CD906" s="15" t="s">
        <v>444</v>
      </c>
      <c r="CF906" s="15" t="s">
        <v>444</v>
      </c>
      <c r="CI906" s="15" t="s">
        <v>444</v>
      </c>
      <c r="CK906" s="15" t="s">
        <v>444</v>
      </c>
      <c r="CM906" s="15" t="s">
        <v>444</v>
      </c>
      <c r="CO906" s="15" t="s">
        <v>444</v>
      </c>
      <c r="CP906" s="15" t="str">
        <f t="shared" si="1580"/>
        <v>14.02</v>
      </c>
      <c r="CQ906" s="15" t="str">
        <f t="shared" si="1581"/>
        <v>0.397</v>
      </c>
      <c r="CR906" s="15" t="s">
        <v>417</v>
      </c>
      <c r="DB906" s="15" t="s">
        <v>4339</v>
      </c>
      <c r="DC906" s="15" t="str">
        <f>IFERROR(__xludf.DUMMYFUNCTION("""COMPUTED_VALUE"""),"{""value"":36.00,""unit"":""in""}")</f>
        <v>{"value":36.00,"unit":"in"}</v>
      </c>
      <c r="DD906" s="15" t="s">
        <v>1287</v>
      </c>
      <c r="DE906" s="15" t="str">
        <f>IFERROR(__xludf.DUMMYFUNCTION("""COMPUTED_VALUE"""),"{""value"":14.50,""unit"":""in""}")</f>
        <v>{"value":14.50,"unit":"in"}</v>
      </c>
      <c r="DF906" s="15" t="s">
        <v>4339</v>
      </c>
      <c r="DG906" s="15" t="str">
        <f>IFERROR(__xludf.DUMMYFUNCTION("""COMPUTED_VALUE"""),"{""value"":36.00,""unit"":""in""}")</f>
        <v>{"value":36.00,"unit":"in"}</v>
      </c>
      <c r="DI906" s="15">
        <v>0.0</v>
      </c>
      <c r="DK906" s="15" t="s">
        <v>855</v>
      </c>
      <c r="DL906" s="15" t="str">
        <f>IFERROR(__xludf.DUMMYFUNCTION("""COMPUTED_VALUE"""),"Clean with solvent-based (dry clean only) products. Do not use water.")</f>
        <v>Clean with solvent-based (dry clean only) products. Do not use water.</v>
      </c>
      <c r="DM906" s="15" t="s">
        <v>856</v>
      </c>
      <c r="DT906" s="15" t="s">
        <v>1111</v>
      </c>
      <c r="DU906" s="15" t="s">
        <v>419</v>
      </c>
      <c r="DV906" s="15">
        <v>0.0</v>
      </c>
      <c r="DZ906" s="15">
        <v>15000.0</v>
      </c>
      <c r="EA906" s="15" t="s">
        <v>722</v>
      </c>
      <c r="ED906" s="15">
        <v>0.0</v>
      </c>
      <c r="EE906" s="15">
        <v>1.0</v>
      </c>
      <c r="EF906" s="15" t="s">
        <v>1157</v>
      </c>
      <c r="EG906" s="15" t="s">
        <v>1158</v>
      </c>
      <c r="EH906" s="15" t="s">
        <v>9230</v>
      </c>
      <c r="EI906" s="15">
        <v>0.0</v>
      </c>
      <c r="EJ906" s="15" t="s">
        <v>726</v>
      </c>
      <c r="EK906" s="15" t="s">
        <v>727</v>
      </c>
      <c r="EM906" s="15" t="str">
        <f>IFERROR(__xludf.DUMMYFUNCTION("""COMPUTED_VALUE"""),"")</f>
        <v/>
      </c>
      <c r="FF906" s="15" t="s">
        <v>1255</v>
      </c>
    </row>
    <row r="907" ht="15.75" customHeight="1">
      <c r="A907" s="14" t="s">
        <v>391</v>
      </c>
      <c r="B907" s="15" t="s">
        <v>9224</v>
      </c>
      <c r="C907" s="16"/>
      <c r="D907" s="15" t="s">
        <v>432</v>
      </c>
      <c r="G907" s="14" t="s">
        <v>393</v>
      </c>
      <c r="H907" s="14" t="s">
        <v>394</v>
      </c>
      <c r="I907" s="14" t="b">
        <v>1</v>
      </c>
      <c r="J907" s="14" t="s">
        <v>395</v>
      </c>
      <c r="L907" s="14" t="b">
        <v>0</v>
      </c>
      <c r="M907" s="15" t="s">
        <v>9239</v>
      </c>
      <c r="N907" s="14" t="s">
        <v>393</v>
      </c>
      <c r="O907" s="14" t="s">
        <v>393</v>
      </c>
      <c r="P907" s="15" t="s">
        <v>397</v>
      </c>
      <c r="Q907" s="15" t="s">
        <v>1350</v>
      </c>
      <c r="T907" s="14" t="b">
        <v>0</v>
      </c>
      <c r="U907" s="15" t="s">
        <v>9240</v>
      </c>
      <c r="V907" s="15" t="s">
        <v>2208</v>
      </c>
      <c r="W907" s="15" t="s">
        <v>401</v>
      </c>
      <c r="X907" s="15" t="s">
        <v>695</v>
      </c>
      <c r="Y907" s="15">
        <v>819.0</v>
      </c>
      <c r="AA907" s="15" t="str">
        <f>"315"</f>
        <v>315</v>
      </c>
      <c r="AB907" s="14" t="b">
        <v>1</v>
      </c>
      <c r="AC907" s="14" t="b">
        <v>1</v>
      </c>
      <c r="AD907" s="15" t="str">
        <f>"801542816322"</f>
        <v>801542816322</v>
      </c>
      <c r="AE907" s="15" t="s">
        <v>9241</v>
      </c>
      <c r="AF907" s="14" t="s">
        <v>404</v>
      </c>
      <c r="AG907" s="14" t="s">
        <v>405</v>
      </c>
      <c r="AH907" s="14" t="s">
        <v>406</v>
      </c>
      <c r="AI907" s="15">
        <v>0.0</v>
      </c>
      <c r="AL907" s="15" t="s">
        <v>832</v>
      </c>
      <c r="AM907" s="15" t="s">
        <v>622</v>
      </c>
      <c r="AN907" s="15" t="s">
        <v>623</v>
      </c>
      <c r="AO907" s="15" t="s">
        <v>622</v>
      </c>
      <c r="AP907" s="15" t="s">
        <v>623</v>
      </c>
      <c r="AQ907" s="15" t="s">
        <v>9228</v>
      </c>
      <c r="AR907" s="15" t="s">
        <v>4587</v>
      </c>
      <c r="AS907" s="15" t="s">
        <v>1317</v>
      </c>
      <c r="AT907" s="15" t="s">
        <v>1350</v>
      </c>
      <c r="AU907" s="15" t="s">
        <v>2801</v>
      </c>
      <c r="AW907" s="15" t="s">
        <v>1009</v>
      </c>
      <c r="AY907" s="15" t="s">
        <v>413</v>
      </c>
      <c r="AZ907" s="15" t="b">
        <v>0</v>
      </c>
      <c r="BA907" s="15" t="s">
        <v>413</v>
      </c>
      <c r="BB907" s="15" t="b">
        <v>0</v>
      </c>
      <c r="BC907" s="15" t="s">
        <v>9242</v>
      </c>
      <c r="BD907" s="15" t="s">
        <v>709</v>
      </c>
      <c r="BE907" s="15" t="str">
        <f t="shared" si="1575"/>
        <v>1</v>
      </c>
      <c r="BF907" s="15" t="s">
        <v>416</v>
      </c>
      <c r="BG907" s="15" t="str">
        <f t="shared" si="1576"/>
        <v>37.4</v>
      </c>
      <c r="BH907" s="15" t="s">
        <v>3175</v>
      </c>
      <c r="BI907" s="15" t="str">
        <f t="shared" si="1577"/>
        <v>37.4</v>
      </c>
      <c r="BJ907" s="15" t="s">
        <v>3175</v>
      </c>
      <c r="BK907" s="15" t="str">
        <f t="shared" si="1578"/>
        <v>17.32</v>
      </c>
      <c r="BL907" s="15" t="s">
        <v>2776</v>
      </c>
      <c r="BM907" s="15" t="str">
        <f t="shared" si="1579"/>
        <v>44.09</v>
      </c>
      <c r="BN907" s="15" t="s">
        <v>5781</v>
      </c>
      <c r="BQ907" s="15" t="s">
        <v>444</v>
      </c>
      <c r="BS907" s="15" t="s">
        <v>444</v>
      </c>
      <c r="BU907" s="15" t="s">
        <v>444</v>
      </c>
      <c r="BW907" s="15" t="s">
        <v>444</v>
      </c>
      <c r="BZ907" s="15" t="s">
        <v>444</v>
      </c>
      <c r="CB907" s="15" t="s">
        <v>444</v>
      </c>
      <c r="CD907" s="15" t="s">
        <v>444</v>
      </c>
      <c r="CF907" s="15" t="s">
        <v>444</v>
      </c>
      <c r="CI907" s="15" t="s">
        <v>444</v>
      </c>
      <c r="CK907" s="15" t="s">
        <v>444</v>
      </c>
      <c r="CM907" s="15" t="s">
        <v>444</v>
      </c>
      <c r="CO907" s="15" t="s">
        <v>444</v>
      </c>
      <c r="CP907" s="15" t="str">
        <f t="shared" si="1580"/>
        <v>14.02</v>
      </c>
      <c r="CQ907" s="15" t="str">
        <f t="shared" si="1581"/>
        <v>0.397</v>
      </c>
      <c r="CR907" s="15" t="s">
        <v>417</v>
      </c>
      <c r="DB907" s="15" t="s">
        <v>4339</v>
      </c>
      <c r="DC907" s="15" t="str">
        <f>IFERROR(__xludf.DUMMYFUNCTION("""COMPUTED_VALUE"""),"{""value"":36.00,""unit"":""in""}")</f>
        <v>{"value":36.00,"unit":"in"}</v>
      </c>
      <c r="DD907" s="15" t="s">
        <v>1287</v>
      </c>
      <c r="DE907" s="15" t="str">
        <f>IFERROR(__xludf.DUMMYFUNCTION("""COMPUTED_VALUE"""),"{""value"":14.50,""unit"":""in""}")</f>
        <v>{"value":14.50,"unit":"in"}</v>
      </c>
      <c r="DF907" s="15" t="s">
        <v>4339</v>
      </c>
      <c r="DG907" s="15" t="str">
        <f>IFERROR(__xludf.DUMMYFUNCTION("""COMPUTED_VALUE"""),"{""value"":36.00,""unit"":""in""}")</f>
        <v>{"value":36.00,"unit":"in"}</v>
      </c>
      <c r="DI907" s="15">
        <v>0.0</v>
      </c>
      <c r="DK907" s="15" t="s">
        <v>897</v>
      </c>
      <c r="DL907" s="15" t="str">
        <f>IFERROR(__xludf.DUMMYFUNCTION("""COMPUTED_VALUE"""),"Clean with water-based products only. Use mild detergent or upholstery shampoo.")</f>
        <v>Clean with water-based products only. Use mild detergent or upholstery shampoo.</v>
      </c>
      <c r="DM907" s="15" t="s">
        <v>898</v>
      </c>
      <c r="DT907" s="15" t="s">
        <v>1111</v>
      </c>
      <c r="DU907" s="15" t="s">
        <v>419</v>
      </c>
      <c r="DV907" s="15">
        <v>0.0</v>
      </c>
      <c r="DZ907" s="15">
        <v>15000.0</v>
      </c>
      <c r="EA907" s="15" t="s">
        <v>722</v>
      </c>
      <c r="ED907" s="15">
        <v>0.0</v>
      </c>
      <c r="EE907" s="15">
        <v>1.0</v>
      </c>
      <c r="EF907" s="15" t="s">
        <v>1157</v>
      </c>
      <c r="EG907" s="15" t="s">
        <v>1158</v>
      </c>
      <c r="EH907" s="15" t="s">
        <v>9230</v>
      </c>
      <c r="EI907" s="15">
        <v>0.0</v>
      </c>
      <c r="EJ907" s="15" t="s">
        <v>726</v>
      </c>
      <c r="EK907" s="15" t="s">
        <v>727</v>
      </c>
      <c r="EM907" s="15" t="str">
        <f>IFERROR(__xludf.DUMMYFUNCTION("""COMPUTED_VALUE"""),"")</f>
        <v/>
      </c>
      <c r="FF907" s="15" t="s">
        <v>1255</v>
      </c>
    </row>
    <row r="908" ht="15.75" customHeight="1">
      <c r="A908" s="14" t="s">
        <v>391</v>
      </c>
      <c r="B908" s="15" t="s">
        <v>9224</v>
      </c>
      <c r="C908" s="16"/>
      <c r="D908" s="15" t="s">
        <v>432</v>
      </c>
      <c r="G908" s="14" t="s">
        <v>393</v>
      </c>
      <c r="H908" s="14" t="s">
        <v>394</v>
      </c>
      <c r="I908" s="14" t="b">
        <v>1</v>
      </c>
      <c r="J908" s="14" t="s">
        <v>395</v>
      </c>
      <c r="L908" s="14" t="b">
        <v>0</v>
      </c>
      <c r="M908" s="15" t="s">
        <v>9243</v>
      </c>
      <c r="N908" s="14" t="s">
        <v>393</v>
      </c>
      <c r="O908" s="14" t="s">
        <v>393</v>
      </c>
      <c r="P908" s="15" t="s">
        <v>397</v>
      </c>
      <c r="Q908" s="15" t="s">
        <v>1612</v>
      </c>
      <c r="T908" s="14" t="b">
        <v>0</v>
      </c>
      <c r="U908" s="15" t="s">
        <v>9244</v>
      </c>
      <c r="V908" s="15" t="s">
        <v>2208</v>
      </c>
      <c r="W908" s="15" t="s">
        <v>401</v>
      </c>
      <c r="X908" s="15" t="s">
        <v>695</v>
      </c>
      <c r="Y908" s="15">
        <v>884.0</v>
      </c>
      <c r="AA908" s="15" t="str">
        <f>"340"</f>
        <v>340</v>
      </c>
      <c r="AB908" s="14" t="b">
        <v>1</v>
      </c>
      <c r="AC908" s="14" t="b">
        <v>1</v>
      </c>
      <c r="AD908" s="15" t="str">
        <f>"801542994037"</f>
        <v>801542994037</v>
      </c>
      <c r="AE908" s="15" t="s">
        <v>9245</v>
      </c>
      <c r="AF908" s="14" t="s">
        <v>404</v>
      </c>
      <c r="AG908" s="14" t="s">
        <v>405</v>
      </c>
      <c r="AH908" s="14" t="s">
        <v>406</v>
      </c>
      <c r="AI908" s="15">
        <v>0.0</v>
      </c>
      <c r="AL908" s="15" t="s">
        <v>6104</v>
      </c>
      <c r="AM908" s="15" t="s">
        <v>622</v>
      </c>
      <c r="AN908" s="15" t="s">
        <v>623</v>
      </c>
      <c r="AO908" s="15" t="s">
        <v>622</v>
      </c>
      <c r="AP908" s="15" t="s">
        <v>623</v>
      </c>
      <c r="AQ908" s="15" t="s">
        <v>9228</v>
      </c>
      <c r="AR908" s="15" t="s">
        <v>4587</v>
      </c>
      <c r="AS908" s="15" t="s">
        <v>1317</v>
      </c>
      <c r="AT908" s="15" t="s">
        <v>1612</v>
      </c>
      <c r="AU908" s="15" t="s">
        <v>2801</v>
      </c>
      <c r="AW908" s="15" t="s">
        <v>1009</v>
      </c>
      <c r="AY908" s="15" t="s">
        <v>413</v>
      </c>
      <c r="AZ908" s="15" t="b">
        <v>0</v>
      </c>
      <c r="BA908" s="15" t="s">
        <v>413</v>
      </c>
      <c r="BB908" s="15" t="b">
        <v>0</v>
      </c>
      <c r="BC908" s="15" t="s">
        <v>9246</v>
      </c>
      <c r="BD908" s="15" t="s">
        <v>709</v>
      </c>
      <c r="BE908" s="15" t="str">
        <f t="shared" si="1575"/>
        <v>1</v>
      </c>
      <c r="BF908" s="15" t="s">
        <v>416</v>
      </c>
      <c r="BG908" s="15" t="str">
        <f t="shared" si="1576"/>
        <v>37.4</v>
      </c>
      <c r="BH908" s="15" t="s">
        <v>3175</v>
      </c>
      <c r="BI908" s="15" t="str">
        <f t="shared" si="1577"/>
        <v>37.4</v>
      </c>
      <c r="BJ908" s="15" t="s">
        <v>3175</v>
      </c>
      <c r="BK908" s="15" t="str">
        <f t="shared" si="1578"/>
        <v>17.32</v>
      </c>
      <c r="BL908" s="15" t="s">
        <v>2776</v>
      </c>
      <c r="BM908" s="15" t="str">
        <f t="shared" si="1579"/>
        <v>44.09</v>
      </c>
      <c r="BN908" s="15" t="s">
        <v>5781</v>
      </c>
      <c r="BQ908" s="15" t="s">
        <v>444</v>
      </c>
      <c r="BS908" s="15" t="s">
        <v>444</v>
      </c>
      <c r="BU908" s="15" t="s">
        <v>444</v>
      </c>
      <c r="BW908" s="15" t="s">
        <v>444</v>
      </c>
      <c r="BZ908" s="15" t="s">
        <v>444</v>
      </c>
      <c r="CB908" s="15" t="s">
        <v>444</v>
      </c>
      <c r="CD908" s="15" t="s">
        <v>444</v>
      </c>
      <c r="CF908" s="15" t="s">
        <v>444</v>
      </c>
      <c r="CI908" s="15" t="s">
        <v>444</v>
      </c>
      <c r="CK908" s="15" t="s">
        <v>444</v>
      </c>
      <c r="CM908" s="15" t="s">
        <v>444</v>
      </c>
      <c r="CO908" s="15" t="s">
        <v>444</v>
      </c>
      <c r="CP908" s="15" t="str">
        <f t="shared" si="1580"/>
        <v>14.02</v>
      </c>
      <c r="CQ908" s="15" t="str">
        <f t="shared" si="1581"/>
        <v>0.397</v>
      </c>
      <c r="CR908" s="15" t="s">
        <v>465</v>
      </c>
      <c r="DB908" s="15" t="s">
        <v>4339</v>
      </c>
      <c r="DC908" s="15" t="str">
        <f>IFERROR(__xludf.DUMMYFUNCTION("""COMPUTED_VALUE"""),"{""value"":36.00,""unit"":""in""}")</f>
        <v>{"value":36.00,"unit":"in"}</v>
      </c>
      <c r="DD908" s="15" t="s">
        <v>1287</v>
      </c>
      <c r="DE908" s="15" t="str">
        <f>IFERROR(__xludf.DUMMYFUNCTION("""COMPUTED_VALUE"""),"{""value"":14.50,""unit"":""in""}")</f>
        <v>{"value":14.50,"unit":"in"}</v>
      </c>
      <c r="DF908" s="15" t="s">
        <v>4339</v>
      </c>
      <c r="DG908" s="15" t="str">
        <f>IFERROR(__xludf.DUMMYFUNCTION("""COMPUTED_VALUE"""),"{""value"":36.00,""unit"":""in""}")</f>
        <v>{"value":36.00,"unit":"in"}</v>
      </c>
      <c r="DI908" s="15">
        <v>0.0</v>
      </c>
      <c r="DK908" s="15" t="s">
        <v>718</v>
      </c>
      <c r="DL908" s="15" t="str">
        <f>IFERROR(__xludf.DUMMYFUNCTION("""COMPUTED_VALUE"""),"Vacuum or light brush only. Do not use water or any cleaning products.")</f>
        <v>Vacuum or light brush only. Do not use water or any cleaning products.</v>
      </c>
      <c r="DM908" s="15" t="s">
        <v>719</v>
      </c>
      <c r="DT908" s="15" t="s">
        <v>1111</v>
      </c>
      <c r="DU908" s="15" t="s">
        <v>419</v>
      </c>
      <c r="DV908" s="15">
        <v>0.0</v>
      </c>
      <c r="DZ908" s="15">
        <v>30000.0</v>
      </c>
      <c r="EA908" s="15" t="s">
        <v>722</v>
      </c>
      <c r="ED908" s="15">
        <v>0.0</v>
      </c>
      <c r="EE908" s="15">
        <v>1.0</v>
      </c>
      <c r="EF908" s="15" t="s">
        <v>1157</v>
      </c>
      <c r="EG908" s="15" t="s">
        <v>1158</v>
      </c>
      <c r="EH908" s="15" t="s">
        <v>9230</v>
      </c>
      <c r="EI908" s="15">
        <v>0.0</v>
      </c>
      <c r="EJ908" s="15" t="s">
        <v>726</v>
      </c>
      <c r="EK908" s="15" t="s">
        <v>727</v>
      </c>
      <c r="EM908" s="15" t="str">
        <f>IFERROR(__xludf.DUMMYFUNCTION("""COMPUTED_VALUE"""),"")</f>
        <v/>
      </c>
      <c r="FF908" s="15" t="s">
        <v>1255</v>
      </c>
    </row>
    <row r="909" ht="15.75" customHeight="1">
      <c r="A909" s="14" t="s">
        <v>391</v>
      </c>
      <c r="B909" s="15" t="s">
        <v>9247</v>
      </c>
      <c r="C909" s="16"/>
      <c r="D909" s="15" t="s">
        <v>432</v>
      </c>
      <c r="G909" s="14" t="s">
        <v>393</v>
      </c>
      <c r="H909" s="14" t="s">
        <v>394</v>
      </c>
      <c r="I909" s="14" t="b">
        <v>1</v>
      </c>
      <c r="J909" s="14" t="s">
        <v>395</v>
      </c>
      <c r="L909" s="14" t="b">
        <v>0</v>
      </c>
      <c r="M909" s="15" t="s">
        <v>9248</v>
      </c>
      <c r="N909" s="14" t="s">
        <v>393</v>
      </c>
      <c r="O909" s="14" t="s">
        <v>393</v>
      </c>
      <c r="P909" s="15" t="s">
        <v>397</v>
      </c>
      <c r="Q909" s="15" t="s">
        <v>9249</v>
      </c>
      <c r="T909" s="14" t="b">
        <v>0</v>
      </c>
      <c r="U909" s="15" t="s">
        <v>9250</v>
      </c>
      <c r="V909" s="15" t="s">
        <v>9251</v>
      </c>
      <c r="W909" s="15" t="s">
        <v>401</v>
      </c>
      <c r="X909" s="15" t="s">
        <v>1172</v>
      </c>
      <c r="Y909" s="15">
        <v>767.0</v>
      </c>
      <c r="AA909" s="15" t="str">
        <f t="shared" ref="AA909:AA910" si="1582">"295"</f>
        <v>295</v>
      </c>
      <c r="AB909" s="14" t="b">
        <v>1</v>
      </c>
      <c r="AC909" s="14" t="b">
        <v>1</v>
      </c>
      <c r="AD909" s="15" t="str">
        <f>"801542976880"</f>
        <v>801542976880</v>
      </c>
      <c r="AE909" s="15" t="s">
        <v>9252</v>
      </c>
      <c r="AF909" s="14" t="s">
        <v>404</v>
      </c>
      <c r="AG909" s="14" t="s">
        <v>405</v>
      </c>
      <c r="AH909" s="14" t="s">
        <v>406</v>
      </c>
      <c r="AI909" s="15">
        <v>0.0</v>
      </c>
      <c r="AL909" s="15" t="s">
        <v>9253</v>
      </c>
      <c r="AM909" s="15" t="s">
        <v>1561</v>
      </c>
      <c r="AN909" s="15" t="s">
        <v>1562</v>
      </c>
      <c r="AO909" s="15" t="s">
        <v>1561</v>
      </c>
      <c r="AP909" s="15" t="s">
        <v>1562</v>
      </c>
      <c r="AQ909" s="15" t="s">
        <v>809</v>
      </c>
      <c r="AR909" s="15" t="s">
        <v>810</v>
      </c>
      <c r="AS909" s="15" t="s">
        <v>9254</v>
      </c>
      <c r="AT909" s="15" t="s">
        <v>9249</v>
      </c>
      <c r="AU909" s="15" t="s">
        <v>9255</v>
      </c>
      <c r="AW909" s="15" t="s">
        <v>9256</v>
      </c>
      <c r="AX909" s="15" t="s">
        <v>9257</v>
      </c>
      <c r="AY909" s="15" t="s">
        <v>413</v>
      </c>
      <c r="AZ909" s="15" t="b">
        <v>0</v>
      </c>
      <c r="BA909" s="15" t="s">
        <v>413</v>
      </c>
      <c r="BB909" s="15" t="b">
        <v>0</v>
      </c>
      <c r="BC909" s="15" t="s">
        <v>9258</v>
      </c>
      <c r="BD909" s="15" t="s">
        <v>1181</v>
      </c>
      <c r="BE909" s="15" t="str">
        <f t="shared" si="1575"/>
        <v>1</v>
      </c>
      <c r="BF909" s="15" t="s">
        <v>416</v>
      </c>
      <c r="BG909" s="15" t="str">
        <f t="shared" ref="BG909:BG912" si="1583">"24.8"</f>
        <v>24.8</v>
      </c>
      <c r="BH909" s="15" t="s">
        <v>711</v>
      </c>
      <c r="BI909" s="15" t="str">
        <f t="shared" ref="BI909:BI912" si="1584">"24.8"</f>
        <v>24.8</v>
      </c>
      <c r="BJ909" s="15" t="s">
        <v>711</v>
      </c>
      <c r="BK909" s="15" t="str">
        <f t="shared" ref="BK909:BK912" si="1585">"21.65"</f>
        <v>21.65</v>
      </c>
      <c r="BL909" s="15" t="s">
        <v>1506</v>
      </c>
      <c r="BM909" s="15" t="str">
        <f>"24.91"</f>
        <v>24.91</v>
      </c>
      <c r="BN909" s="15" t="s">
        <v>9259</v>
      </c>
      <c r="BQ909" s="15" t="s">
        <v>444</v>
      </c>
      <c r="BS909" s="15" t="s">
        <v>444</v>
      </c>
      <c r="BU909" s="15" t="s">
        <v>444</v>
      </c>
      <c r="BW909" s="15" t="s">
        <v>444</v>
      </c>
      <c r="BZ909" s="15" t="s">
        <v>444</v>
      </c>
      <c r="CB909" s="15" t="s">
        <v>444</v>
      </c>
      <c r="CD909" s="15" t="s">
        <v>444</v>
      </c>
      <c r="CF909" s="15" t="s">
        <v>444</v>
      </c>
      <c r="CI909" s="15" t="s">
        <v>444</v>
      </c>
      <c r="CK909" s="15" t="s">
        <v>444</v>
      </c>
      <c r="CM909" s="15" t="s">
        <v>444</v>
      </c>
      <c r="CO909" s="15" t="s">
        <v>444</v>
      </c>
      <c r="CP909" s="15" t="str">
        <f t="shared" ref="CP909:CP912" si="1586">"7.7"</f>
        <v>7.7</v>
      </c>
      <c r="CQ909" s="15" t="str">
        <f t="shared" ref="CQ909:CQ912" si="1587">"0.218"</f>
        <v>0.218</v>
      </c>
      <c r="CR909" s="15" t="s">
        <v>465</v>
      </c>
      <c r="DB909" s="15" t="s">
        <v>8058</v>
      </c>
      <c r="DC909" s="15" t="str">
        <f>IFERROR(__xludf.DUMMYFUNCTION("""COMPUTED_VALUE"""),"{""value"":21.97,""unit"":""in""}")</f>
        <v>{"value":21.97,"unit":"in"}</v>
      </c>
      <c r="DD909" s="15" t="s">
        <v>9260</v>
      </c>
      <c r="DE909" s="15" t="str">
        <f>IFERROR(__xludf.DUMMYFUNCTION("""COMPUTED_VALUE"""),"{""value"":18.48,""unit"":""in""}")</f>
        <v>{"value":18.48,"unit":"in"}</v>
      </c>
      <c r="DF909" s="15" t="s">
        <v>8058</v>
      </c>
      <c r="DG909" s="15" t="str">
        <f>IFERROR(__xludf.DUMMYFUNCTION("""COMPUTED_VALUE"""),"{""value"":21.97,""unit"":""in""}")</f>
        <v>{"value":21.97,"unit":"in"}</v>
      </c>
      <c r="DI909" s="15">
        <v>0.0</v>
      </c>
      <c r="DK909" s="15" t="s">
        <v>897</v>
      </c>
      <c r="DL909" s="15" t="str">
        <f>IFERROR(__xludf.DUMMYFUNCTION("""COMPUTED_VALUE"""),"Clean with water-based products only. Use mild detergent or upholstery shampoo.")</f>
        <v>Clean with water-based products only. Use mild detergent or upholstery shampoo.</v>
      </c>
      <c r="DM909" s="15" t="s">
        <v>898</v>
      </c>
      <c r="DT909" s="15" t="s">
        <v>1186</v>
      </c>
      <c r="DU909" s="15" t="s">
        <v>419</v>
      </c>
      <c r="DV909" s="15">
        <v>0.0</v>
      </c>
      <c r="DZ909" s="15">
        <v>30000.0</v>
      </c>
      <c r="EA909" s="15" t="s">
        <v>722</v>
      </c>
      <c r="ED909" s="15">
        <v>0.0</v>
      </c>
      <c r="EE909" s="15">
        <v>1.0</v>
      </c>
      <c r="EF909" s="15" t="s">
        <v>1157</v>
      </c>
      <c r="EG909" s="15" t="s">
        <v>1158</v>
      </c>
      <c r="EH909" s="15" t="s">
        <v>9230</v>
      </c>
      <c r="EI909" s="15">
        <v>0.0</v>
      </c>
      <c r="EJ909" s="15" t="s">
        <v>726</v>
      </c>
      <c r="EK909" s="15" t="s">
        <v>727</v>
      </c>
      <c r="EM909" s="15" t="str">
        <f>IFERROR(__xludf.DUMMYFUNCTION("""COMPUTED_VALUE"""),"")</f>
        <v/>
      </c>
      <c r="EW909" s="15" t="s">
        <v>2144</v>
      </c>
      <c r="FL909" s="15" t="s">
        <v>426</v>
      </c>
    </row>
    <row r="910" ht="15.75" customHeight="1">
      <c r="A910" s="14" t="s">
        <v>391</v>
      </c>
      <c r="B910" s="15" t="s">
        <v>9247</v>
      </c>
      <c r="C910" s="16"/>
      <c r="D910" s="15" t="s">
        <v>432</v>
      </c>
      <c r="G910" s="14" t="s">
        <v>393</v>
      </c>
      <c r="H910" s="14" t="s">
        <v>394</v>
      </c>
      <c r="I910" s="14" t="b">
        <v>1</v>
      </c>
      <c r="J910" s="14" t="s">
        <v>395</v>
      </c>
      <c r="L910" s="14" t="b">
        <v>0</v>
      </c>
      <c r="M910" s="15" t="s">
        <v>9261</v>
      </c>
      <c r="N910" s="14" t="s">
        <v>393</v>
      </c>
      <c r="O910" s="14" t="s">
        <v>393</v>
      </c>
      <c r="P910" s="15" t="s">
        <v>397</v>
      </c>
      <c r="Q910" s="15" t="s">
        <v>9262</v>
      </c>
      <c r="T910" s="14" t="b">
        <v>0</v>
      </c>
      <c r="U910" s="15" t="s">
        <v>9263</v>
      </c>
      <c r="V910" s="15" t="s">
        <v>9264</v>
      </c>
      <c r="W910" s="15" t="s">
        <v>401</v>
      </c>
      <c r="X910" s="15" t="s">
        <v>1172</v>
      </c>
      <c r="Y910" s="15">
        <v>767.0</v>
      </c>
      <c r="AA910" s="15" t="str">
        <f t="shared" si="1582"/>
        <v>295</v>
      </c>
      <c r="AB910" s="14" t="b">
        <v>1</v>
      </c>
      <c r="AC910" s="14" t="b">
        <v>1</v>
      </c>
      <c r="AD910" s="15" t="str">
        <f>"801542976873"</f>
        <v>801542976873</v>
      </c>
      <c r="AE910" s="15" t="s">
        <v>9265</v>
      </c>
      <c r="AF910" s="14" t="s">
        <v>404</v>
      </c>
      <c r="AG910" s="14" t="s">
        <v>405</v>
      </c>
      <c r="AH910" s="14" t="s">
        <v>406</v>
      </c>
      <c r="AI910" s="15">
        <v>0.0</v>
      </c>
      <c r="AL910" s="15" t="s">
        <v>9266</v>
      </c>
      <c r="AM910" s="15" t="s">
        <v>1561</v>
      </c>
      <c r="AN910" s="15" t="s">
        <v>1562</v>
      </c>
      <c r="AO910" s="15" t="s">
        <v>1561</v>
      </c>
      <c r="AP910" s="15" t="s">
        <v>1562</v>
      </c>
      <c r="AQ910" s="15" t="s">
        <v>809</v>
      </c>
      <c r="AR910" s="15" t="s">
        <v>810</v>
      </c>
      <c r="AS910" s="15" t="s">
        <v>9254</v>
      </c>
      <c r="AT910" s="15" t="s">
        <v>9262</v>
      </c>
      <c r="AU910" s="15" t="s">
        <v>9267</v>
      </c>
      <c r="AW910" s="15" t="s">
        <v>9256</v>
      </c>
      <c r="AX910" s="15" t="s">
        <v>9257</v>
      </c>
      <c r="AY910" s="15" t="s">
        <v>413</v>
      </c>
      <c r="AZ910" s="15" t="b">
        <v>0</v>
      </c>
      <c r="BA910" s="15" t="s">
        <v>413</v>
      </c>
      <c r="BB910" s="15" t="b">
        <v>0</v>
      </c>
      <c r="BC910" s="15" t="s">
        <v>9258</v>
      </c>
      <c r="BD910" s="15" t="s">
        <v>1181</v>
      </c>
      <c r="BE910" s="15" t="str">
        <f t="shared" si="1575"/>
        <v>1</v>
      </c>
      <c r="BF910" s="15" t="s">
        <v>416</v>
      </c>
      <c r="BG910" s="15" t="str">
        <f t="shared" si="1583"/>
        <v>24.8</v>
      </c>
      <c r="BH910" s="15" t="s">
        <v>711</v>
      </c>
      <c r="BI910" s="15" t="str">
        <f t="shared" si="1584"/>
        <v>24.8</v>
      </c>
      <c r="BJ910" s="15" t="s">
        <v>711</v>
      </c>
      <c r="BK910" s="15" t="str">
        <f t="shared" si="1585"/>
        <v>21.65</v>
      </c>
      <c r="BL910" s="15" t="s">
        <v>1506</v>
      </c>
      <c r="BM910" s="15" t="str">
        <f>"24.47"</f>
        <v>24.47</v>
      </c>
      <c r="BN910" s="15" t="s">
        <v>9268</v>
      </c>
      <c r="BQ910" s="15" t="s">
        <v>444</v>
      </c>
      <c r="BS910" s="15" t="s">
        <v>444</v>
      </c>
      <c r="BU910" s="15" t="s">
        <v>444</v>
      </c>
      <c r="BW910" s="15" t="s">
        <v>444</v>
      </c>
      <c r="BZ910" s="15" t="s">
        <v>444</v>
      </c>
      <c r="CB910" s="15" t="s">
        <v>444</v>
      </c>
      <c r="CD910" s="15" t="s">
        <v>444</v>
      </c>
      <c r="CF910" s="15" t="s">
        <v>444</v>
      </c>
      <c r="CI910" s="15" t="s">
        <v>444</v>
      </c>
      <c r="CK910" s="15" t="s">
        <v>444</v>
      </c>
      <c r="CM910" s="15" t="s">
        <v>444</v>
      </c>
      <c r="CO910" s="15" t="s">
        <v>444</v>
      </c>
      <c r="CP910" s="15" t="str">
        <f t="shared" si="1586"/>
        <v>7.7</v>
      </c>
      <c r="CQ910" s="15" t="str">
        <f t="shared" si="1587"/>
        <v>0.218</v>
      </c>
      <c r="CR910" s="15" t="s">
        <v>465</v>
      </c>
      <c r="DB910" s="15" t="s">
        <v>8058</v>
      </c>
      <c r="DC910" s="15" t="str">
        <f>IFERROR(__xludf.DUMMYFUNCTION("""COMPUTED_VALUE"""),"{""value"":21.97,""unit"":""in""}")</f>
        <v>{"value":21.97,"unit":"in"}</v>
      </c>
      <c r="DD910" s="15" t="s">
        <v>9260</v>
      </c>
      <c r="DE910" s="15" t="str">
        <f>IFERROR(__xludf.DUMMYFUNCTION("""COMPUTED_VALUE"""),"{""value"":18.48,""unit"":""in""}")</f>
        <v>{"value":18.48,"unit":"in"}</v>
      </c>
      <c r="DF910" s="15" t="s">
        <v>8058</v>
      </c>
      <c r="DG910" s="15" t="str">
        <f>IFERROR(__xludf.DUMMYFUNCTION("""COMPUTED_VALUE"""),"{""value"":21.97,""unit"":""in""}")</f>
        <v>{"value":21.97,"unit":"in"}</v>
      </c>
      <c r="DI910" s="15">
        <v>0.0</v>
      </c>
      <c r="DK910" s="15" t="s">
        <v>897</v>
      </c>
      <c r="DL910" s="15" t="str">
        <f>IFERROR(__xludf.DUMMYFUNCTION("""COMPUTED_VALUE"""),"Clean with water-based products only. Use mild detergent or upholstery shampoo.")</f>
        <v>Clean with water-based products only. Use mild detergent or upholstery shampoo.</v>
      </c>
      <c r="DM910" s="15" t="s">
        <v>898</v>
      </c>
      <c r="DT910" s="15" t="s">
        <v>1186</v>
      </c>
      <c r="DU910" s="15" t="s">
        <v>419</v>
      </c>
      <c r="DV910" s="15">
        <v>0.0</v>
      </c>
      <c r="DZ910" s="15">
        <v>30000.0</v>
      </c>
      <c r="EA910" s="15" t="s">
        <v>722</v>
      </c>
      <c r="ED910" s="15">
        <v>0.0</v>
      </c>
      <c r="EE910" s="15">
        <v>1.0</v>
      </c>
      <c r="EF910" s="15" t="s">
        <v>1157</v>
      </c>
      <c r="EG910" s="15" t="s">
        <v>1158</v>
      </c>
      <c r="EH910" s="15" t="s">
        <v>9230</v>
      </c>
      <c r="EI910" s="15">
        <v>0.0</v>
      </c>
      <c r="EJ910" s="15" t="s">
        <v>726</v>
      </c>
      <c r="EK910" s="15" t="s">
        <v>727</v>
      </c>
      <c r="EM910" s="15" t="str">
        <f>IFERROR(__xludf.DUMMYFUNCTION("""COMPUTED_VALUE"""),"")</f>
        <v/>
      </c>
      <c r="EW910" s="15" t="s">
        <v>2144</v>
      </c>
      <c r="FL910" s="15" t="s">
        <v>426</v>
      </c>
    </row>
    <row r="911" ht="15.75" customHeight="1">
      <c r="A911" s="14" t="s">
        <v>391</v>
      </c>
      <c r="B911" s="15" t="s">
        <v>9247</v>
      </c>
      <c r="C911" s="16"/>
      <c r="D911" s="15" t="s">
        <v>432</v>
      </c>
      <c r="G911" s="14" t="s">
        <v>393</v>
      </c>
      <c r="H911" s="14" t="s">
        <v>394</v>
      </c>
      <c r="I911" s="14" t="b">
        <v>1</v>
      </c>
      <c r="J911" s="14" t="s">
        <v>395</v>
      </c>
      <c r="L911" s="14" t="b">
        <v>0</v>
      </c>
      <c r="M911" s="15" t="s">
        <v>9269</v>
      </c>
      <c r="N911" s="14" t="s">
        <v>393</v>
      </c>
      <c r="O911" s="14" t="s">
        <v>393</v>
      </c>
      <c r="P911" s="15" t="s">
        <v>397</v>
      </c>
      <c r="Q911" s="15" t="s">
        <v>9270</v>
      </c>
      <c r="T911" s="14" t="b">
        <v>0</v>
      </c>
      <c r="U911" s="15" t="s">
        <v>9271</v>
      </c>
      <c r="V911" s="15" t="s">
        <v>9251</v>
      </c>
      <c r="W911" s="15" t="s">
        <v>401</v>
      </c>
      <c r="X911" s="15" t="s">
        <v>1172</v>
      </c>
      <c r="Y911" s="15">
        <v>663.0</v>
      </c>
      <c r="AA911" s="15" t="str">
        <f t="shared" ref="AA911:AA912" si="1588">"255"</f>
        <v>255</v>
      </c>
      <c r="AB911" s="14" t="b">
        <v>1</v>
      </c>
      <c r="AC911" s="14" t="b">
        <v>1</v>
      </c>
      <c r="AD911" s="15" t="str">
        <f>"801542982300"</f>
        <v>801542982300</v>
      </c>
      <c r="AE911" s="15" t="s">
        <v>9272</v>
      </c>
      <c r="AF911" s="14" t="s">
        <v>404</v>
      </c>
      <c r="AG911" s="14" t="s">
        <v>405</v>
      </c>
      <c r="AH911" s="14" t="s">
        <v>406</v>
      </c>
      <c r="AI911" s="15">
        <v>0.0</v>
      </c>
      <c r="AL911" s="15" t="s">
        <v>9273</v>
      </c>
      <c r="AM911" s="15" t="s">
        <v>1561</v>
      </c>
      <c r="AN911" s="15" t="s">
        <v>1562</v>
      </c>
      <c r="AO911" s="15" t="s">
        <v>1561</v>
      </c>
      <c r="AP911" s="15" t="s">
        <v>1562</v>
      </c>
      <c r="AQ911" s="15" t="s">
        <v>809</v>
      </c>
      <c r="AR911" s="15" t="s">
        <v>810</v>
      </c>
      <c r="AS911" s="15" t="s">
        <v>9254</v>
      </c>
      <c r="AT911" s="15" t="s">
        <v>9270</v>
      </c>
      <c r="AU911" s="15" t="s">
        <v>9274</v>
      </c>
      <c r="AW911" s="15" t="s">
        <v>9256</v>
      </c>
      <c r="AX911" s="15" t="s">
        <v>9257</v>
      </c>
      <c r="AY911" s="15" t="s">
        <v>413</v>
      </c>
      <c r="AZ911" s="15" t="b">
        <v>0</v>
      </c>
      <c r="BA911" s="15" t="s">
        <v>413</v>
      </c>
      <c r="BB911" s="15" t="b">
        <v>0</v>
      </c>
      <c r="BC911" s="15" t="s">
        <v>9258</v>
      </c>
      <c r="BD911" s="15" t="s">
        <v>1181</v>
      </c>
      <c r="BE911" s="15" t="str">
        <f t="shared" si="1575"/>
        <v>1</v>
      </c>
      <c r="BF911" s="15" t="s">
        <v>416</v>
      </c>
      <c r="BG911" s="15" t="str">
        <f t="shared" si="1583"/>
        <v>24.8</v>
      </c>
      <c r="BH911" s="15" t="s">
        <v>711</v>
      </c>
      <c r="BI911" s="15" t="str">
        <f t="shared" si="1584"/>
        <v>24.8</v>
      </c>
      <c r="BJ911" s="15" t="s">
        <v>711</v>
      </c>
      <c r="BK911" s="15" t="str">
        <f t="shared" si="1585"/>
        <v>21.65</v>
      </c>
      <c r="BL911" s="15" t="s">
        <v>1506</v>
      </c>
      <c r="BM911" s="15" t="str">
        <f>"24.91"</f>
        <v>24.91</v>
      </c>
      <c r="BN911" s="15" t="s">
        <v>9259</v>
      </c>
      <c r="BQ911" s="15" t="s">
        <v>444</v>
      </c>
      <c r="BS911" s="15" t="s">
        <v>444</v>
      </c>
      <c r="BU911" s="15" t="s">
        <v>444</v>
      </c>
      <c r="BW911" s="15" t="s">
        <v>444</v>
      </c>
      <c r="BZ911" s="15" t="s">
        <v>444</v>
      </c>
      <c r="CB911" s="15" t="s">
        <v>444</v>
      </c>
      <c r="CD911" s="15" t="s">
        <v>444</v>
      </c>
      <c r="CF911" s="15" t="s">
        <v>444</v>
      </c>
      <c r="CI911" s="15" t="s">
        <v>444</v>
      </c>
      <c r="CK911" s="15" t="s">
        <v>444</v>
      </c>
      <c r="CM911" s="15" t="s">
        <v>444</v>
      </c>
      <c r="CO911" s="15" t="s">
        <v>444</v>
      </c>
      <c r="CP911" s="15" t="str">
        <f t="shared" si="1586"/>
        <v>7.7</v>
      </c>
      <c r="CQ911" s="15" t="str">
        <f t="shared" si="1587"/>
        <v>0.218</v>
      </c>
      <c r="CR911" s="15" t="s">
        <v>497</v>
      </c>
      <c r="DB911" s="15" t="s">
        <v>8058</v>
      </c>
      <c r="DC911" s="15" t="str">
        <f>IFERROR(__xludf.DUMMYFUNCTION("""COMPUTED_VALUE"""),"{""value"":21.97,""unit"":""in""}")</f>
        <v>{"value":21.97,"unit":"in"}</v>
      </c>
      <c r="DD911" s="15" t="s">
        <v>9260</v>
      </c>
      <c r="DE911" s="15" t="str">
        <f>IFERROR(__xludf.DUMMYFUNCTION("""COMPUTED_VALUE"""),"{""value"":18.48,""unit"":""in""}")</f>
        <v>{"value":18.48,"unit":"in"}</v>
      </c>
      <c r="DF911" s="15" t="s">
        <v>8058</v>
      </c>
      <c r="DG911" s="15" t="str">
        <f>IFERROR(__xludf.DUMMYFUNCTION("""COMPUTED_VALUE"""),"{""value"":21.97,""unit"":""in""}")</f>
        <v>{"value":21.97,"unit":"in"}</v>
      </c>
      <c r="DI911" s="15">
        <v>0.0</v>
      </c>
      <c r="DK911" s="15" t="s">
        <v>897</v>
      </c>
      <c r="DL911" s="15" t="str">
        <f>IFERROR(__xludf.DUMMYFUNCTION("""COMPUTED_VALUE"""),"Clean with water-based products only. Use mild detergent or upholstery shampoo.")</f>
        <v>Clean with water-based products only. Use mild detergent or upholstery shampoo.</v>
      </c>
      <c r="DM911" s="15" t="s">
        <v>898</v>
      </c>
      <c r="DT911" s="15" t="s">
        <v>1186</v>
      </c>
      <c r="DU911" s="15" t="s">
        <v>419</v>
      </c>
      <c r="DV911" s="15">
        <v>0.0</v>
      </c>
      <c r="DZ911" s="15">
        <v>35000.0</v>
      </c>
      <c r="EA911" s="15" t="s">
        <v>722</v>
      </c>
      <c r="ED911" s="15">
        <v>0.0</v>
      </c>
      <c r="EE911" s="15">
        <v>1.0</v>
      </c>
      <c r="EF911" s="15" t="s">
        <v>1157</v>
      </c>
      <c r="EG911" s="15" t="s">
        <v>1158</v>
      </c>
      <c r="EH911" s="15" t="s">
        <v>9230</v>
      </c>
      <c r="EI911" s="15">
        <v>0.0</v>
      </c>
      <c r="EJ911" s="15" t="s">
        <v>726</v>
      </c>
      <c r="EK911" s="15" t="s">
        <v>727</v>
      </c>
      <c r="EM911" s="15" t="str">
        <f>IFERROR(__xludf.DUMMYFUNCTION("""COMPUTED_VALUE"""),"")</f>
        <v/>
      </c>
      <c r="EW911" s="15" t="s">
        <v>2144</v>
      </c>
      <c r="FL911" s="15" t="s">
        <v>426</v>
      </c>
    </row>
    <row r="912" ht="15.75" customHeight="1">
      <c r="A912" s="14" t="s">
        <v>391</v>
      </c>
      <c r="B912" s="15" t="s">
        <v>9247</v>
      </c>
      <c r="C912" s="16"/>
      <c r="D912" s="15" t="s">
        <v>432</v>
      </c>
      <c r="G912" s="14" t="s">
        <v>393</v>
      </c>
      <c r="H912" s="14" t="s">
        <v>394</v>
      </c>
      <c r="I912" s="14" t="b">
        <v>1</v>
      </c>
      <c r="J912" s="14" t="s">
        <v>395</v>
      </c>
      <c r="L912" s="14" t="b">
        <v>0</v>
      </c>
      <c r="M912" s="15" t="s">
        <v>9275</v>
      </c>
      <c r="N912" s="14" t="s">
        <v>393</v>
      </c>
      <c r="O912" s="14" t="s">
        <v>393</v>
      </c>
      <c r="P912" s="15" t="s">
        <v>397</v>
      </c>
      <c r="Q912" s="15" t="s">
        <v>9276</v>
      </c>
      <c r="T912" s="14" t="b">
        <v>0</v>
      </c>
      <c r="U912" s="15" t="s">
        <v>9277</v>
      </c>
      <c r="V912" s="15" t="s">
        <v>9264</v>
      </c>
      <c r="W912" s="15" t="s">
        <v>401</v>
      </c>
      <c r="X912" s="15" t="s">
        <v>1172</v>
      </c>
      <c r="Y912" s="15">
        <v>663.0</v>
      </c>
      <c r="AA912" s="15" t="str">
        <f t="shared" si="1588"/>
        <v>255</v>
      </c>
      <c r="AB912" s="14" t="b">
        <v>1</v>
      </c>
      <c r="AC912" s="14" t="b">
        <v>1</v>
      </c>
      <c r="AD912" s="15" t="str">
        <f>"801542982294"</f>
        <v>801542982294</v>
      </c>
      <c r="AE912" s="15" t="s">
        <v>9278</v>
      </c>
      <c r="AF912" s="14" t="s">
        <v>404</v>
      </c>
      <c r="AG912" s="14" t="s">
        <v>405</v>
      </c>
      <c r="AH912" s="14" t="s">
        <v>406</v>
      </c>
      <c r="AI912" s="15">
        <v>0.0</v>
      </c>
      <c r="AL912" s="15" t="s">
        <v>9279</v>
      </c>
      <c r="AM912" s="15" t="s">
        <v>1561</v>
      </c>
      <c r="AN912" s="15" t="s">
        <v>1562</v>
      </c>
      <c r="AO912" s="15" t="s">
        <v>1561</v>
      </c>
      <c r="AP912" s="15" t="s">
        <v>1562</v>
      </c>
      <c r="AQ912" s="15" t="s">
        <v>809</v>
      </c>
      <c r="AR912" s="15" t="s">
        <v>810</v>
      </c>
      <c r="AS912" s="15" t="s">
        <v>9254</v>
      </c>
      <c r="AT912" s="15" t="s">
        <v>9276</v>
      </c>
      <c r="AU912" s="15" t="s">
        <v>9267</v>
      </c>
      <c r="AW912" s="15" t="s">
        <v>9256</v>
      </c>
      <c r="AX912" s="15" t="s">
        <v>9257</v>
      </c>
      <c r="AY912" s="15" t="s">
        <v>413</v>
      </c>
      <c r="AZ912" s="15" t="b">
        <v>0</v>
      </c>
      <c r="BA912" s="15" t="s">
        <v>413</v>
      </c>
      <c r="BB912" s="15" t="b">
        <v>0</v>
      </c>
      <c r="BC912" s="15" t="s">
        <v>9258</v>
      </c>
      <c r="BD912" s="15" t="s">
        <v>1181</v>
      </c>
      <c r="BE912" s="15" t="str">
        <f t="shared" si="1575"/>
        <v>1</v>
      </c>
      <c r="BF912" s="15" t="s">
        <v>416</v>
      </c>
      <c r="BG912" s="15" t="str">
        <f t="shared" si="1583"/>
        <v>24.8</v>
      </c>
      <c r="BH912" s="15" t="s">
        <v>711</v>
      </c>
      <c r="BI912" s="15" t="str">
        <f t="shared" si="1584"/>
        <v>24.8</v>
      </c>
      <c r="BJ912" s="15" t="s">
        <v>711</v>
      </c>
      <c r="BK912" s="15" t="str">
        <f t="shared" si="1585"/>
        <v>21.65</v>
      </c>
      <c r="BL912" s="15" t="s">
        <v>1506</v>
      </c>
      <c r="BM912" s="15" t="str">
        <f>"24.47"</f>
        <v>24.47</v>
      </c>
      <c r="BN912" s="15" t="s">
        <v>9268</v>
      </c>
      <c r="BQ912" s="15" t="s">
        <v>444</v>
      </c>
      <c r="BS912" s="15" t="s">
        <v>444</v>
      </c>
      <c r="BU912" s="15" t="s">
        <v>444</v>
      </c>
      <c r="BW912" s="15" t="s">
        <v>444</v>
      </c>
      <c r="BZ912" s="15" t="s">
        <v>444</v>
      </c>
      <c r="CB912" s="15" t="s">
        <v>444</v>
      </c>
      <c r="CD912" s="15" t="s">
        <v>444</v>
      </c>
      <c r="CF912" s="15" t="s">
        <v>444</v>
      </c>
      <c r="CI912" s="15" t="s">
        <v>444</v>
      </c>
      <c r="CK912" s="15" t="s">
        <v>444</v>
      </c>
      <c r="CM912" s="15" t="s">
        <v>444</v>
      </c>
      <c r="CO912" s="15" t="s">
        <v>444</v>
      </c>
      <c r="CP912" s="15" t="str">
        <f t="shared" si="1586"/>
        <v>7.7</v>
      </c>
      <c r="CQ912" s="15" t="str">
        <f t="shared" si="1587"/>
        <v>0.218</v>
      </c>
      <c r="CR912" s="15" t="s">
        <v>465</v>
      </c>
      <c r="DB912" s="15" t="s">
        <v>8058</v>
      </c>
      <c r="DC912" s="15" t="str">
        <f>IFERROR(__xludf.DUMMYFUNCTION("""COMPUTED_VALUE"""),"{""value"":21.97,""unit"":""in""}")</f>
        <v>{"value":21.97,"unit":"in"}</v>
      </c>
      <c r="DD912" s="15" t="s">
        <v>9260</v>
      </c>
      <c r="DE912" s="15" t="str">
        <f>IFERROR(__xludf.DUMMYFUNCTION("""COMPUTED_VALUE"""),"{""value"":18.48,""unit"":""in""}")</f>
        <v>{"value":18.48,"unit":"in"}</v>
      </c>
      <c r="DF912" s="15" t="s">
        <v>8058</v>
      </c>
      <c r="DG912" s="15" t="str">
        <f>IFERROR(__xludf.DUMMYFUNCTION("""COMPUTED_VALUE"""),"{""value"":21.97,""unit"":""in""}")</f>
        <v>{"value":21.97,"unit":"in"}</v>
      </c>
      <c r="DI912" s="15">
        <v>0.0</v>
      </c>
      <c r="DK912" s="15" t="s">
        <v>897</v>
      </c>
      <c r="DL912" s="15" t="str">
        <f>IFERROR(__xludf.DUMMYFUNCTION("""COMPUTED_VALUE"""),"Clean with water-based products only. Use mild detergent or upholstery shampoo.")</f>
        <v>Clean with water-based products only. Use mild detergent or upholstery shampoo.</v>
      </c>
      <c r="DM912" s="15" t="s">
        <v>898</v>
      </c>
      <c r="DT912" s="15" t="s">
        <v>1186</v>
      </c>
      <c r="DU912" s="15" t="s">
        <v>419</v>
      </c>
      <c r="DV912" s="15">
        <v>0.0</v>
      </c>
      <c r="DZ912" s="15">
        <v>35000.0</v>
      </c>
      <c r="EA912" s="15" t="s">
        <v>722</v>
      </c>
      <c r="ED912" s="15">
        <v>0.0</v>
      </c>
      <c r="EE912" s="15">
        <v>1.0</v>
      </c>
      <c r="EF912" s="15" t="s">
        <v>1157</v>
      </c>
      <c r="EG912" s="15" t="s">
        <v>1158</v>
      </c>
      <c r="EH912" s="15" t="s">
        <v>9230</v>
      </c>
      <c r="EI912" s="15">
        <v>0.0</v>
      </c>
      <c r="EJ912" s="15" t="s">
        <v>726</v>
      </c>
      <c r="EK912" s="15" t="s">
        <v>727</v>
      </c>
      <c r="EM912" s="15" t="str">
        <f>IFERROR(__xludf.DUMMYFUNCTION("""COMPUTED_VALUE"""),"")</f>
        <v/>
      </c>
      <c r="EW912" s="15" t="s">
        <v>2144</v>
      </c>
      <c r="FL912" s="15" t="s">
        <v>426</v>
      </c>
    </row>
    <row r="913" ht="15.75" customHeight="1">
      <c r="A913" s="14" t="s">
        <v>391</v>
      </c>
      <c r="B913" s="15" t="s">
        <v>9280</v>
      </c>
      <c r="C913" s="16"/>
      <c r="D913" s="15" t="s">
        <v>432</v>
      </c>
      <c r="G913" s="14" t="s">
        <v>393</v>
      </c>
      <c r="H913" s="14" t="s">
        <v>394</v>
      </c>
      <c r="I913" s="14" t="b">
        <v>1</v>
      </c>
      <c r="J913" s="14" t="s">
        <v>395</v>
      </c>
      <c r="L913" s="14" t="b">
        <v>0</v>
      </c>
      <c r="M913" s="15" t="s">
        <v>9281</v>
      </c>
      <c r="N913" s="14" t="s">
        <v>393</v>
      </c>
      <c r="O913" s="14" t="s">
        <v>393</v>
      </c>
      <c r="P913" s="15" t="s">
        <v>397</v>
      </c>
      <c r="Q913" s="15" t="s">
        <v>1796</v>
      </c>
      <c r="T913" s="14" t="b">
        <v>0</v>
      </c>
      <c r="U913" s="15" t="s">
        <v>9282</v>
      </c>
      <c r="V913" s="15" t="s">
        <v>9251</v>
      </c>
      <c r="W913" s="15" t="s">
        <v>401</v>
      </c>
      <c r="X913" s="15" t="s">
        <v>695</v>
      </c>
      <c r="Y913" s="15">
        <v>611.0</v>
      </c>
      <c r="AA913" s="15" t="str">
        <f>"235"</f>
        <v>235</v>
      </c>
      <c r="AB913" s="14" t="b">
        <v>1</v>
      </c>
      <c r="AC913" s="14" t="b">
        <v>1</v>
      </c>
      <c r="AD913" s="15" t="str">
        <f>"801542816711"</f>
        <v>801542816711</v>
      </c>
      <c r="AE913" s="15" t="s">
        <v>9283</v>
      </c>
      <c r="AF913" s="14" t="s">
        <v>404</v>
      </c>
      <c r="AG913" s="14" t="s">
        <v>405</v>
      </c>
      <c r="AH913" s="14" t="s">
        <v>406</v>
      </c>
      <c r="AI913" s="15">
        <v>0.0</v>
      </c>
      <c r="AL913" s="15" t="s">
        <v>1800</v>
      </c>
      <c r="AM913" s="15" t="s">
        <v>1561</v>
      </c>
      <c r="AN913" s="15" t="s">
        <v>1562</v>
      </c>
      <c r="AO913" s="15" t="s">
        <v>1561</v>
      </c>
      <c r="AP913" s="15" t="s">
        <v>1562</v>
      </c>
      <c r="AQ913" s="15" t="s">
        <v>809</v>
      </c>
      <c r="AR913" s="15" t="s">
        <v>810</v>
      </c>
      <c r="AS913" s="15" t="s">
        <v>1317</v>
      </c>
      <c r="AT913" s="15" t="s">
        <v>1796</v>
      </c>
      <c r="AU913" s="15" t="s">
        <v>2801</v>
      </c>
      <c r="AW913" s="15" t="s">
        <v>1009</v>
      </c>
      <c r="AY913" s="15" t="s">
        <v>413</v>
      </c>
      <c r="AZ913" s="15" t="b">
        <v>0</v>
      </c>
      <c r="BA913" s="15" t="s">
        <v>413</v>
      </c>
      <c r="BB913" s="15" t="b">
        <v>0</v>
      </c>
      <c r="BC913" s="15" t="s">
        <v>9284</v>
      </c>
      <c r="BD913" s="15" t="s">
        <v>709</v>
      </c>
      <c r="BE913" s="15" t="str">
        <f t="shared" si="1575"/>
        <v>1</v>
      </c>
      <c r="BF913" s="15" t="s">
        <v>416</v>
      </c>
      <c r="BG913" s="15" t="str">
        <f t="shared" ref="BG913:BG919" si="1589">"22.44"</f>
        <v>22.44</v>
      </c>
      <c r="BH913" s="15" t="s">
        <v>1156</v>
      </c>
      <c r="BI913" s="15" t="str">
        <f t="shared" ref="BI913:BI919" si="1590">"22.44"</f>
        <v>22.44</v>
      </c>
      <c r="BJ913" s="15" t="s">
        <v>1156</v>
      </c>
      <c r="BK913" s="15" t="str">
        <f t="shared" ref="BK913:BK919" si="1591">"20.08"</f>
        <v>20.08</v>
      </c>
      <c r="BL913" s="15" t="s">
        <v>4825</v>
      </c>
      <c r="BM913" s="15" t="str">
        <f t="shared" ref="BM913:BM919" si="1592">"22.05"</f>
        <v>22.05</v>
      </c>
      <c r="BN913" s="15" t="s">
        <v>2790</v>
      </c>
      <c r="BQ913" s="15" t="s">
        <v>444</v>
      </c>
      <c r="BS913" s="15" t="s">
        <v>444</v>
      </c>
      <c r="BU913" s="15" t="s">
        <v>444</v>
      </c>
      <c r="BW913" s="15" t="s">
        <v>444</v>
      </c>
      <c r="BZ913" s="15" t="s">
        <v>444</v>
      </c>
      <c r="CB913" s="15" t="s">
        <v>444</v>
      </c>
      <c r="CD913" s="15" t="s">
        <v>444</v>
      </c>
      <c r="CF913" s="15" t="s">
        <v>444</v>
      </c>
      <c r="CI913" s="15" t="s">
        <v>444</v>
      </c>
      <c r="CK913" s="15" t="s">
        <v>444</v>
      </c>
      <c r="CM913" s="15" t="s">
        <v>444</v>
      </c>
      <c r="CO913" s="15" t="s">
        <v>444</v>
      </c>
      <c r="CP913" s="15" t="str">
        <f t="shared" ref="CP913:CP919" si="1593">"5.86"</f>
        <v>5.86</v>
      </c>
      <c r="CQ913" s="15" t="str">
        <f t="shared" ref="CQ913:CQ919" si="1594">"0.166"</f>
        <v>0.166</v>
      </c>
      <c r="CR913" s="15" t="s">
        <v>497</v>
      </c>
      <c r="DB913" s="15" t="s">
        <v>1072</v>
      </c>
      <c r="DC913" s="15" t="str">
        <f>IFERROR(__xludf.DUMMYFUNCTION("""COMPUTED_VALUE"""),"{""value"":22.00,""unit"":""in""}")</f>
        <v>{"value":22.00,"unit":"in"}</v>
      </c>
      <c r="DD913" s="15" t="s">
        <v>824</v>
      </c>
      <c r="DE913" s="15" t="str">
        <f>IFERROR(__xludf.DUMMYFUNCTION("""COMPUTED_VALUE"""),"{""value"":18.50,""unit"":""in""}")</f>
        <v>{"value":18.50,"unit":"in"}</v>
      </c>
      <c r="DF913" s="15" t="s">
        <v>1072</v>
      </c>
      <c r="DG913" s="15" t="str">
        <f>IFERROR(__xludf.DUMMYFUNCTION("""COMPUTED_VALUE"""),"{""value"":22.00,""unit"":""in""}")</f>
        <v>{"value":22.00,"unit":"in"}</v>
      </c>
      <c r="DI913" s="15">
        <v>0.0</v>
      </c>
      <c r="DK913" s="15" t="s">
        <v>855</v>
      </c>
      <c r="DL913" s="15" t="str">
        <f>IFERROR(__xludf.DUMMYFUNCTION("""COMPUTED_VALUE"""),"Clean with solvent-based (dry clean only) products. Do not use water.")</f>
        <v>Clean with solvent-based (dry clean only) products. Do not use water.</v>
      </c>
      <c r="DM913" s="15" t="s">
        <v>856</v>
      </c>
      <c r="DT913" s="15" t="s">
        <v>1284</v>
      </c>
      <c r="DU913" s="15" t="s">
        <v>419</v>
      </c>
      <c r="DV913" s="15">
        <v>0.0</v>
      </c>
      <c r="DZ913" s="15">
        <v>35000.0</v>
      </c>
      <c r="EA913" s="15" t="s">
        <v>722</v>
      </c>
      <c r="ED913" s="15">
        <v>0.0</v>
      </c>
      <c r="EE913" s="15">
        <v>1.0</v>
      </c>
      <c r="EF913" s="15" t="s">
        <v>1157</v>
      </c>
      <c r="EG913" s="15" t="s">
        <v>1158</v>
      </c>
      <c r="EH913" s="15" t="s">
        <v>9230</v>
      </c>
      <c r="EI913" s="15">
        <v>0.0</v>
      </c>
      <c r="EJ913" s="15" t="s">
        <v>726</v>
      </c>
      <c r="EK913" s="15" t="s">
        <v>727</v>
      </c>
      <c r="EM913" s="15" t="str">
        <f>IFERROR(__xludf.DUMMYFUNCTION("""COMPUTED_VALUE"""),"")</f>
        <v/>
      </c>
      <c r="EW913" s="15" t="s">
        <v>3693</v>
      </c>
      <c r="FF913" s="15" t="s">
        <v>1255</v>
      </c>
    </row>
    <row r="914" ht="15.75" customHeight="1">
      <c r="A914" s="14" t="s">
        <v>391</v>
      </c>
      <c r="B914" s="15" t="s">
        <v>9280</v>
      </c>
      <c r="C914" s="16"/>
      <c r="D914" s="15" t="s">
        <v>432</v>
      </c>
      <c r="G914" s="14" t="s">
        <v>393</v>
      </c>
      <c r="H914" s="14" t="s">
        <v>394</v>
      </c>
      <c r="I914" s="14" t="b">
        <v>1</v>
      </c>
      <c r="J914" s="14" t="s">
        <v>395</v>
      </c>
      <c r="L914" s="14" t="b">
        <v>0</v>
      </c>
      <c r="M914" s="15" t="s">
        <v>9285</v>
      </c>
      <c r="N914" s="14" t="s">
        <v>393</v>
      </c>
      <c r="O914" s="14" t="s">
        <v>393</v>
      </c>
      <c r="P914" s="15" t="s">
        <v>397</v>
      </c>
      <c r="Q914" s="15" t="s">
        <v>1338</v>
      </c>
      <c r="T914" s="14" t="b">
        <v>0</v>
      </c>
      <c r="U914" s="15" t="s">
        <v>9286</v>
      </c>
      <c r="V914" s="15" t="s">
        <v>9251</v>
      </c>
      <c r="W914" s="15" t="s">
        <v>401</v>
      </c>
      <c r="X914" s="15" t="s">
        <v>695</v>
      </c>
      <c r="Y914" s="15">
        <v>988.0</v>
      </c>
      <c r="AA914" s="15" t="str">
        <f>"380"</f>
        <v>380</v>
      </c>
      <c r="AB914" s="14" t="b">
        <v>1</v>
      </c>
      <c r="AC914" s="14" t="b">
        <v>1</v>
      </c>
      <c r="AD914" s="15" t="str">
        <f>"801542720643"</f>
        <v>801542720643</v>
      </c>
      <c r="AE914" s="15" t="s">
        <v>9287</v>
      </c>
      <c r="AF914" s="14" t="s">
        <v>404</v>
      </c>
      <c r="AG914" s="14" t="s">
        <v>405</v>
      </c>
      <c r="AH914" s="14" t="s">
        <v>406</v>
      </c>
      <c r="AI914" s="15">
        <v>0.0</v>
      </c>
      <c r="AL914" s="15" t="s">
        <v>1341</v>
      </c>
      <c r="AM914" s="15" t="s">
        <v>1561</v>
      </c>
      <c r="AN914" s="15" t="s">
        <v>1562</v>
      </c>
      <c r="AO914" s="15" t="s">
        <v>1561</v>
      </c>
      <c r="AP914" s="15" t="s">
        <v>1562</v>
      </c>
      <c r="AQ914" s="15" t="s">
        <v>809</v>
      </c>
      <c r="AR914" s="15" t="s">
        <v>810</v>
      </c>
      <c r="AS914" s="15" t="s">
        <v>1317</v>
      </c>
      <c r="AT914" s="15" t="s">
        <v>1338</v>
      </c>
      <c r="AU914" s="15" t="s">
        <v>1342</v>
      </c>
      <c r="AW914" s="15" t="s">
        <v>1009</v>
      </c>
      <c r="AY914" s="15" t="s">
        <v>413</v>
      </c>
      <c r="AZ914" s="15" t="b">
        <v>0</v>
      </c>
      <c r="BA914" s="15" t="s">
        <v>413</v>
      </c>
      <c r="BB914" s="15" t="b">
        <v>0</v>
      </c>
      <c r="BC914" s="15" t="s">
        <v>9288</v>
      </c>
      <c r="BD914" s="15" t="s">
        <v>709</v>
      </c>
      <c r="BE914" s="15" t="str">
        <f t="shared" si="1575"/>
        <v>1</v>
      </c>
      <c r="BF914" s="15" t="s">
        <v>416</v>
      </c>
      <c r="BG914" s="15" t="str">
        <f t="shared" si="1589"/>
        <v>22.44</v>
      </c>
      <c r="BH914" s="15" t="s">
        <v>1156</v>
      </c>
      <c r="BI914" s="15" t="str">
        <f t="shared" si="1590"/>
        <v>22.44</v>
      </c>
      <c r="BJ914" s="15" t="s">
        <v>1156</v>
      </c>
      <c r="BK914" s="15" t="str">
        <f t="shared" si="1591"/>
        <v>20.08</v>
      </c>
      <c r="BL914" s="15" t="s">
        <v>4825</v>
      </c>
      <c r="BM914" s="15" t="str">
        <f t="shared" si="1592"/>
        <v>22.05</v>
      </c>
      <c r="BN914" s="15" t="s">
        <v>2790</v>
      </c>
      <c r="BQ914" s="15" t="s">
        <v>444</v>
      </c>
      <c r="BS914" s="15" t="s">
        <v>444</v>
      </c>
      <c r="BU914" s="15" t="s">
        <v>444</v>
      </c>
      <c r="BW914" s="15" t="s">
        <v>444</v>
      </c>
      <c r="BZ914" s="15" t="s">
        <v>444</v>
      </c>
      <c r="CB914" s="15" t="s">
        <v>444</v>
      </c>
      <c r="CD914" s="15" t="s">
        <v>444</v>
      </c>
      <c r="CF914" s="15" t="s">
        <v>444</v>
      </c>
      <c r="CI914" s="15" t="s">
        <v>444</v>
      </c>
      <c r="CK914" s="15" t="s">
        <v>444</v>
      </c>
      <c r="CM914" s="15" t="s">
        <v>444</v>
      </c>
      <c r="CO914" s="15" t="s">
        <v>444</v>
      </c>
      <c r="CP914" s="15" t="str">
        <f t="shared" si="1593"/>
        <v>5.86</v>
      </c>
      <c r="CQ914" s="15" t="str">
        <f t="shared" si="1594"/>
        <v>0.166</v>
      </c>
      <c r="CR914" s="15" t="s">
        <v>417</v>
      </c>
      <c r="DB914" s="15" t="s">
        <v>1072</v>
      </c>
      <c r="DC914" s="15" t="str">
        <f>IFERROR(__xludf.DUMMYFUNCTION("""COMPUTED_VALUE"""),"{""value"":22.00,""unit"":""in""}")</f>
        <v>{"value":22.00,"unit":"in"}</v>
      </c>
      <c r="DD914" s="15" t="s">
        <v>824</v>
      </c>
      <c r="DE914" s="15" t="str">
        <f>IFERROR(__xludf.DUMMYFUNCTION("""COMPUTED_VALUE"""),"{""value"":18.50,""unit"":""in""}")</f>
        <v>{"value":18.50,"unit":"in"}</v>
      </c>
      <c r="DF914" s="15" t="s">
        <v>1072</v>
      </c>
      <c r="DG914" s="15" t="str">
        <f>IFERROR(__xludf.DUMMYFUNCTION("""COMPUTED_VALUE"""),"{""value"":22.00,""unit"":""in""}")</f>
        <v>{"value":22.00,"unit":"in"}</v>
      </c>
      <c r="DI914" s="15">
        <v>0.0</v>
      </c>
      <c r="DK914" s="15" t="s">
        <v>718</v>
      </c>
      <c r="DL914" s="15" t="str">
        <f>IFERROR(__xludf.DUMMYFUNCTION("""COMPUTED_VALUE"""),"Vacuum or light brush only. Do not use water or any cleaning products.")</f>
        <v>Vacuum or light brush only. Do not use water or any cleaning products.</v>
      </c>
      <c r="DM914" s="15" t="s">
        <v>719</v>
      </c>
      <c r="DT914" s="15" t="s">
        <v>1284</v>
      </c>
      <c r="DU914" s="15" t="s">
        <v>419</v>
      </c>
      <c r="DV914" s="15">
        <v>0.0</v>
      </c>
      <c r="DZ914" s="15">
        <v>0.0</v>
      </c>
      <c r="EA914" s="15" t="s">
        <v>722</v>
      </c>
      <c r="ED914" s="15">
        <v>0.0</v>
      </c>
      <c r="EE914" s="15">
        <v>1.0</v>
      </c>
      <c r="EF914" s="15" t="s">
        <v>1157</v>
      </c>
      <c r="EG914" s="15" t="s">
        <v>1158</v>
      </c>
      <c r="EH914" s="15" t="s">
        <v>9230</v>
      </c>
      <c r="EI914" s="15">
        <v>0.0</v>
      </c>
      <c r="EJ914" s="15" t="s">
        <v>726</v>
      </c>
      <c r="EK914" s="15" t="s">
        <v>727</v>
      </c>
      <c r="EM914" s="15" t="str">
        <f>IFERROR(__xludf.DUMMYFUNCTION("""COMPUTED_VALUE"""),"")</f>
        <v/>
      </c>
      <c r="EW914" s="15" t="s">
        <v>3693</v>
      </c>
      <c r="FF914" s="15" t="s">
        <v>1255</v>
      </c>
    </row>
    <row r="915" ht="15.75" customHeight="1">
      <c r="A915" s="14" t="s">
        <v>391</v>
      </c>
      <c r="B915" s="15" t="s">
        <v>9280</v>
      </c>
      <c r="C915" s="16"/>
      <c r="D915" s="15" t="s">
        <v>432</v>
      </c>
      <c r="G915" s="14" t="s">
        <v>393</v>
      </c>
      <c r="H915" s="14" t="s">
        <v>394</v>
      </c>
      <c r="I915" s="14" t="b">
        <v>1</v>
      </c>
      <c r="J915" s="14" t="s">
        <v>395</v>
      </c>
      <c r="L915" s="14" t="b">
        <v>0</v>
      </c>
      <c r="M915" s="15" t="s">
        <v>9289</v>
      </c>
      <c r="N915" s="14" t="s">
        <v>393</v>
      </c>
      <c r="O915" s="14" t="s">
        <v>393</v>
      </c>
      <c r="P915" s="15" t="s">
        <v>397</v>
      </c>
      <c r="Q915" s="15" t="s">
        <v>9290</v>
      </c>
      <c r="T915" s="14" t="b">
        <v>0</v>
      </c>
      <c r="U915" s="15" t="s">
        <v>9291</v>
      </c>
      <c r="V915" s="15" t="s">
        <v>9251</v>
      </c>
      <c r="W915" s="15" t="s">
        <v>401</v>
      </c>
      <c r="X915" s="15" t="s">
        <v>695</v>
      </c>
      <c r="Y915" s="15">
        <v>546.0</v>
      </c>
      <c r="AA915" s="15" t="str">
        <f t="shared" ref="AA915:AA916" si="1595">"210"</f>
        <v>210</v>
      </c>
      <c r="AB915" s="14" t="b">
        <v>1</v>
      </c>
      <c r="AC915" s="14" t="b">
        <v>1</v>
      </c>
      <c r="AD915" s="15" t="str">
        <f>"801542668181"</f>
        <v>801542668181</v>
      </c>
      <c r="AE915" s="15" t="s">
        <v>9292</v>
      </c>
      <c r="AF915" s="14" t="s">
        <v>404</v>
      </c>
      <c r="AG915" s="14" t="s">
        <v>405</v>
      </c>
      <c r="AH915" s="14" t="s">
        <v>406</v>
      </c>
      <c r="AI915" s="15">
        <v>0.0</v>
      </c>
      <c r="AL915" s="15" t="s">
        <v>1830</v>
      </c>
      <c r="AM915" s="15" t="s">
        <v>1561</v>
      </c>
      <c r="AN915" s="15" t="s">
        <v>1562</v>
      </c>
      <c r="AO915" s="15" t="s">
        <v>1561</v>
      </c>
      <c r="AP915" s="15" t="s">
        <v>1562</v>
      </c>
      <c r="AQ915" s="15" t="s">
        <v>809</v>
      </c>
      <c r="AR915" s="15" t="s">
        <v>810</v>
      </c>
      <c r="AS915" s="15" t="s">
        <v>1317</v>
      </c>
      <c r="AT915" s="15" t="s">
        <v>9290</v>
      </c>
      <c r="AU915" s="15" t="s">
        <v>4691</v>
      </c>
      <c r="AW915" s="15" t="s">
        <v>1009</v>
      </c>
      <c r="AY915" s="15" t="s">
        <v>426</v>
      </c>
      <c r="AZ915" s="15" t="b">
        <v>1</v>
      </c>
      <c r="BA915" s="15" t="s">
        <v>426</v>
      </c>
      <c r="BB915" s="15" t="b">
        <v>1</v>
      </c>
      <c r="BC915" s="15" t="s">
        <v>9293</v>
      </c>
      <c r="BD915" s="15" t="s">
        <v>709</v>
      </c>
      <c r="BE915" s="15" t="str">
        <f t="shared" si="1575"/>
        <v>1</v>
      </c>
      <c r="BF915" s="15" t="s">
        <v>416</v>
      </c>
      <c r="BG915" s="15" t="str">
        <f t="shared" si="1589"/>
        <v>22.44</v>
      </c>
      <c r="BH915" s="15" t="s">
        <v>1156</v>
      </c>
      <c r="BI915" s="15" t="str">
        <f t="shared" si="1590"/>
        <v>22.44</v>
      </c>
      <c r="BJ915" s="15" t="s">
        <v>1156</v>
      </c>
      <c r="BK915" s="15" t="str">
        <f t="shared" si="1591"/>
        <v>20.08</v>
      </c>
      <c r="BL915" s="15" t="s">
        <v>4825</v>
      </c>
      <c r="BM915" s="15" t="str">
        <f t="shared" si="1592"/>
        <v>22.05</v>
      </c>
      <c r="BN915" s="15" t="s">
        <v>2790</v>
      </c>
      <c r="BQ915" s="15" t="s">
        <v>444</v>
      </c>
      <c r="BS915" s="15" t="s">
        <v>444</v>
      </c>
      <c r="BU915" s="15" t="s">
        <v>444</v>
      </c>
      <c r="BW915" s="15" t="s">
        <v>444</v>
      </c>
      <c r="BZ915" s="15" t="s">
        <v>444</v>
      </c>
      <c r="CB915" s="15" t="s">
        <v>444</v>
      </c>
      <c r="CD915" s="15" t="s">
        <v>444</v>
      </c>
      <c r="CF915" s="15" t="s">
        <v>444</v>
      </c>
      <c r="CI915" s="15" t="s">
        <v>444</v>
      </c>
      <c r="CK915" s="15" t="s">
        <v>444</v>
      </c>
      <c r="CM915" s="15" t="s">
        <v>444</v>
      </c>
      <c r="CO915" s="15" t="s">
        <v>444</v>
      </c>
      <c r="CP915" s="15" t="str">
        <f t="shared" si="1593"/>
        <v>5.86</v>
      </c>
      <c r="CQ915" s="15" t="str">
        <f t="shared" si="1594"/>
        <v>0.166</v>
      </c>
      <c r="CR915" s="15" t="s">
        <v>465</v>
      </c>
      <c r="DB915" s="15" t="s">
        <v>1072</v>
      </c>
      <c r="DC915" s="15" t="str">
        <f>IFERROR(__xludf.DUMMYFUNCTION("""COMPUTED_VALUE"""),"{""value"":22.00,""unit"":""in""}")</f>
        <v>{"value":22.00,"unit":"in"}</v>
      </c>
      <c r="DD915" s="15" t="s">
        <v>824</v>
      </c>
      <c r="DE915" s="15" t="str">
        <f>IFERROR(__xludf.DUMMYFUNCTION("""COMPUTED_VALUE"""),"{""value"":18.50,""unit"":""in""}")</f>
        <v>{"value":18.50,"unit":"in"}</v>
      </c>
      <c r="DF915" s="15" t="s">
        <v>1072</v>
      </c>
      <c r="DG915" s="15" t="str">
        <f>IFERROR(__xludf.DUMMYFUNCTION("""COMPUTED_VALUE"""),"{""value"":22.00,""unit"":""in""}")</f>
        <v>{"value":22.00,"unit":"in"}</v>
      </c>
      <c r="DI915" s="15">
        <v>0.0</v>
      </c>
      <c r="DK915" s="15" t="s">
        <v>855</v>
      </c>
      <c r="DL915" s="15" t="str">
        <f>IFERROR(__xludf.DUMMYFUNCTION("""COMPUTED_VALUE"""),"Clean with solvent-based (dry clean only) products. Do not use water.")</f>
        <v>Clean with solvent-based (dry clean only) products. Do not use water.</v>
      </c>
      <c r="DM915" s="15" t="s">
        <v>856</v>
      </c>
      <c r="DT915" s="15" t="s">
        <v>1284</v>
      </c>
      <c r="DU915" s="15" t="s">
        <v>419</v>
      </c>
      <c r="DV915" s="15">
        <v>0.0</v>
      </c>
      <c r="DZ915" s="15">
        <v>25000.0</v>
      </c>
      <c r="EA915" s="15" t="s">
        <v>722</v>
      </c>
      <c r="ED915" s="15">
        <v>0.0</v>
      </c>
      <c r="EE915" s="15">
        <v>1.0</v>
      </c>
      <c r="EF915" s="15" t="s">
        <v>1157</v>
      </c>
      <c r="EG915" s="15" t="s">
        <v>1158</v>
      </c>
      <c r="EH915" s="15" t="s">
        <v>9230</v>
      </c>
      <c r="EI915" s="15">
        <v>0.0</v>
      </c>
      <c r="EJ915" s="15" t="s">
        <v>726</v>
      </c>
      <c r="EK915" s="15" t="s">
        <v>727</v>
      </c>
      <c r="EM915" s="15" t="str">
        <f>IFERROR(__xludf.DUMMYFUNCTION("""COMPUTED_VALUE"""),"")</f>
        <v/>
      </c>
      <c r="EW915" s="15" t="s">
        <v>3693</v>
      </c>
      <c r="FF915" s="15" t="s">
        <v>1255</v>
      </c>
    </row>
    <row r="916" ht="15.75" customHeight="1">
      <c r="A916" s="14" t="s">
        <v>391</v>
      </c>
      <c r="B916" s="15" t="s">
        <v>9280</v>
      </c>
      <c r="C916" s="16"/>
      <c r="D916" s="15" t="s">
        <v>432</v>
      </c>
      <c r="G916" s="14" t="s">
        <v>393</v>
      </c>
      <c r="H916" s="14" t="s">
        <v>394</v>
      </c>
      <c r="I916" s="14" t="b">
        <v>1</v>
      </c>
      <c r="J916" s="14" t="s">
        <v>395</v>
      </c>
      <c r="L916" s="14" t="b">
        <v>0</v>
      </c>
      <c r="M916" s="15" t="s">
        <v>9294</v>
      </c>
      <c r="N916" s="14" t="s">
        <v>393</v>
      </c>
      <c r="O916" s="14" t="s">
        <v>393</v>
      </c>
      <c r="P916" s="15" t="s">
        <v>397</v>
      </c>
      <c r="Q916" s="15" t="s">
        <v>1081</v>
      </c>
      <c r="T916" s="14" t="b">
        <v>0</v>
      </c>
      <c r="U916" s="15" t="s">
        <v>9295</v>
      </c>
      <c r="V916" s="15" t="s">
        <v>9251</v>
      </c>
      <c r="W916" s="15" t="s">
        <v>401</v>
      </c>
      <c r="X916" s="15" t="s">
        <v>695</v>
      </c>
      <c r="Y916" s="15">
        <v>546.0</v>
      </c>
      <c r="AA916" s="15" t="str">
        <f t="shared" si="1595"/>
        <v>210</v>
      </c>
      <c r="AB916" s="14" t="b">
        <v>1</v>
      </c>
      <c r="AC916" s="14" t="b">
        <v>1</v>
      </c>
      <c r="AD916" s="15" t="str">
        <f>"801542668211"</f>
        <v>801542668211</v>
      </c>
      <c r="AE916" s="15" t="s">
        <v>9296</v>
      </c>
      <c r="AF916" s="14" t="s">
        <v>404</v>
      </c>
      <c r="AG916" s="14" t="s">
        <v>405</v>
      </c>
      <c r="AH916" s="14" t="s">
        <v>406</v>
      </c>
      <c r="AI916" s="15">
        <v>0.0</v>
      </c>
      <c r="AL916" s="15" t="s">
        <v>1830</v>
      </c>
      <c r="AM916" s="15" t="s">
        <v>1561</v>
      </c>
      <c r="AN916" s="15" t="s">
        <v>1562</v>
      </c>
      <c r="AO916" s="15" t="s">
        <v>1561</v>
      </c>
      <c r="AP916" s="15" t="s">
        <v>1562</v>
      </c>
      <c r="AQ916" s="15" t="s">
        <v>809</v>
      </c>
      <c r="AR916" s="15" t="s">
        <v>810</v>
      </c>
      <c r="AS916" s="15" t="s">
        <v>1317</v>
      </c>
      <c r="AT916" s="15" t="s">
        <v>1081</v>
      </c>
      <c r="AU916" s="15" t="s">
        <v>1087</v>
      </c>
      <c r="AW916" s="15" t="s">
        <v>1009</v>
      </c>
      <c r="AY916" s="15" t="s">
        <v>426</v>
      </c>
      <c r="AZ916" s="15" t="b">
        <v>1</v>
      </c>
      <c r="BA916" s="15" t="s">
        <v>426</v>
      </c>
      <c r="BB916" s="15" t="b">
        <v>1</v>
      </c>
      <c r="BC916" s="15" t="s">
        <v>9297</v>
      </c>
      <c r="BD916" s="15" t="s">
        <v>709</v>
      </c>
      <c r="BE916" s="15" t="str">
        <f t="shared" si="1575"/>
        <v>1</v>
      </c>
      <c r="BF916" s="15" t="s">
        <v>416</v>
      </c>
      <c r="BG916" s="15" t="str">
        <f t="shared" si="1589"/>
        <v>22.44</v>
      </c>
      <c r="BH916" s="15" t="s">
        <v>1156</v>
      </c>
      <c r="BI916" s="15" t="str">
        <f t="shared" si="1590"/>
        <v>22.44</v>
      </c>
      <c r="BJ916" s="15" t="s">
        <v>1156</v>
      </c>
      <c r="BK916" s="15" t="str">
        <f t="shared" si="1591"/>
        <v>20.08</v>
      </c>
      <c r="BL916" s="15" t="s">
        <v>4825</v>
      </c>
      <c r="BM916" s="15" t="str">
        <f t="shared" si="1592"/>
        <v>22.05</v>
      </c>
      <c r="BN916" s="15" t="s">
        <v>2790</v>
      </c>
      <c r="BQ916" s="15" t="s">
        <v>444</v>
      </c>
      <c r="BS916" s="15" t="s">
        <v>444</v>
      </c>
      <c r="BU916" s="15" t="s">
        <v>444</v>
      </c>
      <c r="BW916" s="15" t="s">
        <v>444</v>
      </c>
      <c r="BZ916" s="15" t="s">
        <v>444</v>
      </c>
      <c r="CB916" s="15" t="s">
        <v>444</v>
      </c>
      <c r="CD916" s="15" t="s">
        <v>444</v>
      </c>
      <c r="CF916" s="15" t="s">
        <v>444</v>
      </c>
      <c r="CI916" s="15" t="s">
        <v>444</v>
      </c>
      <c r="CK916" s="15" t="s">
        <v>444</v>
      </c>
      <c r="CM916" s="15" t="s">
        <v>444</v>
      </c>
      <c r="CO916" s="15" t="s">
        <v>444</v>
      </c>
      <c r="CP916" s="15" t="str">
        <f t="shared" si="1593"/>
        <v>5.86</v>
      </c>
      <c r="CQ916" s="15" t="str">
        <f t="shared" si="1594"/>
        <v>0.166</v>
      </c>
      <c r="CR916" s="15" t="s">
        <v>497</v>
      </c>
      <c r="DB916" s="15" t="s">
        <v>1072</v>
      </c>
      <c r="DC916" s="15" t="str">
        <f>IFERROR(__xludf.DUMMYFUNCTION("""COMPUTED_VALUE"""),"{""value"":22.00,""unit"":""in""}")</f>
        <v>{"value":22.00,"unit":"in"}</v>
      </c>
      <c r="DD916" s="15" t="s">
        <v>824</v>
      </c>
      <c r="DE916" s="15" t="str">
        <f>IFERROR(__xludf.DUMMYFUNCTION("""COMPUTED_VALUE"""),"{""value"":18.50,""unit"":""in""}")</f>
        <v>{"value":18.50,"unit":"in"}</v>
      </c>
      <c r="DF916" s="15" t="s">
        <v>1072</v>
      </c>
      <c r="DG916" s="15" t="str">
        <f>IFERROR(__xludf.DUMMYFUNCTION("""COMPUTED_VALUE"""),"{""value"":22.00,""unit"":""in""}")</f>
        <v>{"value":22.00,"unit":"in"}</v>
      </c>
      <c r="DI916" s="15">
        <v>0.0</v>
      </c>
      <c r="DK916" s="15" t="s">
        <v>855</v>
      </c>
      <c r="DL916" s="15" t="str">
        <f>IFERROR(__xludf.DUMMYFUNCTION("""COMPUTED_VALUE"""),"Clean with solvent-based (dry clean only) products. Do not use water.")</f>
        <v>Clean with solvent-based (dry clean only) products. Do not use water.</v>
      </c>
      <c r="DM916" s="15" t="s">
        <v>856</v>
      </c>
      <c r="DT916" s="15" t="s">
        <v>1284</v>
      </c>
      <c r="DU916" s="15" t="s">
        <v>419</v>
      </c>
      <c r="DV916" s="15">
        <v>0.0</v>
      </c>
      <c r="DZ916" s="15">
        <v>25000.0</v>
      </c>
      <c r="EA916" s="15" t="s">
        <v>722</v>
      </c>
      <c r="ED916" s="15">
        <v>0.0</v>
      </c>
      <c r="EE916" s="15">
        <v>1.0</v>
      </c>
      <c r="EF916" s="15" t="s">
        <v>1157</v>
      </c>
      <c r="EG916" s="15" t="s">
        <v>1158</v>
      </c>
      <c r="EH916" s="15" t="s">
        <v>9230</v>
      </c>
      <c r="EI916" s="15">
        <v>0.0</v>
      </c>
      <c r="EJ916" s="15" t="s">
        <v>726</v>
      </c>
      <c r="EK916" s="15" t="s">
        <v>727</v>
      </c>
      <c r="EM916" s="15" t="str">
        <f>IFERROR(__xludf.DUMMYFUNCTION("""COMPUTED_VALUE"""),"")</f>
        <v/>
      </c>
      <c r="EW916" s="15" t="s">
        <v>3693</v>
      </c>
      <c r="FF916" s="15" t="s">
        <v>1255</v>
      </c>
    </row>
    <row r="917" ht="15.75" customHeight="1">
      <c r="A917" s="14" t="s">
        <v>391</v>
      </c>
      <c r="B917" s="15" t="s">
        <v>9280</v>
      </c>
      <c r="C917" s="16"/>
      <c r="D917" s="15" t="s">
        <v>432</v>
      </c>
      <c r="G917" s="14" t="s">
        <v>393</v>
      </c>
      <c r="H917" s="14" t="s">
        <v>394</v>
      </c>
      <c r="I917" s="14" t="b">
        <v>1</v>
      </c>
      <c r="J917" s="14" t="s">
        <v>395</v>
      </c>
      <c r="L917" s="14" t="b">
        <v>0</v>
      </c>
      <c r="M917" s="15" t="s">
        <v>9298</v>
      </c>
      <c r="N917" s="14" t="s">
        <v>393</v>
      </c>
      <c r="O917" s="14" t="s">
        <v>393</v>
      </c>
      <c r="P917" s="15" t="s">
        <v>397</v>
      </c>
      <c r="Q917" s="15" t="s">
        <v>5202</v>
      </c>
      <c r="T917" s="14" t="b">
        <v>0</v>
      </c>
      <c r="U917" s="15" t="s">
        <v>9299</v>
      </c>
      <c r="V917" s="15" t="s">
        <v>9251</v>
      </c>
      <c r="W917" s="15" t="s">
        <v>401</v>
      </c>
      <c r="X917" s="15" t="s">
        <v>695</v>
      </c>
      <c r="Y917" s="15">
        <v>611.0</v>
      </c>
      <c r="AA917" s="15" t="str">
        <f>"235"</f>
        <v>235</v>
      </c>
      <c r="AB917" s="14" t="b">
        <v>1</v>
      </c>
      <c r="AC917" s="14" t="b">
        <v>1</v>
      </c>
      <c r="AD917" s="15" t="str">
        <f>"801542995607"</f>
        <v>801542995607</v>
      </c>
      <c r="AE917" s="15" t="s">
        <v>9300</v>
      </c>
      <c r="AF917" s="14" t="s">
        <v>404</v>
      </c>
      <c r="AG917" s="14" t="s">
        <v>405</v>
      </c>
      <c r="AH917" s="14" t="s">
        <v>406</v>
      </c>
      <c r="AI917" s="15">
        <v>0.0</v>
      </c>
      <c r="AL917" s="15" t="s">
        <v>5205</v>
      </c>
      <c r="AM917" s="15" t="s">
        <v>1561</v>
      </c>
      <c r="AN917" s="15" t="s">
        <v>1562</v>
      </c>
      <c r="AO917" s="15" t="s">
        <v>1561</v>
      </c>
      <c r="AP917" s="15" t="s">
        <v>1562</v>
      </c>
      <c r="AQ917" s="15" t="s">
        <v>809</v>
      </c>
      <c r="AR917" s="15" t="s">
        <v>810</v>
      </c>
      <c r="AS917" s="15" t="s">
        <v>1317</v>
      </c>
      <c r="AT917" s="15" t="s">
        <v>5202</v>
      </c>
      <c r="AU917" s="15" t="s">
        <v>2801</v>
      </c>
      <c r="AW917" s="15" t="s">
        <v>1009</v>
      </c>
      <c r="AY917" s="15" t="s">
        <v>413</v>
      </c>
      <c r="AZ917" s="15" t="b">
        <v>0</v>
      </c>
      <c r="BA917" s="15" t="s">
        <v>413</v>
      </c>
      <c r="BB917" s="15" t="b">
        <v>0</v>
      </c>
      <c r="BC917" s="15" t="s">
        <v>9301</v>
      </c>
      <c r="BD917" s="15" t="s">
        <v>709</v>
      </c>
      <c r="BE917" s="15" t="str">
        <f t="shared" si="1575"/>
        <v>1</v>
      </c>
      <c r="BF917" s="15" t="s">
        <v>416</v>
      </c>
      <c r="BG917" s="15" t="str">
        <f t="shared" si="1589"/>
        <v>22.44</v>
      </c>
      <c r="BH917" s="15" t="s">
        <v>1156</v>
      </c>
      <c r="BI917" s="15" t="str">
        <f t="shared" si="1590"/>
        <v>22.44</v>
      </c>
      <c r="BJ917" s="15" t="s">
        <v>1156</v>
      </c>
      <c r="BK917" s="15" t="str">
        <f t="shared" si="1591"/>
        <v>20.08</v>
      </c>
      <c r="BL917" s="15" t="s">
        <v>4825</v>
      </c>
      <c r="BM917" s="15" t="str">
        <f t="shared" si="1592"/>
        <v>22.05</v>
      </c>
      <c r="BN917" s="15" t="s">
        <v>2790</v>
      </c>
      <c r="BQ917" s="15" t="s">
        <v>444</v>
      </c>
      <c r="BS917" s="15" t="s">
        <v>444</v>
      </c>
      <c r="BU917" s="15" t="s">
        <v>444</v>
      </c>
      <c r="BW917" s="15" t="s">
        <v>444</v>
      </c>
      <c r="BZ917" s="15" t="s">
        <v>444</v>
      </c>
      <c r="CB917" s="15" t="s">
        <v>444</v>
      </c>
      <c r="CD917" s="15" t="s">
        <v>444</v>
      </c>
      <c r="CF917" s="15" t="s">
        <v>444</v>
      </c>
      <c r="CI917" s="15" t="s">
        <v>444</v>
      </c>
      <c r="CK917" s="15" t="s">
        <v>444</v>
      </c>
      <c r="CM917" s="15" t="s">
        <v>444</v>
      </c>
      <c r="CO917" s="15" t="s">
        <v>444</v>
      </c>
      <c r="CP917" s="15" t="str">
        <f t="shared" si="1593"/>
        <v>5.86</v>
      </c>
      <c r="CQ917" s="15" t="str">
        <f t="shared" si="1594"/>
        <v>0.166</v>
      </c>
      <c r="CR917" s="15" t="s">
        <v>497</v>
      </c>
      <c r="DB917" s="15" t="s">
        <v>1072</v>
      </c>
      <c r="DC917" s="15" t="str">
        <f>IFERROR(__xludf.DUMMYFUNCTION("""COMPUTED_VALUE"""),"{""value"":22.00,""unit"":""in""}")</f>
        <v>{"value":22.00,"unit":"in"}</v>
      </c>
      <c r="DD917" s="15" t="s">
        <v>824</v>
      </c>
      <c r="DE917" s="15" t="str">
        <f>IFERROR(__xludf.DUMMYFUNCTION("""COMPUTED_VALUE"""),"{""value"":18.50,""unit"":""in""}")</f>
        <v>{"value":18.50,"unit":"in"}</v>
      </c>
      <c r="DF917" s="15" t="s">
        <v>1072</v>
      </c>
      <c r="DG917" s="15" t="str">
        <f>IFERROR(__xludf.DUMMYFUNCTION("""COMPUTED_VALUE"""),"{""value"":22.00,""unit"":""in""}")</f>
        <v>{"value":22.00,"unit":"in"}</v>
      </c>
      <c r="DI917" s="15">
        <v>0.0</v>
      </c>
      <c r="DK917" s="15" t="s">
        <v>855</v>
      </c>
      <c r="DL917" s="15" t="str">
        <f>IFERROR(__xludf.DUMMYFUNCTION("""COMPUTED_VALUE"""),"Clean with solvent-based (dry clean only) products. Do not use water.")</f>
        <v>Clean with solvent-based (dry clean only) products. Do not use water.</v>
      </c>
      <c r="DM917" s="15" t="s">
        <v>856</v>
      </c>
      <c r="DT917" s="15" t="s">
        <v>1284</v>
      </c>
      <c r="DU917" s="15" t="s">
        <v>419</v>
      </c>
      <c r="DV917" s="15">
        <v>0.0</v>
      </c>
      <c r="DZ917" s="15">
        <v>15000.0</v>
      </c>
      <c r="EA917" s="15" t="s">
        <v>722</v>
      </c>
      <c r="ED917" s="15">
        <v>0.0</v>
      </c>
      <c r="EE917" s="15">
        <v>1.0</v>
      </c>
      <c r="EF917" s="15" t="s">
        <v>1157</v>
      </c>
      <c r="EG917" s="15" t="s">
        <v>1158</v>
      </c>
      <c r="EH917" s="15" t="s">
        <v>9230</v>
      </c>
      <c r="EI917" s="15">
        <v>0.0</v>
      </c>
      <c r="EJ917" s="15" t="s">
        <v>726</v>
      </c>
      <c r="EK917" s="15" t="s">
        <v>727</v>
      </c>
      <c r="EM917" s="15" t="str">
        <f>IFERROR(__xludf.DUMMYFUNCTION("""COMPUTED_VALUE"""),"")</f>
        <v/>
      </c>
      <c r="EW917" s="15" t="s">
        <v>3693</v>
      </c>
      <c r="FF917" s="15" t="s">
        <v>1255</v>
      </c>
    </row>
    <row r="918" ht="15.75" customHeight="1">
      <c r="A918" s="14" t="s">
        <v>391</v>
      </c>
      <c r="B918" s="15" t="s">
        <v>9280</v>
      </c>
      <c r="C918" s="16"/>
      <c r="D918" s="15" t="s">
        <v>432</v>
      </c>
      <c r="G918" s="14" t="s">
        <v>393</v>
      </c>
      <c r="H918" s="14" t="s">
        <v>394</v>
      </c>
      <c r="I918" s="14" t="b">
        <v>1</v>
      </c>
      <c r="J918" s="14" t="s">
        <v>395</v>
      </c>
      <c r="L918" s="14" t="b">
        <v>0</v>
      </c>
      <c r="M918" s="15" t="s">
        <v>9302</v>
      </c>
      <c r="N918" s="14" t="s">
        <v>393</v>
      </c>
      <c r="O918" s="14" t="s">
        <v>393</v>
      </c>
      <c r="P918" s="15" t="s">
        <v>397</v>
      </c>
      <c r="Q918" s="15" t="s">
        <v>9303</v>
      </c>
      <c r="T918" s="14" t="b">
        <v>0</v>
      </c>
      <c r="U918" s="15" t="s">
        <v>9304</v>
      </c>
      <c r="V918" s="15" t="s">
        <v>9251</v>
      </c>
      <c r="W918" s="15" t="s">
        <v>401</v>
      </c>
      <c r="X918" s="15" t="s">
        <v>695</v>
      </c>
      <c r="Y918" s="15">
        <v>936.0</v>
      </c>
      <c r="AA918" s="15" t="str">
        <f>"360"</f>
        <v>360</v>
      </c>
      <c r="AB918" s="14" t="b">
        <v>1</v>
      </c>
      <c r="AC918" s="14" t="b">
        <v>1</v>
      </c>
      <c r="AD918" s="15" t="str">
        <f>"801542742287"</f>
        <v>801542742287</v>
      </c>
      <c r="AE918" s="15" t="s">
        <v>9305</v>
      </c>
      <c r="AF918" s="14" t="s">
        <v>404</v>
      </c>
      <c r="AG918" s="14" t="s">
        <v>405</v>
      </c>
      <c r="AH918" s="14" t="s">
        <v>406</v>
      </c>
      <c r="AI918" s="15">
        <v>0.0</v>
      </c>
      <c r="AL918" s="15" t="s">
        <v>975</v>
      </c>
      <c r="AM918" s="15" t="s">
        <v>1561</v>
      </c>
      <c r="AN918" s="15" t="s">
        <v>1562</v>
      </c>
      <c r="AO918" s="15" t="s">
        <v>1561</v>
      </c>
      <c r="AP918" s="15" t="s">
        <v>1562</v>
      </c>
      <c r="AQ918" s="15" t="s">
        <v>809</v>
      </c>
      <c r="AR918" s="15" t="s">
        <v>810</v>
      </c>
      <c r="AS918" s="15" t="s">
        <v>1317</v>
      </c>
      <c r="AT918" s="15" t="s">
        <v>9303</v>
      </c>
      <c r="AU918" s="15" t="s">
        <v>1087</v>
      </c>
      <c r="AW918" s="15" t="s">
        <v>1009</v>
      </c>
      <c r="AY918" s="15" t="s">
        <v>413</v>
      </c>
      <c r="AZ918" s="15" t="b">
        <v>0</v>
      </c>
      <c r="BA918" s="15" t="s">
        <v>413</v>
      </c>
      <c r="BB918" s="15" t="b">
        <v>0</v>
      </c>
      <c r="BC918" s="15" t="s">
        <v>9306</v>
      </c>
      <c r="BD918" s="15" t="s">
        <v>709</v>
      </c>
      <c r="BE918" s="15" t="str">
        <f t="shared" si="1575"/>
        <v>1</v>
      </c>
      <c r="BF918" s="15" t="s">
        <v>416</v>
      </c>
      <c r="BG918" s="15" t="str">
        <f t="shared" si="1589"/>
        <v>22.44</v>
      </c>
      <c r="BH918" s="15" t="s">
        <v>1156</v>
      </c>
      <c r="BI918" s="15" t="str">
        <f t="shared" si="1590"/>
        <v>22.44</v>
      </c>
      <c r="BJ918" s="15" t="s">
        <v>1156</v>
      </c>
      <c r="BK918" s="15" t="str">
        <f t="shared" si="1591"/>
        <v>20.08</v>
      </c>
      <c r="BL918" s="15" t="s">
        <v>4825</v>
      </c>
      <c r="BM918" s="15" t="str">
        <f t="shared" si="1592"/>
        <v>22.05</v>
      </c>
      <c r="BN918" s="15" t="s">
        <v>2790</v>
      </c>
      <c r="BQ918" s="15" t="s">
        <v>444</v>
      </c>
      <c r="BS918" s="15" t="s">
        <v>444</v>
      </c>
      <c r="BU918" s="15" t="s">
        <v>444</v>
      </c>
      <c r="BW918" s="15" t="s">
        <v>444</v>
      </c>
      <c r="BZ918" s="15" t="s">
        <v>444</v>
      </c>
      <c r="CB918" s="15" t="s">
        <v>444</v>
      </c>
      <c r="CD918" s="15" t="s">
        <v>444</v>
      </c>
      <c r="CF918" s="15" t="s">
        <v>444</v>
      </c>
      <c r="CI918" s="15" t="s">
        <v>444</v>
      </c>
      <c r="CK918" s="15" t="s">
        <v>444</v>
      </c>
      <c r="CM918" s="15" t="s">
        <v>444</v>
      </c>
      <c r="CO918" s="15" t="s">
        <v>444</v>
      </c>
      <c r="CP918" s="15" t="str">
        <f t="shared" si="1593"/>
        <v>5.86</v>
      </c>
      <c r="CQ918" s="15" t="str">
        <f t="shared" si="1594"/>
        <v>0.166</v>
      </c>
      <c r="CR918" s="15" t="s">
        <v>497</v>
      </c>
      <c r="DB918" s="15" t="s">
        <v>1072</v>
      </c>
      <c r="DC918" s="15" t="str">
        <f>IFERROR(__xludf.DUMMYFUNCTION("""COMPUTED_VALUE"""),"{""value"":22.00,""unit"":""in""}")</f>
        <v>{"value":22.00,"unit":"in"}</v>
      </c>
      <c r="DD918" s="15" t="s">
        <v>824</v>
      </c>
      <c r="DE918" s="15" t="str">
        <f>IFERROR(__xludf.DUMMYFUNCTION("""COMPUTED_VALUE"""),"{""value"":18.50,""unit"":""in""}")</f>
        <v>{"value":18.50,"unit":"in"}</v>
      </c>
      <c r="DF918" s="15" t="s">
        <v>1072</v>
      </c>
      <c r="DG918" s="15" t="str">
        <f>IFERROR(__xludf.DUMMYFUNCTION("""COMPUTED_VALUE"""),"{""value"":22.00,""unit"":""in""}")</f>
        <v>{"value":22.00,"unit":"in"}</v>
      </c>
      <c r="DI918" s="15">
        <v>0.0</v>
      </c>
      <c r="DK918" s="15" t="s">
        <v>718</v>
      </c>
      <c r="DL918" s="15" t="str">
        <f>IFERROR(__xludf.DUMMYFUNCTION("""COMPUTED_VALUE"""),"Vacuum or light brush only. Do not use water or any cleaning products.")</f>
        <v>Vacuum or light brush only. Do not use water or any cleaning products.</v>
      </c>
      <c r="DM918" s="15" t="s">
        <v>719</v>
      </c>
      <c r="DT918" s="15" t="s">
        <v>1284</v>
      </c>
      <c r="DU918" s="15" t="s">
        <v>419</v>
      </c>
      <c r="DV918" s="15">
        <v>0.0</v>
      </c>
      <c r="DZ918" s="15">
        <v>0.0</v>
      </c>
      <c r="EA918" s="15" t="s">
        <v>722</v>
      </c>
      <c r="ED918" s="15">
        <v>0.0</v>
      </c>
      <c r="EE918" s="15">
        <v>1.0</v>
      </c>
      <c r="EF918" s="15" t="s">
        <v>1157</v>
      </c>
      <c r="EG918" s="15" t="s">
        <v>1158</v>
      </c>
      <c r="EH918" s="15" t="s">
        <v>9230</v>
      </c>
      <c r="EI918" s="15">
        <v>0.0</v>
      </c>
      <c r="EJ918" s="15" t="s">
        <v>726</v>
      </c>
      <c r="EK918" s="15" t="s">
        <v>727</v>
      </c>
      <c r="EM918" s="15" t="str">
        <f>IFERROR(__xludf.DUMMYFUNCTION("""COMPUTED_VALUE"""),"")</f>
        <v/>
      </c>
      <c r="EW918" s="15" t="s">
        <v>3693</v>
      </c>
      <c r="FF918" s="15" t="s">
        <v>1255</v>
      </c>
    </row>
    <row r="919" ht="15.75" customHeight="1">
      <c r="A919" s="14" t="s">
        <v>391</v>
      </c>
      <c r="B919" s="15" t="s">
        <v>9280</v>
      </c>
      <c r="C919" s="16"/>
      <c r="D919" s="15" t="s">
        <v>432</v>
      </c>
      <c r="G919" s="14" t="s">
        <v>393</v>
      </c>
      <c r="H919" s="14" t="s">
        <v>394</v>
      </c>
      <c r="I919" s="14" t="b">
        <v>1</v>
      </c>
      <c r="J919" s="14" t="s">
        <v>395</v>
      </c>
      <c r="L919" s="14" t="b">
        <v>0</v>
      </c>
      <c r="M919" s="15" t="s">
        <v>9307</v>
      </c>
      <c r="N919" s="14" t="s">
        <v>393</v>
      </c>
      <c r="O919" s="14" t="s">
        <v>393</v>
      </c>
      <c r="P919" s="15" t="s">
        <v>397</v>
      </c>
      <c r="Q919" s="15" t="s">
        <v>1350</v>
      </c>
      <c r="T919" s="14" t="b">
        <v>0</v>
      </c>
      <c r="U919" s="15" t="s">
        <v>9308</v>
      </c>
      <c r="V919" s="15" t="s">
        <v>9251</v>
      </c>
      <c r="W919" s="15" t="s">
        <v>401</v>
      </c>
      <c r="X919" s="15" t="s">
        <v>695</v>
      </c>
      <c r="Y919" s="15">
        <v>546.0</v>
      </c>
      <c r="AA919" s="15" t="str">
        <f>"210"</f>
        <v>210</v>
      </c>
      <c r="AB919" s="14" t="b">
        <v>1</v>
      </c>
      <c r="AC919" s="14" t="b">
        <v>1</v>
      </c>
      <c r="AD919" s="15" t="str">
        <f>"801542824006"</f>
        <v>801542824006</v>
      </c>
      <c r="AE919" s="15" t="s">
        <v>9309</v>
      </c>
      <c r="AF919" s="14" t="s">
        <v>404</v>
      </c>
      <c r="AG919" s="14" t="s">
        <v>405</v>
      </c>
      <c r="AH919" s="14" t="s">
        <v>406</v>
      </c>
      <c r="AI919" s="15">
        <v>0.0</v>
      </c>
      <c r="AL919" s="15" t="s">
        <v>832</v>
      </c>
      <c r="AM919" s="15" t="s">
        <v>1561</v>
      </c>
      <c r="AN919" s="15" t="s">
        <v>1562</v>
      </c>
      <c r="AO919" s="15" t="s">
        <v>1561</v>
      </c>
      <c r="AP919" s="15" t="s">
        <v>1562</v>
      </c>
      <c r="AQ919" s="15" t="s">
        <v>809</v>
      </c>
      <c r="AR919" s="15" t="s">
        <v>810</v>
      </c>
      <c r="AS919" s="15" t="s">
        <v>1317</v>
      </c>
      <c r="AT919" s="15" t="s">
        <v>1350</v>
      </c>
      <c r="AU919" s="15" t="s">
        <v>2801</v>
      </c>
      <c r="AW919" s="15" t="s">
        <v>1009</v>
      </c>
      <c r="AY919" s="15" t="s">
        <v>426</v>
      </c>
      <c r="AZ919" s="15" t="b">
        <v>1</v>
      </c>
      <c r="BA919" s="15" t="s">
        <v>413</v>
      </c>
      <c r="BB919" s="15" t="b">
        <v>0</v>
      </c>
      <c r="BC919" s="15" t="s">
        <v>9310</v>
      </c>
      <c r="BD919" s="15" t="s">
        <v>709</v>
      </c>
      <c r="BE919" s="15" t="str">
        <f t="shared" si="1575"/>
        <v>1</v>
      </c>
      <c r="BF919" s="15" t="s">
        <v>416</v>
      </c>
      <c r="BG919" s="15" t="str">
        <f t="shared" si="1589"/>
        <v>22.44</v>
      </c>
      <c r="BH919" s="15" t="s">
        <v>1156</v>
      </c>
      <c r="BI919" s="15" t="str">
        <f t="shared" si="1590"/>
        <v>22.44</v>
      </c>
      <c r="BJ919" s="15" t="s">
        <v>1156</v>
      </c>
      <c r="BK919" s="15" t="str">
        <f t="shared" si="1591"/>
        <v>20.08</v>
      </c>
      <c r="BL919" s="15" t="s">
        <v>4825</v>
      </c>
      <c r="BM919" s="15" t="str">
        <f t="shared" si="1592"/>
        <v>22.05</v>
      </c>
      <c r="BN919" s="15" t="s">
        <v>2790</v>
      </c>
      <c r="BQ919" s="15" t="s">
        <v>444</v>
      </c>
      <c r="BS919" s="15" t="s">
        <v>444</v>
      </c>
      <c r="BU919" s="15" t="s">
        <v>444</v>
      </c>
      <c r="BW919" s="15" t="s">
        <v>444</v>
      </c>
      <c r="BZ919" s="15" t="s">
        <v>444</v>
      </c>
      <c r="CB919" s="15" t="s">
        <v>444</v>
      </c>
      <c r="CD919" s="15" t="s">
        <v>444</v>
      </c>
      <c r="CF919" s="15" t="s">
        <v>444</v>
      </c>
      <c r="CI919" s="15" t="s">
        <v>444</v>
      </c>
      <c r="CK919" s="15" t="s">
        <v>444</v>
      </c>
      <c r="CM919" s="15" t="s">
        <v>444</v>
      </c>
      <c r="CO919" s="15" t="s">
        <v>444</v>
      </c>
      <c r="CP919" s="15" t="str">
        <f t="shared" si="1593"/>
        <v>5.86</v>
      </c>
      <c r="CQ919" s="15" t="str">
        <f t="shared" si="1594"/>
        <v>0.166</v>
      </c>
      <c r="CR919" s="15" t="s">
        <v>417</v>
      </c>
      <c r="DB919" s="15" t="s">
        <v>1072</v>
      </c>
      <c r="DC919" s="15" t="str">
        <f>IFERROR(__xludf.DUMMYFUNCTION("""COMPUTED_VALUE"""),"{""value"":22.00,""unit"":""in""}")</f>
        <v>{"value":22.00,"unit":"in"}</v>
      </c>
      <c r="DD919" s="15" t="s">
        <v>824</v>
      </c>
      <c r="DE919" s="15" t="str">
        <f>IFERROR(__xludf.DUMMYFUNCTION("""COMPUTED_VALUE"""),"{""value"":18.50,""unit"":""in""}")</f>
        <v>{"value":18.50,"unit":"in"}</v>
      </c>
      <c r="DF919" s="15" t="s">
        <v>1072</v>
      </c>
      <c r="DG919" s="15" t="str">
        <f>IFERROR(__xludf.DUMMYFUNCTION("""COMPUTED_VALUE"""),"{""value"":22.00,""unit"":""in""}")</f>
        <v>{"value":22.00,"unit":"in"}</v>
      </c>
      <c r="DI919" s="15">
        <v>0.0</v>
      </c>
      <c r="DK919" s="15" t="s">
        <v>897</v>
      </c>
      <c r="DL919" s="15" t="str">
        <f>IFERROR(__xludf.DUMMYFUNCTION("""COMPUTED_VALUE"""),"Clean with water-based products only. Use mild detergent or upholstery shampoo.")</f>
        <v>Clean with water-based products only. Use mild detergent or upholstery shampoo.</v>
      </c>
      <c r="DM919" s="15" t="s">
        <v>898</v>
      </c>
      <c r="DT919" s="15" t="s">
        <v>1284</v>
      </c>
      <c r="DU919" s="15" t="s">
        <v>419</v>
      </c>
      <c r="DV919" s="15">
        <v>0.0</v>
      </c>
      <c r="DZ919" s="15">
        <v>15000.0</v>
      </c>
      <c r="EA919" s="15" t="s">
        <v>722</v>
      </c>
      <c r="ED919" s="15">
        <v>0.0</v>
      </c>
      <c r="EE919" s="15">
        <v>1.0</v>
      </c>
      <c r="EF919" s="15" t="s">
        <v>1157</v>
      </c>
      <c r="EG919" s="15" t="s">
        <v>1158</v>
      </c>
      <c r="EH919" s="15" t="s">
        <v>9230</v>
      </c>
      <c r="EI919" s="15">
        <v>0.0</v>
      </c>
      <c r="EJ919" s="15" t="s">
        <v>726</v>
      </c>
      <c r="EK919" s="15" t="s">
        <v>727</v>
      </c>
      <c r="EM919" s="15" t="str">
        <f>IFERROR(__xludf.DUMMYFUNCTION("""COMPUTED_VALUE"""),"")</f>
        <v/>
      </c>
      <c r="EW919" s="15" t="s">
        <v>3693</v>
      </c>
      <c r="FF919" s="15" t="s">
        <v>1255</v>
      </c>
    </row>
    <row r="920" ht="15.75" customHeight="1">
      <c r="A920" s="14" t="s">
        <v>391</v>
      </c>
      <c r="B920" s="15" t="s">
        <v>9311</v>
      </c>
      <c r="C920" s="16"/>
      <c r="D920" s="15" t="s">
        <v>432</v>
      </c>
      <c r="G920" s="14" t="s">
        <v>393</v>
      </c>
      <c r="H920" s="14" t="s">
        <v>394</v>
      </c>
      <c r="I920" s="14" t="b">
        <v>1</v>
      </c>
      <c r="J920" s="14" t="s">
        <v>395</v>
      </c>
      <c r="L920" s="14" t="b">
        <v>0</v>
      </c>
      <c r="M920" s="15" t="s">
        <v>9312</v>
      </c>
      <c r="N920" s="14" t="s">
        <v>393</v>
      </c>
      <c r="O920" s="14" t="s">
        <v>393</v>
      </c>
      <c r="P920" s="15" t="s">
        <v>397</v>
      </c>
      <c r="Q920" s="15" t="s">
        <v>1796</v>
      </c>
      <c r="T920" s="14" t="b">
        <v>0</v>
      </c>
      <c r="U920" s="15" t="s">
        <v>9313</v>
      </c>
      <c r="V920" s="15" t="s">
        <v>9314</v>
      </c>
      <c r="W920" s="15" t="s">
        <v>401</v>
      </c>
      <c r="X920" s="15" t="s">
        <v>695</v>
      </c>
      <c r="Y920" s="15">
        <v>936.0</v>
      </c>
      <c r="AA920" s="15" t="str">
        <f t="shared" ref="AA920:AA921" si="1596">"360"</f>
        <v>360</v>
      </c>
      <c r="AB920" s="14" t="b">
        <v>1</v>
      </c>
      <c r="AC920" s="14" t="b">
        <v>1</v>
      </c>
      <c r="AD920" s="15" t="str">
        <f>"801542830229"</f>
        <v>801542830229</v>
      </c>
      <c r="AE920" s="15" t="s">
        <v>9315</v>
      </c>
      <c r="AF920" s="14" t="s">
        <v>404</v>
      </c>
      <c r="AG920" s="14" t="s">
        <v>405</v>
      </c>
      <c r="AH920" s="14" t="s">
        <v>406</v>
      </c>
      <c r="AI920" s="15">
        <v>0.0</v>
      </c>
      <c r="AL920" s="15" t="s">
        <v>1800</v>
      </c>
      <c r="AM920" s="15" t="s">
        <v>622</v>
      </c>
      <c r="AN920" s="15" t="s">
        <v>623</v>
      </c>
      <c r="AO920" s="15" t="s">
        <v>622</v>
      </c>
      <c r="AP920" s="15" t="s">
        <v>623</v>
      </c>
      <c r="AQ920" s="15" t="s">
        <v>2039</v>
      </c>
      <c r="AR920" s="15" t="s">
        <v>2040</v>
      </c>
      <c r="AS920" s="15" t="s">
        <v>1317</v>
      </c>
      <c r="AT920" s="15" t="s">
        <v>1796</v>
      </c>
      <c r="AU920" s="15" t="s">
        <v>2801</v>
      </c>
      <c r="AW920" s="15" t="s">
        <v>1009</v>
      </c>
      <c r="AY920" s="15" t="s">
        <v>413</v>
      </c>
      <c r="AZ920" s="15" t="b">
        <v>0</v>
      </c>
      <c r="BA920" s="15" t="s">
        <v>413</v>
      </c>
      <c r="BB920" s="15" t="b">
        <v>0</v>
      </c>
      <c r="BC920" s="15" t="s">
        <v>9316</v>
      </c>
      <c r="BD920" s="15" t="s">
        <v>709</v>
      </c>
      <c r="BE920" s="15" t="str">
        <f t="shared" si="1575"/>
        <v>1</v>
      </c>
      <c r="BF920" s="15" t="s">
        <v>416</v>
      </c>
      <c r="BG920" s="15" t="str">
        <f t="shared" ref="BG920:BG926" si="1597">"37.4"</f>
        <v>37.4</v>
      </c>
      <c r="BH920" s="15" t="s">
        <v>3175</v>
      </c>
      <c r="BI920" s="15" t="str">
        <f t="shared" ref="BI920:BI926" si="1598">"37.4"</f>
        <v>37.4</v>
      </c>
      <c r="BJ920" s="15" t="s">
        <v>3175</v>
      </c>
      <c r="BK920" s="15" t="str">
        <f t="shared" ref="BK920:BK926" si="1599">"18.11"</f>
        <v>18.11</v>
      </c>
      <c r="BL920" s="15" t="s">
        <v>3773</v>
      </c>
      <c r="BM920" s="15" t="str">
        <f t="shared" ref="BM920:BM926" si="1600">"63.93"</f>
        <v>63.93</v>
      </c>
      <c r="BN920" s="15" t="s">
        <v>2965</v>
      </c>
      <c r="BQ920" s="15" t="s">
        <v>444</v>
      </c>
      <c r="BS920" s="15" t="s">
        <v>444</v>
      </c>
      <c r="BU920" s="15" t="s">
        <v>444</v>
      </c>
      <c r="BW920" s="15" t="s">
        <v>444</v>
      </c>
      <c r="BZ920" s="15" t="s">
        <v>444</v>
      </c>
      <c r="CB920" s="15" t="s">
        <v>444</v>
      </c>
      <c r="CD920" s="15" t="s">
        <v>444</v>
      </c>
      <c r="CF920" s="15" t="s">
        <v>444</v>
      </c>
      <c r="CI920" s="15" t="s">
        <v>444</v>
      </c>
      <c r="CK920" s="15" t="s">
        <v>444</v>
      </c>
      <c r="CM920" s="15" t="s">
        <v>444</v>
      </c>
      <c r="CO920" s="15" t="s">
        <v>444</v>
      </c>
      <c r="CP920" s="15" t="str">
        <f t="shared" ref="CP920:CP926" si="1601">"14.66"</f>
        <v>14.66</v>
      </c>
      <c r="CQ920" s="15" t="str">
        <f t="shared" ref="CQ920:CQ926" si="1602">"0.415"</f>
        <v>0.415</v>
      </c>
      <c r="CR920" s="15" t="s">
        <v>465</v>
      </c>
      <c r="DB920" s="15" t="s">
        <v>4339</v>
      </c>
      <c r="DC920" s="15" t="str">
        <f>IFERROR(__xludf.DUMMYFUNCTION("""COMPUTED_VALUE"""),"{""value"":36.00,""unit"":""in""}")</f>
        <v>{"value":36.00,"unit":"in"}</v>
      </c>
      <c r="DD920" s="15" t="s">
        <v>1213</v>
      </c>
      <c r="DE920" s="15" t="str">
        <f>IFERROR(__xludf.DUMMYFUNCTION("""COMPUTED_VALUE"""),"{""value"":16.00,""unit"":""in""}")</f>
        <v>{"value":16.00,"unit":"in"}</v>
      </c>
      <c r="DF920" s="15" t="s">
        <v>4339</v>
      </c>
      <c r="DG920" s="15" t="str">
        <f>IFERROR(__xludf.DUMMYFUNCTION("""COMPUTED_VALUE"""),"{""value"":36.00,""unit"":""in""}")</f>
        <v>{"value":36.00,"unit":"in"}</v>
      </c>
      <c r="DI920" s="15">
        <v>0.0</v>
      </c>
      <c r="DK920" s="15" t="s">
        <v>855</v>
      </c>
      <c r="DL920" s="15" t="str">
        <f>IFERROR(__xludf.DUMMYFUNCTION("""COMPUTED_VALUE"""),"Clean with solvent-based (dry clean only) products. Do not use water.")</f>
        <v>Clean with solvent-based (dry clean only) products. Do not use water.</v>
      </c>
      <c r="DM920" s="15" t="s">
        <v>856</v>
      </c>
      <c r="DT920" s="15" t="s">
        <v>420</v>
      </c>
      <c r="DU920" s="15" t="s">
        <v>419</v>
      </c>
      <c r="DV920" s="15">
        <v>0.0</v>
      </c>
      <c r="DZ920" s="15">
        <v>35000.0</v>
      </c>
      <c r="EA920" s="15" t="s">
        <v>990</v>
      </c>
      <c r="EB920" s="15" t="s">
        <v>1016</v>
      </c>
      <c r="EC920" s="15" t="s">
        <v>1701</v>
      </c>
      <c r="ED920" s="15">
        <v>1.0</v>
      </c>
      <c r="EE920" s="15">
        <v>1.0</v>
      </c>
      <c r="EF920" s="15" t="s">
        <v>498</v>
      </c>
      <c r="EG920" s="15" t="s">
        <v>499</v>
      </c>
      <c r="EH920" s="15" t="s">
        <v>9230</v>
      </c>
      <c r="EI920" s="15">
        <v>0.0</v>
      </c>
      <c r="EJ920" s="15" t="s">
        <v>726</v>
      </c>
      <c r="EK920" s="15" t="s">
        <v>727</v>
      </c>
      <c r="EM920" s="15" t="str">
        <f>IFERROR(__xludf.DUMMYFUNCTION("""COMPUTED_VALUE"""),"")</f>
        <v/>
      </c>
      <c r="EW920" s="15" t="s">
        <v>1808</v>
      </c>
      <c r="FF920" s="15" t="s">
        <v>1255</v>
      </c>
      <c r="FL920" s="15" t="s">
        <v>426</v>
      </c>
    </row>
    <row r="921" ht="15.75" customHeight="1">
      <c r="A921" s="14" t="s">
        <v>391</v>
      </c>
      <c r="B921" s="15" t="s">
        <v>9311</v>
      </c>
      <c r="C921" s="16"/>
      <c r="D921" s="15" t="s">
        <v>432</v>
      </c>
      <c r="G921" s="14" t="s">
        <v>393</v>
      </c>
      <c r="H921" s="14" t="s">
        <v>394</v>
      </c>
      <c r="I921" s="14" t="b">
        <v>1</v>
      </c>
      <c r="J921" s="14" t="s">
        <v>395</v>
      </c>
      <c r="L921" s="14" t="b">
        <v>0</v>
      </c>
      <c r="M921" s="15" t="s">
        <v>9317</v>
      </c>
      <c r="N921" s="14" t="s">
        <v>393</v>
      </c>
      <c r="O921" s="14" t="s">
        <v>393</v>
      </c>
      <c r="P921" s="15" t="s">
        <v>397</v>
      </c>
      <c r="Q921" s="15" t="s">
        <v>9318</v>
      </c>
      <c r="T921" s="14" t="b">
        <v>0</v>
      </c>
      <c r="U921" s="15" t="s">
        <v>9319</v>
      </c>
      <c r="V921" s="15" t="s">
        <v>9314</v>
      </c>
      <c r="W921" s="15" t="s">
        <v>401</v>
      </c>
      <c r="X921" s="15" t="s">
        <v>695</v>
      </c>
      <c r="Y921" s="15">
        <v>936.0</v>
      </c>
      <c r="AA921" s="15" t="str">
        <f t="shared" si="1596"/>
        <v>360</v>
      </c>
      <c r="AB921" s="14" t="b">
        <v>1</v>
      </c>
      <c r="AC921" s="14" t="b">
        <v>1</v>
      </c>
      <c r="AD921" s="15" t="str">
        <f>"801542204969"</f>
        <v>801542204969</v>
      </c>
      <c r="AE921" s="15" t="s">
        <v>9320</v>
      </c>
      <c r="AF921" s="14" t="s">
        <v>404</v>
      </c>
      <c r="AG921" s="14" t="s">
        <v>405</v>
      </c>
      <c r="AH921" s="14" t="s">
        <v>406</v>
      </c>
      <c r="AI921" s="15">
        <v>0.0</v>
      </c>
      <c r="AL921" s="15" t="s">
        <v>9321</v>
      </c>
      <c r="AM921" s="15" t="s">
        <v>622</v>
      </c>
      <c r="AN921" s="15" t="s">
        <v>623</v>
      </c>
      <c r="AO921" s="15" t="s">
        <v>622</v>
      </c>
      <c r="AP921" s="15" t="s">
        <v>623</v>
      </c>
      <c r="AQ921" s="15" t="s">
        <v>2039</v>
      </c>
      <c r="AR921" s="15" t="s">
        <v>2040</v>
      </c>
      <c r="AS921" s="15" t="s">
        <v>1317</v>
      </c>
      <c r="AT921" s="15" t="s">
        <v>9318</v>
      </c>
      <c r="AU921" s="15" t="s">
        <v>2801</v>
      </c>
      <c r="AW921" s="15" t="s">
        <v>1009</v>
      </c>
      <c r="AY921" s="15" t="s">
        <v>413</v>
      </c>
      <c r="AZ921" s="15" t="b">
        <v>0</v>
      </c>
      <c r="BA921" s="15" t="s">
        <v>426</v>
      </c>
      <c r="BB921" s="15" t="b">
        <v>1</v>
      </c>
      <c r="BC921" s="15" t="s">
        <v>9322</v>
      </c>
      <c r="BD921" s="15" t="s">
        <v>709</v>
      </c>
      <c r="BE921" s="15" t="str">
        <f t="shared" si="1575"/>
        <v>1</v>
      </c>
      <c r="BF921" s="15" t="s">
        <v>416</v>
      </c>
      <c r="BG921" s="15" t="str">
        <f t="shared" si="1597"/>
        <v>37.4</v>
      </c>
      <c r="BH921" s="15" t="s">
        <v>3175</v>
      </c>
      <c r="BI921" s="15" t="str">
        <f t="shared" si="1598"/>
        <v>37.4</v>
      </c>
      <c r="BJ921" s="15" t="s">
        <v>3175</v>
      </c>
      <c r="BK921" s="15" t="str">
        <f t="shared" si="1599"/>
        <v>18.11</v>
      </c>
      <c r="BL921" s="15" t="s">
        <v>3773</v>
      </c>
      <c r="BM921" s="15" t="str">
        <f t="shared" si="1600"/>
        <v>63.93</v>
      </c>
      <c r="BN921" s="15" t="s">
        <v>2965</v>
      </c>
      <c r="BQ921" s="15" t="s">
        <v>444</v>
      </c>
      <c r="BS921" s="15" t="s">
        <v>444</v>
      </c>
      <c r="BU921" s="15" t="s">
        <v>444</v>
      </c>
      <c r="BW921" s="15" t="s">
        <v>444</v>
      </c>
      <c r="BZ921" s="15" t="s">
        <v>444</v>
      </c>
      <c r="CB921" s="15" t="s">
        <v>444</v>
      </c>
      <c r="CD921" s="15" t="s">
        <v>444</v>
      </c>
      <c r="CF921" s="15" t="s">
        <v>444</v>
      </c>
      <c r="CI921" s="15" t="s">
        <v>444</v>
      </c>
      <c r="CK921" s="15" t="s">
        <v>444</v>
      </c>
      <c r="CM921" s="15" t="s">
        <v>444</v>
      </c>
      <c r="CO921" s="15" t="s">
        <v>444</v>
      </c>
      <c r="CP921" s="15" t="str">
        <f t="shared" si="1601"/>
        <v>14.66</v>
      </c>
      <c r="CQ921" s="15" t="str">
        <f t="shared" si="1602"/>
        <v>0.415</v>
      </c>
      <c r="CR921" s="15" t="s">
        <v>417</v>
      </c>
      <c r="DB921" s="15" t="s">
        <v>4339</v>
      </c>
      <c r="DC921" s="15" t="str">
        <f>IFERROR(__xludf.DUMMYFUNCTION("""COMPUTED_VALUE"""),"{""value"":36.00,""unit"":""in""}")</f>
        <v>{"value":36.00,"unit":"in"}</v>
      </c>
      <c r="DD921" s="15" t="s">
        <v>1213</v>
      </c>
      <c r="DE921" s="15" t="str">
        <f>IFERROR(__xludf.DUMMYFUNCTION("""COMPUTED_VALUE"""),"{""value"":16.00,""unit"":""in""}")</f>
        <v>{"value":16.00,"unit":"in"}</v>
      </c>
      <c r="DF921" s="15" t="s">
        <v>4339</v>
      </c>
      <c r="DG921" s="15" t="str">
        <f>IFERROR(__xludf.DUMMYFUNCTION("""COMPUTED_VALUE"""),"{""value"":36.00,""unit"":""in""}")</f>
        <v>{"value":36.00,"unit":"in"}</v>
      </c>
      <c r="DI921" s="15">
        <v>0.0</v>
      </c>
      <c r="DK921" s="15" t="s">
        <v>855</v>
      </c>
      <c r="DL921" s="15" t="str">
        <f>IFERROR(__xludf.DUMMYFUNCTION("""COMPUTED_VALUE"""),"Clean with solvent-based (dry clean only) products. Do not use water.")</f>
        <v>Clean with solvent-based (dry clean only) products. Do not use water.</v>
      </c>
      <c r="DM921" s="15" t="s">
        <v>856</v>
      </c>
      <c r="DT921" s="15" t="s">
        <v>420</v>
      </c>
      <c r="DU921" s="15" t="s">
        <v>419</v>
      </c>
      <c r="DV921" s="15">
        <v>0.0</v>
      </c>
      <c r="DZ921" s="15">
        <v>25000.0</v>
      </c>
      <c r="EA921" s="15" t="s">
        <v>990</v>
      </c>
      <c r="EB921" s="15" t="s">
        <v>1016</v>
      </c>
      <c r="EC921" s="15" t="s">
        <v>1701</v>
      </c>
      <c r="ED921" s="15">
        <v>1.0</v>
      </c>
      <c r="EE921" s="15">
        <v>1.0</v>
      </c>
      <c r="EF921" s="15" t="s">
        <v>498</v>
      </c>
      <c r="EG921" s="15" t="s">
        <v>499</v>
      </c>
      <c r="EH921" s="15" t="s">
        <v>9230</v>
      </c>
      <c r="EI921" s="15">
        <v>0.0</v>
      </c>
      <c r="EJ921" s="15" t="s">
        <v>726</v>
      </c>
      <c r="EK921" s="15" t="s">
        <v>727</v>
      </c>
      <c r="EM921" s="15" t="str">
        <f>IFERROR(__xludf.DUMMYFUNCTION("""COMPUTED_VALUE"""),"")</f>
        <v/>
      </c>
      <c r="EW921" s="15" t="s">
        <v>1808</v>
      </c>
      <c r="FF921" s="15" t="s">
        <v>1255</v>
      </c>
      <c r="FL921" s="15" t="s">
        <v>426</v>
      </c>
    </row>
    <row r="922" ht="15.75" customHeight="1">
      <c r="A922" s="14" t="s">
        <v>391</v>
      </c>
      <c r="B922" s="15" t="s">
        <v>9311</v>
      </c>
      <c r="C922" s="16"/>
      <c r="D922" s="15" t="s">
        <v>432</v>
      </c>
      <c r="G922" s="14" t="s">
        <v>393</v>
      </c>
      <c r="H922" s="14" t="s">
        <v>394</v>
      </c>
      <c r="I922" s="14" t="b">
        <v>1</v>
      </c>
      <c r="J922" s="14" t="s">
        <v>395</v>
      </c>
      <c r="L922" s="14" t="b">
        <v>0</v>
      </c>
      <c r="M922" s="15" t="s">
        <v>9323</v>
      </c>
      <c r="N922" s="14" t="s">
        <v>393</v>
      </c>
      <c r="O922" s="14" t="s">
        <v>393</v>
      </c>
      <c r="P922" s="15" t="s">
        <v>397</v>
      </c>
      <c r="Q922" s="15" t="s">
        <v>2657</v>
      </c>
      <c r="T922" s="14" t="b">
        <v>0</v>
      </c>
      <c r="U922" s="15" t="s">
        <v>9324</v>
      </c>
      <c r="V922" s="15" t="s">
        <v>9314</v>
      </c>
      <c r="W922" s="15" t="s">
        <v>401</v>
      </c>
      <c r="X922" s="15" t="s">
        <v>695</v>
      </c>
      <c r="Y922" s="15">
        <v>1040.0</v>
      </c>
      <c r="AA922" s="15" t="str">
        <f>"400"</f>
        <v>400</v>
      </c>
      <c r="AB922" s="14" t="b">
        <v>1</v>
      </c>
      <c r="AC922" s="14" t="b">
        <v>1</v>
      </c>
      <c r="AD922" s="15" t="str">
        <f>"801542364502"</f>
        <v>801542364502</v>
      </c>
      <c r="AE922" s="15" t="s">
        <v>9325</v>
      </c>
      <c r="AF922" s="14" t="s">
        <v>404</v>
      </c>
      <c r="AG922" s="14" t="s">
        <v>405</v>
      </c>
      <c r="AH922" s="14" t="s">
        <v>406</v>
      </c>
      <c r="AI922" s="15">
        <v>0.0</v>
      </c>
      <c r="AL922" s="15" t="s">
        <v>9326</v>
      </c>
      <c r="AM922" s="15" t="s">
        <v>622</v>
      </c>
      <c r="AN922" s="15" t="s">
        <v>623</v>
      </c>
      <c r="AO922" s="15" t="s">
        <v>622</v>
      </c>
      <c r="AP922" s="15" t="s">
        <v>623</v>
      </c>
      <c r="AQ922" s="15" t="s">
        <v>2039</v>
      </c>
      <c r="AR922" s="15" t="s">
        <v>2040</v>
      </c>
      <c r="AS922" s="15" t="s">
        <v>1317</v>
      </c>
      <c r="AT922" s="15" t="s">
        <v>2657</v>
      </c>
      <c r="AU922" s="15" t="s">
        <v>2801</v>
      </c>
      <c r="AW922" s="15" t="s">
        <v>1009</v>
      </c>
      <c r="AY922" s="15" t="s">
        <v>413</v>
      </c>
      <c r="AZ922" s="15" t="b">
        <v>0</v>
      </c>
      <c r="BA922" s="15" t="s">
        <v>413</v>
      </c>
      <c r="BB922" s="15" t="b">
        <v>0</v>
      </c>
      <c r="BC922" s="15" t="s">
        <v>9327</v>
      </c>
      <c r="BD922" s="15" t="s">
        <v>709</v>
      </c>
      <c r="BE922" s="15" t="str">
        <f t="shared" si="1575"/>
        <v>1</v>
      </c>
      <c r="BF922" s="15" t="s">
        <v>416</v>
      </c>
      <c r="BG922" s="15" t="str">
        <f t="shared" si="1597"/>
        <v>37.4</v>
      </c>
      <c r="BH922" s="15" t="s">
        <v>3175</v>
      </c>
      <c r="BI922" s="15" t="str">
        <f t="shared" si="1598"/>
        <v>37.4</v>
      </c>
      <c r="BJ922" s="15" t="s">
        <v>3175</v>
      </c>
      <c r="BK922" s="15" t="str">
        <f t="shared" si="1599"/>
        <v>18.11</v>
      </c>
      <c r="BL922" s="15" t="s">
        <v>3773</v>
      </c>
      <c r="BM922" s="15" t="str">
        <f t="shared" si="1600"/>
        <v>63.93</v>
      </c>
      <c r="BN922" s="15" t="s">
        <v>2965</v>
      </c>
      <c r="BQ922" s="15" t="s">
        <v>444</v>
      </c>
      <c r="BS922" s="15" t="s">
        <v>444</v>
      </c>
      <c r="BU922" s="15" t="s">
        <v>444</v>
      </c>
      <c r="BW922" s="15" t="s">
        <v>444</v>
      </c>
      <c r="BZ922" s="15" t="s">
        <v>444</v>
      </c>
      <c r="CB922" s="15" t="s">
        <v>444</v>
      </c>
      <c r="CD922" s="15" t="s">
        <v>444</v>
      </c>
      <c r="CF922" s="15" t="s">
        <v>444</v>
      </c>
      <c r="CI922" s="15" t="s">
        <v>444</v>
      </c>
      <c r="CK922" s="15" t="s">
        <v>444</v>
      </c>
      <c r="CM922" s="15" t="s">
        <v>444</v>
      </c>
      <c r="CO922" s="15" t="s">
        <v>444</v>
      </c>
      <c r="CP922" s="15" t="str">
        <f t="shared" si="1601"/>
        <v>14.66</v>
      </c>
      <c r="CQ922" s="15" t="str">
        <f t="shared" si="1602"/>
        <v>0.415</v>
      </c>
      <c r="CR922" s="15" t="s">
        <v>465</v>
      </c>
      <c r="DB922" s="15" t="s">
        <v>4339</v>
      </c>
      <c r="DC922" s="15" t="str">
        <f>IFERROR(__xludf.DUMMYFUNCTION("""COMPUTED_VALUE"""),"{""value"":36.00,""unit"":""in""}")</f>
        <v>{"value":36.00,"unit":"in"}</v>
      </c>
      <c r="DD922" s="15" t="s">
        <v>1213</v>
      </c>
      <c r="DE922" s="15" t="str">
        <f>IFERROR(__xludf.DUMMYFUNCTION("""COMPUTED_VALUE"""),"{""value"":16.00,""unit"":""in""}")</f>
        <v>{"value":16.00,"unit":"in"}</v>
      </c>
      <c r="DF922" s="15" t="s">
        <v>4339</v>
      </c>
      <c r="DG922" s="15" t="str">
        <f>IFERROR(__xludf.DUMMYFUNCTION("""COMPUTED_VALUE"""),"{""value"":36.00,""unit"":""in""}")</f>
        <v>{"value":36.00,"unit":"in"}</v>
      </c>
      <c r="DI922" s="15">
        <v>0.0</v>
      </c>
      <c r="DK922" s="15" t="s">
        <v>934</v>
      </c>
      <c r="DL922" s="15" t="str">
        <f>IFERROR(__xludf.DUMMYFUNCTION("""COMPUTED_VALUE"""),"Spot clean with water-based or solvent-based cleaner. Use mild detergent or upholstery shampoo.")</f>
        <v>Spot clean with water-based or solvent-based cleaner. Use mild detergent or upholstery shampoo.</v>
      </c>
      <c r="DM922" s="15" t="s">
        <v>935</v>
      </c>
      <c r="DT922" s="15" t="s">
        <v>420</v>
      </c>
      <c r="DU922" s="15" t="s">
        <v>419</v>
      </c>
      <c r="DV922" s="15">
        <v>0.0</v>
      </c>
      <c r="DZ922" s="15">
        <v>50000.0</v>
      </c>
      <c r="EA922" s="15" t="s">
        <v>990</v>
      </c>
      <c r="EB922" s="15" t="s">
        <v>1016</v>
      </c>
      <c r="EC922" s="15" t="s">
        <v>1701</v>
      </c>
      <c r="ED922" s="15">
        <v>1.0</v>
      </c>
      <c r="EE922" s="15">
        <v>1.0</v>
      </c>
      <c r="EF922" s="15" t="s">
        <v>498</v>
      </c>
      <c r="EG922" s="15" t="s">
        <v>499</v>
      </c>
      <c r="EH922" s="15" t="s">
        <v>9230</v>
      </c>
      <c r="EI922" s="15">
        <v>0.0</v>
      </c>
      <c r="EJ922" s="15" t="s">
        <v>726</v>
      </c>
      <c r="EK922" s="15" t="s">
        <v>727</v>
      </c>
      <c r="EM922" s="15" t="str">
        <f>IFERROR(__xludf.DUMMYFUNCTION("""COMPUTED_VALUE"""),"")</f>
        <v/>
      </c>
      <c r="EW922" s="15" t="s">
        <v>1808</v>
      </c>
      <c r="FF922" s="15" t="s">
        <v>1255</v>
      </c>
      <c r="FL922" s="15" t="s">
        <v>426</v>
      </c>
    </row>
    <row r="923" ht="15.75" customHeight="1">
      <c r="A923" s="14" t="s">
        <v>391</v>
      </c>
      <c r="B923" s="15" t="s">
        <v>9311</v>
      </c>
      <c r="C923" s="16"/>
      <c r="D923" s="15" t="s">
        <v>432</v>
      </c>
      <c r="G923" s="14" t="s">
        <v>393</v>
      </c>
      <c r="H923" s="14" t="s">
        <v>394</v>
      </c>
      <c r="I923" s="14" t="b">
        <v>1</v>
      </c>
      <c r="J923" s="14" t="s">
        <v>395</v>
      </c>
      <c r="L923" s="14" t="b">
        <v>0</v>
      </c>
      <c r="M923" s="15" t="s">
        <v>9328</v>
      </c>
      <c r="N923" s="14" t="s">
        <v>393</v>
      </c>
      <c r="O923" s="14" t="s">
        <v>393</v>
      </c>
      <c r="P923" s="15" t="s">
        <v>397</v>
      </c>
      <c r="Q923" s="15" t="s">
        <v>1081</v>
      </c>
      <c r="T923" s="14" t="b">
        <v>0</v>
      </c>
      <c r="U923" s="15" t="s">
        <v>9329</v>
      </c>
      <c r="V923" s="15" t="s">
        <v>9314</v>
      </c>
      <c r="W923" s="15" t="s">
        <v>401</v>
      </c>
      <c r="X923" s="15" t="s">
        <v>695</v>
      </c>
      <c r="Y923" s="15">
        <v>819.0</v>
      </c>
      <c r="AA923" s="15" t="str">
        <f>"315"</f>
        <v>315</v>
      </c>
      <c r="AB923" s="14" t="b">
        <v>1</v>
      </c>
      <c r="AC923" s="14" t="b">
        <v>1</v>
      </c>
      <c r="AD923" s="15" t="str">
        <f>"801542803445"</f>
        <v>801542803445</v>
      </c>
      <c r="AE923" s="15" t="s">
        <v>9330</v>
      </c>
      <c r="AF923" s="14" t="s">
        <v>404</v>
      </c>
      <c r="AG923" s="14" t="s">
        <v>405</v>
      </c>
      <c r="AH923" s="14" t="s">
        <v>406</v>
      </c>
      <c r="AI923" s="15">
        <v>0.0</v>
      </c>
      <c r="AL923" s="15" t="s">
        <v>1830</v>
      </c>
      <c r="AM923" s="15" t="s">
        <v>622</v>
      </c>
      <c r="AN923" s="15" t="s">
        <v>623</v>
      </c>
      <c r="AO923" s="15" t="s">
        <v>622</v>
      </c>
      <c r="AP923" s="15" t="s">
        <v>623</v>
      </c>
      <c r="AQ923" s="15" t="s">
        <v>2039</v>
      </c>
      <c r="AR923" s="15" t="s">
        <v>2040</v>
      </c>
      <c r="AS923" s="15" t="s">
        <v>1317</v>
      </c>
      <c r="AT923" s="15" t="s">
        <v>1081</v>
      </c>
      <c r="AU923" s="15" t="s">
        <v>1087</v>
      </c>
      <c r="AW923" s="15" t="s">
        <v>1009</v>
      </c>
      <c r="AY923" s="15" t="s">
        <v>413</v>
      </c>
      <c r="AZ923" s="15" t="b">
        <v>0</v>
      </c>
      <c r="BA923" s="15" t="s">
        <v>426</v>
      </c>
      <c r="BB923" s="15" t="b">
        <v>1</v>
      </c>
      <c r="BC923" s="15" t="s">
        <v>9331</v>
      </c>
      <c r="BD923" s="15" t="s">
        <v>709</v>
      </c>
      <c r="BE923" s="15" t="str">
        <f t="shared" si="1575"/>
        <v>1</v>
      </c>
      <c r="BF923" s="15" t="s">
        <v>416</v>
      </c>
      <c r="BG923" s="15" t="str">
        <f t="shared" si="1597"/>
        <v>37.4</v>
      </c>
      <c r="BH923" s="15" t="s">
        <v>3175</v>
      </c>
      <c r="BI923" s="15" t="str">
        <f t="shared" si="1598"/>
        <v>37.4</v>
      </c>
      <c r="BJ923" s="15" t="s">
        <v>3175</v>
      </c>
      <c r="BK923" s="15" t="str">
        <f t="shared" si="1599"/>
        <v>18.11</v>
      </c>
      <c r="BL923" s="15" t="s">
        <v>3773</v>
      </c>
      <c r="BM923" s="15" t="str">
        <f t="shared" si="1600"/>
        <v>63.93</v>
      </c>
      <c r="BN923" s="15" t="s">
        <v>2965</v>
      </c>
      <c r="BQ923" s="15" t="s">
        <v>444</v>
      </c>
      <c r="BS923" s="15" t="s">
        <v>444</v>
      </c>
      <c r="BU923" s="15" t="s">
        <v>444</v>
      </c>
      <c r="BW923" s="15" t="s">
        <v>444</v>
      </c>
      <c r="BZ923" s="15" t="s">
        <v>444</v>
      </c>
      <c r="CB923" s="15" t="s">
        <v>444</v>
      </c>
      <c r="CD923" s="15" t="s">
        <v>444</v>
      </c>
      <c r="CF923" s="15" t="s">
        <v>444</v>
      </c>
      <c r="CI923" s="15" t="s">
        <v>444</v>
      </c>
      <c r="CK923" s="15" t="s">
        <v>444</v>
      </c>
      <c r="CM923" s="15" t="s">
        <v>444</v>
      </c>
      <c r="CO923" s="15" t="s">
        <v>444</v>
      </c>
      <c r="CP923" s="15" t="str">
        <f t="shared" si="1601"/>
        <v>14.66</v>
      </c>
      <c r="CQ923" s="15" t="str">
        <f t="shared" si="1602"/>
        <v>0.415</v>
      </c>
      <c r="CR923" s="15" t="s">
        <v>417</v>
      </c>
      <c r="DB923" s="15" t="s">
        <v>4339</v>
      </c>
      <c r="DC923" s="15" t="str">
        <f>IFERROR(__xludf.DUMMYFUNCTION("""COMPUTED_VALUE"""),"{""value"":36.00,""unit"":""in""}")</f>
        <v>{"value":36.00,"unit":"in"}</v>
      </c>
      <c r="DD923" s="15" t="s">
        <v>1213</v>
      </c>
      <c r="DE923" s="15" t="str">
        <f>IFERROR(__xludf.DUMMYFUNCTION("""COMPUTED_VALUE"""),"{""value"":16.00,""unit"":""in""}")</f>
        <v>{"value":16.00,"unit":"in"}</v>
      </c>
      <c r="DF923" s="15" t="s">
        <v>4339</v>
      </c>
      <c r="DG923" s="15" t="str">
        <f>IFERROR(__xludf.DUMMYFUNCTION("""COMPUTED_VALUE"""),"{""value"":36.00,""unit"":""in""}")</f>
        <v>{"value":36.00,"unit":"in"}</v>
      </c>
      <c r="DI923" s="15">
        <v>0.0</v>
      </c>
      <c r="DK923" s="15" t="s">
        <v>855</v>
      </c>
      <c r="DL923" s="15" t="str">
        <f>IFERROR(__xludf.DUMMYFUNCTION("""COMPUTED_VALUE"""),"Clean with solvent-based (dry clean only) products. Do not use water.")</f>
        <v>Clean with solvent-based (dry clean only) products. Do not use water.</v>
      </c>
      <c r="DM923" s="15" t="s">
        <v>856</v>
      </c>
      <c r="DT923" s="15" t="s">
        <v>420</v>
      </c>
      <c r="DU923" s="15" t="s">
        <v>419</v>
      </c>
      <c r="DV923" s="15">
        <v>0.0</v>
      </c>
      <c r="DZ923" s="15">
        <v>25000.0</v>
      </c>
      <c r="EA923" s="15" t="s">
        <v>990</v>
      </c>
      <c r="EB923" s="15" t="s">
        <v>1016</v>
      </c>
      <c r="EC923" s="15" t="s">
        <v>1701</v>
      </c>
      <c r="ED923" s="15">
        <v>1.0</v>
      </c>
      <c r="EE923" s="15">
        <v>1.0</v>
      </c>
      <c r="EF923" s="15" t="s">
        <v>498</v>
      </c>
      <c r="EG923" s="15" t="s">
        <v>499</v>
      </c>
      <c r="EH923" s="15" t="s">
        <v>9230</v>
      </c>
      <c r="EI923" s="15">
        <v>0.0</v>
      </c>
      <c r="EJ923" s="15" t="s">
        <v>726</v>
      </c>
      <c r="EK923" s="15" t="s">
        <v>727</v>
      </c>
      <c r="EM923" s="15" t="str">
        <f>IFERROR(__xludf.DUMMYFUNCTION("""COMPUTED_VALUE"""),"")</f>
        <v/>
      </c>
      <c r="EW923" s="15" t="s">
        <v>1808</v>
      </c>
      <c r="FF923" s="15" t="s">
        <v>1255</v>
      </c>
      <c r="FL923" s="15" t="s">
        <v>426</v>
      </c>
    </row>
    <row r="924" ht="15.75" customHeight="1">
      <c r="A924" s="14" t="s">
        <v>391</v>
      </c>
      <c r="B924" s="15" t="s">
        <v>9311</v>
      </c>
      <c r="C924" s="16"/>
      <c r="D924" s="15" t="s">
        <v>432</v>
      </c>
      <c r="G924" s="14" t="s">
        <v>393</v>
      </c>
      <c r="H924" s="14" t="s">
        <v>394</v>
      </c>
      <c r="I924" s="14" t="b">
        <v>1</v>
      </c>
      <c r="J924" s="14" t="s">
        <v>395</v>
      </c>
      <c r="L924" s="14" t="b">
        <v>0</v>
      </c>
      <c r="M924" s="15" t="s">
        <v>9332</v>
      </c>
      <c r="N924" s="14" t="s">
        <v>393</v>
      </c>
      <c r="O924" s="14" t="s">
        <v>393</v>
      </c>
      <c r="P924" s="15" t="s">
        <v>397</v>
      </c>
      <c r="Q924" s="15" t="s">
        <v>5202</v>
      </c>
      <c r="T924" s="14" t="b">
        <v>0</v>
      </c>
      <c r="U924" s="15" t="s">
        <v>9333</v>
      </c>
      <c r="V924" s="15" t="s">
        <v>9314</v>
      </c>
      <c r="W924" s="15" t="s">
        <v>401</v>
      </c>
      <c r="X924" s="15" t="s">
        <v>695</v>
      </c>
      <c r="Y924" s="15">
        <v>988.0</v>
      </c>
      <c r="AA924" s="15" t="str">
        <f>"380"</f>
        <v>380</v>
      </c>
      <c r="AB924" s="14" t="b">
        <v>1</v>
      </c>
      <c r="AC924" s="14" t="b">
        <v>1</v>
      </c>
      <c r="AD924" s="15" t="str">
        <f>"801542331061"</f>
        <v>801542331061</v>
      </c>
      <c r="AE924" s="15" t="s">
        <v>9334</v>
      </c>
      <c r="AF924" s="14" t="s">
        <v>404</v>
      </c>
      <c r="AG924" s="14" t="s">
        <v>405</v>
      </c>
      <c r="AH924" s="14" t="s">
        <v>406</v>
      </c>
      <c r="AI924" s="15">
        <v>0.0</v>
      </c>
      <c r="AL924" s="15" t="s">
        <v>5205</v>
      </c>
      <c r="AM924" s="15" t="s">
        <v>622</v>
      </c>
      <c r="AN924" s="15" t="s">
        <v>623</v>
      </c>
      <c r="AO924" s="15" t="s">
        <v>622</v>
      </c>
      <c r="AP924" s="15" t="s">
        <v>623</v>
      </c>
      <c r="AQ924" s="15" t="s">
        <v>2039</v>
      </c>
      <c r="AR924" s="15" t="s">
        <v>2040</v>
      </c>
      <c r="AS924" s="15" t="s">
        <v>1317</v>
      </c>
      <c r="AT924" s="15" t="s">
        <v>5202</v>
      </c>
      <c r="AU924" s="15" t="s">
        <v>2801</v>
      </c>
      <c r="AW924" s="15" t="s">
        <v>1009</v>
      </c>
      <c r="AY924" s="15" t="s">
        <v>413</v>
      </c>
      <c r="AZ924" s="15" t="b">
        <v>0</v>
      </c>
      <c r="BA924" s="15" t="s">
        <v>413</v>
      </c>
      <c r="BB924" s="15" t="b">
        <v>0</v>
      </c>
      <c r="BC924" s="15" t="s">
        <v>9335</v>
      </c>
      <c r="BD924" s="15" t="s">
        <v>709</v>
      </c>
      <c r="BE924" s="15" t="str">
        <f t="shared" si="1575"/>
        <v>1</v>
      </c>
      <c r="BF924" s="15" t="s">
        <v>416</v>
      </c>
      <c r="BG924" s="15" t="str">
        <f t="shared" si="1597"/>
        <v>37.4</v>
      </c>
      <c r="BH924" s="15" t="s">
        <v>3175</v>
      </c>
      <c r="BI924" s="15" t="str">
        <f t="shared" si="1598"/>
        <v>37.4</v>
      </c>
      <c r="BJ924" s="15" t="s">
        <v>3175</v>
      </c>
      <c r="BK924" s="15" t="str">
        <f t="shared" si="1599"/>
        <v>18.11</v>
      </c>
      <c r="BL924" s="15" t="s">
        <v>3773</v>
      </c>
      <c r="BM924" s="15" t="str">
        <f t="shared" si="1600"/>
        <v>63.93</v>
      </c>
      <c r="BN924" s="15" t="s">
        <v>2965</v>
      </c>
      <c r="BQ924" s="15" t="s">
        <v>444</v>
      </c>
      <c r="BS924" s="15" t="s">
        <v>444</v>
      </c>
      <c r="BU924" s="15" t="s">
        <v>444</v>
      </c>
      <c r="BW924" s="15" t="s">
        <v>444</v>
      </c>
      <c r="BZ924" s="15" t="s">
        <v>444</v>
      </c>
      <c r="CB924" s="15" t="s">
        <v>444</v>
      </c>
      <c r="CD924" s="15" t="s">
        <v>444</v>
      </c>
      <c r="CF924" s="15" t="s">
        <v>444</v>
      </c>
      <c r="CI924" s="15" t="s">
        <v>444</v>
      </c>
      <c r="CK924" s="15" t="s">
        <v>444</v>
      </c>
      <c r="CM924" s="15" t="s">
        <v>444</v>
      </c>
      <c r="CO924" s="15" t="s">
        <v>444</v>
      </c>
      <c r="CP924" s="15" t="str">
        <f t="shared" si="1601"/>
        <v>14.66</v>
      </c>
      <c r="CQ924" s="15" t="str">
        <f t="shared" si="1602"/>
        <v>0.415</v>
      </c>
      <c r="CR924" s="15" t="s">
        <v>417</v>
      </c>
      <c r="DB924" s="15" t="s">
        <v>4339</v>
      </c>
      <c r="DC924" s="15" t="str">
        <f>IFERROR(__xludf.DUMMYFUNCTION("""COMPUTED_VALUE"""),"{""value"":36.00,""unit"":""in""}")</f>
        <v>{"value":36.00,"unit":"in"}</v>
      </c>
      <c r="DD924" s="15" t="s">
        <v>1213</v>
      </c>
      <c r="DE924" s="15" t="str">
        <f>IFERROR(__xludf.DUMMYFUNCTION("""COMPUTED_VALUE"""),"{""value"":16.00,""unit"":""in""}")</f>
        <v>{"value":16.00,"unit":"in"}</v>
      </c>
      <c r="DF924" s="15" t="s">
        <v>4339</v>
      </c>
      <c r="DG924" s="15" t="str">
        <f>IFERROR(__xludf.DUMMYFUNCTION("""COMPUTED_VALUE"""),"{""value"":36.00,""unit"":""in""}")</f>
        <v>{"value":36.00,"unit":"in"}</v>
      </c>
      <c r="DI924" s="15">
        <v>0.0</v>
      </c>
      <c r="DK924" s="15" t="s">
        <v>855</v>
      </c>
      <c r="DL924" s="15" t="str">
        <f>IFERROR(__xludf.DUMMYFUNCTION("""COMPUTED_VALUE"""),"Clean with solvent-based (dry clean only) products. Do not use water.")</f>
        <v>Clean with solvent-based (dry clean only) products. Do not use water.</v>
      </c>
      <c r="DM924" s="15" t="s">
        <v>856</v>
      </c>
      <c r="DT924" s="15" t="s">
        <v>420</v>
      </c>
      <c r="DU924" s="15" t="s">
        <v>419</v>
      </c>
      <c r="DV924" s="15">
        <v>0.0</v>
      </c>
      <c r="DZ924" s="15">
        <v>15000.0</v>
      </c>
      <c r="EA924" s="15" t="s">
        <v>990</v>
      </c>
      <c r="EB924" s="15" t="s">
        <v>1016</v>
      </c>
      <c r="EC924" s="15" t="s">
        <v>1701</v>
      </c>
      <c r="ED924" s="15">
        <v>1.0</v>
      </c>
      <c r="EE924" s="15">
        <v>1.0</v>
      </c>
      <c r="EF924" s="15" t="s">
        <v>498</v>
      </c>
      <c r="EG924" s="15" t="s">
        <v>499</v>
      </c>
      <c r="EH924" s="15" t="s">
        <v>9230</v>
      </c>
      <c r="EI924" s="15">
        <v>0.0</v>
      </c>
      <c r="EJ924" s="15" t="s">
        <v>726</v>
      </c>
      <c r="EK924" s="15" t="s">
        <v>727</v>
      </c>
      <c r="EM924" s="15" t="str">
        <f>IFERROR(__xludf.DUMMYFUNCTION("""COMPUTED_VALUE"""),"")</f>
        <v/>
      </c>
      <c r="EW924" s="15" t="s">
        <v>1808</v>
      </c>
      <c r="FF924" s="15" t="s">
        <v>1255</v>
      </c>
      <c r="FL924" s="15" t="s">
        <v>426</v>
      </c>
    </row>
    <row r="925" ht="15.75" customHeight="1">
      <c r="A925" s="14" t="s">
        <v>391</v>
      </c>
      <c r="B925" s="15" t="s">
        <v>9311</v>
      </c>
      <c r="C925" s="16"/>
      <c r="D925" s="15" t="s">
        <v>432</v>
      </c>
      <c r="G925" s="14" t="s">
        <v>393</v>
      </c>
      <c r="H925" s="14" t="s">
        <v>394</v>
      </c>
      <c r="I925" s="14" t="b">
        <v>1</v>
      </c>
      <c r="J925" s="14" t="s">
        <v>395</v>
      </c>
      <c r="L925" s="14" t="b">
        <v>0</v>
      </c>
      <c r="M925" s="15" t="s">
        <v>9336</v>
      </c>
      <c r="N925" s="14" t="s">
        <v>393</v>
      </c>
      <c r="O925" s="14" t="s">
        <v>393</v>
      </c>
      <c r="P925" s="15" t="s">
        <v>397</v>
      </c>
      <c r="Q925" s="15" t="s">
        <v>9303</v>
      </c>
      <c r="T925" s="14" t="b">
        <v>0</v>
      </c>
      <c r="U925" s="15" t="s">
        <v>9337</v>
      </c>
      <c r="V925" s="15" t="s">
        <v>9314</v>
      </c>
      <c r="W925" s="15" t="s">
        <v>401</v>
      </c>
      <c r="X925" s="15" t="s">
        <v>695</v>
      </c>
      <c r="Y925" s="15">
        <v>1365.0</v>
      </c>
      <c r="AA925" s="15" t="str">
        <f>"525"</f>
        <v>525</v>
      </c>
      <c r="AB925" s="14" t="b">
        <v>1</v>
      </c>
      <c r="AC925" s="14" t="b">
        <v>1</v>
      </c>
      <c r="AD925" s="15" t="str">
        <f>"801542803452"</f>
        <v>801542803452</v>
      </c>
      <c r="AE925" s="15" t="s">
        <v>9338</v>
      </c>
      <c r="AF925" s="14" t="s">
        <v>404</v>
      </c>
      <c r="AG925" s="14" t="s">
        <v>405</v>
      </c>
      <c r="AH925" s="14" t="s">
        <v>406</v>
      </c>
      <c r="AI925" s="15">
        <v>0.0</v>
      </c>
      <c r="AL925" s="15" t="s">
        <v>975</v>
      </c>
      <c r="AM925" s="15" t="s">
        <v>622</v>
      </c>
      <c r="AN925" s="15" t="s">
        <v>623</v>
      </c>
      <c r="AO925" s="15" t="s">
        <v>622</v>
      </c>
      <c r="AP925" s="15" t="s">
        <v>623</v>
      </c>
      <c r="AQ925" s="15" t="s">
        <v>2039</v>
      </c>
      <c r="AR925" s="15" t="s">
        <v>2040</v>
      </c>
      <c r="AS925" s="15" t="s">
        <v>1317</v>
      </c>
      <c r="AT925" s="15" t="s">
        <v>9303</v>
      </c>
      <c r="AU925" s="15" t="s">
        <v>1087</v>
      </c>
      <c r="AW925" s="15" t="s">
        <v>1009</v>
      </c>
      <c r="AY925" s="15" t="s">
        <v>413</v>
      </c>
      <c r="AZ925" s="15" t="b">
        <v>0</v>
      </c>
      <c r="BA925" s="15" t="s">
        <v>413</v>
      </c>
      <c r="BB925" s="15" t="b">
        <v>0</v>
      </c>
      <c r="BC925" s="15" t="s">
        <v>9339</v>
      </c>
      <c r="BD925" s="15" t="s">
        <v>709</v>
      </c>
      <c r="BE925" s="15" t="str">
        <f t="shared" si="1575"/>
        <v>1</v>
      </c>
      <c r="BF925" s="15" t="s">
        <v>416</v>
      </c>
      <c r="BG925" s="15" t="str">
        <f t="shared" si="1597"/>
        <v>37.4</v>
      </c>
      <c r="BH925" s="15" t="s">
        <v>3175</v>
      </c>
      <c r="BI925" s="15" t="str">
        <f t="shared" si="1598"/>
        <v>37.4</v>
      </c>
      <c r="BJ925" s="15" t="s">
        <v>3175</v>
      </c>
      <c r="BK925" s="15" t="str">
        <f t="shared" si="1599"/>
        <v>18.11</v>
      </c>
      <c r="BL925" s="15" t="s">
        <v>3773</v>
      </c>
      <c r="BM925" s="15" t="str">
        <f t="shared" si="1600"/>
        <v>63.93</v>
      </c>
      <c r="BN925" s="15" t="s">
        <v>2965</v>
      </c>
      <c r="BQ925" s="15" t="s">
        <v>444</v>
      </c>
      <c r="BS925" s="15" t="s">
        <v>444</v>
      </c>
      <c r="BU925" s="15" t="s">
        <v>444</v>
      </c>
      <c r="BW925" s="15" t="s">
        <v>444</v>
      </c>
      <c r="BZ925" s="15" t="s">
        <v>444</v>
      </c>
      <c r="CB925" s="15" t="s">
        <v>444</v>
      </c>
      <c r="CD925" s="15" t="s">
        <v>444</v>
      </c>
      <c r="CF925" s="15" t="s">
        <v>444</v>
      </c>
      <c r="CI925" s="15" t="s">
        <v>444</v>
      </c>
      <c r="CK925" s="15" t="s">
        <v>444</v>
      </c>
      <c r="CM925" s="15" t="s">
        <v>444</v>
      </c>
      <c r="CO925" s="15" t="s">
        <v>444</v>
      </c>
      <c r="CP925" s="15" t="str">
        <f t="shared" si="1601"/>
        <v>14.66</v>
      </c>
      <c r="CQ925" s="15" t="str">
        <f t="shared" si="1602"/>
        <v>0.415</v>
      </c>
      <c r="CR925" s="15" t="s">
        <v>417</v>
      </c>
      <c r="DB925" s="15" t="s">
        <v>4339</v>
      </c>
      <c r="DC925" s="15" t="str">
        <f>IFERROR(__xludf.DUMMYFUNCTION("""COMPUTED_VALUE"""),"{""value"":36.00,""unit"":""in""}")</f>
        <v>{"value":36.00,"unit":"in"}</v>
      </c>
      <c r="DD925" s="15" t="s">
        <v>1213</v>
      </c>
      <c r="DE925" s="15" t="str">
        <f>IFERROR(__xludf.DUMMYFUNCTION("""COMPUTED_VALUE"""),"{""value"":16.00,""unit"":""in""}")</f>
        <v>{"value":16.00,"unit":"in"}</v>
      </c>
      <c r="DF925" s="15" t="s">
        <v>4339</v>
      </c>
      <c r="DG925" s="15" t="str">
        <f>IFERROR(__xludf.DUMMYFUNCTION("""COMPUTED_VALUE"""),"{""value"":36.00,""unit"":""in""}")</f>
        <v>{"value":36.00,"unit":"in"}</v>
      </c>
      <c r="DI925" s="15">
        <v>0.0</v>
      </c>
      <c r="DK925" s="15" t="s">
        <v>718</v>
      </c>
      <c r="DL925" s="15" t="str">
        <f>IFERROR(__xludf.DUMMYFUNCTION("""COMPUTED_VALUE"""),"Vacuum or light brush only. Do not use water or any cleaning products.")</f>
        <v>Vacuum or light brush only. Do not use water or any cleaning products.</v>
      </c>
      <c r="DM925" s="15" t="s">
        <v>719</v>
      </c>
      <c r="DT925" s="15" t="s">
        <v>420</v>
      </c>
      <c r="DU925" s="15" t="s">
        <v>419</v>
      </c>
      <c r="DV925" s="15">
        <v>0.0</v>
      </c>
      <c r="DZ925" s="15">
        <v>0.0</v>
      </c>
      <c r="EA925" s="15" t="s">
        <v>990</v>
      </c>
      <c r="EB925" s="15" t="s">
        <v>1016</v>
      </c>
      <c r="EC925" s="15" t="s">
        <v>1701</v>
      </c>
      <c r="ED925" s="15">
        <v>1.0</v>
      </c>
      <c r="EE925" s="15">
        <v>1.0</v>
      </c>
      <c r="EF925" s="15" t="s">
        <v>498</v>
      </c>
      <c r="EG925" s="15" t="s">
        <v>499</v>
      </c>
      <c r="EH925" s="15" t="s">
        <v>9230</v>
      </c>
      <c r="EI925" s="15">
        <v>0.0</v>
      </c>
      <c r="EJ925" s="15" t="s">
        <v>726</v>
      </c>
      <c r="EK925" s="15" t="s">
        <v>727</v>
      </c>
      <c r="EM925" s="15" t="str">
        <f>IFERROR(__xludf.DUMMYFUNCTION("""COMPUTED_VALUE"""),"")</f>
        <v/>
      </c>
      <c r="EW925" s="15" t="s">
        <v>1808</v>
      </c>
      <c r="FF925" s="15" t="s">
        <v>1255</v>
      </c>
      <c r="FL925" s="15" t="s">
        <v>426</v>
      </c>
    </row>
    <row r="926" ht="15.75" customHeight="1">
      <c r="A926" s="14" t="s">
        <v>391</v>
      </c>
      <c r="B926" s="15" t="s">
        <v>9311</v>
      </c>
      <c r="C926" s="16"/>
      <c r="D926" s="15" t="s">
        <v>432</v>
      </c>
      <c r="G926" s="14" t="s">
        <v>393</v>
      </c>
      <c r="H926" s="14" t="s">
        <v>394</v>
      </c>
      <c r="I926" s="14" t="b">
        <v>1</v>
      </c>
      <c r="J926" s="14" t="s">
        <v>395</v>
      </c>
      <c r="L926" s="14" t="b">
        <v>0</v>
      </c>
      <c r="M926" s="15" t="s">
        <v>9340</v>
      </c>
      <c r="N926" s="14" t="s">
        <v>393</v>
      </c>
      <c r="O926" s="14" t="s">
        <v>393</v>
      </c>
      <c r="P926" s="15" t="s">
        <v>397</v>
      </c>
      <c r="Q926" s="15" t="s">
        <v>1612</v>
      </c>
      <c r="T926" s="14" t="b">
        <v>0</v>
      </c>
      <c r="U926" s="15" t="s">
        <v>9341</v>
      </c>
      <c r="V926" s="15" t="s">
        <v>9314</v>
      </c>
      <c r="W926" s="15" t="s">
        <v>401</v>
      </c>
      <c r="X926" s="15" t="s">
        <v>695</v>
      </c>
      <c r="Y926" s="15">
        <v>884.0</v>
      </c>
      <c r="AA926" s="15" t="str">
        <f>"340"</f>
        <v>340</v>
      </c>
      <c r="AB926" s="14" t="b">
        <v>1</v>
      </c>
      <c r="AC926" s="14" t="b">
        <v>1</v>
      </c>
      <c r="AD926" s="15" t="str">
        <f>"801542331535"</f>
        <v>801542331535</v>
      </c>
      <c r="AE926" s="15" t="s">
        <v>9342</v>
      </c>
      <c r="AF926" s="14" t="s">
        <v>404</v>
      </c>
      <c r="AG926" s="14" t="s">
        <v>405</v>
      </c>
      <c r="AH926" s="14" t="s">
        <v>406</v>
      </c>
      <c r="AI926" s="15">
        <v>0.0</v>
      </c>
      <c r="AL926" s="15" t="s">
        <v>6104</v>
      </c>
      <c r="AM926" s="15" t="s">
        <v>622</v>
      </c>
      <c r="AN926" s="15" t="s">
        <v>623</v>
      </c>
      <c r="AO926" s="15" t="s">
        <v>622</v>
      </c>
      <c r="AP926" s="15" t="s">
        <v>623</v>
      </c>
      <c r="AQ926" s="15" t="s">
        <v>2039</v>
      </c>
      <c r="AR926" s="15" t="s">
        <v>2040</v>
      </c>
      <c r="AS926" s="15" t="s">
        <v>1317</v>
      </c>
      <c r="AT926" s="15" t="s">
        <v>1612</v>
      </c>
      <c r="AU926" s="15" t="s">
        <v>2801</v>
      </c>
      <c r="AW926" s="15" t="s">
        <v>1009</v>
      </c>
      <c r="AY926" s="15" t="s">
        <v>413</v>
      </c>
      <c r="AZ926" s="15" t="b">
        <v>0</v>
      </c>
      <c r="BA926" s="15" t="s">
        <v>413</v>
      </c>
      <c r="BB926" s="15" t="b">
        <v>0</v>
      </c>
      <c r="BC926" s="15" t="s">
        <v>9343</v>
      </c>
      <c r="BD926" s="15" t="s">
        <v>709</v>
      </c>
      <c r="BE926" s="15" t="str">
        <f t="shared" si="1575"/>
        <v>1</v>
      </c>
      <c r="BF926" s="15" t="s">
        <v>416</v>
      </c>
      <c r="BG926" s="15" t="str">
        <f t="shared" si="1597"/>
        <v>37.4</v>
      </c>
      <c r="BH926" s="15" t="s">
        <v>3175</v>
      </c>
      <c r="BI926" s="15" t="str">
        <f t="shared" si="1598"/>
        <v>37.4</v>
      </c>
      <c r="BJ926" s="15" t="s">
        <v>3175</v>
      </c>
      <c r="BK926" s="15" t="str">
        <f t="shared" si="1599"/>
        <v>18.11</v>
      </c>
      <c r="BL926" s="15" t="s">
        <v>3773</v>
      </c>
      <c r="BM926" s="15" t="str">
        <f t="shared" si="1600"/>
        <v>63.93</v>
      </c>
      <c r="BN926" s="15" t="s">
        <v>2965</v>
      </c>
      <c r="BQ926" s="15" t="s">
        <v>444</v>
      </c>
      <c r="BS926" s="15" t="s">
        <v>444</v>
      </c>
      <c r="BU926" s="15" t="s">
        <v>444</v>
      </c>
      <c r="BW926" s="15" t="s">
        <v>444</v>
      </c>
      <c r="BZ926" s="15" t="s">
        <v>444</v>
      </c>
      <c r="CB926" s="15" t="s">
        <v>444</v>
      </c>
      <c r="CD926" s="15" t="s">
        <v>444</v>
      </c>
      <c r="CF926" s="15" t="s">
        <v>444</v>
      </c>
      <c r="CI926" s="15" t="s">
        <v>444</v>
      </c>
      <c r="CK926" s="15" t="s">
        <v>444</v>
      </c>
      <c r="CM926" s="15" t="s">
        <v>444</v>
      </c>
      <c r="CO926" s="15" t="s">
        <v>444</v>
      </c>
      <c r="CP926" s="15" t="str">
        <f t="shared" si="1601"/>
        <v>14.66</v>
      </c>
      <c r="CQ926" s="15" t="str">
        <f t="shared" si="1602"/>
        <v>0.415</v>
      </c>
      <c r="CR926" s="15" t="s">
        <v>417</v>
      </c>
      <c r="DB926" s="15" t="s">
        <v>4339</v>
      </c>
      <c r="DC926" s="15" t="str">
        <f>IFERROR(__xludf.DUMMYFUNCTION("""COMPUTED_VALUE"""),"{""value"":36.00,""unit"":""in""}")</f>
        <v>{"value":36.00,"unit":"in"}</v>
      </c>
      <c r="DD926" s="15" t="s">
        <v>1213</v>
      </c>
      <c r="DE926" s="15" t="str">
        <f>IFERROR(__xludf.DUMMYFUNCTION("""COMPUTED_VALUE"""),"{""value"":16.00,""unit"":""in""}")</f>
        <v>{"value":16.00,"unit":"in"}</v>
      </c>
      <c r="DF926" s="15" t="s">
        <v>4339</v>
      </c>
      <c r="DG926" s="15" t="str">
        <f>IFERROR(__xludf.DUMMYFUNCTION("""COMPUTED_VALUE"""),"{""value"":36.00,""unit"":""in""}")</f>
        <v>{"value":36.00,"unit":"in"}</v>
      </c>
      <c r="DI926" s="15">
        <v>0.0</v>
      </c>
      <c r="DK926" s="15" t="s">
        <v>718</v>
      </c>
      <c r="DL926" s="15" t="str">
        <f>IFERROR(__xludf.DUMMYFUNCTION("""COMPUTED_VALUE"""),"Vacuum or light brush only. Do not use water or any cleaning products.")</f>
        <v>Vacuum or light brush only. Do not use water or any cleaning products.</v>
      </c>
      <c r="DM926" s="15" t="s">
        <v>719</v>
      </c>
      <c r="DT926" s="15" t="s">
        <v>420</v>
      </c>
      <c r="DU926" s="15" t="s">
        <v>419</v>
      </c>
      <c r="DV926" s="15">
        <v>0.0</v>
      </c>
      <c r="DZ926" s="15">
        <v>30000.0</v>
      </c>
      <c r="EA926" s="15" t="s">
        <v>990</v>
      </c>
      <c r="EB926" s="15" t="s">
        <v>1016</v>
      </c>
      <c r="EC926" s="15" t="s">
        <v>1701</v>
      </c>
      <c r="ED926" s="15">
        <v>1.0</v>
      </c>
      <c r="EE926" s="15">
        <v>1.0</v>
      </c>
      <c r="EF926" s="15" t="s">
        <v>498</v>
      </c>
      <c r="EG926" s="15" t="s">
        <v>499</v>
      </c>
      <c r="EH926" s="15" t="s">
        <v>9230</v>
      </c>
      <c r="EI926" s="15">
        <v>0.0</v>
      </c>
      <c r="EJ926" s="15" t="s">
        <v>726</v>
      </c>
      <c r="EK926" s="15" t="s">
        <v>727</v>
      </c>
      <c r="EM926" s="15" t="str">
        <f>IFERROR(__xludf.DUMMYFUNCTION("""COMPUTED_VALUE"""),"")</f>
        <v/>
      </c>
      <c r="EW926" s="15" t="s">
        <v>1808</v>
      </c>
      <c r="FF926" s="15" t="s">
        <v>1255</v>
      </c>
      <c r="FL926" s="15" t="s">
        <v>426</v>
      </c>
    </row>
    <row r="927" ht="15.75" customHeight="1">
      <c r="A927" s="14" t="s">
        <v>391</v>
      </c>
      <c r="B927" s="15" t="s">
        <v>9344</v>
      </c>
      <c r="C927" s="16"/>
      <c r="D927" s="15" t="s">
        <v>432</v>
      </c>
      <c r="G927" s="14" t="s">
        <v>393</v>
      </c>
      <c r="H927" s="14" t="s">
        <v>394</v>
      </c>
      <c r="I927" s="14" t="b">
        <v>1</v>
      </c>
      <c r="J927" s="14" t="s">
        <v>395</v>
      </c>
      <c r="L927" s="14" t="b">
        <v>0</v>
      </c>
      <c r="M927" s="15" t="s">
        <v>9345</v>
      </c>
      <c r="N927" s="14" t="s">
        <v>393</v>
      </c>
      <c r="O927" s="14" t="s">
        <v>393</v>
      </c>
      <c r="P927" s="15" t="s">
        <v>397</v>
      </c>
      <c r="Q927" s="15" t="s">
        <v>4941</v>
      </c>
      <c r="T927" s="14" t="b">
        <v>0</v>
      </c>
      <c r="U927" s="15" t="s">
        <v>9346</v>
      </c>
      <c r="V927" s="15" t="s">
        <v>9347</v>
      </c>
      <c r="W927" s="15" t="s">
        <v>401</v>
      </c>
      <c r="X927" s="15" t="s">
        <v>1296</v>
      </c>
      <c r="Y927" s="15">
        <v>273.0</v>
      </c>
      <c r="AA927" s="15" t="str">
        <f>"105"</f>
        <v>105</v>
      </c>
      <c r="AB927" s="14" t="b">
        <v>1</v>
      </c>
      <c r="AC927" s="14" t="b">
        <v>1</v>
      </c>
      <c r="AD927" s="15" t="str">
        <f>"801542243159"</f>
        <v>801542243159</v>
      </c>
      <c r="AE927" s="15" t="s">
        <v>9348</v>
      </c>
      <c r="AF927" s="14" t="s">
        <v>404</v>
      </c>
      <c r="AG927" s="14" t="s">
        <v>405</v>
      </c>
      <c r="AH927" s="14" t="s">
        <v>406</v>
      </c>
      <c r="AI927" s="15">
        <v>0.0</v>
      </c>
      <c r="AL927" s="15" t="s">
        <v>9349</v>
      </c>
      <c r="AM927" s="15" t="s">
        <v>9350</v>
      </c>
      <c r="AN927" s="15" t="s">
        <v>4428</v>
      </c>
      <c r="AO927" s="15" t="s">
        <v>9350</v>
      </c>
      <c r="AP927" s="15" t="s">
        <v>4428</v>
      </c>
      <c r="AQ927" s="15" t="s">
        <v>409</v>
      </c>
      <c r="AR927" s="15" t="s">
        <v>438</v>
      </c>
      <c r="AS927" s="15" t="s">
        <v>2857</v>
      </c>
      <c r="AT927" s="15" t="s">
        <v>4941</v>
      </c>
      <c r="AU927" s="15" t="s">
        <v>4336</v>
      </c>
      <c r="AV927" s="15" t="s">
        <v>9351</v>
      </c>
      <c r="AW927" s="15" t="s">
        <v>1154</v>
      </c>
      <c r="AY927" s="15" t="s">
        <v>413</v>
      </c>
      <c r="AZ927" s="15" t="b">
        <v>0</v>
      </c>
      <c r="BA927" s="15" t="s">
        <v>413</v>
      </c>
      <c r="BB927" s="15" t="b">
        <v>0</v>
      </c>
      <c r="BC927" s="15" t="s">
        <v>9352</v>
      </c>
      <c r="BD927" s="15" t="s">
        <v>1303</v>
      </c>
      <c r="BE927" s="15" t="str">
        <f t="shared" si="1575"/>
        <v>1</v>
      </c>
      <c r="BF927" s="15" t="s">
        <v>416</v>
      </c>
      <c r="BG927" s="15" t="str">
        <f>"13.27"</f>
        <v>13.27</v>
      </c>
      <c r="BH927" s="15" t="s">
        <v>9353</v>
      </c>
      <c r="BI927" s="15" t="str">
        <f>"9.02"</f>
        <v>9.02</v>
      </c>
      <c r="BJ927" s="15" t="s">
        <v>9354</v>
      </c>
      <c r="BK927" s="15" t="str">
        <f>"21.5"</f>
        <v>21.5</v>
      </c>
      <c r="BL927" s="15" t="s">
        <v>748</v>
      </c>
      <c r="BM927" s="15" t="str">
        <f>"26.46"</f>
        <v>26.46</v>
      </c>
      <c r="BN927" s="15" t="s">
        <v>9355</v>
      </c>
      <c r="BQ927" s="15" t="s">
        <v>444</v>
      </c>
      <c r="BS927" s="15" t="s">
        <v>444</v>
      </c>
      <c r="BU927" s="15" t="s">
        <v>444</v>
      </c>
      <c r="BW927" s="15" t="s">
        <v>444</v>
      </c>
      <c r="BZ927" s="15" t="s">
        <v>444</v>
      </c>
      <c r="CB927" s="15" t="s">
        <v>444</v>
      </c>
      <c r="CD927" s="15" t="s">
        <v>444</v>
      </c>
      <c r="CF927" s="15" t="s">
        <v>444</v>
      </c>
      <c r="CI927" s="15" t="s">
        <v>444</v>
      </c>
      <c r="CK927" s="15" t="s">
        <v>444</v>
      </c>
      <c r="CM927" s="15" t="s">
        <v>444</v>
      </c>
      <c r="CO927" s="15" t="s">
        <v>444</v>
      </c>
      <c r="CP927" s="15" t="str">
        <f>"1.48"</f>
        <v>1.48</v>
      </c>
      <c r="CQ927" s="15" t="str">
        <f>"0.042"</f>
        <v>0.042</v>
      </c>
      <c r="CR927" s="15" t="s">
        <v>465</v>
      </c>
      <c r="DC927" s="15" t="str">
        <f>IFERROR(__xludf.DUMMYFUNCTION("""COMPUTED_VALUE"""),"")</f>
        <v/>
      </c>
      <c r="DE927" s="15" t="str">
        <f>IFERROR(__xludf.DUMMYFUNCTION("""COMPUTED_VALUE"""),"")</f>
        <v/>
      </c>
      <c r="DG927" s="15" t="str">
        <f>IFERROR(__xludf.DUMMYFUNCTION("""COMPUTED_VALUE"""),"")</f>
        <v/>
      </c>
      <c r="DL927" s="15" t="str">
        <f>IFERROR(__xludf.DUMMYFUNCTION("""COMPUTED_VALUE"""),"")</f>
        <v/>
      </c>
      <c r="DM927" s="15" t="s">
        <v>444</v>
      </c>
      <c r="DN927" s="15" t="s">
        <v>419</v>
      </c>
      <c r="DO927" s="15">
        <v>0.0</v>
      </c>
      <c r="DP927" s="15" t="s">
        <v>419</v>
      </c>
      <c r="DR927" s="15">
        <v>0.0</v>
      </c>
      <c r="DU927" s="15" t="s">
        <v>318</v>
      </c>
      <c r="DY927" s="15">
        <v>0.0</v>
      </c>
      <c r="EF927" s="15" t="s">
        <v>498</v>
      </c>
      <c r="EG927" s="15" t="s">
        <v>499</v>
      </c>
      <c r="EH927" s="15" t="s">
        <v>9356</v>
      </c>
      <c r="EJ927" s="15" t="s">
        <v>500</v>
      </c>
      <c r="EK927" s="15" t="s">
        <v>501</v>
      </c>
      <c r="EM927" s="15" t="str">
        <f>IFERROR(__xludf.DUMMYFUNCTION("""COMPUTED_VALUE"""),"")</f>
        <v/>
      </c>
      <c r="FH927" s="15" t="s">
        <v>429</v>
      </c>
      <c r="FI927" s="15" t="s">
        <v>429</v>
      </c>
      <c r="FJ927" s="15" t="s">
        <v>429</v>
      </c>
      <c r="FK927" s="15" t="s">
        <v>2638</v>
      </c>
      <c r="FM927" s="15">
        <v>0.0</v>
      </c>
      <c r="FN927" s="15">
        <v>0.0</v>
      </c>
      <c r="FW927" s="15" t="s">
        <v>1807</v>
      </c>
      <c r="LG927" s="15" t="s">
        <v>426</v>
      </c>
      <c r="NN927" s="15" t="s">
        <v>1806</v>
      </c>
      <c r="NO927" s="15" t="s">
        <v>1324</v>
      </c>
    </row>
    <row r="928" ht="15.75" customHeight="1">
      <c r="A928" s="14" t="s">
        <v>391</v>
      </c>
      <c r="B928" s="15" t="s">
        <v>9357</v>
      </c>
      <c r="C928" s="16"/>
      <c r="D928" s="15" t="s">
        <v>432</v>
      </c>
      <c r="G928" s="14" t="s">
        <v>393</v>
      </c>
      <c r="H928" s="14" t="s">
        <v>394</v>
      </c>
      <c r="I928" s="14" t="b">
        <v>1</v>
      </c>
      <c r="J928" s="14" t="s">
        <v>395</v>
      </c>
      <c r="L928" s="14" t="b">
        <v>0</v>
      </c>
      <c r="M928" s="15" t="s">
        <v>9358</v>
      </c>
      <c r="N928" s="14" t="s">
        <v>393</v>
      </c>
      <c r="O928" s="14" t="s">
        <v>393</v>
      </c>
      <c r="P928" s="15" t="s">
        <v>397</v>
      </c>
      <c r="Q928" s="15" t="s">
        <v>4941</v>
      </c>
      <c r="T928" s="14" t="b">
        <v>0</v>
      </c>
      <c r="U928" s="15" t="s">
        <v>9359</v>
      </c>
      <c r="V928" s="15" t="s">
        <v>4389</v>
      </c>
      <c r="W928" s="15" t="s">
        <v>401</v>
      </c>
      <c r="X928" s="15" t="s">
        <v>695</v>
      </c>
      <c r="Y928" s="15">
        <v>1534.0</v>
      </c>
      <c r="AA928" s="15" t="str">
        <f>"590"</f>
        <v>590</v>
      </c>
      <c r="AB928" s="14" t="b">
        <v>1</v>
      </c>
      <c r="AC928" s="14" t="b">
        <v>1</v>
      </c>
      <c r="AD928" s="15" t="str">
        <f>"801542103736"</f>
        <v>801542103736</v>
      </c>
      <c r="AE928" s="15" t="s">
        <v>9360</v>
      </c>
      <c r="AF928" s="14" t="s">
        <v>404</v>
      </c>
      <c r="AG928" s="14" t="s">
        <v>405</v>
      </c>
      <c r="AH928" s="14" t="s">
        <v>406</v>
      </c>
      <c r="AI928" s="15">
        <v>0.0</v>
      </c>
      <c r="AL928" s="15" t="s">
        <v>9361</v>
      </c>
      <c r="AM928" s="15" t="s">
        <v>1561</v>
      </c>
      <c r="AN928" s="15" t="s">
        <v>1562</v>
      </c>
      <c r="AO928" s="15" t="s">
        <v>1561</v>
      </c>
      <c r="AP928" s="15" t="s">
        <v>1562</v>
      </c>
      <c r="AQ928" s="15" t="s">
        <v>1561</v>
      </c>
      <c r="AR928" s="15" t="s">
        <v>1562</v>
      </c>
      <c r="AS928" s="15" t="s">
        <v>3185</v>
      </c>
      <c r="AT928" s="15" t="s">
        <v>4941</v>
      </c>
      <c r="AU928" s="15" t="s">
        <v>9362</v>
      </c>
      <c r="AV928" s="15" t="s">
        <v>4934</v>
      </c>
      <c r="AW928" s="15" t="s">
        <v>1154</v>
      </c>
      <c r="AY928" s="15" t="s">
        <v>413</v>
      </c>
      <c r="AZ928" s="15" t="b">
        <v>0</v>
      </c>
      <c r="BA928" s="15" t="s">
        <v>413</v>
      </c>
      <c r="BB928" s="15" t="b">
        <v>0</v>
      </c>
      <c r="BD928" s="15" t="s">
        <v>709</v>
      </c>
      <c r="BE928" s="15" t="str">
        <f t="shared" si="1575"/>
        <v>1</v>
      </c>
      <c r="BF928" s="15" t="s">
        <v>416</v>
      </c>
      <c r="BG928" s="15" t="str">
        <f>"27.76"</f>
        <v>27.76</v>
      </c>
      <c r="BH928" s="15" t="s">
        <v>6424</v>
      </c>
      <c r="BI928" s="15" t="str">
        <f>"27.76"</f>
        <v>27.76</v>
      </c>
      <c r="BJ928" s="15" t="s">
        <v>6424</v>
      </c>
      <c r="BK928" s="15" t="str">
        <f>"28.35"</f>
        <v>28.35</v>
      </c>
      <c r="BL928" s="15" t="s">
        <v>924</v>
      </c>
      <c r="BM928" s="15" t="str">
        <f>"70.55"</f>
        <v>70.55</v>
      </c>
      <c r="BN928" s="15" t="s">
        <v>845</v>
      </c>
      <c r="BQ928" s="15" t="s">
        <v>444</v>
      </c>
      <c r="BS928" s="15" t="s">
        <v>444</v>
      </c>
      <c r="BU928" s="15" t="s">
        <v>444</v>
      </c>
      <c r="BW928" s="15" t="s">
        <v>444</v>
      </c>
      <c r="BZ928" s="15" t="s">
        <v>444</v>
      </c>
      <c r="CB928" s="15" t="s">
        <v>444</v>
      </c>
      <c r="CD928" s="15" t="s">
        <v>444</v>
      </c>
      <c r="CF928" s="15" t="s">
        <v>444</v>
      </c>
      <c r="CI928" s="15" t="s">
        <v>444</v>
      </c>
      <c r="CK928" s="15" t="s">
        <v>444</v>
      </c>
      <c r="CM928" s="15" t="s">
        <v>444</v>
      </c>
      <c r="CO928" s="15" t="s">
        <v>444</v>
      </c>
      <c r="CP928" s="15" t="str">
        <f>"12.64"</f>
        <v>12.64</v>
      </c>
      <c r="CQ928" s="15" t="str">
        <f>"0.358"</f>
        <v>0.358</v>
      </c>
      <c r="CR928" s="15" t="s">
        <v>497</v>
      </c>
      <c r="DC928" s="15" t="str">
        <f>IFERROR(__xludf.DUMMYFUNCTION("""COMPUTED_VALUE"""),"")</f>
        <v/>
      </c>
      <c r="DE928" s="15" t="str">
        <f>IFERROR(__xludf.DUMMYFUNCTION("""COMPUTED_VALUE"""),"")</f>
        <v/>
      </c>
      <c r="DG928" s="15" t="str">
        <f>IFERROR(__xludf.DUMMYFUNCTION("""COMPUTED_VALUE"""),"")</f>
        <v/>
      </c>
      <c r="DL928" s="15" t="str">
        <f>IFERROR(__xludf.DUMMYFUNCTION("""COMPUTED_VALUE"""),"")</f>
        <v/>
      </c>
      <c r="DM928" s="15" t="s">
        <v>444</v>
      </c>
      <c r="DN928" s="15" t="s">
        <v>419</v>
      </c>
      <c r="DO928" s="15">
        <v>0.0</v>
      </c>
      <c r="DP928" s="15" t="s">
        <v>419</v>
      </c>
      <c r="DR928" s="15">
        <v>0.0</v>
      </c>
      <c r="DT928" s="15" t="s">
        <v>1186</v>
      </c>
      <c r="DU928" s="15" t="s">
        <v>419</v>
      </c>
      <c r="DY928" s="15">
        <v>0.0</v>
      </c>
      <c r="EF928" s="15" t="s">
        <v>1157</v>
      </c>
      <c r="EG928" s="15" t="s">
        <v>1158</v>
      </c>
      <c r="EH928" s="15" t="s">
        <v>9363</v>
      </c>
      <c r="EJ928" s="15" t="s">
        <v>500</v>
      </c>
      <c r="EK928" s="15" t="s">
        <v>501</v>
      </c>
      <c r="EM928" s="15" t="str">
        <f>IFERROR(__xludf.DUMMYFUNCTION("""COMPUTED_VALUE"""),"")</f>
        <v/>
      </c>
      <c r="EW928" s="15" t="s">
        <v>6717</v>
      </c>
      <c r="FH928" s="15" t="s">
        <v>2473</v>
      </c>
      <c r="FI928" s="15" t="s">
        <v>6717</v>
      </c>
      <c r="FJ928" s="15" t="s">
        <v>2473</v>
      </c>
      <c r="FK928" s="15" t="s">
        <v>3164</v>
      </c>
      <c r="FL928" s="15" t="s">
        <v>426</v>
      </c>
      <c r="FM928" s="15">
        <v>0.0</v>
      </c>
      <c r="FN928" s="15">
        <v>0.0</v>
      </c>
      <c r="FW928" s="15" t="s">
        <v>5481</v>
      </c>
    </row>
    <row r="929" ht="15.75" customHeight="1">
      <c r="A929" s="14" t="s">
        <v>391</v>
      </c>
      <c r="B929" s="15" t="s">
        <v>9364</v>
      </c>
      <c r="C929" s="16"/>
      <c r="D929" s="15" t="s">
        <v>432</v>
      </c>
      <c r="G929" s="14" t="s">
        <v>393</v>
      </c>
      <c r="H929" s="14" t="s">
        <v>394</v>
      </c>
      <c r="I929" s="14" t="b">
        <v>1</v>
      </c>
      <c r="J929" s="14" t="s">
        <v>395</v>
      </c>
      <c r="L929" s="14" t="b">
        <v>0</v>
      </c>
      <c r="M929" s="15" t="s">
        <v>9365</v>
      </c>
      <c r="N929" s="14" t="s">
        <v>393</v>
      </c>
      <c r="O929" s="14" t="s">
        <v>393</v>
      </c>
      <c r="P929" s="15" t="s">
        <v>397</v>
      </c>
      <c r="Q929" s="15" t="s">
        <v>4941</v>
      </c>
      <c r="T929" s="14" t="b">
        <v>0</v>
      </c>
      <c r="U929" s="15" t="s">
        <v>9366</v>
      </c>
      <c r="V929" s="15" t="s">
        <v>4540</v>
      </c>
      <c r="W929" s="15" t="s">
        <v>401</v>
      </c>
      <c r="X929" s="15" t="s">
        <v>695</v>
      </c>
      <c r="Y929" s="15">
        <v>2847.0</v>
      </c>
      <c r="AA929" s="15" t="str">
        <f>"1095"</f>
        <v>1095</v>
      </c>
      <c r="AB929" s="14" t="b">
        <v>1</v>
      </c>
      <c r="AC929" s="14" t="b">
        <v>1</v>
      </c>
      <c r="AD929" s="15" t="str">
        <f>"801542051778"</f>
        <v>801542051778</v>
      </c>
      <c r="AE929" s="15" t="s">
        <v>9367</v>
      </c>
      <c r="AF929" s="14" t="s">
        <v>404</v>
      </c>
      <c r="AG929" s="14" t="s">
        <v>405</v>
      </c>
      <c r="AH929" s="14" t="s">
        <v>406</v>
      </c>
      <c r="AI929" s="15">
        <v>0.0</v>
      </c>
      <c r="AL929" s="15" t="s">
        <v>9361</v>
      </c>
      <c r="AM929" s="15" t="s">
        <v>2557</v>
      </c>
      <c r="AN929" s="15" t="s">
        <v>2558</v>
      </c>
      <c r="AO929" s="15" t="s">
        <v>2557</v>
      </c>
      <c r="AP929" s="15" t="s">
        <v>2558</v>
      </c>
      <c r="AQ929" s="15" t="s">
        <v>2039</v>
      </c>
      <c r="AR929" s="15" t="s">
        <v>2040</v>
      </c>
      <c r="AS929" s="15" t="s">
        <v>3185</v>
      </c>
      <c r="AT929" s="15" t="s">
        <v>4941</v>
      </c>
      <c r="AU929" s="15" t="s">
        <v>9362</v>
      </c>
      <c r="AV929" s="15" t="s">
        <v>4934</v>
      </c>
      <c r="AW929" s="15" t="s">
        <v>491</v>
      </c>
      <c r="AY929" s="15" t="s">
        <v>413</v>
      </c>
      <c r="AZ929" s="15" t="b">
        <v>0</v>
      </c>
      <c r="BA929" s="15" t="s">
        <v>413</v>
      </c>
      <c r="BB929" s="15" t="b">
        <v>0</v>
      </c>
      <c r="BC929" s="15" t="s">
        <v>9368</v>
      </c>
      <c r="BD929" s="15" t="s">
        <v>709</v>
      </c>
      <c r="BE929" s="15" t="str">
        <f t="shared" ref="BE929:BE931" si="1603">"2"</f>
        <v>2</v>
      </c>
      <c r="BF929" s="15" t="s">
        <v>1564</v>
      </c>
      <c r="BG929" s="15" t="str">
        <f>"47.83"</f>
        <v>47.83</v>
      </c>
      <c r="BH929" s="15" t="s">
        <v>7074</v>
      </c>
      <c r="BI929" s="15" t="str">
        <f t="shared" ref="BI929:BI931" si="1604">"8.46"</f>
        <v>8.46</v>
      </c>
      <c r="BJ929" s="15" t="s">
        <v>7847</v>
      </c>
      <c r="BK929" s="15" t="str">
        <f>"47.83"</f>
        <v>47.83</v>
      </c>
      <c r="BL929" s="15" t="s">
        <v>7074</v>
      </c>
      <c r="BM929" s="15" t="str">
        <f>"180.78"</f>
        <v>180.78</v>
      </c>
      <c r="BN929" s="15" t="s">
        <v>6658</v>
      </c>
      <c r="BO929" s="15" t="s">
        <v>2238</v>
      </c>
      <c r="BP929" s="15" t="str">
        <f>"20.08"</f>
        <v>20.08</v>
      </c>
      <c r="BQ929" s="15" t="s">
        <v>4825</v>
      </c>
      <c r="BR929" s="15" t="str">
        <f>"20.47"</f>
        <v>20.47</v>
      </c>
      <c r="BS929" s="15" t="s">
        <v>818</v>
      </c>
      <c r="BT929" s="15" t="str">
        <f>"17.32"</f>
        <v>17.32</v>
      </c>
      <c r="BU929" s="15" t="s">
        <v>2776</v>
      </c>
      <c r="BV929" s="15" t="str">
        <f>"48.5"</f>
        <v>48.5</v>
      </c>
      <c r="BW929" s="15" t="s">
        <v>3578</v>
      </c>
      <c r="BZ929" s="15" t="s">
        <v>444</v>
      </c>
      <c r="CB929" s="15" t="s">
        <v>444</v>
      </c>
      <c r="CD929" s="15" t="s">
        <v>444</v>
      </c>
      <c r="CF929" s="15" t="s">
        <v>444</v>
      </c>
      <c r="CI929" s="15" t="s">
        <v>444</v>
      </c>
      <c r="CK929" s="15" t="s">
        <v>444</v>
      </c>
      <c r="CM929" s="15" t="s">
        <v>444</v>
      </c>
      <c r="CO929" s="15" t="s">
        <v>444</v>
      </c>
      <c r="CP929" s="15" t="str">
        <f>"15.33"</f>
        <v>15.33</v>
      </c>
      <c r="CQ929" s="15" t="str">
        <f>"0.434"</f>
        <v>0.434</v>
      </c>
      <c r="CR929" s="15" t="s">
        <v>465</v>
      </c>
      <c r="DC929" s="15" t="str">
        <f>IFERROR(__xludf.DUMMYFUNCTION("""COMPUTED_VALUE"""),"")</f>
        <v/>
      </c>
      <c r="DE929" s="15" t="str">
        <f>IFERROR(__xludf.DUMMYFUNCTION("""COMPUTED_VALUE"""),"")</f>
        <v/>
      </c>
      <c r="DG929" s="15" t="str">
        <f>IFERROR(__xludf.DUMMYFUNCTION("""COMPUTED_VALUE"""),"")</f>
        <v/>
      </c>
      <c r="DL929" s="15" t="str">
        <f>IFERROR(__xludf.DUMMYFUNCTION("""COMPUTED_VALUE"""),"")</f>
        <v/>
      </c>
      <c r="DM929" s="15" t="s">
        <v>444</v>
      </c>
      <c r="DN929" s="15" t="s">
        <v>419</v>
      </c>
      <c r="DO929" s="15">
        <v>0.0</v>
      </c>
      <c r="DP929" s="15" t="s">
        <v>419</v>
      </c>
      <c r="DR929" s="15">
        <v>0.0</v>
      </c>
      <c r="DT929" s="15" t="s">
        <v>1186</v>
      </c>
      <c r="DU929" s="15" t="s">
        <v>419</v>
      </c>
      <c r="DY929" s="15">
        <v>0.0</v>
      </c>
      <c r="EF929" s="15" t="s">
        <v>1157</v>
      </c>
      <c r="EG929" s="15" t="s">
        <v>1158</v>
      </c>
      <c r="EH929" s="15" t="s">
        <v>9363</v>
      </c>
      <c r="EJ929" s="15" t="s">
        <v>500</v>
      </c>
      <c r="EK929" s="15" t="s">
        <v>501</v>
      </c>
      <c r="EM929" s="15" t="str">
        <f>IFERROR(__xludf.DUMMYFUNCTION("""COMPUTED_VALUE"""),"")</f>
        <v/>
      </c>
      <c r="EW929" s="15" t="s">
        <v>2161</v>
      </c>
      <c r="FH929" s="15" t="s">
        <v>1604</v>
      </c>
      <c r="FI929" s="15" t="s">
        <v>2161</v>
      </c>
      <c r="FJ929" s="15" t="s">
        <v>1604</v>
      </c>
      <c r="FK929" s="15" t="s">
        <v>3164</v>
      </c>
      <c r="FL929" s="15" t="s">
        <v>426</v>
      </c>
      <c r="FM929" s="15">
        <v>0.0</v>
      </c>
      <c r="FN929" s="15">
        <v>0.0</v>
      </c>
      <c r="FW929" s="15" t="s">
        <v>9369</v>
      </c>
    </row>
    <row r="930" ht="15.75" customHeight="1">
      <c r="A930" s="14" t="s">
        <v>391</v>
      </c>
      <c r="B930" s="15" t="s">
        <v>9370</v>
      </c>
      <c r="C930" s="16"/>
      <c r="D930" s="15" t="s">
        <v>432</v>
      </c>
      <c r="G930" s="14" t="s">
        <v>393</v>
      </c>
      <c r="H930" s="14" t="s">
        <v>394</v>
      </c>
      <c r="I930" s="14" t="b">
        <v>1</v>
      </c>
      <c r="J930" s="14" t="s">
        <v>395</v>
      </c>
      <c r="L930" s="14" t="b">
        <v>0</v>
      </c>
      <c r="M930" s="15" t="s">
        <v>9371</v>
      </c>
      <c r="N930" s="14" t="s">
        <v>393</v>
      </c>
      <c r="O930" s="14" t="s">
        <v>393</v>
      </c>
      <c r="P930" s="15" t="s">
        <v>397</v>
      </c>
      <c r="Q930" s="15" t="s">
        <v>4941</v>
      </c>
      <c r="R930" s="15" t="s">
        <v>265</v>
      </c>
      <c r="S930" s="15" t="s">
        <v>487</v>
      </c>
      <c r="T930" s="14" t="b">
        <v>0</v>
      </c>
      <c r="U930" s="15" t="s">
        <v>9372</v>
      </c>
      <c r="V930" s="15" t="s">
        <v>8194</v>
      </c>
      <c r="W930" s="15" t="s">
        <v>401</v>
      </c>
      <c r="X930" s="15" t="s">
        <v>695</v>
      </c>
      <c r="Y930" s="15">
        <v>4043.0</v>
      </c>
      <c r="AA930" s="15" t="str">
        <f>"1555"</f>
        <v>1555</v>
      </c>
      <c r="AB930" s="14" t="b">
        <v>1</v>
      </c>
      <c r="AC930" s="14" t="b">
        <v>1</v>
      </c>
      <c r="AD930" s="15" t="str">
        <f>"801542694159"</f>
        <v>801542694159</v>
      </c>
      <c r="AE930" s="15" t="s">
        <v>9373</v>
      </c>
      <c r="AF930" s="14" t="s">
        <v>404</v>
      </c>
      <c r="AG930" s="14" t="s">
        <v>405</v>
      </c>
      <c r="AH930" s="14" t="s">
        <v>406</v>
      </c>
      <c r="AI930" s="15">
        <v>0.0</v>
      </c>
      <c r="AL930" s="15" t="s">
        <v>5153</v>
      </c>
      <c r="AM930" s="15" t="s">
        <v>487</v>
      </c>
      <c r="AN930" s="15" t="s">
        <v>488</v>
      </c>
      <c r="AO930" s="15" t="s">
        <v>487</v>
      </c>
      <c r="AP930" s="15" t="s">
        <v>488</v>
      </c>
      <c r="AQ930" s="15" t="s">
        <v>546</v>
      </c>
      <c r="AR930" s="15" t="s">
        <v>547</v>
      </c>
      <c r="AS930" s="15" t="s">
        <v>3185</v>
      </c>
      <c r="AT930" s="15" t="s">
        <v>4941</v>
      </c>
      <c r="AU930" s="15" t="s">
        <v>4934</v>
      </c>
      <c r="AW930" s="15" t="s">
        <v>548</v>
      </c>
      <c r="AX930" s="15" t="s">
        <v>549</v>
      </c>
      <c r="AY930" s="15" t="s">
        <v>413</v>
      </c>
      <c r="AZ930" s="15" t="b">
        <v>0</v>
      </c>
      <c r="BA930" s="15" t="s">
        <v>413</v>
      </c>
      <c r="BB930" s="15" t="b">
        <v>0</v>
      </c>
      <c r="BC930" s="15" t="s">
        <v>9374</v>
      </c>
      <c r="BD930" s="15" t="s">
        <v>709</v>
      </c>
      <c r="BE930" s="15" t="str">
        <f t="shared" si="1603"/>
        <v>2</v>
      </c>
      <c r="BF930" s="15" t="s">
        <v>1564</v>
      </c>
      <c r="BG930" s="15" t="str">
        <f>"60.43"</f>
        <v>60.43</v>
      </c>
      <c r="BH930" s="15" t="s">
        <v>9375</v>
      </c>
      <c r="BI930" s="15" t="str">
        <f t="shared" si="1604"/>
        <v>8.46</v>
      </c>
      <c r="BJ930" s="15" t="s">
        <v>7847</v>
      </c>
      <c r="BK930" s="15" t="str">
        <f>"60.43"</f>
        <v>60.43</v>
      </c>
      <c r="BL930" s="15" t="s">
        <v>9375</v>
      </c>
      <c r="BM930" s="15" t="str">
        <f>"297.62"</f>
        <v>297.62</v>
      </c>
      <c r="BN930" s="15" t="s">
        <v>2267</v>
      </c>
      <c r="BO930" s="15" t="s">
        <v>2238</v>
      </c>
      <c r="BP930" s="15" t="str">
        <f>"27.17"</f>
        <v>27.17</v>
      </c>
      <c r="BQ930" s="15" t="s">
        <v>1478</v>
      </c>
      <c r="BR930" s="15" t="str">
        <f>"27.17"</f>
        <v>27.17</v>
      </c>
      <c r="BS930" s="15" t="s">
        <v>1478</v>
      </c>
      <c r="BT930" s="15" t="str">
        <f>"30.71"</f>
        <v>30.71</v>
      </c>
      <c r="BU930" s="15" t="s">
        <v>1281</v>
      </c>
      <c r="BV930" s="15" t="str">
        <f>"88.18"</f>
        <v>88.18</v>
      </c>
      <c r="BW930" s="15" t="s">
        <v>5169</v>
      </c>
      <c r="BZ930" s="15" t="s">
        <v>444</v>
      </c>
      <c r="CB930" s="15" t="s">
        <v>444</v>
      </c>
      <c r="CD930" s="15" t="s">
        <v>444</v>
      </c>
      <c r="CF930" s="15" t="s">
        <v>444</v>
      </c>
      <c r="CI930" s="15" t="s">
        <v>444</v>
      </c>
      <c r="CK930" s="15" t="s">
        <v>444</v>
      </c>
      <c r="CM930" s="15" t="s">
        <v>444</v>
      </c>
      <c r="CO930" s="15" t="s">
        <v>444</v>
      </c>
      <c r="CP930" s="15" t="str">
        <f>"31.01"</f>
        <v>31.01</v>
      </c>
      <c r="CQ930" s="15" t="str">
        <f>"0.878"</f>
        <v>0.878</v>
      </c>
      <c r="CR930" s="15" t="s">
        <v>465</v>
      </c>
      <c r="DC930" s="15" t="str">
        <f>IFERROR(__xludf.DUMMYFUNCTION("""COMPUTED_VALUE"""),"")</f>
        <v/>
      </c>
      <c r="DE930" s="15" t="str">
        <f>IFERROR(__xludf.DUMMYFUNCTION("""COMPUTED_VALUE"""),"")</f>
        <v/>
      </c>
      <c r="DG930" s="15" t="str">
        <f>IFERROR(__xludf.DUMMYFUNCTION("""COMPUTED_VALUE"""),"")</f>
        <v/>
      </c>
      <c r="DL930" s="15" t="str">
        <f>IFERROR(__xludf.DUMMYFUNCTION("""COMPUTED_VALUE"""),"")</f>
        <v/>
      </c>
      <c r="DM930" s="15" t="s">
        <v>444</v>
      </c>
      <c r="DN930" s="15" t="s">
        <v>419</v>
      </c>
      <c r="DO930" s="15">
        <v>0.0</v>
      </c>
      <c r="DP930" s="15" t="s">
        <v>419</v>
      </c>
      <c r="DR930" s="15">
        <v>0.0</v>
      </c>
      <c r="DT930" s="15" t="s">
        <v>1186</v>
      </c>
      <c r="DU930" s="15" t="s">
        <v>419</v>
      </c>
      <c r="DW930" s="15">
        <v>0.0</v>
      </c>
      <c r="DX930" s="15">
        <v>0.0</v>
      </c>
      <c r="DY930" s="15">
        <v>0.0</v>
      </c>
      <c r="EE930" s="15">
        <v>6.0</v>
      </c>
      <c r="EF930" s="15" t="s">
        <v>1157</v>
      </c>
      <c r="EG930" s="15" t="s">
        <v>1158</v>
      </c>
      <c r="EH930" s="15" t="s">
        <v>9363</v>
      </c>
      <c r="EJ930" s="15" t="s">
        <v>500</v>
      </c>
      <c r="EK930" s="15" t="s">
        <v>501</v>
      </c>
      <c r="EM930" s="15" t="str">
        <f>IFERROR(__xludf.DUMMYFUNCTION("""COMPUTED_VALUE"""),"")</f>
        <v/>
      </c>
      <c r="FH930" s="15" t="s">
        <v>713</v>
      </c>
      <c r="FI930" s="15" t="s">
        <v>9376</v>
      </c>
      <c r="FJ930" s="15" t="s">
        <v>713</v>
      </c>
      <c r="FK930" s="15" t="s">
        <v>1444</v>
      </c>
      <c r="FL930" s="15" t="s">
        <v>426</v>
      </c>
      <c r="FM930" s="15">
        <v>0.0</v>
      </c>
      <c r="FN930" s="15">
        <v>0.0</v>
      </c>
      <c r="FV930" s="15" t="s">
        <v>9376</v>
      </c>
      <c r="FW930" s="15" t="s">
        <v>9377</v>
      </c>
      <c r="FX930" s="15" t="s">
        <v>2244</v>
      </c>
    </row>
    <row r="931" ht="15.75" customHeight="1">
      <c r="A931" s="14" t="s">
        <v>391</v>
      </c>
      <c r="B931" s="15" t="s">
        <v>9370</v>
      </c>
      <c r="C931" s="16"/>
      <c r="D931" s="15" t="s">
        <v>432</v>
      </c>
      <c r="G931" s="14" t="s">
        <v>393</v>
      </c>
      <c r="H931" s="14" t="s">
        <v>394</v>
      </c>
      <c r="I931" s="14" t="b">
        <v>1</v>
      </c>
      <c r="J931" s="14" t="s">
        <v>395</v>
      </c>
      <c r="L931" s="14" t="b">
        <v>0</v>
      </c>
      <c r="M931" s="15" t="s">
        <v>9378</v>
      </c>
      <c r="N931" s="14" t="s">
        <v>393</v>
      </c>
      <c r="O931" s="14" t="s">
        <v>393</v>
      </c>
      <c r="P931" s="15" t="s">
        <v>397</v>
      </c>
      <c r="Q931" s="15" t="s">
        <v>4941</v>
      </c>
      <c r="R931" s="15" t="s">
        <v>265</v>
      </c>
      <c r="S931" s="15" t="s">
        <v>2557</v>
      </c>
      <c r="T931" s="14" t="b">
        <v>0</v>
      </c>
      <c r="U931" s="15" t="s">
        <v>9379</v>
      </c>
      <c r="V931" s="15" t="s">
        <v>1397</v>
      </c>
      <c r="W931" s="15" t="s">
        <v>401</v>
      </c>
      <c r="X931" s="15" t="s">
        <v>695</v>
      </c>
      <c r="Y931" s="15">
        <v>3068.0</v>
      </c>
      <c r="AA931" s="15" t="str">
        <f>"1180"</f>
        <v>1180</v>
      </c>
      <c r="AB931" s="14" t="b">
        <v>1</v>
      </c>
      <c r="AC931" s="14" t="b">
        <v>1</v>
      </c>
      <c r="AD931" s="15" t="str">
        <f>"801542989019"</f>
        <v>801542989019</v>
      </c>
      <c r="AE931" s="15" t="s">
        <v>9380</v>
      </c>
      <c r="AF931" s="14" t="s">
        <v>404</v>
      </c>
      <c r="AG931" s="14" t="s">
        <v>405</v>
      </c>
      <c r="AH931" s="14" t="s">
        <v>406</v>
      </c>
      <c r="AI931" s="15">
        <v>0.0</v>
      </c>
      <c r="AL931" s="15" t="s">
        <v>5153</v>
      </c>
      <c r="AM931" s="15" t="s">
        <v>2557</v>
      </c>
      <c r="AN931" s="15" t="s">
        <v>2558</v>
      </c>
      <c r="AO931" s="15" t="s">
        <v>2557</v>
      </c>
      <c r="AP931" s="15" t="s">
        <v>2558</v>
      </c>
      <c r="AQ931" s="15" t="s">
        <v>546</v>
      </c>
      <c r="AR931" s="15" t="s">
        <v>547</v>
      </c>
      <c r="AS931" s="15" t="s">
        <v>3185</v>
      </c>
      <c r="AT931" s="15" t="s">
        <v>4941</v>
      </c>
      <c r="AU931" s="15" t="s">
        <v>4934</v>
      </c>
      <c r="AW931" s="15" t="s">
        <v>548</v>
      </c>
      <c r="AX931" s="15" t="s">
        <v>549</v>
      </c>
      <c r="AY931" s="15" t="s">
        <v>413</v>
      </c>
      <c r="AZ931" s="15" t="b">
        <v>0</v>
      </c>
      <c r="BA931" s="15" t="s">
        <v>413</v>
      </c>
      <c r="BB931" s="15" t="b">
        <v>0</v>
      </c>
      <c r="BC931" s="15" t="s">
        <v>9374</v>
      </c>
      <c r="BD931" s="15" t="s">
        <v>709</v>
      </c>
      <c r="BE931" s="15" t="str">
        <f t="shared" si="1603"/>
        <v>2</v>
      </c>
      <c r="BF931" s="15" t="s">
        <v>1564</v>
      </c>
      <c r="BG931" s="15" t="str">
        <f>"49.02"</f>
        <v>49.02</v>
      </c>
      <c r="BH931" s="15" t="s">
        <v>8105</v>
      </c>
      <c r="BI931" s="15" t="str">
        <f t="shared" si="1604"/>
        <v>8.46</v>
      </c>
      <c r="BJ931" s="15" t="s">
        <v>7847</v>
      </c>
      <c r="BK931" s="15" t="str">
        <f>"49.02"</f>
        <v>49.02</v>
      </c>
      <c r="BL931" s="15" t="s">
        <v>8105</v>
      </c>
      <c r="BM931" s="15" t="str">
        <f>"233.69"</f>
        <v>233.69</v>
      </c>
      <c r="BN931" s="15" t="s">
        <v>568</v>
      </c>
      <c r="BO931" s="15" t="s">
        <v>2238</v>
      </c>
      <c r="BP931" s="15" t="str">
        <f>"21.46"</f>
        <v>21.46</v>
      </c>
      <c r="BQ931" s="15" t="s">
        <v>1385</v>
      </c>
      <c r="BR931" s="15" t="str">
        <f>"21.46"</f>
        <v>21.46</v>
      </c>
      <c r="BS931" s="15" t="s">
        <v>1385</v>
      </c>
      <c r="BT931" s="15" t="str">
        <f>"31.5"</f>
        <v>31.5</v>
      </c>
      <c r="BU931" s="15" t="s">
        <v>1322</v>
      </c>
      <c r="BV931" s="15" t="str">
        <f>"52.91"</f>
        <v>52.91</v>
      </c>
      <c r="BW931" s="15" t="s">
        <v>921</v>
      </c>
      <c r="BZ931" s="15" t="s">
        <v>444</v>
      </c>
      <c r="CB931" s="15" t="s">
        <v>444</v>
      </c>
      <c r="CD931" s="15" t="s">
        <v>444</v>
      </c>
      <c r="CF931" s="15" t="s">
        <v>444</v>
      </c>
      <c r="CI931" s="15" t="s">
        <v>444</v>
      </c>
      <c r="CK931" s="15" t="s">
        <v>444</v>
      </c>
      <c r="CM931" s="15" t="s">
        <v>444</v>
      </c>
      <c r="CO931" s="15" t="s">
        <v>444</v>
      </c>
      <c r="CP931" s="15" t="str">
        <f>"20.16"</f>
        <v>20.16</v>
      </c>
      <c r="CQ931" s="15" t="str">
        <f>"0.571"</f>
        <v>0.571</v>
      </c>
      <c r="CR931" s="15" t="s">
        <v>497</v>
      </c>
      <c r="DC931" s="15" t="str">
        <f>IFERROR(__xludf.DUMMYFUNCTION("""COMPUTED_VALUE"""),"")</f>
        <v/>
      </c>
      <c r="DE931" s="15" t="str">
        <f>IFERROR(__xludf.DUMMYFUNCTION("""COMPUTED_VALUE"""),"")</f>
        <v/>
      </c>
      <c r="DG931" s="15" t="str">
        <f>IFERROR(__xludf.DUMMYFUNCTION("""COMPUTED_VALUE"""),"")</f>
        <v/>
      </c>
      <c r="DL931" s="15" t="str">
        <f>IFERROR(__xludf.DUMMYFUNCTION("""COMPUTED_VALUE"""),"")</f>
        <v/>
      </c>
      <c r="DM931" s="15" t="s">
        <v>444</v>
      </c>
      <c r="DN931" s="15" t="s">
        <v>419</v>
      </c>
      <c r="DO931" s="15">
        <v>0.0</v>
      </c>
      <c r="DP931" s="15" t="s">
        <v>419</v>
      </c>
      <c r="DR931" s="15">
        <v>0.0</v>
      </c>
      <c r="DT931" s="15" t="s">
        <v>1186</v>
      </c>
      <c r="DU931" s="15" t="s">
        <v>419</v>
      </c>
      <c r="DW931" s="15">
        <v>0.0</v>
      </c>
      <c r="DX931" s="15">
        <v>0.0</v>
      </c>
      <c r="DY931" s="15">
        <v>0.0</v>
      </c>
      <c r="EE931" s="15">
        <v>4.0</v>
      </c>
      <c r="EF931" s="15" t="s">
        <v>1157</v>
      </c>
      <c r="EG931" s="15" t="s">
        <v>1158</v>
      </c>
      <c r="EH931" s="15" t="s">
        <v>9363</v>
      </c>
      <c r="EJ931" s="15" t="s">
        <v>500</v>
      </c>
      <c r="EK931" s="15" t="s">
        <v>501</v>
      </c>
      <c r="EM931" s="15" t="str">
        <f>IFERROR(__xludf.DUMMYFUNCTION("""COMPUTED_VALUE"""),"")</f>
        <v/>
      </c>
      <c r="EW931" s="15" t="s">
        <v>9381</v>
      </c>
      <c r="FH931" s="15" t="s">
        <v>1014</v>
      </c>
      <c r="FI931" s="15" t="s">
        <v>9381</v>
      </c>
      <c r="FJ931" s="15" t="s">
        <v>1014</v>
      </c>
      <c r="FK931" s="15" t="s">
        <v>3164</v>
      </c>
      <c r="FL931" s="15" t="s">
        <v>426</v>
      </c>
      <c r="FM931" s="15">
        <v>0.0</v>
      </c>
      <c r="FN931" s="15">
        <v>0.0</v>
      </c>
      <c r="FV931" s="15" t="s">
        <v>9381</v>
      </c>
      <c r="FW931" s="15" t="s">
        <v>866</v>
      </c>
      <c r="FX931" s="15" t="s">
        <v>2244</v>
      </c>
    </row>
    <row r="932" ht="15.75" customHeight="1">
      <c r="A932" s="14" t="s">
        <v>391</v>
      </c>
      <c r="B932" s="15" t="s">
        <v>9382</v>
      </c>
      <c r="C932" s="16"/>
      <c r="D932" s="15" t="s">
        <v>432</v>
      </c>
      <c r="G932" s="14" t="s">
        <v>393</v>
      </c>
      <c r="H932" s="14" t="s">
        <v>394</v>
      </c>
      <c r="I932" s="14" t="b">
        <v>1</v>
      </c>
      <c r="J932" s="14" t="s">
        <v>395</v>
      </c>
      <c r="L932" s="14" t="b">
        <v>0</v>
      </c>
      <c r="M932" s="15" t="s">
        <v>9383</v>
      </c>
      <c r="N932" s="14" t="s">
        <v>393</v>
      </c>
      <c r="O932" s="14" t="s">
        <v>393</v>
      </c>
      <c r="P932" s="15" t="s">
        <v>397</v>
      </c>
      <c r="Q932" s="15" t="s">
        <v>9384</v>
      </c>
      <c r="R932" s="15" t="s">
        <v>265</v>
      </c>
      <c r="S932" s="15" t="s">
        <v>877</v>
      </c>
      <c r="T932" s="14" t="b">
        <v>0</v>
      </c>
      <c r="U932" s="15" t="s">
        <v>9385</v>
      </c>
      <c r="V932" s="15" t="s">
        <v>9386</v>
      </c>
      <c r="W932" s="15" t="s">
        <v>401</v>
      </c>
      <c r="X932" s="15" t="s">
        <v>742</v>
      </c>
      <c r="Y932" s="15">
        <v>2951.0</v>
      </c>
      <c r="AA932" s="15" t="str">
        <f>"1135"</f>
        <v>1135</v>
      </c>
      <c r="AB932" s="14" t="b">
        <v>1</v>
      </c>
      <c r="AC932" s="14" t="b">
        <v>1</v>
      </c>
      <c r="AD932" s="15" t="str">
        <f>"198394060790"</f>
        <v>198394060790</v>
      </c>
      <c r="AE932" s="15" t="s">
        <v>9387</v>
      </c>
      <c r="AF932" s="14" t="s">
        <v>404</v>
      </c>
      <c r="AG932" s="14" t="s">
        <v>405</v>
      </c>
      <c r="AH932" s="14" t="s">
        <v>406</v>
      </c>
      <c r="AI932" s="15">
        <v>0.0</v>
      </c>
      <c r="AL932" s="15" t="s">
        <v>9388</v>
      </c>
      <c r="AM932" s="15" t="s">
        <v>3943</v>
      </c>
      <c r="AN932" s="15" t="s">
        <v>3944</v>
      </c>
      <c r="AO932" s="15" t="s">
        <v>9389</v>
      </c>
      <c r="AP932" s="15" t="s">
        <v>9390</v>
      </c>
      <c r="AQ932" s="15" t="s">
        <v>5528</v>
      </c>
      <c r="AR932" s="15" t="s">
        <v>5529</v>
      </c>
      <c r="AS932" s="15" t="s">
        <v>1030</v>
      </c>
      <c r="AT932" s="15" t="s">
        <v>9384</v>
      </c>
      <c r="AU932" s="15" t="s">
        <v>9391</v>
      </c>
      <c r="AW932" s="15" t="s">
        <v>839</v>
      </c>
      <c r="AX932" s="15" t="s">
        <v>877</v>
      </c>
      <c r="AY932" s="15" t="s">
        <v>426</v>
      </c>
      <c r="AZ932" s="15" t="b">
        <v>1</v>
      </c>
      <c r="BA932" s="15" t="s">
        <v>426</v>
      </c>
      <c r="BB932" s="15" t="b">
        <v>1</v>
      </c>
      <c r="BC932" s="15" t="s">
        <v>9392</v>
      </c>
      <c r="BD932" s="15" t="s">
        <v>742</v>
      </c>
      <c r="BE932" s="15" t="str">
        <f t="shared" ref="BE932:BE935" si="1605">"3"</f>
        <v>3</v>
      </c>
      <c r="BF932" s="15" t="s">
        <v>841</v>
      </c>
      <c r="BG932" s="15" t="str">
        <f>"69.29"</f>
        <v>69.29</v>
      </c>
      <c r="BH932" s="15" t="s">
        <v>4999</v>
      </c>
      <c r="BI932" s="15" t="str">
        <f>"12.01"</f>
        <v>12.01</v>
      </c>
      <c r="BJ932" s="15" t="s">
        <v>844</v>
      </c>
      <c r="BK932" s="15" t="str">
        <f>"54.33"</f>
        <v>54.33</v>
      </c>
      <c r="BL932" s="15" t="s">
        <v>7100</v>
      </c>
      <c r="BM932" s="15" t="str">
        <f>"163.14"</f>
        <v>163.14</v>
      </c>
      <c r="BN932" s="15" t="s">
        <v>6632</v>
      </c>
      <c r="BO932" s="15" t="s">
        <v>3951</v>
      </c>
      <c r="BP932" s="15" t="str">
        <f>"90.94"</f>
        <v>90.94</v>
      </c>
      <c r="BQ932" s="15" t="s">
        <v>1130</v>
      </c>
      <c r="BR932" s="15" t="str">
        <f>"17.72"</f>
        <v>17.72</v>
      </c>
      <c r="BS932" s="15" t="s">
        <v>3633</v>
      </c>
      <c r="BT932" s="15" t="str">
        <f>"12.01"</f>
        <v>12.01</v>
      </c>
      <c r="BU932" s="15" t="s">
        <v>844</v>
      </c>
      <c r="BV932" s="15" t="str">
        <f>"125.66"</f>
        <v>125.66</v>
      </c>
      <c r="BW932" s="15" t="s">
        <v>5327</v>
      </c>
      <c r="BX932" s="15" t="s">
        <v>846</v>
      </c>
      <c r="BY932" s="15" t="str">
        <f>"70.08"</f>
        <v>70.08</v>
      </c>
      <c r="BZ932" s="15" t="s">
        <v>957</v>
      </c>
      <c r="CA932" s="15" t="str">
        <f>"29.92"</f>
        <v>29.92</v>
      </c>
      <c r="CB932" s="15" t="s">
        <v>1321</v>
      </c>
      <c r="CC932" s="15" t="str">
        <f>"11.61"</f>
        <v>11.61</v>
      </c>
      <c r="CD932" s="15" t="s">
        <v>4546</v>
      </c>
      <c r="CE932" s="15" t="str">
        <f>"81.57"</f>
        <v>81.57</v>
      </c>
      <c r="CF932" s="15" t="s">
        <v>8208</v>
      </c>
      <c r="CI932" s="15" t="s">
        <v>444</v>
      </c>
      <c r="CK932" s="15" t="s">
        <v>444</v>
      </c>
      <c r="CM932" s="15" t="s">
        <v>444</v>
      </c>
      <c r="CO932" s="15" t="s">
        <v>444</v>
      </c>
      <c r="CP932" s="15" t="str">
        <f>"51.45"</f>
        <v>51.45</v>
      </c>
      <c r="CQ932" s="15" t="str">
        <f>"1.457"</f>
        <v>1.457</v>
      </c>
      <c r="CR932" s="15" t="s">
        <v>497</v>
      </c>
      <c r="DC932" s="15" t="str">
        <f>IFERROR(__xludf.DUMMYFUNCTION("""COMPUTED_VALUE"""),"")</f>
        <v/>
      </c>
      <c r="DE932" s="15" t="str">
        <f>IFERROR(__xludf.DUMMYFUNCTION("""COMPUTED_VALUE"""),"")</f>
        <v/>
      </c>
      <c r="DG932" s="15" t="str">
        <f>IFERROR(__xludf.DUMMYFUNCTION("""COMPUTED_VALUE"""),"")</f>
        <v/>
      </c>
      <c r="DK932" s="15" t="s">
        <v>897</v>
      </c>
      <c r="DL932" s="15" t="str">
        <f>IFERROR(__xludf.DUMMYFUNCTION("""COMPUTED_VALUE"""),"Clean with water-based products only. Use mild detergent or upholstery shampoo.")</f>
        <v>Clean with water-based products only. Use mild detergent or upholstery shampoo.</v>
      </c>
      <c r="DM932" s="15" t="s">
        <v>898</v>
      </c>
      <c r="DN932" s="15" t="s">
        <v>419</v>
      </c>
      <c r="DO932" s="15">
        <v>0.0</v>
      </c>
      <c r="DP932" s="15" t="s">
        <v>419</v>
      </c>
      <c r="DR932" s="15">
        <v>0.0</v>
      </c>
      <c r="DT932" s="15" t="s">
        <v>3952</v>
      </c>
      <c r="DU932" s="15" t="s">
        <v>419</v>
      </c>
      <c r="DW932" s="15">
        <v>0.0</v>
      </c>
      <c r="DX932" s="15">
        <v>0.0</v>
      </c>
      <c r="DY932" s="15">
        <v>0.0</v>
      </c>
      <c r="DZ932" s="15">
        <v>50000.0</v>
      </c>
      <c r="EG932" s="15" t="s">
        <v>444</v>
      </c>
      <c r="EH932" s="15" t="s">
        <v>9393</v>
      </c>
      <c r="EJ932" s="15" t="s">
        <v>858</v>
      </c>
      <c r="EK932" s="15" t="s">
        <v>859</v>
      </c>
      <c r="EM932" s="15" t="str">
        <f>IFERROR(__xludf.DUMMYFUNCTION("""COMPUTED_VALUE"""),"")</f>
        <v/>
      </c>
      <c r="FM932" s="15">
        <v>0.0</v>
      </c>
      <c r="IO932" s="15" t="s">
        <v>2603</v>
      </c>
      <c r="IP932" s="15" t="s">
        <v>9117</v>
      </c>
      <c r="IQ932" s="15" t="s">
        <v>9394</v>
      </c>
      <c r="IR932" s="15" t="s">
        <v>8998</v>
      </c>
      <c r="IS932" s="15" t="s">
        <v>1232</v>
      </c>
      <c r="IT932" s="15" t="s">
        <v>9394</v>
      </c>
      <c r="IU932" s="15" t="s">
        <v>8998</v>
      </c>
      <c r="IV932" s="15" t="s">
        <v>2971</v>
      </c>
      <c r="IW932" s="15" t="s">
        <v>1957</v>
      </c>
      <c r="IX932" s="15" t="s">
        <v>890</v>
      </c>
      <c r="IY932" s="15" t="s">
        <v>531</v>
      </c>
      <c r="IZ932" s="15" t="s">
        <v>1120</v>
      </c>
      <c r="JA932" s="15" t="s">
        <v>3658</v>
      </c>
      <c r="JB932" s="15" t="s">
        <v>426</v>
      </c>
      <c r="JC932" s="15" t="s">
        <v>2471</v>
      </c>
      <c r="JD932" s="15" t="s">
        <v>872</v>
      </c>
      <c r="JE932" s="15" t="s">
        <v>873</v>
      </c>
      <c r="JF932" s="15" t="s">
        <v>877</v>
      </c>
      <c r="JL932" s="15" t="s">
        <v>6948</v>
      </c>
      <c r="JM932" s="15" t="s">
        <v>7172</v>
      </c>
      <c r="JO932" s="15" t="s">
        <v>426</v>
      </c>
      <c r="JP932" s="15" t="s">
        <v>2474</v>
      </c>
      <c r="JS932" s="15" t="s">
        <v>6433</v>
      </c>
      <c r="JT932" s="15" t="s">
        <v>7397</v>
      </c>
    </row>
    <row r="933" ht="15.75" customHeight="1">
      <c r="A933" s="14" t="s">
        <v>391</v>
      </c>
      <c r="B933" s="15" t="s">
        <v>9382</v>
      </c>
      <c r="C933" s="16"/>
      <c r="D933" s="15" t="s">
        <v>432</v>
      </c>
      <c r="G933" s="14" t="s">
        <v>393</v>
      </c>
      <c r="H933" s="14" t="s">
        <v>394</v>
      </c>
      <c r="I933" s="14" t="b">
        <v>1</v>
      </c>
      <c r="J933" s="14" t="s">
        <v>395</v>
      </c>
      <c r="L933" s="14" t="b">
        <v>0</v>
      </c>
      <c r="M933" s="15" t="s">
        <v>9395</v>
      </c>
      <c r="N933" s="14" t="s">
        <v>393</v>
      </c>
      <c r="O933" s="14" t="s">
        <v>393</v>
      </c>
      <c r="P933" s="15" t="s">
        <v>397</v>
      </c>
      <c r="Q933" s="15" t="s">
        <v>9384</v>
      </c>
      <c r="R933" s="15" t="s">
        <v>265</v>
      </c>
      <c r="S933" s="15" t="s">
        <v>828</v>
      </c>
      <c r="T933" s="14" t="b">
        <v>0</v>
      </c>
      <c r="U933" s="15" t="s">
        <v>9396</v>
      </c>
      <c r="V933" s="15" t="s">
        <v>9397</v>
      </c>
      <c r="W933" s="15" t="s">
        <v>401</v>
      </c>
      <c r="X933" s="15" t="s">
        <v>742</v>
      </c>
      <c r="Y933" s="15">
        <v>3393.0</v>
      </c>
      <c r="AA933" s="15" t="str">
        <f>"1305"</f>
        <v>1305</v>
      </c>
      <c r="AB933" s="14" t="b">
        <v>1</v>
      </c>
      <c r="AC933" s="14" t="b">
        <v>1</v>
      </c>
      <c r="AD933" s="15" t="str">
        <f>"198394060783"</f>
        <v>198394060783</v>
      </c>
      <c r="AE933" s="15" t="s">
        <v>9398</v>
      </c>
      <c r="AF933" s="14" t="s">
        <v>404</v>
      </c>
      <c r="AG933" s="14" t="s">
        <v>405</v>
      </c>
      <c r="AH933" s="14" t="s">
        <v>406</v>
      </c>
      <c r="AI933" s="15">
        <v>0.0</v>
      </c>
      <c r="AL933" s="15" t="s">
        <v>9388</v>
      </c>
      <c r="AM933" s="15" t="s">
        <v>1026</v>
      </c>
      <c r="AN933" s="15" t="s">
        <v>1027</v>
      </c>
      <c r="AO933" s="15" t="s">
        <v>9389</v>
      </c>
      <c r="AP933" s="15" t="s">
        <v>9390</v>
      </c>
      <c r="AQ933" s="15" t="s">
        <v>5528</v>
      </c>
      <c r="AR933" s="15" t="s">
        <v>5529</v>
      </c>
      <c r="AS933" s="15" t="s">
        <v>1030</v>
      </c>
      <c r="AT933" s="15" t="s">
        <v>9384</v>
      </c>
      <c r="AU933" s="15" t="s">
        <v>9391</v>
      </c>
      <c r="AW933" s="15" t="s">
        <v>839</v>
      </c>
      <c r="AX933" s="15" t="s">
        <v>828</v>
      </c>
      <c r="AY933" s="15" t="s">
        <v>426</v>
      </c>
      <c r="AZ933" s="15" t="b">
        <v>1</v>
      </c>
      <c r="BA933" s="15" t="s">
        <v>426</v>
      </c>
      <c r="BB933" s="15" t="b">
        <v>1</v>
      </c>
      <c r="BC933" s="15" t="s">
        <v>9392</v>
      </c>
      <c r="BD933" s="15" t="s">
        <v>742</v>
      </c>
      <c r="BE933" s="15" t="str">
        <f t="shared" si="1605"/>
        <v>3</v>
      </c>
      <c r="BF933" s="15" t="s">
        <v>841</v>
      </c>
      <c r="BG933" s="15" t="str">
        <f>"87.4"</f>
        <v>87.4</v>
      </c>
      <c r="BH933" s="15" t="s">
        <v>1032</v>
      </c>
      <c r="BI933" s="15" t="str">
        <f>"12.8"</f>
        <v>12.8</v>
      </c>
      <c r="BJ933" s="15" t="s">
        <v>5315</v>
      </c>
      <c r="BK933" s="15" t="str">
        <f>"56.3"</f>
        <v>56.3</v>
      </c>
      <c r="BL933" s="15" t="s">
        <v>3400</v>
      </c>
      <c r="BM933" s="15" t="str">
        <f>"179.68"</f>
        <v>179.68</v>
      </c>
      <c r="BN933" s="15" t="s">
        <v>9399</v>
      </c>
      <c r="BO933" s="15" t="s">
        <v>3951</v>
      </c>
      <c r="BP933" s="15" t="str">
        <f>"92.52"</f>
        <v>92.52</v>
      </c>
      <c r="BQ933" s="15" t="s">
        <v>7526</v>
      </c>
      <c r="BR933" s="15" t="str">
        <f>"18.9"</f>
        <v>18.9</v>
      </c>
      <c r="BS933" s="15" t="s">
        <v>552</v>
      </c>
      <c r="BT933" s="15" t="str">
        <f>"12.4"</f>
        <v>12.4</v>
      </c>
      <c r="BU933" s="15" t="s">
        <v>5845</v>
      </c>
      <c r="BV933" s="15" t="str">
        <f>"143.3"</f>
        <v>143.3</v>
      </c>
      <c r="BW933" s="15" t="s">
        <v>3950</v>
      </c>
      <c r="BX933" s="15" t="s">
        <v>846</v>
      </c>
      <c r="BY933" s="15" t="str">
        <f>"87.4"</f>
        <v>87.4</v>
      </c>
      <c r="BZ933" s="15" t="s">
        <v>1032</v>
      </c>
      <c r="CA933" s="15" t="str">
        <f>"12.01"</f>
        <v>12.01</v>
      </c>
      <c r="CB933" s="15" t="s">
        <v>844</v>
      </c>
      <c r="CC933" s="15" t="str">
        <f>"31.69"</f>
        <v>31.69</v>
      </c>
      <c r="CD933" s="15" t="s">
        <v>3110</v>
      </c>
      <c r="CE933" s="15" t="str">
        <f>"111.33"</f>
        <v>111.33</v>
      </c>
      <c r="CF933" s="15" t="s">
        <v>5502</v>
      </c>
      <c r="CI933" s="15" t="s">
        <v>444</v>
      </c>
      <c r="CK933" s="15" t="s">
        <v>444</v>
      </c>
      <c r="CM933" s="15" t="s">
        <v>444</v>
      </c>
      <c r="CO933" s="15" t="s">
        <v>444</v>
      </c>
      <c r="CP933" s="15" t="str">
        <f>"68.23"</f>
        <v>68.23</v>
      </c>
      <c r="CQ933" s="15" t="str">
        <f>"1.932"</f>
        <v>1.932</v>
      </c>
      <c r="CR933" s="15" t="s">
        <v>497</v>
      </c>
      <c r="DC933" s="15" t="str">
        <f>IFERROR(__xludf.DUMMYFUNCTION("""COMPUTED_VALUE"""),"")</f>
        <v/>
      </c>
      <c r="DE933" s="15" t="str">
        <f>IFERROR(__xludf.DUMMYFUNCTION("""COMPUTED_VALUE"""),"")</f>
        <v/>
      </c>
      <c r="DG933" s="15" t="str">
        <f>IFERROR(__xludf.DUMMYFUNCTION("""COMPUTED_VALUE"""),"")</f>
        <v/>
      </c>
      <c r="DK933" s="15" t="s">
        <v>897</v>
      </c>
      <c r="DL933" s="15" t="str">
        <f>IFERROR(__xludf.DUMMYFUNCTION("""COMPUTED_VALUE"""),"Clean with water-based products only. Use mild detergent or upholstery shampoo.")</f>
        <v>Clean with water-based products only. Use mild detergent or upholstery shampoo.</v>
      </c>
      <c r="DM933" s="15" t="s">
        <v>898</v>
      </c>
      <c r="DN933" s="15" t="s">
        <v>419</v>
      </c>
      <c r="DO933" s="15">
        <v>0.0</v>
      </c>
      <c r="DP933" s="15" t="s">
        <v>419</v>
      </c>
      <c r="DR933" s="15">
        <v>0.0</v>
      </c>
      <c r="DT933" s="15" t="s">
        <v>3952</v>
      </c>
      <c r="DU933" s="15" t="s">
        <v>419</v>
      </c>
      <c r="DW933" s="15">
        <v>0.0</v>
      </c>
      <c r="DX933" s="15">
        <v>0.0</v>
      </c>
      <c r="DY933" s="15">
        <v>0.0</v>
      </c>
      <c r="DZ933" s="15">
        <v>50000.0</v>
      </c>
      <c r="EG933" s="15" t="s">
        <v>444</v>
      </c>
      <c r="EH933" s="15" t="s">
        <v>9393</v>
      </c>
      <c r="EJ933" s="15" t="s">
        <v>858</v>
      </c>
      <c r="EK933" s="15" t="s">
        <v>859</v>
      </c>
      <c r="EM933" s="15" t="str">
        <f>IFERROR(__xludf.DUMMYFUNCTION("""COMPUTED_VALUE"""),"")</f>
        <v/>
      </c>
      <c r="FM933" s="15">
        <v>0.0</v>
      </c>
      <c r="IO933" s="15" t="s">
        <v>2603</v>
      </c>
      <c r="IP933" s="15" t="s">
        <v>9117</v>
      </c>
      <c r="IQ933" s="15" t="s">
        <v>9394</v>
      </c>
      <c r="IR933" s="15" t="s">
        <v>9400</v>
      </c>
      <c r="IS933" s="15" t="s">
        <v>1232</v>
      </c>
      <c r="IT933" s="15" t="s">
        <v>9394</v>
      </c>
      <c r="IU933" s="15" t="s">
        <v>9400</v>
      </c>
      <c r="IV933" s="15" t="s">
        <v>2971</v>
      </c>
      <c r="IW933" s="15" t="s">
        <v>1957</v>
      </c>
      <c r="IX933" s="15" t="s">
        <v>869</v>
      </c>
      <c r="IY933" s="15" t="s">
        <v>531</v>
      </c>
      <c r="IZ933" s="15" t="s">
        <v>1120</v>
      </c>
      <c r="JA933" s="15" t="s">
        <v>3658</v>
      </c>
      <c r="JB933" s="15" t="s">
        <v>426</v>
      </c>
      <c r="JC933" s="15" t="s">
        <v>2471</v>
      </c>
      <c r="JD933" s="15" t="s">
        <v>872</v>
      </c>
      <c r="JE933" s="15" t="s">
        <v>873</v>
      </c>
      <c r="JF933" s="15" t="s">
        <v>828</v>
      </c>
      <c r="JL933" s="15" t="s">
        <v>6948</v>
      </c>
      <c r="JM933" s="15" t="s">
        <v>7172</v>
      </c>
      <c r="JO933" s="15" t="s">
        <v>426</v>
      </c>
      <c r="JP933" s="15" t="s">
        <v>2474</v>
      </c>
      <c r="JS933" s="15" t="s">
        <v>6433</v>
      </c>
      <c r="JT933" s="15" t="s">
        <v>6451</v>
      </c>
    </row>
    <row r="934" ht="15.75" customHeight="1">
      <c r="A934" s="14" t="s">
        <v>391</v>
      </c>
      <c r="B934" s="15" t="s">
        <v>9382</v>
      </c>
      <c r="C934" s="16"/>
      <c r="D934" s="15" t="s">
        <v>432</v>
      </c>
      <c r="G934" s="14" t="s">
        <v>393</v>
      </c>
      <c r="H934" s="14" t="s">
        <v>394</v>
      </c>
      <c r="I934" s="14" t="b">
        <v>1</v>
      </c>
      <c r="J934" s="14" t="s">
        <v>395</v>
      </c>
      <c r="L934" s="14" t="b">
        <v>0</v>
      </c>
      <c r="M934" s="15" t="s">
        <v>9401</v>
      </c>
      <c r="N934" s="14" t="s">
        <v>393</v>
      </c>
      <c r="O934" s="14" t="s">
        <v>393</v>
      </c>
      <c r="P934" s="15" t="s">
        <v>397</v>
      </c>
      <c r="Q934" s="15" t="s">
        <v>2120</v>
      </c>
      <c r="R934" s="15" t="s">
        <v>265</v>
      </c>
      <c r="S934" s="15" t="s">
        <v>877</v>
      </c>
      <c r="T934" s="14" t="b">
        <v>0</v>
      </c>
      <c r="U934" s="15" t="s">
        <v>9402</v>
      </c>
      <c r="V934" s="15" t="s">
        <v>9386</v>
      </c>
      <c r="W934" s="15" t="s">
        <v>401</v>
      </c>
      <c r="X934" s="15" t="s">
        <v>742</v>
      </c>
      <c r="Y934" s="15">
        <v>2847.0</v>
      </c>
      <c r="AA934" s="15" t="str">
        <f>"1095"</f>
        <v>1095</v>
      </c>
      <c r="AB934" s="14" t="b">
        <v>1</v>
      </c>
      <c r="AC934" s="14" t="b">
        <v>1</v>
      </c>
      <c r="AD934" s="15" t="str">
        <f>"801542966089"</f>
        <v>801542966089</v>
      </c>
      <c r="AE934" s="15" t="s">
        <v>9403</v>
      </c>
      <c r="AF934" s="14" t="s">
        <v>404</v>
      </c>
      <c r="AG934" s="14" t="s">
        <v>405</v>
      </c>
      <c r="AH934" s="14" t="s">
        <v>406</v>
      </c>
      <c r="AI934" s="15">
        <v>0.0</v>
      </c>
      <c r="AL934" s="15" t="s">
        <v>9404</v>
      </c>
      <c r="AM934" s="15" t="s">
        <v>3943</v>
      </c>
      <c r="AN934" s="15" t="s">
        <v>3944</v>
      </c>
      <c r="AO934" s="15" t="s">
        <v>9389</v>
      </c>
      <c r="AP934" s="15" t="s">
        <v>9390</v>
      </c>
      <c r="AQ934" s="15" t="s">
        <v>5528</v>
      </c>
      <c r="AR934" s="15" t="s">
        <v>5529</v>
      </c>
      <c r="AS934" s="15" t="s">
        <v>1030</v>
      </c>
      <c r="AT934" s="15" t="s">
        <v>2120</v>
      </c>
      <c r="AU934" s="15" t="s">
        <v>9391</v>
      </c>
      <c r="AW934" s="15" t="s">
        <v>839</v>
      </c>
      <c r="AX934" s="15" t="s">
        <v>877</v>
      </c>
      <c r="AY934" s="15" t="s">
        <v>413</v>
      </c>
      <c r="AZ934" s="15" t="b">
        <v>0</v>
      </c>
      <c r="BA934" s="15" t="s">
        <v>413</v>
      </c>
      <c r="BB934" s="15" t="b">
        <v>0</v>
      </c>
      <c r="BC934" s="15" t="s">
        <v>9405</v>
      </c>
      <c r="BD934" s="15" t="s">
        <v>742</v>
      </c>
      <c r="BE934" s="15" t="str">
        <f t="shared" si="1605"/>
        <v>3</v>
      </c>
      <c r="BF934" s="15" t="s">
        <v>841</v>
      </c>
      <c r="BG934" s="15" t="str">
        <f>"69.29"</f>
        <v>69.29</v>
      </c>
      <c r="BH934" s="15" t="s">
        <v>4999</v>
      </c>
      <c r="BI934" s="15" t="str">
        <f>"12.01"</f>
        <v>12.01</v>
      </c>
      <c r="BJ934" s="15" t="s">
        <v>844</v>
      </c>
      <c r="BK934" s="15" t="str">
        <f>"54.33"</f>
        <v>54.33</v>
      </c>
      <c r="BL934" s="15" t="s">
        <v>7100</v>
      </c>
      <c r="BM934" s="15" t="str">
        <f>"163.14"</f>
        <v>163.14</v>
      </c>
      <c r="BN934" s="15" t="s">
        <v>6632</v>
      </c>
      <c r="BO934" s="15" t="s">
        <v>3951</v>
      </c>
      <c r="BP934" s="15" t="str">
        <f>"90.94"</f>
        <v>90.94</v>
      </c>
      <c r="BQ934" s="15" t="s">
        <v>1130</v>
      </c>
      <c r="BR934" s="15" t="str">
        <f>"17.72"</f>
        <v>17.72</v>
      </c>
      <c r="BS934" s="15" t="s">
        <v>3633</v>
      </c>
      <c r="BT934" s="15" t="str">
        <f>"12.01"</f>
        <v>12.01</v>
      </c>
      <c r="BU934" s="15" t="s">
        <v>844</v>
      </c>
      <c r="BV934" s="15" t="str">
        <f>"125.66"</f>
        <v>125.66</v>
      </c>
      <c r="BW934" s="15" t="s">
        <v>5327</v>
      </c>
      <c r="BX934" s="15" t="s">
        <v>846</v>
      </c>
      <c r="BY934" s="15" t="str">
        <f>"70.08"</f>
        <v>70.08</v>
      </c>
      <c r="BZ934" s="15" t="s">
        <v>957</v>
      </c>
      <c r="CA934" s="15" t="str">
        <f>"29.92"</f>
        <v>29.92</v>
      </c>
      <c r="CB934" s="15" t="s">
        <v>1321</v>
      </c>
      <c r="CC934" s="15" t="str">
        <f>"11.61"</f>
        <v>11.61</v>
      </c>
      <c r="CD934" s="15" t="s">
        <v>4546</v>
      </c>
      <c r="CE934" s="15" t="str">
        <f>"81.57"</f>
        <v>81.57</v>
      </c>
      <c r="CF934" s="15" t="s">
        <v>8208</v>
      </c>
      <c r="CI934" s="15" t="s">
        <v>444</v>
      </c>
      <c r="CK934" s="15" t="s">
        <v>444</v>
      </c>
      <c r="CM934" s="15" t="s">
        <v>444</v>
      </c>
      <c r="CO934" s="15" t="s">
        <v>444</v>
      </c>
      <c r="CP934" s="15" t="str">
        <f>"51.45"</f>
        <v>51.45</v>
      </c>
      <c r="CQ934" s="15" t="str">
        <f>"1.457"</f>
        <v>1.457</v>
      </c>
      <c r="CR934" s="15" t="s">
        <v>497</v>
      </c>
      <c r="DC934" s="15" t="str">
        <f>IFERROR(__xludf.DUMMYFUNCTION("""COMPUTED_VALUE"""),"")</f>
        <v/>
      </c>
      <c r="DE934" s="15" t="str">
        <f>IFERROR(__xludf.DUMMYFUNCTION("""COMPUTED_VALUE"""),"")</f>
        <v/>
      </c>
      <c r="DG934" s="15" t="str">
        <f>IFERROR(__xludf.DUMMYFUNCTION("""COMPUTED_VALUE"""),"")</f>
        <v/>
      </c>
      <c r="DK934" s="15" t="s">
        <v>718</v>
      </c>
      <c r="DL934" s="15" t="str">
        <f>IFERROR(__xludf.DUMMYFUNCTION("""COMPUTED_VALUE"""),"Vacuum or light brush only. Do not use water or any cleaning products.")</f>
        <v>Vacuum or light brush only. Do not use water or any cleaning products.</v>
      </c>
      <c r="DM934" s="15" t="s">
        <v>719</v>
      </c>
      <c r="DN934" s="15" t="s">
        <v>419</v>
      </c>
      <c r="DO934" s="15">
        <v>0.0</v>
      </c>
      <c r="DP934" s="15" t="s">
        <v>419</v>
      </c>
      <c r="DR934" s="15">
        <v>0.0</v>
      </c>
      <c r="DT934" s="15" t="s">
        <v>3952</v>
      </c>
      <c r="DU934" s="15" t="s">
        <v>419</v>
      </c>
      <c r="DW934" s="15">
        <v>0.0</v>
      </c>
      <c r="DX934" s="15">
        <v>0.0</v>
      </c>
      <c r="DY934" s="15">
        <v>0.0</v>
      </c>
      <c r="DZ934" s="15">
        <v>30000.0</v>
      </c>
      <c r="EG934" s="15" t="s">
        <v>444</v>
      </c>
      <c r="EH934" s="15" t="s">
        <v>9393</v>
      </c>
      <c r="EJ934" s="15" t="s">
        <v>858</v>
      </c>
      <c r="EK934" s="15" t="s">
        <v>859</v>
      </c>
      <c r="EM934" s="15" t="str">
        <f>IFERROR(__xludf.DUMMYFUNCTION("""COMPUTED_VALUE"""),"")</f>
        <v/>
      </c>
      <c r="FM934" s="15">
        <v>0.0</v>
      </c>
      <c r="IO934" s="15" t="s">
        <v>2603</v>
      </c>
      <c r="IP934" s="15" t="s">
        <v>9117</v>
      </c>
      <c r="IQ934" s="15" t="s">
        <v>9394</v>
      </c>
      <c r="IR934" s="15" t="s">
        <v>8998</v>
      </c>
      <c r="IS934" s="15" t="s">
        <v>1232</v>
      </c>
      <c r="IT934" s="15" t="s">
        <v>9394</v>
      </c>
      <c r="IU934" s="15" t="s">
        <v>8998</v>
      </c>
      <c r="IV934" s="15" t="s">
        <v>2971</v>
      </c>
      <c r="IW934" s="15" t="s">
        <v>1957</v>
      </c>
      <c r="IX934" s="15" t="s">
        <v>890</v>
      </c>
      <c r="IY934" s="15" t="s">
        <v>531</v>
      </c>
      <c r="IZ934" s="15" t="s">
        <v>1120</v>
      </c>
      <c r="JA934" s="15" t="s">
        <v>3658</v>
      </c>
      <c r="JB934" s="15" t="s">
        <v>426</v>
      </c>
      <c r="JC934" s="15" t="s">
        <v>2471</v>
      </c>
      <c r="JD934" s="15" t="s">
        <v>872</v>
      </c>
      <c r="JE934" s="15" t="s">
        <v>873</v>
      </c>
      <c r="JF934" s="15" t="s">
        <v>877</v>
      </c>
      <c r="JL934" s="15" t="s">
        <v>6948</v>
      </c>
      <c r="JM934" s="15" t="s">
        <v>7172</v>
      </c>
      <c r="JO934" s="15" t="s">
        <v>426</v>
      </c>
      <c r="JP934" s="15" t="s">
        <v>2474</v>
      </c>
      <c r="JS934" s="15" t="s">
        <v>6433</v>
      </c>
      <c r="JT934" s="15" t="s">
        <v>7397</v>
      </c>
    </row>
    <row r="935" ht="15.75" customHeight="1">
      <c r="A935" s="14" t="s">
        <v>391</v>
      </c>
      <c r="B935" s="15" t="s">
        <v>9382</v>
      </c>
      <c r="C935" s="16"/>
      <c r="D935" s="15" t="s">
        <v>432</v>
      </c>
      <c r="G935" s="14" t="s">
        <v>393</v>
      </c>
      <c r="H935" s="14" t="s">
        <v>394</v>
      </c>
      <c r="I935" s="14" t="b">
        <v>1</v>
      </c>
      <c r="J935" s="14" t="s">
        <v>395</v>
      </c>
      <c r="L935" s="14" t="b">
        <v>0</v>
      </c>
      <c r="M935" s="15" t="s">
        <v>9406</v>
      </c>
      <c r="N935" s="14" t="s">
        <v>393</v>
      </c>
      <c r="O935" s="14" t="s">
        <v>393</v>
      </c>
      <c r="P935" s="15" t="s">
        <v>397</v>
      </c>
      <c r="Q935" s="15" t="s">
        <v>2120</v>
      </c>
      <c r="R935" s="15" t="s">
        <v>265</v>
      </c>
      <c r="S935" s="15" t="s">
        <v>828</v>
      </c>
      <c r="T935" s="14" t="b">
        <v>0</v>
      </c>
      <c r="U935" s="15" t="s">
        <v>9407</v>
      </c>
      <c r="V935" s="15" t="s">
        <v>9397</v>
      </c>
      <c r="W935" s="15" t="s">
        <v>401</v>
      </c>
      <c r="X935" s="15" t="s">
        <v>742</v>
      </c>
      <c r="Y935" s="15">
        <v>3393.0</v>
      </c>
      <c r="AA935" s="15" t="str">
        <f>"1305"</f>
        <v>1305</v>
      </c>
      <c r="AB935" s="14" t="b">
        <v>1</v>
      </c>
      <c r="AC935" s="14" t="b">
        <v>1</v>
      </c>
      <c r="AD935" s="15" t="str">
        <f>"801542966072"</f>
        <v>801542966072</v>
      </c>
      <c r="AE935" s="15" t="s">
        <v>9403</v>
      </c>
      <c r="AF935" s="14" t="s">
        <v>404</v>
      </c>
      <c r="AG935" s="14" t="s">
        <v>405</v>
      </c>
      <c r="AH935" s="14" t="s">
        <v>406</v>
      </c>
      <c r="AI935" s="15">
        <v>0.0</v>
      </c>
      <c r="AL935" s="15" t="s">
        <v>9404</v>
      </c>
      <c r="AM935" s="15" t="s">
        <v>1026</v>
      </c>
      <c r="AN935" s="15" t="s">
        <v>1027</v>
      </c>
      <c r="AO935" s="15" t="s">
        <v>9389</v>
      </c>
      <c r="AP935" s="15" t="s">
        <v>9390</v>
      </c>
      <c r="AQ935" s="15" t="s">
        <v>5528</v>
      </c>
      <c r="AR935" s="15" t="s">
        <v>5529</v>
      </c>
      <c r="AS935" s="15" t="s">
        <v>1030</v>
      </c>
      <c r="AT935" s="15" t="s">
        <v>2120</v>
      </c>
      <c r="AU935" s="15" t="s">
        <v>9391</v>
      </c>
      <c r="AW935" s="15" t="s">
        <v>839</v>
      </c>
      <c r="AX935" s="15" t="s">
        <v>828</v>
      </c>
      <c r="AY935" s="15" t="s">
        <v>413</v>
      </c>
      <c r="AZ935" s="15" t="b">
        <v>0</v>
      </c>
      <c r="BA935" s="15" t="s">
        <v>413</v>
      </c>
      <c r="BB935" s="15" t="b">
        <v>0</v>
      </c>
      <c r="BC935" s="15" t="s">
        <v>9405</v>
      </c>
      <c r="BD935" s="15" t="s">
        <v>742</v>
      </c>
      <c r="BE935" s="15" t="str">
        <f t="shared" si="1605"/>
        <v>3</v>
      </c>
      <c r="BF935" s="15" t="s">
        <v>9408</v>
      </c>
      <c r="BG935" s="15" t="str">
        <f>"87.4"</f>
        <v>87.4</v>
      </c>
      <c r="BH935" s="15" t="s">
        <v>1032</v>
      </c>
      <c r="BI935" s="15" t="str">
        <f>"12.8"</f>
        <v>12.8</v>
      </c>
      <c r="BJ935" s="15" t="s">
        <v>5315</v>
      </c>
      <c r="BK935" s="15" t="str">
        <f>"56.3"</f>
        <v>56.3</v>
      </c>
      <c r="BL935" s="15" t="s">
        <v>3400</v>
      </c>
      <c r="BM935" s="15" t="str">
        <f>"179.68"</f>
        <v>179.68</v>
      </c>
      <c r="BN935" s="15" t="s">
        <v>9399</v>
      </c>
      <c r="BO935" s="15" t="s">
        <v>3951</v>
      </c>
      <c r="BP935" s="15" t="str">
        <f>"92.52"</f>
        <v>92.52</v>
      </c>
      <c r="BQ935" s="15" t="s">
        <v>7526</v>
      </c>
      <c r="BR935" s="15" t="str">
        <f>"18.9"</f>
        <v>18.9</v>
      </c>
      <c r="BS935" s="15" t="s">
        <v>552</v>
      </c>
      <c r="BT935" s="15" t="str">
        <f>"12.4"</f>
        <v>12.4</v>
      </c>
      <c r="BU935" s="15" t="s">
        <v>5845</v>
      </c>
      <c r="BV935" s="15" t="str">
        <f>"143.3"</f>
        <v>143.3</v>
      </c>
      <c r="BW935" s="15" t="s">
        <v>3950</v>
      </c>
      <c r="BX935" s="15" t="s">
        <v>846</v>
      </c>
      <c r="BY935" s="15" t="str">
        <f>"87.4"</f>
        <v>87.4</v>
      </c>
      <c r="BZ935" s="15" t="s">
        <v>1032</v>
      </c>
      <c r="CA935" s="15" t="str">
        <f>"12.01"</f>
        <v>12.01</v>
      </c>
      <c r="CB935" s="15" t="s">
        <v>844</v>
      </c>
      <c r="CC935" s="15" t="str">
        <f>"31.69"</f>
        <v>31.69</v>
      </c>
      <c r="CD935" s="15" t="s">
        <v>3110</v>
      </c>
      <c r="CE935" s="15" t="str">
        <f>"111.33"</f>
        <v>111.33</v>
      </c>
      <c r="CF935" s="15" t="s">
        <v>5502</v>
      </c>
      <c r="CI935" s="15" t="s">
        <v>444</v>
      </c>
      <c r="CK935" s="15" t="s">
        <v>444</v>
      </c>
      <c r="CM935" s="15" t="s">
        <v>444</v>
      </c>
      <c r="CO935" s="15" t="s">
        <v>444</v>
      </c>
      <c r="CP935" s="15" t="str">
        <f>"68.23"</f>
        <v>68.23</v>
      </c>
      <c r="CQ935" s="15" t="str">
        <f>"1.932"</f>
        <v>1.932</v>
      </c>
      <c r="CR935" s="15" t="s">
        <v>497</v>
      </c>
      <c r="DC935" s="15" t="str">
        <f>IFERROR(__xludf.DUMMYFUNCTION("""COMPUTED_VALUE"""),"")</f>
        <v/>
      </c>
      <c r="DE935" s="15" t="str">
        <f>IFERROR(__xludf.DUMMYFUNCTION("""COMPUTED_VALUE"""),"")</f>
        <v/>
      </c>
      <c r="DG935" s="15" t="str">
        <f>IFERROR(__xludf.DUMMYFUNCTION("""COMPUTED_VALUE"""),"")</f>
        <v/>
      </c>
      <c r="DK935" s="15" t="s">
        <v>718</v>
      </c>
      <c r="DL935" s="15" t="str">
        <f>IFERROR(__xludf.DUMMYFUNCTION("""COMPUTED_VALUE"""),"Vacuum or light brush only. Do not use water or any cleaning products.")</f>
        <v>Vacuum or light brush only. Do not use water or any cleaning products.</v>
      </c>
      <c r="DM935" s="15" t="s">
        <v>719</v>
      </c>
      <c r="DN935" s="15" t="s">
        <v>419</v>
      </c>
      <c r="DO935" s="15">
        <v>0.0</v>
      </c>
      <c r="DP935" s="15" t="s">
        <v>419</v>
      </c>
      <c r="DR935" s="15">
        <v>0.0</v>
      </c>
      <c r="DT935" s="15" t="s">
        <v>3952</v>
      </c>
      <c r="DU935" s="15" t="s">
        <v>419</v>
      </c>
      <c r="DW935" s="15">
        <v>0.0</v>
      </c>
      <c r="DX935" s="15">
        <v>0.0</v>
      </c>
      <c r="DY935" s="15">
        <v>0.0</v>
      </c>
      <c r="DZ935" s="15">
        <v>30000.0</v>
      </c>
      <c r="EG935" s="15" t="s">
        <v>444</v>
      </c>
      <c r="EH935" s="15" t="s">
        <v>9393</v>
      </c>
      <c r="EJ935" s="15" t="s">
        <v>858</v>
      </c>
      <c r="EK935" s="15" t="s">
        <v>859</v>
      </c>
      <c r="EM935" s="15" t="str">
        <f>IFERROR(__xludf.DUMMYFUNCTION("""COMPUTED_VALUE"""),"")</f>
        <v/>
      </c>
      <c r="FM935" s="15">
        <v>0.0</v>
      </c>
      <c r="IO935" s="15" t="s">
        <v>2603</v>
      </c>
      <c r="IP935" s="15" t="s">
        <v>9117</v>
      </c>
      <c r="IQ935" s="15" t="s">
        <v>9394</v>
      </c>
      <c r="IR935" s="15" t="s">
        <v>9400</v>
      </c>
      <c r="IS935" s="15" t="s">
        <v>1232</v>
      </c>
      <c r="IT935" s="15" t="s">
        <v>9394</v>
      </c>
      <c r="IU935" s="15" t="s">
        <v>9400</v>
      </c>
      <c r="IV935" s="15" t="s">
        <v>2971</v>
      </c>
      <c r="IW935" s="15" t="s">
        <v>1957</v>
      </c>
      <c r="IX935" s="15" t="s">
        <v>869</v>
      </c>
      <c r="IY935" s="15" t="s">
        <v>531</v>
      </c>
      <c r="IZ935" s="15" t="s">
        <v>1120</v>
      </c>
      <c r="JA935" s="15" t="s">
        <v>3658</v>
      </c>
      <c r="JB935" s="15" t="s">
        <v>426</v>
      </c>
      <c r="JC935" s="15" t="s">
        <v>2471</v>
      </c>
      <c r="JD935" s="15" t="s">
        <v>872</v>
      </c>
      <c r="JE935" s="15" t="s">
        <v>873</v>
      </c>
      <c r="JF935" s="15" t="s">
        <v>828</v>
      </c>
      <c r="JL935" s="15" t="s">
        <v>6948</v>
      </c>
      <c r="JM935" s="15" t="s">
        <v>7172</v>
      </c>
      <c r="JO935" s="15" t="s">
        <v>426</v>
      </c>
      <c r="JP935" s="15" t="s">
        <v>2474</v>
      </c>
      <c r="JS935" s="15" t="s">
        <v>6433</v>
      </c>
      <c r="JT935" s="15" t="s">
        <v>6451</v>
      </c>
    </row>
    <row r="936" ht="15.75" customHeight="1">
      <c r="A936" s="14" t="s">
        <v>391</v>
      </c>
      <c r="B936" s="15" t="s">
        <v>9409</v>
      </c>
      <c r="C936" s="16"/>
      <c r="D936" s="15" t="s">
        <v>432</v>
      </c>
      <c r="G936" s="14" t="s">
        <v>393</v>
      </c>
      <c r="H936" s="14" t="s">
        <v>394</v>
      </c>
      <c r="I936" s="14" t="b">
        <v>1</v>
      </c>
      <c r="J936" s="14" t="s">
        <v>395</v>
      </c>
      <c r="L936" s="14" t="b">
        <v>0</v>
      </c>
      <c r="M936" s="15" t="s">
        <v>9410</v>
      </c>
      <c r="N936" s="14" t="s">
        <v>393</v>
      </c>
      <c r="O936" s="14" t="s">
        <v>393</v>
      </c>
      <c r="P936" s="15" t="s">
        <v>397</v>
      </c>
      <c r="Q936" s="15" t="s">
        <v>1021</v>
      </c>
      <c r="T936" s="14" t="b">
        <v>0</v>
      </c>
      <c r="U936" s="15" t="s">
        <v>9411</v>
      </c>
      <c r="V936" s="15" t="s">
        <v>9412</v>
      </c>
      <c r="W936" s="15" t="s">
        <v>401</v>
      </c>
      <c r="X936" s="15" t="s">
        <v>1296</v>
      </c>
      <c r="Y936" s="15">
        <v>3068.0</v>
      </c>
      <c r="AA936" s="15" t="str">
        <f>"1180"</f>
        <v>1180</v>
      </c>
      <c r="AB936" s="14" t="b">
        <v>1</v>
      </c>
      <c r="AC936" s="14" t="b">
        <v>1</v>
      </c>
      <c r="AD936" s="15" t="str">
        <f>"801542232832"</f>
        <v>801542232832</v>
      </c>
      <c r="AE936" s="15" t="s">
        <v>9413</v>
      </c>
      <c r="AF936" s="14" t="s">
        <v>404</v>
      </c>
      <c r="AG936" s="14" t="s">
        <v>405</v>
      </c>
      <c r="AH936" s="14" t="s">
        <v>406</v>
      </c>
      <c r="AI936" s="15">
        <v>0.0</v>
      </c>
      <c r="AL936" s="15" t="s">
        <v>2354</v>
      </c>
      <c r="AM936" s="15" t="s">
        <v>1872</v>
      </c>
      <c r="AN936" s="15" t="s">
        <v>1873</v>
      </c>
      <c r="AO936" s="15" t="s">
        <v>9414</v>
      </c>
      <c r="AP936" s="15" t="s">
        <v>9415</v>
      </c>
      <c r="AQ936" s="15" t="s">
        <v>546</v>
      </c>
      <c r="AR936" s="15" t="s">
        <v>547</v>
      </c>
      <c r="AS936" s="15" t="s">
        <v>2875</v>
      </c>
      <c r="AT936" s="15" t="s">
        <v>1021</v>
      </c>
      <c r="AW936" s="15" t="s">
        <v>548</v>
      </c>
      <c r="AX936" s="15" t="s">
        <v>549</v>
      </c>
      <c r="AY936" s="15" t="s">
        <v>413</v>
      </c>
      <c r="AZ936" s="15" t="b">
        <v>0</v>
      </c>
      <c r="BA936" s="15" t="s">
        <v>413</v>
      </c>
      <c r="BB936" s="15" t="b">
        <v>0</v>
      </c>
      <c r="BC936" s="15" t="s">
        <v>9416</v>
      </c>
      <c r="BD936" s="15" t="s">
        <v>1303</v>
      </c>
      <c r="BE936" s="15" t="str">
        <f t="shared" ref="BE936:BE937" si="1606">"1"</f>
        <v>1</v>
      </c>
      <c r="BF936" s="15" t="s">
        <v>416</v>
      </c>
      <c r="BG936" s="15" t="str">
        <f>"99"</f>
        <v>99</v>
      </c>
      <c r="BH936" s="15" t="s">
        <v>9417</v>
      </c>
      <c r="BI936" s="15" t="str">
        <f>"11.5"</f>
        <v>11.5</v>
      </c>
      <c r="BJ936" s="15" t="s">
        <v>6805</v>
      </c>
      <c r="BK936" s="15" t="str">
        <f>"46"</f>
        <v>46</v>
      </c>
      <c r="BL936" s="15" t="s">
        <v>2395</v>
      </c>
      <c r="BM936" s="15" t="str">
        <f>"234.13"</f>
        <v>234.13</v>
      </c>
      <c r="BN936" s="15" t="s">
        <v>9418</v>
      </c>
      <c r="BQ936" s="15" t="s">
        <v>444</v>
      </c>
      <c r="BS936" s="15" t="s">
        <v>444</v>
      </c>
      <c r="BU936" s="15" t="s">
        <v>444</v>
      </c>
      <c r="BW936" s="15" t="s">
        <v>444</v>
      </c>
      <c r="BZ936" s="15" t="s">
        <v>444</v>
      </c>
      <c r="CB936" s="15" t="s">
        <v>444</v>
      </c>
      <c r="CD936" s="15" t="s">
        <v>444</v>
      </c>
      <c r="CF936" s="15" t="s">
        <v>444</v>
      </c>
      <c r="CI936" s="15" t="s">
        <v>444</v>
      </c>
      <c r="CK936" s="15" t="s">
        <v>444</v>
      </c>
      <c r="CM936" s="15" t="s">
        <v>444</v>
      </c>
      <c r="CO936" s="15" t="s">
        <v>444</v>
      </c>
      <c r="CP936" s="15" t="str">
        <f>"30.3"</f>
        <v>30.3</v>
      </c>
      <c r="CQ936" s="15" t="str">
        <f>"0.858"</f>
        <v>0.858</v>
      </c>
      <c r="CR936" s="15" t="s">
        <v>417</v>
      </c>
      <c r="DC936" s="15" t="str">
        <f>IFERROR(__xludf.DUMMYFUNCTION("""COMPUTED_VALUE"""),"")</f>
        <v/>
      </c>
      <c r="DE936" s="15" t="str">
        <f>IFERROR(__xludf.DUMMYFUNCTION("""COMPUTED_VALUE"""),"")</f>
        <v/>
      </c>
      <c r="DG936" s="15" t="str">
        <f>IFERROR(__xludf.DUMMYFUNCTION("""COMPUTED_VALUE"""),"")</f>
        <v/>
      </c>
      <c r="DL936" s="15" t="str">
        <f>IFERROR(__xludf.DUMMYFUNCTION("""COMPUTED_VALUE"""),"")</f>
        <v/>
      </c>
      <c r="DM936" s="15" t="s">
        <v>444</v>
      </c>
      <c r="DN936" s="15" t="s">
        <v>419</v>
      </c>
      <c r="DO936" s="15">
        <v>0.0</v>
      </c>
      <c r="DP936" s="15" t="s">
        <v>419</v>
      </c>
      <c r="DR936" s="15">
        <v>0.0</v>
      </c>
      <c r="DU936" s="15" t="s">
        <v>419</v>
      </c>
      <c r="DW936" s="15">
        <v>0.0</v>
      </c>
      <c r="DX936" s="15">
        <v>0.0</v>
      </c>
      <c r="DY936" s="15">
        <v>0.0</v>
      </c>
      <c r="EE936" s="15">
        <v>6.0</v>
      </c>
      <c r="EF936" s="15" t="s">
        <v>471</v>
      </c>
      <c r="EG936" s="15" t="s">
        <v>472</v>
      </c>
      <c r="EH936" s="15" t="s">
        <v>9419</v>
      </c>
      <c r="EJ936" s="15" t="s">
        <v>424</v>
      </c>
      <c r="EK936" s="15" t="s">
        <v>446</v>
      </c>
      <c r="EM936" s="15" t="str">
        <f>IFERROR(__xludf.DUMMYFUNCTION("""COMPUTED_VALUE"""),"")</f>
        <v/>
      </c>
      <c r="EW936" s="15" t="s">
        <v>1806</v>
      </c>
      <c r="EX936" s="15" t="s">
        <v>734</v>
      </c>
      <c r="EY936" s="15" t="s">
        <v>2379</v>
      </c>
      <c r="FH936" s="15" t="s">
        <v>429</v>
      </c>
      <c r="FI936" s="15" t="s">
        <v>558</v>
      </c>
      <c r="FJ936" s="15" t="s">
        <v>3011</v>
      </c>
      <c r="FK936" s="15" t="s">
        <v>1188</v>
      </c>
      <c r="FL936" s="15" t="s">
        <v>426</v>
      </c>
      <c r="FM936" s="15">
        <v>0.0</v>
      </c>
      <c r="FN936" s="15">
        <v>0.0</v>
      </c>
      <c r="FU936" s="15" t="s">
        <v>9420</v>
      </c>
      <c r="FV936" s="15" t="s">
        <v>1806</v>
      </c>
      <c r="FX936" s="15" t="s">
        <v>559</v>
      </c>
      <c r="GO936" s="15" t="s">
        <v>426</v>
      </c>
    </row>
    <row r="937" ht="15.75" customHeight="1">
      <c r="A937" s="14" t="s">
        <v>391</v>
      </c>
      <c r="B937" s="15" t="s">
        <v>9421</v>
      </c>
      <c r="C937" s="16"/>
      <c r="D937" s="15" t="s">
        <v>432</v>
      </c>
      <c r="G937" s="14" t="s">
        <v>393</v>
      </c>
      <c r="H937" s="14" t="s">
        <v>394</v>
      </c>
      <c r="I937" s="14" t="b">
        <v>1</v>
      </c>
      <c r="J937" s="14" t="s">
        <v>395</v>
      </c>
      <c r="L937" s="14" t="b">
        <v>0</v>
      </c>
      <c r="M937" s="15" t="s">
        <v>9422</v>
      </c>
      <c r="N937" s="14" t="s">
        <v>393</v>
      </c>
      <c r="O937" s="14" t="s">
        <v>393</v>
      </c>
      <c r="P937" s="15" t="s">
        <v>397</v>
      </c>
      <c r="Q937" s="15" t="s">
        <v>9423</v>
      </c>
      <c r="T937" s="14" t="b">
        <v>0</v>
      </c>
      <c r="U937" s="15" t="s">
        <v>9424</v>
      </c>
      <c r="V937" s="15" t="s">
        <v>2208</v>
      </c>
      <c r="W937" s="15" t="s">
        <v>401</v>
      </c>
      <c r="X937" s="15" t="s">
        <v>742</v>
      </c>
      <c r="Y937" s="15">
        <v>390.0</v>
      </c>
      <c r="AA937" s="15" t="str">
        <f>"150"</f>
        <v>150</v>
      </c>
      <c r="AB937" s="14" t="b">
        <v>1</v>
      </c>
      <c r="AC937" s="14" t="b">
        <v>1</v>
      </c>
      <c r="AD937" s="15" t="str">
        <f>"801542769772"</f>
        <v>801542769772</v>
      </c>
      <c r="AE937" s="15" t="s">
        <v>9425</v>
      </c>
      <c r="AF937" s="14" t="s">
        <v>404</v>
      </c>
      <c r="AG937" s="14" t="s">
        <v>405</v>
      </c>
      <c r="AH937" s="14" t="s">
        <v>406</v>
      </c>
      <c r="AI937" s="15">
        <v>0.0</v>
      </c>
      <c r="AL937" s="15" t="s">
        <v>5803</v>
      </c>
      <c r="AM937" s="15" t="s">
        <v>1675</v>
      </c>
      <c r="AN937" s="15" t="s">
        <v>1676</v>
      </c>
      <c r="AO937" s="15" t="s">
        <v>1675</v>
      </c>
      <c r="AP937" s="15" t="s">
        <v>1676</v>
      </c>
      <c r="AQ937" s="15" t="s">
        <v>456</v>
      </c>
      <c r="AR937" s="15" t="s">
        <v>457</v>
      </c>
      <c r="AS937" s="15" t="s">
        <v>5444</v>
      </c>
      <c r="AT937" s="15" t="s">
        <v>9423</v>
      </c>
      <c r="AW937" s="15" t="s">
        <v>1154</v>
      </c>
      <c r="AY937" s="15" t="s">
        <v>413</v>
      </c>
      <c r="AZ937" s="15" t="b">
        <v>0</v>
      </c>
      <c r="BA937" s="15" t="s">
        <v>413</v>
      </c>
      <c r="BB937" s="15" t="b">
        <v>0</v>
      </c>
      <c r="BC937" s="15" t="s">
        <v>9426</v>
      </c>
      <c r="BD937" s="15" t="s">
        <v>742</v>
      </c>
      <c r="BE937" s="15" t="str">
        <f t="shared" si="1606"/>
        <v>1</v>
      </c>
      <c r="BF937" s="15" t="s">
        <v>416</v>
      </c>
      <c r="BG937" s="15" t="str">
        <f>"25.2"</f>
        <v>25.2</v>
      </c>
      <c r="BH937" s="15" t="s">
        <v>585</v>
      </c>
      <c r="BI937" s="15" t="str">
        <f>"25.2"</f>
        <v>25.2</v>
      </c>
      <c r="BJ937" s="15" t="s">
        <v>585</v>
      </c>
      <c r="BK937" s="15" t="str">
        <f>"12.01"</f>
        <v>12.01</v>
      </c>
      <c r="BL937" s="15" t="s">
        <v>844</v>
      </c>
      <c r="BM937" s="15" t="str">
        <f>"35.27"</f>
        <v>35.27</v>
      </c>
      <c r="BN937" s="15" t="s">
        <v>6741</v>
      </c>
      <c r="BQ937" s="15" t="s">
        <v>444</v>
      </c>
      <c r="BS937" s="15" t="s">
        <v>444</v>
      </c>
      <c r="BU937" s="15" t="s">
        <v>444</v>
      </c>
      <c r="BW937" s="15" t="s">
        <v>444</v>
      </c>
      <c r="BZ937" s="15" t="s">
        <v>444</v>
      </c>
      <c r="CB937" s="15" t="s">
        <v>444</v>
      </c>
      <c r="CD937" s="15" t="s">
        <v>444</v>
      </c>
      <c r="CF937" s="15" t="s">
        <v>444</v>
      </c>
      <c r="CI937" s="15" t="s">
        <v>444</v>
      </c>
      <c r="CK937" s="15" t="s">
        <v>444</v>
      </c>
      <c r="CM937" s="15" t="s">
        <v>444</v>
      </c>
      <c r="CO937" s="15" t="s">
        <v>444</v>
      </c>
      <c r="CP937" s="15" t="str">
        <f>"4.41"</f>
        <v>4.41</v>
      </c>
      <c r="CQ937" s="15" t="str">
        <f>"0.125"</f>
        <v>0.125</v>
      </c>
      <c r="CR937" s="15" t="s">
        <v>417</v>
      </c>
      <c r="DC937" s="15" t="str">
        <f>IFERROR(__xludf.DUMMYFUNCTION("""COMPUTED_VALUE"""),"")</f>
        <v/>
      </c>
      <c r="DE937" s="15" t="str">
        <f>IFERROR(__xludf.DUMMYFUNCTION("""COMPUTED_VALUE"""),"")</f>
        <v/>
      </c>
      <c r="DG937" s="15" t="str">
        <f>IFERROR(__xludf.DUMMYFUNCTION("""COMPUTED_VALUE"""),"")</f>
        <v/>
      </c>
      <c r="DL937" s="15" t="str">
        <f>IFERROR(__xludf.DUMMYFUNCTION("""COMPUTED_VALUE"""),"")</f>
        <v/>
      </c>
      <c r="DM937" s="15" t="s">
        <v>444</v>
      </c>
      <c r="DN937" s="15" t="s">
        <v>419</v>
      </c>
      <c r="DO937" s="15">
        <v>0.0</v>
      </c>
      <c r="DP937" s="15" t="s">
        <v>419</v>
      </c>
      <c r="DR937" s="15">
        <v>0.0</v>
      </c>
      <c r="DT937" s="15" t="s">
        <v>420</v>
      </c>
      <c r="DU937" s="15" t="s">
        <v>419</v>
      </c>
      <c r="DY937" s="15">
        <v>0.0</v>
      </c>
      <c r="EF937" s="15" t="s">
        <v>498</v>
      </c>
      <c r="EG937" s="15" t="s">
        <v>499</v>
      </c>
      <c r="EH937" s="15" t="s">
        <v>9427</v>
      </c>
      <c r="EJ937" s="15" t="s">
        <v>500</v>
      </c>
      <c r="EK937" s="15" t="s">
        <v>501</v>
      </c>
      <c r="EM937" s="15" t="str">
        <f>IFERROR(__xludf.DUMMYFUNCTION("""COMPUTED_VALUE"""),"")</f>
        <v/>
      </c>
      <c r="EW937" s="15" t="s">
        <v>5533</v>
      </c>
      <c r="EY937" s="15" t="s">
        <v>7065</v>
      </c>
      <c r="FH937" s="15" t="s">
        <v>1238</v>
      </c>
      <c r="FI937" s="15" t="s">
        <v>3775</v>
      </c>
      <c r="FJ937" s="15" t="s">
        <v>4685</v>
      </c>
      <c r="FK937" s="15" t="s">
        <v>1957</v>
      </c>
      <c r="FL937" s="15" t="s">
        <v>426</v>
      </c>
      <c r="FM937" s="15">
        <v>0.0</v>
      </c>
      <c r="FN937" s="15">
        <v>0.0</v>
      </c>
      <c r="FW937" s="15" t="s">
        <v>2505</v>
      </c>
    </row>
    <row r="938" ht="15.75" customHeight="1">
      <c r="A938" s="14" t="s">
        <v>391</v>
      </c>
      <c r="B938" s="15" t="s">
        <v>9428</v>
      </c>
      <c r="C938" s="16"/>
      <c r="D938" s="15" t="s">
        <v>432</v>
      </c>
      <c r="G938" s="14" t="s">
        <v>393</v>
      </c>
      <c r="H938" s="14" t="s">
        <v>394</v>
      </c>
      <c r="I938" s="14" t="b">
        <v>1</v>
      </c>
      <c r="J938" s="14" t="s">
        <v>395</v>
      </c>
      <c r="L938" s="14" t="b">
        <v>0</v>
      </c>
      <c r="M938" s="15" t="s">
        <v>9429</v>
      </c>
      <c r="N938" s="14" t="s">
        <v>393</v>
      </c>
      <c r="O938" s="14" t="s">
        <v>393</v>
      </c>
      <c r="P938" s="15" t="s">
        <v>397</v>
      </c>
      <c r="Q938" s="15" t="s">
        <v>9423</v>
      </c>
      <c r="T938" s="14" t="b">
        <v>0</v>
      </c>
      <c r="U938" s="15" t="s">
        <v>9430</v>
      </c>
      <c r="V938" s="15" t="s">
        <v>4106</v>
      </c>
      <c r="W938" s="15" t="s">
        <v>401</v>
      </c>
      <c r="X938" s="15" t="s">
        <v>742</v>
      </c>
      <c r="Y938" s="15">
        <v>1976.0</v>
      </c>
      <c r="AA938" s="15" t="str">
        <f>"760"</f>
        <v>760</v>
      </c>
      <c r="AB938" s="14" t="b">
        <v>1</v>
      </c>
      <c r="AC938" s="14" t="b">
        <v>1</v>
      </c>
      <c r="AD938" s="15" t="str">
        <f>"801542908003"</f>
        <v>801542908003</v>
      </c>
      <c r="AE938" s="15" t="s">
        <v>9431</v>
      </c>
      <c r="AF938" s="14" t="s">
        <v>404</v>
      </c>
      <c r="AG938" s="14" t="s">
        <v>405</v>
      </c>
      <c r="AH938" s="14" t="s">
        <v>406</v>
      </c>
      <c r="AI938" s="15">
        <v>0.0</v>
      </c>
      <c r="AL938" s="15" t="s">
        <v>5803</v>
      </c>
      <c r="AM938" s="15" t="s">
        <v>408</v>
      </c>
      <c r="AN938" s="15" t="s">
        <v>437</v>
      </c>
      <c r="AO938" s="15" t="s">
        <v>409</v>
      </c>
      <c r="AP938" s="15" t="s">
        <v>438</v>
      </c>
      <c r="AQ938" s="15" t="s">
        <v>1801</v>
      </c>
      <c r="AR938" s="15" t="s">
        <v>1322</v>
      </c>
      <c r="AS938" s="15" t="s">
        <v>5444</v>
      </c>
      <c r="AT938" s="15" t="s">
        <v>9423</v>
      </c>
      <c r="AW938" s="15" t="s">
        <v>664</v>
      </c>
      <c r="AY938" s="15" t="s">
        <v>413</v>
      </c>
      <c r="AZ938" s="15" t="b">
        <v>0</v>
      </c>
      <c r="BA938" s="15" t="s">
        <v>413</v>
      </c>
      <c r="BB938" s="15" t="b">
        <v>0</v>
      </c>
      <c r="BC938" s="15" t="s">
        <v>9432</v>
      </c>
      <c r="BD938" s="15" t="s">
        <v>742</v>
      </c>
      <c r="BE938" s="15" t="str">
        <f>"2"</f>
        <v>2</v>
      </c>
      <c r="BF938" s="15" t="s">
        <v>2238</v>
      </c>
      <c r="BG938" s="15" t="str">
        <f>"28.54"</f>
        <v>28.54</v>
      </c>
      <c r="BH938" s="15" t="s">
        <v>3923</v>
      </c>
      <c r="BI938" s="15" t="str">
        <f>"21.26"</f>
        <v>21.26</v>
      </c>
      <c r="BJ938" s="15" t="s">
        <v>684</v>
      </c>
      <c r="BK938" s="15" t="str">
        <f>"10.83"</f>
        <v>10.83</v>
      </c>
      <c r="BL938" s="15" t="s">
        <v>3968</v>
      </c>
      <c r="BM938" s="15" t="str">
        <f>"41.89"</f>
        <v>41.89</v>
      </c>
      <c r="BN938" s="15" t="s">
        <v>933</v>
      </c>
      <c r="BO938" s="15" t="s">
        <v>1564</v>
      </c>
      <c r="BP938" s="15" t="str">
        <f>"77.56"</f>
        <v>77.56</v>
      </c>
      <c r="BQ938" s="15" t="s">
        <v>6772</v>
      </c>
      <c r="BR938" s="15" t="str">
        <f>"23.43"</f>
        <v>23.43</v>
      </c>
      <c r="BS938" s="15" t="s">
        <v>2091</v>
      </c>
      <c r="BT938" s="15" t="str">
        <f>"30.12"</f>
        <v>30.12</v>
      </c>
      <c r="BU938" s="15" t="s">
        <v>7048</v>
      </c>
      <c r="BV938" s="15" t="str">
        <f>"169.76"</f>
        <v>169.76</v>
      </c>
      <c r="BW938" s="15" t="s">
        <v>9433</v>
      </c>
      <c r="BZ938" s="15" t="s">
        <v>444</v>
      </c>
      <c r="CB938" s="15" t="s">
        <v>444</v>
      </c>
      <c r="CD938" s="15" t="s">
        <v>444</v>
      </c>
      <c r="CF938" s="15" t="s">
        <v>444</v>
      </c>
      <c r="CI938" s="15" t="s">
        <v>444</v>
      </c>
      <c r="CK938" s="15" t="s">
        <v>444</v>
      </c>
      <c r="CM938" s="15" t="s">
        <v>444</v>
      </c>
      <c r="CO938" s="15" t="s">
        <v>444</v>
      </c>
      <c r="CP938" s="15" t="str">
        <f>"35.49"</f>
        <v>35.49</v>
      </c>
      <c r="CQ938" s="15" t="str">
        <f>"1.005"</f>
        <v>1.005</v>
      </c>
      <c r="CR938" s="15" t="s">
        <v>417</v>
      </c>
      <c r="CV938" s="15" t="s">
        <v>2654</v>
      </c>
      <c r="CW938" s="15" t="s">
        <v>8058</v>
      </c>
      <c r="CX938" s="15" t="s">
        <v>9434</v>
      </c>
      <c r="DC938" s="15" t="str">
        <f>IFERROR(__xludf.DUMMYFUNCTION("""COMPUTED_VALUE"""),"")</f>
        <v/>
      </c>
      <c r="DE938" s="15" t="str">
        <f>IFERROR(__xludf.DUMMYFUNCTION("""COMPUTED_VALUE"""),"")</f>
        <v/>
      </c>
      <c r="DG938" s="15" t="str">
        <f>IFERROR(__xludf.DUMMYFUNCTION("""COMPUTED_VALUE"""),"")</f>
        <v/>
      </c>
      <c r="DL938" s="15" t="str">
        <f>IFERROR(__xludf.DUMMYFUNCTION("""COMPUTED_VALUE"""),"")</f>
        <v/>
      </c>
      <c r="DM938" s="15" t="s">
        <v>444</v>
      </c>
      <c r="DN938" s="15" t="s">
        <v>419</v>
      </c>
      <c r="DO938" s="15">
        <v>0.0</v>
      </c>
      <c r="DP938" s="15" t="s">
        <v>419</v>
      </c>
      <c r="DR938" s="15">
        <v>0.0</v>
      </c>
      <c r="DT938" s="15" t="s">
        <v>420</v>
      </c>
      <c r="DU938" s="15" t="s">
        <v>610</v>
      </c>
      <c r="DW938" s="15">
        <v>18.14</v>
      </c>
      <c r="DX938" s="15">
        <v>40.0</v>
      </c>
      <c r="DY938" s="15">
        <v>2.0</v>
      </c>
      <c r="EG938" s="15" t="s">
        <v>444</v>
      </c>
      <c r="EH938" s="15" t="s">
        <v>9427</v>
      </c>
      <c r="EJ938" s="15" t="s">
        <v>424</v>
      </c>
      <c r="EK938" s="15" t="s">
        <v>446</v>
      </c>
      <c r="EM938" s="15" t="str">
        <f>IFERROR(__xludf.DUMMYFUNCTION("""COMPUTED_VALUE"""),"")</f>
        <v/>
      </c>
      <c r="EW938" s="15" t="s">
        <v>1955</v>
      </c>
      <c r="FL938" s="15" t="s">
        <v>426</v>
      </c>
      <c r="FM938" s="15">
        <v>2.0</v>
      </c>
      <c r="FY938" s="15" t="s">
        <v>2497</v>
      </c>
      <c r="FZ938" s="15" t="s">
        <v>782</v>
      </c>
      <c r="GA938" s="15" t="s">
        <v>1429</v>
      </c>
      <c r="GB938" s="15" t="s">
        <v>2654</v>
      </c>
      <c r="GC938" s="15" t="s">
        <v>782</v>
      </c>
      <c r="GD938" s="15" t="s">
        <v>9434</v>
      </c>
      <c r="GE938" s="15">
        <v>0.0</v>
      </c>
      <c r="GF938" s="15" t="s">
        <v>426</v>
      </c>
      <c r="GG938" s="15" t="s">
        <v>1883</v>
      </c>
      <c r="GH938" s="15">
        <v>4.0</v>
      </c>
      <c r="GI938" s="15" t="s">
        <v>614</v>
      </c>
      <c r="GJ938" s="15" t="s">
        <v>1045</v>
      </c>
      <c r="GK938" s="15">
        <v>0.0</v>
      </c>
      <c r="GL938" s="15" t="s">
        <v>426</v>
      </c>
      <c r="GN938" s="15" t="s">
        <v>616</v>
      </c>
      <c r="HA938" s="15" t="s">
        <v>2654</v>
      </c>
      <c r="HB938" s="15" t="s">
        <v>8058</v>
      </c>
      <c r="HC938" s="15" t="s">
        <v>9434</v>
      </c>
      <c r="HW938" s="15" t="s">
        <v>1957</v>
      </c>
      <c r="IH938" s="15" t="s">
        <v>426</v>
      </c>
      <c r="LE938" s="15" t="s">
        <v>426</v>
      </c>
    </row>
    <row r="939" ht="15.75" customHeight="1">
      <c r="A939" s="14" t="s">
        <v>391</v>
      </c>
      <c r="B939" s="15" t="s">
        <v>9435</v>
      </c>
      <c r="C939" s="16"/>
      <c r="D939" s="15" t="s">
        <v>432</v>
      </c>
      <c r="G939" s="14" t="s">
        <v>393</v>
      </c>
      <c r="H939" s="14" t="s">
        <v>394</v>
      </c>
      <c r="I939" s="14" t="b">
        <v>1</v>
      </c>
      <c r="J939" s="14" t="s">
        <v>395</v>
      </c>
      <c r="L939" s="14" t="b">
        <v>0</v>
      </c>
      <c r="M939" s="15" t="s">
        <v>9436</v>
      </c>
      <c r="N939" s="14" t="s">
        <v>393</v>
      </c>
      <c r="O939" s="14" t="s">
        <v>393</v>
      </c>
      <c r="P939" s="15" t="s">
        <v>397</v>
      </c>
      <c r="Q939" s="15" t="s">
        <v>838</v>
      </c>
      <c r="T939" s="14" t="b">
        <v>0</v>
      </c>
      <c r="U939" s="15" t="s">
        <v>9437</v>
      </c>
      <c r="V939" s="15" t="s">
        <v>6618</v>
      </c>
      <c r="W939" s="15" t="s">
        <v>401</v>
      </c>
      <c r="X939" s="15" t="s">
        <v>742</v>
      </c>
      <c r="Y939" s="15">
        <v>2847.0</v>
      </c>
      <c r="AA939" s="15" t="str">
        <f>"1095"</f>
        <v>1095</v>
      </c>
      <c r="AB939" s="14" t="b">
        <v>1</v>
      </c>
      <c r="AC939" s="14" t="b">
        <v>1</v>
      </c>
      <c r="AD939" s="15" t="str">
        <f>"801542731472"</f>
        <v>801542731472</v>
      </c>
      <c r="AE939" s="15" t="s">
        <v>9438</v>
      </c>
      <c r="AF939" s="14" t="s">
        <v>404</v>
      </c>
      <c r="AG939" s="14" t="s">
        <v>405</v>
      </c>
      <c r="AH939" s="14" t="s">
        <v>406</v>
      </c>
      <c r="AI939" s="15">
        <v>0.0</v>
      </c>
      <c r="AL939" s="15" t="s">
        <v>2058</v>
      </c>
      <c r="AM939" s="15" t="s">
        <v>452</v>
      </c>
      <c r="AN939" s="15" t="s">
        <v>453</v>
      </c>
      <c r="AO939" s="15" t="s">
        <v>456</v>
      </c>
      <c r="AP939" s="15" t="s">
        <v>457</v>
      </c>
      <c r="AQ939" s="15" t="s">
        <v>517</v>
      </c>
      <c r="AR939" s="15" t="s">
        <v>518</v>
      </c>
      <c r="AS939" s="15" t="s">
        <v>2063</v>
      </c>
      <c r="AT939" s="15" t="s">
        <v>838</v>
      </c>
      <c r="AU939" s="15" t="s">
        <v>2064</v>
      </c>
      <c r="AW939" s="15" t="s">
        <v>412</v>
      </c>
      <c r="AY939" s="15" t="s">
        <v>426</v>
      </c>
      <c r="AZ939" s="15" t="b">
        <v>1</v>
      </c>
      <c r="BA939" s="15" t="s">
        <v>413</v>
      </c>
      <c r="BB939" s="15" t="b">
        <v>0</v>
      </c>
      <c r="BC939" s="15" t="s">
        <v>9439</v>
      </c>
      <c r="BD939" s="15" t="s">
        <v>742</v>
      </c>
      <c r="BE939" s="15" t="str">
        <f t="shared" ref="BE939:BE943" si="1607">"1"</f>
        <v>1</v>
      </c>
      <c r="BF939" s="15" t="s">
        <v>2043</v>
      </c>
      <c r="BG939" s="15" t="str">
        <f>"74.25"</f>
        <v>74.25</v>
      </c>
      <c r="BH939" s="15" t="s">
        <v>8475</v>
      </c>
      <c r="BI939" s="15" t="str">
        <f>"23.37"</f>
        <v>23.37</v>
      </c>
      <c r="BJ939" s="15" t="s">
        <v>9440</v>
      </c>
      <c r="BK939" s="15" t="str">
        <f>"46.5"</f>
        <v>46.5</v>
      </c>
      <c r="BL939" s="15" t="s">
        <v>4109</v>
      </c>
      <c r="BM939" s="15" t="str">
        <f>"386.91"</f>
        <v>386.91</v>
      </c>
      <c r="BN939" s="15" t="s">
        <v>9441</v>
      </c>
      <c r="BQ939" s="15" t="s">
        <v>444</v>
      </c>
      <c r="BS939" s="15" t="s">
        <v>444</v>
      </c>
      <c r="BU939" s="15" t="s">
        <v>444</v>
      </c>
      <c r="BW939" s="15" t="s">
        <v>444</v>
      </c>
      <c r="BZ939" s="15" t="s">
        <v>444</v>
      </c>
      <c r="CB939" s="15" t="s">
        <v>444</v>
      </c>
      <c r="CD939" s="15" t="s">
        <v>444</v>
      </c>
      <c r="CF939" s="15" t="s">
        <v>444</v>
      </c>
      <c r="CI939" s="15" t="s">
        <v>444</v>
      </c>
      <c r="CK939" s="15" t="s">
        <v>444</v>
      </c>
      <c r="CM939" s="15" t="s">
        <v>444</v>
      </c>
      <c r="CO939" s="15" t="s">
        <v>444</v>
      </c>
      <c r="CP939" s="15" t="str">
        <f>"46.69"</f>
        <v>46.69</v>
      </c>
      <c r="CQ939" s="15" t="str">
        <f>"1.322"</f>
        <v>1.322</v>
      </c>
      <c r="CR939" s="15" t="s">
        <v>497</v>
      </c>
      <c r="DC939" s="15" t="str">
        <f>IFERROR(__xludf.DUMMYFUNCTION("""COMPUTED_VALUE"""),"")</f>
        <v/>
      </c>
      <c r="DE939" s="15" t="str">
        <f>IFERROR(__xludf.DUMMYFUNCTION("""COMPUTED_VALUE"""),"")</f>
        <v/>
      </c>
      <c r="DG939" s="15" t="str">
        <f>IFERROR(__xludf.DUMMYFUNCTION("""COMPUTED_VALUE"""),"")</f>
        <v/>
      </c>
      <c r="DL939" s="15" t="str">
        <f>IFERROR(__xludf.DUMMYFUNCTION("""COMPUTED_VALUE"""),"")</f>
        <v/>
      </c>
      <c r="DM939" s="15" t="s">
        <v>444</v>
      </c>
      <c r="DN939" s="15" t="s">
        <v>1371</v>
      </c>
      <c r="DO939" s="15">
        <v>8.0</v>
      </c>
      <c r="DP939" s="15" t="s">
        <v>419</v>
      </c>
      <c r="DR939" s="15">
        <v>0.0</v>
      </c>
      <c r="DU939" s="15" t="s">
        <v>421</v>
      </c>
      <c r="DY939" s="15">
        <v>0.0</v>
      </c>
      <c r="EF939" s="15" t="s">
        <v>422</v>
      </c>
      <c r="EG939" s="15" t="s">
        <v>445</v>
      </c>
      <c r="EH939" s="15" t="s">
        <v>9442</v>
      </c>
      <c r="EJ939" s="15" t="s">
        <v>500</v>
      </c>
      <c r="EK939" s="15" t="s">
        <v>501</v>
      </c>
      <c r="EM939" s="15" t="str">
        <f>IFERROR(__xludf.DUMMYFUNCTION("""COMPUTED_VALUE"""),"")</f>
        <v/>
      </c>
      <c r="EW939" s="15" t="s">
        <v>1955</v>
      </c>
      <c r="FL939" s="15" t="s">
        <v>426</v>
      </c>
      <c r="FM939" s="15">
        <v>0.0</v>
      </c>
      <c r="GH939" s="15">
        <v>0.0</v>
      </c>
      <c r="GI939" s="15" t="s">
        <v>427</v>
      </c>
      <c r="GQ939" s="15" t="s">
        <v>9443</v>
      </c>
      <c r="GR939" s="15" t="s">
        <v>9443</v>
      </c>
      <c r="GS939" s="15" t="s">
        <v>9444</v>
      </c>
      <c r="GT939" s="15" t="s">
        <v>7450</v>
      </c>
      <c r="GU939" s="15" t="s">
        <v>2019</v>
      </c>
      <c r="GV939" s="15" t="s">
        <v>6397</v>
      </c>
      <c r="GW939" s="15" t="s">
        <v>838</v>
      </c>
    </row>
    <row r="940" ht="15.75" customHeight="1">
      <c r="A940" s="14" t="s">
        <v>391</v>
      </c>
      <c r="B940" s="15" t="s">
        <v>9445</v>
      </c>
      <c r="C940" s="16"/>
      <c r="D940" s="15" t="s">
        <v>432</v>
      </c>
      <c r="G940" s="14" t="s">
        <v>393</v>
      </c>
      <c r="H940" s="14" t="s">
        <v>394</v>
      </c>
      <c r="I940" s="14" t="b">
        <v>1</v>
      </c>
      <c r="J940" s="14" t="s">
        <v>395</v>
      </c>
      <c r="L940" s="14" t="b">
        <v>0</v>
      </c>
      <c r="M940" s="15" t="s">
        <v>9446</v>
      </c>
      <c r="N940" s="14" t="s">
        <v>393</v>
      </c>
      <c r="O940" s="14" t="s">
        <v>393</v>
      </c>
      <c r="P940" s="15" t="s">
        <v>397</v>
      </c>
      <c r="Q940" s="15" t="s">
        <v>838</v>
      </c>
      <c r="T940" s="14" t="b">
        <v>0</v>
      </c>
      <c r="U940" s="15" t="s">
        <v>9447</v>
      </c>
      <c r="V940" s="15" t="s">
        <v>4333</v>
      </c>
      <c r="W940" s="15" t="s">
        <v>401</v>
      </c>
      <c r="X940" s="15" t="s">
        <v>742</v>
      </c>
      <c r="Y940" s="15">
        <v>1313.0</v>
      </c>
      <c r="AA940" s="15" t="str">
        <f>"505"</f>
        <v>505</v>
      </c>
      <c r="AB940" s="14" t="b">
        <v>1</v>
      </c>
      <c r="AC940" s="14" t="b">
        <v>1</v>
      </c>
      <c r="AD940" s="15" t="str">
        <f>"801542735326"</f>
        <v>801542735326</v>
      </c>
      <c r="AE940" s="15" t="s">
        <v>9448</v>
      </c>
      <c r="AF940" s="14" t="s">
        <v>404</v>
      </c>
      <c r="AG940" s="14" t="s">
        <v>405</v>
      </c>
      <c r="AH940" s="14" t="s">
        <v>406</v>
      </c>
      <c r="AI940" s="15">
        <v>0.0</v>
      </c>
      <c r="AL940" s="15" t="s">
        <v>2058</v>
      </c>
      <c r="AM940" s="15" t="s">
        <v>3899</v>
      </c>
      <c r="AN940" s="15" t="s">
        <v>3900</v>
      </c>
      <c r="AO940" s="15" t="s">
        <v>1152</v>
      </c>
      <c r="AP940" s="15" t="s">
        <v>1153</v>
      </c>
      <c r="AQ940" s="15" t="s">
        <v>546</v>
      </c>
      <c r="AR940" s="15" t="s">
        <v>547</v>
      </c>
      <c r="AS940" s="15" t="s">
        <v>2063</v>
      </c>
      <c r="AT940" s="15" t="s">
        <v>838</v>
      </c>
      <c r="AU940" s="15" t="s">
        <v>2064</v>
      </c>
      <c r="AW940" s="15" t="s">
        <v>519</v>
      </c>
      <c r="AY940" s="15" t="s">
        <v>426</v>
      </c>
      <c r="AZ940" s="15" t="b">
        <v>1</v>
      </c>
      <c r="BA940" s="15" t="s">
        <v>413</v>
      </c>
      <c r="BB940" s="15" t="b">
        <v>0</v>
      </c>
      <c r="BC940" s="15" t="s">
        <v>9449</v>
      </c>
      <c r="BD940" s="15" t="s">
        <v>742</v>
      </c>
      <c r="BE940" s="15" t="str">
        <f t="shared" si="1607"/>
        <v>1</v>
      </c>
      <c r="BF940" s="15" t="s">
        <v>416</v>
      </c>
      <c r="BG940" s="15" t="str">
        <f>"60.83"</f>
        <v>60.83</v>
      </c>
      <c r="BH940" s="15" t="s">
        <v>4766</v>
      </c>
      <c r="BI940" s="15" t="str">
        <f>"20.87"</f>
        <v>20.87</v>
      </c>
      <c r="BJ940" s="15" t="s">
        <v>495</v>
      </c>
      <c r="BK940" s="15" t="str">
        <f>"37.4"</f>
        <v>37.4</v>
      </c>
      <c r="BL940" s="15" t="s">
        <v>3175</v>
      </c>
      <c r="BM940" s="15" t="str">
        <f>"160.94"</f>
        <v>160.94</v>
      </c>
      <c r="BN940" s="15" t="s">
        <v>9450</v>
      </c>
      <c r="BQ940" s="15" t="s">
        <v>444</v>
      </c>
      <c r="BS940" s="15" t="s">
        <v>444</v>
      </c>
      <c r="BU940" s="15" t="s">
        <v>444</v>
      </c>
      <c r="BW940" s="15" t="s">
        <v>444</v>
      </c>
      <c r="BZ940" s="15" t="s">
        <v>444</v>
      </c>
      <c r="CB940" s="15" t="s">
        <v>444</v>
      </c>
      <c r="CD940" s="15" t="s">
        <v>444</v>
      </c>
      <c r="CF940" s="15" t="s">
        <v>444</v>
      </c>
      <c r="CI940" s="15" t="s">
        <v>444</v>
      </c>
      <c r="CK940" s="15" t="s">
        <v>444</v>
      </c>
      <c r="CM940" s="15" t="s">
        <v>444</v>
      </c>
      <c r="CO940" s="15" t="s">
        <v>444</v>
      </c>
      <c r="CP940" s="15" t="str">
        <f>"27.47"</f>
        <v>27.47</v>
      </c>
      <c r="CQ940" s="15" t="str">
        <f>"0.778"</f>
        <v>0.778</v>
      </c>
      <c r="CR940" s="15" t="s">
        <v>497</v>
      </c>
      <c r="CS940" s="15" t="s">
        <v>5123</v>
      </c>
      <c r="CT940" s="15" t="s">
        <v>612</v>
      </c>
      <c r="CU940" s="15" t="s">
        <v>2337</v>
      </c>
      <c r="CV940" s="15" t="s">
        <v>5123</v>
      </c>
      <c r="CW940" s="15" t="s">
        <v>8487</v>
      </c>
      <c r="CX940" s="15" t="s">
        <v>2337</v>
      </c>
      <c r="DC940" s="15" t="str">
        <f>IFERROR(__xludf.DUMMYFUNCTION("""COMPUTED_VALUE"""),"")</f>
        <v/>
      </c>
      <c r="DE940" s="15" t="str">
        <f>IFERROR(__xludf.DUMMYFUNCTION("""COMPUTED_VALUE"""),"")</f>
        <v/>
      </c>
      <c r="DG940" s="15" t="str">
        <f>IFERROR(__xludf.DUMMYFUNCTION("""COMPUTED_VALUE"""),"")</f>
        <v/>
      </c>
      <c r="DL940" s="15" t="str">
        <f>IFERROR(__xludf.DUMMYFUNCTION("""COMPUTED_VALUE"""),"")</f>
        <v/>
      </c>
      <c r="DM940" s="15" t="s">
        <v>444</v>
      </c>
      <c r="DN940" s="15" t="s">
        <v>1371</v>
      </c>
      <c r="DO940" s="15">
        <v>2.0</v>
      </c>
      <c r="DP940" s="15" t="s">
        <v>419</v>
      </c>
      <c r="DR940" s="15">
        <v>1.0</v>
      </c>
      <c r="DS940" s="15" t="s">
        <v>426</v>
      </c>
      <c r="DU940" s="15" t="s">
        <v>421</v>
      </c>
      <c r="DY940" s="15">
        <v>0.0</v>
      </c>
      <c r="EF940" s="15" t="s">
        <v>471</v>
      </c>
      <c r="EG940" s="15" t="s">
        <v>472</v>
      </c>
      <c r="EH940" s="15" t="s">
        <v>9442</v>
      </c>
      <c r="EJ940" s="15" t="s">
        <v>500</v>
      </c>
      <c r="EK940" s="15" t="s">
        <v>501</v>
      </c>
      <c r="EM940" s="15" t="str">
        <f>IFERROR(__xludf.DUMMYFUNCTION("""COMPUTED_VALUE"""),"")</f>
        <v/>
      </c>
      <c r="EW940" s="15" t="s">
        <v>1955</v>
      </c>
      <c r="EX940" s="15" t="s">
        <v>2143</v>
      </c>
      <c r="EY940" s="15" t="s">
        <v>9451</v>
      </c>
      <c r="FH940" s="15" t="s">
        <v>2654</v>
      </c>
      <c r="FI940" s="15" t="s">
        <v>558</v>
      </c>
      <c r="FJ940" s="15" t="s">
        <v>9452</v>
      </c>
      <c r="FK940" s="15" t="s">
        <v>612</v>
      </c>
      <c r="FL940" s="15" t="s">
        <v>426</v>
      </c>
      <c r="FM940" s="15">
        <v>1.0</v>
      </c>
      <c r="FN940" s="15">
        <v>0.0</v>
      </c>
      <c r="GH940" s="15">
        <v>0.0</v>
      </c>
      <c r="GI940" s="15" t="s">
        <v>427</v>
      </c>
      <c r="GQ940" s="15" t="s">
        <v>9453</v>
      </c>
      <c r="GS940" s="15" t="s">
        <v>7051</v>
      </c>
      <c r="GU940" s="15" t="s">
        <v>1482</v>
      </c>
      <c r="GW940" s="15" t="s">
        <v>838</v>
      </c>
    </row>
    <row r="941" ht="15.75" customHeight="1">
      <c r="A941" s="14" t="s">
        <v>391</v>
      </c>
      <c r="B941" s="15" t="s">
        <v>9454</v>
      </c>
      <c r="C941" s="16"/>
      <c r="D941" s="15" t="s">
        <v>432</v>
      </c>
      <c r="G941" s="14" t="s">
        <v>393</v>
      </c>
      <c r="H941" s="14" t="s">
        <v>394</v>
      </c>
      <c r="I941" s="14" t="b">
        <v>1</v>
      </c>
      <c r="J941" s="14" t="s">
        <v>395</v>
      </c>
      <c r="L941" s="14" t="b">
        <v>0</v>
      </c>
      <c r="M941" s="15" t="s">
        <v>9455</v>
      </c>
      <c r="N941" s="14" t="s">
        <v>393</v>
      </c>
      <c r="O941" s="14" t="s">
        <v>393</v>
      </c>
      <c r="P941" s="15" t="s">
        <v>397</v>
      </c>
      <c r="Q941" s="15" t="s">
        <v>838</v>
      </c>
      <c r="T941" s="14" t="b">
        <v>0</v>
      </c>
      <c r="U941" s="15" t="s">
        <v>9456</v>
      </c>
      <c r="V941" s="15" t="s">
        <v>9457</v>
      </c>
      <c r="W941" s="15" t="s">
        <v>401</v>
      </c>
      <c r="X941" s="15" t="s">
        <v>742</v>
      </c>
      <c r="Y941" s="15">
        <v>2080.0</v>
      </c>
      <c r="AA941" s="15" t="str">
        <f>"800"</f>
        <v>800</v>
      </c>
      <c r="AB941" s="14" t="b">
        <v>1</v>
      </c>
      <c r="AC941" s="14" t="b">
        <v>1</v>
      </c>
      <c r="AD941" s="15" t="str">
        <f>"801542735982"</f>
        <v>801542735982</v>
      </c>
      <c r="AE941" s="15" t="s">
        <v>9458</v>
      </c>
      <c r="AF941" s="14" t="s">
        <v>404</v>
      </c>
      <c r="AG941" s="14" t="s">
        <v>405</v>
      </c>
      <c r="AH941" s="14" t="s">
        <v>406</v>
      </c>
      <c r="AI941" s="15">
        <v>0.0</v>
      </c>
      <c r="AL941" s="15" t="s">
        <v>2058</v>
      </c>
      <c r="AM941" s="15" t="s">
        <v>452</v>
      </c>
      <c r="AN941" s="15" t="s">
        <v>453</v>
      </c>
      <c r="AO941" s="15" t="s">
        <v>1007</v>
      </c>
      <c r="AP941" s="15" t="s">
        <v>1008</v>
      </c>
      <c r="AQ941" s="15" t="s">
        <v>1085</v>
      </c>
      <c r="AR941" s="15" t="s">
        <v>1086</v>
      </c>
      <c r="AS941" s="15" t="s">
        <v>2063</v>
      </c>
      <c r="AT941" s="15" t="s">
        <v>838</v>
      </c>
      <c r="AU941" s="15" t="s">
        <v>2064</v>
      </c>
      <c r="AW941" s="15" t="s">
        <v>602</v>
      </c>
      <c r="AY941" s="15" t="s">
        <v>413</v>
      </c>
      <c r="AZ941" s="15" t="b">
        <v>0</v>
      </c>
      <c r="BA941" s="15" t="s">
        <v>413</v>
      </c>
      <c r="BB941" s="15" t="b">
        <v>0</v>
      </c>
      <c r="BC941" s="15" t="s">
        <v>9459</v>
      </c>
      <c r="BD941" s="15" t="s">
        <v>742</v>
      </c>
      <c r="BE941" s="15" t="str">
        <f t="shared" si="1607"/>
        <v>1</v>
      </c>
      <c r="BF941" s="15" t="s">
        <v>2043</v>
      </c>
      <c r="BG941" s="15" t="str">
        <f>"74"</f>
        <v>74</v>
      </c>
      <c r="BH941" s="15" t="s">
        <v>2758</v>
      </c>
      <c r="BI941" s="15" t="str">
        <f>"22.25"</f>
        <v>22.25</v>
      </c>
      <c r="BJ941" s="15" t="s">
        <v>6199</v>
      </c>
      <c r="BK941" s="15" t="str">
        <f>"35.25"</f>
        <v>35.25</v>
      </c>
      <c r="BL941" s="15" t="s">
        <v>836</v>
      </c>
      <c r="BM941" s="15" t="str">
        <f>"261.69"</f>
        <v>261.69</v>
      </c>
      <c r="BN941" s="15" t="s">
        <v>9460</v>
      </c>
      <c r="BQ941" s="15" t="s">
        <v>444</v>
      </c>
      <c r="BS941" s="15" t="s">
        <v>444</v>
      </c>
      <c r="BU941" s="15" t="s">
        <v>444</v>
      </c>
      <c r="BW941" s="15" t="s">
        <v>444</v>
      </c>
      <c r="BZ941" s="15" t="s">
        <v>444</v>
      </c>
      <c r="CB941" s="15" t="s">
        <v>444</v>
      </c>
      <c r="CD941" s="15" t="s">
        <v>444</v>
      </c>
      <c r="CF941" s="15" t="s">
        <v>444</v>
      </c>
      <c r="CI941" s="15" t="s">
        <v>444</v>
      </c>
      <c r="CK941" s="15" t="s">
        <v>444</v>
      </c>
      <c r="CM941" s="15" t="s">
        <v>444</v>
      </c>
      <c r="CO941" s="15" t="s">
        <v>444</v>
      </c>
      <c r="CP941" s="15" t="str">
        <f>"33.58"</f>
        <v>33.58</v>
      </c>
      <c r="CQ941" s="15" t="str">
        <f>"0.951"</f>
        <v>0.951</v>
      </c>
      <c r="CR941" s="15" t="s">
        <v>497</v>
      </c>
      <c r="CS941" s="15" t="s">
        <v>5754</v>
      </c>
      <c r="CT941" s="15" t="s">
        <v>2046</v>
      </c>
      <c r="CU941" s="15" t="s">
        <v>2019</v>
      </c>
      <c r="CV941" s="15" t="s">
        <v>2654</v>
      </c>
      <c r="CW941" s="15" t="s">
        <v>5754</v>
      </c>
      <c r="CX941" s="15" t="s">
        <v>2019</v>
      </c>
      <c r="DC941" s="15" t="str">
        <f>IFERROR(__xludf.DUMMYFUNCTION("""COMPUTED_VALUE"""),"")</f>
        <v/>
      </c>
      <c r="DE941" s="15" t="str">
        <f>IFERROR(__xludf.DUMMYFUNCTION("""COMPUTED_VALUE"""),"")</f>
        <v/>
      </c>
      <c r="DG941" s="15" t="str">
        <f>IFERROR(__xludf.DUMMYFUNCTION("""COMPUTED_VALUE"""),"")</f>
        <v/>
      </c>
      <c r="DL941" s="15" t="str">
        <f>IFERROR(__xludf.DUMMYFUNCTION("""COMPUTED_VALUE"""),"")</f>
        <v/>
      </c>
      <c r="DM941" s="15" t="s">
        <v>444</v>
      </c>
      <c r="DN941" s="15" t="s">
        <v>1371</v>
      </c>
      <c r="DO941" s="15">
        <v>4.0</v>
      </c>
      <c r="DP941" s="15" t="s">
        <v>419</v>
      </c>
      <c r="DR941" s="15">
        <v>1.0</v>
      </c>
      <c r="DS941" s="15" t="s">
        <v>426</v>
      </c>
      <c r="DU941" s="15" t="s">
        <v>610</v>
      </c>
      <c r="DW941" s="15">
        <v>15.2</v>
      </c>
      <c r="DX941" s="15">
        <v>33.5</v>
      </c>
      <c r="DY941" s="15">
        <v>0.0</v>
      </c>
      <c r="EG941" s="15" t="s">
        <v>444</v>
      </c>
      <c r="EH941" s="15" t="s">
        <v>9442</v>
      </c>
      <c r="EK941" s="15" t="s">
        <v>444</v>
      </c>
      <c r="EM941" s="15" t="str">
        <f>IFERROR(__xludf.DUMMYFUNCTION("""COMPUTED_VALUE"""),"")</f>
        <v/>
      </c>
      <c r="EW941" s="15" t="s">
        <v>1955</v>
      </c>
      <c r="FL941" s="15" t="s">
        <v>426</v>
      </c>
      <c r="FM941" s="15">
        <v>2.0</v>
      </c>
      <c r="GH941" s="15">
        <v>0.0</v>
      </c>
      <c r="GI941" s="15" t="s">
        <v>427</v>
      </c>
      <c r="GQ941" s="15" t="s">
        <v>2159</v>
      </c>
      <c r="GS941" s="15" t="s">
        <v>9461</v>
      </c>
      <c r="GU941" s="15" t="s">
        <v>9462</v>
      </c>
      <c r="GW941" s="15" t="s">
        <v>838</v>
      </c>
      <c r="HD941" s="15">
        <v>0.0</v>
      </c>
    </row>
    <row r="942" ht="15.75" customHeight="1">
      <c r="A942" s="14" t="s">
        <v>391</v>
      </c>
      <c r="B942" s="15" t="s">
        <v>9463</v>
      </c>
      <c r="C942" s="16"/>
      <c r="D942" s="15" t="s">
        <v>432</v>
      </c>
      <c r="G942" s="14" t="s">
        <v>393</v>
      </c>
      <c r="H942" s="14" t="s">
        <v>394</v>
      </c>
      <c r="I942" s="14" t="b">
        <v>1</v>
      </c>
      <c r="J942" s="14" t="s">
        <v>395</v>
      </c>
      <c r="L942" s="14" t="b">
        <v>0</v>
      </c>
      <c r="M942" s="15" t="s">
        <v>9464</v>
      </c>
      <c r="N942" s="14" t="s">
        <v>393</v>
      </c>
      <c r="O942" s="14" t="s">
        <v>393</v>
      </c>
      <c r="P942" s="15" t="s">
        <v>397</v>
      </c>
      <c r="Q942" s="15" t="s">
        <v>838</v>
      </c>
      <c r="T942" s="14" t="b">
        <v>0</v>
      </c>
      <c r="U942" s="15" t="s">
        <v>9465</v>
      </c>
      <c r="V942" s="15" t="s">
        <v>9466</v>
      </c>
      <c r="W942" s="15" t="s">
        <v>401</v>
      </c>
      <c r="X942" s="15" t="s">
        <v>742</v>
      </c>
      <c r="Y942" s="15">
        <v>2730.0</v>
      </c>
      <c r="AA942" s="15" t="str">
        <f>"1050"</f>
        <v>1050</v>
      </c>
      <c r="AB942" s="14" t="b">
        <v>1</v>
      </c>
      <c r="AC942" s="14" t="b">
        <v>1</v>
      </c>
      <c r="AD942" s="15" t="str">
        <f>"801542735357"</f>
        <v>801542735357</v>
      </c>
      <c r="AE942" s="15" t="s">
        <v>9467</v>
      </c>
      <c r="AF942" s="14" t="s">
        <v>404</v>
      </c>
      <c r="AG942" s="14" t="s">
        <v>405</v>
      </c>
      <c r="AH942" s="14" t="s">
        <v>406</v>
      </c>
      <c r="AI942" s="15">
        <v>0.0</v>
      </c>
      <c r="AL942" s="15" t="s">
        <v>2058</v>
      </c>
      <c r="AM942" s="15" t="s">
        <v>2757</v>
      </c>
      <c r="AN942" s="15" t="s">
        <v>2758</v>
      </c>
      <c r="AO942" s="15" t="s">
        <v>456</v>
      </c>
      <c r="AP942" s="15" t="s">
        <v>457</v>
      </c>
      <c r="AQ942" s="15" t="s">
        <v>1364</v>
      </c>
      <c r="AR942" s="15" t="s">
        <v>1365</v>
      </c>
      <c r="AS942" s="15" t="s">
        <v>2063</v>
      </c>
      <c r="AT942" s="15" t="s">
        <v>838</v>
      </c>
      <c r="AU942" s="15" t="s">
        <v>2064</v>
      </c>
      <c r="AW942" s="15" t="s">
        <v>664</v>
      </c>
      <c r="AY942" s="15" t="s">
        <v>426</v>
      </c>
      <c r="AZ942" s="15" t="b">
        <v>1</v>
      </c>
      <c r="BA942" s="15" t="s">
        <v>413</v>
      </c>
      <c r="BB942" s="15" t="b">
        <v>0</v>
      </c>
      <c r="BC942" s="15" t="s">
        <v>9468</v>
      </c>
      <c r="BD942" s="15" t="s">
        <v>742</v>
      </c>
      <c r="BE942" s="15" t="str">
        <f t="shared" si="1607"/>
        <v>1</v>
      </c>
      <c r="BF942" s="15" t="s">
        <v>2043</v>
      </c>
      <c r="BG942" s="15" t="str">
        <f>"78"</f>
        <v>78</v>
      </c>
      <c r="BH942" s="15" t="s">
        <v>2356</v>
      </c>
      <c r="BI942" s="15" t="str">
        <f>"23"</f>
        <v>23</v>
      </c>
      <c r="BJ942" s="15" t="s">
        <v>4284</v>
      </c>
      <c r="BK942" s="15" t="str">
        <f>"41.25"</f>
        <v>41.25</v>
      </c>
      <c r="BL942" s="15" t="s">
        <v>7386</v>
      </c>
      <c r="BM942" s="15" t="str">
        <f>"305.34"</f>
        <v>305.34</v>
      </c>
      <c r="BN942" s="15" t="s">
        <v>9469</v>
      </c>
      <c r="BQ942" s="15" t="s">
        <v>444</v>
      </c>
      <c r="BS942" s="15" t="s">
        <v>444</v>
      </c>
      <c r="BU942" s="15" t="s">
        <v>444</v>
      </c>
      <c r="BW942" s="15" t="s">
        <v>444</v>
      </c>
      <c r="BZ942" s="15" t="s">
        <v>444</v>
      </c>
      <c r="CB942" s="15" t="s">
        <v>444</v>
      </c>
      <c r="CD942" s="15" t="s">
        <v>444</v>
      </c>
      <c r="CF942" s="15" t="s">
        <v>444</v>
      </c>
      <c r="CI942" s="15" t="s">
        <v>444</v>
      </c>
      <c r="CK942" s="15" t="s">
        <v>444</v>
      </c>
      <c r="CM942" s="15" t="s">
        <v>444</v>
      </c>
      <c r="CO942" s="15" t="s">
        <v>444</v>
      </c>
      <c r="CP942" s="15" t="str">
        <f>"42.84"</f>
        <v>42.84</v>
      </c>
      <c r="CQ942" s="15" t="str">
        <f>"1.213"</f>
        <v>1.213</v>
      </c>
      <c r="CR942" s="15" t="s">
        <v>497</v>
      </c>
      <c r="CS942" s="15" t="s">
        <v>778</v>
      </c>
      <c r="CT942" s="15" t="s">
        <v>2046</v>
      </c>
      <c r="CU942" s="15" t="s">
        <v>5558</v>
      </c>
      <c r="CV942" s="15" t="s">
        <v>778</v>
      </c>
      <c r="CW942" s="15" t="s">
        <v>1442</v>
      </c>
      <c r="CX942" s="15" t="s">
        <v>5558</v>
      </c>
      <c r="DC942" s="15" t="str">
        <f>IFERROR(__xludf.DUMMYFUNCTION("""COMPUTED_VALUE"""),"")</f>
        <v/>
      </c>
      <c r="DE942" s="15" t="str">
        <f>IFERROR(__xludf.DUMMYFUNCTION("""COMPUTED_VALUE"""),"")</f>
        <v/>
      </c>
      <c r="DG942" s="15" t="str">
        <f>IFERROR(__xludf.DUMMYFUNCTION("""COMPUTED_VALUE"""),"")</f>
        <v/>
      </c>
      <c r="DL942" s="15" t="str">
        <f>IFERROR(__xludf.DUMMYFUNCTION("""COMPUTED_VALUE"""),"")</f>
        <v/>
      </c>
      <c r="DM942" s="15" t="s">
        <v>444</v>
      </c>
      <c r="DN942" s="15" t="s">
        <v>1371</v>
      </c>
      <c r="DO942" s="15">
        <v>3.0</v>
      </c>
      <c r="DP942" s="15" t="s">
        <v>419</v>
      </c>
      <c r="DR942" s="15">
        <v>2.0</v>
      </c>
      <c r="DS942" s="15" t="s">
        <v>426</v>
      </c>
      <c r="DU942" s="15" t="s">
        <v>610</v>
      </c>
      <c r="DW942" s="15">
        <v>18.14</v>
      </c>
      <c r="DX942" s="15">
        <v>40.0</v>
      </c>
      <c r="DY942" s="15">
        <v>0.0</v>
      </c>
      <c r="EG942" s="15" t="s">
        <v>444</v>
      </c>
      <c r="EH942" s="15" t="s">
        <v>9442</v>
      </c>
      <c r="EJ942" s="15" t="s">
        <v>424</v>
      </c>
      <c r="EK942" s="15" t="s">
        <v>446</v>
      </c>
      <c r="EM942" s="15" t="str">
        <f>IFERROR(__xludf.DUMMYFUNCTION("""COMPUTED_VALUE"""),"")</f>
        <v/>
      </c>
      <c r="EW942" s="15" t="s">
        <v>1955</v>
      </c>
      <c r="FL942" s="15" t="s">
        <v>426</v>
      </c>
      <c r="FM942" s="15">
        <v>4.0</v>
      </c>
      <c r="FY942" s="15" t="s">
        <v>6079</v>
      </c>
      <c r="FZ942" s="15" t="s">
        <v>612</v>
      </c>
      <c r="GA942" s="15" t="s">
        <v>5083</v>
      </c>
      <c r="GE942" s="15">
        <v>0.0</v>
      </c>
      <c r="GG942" s="15" t="s">
        <v>785</v>
      </c>
      <c r="GH942" s="15">
        <v>3.0</v>
      </c>
      <c r="GI942" s="15" t="s">
        <v>3133</v>
      </c>
      <c r="GJ942" s="15" t="s">
        <v>786</v>
      </c>
      <c r="GK942" s="15">
        <v>0.0</v>
      </c>
      <c r="GN942" s="15" t="s">
        <v>616</v>
      </c>
      <c r="GQ942" s="15" t="s">
        <v>2159</v>
      </c>
      <c r="GS942" s="15" t="s">
        <v>4493</v>
      </c>
      <c r="GU942" s="15" t="s">
        <v>9470</v>
      </c>
      <c r="GW942" s="15" t="s">
        <v>838</v>
      </c>
      <c r="HA942" s="15" t="s">
        <v>778</v>
      </c>
      <c r="HB942" s="15" t="s">
        <v>1442</v>
      </c>
      <c r="HC942" s="15" t="s">
        <v>9471</v>
      </c>
      <c r="KL942" s="15" t="s">
        <v>778</v>
      </c>
      <c r="KM942" s="15" t="s">
        <v>2046</v>
      </c>
      <c r="KN942" s="15" t="s">
        <v>9471</v>
      </c>
    </row>
    <row r="943" ht="15.75" customHeight="1">
      <c r="A943" s="14" t="s">
        <v>391</v>
      </c>
      <c r="B943" s="15" t="s">
        <v>9472</v>
      </c>
      <c r="C943" s="16"/>
      <c r="D943" s="15" t="s">
        <v>432</v>
      </c>
      <c r="G943" s="14" t="s">
        <v>393</v>
      </c>
      <c r="H943" s="14" t="s">
        <v>394</v>
      </c>
      <c r="I943" s="14" t="b">
        <v>1</v>
      </c>
      <c r="J943" s="14" t="s">
        <v>395</v>
      </c>
      <c r="L943" s="14" t="b">
        <v>0</v>
      </c>
      <c r="M943" s="15" t="s">
        <v>9473</v>
      </c>
      <c r="N943" s="14" t="s">
        <v>393</v>
      </c>
      <c r="O943" s="14" t="s">
        <v>393</v>
      </c>
      <c r="P943" s="15" t="s">
        <v>397</v>
      </c>
      <c r="Q943" s="15" t="s">
        <v>9474</v>
      </c>
      <c r="T943" s="14" t="b">
        <v>0</v>
      </c>
      <c r="U943" s="15" t="s">
        <v>9475</v>
      </c>
      <c r="V943" s="15" t="s">
        <v>8681</v>
      </c>
      <c r="W943" s="15" t="s">
        <v>401</v>
      </c>
      <c r="X943" s="15" t="s">
        <v>695</v>
      </c>
      <c r="Y943" s="15">
        <v>3276.0</v>
      </c>
      <c r="AA943" s="15" t="str">
        <f>"1260"</f>
        <v>1260</v>
      </c>
      <c r="AB943" s="14" t="b">
        <v>1</v>
      </c>
      <c r="AC943" s="14" t="b">
        <v>1</v>
      </c>
      <c r="AD943" s="15" t="str">
        <f>"801542248055"</f>
        <v>801542248055</v>
      </c>
      <c r="AE943" s="15" t="s">
        <v>9476</v>
      </c>
      <c r="AF943" s="14" t="s">
        <v>404</v>
      </c>
      <c r="AG943" s="14" t="s">
        <v>405</v>
      </c>
      <c r="AH943" s="14" t="s">
        <v>406</v>
      </c>
      <c r="AI943" s="15">
        <v>0.0</v>
      </c>
      <c r="AL943" s="15" t="s">
        <v>8980</v>
      </c>
      <c r="AM943" s="15" t="s">
        <v>487</v>
      </c>
      <c r="AN943" s="15" t="s">
        <v>488</v>
      </c>
      <c r="AO943" s="15" t="s">
        <v>487</v>
      </c>
      <c r="AP943" s="15" t="s">
        <v>488</v>
      </c>
      <c r="AQ943" s="15" t="s">
        <v>3702</v>
      </c>
      <c r="AR943" s="15" t="s">
        <v>3703</v>
      </c>
      <c r="AS943" s="15" t="s">
        <v>1474</v>
      </c>
      <c r="AT943" s="15" t="s">
        <v>9474</v>
      </c>
      <c r="AW943" s="15" t="s">
        <v>491</v>
      </c>
      <c r="AY943" s="15" t="s">
        <v>413</v>
      </c>
      <c r="AZ943" s="15" t="b">
        <v>0</v>
      </c>
      <c r="BA943" s="15" t="s">
        <v>413</v>
      </c>
      <c r="BB943" s="15" t="b">
        <v>0</v>
      </c>
      <c r="BC943" s="15" t="s">
        <v>9477</v>
      </c>
      <c r="BD943" s="15" t="s">
        <v>709</v>
      </c>
      <c r="BE943" s="15" t="str">
        <f t="shared" si="1607"/>
        <v>1</v>
      </c>
      <c r="BF943" s="15" t="s">
        <v>416</v>
      </c>
      <c r="BG943" s="15" t="str">
        <f>"57.09"</f>
        <v>57.09</v>
      </c>
      <c r="BH943" s="15" t="s">
        <v>7695</v>
      </c>
      <c r="BI943" s="15" t="str">
        <f>"57.09"</f>
        <v>57.09</v>
      </c>
      <c r="BJ943" s="15" t="s">
        <v>7695</v>
      </c>
      <c r="BK943" s="15" t="str">
        <f>"17.72"</f>
        <v>17.72</v>
      </c>
      <c r="BL943" s="15" t="s">
        <v>3633</v>
      </c>
      <c r="BM943" s="15" t="str">
        <f>"207.23"</f>
        <v>207.23</v>
      </c>
      <c r="BN943" s="15" t="s">
        <v>4114</v>
      </c>
      <c r="BQ943" s="15" t="s">
        <v>444</v>
      </c>
      <c r="BS943" s="15" t="s">
        <v>444</v>
      </c>
      <c r="BU943" s="15" t="s">
        <v>444</v>
      </c>
      <c r="BW943" s="15" t="s">
        <v>444</v>
      </c>
      <c r="BZ943" s="15" t="s">
        <v>444</v>
      </c>
      <c r="CB943" s="15" t="s">
        <v>444</v>
      </c>
      <c r="CD943" s="15" t="s">
        <v>444</v>
      </c>
      <c r="CF943" s="15" t="s">
        <v>444</v>
      </c>
      <c r="CI943" s="15" t="s">
        <v>444</v>
      </c>
      <c r="CK943" s="15" t="s">
        <v>444</v>
      </c>
      <c r="CM943" s="15" t="s">
        <v>444</v>
      </c>
      <c r="CO943" s="15" t="s">
        <v>444</v>
      </c>
      <c r="CP943" s="15" t="str">
        <f>"33.41"</f>
        <v>33.41</v>
      </c>
      <c r="CQ943" s="15" t="str">
        <f>"0.946"</f>
        <v>0.946</v>
      </c>
      <c r="CR943" s="15" t="s">
        <v>497</v>
      </c>
      <c r="DC943" s="15" t="str">
        <f>IFERROR(__xludf.DUMMYFUNCTION("""COMPUTED_VALUE"""),"")</f>
        <v/>
      </c>
      <c r="DE943" s="15" t="str">
        <f>IFERROR(__xludf.DUMMYFUNCTION("""COMPUTED_VALUE"""),"")</f>
        <v/>
      </c>
      <c r="DG943" s="15" t="str">
        <f>IFERROR(__xludf.DUMMYFUNCTION("""COMPUTED_VALUE"""),"")</f>
        <v/>
      </c>
      <c r="DL943" s="15" t="str">
        <f>IFERROR(__xludf.DUMMYFUNCTION("""COMPUTED_VALUE"""),"")</f>
        <v/>
      </c>
      <c r="DM943" s="15" t="s">
        <v>444</v>
      </c>
      <c r="DN943" s="15" t="s">
        <v>419</v>
      </c>
      <c r="DO943" s="15">
        <v>0.0</v>
      </c>
      <c r="DP943" s="15" t="s">
        <v>419</v>
      </c>
      <c r="DR943" s="15">
        <v>0.0</v>
      </c>
      <c r="DT943" s="15" t="s">
        <v>721</v>
      </c>
      <c r="DU943" s="15" t="s">
        <v>419</v>
      </c>
      <c r="DY943" s="15">
        <v>0.0</v>
      </c>
      <c r="EF943" s="15" t="s">
        <v>1157</v>
      </c>
      <c r="EG943" s="15" t="s">
        <v>1158</v>
      </c>
      <c r="EH943" s="15" t="s">
        <v>9478</v>
      </c>
      <c r="EJ943" s="15" t="s">
        <v>500</v>
      </c>
      <c r="EK943" s="15" t="s">
        <v>501</v>
      </c>
      <c r="EM943" s="15" t="str">
        <f>IFERROR(__xludf.DUMMYFUNCTION("""COMPUTED_VALUE"""),"")</f>
        <v/>
      </c>
      <c r="EW943" s="15" t="s">
        <v>9479</v>
      </c>
      <c r="EX943" s="15" t="s">
        <v>9480</v>
      </c>
      <c r="EY943" s="15" t="s">
        <v>9480</v>
      </c>
      <c r="FH943" s="15" t="s">
        <v>1957</v>
      </c>
      <c r="FI943" s="15" t="s">
        <v>7172</v>
      </c>
      <c r="FJ943" s="15" t="s">
        <v>2651</v>
      </c>
      <c r="FK943" s="15" t="s">
        <v>1957</v>
      </c>
      <c r="FL943" s="15" t="s">
        <v>426</v>
      </c>
      <c r="FM943" s="15">
        <v>0.0</v>
      </c>
      <c r="FN943" s="15">
        <v>0.0</v>
      </c>
      <c r="FW943" s="15" t="s">
        <v>7688</v>
      </c>
    </row>
    <row r="944" ht="15.75" customHeight="1">
      <c r="A944" s="14" t="s">
        <v>391</v>
      </c>
      <c r="B944" s="15" t="s">
        <v>9481</v>
      </c>
      <c r="C944" s="16"/>
      <c r="D944" s="15" t="s">
        <v>432</v>
      </c>
      <c r="G944" s="14" t="s">
        <v>393</v>
      </c>
      <c r="H944" s="14" t="s">
        <v>394</v>
      </c>
      <c r="I944" s="14" t="b">
        <v>1</v>
      </c>
      <c r="J944" s="14" t="s">
        <v>395</v>
      </c>
      <c r="L944" s="14" t="b">
        <v>0</v>
      </c>
      <c r="M944" s="15" t="s">
        <v>9482</v>
      </c>
      <c r="N944" s="14" t="s">
        <v>393</v>
      </c>
      <c r="O944" s="14" t="s">
        <v>393</v>
      </c>
      <c r="P944" s="15" t="s">
        <v>397</v>
      </c>
      <c r="Q944" s="15" t="s">
        <v>9483</v>
      </c>
      <c r="T944" s="14" t="b">
        <v>0</v>
      </c>
      <c r="U944" s="15" t="s">
        <v>9484</v>
      </c>
      <c r="V944" s="15" t="s">
        <v>9485</v>
      </c>
      <c r="W944" s="15" t="s">
        <v>401</v>
      </c>
      <c r="X944" s="15" t="s">
        <v>695</v>
      </c>
      <c r="Y944" s="15">
        <v>1703.0</v>
      </c>
      <c r="AA944" s="15" t="str">
        <f>"655"</f>
        <v>655</v>
      </c>
      <c r="AB944" s="14" t="b">
        <v>1</v>
      </c>
      <c r="AC944" s="14" t="b">
        <v>1</v>
      </c>
      <c r="AD944" s="15" t="str">
        <f>"801542327194"</f>
        <v>801542327194</v>
      </c>
      <c r="AE944" s="15" t="s">
        <v>9486</v>
      </c>
      <c r="AF944" s="14" t="s">
        <v>404</v>
      </c>
      <c r="AG944" s="14" t="s">
        <v>405</v>
      </c>
      <c r="AH944" s="14" t="s">
        <v>406</v>
      </c>
      <c r="AI944" s="15">
        <v>0.0</v>
      </c>
      <c r="AL944" s="15" t="s">
        <v>9487</v>
      </c>
      <c r="AM944" s="15" t="s">
        <v>1224</v>
      </c>
      <c r="AN944" s="15" t="s">
        <v>1225</v>
      </c>
      <c r="AO944" s="15" t="s">
        <v>1007</v>
      </c>
      <c r="AP944" s="15" t="s">
        <v>1008</v>
      </c>
      <c r="AQ944" s="15" t="s">
        <v>546</v>
      </c>
      <c r="AR944" s="15" t="s">
        <v>547</v>
      </c>
      <c r="AS944" s="15" t="s">
        <v>3185</v>
      </c>
      <c r="AT944" s="15" t="s">
        <v>9483</v>
      </c>
      <c r="AU944" s="15" t="s">
        <v>9488</v>
      </c>
      <c r="AV944" s="15" t="s">
        <v>1528</v>
      </c>
      <c r="AW944" s="15" t="s">
        <v>519</v>
      </c>
      <c r="AY944" s="15" t="s">
        <v>413</v>
      </c>
      <c r="AZ944" s="15" t="b">
        <v>0</v>
      </c>
      <c r="BA944" s="15" t="s">
        <v>413</v>
      </c>
      <c r="BB944" s="15" t="b">
        <v>0</v>
      </c>
      <c r="BC944" s="15" t="s">
        <v>9489</v>
      </c>
      <c r="BD944" s="15" t="s">
        <v>709</v>
      </c>
      <c r="BE944" s="15" t="str">
        <f>"2"</f>
        <v>2</v>
      </c>
      <c r="BF944" s="15" t="s">
        <v>2238</v>
      </c>
      <c r="BG944" s="15" t="str">
        <f>"31.89"</f>
        <v>31.89</v>
      </c>
      <c r="BH944" s="15" t="s">
        <v>1183</v>
      </c>
      <c r="BI944" s="15" t="str">
        <f>"27.95"</f>
        <v>27.95</v>
      </c>
      <c r="BJ944" s="15" t="s">
        <v>5361</v>
      </c>
      <c r="BK944" s="15" t="str">
        <f>"11.02"</f>
        <v>11.02</v>
      </c>
      <c r="BL944" s="15" t="s">
        <v>932</v>
      </c>
      <c r="BM944" s="15" t="str">
        <f>"35.27"</f>
        <v>35.27</v>
      </c>
      <c r="BN944" s="15" t="s">
        <v>6741</v>
      </c>
      <c r="BO944" s="15" t="s">
        <v>1564</v>
      </c>
      <c r="BP944" s="15" t="str">
        <f>"68.9"</f>
        <v>68.9</v>
      </c>
      <c r="BQ944" s="15" t="s">
        <v>5064</v>
      </c>
      <c r="BR944" s="15" t="str">
        <f>"4.92"</f>
        <v>4.92</v>
      </c>
      <c r="BS944" s="15" t="s">
        <v>1904</v>
      </c>
      <c r="BT944" s="15" t="str">
        <f>"22.64"</f>
        <v>22.64</v>
      </c>
      <c r="BU944" s="15" t="s">
        <v>5982</v>
      </c>
      <c r="BV944" s="15" t="str">
        <f>"44.09"</f>
        <v>44.09</v>
      </c>
      <c r="BW944" s="15" t="s">
        <v>5781</v>
      </c>
      <c r="BZ944" s="15" t="s">
        <v>444</v>
      </c>
      <c r="CB944" s="15" t="s">
        <v>444</v>
      </c>
      <c r="CD944" s="15" t="s">
        <v>444</v>
      </c>
      <c r="CF944" s="15" t="s">
        <v>444</v>
      </c>
      <c r="CI944" s="15" t="s">
        <v>444</v>
      </c>
      <c r="CK944" s="15" t="s">
        <v>444</v>
      </c>
      <c r="CM944" s="15" t="s">
        <v>444</v>
      </c>
      <c r="CO944" s="15" t="s">
        <v>444</v>
      </c>
      <c r="CP944" s="15" t="str">
        <f>"10.14"</f>
        <v>10.14</v>
      </c>
      <c r="CQ944" s="15" t="str">
        <f>"0.287"</f>
        <v>0.287</v>
      </c>
      <c r="CR944" s="15" t="s">
        <v>465</v>
      </c>
      <c r="DC944" s="15" t="str">
        <f>IFERROR(__xludf.DUMMYFUNCTION("""COMPUTED_VALUE"""),"")</f>
        <v/>
      </c>
      <c r="DE944" s="15" t="str">
        <f>IFERROR(__xludf.DUMMYFUNCTION("""COMPUTED_VALUE"""),"")</f>
        <v/>
      </c>
      <c r="DG944" s="15" t="str">
        <f>IFERROR(__xludf.DUMMYFUNCTION("""COMPUTED_VALUE"""),"")</f>
        <v/>
      </c>
      <c r="DL944" s="15" t="str">
        <f>IFERROR(__xludf.DUMMYFUNCTION("""COMPUTED_VALUE"""),"")</f>
        <v/>
      </c>
      <c r="DM944" s="15" t="s">
        <v>444</v>
      </c>
      <c r="DN944" s="15" t="s">
        <v>419</v>
      </c>
      <c r="DO944" s="15">
        <v>0.0</v>
      </c>
      <c r="DP944" s="15" t="s">
        <v>419</v>
      </c>
      <c r="DR944" s="15">
        <v>0.0</v>
      </c>
      <c r="DT944" s="15" t="s">
        <v>1186</v>
      </c>
      <c r="DU944" s="15" t="s">
        <v>419</v>
      </c>
      <c r="DY944" s="15">
        <v>0.0</v>
      </c>
      <c r="EF944" s="15" t="s">
        <v>471</v>
      </c>
      <c r="EG944" s="15" t="s">
        <v>472</v>
      </c>
      <c r="EH944" s="15" t="s">
        <v>9490</v>
      </c>
      <c r="EJ944" s="15" t="s">
        <v>500</v>
      </c>
      <c r="EK944" s="15" t="s">
        <v>501</v>
      </c>
      <c r="EM944" s="15" t="str">
        <f>IFERROR(__xludf.DUMMYFUNCTION("""COMPUTED_VALUE"""),"")</f>
        <v/>
      </c>
      <c r="EW944" s="15" t="s">
        <v>9491</v>
      </c>
      <c r="EX944" s="15" t="s">
        <v>2805</v>
      </c>
      <c r="EY944" s="15" t="s">
        <v>2399</v>
      </c>
      <c r="FH944" s="15" t="s">
        <v>1075</v>
      </c>
      <c r="FI944" s="15" t="s">
        <v>2839</v>
      </c>
      <c r="FJ944" s="15" t="s">
        <v>9492</v>
      </c>
      <c r="FK944" s="15" t="s">
        <v>9493</v>
      </c>
      <c r="FM944" s="15">
        <v>0.0</v>
      </c>
      <c r="FN944" s="15">
        <v>0.0</v>
      </c>
      <c r="FW944" s="15" t="s">
        <v>2116</v>
      </c>
      <c r="GH944" s="15">
        <v>0.0</v>
      </c>
      <c r="GI944" s="15" t="s">
        <v>427</v>
      </c>
    </row>
    <row r="945" ht="15.75" customHeight="1">
      <c r="A945" s="14" t="s">
        <v>391</v>
      </c>
      <c r="B945" s="15" t="s">
        <v>9494</v>
      </c>
      <c r="C945" s="16"/>
      <c r="D945" s="15" t="s">
        <v>432</v>
      </c>
      <c r="G945" s="14" t="s">
        <v>393</v>
      </c>
      <c r="H945" s="14" t="s">
        <v>394</v>
      </c>
      <c r="I945" s="14" t="b">
        <v>1</v>
      </c>
      <c r="J945" s="14" t="s">
        <v>395</v>
      </c>
      <c r="L945" s="14" t="b">
        <v>0</v>
      </c>
      <c r="M945" s="15" t="s">
        <v>9495</v>
      </c>
      <c r="N945" s="14" t="s">
        <v>393</v>
      </c>
      <c r="O945" s="14" t="s">
        <v>393</v>
      </c>
      <c r="P945" s="15" t="s">
        <v>397</v>
      </c>
      <c r="Q945" s="15" t="s">
        <v>9496</v>
      </c>
      <c r="T945" s="14" t="b">
        <v>0</v>
      </c>
      <c r="U945" s="15" t="s">
        <v>9497</v>
      </c>
      <c r="V945" s="15" t="s">
        <v>9498</v>
      </c>
      <c r="W945" s="15" t="s">
        <v>401</v>
      </c>
      <c r="X945" s="15" t="s">
        <v>1172</v>
      </c>
      <c r="Y945" s="15">
        <v>2847.0</v>
      </c>
      <c r="AA945" s="15" t="str">
        <f t="shared" ref="AA945:AA946" si="1608">"1095"</f>
        <v>1095</v>
      </c>
      <c r="AB945" s="14" t="b">
        <v>1</v>
      </c>
      <c r="AC945" s="14" t="b">
        <v>1</v>
      </c>
      <c r="AD945" s="15" t="str">
        <f>"801542623425"</f>
        <v>801542623425</v>
      </c>
      <c r="AE945" s="15" t="s">
        <v>9499</v>
      </c>
      <c r="AF945" s="14" t="s">
        <v>404</v>
      </c>
      <c r="AG945" s="14" t="s">
        <v>405</v>
      </c>
      <c r="AH945" s="14" t="s">
        <v>406</v>
      </c>
      <c r="AI945" s="15">
        <v>0.0</v>
      </c>
      <c r="AL945" s="15" t="s">
        <v>9500</v>
      </c>
      <c r="AM945" s="15" t="s">
        <v>1224</v>
      </c>
      <c r="AN945" s="15" t="s">
        <v>1225</v>
      </c>
      <c r="AO945" s="15" t="s">
        <v>1007</v>
      </c>
      <c r="AP945" s="15" t="s">
        <v>1008</v>
      </c>
      <c r="AQ945" s="15" t="s">
        <v>410</v>
      </c>
      <c r="AR945" s="15" t="s">
        <v>439</v>
      </c>
      <c r="AS945" s="15" t="s">
        <v>9501</v>
      </c>
      <c r="AT945" s="15" t="s">
        <v>9496</v>
      </c>
      <c r="AW945" s="15" t="s">
        <v>664</v>
      </c>
      <c r="AY945" s="15" t="s">
        <v>413</v>
      </c>
      <c r="AZ945" s="15" t="b">
        <v>0</v>
      </c>
      <c r="BA945" s="15" t="s">
        <v>413</v>
      </c>
      <c r="BB945" s="15" t="b">
        <v>0</v>
      </c>
      <c r="BC945" s="15" t="s">
        <v>9502</v>
      </c>
      <c r="BD945" s="15" t="s">
        <v>1181</v>
      </c>
      <c r="BE945" s="15" t="str">
        <f t="shared" ref="BE945:BE952" si="1609">"1"</f>
        <v>1</v>
      </c>
      <c r="BF945" s="15" t="s">
        <v>416</v>
      </c>
      <c r="BG945" s="15" t="str">
        <f>"70.08"</f>
        <v>70.08</v>
      </c>
      <c r="BH945" s="15" t="s">
        <v>957</v>
      </c>
      <c r="BI945" s="15" t="str">
        <f>"24.61"</f>
        <v>24.61</v>
      </c>
      <c r="BJ945" s="15" t="s">
        <v>1033</v>
      </c>
      <c r="BK945" s="15" t="str">
        <f>"40.55"</f>
        <v>40.55</v>
      </c>
      <c r="BL945" s="15" t="s">
        <v>6657</v>
      </c>
      <c r="BM945" s="15" t="str">
        <f>"210.98"</f>
        <v>210.98</v>
      </c>
      <c r="BN945" s="15" t="s">
        <v>9503</v>
      </c>
      <c r="BQ945" s="15" t="s">
        <v>444</v>
      </c>
      <c r="BS945" s="15" t="s">
        <v>444</v>
      </c>
      <c r="BU945" s="15" t="s">
        <v>444</v>
      </c>
      <c r="BW945" s="15" t="s">
        <v>444</v>
      </c>
      <c r="BZ945" s="15" t="s">
        <v>444</v>
      </c>
      <c r="CB945" s="15" t="s">
        <v>444</v>
      </c>
      <c r="CD945" s="15" t="s">
        <v>444</v>
      </c>
      <c r="CF945" s="15" t="s">
        <v>444</v>
      </c>
      <c r="CI945" s="15" t="s">
        <v>444</v>
      </c>
      <c r="CK945" s="15" t="s">
        <v>444</v>
      </c>
      <c r="CM945" s="15" t="s">
        <v>444</v>
      </c>
      <c r="CO945" s="15" t="s">
        <v>444</v>
      </c>
      <c r="CP945" s="15" t="str">
        <f>"40.47"</f>
        <v>40.47</v>
      </c>
      <c r="CQ945" s="15" t="str">
        <f>"1.146"</f>
        <v>1.146</v>
      </c>
      <c r="CR945" s="15" t="s">
        <v>465</v>
      </c>
      <c r="CV945" s="15" t="s">
        <v>1425</v>
      </c>
      <c r="CW945" s="15" t="s">
        <v>2968</v>
      </c>
      <c r="CX945" s="15" t="s">
        <v>1240</v>
      </c>
      <c r="DC945" s="15" t="str">
        <f>IFERROR(__xludf.DUMMYFUNCTION("""COMPUTED_VALUE"""),"")</f>
        <v/>
      </c>
      <c r="DE945" s="15" t="str">
        <f>IFERROR(__xludf.DUMMYFUNCTION("""COMPUTED_VALUE"""),"")</f>
        <v/>
      </c>
      <c r="DG945" s="15" t="str">
        <f>IFERROR(__xludf.DUMMYFUNCTION("""COMPUTED_VALUE"""),"")</f>
        <v/>
      </c>
      <c r="DL945" s="15" t="str">
        <f>IFERROR(__xludf.DUMMYFUNCTION("""COMPUTED_VALUE"""),"")</f>
        <v/>
      </c>
      <c r="DM945" s="15" t="s">
        <v>444</v>
      </c>
      <c r="DN945" s="15" t="s">
        <v>419</v>
      </c>
      <c r="DO945" s="15">
        <v>0.0</v>
      </c>
      <c r="DP945" s="15" t="s">
        <v>419</v>
      </c>
      <c r="DR945" s="15">
        <v>0.0</v>
      </c>
      <c r="DT945" s="15" t="s">
        <v>1186</v>
      </c>
      <c r="DU945" s="15" t="s">
        <v>610</v>
      </c>
      <c r="DW945" s="15">
        <v>18.14</v>
      </c>
      <c r="DX945" s="15">
        <v>40.0</v>
      </c>
      <c r="DY945" s="15">
        <v>2.0</v>
      </c>
      <c r="EG945" s="15" t="s">
        <v>444</v>
      </c>
      <c r="EH945" s="15" t="s">
        <v>9504</v>
      </c>
      <c r="EJ945" s="15" t="s">
        <v>500</v>
      </c>
      <c r="EK945" s="15" t="s">
        <v>501</v>
      </c>
      <c r="EM945" s="15" t="str">
        <f>IFERROR(__xludf.DUMMYFUNCTION("""COMPUTED_VALUE"""),"")</f>
        <v/>
      </c>
      <c r="EW945" s="15" t="s">
        <v>759</v>
      </c>
      <c r="FL945" s="15" t="s">
        <v>426</v>
      </c>
      <c r="FM945" s="15">
        <v>2.0</v>
      </c>
      <c r="FY945" s="15" t="s">
        <v>1306</v>
      </c>
      <c r="FZ945" s="15" t="s">
        <v>2046</v>
      </c>
      <c r="GA945" s="15" t="s">
        <v>2618</v>
      </c>
      <c r="GB945" s="15" t="s">
        <v>1425</v>
      </c>
      <c r="GC945" s="15" t="s">
        <v>2046</v>
      </c>
      <c r="GD945" s="15" t="s">
        <v>3912</v>
      </c>
      <c r="GE945" s="15">
        <v>0.0</v>
      </c>
      <c r="GF945" s="15" t="s">
        <v>426</v>
      </c>
      <c r="GH945" s="15">
        <v>4.0</v>
      </c>
      <c r="GI945" s="15" t="s">
        <v>614</v>
      </c>
      <c r="GJ945" s="15" t="s">
        <v>1045</v>
      </c>
      <c r="GK945" s="15">
        <v>0.0</v>
      </c>
      <c r="GL945" s="15" t="s">
        <v>426</v>
      </c>
      <c r="GN945" s="15" t="s">
        <v>616</v>
      </c>
      <c r="HW945" s="15" t="s">
        <v>1807</v>
      </c>
      <c r="IH945" s="15" t="s">
        <v>426</v>
      </c>
    </row>
    <row r="946" ht="15.75" customHeight="1">
      <c r="A946" s="14" t="s">
        <v>391</v>
      </c>
      <c r="B946" s="15" t="s">
        <v>9505</v>
      </c>
      <c r="C946" s="16"/>
      <c r="D946" s="15" t="s">
        <v>432</v>
      </c>
      <c r="G946" s="14" t="s">
        <v>393</v>
      </c>
      <c r="H946" s="14" t="s">
        <v>394</v>
      </c>
      <c r="I946" s="14" t="b">
        <v>1</v>
      </c>
      <c r="J946" s="14" t="s">
        <v>395</v>
      </c>
      <c r="L946" s="14" t="b">
        <v>0</v>
      </c>
      <c r="M946" s="15" t="s">
        <v>9506</v>
      </c>
      <c r="N946" s="14" t="s">
        <v>393</v>
      </c>
      <c r="O946" s="14" t="s">
        <v>393</v>
      </c>
      <c r="P946" s="15" t="s">
        <v>397</v>
      </c>
      <c r="Q946" s="15" t="s">
        <v>1658</v>
      </c>
      <c r="T946" s="14" t="b">
        <v>0</v>
      </c>
      <c r="U946" s="15" t="s">
        <v>9507</v>
      </c>
      <c r="V946" s="15" t="s">
        <v>4953</v>
      </c>
      <c r="W946" s="15" t="s">
        <v>401</v>
      </c>
      <c r="X946" s="15" t="s">
        <v>742</v>
      </c>
      <c r="Y946" s="15">
        <v>2847.0</v>
      </c>
      <c r="AA946" s="15" t="str">
        <f t="shared" si="1608"/>
        <v>1095</v>
      </c>
      <c r="AB946" s="14" t="b">
        <v>1</v>
      </c>
      <c r="AC946" s="14" t="b">
        <v>1</v>
      </c>
      <c r="AD946" s="15" t="str">
        <f>"198394050807"</f>
        <v>198394050807</v>
      </c>
      <c r="AE946" s="15" t="s">
        <v>9508</v>
      </c>
      <c r="AF946" s="14" t="s">
        <v>404</v>
      </c>
      <c r="AG946" s="14" t="s">
        <v>405</v>
      </c>
      <c r="AH946" s="14" t="s">
        <v>406</v>
      </c>
      <c r="AI946" s="15">
        <v>0.0</v>
      </c>
      <c r="AL946" s="15" t="s">
        <v>2491</v>
      </c>
      <c r="AM946" s="15" t="s">
        <v>6215</v>
      </c>
      <c r="AN946" s="15" t="s">
        <v>6216</v>
      </c>
      <c r="AO946" s="15" t="s">
        <v>1248</v>
      </c>
      <c r="AP946" s="15" t="s">
        <v>1249</v>
      </c>
      <c r="AQ946" s="15" t="s">
        <v>1276</v>
      </c>
      <c r="AR946" s="15" t="s">
        <v>1277</v>
      </c>
      <c r="AS946" s="15" t="s">
        <v>2063</v>
      </c>
      <c r="AT946" s="15" t="s">
        <v>1658</v>
      </c>
      <c r="AU946" s="15" t="s">
        <v>9509</v>
      </c>
      <c r="AW946" s="15" t="s">
        <v>412</v>
      </c>
      <c r="AY946" s="15" t="s">
        <v>413</v>
      </c>
      <c r="AZ946" s="15" t="b">
        <v>0</v>
      </c>
      <c r="BA946" s="15" t="s">
        <v>413</v>
      </c>
      <c r="BB946" s="15" t="b">
        <v>0</v>
      </c>
      <c r="BC946" s="15" t="s">
        <v>9510</v>
      </c>
      <c r="BD946" s="15" t="s">
        <v>742</v>
      </c>
      <c r="BE946" s="15" t="str">
        <f t="shared" si="1609"/>
        <v>1</v>
      </c>
      <c r="BF946" s="15" t="s">
        <v>416</v>
      </c>
      <c r="BG946" s="15" t="str">
        <f>"74.41"</f>
        <v>74.41</v>
      </c>
      <c r="BH946" s="15" t="s">
        <v>5246</v>
      </c>
      <c r="BI946" s="15" t="str">
        <f>"25.79"</f>
        <v>25.79</v>
      </c>
      <c r="BJ946" s="15" t="s">
        <v>631</v>
      </c>
      <c r="BK946" s="15" t="str">
        <f>"37.01"</f>
        <v>37.01</v>
      </c>
      <c r="BL946" s="15" t="s">
        <v>1990</v>
      </c>
      <c r="BM946" s="15" t="str">
        <f>"289.91"</f>
        <v>289.91</v>
      </c>
      <c r="BN946" s="15" t="s">
        <v>9511</v>
      </c>
      <c r="BQ946" s="15" t="s">
        <v>444</v>
      </c>
      <c r="BS946" s="15" t="s">
        <v>444</v>
      </c>
      <c r="BU946" s="15" t="s">
        <v>444</v>
      </c>
      <c r="BW946" s="15" t="s">
        <v>444</v>
      </c>
      <c r="BZ946" s="15" t="s">
        <v>444</v>
      </c>
      <c r="CB946" s="15" t="s">
        <v>444</v>
      </c>
      <c r="CD946" s="15" t="s">
        <v>444</v>
      </c>
      <c r="CF946" s="15" t="s">
        <v>444</v>
      </c>
      <c r="CI946" s="15" t="s">
        <v>444</v>
      </c>
      <c r="CK946" s="15" t="s">
        <v>444</v>
      </c>
      <c r="CM946" s="15" t="s">
        <v>444</v>
      </c>
      <c r="CO946" s="15" t="s">
        <v>444</v>
      </c>
      <c r="CP946" s="15" t="str">
        <f>"41.11"</f>
        <v>41.11</v>
      </c>
      <c r="CQ946" s="15" t="str">
        <f>"1.164"</f>
        <v>1.164</v>
      </c>
      <c r="CR946" s="15" t="s">
        <v>465</v>
      </c>
      <c r="DC946" s="15" t="str">
        <f>IFERROR(__xludf.DUMMYFUNCTION("""COMPUTED_VALUE"""),"")</f>
        <v/>
      </c>
      <c r="DE946" s="15" t="str">
        <f>IFERROR(__xludf.DUMMYFUNCTION("""COMPUTED_VALUE"""),"")</f>
        <v/>
      </c>
      <c r="DG946" s="15" t="str">
        <f>IFERROR(__xludf.DUMMYFUNCTION("""COMPUTED_VALUE"""),"")</f>
        <v/>
      </c>
      <c r="DK946" s="15" t="s">
        <v>718</v>
      </c>
      <c r="DL946" s="15" t="str">
        <f>IFERROR(__xludf.DUMMYFUNCTION("""COMPUTED_VALUE"""),"Vacuum or light brush only. Do not use water or any cleaning products.")</f>
        <v>Vacuum or light brush only. Do not use water or any cleaning products.</v>
      </c>
      <c r="DM946" s="15" t="s">
        <v>719</v>
      </c>
      <c r="DN946" s="15" t="s">
        <v>418</v>
      </c>
      <c r="DO946" s="15">
        <v>6.0</v>
      </c>
      <c r="DP946" s="15" t="s">
        <v>419</v>
      </c>
      <c r="DR946" s="15">
        <v>0.0</v>
      </c>
      <c r="DT946" s="15" t="s">
        <v>420</v>
      </c>
      <c r="DU946" s="15" t="s">
        <v>421</v>
      </c>
      <c r="DY946" s="15">
        <v>0.0</v>
      </c>
      <c r="DZ946" s="15">
        <v>0.0</v>
      </c>
      <c r="EF946" s="15" t="s">
        <v>422</v>
      </c>
      <c r="EG946" s="15" t="s">
        <v>445</v>
      </c>
      <c r="EH946" s="15" t="s">
        <v>9512</v>
      </c>
      <c r="EJ946" s="15" t="s">
        <v>500</v>
      </c>
      <c r="EK946" s="15" t="s">
        <v>501</v>
      </c>
      <c r="EM946" s="15" t="str">
        <f>IFERROR(__xludf.DUMMYFUNCTION("""COMPUTED_VALUE"""),"")</f>
        <v/>
      </c>
      <c r="EW946" s="15" t="s">
        <v>429</v>
      </c>
      <c r="FL946" s="15" t="s">
        <v>426</v>
      </c>
      <c r="FM946" s="15">
        <v>0.0</v>
      </c>
      <c r="GH946" s="15">
        <v>0.0</v>
      </c>
      <c r="GI946" s="15" t="s">
        <v>427</v>
      </c>
      <c r="GO946" s="15" t="s">
        <v>426</v>
      </c>
      <c r="GQ946" s="15" t="s">
        <v>2143</v>
      </c>
      <c r="GS946" s="15" t="s">
        <v>9513</v>
      </c>
      <c r="GU946" s="15" t="s">
        <v>9514</v>
      </c>
      <c r="GW946" s="15" t="s">
        <v>431</v>
      </c>
      <c r="GY946" s="15" t="s">
        <v>420</v>
      </c>
    </row>
    <row r="947" ht="15.75" customHeight="1">
      <c r="A947" s="14" t="s">
        <v>391</v>
      </c>
      <c r="B947" s="15" t="s">
        <v>9515</v>
      </c>
      <c r="C947" s="16"/>
      <c r="D947" s="15" t="s">
        <v>432</v>
      </c>
      <c r="G947" s="14" t="s">
        <v>393</v>
      </c>
      <c r="H947" s="14" t="s">
        <v>394</v>
      </c>
      <c r="I947" s="14" t="b">
        <v>1</v>
      </c>
      <c r="J947" s="14" t="s">
        <v>395</v>
      </c>
      <c r="L947" s="14" t="b">
        <v>0</v>
      </c>
      <c r="M947" s="15" t="s">
        <v>9516</v>
      </c>
      <c r="N947" s="14" t="s">
        <v>393</v>
      </c>
      <c r="O947" s="14" t="s">
        <v>393</v>
      </c>
      <c r="P947" s="15" t="s">
        <v>397</v>
      </c>
      <c r="Q947" s="15" t="s">
        <v>9517</v>
      </c>
      <c r="T947" s="14" t="b">
        <v>0</v>
      </c>
      <c r="U947" s="15" t="s">
        <v>9518</v>
      </c>
      <c r="V947" s="15" t="s">
        <v>9519</v>
      </c>
      <c r="W947" s="15" t="s">
        <v>401</v>
      </c>
      <c r="X947" s="15" t="s">
        <v>742</v>
      </c>
      <c r="Y947" s="15">
        <v>988.0</v>
      </c>
      <c r="AA947" s="15" t="str">
        <f>"380"</f>
        <v>380</v>
      </c>
      <c r="AB947" s="14" t="b">
        <v>1</v>
      </c>
      <c r="AC947" s="14" t="b">
        <v>1</v>
      </c>
      <c r="AD947" s="15" t="str">
        <f>"198394050814"</f>
        <v>198394050814</v>
      </c>
      <c r="AE947" s="15" t="s">
        <v>9520</v>
      </c>
      <c r="AF947" s="14" t="s">
        <v>404</v>
      </c>
      <c r="AG947" s="14" t="s">
        <v>405</v>
      </c>
      <c r="AH947" s="14" t="s">
        <v>406</v>
      </c>
      <c r="AI947" s="15">
        <v>0.0</v>
      </c>
      <c r="AL947" s="15" t="s">
        <v>9521</v>
      </c>
      <c r="AM947" s="15" t="s">
        <v>1085</v>
      </c>
      <c r="AN947" s="15" t="s">
        <v>1086</v>
      </c>
      <c r="AO947" s="15" t="s">
        <v>7136</v>
      </c>
      <c r="AP947" s="15" t="s">
        <v>3732</v>
      </c>
      <c r="AQ947" s="15" t="s">
        <v>4283</v>
      </c>
      <c r="AR947" s="15" t="s">
        <v>4284</v>
      </c>
      <c r="AS947" s="15" t="s">
        <v>2063</v>
      </c>
      <c r="AT947" s="15" t="s">
        <v>9517</v>
      </c>
      <c r="AU947" s="15" t="s">
        <v>1658</v>
      </c>
      <c r="AW947" s="15" t="s">
        <v>628</v>
      </c>
      <c r="AY947" s="15" t="s">
        <v>413</v>
      </c>
      <c r="AZ947" s="15" t="b">
        <v>0</v>
      </c>
      <c r="BA947" s="15" t="s">
        <v>413</v>
      </c>
      <c r="BB947" s="15" t="b">
        <v>0</v>
      </c>
      <c r="BC947" s="15" t="s">
        <v>9522</v>
      </c>
      <c r="BD947" s="15" t="s">
        <v>742</v>
      </c>
      <c r="BE947" s="15" t="str">
        <f t="shared" si="1609"/>
        <v>1</v>
      </c>
      <c r="BF947" s="15" t="s">
        <v>416</v>
      </c>
      <c r="BG947" s="15" t="str">
        <f>"31.69"</f>
        <v>31.69</v>
      </c>
      <c r="BH947" s="15" t="s">
        <v>3110</v>
      </c>
      <c r="BI947" s="15" t="str">
        <f>"23.23"</f>
        <v>23.23</v>
      </c>
      <c r="BJ947" s="15" t="s">
        <v>2616</v>
      </c>
      <c r="BK947" s="15" t="str">
        <f>"28.74"</f>
        <v>28.74</v>
      </c>
      <c r="BL947" s="15" t="s">
        <v>2113</v>
      </c>
      <c r="BM947" s="15" t="str">
        <f>"100.31"</f>
        <v>100.31</v>
      </c>
      <c r="BN947" s="15" t="s">
        <v>2420</v>
      </c>
      <c r="BQ947" s="15" t="s">
        <v>444</v>
      </c>
      <c r="BS947" s="15" t="s">
        <v>444</v>
      </c>
      <c r="BU947" s="15" t="s">
        <v>444</v>
      </c>
      <c r="BW947" s="15" t="s">
        <v>444</v>
      </c>
      <c r="BZ947" s="15" t="s">
        <v>444</v>
      </c>
      <c r="CB947" s="15" t="s">
        <v>444</v>
      </c>
      <c r="CD947" s="15" t="s">
        <v>444</v>
      </c>
      <c r="CF947" s="15" t="s">
        <v>444</v>
      </c>
      <c r="CI947" s="15" t="s">
        <v>444</v>
      </c>
      <c r="CK947" s="15" t="s">
        <v>444</v>
      </c>
      <c r="CM947" s="15" t="s">
        <v>444</v>
      </c>
      <c r="CO947" s="15" t="s">
        <v>444</v>
      </c>
      <c r="CP947" s="15" t="str">
        <f>"12.25"</f>
        <v>12.25</v>
      </c>
      <c r="CQ947" s="15" t="str">
        <f>"0.347"</f>
        <v>0.347</v>
      </c>
      <c r="CR947" s="15" t="s">
        <v>465</v>
      </c>
      <c r="DC947" s="15" t="str">
        <f>IFERROR(__xludf.DUMMYFUNCTION("""COMPUTED_VALUE"""),"")</f>
        <v/>
      </c>
      <c r="DE947" s="15" t="str">
        <f>IFERROR(__xludf.DUMMYFUNCTION("""COMPUTED_VALUE"""),"")</f>
        <v/>
      </c>
      <c r="DG947" s="15" t="str">
        <f>IFERROR(__xludf.DUMMYFUNCTION("""COMPUTED_VALUE"""),"")</f>
        <v/>
      </c>
      <c r="DL947" s="15" t="str">
        <f>IFERROR(__xludf.DUMMYFUNCTION("""COMPUTED_VALUE"""),"")</f>
        <v/>
      </c>
      <c r="DM947" s="15" t="s">
        <v>444</v>
      </c>
      <c r="DN947" s="15" t="s">
        <v>418</v>
      </c>
      <c r="DO947" s="15">
        <v>2.0</v>
      </c>
      <c r="DP947" s="15" t="s">
        <v>419</v>
      </c>
      <c r="DR947" s="15">
        <v>0.0</v>
      </c>
      <c r="DT947" s="15" t="s">
        <v>420</v>
      </c>
      <c r="DU947" s="15" t="s">
        <v>421</v>
      </c>
      <c r="DY947" s="15">
        <v>0.0</v>
      </c>
      <c r="EF947" s="15" t="s">
        <v>471</v>
      </c>
      <c r="EG947" s="15" t="s">
        <v>472</v>
      </c>
      <c r="EH947" s="15" t="s">
        <v>9512</v>
      </c>
      <c r="EJ947" s="15" t="s">
        <v>500</v>
      </c>
      <c r="EK947" s="15" t="s">
        <v>501</v>
      </c>
      <c r="EM947" s="15" t="str">
        <f>IFERROR(__xludf.DUMMYFUNCTION("""COMPUTED_VALUE"""),"")</f>
        <v/>
      </c>
      <c r="EW947" s="15" t="s">
        <v>429</v>
      </c>
      <c r="FL947" s="15" t="s">
        <v>426</v>
      </c>
      <c r="FM947" s="15">
        <v>0.0</v>
      </c>
      <c r="GH947" s="15">
        <v>0.0</v>
      </c>
      <c r="GI947" s="15" t="s">
        <v>427</v>
      </c>
      <c r="GO947" s="15" t="s">
        <v>426</v>
      </c>
      <c r="GQ947" s="15" t="s">
        <v>2143</v>
      </c>
      <c r="GS947" s="15" t="s">
        <v>1132</v>
      </c>
      <c r="GU947" s="15" t="s">
        <v>5033</v>
      </c>
      <c r="GW947" s="15" t="s">
        <v>431</v>
      </c>
      <c r="GY947" s="15" t="s">
        <v>420</v>
      </c>
    </row>
    <row r="948" ht="15.75" customHeight="1">
      <c r="A948" s="14" t="s">
        <v>391</v>
      </c>
      <c r="B948" s="15" t="s">
        <v>9523</v>
      </c>
      <c r="C948" s="16"/>
      <c r="D948" s="15" t="s">
        <v>432</v>
      </c>
      <c r="G948" s="14" t="s">
        <v>393</v>
      </c>
      <c r="H948" s="14" t="s">
        <v>394</v>
      </c>
      <c r="I948" s="14" t="b">
        <v>1</v>
      </c>
      <c r="J948" s="14" t="s">
        <v>395</v>
      </c>
      <c r="L948" s="14" t="b">
        <v>0</v>
      </c>
      <c r="M948" s="15" t="s">
        <v>9524</v>
      </c>
      <c r="N948" s="14" t="s">
        <v>393</v>
      </c>
      <c r="O948" s="14" t="s">
        <v>393</v>
      </c>
      <c r="P948" s="15" t="s">
        <v>397</v>
      </c>
      <c r="Q948" s="15" t="s">
        <v>9525</v>
      </c>
      <c r="T948" s="14" t="b">
        <v>0</v>
      </c>
      <c r="U948" s="15" t="s">
        <v>9526</v>
      </c>
      <c r="V948" s="15" t="s">
        <v>9527</v>
      </c>
      <c r="W948" s="15" t="s">
        <v>401</v>
      </c>
      <c r="X948" s="15" t="s">
        <v>402</v>
      </c>
      <c r="Y948" s="15">
        <v>2522.0</v>
      </c>
      <c r="AA948" s="15" t="str">
        <f t="shared" ref="AA948:AA949" si="1610">"970"</f>
        <v>970</v>
      </c>
      <c r="AB948" s="14" t="b">
        <v>1</v>
      </c>
      <c r="AC948" s="14" t="b">
        <v>1</v>
      </c>
      <c r="AD948" s="15" t="str">
        <f>"801542057732"</f>
        <v>801542057732</v>
      </c>
      <c r="AE948" s="15" t="s">
        <v>9528</v>
      </c>
      <c r="AF948" s="14" t="s">
        <v>404</v>
      </c>
      <c r="AG948" s="14" t="s">
        <v>405</v>
      </c>
      <c r="AH948" s="14" t="s">
        <v>406</v>
      </c>
      <c r="AI948" s="15">
        <v>0.0</v>
      </c>
      <c r="AL948" s="15" t="s">
        <v>1655</v>
      </c>
      <c r="AM948" s="15" t="s">
        <v>2675</v>
      </c>
      <c r="AN948" s="15" t="s">
        <v>2676</v>
      </c>
      <c r="AO948" s="15" t="s">
        <v>745</v>
      </c>
      <c r="AP948" s="15" t="s">
        <v>746</v>
      </c>
      <c r="AQ948" s="15" t="s">
        <v>1364</v>
      </c>
      <c r="AR948" s="15" t="s">
        <v>1365</v>
      </c>
      <c r="AS948" s="15" t="s">
        <v>2108</v>
      </c>
      <c r="AT948" s="15" t="s">
        <v>9525</v>
      </c>
      <c r="AW948" s="15" t="s">
        <v>1226</v>
      </c>
      <c r="AY948" s="15" t="s">
        <v>413</v>
      </c>
      <c r="AZ948" s="15" t="b">
        <v>0</v>
      </c>
      <c r="BA948" s="15" t="s">
        <v>426</v>
      </c>
      <c r="BB948" s="15" t="b">
        <v>1</v>
      </c>
      <c r="BC948" s="15" t="s">
        <v>9529</v>
      </c>
      <c r="BD948" s="15" t="s">
        <v>415</v>
      </c>
      <c r="BE948" s="15" t="str">
        <f t="shared" si="1609"/>
        <v>1</v>
      </c>
      <c r="BF948" s="15" t="s">
        <v>416</v>
      </c>
      <c r="BG948" s="15" t="str">
        <f t="shared" ref="BG948:BG950" si="1611">"57.87"</f>
        <v>57.87</v>
      </c>
      <c r="BH948" s="15" t="s">
        <v>2707</v>
      </c>
      <c r="BI948" s="15" t="str">
        <f t="shared" ref="BI948:BI950" si="1612">"72.83"</f>
        <v>72.83</v>
      </c>
      <c r="BJ948" s="15" t="s">
        <v>6028</v>
      </c>
      <c r="BK948" s="15" t="str">
        <f t="shared" ref="BK948:BK950" si="1613">"27.56"</f>
        <v>27.56</v>
      </c>
      <c r="BL948" s="15" t="s">
        <v>1780</v>
      </c>
      <c r="BM948" s="15" t="str">
        <f t="shared" ref="BM948:BM950" si="1614">"167.88"</f>
        <v>167.88</v>
      </c>
      <c r="BN948" s="15" t="s">
        <v>9530</v>
      </c>
      <c r="BQ948" s="15" t="s">
        <v>444</v>
      </c>
      <c r="BS948" s="15" t="s">
        <v>444</v>
      </c>
      <c r="BU948" s="15" t="s">
        <v>444</v>
      </c>
      <c r="BW948" s="15" t="s">
        <v>444</v>
      </c>
      <c r="BZ948" s="15" t="s">
        <v>444</v>
      </c>
      <c r="CB948" s="15" t="s">
        <v>444</v>
      </c>
      <c r="CD948" s="15" t="s">
        <v>444</v>
      </c>
      <c r="CF948" s="15" t="s">
        <v>444</v>
      </c>
      <c r="CI948" s="15" t="s">
        <v>444</v>
      </c>
      <c r="CK948" s="15" t="s">
        <v>444</v>
      </c>
      <c r="CM948" s="15" t="s">
        <v>444</v>
      </c>
      <c r="CO948" s="15" t="s">
        <v>444</v>
      </c>
      <c r="CP948" s="15" t="str">
        <f t="shared" ref="CP948:CP950" si="1615">"67.2"</f>
        <v>67.2</v>
      </c>
      <c r="CQ948" s="15" t="str">
        <f t="shared" ref="CQ948:CQ950" si="1616">"1.903"</f>
        <v>1.903</v>
      </c>
      <c r="CR948" s="15" t="s">
        <v>417</v>
      </c>
      <c r="CY948" s="15" t="s">
        <v>468</v>
      </c>
      <c r="CZ948" s="15" t="s">
        <v>531</v>
      </c>
      <c r="DA948" s="15" t="s">
        <v>3338</v>
      </c>
      <c r="DB948" s="15" t="s">
        <v>4531</v>
      </c>
      <c r="DC948" s="15" t="str">
        <f>IFERROR(__xludf.DUMMYFUNCTION("""COMPUTED_VALUE"""),"{""value"":63.00,""unit"":""in""}")</f>
        <v>{"value":63.00,"unit":"in"}</v>
      </c>
      <c r="DD948" s="15" t="s">
        <v>1253</v>
      </c>
      <c r="DE948" s="15" t="str">
        <f>IFERROR(__xludf.DUMMYFUNCTION("""COMPUTED_VALUE"""),"{""value"":22.50,""unit"":""in""}")</f>
        <v>{"value":22.50,"unit":"in"}</v>
      </c>
      <c r="DG948" s="15" t="str">
        <f>IFERROR(__xludf.DUMMYFUNCTION("""COMPUTED_VALUE"""),"")</f>
        <v/>
      </c>
      <c r="DH948" s="15">
        <v>0.0</v>
      </c>
      <c r="DI948" s="15">
        <v>1.0</v>
      </c>
      <c r="DJ948" s="15" t="s">
        <v>717</v>
      </c>
      <c r="DK948" s="15" t="s">
        <v>934</v>
      </c>
      <c r="DL948" s="15" t="str">
        <f>IFERROR(__xludf.DUMMYFUNCTION("""COMPUTED_VALUE"""),"Spot clean with water-based or solvent-based cleaner. Use mild detergent or upholstery shampoo.")</f>
        <v>Spot clean with water-based or solvent-based cleaner. Use mild detergent or upholstery shampoo.</v>
      </c>
      <c r="DM948" s="15" t="s">
        <v>935</v>
      </c>
      <c r="DQ948" s="15" t="s">
        <v>2117</v>
      </c>
      <c r="DR948" s="15" t="s">
        <v>2118</v>
      </c>
      <c r="DU948" s="15" t="s">
        <v>721</v>
      </c>
      <c r="DV948" s="15" t="s">
        <v>419</v>
      </c>
      <c r="DW948" s="15">
        <v>0.0</v>
      </c>
      <c r="EA948" s="15">
        <v>20000.0</v>
      </c>
      <c r="EB948" s="15" t="s">
        <v>990</v>
      </c>
      <c r="EC948" s="15" t="s">
        <v>723</v>
      </c>
      <c r="ED948" s="15" t="s">
        <v>2200</v>
      </c>
      <c r="EE948" s="15">
        <v>1.0</v>
      </c>
      <c r="EF948" s="15">
        <v>1.0</v>
      </c>
      <c r="EG948" s="15" t="s">
        <v>5478</v>
      </c>
      <c r="EI948" s="15" t="s">
        <v>9531</v>
      </c>
      <c r="EJ948" s="15">
        <v>2.0</v>
      </c>
      <c r="EK948" s="15" t="s">
        <v>9532</v>
      </c>
      <c r="EL948" s="15" t="s">
        <v>726</v>
      </c>
      <c r="EM948" s="15" t="str">
        <f>IFERROR(__xludf.DUMMYFUNCTION("""COMPUTED_VALUE"""),"{""value"":250,""unit"":""in""}")</f>
        <v>{"value":250,"unit":"in"}</v>
      </c>
      <c r="EN948" s="15" t="s">
        <v>1286</v>
      </c>
      <c r="EO948" s="15" t="s">
        <v>1188</v>
      </c>
      <c r="EP948" s="15" t="s">
        <v>3036</v>
      </c>
      <c r="ET948" s="15" t="s">
        <v>995</v>
      </c>
      <c r="EU948" s="15" t="s">
        <v>995</v>
      </c>
      <c r="EV948" s="15" t="s">
        <v>1331</v>
      </c>
      <c r="EW948" s="15" t="s">
        <v>2403</v>
      </c>
      <c r="EX948" s="15" t="s">
        <v>1188</v>
      </c>
      <c r="EY948" s="15" t="s">
        <v>2388</v>
      </c>
      <c r="EZ948" s="15" t="s">
        <v>4528</v>
      </c>
      <c r="FA948" s="15" t="s">
        <v>1188</v>
      </c>
      <c r="FD948" s="15" t="s">
        <v>723</v>
      </c>
      <c r="FE948" s="15" t="s">
        <v>2200</v>
      </c>
      <c r="FF948" s="15" t="s">
        <v>2117</v>
      </c>
      <c r="FG948" s="15" t="s">
        <v>2118</v>
      </c>
      <c r="FH948" s="15" t="s">
        <v>860</v>
      </c>
      <c r="FI948" s="15" t="s">
        <v>2200</v>
      </c>
      <c r="FQ948" s="15" t="s">
        <v>2403</v>
      </c>
      <c r="FR948" s="15" t="s">
        <v>3338</v>
      </c>
      <c r="FU948" s="15" t="s">
        <v>2436</v>
      </c>
      <c r="JY948" s="15" t="s">
        <v>505</v>
      </c>
      <c r="JZ948" s="15" t="s">
        <v>1065</v>
      </c>
      <c r="KA948" s="15" t="s">
        <v>1065</v>
      </c>
      <c r="KD948" s="15" t="s">
        <v>426</v>
      </c>
    </row>
    <row r="949" ht="15.75" customHeight="1">
      <c r="A949" s="14" t="s">
        <v>391</v>
      </c>
      <c r="B949" s="15" t="s">
        <v>9523</v>
      </c>
      <c r="C949" s="16"/>
      <c r="D949" s="15" t="s">
        <v>432</v>
      </c>
      <c r="G949" s="14" t="s">
        <v>393</v>
      </c>
      <c r="H949" s="14" t="s">
        <v>394</v>
      </c>
      <c r="I949" s="14" t="b">
        <v>1</v>
      </c>
      <c r="J949" s="14" t="s">
        <v>395</v>
      </c>
      <c r="L949" s="14" t="b">
        <v>0</v>
      </c>
      <c r="M949" s="15" t="s">
        <v>9533</v>
      </c>
      <c r="N949" s="14" t="s">
        <v>393</v>
      </c>
      <c r="O949" s="14" t="s">
        <v>393</v>
      </c>
      <c r="P949" s="15" t="s">
        <v>397</v>
      </c>
      <c r="Q949" s="15" t="s">
        <v>9534</v>
      </c>
      <c r="T949" s="14" t="b">
        <v>0</v>
      </c>
      <c r="U949" s="15" t="s">
        <v>9535</v>
      </c>
      <c r="V949" s="15" t="s">
        <v>9527</v>
      </c>
      <c r="W949" s="15" t="s">
        <v>401</v>
      </c>
      <c r="X949" s="15" t="s">
        <v>402</v>
      </c>
      <c r="Y949" s="15">
        <v>2522.0</v>
      </c>
      <c r="AA949" s="15" t="str">
        <f t="shared" si="1610"/>
        <v>970</v>
      </c>
      <c r="AB949" s="14" t="b">
        <v>1</v>
      </c>
      <c r="AC949" s="14" t="b">
        <v>1</v>
      </c>
      <c r="AD949" s="15" t="str">
        <f>"801542057749"</f>
        <v>801542057749</v>
      </c>
      <c r="AE949" s="15" t="s">
        <v>9536</v>
      </c>
      <c r="AF949" s="14" t="s">
        <v>404</v>
      </c>
      <c r="AG949" s="14" t="s">
        <v>405</v>
      </c>
      <c r="AH949" s="14" t="s">
        <v>406</v>
      </c>
      <c r="AI949" s="15">
        <v>0.0</v>
      </c>
      <c r="AL949" s="15" t="s">
        <v>9537</v>
      </c>
      <c r="AM949" s="15" t="s">
        <v>2675</v>
      </c>
      <c r="AN949" s="15" t="s">
        <v>2676</v>
      </c>
      <c r="AO949" s="15" t="s">
        <v>745</v>
      </c>
      <c r="AP949" s="15" t="s">
        <v>746</v>
      </c>
      <c r="AQ949" s="15" t="s">
        <v>1364</v>
      </c>
      <c r="AR949" s="15" t="s">
        <v>1365</v>
      </c>
      <c r="AS949" s="15" t="s">
        <v>2108</v>
      </c>
      <c r="AT949" s="15" t="s">
        <v>9534</v>
      </c>
      <c r="AW949" s="15" t="s">
        <v>1226</v>
      </c>
      <c r="AY949" s="15" t="s">
        <v>413</v>
      </c>
      <c r="AZ949" s="15" t="b">
        <v>0</v>
      </c>
      <c r="BA949" s="15" t="s">
        <v>426</v>
      </c>
      <c r="BB949" s="15" t="b">
        <v>1</v>
      </c>
      <c r="BC949" s="15" t="s">
        <v>9538</v>
      </c>
      <c r="BD949" s="15" t="s">
        <v>415</v>
      </c>
      <c r="BE949" s="15" t="str">
        <f t="shared" si="1609"/>
        <v>1</v>
      </c>
      <c r="BF949" s="15" t="s">
        <v>416</v>
      </c>
      <c r="BG949" s="15" t="str">
        <f t="shared" si="1611"/>
        <v>57.87</v>
      </c>
      <c r="BH949" s="15" t="s">
        <v>2707</v>
      </c>
      <c r="BI949" s="15" t="str">
        <f t="shared" si="1612"/>
        <v>72.83</v>
      </c>
      <c r="BJ949" s="15" t="s">
        <v>6028</v>
      </c>
      <c r="BK949" s="15" t="str">
        <f t="shared" si="1613"/>
        <v>27.56</v>
      </c>
      <c r="BL949" s="15" t="s">
        <v>1780</v>
      </c>
      <c r="BM949" s="15" t="str">
        <f t="shared" si="1614"/>
        <v>167.88</v>
      </c>
      <c r="BN949" s="15" t="s">
        <v>9530</v>
      </c>
      <c r="BQ949" s="15" t="s">
        <v>444</v>
      </c>
      <c r="BS949" s="15" t="s">
        <v>444</v>
      </c>
      <c r="BU949" s="15" t="s">
        <v>444</v>
      </c>
      <c r="BW949" s="15" t="s">
        <v>444</v>
      </c>
      <c r="BZ949" s="15" t="s">
        <v>444</v>
      </c>
      <c r="CB949" s="15" t="s">
        <v>444</v>
      </c>
      <c r="CD949" s="15" t="s">
        <v>444</v>
      </c>
      <c r="CF949" s="15" t="s">
        <v>444</v>
      </c>
      <c r="CI949" s="15" t="s">
        <v>444</v>
      </c>
      <c r="CK949" s="15" t="s">
        <v>444</v>
      </c>
      <c r="CM949" s="15" t="s">
        <v>444</v>
      </c>
      <c r="CO949" s="15" t="s">
        <v>444</v>
      </c>
      <c r="CP949" s="15" t="str">
        <f t="shared" si="1615"/>
        <v>67.2</v>
      </c>
      <c r="CQ949" s="15" t="str">
        <f t="shared" si="1616"/>
        <v>1.903</v>
      </c>
      <c r="CR949" s="15" t="s">
        <v>417</v>
      </c>
      <c r="CY949" s="15" t="s">
        <v>468</v>
      </c>
      <c r="CZ949" s="15" t="s">
        <v>531</v>
      </c>
      <c r="DA949" s="15" t="s">
        <v>3338</v>
      </c>
      <c r="DB949" s="15" t="s">
        <v>4531</v>
      </c>
      <c r="DC949" s="15" t="str">
        <f>IFERROR(__xludf.DUMMYFUNCTION("""COMPUTED_VALUE"""),"{""value"":63.00,""unit"":""in""}")</f>
        <v>{"value":63.00,"unit":"in"}</v>
      </c>
      <c r="DD949" s="15" t="s">
        <v>1253</v>
      </c>
      <c r="DE949" s="15" t="str">
        <f>IFERROR(__xludf.DUMMYFUNCTION("""COMPUTED_VALUE"""),"{""value"":22.50,""unit"":""in""}")</f>
        <v>{"value":22.50,"unit":"in"}</v>
      </c>
      <c r="DG949" s="15" t="str">
        <f>IFERROR(__xludf.DUMMYFUNCTION("""COMPUTED_VALUE"""),"")</f>
        <v/>
      </c>
      <c r="DH949" s="15">
        <v>0.0</v>
      </c>
      <c r="DI949" s="15">
        <v>1.0</v>
      </c>
      <c r="DJ949" s="15" t="s">
        <v>717</v>
      </c>
      <c r="DK949" s="15" t="s">
        <v>1837</v>
      </c>
      <c r="DL949" s="15" t="str">
        <f>IFERROR(__xludf.DUMMYFUNCTION("""COMPUTED_VALUE"""),"Dry clean only. Professional cleaning recommended.")</f>
        <v>Dry clean only. Professional cleaning recommended.</v>
      </c>
      <c r="DM949" s="15" t="s">
        <v>1838</v>
      </c>
      <c r="DQ949" s="15" t="s">
        <v>2117</v>
      </c>
      <c r="DR949" s="15" t="s">
        <v>2118</v>
      </c>
      <c r="DU949" s="15" t="s">
        <v>721</v>
      </c>
      <c r="DV949" s="15" t="s">
        <v>419</v>
      </c>
      <c r="DW949" s="15">
        <v>0.0</v>
      </c>
      <c r="EA949" s="15">
        <v>15000.0</v>
      </c>
      <c r="EB949" s="15" t="s">
        <v>990</v>
      </c>
      <c r="EC949" s="15" t="s">
        <v>723</v>
      </c>
      <c r="ED949" s="15" t="s">
        <v>2200</v>
      </c>
      <c r="EE949" s="15">
        <v>1.0</v>
      </c>
      <c r="EF949" s="15">
        <v>1.0</v>
      </c>
      <c r="EG949" s="15" t="s">
        <v>5478</v>
      </c>
      <c r="EI949" s="15" t="s">
        <v>9531</v>
      </c>
      <c r="EJ949" s="15">
        <v>2.0</v>
      </c>
      <c r="EK949" s="15" t="s">
        <v>9532</v>
      </c>
      <c r="EL949" s="15" t="s">
        <v>726</v>
      </c>
      <c r="EM949" s="15" t="str">
        <f>IFERROR(__xludf.DUMMYFUNCTION("""COMPUTED_VALUE"""),"{""value"":250,""unit"":""in""}")</f>
        <v>{"value":250,"unit":"in"}</v>
      </c>
      <c r="EN949" s="15" t="s">
        <v>1286</v>
      </c>
      <c r="EO949" s="15" t="s">
        <v>1188</v>
      </c>
      <c r="EP949" s="15" t="s">
        <v>3036</v>
      </c>
      <c r="ET949" s="15" t="s">
        <v>995</v>
      </c>
      <c r="EU949" s="15" t="s">
        <v>995</v>
      </c>
      <c r="EV949" s="15" t="s">
        <v>1331</v>
      </c>
      <c r="EW949" s="15" t="s">
        <v>2403</v>
      </c>
      <c r="EX949" s="15" t="s">
        <v>1188</v>
      </c>
      <c r="EY949" s="15" t="s">
        <v>2388</v>
      </c>
      <c r="EZ949" s="15" t="s">
        <v>4528</v>
      </c>
      <c r="FA949" s="15" t="s">
        <v>1188</v>
      </c>
      <c r="FD949" s="15" t="s">
        <v>723</v>
      </c>
      <c r="FE949" s="15" t="s">
        <v>2200</v>
      </c>
      <c r="FF949" s="15" t="s">
        <v>2117</v>
      </c>
      <c r="FG949" s="15" t="s">
        <v>2118</v>
      </c>
      <c r="FH949" s="15" t="s">
        <v>860</v>
      </c>
      <c r="FI949" s="15" t="s">
        <v>2200</v>
      </c>
      <c r="FQ949" s="15" t="s">
        <v>2403</v>
      </c>
      <c r="FR949" s="15" t="s">
        <v>3338</v>
      </c>
      <c r="FU949" s="15" t="s">
        <v>2436</v>
      </c>
      <c r="JY949" s="15" t="s">
        <v>505</v>
      </c>
      <c r="JZ949" s="15" t="s">
        <v>1065</v>
      </c>
      <c r="KA949" s="15" t="s">
        <v>1065</v>
      </c>
      <c r="KD949" s="15" t="s">
        <v>426</v>
      </c>
    </row>
    <row r="950" ht="15.75" customHeight="1">
      <c r="A950" s="14" t="s">
        <v>391</v>
      </c>
      <c r="B950" s="15" t="s">
        <v>9523</v>
      </c>
      <c r="C950" s="16"/>
      <c r="D950" s="15" t="s">
        <v>432</v>
      </c>
      <c r="G950" s="14" t="s">
        <v>393</v>
      </c>
      <c r="H950" s="14" t="s">
        <v>394</v>
      </c>
      <c r="I950" s="14" t="b">
        <v>1</v>
      </c>
      <c r="J950" s="14" t="s">
        <v>395</v>
      </c>
      <c r="L950" s="14" t="b">
        <v>0</v>
      </c>
      <c r="M950" s="15" t="s">
        <v>9539</v>
      </c>
      <c r="N950" s="14" t="s">
        <v>393</v>
      </c>
      <c r="O950" s="14" t="s">
        <v>393</v>
      </c>
      <c r="P950" s="15" t="s">
        <v>397</v>
      </c>
      <c r="Q950" s="15" t="s">
        <v>3814</v>
      </c>
      <c r="T950" s="14" t="b">
        <v>0</v>
      </c>
      <c r="U950" s="15" t="s">
        <v>9540</v>
      </c>
      <c r="V950" s="15" t="s">
        <v>9527</v>
      </c>
      <c r="W950" s="15" t="s">
        <v>401</v>
      </c>
      <c r="X950" s="15" t="s">
        <v>402</v>
      </c>
      <c r="Y950" s="15">
        <v>2626.0</v>
      </c>
      <c r="AA950" s="15" t="str">
        <f>"1010"</f>
        <v>1010</v>
      </c>
      <c r="AB950" s="14" t="b">
        <v>1</v>
      </c>
      <c r="AC950" s="14" t="b">
        <v>1</v>
      </c>
      <c r="AD950" s="15" t="str">
        <f>"801542057756"</f>
        <v>801542057756</v>
      </c>
      <c r="AE950" s="15" t="s">
        <v>9541</v>
      </c>
      <c r="AF950" s="14" t="s">
        <v>404</v>
      </c>
      <c r="AG950" s="14" t="s">
        <v>405</v>
      </c>
      <c r="AH950" s="14" t="s">
        <v>406</v>
      </c>
      <c r="AI950" s="15">
        <v>0.0</v>
      </c>
      <c r="AL950" s="15" t="s">
        <v>6312</v>
      </c>
      <c r="AM950" s="15" t="s">
        <v>2675</v>
      </c>
      <c r="AN950" s="15" t="s">
        <v>2676</v>
      </c>
      <c r="AO950" s="15" t="s">
        <v>745</v>
      </c>
      <c r="AP950" s="15" t="s">
        <v>746</v>
      </c>
      <c r="AQ950" s="15" t="s">
        <v>1364</v>
      </c>
      <c r="AR950" s="15" t="s">
        <v>1365</v>
      </c>
      <c r="AS950" s="15" t="s">
        <v>2108</v>
      </c>
      <c r="AT950" s="15" t="s">
        <v>3814</v>
      </c>
      <c r="AW950" s="15" t="s">
        <v>1226</v>
      </c>
      <c r="AY950" s="15" t="s">
        <v>413</v>
      </c>
      <c r="AZ950" s="15" t="b">
        <v>0</v>
      </c>
      <c r="BA950" s="15" t="s">
        <v>426</v>
      </c>
      <c r="BB950" s="15" t="b">
        <v>1</v>
      </c>
      <c r="BC950" s="15" t="s">
        <v>9542</v>
      </c>
      <c r="BD950" s="15" t="s">
        <v>415</v>
      </c>
      <c r="BE950" s="15" t="str">
        <f t="shared" si="1609"/>
        <v>1</v>
      </c>
      <c r="BF950" s="15" t="s">
        <v>416</v>
      </c>
      <c r="BG950" s="15" t="str">
        <f t="shared" si="1611"/>
        <v>57.87</v>
      </c>
      <c r="BH950" s="15" t="s">
        <v>2707</v>
      </c>
      <c r="BI950" s="15" t="str">
        <f t="shared" si="1612"/>
        <v>72.83</v>
      </c>
      <c r="BJ950" s="15" t="s">
        <v>6028</v>
      </c>
      <c r="BK950" s="15" t="str">
        <f t="shared" si="1613"/>
        <v>27.56</v>
      </c>
      <c r="BL950" s="15" t="s">
        <v>1780</v>
      </c>
      <c r="BM950" s="15" t="str">
        <f t="shared" si="1614"/>
        <v>167.88</v>
      </c>
      <c r="BN950" s="15" t="s">
        <v>9530</v>
      </c>
      <c r="BQ950" s="15" t="s">
        <v>444</v>
      </c>
      <c r="BS950" s="15" t="s">
        <v>444</v>
      </c>
      <c r="BU950" s="15" t="s">
        <v>444</v>
      </c>
      <c r="BW950" s="15" t="s">
        <v>444</v>
      </c>
      <c r="BZ950" s="15" t="s">
        <v>444</v>
      </c>
      <c r="CB950" s="15" t="s">
        <v>444</v>
      </c>
      <c r="CD950" s="15" t="s">
        <v>444</v>
      </c>
      <c r="CF950" s="15" t="s">
        <v>444</v>
      </c>
      <c r="CI950" s="15" t="s">
        <v>444</v>
      </c>
      <c r="CK950" s="15" t="s">
        <v>444</v>
      </c>
      <c r="CM950" s="15" t="s">
        <v>444</v>
      </c>
      <c r="CO950" s="15" t="s">
        <v>444</v>
      </c>
      <c r="CP950" s="15" t="str">
        <f t="shared" si="1615"/>
        <v>67.2</v>
      </c>
      <c r="CQ950" s="15" t="str">
        <f t="shared" si="1616"/>
        <v>1.903</v>
      </c>
      <c r="CR950" s="15" t="s">
        <v>417</v>
      </c>
      <c r="CY950" s="15" t="s">
        <v>468</v>
      </c>
      <c r="CZ950" s="15" t="s">
        <v>531</v>
      </c>
      <c r="DA950" s="15" t="s">
        <v>3338</v>
      </c>
      <c r="DB950" s="15" t="s">
        <v>4531</v>
      </c>
      <c r="DC950" s="15" t="str">
        <f>IFERROR(__xludf.DUMMYFUNCTION("""COMPUTED_VALUE"""),"{""value"":63.00,""unit"":""in""}")</f>
        <v>{"value":63.00,"unit":"in"}</v>
      </c>
      <c r="DD950" s="15" t="s">
        <v>1253</v>
      </c>
      <c r="DE950" s="15" t="str">
        <f>IFERROR(__xludf.DUMMYFUNCTION("""COMPUTED_VALUE"""),"{""value"":22.50,""unit"":""in""}")</f>
        <v>{"value":22.50,"unit":"in"}</v>
      </c>
      <c r="DG950" s="15" t="str">
        <f>IFERROR(__xludf.DUMMYFUNCTION("""COMPUTED_VALUE"""),"")</f>
        <v/>
      </c>
      <c r="DH950" s="15">
        <v>0.0</v>
      </c>
      <c r="DI950" s="15">
        <v>1.0</v>
      </c>
      <c r="DJ950" s="15" t="s">
        <v>717</v>
      </c>
      <c r="DK950" s="15" t="s">
        <v>855</v>
      </c>
      <c r="DL950" s="15" t="str">
        <f>IFERROR(__xludf.DUMMYFUNCTION("""COMPUTED_VALUE"""),"Clean with solvent-based (dry clean only) products. Do not use water.")</f>
        <v>Clean with solvent-based (dry clean only) products. Do not use water.</v>
      </c>
      <c r="DM950" s="15" t="s">
        <v>856</v>
      </c>
      <c r="DQ950" s="15" t="s">
        <v>2117</v>
      </c>
      <c r="DR950" s="15" t="s">
        <v>2118</v>
      </c>
      <c r="DU950" s="15" t="s">
        <v>721</v>
      </c>
      <c r="DV950" s="15" t="s">
        <v>419</v>
      </c>
      <c r="DW950" s="15">
        <v>0.0</v>
      </c>
      <c r="EA950" s="15">
        <v>25000.0</v>
      </c>
      <c r="EB950" s="15" t="s">
        <v>990</v>
      </c>
      <c r="EC950" s="15" t="s">
        <v>723</v>
      </c>
      <c r="ED950" s="15" t="s">
        <v>2200</v>
      </c>
      <c r="EE950" s="15">
        <v>1.0</v>
      </c>
      <c r="EF950" s="15">
        <v>1.0</v>
      </c>
      <c r="EG950" s="15" t="s">
        <v>5478</v>
      </c>
      <c r="EI950" s="15" t="s">
        <v>9531</v>
      </c>
      <c r="EJ950" s="15">
        <v>2.0</v>
      </c>
      <c r="EK950" s="15" t="s">
        <v>9532</v>
      </c>
      <c r="EL950" s="15" t="s">
        <v>726</v>
      </c>
      <c r="EM950" s="15" t="str">
        <f>IFERROR(__xludf.DUMMYFUNCTION("""COMPUTED_VALUE"""),"{""value"":250,""unit"":""in""}")</f>
        <v>{"value":250,"unit":"in"}</v>
      </c>
      <c r="EN950" s="15" t="s">
        <v>1286</v>
      </c>
      <c r="EO950" s="15" t="s">
        <v>1188</v>
      </c>
      <c r="EP950" s="15" t="s">
        <v>3036</v>
      </c>
      <c r="ET950" s="15" t="s">
        <v>995</v>
      </c>
      <c r="EU950" s="15" t="s">
        <v>995</v>
      </c>
      <c r="EV950" s="15" t="s">
        <v>1331</v>
      </c>
      <c r="EW950" s="15" t="s">
        <v>2403</v>
      </c>
      <c r="EX950" s="15" t="s">
        <v>1188</v>
      </c>
      <c r="EY950" s="15" t="s">
        <v>2388</v>
      </c>
      <c r="EZ950" s="15" t="s">
        <v>4528</v>
      </c>
      <c r="FA950" s="15" t="s">
        <v>1188</v>
      </c>
      <c r="FD950" s="15" t="s">
        <v>723</v>
      </c>
      <c r="FE950" s="15" t="s">
        <v>2200</v>
      </c>
      <c r="FF950" s="15" t="s">
        <v>2117</v>
      </c>
      <c r="FG950" s="15" t="s">
        <v>2118</v>
      </c>
      <c r="FH950" s="15" t="s">
        <v>860</v>
      </c>
      <c r="FI950" s="15" t="s">
        <v>2200</v>
      </c>
      <c r="FQ950" s="15" t="s">
        <v>2403</v>
      </c>
      <c r="FR950" s="15" t="s">
        <v>3338</v>
      </c>
      <c r="FU950" s="15" t="s">
        <v>2436</v>
      </c>
      <c r="JY950" s="15" t="s">
        <v>505</v>
      </c>
      <c r="JZ950" s="15" t="s">
        <v>1065</v>
      </c>
      <c r="KA950" s="15" t="s">
        <v>1065</v>
      </c>
      <c r="KD950" s="15" t="s">
        <v>426</v>
      </c>
    </row>
    <row r="951" ht="15.75" customHeight="1">
      <c r="A951" s="14" t="s">
        <v>391</v>
      </c>
      <c r="B951" s="15" t="s">
        <v>9543</v>
      </c>
      <c r="C951" s="16"/>
      <c r="D951" s="15" t="s">
        <v>432</v>
      </c>
      <c r="G951" s="14" t="s">
        <v>393</v>
      </c>
      <c r="H951" s="14" t="s">
        <v>394</v>
      </c>
      <c r="I951" s="14" t="b">
        <v>1</v>
      </c>
      <c r="J951" s="14" t="s">
        <v>395</v>
      </c>
      <c r="L951" s="14" t="b">
        <v>0</v>
      </c>
      <c r="M951" s="15" t="s">
        <v>9544</v>
      </c>
      <c r="N951" s="14" t="s">
        <v>393</v>
      </c>
      <c r="O951" s="14" t="s">
        <v>393</v>
      </c>
      <c r="P951" s="15" t="s">
        <v>397</v>
      </c>
      <c r="Q951" s="15" t="s">
        <v>3974</v>
      </c>
      <c r="T951" s="14" t="b">
        <v>0</v>
      </c>
      <c r="U951" s="15" t="s">
        <v>9545</v>
      </c>
      <c r="V951" s="15" t="s">
        <v>9546</v>
      </c>
      <c r="W951" s="15" t="s">
        <v>401</v>
      </c>
      <c r="X951" s="15" t="s">
        <v>1296</v>
      </c>
      <c r="Y951" s="15">
        <v>1859.0</v>
      </c>
      <c r="AA951" s="15" t="str">
        <f>"715"</f>
        <v>715</v>
      </c>
      <c r="AB951" s="14" t="b">
        <v>1</v>
      </c>
      <c r="AC951" s="14" t="b">
        <v>1</v>
      </c>
      <c r="AD951" s="15" t="str">
        <f>"801542442026"</f>
        <v>801542442026</v>
      </c>
      <c r="AE951" s="15" t="s">
        <v>9547</v>
      </c>
      <c r="AF951" s="14" t="s">
        <v>404</v>
      </c>
      <c r="AG951" s="14" t="s">
        <v>405</v>
      </c>
      <c r="AH951" s="14" t="s">
        <v>406</v>
      </c>
      <c r="AI951" s="15">
        <v>0.0</v>
      </c>
      <c r="AL951" s="15" t="s">
        <v>2058</v>
      </c>
      <c r="AM951" s="15" t="s">
        <v>745</v>
      </c>
      <c r="AN951" s="15" t="s">
        <v>746</v>
      </c>
      <c r="AO951" s="15" t="s">
        <v>1007</v>
      </c>
      <c r="AP951" s="15" t="s">
        <v>1008</v>
      </c>
      <c r="AQ951" s="15" t="s">
        <v>600</v>
      </c>
      <c r="AR951" s="15" t="s">
        <v>601</v>
      </c>
      <c r="AS951" s="15" t="s">
        <v>9548</v>
      </c>
      <c r="AT951" s="15" t="s">
        <v>3974</v>
      </c>
      <c r="AU951" s="15" t="s">
        <v>9549</v>
      </c>
      <c r="AW951" s="15" t="s">
        <v>602</v>
      </c>
      <c r="AY951" s="15" t="s">
        <v>413</v>
      </c>
      <c r="AZ951" s="15" t="b">
        <v>0</v>
      </c>
      <c r="BA951" s="15" t="s">
        <v>413</v>
      </c>
      <c r="BB951" s="15" t="b">
        <v>0</v>
      </c>
      <c r="BC951" s="15" t="s">
        <v>9550</v>
      </c>
      <c r="BD951" s="15" t="s">
        <v>1303</v>
      </c>
      <c r="BE951" s="15" t="str">
        <f t="shared" si="1609"/>
        <v>1</v>
      </c>
      <c r="BF951" s="15" t="s">
        <v>9551</v>
      </c>
      <c r="BG951" s="15" t="str">
        <f>"77.5"</f>
        <v>77.5</v>
      </c>
      <c r="BH951" s="15" t="s">
        <v>2991</v>
      </c>
      <c r="BI951" s="15" t="str">
        <f>"23"</f>
        <v>23</v>
      </c>
      <c r="BJ951" s="15" t="s">
        <v>4284</v>
      </c>
      <c r="BK951" s="15" t="str">
        <f>"29"</f>
        <v>29</v>
      </c>
      <c r="BL951" s="15" t="s">
        <v>1275</v>
      </c>
      <c r="BM951" s="15" t="str">
        <f>"172.22"</f>
        <v>172.22</v>
      </c>
      <c r="BN951" s="15" t="s">
        <v>9552</v>
      </c>
      <c r="BQ951" s="15" t="s">
        <v>444</v>
      </c>
      <c r="BS951" s="15" t="s">
        <v>444</v>
      </c>
      <c r="BU951" s="15" t="s">
        <v>444</v>
      </c>
      <c r="BW951" s="15" t="s">
        <v>444</v>
      </c>
      <c r="BZ951" s="15" t="s">
        <v>444</v>
      </c>
      <c r="CB951" s="15" t="s">
        <v>444</v>
      </c>
      <c r="CD951" s="15" t="s">
        <v>444</v>
      </c>
      <c r="CF951" s="15" t="s">
        <v>444</v>
      </c>
      <c r="CI951" s="15" t="s">
        <v>444</v>
      </c>
      <c r="CK951" s="15" t="s">
        <v>444</v>
      </c>
      <c r="CM951" s="15" t="s">
        <v>444</v>
      </c>
      <c r="CO951" s="15" t="s">
        <v>444</v>
      </c>
      <c r="CP951" s="15" t="str">
        <f>"29.91"</f>
        <v>29.91</v>
      </c>
      <c r="CQ951" s="15" t="str">
        <f>"0.847"</f>
        <v>0.847</v>
      </c>
      <c r="CR951" s="15" t="s">
        <v>497</v>
      </c>
      <c r="CS951" s="15" t="s">
        <v>1161</v>
      </c>
      <c r="CT951" s="15" t="s">
        <v>1188</v>
      </c>
      <c r="CU951" s="15" t="s">
        <v>9553</v>
      </c>
      <c r="CV951" s="15" t="s">
        <v>1161</v>
      </c>
      <c r="CW951" s="15" t="s">
        <v>995</v>
      </c>
      <c r="CX951" s="15" t="s">
        <v>9553</v>
      </c>
      <c r="DC951" s="15" t="str">
        <f>IFERROR(__xludf.DUMMYFUNCTION("""COMPUTED_VALUE"""),"")</f>
        <v/>
      </c>
      <c r="DE951" s="15" t="str">
        <f>IFERROR(__xludf.DUMMYFUNCTION("""COMPUTED_VALUE"""),"")</f>
        <v/>
      </c>
      <c r="DG951" s="15" t="str">
        <f>IFERROR(__xludf.DUMMYFUNCTION("""COMPUTED_VALUE"""),"")</f>
        <v/>
      </c>
      <c r="DL951" s="15" t="str">
        <f>IFERROR(__xludf.DUMMYFUNCTION("""COMPUTED_VALUE"""),"")</f>
        <v/>
      </c>
      <c r="DM951" s="15" t="s">
        <v>444</v>
      </c>
      <c r="DN951" s="15" t="s">
        <v>419</v>
      </c>
      <c r="DO951" s="15">
        <v>0.0</v>
      </c>
      <c r="DP951" s="15" t="s">
        <v>419</v>
      </c>
      <c r="DR951" s="15">
        <v>2.0</v>
      </c>
      <c r="DS951" s="15" t="s">
        <v>426</v>
      </c>
      <c r="DU951" s="15" t="s">
        <v>610</v>
      </c>
      <c r="DW951" s="15">
        <v>18.14</v>
      </c>
      <c r="DX951" s="15">
        <v>40.0</v>
      </c>
      <c r="DY951" s="15">
        <v>0.0</v>
      </c>
      <c r="EG951" s="15" t="s">
        <v>444</v>
      </c>
      <c r="EH951" s="15" t="s">
        <v>9554</v>
      </c>
      <c r="EK951" s="15" t="s">
        <v>444</v>
      </c>
      <c r="EM951" s="15" t="str">
        <f>IFERROR(__xludf.DUMMYFUNCTION("""COMPUTED_VALUE"""),"")</f>
        <v/>
      </c>
      <c r="EW951" s="15" t="s">
        <v>672</v>
      </c>
      <c r="FL951" s="15" t="s">
        <v>426</v>
      </c>
      <c r="FM951" s="15">
        <v>4.0</v>
      </c>
      <c r="FY951" s="15" t="s">
        <v>1331</v>
      </c>
      <c r="FZ951" s="15" t="s">
        <v>1188</v>
      </c>
      <c r="GA951" s="15" t="s">
        <v>2165</v>
      </c>
      <c r="GF951" s="15" t="s">
        <v>426</v>
      </c>
      <c r="GH951" s="15">
        <v>4.0</v>
      </c>
      <c r="GI951" s="15" t="s">
        <v>614</v>
      </c>
      <c r="GJ951" s="15" t="s">
        <v>1045</v>
      </c>
      <c r="GN951" s="15" t="s">
        <v>616</v>
      </c>
      <c r="HA951" s="15" t="s">
        <v>1161</v>
      </c>
      <c r="HB951" s="15" t="s">
        <v>995</v>
      </c>
      <c r="HC951" s="15" t="s">
        <v>9553</v>
      </c>
      <c r="HD951" s="15">
        <v>0.0</v>
      </c>
      <c r="HQ951" s="15" t="s">
        <v>1161</v>
      </c>
      <c r="HR951" s="15" t="s">
        <v>1161</v>
      </c>
      <c r="HS951" s="15" t="s">
        <v>995</v>
      </c>
      <c r="HT951" s="15" t="s">
        <v>995</v>
      </c>
      <c r="HU951" s="15" t="s">
        <v>9553</v>
      </c>
      <c r="HV951" s="15" t="s">
        <v>9553</v>
      </c>
    </row>
    <row r="952" ht="15.75" customHeight="1">
      <c r="A952" s="14" t="s">
        <v>391</v>
      </c>
      <c r="B952" s="15" t="s">
        <v>9555</v>
      </c>
      <c r="C952" s="16"/>
      <c r="D952" s="15" t="s">
        <v>432</v>
      </c>
      <c r="G952" s="14" t="s">
        <v>393</v>
      </c>
      <c r="H952" s="14" t="s">
        <v>394</v>
      </c>
      <c r="I952" s="14" t="b">
        <v>1</v>
      </c>
      <c r="J952" s="14" t="s">
        <v>395</v>
      </c>
      <c r="L952" s="14" t="b">
        <v>0</v>
      </c>
      <c r="M952" s="15" t="s">
        <v>9556</v>
      </c>
      <c r="N952" s="14" t="s">
        <v>393</v>
      </c>
      <c r="O952" s="14" t="s">
        <v>393</v>
      </c>
      <c r="P952" s="15" t="s">
        <v>397</v>
      </c>
      <c r="Q952" s="15" t="s">
        <v>9557</v>
      </c>
      <c r="T952" s="14" t="b">
        <v>0</v>
      </c>
      <c r="U952" s="15" t="s">
        <v>9558</v>
      </c>
      <c r="V952" s="15" t="s">
        <v>9559</v>
      </c>
      <c r="W952" s="15" t="s">
        <v>401</v>
      </c>
      <c r="X952" s="15" t="s">
        <v>742</v>
      </c>
      <c r="Y952" s="15">
        <v>2951.0</v>
      </c>
      <c r="AA952" s="15" t="str">
        <f>"1135"</f>
        <v>1135</v>
      </c>
      <c r="AB952" s="14" t="b">
        <v>1</v>
      </c>
      <c r="AC952" s="14" t="b">
        <v>1</v>
      </c>
      <c r="AD952" s="15" t="str">
        <f>"801542153588"</f>
        <v>801542153588</v>
      </c>
      <c r="AE952" s="15" t="s">
        <v>9560</v>
      </c>
      <c r="AF952" s="14" t="s">
        <v>404</v>
      </c>
      <c r="AG952" s="14" t="s">
        <v>405</v>
      </c>
      <c r="AH952" s="14" t="s">
        <v>406</v>
      </c>
      <c r="AI952" s="15">
        <v>0.0</v>
      </c>
      <c r="AL952" s="15" t="s">
        <v>7968</v>
      </c>
      <c r="AM952" s="15" t="s">
        <v>745</v>
      </c>
      <c r="AN952" s="15" t="s">
        <v>746</v>
      </c>
      <c r="AO952" s="15" t="s">
        <v>409</v>
      </c>
      <c r="AP952" s="15" t="s">
        <v>438</v>
      </c>
      <c r="AQ952" s="15" t="s">
        <v>2394</v>
      </c>
      <c r="AR952" s="15" t="s">
        <v>2395</v>
      </c>
      <c r="AS952" s="15" t="s">
        <v>5444</v>
      </c>
      <c r="AT952" s="15" t="s">
        <v>9557</v>
      </c>
      <c r="AW952" s="15" t="s">
        <v>412</v>
      </c>
      <c r="AY952" s="15" t="s">
        <v>413</v>
      </c>
      <c r="AZ952" s="15" t="b">
        <v>0</v>
      </c>
      <c r="BA952" s="15" t="s">
        <v>413</v>
      </c>
      <c r="BB952" s="15" t="b">
        <v>0</v>
      </c>
      <c r="BC952" s="15" t="s">
        <v>9561</v>
      </c>
      <c r="BD952" s="15" t="s">
        <v>742</v>
      </c>
      <c r="BE952" s="15" t="str">
        <f t="shared" si="1609"/>
        <v>1</v>
      </c>
      <c r="BF952" s="15" t="s">
        <v>9562</v>
      </c>
      <c r="BG952" s="15" t="str">
        <f>"77.17"</f>
        <v>77.17</v>
      </c>
      <c r="BH952" s="15" t="s">
        <v>2925</v>
      </c>
      <c r="BI952" s="15" t="str">
        <f>"25.2"</f>
        <v>25.2</v>
      </c>
      <c r="BJ952" s="15" t="s">
        <v>585</v>
      </c>
      <c r="BK952" s="15" t="str">
        <f>"58.46"</f>
        <v>58.46</v>
      </c>
      <c r="BL952" s="15" t="s">
        <v>5050</v>
      </c>
      <c r="BM952" s="15" t="str">
        <f>"326.28"</f>
        <v>326.28</v>
      </c>
      <c r="BN952" s="15" t="s">
        <v>1387</v>
      </c>
      <c r="BQ952" s="15" t="s">
        <v>444</v>
      </c>
      <c r="BS952" s="15" t="s">
        <v>444</v>
      </c>
      <c r="BU952" s="15" t="s">
        <v>444</v>
      </c>
      <c r="BW952" s="15" t="s">
        <v>444</v>
      </c>
      <c r="BZ952" s="15" t="s">
        <v>444</v>
      </c>
      <c r="CB952" s="15" t="s">
        <v>444</v>
      </c>
      <c r="CD952" s="15" t="s">
        <v>444</v>
      </c>
      <c r="CF952" s="15" t="s">
        <v>444</v>
      </c>
      <c r="CI952" s="15" t="s">
        <v>444</v>
      </c>
      <c r="CK952" s="15" t="s">
        <v>444</v>
      </c>
      <c r="CM952" s="15" t="s">
        <v>444</v>
      </c>
      <c r="CO952" s="15" t="s">
        <v>444</v>
      </c>
      <c r="CP952" s="15" t="str">
        <f>"65.79"</f>
        <v>65.79</v>
      </c>
      <c r="CQ952" s="15" t="str">
        <f>"1.863"</f>
        <v>1.863</v>
      </c>
      <c r="CR952" s="15" t="s">
        <v>497</v>
      </c>
      <c r="DC952" s="15" t="str">
        <f>IFERROR(__xludf.DUMMYFUNCTION("""COMPUTED_VALUE"""),"")</f>
        <v/>
      </c>
      <c r="DE952" s="15" t="str">
        <f>IFERROR(__xludf.DUMMYFUNCTION("""COMPUTED_VALUE"""),"")</f>
        <v/>
      </c>
      <c r="DG952" s="15" t="str">
        <f>IFERROR(__xludf.DUMMYFUNCTION("""COMPUTED_VALUE"""),"")</f>
        <v/>
      </c>
      <c r="DL952" s="15" t="str">
        <f>IFERROR(__xludf.DUMMYFUNCTION("""COMPUTED_VALUE"""),"")</f>
        <v/>
      </c>
      <c r="DM952" s="15" t="s">
        <v>444</v>
      </c>
      <c r="DN952" s="15" t="s">
        <v>1371</v>
      </c>
      <c r="DO952" s="15">
        <v>10.0</v>
      </c>
      <c r="DP952" s="15" t="s">
        <v>419</v>
      </c>
      <c r="DR952" s="15">
        <v>0.0</v>
      </c>
      <c r="DT952" s="15" t="s">
        <v>1509</v>
      </c>
      <c r="DU952" s="15" t="s">
        <v>421</v>
      </c>
      <c r="DY952" s="15">
        <v>0.0</v>
      </c>
      <c r="EF952" s="15" t="s">
        <v>422</v>
      </c>
      <c r="EG952" s="15" t="s">
        <v>445</v>
      </c>
      <c r="EH952" s="15" t="s">
        <v>9563</v>
      </c>
      <c r="EJ952" s="15" t="s">
        <v>424</v>
      </c>
      <c r="EK952" s="15" t="s">
        <v>446</v>
      </c>
      <c r="EM952" s="15" t="str">
        <f>IFERROR(__xludf.DUMMYFUNCTION("""COMPUTED_VALUE"""),"")</f>
        <v/>
      </c>
      <c r="EW952" s="15" t="s">
        <v>4300</v>
      </c>
      <c r="FL952" s="15" t="s">
        <v>426</v>
      </c>
      <c r="FM952" s="15">
        <v>0.0</v>
      </c>
      <c r="GH952" s="15">
        <v>0.0</v>
      </c>
      <c r="GI952" s="15" t="s">
        <v>427</v>
      </c>
      <c r="GQ952" s="15" t="s">
        <v>2766</v>
      </c>
      <c r="GR952" s="15" t="s">
        <v>2766</v>
      </c>
      <c r="GS952" s="15" t="s">
        <v>1483</v>
      </c>
      <c r="GT952" s="15" t="s">
        <v>2026</v>
      </c>
      <c r="GU952" s="15" t="s">
        <v>5940</v>
      </c>
      <c r="GV952" s="15" t="s">
        <v>8863</v>
      </c>
      <c r="GW952" s="15" t="s">
        <v>838</v>
      </c>
      <c r="GY952" s="15" t="s">
        <v>764</v>
      </c>
    </row>
    <row r="953" ht="15.75" customHeight="1">
      <c r="A953" s="14" t="s">
        <v>391</v>
      </c>
      <c r="B953" s="15" t="s">
        <v>9564</v>
      </c>
      <c r="C953" s="16"/>
      <c r="D953" s="15" t="s">
        <v>432</v>
      </c>
      <c r="G953" s="14" t="s">
        <v>393</v>
      </c>
      <c r="H953" s="14" t="s">
        <v>394</v>
      </c>
      <c r="I953" s="14" t="b">
        <v>1</v>
      </c>
      <c r="J953" s="14" t="s">
        <v>395</v>
      </c>
      <c r="L953" s="14" t="b">
        <v>0</v>
      </c>
      <c r="M953" s="15" t="s">
        <v>9565</v>
      </c>
      <c r="N953" s="14" t="s">
        <v>393</v>
      </c>
      <c r="O953" s="14" t="s">
        <v>393</v>
      </c>
      <c r="P953" s="15" t="s">
        <v>397</v>
      </c>
      <c r="Q953" s="15" t="s">
        <v>9566</v>
      </c>
      <c r="R953" s="15" t="s">
        <v>265</v>
      </c>
      <c r="S953" s="15" t="s">
        <v>877</v>
      </c>
      <c r="T953" s="14" t="b">
        <v>0</v>
      </c>
      <c r="U953" s="15" t="s">
        <v>9567</v>
      </c>
      <c r="V953" s="15" t="s">
        <v>7204</v>
      </c>
      <c r="W953" s="15" t="s">
        <v>401</v>
      </c>
      <c r="X953" s="15" t="s">
        <v>742</v>
      </c>
      <c r="Y953" s="15">
        <v>2301.0</v>
      </c>
      <c r="AA953" s="15" t="str">
        <f>"885"</f>
        <v>885</v>
      </c>
      <c r="AB953" s="14" t="b">
        <v>1</v>
      </c>
      <c r="AC953" s="14" t="b">
        <v>1</v>
      </c>
      <c r="AD953" s="15" t="str">
        <f>"801542150693"</f>
        <v>801542150693</v>
      </c>
      <c r="AE953" s="15" t="s">
        <v>9568</v>
      </c>
      <c r="AF953" s="14" t="s">
        <v>404</v>
      </c>
      <c r="AG953" s="14" t="s">
        <v>405</v>
      </c>
      <c r="AH953" s="14" t="s">
        <v>406</v>
      </c>
      <c r="AI953" s="15">
        <v>0.0</v>
      </c>
      <c r="AL953" s="15" t="s">
        <v>9569</v>
      </c>
      <c r="AM953" s="15" t="s">
        <v>1224</v>
      </c>
      <c r="AN953" s="15" t="s">
        <v>1225</v>
      </c>
      <c r="AO953" s="15" t="s">
        <v>3147</v>
      </c>
      <c r="AP953" s="15" t="s">
        <v>3148</v>
      </c>
      <c r="AQ953" s="15" t="s">
        <v>2675</v>
      </c>
      <c r="AR953" s="15" t="s">
        <v>2676</v>
      </c>
      <c r="AS953" s="15" t="s">
        <v>5444</v>
      </c>
      <c r="AT953" s="15" t="s">
        <v>9566</v>
      </c>
      <c r="AU953" s="15" t="s">
        <v>9570</v>
      </c>
      <c r="AV953" s="15" t="s">
        <v>9557</v>
      </c>
      <c r="AW953" s="15" t="s">
        <v>839</v>
      </c>
      <c r="AX953" s="15" t="s">
        <v>877</v>
      </c>
      <c r="AY953" s="15" t="s">
        <v>413</v>
      </c>
      <c r="AZ953" s="15" t="b">
        <v>0</v>
      </c>
      <c r="BA953" s="15" t="s">
        <v>426</v>
      </c>
      <c r="BB953" s="15" t="b">
        <v>1</v>
      </c>
      <c r="BC953" s="15" t="s">
        <v>9571</v>
      </c>
      <c r="BD953" s="15" t="s">
        <v>742</v>
      </c>
      <c r="BE953" s="15" t="str">
        <f t="shared" ref="BE953:BE954" si="1617">"2"</f>
        <v>2</v>
      </c>
      <c r="BF953" s="15" t="s">
        <v>2455</v>
      </c>
      <c r="BG953" s="15" t="str">
        <f>"69.69"</f>
        <v>69.69</v>
      </c>
      <c r="BH953" s="15" t="s">
        <v>4211</v>
      </c>
      <c r="BI953" s="15" t="str">
        <f>"59.06"</f>
        <v>59.06</v>
      </c>
      <c r="BJ953" s="15" t="s">
        <v>9572</v>
      </c>
      <c r="BK953" s="15" t="str">
        <f>"9.25"</f>
        <v>9.25</v>
      </c>
      <c r="BL953" s="15" t="s">
        <v>2457</v>
      </c>
      <c r="BM953" s="15" t="str">
        <f>"125.66"</f>
        <v>125.66</v>
      </c>
      <c r="BN953" s="15" t="s">
        <v>5327</v>
      </c>
      <c r="BO953" s="15" t="s">
        <v>9573</v>
      </c>
      <c r="BP953" s="15" t="str">
        <f>"89.76"</f>
        <v>89.76</v>
      </c>
      <c r="BQ953" s="15" t="s">
        <v>7904</v>
      </c>
      <c r="BR953" s="15" t="str">
        <f>"15.75"</f>
        <v>15.75</v>
      </c>
      <c r="BS953" s="15" t="s">
        <v>1849</v>
      </c>
      <c r="BT953" s="15" t="str">
        <f>"13.98"</f>
        <v>13.98</v>
      </c>
      <c r="BU953" s="15" t="s">
        <v>5067</v>
      </c>
      <c r="BV953" s="15" t="str">
        <f>"110.23"</f>
        <v>110.23</v>
      </c>
      <c r="BW953" s="15" t="s">
        <v>1131</v>
      </c>
      <c r="BZ953" s="15" t="s">
        <v>444</v>
      </c>
      <c r="CB953" s="15" t="s">
        <v>444</v>
      </c>
      <c r="CD953" s="15" t="s">
        <v>444</v>
      </c>
      <c r="CF953" s="15" t="s">
        <v>444</v>
      </c>
      <c r="CI953" s="15" t="s">
        <v>444</v>
      </c>
      <c r="CK953" s="15" t="s">
        <v>444</v>
      </c>
      <c r="CM953" s="15" t="s">
        <v>444</v>
      </c>
      <c r="CO953" s="15" t="s">
        <v>444</v>
      </c>
      <c r="CP953" s="15" t="str">
        <f>"33.48"</f>
        <v>33.48</v>
      </c>
      <c r="CQ953" s="15" t="str">
        <f>"0.948"</f>
        <v>0.948</v>
      </c>
      <c r="CR953" s="15" t="s">
        <v>465</v>
      </c>
      <c r="DC953" s="15" t="str">
        <f>IFERROR(__xludf.DUMMYFUNCTION("""COMPUTED_VALUE"""),"")</f>
        <v/>
      </c>
      <c r="DE953" s="15" t="str">
        <f>IFERROR(__xludf.DUMMYFUNCTION("""COMPUTED_VALUE"""),"")</f>
        <v/>
      </c>
      <c r="DG953" s="15" t="str">
        <f>IFERROR(__xludf.DUMMYFUNCTION("""COMPUTED_VALUE"""),"")</f>
        <v/>
      </c>
      <c r="DK953" s="15" t="s">
        <v>855</v>
      </c>
      <c r="DL953" s="15" t="str">
        <f>IFERROR(__xludf.DUMMYFUNCTION("""COMPUTED_VALUE"""),"Clean with solvent-based (dry clean only) products. Do not use water.")</f>
        <v>Clean with solvent-based (dry clean only) products. Do not use water.</v>
      </c>
      <c r="DM953" s="15" t="s">
        <v>856</v>
      </c>
      <c r="DN953" s="15" t="s">
        <v>419</v>
      </c>
      <c r="DO953" s="15">
        <v>0.0</v>
      </c>
      <c r="DP953" s="15" t="s">
        <v>419</v>
      </c>
      <c r="DR953" s="15">
        <v>0.0</v>
      </c>
      <c r="DT953" s="15" t="s">
        <v>1111</v>
      </c>
      <c r="DU953" s="15" t="s">
        <v>419</v>
      </c>
      <c r="DW953" s="15">
        <v>0.0</v>
      </c>
      <c r="DX953" s="15">
        <v>0.0</v>
      </c>
      <c r="DY953" s="15">
        <v>0.0</v>
      </c>
      <c r="DZ953" s="15">
        <v>25000.0</v>
      </c>
      <c r="EG953" s="15" t="s">
        <v>444</v>
      </c>
      <c r="EH953" s="15" t="s">
        <v>9563</v>
      </c>
      <c r="EJ953" s="15" t="s">
        <v>858</v>
      </c>
      <c r="EK953" s="15" t="s">
        <v>859</v>
      </c>
      <c r="EM953" s="15" t="str">
        <f>IFERROR(__xludf.DUMMYFUNCTION("""COMPUTED_VALUE"""),"")</f>
        <v/>
      </c>
      <c r="FM953" s="15">
        <v>0.0</v>
      </c>
      <c r="FS953" s="15" t="s">
        <v>3362</v>
      </c>
      <c r="IM953" s="15" t="s">
        <v>1955</v>
      </c>
      <c r="IN953" s="15" t="s">
        <v>1955</v>
      </c>
      <c r="IO953" s="15" t="s">
        <v>1955</v>
      </c>
      <c r="IP953" s="15" t="s">
        <v>555</v>
      </c>
      <c r="IQ953" s="15" t="s">
        <v>1957</v>
      </c>
      <c r="IR953" s="15" t="s">
        <v>9574</v>
      </c>
      <c r="IS953" s="15" t="s">
        <v>9575</v>
      </c>
      <c r="IT953" s="15" t="s">
        <v>2603</v>
      </c>
      <c r="IU953" s="15" t="s">
        <v>9574</v>
      </c>
      <c r="IV953" s="15" t="s">
        <v>2971</v>
      </c>
      <c r="IW953" s="15" t="s">
        <v>1957</v>
      </c>
      <c r="IX953" s="15" t="s">
        <v>3284</v>
      </c>
      <c r="IY953" s="15" t="s">
        <v>1950</v>
      </c>
      <c r="IZ953" s="15" t="s">
        <v>9576</v>
      </c>
      <c r="JA953" s="15" t="s">
        <v>1957</v>
      </c>
      <c r="JB953" s="15" t="s">
        <v>426</v>
      </c>
      <c r="JC953" s="15" t="s">
        <v>2973</v>
      </c>
      <c r="JD953" s="15" t="s">
        <v>872</v>
      </c>
      <c r="JE953" s="15" t="s">
        <v>873</v>
      </c>
      <c r="JF953" s="15" t="s">
        <v>877</v>
      </c>
      <c r="JL953" s="15" t="s">
        <v>759</v>
      </c>
      <c r="JM953" s="15" t="s">
        <v>866</v>
      </c>
      <c r="JO953" s="15" t="s">
        <v>426</v>
      </c>
      <c r="JP953" s="15" t="s">
        <v>2474</v>
      </c>
    </row>
    <row r="954" ht="15.75" customHeight="1">
      <c r="A954" s="14" t="s">
        <v>391</v>
      </c>
      <c r="B954" s="15" t="s">
        <v>9564</v>
      </c>
      <c r="C954" s="16"/>
      <c r="D954" s="15" t="s">
        <v>432</v>
      </c>
      <c r="G954" s="14" t="s">
        <v>393</v>
      </c>
      <c r="H954" s="14" t="s">
        <v>394</v>
      </c>
      <c r="I954" s="14" t="b">
        <v>1</v>
      </c>
      <c r="J954" s="14" t="s">
        <v>395</v>
      </c>
      <c r="L954" s="14" t="b">
        <v>0</v>
      </c>
      <c r="M954" s="15" t="s">
        <v>9577</v>
      </c>
      <c r="N954" s="14" t="s">
        <v>393</v>
      </c>
      <c r="O954" s="14" t="s">
        <v>393</v>
      </c>
      <c r="P954" s="15" t="s">
        <v>397</v>
      </c>
      <c r="Q954" s="15" t="s">
        <v>9566</v>
      </c>
      <c r="R954" s="15" t="s">
        <v>265</v>
      </c>
      <c r="S954" s="15" t="s">
        <v>828</v>
      </c>
      <c r="T954" s="14" t="b">
        <v>0</v>
      </c>
      <c r="U954" s="15" t="s">
        <v>9578</v>
      </c>
      <c r="V954" s="15" t="s">
        <v>9579</v>
      </c>
      <c r="W954" s="15" t="s">
        <v>401</v>
      </c>
      <c r="X954" s="15" t="s">
        <v>742</v>
      </c>
      <c r="Y954" s="15">
        <v>2626.0</v>
      </c>
      <c r="AA954" s="15" t="str">
        <f>"1010"</f>
        <v>1010</v>
      </c>
      <c r="AB954" s="14" t="b">
        <v>1</v>
      </c>
      <c r="AC954" s="14" t="b">
        <v>1</v>
      </c>
      <c r="AD954" s="15" t="str">
        <f>"801542150679"</f>
        <v>801542150679</v>
      </c>
      <c r="AE954" s="15" t="s">
        <v>9580</v>
      </c>
      <c r="AF954" s="14" t="s">
        <v>404</v>
      </c>
      <c r="AG954" s="14" t="s">
        <v>405</v>
      </c>
      <c r="AH954" s="14" t="s">
        <v>406</v>
      </c>
      <c r="AI954" s="15">
        <v>0.0</v>
      </c>
      <c r="AL954" s="15" t="s">
        <v>9569</v>
      </c>
      <c r="AM954" s="15" t="s">
        <v>4522</v>
      </c>
      <c r="AN954" s="15" t="s">
        <v>2998</v>
      </c>
      <c r="AO954" s="15" t="s">
        <v>3147</v>
      </c>
      <c r="AP954" s="15" t="s">
        <v>3148</v>
      </c>
      <c r="AQ954" s="15" t="s">
        <v>2675</v>
      </c>
      <c r="AR954" s="15" t="s">
        <v>2676</v>
      </c>
      <c r="AS954" s="15" t="s">
        <v>5444</v>
      </c>
      <c r="AT954" s="15" t="s">
        <v>9566</v>
      </c>
      <c r="AU954" s="15" t="s">
        <v>9570</v>
      </c>
      <c r="AV954" s="15" t="s">
        <v>9557</v>
      </c>
      <c r="AW954" s="15" t="s">
        <v>839</v>
      </c>
      <c r="AX954" s="15" t="s">
        <v>828</v>
      </c>
      <c r="AY954" s="15" t="s">
        <v>413</v>
      </c>
      <c r="AZ954" s="15" t="b">
        <v>0</v>
      </c>
      <c r="BA954" s="15" t="s">
        <v>426</v>
      </c>
      <c r="BB954" s="15" t="b">
        <v>1</v>
      </c>
      <c r="BC954" s="15" t="s">
        <v>9571</v>
      </c>
      <c r="BD954" s="15" t="s">
        <v>742</v>
      </c>
      <c r="BE954" s="15" t="str">
        <f t="shared" si="1617"/>
        <v>2</v>
      </c>
      <c r="BF954" s="15" t="s">
        <v>2455</v>
      </c>
      <c r="BG954" s="15" t="str">
        <f>"86.22"</f>
        <v>86.22</v>
      </c>
      <c r="BH954" s="15" t="s">
        <v>5861</v>
      </c>
      <c r="BI954" s="15" t="str">
        <f>"9.25"</f>
        <v>9.25</v>
      </c>
      <c r="BJ954" s="15" t="s">
        <v>2457</v>
      </c>
      <c r="BK954" s="15" t="str">
        <f>"59.84"</f>
        <v>59.84</v>
      </c>
      <c r="BL954" s="15" t="s">
        <v>4804</v>
      </c>
      <c r="BM954" s="15" t="str">
        <f>"167.55"</f>
        <v>167.55</v>
      </c>
      <c r="BN954" s="15" t="s">
        <v>3886</v>
      </c>
      <c r="BO954" s="15" t="s">
        <v>9573</v>
      </c>
      <c r="BP954" s="15" t="str">
        <f>"90.94"</f>
        <v>90.94</v>
      </c>
      <c r="BQ954" s="15" t="s">
        <v>1130</v>
      </c>
      <c r="BR954" s="15" t="str">
        <f>"15.55"</f>
        <v>15.55</v>
      </c>
      <c r="BS954" s="15" t="s">
        <v>6934</v>
      </c>
      <c r="BT954" s="15" t="str">
        <f>"13.58"</f>
        <v>13.58</v>
      </c>
      <c r="BU954" s="15" t="s">
        <v>9581</v>
      </c>
      <c r="BV954" s="15" t="str">
        <f>"125.66"</f>
        <v>125.66</v>
      </c>
      <c r="BW954" s="15" t="s">
        <v>5327</v>
      </c>
      <c r="BZ954" s="15" t="s">
        <v>444</v>
      </c>
      <c r="CB954" s="15" t="s">
        <v>444</v>
      </c>
      <c r="CD954" s="15" t="s">
        <v>444</v>
      </c>
      <c r="CF954" s="15" t="s">
        <v>444</v>
      </c>
      <c r="CI954" s="15" t="s">
        <v>444</v>
      </c>
      <c r="CK954" s="15" t="s">
        <v>444</v>
      </c>
      <c r="CM954" s="15" t="s">
        <v>444</v>
      </c>
      <c r="CO954" s="15" t="s">
        <v>444</v>
      </c>
      <c r="CP954" s="15" t="str">
        <f>"38.74"</f>
        <v>38.74</v>
      </c>
      <c r="CQ954" s="15" t="str">
        <f>"1.097"</f>
        <v>1.097</v>
      </c>
      <c r="CR954" s="15" t="s">
        <v>417</v>
      </c>
      <c r="DC954" s="15" t="str">
        <f>IFERROR(__xludf.DUMMYFUNCTION("""COMPUTED_VALUE"""),"")</f>
        <v/>
      </c>
      <c r="DE954" s="15" t="str">
        <f>IFERROR(__xludf.DUMMYFUNCTION("""COMPUTED_VALUE"""),"")</f>
        <v/>
      </c>
      <c r="DG954" s="15" t="str">
        <f>IFERROR(__xludf.DUMMYFUNCTION("""COMPUTED_VALUE"""),"")</f>
        <v/>
      </c>
      <c r="DK954" s="15" t="s">
        <v>855</v>
      </c>
      <c r="DL954" s="15" t="str">
        <f>IFERROR(__xludf.DUMMYFUNCTION("""COMPUTED_VALUE"""),"Clean with solvent-based (dry clean only) products. Do not use water.")</f>
        <v>Clean with solvent-based (dry clean only) products. Do not use water.</v>
      </c>
      <c r="DM954" s="15" t="s">
        <v>856</v>
      </c>
      <c r="DN954" s="15" t="s">
        <v>419</v>
      </c>
      <c r="DO954" s="15">
        <v>0.0</v>
      </c>
      <c r="DP954" s="15" t="s">
        <v>419</v>
      </c>
      <c r="DR954" s="15">
        <v>0.0</v>
      </c>
      <c r="DT954" s="15" t="s">
        <v>1111</v>
      </c>
      <c r="DU954" s="15" t="s">
        <v>419</v>
      </c>
      <c r="DW954" s="15">
        <v>0.0</v>
      </c>
      <c r="DX954" s="15">
        <v>0.0</v>
      </c>
      <c r="DY954" s="15">
        <v>0.0</v>
      </c>
      <c r="DZ954" s="15">
        <v>25000.0</v>
      </c>
      <c r="EG954" s="15" t="s">
        <v>444</v>
      </c>
      <c r="EH954" s="15" t="s">
        <v>9563</v>
      </c>
      <c r="EJ954" s="15" t="s">
        <v>858</v>
      </c>
      <c r="EK954" s="15" t="s">
        <v>859</v>
      </c>
      <c r="EM954" s="15" t="str">
        <f>IFERROR(__xludf.DUMMYFUNCTION("""COMPUTED_VALUE"""),"")</f>
        <v/>
      </c>
      <c r="FM954" s="15">
        <v>0.0</v>
      </c>
      <c r="FS954" s="15" t="s">
        <v>3362</v>
      </c>
      <c r="IM954" s="15" t="s">
        <v>1955</v>
      </c>
      <c r="IN954" s="15" t="s">
        <v>1955</v>
      </c>
      <c r="IO954" s="15" t="s">
        <v>1955</v>
      </c>
      <c r="IP954" s="15" t="s">
        <v>555</v>
      </c>
      <c r="IQ954" s="15" t="s">
        <v>1957</v>
      </c>
      <c r="IR954" s="15" t="s">
        <v>6929</v>
      </c>
      <c r="IS954" s="15" t="s">
        <v>9575</v>
      </c>
      <c r="IT954" s="15" t="s">
        <v>3052</v>
      </c>
      <c r="IU954" s="15" t="s">
        <v>6929</v>
      </c>
      <c r="IV954" s="15" t="s">
        <v>2971</v>
      </c>
      <c r="IW954" s="15" t="s">
        <v>1957</v>
      </c>
      <c r="IX954" s="15" t="s">
        <v>7604</v>
      </c>
      <c r="IY954" s="15" t="s">
        <v>1950</v>
      </c>
      <c r="IZ954" s="15" t="s">
        <v>9582</v>
      </c>
      <c r="JA954" s="15" t="s">
        <v>1957</v>
      </c>
      <c r="JB954" s="15" t="s">
        <v>426</v>
      </c>
      <c r="JC954" s="15" t="s">
        <v>2973</v>
      </c>
      <c r="JD954" s="15" t="s">
        <v>872</v>
      </c>
      <c r="JE954" s="15" t="s">
        <v>873</v>
      </c>
      <c r="JF954" s="15" t="s">
        <v>828</v>
      </c>
      <c r="JL954" s="15" t="s">
        <v>759</v>
      </c>
      <c r="JM954" s="15" t="s">
        <v>866</v>
      </c>
      <c r="JO954" s="15" t="s">
        <v>426</v>
      </c>
      <c r="JP954" s="15" t="s">
        <v>2474</v>
      </c>
    </row>
    <row r="955" ht="15.75" customHeight="1">
      <c r="A955" s="14" t="s">
        <v>391</v>
      </c>
      <c r="B955" s="15" t="s">
        <v>9583</v>
      </c>
      <c r="C955" s="16"/>
      <c r="D955" s="15" t="s">
        <v>432</v>
      </c>
      <c r="G955" s="14" t="s">
        <v>393</v>
      </c>
      <c r="H955" s="14" t="s">
        <v>394</v>
      </c>
      <c r="I955" s="14" t="b">
        <v>1</v>
      </c>
      <c r="J955" s="14" t="s">
        <v>395</v>
      </c>
      <c r="L955" s="14" t="b">
        <v>0</v>
      </c>
      <c r="M955" s="15" t="s">
        <v>9584</v>
      </c>
      <c r="N955" s="14" t="s">
        <v>393</v>
      </c>
      <c r="O955" s="14" t="s">
        <v>393</v>
      </c>
      <c r="P955" s="15" t="s">
        <v>397</v>
      </c>
      <c r="Q955" s="15" t="s">
        <v>9557</v>
      </c>
      <c r="T955" s="14" t="b">
        <v>0</v>
      </c>
      <c r="U955" s="15" t="s">
        <v>9585</v>
      </c>
      <c r="V955" s="15" t="s">
        <v>9586</v>
      </c>
      <c r="W955" s="15" t="s">
        <v>401</v>
      </c>
      <c r="X955" s="15" t="s">
        <v>742</v>
      </c>
      <c r="Y955" s="15">
        <v>884.0</v>
      </c>
      <c r="AA955" s="15" t="str">
        <f>"340"</f>
        <v>340</v>
      </c>
      <c r="AB955" s="14" t="b">
        <v>1</v>
      </c>
      <c r="AC955" s="14" t="b">
        <v>1</v>
      </c>
      <c r="AD955" s="15" t="str">
        <f>"801542153601"</f>
        <v>801542153601</v>
      </c>
      <c r="AE955" s="15" t="s">
        <v>9587</v>
      </c>
      <c r="AF955" s="14" t="s">
        <v>404</v>
      </c>
      <c r="AG955" s="14" t="s">
        <v>405</v>
      </c>
      <c r="AH955" s="14" t="s">
        <v>406</v>
      </c>
      <c r="AI955" s="15">
        <v>0.0</v>
      </c>
      <c r="AL955" s="15" t="s">
        <v>7968</v>
      </c>
      <c r="AM955" s="15" t="s">
        <v>410</v>
      </c>
      <c r="AN955" s="15" t="s">
        <v>439</v>
      </c>
      <c r="AO955" s="15" t="s">
        <v>1007</v>
      </c>
      <c r="AP955" s="15" t="s">
        <v>1008</v>
      </c>
      <c r="AQ955" s="15" t="s">
        <v>1626</v>
      </c>
      <c r="AR955" s="15" t="s">
        <v>1627</v>
      </c>
      <c r="AS955" s="15" t="s">
        <v>5444</v>
      </c>
      <c r="AT955" s="15" t="s">
        <v>9557</v>
      </c>
      <c r="AW955" s="15" t="s">
        <v>628</v>
      </c>
      <c r="AY955" s="15" t="s">
        <v>413</v>
      </c>
      <c r="AZ955" s="15" t="b">
        <v>0</v>
      </c>
      <c r="BA955" s="15" t="s">
        <v>413</v>
      </c>
      <c r="BB955" s="15" t="b">
        <v>0</v>
      </c>
      <c r="BC955" s="15" t="s">
        <v>9588</v>
      </c>
      <c r="BD955" s="15" t="s">
        <v>742</v>
      </c>
      <c r="BE955" s="15" t="str">
        <f t="shared" ref="BE955:BE964" si="1618">"1"</f>
        <v>1</v>
      </c>
      <c r="BF955" s="15" t="s">
        <v>9589</v>
      </c>
      <c r="BG955" s="15" t="str">
        <f>"36.42"</f>
        <v>36.42</v>
      </c>
      <c r="BH955" s="15" t="s">
        <v>3046</v>
      </c>
      <c r="BI955" s="15" t="str">
        <f>"22.83"</f>
        <v>22.83</v>
      </c>
      <c r="BJ955" s="15" t="s">
        <v>1543</v>
      </c>
      <c r="BK955" s="15" t="str">
        <f>"32.87"</f>
        <v>32.87</v>
      </c>
      <c r="BL955" s="15" t="s">
        <v>776</v>
      </c>
      <c r="BM955" s="15" t="str">
        <f>"95.9"</f>
        <v>95.9</v>
      </c>
      <c r="BN955" s="15" t="s">
        <v>4161</v>
      </c>
      <c r="BQ955" s="15" t="s">
        <v>444</v>
      </c>
      <c r="BS955" s="15" t="s">
        <v>444</v>
      </c>
      <c r="BU955" s="15" t="s">
        <v>444</v>
      </c>
      <c r="BW955" s="15" t="s">
        <v>444</v>
      </c>
      <c r="BZ955" s="15" t="s">
        <v>444</v>
      </c>
      <c r="CB955" s="15" t="s">
        <v>444</v>
      </c>
      <c r="CD955" s="15" t="s">
        <v>444</v>
      </c>
      <c r="CF955" s="15" t="s">
        <v>444</v>
      </c>
      <c r="CI955" s="15" t="s">
        <v>444</v>
      </c>
      <c r="CK955" s="15" t="s">
        <v>444</v>
      </c>
      <c r="CM955" s="15" t="s">
        <v>444</v>
      </c>
      <c r="CO955" s="15" t="s">
        <v>444</v>
      </c>
      <c r="CP955" s="15" t="str">
        <f>"15.82"</f>
        <v>15.82</v>
      </c>
      <c r="CQ955" s="15" t="str">
        <f>"0.448"</f>
        <v>0.448</v>
      </c>
      <c r="CR955" s="15" t="s">
        <v>497</v>
      </c>
      <c r="DC955" s="15" t="str">
        <f>IFERROR(__xludf.DUMMYFUNCTION("""COMPUTED_VALUE"""),"")</f>
        <v/>
      </c>
      <c r="DE955" s="15" t="str">
        <f>IFERROR(__xludf.DUMMYFUNCTION("""COMPUTED_VALUE"""),"")</f>
        <v/>
      </c>
      <c r="DG955" s="15" t="str">
        <f>IFERROR(__xludf.DUMMYFUNCTION("""COMPUTED_VALUE"""),"")</f>
        <v/>
      </c>
      <c r="DL955" s="15" t="str">
        <f>IFERROR(__xludf.DUMMYFUNCTION("""COMPUTED_VALUE"""),"")</f>
        <v/>
      </c>
      <c r="DM955" s="15" t="s">
        <v>444</v>
      </c>
      <c r="DN955" s="15" t="s">
        <v>1371</v>
      </c>
      <c r="DO955" s="15">
        <v>3.0</v>
      </c>
      <c r="DP955" s="15" t="s">
        <v>419</v>
      </c>
      <c r="DR955" s="15">
        <v>0.0</v>
      </c>
      <c r="DT955" s="15" t="s">
        <v>1509</v>
      </c>
      <c r="DU955" s="15" t="s">
        <v>421</v>
      </c>
      <c r="DY955" s="15">
        <v>0.0</v>
      </c>
      <c r="EF955" s="15" t="s">
        <v>471</v>
      </c>
      <c r="EG955" s="15" t="s">
        <v>472</v>
      </c>
      <c r="EH955" s="15" t="s">
        <v>9563</v>
      </c>
      <c r="EJ955" s="15" t="s">
        <v>500</v>
      </c>
      <c r="EK955" s="15" t="s">
        <v>501</v>
      </c>
      <c r="EM955" s="15" t="str">
        <f>IFERROR(__xludf.DUMMYFUNCTION("""COMPUTED_VALUE"""),"")</f>
        <v/>
      </c>
      <c r="EW955" s="15" t="s">
        <v>9590</v>
      </c>
      <c r="FL955" s="15" t="s">
        <v>426</v>
      </c>
      <c r="FM955" s="15">
        <v>0.0</v>
      </c>
      <c r="GH955" s="15">
        <v>0.0</v>
      </c>
      <c r="GI955" s="15" t="s">
        <v>427</v>
      </c>
      <c r="GQ955" s="15" t="s">
        <v>9591</v>
      </c>
      <c r="GR955" s="15" t="s">
        <v>9591</v>
      </c>
      <c r="GS955" s="15" t="s">
        <v>9592</v>
      </c>
      <c r="GT955" s="15" t="s">
        <v>2881</v>
      </c>
      <c r="GU955" s="15" t="s">
        <v>7872</v>
      </c>
      <c r="GV955" s="15" t="s">
        <v>7872</v>
      </c>
      <c r="GW955" s="15" t="s">
        <v>838</v>
      </c>
      <c r="GY955" s="15" t="s">
        <v>764</v>
      </c>
    </row>
    <row r="956" ht="15.75" customHeight="1">
      <c r="A956" s="14" t="s">
        <v>391</v>
      </c>
      <c r="B956" s="15" t="s">
        <v>9593</v>
      </c>
      <c r="C956" s="16"/>
      <c r="D956" s="15" t="s">
        <v>432</v>
      </c>
      <c r="G956" s="14" t="s">
        <v>393</v>
      </c>
      <c r="H956" s="14" t="s">
        <v>394</v>
      </c>
      <c r="I956" s="14" t="b">
        <v>1</v>
      </c>
      <c r="J956" s="14" t="s">
        <v>395</v>
      </c>
      <c r="L956" s="14" t="b">
        <v>0</v>
      </c>
      <c r="M956" s="15" t="s">
        <v>9594</v>
      </c>
      <c r="N956" s="14" t="s">
        <v>393</v>
      </c>
      <c r="O956" s="14" t="s">
        <v>393</v>
      </c>
      <c r="P956" s="15" t="s">
        <v>397</v>
      </c>
      <c r="Q956" s="15" t="s">
        <v>3931</v>
      </c>
      <c r="T956" s="14" t="b">
        <v>0</v>
      </c>
      <c r="U956" s="15" t="s">
        <v>9595</v>
      </c>
      <c r="V956" s="15" t="s">
        <v>1798</v>
      </c>
      <c r="W956" s="15" t="s">
        <v>401</v>
      </c>
      <c r="X956" s="15" t="s">
        <v>695</v>
      </c>
      <c r="Y956" s="15">
        <v>1261.0</v>
      </c>
      <c r="AA956" s="15" t="str">
        <f>"485"</f>
        <v>485</v>
      </c>
      <c r="AB956" s="14" t="b">
        <v>1</v>
      </c>
      <c r="AC956" s="14" t="b">
        <v>1</v>
      </c>
      <c r="AD956" s="15" t="str">
        <f>"198394077231"</f>
        <v>198394077231</v>
      </c>
      <c r="AE956" s="15" t="s">
        <v>9596</v>
      </c>
      <c r="AF956" s="14" t="s">
        <v>404</v>
      </c>
      <c r="AG956" s="14" t="s">
        <v>405</v>
      </c>
      <c r="AH956" s="14" t="s">
        <v>406</v>
      </c>
      <c r="AI956" s="15">
        <v>0.0</v>
      </c>
      <c r="AL956" s="15" t="s">
        <v>4965</v>
      </c>
      <c r="AM956" s="15" t="s">
        <v>2229</v>
      </c>
      <c r="AN956" s="15" t="s">
        <v>2230</v>
      </c>
      <c r="AO956" s="15" t="s">
        <v>1276</v>
      </c>
      <c r="AP956" s="15" t="s">
        <v>1277</v>
      </c>
      <c r="AQ956" s="15" t="s">
        <v>2229</v>
      </c>
      <c r="AR956" s="15" t="s">
        <v>2230</v>
      </c>
      <c r="AS956" s="15" t="s">
        <v>1628</v>
      </c>
      <c r="AT956" s="15" t="s">
        <v>3931</v>
      </c>
      <c r="AW956" s="15" t="s">
        <v>706</v>
      </c>
      <c r="AX956" s="15" t="s">
        <v>707</v>
      </c>
      <c r="AY956" s="15" t="s">
        <v>413</v>
      </c>
      <c r="AZ956" s="15" t="b">
        <v>0</v>
      </c>
      <c r="BA956" s="15" t="s">
        <v>413</v>
      </c>
      <c r="BB956" s="15" t="b">
        <v>0</v>
      </c>
      <c r="BC956" s="15" t="s">
        <v>9597</v>
      </c>
      <c r="BD956" s="15" t="s">
        <v>709</v>
      </c>
      <c r="BE956" s="15" t="str">
        <f t="shared" si="1618"/>
        <v>1</v>
      </c>
      <c r="BF956" s="15" t="s">
        <v>416</v>
      </c>
      <c r="BG956" s="15" t="str">
        <f t="shared" ref="BG956:BG957" si="1619">"31.89"</f>
        <v>31.89</v>
      </c>
      <c r="BH956" s="15" t="s">
        <v>1183</v>
      </c>
      <c r="BI956" s="15" t="str">
        <f t="shared" ref="BI956:BI957" si="1620">"31.89"</f>
        <v>31.89</v>
      </c>
      <c r="BJ956" s="15" t="s">
        <v>1183</v>
      </c>
      <c r="BK956" s="15" t="str">
        <f t="shared" ref="BK956:BK957" si="1621">"32.28"</f>
        <v>32.28</v>
      </c>
      <c r="BL956" s="15" t="s">
        <v>954</v>
      </c>
      <c r="BM956" s="15" t="str">
        <f t="shared" ref="BM956:BM957" si="1622">"66.14"</f>
        <v>66.14</v>
      </c>
      <c r="BN956" s="15" t="s">
        <v>958</v>
      </c>
      <c r="BQ956" s="15" t="s">
        <v>444</v>
      </c>
      <c r="BS956" s="15" t="s">
        <v>444</v>
      </c>
      <c r="BU956" s="15" t="s">
        <v>444</v>
      </c>
      <c r="BW956" s="15" t="s">
        <v>444</v>
      </c>
      <c r="BZ956" s="15" t="s">
        <v>444</v>
      </c>
      <c r="CB956" s="15" t="s">
        <v>444</v>
      </c>
      <c r="CD956" s="15" t="s">
        <v>444</v>
      </c>
      <c r="CF956" s="15" t="s">
        <v>444</v>
      </c>
      <c r="CI956" s="15" t="s">
        <v>444</v>
      </c>
      <c r="CK956" s="15" t="s">
        <v>444</v>
      </c>
      <c r="CM956" s="15" t="s">
        <v>444</v>
      </c>
      <c r="CO956" s="15" t="s">
        <v>444</v>
      </c>
      <c r="CP956" s="15" t="str">
        <f t="shared" ref="CP956:CP957" si="1623">"19"</f>
        <v>19</v>
      </c>
      <c r="CQ956" s="15" t="str">
        <f t="shared" ref="CQ956:CQ957" si="1624">"0.538"</f>
        <v>0.538</v>
      </c>
      <c r="CR956" s="15" t="s">
        <v>497</v>
      </c>
      <c r="CY956" s="15" t="s">
        <v>1072</v>
      </c>
      <c r="CZ956" s="15" t="s">
        <v>2402</v>
      </c>
      <c r="DA956" s="15" t="s">
        <v>9598</v>
      </c>
      <c r="DB956" s="15" t="s">
        <v>1072</v>
      </c>
      <c r="DC956" s="15" t="str">
        <f>IFERROR(__xludf.DUMMYFUNCTION("""COMPUTED_VALUE"""),"{""value"":22.00,""unit"":""in""}")</f>
        <v>{"value":22.00,"unit":"in"}</v>
      </c>
      <c r="DD956" s="15" t="s">
        <v>9599</v>
      </c>
      <c r="DE956" s="15" t="str">
        <f>IFERROR(__xludf.DUMMYFUNCTION("""COMPUTED_VALUE"""),"{""value"":17.30,""unit"":""in""}")</f>
        <v>{"value":17.30,"unit":"in"}</v>
      </c>
      <c r="DG956" s="15" t="str">
        <f>IFERROR(__xludf.DUMMYFUNCTION("""COMPUTED_VALUE"""),"")</f>
        <v/>
      </c>
      <c r="DH956" s="15">
        <v>0.0</v>
      </c>
      <c r="DI956" s="15">
        <v>1.0</v>
      </c>
      <c r="DJ956" s="15" t="s">
        <v>717</v>
      </c>
      <c r="DK956" s="15" t="s">
        <v>855</v>
      </c>
      <c r="DL956" s="15" t="str">
        <f>IFERROR(__xludf.DUMMYFUNCTION("""COMPUTED_VALUE"""),"Clean with solvent-based (dry clean only) products. Do not use water.")</f>
        <v>Clean with solvent-based (dry clean only) products. Do not use water.</v>
      </c>
      <c r="DM956" s="15" t="s">
        <v>856</v>
      </c>
      <c r="DT956" s="15" t="s">
        <v>721</v>
      </c>
      <c r="DU956" s="15" t="s">
        <v>419</v>
      </c>
      <c r="DV956" s="15">
        <v>0.0</v>
      </c>
      <c r="DZ956" s="15">
        <v>25000.0</v>
      </c>
      <c r="EA956" s="15" t="s">
        <v>990</v>
      </c>
      <c r="EB956" s="15" t="s">
        <v>1016</v>
      </c>
      <c r="EC956" s="15" t="s">
        <v>3514</v>
      </c>
      <c r="ED956" s="15">
        <v>1.0</v>
      </c>
      <c r="EE956" s="15">
        <v>1.0</v>
      </c>
      <c r="EG956" s="15" t="s">
        <v>444</v>
      </c>
      <c r="EH956" s="15" t="s">
        <v>9600</v>
      </c>
      <c r="EI956" s="15">
        <v>0.0</v>
      </c>
      <c r="EJ956" s="15" t="s">
        <v>726</v>
      </c>
      <c r="EK956" s="15" t="s">
        <v>727</v>
      </c>
      <c r="EL956" s="15" t="s">
        <v>1306</v>
      </c>
      <c r="EM956" s="15" t="str">
        <f>IFERROR(__xludf.DUMMYFUNCTION("""COMPUTED_VALUE"""),"{""value"":25.25,""unit"":""in""}")</f>
        <v>{"value":25.25,"unit":"in"}</v>
      </c>
      <c r="EN956" s="15" t="s">
        <v>3048</v>
      </c>
      <c r="EO956" s="15" t="s">
        <v>525</v>
      </c>
      <c r="ES956" s="15" t="s">
        <v>940</v>
      </c>
      <c r="EW956" s="15" t="s">
        <v>1738</v>
      </c>
      <c r="EX956" s="15" t="s">
        <v>4128</v>
      </c>
      <c r="EY956" s="15" t="s">
        <v>1806</v>
      </c>
      <c r="EZ956" s="15" t="s">
        <v>9601</v>
      </c>
      <c r="FC956" s="15" t="s">
        <v>1016</v>
      </c>
      <c r="FF956" s="15" t="s">
        <v>997</v>
      </c>
      <c r="FO956" s="15" t="s">
        <v>467</v>
      </c>
      <c r="FP956" s="15" t="s">
        <v>9598</v>
      </c>
      <c r="FQ956" s="15">
        <v>0.0</v>
      </c>
      <c r="FR956" s="15">
        <v>0.0</v>
      </c>
      <c r="FT956" s="15">
        <v>0.0</v>
      </c>
    </row>
    <row r="957" ht="15.75" customHeight="1">
      <c r="A957" s="14" t="s">
        <v>391</v>
      </c>
      <c r="B957" s="15" t="s">
        <v>9593</v>
      </c>
      <c r="C957" s="16"/>
      <c r="D957" s="15" t="s">
        <v>432</v>
      </c>
      <c r="G957" s="14" t="s">
        <v>393</v>
      </c>
      <c r="H957" s="14" t="s">
        <v>394</v>
      </c>
      <c r="I957" s="14" t="b">
        <v>1</v>
      </c>
      <c r="J957" s="14" t="s">
        <v>395</v>
      </c>
      <c r="L957" s="14" t="b">
        <v>0</v>
      </c>
      <c r="M957" s="15" t="s">
        <v>9602</v>
      </c>
      <c r="N957" s="14" t="s">
        <v>393</v>
      </c>
      <c r="O957" s="14" t="s">
        <v>393</v>
      </c>
      <c r="P957" s="15" t="s">
        <v>397</v>
      </c>
      <c r="Q957" s="15" t="s">
        <v>9603</v>
      </c>
      <c r="T957" s="14" t="b">
        <v>0</v>
      </c>
      <c r="U957" s="15" t="s">
        <v>9604</v>
      </c>
      <c r="V957" s="15" t="s">
        <v>1798</v>
      </c>
      <c r="W957" s="15" t="s">
        <v>401</v>
      </c>
      <c r="X957" s="15" t="s">
        <v>695</v>
      </c>
      <c r="Y957" s="15">
        <v>1040.0</v>
      </c>
      <c r="AA957" s="15" t="str">
        <f>"400"</f>
        <v>400</v>
      </c>
      <c r="AB957" s="14" t="b">
        <v>1</v>
      </c>
      <c r="AC957" s="14" t="b">
        <v>1</v>
      </c>
      <c r="AD957" s="15" t="str">
        <f>"801542201661"</f>
        <v>801542201661</v>
      </c>
      <c r="AE957" s="15" t="s">
        <v>9605</v>
      </c>
      <c r="AF957" s="14" t="s">
        <v>404</v>
      </c>
      <c r="AG957" s="14" t="s">
        <v>405</v>
      </c>
      <c r="AH957" s="14" t="s">
        <v>406</v>
      </c>
      <c r="AI957" s="15">
        <v>0.0</v>
      </c>
      <c r="AL957" s="15" t="s">
        <v>1615</v>
      </c>
      <c r="AM957" s="15" t="s">
        <v>2229</v>
      </c>
      <c r="AN957" s="15" t="s">
        <v>2230</v>
      </c>
      <c r="AO957" s="15" t="s">
        <v>1276</v>
      </c>
      <c r="AP957" s="15" t="s">
        <v>1277</v>
      </c>
      <c r="AQ957" s="15" t="s">
        <v>2229</v>
      </c>
      <c r="AR957" s="15" t="s">
        <v>2230</v>
      </c>
      <c r="AS957" s="15" t="s">
        <v>1628</v>
      </c>
      <c r="AT957" s="15" t="s">
        <v>9603</v>
      </c>
      <c r="AW957" s="15" t="s">
        <v>706</v>
      </c>
      <c r="AX957" s="15" t="s">
        <v>707</v>
      </c>
      <c r="AY957" s="15" t="s">
        <v>413</v>
      </c>
      <c r="AZ957" s="15" t="b">
        <v>0</v>
      </c>
      <c r="BA957" s="15" t="s">
        <v>413</v>
      </c>
      <c r="BB957" s="15" t="b">
        <v>0</v>
      </c>
      <c r="BC957" s="15" t="s">
        <v>9606</v>
      </c>
      <c r="BD957" s="15" t="s">
        <v>709</v>
      </c>
      <c r="BE957" s="15" t="str">
        <f t="shared" si="1618"/>
        <v>1</v>
      </c>
      <c r="BF957" s="15" t="s">
        <v>416</v>
      </c>
      <c r="BG957" s="15" t="str">
        <f t="shared" si="1619"/>
        <v>31.89</v>
      </c>
      <c r="BH957" s="15" t="s">
        <v>1183</v>
      </c>
      <c r="BI957" s="15" t="str">
        <f t="shared" si="1620"/>
        <v>31.89</v>
      </c>
      <c r="BJ957" s="15" t="s">
        <v>1183</v>
      </c>
      <c r="BK957" s="15" t="str">
        <f t="shared" si="1621"/>
        <v>32.28</v>
      </c>
      <c r="BL957" s="15" t="s">
        <v>954</v>
      </c>
      <c r="BM957" s="15" t="str">
        <f t="shared" si="1622"/>
        <v>66.14</v>
      </c>
      <c r="BN957" s="15" t="s">
        <v>958</v>
      </c>
      <c r="BQ957" s="15" t="s">
        <v>444</v>
      </c>
      <c r="BS957" s="15" t="s">
        <v>444</v>
      </c>
      <c r="BU957" s="15" t="s">
        <v>444</v>
      </c>
      <c r="BW957" s="15" t="s">
        <v>444</v>
      </c>
      <c r="BZ957" s="15" t="s">
        <v>444</v>
      </c>
      <c r="CB957" s="15" t="s">
        <v>444</v>
      </c>
      <c r="CD957" s="15" t="s">
        <v>444</v>
      </c>
      <c r="CF957" s="15" t="s">
        <v>444</v>
      </c>
      <c r="CI957" s="15" t="s">
        <v>444</v>
      </c>
      <c r="CK957" s="15" t="s">
        <v>444</v>
      </c>
      <c r="CM957" s="15" t="s">
        <v>444</v>
      </c>
      <c r="CO957" s="15" t="s">
        <v>444</v>
      </c>
      <c r="CP957" s="15" t="str">
        <f t="shared" si="1623"/>
        <v>19</v>
      </c>
      <c r="CQ957" s="15" t="str">
        <f t="shared" si="1624"/>
        <v>0.538</v>
      </c>
      <c r="CR957" s="15" t="s">
        <v>497</v>
      </c>
      <c r="CY957" s="15" t="s">
        <v>1072</v>
      </c>
      <c r="CZ957" s="15" t="s">
        <v>2402</v>
      </c>
      <c r="DA957" s="15" t="s">
        <v>9598</v>
      </c>
      <c r="DB957" s="15" t="s">
        <v>1072</v>
      </c>
      <c r="DC957" s="15" t="str">
        <f>IFERROR(__xludf.DUMMYFUNCTION("""COMPUTED_VALUE"""),"{""value"":22.00,""unit"":""in""}")</f>
        <v>{"value":22.00,"unit":"in"}</v>
      </c>
      <c r="DD957" s="15" t="s">
        <v>9599</v>
      </c>
      <c r="DE957" s="15" t="str">
        <f>IFERROR(__xludf.DUMMYFUNCTION("""COMPUTED_VALUE"""),"{""value"":17.30,""unit"":""in""}")</f>
        <v>{"value":17.30,"unit":"in"}</v>
      </c>
      <c r="DG957" s="15" t="str">
        <f>IFERROR(__xludf.DUMMYFUNCTION("""COMPUTED_VALUE"""),"")</f>
        <v/>
      </c>
      <c r="DH957" s="15">
        <v>0.0</v>
      </c>
      <c r="DI957" s="15">
        <v>1.0</v>
      </c>
      <c r="DJ957" s="15" t="s">
        <v>717</v>
      </c>
      <c r="DK957" s="15" t="s">
        <v>718</v>
      </c>
      <c r="DL957" s="15" t="str">
        <f>IFERROR(__xludf.DUMMYFUNCTION("""COMPUTED_VALUE"""),"Vacuum or light brush only. Do not use water or any cleaning products.")</f>
        <v>Vacuum or light brush only. Do not use water or any cleaning products.</v>
      </c>
      <c r="DM957" s="15" t="s">
        <v>719</v>
      </c>
      <c r="DT957" s="15" t="s">
        <v>721</v>
      </c>
      <c r="DU957" s="15" t="s">
        <v>419</v>
      </c>
      <c r="DV957" s="15">
        <v>0.0</v>
      </c>
      <c r="DZ957" s="15">
        <v>30000.0</v>
      </c>
      <c r="EA957" s="15" t="s">
        <v>990</v>
      </c>
      <c r="EB957" s="15" t="s">
        <v>1016</v>
      </c>
      <c r="EC957" s="15" t="s">
        <v>3514</v>
      </c>
      <c r="ED957" s="15">
        <v>1.0</v>
      </c>
      <c r="EE957" s="15">
        <v>1.0</v>
      </c>
      <c r="EG957" s="15" t="s">
        <v>444</v>
      </c>
      <c r="EH957" s="15" t="s">
        <v>9600</v>
      </c>
      <c r="EI957" s="15">
        <v>0.0</v>
      </c>
      <c r="EJ957" s="15" t="s">
        <v>726</v>
      </c>
      <c r="EK957" s="15" t="s">
        <v>727</v>
      </c>
      <c r="EL957" s="15" t="s">
        <v>1306</v>
      </c>
      <c r="EM957" s="15" t="str">
        <f>IFERROR(__xludf.DUMMYFUNCTION("""COMPUTED_VALUE"""),"{""value"":25.25,""unit"":""in""}")</f>
        <v>{"value":25.25,"unit":"in"}</v>
      </c>
      <c r="EN957" s="15" t="s">
        <v>3048</v>
      </c>
      <c r="EO957" s="15" t="s">
        <v>525</v>
      </c>
      <c r="ES957" s="15" t="s">
        <v>940</v>
      </c>
      <c r="EW957" s="15" t="s">
        <v>1738</v>
      </c>
      <c r="EX957" s="15" t="s">
        <v>4128</v>
      </c>
      <c r="EY957" s="15" t="s">
        <v>1806</v>
      </c>
      <c r="EZ957" s="15" t="s">
        <v>9601</v>
      </c>
      <c r="FC957" s="15" t="s">
        <v>1016</v>
      </c>
      <c r="FF957" s="15" t="s">
        <v>997</v>
      </c>
      <c r="FO957" s="15" t="s">
        <v>467</v>
      </c>
      <c r="FP957" s="15" t="s">
        <v>9598</v>
      </c>
      <c r="FQ957" s="15">
        <v>0.0</v>
      </c>
      <c r="FR957" s="15">
        <v>0.0</v>
      </c>
      <c r="FT957" s="15">
        <v>0.0</v>
      </c>
    </row>
    <row r="958" ht="15.75" customHeight="1">
      <c r="A958" s="14" t="s">
        <v>391</v>
      </c>
      <c r="B958" s="15" t="s">
        <v>9607</v>
      </c>
      <c r="C958" s="16"/>
      <c r="D958" s="15" t="s">
        <v>432</v>
      </c>
      <c r="G958" s="14" t="s">
        <v>393</v>
      </c>
      <c r="H958" s="14" t="s">
        <v>394</v>
      </c>
      <c r="I958" s="14" t="b">
        <v>1</v>
      </c>
      <c r="J958" s="14" t="s">
        <v>395</v>
      </c>
      <c r="L958" s="14" t="b">
        <v>0</v>
      </c>
      <c r="M958" s="15" t="s">
        <v>9608</v>
      </c>
      <c r="N958" s="14" t="s">
        <v>393</v>
      </c>
      <c r="O958" s="14" t="s">
        <v>393</v>
      </c>
      <c r="P958" s="15" t="s">
        <v>397</v>
      </c>
      <c r="Q958" s="15" t="s">
        <v>5604</v>
      </c>
      <c r="T958" s="14" t="b">
        <v>0</v>
      </c>
      <c r="U958" s="15" t="s">
        <v>9609</v>
      </c>
      <c r="V958" s="15" t="s">
        <v>4106</v>
      </c>
      <c r="W958" s="15" t="s">
        <v>401</v>
      </c>
      <c r="X958" s="15" t="s">
        <v>742</v>
      </c>
      <c r="Y958" s="15">
        <v>2522.0</v>
      </c>
      <c r="AA958" s="15" t="str">
        <f t="shared" ref="AA958:AA959" si="1625">"970"</f>
        <v>970</v>
      </c>
      <c r="AB958" s="14" t="b">
        <v>1</v>
      </c>
      <c r="AC958" s="14" t="b">
        <v>1</v>
      </c>
      <c r="AD958" s="15" t="str">
        <f>"801542127695"</f>
        <v>801542127695</v>
      </c>
      <c r="AE958" s="15" t="s">
        <v>9610</v>
      </c>
      <c r="AF958" s="14" t="s">
        <v>404</v>
      </c>
      <c r="AG958" s="14" t="s">
        <v>405</v>
      </c>
      <c r="AH958" s="14" t="s">
        <v>406</v>
      </c>
      <c r="AI958" s="15">
        <v>0.0</v>
      </c>
      <c r="AL958" s="15" t="s">
        <v>1025</v>
      </c>
      <c r="AM958" s="15" t="s">
        <v>9611</v>
      </c>
      <c r="AN958" s="15" t="s">
        <v>9612</v>
      </c>
      <c r="AO958" s="15" t="s">
        <v>546</v>
      </c>
      <c r="AP958" s="15" t="s">
        <v>547</v>
      </c>
      <c r="AQ958" s="15" t="s">
        <v>2229</v>
      </c>
      <c r="AR958" s="15" t="s">
        <v>2230</v>
      </c>
      <c r="AS958" s="15" t="s">
        <v>1896</v>
      </c>
      <c r="AT958" s="15" t="s">
        <v>5604</v>
      </c>
      <c r="AW958" s="15" t="s">
        <v>2134</v>
      </c>
      <c r="AX958" s="15" t="s">
        <v>2135</v>
      </c>
      <c r="AY958" s="15" t="s">
        <v>413</v>
      </c>
      <c r="AZ958" s="15" t="b">
        <v>0</v>
      </c>
      <c r="BA958" s="15" t="s">
        <v>413</v>
      </c>
      <c r="BB958" s="15" t="b">
        <v>0</v>
      </c>
      <c r="BC958" s="15" t="s">
        <v>9613</v>
      </c>
      <c r="BD958" s="15" t="s">
        <v>742</v>
      </c>
      <c r="BE958" s="15" t="str">
        <f t="shared" si="1618"/>
        <v>1</v>
      </c>
      <c r="BF958" s="15" t="s">
        <v>5596</v>
      </c>
      <c r="BG958" s="15" t="str">
        <f t="shared" ref="BG958:BG959" si="1626">"76.77"</f>
        <v>76.77</v>
      </c>
      <c r="BH958" s="15" t="s">
        <v>5515</v>
      </c>
      <c r="BI958" s="15" t="str">
        <f t="shared" ref="BI958:BI959" si="1627">"34.25"</f>
        <v>34.25</v>
      </c>
      <c r="BJ958" s="15" t="s">
        <v>605</v>
      </c>
      <c r="BK958" s="15" t="str">
        <f t="shared" ref="BK958:BK959" si="1628">"40.75"</f>
        <v>40.75</v>
      </c>
      <c r="BL958" s="15" t="s">
        <v>1280</v>
      </c>
      <c r="BM958" s="15" t="str">
        <f t="shared" ref="BM958:BM959" si="1629">"255.74"</f>
        <v>255.74</v>
      </c>
      <c r="BN958" s="15" t="s">
        <v>2155</v>
      </c>
      <c r="BQ958" s="15" t="s">
        <v>444</v>
      </c>
      <c r="BS958" s="15" t="s">
        <v>444</v>
      </c>
      <c r="BU958" s="15" t="s">
        <v>444</v>
      </c>
      <c r="BW958" s="15" t="s">
        <v>444</v>
      </c>
      <c r="BZ958" s="15" t="s">
        <v>444</v>
      </c>
      <c r="CB958" s="15" t="s">
        <v>444</v>
      </c>
      <c r="CD958" s="15" t="s">
        <v>444</v>
      </c>
      <c r="CF958" s="15" t="s">
        <v>444</v>
      </c>
      <c r="CI958" s="15" t="s">
        <v>444</v>
      </c>
      <c r="CK958" s="15" t="s">
        <v>444</v>
      </c>
      <c r="CM958" s="15" t="s">
        <v>444</v>
      </c>
      <c r="CO958" s="15" t="s">
        <v>444</v>
      </c>
      <c r="CP958" s="15" t="str">
        <f t="shared" ref="CP958:CP959" si="1630">"62.01"</f>
        <v>62.01</v>
      </c>
      <c r="CQ958" s="15" t="str">
        <f t="shared" ref="CQ958:CQ959" si="1631">"1.756"</f>
        <v>1.756</v>
      </c>
      <c r="CR958" s="15" t="s">
        <v>497</v>
      </c>
      <c r="DC958" s="15" t="str">
        <f>IFERROR(__xludf.DUMMYFUNCTION("""COMPUTED_VALUE"""),"")</f>
        <v/>
      </c>
      <c r="DE958" s="15" t="str">
        <f>IFERROR(__xludf.DUMMYFUNCTION("""COMPUTED_VALUE"""),"")</f>
        <v/>
      </c>
      <c r="DG958" s="15" t="str">
        <f>IFERROR(__xludf.DUMMYFUNCTION("""COMPUTED_VALUE"""),"")</f>
        <v/>
      </c>
      <c r="DL958" s="15" t="str">
        <f>IFERROR(__xludf.DUMMYFUNCTION("""COMPUTED_VALUE"""),"")</f>
        <v/>
      </c>
      <c r="DM958" s="15" t="s">
        <v>444</v>
      </c>
      <c r="DN958" s="15" t="s">
        <v>1371</v>
      </c>
      <c r="DO958" s="15">
        <v>5.0</v>
      </c>
      <c r="DP958" s="15" t="s">
        <v>419</v>
      </c>
      <c r="DR958" s="15">
        <v>0.0</v>
      </c>
      <c r="DT958" s="15" t="s">
        <v>1186</v>
      </c>
      <c r="DU958" s="15" t="s">
        <v>421</v>
      </c>
      <c r="DY958" s="15">
        <v>0.0</v>
      </c>
      <c r="EF958" s="15" t="s">
        <v>2137</v>
      </c>
      <c r="EG958" s="15" t="s">
        <v>2138</v>
      </c>
      <c r="EH958" s="15" t="s">
        <v>9614</v>
      </c>
      <c r="EJ958" s="15" t="s">
        <v>424</v>
      </c>
      <c r="EK958" s="15" t="s">
        <v>446</v>
      </c>
      <c r="EM958" s="15" t="str">
        <f>IFERROR(__xludf.DUMMYFUNCTION("""COMPUTED_VALUE"""),"")</f>
        <v/>
      </c>
      <c r="EW958" s="15" t="s">
        <v>761</v>
      </c>
      <c r="EX958" s="15" t="s">
        <v>9117</v>
      </c>
      <c r="EY958" s="15" t="s">
        <v>9615</v>
      </c>
      <c r="FH958" s="15" t="s">
        <v>558</v>
      </c>
      <c r="FI958" s="15" t="s">
        <v>7863</v>
      </c>
      <c r="FJ958" s="15" t="s">
        <v>9616</v>
      </c>
      <c r="FK958" s="15" t="s">
        <v>6948</v>
      </c>
      <c r="FL958" s="15" t="s">
        <v>426</v>
      </c>
      <c r="FM958" s="15">
        <v>0.0</v>
      </c>
      <c r="FV958" s="15" t="s">
        <v>2647</v>
      </c>
      <c r="GH958" s="15">
        <v>0.0</v>
      </c>
      <c r="GI958" s="15" t="s">
        <v>427</v>
      </c>
      <c r="GQ958" s="15" t="s">
        <v>2051</v>
      </c>
      <c r="GR958" s="15" t="s">
        <v>2051</v>
      </c>
      <c r="GS958" s="15" t="s">
        <v>2144</v>
      </c>
      <c r="GT958" s="15" t="s">
        <v>2144</v>
      </c>
      <c r="GU958" s="15" t="s">
        <v>9617</v>
      </c>
      <c r="GV958" s="15" t="s">
        <v>9618</v>
      </c>
      <c r="GW958" s="15" t="s">
        <v>838</v>
      </c>
      <c r="GY958" s="15" t="s">
        <v>764</v>
      </c>
      <c r="HD958" s="15">
        <v>1.0</v>
      </c>
      <c r="HX958" s="15" t="s">
        <v>2051</v>
      </c>
      <c r="HY958" s="15" t="s">
        <v>1550</v>
      </c>
      <c r="HZ958" s="15" t="s">
        <v>1444</v>
      </c>
      <c r="IA958" s="15" t="s">
        <v>1254</v>
      </c>
      <c r="IB958" s="15" t="s">
        <v>1487</v>
      </c>
      <c r="IC958" s="15" t="s">
        <v>1487</v>
      </c>
      <c r="IG958" s="15" t="s">
        <v>426</v>
      </c>
    </row>
    <row r="959" ht="15.75" customHeight="1">
      <c r="A959" s="14" t="s">
        <v>391</v>
      </c>
      <c r="B959" s="15" t="s">
        <v>9607</v>
      </c>
      <c r="C959" s="16"/>
      <c r="D959" s="15" t="s">
        <v>432</v>
      </c>
      <c r="G959" s="14" t="s">
        <v>393</v>
      </c>
      <c r="H959" s="14" t="s">
        <v>394</v>
      </c>
      <c r="I959" s="14" t="b">
        <v>1</v>
      </c>
      <c r="J959" s="14" t="s">
        <v>395</v>
      </c>
      <c r="L959" s="14" t="b">
        <v>0</v>
      </c>
      <c r="M959" s="15" t="s">
        <v>9619</v>
      </c>
      <c r="N959" s="14" t="s">
        <v>393</v>
      </c>
      <c r="O959" s="14" t="s">
        <v>393</v>
      </c>
      <c r="P959" s="15" t="s">
        <v>397</v>
      </c>
      <c r="Q959" s="15" t="s">
        <v>4815</v>
      </c>
      <c r="T959" s="14" t="b">
        <v>0</v>
      </c>
      <c r="U959" s="15" t="s">
        <v>9620</v>
      </c>
      <c r="V959" s="15" t="s">
        <v>4106</v>
      </c>
      <c r="W959" s="15" t="s">
        <v>401</v>
      </c>
      <c r="X959" s="15" t="s">
        <v>742</v>
      </c>
      <c r="Y959" s="15">
        <v>2522.0</v>
      </c>
      <c r="AA959" s="15" t="str">
        <f t="shared" si="1625"/>
        <v>970</v>
      </c>
      <c r="AB959" s="14" t="b">
        <v>1</v>
      </c>
      <c r="AC959" s="14" t="b">
        <v>1</v>
      </c>
      <c r="AD959" s="15" t="str">
        <f>"198394017039"</f>
        <v>198394017039</v>
      </c>
      <c r="AE959" s="15" t="s">
        <v>9621</v>
      </c>
      <c r="AF959" s="14" t="s">
        <v>404</v>
      </c>
      <c r="AG959" s="14" t="s">
        <v>405</v>
      </c>
      <c r="AH959" s="14" t="s">
        <v>406</v>
      </c>
      <c r="AI959" s="15">
        <v>0.0</v>
      </c>
      <c r="AL959" s="15" t="s">
        <v>1025</v>
      </c>
      <c r="AM959" s="15" t="s">
        <v>9611</v>
      </c>
      <c r="AN959" s="15" t="s">
        <v>9612</v>
      </c>
      <c r="AO959" s="15" t="s">
        <v>546</v>
      </c>
      <c r="AP959" s="15" t="s">
        <v>547</v>
      </c>
      <c r="AQ959" s="15" t="s">
        <v>2229</v>
      </c>
      <c r="AR959" s="15" t="s">
        <v>2230</v>
      </c>
      <c r="AS959" s="15" t="s">
        <v>1896</v>
      </c>
      <c r="AT959" s="15" t="s">
        <v>4815</v>
      </c>
      <c r="AW959" s="15" t="s">
        <v>2134</v>
      </c>
      <c r="AX959" s="15" t="s">
        <v>2135</v>
      </c>
      <c r="AY959" s="15" t="s">
        <v>413</v>
      </c>
      <c r="AZ959" s="15" t="b">
        <v>0</v>
      </c>
      <c r="BA959" s="15" t="s">
        <v>413</v>
      </c>
      <c r="BB959" s="15" t="b">
        <v>0</v>
      </c>
      <c r="BC959" s="15" t="s">
        <v>9622</v>
      </c>
      <c r="BD959" s="15" t="s">
        <v>742</v>
      </c>
      <c r="BE959" s="15" t="str">
        <f t="shared" si="1618"/>
        <v>1</v>
      </c>
      <c r="BF959" s="15" t="s">
        <v>5596</v>
      </c>
      <c r="BG959" s="15" t="str">
        <f t="shared" si="1626"/>
        <v>76.77</v>
      </c>
      <c r="BH959" s="15" t="s">
        <v>5515</v>
      </c>
      <c r="BI959" s="15" t="str">
        <f t="shared" si="1627"/>
        <v>34.25</v>
      </c>
      <c r="BJ959" s="15" t="s">
        <v>605</v>
      </c>
      <c r="BK959" s="15" t="str">
        <f t="shared" si="1628"/>
        <v>40.75</v>
      </c>
      <c r="BL959" s="15" t="s">
        <v>1280</v>
      </c>
      <c r="BM959" s="15" t="str">
        <f t="shared" si="1629"/>
        <v>255.74</v>
      </c>
      <c r="BN959" s="15" t="s">
        <v>2155</v>
      </c>
      <c r="BQ959" s="15" t="s">
        <v>444</v>
      </c>
      <c r="BS959" s="15" t="s">
        <v>444</v>
      </c>
      <c r="BU959" s="15" t="s">
        <v>444</v>
      </c>
      <c r="BW959" s="15" t="s">
        <v>444</v>
      </c>
      <c r="BZ959" s="15" t="s">
        <v>444</v>
      </c>
      <c r="CB959" s="15" t="s">
        <v>444</v>
      </c>
      <c r="CD959" s="15" t="s">
        <v>444</v>
      </c>
      <c r="CF959" s="15" t="s">
        <v>444</v>
      </c>
      <c r="CI959" s="15" t="s">
        <v>444</v>
      </c>
      <c r="CK959" s="15" t="s">
        <v>444</v>
      </c>
      <c r="CM959" s="15" t="s">
        <v>444</v>
      </c>
      <c r="CO959" s="15" t="s">
        <v>444</v>
      </c>
      <c r="CP959" s="15" t="str">
        <f t="shared" si="1630"/>
        <v>62.01</v>
      </c>
      <c r="CQ959" s="15" t="str">
        <f t="shared" si="1631"/>
        <v>1.756</v>
      </c>
      <c r="CR959" s="15" t="s">
        <v>497</v>
      </c>
      <c r="DC959" s="15" t="str">
        <f>IFERROR(__xludf.DUMMYFUNCTION("""COMPUTED_VALUE"""),"")</f>
        <v/>
      </c>
      <c r="DE959" s="15" t="str">
        <f>IFERROR(__xludf.DUMMYFUNCTION("""COMPUTED_VALUE"""),"")</f>
        <v/>
      </c>
      <c r="DG959" s="15" t="str">
        <f>IFERROR(__xludf.DUMMYFUNCTION("""COMPUTED_VALUE"""),"")</f>
        <v/>
      </c>
      <c r="DL959" s="15" t="str">
        <f>IFERROR(__xludf.DUMMYFUNCTION("""COMPUTED_VALUE"""),"")</f>
        <v/>
      </c>
      <c r="DM959" s="15" t="s">
        <v>444</v>
      </c>
      <c r="DN959" s="15" t="s">
        <v>1371</v>
      </c>
      <c r="DO959" s="15">
        <v>5.0</v>
      </c>
      <c r="DP959" s="15" t="s">
        <v>419</v>
      </c>
      <c r="DR959" s="15">
        <v>0.0</v>
      </c>
      <c r="DT959" s="15" t="s">
        <v>1186</v>
      </c>
      <c r="DU959" s="15" t="s">
        <v>421</v>
      </c>
      <c r="DY959" s="15">
        <v>0.0</v>
      </c>
      <c r="EF959" s="15" t="s">
        <v>2137</v>
      </c>
      <c r="EG959" s="15" t="s">
        <v>2138</v>
      </c>
      <c r="EH959" s="15" t="s">
        <v>9614</v>
      </c>
      <c r="EJ959" s="15" t="s">
        <v>424</v>
      </c>
      <c r="EK959" s="15" t="s">
        <v>446</v>
      </c>
      <c r="EM959" s="15" t="str">
        <f>IFERROR(__xludf.DUMMYFUNCTION("""COMPUTED_VALUE"""),"")</f>
        <v/>
      </c>
      <c r="EW959" s="15" t="s">
        <v>761</v>
      </c>
      <c r="EX959" s="15" t="s">
        <v>9117</v>
      </c>
      <c r="EY959" s="15" t="s">
        <v>9615</v>
      </c>
      <c r="FH959" s="15" t="s">
        <v>558</v>
      </c>
      <c r="FI959" s="15" t="s">
        <v>7863</v>
      </c>
      <c r="FJ959" s="15" t="s">
        <v>9616</v>
      </c>
      <c r="FK959" s="15" t="s">
        <v>6948</v>
      </c>
      <c r="FL959" s="15" t="s">
        <v>426</v>
      </c>
      <c r="FM959" s="15">
        <v>0.0</v>
      </c>
      <c r="FV959" s="15" t="s">
        <v>2647</v>
      </c>
      <c r="GH959" s="15">
        <v>0.0</v>
      </c>
      <c r="GI959" s="15" t="s">
        <v>427</v>
      </c>
      <c r="GQ959" s="15" t="s">
        <v>2051</v>
      </c>
      <c r="GR959" s="15" t="s">
        <v>2051</v>
      </c>
      <c r="GS959" s="15" t="s">
        <v>2144</v>
      </c>
      <c r="GT959" s="15" t="s">
        <v>2144</v>
      </c>
      <c r="GU959" s="15" t="s">
        <v>9617</v>
      </c>
      <c r="GV959" s="15" t="s">
        <v>9618</v>
      </c>
      <c r="GW959" s="15" t="s">
        <v>838</v>
      </c>
      <c r="GY959" s="15" t="s">
        <v>764</v>
      </c>
      <c r="HD959" s="15">
        <v>1.0</v>
      </c>
      <c r="HX959" s="15" t="s">
        <v>2051</v>
      </c>
      <c r="HY959" s="15" t="s">
        <v>1550</v>
      </c>
      <c r="HZ959" s="15" t="s">
        <v>1444</v>
      </c>
      <c r="IA959" s="15" t="s">
        <v>1254</v>
      </c>
      <c r="IB959" s="15" t="s">
        <v>1487</v>
      </c>
      <c r="IC959" s="15" t="s">
        <v>1487</v>
      </c>
      <c r="IG959" s="15" t="s">
        <v>426</v>
      </c>
    </row>
    <row r="960" ht="15.75" customHeight="1">
      <c r="A960" s="14" t="s">
        <v>391</v>
      </c>
      <c r="B960" s="15" t="s">
        <v>9623</v>
      </c>
      <c r="C960" s="16"/>
      <c r="D960" s="15" t="s">
        <v>432</v>
      </c>
      <c r="G960" s="14" t="s">
        <v>393</v>
      </c>
      <c r="H960" s="14" t="s">
        <v>394</v>
      </c>
      <c r="I960" s="14" t="b">
        <v>1</v>
      </c>
      <c r="J960" s="14" t="s">
        <v>395</v>
      </c>
      <c r="L960" s="14" t="b">
        <v>0</v>
      </c>
      <c r="M960" s="15" t="s">
        <v>9624</v>
      </c>
      <c r="N960" s="14" t="s">
        <v>393</v>
      </c>
      <c r="O960" s="14" t="s">
        <v>393</v>
      </c>
      <c r="P960" s="15" t="s">
        <v>397</v>
      </c>
      <c r="Q960" s="15" t="s">
        <v>9625</v>
      </c>
      <c r="T960" s="14" t="b">
        <v>0</v>
      </c>
      <c r="U960" s="15" t="s">
        <v>9626</v>
      </c>
      <c r="V960" s="15" t="s">
        <v>2034</v>
      </c>
      <c r="W960" s="15" t="s">
        <v>401</v>
      </c>
      <c r="X960" s="15" t="s">
        <v>742</v>
      </c>
      <c r="Y960" s="15">
        <v>988.0</v>
      </c>
      <c r="AA960" s="15" t="str">
        <f>"380"</f>
        <v>380</v>
      </c>
      <c r="AB960" s="14" t="b">
        <v>1</v>
      </c>
      <c r="AC960" s="14" t="b">
        <v>1</v>
      </c>
      <c r="AD960" s="15" t="str">
        <f>"801542616557"</f>
        <v>801542616557</v>
      </c>
      <c r="AE960" s="15" t="s">
        <v>9627</v>
      </c>
      <c r="AF960" s="14" t="s">
        <v>404</v>
      </c>
      <c r="AG960" s="14" t="s">
        <v>405</v>
      </c>
      <c r="AH960" s="14" t="s">
        <v>406</v>
      </c>
      <c r="AI960" s="15">
        <v>0.0</v>
      </c>
      <c r="AL960" s="15" t="s">
        <v>9628</v>
      </c>
      <c r="AM960" s="15" t="s">
        <v>1085</v>
      </c>
      <c r="AN960" s="15" t="s">
        <v>1086</v>
      </c>
      <c r="AO960" s="15" t="s">
        <v>1537</v>
      </c>
      <c r="AP960" s="15" t="s">
        <v>1538</v>
      </c>
      <c r="AQ960" s="15" t="s">
        <v>544</v>
      </c>
      <c r="AR960" s="15" t="s">
        <v>545</v>
      </c>
      <c r="AS960" s="15" t="s">
        <v>837</v>
      </c>
      <c r="AT960" s="15" t="s">
        <v>9625</v>
      </c>
      <c r="AW960" s="15" t="s">
        <v>706</v>
      </c>
      <c r="AX960" s="15" t="s">
        <v>707</v>
      </c>
      <c r="AY960" s="15" t="s">
        <v>413</v>
      </c>
      <c r="AZ960" s="15" t="b">
        <v>0</v>
      </c>
      <c r="BA960" s="15" t="s">
        <v>413</v>
      </c>
      <c r="BB960" s="15" t="b">
        <v>0</v>
      </c>
      <c r="BC960" s="15" t="s">
        <v>9629</v>
      </c>
      <c r="BD960" s="15" t="s">
        <v>742</v>
      </c>
      <c r="BE960" s="15" t="str">
        <f t="shared" si="1618"/>
        <v>1</v>
      </c>
      <c r="BF960" s="15" t="s">
        <v>416</v>
      </c>
      <c r="BG960" s="15" t="str">
        <f>"36.02"</f>
        <v>36.02</v>
      </c>
      <c r="BH960" s="15" t="s">
        <v>4053</v>
      </c>
      <c r="BI960" s="15" t="str">
        <f>"28.35"</f>
        <v>28.35</v>
      </c>
      <c r="BJ960" s="15" t="s">
        <v>924</v>
      </c>
      <c r="BK960" s="15" t="str">
        <f>"43.9"</f>
        <v>43.9</v>
      </c>
      <c r="BL960" s="15" t="s">
        <v>9630</v>
      </c>
      <c r="BM960" s="15" t="str">
        <f>"88.18"</f>
        <v>88.18</v>
      </c>
      <c r="BN960" s="15" t="s">
        <v>5169</v>
      </c>
      <c r="BQ960" s="15" t="s">
        <v>444</v>
      </c>
      <c r="BS960" s="15" t="s">
        <v>444</v>
      </c>
      <c r="BU960" s="15" t="s">
        <v>444</v>
      </c>
      <c r="BW960" s="15" t="s">
        <v>444</v>
      </c>
      <c r="BZ960" s="15" t="s">
        <v>444</v>
      </c>
      <c r="CB960" s="15" t="s">
        <v>444</v>
      </c>
      <c r="CD960" s="15" t="s">
        <v>444</v>
      </c>
      <c r="CF960" s="15" t="s">
        <v>444</v>
      </c>
      <c r="CI960" s="15" t="s">
        <v>444</v>
      </c>
      <c r="CK960" s="15" t="s">
        <v>444</v>
      </c>
      <c r="CM960" s="15" t="s">
        <v>444</v>
      </c>
      <c r="CO960" s="15" t="s">
        <v>444</v>
      </c>
      <c r="CP960" s="15" t="str">
        <f>"20.41"</f>
        <v>20.41</v>
      </c>
      <c r="CQ960" s="15" t="str">
        <f>"0.578"</f>
        <v>0.578</v>
      </c>
      <c r="CR960" s="15" t="s">
        <v>465</v>
      </c>
      <c r="CY960" s="15" t="s">
        <v>3955</v>
      </c>
      <c r="CZ960" s="15" t="s">
        <v>731</v>
      </c>
      <c r="DA960" s="15" t="s">
        <v>1603</v>
      </c>
      <c r="DB960" s="15" t="s">
        <v>2346</v>
      </c>
      <c r="DC960" s="15" t="str">
        <f>IFERROR(__xludf.DUMMYFUNCTION("""COMPUTED_VALUE"""),"{""value"":21.06,""unit"":""in""}")</f>
        <v>{"value":21.06,"unit":"in"}</v>
      </c>
      <c r="DD960" s="15" t="s">
        <v>1324</v>
      </c>
      <c r="DE960" s="15" t="str">
        <f>IFERROR(__xludf.DUMMYFUNCTION("""COMPUTED_VALUE"""),"{""value"":20.00,""unit"":""in""}")</f>
        <v>{"value":20.00,"unit":"in"}</v>
      </c>
      <c r="DF960" s="15" t="s">
        <v>1074</v>
      </c>
      <c r="DG960" s="15" t="str">
        <f>IFERROR(__xludf.DUMMYFUNCTION("""COMPUTED_VALUE"""),"{""value"":22.05,""unit"":""in""}")</f>
        <v>{"value":22.05,"unit":"in"}</v>
      </c>
      <c r="DH960" s="15">
        <v>0.0</v>
      </c>
      <c r="DI960" s="15">
        <v>1.0</v>
      </c>
      <c r="DJ960" s="15" t="s">
        <v>717</v>
      </c>
      <c r="DK960" s="15" t="s">
        <v>855</v>
      </c>
      <c r="DL960" s="15" t="str">
        <f>IFERROR(__xludf.DUMMYFUNCTION("""COMPUTED_VALUE"""),"Clean with solvent-based (dry clean only) products. Do not use water.")</f>
        <v>Clean with solvent-based (dry clean only) products. Do not use water.</v>
      </c>
      <c r="DM960" s="15" t="s">
        <v>856</v>
      </c>
      <c r="DQ960" s="15" t="s">
        <v>1239</v>
      </c>
      <c r="DT960" s="15" t="s">
        <v>989</v>
      </c>
      <c r="DU960" s="15" t="s">
        <v>1605</v>
      </c>
      <c r="DV960" s="15">
        <v>1.0</v>
      </c>
      <c r="DZ960" s="15">
        <v>15000.0</v>
      </c>
      <c r="EA960" s="15" t="s">
        <v>722</v>
      </c>
      <c r="EB960" s="15" t="s">
        <v>723</v>
      </c>
      <c r="EC960" s="15" t="s">
        <v>724</v>
      </c>
      <c r="ED960" s="15">
        <v>1.0</v>
      </c>
      <c r="EE960" s="15">
        <v>1.0</v>
      </c>
      <c r="EG960" s="15" t="s">
        <v>444</v>
      </c>
      <c r="EH960" s="15" t="s">
        <v>1605</v>
      </c>
      <c r="EI960" s="15">
        <v>0.0</v>
      </c>
      <c r="EJ960" s="15" t="s">
        <v>726</v>
      </c>
      <c r="EK960" s="15" t="s">
        <v>727</v>
      </c>
      <c r="EL960" s="15" t="s">
        <v>2652</v>
      </c>
      <c r="EM960" s="15" t="str">
        <f>IFERROR(__xludf.DUMMYFUNCTION("""COMPUTED_VALUE"""),"{""value"":24.02,""unit"":""in""}")</f>
        <v>{"value":24.02,"unit":"in"}</v>
      </c>
      <c r="EN960" s="15" t="s">
        <v>4375</v>
      </c>
      <c r="EO960" s="15" t="s">
        <v>1324</v>
      </c>
      <c r="EP960" s="15" t="s">
        <v>1808</v>
      </c>
      <c r="EQ960" s="15" t="s">
        <v>1808</v>
      </c>
      <c r="ER960" s="15" t="s">
        <v>1808</v>
      </c>
      <c r="ES960" s="15" t="s">
        <v>1444</v>
      </c>
      <c r="ET960" s="15" t="s">
        <v>1808</v>
      </c>
      <c r="EU960" s="15" t="s">
        <v>1808</v>
      </c>
      <c r="EV960" s="15" t="s">
        <v>1808</v>
      </c>
      <c r="EW960" s="15" t="s">
        <v>2144</v>
      </c>
      <c r="EX960" s="15" t="s">
        <v>1808</v>
      </c>
      <c r="EY960" s="15" t="s">
        <v>1808</v>
      </c>
      <c r="EZ960" s="15" t="s">
        <v>9631</v>
      </c>
      <c r="FC960" s="15" t="s">
        <v>1016</v>
      </c>
      <c r="FD960" s="15" t="s">
        <v>1076</v>
      </c>
      <c r="FE960" s="15" t="s">
        <v>1239</v>
      </c>
      <c r="FF960" s="15" t="s">
        <v>1239</v>
      </c>
      <c r="FL960" s="15" t="s">
        <v>426</v>
      </c>
      <c r="FO960" s="15" t="s">
        <v>1074</v>
      </c>
      <c r="FP960" s="15" t="s">
        <v>1074</v>
      </c>
      <c r="FQ960" s="15">
        <v>0.0</v>
      </c>
      <c r="FR960" s="15">
        <v>0.0</v>
      </c>
      <c r="FT960" s="15">
        <v>0.0</v>
      </c>
      <c r="IL960" s="15" t="s">
        <v>1610</v>
      </c>
      <c r="JG960" s="15" t="s">
        <v>1955</v>
      </c>
      <c r="JH960" s="15" t="s">
        <v>9632</v>
      </c>
      <c r="JI960" s="15" t="s">
        <v>1482</v>
      </c>
      <c r="JJ960" s="15" t="s">
        <v>1076</v>
      </c>
      <c r="JK960" s="15" t="s">
        <v>426</v>
      </c>
      <c r="JU960" s="15" t="s">
        <v>1808</v>
      </c>
      <c r="JV960" s="15" t="s">
        <v>1808</v>
      </c>
      <c r="JW960" s="15" t="s">
        <v>1808</v>
      </c>
      <c r="JX960" s="15" t="s">
        <v>1808</v>
      </c>
      <c r="JY960" s="15" t="s">
        <v>1808</v>
      </c>
    </row>
    <row r="961" ht="15.75" customHeight="1">
      <c r="A961" s="14" t="s">
        <v>391</v>
      </c>
      <c r="B961" s="15" t="s">
        <v>9633</v>
      </c>
      <c r="C961" s="16"/>
      <c r="D961" s="15" t="s">
        <v>432</v>
      </c>
      <c r="G961" s="14" t="s">
        <v>393</v>
      </c>
      <c r="H961" s="14" t="s">
        <v>394</v>
      </c>
      <c r="I961" s="14" t="b">
        <v>1</v>
      </c>
      <c r="J961" s="14" t="s">
        <v>395</v>
      </c>
      <c r="L961" s="14" t="b">
        <v>0</v>
      </c>
      <c r="M961" s="15" t="s">
        <v>9634</v>
      </c>
      <c r="N961" s="14" t="s">
        <v>393</v>
      </c>
      <c r="O961" s="14" t="s">
        <v>393</v>
      </c>
      <c r="P961" s="15" t="s">
        <v>397</v>
      </c>
      <c r="Q961" s="15" t="s">
        <v>2889</v>
      </c>
      <c r="T961" s="14" t="b">
        <v>0</v>
      </c>
      <c r="U961" s="15" t="s">
        <v>9635</v>
      </c>
      <c r="V961" s="15" t="s">
        <v>6205</v>
      </c>
      <c r="W961" s="15" t="s">
        <v>401</v>
      </c>
      <c r="X961" s="15" t="s">
        <v>1296</v>
      </c>
      <c r="Y961" s="15">
        <v>1976.0</v>
      </c>
      <c r="AA961" s="15" t="str">
        <f t="shared" ref="AA961:AA964" si="1632">"760"</f>
        <v>760</v>
      </c>
      <c r="AB961" s="14" t="b">
        <v>1</v>
      </c>
      <c r="AC961" s="14" t="b">
        <v>1</v>
      </c>
      <c r="AD961" s="15" t="str">
        <f>"801542921163"</f>
        <v>801542921163</v>
      </c>
      <c r="AE961" s="15" t="s">
        <v>9636</v>
      </c>
      <c r="AF961" s="14" t="s">
        <v>404</v>
      </c>
      <c r="AG961" s="14" t="s">
        <v>405</v>
      </c>
      <c r="AH961" s="14" t="s">
        <v>406</v>
      </c>
      <c r="AI961" s="15">
        <v>0.0</v>
      </c>
      <c r="AL961" s="15" t="s">
        <v>9637</v>
      </c>
      <c r="AM961" s="15" t="s">
        <v>7426</v>
      </c>
      <c r="AN961" s="15" t="s">
        <v>7427</v>
      </c>
      <c r="AO961" s="15" t="s">
        <v>1007</v>
      </c>
      <c r="AP961" s="15" t="s">
        <v>1008</v>
      </c>
      <c r="AQ961" s="15" t="s">
        <v>1801</v>
      </c>
      <c r="AR961" s="15" t="s">
        <v>1322</v>
      </c>
      <c r="AS961" s="15" t="s">
        <v>2888</v>
      </c>
      <c r="AT961" s="15" t="s">
        <v>2889</v>
      </c>
      <c r="AU961" s="15" t="s">
        <v>2746</v>
      </c>
      <c r="AW961" s="15" t="s">
        <v>412</v>
      </c>
      <c r="AY961" s="15" t="s">
        <v>413</v>
      </c>
      <c r="AZ961" s="15" t="b">
        <v>0</v>
      </c>
      <c r="BA961" s="15" t="s">
        <v>413</v>
      </c>
      <c r="BB961" s="15" t="b">
        <v>0</v>
      </c>
      <c r="BD961" s="15" t="s">
        <v>1303</v>
      </c>
      <c r="BE961" s="15" t="str">
        <f t="shared" si="1618"/>
        <v>1</v>
      </c>
      <c r="BF961" s="15" t="s">
        <v>416</v>
      </c>
      <c r="BG961" s="15" t="str">
        <f t="shared" ref="BG961:BG964" si="1633">"63"</f>
        <v>63</v>
      </c>
      <c r="BH961" s="15" t="s">
        <v>3329</v>
      </c>
      <c r="BI961" s="15" t="str">
        <f t="shared" ref="BI961:BI964" si="1634">"21.75"</f>
        <v>21.75</v>
      </c>
      <c r="BJ961" s="15" t="s">
        <v>2878</v>
      </c>
      <c r="BK961" s="15" t="str">
        <f t="shared" ref="BK961:BK964" si="1635">"36.5"</f>
        <v>36.5</v>
      </c>
      <c r="BL961" s="15" t="s">
        <v>977</v>
      </c>
      <c r="BM961" s="15" t="str">
        <f t="shared" ref="BM961:BM964" si="1636">"206.17"</f>
        <v>206.17</v>
      </c>
      <c r="BN961" s="15" t="s">
        <v>9638</v>
      </c>
      <c r="BQ961" s="15" t="s">
        <v>444</v>
      </c>
      <c r="BS961" s="15" t="s">
        <v>444</v>
      </c>
      <c r="BU961" s="15" t="s">
        <v>444</v>
      </c>
      <c r="BW961" s="15" t="s">
        <v>444</v>
      </c>
      <c r="BZ961" s="15" t="s">
        <v>444</v>
      </c>
      <c r="CB961" s="15" t="s">
        <v>444</v>
      </c>
      <c r="CD961" s="15" t="s">
        <v>444</v>
      </c>
      <c r="CF961" s="15" t="s">
        <v>444</v>
      </c>
      <c r="CI961" s="15" t="s">
        <v>444</v>
      </c>
      <c r="CK961" s="15" t="s">
        <v>444</v>
      </c>
      <c r="CM961" s="15" t="s">
        <v>444</v>
      </c>
      <c r="CO961" s="15" t="s">
        <v>444</v>
      </c>
      <c r="CP961" s="15" t="str">
        <f t="shared" ref="CP961:CP964" si="1637">"28.96"</f>
        <v>28.96</v>
      </c>
      <c r="CQ961" s="15" t="str">
        <f t="shared" ref="CQ961:CQ964" si="1638">"0.82"</f>
        <v>0.82</v>
      </c>
      <c r="CR961" s="15" t="s">
        <v>465</v>
      </c>
      <c r="DC961" s="15" t="str">
        <f>IFERROR(__xludf.DUMMYFUNCTION("""COMPUTED_VALUE"""),"")</f>
        <v/>
      </c>
      <c r="DE961" s="15" t="str">
        <f>IFERROR(__xludf.DUMMYFUNCTION("""COMPUTED_VALUE"""),"")</f>
        <v/>
      </c>
      <c r="DG961" s="15" t="str">
        <f>IFERROR(__xludf.DUMMYFUNCTION("""COMPUTED_VALUE"""),"")</f>
        <v/>
      </c>
      <c r="DL961" s="15" t="str">
        <f>IFERROR(__xludf.DUMMYFUNCTION("""COMPUTED_VALUE"""),"")</f>
        <v/>
      </c>
      <c r="DM961" s="15" t="s">
        <v>444</v>
      </c>
      <c r="DN961" s="15" t="s">
        <v>1371</v>
      </c>
      <c r="DO961" s="15">
        <v>6.0</v>
      </c>
      <c r="DP961" s="15" t="s">
        <v>2604</v>
      </c>
      <c r="DR961" s="15">
        <v>0.0</v>
      </c>
      <c r="DT961" s="15" t="s">
        <v>1111</v>
      </c>
      <c r="DU961" s="15" t="s">
        <v>421</v>
      </c>
      <c r="DY961" s="15">
        <v>0.0</v>
      </c>
      <c r="EF961" s="15" t="s">
        <v>422</v>
      </c>
      <c r="EG961" s="15" t="s">
        <v>445</v>
      </c>
      <c r="EH961" s="15" t="s">
        <v>9639</v>
      </c>
      <c r="EJ961" s="15" t="s">
        <v>500</v>
      </c>
      <c r="EK961" s="15" t="s">
        <v>501</v>
      </c>
      <c r="EM961" s="15" t="str">
        <f>IFERROR(__xludf.DUMMYFUNCTION("""COMPUTED_VALUE"""),"")</f>
        <v/>
      </c>
      <c r="EW961" s="15" t="s">
        <v>2603</v>
      </c>
      <c r="FL961" s="15" t="s">
        <v>426</v>
      </c>
      <c r="FM961" s="15">
        <v>0.0</v>
      </c>
      <c r="GH961" s="15">
        <v>0.0</v>
      </c>
      <c r="GI961" s="15" t="s">
        <v>427</v>
      </c>
      <c r="GQ961" s="15" t="s">
        <v>2968</v>
      </c>
      <c r="GS961" s="15" t="s">
        <v>4440</v>
      </c>
      <c r="GU961" s="15" t="s">
        <v>3361</v>
      </c>
      <c r="GW961" s="15" t="s">
        <v>431</v>
      </c>
      <c r="GY961" s="15" t="s">
        <v>1190</v>
      </c>
      <c r="GZ961" s="15" t="s">
        <v>426</v>
      </c>
    </row>
    <row r="962" ht="15.75" customHeight="1">
      <c r="A962" s="14" t="s">
        <v>391</v>
      </c>
      <c r="B962" s="15" t="s">
        <v>9633</v>
      </c>
      <c r="C962" s="16"/>
      <c r="D962" s="15" t="s">
        <v>432</v>
      </c>
      <c r="G962" s="14" t="s">
        <v>393</v>
      </c>
      <c r="H962" s="14" t="s">
        <v>394</v>
      </c>
      <c r="I962" s="14" t="b">
        <v>1</v>
      </c>
      <c r="J962" s="14" t="s">
        <v>395</v>
      </c>
      <c r="L962" s="14" t="b">
        <v>0</v>
      </c>
      <c r="M962" s="15" t="s">
        <v>9640</v>
      </c>
      <c r="N962" s="14" t="s">
        <v>393</v>
      </c>
      <c r="O962" s="14" t="s">
        <v>393</v>
      </c>
      <c r="P962" s="15" t="s">
        <v>397</v>
      </c>
      <c r="Q962" s="15" t="s">
        <v>2904</v>
      </c>
      <c r="T962" s="14" t="b">
        <v>0</v>
      </c>
      <c r="U962" s="15" t="s">
        <v>9641</v>
      </c>
      <c r="V962" s="15" t="s">
        <v>6205</v>
      </c>
      <c r="W962" s="15" t="s">
        <v>401</v>
      </c>
      <c r="X962" s="15" t="s">
        <v>1296</v>
      </c>
      <c r="Y962" s="15">
        <v>1976.0</v>
      </c>
      <c r="AA962" s="15" t="str">
        <f t="shared" si="1632"/>
        <v>760</v>
      </c>
      <c r="AB962" s="14" t="b">
        <v>1</v>
      </c>
      <c r="AC962" s="14" t="b">
        <v>1</v>
      </c>
      <c r="AD962" s="15" t="str">
        <f>"801542921170"</f>
        <v>801542921170</v>
      </c>
      <c r="AE962" s="15" t="s">
        <v>9642</v>
      </c>
      <c r="AF962" s="14" t="s">
        <v>404</v>
      </c>
      <c r="AG962" s="14" t="s">
        <v>405</v>
      </c>
      <c r="AH962" s="14" t="s">
        <v>406</v>
      </c>
      <c r="AI962" s="15">
        <v>0.0</v>
      </c>
      <c r="AL962" s="15" t="s">
        <v>9637</v>
      </c>
      <c r="AM962" s="15" t="s">
        <v>7426</v>
      </c>
      <c r="AN962" s="15" t="s">
        <v>7427</v>
      </c>
      <c r="AO962" s="15" t="s">
        <v>1007</v>
      </c>
      <c r="AP962" s="15" t="s">
        <v>1008</v>
      </c>
      <c r="AQ962" s="15" t="s">
        <v>1801</v>
      </c>
      <c r="AR962" s="15" t="s">
        <v>1322</v>
      </c>
      <c r="AS962" s="15" t="s">
        <v>2888</v>
      </c>
      <c r="AT962" s="15" t="s">
        <v>2904</v>
      </c>
      <c r="AU962" s="15" t="s">
        <v>2901</v>
      </c>
      <c r="AW962" s="15" t="s">
        <v>412</v>
      </c>
      <c r="AY962" s="15" t="s">
        <v>413</v>
      </c>
      <c r="AZ962" s="15" t="b">
        <v>0</v>
      </c>
      <c r="BA962" s="15" t="s">
        <v>413</v>
      </c>
      <c r="BB962" s="15" t="b">
        <v>0</v>
      </c>
      <c r="BC962" s="15" t="s">
        <v>9643</v>
      </c>
      <c r="BD962" s="15" t="s">
        <v>1303</v>
      </c>
      <c r="BE962" s="15" t="str">
        <f t="shared" si="1618"/>
        <v>1</v>
      </c>
      <c r="BF962" s="15" t="s">
        <v>416</v>
      </c>
      <c r="BG962" s="15" t="str">
        <f t="shared" si="1633"/>
        <v>63</v>
      </c>
      <c r="BH962" s="15" t="s">
        <v>3329</v>
      </c>
      <c r="BI962" s="15" t="str">
        <f t="shared" si="1634"/>
        <v>21.75</v>
      </c>
      <c r="BJ962" s="15" t="s">
        <v>2878</v>
      </c>
      <c r="BK962" s="15" t="str">
        <f t="shared" si="1635"/>
        <v>36.5</v>
      </c>
      <c r="BL962" s="15" t="s">
        <v>977</v>
      </c>
      <c r="BM962" s="15" t="str">
        <f t="shared" si="1636"/>
        <v>206.17</v>
      </c>
      <c r="BN962" s="15" t="s">
        <v>9638</v>
      </c>
      <c r="BQ962" s="15" t="s">
        <v>444</v>
      </c>
      <c r="BS962" s="15" t="s">
        <v>444</v>
      </c>
      <c r="BU962" s="15" t="s">
        <v>444</v>
      </c>
      <c r="BW962" s="15" t="s">
        <v>444</v>
      </c>
      <c r="BZ962" s="15" t="s">
        <v>444</v>
      </c>
      <c r="CB962" s="15" t="s">
        <v>444</v>
      </c>
      <c r="CD962" s="15" t="s">
        <v>444</v>
      </c>
      <c r="CF962" s="15" t="s">
        <v>444</v>
      </c>
      <c r="CI962" s="15" t="s">
        <v>444</v>
      </c>
      <c r="CK962" s="15" t="s">
        <v>444</v>
      </c>
      <c r="CM962" s="15" t="s">
        <v>444</v>
      </c>
      <c r="CO962" s="15" t="s">
        <v>444</v>
      </c>
      <c r="CP962" s="15" t="str">
        <f t="shared" si="1637"/>
        <v>28.96</v>
      </c>
      <c r="CQ962" s="15" t="str">
        <f t="shared" si="1638"/>
        <v>0.82</v>
      </c>
      <c r="CR962" s="15" t="s">
        <v>497</v>
      </c>
      <c r="DC962" s="15" t="str">
        <f>IFERROR(__xludf.DUMMYFUNCTION("""COMPUTED_VALUE"""),"")</f>
        <v/>
      </c>
      <c r="DE962" s="15" t="str">
        <f>IFERROR(__xludf.DUMMYFUNCTION("""COMPUTED_VALUE"""),"")</f>
        <v/>
      </c>
      <c r="DG962" s="15" t="str">
        <f>IFERROR(__xludf.DUMMYFUNCTION("""COMPUTED_VALUE"""),"")</f>
        <v/>
      </c>
      <c r="DL962" s="15" t="str">
        <f>IFERROR(__xludf.DUMMYFUNCTION("""COMPUTED_VALUE"""),"")</f>
        <v/>
      </c>
      <c r="DM962" s="15" t="s">
        <v>444</v>
      </c>
      <c r="DN962" s="15" t="s">
        <v>1371</v>
      </c>
      <c r="DO962" s="15">
        <v>6.0</v>
      </c>
      <c r="DP962" s="15" t="s">
        <v>2604</v>
      </c>
      <c r="DR962" s="15">
        <v>0.0</v>
      </c>
      <c r="DT962" s="15" t="s">
        <v>1111</v>
      </c>
      <c r="DU962" s="15" t="s">
        <v>421</v>
      </c>
      <c r="DY962" s="15">
        <v>0.0</v>
      </c>
      <c r="EF962" s="15" t="s">
        <v>422</v>
      </c>
      <c r="EG962" s="15" t="s">
        <v>445</v>
      </c>
      <c r="EH962" s="15" t="s">
        <v>9639</v>
      </c>
      <c r="EJ962" s="15" t="s">
        <v>500</v>
      </c>
      <c r="EK962" s="15" t="s">
        <v>501</v>
      </c>
      <c r="EM962" s="15" t="str">
        <f>IFERROR(__xludf.DUMMYFUNCTION("""COMPUTED_VALUE"""),"")</f>
        <v/>
      </c>
      <c r="EW962" s="15" t="s">
        <v>2603</v>
      </c>
      <c r="FL962" s="15" t="s">
        <v>426</v>
      </c>
      <c r="FM962" s="15">
        <v>0.0</v>
      </c>
      <c r="GH962" s="15">
        <v>0.0</v>
      </c>
      <c r="GI962" s="15" t="s">
        <v>427</v>
      </c>
      <c r="GQ962" s="15" t="s">
        <v>2968</v>
      </c>
      <c r="GS962" s="15" t="s">
        <v>4440</v>
      </c>
      <c r="GU962" s="15" t="s">
        <v>3361</v>
      </c>
      <c r="GW962" s="15" t="s">
        <v>431</v>
      </c>
      <c r="GY962" s="15" t="s">
        <v>1190</v>
      </c>
      <c r="GZ962" s="15" t="s">
        <v>426</v>
      </c>
    </row>
    <row r="963" ht="15.75" customHeight="1">
      <c r="A963" s="14" t="s">
        <v>391</v>
      </c>
      <c r="B963" s="15" t="s">
        <v>9633</v>
      </c>
      <c r="C963" s="16"/>
      <c r="D963" s="15" t="s">
        <v>432</v>
      </c>
      <c r="G963" s="14" t="s">
        <v>393</v>
      </c>
      <c r="H963" s="14" t="s">
        <v>394</v>
      </c>
      <c r="I963" s="14" t="b">
        <v>1</v>
      </c>
      <c r="J963" s="14" t="s">
        <v>395</v>
      </c>
      <c r="L963" s="14" t="b">
        <v>0</v>
      </c>
      <c r="M963" s="15" t="s">
        <v>9644</v>
      </c>
      <c r="N963" s="14" t="s">
        <v>393</v>
      </c>
      <c r="O963" s="14" t="s">
        <v>393</v>
      </c>
      <c r="P963" s="15" t="s">
        <v>397</v>
      </c>
      <c r="Q963" s="15" t="s">
        <v>2907</v>
      </c>
      <c r="T963" s="14" t="b">
        <v>0</v>
      </c>
      <c r="U963" s="15" t="s">
        <v>9645</v>
      </c>
      <c r="V963" s="15" t="s">
        <v>6205</v>
      </c>
      <c r="W963" s="15" t="s">
        <v>401</v>
      </c>
      <c r="X963" s="15" t="s">
        <v>1296</v>
      </c>
      <c r="Y963" s="15">
        <v>1976.0</v>
      </c>
      <c r="AA963" s="15" t="str">
        <f t="shared" si="1632"/>
        <v>760</v>
      </c>
      <c r="AB963" s="14" t="b">
        <v>1</v>
      </c>
      <c r="AC963" s="14" t="b">
        <v>1</v>
      </c>
      <c r="AD963" s="15" t="str">
        <f>"801542921187"</f>
        <v>801542921187</v>
      </c>
      <c r="AE963" s="15" t="s">
        <v>9646</v>
      </c>
      <c r="AF963" s="14" t="s">
        <v>404</v>
      </c>
      <c r="AG963" s="14" t="s">
        <v>405</v>
      </c>
      <c r="AH963" s="14" t="s">
        <v>406</v>
      </c>
      <c r="AI963" s="15">
        <v>0.0</v>
      </c>
      <c r="AL963" s="15" t="s">
        <v>9637</v>
      </c>
      <c r="AM963" s="15" t="s">
        <v>7426</v>
      </c>
      <c r="AN963" s="15" t="s">
        <v>7427</v>
      </c>
      <c r="AO963" s="15" t="s">
        <v>1007</v>
      </c>
      <c r="AP963" s="15" t="s">
        <v>1008</v>
      </c>
      <c r="AQ963" s="15" t="s">
        <v>1801</v>
      </c>
      <c r="AR963" s="15" t="s">
        <v>1322</v>
      </c>
      <c r="AS963" s="15" t="s">
        <v>2888</v>
      </c>
      <c r="AT963" s="15" t="s">
        <v>2910</v>
      </c>
      <c r="AU963" s="15" t="s">
        <v>2907</v>
      </c>
      <c r="AW963" s="15" t="s">
        <v>412</v>
      </c>
      <c r="AY963" s="15" t="s">
        <v>426</v>
      </c>
      <c r="AZ963" s="15" t="b">
        <v>1</v>
      </c>
      <c r="BA963" s="15" t="s">
        <v>413</v>
      </c>
      <c r="BB963" s="15" t="b">
        <v>0</v>
      </c>
      <c r="BC963" s="15" t="s">
        <v>9647</v>
      </c>
      <c r="BD963" s="15" t="s">
        <v>1303</v>
      </c>
      <c r="BE963" s="15" t="str">
        <f t="shared" si="1618"/>
        <v>1</v>
      </c>
      <c r="BF963" s="15" t="s">
        <v>416</v>
      </c>
      <c r="BG963" s="15" t="str">
        <f t="shared" si="1633"/>
        <v>63</v>
      </c>
      <c r="BH963" s="15" t="s">
        <v>3329</v>
      </c>
      <c r="BI963" s="15" t="str">
        <f t="shared" si="1634"/>
        <v>21.75</v>
      </c>
      <c r="BJ963" s="15" t="s">
        <v>2878</v>
      </c>
      <c r="BK963" s="15" t="str">
        <f t="shared" si="1635"/>
        <v>36.5</v>
      </c>
      <c r="BL963" s="15" t="s">
        <v>977</v>
      </c>
      <c r="BM963" s="15" t="str">
        <f t="shared" si="1636"/>
        <v>206.17</v>
      </c>
      <c r="BN963" s="15" t="s">
        <v>9638</v>
      </c>
      <c r="BQ963" s="15" t="s">
        <v>444</v>
      </c>
      <c r="BS963" s="15" t="s">
        <v>444</v>
      </c>
      <c r="BU963" s="15" t="s">
        <v>444</v>
      </c>
      <c r="BW963" s="15" t="s">
        <v>444</v>
      </c>
      <c r="BZ963" s="15" t="s">
        <v>444</v>
      </c>
      <c r="CB963" s="15" t="s">
        <v>444</v>
      </c>
      <c r="CD963" s="15" t="s">
        <v>444</v>
      </c>
      <c r="CF963" s="15" t="s">
        <v>444</v>
      </c>
      <c r="CI963" s="15" t="s">
        <v>444</v>
      </c>
      <c r="CK963" s="15" t="s">
        <v>444</v>
      </c>
      <c r="CM963" s="15" t="s">
        <v>444</v>
      </c>
      <c r="CO963" s="15" t="s">
        <v>444</v>
      </c>
      <c r="CP963" s="15" t="str">
        <f t="shared" si="1637"/>
        <v>28.96</v>
      </c>
      <c r="CQ963" s="15" t="str">
        <f t="shared" si="1638"/>
        <v>0.82</v>
      </c>
      <c r="CR963" s="15" t="s">
        <v>497</v>
      </c>
      <c r="DC963" s="15" t="str">
        <f>IFERROR(__xludf.DUMMYFUNCTION("""COMPUTED_VALUE"""),"")</f>
        <v/>
      </c>
      <c r="DE963" s="15" t="str">
        <f>IFERROR(__xludf.DUMMYFUNCTION("""COMPUTED_VALUE"""),"")</f>
        <v/>
      </c>
      <c r="DG963" s="15" t="str">
        <f>IFERROR(__xludf.DUMMYFUNCTION("""COMPUTED_VALUE"""),"")</f>
        <v/>
      </c>
      <c r="DL963" s="15" t="str">
        <f>IFERROR(__xludf.DUMMYFUNCTION("""COMPUTED_VALUE"""),"")</f>
        <v/>
      </c>
      <c r="DM963" s="15" t="s">
        <v>444</v>
      </c>
      <c r="DN963" s="15" t="s">
        <v>1371</v>
      </c>
      <c r="DO963" s="15">
        <v>6.0</v>
      </c>
      <c r="DP963" s="15" t="s">
        <v>2604</v>
      </c>
      <c r="DR963" s="15">
        <v>0.0</v>
      </c>
      <c r="DT963" s="15" t="s">
        <v>1111</v>
      </c>
      <c r="DU963" s="15" t="s">
        <v>421</v>
      </c>
      <c r="DY963" s="15">
        <v>0.0</v>
      </c>
      <c r="EF963" s="15" t="s">
        <v>422</v>
      </c>
      <c r="EG963" s="15" t="s">
        <v>445</v>
      </c>
      <c r="EH963" s="15" t="s">
        <v>9639</v>
      </c>
      <c r="EJ963" s="15" t="s">
        <v>500</v>
      </c>
      <c r="EK963" s="15" t="s">
        <v>501</v>
      </c>
      <c r="EM963" s="15" t="str">
        <f>IFERROR(__xludf.DUMMYFUNCTION("""COMPUTED_VALUE"""),"")</f>
        <v/>
      </c>
      <c r="EW963" s="15" t="s">
        <v>2603</v>
      </c>
      <c r="FL963" s="15" t="s">
        <v>426</v>
      </c>
      <c r="FM963" s="15">
        <v>0.0</v>
      </c>
      <c r="GH963" s="15">
        <v>0.0</v>
      </c>
      <c r="GI963" s="15" t="s">
        <v>427</v>
      </c>
      <c r="GQ963" s="15" t="s">
        <v>2968</v>
      </c>
      <c r="GS963" s="15" t="s">
        <v>4440</v>
      </c>
      <c r="GU963" s="15" t="s">
        <v>3361</v>
      </c>
      <c r="GW963" s="15" t="s">
        <v>431</v>
      </c>
      <c r="GY963" s="15" t="s">
        <v>1190</v>
      </c>
      <c r="GZ963" s="15" t="s">
        <v>426</v>
      </c>
    </row>
    <row r="964" ht="15.75" customHeight="1">
      <c r="A964" s="14" t="s">
        <v>391</v>
      </c>
      <c r="B964" s="15" t="s">
        <v>9633</v>
      </c>
      <c r="C964" s="16"/>
      <c r="D964" s="15" t="s">
        <v>432</v>
      </c>
      <c r="G964" s="14" t="s">
        <v>393</v>
      </c>
      <c r="H964" s="14" t="s">
        <v>394</v>
      </c>
      <c r="I964" s="14" t="b">
        <v>1</v>
      </c>
      <c r="J964" s="14" t="s">
        <v>395</v>
      </c>
      <c r="L964" s="14" t="b">
        <v>0</v>
      </c>
      <c r="M964" s="15" t="s">
        <v>9648</v>
      </c>
      <c r="N964" s="14" t="s">
        <v>393</v>
      </c>
      <c r="O964" s="14" t="s">
        <v>393</v>
      </c>
      <c r="P964" s="15" t="s">
        <v>397</v>
      </c>
      <c r="Q964" s="15" t="s">
        <v>2746</v>
      </c>
      <c r="T964" s="14" t="b">
        <v>0</v>
      </c>
      <c r="U964" s="15" t="s">
        <v>9649</v>
      </c>
      <c r="V964" s="15" t="s">
        <v>6205</v>
      </c>
      <c r="W964" s="15" t="s">
        <v>401</v>
      </c>
      <c r="X964" s="15" t="s">
        <v>1296</v>
      </c>
      <c r="Y964" s="15">
        <v>1976.0</v>
      </c>
      <c r="AA964" s="15" t="str">
        <f t="shared" si="1632"/>
        <v>760</v>
      </c>
      <c r="AB964" s="14" t="b">
        <v>1</v>
      </c>
      <c r="AC964" s="14" t="b">
        <v>1</v>
      </c>
      <c r="AD964" s="15" t="str">
        <f>"801542921156"</f>
        <v>801542921156</v>
      </c>
      <c r="AE964" s="15" t="s">
        <v>9650</v>
      </c>
      <c r="AF964" s="14" t="s">
        <v>404</v>
      </c>
      <c r="AG964" s="14" t="s">
        <v>405</v>
      </c>
      <c r="AH964" s="14" t="s">
        <v>406</v>
      </c>
      <c r="AI964" s="15">
        <v>0.0</v>
      </c>
      <c r="AL964" s="15" t="s">
        <v>9637</v>
      </c>
      <c r="AM964" s="15" t="s">
        <v>7426</v>
      </c>
      <c r="AN964" s="15" t="s">
        <v>7427</v>
      </c>
      <c r="AO964" s="15" t="s">
        <v>1007</v>
      </c>
      <c r="AP964" s="15" t="s">
        <v>1008</v>
      </c>
      <c r="AQ964" s="15" t="s">
        <v>1801</v>
      </c>
      <c r="AR964" s="15" t="s">
        <v>1322</v>
      </c>
      <c r="AS964" s="15" t="s">
        <v>2888</v>
      </c>
      <c r="AT964" s="15" t="s">
        <v>2910</v>
      </c>
      <c r="AU964" s="15" t="s">
        <v>2746</v>
      </c>
      <c r="AW964" s="15" t="s">
        <v>412</v>
      </c>
      <c r="AY964" s="15" t="s">
        <v>413</v>
      </c>
      <c r="AZ964" s="15" t="b">
        <v>0</v>
      </c>
      <c r="BA964" s="15" t="s">
        <v>413</v>
      </c>
      <c r="BB964" s="15" t="b">
        <v>0</v>
      </c>
      <c r="BC964" s="15" t="s">
        <v>9651</v>
      </c>
      <c r="BD964" s="15" t="s">
        <v>1303</v>
      </c>
      <c r="BE964" s="15" t="str">
        <f t="shared" si="1618"/>
        <v>1</v>
      </c>
      <c r="BF964" s="15" t="s">
        <v>416</v>
      </c>
      <c r="BG964" s="15" t="str">
        <f t="shared" si="1633"/>
        <v>63</v>
      </c>
      <c r="BH964" s="15" t="s">
        <v>3329</v>
      </c>
      <c r="BI964" s="15" t="str">
        <f t="shared" si="1634"/>
        <v>21.75</v>
      </c>
      <c r="BJ964" s="15" t="s">
        <v>2878</v>
      </c>
      <c r="BK964" s="15" t="str">
        <f t="shared" si="1635"/>
        <v>36.5</v>
      </c>
      <c r="BL964" s="15" t="s">
        <v>977</v>
      </c>
      <c r="BM964" s="15" t="str">
        <f t="shared" si="1636"/>
        <v>206.17</v>
      </c>
      <c r="BN964" s="15" t="s">
        <v>9638</v>
      </c>
      <c r="BQ964" s="15" t="s">
        <v>444</v>
      </c>
      <c r="BS964" s="15" t="s">
        <v>444</v>
      </c>
      <c r="BU964" s="15" t="s">
        <v>444</v>
      </c>
      <c r="BW964" s="15" t="s">
        <v>444</v>
      </c>
      <c r="BZ964" s="15" t="s">
        <v>444</v>
      </c>
      <c r="CB964" s="15" t="s">
        <v>444</v>
      </c>
      <c r="CD964" s="15" t="s">
        <v>444</v>
      </c>
      <c r="CF964" s="15" t="s">
        <v>444</v>
      </c>
      <c r="CI964" s="15" t="s">
        <v>444</v>
      </c>
      <c r="CK964" s="15" t="s">
        <v>444</v>
      </c>
      <c r="CM964" s="15" t="s">
        <v>444</v>
      </c>
      <c r="CO964" s="15" t="s">
        <v>444</v>
      </c>
      <c r="CP964" s="15" t="str">
        <f t="shared" si="1637"/>
        <v>28.96</v>
      </c>
      <c r="CQ964" s="15" t="str">
        <f t="shared" si="1638"/>
        <v>0.82</v>
      </c>
      <c r="CR964" s="15" t="s">
        <v>417</v>
      </c>
      <c r="DC964" s="15" t="str">
        <f>IFERROR(__xludf.DUMMYFUNCTION("""COMPUTED_VALUE"""),"")</f>
        <v/>
      </c>
      <c r="DE964" s="15" t="str">
        <f>IFERROR(__xludf.DUMMYFUNCTION("""COMPUTED_VALUE"""),"")</f>
        <v/>
      </c>
      <c r="DG964" s="15" t="str">
        <f>IFERROR(__xludf.DUMMYFUNCTION("""COMPUTED_VALUE"""),"")</f>
        <v/>
      </c>
      <c r="DL964" s="15" t="str">
        <f>IFERROR(__xludf.DUMMYFUNCTION("""COMPUTED_VALUE"""),"")</f>
        <v/>
      </c>
      <c r="DM964" s="15" t="s">
        <v>444</v>
      </c>
      <c r="DN964" s="15" t="s">
        <v>1371</v>
      </c>
      <c r="DO964" s="15">
        <v>6.0</v>
      </c>
      <c r="DP964" s="15" t="s">
        <v>2604</v>
      </c>
      <c r="DR964" s="15">
        <v>0.0</v>
      </c>
      <c r="DT964" s="15" t="s">
        <v>1111</v>
      </c>
      <c r="DU964" s="15" t="s">
        <v>421</v>
      </c>
      <c r="DY964" s="15">
        <v>0.0</v>
      </c>
      <c r="EF964" s="15" t="s">
        <v>422</v>
      </c>
      <c r="EG964" s="15" t="s">
        <v>445</v>
      </c>
      <c r="EH964" s="15" t="s">
        <v>9639</v>
      </c>
      <c r="EJ964" s="15" t="s">
        <v>500</v>
      </c>
      <c r="EK964" s="15" t="s">
        <v>501</v>
      </c>
      <c r="EM964" s="15" t="str">
        <f>IFERROR(__xludf.DUMMYFUNCTION("""COMPUTED_VALUE"""),"")</f>
        <v/>
      </c>
      <c r="EW964" s="15" t="s">
        <v>2603</v>
      </c>
      <c r="FL964" s="15" t="s">
        <v>426</v>
      </c>
      <c r="FM964" s="15">
        <v>0.0</v>
      </c>
      <c r="GH964" s="15">
        <v>0.0</v>
      </c>
      <c r="GI964" s="15" t="s">
        <v>427</v>
      </c>
      <c r="GQ964" s="15" t="s">
        <v>2968</v>
      </c>
      <c r="GS964" s="15" t="s">
        <v>4440</v>
      </c>
      <c r="GU964" s="15" t="s">
        <v>3361</v>
      </c>
      <c r="GW964" s="15" t="s">
        <v>431</v>
      </c>
      <c r="GY964" s="15" t="s">
        <v>1190</v>
      </c>
      <c r="GZ964" s="15" t="s">
        <v>426</v>
      </c>
    </row>
    <row r="965" ht="15.75" customHeight="1">
      <c r="A965" s="14" t="s">
        <v>391</v>
      </c>
      <c r="B965" s="15" t="s">
        <v>9652</v>
      </c>
      <c r="C965" s="16"/>
      <c r="D965" s="15" t="s">
        <v>432</v>
      </c>
      <c r="G965" s="14" t="s">
        <v>393</v>
      </c>
      <c r="H965" s="14" t="s">
        <v>394</v>
      </c>
      <c r="I965" s="14" t="b">
        <v>1</v>
      </c>
      <c r="J965" s="14" t="s">
        <v>395</v>
      </c>
      <c r="L965" s="14" t="b">
        <v>0</v>
      </c>
      <c r="M965" s="15" t="s">
        <v>9653</v>
      </c>
      <c r="N965" s="14" t="s">
        <v>393</v>
      </c>
      <c r="O965" s="14" t="s">
        <v>393</v>
      </c>
      <c r="P965" s="15" t="s">
        <v>397</v>
      </c>
      <c r="Q965" s="15" t="s">
        <v>2889</v>
      </c>
      <c r="R965" s="15" t="s">
        <v>265</v>
      </c>
      <c r="S965" s="15" t="s">
        <v>877</v>
      </c>
      <c r="T965" s="14" t="b">
        <v>0</v>
      </c>
      <c r="U965" s="15" t="s">
        <v>9654</v>
      </c>
      <c r="V965" s="15" t="s">
        <v>9655</v>
      </c>
      <c r="W965" s="15" t="s">
        <v>401</v>
      </c>
      <c r="X965" s="15" t="s">
        <v>1296</v>
      </c>
      <c r="Y965" s="15">
        <v>1859.0</v>
      </c>
      <c r="AA965" s="15" t="str">
        <f>"715"</f>
        <v>715</v>
      </c>
      <c r="AB965" s="14" t="b">
        <v>1</v>
      </c>
      <c r="AC965" s="14" t="b">
        <v>1</v>
      </c>
      <c r="AD965" s="15" t="str">
        <f>"801542313494"</f>
        <v>801542313494</v>
      </c>
      <c r="AE965" s="15" t="s">
        <v>9656</v>
      </c>
      <c r="AF965" s="14" t="s">
        <v>404</v>
      </c>
      <c r="AG965" s="14" t="s">
        <v>405</v>
      </c>
      <c r="AH965" s="14" t="s">
        <v>406</v>
      </c>
      <c r="AI965" s="15">
        <v>0.0</v>
      </c>
      <c r="AL965" s="15" t="s">
        <v>9657</v>
      </c>
      <c r="AM965" s="15" t="s">
        <v>9658</v>
      </c>
      <c r="AN965" s="15" t="s">
        <v>9659</v>
      </c>
      <c r="AO965" s="15" t="s">
        <v>9660</v>
      </c>
      <c r="AP965" s="15" t="s">
        <v>9661</v>
      </c>
      <c r="AQ965" s="15" t="s">
        <v>4108</v>
      </c>
      <c r="AR965" s="15" t="s">
        <v>4109</v>
      </c>
      <c r="AS965" s="15" t="s">
        <v>2888</v>
      </c>
      <c r="AT965" s="15" t="s">
        <v>2746</v>
      </c>
      <c r="AU965" s="15" t="s">
        <v>2889</v>
      </c>
      <c r="AW965" s="15" t="s">
        <v>839</v>
      </c>
      <c r="AX965" s="15" t="s">
        <v>877</v>
      </c>
      <c r="AY965" s="15" t="s">
        <v>413</v>
      </c>
      <c r="AZ965" s="15" t="b">
        <v>0</v>
      </c>
      <c r="BA965" s="15" t="s">
        <v>413</v>
      </c>
      <c r="BB965" s="15" t="b">
        <v>0</v>
      </c>
      <c r="BC965" s="15" t="s">
        <v>9662</v>
      </c>
      <c r="BD965" s="15" t="s">
        <v>1303</v>
      </c>
      <c r="BE965" s="15" t="str">
        <f t="shared" ref="BE965:BE970" si="1639">"2"</f>
        <v>2</v>
      </c>
      <c r="BF965" s="15" t="s">
        <v>3018</v>
      </c>
      <c r="BG965" s="15" t="str">
        <f>"67"</f>
        <v>67</v>
      </c>
      <c r="BH965" s="15" t="s">
        <v>4011</v>
      </c>
      <c r="BI965" s="15" t="str">
        <f t="shared" ref="BI965:BI970" si="1640">"7.5"</f>
        <v>7.5</v>
      </c>
      <c r="BJ965" s="15" t="s">
        <v>2566</v>
      </c>
      <c r="BK965" s="15" t="str">
        <f t="shared" ref="BK965:BK970" si="1641">"50.75"</f>
        <v>50.75</v>
      </c>
      <c r="BL965" s="15" t="s">
        <v>2702</v>
      </c>
      <c r="BM965" s="15" t="str">
        <f>"91.49"</f>
        <v>91.49</v>
      </c>
      <c r="BN965" s="15" t="s">
        <v>6330</v>
      </c>
      <c r="BO965" s="15" t="s">
        <v>9663</v>
      </c>
      <c r="BP965" s="15" t="str">
        <f t="shared" ref="BP965:BP966" si="1642">"83"</f>
        <v>83</v>
      </c>
      <c r="BQ965" s="15" t="s">
        <v>9661</v>
      </c>
      <c r="BR965" s="15" t="str">
        <f t="shared" ref="BR965:BR966" si="1643">"11.75"</f>
        <v>11.75</v>
      </c>
      <c r="BS965" s="15" t="s">
        <v>812</v>
      </c>
      <c r="BT965" s="15" t="str">
        <f t="shared" ref="BT965:BT966" si="1644">"12.5"</f>
        <v>12.5</v>
      </c>
      <c r="BU965" s="15" t="s">
        <v>9664</v>
      </c>
      <c r="BV965" s="15" t="str">
        <f>"110.89"</f>
        <v>110.89</v>
      </c>
      <c r="BW965" s="15" t="s">
        <v>9665</v>
      </c>
      <c r="BZ965" s="15" t="s">
        <v>444</v>
      </c>
      <c r="CB965" s="15" t="s">
        <v>444</v>
      </c>
      <c r="CD965" s="15" t="s">
        <v>444</v>
      </c>
      <c r="CF965" s="15" t="s">
        <v>444</v>
      </c>
      <c r="CI965" s="15" t="s">
        <v>444</v>
      </c>
      <c r="CK965" s="15" t="s">
        <v>444</v>
      </c>
      <c r="CM965" s="15" t="s">
        <v>444</v>
      </c>
      <c r="CO965" s="15" t="s">
        <v>444</v>
      </c>
      <c r="CP965" s="15" t="str">
        <f>"21.82"</f>
        <v>21.82</v>
      </c>
      <c r="CQ965" s="15" t="str">
        <f>"0.618"</f>
        <v>0.618</v>
      </c>
      <c r="CR965" s="15" t="s">
        <v>465</v>
      </c>
      <c r="DC965" s="15" t="str">
        <f>IFERROR(__xludf.DUMMYFUNCTION("""COMPUTED_VALUE"""),"")</f>
        <v/>
      </c>
      <c r="DE965" s="15" t="str">
        <f>IFERROR(__xludf.DUMMYFUNCTION("""COMPUTED_VALUE"""),"")</f>
        <v/>
      </c>
      <c r="DG965" s="15" t="str">
        <f>IFERROR(__xludf.DUMMYFUNCTION("""COMPUTED_VALUE"""),"")</f>
        <v/>
      </c>
      <c r="DL965" s="15" t="str">
        <f>IFERROR(__xludf.DUMMYFUNCTION("""COMPUTED_VALUE"""),"")</f>
        <v/>
      </c>
      <c r="DM965" s="15" t="s">
        <v>444</v>
      </c>
      <c r="DN965" s="15" t="s">
        <v>419</v>
      </c>
      <c r="DO965" s="15">
        <v>0.0</v>
      </c>
      <c r="DP965" s="15" t="s">
        <v>419</v>
      </c>
      <c r="DR965" s="15">
        <v>0.0</v>
      </c>
      <c r="DT965" s="15" t="s">
        <v>1111</v>
      </c>
      <c r="DU965" s="15" t="s">
        <v>419</v>
      </c>
      <c r="DW965" s="15">
        <v>0.0</v>
      </c>
      <c r="DX965" s="15">
        <v>0.0</v>
      </c>
      <c r="DY965" s="15">
        <v>0.0</v>
      </c>
      <c r="EG965" s="15" t="s">
        <v>444</v>
      </c>
      <c r="EH965" s="15" t="s">
        <v>9639</v>
      </c>
      <c r="EJ965" s="15" t="s">
        <v>858</v>
      </c>
      <c r="EK965" s="15" t="s">
        <v>859</v>
      </c>
      <c r="EM965" s="15" t="str">
        <f>IFERROR(__xludf.DUMMYFUNCTION("""COMPUTED_VALUE"""),"")</f>
        <v/>
      </c>
      <c r="FM965" s="15">
        <v>0.0</v>
      </c>
      <c r="IM965" s="15" t="s">
        <v>5481</v>
      </c>
      <c r="IN965" s="15" t="s">
        <v>5481</v>
      </c>
      <c r="IO965" s="15" t="s">
        <v>5481</v>
      </c>
      <c r="IP965" s="15" t="s">
        <v>9666</v>
      </c>
      <c r="IQ965" s="15" t="s">
        <v>784</v>
      </c>
      <c r="IR965" s="15" t="s">
        <v>7092</v>
      </c>
      <c r="IS965" s="15" t="s">
        <v>4653</v>
      </c>
      <c r="IT965" s="15" t="s">
        <v>784</v>
      </c>
      <c r="IU965" s="15" t="s">
        <v>7092</v>
      </c>
      <c r="IV965" s="15" t="s">
        <v>5321</v>
      </c>
      <c r="IW965" s="15" t="s">
        <v>2969</v>
      </c>
      <c r="IX965" s="15" t="s">
        <v>2388</v>
      </c>
      <c r="IY965" s="15" t="s">
        <v>714</v>
      </c>
      <c r="IZ965" s="15" t="s">
        <v>5321</v>
      </c>
      <c r="JA965" s="15" t="s">
        <v>1042</v>
      </c>
      <c r="JB965" s="15" t="s">
        <v>426</v>
      </c>
      <c r="JC965" s="15" t="s">
        <v>2973</v>
      </c>
      <c r="JD965" s="15" t="s">
        <v>6794</v>
      </c>
      <c r="JE965" s="15" t="s">
        <v>873</v>
      </c>
      <c r="JF965" s="15" t="s">
        <v>877</v>
      </c>
      <c r="JL965" s="15" t="s">
        <v>7777</v>
      </c>
      <c r="JM965" s="15" t="s">
        <v>822</v>
      </c>
      <c r="JN965" s="15" t="s">
        <v>784</v>
      </c>
      <c r="JO965" s="15" t="s">
        <v>426</v>
      </c>
      <c r="JP965" s="15" t="s">
        <v>2474</v>
      </c>
    </row>
    <row r="966" ht="15.75" customHeight="1">
      <c r="A966" s="14" t="s">
        <v>391</v>
      </c>
      <c r="B966" s="15" t="s">
        <v>9652</v>
      </c>
      <c r="C966" s="16"/>
      <c r="D966" s="15" t="s">
        <v>432</v>
      </c>
      <c r="G966" s="14" t="s">
        <v>393</v>
      </c>
      <c r="H966" s="14" t="s">
        <v>394</v>
      </c>
      <c r="I966" s="14" t="b">
        <v>1</v>
      </c>
      <c r="J966" s="14" t="s">
        <v>395</v>
      </c>
      <c r="L966" s="14" t="b">
        <v>0</v>
      </c>
      <c r="M966" s="15" t="s">
        <v>9667</v>
      </c>
      <c r="N966" s="14" t="s">
        <v>393</v>
      </c>
      <c r="O966" s="14" t="s">
        <v>393</v>
      </c>
      <c r="P966" s="15" t="s">
        <v>397</v>
      </c>
      <c r="Q966" s="15" t="s">
        <v>2746</v>
      </c>
      <c r="R966" s="15" t="s">
        <v>265</v>
      </c>
      <c r="S966" s="15" t="s">
        <v>828</v>
      </c>
      <c r="T966" s="14" t="b">
        <v>0</v>
      </c>
      <c r="U966" s="15" t="s">
        <v>9668</v>
      </c>
      <c r="V966" s="15" t="s">
        <v>9669</v>
      </c>
      <c r="W966" s="15" t="s">
        <v>401</v>
      </c>
      <c r="X966" s="15" t="s">
        <v>1296</v>
      </c>
      <c r="Y966" s="15">
        <v>2184.0</v>
      </c>
      <c r="AA966" s="15" t="str">
        <f>"840"</f>
        <v>840</v>
      </c>
      <c r="AB966" s="14" t="b">
        <v>1</v>
      </c>
      <c r="AC966" s="14" t="b">
        <v>1</v>
      </c>
      <c r="AD966" s="15" t="str">
        <f>"801542313487"</f>
        <v>801542313487</v>
      </c>
      <c r="AE966" s="15" t="s">
        <v>9670</v>
      </c>
      <c r="AF966" s="14" t="s">
        <v>404</v>
      </c>
      <c r="AG966" s="14" t="s">
        <v>405</v>
      </c>
      <c r="AH966" s="14" t="s">
        <v>406</v>
      </c>
      <c r="AI966" s="15">
        <v>0.0</v>
      </c>
      <c r="AL966" s="15" t="s">
        <v>9657</v>
      </c>
      <c r="AM966" s="15" t="s">
        <v>7045</v>
      </c>
      <c r="AN966" s="15" t="s">
        <v>7046</v>
      </c>
      <c r="AO966" s="15" t="s">
        <v>9660</v>
      </c>
      <c r="AP966" s="15" t="s">
        <v>9661</v>
      </c>
      <c r="AQ966" s="15" t="s">
        <v>4108</v>
      </c>
      <c r="AR966" s="15" t="s">
        <v>4109</v>
      </c>
      <c r="AS966" s="15" t="s">
        <v>2888</v>
      </c>
      <c r="AT966" s="15" t="s">
        <v>2746</v>
      </c>
      <c r="AU966" s="15" t="s">
        <v>2889</v>
      </c>
      <c r="AW966" s="15" t="s">
        <v>839</v>
      </c>
      <c r="AX966" s="15" t="s">
        <v>828</v>
      </c>
      <c r="AY966" s="15" t="s">
        <v>413</v>
      </c>
      <c r="AZ966" s="15" t="b">
        <v>0</v>
      </c>
      <c r="BA966" s="15" t="s">
        <v>413</v>
      </c>
      <c r="BB966" s="15" t="b">
        <v>0</v>
      </c>
      <c r="BC966" s="15" t="s">
        <v>9662</v>
      </c>
      <c r="BD966" s="15" t="s">
        <v>1303</v>
      </c>
      <c r="BE966" s="15" t="str">
        <f t="shared" si="1639"/>
        <v>2</v>
      </c>
      <c r="BF966" s="15" t="s">
        <v>3018</v>
      </c>
      <c r="BG966" s="15" t="str">
        <f>"82.5"</f>
        <v>82.5</v>
      </c>
      <c r="BH966" s="15" t="s">
        <v>6198</v>
      </c>
      <c r="BI966" s="15" t="str">
        <f t="shared" si="1640"/>
        <v>7.5</v>
      </c>
      <c r="BJ966" s="15" t="s">
        <v>2566</v>
      </c>
      <c r="BK966" s="15" t="str">
        <f t="shared" si="1641"/>
        <v>50.75</v>
      </c>
      <c r="BL966" s="15" t="s">
        <v>2702</v>
      </c>
      <c r="BM966" s="15" t="str">
        <f>"118.03"</f>
        <v>118.03</v>
      </c>
      <c r="BN966" s="15" t="s">
        <v>9671</v>
      </c>
      <c r="BO966" s="15" t="s">
        <v>9663</v>
      </c>
      <c r="BP966" s="15" t="str">
        <f t="shared" si="1642"/>
        <v>83</v>
      </c>
      <c r="BQ966" s="15" t="s">
        <v>9661</v>
      </c>
      <c r="BR966" s="15" t="str">
        <f t="shared" si="1643"/>
        <v>11.75</v>
      </c>
      <c r="BS966" s="15" t="s">
        <v>812</v>
      </c>
      <c r="BT966" s="15" t="str">
        <f t="shared" si="1644"/>
        <v>12.5</v>
      </c>
      <c r="BU966" s="15" t="s">
        <v>9664</v>
      </c>
      <c r="BV966" s="15" t="str">
        <f>"112.83"</f>
        <v>112.83</v>
      </c>
      <c r="BW966" s="15" t="s">
        <v>9672</v>
      </c>
      <c r="BZ966" s="15" t="s">
        <v>444</v>
      </c>
      <c r="CB966" s="15" t="s">
        <v>444</v>
      </c>
      <c r="CD966" s="15" t="s">
        <v>444</v>
      </c>
      <c r="CF966" s="15" t="s">
        <v>444</v>
      </c>
      <c r="CI966" s="15" t="s">
        <v>444</v>
      </c>
      <c r="CK966" s="15" t="s">
        <v>444</v>
      </c>
      <c r="CM966" s="15" t="s">
        <v>444</v>
      </c>
      <c r="CO966" s="15" t="s">
        <v>444</v>
      </c>
      <c r="CP966" s="15" t="str">
        <f>"25.25"</f>
        <v>25.25</v>
      </c>
      <c r="CQ966" s="15" t="str">
        <f>"0.715"</f>
        <v>0.715</v>
      </c>
      <c r="CR966" s="15" t="s">
        <v>465</v>
      </c>
      <c r="DC966" s="15" t="str">
        <f>IFERROR(__xludf.DUMMYFUNCTION("""COMPUTED_VALUE"""),"")</f>
        <v/>
      </c>
      <c r="DE966" s="15" t="str">
        <f>IFERROR(__xludf.DUMMYFUNCTION("""COMPUTED_VALUE"""),"")</f>
        <v/>
      </c>
      <c r="DG966" s="15" t="str">
        <f>IFERROR(__xludf.DUMMYFUNCTION("""COMPUTED_VALUE"""),"")</f>
        <v/>
      </c>
      <c r="DL966" s="15" t="str">
        <f>IFERROR(__xludf.DUMMYFUNCTION("""COMPUTED_VALUE"""),"")</f>
        <v/>
      </c>
      <c r="DM966" s="15" t="s">
        <v>444</v>
      </c>
      <c r="DN966" s="15" t="s">
        <v>419</v>
      </c>
      <c r="DO966" s="15">
        <v>0.0</v>
      </c>
      <c r="DP966" s="15" t="s">
        <v>419</v>
      </c>
      <c r="DR966" s="15">
        <v>0.0</v>
      </c>
      <c r="DT966" s="15" t="s">
        <v>1111</v>
      </c>
      <c r="DU966" s="15" t="s">
        <v>419</v>
      </c>
      <c r="DW966" s="15">
        <v>0.0</v>
      </c>
      <c r="DX966" s="15">
        <v>0.0</v>
      </c>
      <c r="DY966" s="15">
        <v>0.0</v>
      </c>
      <c r="EG966" s="15" t="s">
        <v>444</v>
      </c>
      <c r="EH966" s="15" t="s">
        <v>9639</v>
      </c>
      <c r="EJ966" s="15" t="s">
        <v>858</v>
      </c>
      <c r="EK966" s="15" t="s">
        <v>859</v>
      </c>
      <c r="EM966" s="15" t="str">
        <f>IFERROR(__xludf.DUMMYFUNCTION("""COMPUTED_VALUE"""),"")</f>
        <v/>
      </c>
      <c r="FM966" s="15">
        <v>0.0</v>
      </c>
      <c r="IM966" s="15" t="s">
        <v>5481</v>
      </c>
      <c r="IN966" s="15" t="s">
        <v>5481</v>
      </c>
      <c r="IO966" s="15" t="s">
        <v>5481</v>
      </c>
      <c r="IP966" s="15" t="s">
        <v>9666</v>
      </c>
      <c r="IQ966" s="15" t="s">
        <v>784</v>
      </c>
      <c r="IR966" s="15" t="s">
        <v>6489</v>
      </c>
      <c r="IS966" s="15" t="s">
        <v>4653</v>
      </c>
      <c r="IT966" s="15" t="s">
        <v>784</v>
      </c>
      <c r="IU966" s="15" t="s">
        <v>6489</v>
      </c>
      <c r="IV966" s="15" t="s">
        <v>9673</v>
      </c>
      <c r="IW966" s="15" t="s">
        <v>2969</v>
      </c>
      <c r="IX966" s="15" t="s">
        <v>9674</v>
      </c>
      <c r="IY966" s="15" t="s">
        <v>714</v>
      </c>
      <c r="IZ966" s="15" t="s">
        <v>9673</v>
      </c>
      <c r="JA966" s="15" t="s">
        <v>1042</v>
      </c>
      <c r="JB966" s="15" t="s">
        <v>426</v>
      </c>
      <c r="JC966" s="15" t="s">
        <v>2973</v>
      </c>
      <c r="JD966" s="15" t="s">
        <v>6794</v>
      </c>
      <c r="JE966" s="15" t="s">
        <v>873</v>
      </c>
      <c r="JF966" s="15" t="s">
        <v>828</v>
      </c>
      <c r="JL966" s="15" t="s">
        <v>7777</v>
      </c>
      <c r="JM966" s="15" t="s">
        <v>822</v>
      </c>
      <c r="JN966" s="15" t="s">
        <v>784</v>
      </c>
      <c r="JO966" s="15" t="s">
        <v>426</v>
      </c>
      <c r="JP966" s="15" t="s">
        <v>2474</v>
      </c>
    </row>
    <row r="967" ht="15.75" customHeight="1">
      <c r="A967" s="14" t="s">
        <v>391</v>
      </c>
      <c r="B967" s="15" t="s">
        <v>9652</v>
      </c>
      <c r="C967" s="16"/>
      <c r="D967" s="15" t="s">
        <v>432</v>
      </c>
      <c r="G967" s="14" t="s">
        <v>393</v>
      </c>
      <c r="H967" s="14" t="s">
        <v>394</v>
      </c>
      <c r="I967" s="14" t="b">
        <v>1</v>
      </c>
      <c r="J967" s="14" t="s">
        <v>395</v>
      </c>
      <c r="L967" s="14" t="b">
        <v>0</v>
      </c>
      <c r="M967" s="15" t="s">
        <v>9675</v>
      </c>
      <c r="N967" s="14" t="s">
        <v>393</v>
      </c>
      <c r="O967" s="14" t="s">
        <v>393</v>
      </c>
      <c r="P967" s="15" t="s">
        <v>397</v>
      </c>
      <c r="Q967" s="15" t="s">
        <v>2889</v>
      </c>
      <c r="R967" s="15" t="s">
        <v>265</v>
      </c>
      <c r="S967" s="15" t="s">
        <v>3025</v>
      </c>
      <c r="T967" s="14" t="b">
        <v>0</v>
      </c>
      <c r="U967" s="15" t="s">
        <v>9676</v>
      </c>
      <c r="V967" s="15" t="s">
        <v>9677</v>
      </c>
      <c r="W967" s="15" t="s">
        <v>401</v>
      </c>
      <c r="X967" s="15" t="s">
        <v>1296</v>
      </c>
      <c r="Y967" s="15">
        <v>1482.0</v>
      </c>
      <c r="AA967" s="15" t="str">
        <f>"570"</f>
        <v>570</v>
      </c>
      <c r="AB967" s="14" t="b">
        <v>1</v>
      </c>
      <c r="AC967" s="14" t="b">
        <v>1</v>
      </c>
      <c r="AD967" s="15" t="str">
        <f>"801542358587"</f>
        <v>801542358587</v>
      </c>
      <c r="AE967" s="15" t="s">
        <v>9678</v>
      </c>
      <c r="AF967" s="14" t="s">
        <v>404</v>
      </c>
      <c r="AG967" s="14" t="s">
        <v>405</v>
      </c>
      <c r="AH967" s="14" t="s">
        <v>406</v>
      </c>
      <c r="AI967" s="15">
        <v>0.0</v>
      </c>
      <c r="AL967" s="15" t="s">
        <v>9657</v>
      </c>
      <c r="AM967" s="15" t="s">
        <v>3345</v>
      </c>
      <c r="AN967" s="15" t="s">
        <v>3346</v>
      </c>
      <c r="AO967" s="15" t="s">
        <v>4674</v>
      </c>
      <c r="AP967" s="15" t="s">
        <v>4675</v>
      </c>
      <c r="AQ967" s="15" t="s">
        <v>4108</v>
      </c>
      <c r="AR967" s="15" t="s">
        <v>4109</v>
      </c>
      <c r="AS967" s="15" t="s">
        <v>2888</v>
      </c>
      <c r="AT967" s="15" t="s">
        <v>2746</v>
      </c>
      <c r="AU967" s="15" t="s">
        <v>2889</v>
      </c>
      <c r="AW967" s="15" t="s">
        <v>839</v>
      </c>
      <c r="AX967" s="15" t="s">
        <v>3025</v>
      </c>
      <c r="AY967" s="15" t="s">
        <v>413</v>
      </c>
      <c r="AZ967" s="15" t="b">
        <v>0</v>
      </c>
      <c r="BA967" s="15" t="s">
        <v>413</v>
      </c>
      <c r="BB967" s="15" t="b">
        <v>0</v>
      </c>
      <c r="BC967" s="15" t="s">
        <v>9662</v>
      </c>
      <c r="BD967" s="15" t="s">
        <v>1303</v>
      </c>
      <c r="BE967" s="15" t="str">
        <f t="shared" si="1639"/>
        <v>2</v>
      </c>
      <c r="BF967" s="15" t="s">
        <v>3018</v>
      </c>
      <c r="BG967" s="15" t="str">
        <f>"47.25"</f>
        <v>47.25</v>
      </c>
      <c r="BH967" s="15" t="s">
        <v>2957</v>
      </c>
      <c r="BI967" s="15" t="str">
        <f t="shared" si="1640"/>
        <v>7.5</v>
      </c>
      <c r="BJ967" s="15" t="s">
        <v>2566</v>
      </c>
      <c r="BK967" s="15" t="str">
        <f t="shared" si="1641"/>
        <v>50.75</v>
      </c>
      <c r="BL967" s="15" t="s">
        <v>2702</v>
      </c>
      <c r="BM967" s="15" t="str">
        <f>"56.04"</f>
        <v>56.04</v>
      </c>
      <c r="BN967" s="15" t="s">
        <v>9679</v>
      </c>
      <c r="BO967" s="15" t="s">
        <v>9663</v>
      </c>
      <c r="BP967" s="15" t="str">
        <f>"79.5"</f>
        <v>79.5</v>
      </c>
      <c r="BQ967" s="15" t="s">
        <v>4175</v>
      </c>
      <c r="BR967" s="15" t="str">
        <f>"8.5"</f>
        <v>8.5</v>
      </c>
      <c r="BS967" s="15" t="s">
        <v>9680</v>
      </c>
      <c r="BT967" s="15" t="str">
        <f>"14.5"</f>
        <v>14.5</v>
      </c>
      <c r="BU967" s="15" t="s">
        <v>4587</v>
      </c>
      <c r="BV967" s="15" t="str">
        <f>"72.14"</f>
        <v>72.14</v>
      </c>
      <c r="BW967" s="15" t="s">
        <v>9681</v>
      </c>
      <c r="BZ967" s="15" t="s">
        <v>444</v>
      </c>
      <c r="CB967" s="15" t="s">
        <v>444</v>
      </c>
      <c r="CD967" s="15" t="s">
        <v>444</v>
      </c>
      <c r="CF967" s="15" t="s">
        <v>444</v>
      </c>
      <c r="CI967" s="15" t="s">
        <v>444</v>
      </c>
      <c r="CK967" s="15" t="s">
        <v>444</v>
      </c>
      <c r="CM967" s="15" t="s">
        <v>444</v>
      </c>
      <c r="CO967" s="15" t="s">
        <v>444</v>
      </c>
      <c r="CP967" s="15" t="str">
        <f>"16.1"</f>
        <v>16.1</v>
      </c>
      <c r="CQ967" s="15" t="str">
        <f>"0.456"</f>
        <v>0.456</v>
      </c>
      <c r="CR967" s="15" t="s">
        <v>417</v>
      </c>
      <c r="DC967" s="15" t="str">
        <f>IFERROR(__xludf.DUMMYFUNCTION("""COMPUTED_VALUE"""),"")</f>
        <v/>
      </c>
      <c r="DE967" s="15" t="str">
        <f>IFERROR(__xludf.DUMMYFUNCTION("""COMPUTED_VALUE"""),"")</f>
        <v/>
      </c>
      <c r="DG967" s="15" t="str">
        <f>IFERROR(__xludf.DUMMYFUNCTION("""COMPUTED_VALUE"""),"")</f>
        <v/>
      </c>
      <c r="DL967" s="15" t="str">
        <f>IFERROR(__xludf.DUMMYFUNCTION("""COMPUTED_VALUE"""),"")</f>
        <v/>
      </c>
      <c r="DM967" s="15" t="s">
        <v>444</v>
      </c>
      <c r="DN967" s="15" t="s">
        <v>419</v>
      </c>
      <c r="DO967" s="15">
        <v>0.0</v>
      </c>
      <c r="DP967" s="15" t="s">
        <v>419</v>
      </c>
      <c r="DR967" s="15">
        <v>0.0</v>
      </c>
      <c r="DT967" s="15" t="s">
        <v>1111</v>
      </c>
      <c r="DU967" s="15" t="s">
        <v>419</v>
      </c>
      <c r="DW967" s="15">
        <v>0.0</v>
      </c>
      <c r="DX967" s="15">
        <v>0.0</v>
      </c>
      <c r="DY967" s="15">
        <v>0.0</v>
      </c>
      <c r="EG967" s="15" t="s">
        <v>444</v>
      </c>
      <c r="EH967" s="15" t="s">
        <v>9639</v>
      </c>
      <c r="EJ967" s="15" t="s">
        <v>858</v>
      </c>
      <c r="EK967" s="15" t="s">
        <v>859</v>
      </c>
      <c r="EM967" s="15" t="str">
        <f>IFERROR(__xludf.DUMMYFUNCTION("""COMPUTED_VALUE"""),"")</f>
        <v/>
      </c>
      <c r="FM967" s="15">
        <v>0.0</v>
      </c>
      <c r="IM967" s="15" t="s">
        <v>5481</v>
      </c>
      <c r="IN967" s="15" t="s">
        <v>5481</v>
      </c>
      <c r="IO967" s="15" t="s">
        <v>5481</v>
      </c>
      <c r="IP967" s="15" t="s">
        <v>9666</v>
      </c>
      <c r="IQ967" s="15" t="s">
        <v>784</v>
      </c>
      <c r="IR967" s="15" t="s">
        <v>9682</v>
      </c>
      <c r="IS967" s="15" t="s">
        <v>4653</v>
      </c>
      <c r="IT967" s="15" t="s">
        <v>784</v>
      </c>
      <c r="IU967" s="15" t="s">
        <v>9682</v>
      </c>
      <c r="IV967" s="15" t="s">
        <v>9674</v>
      </c>
      <c r="IW967" s="15" t="s">
        <v>2969</v>
      </c>
      <c r="IX967" s="15" t="s">
        <v>5559</v>
      </c>
      <c r="IY967" s="15" t="s">
        <v>714</v>
      </c>
      <c r="IZ967" s="15" t="s">
        <v>9683</v>
      </c>
      <c r="JA967" s="15" t="s">
        <v>1042</v>
      </c>
      <c r="JB967" s="15" t="s">
        <v>426</v>
      </c>
      <c r="JC967" s="15" t="s">
        <v>2973</v>
      </c>
      <c r="JD967" s="15" t="s">
        <v>6794</v>
      </c>
      <c r="JE967" s="15" t="s">
        <v>873</v>
      </c>
      <c r="JF967" s="15" t="s">
        <v>3025</v>
      </c>
      <c r="JL967" s="15" t="s">
        <v>7777</v>
      </c>
      <c r="JM967" s="15" t="s">
        <v>822</v>
      </c>
      <c r="JN967" s="15" t="s">
        <v>784</v>
      </c>
      <c r="JO967" s="15" t="s">
        <v>426</v>
      </c>
      <c r="JP967" s="15" t="s">
        <v>2474</v>
      </c>
    </row>
    <row r="968" ht="15.75" customHeight="1">
      <c r="A968" s="14" t="s">
        <v>391</v>
      </c>
      <c r="B968" s="15" t="s">
        <v>9652</v>
      </c>
      <c r="C968" s="16"/>
      <c r="D968" s="15" t="s">
        <v>432</v>
      </c>
      <c r="G968" s="14" t="s">
        <v>393</v>
      </c>
      <c r="H968" s="14" t="s">
        <v>394</v>
      </c>
      <c r="I968" s="14" t="b">
        <v>1</v>
      </c>
      <c r="J968" s="14" t="s">
        <v>395</v>
      </c>
      <c r="L968" s="14" t="b">
        <v>0</v>
      </c>
      <c r="M968" s="15" t="s">
        <v>9684</v>
      </c>
      <c r="N968" s="14" t="s">
        <v>393</v>
      </c>
      <c r="O968" s="14" t="s">
        <v>393</v>
      </c>
      <c r="P968" s="15" t="s">
        <v>397</v>
      </c>
      <c r="Q968" s="15" t="s">
        <v>2910</v>
      </c>
      <c r="R968" s="15" t="s">
        <v>265</v>
      </c>
      <c r="S968" s="15" t="s">
        <v>877</v>
      </c>
      <c r="T968" s="14" t="b">
        <v>0</v>
      </c>
      <c r="U968" s="15" t="s">
        <v>9685</v>
      </c>
      <c r="V968" s="15" t="s">
        <v>9655</v>
      </c>
      <c r="W968" s="15" t="s">
        <v>401</v>
      </c>
      <c r="X968" s="15" t="s">
        <v>1296</v>
      </c>
      <c r="Y968" s="15">
        <v>1859.0</v>
      </c>
      <c r="AA968" s="15" t="str">
        <f>"715"</f>
        <v>715</v>
      </c>
      <c r="AB968" s="14" t="b">
        <v>1</v>
      </c>
      <c r="AC968" s="14" t="b">
        <v>1</v>
      </c>
      <c r="AD968" s="15" t="str">
        <f>"801542461614"</f>
        <v>801542461614</v>
      </c>
      <c r="AE968" s="15" t="s">
        <v>9686</v>
      </c>
      <c r="AF968" s="14" t="s">
        <v>404</v>
      </c>
      <c r="AG968" s="14" t="s">
        <v>405</v>
      </c>
      <c r="AH968" s="14" t="s">
        <v>406</v>
      </c>
      <c r="AI968" s="15">
        <v>0.0</v>
      </c>
      <c r="AL968" s="15" t="s">
        <v>9657</v>
      </c>
      <c r="AM968" s="15" t="s">
        <v>9658</v>
      </c>
      <c r="AN968" s="15" t="s">
        <v>9659</v>
      </c>
      <c r="AO968" s="15" t="s">
        <v>9660</v>
      </c>
      <c r="AP968" s="15" t="s">
        <v>9661</v>
      </c>
      <c r="AQ968" s="15" t="s">
        <v>4108</v>
      </c>
      <c r="AR968" s="15" t="s">
        <v>4109</v>
      </c>
      <c r="AS968" s="15" t="s">
        <v>2888</v>
      </c>
      <c r="AT968" s="15" t="s">
        <v>2746</v>
      </c>
      <c r="AU968" s="15" t="s">
        <v>2910</v>
      </c>
      <c r="AW968" s="15" t="s">
        <v>839</v>
      </c>
      <c r="AX968" s="15" t="s">
        <v>877</v>
      </c>
      <c r="AY968" s="15" t="s">
        <v>413</v>
      </c>
      <c r="AZ968" s="15" t="b">
        <v>0</v>
      </c>
      <c r="BA968" s="15" t="s">
        <v>413</v>
      </c>
      <c r="BB968" s="15" t="b">
        <v>0</v>
      </c>
      <c r="BC968" s="15" t="s">
        <v>9687</v>
      </c>
      <c r="BD968" s="15" t="s">
        <v>1303</v>
      </c>
      <c r="BE968" s="15" t="str">
        <f t="shared" si="1639"/>
        <v>2</v>
      </c>
      <c r="BF968" s="15" t="s">
        <v>3018</v>
      </c>
      <c r="BG968" s="15" t="str">
        <f>"67"</f>
        <v>67</v>
      </c>
      <c r="BH968" s="15" t="s">
        <v>4011</v>
      </c>
      <c r="BI968" s="15" t="str">
        <f t="shared" si="1640"/>
        <v>7.5</v>
      </c>
      <c r="BJ968" s="15" t="s">
        <v>2566</v>
      </c>
      <c r="BK968" s="15" t="str">
        <f t="shared" si="1641"/>
        <v>50.75</v>
      </c>
      <c r="BL968" s="15" t="s">
        <v>2702</v>
      </c>
      <c r="BM968" s="15" t="str">
        <f>"91.49"</f>
        <v>91.49</v>
      </c>
      <c r="BN968" s="15" t="s">
        <v>6330</v>
      </c>
      <c r="BO968" s="15" t="s">
        <v>9663</v>
      </c>
      <c r="BP968" s="15" t="str">
        <f>"83"</f>
        <v>83</v>
      </c>
      <c r="BQ968" s="15" t="s">
        <v>9661</v>
      </c>
      <c r="BR968" s="15" t="str">
        <f>"11.75"</f>
        <v>11.75</v>
      </c>
      <c r="BS968" s="15" t="s">
        <v>812</v>
      </c>
      <c r="BT968" s="15" t="str">
        <f>"12.5"</f>
        <v>12.5</v>
      </c>
      <c r="BU968" s="15" t="s">
        <v>9664</v>
      </c>
      <c r="BV968" s="15" t="str">
        <f>"110.89"</f>
        <v>110.89</v>
      </c>
      <c r="BW968" s="15" t="s">
        <v>9665</v>
      </c>
      <c r="BZ968" s="15" t="s">
        <v>444</v>
      </c>
      <c r="CB968" s="15" t="s">
        <v>444</v>
      </c>
      <c r="CD968" s="15" t="s">
        <v>444</v>
      </c>
      <c r="CF968" s="15" t="s">
        <v>444</v>
      </c>
      <c r="CI968" s="15" t="s">
        <v>444</v>
      </c>
      <c r="CK968" s="15" t="s">
        <v>444</v>
      </c>
      <c r="CM968" s="15" t="s">
        <v>444</v>
      </c>
      <c r="CO968" s="15" t="s">
        <v>444</v>
      </c>
      <c r="CP968" s="15" t="str">
        <f>"21.82"</f>
        <v>21.82</v>
      </c>
      <c r="CQ968" s="15" t="str">
        <f>"0.618"</f>
        <v>0.618</v>
      </c>
      <c r="CR968" s="15" t="s">
        <v>465</v>
      </c>
      <c r="DC968" s="15" t="str">
        <f>IFERROR(__xludf.DUMMYFUNCTION("""COMPUTED_VALUE"""),"")</f>
        <v/>
      </c>
      <c r="DE968" s="15" t="str">
        <f>IFERROR(__xludf.DUMMYFUNCTION("""COMPUTED_VALUE"""),"")</f>
        <v/>
      </c>
      <c r="DG968" s="15" t="str">
        <f>IFERROR(__xludf.DUMMYFUNCTION("""COMPUTED_VALUE"""),"")</f>
        <v/>
      </c>
      <c r="DL968" s="15" t="str">
        <f>IFERROR(__xludf.DUMMYFUNCTION("""COMPUTED_VALUE"""),"")</f>
        <v/>
      </c>
      <c r="DM968" s="15" t="s">
        <v>444</v>
      </c>
      <c r="DN968" s="15" t="s">
        <v>419</v>
      </c>
      <c r="DO968" s="15">
        <v>0.0</v>
      </c>
      <c r="DP968" s="15" t="s">
        <v>419</v>
      </c>
      <c r="DR968" s="15">
        <v>0.0</v>
      </c>
      <c r="DT968" s="15" t="s">
        <v>1111</v>
      </c>
      <c r="DU968" s="15" t="s">
        <v>419</v>
      </c>
      <c r="DW968" s="15">
        <v>0.0</v>
      </c>
      <c r="DX968" s="15">
        <v>0.0</v>
      </c>
      <c r="DY968" s="15">
        <v>0.0</v>
      </c>
      <c r="EG968" s="15" t="s">
        <v>444</v>
      </c>
      <c r="EH968" s="15" t="s">
        <v>9639</v>
      </c>
      <c r="EJ968" s="15" t="s">
        <v>858</v>
      </c>
      <c r="EK968" s="15" t="s">
        <v>859</v>
      </c>
      <c r="EM968" s="15" t="str">
        <f>IFERROR(__xludf.DUMMYFUNCTION("""COMPUTED_VALUE"""),"")</f>
        <v/>
      </c>
      <c r="FM968" s="15">
        <v>0.0</v>
      </c>
      <c r="IM968" s="15" t="s">
        <v>5481</v>
      </c>
      <c r="IN968" s="15" t="s">
        <v>5481</v>
      </c>
      <c r="IO968" s="15" t="s">
        <v>5481</v>
      </c>
      <c r="IP968" s="15" t="s">
        <v>9666</v>
      </c>
      <c r="IQ968" s="15" t="s">
        <v>784</v>
      </c>
      <c r="IR968" s="15" t="s">
        <v>7092</v>
      </c>
      <c r="IS968" s="15" t="s">
        <v>4653</v>
      </c>
      <c r="IT968" s="15" t="s">
        <v>784</v>
      </c>
      <c r="IU968" s="15" t="s">
        <v>7092</v>
      </c>
      <c r="IV968" s="15" t="s">
        <v>5321</v>
      </c>
      <c r="IW968" s="15" t="s">
        <v>2969</v>
      </c>
      <c r="IX968" s="15" t="s">
        <v>2388</v>
      </c>
      <c r="IY968" s="15" t="s">
        <v>714</v>
      </c>
      <c r="IZ968" s="15" t="s">
        <v>5321</v>
      </c>
      <c r="JA968" s="15" t="s">
        <v>1042</v>
      </c>
      <c r="JB968" s="15" t="s">
        <v>426</v>
      </c>
      <c r="JC968" s="15" t="s">
        <v>2973</v>
      </c>
      <c r="JD968" s="15" t="s">
        <v>6794</v>
      </c>
      <c r="JE968" s="15" t="s">
        <v>873</v>
      </c>
      <c r="JF968" s="15" t="s">
        <v>877</v>
      </c>
      <c r="JL968" s="15" t="s">
        <v>7777</v>
      </c>
      <c r="JM968" s="15" t="s">
        <v>822</v>
      </c>
      <c r="JN968" s="15" t="s">
        <v>784</v>
      </c>
      <c r="JO968" s="15" t="s">
        <v>426</v>
      </c>
      <c r="JP968" s="15" t="s">
        <v>2474</v>
      </c>
    </row>
    <row r="969" ht="15.75" customHeight="1">
      <c r="A969" s="14" t="s">
        <v>391</v>
      </c>
      <c r="B969" s="15" t="s">
        <v>9652</v>
      </c>
      <c r="C969" s="16"/>
      <c r="D969" s="15" t="s">
        <v>432</v>
      </c>
      <c r="G969" s="14" t="s">
        <v>393</v>
      </c>
      <c r="H969" s="14" t="s">
        <v>394</v>
      </c>
      <c r="I969" s="14" t="b">
        <v>1</v>
      </c>
      <c r="J969" s="14" t="s">
        <v>395</v>
      </c>
      <c r="L969" s="14" t="b">
        <v>0</v>
      </c>
      <c r="M969" s="15" t="s">
        <v>9688</v>
      </c>
      <c r="N969" s="14" t="s">
        <v>393</v>
      </c>
      <c r="O969" s="14" t="s">
        <v>393</v>
      </c>
      <c r="P969" s="15" t="s">
        <v>397</v>
      </c>
      <c r="Q969" s="15" t="s">
        <v>2910</v>
      </c>
      <c r="R969" s="15" t="s">
        <v>265</v>
      </c>
      <c r="S969" s="15" t="s">
        <v>3025</v>
      </c>
      <c r="T969" s="14" t="b">
        <v>0</v>
      </c>
      <c r="U969" s="15" t="s">
        <v>9689</v>
      </c>
      <c r="V969" s="15" t="s">
        <v>9677</v>
      </c>
      <c r="W969" s="15" t="s">
        <v>401</v>
      </c>
      <c r="X969" s="15" t="s">
        <v>1296</v>
      </c>
      <c r="Y969" s="15">
        <v>1430.0</v>
      </c>
      <c r="AA969" s="15" t="str">
        <f>"550"</f>
        <v>550</v>
      </c>
      <c r="AB969" s="14" t="b">
        <v>1</v>
      </c>
      <c r="AC969" s="14" t="b">
        <v>1</v>
      </c>
      <c r="AD969" s="15" t="str">
        <f>"801542462543"</f>
        <v>801542462543</v>
      </c>
      <c r="AE969" s="15" t="s">
        <v>9690</v>
      </c>
      <c r="AF969" s="14" t="s">
        <v>404</v>
      </c>
      <c r="AG969" s="14" t="s">
        <v>405</v>
      </c>
      <c r="AH969" s="14" t="s">
        <v>406</v>
      </c>
      <c r="AI969" s="15">
        <v>0.0</v>
      </c>
      <c r="AL969" s="15" t="s">
        <v>9657</v>
      </c>
      <c r="AM969" s="15" t="s">
        <v>3345</v>
      </c>
      <c r="AN969" s="15" t="s">
        <v>3346</v>
      </c>
      <c r="AO969" s="15" t="s">
        <v>4674</v>
      </c>
      <c r="AP969" s="15" t="s">
        <v>4675</v>
      </c>
      <c r="AQ969" s="15" t="s">
        <v>4108</v>
      </c>
      <c r="AR969" s="15" t="s">
        <v>4109</v>
      </c>
      <c r="AS969" s="15" t="s">
        <v>2888</v>
      </c>
      <c r="AT969" s="15" t="s">
        <v>2746</v>
      </c>
      <c r="AU969" s="15" t="s">
        <v>2910</v>
      </c>
      <c r="AW969" s="15" t="s">
        <v>839</v>
      </c>
      <c r="AX969" s="15" t="s">
        <v>3025</v>
      </c>
      <c r="AY969" s="15" t="s">
        <v>413</v>
      </c>
      <c r="AZ969" s="15" t="b">
        <v>0</v>
      </c>
      <c r="BA969" s="15" t="s">
        <v>413</v>
      </c>
      <c r="BB969" s="15" t="b">
        <v>0</v>
      </c>
      <c r="BC969" s="15" t="s">
        <v>9687</v>
      </c>
      <c r="BD969" s="15" t="s">
        <v>1303</v>
      </c>
      <c r="BE969" s="15" t="str">
        <f t="shared" si="1639"/>
        <v>2</v>
      </c>
      <c r="BF969" s="15" t="s">
        <v>3018</v>
      </c>
      <c r="BG969" s="15" t="str">
        <f t="shared" ref="BG969:BG970" si="1645">"47.25"</f>
        <v>47.25</v>
      </c>
      <c r="BH969" s="15" t="s">
        <v>2957</v>
      </c>
      <c r="BI969" s="15" t="str">
        <f t="shared" si="1640"/>
        <v>7.5</v>
      </c>
      <c r="BJ969" s="15" t="s">
        <v>2566</v>
      </c>
      <c r="BK969" s="15" t="str">
        <f t="shared" si="1641"/>
        <v>50.75</v>
      </c>
      <c r="BL969" s="15" t="s">
        <v>2702</v>
      </c>
      <c r="BM969" s="15" t="str">
        <f t="shared" ref="BM969:BM970" si="1646">"56.04"</f>
        <v>56.04</v>
      </c>
      <c r="BN969" s="15" t="s">
        <v>9679</v>
      </c>
      <c r="BO969" s="15" t="s">
        <v>9663</v>
      </c>
      <c r="BP969" s="15" t="str">
        <f t="shared" ref="BP969:BP970" si="1647">"79.5"</f>
        <v>79.5</v>
      </c>
      <c r="BQ969" s="15" t="s">
        <v>4175</v>
      </c>
      <c r="BR969" s="15" t="str">
        <f t="shared" ref="BR969:BR970" si="1648">"8.5"</f>
        <v>8.5</v>
      </c>
      <c r="BS969" s="15" t="s">
        <v>9680</v>
      </c>
      <c r="BT969" s="15" t="str">
        <f t="shared" ref="BT969:BT970" si="1649">"14.5"</f>
        <v>14.5</v>
      </c>
      <c r="BU969" s="15" t="s">
        <v>4587</v>
      </c>
      <c r="BV969" s="15" t="str">
        <f t="shared" ref="BV969:BV970" si="1650">"72.14"</f>
        <v>72.14</v>
      </c>
      <c r="BW969" s="15" t="s">
        <v>9681</v>
      </c>
      <c r="BZ969" s="15" t="s">
        <v>444</v>
      </c>
      <c r="CB969" s="15" t="s">
        <v>444</v>
      </c>
      <c r="CD969" s="15" t="s">
        <v>444</v>
      </c>
      <c r="CF969" s="15" t="s">
        <v>444</v>
      </c>
      <c r="CI969" s="15" t="s">
        <v>444</v>
      </c>
      <c r="CK969" s="15" t="s">
        <v>444</v>
      </c>
      <c r="CM969" s="15" t="s">
        <v>444</v>
      </c>
      <c r="CO969" s="15" t="s">
        <v>444</v>
      </c>
      <c r="CP969" s="15" t="str">
        <f t="shared" ref="CP969:CP970" si="1651">"16.1"</f>
        <v>16.1</v>
      </c>
      <c r="CQ969" s="15" t="str">
        <f t="shared" ref="CQ969:CQ970" si="1652">"0.456"</f>
        <v>0.456</v>
      </c>
      <c r="CR969" s="15" t="s">
        <v>417</v>
      </c>
      <c r="DC969" s="15" t="str">
        <f>IFERROR(__xludf.DUMMYFUNCTION("""COMPUTED_VALUE"""),"")</f>
        <v/>
      </c>
      <c r="DE969" s="15" t="str">
        <f>IFERROR(__xludf.DUMMYFUNCTION("""COMPUTED_VALUE"""),"")</f>
        <v/>
      </c>
      <c r="DG969" s="15" t="str">
        <f>IFERROR(__xludf.DUMMYFUNCTION("""COMPUTED_VALUE"""),"")</f>
        <v/>
      </c>
      <c r="DL969" s="15" t="str">
        <f>IFERROR(__xludf.DUMMYFUNCTION("""COMPUTED_VALUE"""),"")</f>
        <v/>
      </c>
      <c r="DM969" s="15" t="s">
        <v>444</v>
      </c>
      <c r="DN969" s="15" t="s">
        <v>419</v>
      </c>
      <c r="DO969" s="15">
        <v>0.0</v>
      </c>
      <c r="DP969" s="15" t="s">
        <v>419</v>
      </c>
      <c r="DR969" s="15">
        <v>0.0</v>
      </c>
      <c r="DT969" s="15" t="s">
        <v>1111</v>
      </c>
      <c r="DU969" s="15" t="s">
        <v>419</v>
      </c>
      <c r="DW969" s="15">
        <v>0.0</v>
      </c>
      <c r="DX969" s="15">
        <v>0.0</v>
      </c>
      <c r="DY969" s="15">
        <v>0.0</v>
      </c>
      <c r="EG969" s="15" t="s">
        <v>444</v>
      </c>
      <c r="EH969" s="15" t="s">
        <v>9639</v>
      </c>
      <c r="EJ969" s="15" t="s">
        <v>858</v>
      </c>
      <c r="EK969" s="15" t="s">
        <v>859</v>
      </c>
      <c r="EM969" s="15" t="str">
        <f>IFERROR(__xludf.DUMMYFUNCTION("""COMPUTED_VALUE"""),"")</f>
        <v/>
      </c>
      <c r="FM969" s="15">
        <v>0.0</v>
      </c>
      <c r="IM969" s="15" t="s">
        <v>5481</v>
      </c>
      <c r="IN969" s="15" t="s">
        <v>5481</v>
      </c>
      <c r="IO969" s="15" t="s">
        <v>5481</v>
      </c>
      <c r="IP969" s="15" t="s">
        <v>9666</v>
      </c>
      <c r="IQ969" s="15" t="s">
        <v>784</v>
      </c>
      <c r="IR969" s="15" t="s">
        <v>9682</v>
      </c>
      <c r="IS969" s="15" t="s">
        <v>4653</v>
      </c>
      <c r="IT969" s="15" t="s">
        <v>784</v>
      </c>
      <c r="IU969" s="15" t="s">
        <v>9682</v>
      </c>
      <c r="IV969" s="15" t="s">
        <v>9674</v>
      </c>
      <c r="IW969" s="15" t="s">
        <v>2969</v>
      </c>
      <c r="IX969" s="15" t="s">
        <v>5559</v>
      </c>
      <c r="IY969" s="15" t="s">
        <v>714</v>
      </c>
      <c r="IZ969" s="15" t="s">
        <v>9683</v>
      </c>
      <c r="JA969" s="15" t="s">
        <v>1042</v>
      </c>
      <c r="JB969" s="15" t="s">
        <v>426</v>
      </c>
      <c r="JC969" s="15" t="s">
        <v>2973</v>
      </c>
      <c r="JD969" s="15" t="s">
        <v>6794</v>
      </c>
      <c r="JE969" s="15" t="s">
        <v>873</v>
      </c>
      <c r="JF969" s="15" t="s">
        <v>3025</v>
      </c>
      <c r="JL969" s="15" t="s">
        <v>7777</v>
      </c>
      <c r="JM969" s="15" t="s">
        <v>822</v>
      </c>
      <c r="JN969" s="15" t="s">
        <v>784</v>
      </c>
      <c r="JO969" s="15" t="s">
        <v>426</v>
      </c>
      <c r="JP969" s="15" t="s">
        <v>2474</v>
      </c>
    </row>
    <row r="970" ht="15.75" customHeight="1">
      <c r="A970" s="14" t="s">
        <v>391</v>
      </c>
      <c r="B970" s="15" t="s">
        <v>9652</v>
      </c>
      <c r="C970" s="16"/>
      <c r="D970" s="15" t="s">
        <v>432</v>
      </c>
      <c r="G970" s="14" t="s">
        <v>393</v>
      </c>
      <c r="H970" s="14" t="s">
        <v>394</v>
      </c>
      <c r="I970" s="14" t="b">
        <v>1</v>
      </c>
      <c r="J970" s="14" t="s">
        <v>395</v>
      </c>
      <c r="L970" s="14" t="b">
        <v>0</v>
      </c>
      <c r="M970" s="15" t="s">
        <v>9691</v>
      </c>
      <c r="N970" s="14" t="s">
        <v>393</v>
      </c>
      <c r="O970" s="14" t="s">
        <v>393</v>
      </c>
      <c r="P970" s="15" t="s">
        <v>397</v>
      </c>
      <c r="Q970" s="15" t="s">
        <v>2901</v>
      </c>
      <c r="T970" s="14" t="b">
        <v>0</v>
      </c>
      <c r="U970" s="15" t="s">
        <v>9692</v>
      </c>
      <c r="V970" s="15" t="s">
        <v>9677</v>
      </c>
      <c r="W970" s="15" t="s">
        <v>401</v>
      </c>
      <c r="X970" s="15" t="s">
        <v>1296</v>
      </c>
      <c r="Y970" s="15">
        <v>1482.0</v>
      </c>
      <c r="AA970" s="15" t="str">
        <f>"570"</f>
        <v>570</v>
      </c>
      <c r="AB970" s="14" t="b">
        <v>1</v>
      </c>
      <c r="AC970" s="14" t="b">
        <v>1</v>
      </c>
      <c r="AD970" s="15" t="str">
        <f>"801542024178"</f>
        <v>801542024178</v>
      </c>
      <c r="AE970" s="15" t="s">
        <v>9693</v>
      </c>
      <c r="AF970" s="14" t="s">
        <v>404</v>
      </c>
      <c r="AG970" s="14" t="s">
        <v>405</v>
      </c>
      <c r="AH970" s="14" t="s">
        <v>406</v>
      </c>
      <c r="AI970" s="15">
        <v>0.0</v>
      </c>
      <c r="AL970" s="15" t="s">
        <v>9657</v>
      </c>
      <c r="AM970" s="15" t="s">
        <v>3345</v>
      </c>
      <c r="AN970" s="15" t="s">
        <v>3346</v>
      </c>
      <c r="AO970" s="15" t="s">
        <v>4674</v>
      </c>
      <c r="AP970" s="15" t="s">
        <v>4675</v>
      </c>
      <c r="AQ970" s="15" t="s">
        <v>4108</v>
      </c>
      <c r="AR970" s="15" t="s">
        <v>4109</v>
      </c>
      <c r="AS970" s="15" t="s">
        <v>2888</v>
      </c>
      <c r="AT970" s="15" t="s">
        <v>2901</v>
      </c>
      <c r="AU970" s="15" t="s">
        <v>2904</v>
      </c>
      <c r="AW970" s="15" t="s">
        <v>839</v>
      </c>
      <c r="AX970" s="15" t="s">
        <v>3025</v>
      </c>
      <c r="AY970" s="15" t="s">
        <v>413</v>
      </c>
      <c r="AZ970" s="15" t="b">
        <v>0</v>
      </c>
      <c r="BA970" s="15" t="s">
        <v>413</v>
      </c>
      <c r="BB970" s="15" t="b">
        <v>0</v>
      </c>
      <c r="BC970" s="15" t="s">
        <v>9694</v>
      </c>
      <c r="BD970" s="15" t="s">
        <v>1303</v>
      </c>
      <c r="BE970" s="15" t="str">
        <f t="shared" si="1639"/>
        <v>2</v>
      </c>
      <c r="BF970" s="15" t="s">
        <v>6790</v>
      </c>
      <c r="BG970" s="15" t="str">
        <f t="shared" si="1645"/>
        <v>47.25</v>
      </c>
      <c r="BH970" s="15" t="s">
        <v>2957</v>
      </c>
      <c r="BI970" s="15" t="str">
        <f t="shared" si="1640"/>
        <v>7.5</v>
      </c>
      <c r="BJ970" s="15" t="s">
        <v>2566</v>
      </c>
      <c r="BK970" s="15" t="str">
        <f t="shared" si="1641"/>
        <v>50.75</v>
      </c>
      <c r="BL970" s="15" t="s">
        <v>2702</v>
      </c>
      <c r="BM970" s="15" t="str">
        <f t="shared" si="1646"/>
        <v>56.04</v>
      </c>
      <c r="BN970" s="15" t="s">
        <v>9679</v>
      </c>
      <c r="BO970" s="15" t="s">
        <v>9695</v>
      </c>
      <c r="BP970" s="15" t="str">
        <f t="shared" si="1647"/>
        <v>79.5</v>
      </c>
      <c r="BQ970" s="15" t="s">
        <v>4175</v>
      </c>
      <c r="BR970" s="15" t="str">
        <f t="shared" si="1648"/>
        <v>8.5</v>
      </c>
      <c r="BS970" s="15" t="s">
        <v>9680</v>
      </c>
      <c r="BT970" s="15" t="str">
        <f t="shared" si="1649"/>
        <v>14.5</v>
      </c>
      <c r="BU970" s="15" t="s">
        <v>4587</v>
      </c>
      <c r="BV970" s="15" t="str">
        <f t="shared" si="1650"/>
        <v>72.14</v>
      </c>
      <c r="BW970" s="15" t="s">
        <v>9681</v>
      </c>
      <c r="BZ970" s="15" t="s">
        <v>444</v>
      </c>
      <c r="CB970" s="15" t="s">
        <v>444</v>
      </c>
      <c r="CD970" s="15" t="s">
        <v>444</v>
      </c>
      <c r="CF970" s="15" t="s">
        <v>444</v>
      </c>
      <c r="CI970" s="15" t="s">
        <v>444</v>
      </c>
      <c r="CK970" s="15" t="s">
        <v>444</v>
      </c>
      <c r="CM970" s="15" t="s">
        <v>444</v>
      </c>
      <c r="CO970" s="15" t="s">
        <v>444</v>
      </c>
      <c r="CP970" s="15" t="str">
        <f t="shared" si="1651"/>
        <v>16.1</v>
      </c>
      <c r="CQ970" s="15" t="str">
        <f t="shared" si="1652"/>
        <v>0.456</v>
      </c>
      <c r="CR970" s="15" t="s">
        <v>417</v>
      </c>
      <c r="DC970" s="15" t="str">
        <f>IFERROR(__xludf.DUMMYFUNCTION("""COMPUTED_VALUE"""),"")</f>
        <v/>
      </c>
      <c r="DE970" s="15" t="str">
        <f>IFERROR(__xludf.DUMMYFUNCTION("""COMPUTED_VALUE"""),"")</f>
        <v/>
      </c>
      <c r="DG970" s="15" t="str">
        <f>IFERROR(__xludf.DUMMYFUNCTION("""COMPUTED_VALUE"""),"")</f>
        <v/>
      </c>
      <c r="DL970" s="15" t="str">
        <f>IFERROR(__xludf.DUMMYFUNCTION("""COMPUTED_VALUE"""),"")</f>
        <v/>
      </c>
      <c r="DM970" s="15" t="s">
        <v>444</v>
      </c>
      <c r="DN970" s="15" t="s">
        <v>419</v>
      </c>
      <c r="DO970" s="15">
        <v>0.0</v>
      </c>
      <c r="DP970" s="15" t="s">
        <v>419</v>
      </c>
      <c r="DR970" s="15">
        <v>0.0</v>
      </c>
      <c r="DT970" s="15" t="s">
        <v>1111</v>
      </c>
      <c r="DU970" s="15" t="s">
        <v>419</v>
      </c>
      <c r="DW970" s="15">
        <v>0.0</v>
      </c>
      <c r="DX970" s="15">
        <v>0.0</v>
      </c>
      <c r="DY970" s="15">
        <v>0.0</v>
      </c>
      <c r="EG970" s="15" t="s">
        <v>444</v>
      </c>
      <c r="EH970" s="15" t="s">
        <v>9639</v>
      </c>
      <c r="EJ970" s="15" t="s">
        <v>858</v>
      </c>
      <c r="EK970" s="15" t="s">
        <v>859</v>
      </c>
      <c r="EM970" s="15" t="str">
        <f>IFERROR(__xludf.DUMMYFUNCTION("""COMPUTED_VALUE"""),"")</f>
        <v/>
      </c>
      <c r="FM970" s="15">
        <v>0.0</v>
      </c>
      <c r="IM970" s="15" t="s">
        <v>5481</v>
      </c>
      <c r="IN970" s="15" t="s">
        <v>5481</v>
      </c>
      <c r="IO970" s="15" t="s">
        <v>5481</v>
      </c>
      <c r="IP970" s="15" t="s">
        <v>9666</v>
      </c>
      <c r="IQ970" s="15" t="s">
        <v>784</v>
      </c>
      <c r="IR970" s="15" t="s">
        <v>9682</v>
      </c>
      <c r="IS970" s="15" t="s">
        <v>4653</v>
      </c>
      <c r="IT970" s="15" t="s">
        <v>784</v>
      </c>
      <c r="IU970" s="15" t="s">
        <v>9682</v>
      </c>
      <c r="IV970" s="15" t="s">
        <v>9674</v>
      </c>
      <c r="IW970" s="15" t="s">
        <v>2969</v>
      </c>
      <c r="IX970" s="15" t="s">
        <v>5559</v>
      </c>
      <c r="IY970" s="15" t="s">
        <v>714</v>
      </c>
      <c r="IZ970" s="15" t="s">
        <v>9683</v>
      </c>
      <c r="JA970" s="15" t="s">
        <v>1042</v>
      </c>
      <c r="JB970" s="15" t="s">
        <v>426</v>
      </c>
      <c r="JC970" s="15" t="s">
        <v>2973</v>
      </c>
      <c r="JD970" s="15" t="s">
        <v>6794</v>
      </c>
      <c r="JE970" s="15" t="s">
        <v>873</v>
      </c>
      <c r="JF970" s="15" t="s">
        <v>3025</v>
      </c>
      <c r="JL970" s="15" t="s">
        <v>7777</v>
      </c>
      <c r="JM970" s="15" t="s">
        <v>822</v>
      </c>
      <c r="JN970" s="15" t="s">
        <v>784</v>
      </c>
      <c r="JO970" s="15" t="s">
        <v>426</v>
      </c>
      <c r="JP970" s="15" t="s">
        <v>2474</v>
      </c>
    </row>
    <row r="971" ht="15.75" customHeight="1">
      <c r="A971" s="14" t="s">
        <v>391</v>
      </c>
      <c r="B971" s="15" t="s">
        <v>9696</v>
      </c>
      <c r="C971" s="16"/>
      <c r="D971" s="15" t="s">
        <v>432</v>
      </c>
      <c r="G971" s="14" t="s">
        <v>393</v>
      </c>
      <c r="H971" s="14" t="s">
        <v>394</v>
      </c>
      <c r="I971" s="14" t="b">
        <v>1</v>
      </c>
      <c r="J971" s="14" t="s">
        <v>395</v>
      </c>
      <c r="L971" s="14" t="b">
        <v>0</v>
      </c>
      <c r="M971" s="15" t="s">
        <v>9697</v>
      </c>
      <c r="N971" s="14" t="s">
        <v>393</v>
      </c>
      <c r="O971" s="14" t="s">
        <v>393</v>
      </c>
      <c r="P971" s="15" t="s">
        <v>397</v>
      </c>
      <c r="Q971" s="15" t="s">
        <v>9698</v>
      </c>
      <c r="T971" s="14" t="b">
        <v>0</v>
      </c>
      <c r="U971" s="15" t="s">
        <v>9699</v>
      </c>
      <c r="V971" s="15" t="s">
        <v>9700</v>
      </c>
      <c r="W971" s="15" t="s">
        <v>401</v>
      </c>
      <c r="X971" s="15" t="s">
        <v>1296</v>
      </c>
      <c r="Y971" s="15">
        <v>2301.0</v>
      </c>
      <c r="AA971" s="15" t="str">
        <f>"885"</f>
        <v>885</v>
      </c>
      <c r="AB971" s="14" t="b">
        <v>1</v>
      </c>
      <c r="AC971" s="14" t="b">
        <v>1</v>
      </c>
      <c r="AD971" s="15" t="str">
        <f>"801542243876"</f>
        <v>801542243876</v>
      </c>
      <c r="AE971" s="15" t="s">
        <v>9701</v>
      </c>
      <c r="AF971" s="14" t="s">
        <v>404</v>
      </c>
      <c r="AG971" s="14" t="s">
        <v>405</v>
      </c>
      <c r="AH971" s="14" t="s">
        <v>406</v>
      </c>
      <c r="AI971" s="15">
        <v>0.0</v>
      </c>
      <c r="AL971" s="15" t="s">
        <v>1298</v>
      </c>
      <c r="AM971" s="15" t="s">
        <v>8422</v>
      </c>
      <c r="AN971" s="15" t="s">
        <v>6485</v>
      </c>
      <c r="AO971" s="15" t="s">
        <v>1007</v>
      </c>
      <c r="AP971" s="15" t="s">
        <v>1008</v>
      </c>
      <c r="AQ971" s="15" t="s">
        <v>1276</v>
      </c>
      <c r="AR971" s="15" t="s">
        <v>1277</v>
      </c>
      <c r="AS971" s="15" t="s">
        <v>1301</v>
      </c>
      <c r="AT971" s="15" t="s">
        <v>9698</v>
      </c>
      <c r="AW971" s="15" t="s">
        <v>664</v>
      </c>
      <c r="AY971" s="15" t="s">
        <v>413</v>
      </c>
      <c r="AZ971" s="15" t="b">
        <v>0</v>
      </c>
      <c r="BA971" s="15" t="s">
        <v>413</v>
      </c>
      <c r="BB971" s="15" t="b">
        <v>0</v>
      </c>
      <c r="BC971" s="15" t="s">
        <v>9702</v>
      </c>
      <c r="BD971" s="15" t="s">
        <v>1303</v>
      </c>
      <c r="BE971" s="15" t="str">
        <f t="shared" ref="BE971:BE983" si="1653">"1"</f>
        <v>1</v>
      </c>
      <c r="BF971" s="15" t="s">
        <v>416</v>
      </c>
      <c r="BG971" s="15" t="str">
        <f>"92"</f>
        <v>92</v>
      </c>
      <c r="BH971" s="15" t="s">
        <v>4294</v>
      </c>
      <c r="BI971" s="15" t="str">
        <f>"22"</f>
        <v>22</v>
      </c>
      <c r="BJ971" s="15" t="s">
        <v>1562</v>
      </c>
      <c r="BK971" s="15" t="str">
        <f>"36"</f>
        <v>36</v>
      </c>
      <c r="BL971" s="15" t="s">
        <v>623</v>
      </c>
      <c r="BM971" s="15" t="str">
        <f>"286.6"</f>
        <v>286.6</v>
      </c>
      <c r="BN971" s="15" t="s">
        <v>9703</v>
      </c>
      <c r="BQ971" s="15" t="s">
        <v>444</v>
      </c>
      <c r="BS971" s="15" t="s">
        <v>444</v>
      </c>
      <c r="BU971" s="15" t="s">
        <v>444</v>
      </c>
      <c r="BW971" s="15" t="s">
        <v>444</v>
      </c>
      <c r="BZ971" s="15" t="s">
        <v>444</v>
      </c>
      <c r="CB971" s="15" t="s">
        <v>444</v>
      </c>
      <c r="CD971" s="15" t="s">
        <v>444</v>
      </c>
      <c r="CF971" s="15" t="s">
        <v>444</v>
      </c>
      <c r="CI971" s="15" t="s">
        <v>444</v>
      </c>
      <c r="CK971" s="15" t="s">
        <v>444</v>
      </c>
      <c r="CM971" s="15" t="s">
        <v>444</v>
      </c>
      <c r="CO971" s="15" t="s">
        <v>444</v>
      </c>
      <c r="CP971" s="15" t="str">
        <f>"42.17"</f>
        <v>42.17</v>
      </c>
      <c r="CQ971" s="15" t="str">
        <f>"1.194"</f>
        <v>1.194</v>
      </c>
      <c r="CR971" s="15" t="s">
        <v>465</v>
      </c>
      <c r="CV971" s="15" t="s">
        <v>1213</v>
      </c>
      <c r="CW971" s="15" t="s">
        <v>1331</v>
      </c>
      <c r="CX971" s="15" t="s">
        <v>671</v>
      </c>
      <c r="DC971" s="15" t="str">
        <f>IFERROR(__xludf.DUMMYFUNCTION("""COMPUTED_VALUE"""),"")</f>
        <v/>
      </c>
      <c r="DE971" s="15" t="str">
        <f>IFERROR(__xludf.DUMMYFUNCTION("""COMPUTED_VALUE"""),"")</f>
        <v/>
      </c>
      <c r="DG971" s="15" t="str">
        <f>IFERROR(__xludf.DUMMYFUNCTION("""COMPUTED_VALUE"""),"")</f>
        <v/>
      </c>
      <c r="DL971" s="15" t="str">
        <f>IFERROR(__xludf.DUMMYFUNCTION("""COMPUTED_VALUE"""),"")</f>
        <v/>
      </c>
      <c r="DM971" s="15" t="s">
        <v>444</v>
      </c>
      <c r="DN971" s="15" t="s">
        <v>419</v>
      </c>
      <c r="DO971" s="15">
        <v>0.0</v>
      </c>
      <c r="DP971" s="15" t="s">
        <v>419</v>
      </c>
      <c r="DR971" s="15">
        <v>0.0</v>
      </c>
      <c r="DT971" s="15" t="s">
        <v>1111</v>
      </c>
      <c r="DU971" s="15" t="s">
        <v>610</v>
      </c>
      <c r="DW971" s="15">
        <v>18.14</v>
      </c>
      <c r="DX971" s="15">
        <v>40.0</v>
      </c>
      <c r="DY971" s="15">
        <v>2.0</v>
      </c>
      <c r="EG971" s="15" t="s">
        <v>444</v>
      </c>
      <c r="EH971" s="15" t="s">
        <v>9704</v>
      </c>
      <c r="EJ971" s="15" t="s">
        <v>424</v>
      </c>
      <c r="EK971" s="15" t="s">
        <v>446</v>
      </c>
      <c r="EM971" s="15" t="str">
        <f>IFERROR(__xludf.DUMMYFUNCTION("""COMPUTED_VALUE"""),"")</f>
        <v/>
      </c>
      <c r="EW971" s="15" t="s">
        <v>477</v>
      </c>
      <c r="FL971" s="15" t="s">
        <v>426</v>
      </c>
      <c r="FM971" s="15">
        <v>2.0</v>
      </c>
      <c r="FY971" s="15" t="s">
        <v>1331</v>
      </c>
      <c r="FZ971" s="15" t="s">
        <v>1512</v>
      </c>
      <c r="GA971" s="15" t="s">
        <v>650</v>
      </c>
      <c r="GB971" s="15" t="s">
        <v>1213</v>
      </c>
      <c r="GC971" s="15" t="s">
        <v>1512</v>
      </c>
      <c r="GD971" s="15" t="s">
        <v>671</v>
      </c>
      <c r="GE971" s="15">
        <v>0.0</v>
      </c>
      <c r="GF971" s="15" t="s">
        <v>426</v>
      </c>
      <c r="GH971" s="15">
        <v>4.0</v>
      </c>
      <c r="GI971" s="15" t="s">
        <v>614</v>
      </c>
      <c r="GJ971" s="15" t="s">
        <v>1045</v>
      </c>
      <c r="GK971" s="15">
        <v>0.0</v>
      </c>
      <c r="GL971" s="15" t="s">
        <v>426</v>
      </c>
      <c r="GN971" s="15" t="s">
        <v>616</v>
      </c>
    </row>
    <row r="972" ht="15.75" customHeight="1">
      <c r="A972" s="14" t="s">
        <v>391</v>
      </c>
      <c r="B972" s="15" t="s">
        <v>9705</v>
      </c>
      <c r="C972" s="16"/>
      <c r="D972" s="15" t="s">
        <v>432</v>
      </c>
      <c r="G972" s="14" t="s">
        <v>393</v>
      </c>
      <c r="H972" s="14" t="s">
        <v>394</v>
      </c>
      <c r="I972" s="14" t="b">
        <v>1</v>
      </c>
      <c r="J972" s="14" t="s">
        <v>395</v>
      </c>
      <c r="L972" s="14" t="b">
        <v>0</v>
      </c>
      <c r="M972" s="15" t="s">
        <v>9706</v>
      </c>
      <c r="N972" s="14" t="s">
        <v>393</v>
      </c>
      <c r="O972" s="14" t="s">
        <v>393</v>
      </c>
      <c r="P972" s="15" t="s">
        <v>397</v>
      </c>
      <c r="Q972" s="15" t="s">
        <v>2351</v>
      </c>
      <c r="T972" s="14" t="b">
        <v>0</v>
      </c>
      <c r="U972" s="15" t="s">
        <v>9707</v>
      </c>
      <c r="V972" s="15" t="s">
        <v>9708</v>
      </c>
      <c r="W972" s="15" t="s">
        <v>401</v>
      </c>
      <c r="X972" s="15" t="s">
        <v>695</v>
      </c>
      <c r="Y972" s="15">
        <v>4368.0</v>
      </c>
      <c r="AA972" s="15" t="str">
        <f>"1680"</f>
        <v>1680</v>
      </c>
      <c r="AB972" s="14" t="b">
        <v>1</v>
      </c>
      <c r="AC972" s="14" t="b">
        <v>1</v>
      </c>
      <c r="AD972" s="15" t="str">
        <f>"801542963545"</f>
        <v>801542963545</v>
      </c>
      <c r="AE972" s="15" t="s">
        <v>9709</v>
      </c>
      <c r="AF972" s="14" t="s">
        <v>404</v>
      </c>
      <c r="AG972" s="14" t="s">
        <v>405</v>
      </c>
      <c r="AH972" s="14" t="s">
        <v>406</v>
      </c>
      <c r="AI972" s="15">
        <v>0.0</v>
      </c>
      <c r="AL972" s="15" t="s">
        <v>1025</v>
      </c>
      <c r="AM972" s="15" t="s">
        <v>2355</v>
      </c>
      <c r="AN972" s="15" t="s">
        <v>2356</v>
      </c>
      <c r="AO972" s="15" t="s">
        <v>4800</v>
      </c>
      <c r="AP972" s="15" t="s">
        <v>4801</v>
      </c>
      <c r="AQ972" s="15" t="s">
        <v>546</v>
      </c>
      <c r="AR972" s="15" t="s">
        <v>547</v>
      </c>
      <c r="AS972" s="15" t="s">
        <v>2612</v>
      </c>
      <c r="AT972" s="15" t="s">
        <v>2351</v>
      </c>
      <c r="AW972" s="15" t="s">
        <v>602</v>
      </c>
      <c r="AY972" s="15" t="s">
        <v>413</v>
      </c>
      <c r="AZ972" s="15" t="b">
        <v>0</v>
      </c>
      <c r="BA972" s="15" t="s">
        <v>413</v>
      </c>
      <c r="BB972" s="15" t="b">
        <v>0</v>
      </c>
      <c r="BC972" s="15" t="s">
        <v>9710</v>
      </c>
      <c r="BD972" s="15" t="s">
        <v>709</v>
      </c>
      <c r="BE972" s="15" t="str">
        <f t="shared" si="1653"/>
        <v>1</v>
      </c>
      <c r="BF972" s="15" t="s">
        <v>416</v>
      </c>
      <c r="BG972" s="15" t="str">
        <f>"81.89"</f>
        <v>81.89</v>
      </c>
      <c r="BH972" s="15" t="s">
        <v>2358</v>
      </c>
      <c r="BI972" s="15" t="str">
        <f t="shared" ref="BI972:BI973" si="1654">"22.83"</f>
        <v>22.83</v>
      </c>
      <c r="BJ972" s="15" t="s">
        <v>1543</v>
      </c>
      <c r="BK972" s="15" t="str">
        <f>"26.38"</f>
        <v>26.38</v>
      </c>
      <c r="BL972" s="15" t="s">
        <v>1735</v>
      </c>
      <c r="BM972" s="15" t="str">
        <f>"162.92"</f>
        <v>162.92</v>
      </c>
      <c r="BN972" s="15" t="s">
        <v>9711</v>
      </c>
      <c r="BQ972" s="15" t="s">
        <v>444</v>
      </c>
      <c r="BS972" s="15" t="s">
        <v>444</v>
      </c>
      <c r="BU972" s="15" t="s">
        <v>444</v>
      </c>
      <c r="BW972" s="15" t="s">
        <v>444</v>
      </c>
      <c r="BZ972" s="15" t="s">
        <v>444</v>
      </c>
      <c r="CB972" s="15" t="s">
        <v>444</v>
      </c>
      <c r="CD972" s="15" t="s">
        <v>444</v>
      </c>
      <c r="CF972" s="15" t="s">
        <v>444</v>
      </c>
      <c r="CI972" s="15" t="s">
        <v>444</v>
      </c>
      <c r="CK972" s="15" t="s">
        <v>444</v>
      </c>
      <c r="CM972" s="15" t="s">
        <v>444</v>
      </c>
      <c r="CO972" s="15" t="s">
        <v>444</v>
      </c>
      <c r="CP972" s="15" t="str">
        <f>"28.53"</f>
        <v>28.53</v>
      </c>
      <c r="CQ972" s="15" t="str">
        <f>"0.808"</f>
        <v>0.808</v>
      </c>
      <c r="CR972" s="15" t="s">
        <v>497</v>
      </c>
      <c r="CV972" s="15" t="s">
        <v>1325</v>
      </c>
      <c r="CW972" s="15" t="s">
        <v>788</v>
      </c>
      <c r="CX972" s="15" t="s">
        <v>7430</v>
      </c>
      <c r="DC972" s="15" t="str">
        <f>IFERROR(__xludf.DUMMYFUNCTION("""COMPUTED_VALUE"""),"")</f>
        <v/>
      </c>
      <c r="DE972" s="15" t="str">
        <f>IFERROR(__xludf.DUMMYFUNCTION("""COMPUTED_VALUE"""),"")</f>
        <v/>
      </c>
      <c r="DG972" s="15" t="str">
        <f>IFERROR(__xludf.DUMMYFUNCTION("""COMPUTED_VALUE"""),"")</f>
        <v/>
      </c>
      <c r="DL972" s="15" t="str">
        <f>IFERROR(__xludf.DUMMYFUNCTION("""COMPUTED_VALUE"""),"")</f>
        <v/>
      </c>
      <c r="DM972" s="15" t="s">
        <v>444</v>
      </c>
      <c r="DN972" s="15" t="s">
        <v>419</v>
      </c>
      <c r="DO972" s="15">
        <v>0.0</v>
      </c>
      <c r="DP972" s="15" t="s">
        <v>419</v>
      </c>
      <c r="DR972" s="15">
        <v>0.0</v>
      </c>
      <c r="DT972" s="15" t="s">
        <v>721</v>
      </c>
      <c r="DU972" s="15" t="s">
        <v>610</v>
      </c>
      <c r="DW972" s="15">
        <v>18.14</v>
      </c>
      <c r="DX972" s="15">
        <v>40.0</v>
      </c>
      <c r="DY972" s="15">
        <v>2.0</v>
      </c>
      <c r="EG972" s="15" t="s">
        <v>444</v>
      </c>
      <c r="EH972" s="15" t="s">
        <v>9712</v>
      </c>
      <c r="EK972" s="15" t="s">
        <v>444</v>
      </c>
      <c r="EM972" s="15" t="str">
        <f>IFERROR(__xludf.DUMMYFUNCTION("""COMPUTED_VALUE"""),"")</f>
        <v/>
      </c>
      <c r="EW972" s="15" t="s">
        <v>4377</v>
      </c>
      <c r="FL972" s="15" t="s">
        <v>426</v>
      </c>
      <c r="FM972" s="15">
        <v>2.0</v>
      </c>
      <c r="FY972" s="15" t="s">
        <v>788</v>
      </c>
      <c r="FZ972" s="15" t="s">
        <v>612</v>
      </c>
      <c r="GA972" s="15" t="s">
        <v>1325</v>
      </c>
      <c r="GB972" s="15" t="s">
        <v>1325</v>
      </c>
      <c r="GC972" s="15" t="s">
        <v>612</v>
      </c>
      <c r="GD972" s="15" t="s">
        <v>7430</v>
      </c>
      <c r="GF972" s="15" t="s">
        <v>426</v>
      </c>
      <c r="GG972" s="15" t="s">
        <v>4148</v>
      </c>
      <c r="GH972" s="15">
        <v>4.0</v>
      </c>
      <c r="GI972" s="15" t="s">
        <v>614</v>
      </c>
      <c r="GJ972" s="15" t="s">
        <v>786</v>
      </c>
      <c r="GL972" s="15" t="s">
        <v>426</v>
      </c>
      <c r="GN972" s="15" t="s">
        <v>616</v>
      </c>
      <c r="HA972" s="15" t="s">
        <v>1325</v>
      </c>
      <c r="HB972" s="15" t="s">
        <v>788</v>
      </c>
      <c r="HC972" s="15" t="s">
        <v>7430</v>
      </c>
      <c r="HD972" s="15">
        <v>0.0</v>
      </c>
      <c r="HW972" s="15" t="s">
        <v>2505</v>
      </c>
      <c r="IH972" s="15" t="s">
        <v>426</v>
      </c>
    </row>
    <row r="973" ht="15.75" customHeight="1">
      <c r="A973" s="14" t="s">
        <v>391</v>
      </c>
      <c r="B973" s="15" t="s">
        <v>9713</v>
      </c>
      <c r="C973" s="16"/>
      <c r="D973" s="15" t="s">
        <v>432</v>
      </c>
      <c r="G973" s="14" t="s">
        <v>393</v>
      </c>
      <c r="H973" s="14" t="s">
        <v>394</v>
      </c>
      <c r="I973" s="14" t="b">
        <v>1</v>
      </c>
      <c r="J973" s="14" t="s">
        <v>395</v>
      </c>
      <c r="L973" s="14" t="b">
        <v>0</v>
      </c>
      <c r="M973" s="15" t="s">
        <v>9714</v>
      </c>
      <c r="N973" s="14" t="s">
        <v>393</v>
      </c>
      <c r="O973" s="14" t="s">
        <v>393</v>
      </c>
      <c r="P973" s="15" t="s">
        <v>397</v>
      </c>
      <c r="Q973" s="15" t="s">
        <v>2351</v>
      </c>
      <c r="T973" s="14" t="b">
        <v>0</v>
      </c>
      <c r="U973" s="15" t="s">
        <v>9715</v>
      </c>
      <c r="V973" s="15" t="s">
        <v>9716</v>
      </c>
      <c r="W973" s="15" t="s">
        <v>401</v>
      </c>
      <c r="X973" s="15" t="s">
        <v>695</v>
      </c>
      <c r="Y973" s="15">
        <v>2522.0</v>
      </c>
      <c r="AA973" s="15" t="str">
        <f>"970"</f>
        <v>970</v>
      </c>
      <c r="AB973" s="14" t="b">
        <v>1</v>
      </c>
      <c r="AC973" s="14" t="b">
        <v>1</v>
      </c>
      <c r="AD973" s="15" t="str">
        <f>"801542991685"</f>
        <v>801542991685</v>
      </c>
      <c r="AE973" s="15" t="s">
        <v>9717</v>
      </c>
      <c r="AF973" s="14" t="s">
        <v>404</v>
      </c>
      <c r="AG973" s="14" t="s">
        <v>405</v>
      </c>
      <c r="AH973" s="14" t="s">
        <v>406</v>
      </c>
      <c r="AI973" s="15">
        <v>0.0</v>
      </c>
      <c r="AL973" s="15" t="s">
        <v>1025</v>
      </c>
      <c r="AM973" s="15" t="s">
        <v>2557</v>
      </c>
      <c r="AN973" s="15" t="s">
        <v>2558</v>
      </c>
      <c r="AO973" s="15" t="s">
        <v>4800</v>
      </c>
      <c r="AP973" s="15" t="s">
        <v>4801</v>
      </c>
      <c r="AQ973" s="15" t="s">
        <v>645</v>
      </c>
      <c r="AR973" s="15" t="s">
        <v>646</v>
      </c>
      <c r="AS973" s="15" t="s">
        <v>2612</v>
      </c>
      <c r="AT973" s="15" t="s">
        <v>2351</v>
      </c>
      <c r="AW973" s="15" t="s">
        <v>2891</v>
      </c>
      <c r="AX973" s="15" t="s">
        <v>4563</v>
      </c>
      <c r="AY973" s="15" t="s">
        <v>413</v>
      </c>
      <c r="AZ973" s="15" t="b">
        <v>0</v>
      </c>
      <c r="BA973" s="15" t="s">
        <v>413</v>
      </c>
      <c r="BB973" s="15" t="b">
        <v>0</v>
      </c>
      <c r="BC973" s="15" t="s">
        <v>9718</v>
      </c>
      <c r="BD973" s="15" t="s">
        <v>709</v>
      </c>
      <c r="BE973" s="15" t="str">
        <f t="shared" si="1653"/>
        <v>1</v>
      </c>
      <c r="BF973" s="15" t="s">
        <v>416</v>
      </c>
      <c r="BG973" s="15" t="str">
        <f>"46.46"</f>
        <v>46.46</v>
      </c>
      <c r="BH973" s="15" t="s">
        <v>4113</v>
      </c>
      <c r="BI973" s="15" t="str">
        <f t="shared" si="1654"/>
        <v>22.83</v>
      </c>
      <c r="BJ973" s="15" t="s">
        <v>1543</v>
      </c>
      <c r="BK973" s="15" t="str">
        <f>"32.28"</f>
        <v>32.28</v>
      </c>
      <c r="BL973" s="15" t="s">
        <v>954</v>
      </c>
      <c r="BM973" s="15" t="str">
        <f>"108.47"</f>
        <v>108.47</v>
      </c>
      <c r="BN973" s="15" t="s">
        <v>9719</v>
      </c>
      <c r="BQ973" s="15" t="s">
        <v>444</v>
      </c>
      <c r="BS973" s="15" t="s">
        <v>444</v>
      </c>
      <c r="BU973" s="15" t="s">
        <v>444</v>
      </c>
      <c r="BW973" s="15" t="s">
        <v>444</v>
      </c>
      <c r="BZ973" s="15" t="s">
        <v>444</v>
      </c>
      <c r="CB973" s="15" t="s">
        <v>444</v>
      </c>
      <c r="CD973" s="15" t="s">
        <v>444</v>
      </c>
      <c r="CF973" s="15" t="s">
        <v>444</v>
      </c>
      <c r="CI973" s="15" t="s">
        <v>444</v>
      </c>
      <c r="CK973" s="15" t="s">
        <v>444</v>
      </c>
      <c r="CM973" s="15" t="s">
        <v>444</v>
      </c>
      <c r="CO973" s="15" t="s">
        <v>444</v>
      </c>
      <c r="CP973" s="15" t="str">
        <f>"19.81"</f>
        <v>19.81</v>
      </c>
      <c r="CQ973" s="15" t="str">
        <f>"0.561"</f>
        <v>0.561</v>
      </c>
      <c r="CR973" s="15" t="s">
        <v>497</v>
      </c>
      <c r="CV973" s="15" t="s">
        <v>1213</v>
      </c>
      <c r="CW973" s="15" t="s">
        <v>1700</v>
      </c>
      <c r="CX973" s="15" t="s">
        <v>2270</v>
      </c>
      <c r="DC973" s="15" t="str">
        <f>IFERROR(__xludf.DUMMYFUNCTION("""COMPUTED_VALUE"""),"")</f>
        <v/>
      </c>
      <c r="DE973" s="15" t="str">
        <f>IFERROR(__xludf.DUMMYFUNCTION("""COMPUTED_VALUE"""),"")</f>
        <v/>
      </c>
      <c r="DG973" s="15" t="str">
        <f>IFERROR(__xludf.DUMMYFUNCTION("""COMPUTED_VALUE"""),"")</f>
        <v/>
      </c>
      <c r="DL973" s="15" t="str">
        <f>IFERROR(__xludf.DUMMYFUNCTION("""COMPUTED_VALUE"""),"")</f>
        <v/>
      </c>
      <c r="DM973" s="15" t="s">
        <v>444</v>
      </c>
      <c r="DN973" s="15" t="s">
        <v>419</v>
      </c>
      <c r="DO973" s="15">
        <v>0.0</v>
      </c>
      <c r="DP973" s="15" t="s">
        <v>419</v>
      </c>
      <c r="DR973" s="15">
        <v>0.0</v>
      </c>
      <c r="DT973" s="15" t="s">
        <v>721</v>
      </c>
      <c r="DU973" s="15" t="s">
        <v>610</v>
      </c>
      <c r="DW973" s="15">
        <v>18.14</v>
      </c>
      <c r="DX973" s="15">
        <v>40.0</v>
      </c>
      <c r="DY973" s="15">
        <v>1.0</v>
      </c>
      <c r="EF973" s="15" t="s">
        <v>1906</v>
      </c>
      <c r="EG973" s="15" t="s">
        <v>1907</v>
      </c>
      <c r="EH973" s="15" t="s">
        <v>9712</v>
      </c>
      <c r="EK973" s="15" t="s">
        <v>444</v>
      </c>
      <c r="EM973" s="15" t="str">
        <f>IFERROR(__xludf.DUMMYFUNCTION("""COMPUTED_VALUE"""),"")</f>
        <v/>
      </c>
      <c r="EW973" s="15" t="s">
        <v>4377</v>
      </c>
      <c r="FL973" s="15" t="s">
        <v>426</v>
      </c>
      <c r="FM973" s="15">
        <v>1.0</v>
      </c>
      <c r="FY973" s="15" t="s">
        <v>1700</v>
      </c>
      <c r="FZ973" s="15" t="s">
        <v>612</v>
      </c>
      <c r="GA973" s="15" t="s">
        <v>466</v>
      </c>
      <c r="GB973" s="15" t="s">
        <v>1213</v>
      </c>
      <c r="GC973" s="15" t="s">
        <v>612</v>
      </c>
      <c r="GD973" s="15" t="s">
        <v>2270</v>
      </c>
      <c r="GE973" s="15">
        <v>0.0</v>
      </c>
      <c r="GF973" s="15" t="s">
        <v>426</v>
      </c>
      <c r="GG973" s="15" t="s">
        <v>4148</v>
      </c>
      <c r="GH973" s="15">
        <v>2.0</v>
      </c>
      <c r="GI973" s="15" t="s">
        <v>614</v>
      </c>
      <c r="GJ973" s="15" t="s">
        <v>786</v>
      </c>
      <c r="GK973" s="15">
        <v>0.0</v>
      </c>
      <c r="GL973" s="15" t="s">
        <v>426</v>
      </c>
      <c r="GM973" s="15" t="s">
        <v>4573</v>
      </c>
      <c r="GN973" s="15" t="s">
        <v>616</v>
      </c>
      <c r="GP973" s="15">
        <v>0.0</v>
      </c>
      <c r="HW973" s="15" t="s">
        <v>2505</v>
      </c>
      <c r="IH973" s="15" t="s">
        <v>426</v>
      </c>
    </row>
    <row r="974" ht="15.75" customHeight="1">
      <c r="A974" s="14" t="s">
        <v>391</v>
      </c>
      <c r="B974" s="15" t="s">
        <v>9720</v>
      </c>
      <c r="C974" s="16"/>
      <c r="D974" s="15" t="s">
        <v>432</v>
      </c>
      <c r="G974" s="14" t="s">
        <v>393</v>
      </c>
      <c r="H974" s="14" t="s">
        <v>394</v>
      </c>
      <c r="I974" s="14" t="b">
        <v>1</v>
      </c>
      <c r="J974" s="14" t="s">
        <v>395</v>
      </c>
      <c r="L974" s="14" t="b">
        <v>0</v>
      </c>
      <c r="M974" s="15" t="s">
        <v>9721</v>
      </c>
      <c r="N974" s="14" t="s">
        <v>393</v>
      </c>
      <c r="O974" s="14" t="s">
        <v>393</v>
      </c>
      <c r="P974" s="15" t="s">
        <v>397</v>
      </c>
      <c r="Q974" s="15" t="s">
        <v>8606</v>
      </c>
      <c r="T974" s="14" t="b">
        <v>0</v>
      </c>
      <c r="U974" s="15" t="s">
        <v>9722</v>
      </c>
      <c r="V974" s="15" t="s">
        <v>9723</v>
      </c>
      <c r="W974" s="15" t="s">
        <v>401</v>
      </c>
      <c r="X974" s="15" t="s">
        <v>695</v>
      </c>
      <c r="Y974" s="15">
        <v>2626.0</v>
      </c>
      <c r="AA974" s="15" t="str">
        <f>"1010"</f>
        <v>1010</v>
      </c>
      <c r="AB974" s="14" t="b">
        <v>1</v>
      </c>
      <c r="AC974" s="14" t="b">
        <v>1</v>
      </c>
      <c r="AD974" s="15" t="str">
        <f>"801542672515"</f>
        <v>801542672515</v>
      </c>
      <c r="AE974" s="15" t="s">
        <v>9724</v>
      </c>
      <c r="AF974" s="14" t="s">
        <v>404</v>
      </c>
      <c r="AG974" s="14" t="s">
        <v>405</v>
      </c>
      <c r="AH974" s="14" t="s">
        <v>406</v>
      </c>
      <c r="AI974" s="15">
        <v>0.0</v>
      </c>
      <c r="AL974" s="15" t="s">
        <v>808</v>
      </c>
      <c r="AM974" s="15" t="s">
        <v>1085</v>
      </c>
      <c r="AN974" s="15" t="s">
        <v>1086</v>
      </c>
      <c r="AO974" s="15" t="s">
        <v>698</v>
      </c>
      <c r="AP974" s="15" t="s">
        <v>699</v>
      </c>
      <c r="AQ974" s="15" t="s">
        <v>645</v>
      </c>
      <c r="AR974" s="15" t="s">
        <v>646</v>
      </c>
      <c r="AS974" s="15" t="s">
        <v>1317</v>
      </c>
      <c r="AT974" s="15" t="s">
        <v>8606</v>
      </c>
      <c r="AU974" s="15" t="s">
        <v>1850</v>
      </c>
      <c r="AW974" s="15" t="s">
        <v>706</v>
      </c>
      <c r="AX974" s="15" t="s">
        <v>707</v>
      </c>
      <c r="AY974" s="15" t="s">
        <v>413</v>
      </c>
      <c r="AZ974" s="15" t="b">
        <v>0</v>
      </c>
      <c r="BA974" s="15" t="s">
        <v>413</v>
      </c>
      <c r="BB974" s="15" t="b">
        <v>0</v>
      </c>
      <c r="BC974" s="15" t="s">
        <v>9725</v>
      </c>
      <c r="BD974" s="15" t="s">
        <v>709</v>
      </c>
      <c r="BE974" s="15" t="str">
        <f t="shared" si="1653"/>
        <v>1</v>
      </c>
      <c r="BF974" s="15" t="s">
        <v>9726</v>
      </c>
      <c r="BG974" s="15" t="str">
        <f t="shared" ref="BG974:BG976" si="1655">"30.31"</f>
        <v>30.31</v>
      </c>
      <c r="BH974" s="15" t="s">
        <v>982</v>
      </c>
      <c r="BI974" s="15" t="str">
        <f t="shared" ref="BI974:BI976" si="1656">"39.37"</f>
        <v>39.37</v>
      </c>
      <c r="BJ974" s="15" t="s">
        <v>523</v>
      </c>
      <c r="BK974" s="15" t="str">
        <f t="shared" ref="BK974:BK976" si="1657">"37.01"</f>
        <v>37.01</v>
      </c>
      <c r="BL974" s="15" t="s">
        <v>1990</v>
      </c>
      <c r="BM974" s="15" t="str">
        <f t="shared" ref="BM974:BM976" si="1658">"55.34"</f>
        <v>55.34</v>
      </c>
      <c r="BN974" s="15" t="s">
        <v>9727</v>
      </c>
      <c r="BQ974" s="15" t="s">
        <v>444</v>
      </c>
      <c r="BS974" s="15" t="s">
        <v>444</v>
      </c>
      <c r="BU974" s="15" t="s">
        <v>444</v>
      </c>
      <c r="BW974" s="15" t="s">
        <v>444</v>
      </c>
      <c r="BZ974" s="15" t="s">
        <v>444</v>
      </c>
      <c r="CB974" s="15" t="s">
        <v>444</v>
      </c>
      <c r="CD974" s="15" t="s">
        <v>444</v>
      </c>
      <c r="CF974" s="15" t="s">
        <v>444</v>
      </c>
      <c r="CI974" s="15" t="s">
        <v>444</v>
      </c>
      <c r="CK974" s="15" t="s">
        <v>444</v>
      </c>
      <c r="CM974" s="15" t="s">
        <v>444</v>
      </c>
      <c r="CO974" s="15" t="s">
        <v>444</v>
      </c>
      <c r="CP974" s="15" t="str">
        <f t="shared" ref="CP974:CP976" si="1659">"21.61"</f>
        <v>21.61</v>
      </c>
      <c r="CQ974" s="15" t="str">
        <f t="shared" ref="CQ974:CQ976" si="1660">"0.612"</f>
        <v>0.612</v>
      </c>
      <c r="CR974" s="15" t="s">
        <v>465</v>
      </c>
      <c r="CY974" s="15" t="s">
        <v>1072</v>
      </c>
      <c r="CZ974" s="15" t="s">
        <v>429</v>
      </c>
      <c r="DA974" s="15" t="s">
        <v>1064</v>
      </c>
      <c r="DB974" s="15" t="s">
        <v>1072</v>
      </c>
      <c r="DC974" s="15" t="str">
        <f>IFERROR(__xludf.DUMMYFUNCTION("""COMPUTED_VALUE"""),"{""value"":22.00,""unit"":""in""}")</f>
        <v>{"value":22.00,"unit":"in"}</v>
      </c>
      <c r="DD974" s="15" t="s">
        <v>1324</v>
      </c>
      <c r="DE974" s="15" t="str">
        <f>IFERROR(__xludf.DUMMYFUNCTION("""COMPUTED_VALUE"""),"{""value"":20.00,""unit"":""in""}")</f>
        <v>{"value":20.00,"unit":"in"}</v>
      </c>
      <c r="DG974" s="15" t="str">
        <f>IFERROR(__xludf.DUMMYFUNCTION("""COMPUTED_VALUE"""),"")</f>
        <v/>
      </c>
      <c r="DH974" s="15">
        <v>0.0</v>
      </c>
      <c r="DI974" s="15">
        <v>1.0</v>
      </c>
      <c r="DJ974" s="15" t="s">
        <v>717</v>
      </c>
      <c r="DK974" s="15" t="s">
        <v>718</v>
      </c>
      <c r="DL974" s="15" t="str">
        <f>IFERROR(__xludf.DUMMYFUNCTION("""COMPUTED_VALUE"""),"Vacuum or light brush only. Do not use water or any cleaning products.")</f>
        <v>Vacuum or light brush only. Do not use water or any cleaning products.</v>
      </c>
      <c r="DM974" s="15" t="s">
        <v>719</v>
      </c>
      <c r="DT974" s="15" t="s">
        <v>721</v>
      </c>
      <c r="DU974" s="15" t="s">
        <v>419</v>
      </c>
      <c r="DV974" s="15">
        <v>0.0</v>
      </c>
      <c r="DZ974" s="15">
        <v>0.0</v>
      </c>
      <c r="EA974" s="15" t="s">
        <v>722</v>
      </c>
      <c r="EB974" s="15" t="s">
        <v>2927</v>
      </c>
      <c r="EC974" s="15" t="s">
        <v>3306</v>
      </c>
      <c r="ED974" s="15">
        <v>1.0</v>
      </c>
      <c r="EE974" s="15">
        <v>1.0</v>
      </c>
      <c r="EG974" s="15" t="s">
        <v>444</v>
      </c>
      <c r="EH974" s="15" t="s">
        <v>9728</v>
      </c>
      <c r="EI974" s="15">
        <v>0.0</v>
      </c>
      <c r="EJ974" s="15" t="s">
        <v>726</v>
      </c>
      <c r="EK974" s="15" t="s">
        <v>727</v>
      </c>
      <c r="EL974" s="15" t="s">
        <v>1286</v>
      </c>
      <c r="EM974" s="15" t="str">
        <f>IFERROR(__xludf.DUMMYFUNCTION("""COMPUTED_VALUE"""),"{""value"":23.50,""unit"":""in""}")</f>
        <v>{"value":23.50,"unit":"in"}</v>
      </c>
      <c r="EN974" s="15" t="s">
        <v>635</v>
      </c>
      <c r="EO974" s="15" t="s">
        <v>1574</v>
      </c>
      <c r="ES974" s="15" t="s">
        <v>1188</v>
      </c>
      <c r="ET974" s="15" t="s">
        <v>429</v>
      </c>
      <c r="EU974" s="15" t="s">
        <v>504</v>
      </c>
      <c r="EV974" s="15" t="s">
        <v>555</v>
      </c>
      <c r="EW974" s="15" t="s">
        <v>1593</v>
      </c>
      <c r="EX974" s="15" t="s">
        <v>558</v>
      </c>
      <c r="EY974" s="15" t="s">
        <v>1283</v>
      </c>
      <c r="EZ974" s="15" t="s">
        <v>504</v>
      </c>
      <c r="FC974" s="15" t="s">
        <v>2927</v>
      </c>
      <c r="FD974" s="15" t="s">
        <v>3306</v>
      </c>
      <c r="FF974" s="15" t="s">
        <v>9729</v>
      </c>
      <c r="FO974" s="15" t="s">
        <v>2384</v>
      </c>
      <c r="FP974" s="15" t="s">
        <v>1064</v>
      </c>
      <c r="FQ974" s="15">
        <v>0.0</v>
      </c>
      <c r="FR974" s="15">
        <v>0.0</v>
      </c>
      <c r="FT974" s="15">
        <v>0.0</v>
      </c>
    </row>
    <row r="975" ht="15.75" customHeight="1">
      <c r="A975" s="14" t="s">
        <v>391</v>
      </c>
      <c r="B975" s="15" t="s">
        <v>9720</v>
      </c>
      <c r="C975" s="16"/>
      <c r="D975" s="15" t="s">
        <v>432</v>
      </c>
      <c r="G975" s="14" t="s">
        <v>393</v>
      </c>
      <c r="H975" s="14" t="s">
        <v>394</v>
      </c>
      <c r="I975" s="14" t="b">
        <v>1</v>
      </c>
      <c r="J975" s="14" t="s">
        <v>395</v>
      </c>
      <c r="L975" s="14" t="b">
        <v>0</v>
      </c>
      <c r="M975" s="15" t="s">
        <v>9730</v>
      </c>
      <c r="N975" s="14" t="s">
        <v>393</v>
      </c>
      <c r="O975" s="14" t="s">
        <v>393</v>
      </c>
      <c r="P975" s="15" t="s">
        <v>397</v>
      </c>
      <c r="Q975" s="15" t="s">
        <v>1658</v>
      </c>
      <c r="T975" s="14" t="b">
        <v>0</v>
      </c>
      <c r="U975" s="15" t="s">
        <v>9731</v>
      </c>
      <c r="V975" s="15" t="s">
        <v>9723</v>
      </c>
      <c r="W975" s="15" t="s">
        <v>401</v>
      </c>
      <c r="X975" s="15" t="s">
        <v>695</v>
      </c>
      <c r="Y975" s="15">
        <v>2301.0</v>
      </c>
      <c r="AA975" s="15" t="str">
        <f t="shared" ref="AA975:AA976" si="1661">"885"</f>
        <v>885</v>
      </c>
      <c r="AB975" s="14" t="b">
        <v>1</v>
      </c>
      <c r="AC975" s="14" t="b">
        <v>1</v>
      </c>
      <c r="AD975" s="15" t="str">
        <f>"801542725143"</f>
        <v>801542725143</v>
      </c>
      <c r="AE975" s="15" t="s">
        <v>9732</v>
      </c>
      <c r="AF975" s="14" t="s">
        <v>404</v>
      </c>
      <c r="AG975" s="14" t="s">
        <v>405</v>
      </c>
      <c r="AH975" s="14" t="s">
        <v>406</v>
      </c>
      <c r="AI975" s="15">
        <v>0.0</v>
      </c>
      <c r="AL975" s="15" t="s">
        <v>808</v>
      </c>
      <c r="AM975" s="15" t="s">
        <v>1085</v>
      </c>
      <c r="AN975" s="15" t="s">
        <v>1086</v>
      </c>
      <c r="AO975" s="15" t="s">
        <v>698</v>
      </c>
      <c r="AP975" s="15" t="s">
        <v>699</v>
      </c>
      <c r="AQ975" s="15" t="s">
        <v>645</v>
      </c>
      <c r="AR975" s="15" t="s">
        <v>646</v>
      </c>
      <c r="AS975" s="15" t="s">
        <v>1317</v>
      </c>
      <c r="AT975" s="15" t="s">
        <v>1658</v>
      </c>
      <c r="AU975" s="15" t="s">
        <v>2579</v>
      </c>
      <c r="AW975" s="15" t="s">
        <v>706</v>
      </c>
      <c r="AX975" s="15" t="s">
        <v>707</v>
      </c>
      <c r="AY975" s="15" t="s">
        <v>413</v>
      </c>
      <c r="AZ975" s="15" t="b">
        <v>0</v>
      </c>
      <c r="BA975" s="15" t="s">
        <v>413</v>
      </c>
      <c r="BB975" s="15" t="b">
        <v>0</v>
      </c>
      <c r="BD975" s="15" t="s">
        <v>709</v>
      </c>
      <c r="BE975" s="15" t="str">
        <f t="shared" si="1653"/>
        <v>1</v>
      </c>
      <c r="BF975" s="15" t="s">
        <v>9726</v>
      </c>
      <c r="BG975" s="15" t="str">
        <f t="shared" si="1655"/>
        <v>30.31</v>
      </c>
      <c r="BH975" s="15" t="s">
        <v>982</v>
      </c>
      <c r="BI975" s="15" t="str">
        <f t="shared" si="1656"/>
        <v>39.37</v>
      </c>
      <c r="BJ975" s="15" t="s">
        <v>523</v>
      </c>
      <c r="BK975" s="15" t="str">
        <f t="shared" si="1657"/>
        <v>37.01</v>
      </c>
      <c r="BL975" s="15" t="s">
        <v>1990</v>
      </c>
      <c r="BM975" s="15" t="str">
        <f t="shared" si="1658"/>
        <v>55.34</v>
      </c>
      <c r="BN975" s="15" t="s">
        <v>9727</v>
      </c>
      <c r="BQ975" s="15" t="s">
        <v>444</v>
      </c>
      <c r="BS975" s="15" t="s">
        <v>444</v>
      </c>
      <c r="BU975" s="15" t="s">
        <v>444</v>
      </c>
      <c r="BW975" s="15" t="s">
        <v>444</v>
      </c>
      <c r="BZ975" s="15" t="s">
        <v>444</v>
      </c>
      <c r="CB975" s="15" t="s">
        <v>444</v>
      </c>
      <c r="CD975" s="15" t="s">
        <v>444</v>
      </c>
      <c r="CF975" s="15" t="s">
        <v>444</v>
      </c>
      <c r="CI975" s="15" t="s">
        <v>444</v>
      </c>
      <c r="CK975" s="15" t="s">
        <v>444</v>
      </c>
      <c r="CM975" s="15" t="s">
        <v>444</v>
      </c>
      <c r="CO975" s="15" t="s">
        <v>444</v>
      </c>
      <c r="CP975" s="15" t="str">
        <f t="shared" si="1659"/>
        <v>21.61</v>
      </c>
      <c r="CQ975" s="15" t="str">
        <f t="shared" si="1660"/>
        <v>0.612</v>
      </c>
      <c r="CR975" s="15" t="s">
        <v>465</v>
      </c>
      <c r="CY975" s="15" t="s">
        <v>1072</v>
      </c>
      <c r="CZ975" s="15" t="s">
        <v>429</v>
      </c>
      <c r="DA975" s="15" t="s">
        <v>1064</v>
      </c>
      <c r="DB975" s="15" t="s">
        <v>1072</v>
      </c>
      <c r="DC975" s="15" t="str">
        <f>IFERROR(__xludf.DUMMYFUNCTION("""COMPUTED_VALUE"""),"{""value"":22.00,""unit"":""in""}")</f>
        <v>{"value":22.00,"unit":"in"}</v>
      </c>
      <c r="DD975" s="15" t="s">
        <v>1324</v>
      </c>
      <c r="DE975" s="15" t="str">
        <f>IFERROR(__xludf.DUMMYFUNCTION("""COMPUTED_VALUE"""),"{""value"":20.00,""unit"":""in""}")</f>
        <v>{"value":20.00,"unit":"in"}</v>
      </c>
      <c r="DG975" s="15" t="str">
        <f>IFERROR(__xludf.DUMMYFUNCTION("""COMPUTED_VALUE"""),"")</f>
        <v/>
      </c>
      <c r="DH975" s="15">
        <v>0.0</v>
      </c>
      <c r="DI975" s="15">
        <v>1.0</v>
      </c>
      <c r="DJ975" s="15" t="s">
        <v>717</v>
      </c>
      <c r="DK975" s="15" t="s">
        <v>718</v>
      </c>
      <c r="DL975" s="15" t="str">
        <f>IFERROR(__xludf.DUMMYFUNCTION("""COMPUTED_VALUE"""),"Vacuum or light brush only. Do not use water or any cleaning products.")</f>
        <v>Vacuum or light brush only. Do not use water or any cleaning products.</v>
      </c>
      <c r="DM975" s="15" t="s">
        <v>719</v>
      </c>
      <c r="DT975" s="15" t="s">
        <v>721</v>
      </c>
      <c r="DU975" s="15" t="s">
        <v>419</v>
      </c>
      <c r="DV975" s="15">
        <v>0.0</v>
      </c>
      <c r="DZ975" s="15">
        <v>0.0</v>
      </c>
      <c r="EA975" s="15" t="s">
        <v>722</v>
      </c>
      <c r="EB975" s="15" t="s">
        <v>2927</v>
      </c>
      <c r="EC975" s="15" t="s">
        <v>3306</v>
      </c>
      <c r="ED975" s="15">
        <v>1.0</v>
      </c>
      <c r="EE975" s="15">
        <v>1.0</v>
      </c>
      <c r="EG975" s="15" t="s">
        <v>444</v>
      </c>
      <c r="EH975" s="15" t="s">
        <v>9728</v>
      </c>
      <c r="EI975" s="15">
        <v>0.0</v>
      </c>
      <c r="EJ975" s="15" t="s">
        <v>726</v>
      </c>
      <c r="EK975" s="15" t="s">
        <v>727</v>
      </c>
      <c r="EL975" s="15" t="s">
        <v>1286</v>
      </c>
      <c r="EM975" s="15" t="str">
        <f>IFERROR(__xludf.DUMMYFUNCTION("""COMPUTED_VALUE"""),"{""value"":23.50,""unit"":""in""}")</f>
        <v>{"value":23.50,"unit":"in"}</v>
      </c>
      <c r="EN975" s="15" t="s">
        <v>635</v>
      </c>
      <c r="EO975" s="15" t="s">
        <v>1574</v>
      </c>
      <c r="ES975" s="15" t="s">
        <v>1188</v>
      </c>
      <c r="ET975" s="15" t="s">
        <v>429</v>
      </c>
      <c r="EU975" s="15" t="s">
        <v>504</v>
      </c>
      <c r="EV975" s="15" t="s">
        <v>555</v>
      </c>
      <c r="EW975" s="15" t="s">
        <v>1593</v>
      </c>
      <c r="EX975" s="15" t="s">
        <v>558</v>
      </c>
      <c r="EY975" s="15" t="s">
        <v>1283</v>
      </c>
      <c r="EZ975" s="15" t="s">
        <v>504</v>
      </c>
      <c r="FC975" s="15" t="s">
        <v>2927</v>
      </c>
      <c r="FD975" s="15" t="s">
        <v>3306</v>
      </c>
      <c r="FF975" s="15" t="s">
        <v>9729</v>
      </c>
      <c r="FO975" s="15" t="s">
        <v>2384</v>
      </c>
      <c r="FP975" s="15" t="s">
        <v>1064</v>
      </c>
      <c r="FQ975" s="15">
        <v>0.0</v>
      </c>
      <c r="FR975" s="15">
        <v>0.0</v>
      </c>
      <c r="FT975" s="15">
        <v>0.0</v>
      </c>
    </row>
    <row r="976" ht="15.75" customHeight="1">
      <c r="A976" s="14" t="s">
        <v>391</v>
      </c>
      <c r="B976" s="15" t="s">
        <v>9720</v>
      </c>
      <c r="C976" s="16"/>
      <c r="D976" s="15" t="s">
        <v>432</v>
      </c>
      <c r="G976" s="14" t="s">
        <v>393</v>
      </c>
      <c r="H976" s="14" t="s">
        <v>394</v>
      </c>
      <c r="I976" s="14" t="b">
        <v>1</v>
      </c>
      <c r="J976" s="14" t="s">
        <v>395</v>
      </c>
      <c r="L976" s="14" t="b">
        <v>0</v>
      </c>
      <c r="M976" s="15" t="s">
        <v>9733</v>
      </c>
      <c r="N976" s="14" t="s">
        <v>393</v>
      </c>
      <c r="O976" s="14" t="s">
        <v>393</v>
      </c>
      <c r="P976" s="15" t="s">
        <v>397</v>
      </c>
      <c r="Q976" s="15" t="s">
        <v>4231</v>
      </c>
      <c r="T976" s="14" t="b">
        <v>0</v>
      </c>
      <c r="U976" s="15" t="s">
        <v>9734</v>
      </c>
      <c r="V976" s="15" t="s">
        <v>9723</v>
      </c>
      <c r="W976" s="15" t="s">
        <v>401</v>
      </c>
      <c r="X976" s="15" t="s">
        <v>695</v>
      </c>
      <c r="Y976" s="15">
        <v>2301.0</v>
      </c>
      <c r="AA976" s="15" t="str">
        <f t="shared" si="1661"/>
        <v>885</v>
      </c>
      <c r="AB976" s="14" t="b">
        <v>1</v>
      </c>
      <c r="AC976" s="14" t="b">
        <v>1</v>
      </c>
      <c r="AD976" s="15" t="str">
        <f>"801542672522"</f>
        <v>801542672522</v>
      </c>
      <c r="AE976" s="15" t="s">
        <v>9735</v>
      </c>
      <c r="AF976" s="14" t="s">
        <v>404</v>
      </c>
      <c r="AG976" s="14" t="s">
        <v>405</v>
      </c>
      <c r="AH976" s="14" t="s">
        <v>406</v>
      </c>
      <c r="AI976" s="15">
        <v>0.0</v>
      </c>
      <c r="AL976" s="15" t="s">
        <v>808</v>
      </c>
      <c r="AM976" s="15" t="s">
        <v>1085</v>
      </c>
      <c r="AN976" s="15" t="s">
        <v>1086</v>
      </c>
      <c r="AO976" s="15" t="s">
        <v>698</v>
      </c>
      <c r="AP976" s="15" t="s">
        <v>699</v>
      </c>
      <c r="AQ976" s="15" t="s">
        <v>645</v>
      </c>
      <c r="AR976" s="15" t="s">
        <v>646</v>
      </c>
      <c r="AS976" s="15" t="s">
        <v>1317</v>
      </c>
      <c r="AT976" s="15" t="s">
        <v>4231</v>
      </c>
      <c r="AU976" s="15" t="s">
        <v>9736</v>
      </c>
      <c r="AW976" s="15" t="s">
        <v>706</v>
      </c>
      <c r="AX976" s="15" t="s">
        <v>707</v>
      </c>
      <c r="AY976" s="15" t="s">
        <v>413</v>
      </c>
      <c r="AZ976" s="15" t="b">
        <v>0</v>
      </c>
      <c r="BA976" s="15" t="s">
        <v>413</v>
      </c>
      <c r="BB976" s="15" t="b">
        <v>0</v>
      </c>
      <c r="BC976" s="15" t="s">
        <v>9737</v>
      </c>
      <c r="BD976" s="15" t="s">
        <v>709</v>
      </c>
      <c r="BE976" s="15" t="str">
        <f t="shared" si="1653"/>
        <v>1</v>
      </c>
      <c r="BF976" s="15" t="s">
        <v>9726</v>
      </c>
      <c r="BG976" s="15" t="str">
        <f t="shared" si="1655"/>
        <v>30.31</v>
      </c>
      <c r="BH976" s="15" t="s">
        <v>982</v>
      </c>
      <c r="BI976" s="15" t="str">
        <f t="shared" si="1656"/>
        <v>39.37</v>
      </c>
      <c r="BJ976" s="15" t="s">
        <v>523</v>
      </c>
      <c r="BK976" s="15" t="str">
        <f t="shared" si="1657"/>
        <v>37.01</v>
      </c>
      <c r="BL976" s="15" t="s">
        <v>1990</v>
      </c>
      <c r="BM976" s="15" t="str">
        <f t="shared" si="1658"/>
        <v>55.34</v>
      </c>
      <c r="BN976" s="15" t="s">
        <v>9727</v>
      </c>
      <c r="BQ976" s="15" t="s">
        <v>444</v>
      </c>
      <c r="BS976" s="15" t="s">
        <v>444</v>
      </c>
      <c r="BU976" s="15" t="s">
        <v>444</v>
      </c>
      <c r="BW976" s="15" t="s">
        <v>444</v>
      </c>
      <c r="BZ976" s="15" t="s">
        <v>444</v>
      </c>
      <c r="CB976" s="15" t="s">
        <v>444</v>
      </c>
      <c r="CD976" s="15" t="s">
        <v>444</v>
      </c>
      <c r="CF976" s="15" t="s">
        <v>444</v>
      </c>
      <c r="CI976" s="15" t="s">
        <v>444</v>
      </c>
      <c r="CK976" s="15" t="s">
        <v>444</v>
      </c>
      <c r="CM976" s="15" t="s">
        <v>444</v>
      </c>
      <c r="CO976" s="15" t="s">
        <v>444</v>
      </c>
      <c r="CP976" s="15" t="str">
        <f t="shared" si="1659"/>
        <v>21.61</v>
      </c>
      <c r="CQ976" s="15" t="str">
        <f t="shared" si="1660"/>
        <v>0.612</v>
      </c>
      <c r="CR976" s="15" t="s">
        <v>417</v>
      </c>
      <c r="CY976" s="15" t="s">
        <v>1072</v>
      </c>
      <c r="CZ976" s="15" t="s">
        <v>429</v>
      </c>
      <c r="DA976" s="15" t="s">
        <v>1064</v>
      </c>
      <c r="DB976" s="15" t="s">
        <v>1072</v>
      </c>
      <c r="DC976" s="15" t="str">
        <f>IFERROR(__xludf.DUMMYFUNCTION("""COMPUTED_VALUE"""),"{""value"":22.00,""unit"":""in""}")</f>
        <v>{"value":22.00,"unit":"in"}</v>
      </c>
      <c r="DD976" s="15" t="s">
        <v>1324</v>
      </c>
      <c r="DE976" s="15" t="str">
        <f>IFERROR(__xludf.DUMMYFUNCTION("""COMPUTED_VALUE"""),"{""value"":20.00,""unit"":""in""}")</f>
        <v>{"value":20.00,"unit":"in"}</v>
      </c>
      <c r="DG976" s="15" t="str">
        <f>IFERROR(__xludf.DUMMYFUNCTION("""COMPUTED_VALUE"""),"")</f>
        <v/>
      </c>
      <c r="DH976" s="15">
        <v>0.0</v>
      </c>
      <c r="DI976" s="15">
        <v>1.0</v>
      </c>
      <c r="DJ976" s="15" t="s">
        <v>717</v>
      </c>
      <c r="DK976" s="15" t="s">
        <v>718</v>
      </c>
      <c r="DL976" s="15" t="str">
        <f>IFERROR(__xludf.DUMMYFUNCTION("""COMPUTED_VALUE"""),"Vacuum or light brush only. Do not use water or any cleaning products.")</f>
        <v>Vacuum or light brush only. Do not use water or any cleaning products.</v>
      </c>
      <c r="DM976" s="15" t="s">
        <v>719</v>
      </c>
      <c r="DT976" s="15" t="s">
        <v>721</v>
      </c>
      <c r="DU976" s="15" t="s">
        <v>419</v>
      </c>
      <c r="DV976" s="15">
        <v>0.0</v>
      </c>
      <c r="DZ976" s="15">
        <v>0.0</v>
      </c>
      <c r="EA976" s="15" t="s">
        <v>722</v>
      </c>
      <c r="EB976" s="15" t="s">
        <v>2927</v>
      </c>
      <c r="EC976" s="15" t="s">
        <v>3306</v>
      </c>
      <c r="ED976" s="15">
        <v>1.0</v>
      </c>
      <c r="EE976" s="15">
        <v>1.0</v>
      </c>
      <c r="EG976" s="15" t="s">
        <v>444</v>
      </c>
      <c r="EH976" s="15" t="s">
        <v>9728</v>
      </c>
      <c r="EI976" s="15">
        <v>0.0</v>
      </c>
      <c r="EJ976" s="15" t="s">
        <v>726</v>
      </c>
      <c r="EK976" s="15" t="s">
        <v>727</v>
      </c>
      <c r="EL976" s="15" t="s">
        <v>1286</v>
      </c>
      <c r="EM976" s="15" t="str">
        <f>IFERROR(__xludf.DUMMYFUNCTION("""COMPUTED_VALUE"""),"{""value"":23.50,""unit"":""in""}")</f>
        <v>{"value":23.50,"unit":"in"}</v>
      </c>
      <c r="EN976" s="15" t="s">
        <v>635</v>
      </c>
      <c r="EO976" s="15" t="s">
        <v>1574</v>
      </c>
      <c r="ES976" s="15" t="s">
        <v>1188</v>
      </c>
      <c r="ET976" s="15" t="s">
        <v>429</v>
      </c>
      <c r="EU976" s="15" t="s">
        <v>504</v>
      </c>
      <c r="EV976" s="15" t="s">
        <v>555</v>
      </c>
      <c r="EW976" s="15" t="s">
        <v>1593</v>
      </c>
      <c r="EX976" s="15" t="s">
        <v>558</v>
      </c>
      <c r="EY976" s="15" t="s">
        <v>1283</v>
      </c>
      <c r="EZ976" s="15" t="s">
        <v>504</v>
      </c>
      <c r="FC976" s="15" t="s">
        <v>2927</v>
      </c>
      <c r="FD976" s="15" t="s">
        <v>3306</v>
      </c>
      <c r="FF976" s="15" t="s">
        <v>9729</v>
      </c>
      <c r="FO976" s="15" t="s">
        <v>2384</v>
      </c>
      <c r="FP976" s="15" t="s">
        <v>1064</v>
      </c>
      <c r="FQ976" s="15">
        <v>0.0</v>
      </c>
      <c r="FR976" s="15">
        <v>0.0</v>
      </c>
      <c r="FT976" s="15">
        <v>0.0</v>
      </c>
    </row>
    <row r="977" ht="15.75" customHeight="1">
      <c r="A977" s="14" t="s">
        <v>391</v>
      </c>
      <c r="B977" s="15" t="s">
        <v>9738</v>
      </c>
      <c r="C977" s="16"/>
      <c r="D977" s="15" t="s">
        <v>432</v>
      </c>
      <c r="G977" s="14" t="s">
        <v>393</v>
      </c>
      <c r="H977" s="14" t="s">
        <v>394</v>
      </c>
      <c r="I977" s="14" t="b">
        <v>1</v>
      </c>
      <c r="J977" s="14" t="s">
        <v>395</v>
      </c>
      <c r="L977" s="14" t="b">
        <v>0</v>
      </c>
      <c r="M977" s="15" t="s">
        <v>9739</v>
      </c>
      <c r="N977" s="14" t="s">
        <v>393</v>
      </c>
      <c r="O977" s="14" t="s">
        <v>393</v>
      </c>
      <c r="P977" s="15" t="s">
        <v>397</v>
      </c>
      <c r="Q977" s="15" t="s">
        <v>6371</v>
      </c>
      <c r="T977" s="14" t="b">
        <v>0</v>
      </c>
      <c r="U977" s="15" t="s">
        <v>9740</v>
      </c>
      <c r="V977" s="15" t="s">
        <v>1399</v>
      </c>
      <c r="W977" s="15" t="s">
        <v>401</v>
      </c>
      <c r="X977" s="15" t="s">
        <v>1172</v>
      </c>
      <c r="Y977" s="15">
        <v>221.0</v>
      </c>
      <c r="AA977" s="15" t="str">
        <f>"85"</f>
        <v>85</v>
      </c>
      <c r="AB977" s="14" t="b">
        <v>1</v>
      </c>
      <c r="AC977" s="14" t="b">
        <v>1</v>
      </c>
      <c r="AD977" s="15" t="str">
        <f>"801542166113"</f>
        <v>801542166113</v>
      </c>
      <c r="AE977" s="15" t="s">
        <v>9741</v>
      </c>
      <c r="AF977" s="14" t="s">
        <v>404</v>
      </c>
      <c r="AG977" s="14" t="s">
        <v>405</v>
      </c>
      <c r="AH977" s="14" t="s">
        <v>406</v>
      </c>
      <c r="AI977" s="15">
        <v>0.0</v>
      </c>
      <c r="AL977" s="15" t="s">
        <v>6375</v>
      </c>
      <c r="AM977" s="15" t="s">
        <v>811</v>
      </c>
      <c r="AN977" s="15" t="s">
        <v>812</v>
      </c>
      <c r="AO977" s="15" t="s">
        <v>811</v>
      </c>
      <c r="AP977" s="15" t="s">
        <v>812</v>
      </c>
      <c r="AQ977" s="15" t="s">
        <v>1848</v>
      </c>
      <c r="AR977" s="15" t="s">
        <v>1849</v>
      </c>
      <c r="AS977" s="15" t="s">
        <v>6376</v>
      </c>
      <c r="AT977" s="15" t="s">
        <v>6371</v>
      </c>
      <c r="AW977" s="15" t="s">
        <v>9742</v>
      </c>
      <c r="AX977" s="15" t="s">
        <v>9743</v>
      </c>
      <c r="AY977" s="15" t="s">
        <v>413</v>
      </c>
      <c r="AZ977" s="15" t="b">
        <v>0</v>
      </c>
      <c r="BA977" s="15" t="s">
        <v>413</v>
      </c>
      <c r="BB977" s="15" t="b">
        <v>0</v>
      </c>
      <c r="BC977" s="15" t="s">
        <v>6379</v>
      </c>
      <c r="BD977" s="15" t="s">
        <v>1181</v>
      </c>
      <c r="BE977" s="15" t="str">
        <f t="shared" si="1653"/>
        <v>1</v>
      </c>
      <c r="BF977" s="15" t="s">
        <v>416</v>
      </c>
      <c r="BG977" s="15" t="str">
        <f>"13.78"</f>
        <v>13.78</v>
      </c>
      <c r="BH977" s="15" t="s">
        <v>6566</v>
      </c>
      <c r="BI977" s="15" t="str">
        <f>"13.78"</f>
        <v>13.78</v>
      </c>
      <c r="BJ977" s="15" t="s">
        <v>6566</v>
      </c>
      <c r="BK977" s="15" t="str">
        <f>"18.7"</f>
        <v>18.7</v>
      </c>
      <c r="BL977" s="15" t="s">
        <v>4982</v>
      </c>
      <c r="BM977" s="15" t="str">
        <f>"53.57"</f>
        <v>53.57</v>
      </c>
      <c r="BN977" s="15" t="s">
        <v>9744</v>
      </c>
      <c r="BQ977" s="15" t="s">
        <v>444</v>
      </c>
      <c r="BS977" s="15" t="s">
        <v>444</v>
      </c>
      <c r="BU977" s="15" t="s">
        <v>444</v>
      </c>
      <c r="BW977" s="15" t="s">
        <v>444</v>
      </c>
      <c r="BZ977" s="15" t="s">
        <v>444</v>
      </c>
      <c r="CB977" s="15" t="s">
        <v>444</v>
      </c>
      <c r="CD977" s="15" t="s">
        <v>444</v>
      </c>
      <c r="CF977" s="15" t="s">
        <v>444</v>
      </c>
      <c r="CI977" s="15" t="s">
        <v>444</v>
      </c>
      <c r="CK977" s="15" t="s">
        <v>444</v>
      </c>
      <c r="CM977" s="15" t="s">
        <v>444</v>
      </c>
      <c r="CO977" s="15" t="s">
        <v>444</v>
      </c>
      <c r="CP977" s="15" t="str">
        <f>"2.05"</f>
        <v>2.05</v>
      </c>
      <c r="CQ977" s="15" t="str">
        <f>"0.058"</f>
        <v>0.058</v>
      </c>
      <c r="CR977" s="15" t="s">
        <v>497</v>
      </c>
      <c r="DC977" s="15" t="str">
        <f>IFERROR(__xludf.DUMMYFUNCTION("""COMPUTED_VALUE"""),"")</f>
        <v/>
      </c>
      <c r="DE977" s="15" t="str">
        <f>IFERROR(__xludf.DUMMYFUNCTION("""COMPUTED_VALUE"""),"")</f>
        <v/>
      </c>
      <c r="DG977" s="15" t="str">
        <f>IFERROR(__xludf.DUMMYFUNCTION("""COMPUTED_VALUE"""),"")</f>
        <v/>
      </c>
      <c r="DH977" s="15">
        <v>0.0</v>
      </c>
      <c r="DI977" s="15">
        <v>0.0</v>
      </c>
      <c r="DJ977" s="15" t="s">
        <v>469</v>
      </c>
      <c r="DL977" s="15" t="str">
        <f>IFERROR(__xludf.DUMMYFUNCTION("""COMPUTED_VALUE"""),"")</f>
        <v/>
      </c>
      <c r="DM977" s="15" t="s">
        <v>444</v>
      </c>
      <c r="DN977" s="15" t="s">
        <v>419</v>
      </c>
      <c r="DO977" s="15">
        <v>0.0</v>
      </c>
      <c r="DP977" s="15" t="s">
        <v>419</v>
      </c>
      <c r="DR977" s="15">
        <v>0.0</v>
      </c>
      <c r="DU977" s="15" t="s">
        <v>419</v>
      </c>
      <c r="DV977" s="15">
        <v>0.0</v>
      </c>
      <c r="DW977" s="15">
        <v>0.0</v>
      </c>
      <c r="DX977" s="15">
        <v>0.0</v>
      </c>
      <c r="DY977" s="15">
        <v>0.0</v>
      </c>
      <c r="EA977" s="15" t="s">
        <v>470</v>
      </c>
      <c r="ED977" s="15">
        <v>0.0</v>
      </c>
      <c r="EE977" s="15">
        <v>1.0</v>
      </c>
      <c r="EF977" s="15" t="s">
        <v>498</v>
      </c>
      <c r="EG977" s="15" t="s">
        <v>499</v>
      </c>
      <c r="EH977" s="15" t="s">
        <v>9745</v>
      </c>
      <c r="EI977" s="15">
        <v>0.0</v>
      </c>
      <c r="EJ977" s="15" t="s">
        <v>726</v>
      </c>
      <c r="EK977" s="15" t="s">
        <v>727</v>
      </c>
      <c r="EM977" s="15" t="str">
        <f>IFERROR(__xludf.DUMMYFUNCTION("""COMPUTED_VALUE"""),"")</f>
        <v/>
      </c>
      <c r="FH977" s="15" t="s">
        <v>943</v>
      </c>
      <c r="FI977" s="15" t="s">
        <v>2020</v>
      </c>
      <c r="FJ977" s="15" t="s">
        <v>943</v>
      </c>
    </row>
    <row r="978" ht="15.75" customHeight="1">
      <c r="A978" s="14" t="s">
        <v>391</v>
      </c>
      <c r="B978" s="15" t="s">
        <v>9746</v>
      </c>
      <c r="C978" s="16"/>
      <c r="D978" s="15" t="s">
        <v>432</v>
      </c>
      <c r="G978" s="14" t="s">
        <v>393</v>
      </c>
      <c r="H978" s="14" t="s">
        <v>394</v>
      </c>
      <c r="I978" s="14" t="b">
        <v>1</v>
      </c>
      <c r="J978" s="14" t="s">
        <v>395</v>
      </c>
      <c r="L978" s="14" t="b">
        <v>0</v>
      </c>
      <c r="M978" s="15" t="s">
        <v>9747</v>
      </c>
      <c r="N978" s="14" t="s">
        <v>393</v>
      </c>
      <c r="O978" s="14" t="s">
        <v>393</v>
      </c>
      <c r="P978" s="15" t="s">
        <v>397</v>
      </c>
      <c r="Q978" s="15" t="s">
        <v>7413</v>
      </c>
      <c r="T978" s="14" t="b">
        <v>0</v>
      </c>
      <c r="U978" s="15" t="s">
        <v>9748</v>
      </c>
      <c r="V978" s="15" t="s">
        <v>1889</v>
      </c>
      <c r="W978" s="15" t="s">
        <v>401</v>
      </c>
      <c r="X978" s="15" t="s">
        <v>742</v>
      </c>
      <c r="Y978" s="15">
        <v>4706.0</v>
      </c>
      <c r="AA978" s="15" t="str">
        <f>"1810"</f>
        <v>1810</v>
      </c>
      <c r="AB978" s="14" t="b">
        <v>1</v>
      </c>
      <c r="AC978" s="14" t="b">
        <v>1</v>
      </c>
      <c r="AD978" s="15" t="str">
        <f>"801542374365"</f>
        <v>801542374365</v>
      </c>
      <c r="AE978" s="15" t="s">
        <v>9749</v>
      </c>
      <c r="AF978" s="14" t="s">
        <v>404</v>
      </c>
      <c r="AG978" s="14" t="s">
        <v>405</v>
      </c>
      <c r="AH978" s="14" t="s">
        <v>406</v>
      </c>
      <c r="AI978" s="15">
        <v>0.0</v>
      </c>
      <c r="AL978" s="15" t="s">
        <v>6265</v>
      </c>
      <c r="AM978" s="15" t="s">
        <v>9750</v>
      </c>
      <c r="AN978" s="15" t="s">
        <v>9751</v>
      </c>
      <c r="AO978" s="15" t="s">
        <v>2372</v>
      </c>
      <c r="AP978" s="15" t="s">
        <v>2373</v>
      </c>
      <c r="AQ978" s="15" t="s">
        <v>546</v>
      </c>
      <c r="AR978" s="15" t="s">
        <v>547</v>
      </c>
      <c r="AS978" s="15" t="s">
        <v>5963</v>
      </c>
      <c r="AT978" s="15" t="s">
        <v>7413</v>
      </c>
      <c r="AW978" s="15" t="s">
        <v>548</v>
      </c>
      <c r="AX978" s="15" t="s">
        <v>549</v>
      </c>
      <c r="AY978" s="15" t="s">
        <v>413</v>
      </c>
      <c r="AZ978" s="15" t="b">
        <v>0</v>
      </c>
      <c r="BA978" s="15" t="s">
        <v>413</v>
      </c>
      <c r="BB978" s="15" t="b">
        <v>0</v>
      </c>
      <c r="BC978" s="15" t="s">
        <v>9752</v>
      </c>
      <c r="BD978" s="15" t="s">
        <v>742</v>
      </c>
      <c r="BE978" s="15" t="str">
        <f t="shared" si="1653"/>
        <v>1</v>
      </c>
      <c r="BF978" s="15" t="s">
        <v>416</v>
      </c>
      <c r="BG978" s="15" t="str">
        <f>"120"</f>
        <v>120</v>
      </c>
      <c r="BH978" s="15" t="s">
        <v>3441</v>
      </c>
      <c r="BI978" s="15" t="str">
        <f>"12.5"</f>
        <v>12.5</v>
      </c>
      <c r="BJ978" s="15" t="s">
        <v>9664</v>
      </c>
      <c r="BK978" s="15" t="str">
        <f>"42.5"</f>
        <v>42.5</v>
      </c>
      <c r="BL978" s="15" t="s">
        <v>3346</v>
      </c>
      <c r="BM978" s="15" t="str">
        <f>"233.69"</f>
        <v>233.69</v>
      </c>
      <c r="BN978" s="15" t="s">
        <v>568</v>
      </c>
      <c r="BQ978" s="15" t="s">
        <v>444</v>
      </c>
      <c r="BS978" s="15" t="s">
        <v>444</v>
      </c>
      <c r="BU978" s="15" t="s">
        <v>444</v>
      </c>
      <c r="BW978" s="15" t="s">
        <v>444</v>
      </c>
      <c r="BZ978" s="15" t="s">
        <v>444</v>
      </c>
      <c r="CB978" s="15" t="s">
        <v>444</v>
      </c>
      <c r="CD978" s="15" t="s">
        <v>444</v>
      </c>
      <c r="CF978" s="15" t="s">
        <v>444</v>
      </c>
      <c r="CI978" s="15" t="s">
        <v>444</v>
      </c>
      <c r="CK978" s="15" t="s">
        <v>444</v>
      </c>
      <c r="CM978" s="15" t="s">
        <v>444</v>
      </c>
      <c r="CO978" s="15" t="s">
        <v>444</v>
      </c>
      <c r="CP978" s="15" t="str">
        <f>"36.9"</f>
        <v>36.9</v>
      </c>
      <c r="CQ978" s="15" t="str">
        <f>"1.045"</f>
        <v>1.045</v>
      </c>
      <c r="CR978" s="15" t="s">
        <v>417</v>
      </c>
      <c r="DC978" s="15" t="str">
        <f>IFERROR(__xludf.DUMMYFUNCTION("""COMPUTED_VALUE"""),"")</f>
        <v/>
      </c>
      <c r="DE978" s="15" t="str">
        <f>IFERROR(__xludf.DUMMYFUNCTION("""COMPUTED_VALUE"""),"")</f>
        <v/>
      </c>
      <c r="DG978" s="15" t="str">
        <f>IFERROR(__xludf.DUMMYFUNCTION("""COMPUTED_VALUE"""),"")</f>
        <v/>
      </c>
      <c r="DL978" s="15" t="str">
        <f>IFERROR(__xludf.DUMMYFUNCTION("""COMPUTED_VALUE"""),"")</f>
        <v/>
      </c>
      <c r="DM978" s="15" t="s">
        <v>444</v>
      </c>
      <c r="DN978" s="15" t="s">
        <v>419</v>
      </c>
      <c r="DO978" s="15">
        <v>0.0</v>
      </c>
      <c r="DP978" s="15" t="s">
        <v>419</v>
      </c>
      <c r="DR978" s="15">
        <v>0.0</v>
      </c>
      <c r="DT978" s="15" t="s">
        <v>721</v>
      </c>
      <c r="DU978" s="15" t="s">
        <v>419</v>
      </c>
      <c r="DW978" s="15">
        <v>0.0</v>
      </c>
      <c r="DX978" s="15">
        <v>0.0</v>
      </c>
      <c r="DY978" s="15">
        <v>0.0</v>
      </c>
      <c r="EE978" s="15">
        <v>12.0</v>
      </c>
      <c r="EF978" s="15" t="s">
        <v>471</v>
      </c>
      <c r="EG978" s="15" t="s">
        <v>472</v>
      </c>
      <c r="EH978" s="15" t="s">
        <v>9753</v>
      </c>
      <c r="EJ978" s="15" t="s">
        <v>424</v>
      </c>
      <c r="EK978" s="15" t="s">
        <v>446</v>
      </c>
      <c r="EM978" s="15" t="str">
        <f>IFERROR(__xludf.DUMMYFUNCTION("""COMPUTED_VALUE"""),"")</f>
        <v/>
      </c>
      <c r="EW978" s="15" t="s">
        <v>2221</v>
      </c>
      <c r="EX978" s="15" t="s">
        <v>9754</v>
      </c>
      <c r="EY978" s="15" t="s">
        <v>5864</v>
      </c>
      <c r="FH978" s="15" t="s">
        <v>7438</v>
      </c>
      <c r="FI978" s="15" t="s">
        <v>9755</v>
      </c>
      <c r="FJ978" s="15" t="s">
        <v>9756</v>
      </c>
      <c r="FK978" s="15" t="s">
        <v>4469</v>
      </c>
      <c r="FL978" s="15" t="s">
        <v>426</v>
      </c>
      <c r="FM978" s="15">
        <v>0.0</v>
      </c>
      <c r="FN978" s="15">
        <v>0.0</v>
      </c>
      <c r="FU978" s="15" t="s">
        <v>1607</v>
      </c>
      <c r="FV978" s="15" t="s">
        <v>9755</v>
      </c>
      <c r="FW978" s="15" t="s">
        <v>9757</v>
      </c>
      <c r="FX978" s="15" t="s">
        <v>1123</v>
      </c>
    </row>
    <row r="979" ht="15.75" customHeight="1">
      <c r="A979" s="14" t="s">
        <v>391</v>
      </c>
      <c r="B979" s="15" t="s">
        <v>9758</v>
      </c>
      <c r="C979" s="16"/>
      <c r="D979" s="15" t="s">
        <v>432</v>
      </c>
      <c r="G979" s="14" t="s">
        <v>393</v>
      </c>
      <c r="H979" s="14" t="s">
        <v>394</v>
      </c>
      <c r="I979" s="14" t="b">
        <v>1</v>
      </c>
      <c r="J979" s="14" t="s">
        <v>395</v>
      </c>
      <c r="L979" s="14" t="b">
        <v>0</v>
      </c>
      <c r="M979" s="15" t="s">
        <v>9759</v>
      </c>
      <c r="N979" s="14" t="s">
        <v>393</v>
      </c>
      <c r="O979" s="14" t="s">
        <v>393</v>
      </c>
      <c r="P979" s="15" t="s">
        <v>397</v>
      </c>
      <c r="Q979" s="15" t="s">
        <v>7413</v>
      </c>
      <c r="T979" s="14" t="b">
        <v>0</v>
      </c>
      <c r="U979" s="15" t="s">
        <v>9760</v>
      </c>
      <c r="V979" s="15" t="s">
        <v>1244</v>
      </c>
      <c r="W979" s="15" t="s">
        <v>401</v>
      </c>
      <c r="X979" s="15" t="s">
        <v>742</v>
      </c>
      <c r="Y979" s="15">
        <v>988.0</v>
      </c>
      <c r="AA979" s="15" t="str">
        <f>"380"</f>
        <v>380</v>
      </c>
      <c r="AB979" s="14" t="b">
        <v>1</v>
      </c>
      <c r="AC979" s="14" t="b">
        <v>1</v>
      </c>
      <c r="AD979" s="15" t="str">
        <f>"801542376529"</f>
        <v>801542376529</v>
      </c>
      <c r="AE979" s="15" t="s">
        <v>9761</v>
      </c>
      <c r="AF979" s="14" t="s">
        <v>404</v>
      </c>
      <c r="AG979" s="14" t="s">
        <v>405</v>
      </c>
      <c r="AH979" s="14" t="s">
        <v>406</v>
      </c>
      <c r="AI979" s="15">
        <v>0.0</v>
      </c>
      <c r="AL979" s="15" t="s">
        <v>9762</v>
      </c>
      <c r="AM979" s="15" t="s">
        <v>7761</v>
      </c>
      <c r="AN979" s="15" t="s">
        <v>4406</v>
      </c>
      <c r="AO979" s="15" t="s">
        <v>7761</v>
      </c>
      <c r="AP979" s="15" t="s">
        <v>4406</v>
      </c>
      <c r="AQ979" s="15" t="s">
        <v>1175</v>
      </c>
      <c r="AR979" s="15" t="s">
        <v>1176</v>
      </c>
      <c r="AS979" s="15" t="s">
        <v>5963</v>
      </c>
      <c r="AT979" s="15" t="s">
        <v>7413</v>
      </c>
      <c r="AU979" s="15" t="s">
        <v>5964</v>
      </c>
      <c r="AW979" s="15" t="s">
        <v>1154</v>
      </c>
      <c r="AY979" s="15" t="s">
        <v>413</v>
      </c>
      <c r="AZ979" s="15" t="b">
        <v>0</v>
      </c>
      <c r="BA979" s="15" t="s">
        <v>413</v>
      </c>
      <c r="BB979" s="15" t="b">
        <v>0</v>
      </c>
      <c r="BC979" s="15" t="s">
        <v>9763</v>
      </c>
      <c r="BD979" s="15" t="s">
        <v>742</v>
      </c>
      <c r="BE979" s="15" t="str">
        <f t="shared" si="1653"/>
        <v>1</v>
      </c>
      <c r="BF979" s="15" t="s">
        <v>416</v>
      </c>
      <c r="BG979" s="15" t="str">
        <f>"28.75"</f>
        <v>28.75</v>
      </c>
      <c r="BH979" s="15" t="s">
        <v>3852</v>
      </c>
      <c r="BI979" s="15" t="str">
        <f>"29"</f>
        <v>29</v>
      </c>
      <c r="BJ979" s="15" t="s">
        <v>1275</v>
      </c>
      <c r="BK979" s="15" t="str">
        <f>"30.75"</f>
        <v>30.75</v>
      </c>
      <c r="BL979" s="15" t="s">
        <v>3276</v>
      </c>
      <c r="BM979" s="15" t="str">
        <f>"48.5"</f>
        <v>48.5</v>
      </c>
      <c r="BN979" s="15" t="s">
        <v>3578</v>
      </c>
      <c r="BQ979" s="15" t="s">
        <v>444</v>
      </c>
      <c r="BS979" s="15" t="s">
        <v>444</v>
      </c>
      <c r="BU979" s="15" t="s">
        <v>444</v>
      </c>
      <c r="BW979" s="15" t="s">
        <v>444</v>
      </c>
      <c r="BZ979" s="15" t="s">
        <v>444</v>
      </c>
      <c r="CB979" s="15" t="s">
        <v>444</v>
      </c>
      <c r="CD979" s="15" t="s">
        <v>444</v>
      </c>
      <c r="CF979" s="15" t="s">
        <v>444</v>
      </c>
      <c r="CI979" s="15" t="s">
        <v>444</v>
      </c>
      <c r="CK979" s="15" t="s">
        <v>444</v>
      </c>
      <c r="CM979" s="15" t="s">
        <v>444</v>
      </c>
      <c r="CO979" s="15" t="s">
        <v>444</v>
      </c>
      <c r="CP979" s="15" t="str">
        <f>"14.83"</f>
        <v>14.83</v>
      </c>
      <c r="CQ979" s="15" t="str">
        <f>"0.42"</f>
        <v>0.42</v>
      </c>
      <c r="CR979" s="15" t="s">
        <v>465</v>
      </c>
      <c r="DC979" s="15" t="str">
        <f>IFERROR(__xludf.DUMMYFUNCTION("""COMPUTED_VALUE"""),"")</f>
        <v/>
      </c>
      <c r="DE979" s="15" t="str">
        <f>IFERROR(__xludf.DUMMYFUNCTION("""COMPUTED_VALUE"""),"")</f>
        <v/>
      </c>
      <c r="DG979" s="15" t="str">
        <f>IFERROR(__xludf.DUMMYFUNCTION("""COMPUTED_VALUE"""),"")</f>
        <v/>
      </c>
      <c r="DL979" s="15" t="str">
        <f>IFERROR(__xludf.DUMMYFUNCTION("""COMPUTED_VALUE"""),"")</f>
        <v/>
      </c>
      <c r="DM979" s="15" t="s">
        <v>444</v>
      </c>
      <c r="DN979" s="15" t="s">
        <v>419</v>
      </c>
      <c r="DO979" s="15">
        <v>0.0</v>
      </c>
      <c r="DP979" s="15" t="s">
        <v>419</v>
      </c>
      <c r="DR979" s="15">
        <v>0.0</v>
      </c>
      <c r="DT979" s="15" t="s">
        <v>420</v>
      </c>
      <c r="DU979" s="15" t="s">
        <v>419</v>
      </c>
      <c r="DY979" s="15">
        <v>0.0</v>
      </c>
      <c r="EF979" s="15" t="s">
        <v>1157</v>
      </c>
      <c r="EG979" s="15" t="s">
        <v>1158</v>
      </c>
      <c r="EH979" s="15" t="s">
        <v>9764</v>
      </c>
      <c r="EJ979" s="15" t="s">
        <v>500</v>
      </c>
      <c r="EK979" s="15" t="s">
        <v>501</v>
      </c>
      <c r="EM979" s="15" t="str">
        <f>IFERROR(__xludf.DUMMYFUNCTION("""COMPUTED_VALUE"""),"")</f>
        <v/>
      </c>
      <c r="EW979" s="15" t="s">
        <v>5021</v>
      </c>
      <c r="EX979" s="15" t="s">
        <v>2143</v>
      </c>
      <c r="EY979" s="15" t="s">
        <v>3775</v>
      </c>
      <c r="FH979" s="15" t="s">
        <v>789</v>
      </c>
      <c r="FI979" s="15" t="s">
        <v>3361</v>
      </c>
      <c r="FJ979" s="15" t="s">
        <v>789</v>
      </c>
      <c r="FK979" s="15" t="s">
        <v>3132</v>
      </c>
      <c r="FL979" s="15" t="s">
        <v>426</v>
      </c>
      <c r="FM979" s="15">
        <v>0.0</v>
      </c>
      <c r="FN979" s="15">
        <v>0.0</v>
      </c>
      <c r="FW979" s="15" t="s">
        <v>9765</v>
      </c>
    </row>
    <row r="980" ht="15.75" customHeight="1">
      <c r="A980" s="14" t="s">
        <v>391</v>
      </c>
      <c r="B980" s="15" t="s">
        <v>9766</v>
      </c>
      <c r="C980" s="16"/>
      <c r="D980" s="15" t="s">
        <v>432</v>
      </c>
      <c r="G980" s="14" t="s">
        <v>393</v>
      </c>
      <c r="H980" s="14" t="s">
        <v>394</v>
      </c>
      <c r="I980" s="14" t="b">
        <v>1</v>
      </c>
      <c r="J980" s="14" t="s">
        <v>395</v>
      </c>
      <c r="L980" s="14" t="b">
        <v>0</v>
      </c>
      <c r="M980" s="15" t="s">
        <v>9767</v>
      </c>
      <c r="N980" s="14" t="s">
        <v>393</v>
      </c>
      <c r="O980" s="14" t="s">
        <v>393</v>
      </c>
      <c r="P980" s="15" t="s">
        <v>397</v>
      </c>
      <c r="Q980" s="15" t="s">
        <v>3945</v>
      </c>
      <c r="T980" s="14" t="b">
        <v>0</v>
      </c>
      <c r="U980" s="15" t="s">
        <v>9768</v>
      </c>
      <c r="V980" s="15" t="s">
        <v>9769</v>
      </c>
      <c r="W980" s="15" t="s">
        <v>401</v>
      </c>
      <c r="X980" s="15" t="s">
        <v>742</v>
      </c>
      <c r="Y980" s="15">
        <v>3497.0</v>
      </c>
      <c r="AA980" s="15" t="str">
        <f>"1345"</f>
        <v>1345</v>
      </c>
      <c r="AB980" s="14" t="b">
        <v>1</v>
      </c>
      <c r="AC980" s="14" t="b">
        <v>1</v>
      </c>
      <c r="AD980" s="15" t="str">
        <f>"801542962913"</f>
        <v>801542962913</v>
      </c>
      <c r="AE980" s="15" t="s">
        <v>9770</v>
      </c>
      <c r="AF980" s="14" t="s">
        <v>404</v>
      </c>
      <c r="AG980" s="14" t="s">
        <v>405</v>
      </c>
      <c r="AH980" s="14" t="s">
        <v>406</v>
      </c>
      <c r="AI980" s="15">
        <v>0.0</v>
      </c>
      <c r="AL980" s="15" t="s">
        <v>1025</v>
      </c>
      <c r="AM980" s="15" t="s">
        <v>2037</v>
      </c>
      <c r="AN980" s="15" t="s">
        <v>2038</v>
      </c>
      <c r="AO980" s="15" t="s">
        <v>1007</v>
      </c>
      <c r="AP980" s="15" t="s">
        <v>1008</v>
      </c>
      <c r="AQ980" s="15" t="s">
        <v>2151</v>
      </c>
      <c r="AR980" s="15" t="s">
        <v>2152</v>
      </c>
      <c r="AS980" s="15" t="s">
        <v>1896</v>
      </c>
      <c r="AT980" s="15" t="s">
        <v>3945</v>
      </c>
      <c r="AW980" s="15" t="s">
        <v>1899</v>
      </c>
      <c r="AY980" s="15" t="s">
        <v>413</v>
      </c>
      <c r="AZ980" s="15" t="b">
        <v>0</v>
      </c>
      <c r="BA980" s="15" t="s">
        <v>413</v>
      </c>
      <c r="BB980" s="15" t="b">
        <v>0</v>
      </c>
      <c r="BC980" s="15" t="s">
        <v>9771</v>
      </c>
      <c r="BD980" s="15" t="s">
        <v>742</v>
      </c>
      <c r="BE980" s="15" t="str">
        <f t="shared" si="1653"/>
        <v>1</v>
      </c>
      <c r="BF980" s="15" t="s">
        <v>4803</v>
      </c>
      <c r="BG980" s="15" t="str">
        <f>"66.54"</f>
        <v>66.54</v>
      </c>
      <c r="BH980" s="15" t="s">
        <v>9772</v>
      </c>
      <c r="BI980" s="15" t="str">
        <f>"23.43"</f>
        <v>23.43</v>
      </c>
      <c r="BJ980" s="15" t="s">
        <v>2091</v>
      </c>
      <c r="BK980" s="15" t="str">
        <f>"92.52"</f>
        <v>92.52</v>
      </c>
      <c r="BL980" s="15" t="s">
        <v>7526</v>
      </c>
      <c r="BM980" s="15" t="str">
        <f>"272.27"</f>
        <v>272.27</v>
      </c>
      <c r="BN980" s="15" t="s">
        <v>8093</v>
      </c>
      <c r="BQ980" s="15" t="s">
        <v>444</v>
      </c>
      <c r="BS980" s="15" t="s">
        <v>444</v>
      </c>
      <c r="BU980" s="15" t="s">
        <v>444</v>
      </c>
      <c r="BW980" s="15" t="s">
        <v>444</v>
      </c>
      <c r="BZ980" s="15" t="s">
        <v>444</v>
      </c>
      <c r="CB980" s="15" t="s">
        <v>444</v>
      </c>
      <c r="CD980" s="15" t="s">
        <v>444</v>
      </c>
      <c r="CF980" s="15" t="s">
        <v>444</v>
      </c>
      <c r="CI980" s="15" t="s">
        <v>444</v>
      </c>
      <c r="CK980" s="15" t="s">
        <v>444</v>
      </c>
      <c r="CM980" s="15" t="s">
        <v>444</v>
      </c>
      <c r="CO980" s="15" t="s">
        <v>444</v>
      </c>
      <c r="CP980" s="15" t="str">
        <f>"83.45"</f>
        <v>83.45</v>
      </c>
      <c r="CQ980" s="15" t="str">
        <f>"2.363"</f>
        <v>2.363</v>
      </c>
      <c r="CR980" s="15" t="s">
        <v>465</v>
      </c>
      <c r="CS980" s="15" t="s">
        <v>1014</v>
      </c>
      <c r="CT980" s="15" t="s">
        <v>1517</v>
      </c>
      <c r="CU980" s="15" t="s">
        <v>9773</v>
      </c>
      <c r="CV980" s="15" t="s">
        <v>1014</v>
      </c>
      <c r="CW980" s="15" t="s">
        <v>8760</v>
      </c>
      <c r="CX980" s="15" t="s">
        <v>9773</v>
      </c>
      <c r="DC980" s="15" t="str">
        <f>IFERROR(__xludf.DUMMYFUNCTION("""COMPUTED_VALUE"""),"")</f>
        <v/>
      </c>
      <c r="DE980" s="15" t="str">
        <f>IFERROR(__xludf.DUMMYFUNCTION("""COMPUTED_VALUE"""),"")</f>
        <v/>
      </c>
      <c r="DG980" s="15" t="str">
        <f>IFERROR(__xludf.DUMMYFUNCTION("""COMPUTED_VALUE"""),"")</f>
        <v/>
      </c>
      <c r="DL980" s="15" t="str">
        <f>IFERROR(__xludf.DUMMYFUNCTION("""COMPUTED_VALUE"""),"")</f>
        <v/>
      </c>
      <c r="DM980" s="15" t="s">
        <v>444</v>
      </c>
      <c r="DN980" s="15" t="s">
        <v>419</v>
      </c>
      <c r="DO980" s="15">
        <v>0.0</v>
      </c>
      <c r="DP980" s="15" t="s">
        <v>419</v>
      </c>
      <c r="DR980" s="15">
        <v>4.0</v>
      </c>
      <c r="DS980" s="15" t="s">
        <v>426</v>
      </c>
      <c r="DT980" s="15" t="s">
        <v>1388</v>
      </c>
      <c r="DU980" s="15" t="s">
        <v>1914</v>
      </c>
      <c r="DW980" s="15">
        <v>18.14</v>
      </c>
      <c r="DX980" s="15">
        <v>40.0</v>
      </c>
      <c r="DY980" s="15">
        <v>0.0</v>
      </c>
      <c r="EF980" s="15" t="s">
        <v>1915</v>
      </c>
      <c r="EG980" s="15" t="s">
        <v>1916</v>
      </c>
      <c r="EH980" s="15" t="s">
        <v>9774</v>
      </c>
      <c r="EK980" s="15" t="s">
        <v>444</v>
      </c>
      <c r="EM980" s="15" t="str">
        <f>IFERROR(__xludf.DUMMYFUNCTION("""COMPUTED_VALUE"""),"")</f>
        <v/>
      </c>
      <c r="EW980" s="15" t="s">
        <v>1955</v>
      </c>
      <c r="FL980" s="15" t="s">
        <v>426</v>
      </c>
      <c r="FM980" s="15">
        <v>4.0</v>
      </c>
      <c r="GH980" s="15">
        <v>0.0</v>
      </c>
      <c r="GI980" s="15" t="s">
        <v>427</v>
      </c>
      <c r="HA980" s="15" t="s">
        <v>1014</v>
      </c>
      <c r="HB980" s="15" t="s">
        <v>3735</v>
      </c>
      <c r="HC980" s="15" t="s">
        <v>9773</v>
      </c>
      <c r="HQ980" s="15" t="s">
        <v>1014</v>
      </c>
      <c r="HR980" s="15" t="s">
        <v>1014</v>
      </c>
      <c r="HS980" s="15" t="s">
        <v>3735</v>
      </c>
      <c r="HT980" s="15" t="s">
        <v>3735</v>
      </c>
      <c r="HU980" s="15" t="s">
        <v>9773</v>
      </c>
      <c r="HV980" s="15" t="s">
        <v>9773</v>
      </c>
      <c r="IG980" s="15" t="s">
        <v>426</v>
      </c>
    </row>
    <row r="981" ht="15.75" customHeight="1">
      <c r="A981" s="14" t="s">
        <v>391</v>
      </c>
      <c r="B981" s="15" t="s">
        <v>9775</v>
      </c>
      <c r="C981" s="16"/>
      <c r="D981" s="15" t="s">
        <v>432</v>
      </c>
      <c r="G981" s="14" t="s">
        <v>393</v>
      </c>
      <c r="H981" s="14" t="s">
        <v>394</v>
      </c>
      <c r="I981" s="14" t="b">
        <v>1</v>
      </c>
      <c r="J981" s="14" t="s">
        <v>395</v>
      </c>
      <c r="L981" s="14" t="b">
        <v>0</v>
      </c>
      <c r="M981" s="15" t="s">
        <v>9776</v>
      </c>
      <c r="N981" s="14" t="s">
        <v>393</v>
      </c>
      <c r="O981" s="14" t="s">
        <v>393</v>
      </c>
      <c r="P981" s="15" t="s">
        <v>397</v>
      </c>
      <c r="Q981" s="15" t="s">
        <v>3945</v>
      </c>
      <c r="T981" s="14" t="b">
        <v>0</v>
      </c>
      <c r="U981" s="15" t="s">
        <v>9777</v>
      </c>
      <c r="V981" s="15" t="s">
        <v>906</v>
      </c>
      <c r="W981" s="15" t="s">
        <v>401</v>
      </c>
      <c r="X981" s="15" t="s">
        <v>742</v>
      </c>
      <c r="Y981" s="15">
        <v>1859.0</v>
      </c>
      <c r="AA981" s="15" t="str">
        <f>"715"</f>
        <v>715</v>
      </c>
      <c r="AB981" s="14" t="b">
        <v>1</v>
      </c>
      <c r="AC981" s="14" t="b">
        <v>1</v>
      </c>
      <c r="AD981" s="15" t="str">
        <f>"801542976910"</f>
        <v>801542976910</v>
      </c>
      <c r="AE981" s="15" t="s">
        <v>9778</v>
      </c>
      <c r="AF981" s="14" t="s">
        <v>404</v>
      </c>
      <c r="AG981" s="14" t="s">
        <v>405</v>
      </c>
      <c r="AH981" s="14" t="s">
        <v>406</v>
      </c>
      <c r="AI981" s="15">
        <v>0.0</v>
      </c>
      <c r="AL981" s="15" t="s">
        <v>407</v>
      </c>
      <c r="AM981" s="15" t="s">
        <v>2355</v>
      </c>
      <c r="AN981" s="15" t="s">
        <v>2356</v>
      </c>
      <c r="AO981" s="15" t="s">
        <v>1007</v>
      </c>
      <c r="AP981" s="15" t="s">
        <v>1008</v>
      </c>
      <c r="AQ981" s="15" t="s">
        <v>600</v>
      </c>
      <c r="AR981" s="15" t="s">
        <v>601</v>
      </c>
      <c r="AS981" s="15" t="s">
        <v>1896</v>
      </c>
      <c r="AT981" s="15" t="s">
        <v>3945</v>
      </c>
      <c r="AW981" s="15" t="s">
        <v>602</v>
      </c>
      <c r="AY981" s="15" t="s">
        <v>413</v>
      </c>
      <c r="AZ981" s="15" t="b">
        <v>0</v>
      </c>
      <c r="BA981" s="15" t="s">
        <v>413</v>
      </c>
      <c r="BB981" s="15" t="b">
        <v>0</v>
      </c>
      <c r="BC981" s="15" t="s">
        <v>9779</v>
      </c>
      <c r="BD981" s="15" t="s">
        <v>742</v>
      </c>
      <c r="BE981" s="15" t="str">
        <f t="shared" si="1653"/>
        <v>1</v>
      </c>
      <c r="BF981" s="15" t="s">
        <v>1421</v>
      </c>
      <c r="BG981" s="15" t="str">
        <f>"82.28"</f>
        <v>82.28</v>
      </c>
      <c r="BH981" s="15" t="s">
        <v>5841</v>
      </c>
      <c r="BI981" s="15" t="str">
        <f>"22.83"</f>
        <v>22.83</v>
      </c>
      <c r="BJ981" s="15" t="s">
        <v>1543</v>
      </c>
      <c r="BK981" s="15" t="str">
        <f>"33.07"</f>
        <v>33.07</v>
      </c>
      <c r="BL981" s="15" t="s">
        <v>1091</v>
      </c>
      <c r="BM981" s="15" t="str">
        <f>"190.7"</f>
        <v>190.7</v>
      </c>
      <c r="BN981" s="15" t="s">
        <v>6935</v>
      </c>
      <c r="BQ981" s="15" t="s">
        <v>444</v>
      </c>
      <c r="BS981" s="15" t="s">
        <v>444</v>
      </c>
      <c r="BU981" s="15" t="s">
        <v>444</v>
      </c>
      <c r="BW981" s="15" t="s">
        <v>444</v>
      </c>
      <c r="BZ981" s="15" t="s">
        <v>444</v>
      </c>
      <c r="CB981" s="15" t="s">
        <v>444</v>
      </c>
      <c r="CD981" s="15" t="s">
        <v>444</v>
      </c>
      <c r="CF981" s="15" t="s">
        <v>444</v>
      </c>
      <c r="CI981" s="15" t="s">
        <v>444</v>
      </c>
      <c r="CK981" s="15" t="s">
        <v>444</v>
      </c>
      <c r="CM981" s="15" t="s">
        <v>444</v>
      </c>
      <c r="CO981" s="15" t="s">
        <v>444</v>
      </c>
      <c r="CP981" s="15" t="str">
        <f>"35.95"</f>
        <v>35.95</v>
      </c>
      <c r="CQ981" s="15" t="str">
        <f>"1.018"</f>
        <v>1.018</v>
      </c>
      <c r="CR981" s="15" t="s">
        <v>465</v>
      </c>
      <c r="CS981" s="15" t="s">
        <v>1014</v>
      </c>
      <c r="CT981" s="15" t="s">
        <v>1517</v>
      </c>
      <c r="CU981" s="15" t="s">
        <v>9780</v>
      </c>
      <c r="CV981" s="15" t="s">
        <v>1014</v>
      </c>
      <c r="CW981" s="15" t="s">
        <v>8280</v>
      </c>
      <c r="CX981" s="15" t="s">
        <v>9780</v>
      </c>
      <c r="DC981" s="15" t="str">
        <f>IFERROR(__xludf.DUMMYFUNCTION("""COMPUTED_VALUE"""),"")</f>
        <v/>
      </c>
      <c r="DE981" s="15" t="str">
        <f>IFERROR(__xludf.DUMMYFUNCTION("""COMPUTED_VALUE"""),"")</f>
        <v/>
      </c>
      <c r="DG981" s="15" t="str">
        <f>IFERROR(__xludf.DUMMYFUNCTION("""COMPUTED_VALUE"""),"")</f>
        <v/>
      </c>
      <c r="DL981" s="15" t="str">
        <f>IFERROR(__xludf.DUMMYFUNCTION("""COMPUTED_VALUE"""),"")</f>
        <v/>
      </c>
      <c r="DM981" s="15" t="s">
        <v>444</v>
      </c>
      <c r="DN981" s="15" t="s">
        <v>419</v>
      </c>
      <c r="DO981" s="15">
        <v>0.0</v>
      </c>
      <c r="DP981" s="15" t="s">
        <v>419</v>
      </c>
      <c r="DR981" s="15">
        <v>1.0</v>
      </c>
      <c r="DS981" s="15" t="s">
        <v>426</v>
      </c>
      <c r="DT981" s="15" t="s">
        <v>1388</v>
      </c>
      <c r="DU981" s="15" t="s">
        <v>1914</v>
      </c>
      <c r="DW981" s="15">
        <v>0.0</v>
      </c>
      <c r="DX981" s="15">
        <v>0.0</v>
      </c>
      <c r="DY981" s="15">
        <v>0.0</v>
      </c>
      <c r="EG981" s="15" t="s">
        <v>444</v>
      </c>
      <c r="EH981" s="15" t="s">
        <v>9774</v>
      </c>
      <c r="EK981" s="15" t="s">
        <v>444</v>
      </c>
      <c r="EM981" s="15" t="str">
        <f>IFERROR(__xludf.DUMMYFUNCTION("""COMPUTED_VALUE"""),"")</f>
        <v/>
      </c>
      <c r="EW981" s="15" t="s">
        <v>1955</v>
      </c>
      <c r="FL981" s="15" t="s">
        <v>426</v>
      </c>
      <c r="FM981" s="15">
        <v>1.0</v>
      </c>
      <c r="GH981" s="15">
        <v>0.0</v>
      </c>
      <c r="GI981" s="15" t="s">
        <v>427</v>
      </c>
      <c r="HD981" s="15">
        <v>0.0</v>
      </c>
    </row>
    <row r="982" ht="15.75" customHeight="1">
      <c r="A982" s="14" t="s">
        <v>391</v>
      </c>
      <c r="B982" s="15" t="s">
        <v>9781</v>
      </c>
      <c r="C982" s="16"/>
      <c r="D982" s="15" t="s">
        <v>432</v>
      </c>
      <c r="G982" s="14" t="s">
        <v>393</v>
      </c>
      <c r="H982" s="14" t="s">
        <v>394</v>
      </c>
      <c r="I982" s="14" t="b">
        <v>1</v>
      </c>
      <c r="J982" s="14" t="s">
        <v>395</v>
      </c>
      <c r="L982" s="14" t="b">
        <v>0</v>
      </c>
      <c r="M982" s="15" t="s">
        <v>9782</v>
      </c>
      <c r="N982" s="14" t="s">
        <v>393</v>
      </c>
      <c r="O982" s="14" t="s">
        <v>393</v>
      </c>
      <c r="P982" s="15" t="s">
        <v>397</v>
      </c>
      <c r="Q982" s="15" t="s">
        <v>1985</v>
      </c>
      <c r="T982" s="14" t="b">
        <v>0</v>
      </c>
      <c r="U982" s="15" t="s">
        <v>9783</v>
      </c>
      <c r="V982" s="15" t="s">
        <v>5459</v>
      </c>
      <c r="W982" s="15" t="s">
        <v>401</v>
      </c>
      <c r="X982" s="15" t="s">
        <v>742</v>
      </c>
      <c r="Y982" s="15">
        <v>4914.0</v>
      </c>
      <c r="AA982" s="15" t="str">
        <f>"1890"</f>
        <v>1890</v>
      </c>
      <c r="AB982" s="14" t="b">
        <v>1</v>
      </c>
      <c r="AC982" s="14" t="b">
        <v>1</v>
      </c>
      <c r="AD982" s="15" t="str">
        <f>"801542243890"</f>
        <v>801542243890</v>
      </c>
      <c r="AE982" s="15" t="s">
        <v>9784</v>
      </c>
      <c r="AF982" s="14" t="s">
        <v>404</v>
      </c>
      <c r="AG982" s="14" t="s">
        <v>405</v>
      </c>
      <c r="AH982" s="14" t="s">
        <v>406</v>
      </c>
      <c r="AI982" s="15">
        <v>0.0</v>
      </c>
      <c r="AL982" s="15" t="s">
        <v>975</v>
      </c>
      <c r="AM982" s="15" t="s">
        <v>1299</v>
      </c>
      <c r="AN982" s="15" t="s">
        <v>1300</v>
      </c>
      <c r="AO982" s="15" t="s">
        <v>622</v>
      </c>
      <c r="AP982" s="15" t="s">
        <v>623</v>
      </c>
      <c r="AQ982" s="15" t="s">
        <v>701</v>
      </c>
      <c r="AR982" s="15" t="s">
        <v>702</v>
      </c>
      <c r="AS982" s="15" t="s">
        <v>837</v>
      </c>
      <c r="AT982" s="15" t="s">
        <v>1985</v>
      </c>
      <c r="AU982" s="15" t="s">
        <v>978</v>
      </c>
      <c r="AW982" s="15" t="s">
        <v>1732</v>
      </c>
      <c r="AY982" s="15" t="s">
        <v>413</v>
      </c>
      <c r="AZ982" s="15" t="b">
        <v>0</v>
      </c>
      <c r="BA982" s="15" t="s">
        <v>413</v>
      </c>
      <c r="BB982" s="15" t="b">
        <v>0</v>
      </c>
      <c r="BC982" s="15" t="s">
        <v>9785</v>
      </c>
      <c r="BD982" s="15" t="s">
        <v>742</v>
      </c>
      <c r="BE982" s="15" t="str">
        <f t="shared" si="1653"/>
        <v>1</v>
      </c>
      <c r="BF982" s="15" t="s">
        <v>9786</v>
      </c>
      <c r="BG982" s="15" t="str">
        <f>"97.05"</f>
        <v>97.05</v>
      </c>
      <c r="BH982" s="15" t="s">
        <v>7538</v>
      </c>
      <c r="BI982" s="15" t="str">
        <f>"37.2"</f>
        <v>37.2</v>
      </c>
      <c r="BJ982" s="15" t="s">
        <v>4678</v>
      </c>
      <c r="BK982" s="15" t="str">
        <f>"24.21"</f>
        <v>24.21</v>
      </c>
      <c r="BL982" s="15" t="s">
        <v>463</v>
      </c>
      <c r="BM982" s="15" t="str">
        <f>"162.04"</f>
        <v>162.04</v>
      </c>
      <c r="BN982" s="15" t="s">
        <v>9787</v>
      </c>
      <c r="BQ982" s="15" t="s">
        <v>444</v>
      </c>
      <c r="BS982" s="15" t="s">
        <v>444</v>
      </c>
      <c r="BU982" s="15" t="s">
        <v>444</v>
      </c>
      <c r="BW982" s="15" t="s">
        <v>444</v>
      </c>
      <c r="BZ982" s="15" t="s">
        <v>444</v>
      </c>
      <c r="CB982" s="15" t="s">
        <v>444</v>
      </c>
      <c r="CD982" s="15" t="s">
        <v>444</v>
      </c>
      <c r="CF982" s="15" t="s">
        <v>444</v>
      </c>
      <c r="CI982" s="15" t="s">
        <v>444</v>
      </c>
      <c r="CK982" s="15" t="s">
        <v>444</v>
      </c>
      <c r="CM982" s="15" t="s">
        <v>444</v>
      </c>
      <c r="CO982" s="15" t="s">
        <v>444</v>
      </c>
      <c r="CP982" s="15" t="str">
        <f>"50.61"</f>
        <v>50.61</v>
      </c>
      <c r="CQ982" s="15" t="str">
        <f>"1.433"</f>
        <v>1.433</v>
      </c>
      <c r="CR982" s="15" t="s">
        <v>497</v>
      </c>
      <c r="CY982" s="15" t="s">
        <v>2652</v>
      </c>
      <c r="CZ982" s="15" t="s">
        <v>6270</v>
      </c>
      <c r="DA982" s="15" t="s">
        <v>9788</v>
      </c>
      <c r="DB982" s="15" t="s">
        <v>2652</v>
      </c>
      <c r="DC982" s="15" t="str">
        <f>IFERROR(__xludf.DUMMYFUNCTION("""COMPUTED_VALUE"""),"{""value"":24.02,""unit"":""in""}")</f>
        <v>{"value":24.02,"unit":"in"}</v>
      </c>
      <c r="DD982" s="15" t="s">
        <v>4146</v>
      </c>
      <c r="DE982" s="15" t="str">
        <f>IFERROR(__xludf.DUMMYFUNCTION("""COMPUTED_VALUE"""),"{""value"":18.74,""unit"":""in""}")</f>
        <v>{"value":18.74,"unit":"in"}</v>
      </c>
      <c r="DF982" s="15" t="s">
        <v>9788</v>
      </c>
      <c r="DG982" s="15" t="str">
        <f>IFERROR(__xludf.DUMMYFUNCTION("""COMPUTED_VALUE"""),"{""value"":81.61,""unit"":""in""}")</f>
        <v>{"value":81.61,"unit":"in"}</v>
      </c>
      <c r="DH982" s="15">
        <v>0.0</v>
      </c>
      <c r="DI982" s="15">
        <v>0.0</v>
      </c>
      <c r="DJ982" s="15" t="s">
        <v>717</v>
      </c>
      <c r="DK982" s="15" t="s">
        <v>718</v>
      </c>
      <c r="DL982" s="15" t="str">
        <f>IFERROR(__xludf.DUMMYFUNCTION("""COMPUTED_VALUE"""),"Vacuum or light brush only. Do not use water or any cleaning products.")</f>
        <v>Vacuum or light brush only. Do not use water or any cleaning products.</v>
      </c>
      <c r="DM982" s="15" t="s">
        <v>719</v>
      </c>
      <c r="DQ982" s="15" t="s">
        <v>9789</v>
      </c>
      <c r="DT982" s="15" t="s">
        <v>989</v>
      </c>
      <c r="DU982" s="15" t="s">
        <v>419</v>
      </c>
      <c r="DV982" s="15">
        <v>0.0</v>
      </c>
      <c r="DZ982" s="15">
        <v>0.0</v>
      </c>
      <c r="EA982" s="15" t="s">
        <v>990</v>
      </c>
      <c r="EB982" s="15" t="s">
        <v>723</v>
      </c>
      <c r="ED982" s="15">
        <v>1.0</v>
      </c>
      <c r="EE982" s="15">
        <v>4.0</v>
      </c>
      <c r="EG982" s="15" t="s">
        <v>444</v>
      </c>
      <c r="EH982" s="15" t="s">
        <v>9790</v>
      </c>
      <c r="EI982" s="15">
        <v>0.0</v>
      </c>
      <c r="EJ982" s="15" t="s">
        <v>588</v>
      </c>
      <c r="EK982" s="15" t="s">
        <v>589</v>
      </c>
      <c r="EL982" s="15" t="s">
        <v>3512</v>
      </c>
      <c r="EM982" s="15" t="str">
        <f>IFERROR(__xludf.DUMMYFUNCTION("""COMPUTED_VALUE"""),"{""value"":28.35,""unit"":""in""}")</f>
        <v>{"value":28.35,"unit":"in"}</v>
      </c>
      <c r="EN982" s="15" t="s">
        <v>9791</v>
      </c>
      <c r="EO982" s="15" t="s">
        <v>9792</v>
      </c>
      <c r="ES982" s="15" t="s">
        <v>9793</v>
      </c>
      <c r="EW982" s="15" t="s">
        <v>1955</v>
      </c>
      <c r="EX982" s="15" t="s">
        <v>8865</v>
      </c>
      <c r="EY982" s="15" t="s">
        <v>9794</v>
      </c>
      <c r="EZ982" s="15" t="s">
        <v>9791</v>
      </c>
      <c r="FF982" s="15" t="s">
        <v>997</v>
      </c>
      <c r="FL982" s="15" t="s">
        <v>426</v>
      </c>
      <c r="FO982" s="15" t="s">
        <v>9788</v>
      </c>
      <c r="FP982" s="15" t="s">
        <v>9788</v>
      </c>
    </row>
    <row r="983" ht="15.75" customHeight="1">
      <c r="A983" s="14" t="s">
        <v>391</v>
      </c>
      <c r="B983" s="15" t="s">
        <v>9795</v>
      </c>
      <c r="C983" s="16"/>
      <c r="D983" s="15" t="s">
        <v>432</v>
      </c>
      <c r="G983" s="14" t="s">
        <v>393</v>
      </c>
      <c r="H983" s="14" t="s">
        <v>394</v>
      </c>
      <c r="I983" s="14" t="b">
        <v>1</v>
      </c>
      <c r="J983" s="14" t="s">
        <v>395</v>
      </c>
      <c r="L983" s="14" t="b">
        <v>0</v>
      </c>
      <c r="M983" s="15" t="s">
        <v>9796</v>
      </c>
      <c r="N983" s="14" t="s">
        <v>393</v>
      </c>
      <c r="O983" s="14" t="s">
        <v>393</v>
      </c>
      <c r="P983" s="15" t="s">
        <v>397</v>
      </c>
      <c r="Q983" s="15" t="s">
        <v>2206</v>
      </c>
      <c r="T983" s="14" t="b">
        <v>0</v>
      </c>
      <c r="U983" s="15" t="s">
        <v>9797</v>
      </c>
      <c r="V983" s="15" t="s">
        <v>9251</v>
      </c>
      <c r="W983" s="15" t="s">
        <v>401</v>
      </c>
      <c r="X983" s="15" t="s">
        <v>1172</v>
      </c>
      <c r="Y983" s="15">
        <v>416.0</v>
      </c>
      <c r="AA983" s="15" t="str">
        <f>"160"</f>
        <v>160</v>
      </c>
      <c r="AB983" s="14" t="b">
        <v>1</v>
      </c>
      <c r="AC983" s="14" t="b">
        <v>1</v>
      </c>
      <c r="AD983" s="15" t="str">
        <f>"801542723446"</f>
        <v>801542723446</v>
      </c>
      <c r="AE983" s="15" t="s">
        <v>9798</v>
      </c>
      <c r="AF983" s="14" t="s">
        <v>404</v>
      </c>
      <c r="AG983" s="14" t="s">
        <v>405</v>
      </c>
      <c r="AH983" s="14" t="s">
        <v>406</v>
      </c>
      <c r="AI983" s="15">
        <v>0.0</v>
      </c>
      <c r="AL983" s="15" t="s">
        <v>2210</v>
      </c>
      <c r="AM983" s="15" t="s">
        <v>9134</v>
      </c>
      <c r="AN983" s="15" t="s">
        <v>9135</v>
      </c>
      <c r="AO983" s="15" t="s">
        <v>9799</v>
      </c>
      <c r="AP983" s="15" t="s">
        <v>2457</v>
      </c>
      <c r="AQ983" s="15" t="s">
        <v>2059</v>
      </c>
      <c r="AR983" s="15" t="s">
        <v>2060</v>
      </c>
      <c r="AS983" s="15" t="s">
        <v>2215</v>
      </c>
      <c r="AT983" s="15" t="s">
        <v>2206</v>
      </c>
      <c r="AU983" s="15" t="s">
        <v>6057</v>
      </c>
      <c r="AW983" s="15" t="s">
        <v>1154</v>
      </c>
      <c r="AY983" s="15" t="s">
        <v>413</v>
      </c>
      <c r="AZ983" s="15" t="b">
        <v>0</v>
      </c>
      <c r="BA983" s="15" t="s">
        <v>413</v>
      </c>
      <c r="BB983" s="15" t="b">
        <v>0</v>
      </c>
      <c r="BD983" s="15" t="s">
        <v>1181</v>
      </c>
      <c r="BE983" s="15" t="str">
        <f t="shared" si="1653"/>
        <v>1</v>
      </c>
      <c r="BF983" s="15" t="s">
        <v>416</v>
      </c>
      <c r="BG983" s="15" t="str">
        <f>"15.35"</f>
        <v>15.35</v>
      </c>
      <c r="BH983" s="15" t="s">
        <v>9800</v>
      </c>
      <c r="BI983" s="15" t="str">
        <f>"11.81"</f>
        <v>11.81</v>
      </c>
      <c r="BJ983" s="15" t="s">
        <v>2218</v>
      </c>
      <c r="BK983" s="15" t="str">
        <f>"27.36"</f>
        <v>27.36</v>
      </c>
      <c r="BL983" s="15" t="s">
        <v>2065</v>
      </c>
      <c r="BM983" s="15" t="str">
        <f>"18.3"</f>
        <v>18.3</v>
      </c>
      <c r="BN983" s="15" t="s">
        <v>9801</v>
      </c>
      <c r="BQ983" s="15" t="s">
        <v>444</v>
      </c>
      <c r="BS983" s="15" t="s">
        <v>444</v>
      </c>
      <c r="BU983" s="15" t="s">
        <v>444</v>
      </c>
      <c r="BW983" s="15" t="s">
        <v>444</v>
      </c>
      <c r="BZ983" s="15" t="s">
        <v>444</v>
      </c>
      <c r="CB983" s="15" t="s">
        <v>444</v>
      </c>
      <c r="CD983" s="15" t="s">
        <v>444</v>
      </c>
      <c r="CF983" s="15" t="s">
        <v>444</v>
      </c>
      <c r="CI983" s="15" t="s">
        <v>444</v>
      </c>
      <c r="CK983" s="15" t="s">
        <v>444</v>
      </c>
      <c r="CM983" s="15" t="s">
        <v>444</v>
      </c>
      <c r="CO983" s="15" t="s">
        <v>444</v>
      </c>
      <c r="CP983" s="15" t="str">
        <f>"2.86"</f>
        <v>2.86</v>
      </c>
      <c r="CQ983" s="15" t="str">
        <f>"0.081"</f>
        <v>0.081</v>
      </c>
      <c r="CR983" s="15" t="s">
        <v>465</v>
      </c>
      <c r="DC983" s="15" t="str">
        <f>IFERROR(__xludf.DUMMYFUNCTION("""COMPUTED_VALUE"""),"")</f>
        <v/>
      </c>
      <c r="DE983" s="15" t="str">
        <f>IFERROR(__xludf.DUMMYFUNCTION("""COMPUTED_VALUE"""),"")</f>
        <v/>
      </c>
      <c r="DG983" s="15" t="str">
        <f>IFERROR(__xludf.DUMMYFUNCTION("""COMPUTED_VALUE"""),"")</f>
        <v/>
      </c>
      <c r="DL983" s="15" t="str">
        <f>IFERROR(__xludf.DUMMYFUNCTION("""COMPUTED_VALUE"""),"")</f>
        <v/>
      </c>
      <c r="DM983" s="15" t="s">
        <v>444</v>
      </c>
      <c r="DN983" s="15" t="s">
        <v>419</v>
      </c>
      <c r="DO983" s="15">
        <v>0.0</v>
      </c>
      <c r="DP983" s="15" t="s">
        <v>419</v>
      </c>
      <c r="DR983" s="15">
        <v>0.0</v>
      </c>
      <c r="DU983" s="15" t="s">
        <v>419</v>
      </c>
      <c r="DY983" s="15">
        <v>0.0</v>
      </c>
      <c r="EF983" s="15" t="s">
        <v>471</v>
      </c>
      <c r="EG983" s="15" t="s">
        <v>472</v>
      </c>
      <c r="EH983" s="15" t="s">
        <v>9802</v>
      </c>
      <c r="EJ983" s="15" t="s">
        <v>500</v>
      </c>
      <c r="EK983" s="15" t="s">
        <v>501</v>
      </c>
      <c r="EM983" s="15" t="str">
        <f>IFERROR(__xludf.DUMMYFUNCTION("""COMPUTED_VALUE"""),"")</f>
        <v/>
      </c>
      <c r="EY983" s="15" t="s">
        <v>2968</v>
      </c>
      <c r="FH983" s="15" t="s">
        <v>1254</v>
      </c>
      <c r="FI983" s="15" t="s">
        <v>715</v>
      </c>
      <c r="FJ983" s="15" t="s">
        <v>1288</v>
      </c>
      <c r="FK983" s="15" t="s">
        <v>2046</v>
      </c>
      <c r="FM983" s="15">
        <v>0.0</v>
      </c>
      <c r="FN983" s="15">
        <v>0.0</v>
      </c>
    </row>
    <row r="984" ht="15.75" customHeight="1">
      <c r="A984" s="14" t="s">
        <v>391</v>
      </c>
      <c r="B984" s="15" t="s">
        <v>9803</v>
      </c>
      <c r="C984" s="16"/>
      <c r="D984" s="15" t="s">
        <v>432</v>
      </c>
      <c r="G984" s="14" t="s">
        <v>393</v>
      </c>
      <c r="H984" s="14" t="s">
        <v>394</v>
      </c>
      <c r="I984" s="14" t="b">
        <v>1</v>
      </c>
      <c r="J984" s="14" t="s">
        <v>395</v>
      </c>
      <c r="L984" s="14" t="b">
        <v>0</v>
      </c>
      <c r="M984" s="15" t="s">
        <v>9804</v>
      </c>
      <c r="N984" s="14" t="s">
        <v>393</v>
      </c>
      <c r="O984" s="14" t="s">
        <v>393</v>
      </c>
      <c r="P984" s="15" t="s">
        <v>397</v>
      </c>
      <c r="Q984" s="15" t="s">
        <v>8417</v>
      </c>
      <c r="T984" s="14" t="b">
        <v>0</v>
      </c>
      <c r="U984" s="15" t="s">
        <v>9805</v>
      </c>
      <c r="V984" s="15" t="s">
        <v>2075</v>
      </c>
      <c r="W984" s="15" t="s">
        <v>401</v>
      </c>
      <c r="X984" s="15" t="s">
        <v>695</v>
      </c>
      <c r="Y984" s="15">
        <v>4589.0</v>
      </c>
      <c r="AA984" s="15" t="str">
        <f t="shared" ref="AA984:AA985" si="1662">"1765"</f>
        <v>1765</v>
      </c>
      <c r="AB984" s="14" t="b">
        <v>1</v>
      </c>
      <c r="AC984" s="14" t="b">
        <v>1</v>
      </c>
      <c r="AD984" s="15" t="str">
        <f>"801542171933"</f>
        <v>801542171933</v>
      </c>
      <c r="AE984" s="15" t="s">
        <v>9806</v>
      </c>
      <c r="AF984" s="14" t="s">
        <v>404</v>
      </c>
      <c r="AG984" s="14" t="s">
        <v>405</v>
      </c>
      <c r="AH984" s="14" t="s">
        <v>406</v>
      </c>
      <c r="AI984" s="15">
        <v>0.0</v>
      </c>
      <c r="AL984" s="15" t="s">
        <v>8421</v>
      </c>
      <c r="AM984" s="15" t="s">
        <v>9807</v>
      </c>
      <c r="AN984" s="15" t="s">
        <v>9808</v>
      </c>
      <c r="AO984" s="15" t="s">
        <v>679</v>
      </c>
      <c r="AP984" s="15" t="s">
        <v>680</v>
      </c>
      <c r="AQ984" s="15" t="s">
        <v>698</v>
      </c>
      <c r="AR984" s="15" t="s">
        <v>699</v>
      </c>
      <c r="AS984" s="15" t="s">
        <v>2343</v>
      </c>
      <c r="AT984" s="15" t="s">
        <v>8417</v>
      </c>
      <c r="AW984" s="15" t="s">
        <v>1629</v>
      </c>
      <c r="AX984" s="15" t="s">
        <v>7473</v>
      </c>
      <c r="AY984" s="15" t="s">
        <v>413</v>
      </c>
      <c r="AZ984" s="15" t="b">
        <v>0</v>
      </c>
      <c r="BA984" s="15" t="s">
        <v>426</v>
      </c>
      <c r="BB984" s="15" t="b">
        <v>1</v>
      </c>
      <c r="BC984" s="15" t="s">
        <v>9809</v>
      </c>
      <c r="BD984" s="15" t="s">
        <v>709</v>
      </c>
      <c r="BE984" s="15" t="str">
        <f t="shared" ref="BE984:BE988" si="1663">"3"</f>
        <v>3</v>
      </c>
      <c r="BF984" s="15" t="s">
        <v>416</v>
      </c>
      <c r="BG984" s="15" t="str">
        <f t="shared" ref="BG984:BG988" si="1664">"39.76"</f>
        <v>39.76</v>
      </c>
      <c r="BH984" s="15" t="s">
        <v>5501</v>
      </c>
      <c r="BI984" s="15" t="str">
        <f t="shared" ref="BI984:BI988" si="1665">"40.16"</f>
        <v>40.16</v>
      </c>
      <c r="BJ984" s="15" t="s">
        <v>667</v>
      </c>
      <c r="BK984" s="15" t="str">
        <f t="shared" ref="BK984:BK988" si="1666">"29.53"</f>
        <v>29.53</v>
      </c>
      <c r="BL984" s="15" t="s">
        <v>1062</v>
      </c>
      <c r="BM984" s="15" t="str">
        <f t="shared" ref="BM984:BM988" si="1667">"128.31"</f>
        <v>128.31</v>
      </c>
      <c r="BN984" s="15" t="s">
        <v>4338</v>
      </c>
      <c r="BO984" s="15" t="s">
        <v>416</v>
      </c>
      <c r="BP984" s="15" t="str">
        <f t="shared" ref="BP984:BP988" si="1668">"39.76"</f>
        <v>39.76</v>
      </c>
      <c r="BQ984" s="15" t="s">
        <v>5501</v>
      </c>
      <c r="BR984" s="15" t="str">
        <f t="shared" ref="BR984:BR988" si="1669">"40.16"</f>
        <v>40.16</v>
      </c>
      <c r="BS984" s="15" t="s">
        <v>667</v>
      </c>
      <c r="BT984" s="15" t="str">
        <f t="shared" ref="BT984:BT988" si="1670">"29.53"</f>
        <v>29.53</v>
      </c>
      <c r="BU984" s="15" t="s">
        <v>1062</v>
      </c>
      <c r="BV984" s="15" t="str">
        <f t="shared" ref="BV984:BV988" si="1671">"128.31"</f>
        <v>128.31</v>
      </c>
      <c r="BW984" s="15" t="s">
        <v>4338</v>
      </c>
      <c r="BX984" s="15" t="s">
        <v>416</v>
      </c>
      <c r="BY984" s="15" t="str">
        <f t="shared" ref="BY984:BY988" si="1672">"40.16"</f>
        <v>40.16</v>
      </c>
      <c r="BZ984" s="15" t="s">
        <v>667</v>
      </c>
      <c r="CA984" s="15" t="str">
        <f t="shared" ref="CA984:CA988" si="1673">"34.65"</f>
        <v>34.65</v>
      </c>
      <c r="CB984" s="15" t="s">
        <v>1229</v>
      </c>
      <c r="CC984" s="15" t="str">
        <f t="shared" ref="CC984:CC988" si="1674">"29.53"</f>
        <v>29.53</v>
      </c>
      <c r="CD984" s="15" t="s">
        <v>1062</v>
      </c>
      <c r="CE984" s="15" t="str">
        <f t="shared" ref="CE984:CE988" si="1675">"132.72"</f>
        <v>132.72</v>
      </c>
      <c r="CF984" s="15" t="s">
        <v>9810</v>
      </c>
      <c r="CI984" s="15" t="s">
        <v>444</v>
      </c>
      <c r="CK984" s="15" t="s">
        <v>444</v>
      </c>
      <c r="CM984" s="15" t="s">
        <v>444</v>
      </c>
      <c r="CO984" s="15" t="s">
        <v>444</v>
      </c>
      <c r="CP984" s="15" t="str">
        <f t="shared" ref="CP984:CP988" si="1676">"78.36"</f>
        <v>78.36</v>
      </c>
      <c r="CQ984" s="15" t="str">
        <f t="shared" ref="CQ984:CQ988" si="1677">"2.219"</f>
        <v>2.219</v>
      </c>
      <c r="CR984" s="15" t="s">
        <v>497</v>
      </c>
      <c r="DC984" s="15" t="str">
        <f>IFERROR(__xludf.DUMMYFUNCTION("""COMPUTED_VALUE"""),"")</f>
        <v/>
      </c>
      <c r="DE984" s="15" t="str">
        <f>IFERROR(__xludf.DUMMYFUNCTION("""COMPUTED_VALUE"""),"")</f>
        <v/>
      </c>
      <c r="DG984" s="15" t="str">
        <f>IFERROR(__xludf.DUMMYFUNCTION("""COMPUTED_VALUE"""),"")</f>
        <v/>
      </c>
      <c r="DJ984" s="15" t="s">
        <v>717</v>
      </c>
      <c r="DK984" s="15" t="s">
        <v>855</v>
      </c>
      <c r="DL984" s="15" t="str">
        <f>IFERROR(__xludf.DUMMYFUNCTION("""COMPUTED_VALUE"""),"Clean with solvent-based (dry clean only) products. Do not use water.")</f>
        <v>Clean with solvent-based (dry clean only) products. Do not use water.</v>
      </c>
      <c r="DM984" s="15" t="s">
        <v>856</v>
      </c>
      <c r="DQ984" s="15" t="s">
        <v>2028</v>
      </c>
      <c r="DT984" s="15" t="s">
        <v>721</v>
      </c>
      <c r="DU984" s="15" t="s">
        <v>329</v>
      </c>
      <c r="DZ984" s="15">
        <v>25000.0</v>
      </c>
      <c r="EA984" s="15" t="s">
        <v>990</v>
      </c>
      <c r="EB984" s="15" t="s">
        <v>723</v>
      </c>
      <c r="EC984" s="15" t="s">
        <v>724</v>
      </c>
      <c r="EE984" s="15">
        <v>3.0</v>
      </c>
      <c r="EF984" s="15" t="s">
        <v>7473</v>
      </c>
      <c r="EG984" s="15" t="s">
        <v>7474</v>
      </c>
      <c r="EH984" s="15" t="s">
        <v>9811</v>
      </c>
      <c r="EJ984" s="15" t="s">
        <v>473</v>
      </c>
      <c r="EK984" s="15" t="s">
        <v>474</v>
      </c>
      <c r="EM984" s="15" t="str">
        <f>IFERROR(__xludf.DUMMYFUNCTION("""COMPUTED_VALUE"""),"")</f>
        <v/>
      </c>
      <c r="FC984" s="15" t="s">
        <v>723</v>
      </c>
      <c r="FD984" s="15" t="s">
        <v>724</v>
      </c>
      <c r="FE984" s="15" t="s">
        <v>2028</v>
      </c>
      <c r="FF984" s="15" t="s">
        <v>1079</v>
      </c>
      <c r="HO984" s="15" t="s">
        <v>1638</v>
      </c>
      <c r="HP984" s="15" t="s">
        <v>7473</v>
      </c>
      <c r="LR984" s="15" t="s">
        <v>426</v>
      </c>
    </row>
    <row r="985" ht="15.75" customHeight="1">
      <c r="A985" s="14" t="s">
        <v>391</v>
      </c>
      <c r="B985" s="15" t="s">
        <v>9803</v>
      </c>
      <c r="C985" s="16"/>
      <c r="D985" s="15" t="s">
        <v>432</v>
      </c>
      <c r="G985" s="14" t="s">
        <v>393</v>
      </c>
      <c r="H985" s="14" t="s">
        <v>394</v>
      </c>
      <c r="I985" s="14" t="b">
        <v>1</v>
      </c>
      <c r="J985" s="14" t="s">
        <v>395</v>
      </c>
      <c r="L985" s="14" t="b">
        <v>0</v>
      </c>
      <c r="M985" s="15" t="s">
        <v>9812</v>
      </c>
      <c r="N985" s="14" t="s">
        <v>393</v>
      </c>
      <c r="O985" s="14" t="s">
        <v>393</v>
      </c>
      <c r="P985" s="15" t="s">
        <v>397</v>
      </c>
      <c r="Q985" s="15" t="s">
        <v>1619</v>
      </c>
      <c r="T985" s="14" t="b">
        <v>0</v>
      </c>
      <c r="U985" s="15" t="s">
        <v>9813</v>
      </c>
      <c r="V985" s="15" t="s">
        <v>2075</v>
      </c>
      <c r="W985" s="15" t="s">
        <v>401</v>
      </c>
      <c r="X985" s="15" t="s">
        <v>695</v>
      </c>
      <c r="Y985" s="15">
        <v>4589.0</v>
      </c>
      <c r="AA985" s="15" t="str">
        <f t="shared" si="1662"/>
        <v>1765</v>
      </c>
      <c r="AB985" s="14" t="b">
        <v>1</v>
      </c>
      <c r="AC985" s="14" t="b">
        <v>1</v>
      </c>
      <c r="AD985" s="15" t="str">
        <f>"198394083713"</f>
        <v>198394083713</v>
      </c>
      <c r="AE985" s="15" t="s">
        <v>9814</v>
      </c>
      <c r="AF985" s="14" t="s">
        <v>404</v>
      </c>
      <c r="AG985" s="14" t="s">
        <v>405</v>
      </c>
      <c r="AH985" s="14" t="s">
        <v>406</v>
      </c>
      <c r="AI985" s="15">
        <v>0.0</v>
      </c>
      <c r="AL985" s="15" t="s">
        <v>1623</v>
      </c>
      <c r="AM985" s="15" t="s">
        <v>9807</v>
      </c>
      <c r="AN985" s="15" t="s">
        <v>9808</v>
      </c>
      <c r="AO985" s="15" t="s">
        <v>679</v>
      </c>
      <c r="AP985" s="15" t="s">
        <v>680</v>
      </c>
      <c r="AQ985" s="15" t="s">
        <v>698</v>
      </c>
      <c r="AR985" s="15" t="s">
        <v>699</v>
      </c>
      <c r="AS985" s="15" t="s">
        <v>2343</v>
      </c>
      <c r="AT985" s="15" t="s">
        <v>1619</v>
      </c>
      <c r="AW985" s="15" t="s">
        <v>1629</v>
      </c>
      <c r="AX985" s="15" t="s">
        <v>7473</v>
      </c>
      <c r="AY985" s="15" t="s">
        <v>413</v>
      </c>
      <c r="AZ985" s="15" t="b">
        <v>0</v>
      </c>
      <c r="BA985" s="15" t="s">
        <v>426</v>
      </c>
      <c r="BB985" s="15" t="b">
        <v>1</v>
      </c>
      <c r="BD985" s="15" t="s">
        <v>709</v>
      </c>
      <c r="BE985" s="15" t="str">
        <f t="shared" si="1663"/>
        <v>3</v>
      </c>
      <c r="BF985" s="15" t="s">
        <v>416</v>
      </c>
      <c r="BG985" s="15" t="str">
        <f t="shared" si="1664"/>
        <v>39.76</v>
      </c>
      <c r="BH985" s="15" t="s">
        <v>5501</v>
      </c>
      <c r="BI985" s="15" t="str">
        <f t="shared" si="1665"/>
        <v>40.16</v>
      </c>
      <c r="BJ985" s="15" t="s">
        <v>667</v>
      </c>
      <c r="BK985" s="15" t="str">
        <f t="shared" si="1666"/>
        <v>29.53</v>
      </c>
      <c r="BL985" s="15" t="s">
        <v>1062</v>
      </c>
      <c r="BM985" s="15" t="str">
        <f t="shared" si="1667"/>
        <v>128.31</v>
      </c>
      <c r="BN985" s="15" t="s">
        <v>4338</v>
      </c>
      <c r="BO985" s="15" t="s">
        <v>416</v>
      </c>
      <c r="BP985" s="15" t="str">
        <f t="shared" si="1668"/>
        <v>39.76</v>
      </c>
      <c r="BQ985" s="15" t="s">
        <v>5501</v>
      </c>
      <c r="BR985" s="15" t="str">
        <f t="shared" si="1669"/>
        <v>40.16</v>
      </c>
      <c r="BS985" s="15" t="s">
        <v>667</v>
      </c>
      <c r="BT985" s="15" t="str">
        <f t="shared" si="1670"/>
        <v>29.53</v>
      </c>
      <c r="BU985" s="15" t="s">
        <v>1062</v>
      </c>
      <c r="BV985" s="15" t="str">
        <f t="shared" si="1671"/>
        <v>128.31</v>
      </c>
      <c r="BW985" s="15" t="s">
        <v>4338</v>
      </c>
      <c r="BX985" s="15" t="s">
        <v>416</v>
      </c>
      <c r="BY985" s="15" t="str">
        <f t="shared" si="1672"/>
        <v>40.16</v>
      </c>
      <c r="BZ985" s="15" t="s">
        <v>667</v>
      </c>
      <c r="CA985" s="15" t="str">
        <f t="shared" si="1673"/>
        <v>34.65</v>
      </c>
      <c r="CB985" s="15" t="s">
        <v>1229</v>
      </c>
      <c r="CC985" s="15" t="str">
        <f t="shared" si="1674"/>
        <v>29.53</v>
      </c>
      <c r="CD985" s="15" t="s">
        <v>1062</v>
      </c>
      <c r="CE985" s="15" t="str">
        <f t="shared" si="1675"/>
        <v>132.72</v>
      </c>
      <c r="CF985" s="15" t="s">
        <v>9810</v>
      </c>
      <c r="CI985" s="15" t="s">
        <v>444</v>
      </c>
      <c r="CK985" s="15" t="s">
        <v>444</v>
      </c>
      <c r="CM985" s="15" t="s">
        <v>444</v>
      </c>
      <c r="CO985" s="15" t="s">
        <v>444</v>
      </c>
      <c r="CP985" s="15" t="str">
        <f t="shared" si="1676"/>
        <v>78.36</v>
      </c>
      <c r="CQ985" s="15" t="str">
        <f t="shared" si="1677"/>
        <v>2.219</v>
      </c>
      <c r="CR985" s="15" t="s">
        <v>497</v>
      </c>
      <c r="DC985" s="15" t="str">
        <f>IFERROR(__xludf.DUMMYFUNCTION("""COMPUTED_VALUE"""),"")</f>
        <v/>
      </c>
      <c r="DE985" s="15" t="str">
        <f>IFERROR(__xludf.DUMMYFUNCTION("""COMPUTED_VALUE"""),"")</f>
        <v/>
      </c>
      <c r="DG985" s="15" t="str">
        <f>IFERROR(__xludf.DUMMYFUNCTION("""COMPUTED_VALUE"""),"")</f>
        <v/>
      </c>
      <c r="DJ985" s="15" t="s">
        <v>717</v>
      </c>
      <c r="DK985" s="15" t="s">
        <v>897</v>
      </c>
      <c r="DL985" s="15" t="str">
        <f>IFERROR(__xludf.DUMMYFUNCTION("""COMPUTED_VALUE"""),"Clean with water-based products only. Use mild detergent or upholstery shampoo.")</f>
        <v>Clean with water-based products only. Use mild detergent or upholstery shampoo.</v>
      </c>
      <c r="DM985" s="15" t="s">
        <v>898</v>
      </c>
      <c r="DQ985" s="15" t="s">
        <v>2028</v>
      </c>
      <c r="DT985" s="15" t="s">
        <v>721</v>
      </c>
      <c r="DU985" s="15" t="s">
        <v>329</v>
      </c>
      <c r="DZ985" s="15">
        <v>50000.0</v>
      </c>
      <c r="EA985" s="15" t="s">
        <v>990</v>
      </c>
      <c r="EB985" s="15" t="s">
        <v>723</v>
      </c>
      <c r="EC985" s="15" t="s">
        <v>724</v>
      </c>
      <c r="EE985" s="15">
        <v>3.0</v>
      </c>
      <c r="EF985" s="15" t="s">
        <v>7473</v>
      </c>
      <c r="EG985" s="15" t="s">
        <v>7474</v>
      </c>
      <c r="EH985" s="15" t="s">
        <v>9811</v>
      </c>
      <c r="EJ985" s="15" t="s">
        <v>473</v>
      </c>
      <c r="EK985" s="15" t="s">
        <v>474</v>
      </c>
      <c r="EM985" s="15" t="str">
        <f>IFERROR(__xludf.DUMMYFUNCTION("""COMPUTED_VALUE"""),"")</f>
        <v/>
      </c>
      <c r="FC985" s="15" t="s">
        <v>723</v>
      </c>
      <c r="FD985" s="15" t="s">
        <v>724</v>
      </c>
      <c r="FE985" s="15" t="s">
        <v>2028</v>
      </c>
      <c r="FF985" s="15" t="s">
        <v>1079</v>
      </c>
      <c r="HO985" s="15" t="s">
        <v>1638</v>
      </c>
      <c r="HP985" s="15" t="s">
        <v>7473</v>
      </c>
      <c r="LR985" s="15" t="s">
        <v>426</v>
      </c>
    </row>
    <row r="986" ht="15.75" customHeight="1">
      <c r="A986" s="14" t="s">
        <v>391</v>
      </c>
      <c r="B986" s="15" t="s">
        <v>9803</v>
      </c>
      <c r="C986" s="16"/>
      <c r="D986" s="15" t="s">
        <v>432</v>
      </c>
      <c r="G986" s="14" t="s">
        <v>393</v>
      </c>
      <c r="H986" s="14" t="s">
        <v>394</v>
      </c>
      <c r="I986" s="14" t="b">
        <v>1</v>
      </c>
      <c r="J986" s="14" t="s">
        <v>395</v>
      </c>
      <c r="L986" s="14" t="b">
        <v>0</v>
      </c>
      <c r="M986" s="15" t="s">
        <v>9815</v>
      </c>
      <c r="N986" s="14" t="s">
        <v>393</v>
      </c>
      <c r="O986" s="14" t="s">
        <v>393</v>
      </c>
      <c r="P986" s="15" t="s">
        <v>397</v>
      </c>
      <c r="Q986" s="15" t="s">
        <v>8434</v>
      </c>
      <c r="T986" s="14" t="b">
        <v>0</v>
      </c>
      <c r="U986" s="15" t="s">
        <v>9816</v>
      </c>
      <c r="V986" s="15" t="s">
        <v>2075</v>
      </c>
      <c r="W986" s="15" t="s">
        <v>401</v>
      </c>
      <c r="X986" s="15" t="s">
        <v>695</v>
      </c>
      <c r="Y986" s="15">
        <v>4368.0</v>
      </c>
      <c r="AA986" s="15" t="str">
        <f>"1680"</f>
        <v>1680</v>
      </c>
      <c r="AB986" s="14" t="b">
        <v>1</v>
      </c>
      <c r="AC986" s="14" t="b">
        <v>1</v>
      </c>
      <c r="AD986" s="15" t="str">
        <f>"801542008093"</f>
        <v>801542008093</v>
      </c>
      <c r="AE986" s="15" t="s">
        <v>9817</v>
      </c>
      <c r="AF986" s="14" t="s">
        <v>404</v>
      </c>
      <c r="AG986" s="14" t="s">
        <v>405</v>
      </c>
      <c r="AH986" s="14" t="s">
        <v>406</v>
      </c>
      <c r="AI986" s="15">
        <v>0.0</v>
      </c>
      <c r="AL986" s="15" t="s">
        <v>7030</v>
      </c>
      <c r="AM986" s="15" t="s">
        <v>9807</v>
      </c>
      <c r="AN986" s="15" t="s">
        <v>9808</v>
      </c>
      <c r="AO986" s="15" t="s">
        <v>679</v>
      </c>
      <c r="AP986" s="15" t="s">
        <v>680</v>
      </c>
      <c r="AQ986" s="15" t="s">
        <v>698</v>
      </c>
      <c r="AR986" s="15" t="s">
        <v>699</v>
      </c>
      <c r="AS986" s="15" t="s">
        <v>2343</v>
      </c>
      <c r="AT986" s="15" t="s">
        <v>8434</v>
      </c>
      <c r="AW986" s="15" t="s">
        <v>1629</v>
      </c>
      <c r="AX986" s="15" t="s">
        <v>7473</v>
      </c>
      <c r="AY986" s="15" t="s">
        <v>413</v>
      </c>
      <c r="AZ986" s="15" t="b">
        <v>0</v>
      </c>
      <c r="BA986" s="15" t="s">
        <v>413</v>
      </c>
      <c r="BB986" s="15" t="b">
        <v>0</v>
      </c>
      <c r="BC986" s="15" t="s">
        <v>9818</v>
      </c>
      <c r="BD986" s="15" t="s">
        <v>709</v>
      </c>
      <c r="BE986" s="15" t="str">
        <f t="shared" si="1663"/>
        <v>3</v>
      </c>
      <c r="BF986" s="15" t="s">
        <v>416</v>
      </c>
      <c r="BG986" s="15" t="str">
        <f t="shared" si="1664"/>
        <v>39.76</v>
      </c>
      <c r="BH986" s="15" t="s">
        <v>5501</v>
      </c>
      <c r="BI986" s="15" t="str">
        <f t="shared" si="1665"/>
        <v>40.16</v>
      </c>
      <c r="BJ986" s="15" t="s">
        <v>667</v>
      </c>
      <c r="BK986" s="15" t="str">
        <f t="shared" si="1666"/>
        <v>29.53</v>
      </c>
      <c r="BL986" s="15" t="s">
        <v>1062</v>
      </c>
      <c r="BM986" s="15" t="str">
        <f t="shared" si="1667"/>
        <v>128.31</v>
      </c>
      <c r="BN986" s="15" t="s">
        <v>4338</v>
      </c>
      <c r="BO986" s="15" t="s">
        <v>416</v>
      </c>
      <c r="BP986" s="15" t="str">
        <f t="shared" si="1668"/>
        <v>39.76</v>
      </c>
      <c r="BQ986" s="15" t="s">
        <v>5501</v>
      </c>
      <c r="BR986" s="15" t="str">
        <f t="shared" si="1669"/>
        <v>40.16</v>
      </c>
      <c r="BS986" s="15" t="s">
        <v>667</v>
      </c>
      <c r="BT986" s="15" t="str">
        <f t="shared" si="1670"/>
        <v>29.53</v>
      </c>
      <c r="BU986" s="15" t="s">
        <v>1062</v>
      </c>
      <c r="BV986" s="15" t="str">
        <f t="shared" si="1671"/>
        <v>128.31</v>
      </c>
      <c r="BW986" s="15" t="s">
        <v>4338</v>
      </c>
      <c r="BX986" s="15" t="s">
        <v>416</v>
      </c>
      <c r="BY986" s="15" t="str">
        <f t="shared" si="1672"/>
        <v>40.16</v>
      </c>
      <c r="BZ986" s="15" t="s">
        <v>667</v>
      </c>
      <c r="CA986" s="15" t="str">
        <f t="shared" si="1673"/>
        <v>34.65</v>
      </c>
      <c r="CB986" s="15" t="s">
        <v>1229</v>
      </c>
      <c r="CC986" s="15" t="str">
        <f t="shared" si="1674"/>
        <v>29.53</v>
      </c>
      <c r="CD986" s="15" t="s">
        <v>1062</v>
      </c>
      <c r="CE986" s="15" t="str">
        <f t="shared" si="1675"/>
        <v>132.72</v>
      </c>
      <c r="CF986" s="15" t="s">
        <v>9810</v>
      </c>
      <c r="CI986" s="15" t="s">
        <v>444</v>
      </c>
      <c r="CK986" s="15" t="s">
        <v>444</v>
      </c>
      <c r="CM986" s="15" t="s">
        <v>444</v>
      </c>
      <c r="CO986" s="15" t="s">
        <v>444</v>
      </c>
      <c r="CP986" s="15" t="str">
        <f t="shared" si="1676"/>
        <v>78.36</v>
      </c>
      <c r="CQ986" s="15" t="str">
        <f t="shared" si="1677"/>
        <v>2.219</v>
      </c>
      <c r="CR986" s="15" t="s">
        <v>465</v>
      </c>
      <c r="DC986" s="15" t="str">
        <f>IFERROR(__xludf.DUMMYFUNCTION("""COMPUTED_VALUE"""),"")</f>
        <v/>
      </c>
      <c r="DE986" s="15" t="str">
        <f>IFERROR(__xludf.DUMMYFUNCTION("""COMPUTED_VALUE"""),"")</f>
        <v/>
      </c>
      <c r="DG986" s="15" t="str">
        <f>IFERROR(__xludf.DUMMYFUNCTION("""COMPUTED_VALUE"""),"")</f>
        <v/>
      </c>
      <c r="DJ986" s="15" t="s">
        <v>717</v>
      </c>
      <c r="DK986" s="15" t="s">
        <v>934</v>
      </c>
      <c r="DL986" s="15" t="str">
        <f>IFERROR(__xludf.DUMMYFUNCTION("""COMPUTED_VALUE"""),"Spot clean with water-based or solvent-based cleaner. Use mild detergent or upholstery shampoo.")</f>
        <v>Spot clean with water-based or solvent-based cleaner. Use mild detergent or upholstery shampoo.</v>
      </c>
      <c r="DM986" s="15" t="s">
        <v>935</v>
      </c>
      <c r="DQ986" s="15" t="s">
        <v>2028</v>
      </c>
      <c r="DT986" s="15" t="s">
        <v>721</v>
      </c>
      <c r="DU986" s="15" t="s">
        <v>329</v>
      </c>
      <c r="DZ986" s="15">
        <v>15000.0</v>
      </c>
      <c r="EA986" s="15" t="s">
        <v>990</v>
      </c>
      <c r="EB986" s="15" t="s">
        <v>723</v>
      </c>
      <c r="EC986" s="15" t="s">
        <v>724</v>
      </c>
      <c r="EE986" s="15">
        <v>3.0</v>
      </c>
      <c r="EF986" s="15" t="s">
        <v>7473</v>
      </c>
      <c r="EG986" s="15" t="s">
        <v>7474</v>
      </c>
      <c r="EH986" s="15" t="s">
        <v>9811</v>
      </c>
      <c r="EJ986" s="15" t="s">
        <v>473</v>
      </c>
      <c r="EK986" s="15" t="s">
        <v>474</v>
      </c>
      <c r="EM986" s="15" t="str">
        <f>IFERROR(__xludf.DUMMYFUNCTION("""COMPUTED_VALUE"""),"")</f>
        <v/>
      </c>
      <c r="FC986" s="15" t="s">
        <v>723</v>
      </c>
      <c r="FD986" s="15" t="s">
        <v>724</v>
      </c>
      <c r="FE986" s="15" t="s">
        <v>2028</v>
      </c>
      <c r="FF986" s="15" t="s">
        <v>1079</v>
      </c>
      <c r="HO986" s="15" t="s">
        <v>1638</v>
      </c>
      <c r="HP986" s="15" t="s">
        <v>7473</v>
      </c>
      <c r="LR986" s="15" t="s">
        <v>426</v>
      </c>
    </row>
    <row r="987" ht="15.75" customHeight="1">
      <c r="A987" s="14" t="s">
        <v>391</v>
      </c>
      <c r="B987" s="15" t="s">
        <v>9803</v>
      </c>
      <c r="C987" s="16"/>
      <c r="D987" s="15" t="s">
        <v>432</v>
      </c>
      <c r="G987" s="14" t="s">
        <v>393</v>
      </c>
      <c r="H987" s="14" t="s">
        <v>394</v>
      </c>
      <c r="I987" s="14" t="b">
        <v>1</v>
      </c>
      <c r="J987" s="14" t="s">
        <v>395</v>
      </c>
      <c r="L987" s="14" t="b">
        <v>0</v>
      </c>
      <c r="M987" s="15" t="s">
        <v>9819</v>
      </c>
      <c r="N987" s="14" t="s">
        <v>393</v>
      </c>
      <c r="O987" s="14" t="s">
        <v>393</v>
      </c>
      <c r="P987" s="15" t="s">
        <v>397</v>
      </c>
      <c r="Q987" s="15" t="s">
        <v>3874</v>
      </c>
      <c r="T987" s="14" t="b">
        <v>0</v>
      </c>
      <c r="U987" s="15" t="s">
        <v>9820</v>
      </c>
      <c r="V987" s="15" t="s">
        <v>2075</v>
      </c>
      <c r="W987" s="15" t="s">
        <v>401</v>
      </c>
      <c r="X987" s="15" t="s">
        <v>695</v>
      </c>
      <c r="Y987" s="15">
        <v>7319.0</v>
      </c>
      <c r="AA987" s="15" t="str">
        <f t="shared" ref="AA987:AA988" si="1678">"2815"</f>
        <v>2815</v>
      </c>
      <c r="AB987" s="14" t="b">
        <v>1</v>
      </c>
      <c r="AC987" s="14" t="b">
        <v>1</v>
      </c>
      <c r="AD987" s="15" t="str">
        <f>"801542171940"</f>
        <v>801542171940</v>
      </c>
      <c r="AE987" s="15" t="s">
        <v>9821</v>
      </c>
      <c r="AF987" s="14" t="s">
        <v>404</v>
      </c>
      <c r="AG987" s="14" t="s">
        <v>405</v>
      </c>
      <c r="AH987" s="14" t="s">
        <v>406</v>
      </c>
      <c r="AI987" s="15">
        <v>0.0</v>
      </c>
      <c r="AL987" s="15" t="s">
        <v>1600</v>
      </c>
      <c r="AM987" s="15" t="s">
        <v>9807</v>
      </c>
      <c r="AN987" s="15" t="s">
        <v>9808</v>
      </c>
      <c r="AO987" s="15" t="s">
        <v>679</v>
      </c>
      <c r="AP987" s="15" t="s">
        <v>680</v>
      </c>
      <c r="AQ987" s="15" t="s">
        <v>698</v>
      </c>
      <c r="AR987" s="15" t="s">
        <v>699</v>
      </c>
      <c r="AS987" s="15" t="s">
        <v>2343</v>
      </c>
      <c r="AT987" s="15" t="s">
        <v>3874</v>
      </c>
      <c r="AW987" s="15" t="s">
        <v>1629</v>
      </c>
      <c r="AX987" s="15" t="s">
        <v>7473</v>
      </c>
      <c r="AY987" s="15" t="s">
        <v>413</v>
      </c>
      <c r="AZ987" s="15" t="b">
        <v>0</v>
      </c>
      <c r="BA987" s="15" t="s">
        <v>413</v>
      </c>
      <c r="BB987" s="15" t="b">
        <v>0</v>
      </c>
      <c r="BC987" s="15" t="s">
        <v>9822</v>
      </c>
      <c r="BD987" s="15" t="s">
        <v>709</v>
      </c>
      <c r="BE987" s="15" t="str">
        <f t="shared" si="1663"/>
        <v>3</v>
      </c>
      <c r="BF987" s="15" t="s">
        <v>416</v>
      </c>
      <c r="BG987" s="15" t="str">
        <f t="shared" si="1664"/>
        <v>39.76</v>
      </c>
      <c r="BH987" s="15" t="s">
        <v>5501</v>
      </c>
      <c r="BI987" s="15" t="str">
        <f t="shared" si="1665"/>
        <v>40.16</v>
      </c>
      <c r="BJ987" s="15" t="s">
        <v>667</v>
      </c>
      <c r="BK987" s="15" t="str">
        <f t="shared" si="1666"/>
        <v>29.53</v>
      </c>
      <c r="BL987" s="15" t="s">
        <v>1062</v>
      </c>
      <c r="BM987" s="15" t="str">
        <f t="shared" si="1667"/>
        <v>128.31</v>
      </c>
      <c r="BN987" s="15" t="s">
        <v>4338</v>
      </c>
      <c r="BO987" s="15" t="s">
        <v>416</v>
      </c>
      <c r="BP987" s="15" t="str">
        <f t="shared" si="1668"/>
        <v>39.76</v>
      </c>
      <c r="BQ987" s="15" t="s">
        <v>5501</v>
      </c>
      <c r="BR987" s="15" t="str">
        <f t="shared" si="1669"/>
        <v>40.16</v>
      </c>
      <c r="BS987" s="15" t="s">
        <v>667</v>
      </c>
      <c r="BT987" s="15" t="str">
        <f t="shared" si="1670"/>
        <v>29.53</v>
      </c>
      <c r="BU987" s="15" t="s">
        <v>1062</v>
      </c>
      <c r="BV987" s="15" t="str">
        <f t="shared" si="1671"/>
        <v>128.31</v>
      </c>
      <c r="BW987" s="15" t="s">
        <v>4338</v>
      </c>
      <c r="BX987" s="15" t="s">
        <v>416</v>
      </c>
      <c r="BY987" s="15" t="str">
        <f t="shared" si="1672"/>
        <v>40.16</v>
      </c>
      <c r="BZ987" s="15" t="s">
        <v>667</v>
      </c>
      <c r="CA987" s="15" t="str">
        <f t="shared" si="1673"/>
        <v>34.65</v>
      </c>
      <c r="CB987" s="15" t="s">
        <v>1229</v>
      </c>
      <c r="CC987" s="15" t="str">
        <f t="shared" si="1674"/>
        <v>29.53</v>
      </c>
      <c r="CD987" s="15" t="s">
        <v>1062</v>
      </c>
      <c r="CE987" s="15" t="str">
        <f t="shared" si="1675"/>
        <v>132.72</v>
      </c>
      <c r="CF987" s="15" t="s">
        <v>9810</v>
      </c>
      <c r="CI987" s="15" t="s">
        <v>444</v>
      </c>
      <c r="CK987" s="15" t="s">
        <v>444</v>
      </c>
      <c r="CM987" s="15" t="s">
        <v>444</v>
      </c>
      <c r="CO987" s="15" t="s">
        <v>444</v>
      </c>
      <c r="CP987" s="15" t="str">
        <f t="shared" si="1676"/>
        <v>78.36</v>
      </c>
      <c r="CQ987" s="15" t="str">
        <f t="shared" si="1677"/>
        <v>2.219</v>
      </c>
      <c r="CR987" s="15" t="s">
        <v>497</v>
      </c>
      <c r="DC987" s="15" t="str">
        <f>IFERROR(__xludf.DUMMYFUNCTION("""COMPUTED_VALUE"""),"")</f>
        <v/>
      </c>
      <c r="DE987" s="15" t="str">
        <f>IFERROR(__xludf.DUMMYFUNCTION("""COMPUTED_VALUE"""),"")</f>
        <v/>
      </c>
      <c r="DG987" s="15" t="str">
        <f>IFERROR(__xludf.DUMMYFUNCTION("""COMPUTED_VALUE"""),"")</f>
        <v/>
      </c>
      <c r="DJ987" s="15" t="s">
        <v>717</v>
      </c>
      <c r="DK987" s="15" t="s">
        <v>718</v>
      </c>
      <c r="DL987" s="15" t="str">
        <f>IFERROR(__xludf.DUMMYFUNCTION("""COMPUTED_VALUE"""),"Vacuum or light brush only. Do not use water or any cleaning products.")</f>
        <v>Vacuum or light brush only. Do not use water or any cleaning products.</v>
      </c>
      <c r="DM987" s="15" t="s">
        <v>719</v>
      </c>
      <c r="DQ987" s="15" t="s">
        <v>2028</v>
      </c>
      <c r="DT987" s="15" t="s">
        <v>721</v>
      </c>
      <c r="DU987" s="15" t="s">
        <v>329</v>
      </c>
      <c r="DZ987" s="15">
        <v>0.0</v>
      </c>
      <c r="EA987" s="15" t="s">
        <v>990</v>
      </c>
      <c r="EB987" s="15" t="s">
        <v>723</v>
      </c>
      <c r="EC987" s="15" t="s">
        <v>724</v>
      </c>
      <c r="EE987" s="15">
        <v>3.0</v>
      </c>
      <c r="EF987" s="15" t="s">
        <v>7473</v>
      </c>
      <c r="EG987" s="15" t="s">
        <v>7474</v>
      </c>
      <c r="EH987" s="15" t="s">
        <v>9811</v>
      </c>
      <c r="EJ987" s="15" t="s">
        <v>473</v>
      </c>
      <c r="EK987" s="15" t="s">
        <v>474</v>
      </c>
      <c r="EM987" s="15" t="str">
        <f>IFERROR(__xludf.DUMMYFUNCTION("""COMPUTED_VALUE"""),"")</f>
        <v/>
      </c>
      <c r="FC987" s="15" t="s">
        <v>723</v>
      </c>
      <c r="FD987" s="15" t="s">
        <v>724</v>
      </c>
      <c r="FE987" s="15" t="s">
        <v>2028</v>
      </c>
      <c r="FF987" s="15" t="s">
        <v>1079</v>
      </c>
      <c r="HO987" s="15" t="s">
        <v>1638</v>
      </c>
      <c r="HP987" s="15" t="s">
        <v>7473</v>
      </c>
      <c r="LR987" s="15" t="s">
        <v>426</v>
      </c>
    </row>
    <row r="988" ht="15.75" customHeight="1">
      <c r="A988" s="14" t="s">
        <v>391</v>
      </c>
      <c r="B988" s="15" t="s">
        <v>9803</v>
      </c>
      <c r="C988" s="16"/>
      <c r="D988" s="15" t="s">
        <v>432</v>
      </c>
      <c r="G988" s="14" t="s">
        <v>393</v>
      </c>
      <c r="H988" s="14" t="s">
        <v>394</v>
      </c>
      <c r="I988" s="14" t="b">
        <v>1</v>
      </c>
      <c r="J988" s="14" t="s">
        <v>395</v>
      </c>
      <c r="L988" s="14" t="b">
        <v>0</v>
      </c>
      <c r="M988" s="15" t="s">
        <v>9823</v>
      </c>
      <c r="N988" s="14" t="s">
        <v>393</v>
      </c>
      <c r="O988" s="14" t="s">
        <v>393</v>
      </c>
      <c r="P988" s="15" t="s">
        <v>397</v>
      </c>
      <c r="Q988" s="15" t="s">
        <v>2004</v>
      </c>
      <c r="T988" s="14" t="b">
        <v>0</v>
      </c>
      <c r="U988" s="15" t="s">
        <v>9824</v>
      </c>
      <c r="V988" s="15" t="s">
        <v>2075</v>
      </c>
      <c r="W988" s="15" t="s">
        <v>401</v>
      </c>
      <c r="X988" s="15" t="s">
        <v>695</v>
      </c>
      <c r="Y988" s="15">
        <v>7319.0</v>
      </c>
      <c r="AA988" s="15" t="str">
        <f t="shared" si="1678"/>
        <v>2815</v>
      </c>
      <c r="AB988" s="14" t="b">
        <v>1</v>
      </c>
      <c r="AC988" s="14" t="b">
        <v>1</v>
      </c>
      <c r="AD988" s="15" t="str">
        <f>"198394083720"</f>
        <v>198394083720</v>
      </c>
      <c r="AE988" s="15" t="s">
        <v>9825</v>
      </c>
      <c r="AF988" s="14" t="s">
        <v>404</v>
      </c>
      <c r="AG988" s="14" t="s">
        <v>405</v>
      </c>
      <c r="AH988" s="14" t="s">
        <v>406</v>
      </c>
      <c r="AI988" s="15">
        <v>0.0</v>
      </c>
      <c r="AL988" s="15" t="s">
        <v>1600</v>
      </c>
      <c r="AM988" s="15" t="s">
        <v>9807</v>
      </c>
      <c r="AN988" s="15" t="s">
        <v>9808</v>
      </c>
      <c r="AO988" s="15" t="s">
        <v>679</v>
      </c>
      <c r="AP988" s="15" t="s">
        <v>680</v>
      </c>
      <c r="AQ988" s="15" t="s">
        <v>698</v>
      </c>
      <c r="AR988" s="15" t="s">
        <v>699</v>
      </c>
      <c r="AS988" s="15" t="s">
        <v>2343</v>
      </c>
      <c r="AT988" s="15" t="s">
        <v>2004</v>
      </c>
      <c r="AW988" s="15" t="s">
        <v>1629</v>
      </c>
      <c r="AX988" s="15" t="s">
        <v>7473</v>
      </c>
      <c r="AY988" s="15" t="s">
        <v>413</v>
      </c>
      <c r="AZ988" s="15" t="b">
        <v>0</v>
      </c>
      <c r="BA988" s="15" t="s">
        <v>413</v>
      </c>
      <c r="BB988" s="15" t="b">
        <v>0</v>
      </c>
      <c r="BC988" s="15" t="s">
        <v>9822</v>
      </c>
      <c r="BD988" s="15" t="s">
        <v>709</v>
      </c>
      <c r="BE988" s="15" t="str">
        <f t="shared" si="1663"/>
        <v>3</v>
      </c>
      <c r="BF988" s="15" t="s">
        <v>416</v>
      </c>
      <c r="BG988" s="15" t="str">
        <f t="shared" si="1664"/>
        <v>39.76</v>
      </c>
      <c r="BH988" s="15" t="s">
        <v>5501</v>
      </c>
      <c r="BI988" s="15" t="str">
        <f t="shared" si="1665"/>
        <v>40.16</v>
      </c>
      <c r="BJ988" s="15" t="s">
        <v>667</v>
      </c>
      <c r="BK988" s="15" t="str">
        <f t="shared" si="1666"/>
        <v>29.53</v>
      </c>
      <c r="BL988" s="15" t="s">
        <v>1062</v>
      </c>
      <c r="BM988" s="15" t="str">
        <f t="shared" si="1667"/>
        <v>128.31</v>
      </c>
      <c r="BN988" s="15" t="s">
        <v>4338</v>
      </c>
      <c r="BO988" s="15" t="s">
        <v>416</v>
      </c>
      <c r="BP988" s="15" t="str">
        <f t="shared" si="1668"/>
        <v>39.76</v>
      </c>
      <c r="BQ988" s="15" t="s">
        <v>5501</v>
      </c>
      <c r="BR988" s="15" t="str">
        <f t="shared" si="1669"/>
        <v>40.16</v>
      </c>
      <c r="BS988" s="15" t="s">
        <v>667</v>
      </c>
      <c r="BT988" s="15" t="str">
        <f t="shared" si="1670"/>
        <v>29.53</v>
      </c>
      <c r="BU988" s="15" t="s">
        <v>1062</v>
      </c>
      <c r="BV988" s="15" t="str">
        <f t="shared" si="1671"/>
        <v>128.31</v>
      </c>
      <c r="BW988" s="15" t="s">
        <v>4338</v>
      </c>
      <c r="BX988" s="15" t="s">
        <v>416</v>
      </c>
      <c r="BY988" s="15" t="str">
        <f t="shared" si="1672"/>
        <v>40.16</v>
      </c>
      <c r="BZ988" s="15" t="s">
        <v>667</v>
      </c>
      <c r="CA988" s="15" t="str">
        <f t="shared" si="1673"/>
        <v>34.65</v>
      </c>
      <c r="CB988" s="15" t="s">
        <v>1229</v>
      </c>
      <c r="CC988" s="15" t="str">
        <f t="shared" si="1674"/>
        <v>29.53</v>
      </c>
      <c r="CD988" s="15" t="s">
        <v>1062</v>
      </c>
      <c r="CE988" s="15" t="str">
        <f t="shared" si="1675"/>
        <v>132.72</v>
      </c>
      <c r="CF988" s="15" t="s">
        <v>9810</v>
      </c>
      <c r="CI988" s="15" t="s">
        <v>444</v>
      </c>
      <c r="CK988" s="15" t="s">
        <v>444</v>
      </c>
      <c r="CM988" s="15" t="s">
        <v>444</v>
      </c>
      <c r="CO988" s="15" t="s">
        <v>444</v>
      </c>
      <c r="CP988" s="15" t="str">
        <f t="shared" si="1676"/>
        <v>78.36</v>
      </c>
      <c r="CQ988" s="15" t="str">
        <f t="shared" si="1677"/>
        <v>2.219</v>
      </c>
      <c r="CR988" s="15" t="s">
        <v>465</v>
      </c>
      <c r="DC988" s="15" t="str">
        <f>IFERROR(__xludf.DUMMYFUNCTION("""COMPUTED_VALUE"""),"")</f>
        <v/>
      </c>
      <c r="DE988" s="15" t="str">
        <f>IFERROR(__xludf.DUMMYFUNCTION("""COMPUTED_VALUE"""),"")</f>
        <v/>
      </c>
      <c r="DG988" s="15" t="str">
        <f>IFERROR(__xludf.DUMMYFUNCTION("""COMPUTED_VALUE"""),"")</f>
        <v/>
      </c>
      <c r="DJ988" s="15" t="s">
        <v>717</v>
      </c>
      <c r="DK988" s="15" t="s">
        <v>718</v>
      </c>
      <c r="DL988" s="15" t="str">
        <f>IFERROR(__xludf.DUMMYFUNCTION("""COMPUTED_VALUE"""),"Vacuum or light brush only. Do not use water or any cleaning products.")</f>
        <v>Vacuum or light brush only. Do not use water or any cleaning products.</v>
      </c>
      <c r="DM988" s="15" t="s">
        <v>719</v>
      </c>
      <c r="DQ988" s="15" t="s">
        <v>2028</v>
      </c>
      <c r="DT988" s="15" t="s">
        <v>721</v>
      </c>
      <c r="DU988" s="15" t="s">
        <v>329</v>
      </c>
      <c r="DZ988" s="15">
        <v>0.0</v>
      </c>
      <c r="EA988" s="15" t="s">
        <v>990</v>
      </c>
      <c r="EB988" s="15" t="s">
        <v>723</v>
      </c>
      <c r="EC988" s="15" t="s">
        <v>724</v>
      </c>
      <c r="EE988" s="15">
        <v>3.0</v>
      </c>
      <c r="EF988" s="15" t="s">
        <v>7473</v>
      </c>
      <c r="EG988" s="15" t="s">
        <v>7474</v>
      </c>
      <c r="EH988" s="15" t="s">
        <v>9811</v>
      </c>
      <c r="EJ988" s="15" t="s">
        <v>473</v>
      </c>
      <c r="EK988" s="15" t="s">
        <v>474</v>
      </c>
      <c r="EM988" s="15" t="str">
        <f>IFERROR(__xludf.DUMMYFUNCTION("""COMPUTED_VALUE"""),"")</f>
        <v/>
      </c>
      <c r="FC988" s="15" t="s">
        <v>723</v>
      </c>
      <c r="FD988" s="15" t="s">
        <v>724</v>
      </c>
      <c r="FE988" s="15" t="s">
        <v>2028</v>
      </c>
      <c r="FF988" s="15" t="s">
        <v>1079</v>
      </c>
      <c r="HO988" s="15" t="s">
        <v>1638</v>
      </c>
      <c r="HP988" s="15" t="s">
        <v>7473</v>
      </c>
      <c r="LR988" s="15" t="s">
        <v>426</v>
      </c>
    </row>
    <row r="989" ht="15.75" customHeight="1">
      <c r="A989" s="14" t="s">
        <v>391</v>
      </c>
      <c r="B989" s="15" t="s">
        <v>9826</v>
      </c>
      <c r="C989" s="16"/>
      <c r="D989" s="15" t="s">
        <v>432</v>
      </c>
      <c r="G989" s="14" t="s">
        <v>393</v>
      </c>
      <c r="H989" s="14" t="s">
        <v>394</v>
      </c>
      <c r="I989" s="14" t="b">
        <v>1</v>
      </c>
      <c r="J989" s="14" t="s">
        <v>395</v>
      </c>
      <c r="L989" s="14" t="b">
        <v>0</v>
      </c>
      <c r="M989" s="15" t="s">
        <v>9827</v>
      </c>
      <c r="N989" s="14" t="s">
        <v>393</v>
      </c>
      <c r="O989" s="14" t="s">
        <v>393</v>
      </c>
      <c r="P989" s="15" t="s">
        <v>397</v>
      </c>
      <c r="Q989" s="15" t="s">
        <v>8068</v>
      </c>
      <c r="T989" s="14" t="b">
        <v>0</v>
      </c>
      <c r="U989" s="15" t="s">
        <v>9828</v>
      </c>
      <c r="V989" s="15" t="s">
        <v>2414</v>
      </c>
      <c r="W989" s="15" t="s">
        <v>401</v>
      </c>
      <c r="X989" s="15" t="s">
        <v>742</v>
      </c>
      <c r="Y989" s="15">
        <v>1040.0</v>
      </c>
      <c r="AA989" s="15" t="str">
        <f>"400"</f>
        <v>400</v>
      </c>
      <c r="AB989" s="14" t="b">
        <v>1</v>
      </c>
      <c r="AC989" s="14" t="b">
        <v>1</v>
      </c>
      <c r="AD989" s="15" t="str">
        <f>"801542729554"</f>
        <v>801542729554</v>
      </c>
      <c r="AE989" s="15" t="s">
        <v>9829</v>
      </c>
      <c r="AF989" s="14" t="s">
        <v>404</v>
      </c>
      <c r="AG989" s="14" t="s">
        <v>405</v>
      </c>
      <c r="AH989" s="14" t="s">
        <v>406</v>
      </c>
      <c r="AI989" s="15">
        <v>0.0</v>
      </c>
      <c r="AL989" s="15" t="s">
        <v>9830</v>
      </c>
      <c r="AM989" s="15" t="s">
        <v>2213</v>
      </c>
      <c r="AN989" s="15" t="s">
        <v>2214</v>
      </c>
      <c r="AO989" s="15" t="s">
        <v>2213</v>
      </c>
      <c r="AP989" s="15" t="s">
        <v>2214</v>
      </c>
      <c r="AQ989" s="15" t="s">
        <v>1675</v>
      </c>
      <c r="AR989" s="15" t="s">
        <v>1676</v>
      </c>
      <c r="AS989" s="15" t="s">
        <v>2759</v>
      </c>
      <c r="AT989" s="15" t="s">
        <v>8068</v>
      </c>
      <c r="AU989" s="15" t="s">
        <v>6616</v>
      </c>
      <c r="AV989" s="15" t="s">
        <v>5604</v>
      </c>
      <c r="AW989" s="15" t="s">
        <v>1154</v>
      </c>
      <c r="AY989" s="15" t="s">
        <v>426</v>
      </c>
      <c r="AZ989" s="15" t="b">
        <v>1</v>
      </c>
      <c r="BA989" s="15" t="s">
        <v>413</v>
      </c>
      <c r="BB989" s="15" t="b">
        <v>0</v>
      </c>
      <c r="BC989" s="15" t="s">
        <v>9831</v>
      </c>
      <c r="BD989" s="15" t="s">
        <v>742</v>
      </c>
      <c r="BE989" s="15" t="str">
        <f>"2"</f>
        <v>2</v>
      </c>
      <c r="BF989" s="15" t="s">
        <v>8029</v>
      </c>
      <c r="BG989" s="15" t="str">
        <f>"30.31"</f>
        <v>30.31</v>
      </c>
      <c r="BH989" s="15" t="s">
        <v>982</v>
      </c>
      <c r="BI989" s="15" t="str">
        <f>"30.31"</f>
        <v>30.31</v>
      </c>
      <c r="BJ989" s="15" t="s">
        <v>982</v>
      </c>
      <c r="BK989" s="15" t="str">
        <f>"5.91"</f>
        <v>5.91</v>
      </c>
      <c r="BL989" s="15" t="s">
        <v>7613</v>
      </c>
      <c r="BM989" s="15" t="str">
        <f>"71.65"</f>
        <v>71.65</v>
      </c>
      <c r="BN989" s="15" t="s">
        <v>3871</v>
      </c>
      <c r="BO989" s="15" t="s">
        <v>5617</v>
      </c>
      <c r="BP989" s="15" t="str">
        <f>"25.2"</f>
        <v>25.2</v>
      </c>
      <c r="BQ989" s="15" t="s">
        <v>585</v>
      </c>
      <c r="BR989" s="15" t="str">
        <f>"22.05"</f>
        <v>22.05</v>
      </c>
      <c r="BS989" s="15" t="s">
        <v>2310</v>
      </c>
      <c r="BT989" s="15" t="str">
        <f>"24.41"</f>
        <v>24.41</v>
      </c>
      <c r="BU989" s="15" t="s">
        <v>796</v>
      </c>
      <c r="BV989" s="15" t="str">
        <f>"45.19"</f>
        <v>45.19</v>
      </c>
      <c r="BW989" s="15" t="s">
        <v>3375</v>
      </c>
      <c r="BZ989" s="15" t="s">
        <v>444</v>
      </c>
      <c r="CB989" s="15" t="s">
        <v>444</v>
      </c>
      <c r="CD989" s="15" t="s">
        <v>444</v>
      </c>
      <c r="CF989" s="15" t="s">
        <v>444</v>
      </c>
      <c r="CI989" s="15" t="s">
        <v>444</v>
      </c>
      <c r="CK989" s="15" t="s">
        <v>444</v>
      </c>
      <c r="CM989" s="15" t="s">
        <v>444</v>
      </c>
      <c r="CO989" s="15" t="s">
        <v>444</v>
      </c>
      <c r="CP989" s="15" t="str">
        <f>"10.98"</f>
        <v>10.98</v>
      </c>
      <c r="CQ989" s="15" t="str">
        <f>"0.311"</f>
        <v>0.311</v>
      </c>
      <c r="CR989" s="15" t="s">
        <v>497</v>
      </c>
      <c r="DC989" s="15" t="str">
        <f>IFERROR(__xludf.DUMMYFUNCTION("""COMPUTED_VALUE"""),"")</f>
        <v/>
      </c>
      <c r="DE989" s="15" t="str">
        <f>IFERROR(__xludf.DUMMYFUNCTION("""COMPUTED_VALUE"""),"")</f>
        <v/>
      </c>
      <c r="DG989" s="15" t="str">
        <f>IFERROR(__xludf.DUMMYFUNCTION("""COMPUTED_VALUE"""),"")</f>
        <v/>
      </c>
      <c r="DL989" s="15" t="str">
        <f>IFERROR(__xludf.DUMMYFUNCTION("""COMPUTED_VALUE"""),"")</f>
        <v/>
      </c>
      <c r="DM989" s="15" t="s">
        <v>444</v>
      </c>
      <c r="DN989" s="15" t="s">
        <v>419</v>
      </c>
      <c r="DO989" s="15">
        <v>0.0</v>
      </c>
      <c r="DP989" s="15" t="s">
        <v>419</v>
      </c>
      <c r="DR989" s="15">
        <v>0.0</v>
      </c>
      <c r="DT989" s="15" t="s">
        <v>420</v>
      </c>
      <c r="DU989" s="15" t="s">
        <v>419</v>
      </c>
      <c r="DY989" s="15">
        <v>0.0</v>
      </c>
      <c r="EF989" s="15" t="s">
        <v>1157</v>
      </c>
      <c r="EG989" s="15" t="s">
        <v>1158</v>
      </c>
      <c r="EH989" s="15" t="s">
        <v>9832</v>
      </c>
      <c r="EJ989" s="15" t="s">
        <v>500</v>
      </c>
      <c r="EK989" s="15" t="s">
        <v>501</v>
      </c>
      <c r="EM989" s="15" t="str">
        <f>IFERROR(__xludf.DUMMYFUNCTION("""COMPUTED_VALUE"""),"")</f>
        <v/>
      </c>
      <c r="EW989" s="15" t="s">
        <v>5082</v>
      </c>
      <c r="EX989" s="15" t="s">
        <v>1700</v>
      </c>
      <c r="EY989" s="15" t="s">
        <v>1700</v>
      </c>
      <c r="FH989" s="15" t="s">
        <v>1700</v>
      </c>
      <c r="FI989" s="15" t="s">
        <v>5082</v>
      </c>
      <c r="FJ989" s="15" t="s">
        <v>1700</v>
      </c>
      <c r="FK989" s="15" t="s">
        <v>5972</v>
      </c>
      <c r="FL989" s="15" t="s">
        <v>426</v>
      </c>
      <c r="FM989" s="15">
        <v>0.0</v>
      </c>
      <c r="FN989" s="15">
        <v>0.0</v>
      </c>
      <c r="FW989" s="15" t="s">
        <v>3668</v>
      </c>
    </row>
    <row r="990" ht="15.75" customHeight="1">
      <c r="A990" s="14" t="s">
        <v>391</v>
      </c>
      <c r="B990" s="15" t="s">
        <v>9833</v>
      </c>
      <c r="C990" s="16"/>
      <c r="D990" s="15" t="s">
        <v>432</v>
      </c>
      <c r="G990" s="14" t="s">
        <v>393</v>
      </c>
      <c r="H990" s="14" t="s">
        <v>394</v>
      </c>
      <c r="I990" s="14" t="b">
        <v>1</v>
      </c>
      <c r="J990" s="14" t="s">
        <v>395</v>
      </c>
      <c r="L990" s="14" t="b">
        <v>0</v>
      </c>
      <c r="M990" s="15" t="s">
        <v>9834</v>
      </c>
      <c r="N990" s="14" t="s">
        <v>393</v>
      </c>
      <c r="O990" s="14" t="s">
        <v>393</v>
      </c>
      <c r="P990" s="15" t="s">
        <v>397</v>
      </c>
      <c r="Q990" s="15" t="s">
        <v>4670</v>
      </c>
      <c r="T990" s="14" t="b">
        <v>0</v>
      </c>
      <c r="U990" s="15" t="s">
        <v>9835</v>
      </c>
      <c r="V990" s="15" t="s">
        <v>9836</v>
      </c>
      <c r="W990" s="15" t="s">
        <v>401</v>
      </c>
      <c r="X990" s="15" t="s">
        <v>695</v>
      </c>
      <c r="Y990" s="15">
        <v>3614.0</v>
      </c>
      <c r="AA990" s="15" t="str">
        <f t="shared" ref="AA990:AA992" si="1679">"1390"</f>
        <v>1390</v>
      </c>
      <c r="AB990" s="14" t="b">
        <v>1</v>
      </c>
      <c r="AC990" s="14" t="b">
        <v>1</v>
      </c>
      <c r="AD990" s="15" t="str">
        <f>"801542960681"</f>
        <v>801542960681</v>
      </c>
      <c r="AE990" s="15" t="s">
        <v>9837</v>
      </c>
      <c r="AF990" s="14" t="s">
        <v>404</v>
      </c>
      <c r="AG990" s="14" t="s">
        <v>405</v>
      </c>
      <c r="AH990" s="14" t="s">
        <v>406</v>
      </c>
      <c r="AI990" s="15">
        <v>0.0</v>
      </c>
      <c r="AL990" s="15" t="s">
        <v>1532</v>
      </c>
      <c r="AM990" s="15" t="s">
        <v>2372</v>
      </c>
      <c r="AN990" s="15" t="s">
        <v>2373</v>
      </c>
      <c r="AO990" s="15" t="s">
        <v>456</v>
      </c>
      <c r="AP990" s="15" t="s">
        <v>457</v>
      </c>
      <c r="AQ990" s="15" t="s">
        <v>2151</v>
      </c>
      <c r="AR990" s="15" t="s">
        <v>2152</v>
      </c>
      <c r="AS990" s="15" t="s">
        <v>1474</v>
      </c>
      <c r="AT990" s="15" t="s">
        <v>1490</v>
      </c>
      <c r="AU990" s="15" t="s">
        <v>4670</v>
      </c>
      <c r="AV990" s="15" t="s">
        <v>7503</v>
      </c>
      <c r="AW990" s="15" t="s">
        <v>1899</v>
      </c>
      <c r="AY990" s="15" t="s">
        <v>413</v>
      </c>
      <c r="AZ990" s="15" t="b">
        <v>0</v>
      </c>
      <c r="BA990" s="15" t="s">
        <v>413</v>
      </c>
      <c r="BB990" s="15" t="b">
        <v>0</v>
      </c>
      <c r="BD990" s="15" t="s">
        <v>709</v>
      </c>
      <c r="BE990" s="15" t="str">
        <f t="shared" ref="BE990:BE1015" si="1680">"1"</f>
        <v>1</v>
      </c>
      <c r="BF990" s="15" t="s">
        <v>416</v>
      </c>
      <c r="BG990" s="15" t="str">
        <f t="shared" ref="BG990:BG999" si="1681">"41.73"</f>
        <v>41.73</v>
      </c>
      <c r="BH990" s="15" t="s">
        <v>9838</v>
      </c>
      <c r="BI990" s="15" t="str">
        <f t="shared" ref="BI990:BI999" si="1682">"22.44"</f>
        <v>22.44</v>
      </c>
      <c r="BJ990" s="15" t="s">
        <v>1156</v>
      </c>
      <c r="BK990" s="15" t="str">
        <f t="shared" ref="BK990:BK999" si="1683">"92.13"</f>
        <v>92.13</v>
      </c>
      <c r="BL990" s="15" t="s">
        <v>9839</v>
      </c>
      <c r="BM990" s="15" t="str">
        <f t="shared" ref="BM990:BM993" si="1684">"170.2"</f>
        <v>170.2</v>
      </c>
      <c r="BN990" s="15" t="s">
        <v>9840</v>
      </c>
      <c r="BQ990" s="15" t="s">
        <v>444</v>
      </c>
      <c r="BS990" s="15" t="s">
        <v>444</v>
      </c>
      <c r="BU990" s="15" t="s">
        <v>444</v>
      </c>
      <c r="BW990" s="15" t="s">
        <v>444</v>
      </c>
      <c r="BZ990" s="15" t="s">
        <v>444</v>
      </c>
      <c r="CB990" s="15" t="s">
        <v>444</v>
      </c>
      <c r="CD990" s="15" t="s">
        <v>444</v>
      </c>
      <c r="CF990" s="15" t="s">
        <v>444</v>
      </c>
      <c r="CI990" s="15" t="s">
        <v>444</v>
      </c>
      <c r="CK990" s="15" t="s">
        <v>444</v>
      </c>
      <c r="CM990" s="15" t="s">
        <v>444</v>
      </c>
      <c r="CO990" s="15" t="s">
        <v>444</v>
      </c>
      <c r="CP990" s="15" t="str">
        <f t="shared" ref="CP990:CP999" si="1685">"49.93"</f>
        <v>49.93</v>
      </c>
      <c r="CQ990" s="15" t="str">
        <f t="shared" ref="CQ990:CQ999" si="1686">"1.414"</f>
        <v>1.414</v>
      </c>
      <c r="CR990" s="15" t="s">
        <v>497</v>
      </c>
      <c r="CS990" s="15" t="s">
        <v>504</v>
      </c>
      <c r="CT990" s="15" t="s">
        <v>784</v>
      </c>
      <c r="CU990" s="15" t="s">
        <v>3798</v>
      </c>
      <c r="CV990" s="15" t="s">
        <v>504</v>
      </c>
      <c r="CW990" s="15" t="s">
        <v>2655</v>
      </c>
      <c r="CX990" s="15" t="s">
        <v>3798</v>
      </c>
      <c r="DC990" s="15" t="str">
        <f>IFERROR(__xludf.DUMMYFUNCTION("""COMPUTED_VALUE"""),"")</f>
        <v/>
      </c>
      <c r="DE990" s="15" t="str">
        <f>IFERROR(__xludf.DUMMYFUNCTION("""COMPUTED_VALUE"""),"")</f>
        <v/>
      </c>
      <c r="DG990" s="15" t="str">
        <f>IFERROR(__xludf.DUMMYFUNCTION("""COMPUTED_VALUE"""),"")</f>
        <v/>
      </c>
      <c r="DL990" s="15" t="str">
        <f>IFERROR(__xludf.DUMMYFUNCTION("""COMPUTED_VALUE"""),"")</f>
        <v/>
      </c>
      <c r="DM990" s="15" t="s">
        <v>444</v>
      </c>
      <c r="DN990" s="15" t="s">
        <v>419</v>
      </c>
      <c r="DO990" s="15">
        <v>0.0</v>
      </c>
      <c r="DP990" s="15" t="s">
        <v>419</v>
      </c>
      <c r="DR990" s="15">
        <v>2.0</v>
      </c>
      <c r="DS990" s="15" t="s">
        <v>426</v>
      </c>
      <c r="DT990" s="15" t="s">
        <v>721</v>
      </c>
      <c r="DU990" s="15" t="s">
        <v>1914</v>
      </c>
      <c r="DW990" s="15">
        <v>18.14</v>
      </c>
      <c r="DX990" s="15">
        <v>40.0</v>
      </c>
      <c r="DY990" s="15">
        <v>2.0</v>
      </c>
      <c r="EF990" s="15" t="s">
        <v>1906</v>
      </c>
      <c r="EG990" s="15" t="s">
        <v>1907</v>
      </c>
      <c r="EH990" s="15" t="s">
        <v>9841</v>
      </c>
      <c r="EK990" s="15" t="s">
        <v>444</v>
      </c>
      <c r="EM990" s="15" t="str">
        <f>IFERROR(__xludf.DUMMYFUNCTION("""COMPUTED_VALUE"""),"")</f>
        <v/>
      </c>
      <c r="EW990" s="15" t="s">
        <v>822</v>
      </c>
      <c r="FL990" s="15" t="s">
        <v>426</v>
      </c>
      <c r="FM990" s="15">
        <v>3.0</v>
      </c>
      <c r="GB990" s="15" t="s">
        <v>504</v>
      </c>
      <c r="GC990" s="15" t="s">
        <v>784</v>
      </c>
      <c r="GD990" s="15" t="s">
        <v>3798</v>
      </c>
      <c r="GH990" s="15">
        <v>0.0</v>
      </c>
      <c r="GI990" s="15" t="s">
        <v>427</v>
      </c>
      <c r="GL990" s="15" t="s">
        <v>426</v>
      </c>
      <c r="HA990" s="15" t="s">
        <v>504</v>
      </c>
      <c r="HB990" s="15" t="s">
        <v>2655</v>
      </c>
      <c r="HC990" s="15" t="s">
        <v>3798</v>
      </c>
      <c r="HQ990" s="15" t="s">
        <v>504</v>
      </c>
      <c r="HS990" s="15" t="s">
        <v>788</v>
      </c>
      <c r="HU990" s="15" t="s">
        <v>3798</v>
      </c>
      <c r="HW990" s="15" t="s">
        <v>1807</v>
      </c>
      <c r="IH990" s="15" t="s">
        <v>426</v>
      </c>
    </row>
    <row r="991" ht="15.75" customHeight="1">
      <c r="A991" s="14" t="s">
        <v>391</v>
      </c>
      <c r="B991" s="15" t="s">
        <v>9833</v>
      </c>
      <c r="C991" s="16"/>
      <c r="D991" s="15" t="s">
        <v>432</v>
      </c>
      <c r="G991" s="14" t="s">
        <v>393</v>
      </c>
      <c r="H991" s="14" t="s">
        <v>394</v>
      </c>
      <c r="I991" s="14" t="b">
        <v>1</v>
      </c>
      <c r="J991" s="14" t="s">
        <v>395</v>
      </c>
      <c r="L991" s="14" t="b">
        <v>0</v>
      </c>
      <c r="M991" s="15" t="s">
        <v>9842</v>
      </c>
      <c r="N991" s="14" t="s">
        <v>393</v>
      </c>
      <c r="O991" s="14" t="s">
        <v>393</v>
      </c>
      <c r="P991" s="15" t="s">
        <v>397</v>
      </c>
      <c r="Q991" s="15" t="s">
        <v>7503</v>
      </c>
      <c r="T991" s="14" t="b">
        <v>0</v>
      </c>
      <c r="U991" s="15" t="s">
        <v>9843</v>
      </c>
      <c r="V991" s="15" t="s">
        <v>9836</v>
      </c>
      <c r="W991" s="15" t="s">
        <v>401</v>
      </c>
      <c r="X991" s="15" t="s">
        <v>695</v>
      </c>
      <c r="Y991" s="15">
        <v>3614.0</v>
      </c>
      <c r="AA991" s="15" t="str">
        <f t="shared" si="1679"/>
        <v>1390</v>
      </c>
      <c r="AB991" s="14" t="b">
        <v>1</v>
      </c>
      <c r="AC991" s="14" t="b">
        <v>1</v>
      </c>
      <c r="AD991" s="15" t="str">
        <f>"801542960698"</f>
        <v>801542960698</v>
      </c>
      <c r="AE991" s="15" t="s">
        <v>9844</v>
      </c>
      <c r="AF991" s="14" t="s">
        <v>404</v>
      </c>
      <c r="AG991" s="14" t="s">
        <v>405</v>
      </c>
      <c r="AH991" s="14" t="s">
        <v>406</v>
      </c>
      <c r="AI991" s="15">
        <v>0.0</v>
      </c>
      <c r="AL991" s="15" t="s">
        <v>1532</v>
      </c>
      <c r="AM991" s="15" t="s">
        <v>2372</v>
      </c>
      <c r="AN991" s="15" t="s">
        <v>2373</v>
      </c>
      <c r="AO991" s="15" t="s">
        <v>456</v>
      </c>
      <c r="AP991" s="15" t="s">
        <v>457</v>
      </c>
      <c r="AQ991" s="15" t="s">
        <v>2151</v>
      </c>
      <c r="AR991" s="15" t="s">
        <v>2152</v>
      </c>
      <c r="AS991" s="15" t="s">
        <v>1474</v>
      </c>
      <c r="AT991" s="15" t="s">
        <v>1490</v>
      </c>
      <c r="AU991" s="15" t="s">
        <v>7503</v>
      </c>
      <c r="AW991" s="15" t="s">
        <v>1899</v>
      </c>
      <c r="AY991" s="15" t="s">
        <v>413</v>
      </c>
      <c r="AZ991" s="15" t="b">
        <v>0</v>
      </c>
      <c r="BA991" s="15" t="s">
        <v>413</v>
      </c>
      <c r="BB991" s="15" t="b">
        <v>0</v>
      </c>
      <c r="BD991" s="15" t="s">
        <v>709</v>
      </c>
      <c r="BE991" s="15" t="str">
        <f t="shared" si="1680"/>
        <v>1</v>
      </c>
      <c r="BF991" s="15" t="s">
        <v>416</v>
      </c>
      <c r="BG991" s="15" t="str">
        <f t="shared" si="1681"/>
        <v>41.73</v>
      </c>
      <c r="BH991" s="15" t="s">
        <v>9838</v>
      </c>
      <c r="BI991" s="15" t="str">
        <f t="shared" si="1682"/>
        <v>22.44</v>
      </c>
      <c r="BJ991" s="15" t="s">
        <v>1156</v>
      </c>
      <c r="BK991" s="15" t="str">
        <f t="shared" si="1683"/>
        <v>92.13</v>
      </c>
      <c r="BL991" s="15" t="s">
        <v>9839</v>
      </c>
      <c r="BM991" s="15" t="str">
        <f t="shared" si="1684"/>
        <v>170.2</v>
      </c>
      <c r="BN991" s="15" t="s">
        <v>9840</v>
      </c>
      <c r="BQ991" s="15" t="s">
        <v>444</v>
      </c>
      <c r="BS991" s="15" t="s">
        <v>444</v>
      </c>
      <c r="BU991" s="15" t="s">
        <v>444</v>
      </c>
      <c r="BW991" s="15" t="s">
        <v>444</v>
      </c>
      <c r="BZ991" s="15" t="s">
        <v>444</v>
      </c>
      <c r="CB991" s="15" t="s">
        <v>444</v>
      </c>
      <c r="CD991" s="15" t="s">
        <v>444</v>
      </c>
      <c r="CF991" s="15" t="s">
        <v>444</v>
      </c>
      <c r="CI991" s="15" t="s">
        <v>444</v>
      </c>
      <c r="CK991" s="15" t="s">
        <v>444</v>
      </c>
      <c r="CM991" s="15" t="s">
        <v>444</v>
      </c>
      <c r="CO991" s="15" t="s">
        <v>444</v>
      </c>
      <c r="CP991" s="15" t="str">
        <f t="shared" si="1685"/>
        <v>49.93</v>
      </c>
      <c r="CQ991" s="15" t="str">
        <f t="shared" si="1686"/>
        <v>1.414</v>
      </c>
      <c r="CR991" s="15" t="s">
        <v>417</v>
      </c>
      <c r="CS991" s="15" t="s">
        <v>504</v>
      </c>
      <c r="CT991" s="15" t="s">
        <v>784</v>
      </c>
      <c r="CU991" s="15" t="s">
        <v>3798</v>
      </c>
      <c r="CV991" s="15" t="s">
        <v>504</v>
      </c>
      <c r="CW991" s="15" t="s">
        <v>2655</v>
      </c>
      <c r="CX991" s="15" t="s">
        <v>3798</v>
      </c>
      <c r="DC991" s="15" t="str">
        <f>IFERROR(__xludf.DUMMYFUNCTION("""COMPUTED_VALUE"""),"")</f>
        <v/>
      </c>
      <c r="DE991" s="15" t="str">
        <f>IFERROR(__xludf.DUMMYFUNCTION("""COMPUTED_VALUE"""),"")</f>
        <v/>
      </c>
      <c r="DG991" s="15" t="str">
        <f>IFERROR(__xludf.DUMMYFUNCTION("""COMPUTED_VALUE"""),"")</f>
        <v/>
      </c>
      <c r="DL991" s="15" t="str">
        <f>IFERROR(__xludf.DUMMYFUNCTION("""COMPUTED_VALUE"""),"")</f>
        <v/>
      </c>
      <c r="DM991" s="15" t="s">
        <v>444</v>
      </c>
      <c r="DN991" s="15" t="s">
        <v>419</v>
      </c>
      <c r="DO991" s="15">
        <v>0.0</v>
      </c>
      <c r="DP991" s="15" t="s">
        <v>419</v>
      </c>
      <c r="DR991" s="15">
        <v>2.0</v>
      </c>
      <c r="DS991" s="15" t="s">
        <v>426</v>
      </c>
      <c r="DT991" s="15" t="s">
        <v>721</v>
      </c>
      <c r="DU991" s="15" t="s">
        <v>1914</v>
      </c>
      <c r="DW991" s="15">
        <v>18.14</v>
      </c>
      <c r="DX991" s="15">
        <v>40.0</v>
      </c>
      <c r="DY991" s="15">
        <v>2.0</v>
      </c>
      <c r="EF991" s="15" t="s">
        <v>1906</v>
      </c>
      <c r="EG991" s="15" t="s">
        <v>1907</v>
      </c>
      <c r="EH991" s="15" t="s">
        <v>9841</v>
      </c>
      <c r="EK991" s="15" t="s">
        <v>444</v>
      </c>
      <c r="EM991" s="15" t="str">
        <f>IFERROR(__xludf.DUMMYFUNCTION("""COMPUTED_VALUE"""),"")</f>
        <v/>
      </c>
      <c r="EW991" s="15" t="s">
        <v>822</v>
      </c>
      <c r="FL991" s="15" t="s">
        <v>426</v>
      </c>
      <c r="FM991" s="15">
        <v>3.0</v>
      </c>
      <c r="GB991" s="15" t="s">
        <v>504</v>
      </c>
      <c r="GC991" s="15" t="s">
        <v>784</v>
      </c>
      <c r="GD991" s="15" t="s">
        <v>3798</v>
      </c>
      <c r="GH991" s="15">
        <v>0.0</v>
      </c>
      <c r="GI991" s="15" t="s">
        <v>427</v>
      </c>
      <c r="GL991" s="15" t="s">
        <v>426</v>
      </c>
      <c r="HA991" s="15" t="s">
        <v>504</v>
      </c>
      <c r="HB991" s="15" t="s">
        <v>2655</v>
      </c>
      <c r="HC991" s="15" t="s">
        <v>3798</v>
      </c>
      <c r="HQ991" s="15" t="s">
        <v>504</v>
      </c>
      <c r="HS991" s="15" t="s">
        <v>788</v>
      </c>
      <c r="HU991" s="15" t="s">
        <v>3798</v>
      </c>
      <c r="HW991" s="15" t="s">
        <v>1807</v>
      </c>
      <c r="IH991" s="15" t="s">
        <v>426</v>
      </c>
    </row>
    <row r="992" ht="15.75" customHeight="1">
      <c r="A992" s="14" t="s">
        <v>391</v>
      </c>
      <c r="B992" s="15" t="s">
        <v>9833</v>
      </c>
      <c r="C992" s="16"/>
      <c r="D992" s="15" t="s">
        <v>432</v>
      </c>
      <c r="G992" s="14" t="s">
        <v>393</v>
      </c>
      <c r="H992" s="14" t="s">
        <v>394</v>
      </c>
      <c r="I992" s="14" t="b">
        <v>1</v>
      </c>
      <c r="J992" s="14" t="s">
        <v>395</v>
      </c>
      <c r="L992" s="14" t="b">
        <v>0</v>
      </c>
      <c r="M992" s="15" t="s">
        <v>9845</v>
      </c>
      <c r="N992" s="14" t="s">
        <v>393</v>
      </c>
      <c r="O992" s="14" t="s">
        <v>393</v>
      </c>
      <c r="P992" s="15" t="s">
        <v>397</v>
      </c>
      <c r="Q992" s="15" t="s">
        <v>1465</v>
      </c>
      <c r="T992" s="14" t="b">
        <v>0</v>
      </c>
      <c r="U992" s="15" t="s">
        <v>9846</v>
      </c>
      <c r="V992" s="15" t="s">
        <v>9836</v>
      </c>
      <c r="W992" s="15" t="s">
        <v>401</v>
      </c>
      <c r="X992" s="15" t="s">
        <v>695</v>
      </c>
      <c r="Y992" s="15">
        <v>3614.0</v>
      </c>
      <c r="AA992" s="15" t="str">
        <f t="shared" si="1679"/>
        <v>1390</v>
      </c>
      <c r="AB992" s="14" t="b">
        <v>1</v>
      </c>
      <c r="AC992" s="14" t="b">
        <v>1</v>
      </c>
      <c r="AD992" s="15" t="str">
        <f>"801542960704"</f>
        <v>801542960704</v>
      </c>
      <c r="AE992" s="15" t="s">
        <v>9847</v>
      </c>
      <c r="AF992" s="14" t="s">
        <v>404</v>
      </c>
      <c r="AG992" s="14" t="s">
        <v>405</v>
      </c>
      <c r="AH992" s="14" t="s">
        <v>406</v>
      </c>
      <c r="AI992" s="15">
        <v>0.0</v>
      </c>
      <c r="AL992" s="15" t="s">
        <v>1532</v>
      </c>
      <c r="AM992" s="15" t="s">
        <v>2372</v>
      </c>
      <c r="AN992" s="15" t="s">
        <v>2373</v>
      </c>
      <c r="AO992" s="15" t="s">
        <v>456</v>
      </c>
      <c r="AP992" s="15" t="s">
        <v>457</v>
      </c>
      <c r="AQ992" s="15" t="s">
        <v>2151</v>
      </c>
      <c r="AR992" s="15" t="s">
        <v>2152</v>
      </c>
      <c r="AS992" s="15" t="s">
        <v>1474</v>
      </c>
      <c r="AT992" s="15" t="s">
        <v>1465</v>
      </c>
      <c r="AU992" s="15" t="s">
        <v>4670</v>
      </c>
      <c r="AW992" s="15" t="s">
        <v>1899</v>
      </c>
      <c r="AY992" s="15" t="s">
        <v>413</v>
      </c>
      <c r="AZ992" s="15" t="b">
        <v>0</v>
      </c>
      <c r="BA992" s="15" t="s">
        <v>413</v>
      </c>
      <c r="BB992" s="15" t="b">
        <v>0</v>
      </c>
      <c r="BD992" s="15" t="s">
        <v>709</v>
      </c>
      <c r="BE992" s="15" t="str">
        <f t="shared" si="1680"/>
        <v>1</v>
      </c>
      <c r="BF992" s="15" t="s">
        <v>416</v>
      </c>
      <c r="BG992" s="15" t="str">
        <f t="shared" si="1681"/>
        <v>41.73</v>
      </c>
      <c r="BH992" s="15" t="s">
        <v>9838</v>
      </c>
      <c r="BI992" s="15" t="str">
        <f t="shared" si="1682"/>
        <v>22.44</v>
      </c>
      <c r="BJ992" s="15" t="s">
        <v>1156</v>
      </c>
      <c r="BK992" s="15" t="str">
        <f t="shared" si="1683"/>
        <v>92.13</v>
      </c>
      <c r="BL992" s="15" t="s">
        <v>9839</v>
      </c>
      <c r="BM992" s="15" t="str">
        <f t="shared" si="1684"/>
        <v>170.2</v>
      </c>
      <c r="BN992" s="15" t="s">
        <v>9840</v>
      </c>
      <c r="BQ992" s="15" t="s">
        <v>444</v>
      </c>
      <c r="BS992" s="15" t="s">
        <v>444</v>
      </c>
      <c r="BU992" s="15" t="s">
        <v>444</v>
      </c>
      <c r="BW992" s="15" t="s">
        <v>444</v>
      </c>
      <c r="BZ992" s="15" t="s">
        <v>444</v>
      </c>
      <c r="CB992" s="15" t="s">
        <v>444</v>
      </c>
      <c r="CD992" s="15" t="s">
        <v>444</v>
      </c>
      <c r="CF992" s="15" t="s">
        <v>444</v>
      </c>
      <c r="CI992" s="15" t="s">
        <v>444</v>
      </c>
      <c r="CK992" s="15" t="s">
        <v>444</v>
      </c>
      <c r="CM992" s="15" t="s">
        <v>444</v>
      </c>
      <c r="CO992" s="15" t="s">
        <v>444</v>
      </c>
      <c r="CP992" s="15" t="str">
        <f t="shared" si="1685"/>
        <v>49.93</v>
      </c>
      <c r="CQ992" s="15" t="str">
        <f t="shared" si="1686"/>
        <v>1.414</v>
      </c>
      <c r="CR992" s="15" t="s">
        <v>465</v>
      </c>
      <c r="CS992" s="15" t="s">
        <v>504</v>
      </c>
      <c r="CT992" s="15" t="s">
        <v>784</v>
      </c>
      <c r="CU992" s="15" t="s">
        <v>3798</v>
      </c>
      <c r="CV992" s="15" t="s">
        <v>504</v>
      </c>
      <c r="CW992" s="15" t="s">
        <v>2655</v>
      </c>
      <c r="CX992" s="15" t="s">
        <v>3798</v>
      </c>
      <c r="DC992" s="15" t="str">
        <f>IFERROR(__xludf.DUMMYFUNCTION("""COMPUTED_VALUE"""),"")</f>
        <v/>
      </c>
      <c r="DE992" s="15" t="str">
        <f>IFERROR(__xludf.DUMMYFUNCTION("""COMPUTED_VALUE"""),"")</f>
        <v/>
      </c>
      <c r="DG992" s="15" t="str">
        <f>IFERROR(__xludf.DUMMYFUNCTION("""COMPUTED_VALUE"""),"")</f>
        <v/>
      </c>
      <c r="DL992" s="15" t="str">
        <f>IFERROR(__xludf.DUMMYFUNCTION("""COMPUTED_VALUE"""),"")</f>
        <v/>
      </c>
      <c r="DM992" s="15" t="s">
        <v>444</v>
      </c>
      <c r="DN992" s="15" t="s">
        <v>419</v>
      </c>
      <c r="DO992" s="15">
        <v>0.0</v>
      </c>
      <c r="DP992" s="15" t="s">
        <v>419</v>
      </c>
      <c r="DR992" s="15">
        <v>2.0</v>
      </c>
      <c r="DS992" s="15" t="s">
        <v>426</v>
      </c>
      <c r="DT992" s="15" t="s">
        <v>721</v>
      </c>
      <c r="DU992" s="15" t="s">
        <v>1914</v>
      </c>
      <c r="DW992" s="15">
        <v>18.14</v>
      </c>
      <c r="DX992" s="15">
        <v>40.0</v>
      </c>
      <c r="DY992" s="15">
        <v>2.0</v>
      </c>
      <c r="EF992" s="15" t="s">
        <v>1906</v>
      </c>
      <c r="EG992" s="15" t="s">
        <v>1907</v>
      </c>
      <c r="EH992" s="15" t="s">
        <v>9841</v>
      </c>
      <c r="EK992" s="15" t="s">
        <v>444</v>
      </c>
      <c r="EM992" s="15" t="str">
        <f>IFERROR(__xludf.DUMMYFUNCTION("""COMPUTED_VALUE"""),"")</f>
        <v/>
      </c>
      <c r="EW992" s="15" t="s">
        <v>822</v>
      </c>
      <c r="FL992" s="15" t="s">
        <v>426</v>
      </c>
      <c r="FM992" s="15">
        <v>3.0</v>
      </c>
      <c r="GB992" s="15" t="s">
        <v>504</v>
      </c>
      <c r="GC992" s="15" t="s">
        <v>784</v>
      </c>
      <c r="GD992" s="15" t="s">
        <v>3798</v>
      </c>
      <c r="GH992" s="15">
        <v>0.0</v>
      </c>
      <c r="GI992" s="15" t="s">
        <v>427</v>
      </c>
      <c r="GL992" s="15" t="s">
        <v>426</v>
      </c>
      <c r="HA992" s="15" t="s">
        <v>504</v>
      </c>
      <c r="HB992" s="15" t="s">
        <v>2655</v>
      </c>
      <c r="HC992" s="15" t="s">
        <v>3798</v>
      </c>
      <c r="HQ992" s="15" t="s">
        <v>504</v>
      </c>
      <c r="HS992" s="15" t="s">
        <v>788</v>
      </c>
      <c r="HU992" s="15" t="s">
        <v>3798</v>
      </c>
      <c r="HW992" s="15" t="s">
        <v>1807</v>
      </c>
      <c r="IH992" s="15" t="s">
        <v>426</v>
      </c>
    </row>
    <row r="993" ht="15.75" customHeight="1">
      <c r="A993" s="14" t="s">
        <v>391</v>
      </c>
      <c r="B993" s="15" t="s">
        <v>9833</v>
      </c>
      <c r="C993" s="16"/>
      <c r="D993" s="15" t="s">
        <v>432</v>
      </c>
      <c r="G993" s="14" t="s">
        <v>393</v>
      </c>
      <c r="H993" s="14" t="s">
        <v>394</v>
      </c>
      <c r="I993" s="14" t="b">
        <v>1</v>
      </c>
      <c r="J993" s="14" t="s">
        <v>395</v>
      </c>
      <c r="L993" s="14" t="b">
        <v>0</v>
      </c>
      <c r="M993" s="15" t="s">
        <v>9848</v>
      </c>
      <c r="N993" s="14" t="s">
        <v>393</v>
      </c>
      <c r="O993" s="14" t="s">
        <v>393</v>
      </c>
      <c r="P993" s="15" t="s">
        <v>397</v>
      </c>
      <c r="Q993" s="15" t="s">
        <v>9849</v>
      </c>
      <c r="T993" s="14" t="b">
        <v>0</v>
      </c>
      <c r="U993" s="15" t="s">
        <v>9850</v>
      </c>
      <c r="V993" s="15" t="s">
        <v>9836</v>
      </c>
      <c r="W993" s="15" t="s">
        <v>401</v>
      </c>
      <c r="X993" s="15" t="s">
        <v>695</v>
      </c>
      <c r="Y993" s="15">
        <v>3822.0</v>
      </c>
      <c r="AA993" s="15" t="str">
        <f>"1470"</f>
        <v>1470</v>
      </c>
      <c r="AB993" s="14" t="b">
        <v>1</v>
      </c>
      <c r="AC993" s="14" t="b">
        <v>1</v>
      </c>
      <c r="AD993" s="15" t="str">
        <f>"801542960711"</f>
        <v>801542960711</v>
      </c>
      <c r="AE993" s="15" t="s">
        <v>9851</v>
      </c>
      <c r="AF993" s="14" t="s">
        <v>404</v>
      </c>
      <c r="AG993" s="14" t="s">
        <v>405</v>
      </c>
      <c r="AH993" s="14" t="s">
        <v>406</v>
      </c>
      <c r="AI993" s="15">
        <v>0.0</v>
      </c>
      <c r="AL993" s="15" t="s">
        <v>1532</v>
      </c>
      <c r="AM993" s="15" t="s">
        <v>2372</v>
      </c>
      <c r="AN993" s="15" t="s">
        <v>2373</v>
      </c>
      <c r="AO993" s="15" t="s">
        <v>456</v>
      </c>
      <c r="AP993" s="15" t="s">
        <v>457</v>
      </c>
      <c r="AQ993" s="15" t="s">
        <v>2151</v>
      </c>
      <c r="AR993" s="15" t="s">
        <v>2152</v>
      </c>
      <c r="AS993" s="15" t="s">
        <v>1474</v>
      </c>
      <c r="AT993" s="15" t="s">
        <v>9849</v>
      </c>
      <c r="AU993" s="15" t="s">
        <v>2130</v>
      </c>
      <c r="AV993" s="15" t="s">
        <v>9852</v>
      </c>
      <c r="AW993" s="15" t="s">
        <v>1899</v>
      </c>
      <c r="AY993" s="15" t="s">
        <v>413</v>
      </c>
      <c r="AZ993" s="15" t="b">
        <v>0</v>
      </c>
      <c r="BA993" s="15" t="s">
        <v>413</v>
      </c>
      <c r="BB993" s="15" t="b">
        <v>0</v>
      </c>
      <c r="BC993" s="15" t="s">
        <v>9853</v>
      </c>
      <c r="BD993" s="15" t="s">
        <v>709</v>
      </c>
      <c r="BE993" s="15" t="str">
        <f t="shared" si="1680"/>
        <v>1</v>
      </c>
      <c r="BF993" s="15" t="s">
        <v>416</v>
      </c>
      <c r="BG993" s="15" t="str">
        <f t="shared" si="1681"/>
        <v>41.73</v>
      </c>
      <c r="BH993" s="15" t="s">
        <v>9838</v>
      </c>
      <c r="BI993" s="15" t="str">
        <f t="shared" si="1682"/>
        <v>22.44</v>
      </c>
      <c r="BJ993" s="15" t="s">
        <v>1156</v>
      </c>
      <c r="BK993" s="15" t="str">
        <f t="shared" si="1683"/>
        <v>92.13</v>
      </c>
      <c r="BL993" s="15" t="s">
        <v>9839</v>
      </c>
      <c r="BM993" s="15" t="str">
        <f t="shared" si="1684"/>
        <v>170.2</v>
      </c>
      <c r="BN993" s="15" t="s">
        <v>9840</v>
      </c>
      <c r="BQ993" s="15" t="s">
        <v>444</v>
      </c>
      <c r="BS993" s="15" t="s">
        <v>444</v>
      </c>
      <c r="BU993" s="15" t="s">
        <v>444</v>
      </c>
      <c r="BW993" s="15" t="s">
        <v>444</v>
      </c>
      <c r="BZ993" s="15" t="s">
        <v>444</v>
      </c>
      <c r="CB993" s="15" t="s">
        <v>444</v>
      </c>
      <c r="CD993" s="15" t="s">
        <v>444</v>
      </c>
      <c r="CF993" s="15" t="s">
        <v>444</v>
      </c>
      <c r="CI993" s="15" t="s">
        <v>444</v>
      </c>
      <c r="CK993" s="15" t="s">
        <v>444</v>
      </c>
      <c r="CM993" s="15" t="s">
        <v>444</v>
      </c>
      <c r="CO993" s="15" t="s">
        <v>444</v>
      </c>
      <c r="CP993" s="15" t="str">
        <f t="shared" si="1685"/>
        <v>49.93</v>
      </c>
      <c r="CQ993" s="15" t="str">
        <f t="shared" si="1686"/>
        <v>1.414</v>
      </c>
      <c r="CR993" s="15" t="s">
        <v>417</v>
      </c>
      <c r="CS993" s="15" t="s">
        <v>504</v>
      </c>
      <c r="CT993" s="15" t="s">
        <v>784</v>
      </c>
      <c r="CU993" s="15" t="s">
        <v>3798</v>
      </c>
      <c r="CV993" s="15" t="s">
        <v>504</v>
      </c>
      <c r="CW993" s="15" t="s">
        <v>2655</v>
      </c>
      <c r="CX993" s="15" t="s">
        <v>3798</v>
      </c>
      <c r="DC993" s="15" t="str">
        <f>IFERROR(__xludf.DUMMYFUNCTION("""COMPUTED_VALUE"""),"")</f>
        <v/>
      </c>
      <c r="DE993" s="15" t="str">
        <f>IFERROR(__xludf.DUMMYFUNCTION("""COMPUTED_VALUE"""),"")</f>
        <v/>
      </c>
      <c r="DG993" s="15" t="str">
        <f>IFERROR(__xludf.DUMMYFUNCTION("""COMPUTED_VALUE"""),"")</f>
        <v/>
      </c>
      <c r="DL993" s="15" t="str">
        <f>IFERROR(__xludf.DUMMYFUNCTION("""COMPUTED_VALUE"""),"")</f>
        <v/>
      </c>
      <c r="DM993" s="15" t="s">
        <v>444</v>
      </c>
      <c r="DN993" s="15" t="s">
        <v>419</v>
      </c>
      <c r="DO993" s="15">
        <v>0.0</v>
      </c>
      <c r="DP993" s="15" t="s">
        <v>419</v>
      </c>
      <c r="DR993" s="15">
        <v>2.0</v>
      </c>
      <c r="DS993" s="15" t="s">
        <v>426</v>
      </c>
      <c r="DT993" s="15" t="s">
        <v>721</v>
      </c>
      <c r="DU993" s="15" t="s">
        <v>1914</v>
      </c>
      <c r="DW993" s="15">
        <v>18.14</v>
      </c>
      <c r="DX993" s="15">
        <v>40.0</v>
      </c>
      <c r="DY993" s="15">
        <v>2.0</v>
      </c>
      <c r="EF993" s="15" t="s">
        <v>1906</v>
      </c>
      <c r="EG993" s="15" t="s">
        <v>1907</v>
      </c>
      <c r="EH993" s="15" t="s">
        <v>9841</v>
      </c>
      <c r="EK993" s="15" t="s">
        <v>444</v>
      </c>
      <c r="EM993" s="15" t="str">
        <f>IFERROR(__xludf.DUMMYFUNCTION("""COMPUTED_VALUE"""),"")</f>
        <v/>
      </c>
      <c r="EW993" s="15" t="s">
        <v>822</v>
      </c>
      <c r="FL993" s="15" t="s">
        <v>426</v>
      </c>
      <c r="FM993" s="15">
        <v>3.0</v>
      </c>
      <c r="GB993" s="15" t="s">
        <v>504</v>
      </c>
      <c r="GC993" s="15" t="s">
        <v>784</v>
      </c>
      <c r="GD993" s="15" t="s">
        <v>3798</v>
      </c>
      <c r="GH993" s="15">
        <v>0.0</v>
      </c>
      <c r="GI993" s="15" t="s">
        <v>427</v>
      </c>
      <c r="GL993" s="15" t="s">
        <v>426</v>
      </c>
      <c r="HA993" s="15" t="s">
        <v>504</v>
      </c>
      <c r="HB993" s="15" t="s">
        <v>2655</v>
      </c>
      <c r="HC993" s="15" t="s">
        <v>3798</v>
      </c>
      <c r="HQ993" s="15" t="s">
        <v>504</v>
      </c>
      <c r="HS993" s="15" t="s">
        <v>788</v>
      </c>
      <c r="HU993" s="15" t="s">
        <v>3798</v>
      </c>
      <c r="HW993" s="15" t="s">
        <v>1807</v>
      </c>
      <c r="IH993" s="15" t="s">
        <v>426</v>
      </c>
    </row>
    <row r="994" ht="15.75" customHeight="1">
      <c r="A994" s="14" t="s">
        <v>391</v>
      </c>
      <c r="B994" s="15" t="s">
        <v>9854</v>
      </c>
      <c r="C994" s="16"/>
      <c r="D994" s="15" t="s">
        <v>432</v>
      </c>
      <c r="G994" s="14" t="s">
        <v>393</v>
      </c>
      <c r="H994" s="14" t="s">
        <v>394</v>
      </c>
      <c r="I994" s="14" t="b">
        <v>1</v>
      </c>
      <c r="J994" s="14" t="s">
        <v>395</v>
      </c>
      <c r="L994" s="14" t="b">
        <v>0</v>
      </c>
      <c r="M994" s="15" t="s">
        <v>9855</v>
      </c>
      <c r="N994" s="14" t="s">
        <v>393</v>
      </c>
      <c r="O994" s="14" t="s">
        <v>393</v>
      </c>
      <c r="P994" s="15" t="s">
        <v>397</v>
      </c>
      <c r="Q994" s="15" t="s">
        <v>9856</v>
      </c>
      <c r="T994" s="14" t="b">
        <v>0</v>
      </c>
      <c r="U994" s="15" t="s">
        <v>9857</v>
      </c>
      <c r="V994" s="15" t="s">
        <v>1415</v>
      </c>
      <c r="W994" s="15" t="s">
        <v>401</v>
      </c>
      <c r="X994" s="15" t="s">
        <v>695</v>
      </c>
      <c r="Y994" s="15">
        <v>4589.0</v>
      </c>
      <c r="AA994" s="15" t="str">
        <f t="shared" ref="AA994:AA1000" si="1687">"1765"</f>
        <v>1765</v>
      </c>
      <c r="AB994" s="14" t="b">
        <v>1</v>
      </c>
      <c r="AC994" s="14" t="b">
        <v>1</v>
      </c>
      <c r="AD994" s="15" t="str">
        <f>"801542631161"</f>
        <v>801542631161</v>
      </c>
      <c r="AE994" s="15" t="s">
        <v>9858</v>
      </c>
      <c r="AF994" s="14" t="s">
        <v>404</v>
      </c>
      <c r="AG994" s="14" t="s">
        <v>405</v>
      </c>
      <c r="AH994" s="14" t="s">
        <v>406</v>
      </c>
      <c r="AI994" s="15">
        <v>0.0</v>
      </c>
      <c r="AL994" s="15" t="s">
        <v>2872</v>
      </c>
      <c r="AM994" s="15" t="s">
        <v>2372</v>
      </c>
      <c r="AN994" s="15" t="s">
        <v>2373</v>
      </c>
      <c r="AO994" s="15" t="s">
        <v>456</v>
      </c>
      <c r="AP994" s="15" t="s">
        <v>457</v>
      </c>
      <c r="AQ994" s="15" t="s">
        <v>2151</v>
      </c>
      <c r="AR994" s="15" t="s">
        <v>2152</v>
      </c>
      <c r="AS994" s="15" t="s">
        <v>1474</v>
      </c>
      <c r="AT994" s="15" t="s">
        <v>1490</v>
      </c>
      <c r="AU994" s="15" t="s">
        <v>1465</v>
      </c>
      <c r="AW994" s="15" t="s">
        <v>2891</v>
      </c>
      <c r="AX994" s="15" t="s">
        <v>5805</v>
      </c>
      <c r="AY994" s="15" t="s">
        <v>426</v>
      </c>
      <c r="AZ994" s="15" t="b">
        <v>1</v>
      </c>
      <c r="BA994" s="15" t="s">
        <v>413</v>
      </c>
      <c r="BB994" s="15" t="b">
        <v>0</v>
      </c>
      <c r="BC994" s="15" t="s">
        <v>9859</v>
      </c>
      <c r="BD994" s="15" t="s">
        <v>709</v>
      </c>
      <c r="BE994" s="15" t="str">
        <f t="shared" si="1680"/>
        <v>1</v>
      </c>
      <c r="BF994" s="15" t="s">
        <v>416</v>
      </c>
      <c r="BG994" s="15" t="str">
        <f t="shared" si="1681"/>
        <v>41.73</v>
      </c>
      <c r="BH994" s="15" t="s">
        <v>9838</v>
      </c>
      <c r="BI994" s="15" t="str">
        <f t="shared" si="1682"/>
        <v>22.44</v>
      </c>
      <c r="BJ994" s="15" t="s">
        <v>1156</v>
      </c>
      <c r="BK994" s="15" t="str">
        <f t="shared" si="1683"/>
        <v>92.13</v>
      </c>
      <c r="BL994" s="15" t="s">
        <v>9839</v>
      </c>
      <c r="BM994" s="15" t="str">
        <f t="shared" ref="BM994:BM997" si="1688">"220.46"</f>
        <v>220.46</v>
      </c>
      <c r="BN994" s="15" t="s">
        <v>2777</v>
      </c>
      <c r="BQ994" s="15" t="s">
        <v>444</v>
      </c>
      <c r="BS994" s="15" t="s">
        <v>444</v>
      </c>
      <c r="BU994" s="15" t="s">
        <v>444</v>
      </c>
      <c r="BW994" s="15" t="s">
        <v>444</v>
      </c>
      <c r="BZ994" s="15" t="s">
        <v>444</v>
      </c>
      <c r="CB994" s="15" t="s">
        <v>444</v>
      </c>
      <c r="CD994" s="15" t="s">
        <v>444</v>
      </c>
      <c r="CF994" s="15" t="s">
        <v>444</v>
      </c>
      <c r="CI994" s="15" t="s">
        <v>444</v>
      </c>
      <c r="CK994" s="15" t="s">
        <v>444</v>
      </c>
      <c r="CM994" s="15" t="s">
        <v>444</v>
      </c>
      <c r="CO994" s="15" t="s">
        <v>444</v>
      </c>
      <c r="CP994" s="15" t="str">
        <f t="shared" si="1685"/>
        <v>49.93</v>
      </c>
      <c r="CQ994" s="15" t="str">
        <f t="shared" si="1686"/>
        <v>1.414</v>
      </c>
      <c r="CR994" s="15" t="s">
        <v>1793</v>
      </c>
      <c r="CS994" s="15" t="s">
        <v>504</v>
      </c>
      <c r="CT994" s="15" t="s">
        <v>784</v>
      </c>
      <c r="CU994" s="15" t="s">
        <v>4059</v>
      </c>
      <c r="CV994" s="15" t="s">
        <v>504</v>
      </c>
      <c r="CW994" s="15" t="s">
        <v>943</v>
      </c>
      <c r="CX994" s="15" t="s">
        <v>4059</v>
      </c>
      <c r="DC994" s="15" t="str">
        <f>IFERROR(__xludf.DUMMYFUNCTION("""COMPUTED_VALUE"""),"")</f>
        <v/>
      </c>
      <c r="DE994" s="15" t="str">
        <f>IFERROR(__xludf.DUMMYFUNCTION("""COMPUTED_VALUE"""),"")</f>
        <v/>
      </c>
      <c r="DG994" s="15" t="str">
        <f>IFERROR(__xludf.DUMMYFUNCTION("""COMPUTED_VALUE"""),"")</f>
        <v/>
      </c>
      <c r="DL994" s="15" t="str">
        <f>IFERROR(__xludf.DUMMYFUNCTION("""COMPUTED_VALUE"""),"")</f>
        <v/>
      </c>
      <c r="DM994" s="15" t="s">
        <v>444</v>
      </c>
      <c r="DN994" s="15" t="s">
        <v>419</v>
      </c>
      <c r="DO994" s="15">
        <v>0.0</v>
      </c>
      <c r="DP994" s="15" t="s">
        <v>419</v>
      </c>
      <c r="DR994" s="15">
        <v>2.0</v>
      </c>
      <c r="DS994" s="15" t="s">
        <v>426</v>
      </c>
      <c r="DT994" s="15" t="s">
        <v>721</v>
      </c>
      <c r="DU994" s="15" t="s">
        <v>610</v>
      </c>
      <c r="DW994" s="15">
        <v>18.14</v>
      </c>
      <c r="DX994" s="15">
        <v>40.0</v>
      </c>
      <c r="DY994" s="15">
        <v>2.0</v>
      </c>
      <c r="EF994" s="15" t="s">
        <v>1906</v>
      </c>
      <c r="EG994" s="15" t="s">
        <v>1907</v>
      </c>
      <c r="EH994" s="15" t="s">
        <v>9841</v>
      </c>
      <c r="EK994" s="15" t="s">
        <v>444</v>
      </c>
      <c r="EM994" s="15" t="str">
        <f>IFERROR(__xludf.DUMMYFUNCTION("""COMPUTED_VALUE"""),"")</f>
        <v/>
      </c>
      <c r="EW994" s="15" t="s">
        <v>822</v>
      </c>
      <c r="FL994" s="15" t="s">
        <v>426</v>
      </c>
      <c r="FM994" s="15">
        <v>3.0</v>
      </c>
      <c r="FY994" s="15" t="s">
        <v>4511</v>
      </c>
      <c r="FZ994" s="15" t="s">
        <v>2638</v>
      </c>
      <c r="GA994" s="15" t="s">
        <v>4918</v>
      </c>
      <c r="GB994" s="15" t="s">
        <v>504</v>
      </c>
      <c r="GC994" s="15" t="s">
        <v>784</v>
      </c>
      <c r="GD994" s="15" t="s">
        <v>4059</v>
      </c>
      <c r="GE994" s="15">
        <v>0.0</v>
      </c>
      <c r="GG994" s="15" t="s">
        <v>1044</v>
      </c>
      <c r="GH994" s="15">
        <v>2.0</v>
      </c>
      <c r="GI994" s="15" t="s">
        <v>614</v>
      </c>
      <c r="GJ994" s="15" t="s">
        <v>786</v>
      </c>
      <c r="GK994" s="15">
        <v>0.0</v>
      </c>
      <c r="GL994" s="15" t="s">
        <v>426</v>
      </c>
      <c r="GM994" s="15" t="s">
        <v>5816</v>
      </c>
      <c r="GN994" s="15" t="s">
        <v>3722</v>
      </c>
      <c r="GP994" s="15">
        <v>0.0</v>
      </c>
      <c r="HA994" s="15" t="s">
        <v>504</v>
      </c>
      <c r="HB994" s="15" t="s">
        <v>555</v>
      </c>
      <c r="HC994" s="15" t="s">
        <v>4059</v>
      </c>
      <c r="HQ994" s="15" t="s">
        <v>504</v>
      </c>
      <c r="HS994" s="15" t="s">
        <v>555</v>
      </c>
      <c r="HU994" s="15" t="s">
        <v>4059</v>
      </c>
      <c r="IH994" s="15" t="s">
        <v>426</v>
      </c>
      <c r="KI994" s="15" t="s">
        <v>789</v>
      </c>
    </row>
    <row r="995" ht="15.75" customHeight="1">
      <c r="A995" s="14" t="s">
        <v>391</v>
      </c>
      <c r="B995" s="15" t="s">
        <v>9854</v>
      </c>
      <c r="C995" s="16"/>
      <c r="D995" s="15" t="s">
        <v>432</v>
      </c>
      <c r="G995" s="14" t="s">
        <v>393</v>
      </c>
      <c r="H995" s="14" t="s">
        <v>394</v>
      </c>
      <c r="I995" s="14" t="b">
        <v>1</v>
      </c>
      <c r="J995" s="14" t="s">
        <v>395</v>
      </c>
      <c r="L995" s="14" t="b">
        <v>0</v>
      </c>
      <c r="M995" s="15" t="s">
        <v>9860</v>
      </c>
      <c r="N995" s="14" t="s">
        <v>393</v>
      </c>
      <c r="O995" s="14" t="s">
        <v>393</v>
      </c>
      <c r="P995" s="15" t="s">
        <v>397</v>
      </c>
      <c r="Q995" s="15" t="s">
        <v>1490</v>
      </c>
      <c r="T995" s="14" t="b">
        <v>0</v>
      </c>
      <c r="U995" s="15" t="s">
        <v>9861</v>
      </c>
      <c r="V995" s="15" t="s">
        <v>1415</v>
      </c>
      <c r="W995" s="15" t="s">
        <v>401</v>
      </c>
      <c r="X995" s="15" t="s">
        <v>695</v>
      </c>
      <c r="Y995" s="15">
        <v>4589.0</v>
      </c>
      <c r="AA995" s="15" t="str">
        <f t="shared" si="1687"/>
        <v>1765</v>
      </c>
      <c r="AB995" s="14" t="b">
        <v>1</v>
      </c>
      <c r="AC995" s="14" t="b">
        <v>1</v>
      </c>
      <c r="AD995" s="15" t="str">
        <f>"801542007539"</f>
        <v>801542007539</v>
      </c>
      <c r="AE995" s="15" t="s">
        <v>9862</v>
      </c>
      <c r="AF995" s="14" t="s">
        <v>404</v>
      </c>
      <c r="AG995" s="14" t="s">
        <v>405</v>
      </c>
      <c r="AH995" s="14" t="s">
        <v>406</v>
      </c>
      <c r="AI995" s="15">
        <v>0.0</v>
      </c>
      <c r="AL995" s="15" t="s">
        <v>2872</v>
      </c>
      <c r="AM995" s="15" t="s">
        <v>2372</v>
      </c>
      <c r="AN995" s="15" t="s">
        <v>2373</v>
      </c>
      <c r="AO995" s="15" t="s">
        <v>456</v>
      </c>
      <c r="AP995" s="15" t="s">
        <v>457</v>
      </c>
      <c r="AQ995" s="15" t="s">
        <v>2151</v>
      </c>
      <c r="AR995" s="15" t="s">
        <v>2152</v>
      </c>
      <c r="AS995" s="15" t="s">
        <v>1474</v>
      </c>
      <c r="AT995" s="15" t="s">
        <v>1490</v>
      </c>
      <c r="AW995" s="15" t="s">
        <v>2891</v>
      </c>
      <c r="AX995" s="15" t="s">
        <v>5805</v>
      </c>
      <c r="AY995" s="15" t="s">
        <v>426</v>
      </c>
      <c r="AZ995" s="15" t="b">
        <v>1</v>
      </c>
      <c r="BA995" s="15" t="s">
        <v>413</v>
      </c>
      <c r="BB995" s="15" t="b">
        <v>0</v>
      </c>
      <c r="BC995" s="15" t="s">
        <v>9863</v>
      </c>
      <c r="BD995" s="15" t="s">
        <v>709</v>
      </c>
      <c r="BE995" s="15" t="str">
        <f t="shared" si="1680"/>
        <v>1</v>
      </c>
      <c r="BF995" s="15" t="s">
        <v>416</v>
      </c>
      <c r="BG995" s="15" t="str">
        <f t="shared" si="1681"/>
        <v>41.73</v>
      </c>
      <c r="BH995" s="15" t="s">
        <v>9838</v>
      </c>
      <c r="BI995" s="15" t="str">
        <f t="shared" si="1682"/>
        <v>22.44</v>
      </c>
      <c r="BJ995" s="15" t="s">
        <v>1156</v>
      </c>
      <c r="BK995" s="15" t="str">
        <f t="shared" si="1683"/>
        <v>92.13</v>
      </c>
      <c r="BL995" s="15" t="s">
        <v>9839</v>
      </c>
      <c r="BM995" s="15" t="str">
        <f t="shared" si="1688"/>
        <v>220.46</v>
      </c>
      <c r="BN995" s="15" t="s">
        <v>2777</v>
      </c>
      <c r="BQ995" s="15" t="s">
        <v>444</v>
      </c>
      <c r="BS995" s="15" t="s">
        <v>444</v>
      </c>
      <c r="BU995" s="15" t="s">
        <v>444</v>
      </c>
      <c r="BW995" s="15" t="s">
        <v>444</v>
      </c>
      <c r="BZ995" s="15" t="s">
        <v>444</v>
      </c>
      <c r="CB995" s="15" t="s">
        <v>444</v>
      </c>
      <c r="CD995" s="15" t="s">
        <v>444</v>
      </c>
      <c r="CF995" s="15" t="s">
        <v>444</v>
      </c>
      <c r="CI995" s="15" t="s">
        <v>444</v>
      </c>
      <c r="CK995" s="15" t="s">
        <v>444</v>
      </c>
      <c r="CM995" s="15" t="s">
        <v>444</v>
      </c>
      <c r="CO995" s="15" t="s">
        <v>444</v>
      </c>
      <c r="CP995" s="15" t="str">
        <f t="shared" si="1685"/>
        <v>49.93</v>
      </c>
      <c r="CQ995" s="15" t="str">
        <f t="shared" si="1686"/>
        <v>1.414</v>
      </c>
      <c r="CR995" s="15" t="s">
        <v>497</v>
      </c>
      <c r="CS995" s="15" t="s">
        <v>504</v>
      </c>
      <c r="CT995" s="15" t="s">
        <v>784</v>
      </c>
      <c r="CU995" s="15" t="s">
        <v>4059</v>
      </c>
      <c r="CV995" s="15" t="s">
        <v>504</v>
      </c>
      <c r="CW995" s="15" t="s">
        <v>943</v>
      </c>
      <c r="CX995" s="15" t="s">
        <v>4059</v>
      </c>
      <c r="DC995" s="15" t="str">
        <f>IFERROR(__xludf.DUMMYFUNCTION("""COMPUTED_VALUE"""),"")</f>
        <v/>
      </c>
      <c r="DE995" s="15" t="str">
        <f>IFERROR(__xludf.DUMMYFUNCTION("""COMPUTED_VALUE"""),"")</f>
        <v/>
      </c>
      <c r="DG995" s="15" t="str">
        <f>IFERROR(__xludf.DUMMYFUNCTION("""COMPUTED_VALUE"""),"")</f>
        <v/>
      </c>
      <c r="DL995" s="15" t="str">
        <f>IFERROR(__xludf.DUMMYFUNCTION("""COMPUTED_VALUE"""),"")</f>
        <v/>
      </c>
      <c r="DM995" s="15" t="s">
        <v>444</v>
      </c>
      <c r="DN995" s="15" t="s">
        <v>419</v>
      </c>
      <c r="DO995" s="15">
        <v>0.0</v>
      </c>
      <c r="DP995" s="15" t="s">
        <v>419</v>
      </c>
      <c r="DR995" s="15">
        <v>2.0</v>
      </c>
      <c r="DS995" s="15" t="s">
        <v>426</v>
      </c>
      <c r="DT995" s="15" t="s">
        <v>721</v>
      </c>
      <c r="DU995" s="15" t="s">
        <v>610</v>
      </c>
      <c r="DW995" s="15">
        <v>18.14</v>
      </c>
      <c r="DX995" s="15">
        <v>40.0</v>
      </c>
      <c r="DY995" s="15">
        <v>2.0</v>
      </c>
      <c r="EF995" s="15" t="s">
        <v>1906</v>
      </c>
      <c r="EG995" s="15" t="s">
        <v>1907</v>
      </c>
      <c r="EH995" s="15" t="s">
        <v>9841</v>
      </c>
      <c r="EK995" s="15" t="s">
        <v>444</v>
      </c>
      <c r="EM995" s="15" t="str">
        <f>IFERROR(__xludf.DUMMYFUNCTION("""COMPUTED_VALUE"""),"")</f>
        <v/>
      </c>
      <c r="EW995" s="15" t="s">
        <v>822</v>
      </c>
      <c r="FL995" s="15" t="s">
        <v>426</v>
      </c>
      <c r="FM995" s="15">
        <v>3.0</v>
      </c>
      <c r="FY995" s="15" t="s">
        <v>4511</v>
      </c>
      <c r="FZ995" s="15" t="s">
        <v>2638</v>
      </c>
      <c r="GA995" s="15" t="s">
        <v>4918</v>
      </c>
      <c r="GB995" s="15" t="s">
        <v>504</v>
      </c>
      <c r="GC995" s="15" t="s">
        <v>784</v>
      </c>
      <c r="GD995" s="15" t="s">
        <v>4059</v>
      </c>
      <c r="GE995" s="15">
        <v>0.0</v>
      </c>
      <c r="GG995" s="15" t="s">
        <v>1044</v>
      </c>
      <c r="GH995" s="15">
        <v>2.0</v>
      </c>
      <c r="GI995" s="15" t="s">
        <v>614</v>
      </c>
      <c r="GJ995" s="15" t="s">
        <v>786</v>
      </c>
      <c r="GK995" s="15">
        <v>0.0</v>
      </c>
      <c r="GL995" s="15" t="s">
        <v>426</v>
      </c>
      <c r="GM995" s="15" t="s">
        <v>5816</v>
      </c>
      <c r="GN995" s="15" t="s">
        <v>3722</v>
      </c>
      <c r="GP995" s="15">
        <v>0.0</v>
      </c>
      <c r="HA995" s="15" t="s">
        <v>504</v>
      </c>
      <c r="HB995" s="15" t="s">
        <v>555</v>
      </c>
      <c r="HC995" s="15" t="s">
        <v>4059</v>
      </c>
      <c r="HQ995" s="15" t="s">
        <v>504</v>
      </c>
      <c r="HS995" s="15" t="s">
        <v>555</v>
      </c>
      <c r="HU995" s="15" t="s">
        <v>4059</v>
      </c>
      <c r="IH995" s="15" t="s">
        <v>426</v>
      </c>
      <c r="KI995" s="15" t="s">
        <v>789</v>
      </c>
    </row>
    <row r="996" ht="15.75" customHeight="1">
      <c r="A996" s="14" t="s">
        <v>391</v>
      </c>
      <c r="B996" s="15" t="s">
        <v>9854</v>
      </c>
      <c r="C996" s="16"/>
      <c r="D996" s="15" t="s">
        <v>432</v>
      </c>
      <c r="G996" s="14" t="s">
        <v>393</v>
      </c>
      <c r="H996" s="14" t="s">
        <v>394</v>
      </c>
      <c r="I996" s="14" t="b">
        <v>1</v>
      </c>
      <c r="J996" s="14" t="s">
        <v>395</v>
      </c>
      <c r="L996" s="14" t="b">
        <v>0</v>
      </c>
      <c r="M996" s="15" t="s">
        <v>9864</v>
      </c>
      <c r="N996" s="14" t="s">
        <v>393</v>
      </c>
      <c r="O996" s="14" t="s">
        <v>393</v>
      </c>
      <c r="P996" s="15" t="s">
        <v>397</v>
      </c>
      <c r="Q996" s="15" t="s">
        <v>1465</v>
      </c>
      <c r="T996" s="14" t="b">
        <v>0</v>
      </c>
      <c r="U996" s="15" t="s">
        <v>9865</v>
      </c>
      <c r="V996" s="15" t="s">
        <v>1415</v>
      </c>
      <c r="W996" s="15" t="s">
        <v>401</v>
      </c>
      <c r="X996" s="15" t="s">
        <v>695</v>
      </c>
      <c r="Y996" s="15">
        <v>4589.0</v>
      </c>
      <c r="AA996" s="15" t="str">
        <f t="shared" si="1687"/>
        <v>1765</v>
      </c>
      <c r="AB996" s="14" t="b">
        <v>1</v>
      </c>
      <c r="AC996" s="14" t="b">
        <v>1</v>
      </c>
      <c r="AD996" s="15" t="str">
        <f>"801542728984"</f>
        <v>801542728984</v>
      </c>
      <c r="AE996" s="15" t="s">
        <v>9866</v>
      </c>
      <c r="AF996" s="14" t="s">
        <v>404</v>
      </c>
      <c r="AG996" s="14" t="s">
        <v>405</v>
      </c>
      <c r="AH996" s="14" t="s">
        <v>406</v>
      </c>
      <c r="AI996" s="15">
        <v>0.0</v>
      </c>
      <c r="AL996" s="15" t="s">
        <v>2872</v>
      </c>
      <c r="AM996" s="15" t="s">
        <v>2372</v>
      </c>
      <c r="AN996" s="15" t="s">
        <v>2373</v>
      </c>
      <c r="AO996" s="15" t="s">
        <v>456</v>
      </c>
      <c r="AP996" s="15" t="s">
        <v>457</v>
      </c>
      <c r="AQ996" s="15" t="s">
        <v>2151</v>
      </c>
      <c r="AR996" s="15" t="s">
        <v>2152</v>
      </c>
      <c r="AS996" s="15" t="s">
        <v>1474</v>
      </c>
      <c r="AT996" s="15" t="s">
        <v>1465</v>
      </c>
      <c r="AW996" s="15" t="s">
        <v>2891</v>
      </c>
      <c r="AX996" s="15" t="s">
        <v>5805</v>
      </c>
      <c r="AY996" s="15" t="s">
        <v>426</v>
      </c>
      <c r="AZ996" s="15" t="b">
        <v>1</v>
      </c>
      <c r="BA996" s="15" t="s">
        <v>413</v>
      </c>
      <c r="BB996" s="15" t="b">
        <v>0</v>
      </c>
      <c r="BC996" s="15" t="s">
        <v>9867</v>
      </c>
      <c r="BD996" s="15" t="s">
        <v>709</v>
      </c>
      <c r="BE996" s="15" t="str">
        <f t="shared" si="1680"/>
        <v>1</v>
      </c>
      <c r="BF996" s="15" t="s">
        <v>416</v>
      </c>
      <c r="BG996" s="15" t="str">
        <f t="shared" si="1681"/>
        <v>41.73</v>
      </c>
      <c r="BH996" s="15" t="s">
        <v>9838</v>
      </c>
      <c r="BI996" s="15" t="str">
        <f t="shared" si="1682"/>
        <v>22.44</v>
      </c>
      <c r="BJ996" s="15" t="s">
        <v>1156</v>
      </c>
      <c r="BK996" s="15" t="str">
        <f t="shared" si="1683"/>
        <v>92.13</v>
      </c>
      <c r="BL996" s="15" t="s">
        <v>9839</v>
      </c>
      <c r="BM996" s="15" t="str">
        <f t="shared" si="1688"/>
        <v>220.46</v>
      </c>
      <c r="BN996" s="15" t="s">
        <v>2777</v>
      </c>
      <c r="BQ996" s="15" t="s">
        <v>444</v>
      </c>
      <c r="BS996" s="15" t="s">
        <v>444</v>
      </c>
      <c r="BU996" s="15" t="s">
        <v>444</v>
      </c>
      <c r="BW996" s="15" t="s">
        <v>444</v>
      </c>
      <c r="BZ996" s="15" t="s">
        <v>444</v>
      </c>
      <c r="CB996" s="15" t="s">
        <v>444</v>
      </c>
      <c r="CD996" s="15" t="s">
        <v>444</v>
      </c>
      <c r="CF996" s="15" t="s">
        <v>444</v>
      </c>
      <c r="CI996" s="15" t="s">
        <v>444</v>
      </c>
      <c r="CK996" s="15" t="s">
        <v>444</v>
      </c>
      <c r="CM996" s="15" t="s">
        <v>444</v>
      </c>
      <c r="CO996" s="15" t="s">
        <v>444</v>
      </c>
      <c r="CP996" s="15" t="str">
        <f t="shared" si="1685"/>
        <v>49.93</v>
      </c>
      <c r="CQ996" s="15" t="str">
        <f t="shared" si="1686"/>
        <v>1.414</v>
      </c>
      <c r="CR996" s="15" t="s">
        <v>497</v>
      </c>
      <c r="CS996" s="15" t="s">
        <v>504</v>
      </c>
      <c r="CT996" s="15" t="s">
        <v>784</v>
      </c>
      <c r="CU996" s="15" t="s">
        <v>4059</v>
      </c>
      <c r="CV996" s="15" t="s">
        <v>504</v>
      </c>
      <c r="CW996" s="15" t="s">
        <v>943</v>
      </c>
      <c r="CX996" s="15" t="s">
        <v>4059</v>
      </c>
      <c r="DC996" s="15" t="str">
        <f>IFERROR(__xludf.DUMMYFUNCTION("""COMPUTED_VALUE"""),"")</f>
        <v/>
      </c>
      <c r="DE996" s="15" t="str">
        <f>IFERROR(__xludf.DUMMYFUNCTION("""COMPUTED_VALUE"""),"")</f>
        <v/>
      </c>
      <c r="DG996" s="15" t="str">
        <f>IFERROR(__xludf.DUMMYFUNCTION("""COMPUTED_VALUE"""),"")</f>
        <v/>
      </c>
      <c r="DL996" s="15" t="str">
        <f>IFERROR(__xludf.DUMMYFUNCTION("""COMPUTED_VALUE"""),"")</f>
        <v/>
      </c>
      <c r="DM996" s="15" t="s">
        <v>444</v>
      </c>
      <c r="DN996" s="15" t="s">
        <v>419</v>
      </c>
      <c r="DO996" s="15">
        <v>0.0</v>
      </c>
      <c r="DP996" s="15" t="s">
        <v>419</v>
      </c>
      <c r="DR996" s="15">
        <v>2.0</v>
      </c>
      <c r="DS996" s="15" t="s">
        <v>426</v>
      </c>
      <c r="DT996" s="15" t="s">
        <v>721</v>
      </c>
      <c r="DU996" s="15" t="s">
        <v>610</v>
      </c>
      <c r="DW996" s="15">
        <v>18.14</v>
      </c>
      <c r="DX996" s="15">
        <v>40.0</v>
      </c>
      <c r="DY996" s="15">
        <v>2.0</v>
      </c>
      <c r="EF996" s="15" t="s">
        <v>1906</v>
      </c>
      <c r="EG996" s="15" t="s">
        <v>1907</v>
      </c>
      <c r="EH996" s="15" t="s">
        <v>9841</v>
      </c>
      <c r="EK996" s="15" t="s">
        <v>444</v>
      </c>
      <c r="EM996" s="15" t="str">
        <f>IFERROR(__xludf.DUMMYFUNCTION("""COMPUTED_VALUE"""),"")</f>
        <v/>
      </c>
      <c r="EW996" s="15" t="s">
        <v>822</v>
      </c>
      <c r="FL996" s="15" t="s">
        <v>426</v>
      </c>
      <c r="FM996" s="15">
        <v>3.0</v>
      </c>
      <c r="FY996" s="15" t="s">
        <v>4511</v>
      </c>
      <c r="FZ996" s="15" t="s">
        <v>2638</v>
      </c>
      <c r="GA996" s="15" t="s">
        <v>4918</v>
      </c>
      <c r="GB996" s="15" t="s">
        <v>504</v>
      </c>
      <c r="GC996" s="15" t="s">
        <v>784</v>
      </c>
      <c r="GD996" s="15" t="s">
        <v>4059</v>
      </c>
      <c r="GE996" s="15">
        <v>0.0</v>
      </c>
      <c r="GG996" s="15" t="s">
        <v>1044</v>
      </c>
      <c r="GH996" s="15">
        <v>2.0</v>
      </c>
      <c r="GI996" s="15" t="s">
        <v>614</v>
      </c>
      <c r="GJ996" s="15" t="s">
        <v>786</v>
      </c>
      <c r="GK996" s="15">
        <v>0.0</v>
      </c>
      <c r="GL996" s="15" t="s">
        <v>426</v>
      </c>
      <c r="GM996" s="15" t="s">
        <v>5816</v>
      </c>
      <c r="GN996" s="15" t="s">
        <v>3722</v>
      </c>
      <c r="GP996" s="15">
        <v>0.0</v>
      </c>
      <c r="HA996" s="15" t="s">
        <v>504</v>
      </c>
      <c r="HB996" s="15" t="s">
        <v>555</v>
      </c>
      <c r="HC996" s="15" t="s">
        <v>4059</v>
      </c>
      <c r="HQ996" s="15" t="s">
        <v>504</v>
      </c>
      <c r="HS996" s="15" t="s">
        <v>555</v>
      </c>
      <c r="HU996" s="15" t="s">
        <v>4059</v>
      </c>
      <c r="IH996" s="15" t="s">
        <v>426</v>
      </c>
      <c r="KI996" s="15" t="s">
        <v>789</v>
      </c>
    </row>
    <row r="997" ht="15.75" customHeight="1">
      <c r="A997" s="14" t="s">
        <v>391</v>
      </c>
      <c r="B997" s="15" t="s">
        <v>9854</v>
      </c>
      <c r="C997" s="16"/>
      <c r="D997" s="15" t="s">
        <v>432</v>
      </c>
      <c r="G997" s="14" t="s">
        <v>393</v>
      </c>
      <c r="H997" s="14" t="s">
        <v>394</v>
      </c>
      <c r="I997" s="14" t="b">
        <v>1</v>
      </c>
      <c r="J997" s="14" t="s">
        <v>395</v>
      </c>
      <c r="L997" s="14" t="b">
        <v>0</v>
      </c>
      <c r="M997" s="15" t="s">
        <v>9868</v>
      </c>
      <c r="N997" s="14" t="s">
        <v>393</v>
      </c>
      <c r="O997" s="14" t="s">
        <v>393</v>
      </c>
      <c r="P997" s="15" t="s">
        <v>397</v>
      </c>
      <c r="Q997" s="15" t="s">
        <v>9849</v>
      </c>
      <c r="T997" s="14" t="b">
        <v>0</v>
      </c>
      <c r="U997" s="15" t="s">
        <v>9869</v>
      </c>
      <c r="V997" s="15" t="s">
        <v>1415</v>
      </c>
      <c r="W997" s="15" t="s">
        <v>401</v>
      </c>
      <c r="X997" s="15" t="s">
        <v>695</v>
      </c>
      <c r="Y997" s="15">
        <v>4589.0</v>
      </c>
      <c r="AA997" s="15" t="str">
        <f t="shared" si="1687"/>
        <v>1765</v>
      </c>
      <c r="AB997" s="14" t="b">
        <v>1</v>
      </c>
      <c r="AC997" s="14" t="b">
        <v>1</v>
      </c>
      <c r="AD997" s="15" t="str">
        <f>"801542245863"</f>
        <v>801542245863</v>
      </c>
      <c r="AE997" s="15" t="s">
        <v>9870</v>
      </c>
      <c r="AF997" s="14" t="s">
        <v>404</v>
      </c>
      <c r="AG997" s="14" t="s">
        <v>405</v>
      </c>
      <c r="AH997" s="14" t="s">
        <v>406</v>
      </c>
      <c r="AI997" s="15">
        <v>0.0</v>
      </c>
      <c r="AL997" s="15" t="s">
        <v>2354</v>
      </c>
      <c r="AM997" s="15" t="s">
        <v>2372</v>
      </c>
      <c r="AN997" s="15" t="s">
        <v>2373</v>
      </c>
      <c r="AO997" s="15" t="s">
        <v>456</v>
      </c>
      <c r="AP997" s="15" t="s">
        <v>457</v>
      </c>
      <c r="AQ997" s="15" t="s">
        <v>2151</v>
      </c>
      <c r="AR997" s="15" t="s">
        <v>2152</v>
      </c>
      <c r="AS997" s="15" t="s">
        <v>1474</v>
      </c>
      <c r="AT997" s="15" t="s">
        <v>2130</v>
      </c>
      <c r="AU997" s="15" t="s">
        <v>9849</v>
      </c>
      <c r="AW997" s="15" t="s">
        <v>2891</v>
      </c>
      <c r="AX997" s="15" t="s">
        <v>5805</v>
      </c>
      <c r="AY997" s="15" t="s">
        <v>413</v>
      </c>
      <c r="AZ997" s="15" t="b">
        <v>0</v>
      </c>
      <c r="BA997" s="15" t="s">
        <v>413</v>
      </c>
      <c r="BB997" s="15" t="b">
        <v>0</v>
      </c>
      <c r="BC997" s="15" t="s">
        <v>9871</v>
      </c>
      <c r="BD997" s="15" t="s">
        <v>709</v>
      </c>
      <c r="BE997" s="15" t="str">
        <f t="shared" si="1680"/>
        <v>1</v>
      </c>
      <c r="BF997" s="15" t="s">
        <v>416</v>
      </c>
      <c r="BG997" s="15" t="str">
        <f t="shared" si="1681"/>
        <v>41.73</v>
      </c>
      <c r="BH997" s="15" t="s">
        <v>9838</v>
      </c>
      <c r="BI997" s="15" t="str">
        <f t="shared" si="1682"/>
        <v>22.44</v>
      </c>
      <c r="BJ997" s="15" t="s">
        <v>1156</v>
      </c>
      <c r="BK997" s="15" t="str">
        <f t="shared" si="1683"/>
        <v>92.13</v>
      </c>
      <c r="BL997" s="15" t="s">
        <v>9839</v>
      </c>
      <c r="BM997" s="15" t="str">
        <f t="shared" si="1688"/>
        <v>220.46</v>
      </c>
      <c r="BN997" s="15" t="s">
        <v>2777</v>
      </c>
      <c r="BQ997" s="15" t="s">
        <v>444</v>
      </c>
      <c r="BS997" s="15" t="s">
        <v>444</v>
      </c>
      <c r="BU997" s="15" t="s">
        <v>444</v>
      </c>
      <c r="BW997" s="15" t="s">
        <v>444</v>
      </c>
      <c r="BZ997" s="15" t="s">
        <v>444</v>
      </c>
      <c r="CB997" s="15" t="s">
        <v>444</v>
      </c>
      <c r="CD997" s="15" t="s">
        <v>444</v>
      </c>
      <c r="CF997" s="15" t="s">
        <v>444</v>
      </c>
      <c r="CI997" s="15" t="s">
        <v>444</v>
      </c>
      <c r="CK997" s="15" t="s">
        <v>444</v>
      </c>
      <c r="CM997" s="15" t="s">
        <v>444</v>
      </c>
      <c r="CO997" s="15" t="s">
        <v>444</v>
      </c>
      <c r="CP997" s="15" t="str">
        <f t="shared" si="1685"/>
        <v>49.93</v>
      </c>
      <c r="CQ997" s="15" t="str">
        <f t="shared" si="1686"/>
        <v>1.414</v>
      </c>
      <c r="CR997" s="15" t="s">
        <v>417</v>
      </c>
      <c r="CS997" s="15" t="s">
        <v>504</v>
      </c>
      <c r="CT997" s="15" t="s">
        <v>784</v>
      </c>
      <c r="CU997" s="15" t="s">
        <v>4059</v>
      </c>
      <c r="CV997" s="15" t="s">
        <v>504</v>
      </c>
      <c r="CW997" s="15" t="s">
        <v>943</v>
      </c>
      <c r="CX997" s="15" t="s">
        <v>4059</v>
      </c>
      <c r="DC997" s="15" t="str">
        <f>IFERROR(__xludf.DUMMYFUNCTION("""COMPUTED_VALUE"""),"")</f>
        <v/>
      </c>
      <c r="DE997" s="15" t="str">
        <f>IFERROR(__xludf.DUMMYFUNCTION("""COMPUTED_VALUE"""),"")</f>
        <v/>
      </c>
      <c r="DG997" s="15" t="str">
        <f>IFERROR(__xludf.DUMMYFUNCTION("""COMPUTED_VALUE"""),"")</f>
        <v/>
      </c>
      <c r="DL997" s="15" t="str">
        <f>IFERROR(__xludf.DUMMYFUNCTION("""COMPUTED_VALUE"""),"")</f>
        <v/>
      </c>
      <c r="DM997" s="15" t="s">
        <v>444</v>
      </c>
      <c r="DN997" s="15" t="s">
        <v>419</v>
      </c>
      <c r="DO997" s="15">
        <v>0.0</v>
      </c>
      <c r="DP997" s="15" t="s">
        <v>419</v>
      </c>
      <c r="DR997" s="15">
        <v>2.0</v>
      </c>
      <c r="DS997" s="15" t="s">
        <v>426</v>
      </c>
      <c r="DT997" s="15" t="s">
        <v>721</v>
      </c>
      <c r="DU997" s="15" t="s">
        <v>610</v>
      </c>
      <c r="DW997" s="15">
        <v>18.14</v>
      </c>
      <c r="DX997" s="15">
        <v>40.0</v>
      </c>
      <c r="DY997" s="15">
        <v>2.0</v>
      </c>
      <c r="EF997" s="15" t="s">
        <v>1906</v>
      </c>
      <c r="EG997" s="15" t="s">
        <v>1907</v>
      </c>
      <c r="EH997" s="15" t="s">
        <v>9841</v>
      </c>
      <c r="EK997" s="15" t="s">
        <v>444</v>
      </c>
      <c r="EM997" s="15" t="str">
        <f>IFERROR(__xludf.DUMMYFUNCTION("""COMPUTED_VALUE"""),"")</f>
        <v/>
      </c>
      <c r="EW997" s="15" t="s">
        <v>822</v>
      </c>
      <c r="FL997" s="15" t="s">
        <v>426</v>
      </c>
      <c r="FM997" s="15">
        <v>3.0</v>
      </c>
      <c r="FY997" s="15" t="s">
        <v>4511</v>
      </c>
      <c r="FZ997" s="15" t="s">
        <v>2638</v>
      </c>
      <c r="GA997" s="15" t="s">
        <v>4918</v>
      </c>
      <c r="GB997" s="15" t="s">
        <v>504</v>
      </c>
      <c r="GC997" s="15" t="s">
        <v>784</v>
      </c>
      <c r="GD997" s="15" t="s">
        <v>4059</v>
      </c>
      <c r="GE997" s="15">
        <v>0.0</v>
      </c>
      <c r="GG997" s="15" t="s">
        <v>1044</v>
      </c>
      <c r="GH997" s="15">
        <v>2.0</v>
      </c>
      <c r="GI997" s="15" t="s">
        <v>614</v>
      </c>
      <c r="GJ997" s="15" t="s">
        <v>786</v>
      </c>
      <c r="GK997" s="15">
        <v>0.0</v>
      </c>
      <c r="GL997" s="15" t="s">
        <v>426</v>
      </c>
      <c r="GM997" s="15" t="s">
        <v>5816</v>
      </c>
      <c r="GN997" s="15" t="s">
        <v>3722</v>
      </c>
      <c r="GP997" s="15">
        <v>0.0</v>
      </c>
      <c r="HA997" s="15" t="s">
        <v>504</v>
      </c>
      <c r="HB997" s="15" t="s">
        <v>555</v>
      </c>
      <c r="HC997" s="15" t="s">
        <v>4059</v>
      </c>
      <c r="HQ997" s="15" t="s">
        <v>504</v>
      </c>
      <c r="HS997" s="15" t="s">
        <v>555</v>
      </c>
      <c r="HU997" s="15" t="s">
        <v>4059</v>
      </c>
      <c r="IH997" s="15" t="s">
        <v>426</v>
      </c>
      <c r="KI997" s="15" t="s">
        <v>789</v>
      </c>
    </row>
    <row r="998" ht="15.75" customHeight="1">
      <c r="A998" s="14" t="s">
        <v>391</v>
      </c>
      <c r="B998" s="15" t="s">
        <v>9872</v>
      </c>
      <c r="C998" s="16"/>
      <c r="D998" s="15" t="s">
        <v>432</v>
      </c>
      <c r="G998" s="14" t="s">
        <v>393</v>
      </c>
      <c r="H998" s="14" t="s">
        <v>394</v>
      </c>
      <c r="I998" s="14" t="b">
        <v>1</v>
      </c>
      <c r="J998" s="14" t="s">
        <v>395</v>
      </c>
      <c r="L998" s="14" t="b">
        <v>0</v>
      </c>
      <c r="M998" s="15" t="s">
        <v>9873</v>
      </c>
      <c r="N998" s="14" t="s">
        <v>393</v>
      </c>
      <c r="O998" s="14" t="s">
        <v>393</v>
      </c>
      <c r="P998" s="15" t="s">
        <v>397</v>
      </c>
      <c r="Q998" s="15" t="s">
        <v>7503</v>
      </c>
      <c r="T998" s="14" t="b">
        <v>0</v>
      </c>
      <c r="U998" s="15" t="s">
        <v>9874</v>
      </c>
      <c r="V998" s="15" t="s">
        <v>9875</v>
      </c>
      <c r="W998" s="15" t="s">
        <v>401</v>
      </c>
      <c r="X998" s="15" t="s">
        <v>695</v>
      </c>
      <c r="Y998" s="15">
        <v>4589.0</v>
      </c>
      <c r="AA998" s="15" t="str">
        <f t="shared" si="1687"/>
        <v>1765</v>
      </c>
      <c r="AB998" s="14" t="b">
        <v>1</v>
      </c>
      <c r="AC998" s="14" t="b">
        <v>1</v>
      </c>
      <c r="AD998" s="15" t="str">
        <f>"801542057831"</f>
        <v>801542057831</v>
      </c>
      <c r="AE998" s="15" t="s">
        <v>9876</v>
      </c>
      <c r="AF998" s="14" t="s">
        <v>404</v>
      </c>
      <c r="AG998" s="14" t="s">
        <v>405</v>
      </c>
      <c r="AH998" s="14" t="s">
        <v>406</v>
      </c>
      <c r="AI998" s="15">
        <v>0.0</v>
      </c>
      <c r="AL998" s="15" t="s">
        <v>2354</v>
      </c>
      <c r="AM998" s="15" t="s">
        <v>2372</v>
      </c>
      <c r="AN998" s="15" t="s">
        <v>2373</v>
      </c>
      <c r="AO998" s="15" t="s">
        <v>456</v>
      </c>
      <c r="AP998" s="15" t="s">
        <v>457</v>
      </c>
      <c r="AQ998" s="15" t="s">
        <v>2151</v>
      </c>
      <c r="AR998" s="15" t="s">
        <v>2152</v>
      </c>
      <c r="AS998" s="15" t="s">
        <v>1474</v>
      </c>
      <c r="AT998" s="15" t="s">
        <v>4670</v>
      </c>
      <c r="AU998" s="15" t="s">
        <v>7503</v>
      </c>
      <c r="AW998" s="15" t="s">
        <v>2891</v>
      </c>
      <c r="AX998" s="15" t="s">
        <v>4563</v>
      </c>
      <c r="AY998" s="15" t="s">
        <v>413</v>
      </c>
      <c r="AZ998" s="15" t="b">
        <v>0</v>
      </c>
      <c r="BA998" s="15" t="s">
        <v>413</v>
      </c>
      <c r="BB998" s="15" t="b">
        <v>0</v>
      </c>
      <c r="BC998" s="15" t="s">
        <v>9877</v>
      </c>
      <c r="BD998" s="15" t="s">
        <v>709</v>
      </c>
      <c r="BE998" s="15" t="str">
        <f t="shared" si="1680"/>
        <v>1</v>
      </c>
      <c r="BF998" s="15" t="s">
        <v>416</v>
      </c>
      <c r="BG998" s="15" t="str">
        <f t="shared" si="1681"/>
        <v>41.73</v>
      </c>
      <c r="BH998" s="15" t="s">
        <v>9838</v>
      </c>
      <c r="BI998" s="15" t="str">
        <f t="shared" si="1682"/>
        <v>22.44</v>
      </c>
      <c r="BJ998" s="15" t="s">
        <v>1156</v>
      </c>
      <c r="BK998" s="15" t="str">
        <f t="shared" si="1683"/>
        <v>92.13</v>
      </c>
      <c r="BL998" s="15" t="s">
        <v>9839</v>
      </c>
      <c r="BM998" s="15" t="str">
        <f t="shared" ref="BM998:BM999" si="1689">"209.44"</f>
        <v>209.44</v>
      </c>
      <c r="BN998" s="15" t="s">
        <v>7207</v>
      </c>
      <c r="BQ998" s="15" t="s">
        <v>444</v>
      </c>
      <c r="BS998" s="15" t="s">
        <v>444</v>
      </c>
      <c r="BU998" s="15" t="s">
        <v>444</v>
      </c>
      <c r="BW998" s="15" t="s">
        <v>444</v>
      </c>
      <c r="BZ998" s="15" t="s">
        <v>444</v>
      </c>
      <c r="CB998" s="15" t="s">
        <v>444</v>
      </c>
      <c r="CD998" s="15" t="s">
        <v>444</v>
      </c>
      <c r="CF998" s="15" t="s">
        <v>444</v>
      </c>
      <c r="CI998" s="15" t="s">
        <v>444</v>
      </c>
      <c r="CK998" s="15" t="s">
        <v>444</v>
      </c>
      <c r="CM998" s="15" t="s">
        <v>444</v>
      </c>
      <c r="CO998" s="15" t="s">
        <v>444</v>
      </c>
      <c r="CP998" s="15" t="str">
        <f t="shared" si="1685"/>
        <v>49.93</v>
      </c>
      <c r="CQ998" s="15" t="str">
        <f t="shared" si="1686"/>
        <v>1.414</v>
      </c>
      <c r="CR998" s="15" t="s">
        <v>497</v>
      </c>
      <c r="CS998" s="15" t="s">
        <v>428</v>
      </c>
      <c r="CT998" s="15" t="s">
        <v>784</v>
      </c>
      <c r="CU998" s="15" t="s">
        <v>4059</v>
      </c>
      <c r="CV998" s="15" t="s">
        <v>428</v>
      </c>
      <c r="CW998" s="15" t="s">
        <v>788</v>
      </c>
      <c r="CX998" s="15" t="s">
        <v>4059</v>
      </c>
      <c r="DC998" s="15" t="str">
        <f>IFERROR(__xludf.DUMMYFUNCTION("""COMPUTED_VALUE"""),"")</f>
        <v/>
      </c>
      <c r="DE998" s="15" t="str">
        <f>IFERROR(__xludf.DUMMYFUNCTION("""COMPUTED_VALUE"""),"")</f>
        <v/>
      </c>
      <c r="DG998" s="15" t="str">
        <f>IFERROR(__xludf.DUMMYFUNCTION("""COMPUTED_VALUE"""),"")</f>
        <v/>
      </c>
      <c r="DL998" s="15" t="str">
        <f>IFERROR(__xludf.DUMMYFUNCTION("""COMPUTED_VALUE"""),"")</f>
        <v/>
      </c>
      <c r="DM998" s="15" t="s">
        <v>444</v>
      </c>
      <c r="DN998" s="15" t="s">
        <v>419</v>
      </c>
      <c r="DO998" s="15">
        <v>0.0</v>
      </c>
      <c r="DP998" s="15" t="s">
        <v>419</v>
      </c>
      <c r="DR998" s="15">
        <v>2.0</v>
      </c>
      <c r="DS998" s="15" t="s">
        <v>426</v>
      </c>
      <c r="DT998" s="15" t="s">
        <v>721</v>
      </c>
      <c r="DU998" s="15" t="s">
        <v>610</v>
      </c>
      <c r="DW998" s="15">
        <v>18.14</v>
      </c>
      <c r="DX998" s="15">
        <v>40.0</v>
      </c>
      <c r="DY998" s="15">
        <v>2.0</v>
      </c>
      <c r="EF998" s="15" t="s">
        <v>1906</v>
      </c>
      <c r="EG998" s="15" t="s">
        <v>1907</v>
      </c>
      <c r="EH998" s="15" t="s">
        <v>9841</v>
      </c>
      <c r="EK998" s="15" t="s">
        <v>444</v>
      </c>
      <c r="EM998" s="15" t="str">
        <f>IFERROR(__xludf.DUMMYFUNCTION("""COMPUTED_VALUE"""),"")</f>
        <v/>
      </c>
      <c r="EW998" s="15" t="s">
        <v>822</v>
      </c>
      <c r="FL998" s="15" t="s">
        <v>426</v>
      </c>
      <c r="FM998" s="15">
        <v>3.0</v>
      </c>
      <c r="FY998" s="15" t="s">
        <v>3466</v>
      </c>
      <c r="FZ998" s="15" t="s">
        <v>2638</v>
      </c>
      <c r="GA998" s="15" t="s">
        <v>4918</v>
      </c>
      <c r="GB998" s="15" t="s">
        <v>428</v>
      </c>
      <c r="GC998" s="15" t="s">
        <v>784</v>
      </c>
      <c r="GD998" s="15" t="s">
        <v>4059</v>
      </c>
      <c r="GE998" s="15">
        <v>0.0</v>
      </c>
      <c r="GG998" s="15" t="s">
        <v>1044</v>
      </c>
      <c r="GH998" s="15">
        <v>2.0</v>
      </c>
      <c r="GI998" s="15" t="s">
        <v>614</v>
      </c>
      <c r="GJ998" s="15" t="s">
        <v>786</v>
      </c>
      <c r="GK998" s="15">
        <v>0.0</v>
      </c>
      <c r="GL998" s="15" t="s">
        <v>426</v>
      </c>
      <c r="GM998" s="15" t="s">
        <v>4573</v>
      </c>
      <c r="GN998" s="15" t="s">
        <v>616</v>
      </c>
      <c r="GP998" s="15">
        <v>0.0</v>
      </c>
      <c r="HA998" s="15" t="s">
        <v>428</v>
      </c>
      <c r="HB998" s="15" t="s">
        <v>1286</v>
      </c>
      <c r="HC998" s="15" t="s">
        <v>4059</v>
      </c>
      <c r="HQ998" s="15" t="s">
        <v>428</v>
      </c>
      <c r="HS998" s="15" t="s">
        <v>9878</v>
      </c>
      <c r="HU998" s="15" t="s">
        <v>4059</v>
      </c>
      <c r="HW998" s="15" t="s">
        <v>789</v>
      </c>
      <c r="IH998" s="15" t="s">
        <v>426</v>
      </c>
    </row>
    <row r="999" ht="15.75" customHeight="1">
      <c r="A999" s="14" t="s">
        <v>391</v>
      </c>
      <c r="B999" s="15" t="s">
        <v>9872</v>
      </c>
      <c r="C999" s="16"/>
      <c r="D999" s="15" t="s">
        <v>432</v>
      </c>
      <c r="G999" s="14" t="s">
        <v>393</v>
      </c>
      <c r="H999" s="14" t="s">
        <v>394</v>
      </c>
      <c r="I999" s="14" t="b">
        <v>1</v>
      </c>
      <c r="J999" s="14" t="s">
        <v>395</v>
      </c>
      <c r="L999" s="14" t="b">
        <v>0</v>
      </c>
      <c r="M999" s="15" t="s">
        <v>9879</v>
      </c>
      <c r="N999" s="14" t="s">
        <v>393</v>
      </c>
      <c r="O999" s="14" t="s">
        <v>393</v>
      </c>
      <c r="P999" s="15" t="s">
        <v>397</v>
      </c>
      <c r="Q999" s="15" t="s">
        <v>1465</v>
      </c>
      <c r="T999" s="14" t="b">
        <v>0</v>
      </c>
      <c r="U999" s="15" t="s">
        <v>9880</v>
      </c>
      <c r="V999" s="15" t="s">
        <v>9875</v>
      </c>
      <c r="W999" s="15" t="s">
        <v>401</v>
      </c>
      <c r="X999" s="15" t="s">
        <v>695</v>
      </c>
      <c r="Y999" s="15">
        <v>4589.0</v>
      </c>
      <c r="AA999" s="15" t="str">
        <f t="shared" si="1687"/>
        <v>1765</v>
      </c>
      <c r="AB999" s="14" t="b">
        <v>1</v>
      </c>
      <c r="AC999" s="14" t="b">
        <v>1</v>
      </c>
      <c r="AD999" s="15" t="str">
        <f>"801542057848"</f>
        <v>801542057848</v>
      </c>
      <c r="AE999" s="15" t="s">
        <v>9881</v>
      </c>
      <c r="AF999" s="14" t="s">
        <v>404</v>
      </c>
      <c r="AG999" s="14" t="s">
        <v>405</v>
      </c>
      <c r="AH999" s="14" t="s">
        <v>406</v>
      </c>
      <c r="AI999" s="15">
        <v>0.0</v>
      </c>
      <c r="AL999" s="15" t="s">
        <v>2354</v>
      </c>
      <c r="AM999" s="15" t="s">
        <v>2372</v>
      </c>
      <c r="AN999" s="15" t="s">
        <v>2373</v>
      </c>
      <c r="AO999" s="15" t="s">
        <v>456</v>
      </c>
      <c r="AP999" s="15" t="s">
        <v>457</v>
      </c>
      <c r="AQ999" s="15" t="s">
        <v>2151</v>
      </c>
      <c r="AR999" s="15" t="s">
        <v>2152</v>
      </c>
      <c r="AS999" s="15" t="s">
        <v>1474</v>
      </c>
      <c r="AT999" s="15" t="s">
        <v>4670</v>
      </c>
      <c r="AU999" s="15" t="s">
        <v>1465</v>
      </c>
      <c r="AW999" s="15" t="s">
        <v>2891</v>
      </c>
      <c r="AX999" s="15" t="s">
        <v>4563</v>
      </c>
      <c r="AY999" s="15" t="s">
        <v>413</v>
      </c>
      <c r="AZ999" s="15" t="b">
        <v>0</v>
      </c>
      <c r="BA999" s="15" t="s">
        <v>413</v>
      </c>
      <c r="BB999" s="15" t="b">
        <v>0</v>
      </c>
      <c r="BC999" s="15" t="s">
        <v>9882</v>
      </c>
      <c r="BD999" s="15" t="s">
        <v>709</v>
      </c>
      <c r="BE999" s="15" t="str">
        <f t="shared" si="1680"/>
        <v>1</v>
      </c>
      <c r="BF999" s="15" t="s">
        <v>416</v>
      </c>
      <c r="BG999" s="15" t="str">
        <f t="shared" si="1681"/>
        <v>41.73</v>
      </c>
      <c r="BH999" s="15" t="s">
        <v>9838</v>
      </c>
      <c r="BI999" s="15" t="str">
        <f t="shared" si="1682"/>
        <v>22.44</v>
      </c>
      <c r="BJ999" s="15" t="s">
        <v>1156</v>
      </c>
      <c r="BK999" s="15" t="str">
        <f t="shared" si="1683"/>
        <v>92.13</v>
      </c>
      <c r="BL999" s="15" t="s">
        <v>9839</v>
      </c>
      <c r="BM999" s="15" t="str">
        <f t="shared" si="1689"/>
        <v>209.44</v>
      </c>
      <c r="BN999" s="15" t="s">
        <v>7207</v>
      </c>
      <c r="BQ999" s="15" t="s">
        <v>444</v>
      </c>
      <c r="BS999" s="15" t="s">
        <v>444</v>
      </c>
      <c r="BU999" s="15" t="s">
        <v>444</v>
      </c>
      <c r="BW999" s="15" t="s">
        <v>444</v>
      </c>
      <c r="BZ999" s="15" t="s">
        <v>444</v>
      </c>
      <c r="CB999" s="15" t="s">
        <v>444</v>
      </c>
      <c r="CD999" s="15" t="s">
        <v>444</v>
      </c>
      <c r="CF999" s="15" t="s">
        <v>444</v>
      </c>
      <c r="CI999" s="15" t="s">
        <v>444</v>
      </c>
      <c r="CK999" s="15" t="s">
        <v>444</v>
      </c>
      <c r="CM999" s="15" t="s">
        <v>444</v>
      </c>
      <c r="CO999" s="15" t="s">
        <v>444</v>
      </c>
      <c r="CP999" s="15" t="str">
        <f t="shared" si="1685"/>
        <v>49.93</v>
      </c>
      <c r="CQ999" s="15" t="str">
        <f t="shared" si="1686"/>
        <v>1.414</v>
      </c>
      <c r="CR999" s="15" t="s">
        <v>465</v>
      </c>
      <c r="CS999" s="15" t="s">
        <v>428</v>
      </c>
      <c r="CT999" s="15" t="s">
        <v>784</v>
      </c>
      <c r="CU999" s="15" t="s">
        <v>4059</v>
      </c>
      <c r="CV999" s="15" t="s">
        <v>428</v>
      </c>
      <c r="CW999" s="15" t="s">
        <v>788</v>
      </c>
      <c r="CX999" s="15" t="s">
        <v>4059</v>
      </c>
      <c r="DC999" s="15" t="str">
        <f>IFERROR(__xludf.DUMMYFUNCTION("""COMPUTED_VALUE"""),"")</f>
        <v/>
      </c>
      <c r="DE999" s="15" t="str">
        <f>IFERROR(__xludf.DUMMYFUNCTION("""COMPUTED_VALUE"""),"")</f>
        <v/>
      </c>
      <c r="DG999" s="15" t="str">
        <f>IFERROR(__xludf.DUMMYFUNCTION("""COMPUTED_VALUE"""),"")</f>
        <v/>
      </c>
      <c r="DL999" s="15" t="str">
        <f>IFERROR(__xludf.DUMMYFUNCTION("""COMPUTED_VALUE"""),"")</f>
        <v/>
      </c>
      <c r="DM999" s="15" t="s">
        <v>444</v>
      </c>
      <c r="DN999" s="15" t="s">
        <v>419</v>
      </c>
      <c r="DO999" s="15">
        <v>0.0</v>
      </c>
      <c r="DP999" s="15" t="s">
        <v>419</v>
      </c>
      <c r="DR999" s="15">
        <v>2.0</v>
      </c>
      <c r="DS999" s="15" t="s">
        <v>426</v>
      </c>
      <c r="DT999" s="15" t="s">
        <v>721</v>
      </c>
      <c r="DU999" s="15" t="s">
        <v>610</v>
      </c>
      <c r="DW999" s="15">
        <v>18.14</v>
      </c>
      <c r="DX999" s="15">
        <v>40.0</v>
      </c>
      <c r="DY999" s="15">
        <v>2.0</v>
      </c>
      <c r="EF999" s="15" t="s">
        <v>1906</v>
      </c>
      <c r="EG999" s="15" t="s">
        <v>1907</v>
      </c>
      <c r="EH999" s="15" t="s">
        <v>9841</v>
      </c>
      <c r="EK999" s="15" t="s">
        <v>444</v>
      </c>
      <c r="EM999" s="15" t="str">
        <f>IFERROR(__xludf.DUMMYFUNCTION("""COMPUTED_VALUE"""),"")</f>
        <v/>
      </c>
      <c r="EW999" s="15" t="s">
        <v>822</v>
      </c>
      <c r="FL999" s="15" t="s">
        <v>426</v>
      </c>
      <c r="FM999" s="15">
        <v>3.0</v>
      </c>
      <c r="FY999" s="15" t="s">
        <v>3466</v>
      </c>
      <c r="FZ999" s="15" t="s">
        <v>2638</v>
      </c>
      <c r="GA999" s="15" t="s">
        <v>4918</v>
      </c>
      <c r="GB999" s="15" t="s">
        <v>428</v>
      </c>
      <c r="GC999" s="15" t="s">
        <v>784</v>
      </c>
      <c r="GD999" s="15" t="s">
        <v>4059</v>
      </c>
      <c r="GE999" s="15">
        <v>0.0</v>
      </c>
      <c r="GG999" s="15" t="s">
        <v>1044</v>
      </c>
      <c r="GH999" s="15">
        <v>2.0</v>
      </c>
      <c r="GI999" s="15" t="s">
        <v>614</v>
      </c>
      <c r="GJ999" s="15" t="s">
        <v>786</v>
      </c>
      <c r="GK999" s="15">
        <v>0.0</v>
      </c>
      <c r="GL999" s="15" t="s">
        <v>426</v>
      </c>
      <c r="GM999" s="15" t="s">
        <v>4573</v>
      </c>
      <c r="GN999" s="15" t="s">
        <v>616</v>
      </c>
      <c r="GP999" s="15">
        <v>0.0</v>
      </c>
      <c r="HA999" s="15" t="s">
        <v>428</v>
      </c>
      <c r="HB999" s="15" t="s">
        <v>1286</v>
      </c>
      <c r="HC999" s="15" t="s">
        <v>4059</v>
      </c>
      <c r="HQ999" s="15" t="s">
        <v>428</v>
      </c>
      <c r="HS999" s="15" t="s">
        <v>9878</v>
      </c>
      <c r="HU999" s="15" t="s">
        <v>4059</v>
      </c>
      <c r="HW999" s="15" t="s">
        <v>789</v>
      </c>
      <c r="IH999" s="15" t="s">
        <v>426</v>
      </c>
    </row>
    <row r="1000" ht="15.75" customHeight="1">
      <c r="A1000" s="14" t="s">
        <v>391</v>
      </c>
      <c r="B1000" s="15" t="s">
        <v>9872</v>
      </c>
      <c r="C1000" s="16"/>
      <c r="D1000" s="15" t="s">
        <v>432</v>
      </c>
      <c r="G1000" s="14" t="s">
        <v>393</v>
      </c>
      <c r="H1000" s="14" t="s">
        <v>394</v>
      </c>
      <c r="I1000" s="14" t="b">
        <v>1</v>
      </c>
      <c r="J1000" s="14" t="s">
        <v>395</v>
      </c>
      <c r="L1000" s="14" t="b">
        <v>0</v>
      </c>
      <c r="M1000" s="15" t="s">
        <v>9883</v>
      </c>
      <c r="N1000" s="14" t="s">
        <v>393</v>
      </c>
      <c r="O1000" s="14" t="s">
        <v>393</v>
      </c>
      <c r="P1000" s="15" t="s">
        <v>397</v>
      </c>
      <c r="Q1000" s="15" t="s">
        <v>9852</v>
      </c>
      <c r="T1000" s="14" t="b">
        <v>0</v>
      </c>
      <c r="U1000" s="15" t="s">
        <v>9884</v>
      </c>
      <c r="V1000" s="15" t="s">
        <v>1889</v>
      </c>
      <c r="W1000" s="15" t="s">
        <v>401</v>
      </c>
      <c r="X1000" s="15" t="s">
        <v>695</v>
      </c>
      <c r="Y1000" s="15">
        <v>4589.0</v>
      </c>
      <c r="AA1000" s="15" t="str">
        <f t="shared" si="1687"/>
        <v>1765</v>
      </c>
      <c r="AB1000" s="14" t="b">
        <v>1</v>
      </c>
      <c r="AC1000" s="14" t="b">
        <v>1</v>
      </c>
      <c r="AD1000" s="15" t="str">
        <f>"801542245771"</f>
        <v>801542245771</v>
      </c>
      <c r="AE1000" s="15" t="s">
        <v>9885</v>
      </c>
      <c r="AF1000" s="14" t="s">
        <v>404</v>
      </c>
      <c r="AG1000" s="14" t="s">
        <v>405</v>
      </c>
      <c r="AH1000" s="14" t="s">
        <v>406</v>
      </c>
      <c r="AI1000" s="15">
        <v>0.0</v>
      </c>
      <c r="AL1000" s="15" t="s">
        <v>2354</v>
      </c>
      <c r="AM1000" s="15" t="s">
        <v>2372</v>
      </c>
      <c r="AN1000" s="15" t="s">
        <v>2373</v>
      </c>
      <c r="AO1000" s="15" t="s">
        <v>456</v>
      </c>
      <c r="AP1000" s="15" t="s">
        <v>457</v>
      </c>
      <c r="AQ1000" s="15" t="s">
        <v>2151</v>
      </c>
      <c r="AR1000" s="15" t="s">
        <v>2152</v>
      </c>
      <c r="AS1000" s="15" t="s">
        <v>1474</v>
      </c>
      <c r="AT1000" s="15" t="s">
        <v>9852</v>
      </c>
      <c r="AU1000" s="15" t="s">
        <v>9849</v>
      </c>
      <c r="AW1000" s="15" t="s">
        <v>2891</v>
      </c>
      <c r="AX1000" s="15" t="s">
        <v>4563</v>
      </c>
      <c r="AY1000" s="15" t="s">
        <v>413</v>
      </c>
      <c r="AZ1000" s="15" t="b">
        <v>0</v>
      </c>
      <c r="BA1000" s="15" t="s">
        <v>413</v>
      </c>
      <c r="BB1000" s="15" t="b">
        <v>0</v>
      </c>
      <c r="BC1000" s="15" t="s">
        <v>9886</v>
      </c>
      <c r="BD1000" s="15" t="s">
        <v>709</v>
      </c>
      <c r="BE1000" s="15" t="str">
        <f t="shared" si="1680"/>
        <v>1</v>
      </c>
      <c r="BF1000" s="15" t="s">
        <v>416</v>
      </c>
      <c r="BG1000" s="15" t="str">
        <f>"88.78"</f>
        <v>88.78</v>
      </c>
      <c r="BH1000" s="15" t="s">
        <v>6922</v>
      </c>
      <c r="BI1000" s="15" t="str">
        <f>"22.05"</f>
        <v>22.05</v>
      </c>
      <c r="BJ1000" s="15" t="s">
        <v>2310</v>
      </c>
      <c r="BK1000" s="15" t="str">
        <f>"45.67"</f>
        <v>45.67</v>
      </c>
      <c r="BL1000" s="15" t="s">
        <v>683</v>
      </c>
      <c r="BM1000" s="15" t="str">
        <f>"262.35"</f>
        <v>262.35</v>
      </c>
      <c r="BN1000" s="15" t="s">
        <v>1370</v>
      </c>
      <c r="BQ1000" s="15" t="s">
        <v>444</v>
      </c>
      <c r="BS1000" s="15" t="s">
        <v>444</v>
      </c>
      <c r="BU1000" s="15" t="s">
        <v>444</v>
      </c>
      <c r="BW1000" s="15" t="s">
        <v>444</v>
      </c>
      <c r="BZ1000" s="15" t="s">
        <v>444</v>
      </c>
      <c r="CB1000" s="15" t="s">
        <v>444</v>
      </c>
      <c r="CD1000" s="15" t="s">
        <v>444</v>
      </c>
      <c r="CF1000" s="15" t="s">
        <v>444</v>
      </c>
      <c r="CI1000" s="15" t="s">
        <v>444</v>
      </c>
      <c r="CK1000" s="15" t="s">
        <v>444</v>
      </c>
      <c r="CM1000" s="15" t="s">
        <v>444</v>
      </c>
      <c r="CO1000" s="15" t="s">
        <v>444</v>
      </c>
      <c r="CP1000" s="15" t="str">
        <f>"51.74"</f>
        <v>51.74</v>
      </c>
      <c r="CQ1000" s="15" t="str">
        <f>"1.465"</f>
        <v>1.465</v>
      </c>
      <c r="CR1000" s="15" t="s">
        <v>465</v>
      </c>
      <c r="CS1000" s="15" t="s">
        <v>428</v>
      </c>
      <c r="CT1000" s="15" t="s">
        <v>784</v>
      </c>
      <c r="CU1000" s="15" t="s">
        <v>4059</v>
      </c>
      <c r="CV1000" s="15" t="s">
        <v>428</v>
      </c>
      <c r="CW1000" s="15" t="s">
        <v>788</v>
      </c>
      <c r="CX1000" s="15" t="s">
        <v>4059</v>
      </c>
      <c r="DC1000" s="15" t="str">
        <f>IFERROR(__xludf.DUMMYFUNCTION("""COMPUTED_VALUE"""),"")</f>
        <v/>
      </c>
      <c r="DE1000" s="15" t="str">
        <f>IFERROR(__xludf.DUMMYFUNCTION("""COMPUTED_VALUE"""),"")</f>
        <v/>
      </c>
      <c r="DG1000" s="15" t="str">
        <f>IFERROR(__xludf.DUMMYFUNCTION("""COMPUTED_VALUE"""),"")</f>
        <v/>
      </c>
      <c r="DL1000" s="15" t="str">
        <f>IFERROR(__xludf.DUMMYFUNCTION("""COMPUTED_VALUE"""),"")</f>
        <v/>
      </c>
      <c r="DM1000" s="15" t="s">
        <v>444</v>
      </c>
      <c r="DN1000" s="15" t="s">
        <v>419</v>
      </c>
      <c r="DO1000" s="15">
        <v>0.0</v>
      </c>
      <c r="DP1000" s="15" t="s">
        <v>419</v>
      </c>
      <c r="DR1000" s="15">
        <v>2.0</v>
      </c>
      <c r="DS1000" s="15" t="s">
        <v>426</v>
      </c>
      <c r="DT1000" s="15" t="s">
        <v>721</v>
      </c>
      <c r="DU1000" s="15" t="s">
        <v>610</v>
      </c>
      <c r="DW1000" s="15">
        <v>18.14</v>
      </c>
      <c r="DX1000" s="15">
        <v>40.0</v>
      </c>
      <c r="DY1000" s="15">
        <v>2.0</v>
      </c>
      <c r="EF1000" s="15" t="s">
        <v>1906</v>
      </c>
      <c r="EG1000" s="15" t="s">
        <v>1907</v>
      </c>
      <c r="EH1000" s="15" t="s">
        <v>9841</v>
      </c>
      <c r="EK1000" s="15" t="s">
        <v>444</v>
      </c>
      <c r="EM1000" s="15" t="str">
        <f>IFERROR(__xludf.DUMMYFUNCTION("""COMPUTED_VALUE"""),"")</f>
        <v/>
      </c>
      <c r="EW1000" s="15" t="s">
        <v>822</v>
      </c>
      <c r="FL1000" s="15" t="s">
        <v>426</v>
      </c>
      <c r="FM1000" s="15">
        <v>3.0</v>
      </c>
      <c r="FY1000" s="15" t="s">
        <v>3466</v>
      </c>
      <c r="FZ1000" s="15" t="s">
        <v>2638</v>
      </c>
      <c r="GA1000" s="15" t="s">
        <v>4918</v>
      </c>
      <c r="GB1000" s="15" t="s">
        <v>428</v>
      </c>
      <c r="GC1000" s="15" t="s">
        <v>784</v>
      </c>
      <c r="GD1000" s="15" t="s">
        <v>4059</v>
      </c>
      <c r="GE1000" s="15">
        <v>0.0</v>
      </c>
      <c r="GG1000" s="15" t="s">
        <v>1044</v>
      </c>
      <c r="GH1000" s="15">
        <v>2.0</v>
      </c>
      <c r="GI1000" s="15" t="s">
        <v>614</v>
      </c>
      <c r="GJ1000" s="15" t="s">
        <v>786</v>
      </c>
      <c r="GK1000" s="15">
        <v>0.0</v>
      </c>
      <c r="GL1000" s="15" t="s">
        <v>426</v>
      </c>
      <c r="GM1000" s="15" t="s">
        <v>4573</v>
      </c>
      <c r="GN1000" s="15" t="s">
        <v>616</v>
      </c>
      <c r="GP1000" s="15">
        <v>0.0</v>
      </c>
      <c r="HA1000" s="15" t="s">
        <v>428</v>
      </c>
      <c r="HB1000" s="15" t="s">
        <v>1286</v>
      </c>
      <c r="HC1000" s="15" t="s">
        <v>4059</v>
      </c>
      <c r="HQ1000" s="15" t="s">
        <v>428</v>
      </c>
      <c r="HS1000" s="15" t="s">
        <v>9878</v>
      </c>
      <c r="HU1000" s="15" t="s">
        <v>4059</v>
      </c>
      <c r="HW1000" s="15" t="s">
        <v>789</v>
      </c>
      <c r="IH1000" s="15" t="s">
        <v>426</v>
      </c>
    </row>
    <row r="1001" ht="15.75" customHeight="1">
      <c r="A1001" s="14" t="s">
        <v>391</v>
      </c>
      <c r="B1001" s="15" t="s">
        <v>9887</v>
      </c>
      <c r="C1001" s="16"/>
      <c r="D1001" s="15" t="s">
        <v>432</v>
      </c>
      <c r="G1001" s="14" t="s">
        <v>393</v>
      </c>
      <c r="H1001" s="14" t="s">
        <v>394</v>
      </c>
      <c r="I1001" s="14" t="b">
        <v>1</v>
      </c>
      <c r="J1001" s="14" t="s">
        <v>395</v>
      </c>
      <c r="L1001" s="14" t="b">
        <v>0</v>
      </c>
      <c r="M1001" s="15" t="s">
        <v>9888</v>
      </c>
      <c r="N1001" s="14" t="s">
        <v>393</v>
      </c>
      <c r="O1001" s="14" t="s">
        <v>393</v>
      </c>
      <c r="P1001" s="15" t="s">
        <v>397</v>
      </c>
      <c r="Q1001" s="15" t="s">
        <v>4670</v>
      </c>
      <c r="T1001" s="14" t="b">
        <v>0</v>
      </c>
      <c r="U1001" s="15" t="s">
        <v>9889</v>
      </c>
      <c r="V1001" s="15" t="s">
        <v>2132</v>
      </c>
      <c r="W1001" s="15" t="s">
        <v>401</v>
      </c>
      <c r="X1001" s="15" t="s">
        <v>695</v>
      </c>
      <c r="Y1001" s="15">
        <v>4160.0</v>
      </c>
      <c r="AA1001" s="15" t="str">
        <f>"1600"</f>
        <v>1600</v>
      </c>
      <c r="AB1001" s="14" t="b">
        <v>1</v>
      </c>
      <c r="AC1001" s="14" t="b">
        <v>1</v>
      </c>
      <c r="AD1001" s="15" t="str">
        <f>"801542066413"</f>
        <v>801542066413</v>
      </c>
      <c r="AE1001" s="15" t="s">
        <v>9890</v>
      </c>
      <c r="AF1001" s="14" t="s">
        <v>404</v>
      </c>
      <c r="AG1001" s="14" t="s">
        <v>405</v>
      </c>
      <c r="AH1001" s="14" t="s">
        <v>406</v>
      </c>
      <c r="AI1001" s="15">
        <v>0.0</v>
      </c>
      <c r="AL1001" s="15" t="s">
        <v>2354</v>
      </c>
      <c r="AM1001" s="15" t="s">
        <v>1026</v>
      </c>
      <c r="AN1001" s="15" t="s">
        <v>1027</v>
      </c>
      <c r="AO1001" s="15" t="s">
        <v>409</v>
      </c>
      <c r="AP1001" s="15" t="s">
        <v>438</v>
      </c>
      <c r="AQ1001" s="15" t="s">
        <v>1364</v>
      </c>
      <c r="AR1001" s="15" t="s">
        <v>1365</v>
      </c>
      <c r="AS1001" s="15" t="s">
        <v>1474</v>
      </c>
      <c r="AT1001" s="15" t="s">
        <v>4670</v>
      </c>
      <c r="AU1001" s="15" t="s">
        <v>7503</v>
      </c>
      <c r="AW1001" s="15" t="s">
        <v>664</v>
      </c>
      <c r="AY1001" s="15" t="s">
        <v>426</v>
      </c>
      <c r="AZ1001" s="15" t="b">
        <v>1</v>
      </c>
      <c r="BA1001" s="15" t="s">
        <v>413</v>
      </c>
      <c r="BB1001" s="15" t="b">
        <v>0</v>
      </c>
      <c r="BC1001" s="15" t="s">
        <v>9891</v>
      </c>
      <c r="BD1001" s="15" t="s">
        <v>709</v>
      </c>
      <c r="BE1001" s="15" t="str">
        <f t="shared" si="1680"/>
        <v>1</v>
      </c>
      <c r="BF1001" s="15" t="s">
        <v>416</v>
      </c>
      <c r="BG1001" s="15" t="str">
        <f>"85.04"</f>
        <v>85.04</v>
      </c>
      <c r="BH1001" s="15" t="s">
        <v>440</v>
      </c>
      <c r="BI1001" s="15" t="str">
        <f>"23.62"</f>
        <v>23.62</v>
      </c>
      <c r="BJ1001" s="15" t="s">
        <v>1570</v>
      </c>
      <c r="BK1001" s="15" t="str">
        <f>"43.5"</f>
        <v>43.5</v>
      </c>
      <c r="BL1001" s="15" t="s">
        <v>3032</v>
      </c>
      <c r="BM1001" s="15" t="str">
        <f>"279.98"</f>
        <v>279.98</v>
      </c>
      <c r="BN1001" s="15" t="s">
        <v>9892</v>
      </c>
      <c r="BQ1001" s="15" t="s">
        <v>444</v>
      </c>
      <c r="BS1001" s="15" t="s">
        <v>444</v>
      </c>
      <c r="BU1001" s="15" t="s">
        <v>444</v>
      </c>
      <c r="BW1001" s="15" t="s">
        <v>444</v>
      </c>
      <c r="BZ1001" s="15" t="s">
        <v>444</v>
      </c>
      <c r="CB1001" s="15" t="s">
        <v>444</v>
      </c>
      <c r="CD1001" s="15" t="s">
        <v>444</v>
      </c>
      <c r="CF1001" s="15" t="s">
        <v>444</v>
      </c>
      <c r="CI1001" s="15" t="s">
        <v>444</v>
      </c>
      <c r="CK1001" s="15" t="s">
        <v>444</v>
      </c>
      <c r="CM1001" s="15" t="s">
        <v>444</v>
      </c>
      <c r="CO1001" s="15" t="s">
        <v>444</v>
      </c>
      <c r="CP1001" s="15" t="str">
        <f>"50.57"</f>
        <v>50.57</v>
      </c>
      <c r="CQ1001" s="15" t="str">
        <f>"1.432"</f>
        <v>1.432</v>
      </c>
      <c r="CR1001" s="15" t="s">
        <v>497</v>
      </c>
      <c r="CV1001" s="15" t="s">
        <v>4918</v>
      </c>
      <c r="CW1001" s="15" t="s">
        <v>1329</v>
      </c>
      <c r="CX1001" s="15" t="s">
        <v>529</v>
      </c>
      <c r="DC1001" s="15" t="str">
        <f>IFERROR(__xludf.DUMMYFUNCTION("""COMPUTED_VALUE"""),"")</f>
        <v/>
      </c>
      <c r="DE1001" s="15" t="str">
        <f>IFERROR(__xludf.DUMMYFUNCTION("""COMPUTED_VALUE"""),"")</f>
        <v/>
      </c>
      <c r="DG1001" s="15" t="str">
        <f>IFERROR(__xludf.DUMMYFUNCTION("""COMPUTED_VALUE"""),"")</f>
        <v/>
      </c>
      <c r="DL1001" s="15" t="str">
        <f>IFERROR(__xludf.DUMMYFUNCTION("""COMPUTED_VALUE"""),"")</f>
        <v/>
      </c>
      <c r="DM1001" s="15" t="s">
        <v>444</v>
      </c>
      <c r="DN1001" s="15" t="s">
        <v>419</v>
      </c>
      <c r="DO1001" s="15">
        <v>0.0</v>
      </c>
      <c r="DP1001" s="15" t="s">
        <v>419</v>
      </c>
      <c r="DR1001" s="15">
        <v>0.0</v>
      </c>
      <c r="DT1001" s="15" t="s">
        <v>420</v>
      </c>
      <c r="DU1001" s="15" t="s">
        <v>610</v>
      </c>
      <c r="DW1001" s="15">
        <v>18.14</v>
      </c>
      <c r="DX1001" s="15">
        <v>40.0</v>
      </c>
      <c r="DY1001" s="15">
        <v>2.0</v>
      </c>
      <c r="EG1001" s="15" t="s">
        <v>444</v>
      </c>
      <c r="EH1001" s="15" t="s">
        <v>9841</v>
      </c>
      <c r="EJ1001" s="15" t="s">
        <v>424</v>
      </c>
      <c r="EK1001" s="15" t="s">
        <v>446</v>
      </c>
      <c r="EM1001" s="15" t="str">
        <f>IFERROR(__xludf.DUMMYFUNCTION("""COMPUTED_VALUE"""),"")</f>
        <v/>
      </c>
      <c r="EW1001" s="15" t="s">
        <v>761</v>
      </c>
      <c r="FL1001" s="15" t="s">
        <v>426</v>
      </c>
      <c r="FM1001" s="15">
        <v>4.0</v>
      </c>
      <c r="FY1001" s="15" t="s">
        <v>673</v>
      </c>
      <c r="FZ1001" s="15" t="s">
        <v>1042</v>
      </c>
      <c r="GA1001" s="15" t="s">
        <v>1879</v>
      </c>
      <c r="GB1001" s="15" t="s">
        <v>4918</v>
      </c>
      <c r="GC1001" s="15" t="s">
        <v>784</v>
      </c>
      <c r="GD1001" s="15" t="s">
        <v>529</v>
      </c>
      <c r="GE1001" s="15">
        <v>0.0</v>
      </c>
      <c r="GF1001" s="15" t="s">
        <v>426</v>
      </c>
      <c r="GG1001" s="15" t="s">
        <v>1044</v>
      </c>
      <c r="GH1001" s="15">
        <v>4.0</v>
      </c>
      <c r="GI1001" s="15" t="s">
        <v>614</v>
      </c>
      <c r="GJ1001" s="15" t="s">
        <v>786</v>
      </c>
      <c r="GK1001" s="15">
        <v>0.0</v>
      </c>
      <c r="GL1001" s="15" t="s">
        <v>426</v>
      </c>
      <c r="GN1001" s="15" t="s">
        <v>3722</v>
      </c>
      <c r="HW1001" s="15" t="s">
        <v>1807</v>
      </c>
      <c r="IH1001" s="15" t="s">
        <v>426</v>
      </c>
    </row>
    <row r="1002" ht="15.75" customHeight="1">
      <c r="A1002" s="14" t="s">
        <v>391</v>
      </c>
      <c r="B1002" s="15" t="s">
        <v>9893</v>
      </c>
      <c r="C1002" s="16"/>
      <c r="D1002" s="15" t="s">
        <v>432</v>
      </c>
      <c r="G1002" s="14" t="s">
        <v>393</v>
      </c>
      <c r="H1002" s="14" t="s">
        <v>394</v>
      </c>
      <c r="I1002" s="14" t="b">
        <v>1</v>
      </c>
      <c r="J1002" s="14" t="s">
        <v>395</v>
      </c>
      <c r="L1002" s="14" t="b">
        <v>0</v>
      </c>
      <c r="M1002" s="15" t="s">
        <v>9894</v>
      </c>
      <c r="N1002" s="14" t="s">
        <v>393</v>
      </c>
      <c r="O1002" s="14" t="s">
        <v>393</v>
      </c>
      <c r="P1002" s="15" t="s">
        <v>397</v>
      </c>
      <c r="Q1002" s="15" t="s">
        <v>9895</v>
      </c>
      <c r="T1002" s="14" t="b">
        <v>0</v>
      </c>
      <c r="U1002" s="15" t="s">
        <v>9896</v>
      </c>
      <c r="V1002" s="15" t="s">
        <v>5144</v>
      </c>
      <c r="W1002" s="15" t="s">
        <v>401</v>
      </c>
      <c r="X1002" s="15" t="s">
        <v>1172</v>
      </c>
      <c r="Y1002" s="15">
        <v>884.0</v>
      </c>
      <c r="AA1002" s="15" t="str">
        <f>"340"</f>
        <v>340</v>
      </c>
      <c r="AB1002" s="14" t="b">
        <v>1</v>
      </c>
      <c r="AC1002" s="14" t="b">
        <v>1</v>
      </c>
      <c r="AD1002" s="15" t="str">
        <f>"801542030490"</f>
        <v>801542030490</v>
      </c>
      <c r="AE1002" s="15" t="s">
        <v>9897</v>
      </c>
      <c r="AF1002" s="14" t="s">
        <v>404</v>
      </c>
      <c r="AG1002" s="14" t="s">
        <v>405</v>
      </c>
      <c r="AH1002" s="14" t="s">
        <v>406</v>
      </c>
      <c r="AI1002" s="15">
        <v>0.0</v>
      </c>
      <c r="AL1002" s="15" t="s">
        <v>6375</v>
      </c>
      <c r="AM1002" s="15" t="s">
        <v>546</v>
      </c>
      <c r="AN1002" s="15" t="s">
        <v>547</v>
      </c>
      <c r="AO1002" s="15" t="s">
        <v>546</v>
      </c>
      <c r="AP1002" s="15" t="s">
        <v>547</v>
      </c>
      <c r="AQ1002" s="15" t="s">
        <v>489</v>
      </c>
      <c r="AR1002" s="15" t="s">
        <v>490</v>
      </c>
      <c r="AS1002" s="15" t="s">
        <v>6376</v>
      </c>
      <c r="AT1002" s="15" t="s">
        <v>9895</v>
      </c>
      <c r="AW1002" s="15" t="s">
        <v>6377</v>
      </c>
      <c r="AX1002" s="15" t="s">
        <v>8225</v>
      </c>
      <c r="AY1002" s="15" t="s">
        <v>413</v>
      </c>
      <c r="AZ1002" s="15" t="b">
        <v>0</v>
      </c>
      <c r="BA1002" s="15" t="s">
        <v>413</v>
      </c>
      <c r="BB1002" s="15" t="b">
        <v>0</v>
      </c>
      <c r="BC1002" s="15" t="s">
        <v>9898</v>
      </c>
      <c r="BD1002" s="15" t="s">
        <v>1181</v>
      </c>
      <c r="BE1002" s="15" t="str">
        <f t="shared" si="1680"/>
        <v>1</v>
      </c>
      <c r="BF1002" s="15" t="s">
        <v>416</v>
      </c>
      <c r="BG1002" s="15" t="str">
        <f>"33.07"</f>
        <v>33.07</v>
      </c>
      <c r="BH1002" s="15" t="s">
        <v>1091</v>
      </c>
      <c r="BI1002" s="15" t="str">
        <f>"33.07"</f>
        <v>33.07</v>
      </c>
      <c r="BJ1002" s="15" t="s">
        <v>1091</v>
      </c>
      <c r="BK1002" s="15" t="str">
        <f>"19.69"</f>
        <v>19.69</v>
      </c>
      <c r="BL1002" s="15" t="s">
        <v>1680</v>
      </c>
      <c r="BM1002" s="15" t="str">
        <f>"79.03"</f>
        <v>79.03</v>
      </c>
      <c r="BN1002" s="15" t="s">
        <v>9899</v>
      </c>
      <c r="BQ1002" s="15" t="s">
        <v>444</v>
      </c>
      <c r="BS1002" s="15" t="s">
        <v>444</v>
      </c>
      <c r="BU1002" s="15" t="s">
        <v>444</v>
      </c>
      <c r="BW1002" s="15" t="s">
        <v>444</v>
      </c>
      <c r="BZ1002" s="15" t="s">
        <v>444</v>
      </c>
      <c r="CB1002" s="15" t="s">
        <v>444</v>
      </c>
      <c r="CD1002" s="15" t="s">
        <v>444</v>
      </c>
      <c r="CF1002" s="15" t="s">
        <v>444</v>
      </c>
      <c r="CI1002" s="15" t="s">
        <v>444</v>
      </c>
      <c r="CK1002" s="15" t="s">
        <v>444</v>
      </c>
      <c r="CM1002" s="15" t="s">
        <v>444</v>
      </c>
      <c r="CO1002" s="15" t="s">
        <v>444</v>
      </c>
      <c r="CP1002" s="15" t="str">
        <f>"12.47"</f>
        <v>12.47</v>
      </c>
      <c r="CQ1002" s="15" t="str">
        <f>"0.353"</f>
        <v>0.353</v>
      </c>
      <c r="CR1002" s="15" t="s">
        <v>497</v>
      </c>
      <c r="DC1002" s="15" t="str">
        <f>IFERROR(__xludf.DUMMYFUNCTION("""COMPUTED_VALUE"""),"")</f>
        <v/>
      </c>
      <c r="DE1002" s="15" t="str">
        <f>IFERROR(__xludf.DUMMYFUNCTION("""COMPUTED_VALUE"""),"")</f>
        <v/>
      </c>
      <c r="DG1002" s="15" t="str">
        <f>IFERROR(__xludf.DUMMYFUNCTION("""COMPUTED_VALUE"""),"")</f>
        <v/>
      </c>
      <c r="DL1002" s="15" t="str">
        <f>IFERROR(__xludf.DUMMYFUNCTION("""COMPUTED_VALUE"""),"")</f>
        <v/>
      </c>
      <c r="DM1002" s="15" t="s">
        <v>444</v>
      </c>
      <c r="DN1002" s="15" t="s">
        <v>419</v>
      </c>
      <c r="DO1002" s="15">
        <v>0.0</v>
      </c>
      <c r="DP1002" s="15" t="s">
        <v>419</v>
      </c>
      <c r="DR1002" s="15">
        <v>0.0</v>
      </c>
      <c r="DT1002" s="15" t="s">
        <v>1186</v>
      </c>
      <c r="DU1002" s="15" t="s">
        <v>419</v>
      </c>
      <c r="DY1002" s="15">
        <v>0.0</v>
      </c>
      <c r="EF1002" s="15" t="s">
        <v>498</v>
      </c>
      <c r="EG1002" s="15" t="s">
        <v>499</v>
      </c>
      <c r="EH1002" s="15" t="s">
        <v>9900</v>
      </c>
      <c r="EJ1002" s="15" t="s">
        <v>500</v>
      </c>
      <c r="EK1002" s="15" t="s">
        <v>501</v>
      </c>
      <c r="EM1002" s="15" t="str">
        <f>IFERROR(__xludf.DUMMYFUNCTION("""COMPUTED_VALUE"""),"")</f>
        <v/>
      </c>
      <c r="EW1002" s="15" t="s">
        <v>3668</v>
      </c>
      <c r="FH1002" s="15" t="s">
        <v>558</v>
      </c>
      <c r="FI1002" s="15" t="s">
        <v>504</v>
      </c>
      <c r="FJ1002" s="15" t="s">
        <v>558</v>
      </c>
      <c r="FK1002" s="15" t="s">
        <v>2046</v>
      </c>
      <c r="FL1002" s="15" t="s">
        <v>426</v>
      </c>
      <c r="FM1002" s="15">
        <v>0.0</v>
      </c>
      <c r="FN1002" s="15">
        <v>0.0</v>
      </c>
    </row>
    <row r="1003" ht="15.75" customHeight="1">
      <c r="A1003" s="14" t="s">
        <v>391</v>
      </c>
      <c r="B1003" s="15" t="s">
        <v>9901</v>
      </c>
      <c r="C1003" s="16"/>
      <c r="D1003" s="15" t="s">
        <v>432</v>
      </c>
      <c r="G1003" s="14" t="s">
        <v>393</v>
      </c>
      <c r="H1003" s="14" t="s">
        <v>394</v>
      </c>
      <c r="I1003" s="14" t="b">
        <v>1</v>
      </c>
      <c r="J1003" s="14" t="s">
        <v>395</v>
      </c>
      <c r="L1003" s="14" t="b">
        <v>0</v>
      </c>
      <c r="M1003" s="15" t="s">
        <v>9902</v>
      </c>
      <c r="N1003" s="14" t="s">
        <v>393</v>
      </c>
      <c r="O1003" s="14" t="s">
        <v>393</v>
      </c>
      <c r="P1003" s="15" t="s">
        <v>397</v>
      </c>
      <c r="Q1003" s="15" t="s">
        <v>9895</v>
      </c>
      <c r="T1003" s="14" t="b">
        <v>0</v>
      </c>
      <c r="U1003" s="15" t="s">
        <v>9903</v>
      </c>
      <c r="V1003" s="15" t="s">
        <v>9904</v>
      </c>
      <c r="W1003" s="15" t="s">
        <v>401</v>
      </c>
      <c r="X1003" s="15" t="s">
        <v>1172</v>
      </c>
      <c r="Y1003" s="15">
        <v>715.0</v>
      </c>
      <c r="AA1003" s="15" t="str">
        <f>"275"</f>
        <v>275</v>
      </c>
      <c r="AB1003" s="14" t="b">
        <v>1</v>
      </c>
      <c r="AC1003" s="14" t="b">
        <v>1</v>
      </c>
      <c r="AD1003" s="15" t="str">
        <f>"801542793081"</f>
        <v>801542793081</v>
      </c>
      <c r="AE1003" s="15" t="s">
        <v>9905</v>
      </c>
      <c r="AF1003" s="14" t="s">
        <v>404</v>
      </c>
      <c r="AG1003" s="14" t="s">
        <v>405</v>
      </c>
      <c r="AH1003" s="14" t="s">
        <v>406</v>
      </c>
      <c r="AI1003" s="15">
        <v>0.0</v>
      </c>
      <c r="AL1003" s="15" t="s">
        <v>6375</v>
      </c>
      <c r="AM1003" s="15" t="s">
        <v>598</v>
      </c>
      <c r="AN1003" s="15" t="s">
        <v>599</v>
      </c>
      <c r="AO1003" s="15" t="s">
        <v>598</v>
      </c>
      <c r="AP1003" s="15" t="s">
        <v>599</v>
      </c>
      <c r="AQ1003" s="15" t="s">
        <v>3184</v>
      </c>
      <c r="AR1003" s="15" t="s">
        <v>2878</v>
      </c>
      <c r="AS1003" s="15" t="s">
        <v>6376</v>
      </c>
      <c r="AT1003" s="15" t="s">
        <v>9895</v>
      </c>
      <c r="AW1003" s="15" t="s">
        <v>6377</v>
      </c>
      <c r="AX1003" s="15" t="s">
        <v>6378</v>
      </c>
      <c r="AY1003" s="15" t="s">
        <v>413</v>
      </c>
      <c r="AZ1003" s="15" t="b">
        <v>0</v>
      </c>
      <c r="BA1003" s="15" t="s">
        <v>413</v>
      </c>
      <c r="BB1003" s="15" t="b">
        <v>0</v>
      </c>
      <c r="BC1003" s="15" t="s">
        <v>9906</v>
      </c>
      <c r="BD1003" s="15" t="s">
        <v>1181</v>
      </c>
      <c r="BE1003" s="15" t="str">
        <f t="shared" si="1680"/>
        <v>1</v>
      </c>
      <c r="BF1003" s="15" t="s">
        <v>416</v>
      </c>
      <c r="BG1003" s="15" t="str">
        <f>"22.83"</f>
        <v>22.83</v>
      </c>
      <c r="BH1003" s="15" t="s">
        <v>1543</v>
      </c>
      <c r="BI1003" s="15" t="str">
        <f>"22.83"</f>
        <v>22.83</v>
      </c>
      <c r="BJ1003" s="15" t="s">
        <v>1543</v>
      </c>
      <c r="BK1003" s="15" t="str">
        <f>"26.38"</f>
        <v>26.38</v>
      </c>
      <c r="BL1003" s="15" t="s">
        <v>1735</v>
      </c>
      <c r="BM1003" s="15" t="str">
        <f>"61.73"</f>
        <v>61.73</v>
      </c>
      <c r="BN1003" s="15" t="s">
        <v>1948</v>
      </c>
      <c r="BQ1003" s="15" t="s">
        <v>444</v>
      </c>
      <c r="BS1003" s="15" t="s">
        <v>444</v>
      </c>
      <c r="BU1003" s="15" t="s">
        <v>444</v>
      </c>
      <c r="BW1003" s="15" t="s">
        <v>444</v>
      </c>
      <c r="BZ1003" s="15" t="s">
        <v>444</v>
      </c>
      <c r="CB1003" s="15" t="s">
        <v>444</v>
      </c>
      <c r="CD1003" s="15" t="s">
        <v>444</v>
      </c>
      <c r="CF1003" s="15" t="s">
        <v>444</v>
      </c>
      <c r="CI1003" s="15" t="s">
        <v>444</v>
      </c>
      <c r="CK1003" s="15" t="s">
        <v>444</v>
      </c>
      <c r="CM1003" s="15" t="s">
        <v>444</v>
      </c>
      <c r="CO1003" s="15" t="s">
        <v>444</v>
      </c>
      <c r="CP1003" s="15" t="str">
        <f>"7.95"</f>
        <v>7.95</v>
      </c>
      <c r="CQ1003" s="15" t="str">
        <f>"0.225"</f>
        <v>0.225</v>
      </c>
      <c r="CR1003" s="15" t="s">
        <v>497</v>
      </c>
      <c r="DC1003" s="15" t="str">
        <f>IFERROR(__xludf.DUMMYFUNCTION("""COMPUTED_VALUE"""),"")</f>
        <v/>
      </c>
      <c r="DE1003" s="15" t="str">
        <f>IFERROR(__xludf.DUMMYFUNCTION("""COMPUTED_VALUE"""),"")</f>
        <v/>
      </c>
      <c r="DG1003" s="15" t="str">
        <f>IFERROR(__xludf.DUMMYFUNCTION("""COMPUTED_VALUE"""),"")</f>
        <v/>
      </c>
      <c r="DL1003" s="15" t="str">
        <f>IFERROR(__xludf.DUMMYFUNCTION("""COMPUTED_VALUE"""),"")</f>
        <v/>
      </c>
      <c r="DM1003" s="15" t="s">
        <v>444</v>
      </c>
      <c r="DN1003" s="15" t="s">
        <v>419</v>
      </c>
      <c r="DO1003" s="15">
        <v>0.0</v>
      </c>
      <c r="DP1003" s="15" t="s">
        <v>419</v>
      </c>
      <c r="DR1003" s="15">
        <v>0.0</v>
      </c>
      <c r="DT1003" s="15" t="s">
        <v>1186</v>
      </c>
      <c r="DU1003" s="15" t="s">
        <v>419</v>
      </c>
      <c r="DY1003" s="15">
        <v>0.0</v>
      </c>
      <c r="EF1003" s="15" t="s">
        <v>498</v>
      </c>
      <c r="EG1003" s="15" t="s">
        <v>499</v>
      </c>
      <c r="EH1003" s="15" t="s">
        <v>9900</v>
      </c>
      <c r="EJ1003" s="15" t="s">
        <v>500</v>
      </c>
      <c r="EK1003" s="15" t="s">
        <v>501</v>
      </c>
      <c r="EM1003" s="15" t="str">
        <f>IFERROR(__xludf.DUMMYFUNCTION("""COMPUTED_VALUE"""),"")</f>
        <v/>
      </c>
      <c r="EW1003" s="15" t="s">
        <v>3668</v>
      </c>
      <c r="FH1003" s="15" t="s">
        <v>6272</v>
      </c>
      <c r="FI1003" s="15" t="s">
        <v>2497</v>
      </c>
      <c r="FJ1003" s="15" t="s">
        <v>6272</v>
      </c>
      <c r="FK1003" s="15" t="s">
        <v>2046</v>
      </c>
      <c r="FL1003" s="15" t="s">
        <v>426</v>
      </c>
      <c r="FM1003" s="15">
        <v>0.0</v>
      </c>
      <c r="FN1003" s="15">
        <v>0.0</v>
      </c>
    </row>
    <row r="1004" ht="15.75" customHeight="1">
      <c r="A1004" s="14" t="s">
        <v>391</v>
      </c>
      <c r="B1004" s="15" t="s">
        <v>9907</v>
      </c>
      <c r="C1004" s="16"/>
      <c r="D1004" s="15" t="s">
        <v>432</v>
      </c>
      <c r="G1004" s="14" t="s">
        <v>393</v>
      </c>
      <c r="H1004" s="14" t="s">
        <v>394</v>
      </c>
      <c r="I1004" s="14" t="b">
        <v>1</v>
      </c>
      <c r="J1004" s="14" t="s">
        <v>395</v>
      </c>
      <c r="L1004" s="14" t="b">
        <v>0</v>
      </c>
      <c r="M1004" s="15" t="s">
        <v>9908</v>
      </c>
      <c r="N1004" s="14" t="s">
        <v>393</v>
      </c>
      <c r="O1004" s="14" t="s">
        <v>393</v>
      </c>
      <c r="P1004" s="15" t="s">
        <v>397</v>
      </c>
      <c r="Q1004" s="15" t="s">
        <v>9290</v>
      </c>
      <c r="T1004" s="14" t="b">
        <v>0</v>
      </c>
      <c r="U1004" s="15" t="s">
        <v>9909</v>
      </c>
      <c r="V1004" s="15" t="s">
        <v>8781</v>
      </c>
      <c r="W1004" s="15" t="s">
        <v>401</v>
      </c>
      <c r="X1004" s="15" t="s">
        <v>695</v>
      </c>
      <c r="Y1004" s="15">
        <v>2301.0</v>
      </c>
      <c r="AA1004" s="15" t="str">
        <f>"885"</f>
        <v>885</v>
      </c>
      <c r="AB1004" s="14" t="b">
        <v>1</v>
      </c>
      <c r="AC1004" s="14" t="b">
        <v>1</v>
      </c>
      <c r="AD1004" s="15" t="str">
        <f>"801542321604"</f>
        <v>801542321604</v>
      </c>
      <c r="AE1004" s="15" t="s">
        <v>9910</v>
      </c>
      <c r="AF1004" s="14" t="s">
        <v>404</v>
      </c>
      <c r="AG1004" s="14" t="s">
        <v>405</v>
      </c>
      <c r="AH1004" s="14" t="s">
        <v>406</v>
      </c>
      <c r="AI1004" s="15">
        <v>0.0</v>
      </c>
      <c r="AL1004" s="15" t="s">
        <v>9911</v>
      </c>
      <c r="AM1004" s="15" t="s">
        <v>1001</v>
      </c>
      <c r="AN1004" s="15" t="s">
        <v>1731</v>
      </c>
      <c r="AO1004" s="15" t="s">
        <v>645</v>
      </c>
      <c r="AP1004" s="15" t="s">
        <v>646</v>
      </c>
      <c r="AQ1004" s="15" t="s">
        <v>410</v>
      </c>
      <c r="AR1004" s="15" t="s">
        <v>439</v>
      </c>
      <c r="AS1004" s="15" t="s">
        <v>915</v>
      </c>
      <c r="AT1004" s="15" t="s">
        <v>9290</v>
      </c>
      <c r="AW1004" s="15" t="s">
        <v>1732</v>
      </c>
      <c r="AY1004" s="15" t="s">
        <v>413</v>
      </c>
      <c r="AZ1004" s="15" t="b">
        <v>0</v>
      </c>
      <c r="BA1004" s="15" t="s">
        <v>426</v>
      </c>
      <c r="BB1004" s="15" t="b">
        <v>1</v>
      </c>
      <c r="BC1004" s="15" t="s">
        <v>9912</v>
      </c>
      <c r="BD1004" s="15" t="s">
        <v>709</v>
      </c>
      <c r="BE1004" s="15" t="str">
        <f t="shared" si="1680"/>
        <v>1</v>
      </c>
      <c r="BF1004" s="15" t="s">
        <v>416</v>
      </c>
      <c r="BG1004" s="15" t="str">
        <f>"97.64"</f>
        <v>97.64</v>
      </c>
      <c r="BH1004" s="15" t="s">
        <v>7268</v>
      </c>
      <c r="BI1004" s="15" t="str">
        <f>"35.04"</f>
        <v>35.04</v>
      </c>
      <c r="BJ1004" s="15" t="s">
        <v>1404</v>
      </c>
      <c r="BK1004" s="15" t="str">
        <f>"27.56"</f>
        <v>27.56</v>
      </c>
      <c r="BL1004" s="15" t="s">
        <v>1780</v>
      </c>
      <c r="BM1004" s="15" t="str">
        <f>"154.32"</f>
        <v>154.32</v>
      </c>
      <c r="BN1004" s="15" t="s">
        <v>2459</v>
      </c>
      <c r="BQ1004" s="15" t="s">
        <v>444</v>
      </c>
      <c r="BS1004" s="15" t="s">
        <v>444</v>
      </c>
      <c r="BU1004" s="15" t="s">
        <v>444</v>
      </c>
      <c r="BW1004" s="15" t="s">
        <v>444</v>
      </c>
      <c r="BZ1004" s="15" t="s">
        <v>444</v>
      </c>
      <c r="CB1004" s="15" t="s">
        <v>444</v>
      </c>
      <c r="CD1004" s="15" t="s">
        <v>444</v>
      </c>
      <c r="CF1004" s="15" t="s">
        <v>444</v>
      </c>
      <c r="CI1004" s="15" t="s">
        <v>444</v>
      </c>
      <c r="CK1004" s="15" t="s">
        <v>444</v>
      </c>
      <c r="CM1004" s="15" t="s">
        <v>444</v>
      </c>
      <c r="CO1004" s="15" t="s">
        <v>444</v>
      </c>
      <c r="CP1004" s="15" t="str">
        <f>"54.56"</f>
        <v>54.56</v>
      </c>
      <c r="CQ1004" s="15" t="str">
        <f>"1.545"</f>
        <v>1.545</v>
      </c>
      <c r="CR1004" s="15" t="s">
        <v>465</v>
      </c>
      <c r="CY1004" s="15" t="s">
        <v>1574</v>
      </c>
      <c r="CZ1004" s="15" t="s">
        <v>2402</v>
      </c>
      <c r="DA1004" s="15" t="s">
        <v>2404</v>
      </c>
      <c r="DB1004" s="15" t="s">
        <v>1072</v>
      </c>
      <c r="DC1004" s="15" t="str">
        <f>IFERROR(__xludf.DUMMYFUNCTION("""COMPUTED_VALUE"""),"{""value"":22.00,""unit"":""in""}")</f>
        <v>{"value":22.00,"unit":"in"}</v>
      </c>
      <c r="DD1004" s="15" t="s">
        <v>467</v>
      </c>
      <c r="DE1004" s="15" t="str">
        <f>IFERROR(__xludf.DUMMYFUNCTION("""COMPUTED_VALUE"""),"{""value"":19.00,""unit"":""in""}")</f>
        <v>{"value":19.00,"unit":"in"}</v>
      </c>
      <c r="DG1004" s="15" t="str">
        <f>IFERROR(__xludf.DUMMYFUNCTION("""COMPUTED_VALUE"""),"")</f>
        <v/>
      </c>
      <c r="DH1004" s="15">
        <v>0.0</v>
      </c>
      <c r="DI1004" s="15">
        <v>2.0</v>
      </c>
      <c r="DJ1004" s="15" t="s">
        <v>717</v>
      </c>
      <c r="DK1004" s="15" t="s">
        <v>855</v>
      </c>
      <c r="DL1004" s="15" t="str">
        <f>IFERROR(__xludf.DUMMYFUNCTION("""COMPUTED_VALUE"""),"Clean with solvent-based (dry clean only) products. Do not use water.")</f>
        <v>Clean with solvent-based (dry clean only) products. Do not use water.</v>
      </c>
      <c r="DM1004" s="15" t="s">
        <v>856</v>
      </c>
      <c r="DQ1004" s="15" t="s">
        <v>1066</v>
      </c>
      <c r="DT1004" s="15" t="s">
        <v>721</v>
      </c>
      <c r="DU1004" s="15" t="s">
        <v>419</v>
      </c>
      <c r="DV1004" s="15">
        <v>0.0</v>
      </c>
      <c r="DZ1004" s="15">
        <v>25000.0</v>
      </c>
      <c r="EA1004" s="15" t="s">
        <v>990</v>
      </c>
      <c r="EB1004" s="15" t="s">
        <v>723</v>
      </c>
      <c r="EC1004" s="15" t="s">
        <v>724</v>
      </c>
      <c r="ED1004" s="15">
        <v>1.0</v>
      </c>
      <c r="EE1004" s="15">
        <v>5.0</v>
      </c>
      <c r="EG1004" s="15" t="s">
        <v>444</v>
      </c>
      <c r="EH1004" s="15" t="s">
        <v>9913</v>
      </c>
      <c r="EI1004" s="15">
        <v>0.0</v>
      </c>
      <c r="EJ1004" s="15" t="s">
        <v>1636</v>
      </c>
      <c r="EK1004" s="15" t="s">
        <v>1637</v>
      </c>
      <c r="EL1004" s="15" t="s">
        <v>525</v>
      </c>
      <c r="EM1004" s="15" t="str">
        <f>IFERROR(__xludf.DUMMYFUNCTION("""COMPUTED_VALUE"""),"{""value"":23.00,""unit"":""in""}")</f>
        <v>{"value":23.00,"unit":"in"}</v>
      </c>
      <c r="EN1004" s="15" t="s">
        <v>477</v>
      </c>
      <c r="EO1004" s="15" t="s">
        <v>3500</v>
      </c>
      <c r="ES1004" s="15" t="s">
        <v>477</v>
      </c>
      <c r="ET1004" s="15" t="s">
        <v>2402</v>
      </c>
      <c r="EU1004" s="15" t="s">
        <v>788</v>
      </c>
      <c r="EV1004" s="15" t="s">
        <v>4843</v>
      </c>
      <c r="EW1004" s="15" t="s">
        <v>672</v>
      </c>
      <c r="EX1004" s="15" t="s">
        <v>1700</v>
      </c>
      <c r="EY1004" s="15" t="s">
        <v>3842</v>
      </c>
      <c r="EZ1004" s="15" t="s">
        <v>475</v>
      </c>
      <c r="FC1004" s="15" t="s">
        <v>723</v>
      </c>
      <c r="FD1004" s="15" t="s">
        <v>1076</v>
      </c>
      <c r="FE1004" s="15" t="s">
        <v>1289</v>
      </c>
      <c r="FF1004" s="15" t="s">
        <v>1290</v>
      </c>
      <c r="FO1004" s="15" t="s">
        <v>1737</v>
      </c>
      <c r="FP1004" s="15" t="s">
        <v>2404</v>
      </c>
      <c r="FS1004" s="15" t="s">
        <v>2436</v>
      </c>
    </row>
    <row r="1005" ht="15.75" customHeight="1">
      <c r="A1005" s="14" t="s">
        <v>391</v>
      </c>
      <c r="B1005" s="15" t="s">
        <v>9914</v>
      </c>
      <c r="C1005" s="16"/>
      <c r="D1005" s="15" t="s">
        <v>432</v>
      </c>
      <c r="G1005" s="14" t="s">
        <v>393</v>
      </c>
      <c r="H1005" s="14" t="s">
        <v>394</v>
      </c>
      <c r="I1005" s="14" t="b">
        <v>1</v>
      </c>
      <c r="J1005" s="14" t="s">
        <v>395</v>
      </c>
      <c r="L1005" s="14" t="b">
        <v>0</v>
      </c>
      <c r="M1005" s="15" t="s">
        <v>9915</v>
      </c>
      <c r="N1005" s="14" t="s">
        <v>393</v>
      </c>
      <c r="O1005" s="14" t="s">
        <v>393</v>
      </c>
      <c r="P1005" s="15" t="s">
        <v>397</v>
      </c>
      <c r="Q1005" s="15" t="s">
        <v>2575</v>
      </c>
      <c r="T1005" s="14" t="b">
        <v>0</v>
      </c>
      <c r="U1005" s="15" t="s">
        <v>9916</v>
      </c>
      <c r="V1005" s="15" t="s">
        <v>5178</v>
      </c>
      <c r="W1005" s="15" t="s">
        <v>401</v>
      </c>
      <c r="X1005" s="15" t="s">
        <v>695</v>
      </c>
      <c r="Y1005" s="15">
        <v>1807.0</v>
      </c>
      <c r="AA1005" s="15" t="str">
        <f t="shared" ref="AA1005:AA1006" si="1690">"695"</f>
        <v>695</v>
      </c>
      <c r="AB1005" s="14" t="b">
        <v>1</v>
      </c>
      <c r="AC1005" s="14" t="b">
        <v>1</v>
      </c>
      <c r="AD1005" s="15" t="str">
        <f>"801542030506"</f>
        <v>801542030506</v>
      </c>
      <c r="AE1005" s="15" t="s">
        <v>9917</v>
      </c>
      <c r="AF1005" s="14" t="s">
        <v>404</v>
      </c>
      <c r="AG1005" s="14" t="s">
        <v>405</v>
      </c>
      <c r="AH1005" s="14" t="s">
        <v>406</v>
      </c>
      <c r="AI1005" s="15">
        <v>0.0</v>
      </c>
      <c r="AL1005" s="15" t="s">
        <v>1600</v>
      </c>
      <c r="AM1005" s="15" t="s">
        <v>410</v>
      </c>
      <c r="AN1005" s="15" t="s">
        <v>439</v>
      </c>
      <c r="AO1005" s="15" t="s">
        <v>913</v>
      </c>
      <c r="AP1005" s="15" t="s">
        <v>914</v>
      </c>
      <c r="AQ1005" s="15" t="s">
        <v>701</v>
      </c>
      <c r="AR1005" s="15" t="s">
        <v>702</v>
      </c>
      <c r="AS1005" s="15" t="s">
        <v>915</v>
      </c>
      <c r="AT1005" s="15" t="s">
        <v>2575</v>
      </c>
      <c r="AW1005" s="15" t="s">
        <v>706</v>
      </c>
      <c r="AX1005" s="15" t="s">
        <v>707</v>
      </c>
      <c r="AY1005" s="15" t="s">
        <v>413</v>
      </c>
      <c r="AZ1005" s="15" t="b">
        <v>0</v>
      </c>
      <c r="BA1005" s="15" t="s">
        <v>413</v>
      </c>
      <c r="BB1005" s="15" t="b">
        <v>0</v>
      </c>
      <c r="BC1005" s="15" t="s">
        <v>9918</v>
      </c>
      <c r="BD1005" s="15" t="s">
        <v>709</v>
      </c>
      <c r="BE1005" s="15" t="str">
        <f t="shared" si="1680"/>
        <v>1</v>
      </c>
      <c r="BF1005" s="15" t="s">
        <v>416</v>
      </c>
      <c r="BG1005" s="15" t="str">
        <f t="shared" ref="BG1005:BG1006" si="1691">"36.02"</f>
        <v>36.02</v>
      </c>
      <c r="BH1005" s="15" t="s">
        <v>4053</v>
      </c>
      <c r="BI1005" s="15" t="str">
        <f t="shared" ref="BI1005:BI1006" si="1692">"33.07"</f>
        <v>33.07</v>
      </c>
      <c r="BJ1005" s="15" t="s">
        <v>1091</v>
      </c>
      <c r="BK1005" s="15" t="str">
        <f t="shared" ref="BK1005:BK1006" si="1693">"28.74"</f>
        <v>28.74</v>
      </c>
      <c r="BL1005" s="15" t="s">
        <v>2113</v>
      </c>
      <c r="BM1005" s="15" t="str">
        <f t="shared" ref="BM1005:BM1006" si="1694">"73.63"</f>
        <v>73.63</v>
      </c>
      <c r="BN1005" s="15" t="s">
        <v>9919</v>
      </c>
      <c r="BQ1005" s="15" t="s">
        <v>444</v>
      </c>
      <c r="BS1005" s="15" t="s">
        <v>444</v>
      </c>
      <c r="BU1005" s="15" t="s">
        <v>444</v>
      </c>
      <c r="BW1005" s="15" t="s">
        <v>444</v>
      </c>
      <c r="BZ1005" s="15" t="s">
        <v>444</v>
      </c>
      <c r="CB1005" s="15" t="s">
        <v>444</v>
      </c>
      <c r="CD1005" s="15" t="s">
        <v>444</v>
      </c>
      <c r="CF1005" s="15" t="s">
        <v>444</v>
      </c>
      <c r="CI1005" s="15" t="s">
        <v>444</v>
      </c>
      <c r="CK1005" s="15" t="s">
        <v>444</v>
      </c>
      <c r="CM1005" s="15" t="s">
        <v>444</v>
      </c>
      <c r="CO1005" s="15" t="s">
        <v>444</v>
      </c>
      <c r="CP1005" s="15" t="str">
        <f t="shared" ref="CP1005:CP1006" si="1695">"19.81"</f>
        <v>19.81</v>
      </c>
      <c r="CQ1005" s="15" t="str">
        <f t="shared" ref="CQ1005:CQ1006" si="1696">"0.561"</f>
        <v>0.561</v>
      </c>
      <c r="CR1005" s="15" t="s">
        <v>417</v>
      </c>
      <c r="CY1005" s="15" t="s">
        <v>3512</v>
      </c>
      <c r="CZ1005" s="15" t="s">
        <v>3856</v>
      </c>
      <c r="DA1005" s="15" t="s">
        <v>2652</v>
      </c>
      <c r="DB1005" s="15" t="s">
        <v>1700</v>
      </c>
      <c r="DC1005" s="15" t="str">
        <f>IFERROR(__xludf.DUMMYFUNCTION("""COMPUTED_VALUE"""),"{""value"":21.50,""unit"":""in""}")</f>
        <v>{"value":21.50,"unit":"in"}</v>
      </c>
      <c r="DD1005" s="15" t="s">
        <v>823</v>
      </c>
      <c r="DE1005" s="15" t="str">
        <f>IFERROR(__xludf.DUMMYFUNCTION("""COMPUTED_VALUE"""),"{""value"":18.90,""unit"":""in""}")</f>
        <v>{"value":18.90,"unit":"in"}</v>
      </c>
      <c r="DF1005" s="15" t="s">
        <v>2019</v>
      </c>
      <c r="DG1005" s="15" t="str">
        <f>IFERROR(__xludf.DUMMYFUNCTION("""COMPUTED_VALUE"""),"{""value"":21.65,""unit"":""in""}")</f>
        <v>{"value":21.65,"unit":"in"}</v>
      </c>
      <c r="DH1005" s="15">
        <v>0.0</v>
      </c>
      <c r="DI1005" s="15">
        <v>1.0</v>
      </c>
      <c r="DJ1005" s="15" t="s">
        <v>717</v>
      </c>
      <c r="DK1005" s="15" t="s">
        <v>718</v>
      </c>
      <c r="DL1005" s="15" t="str">
        <f>IFERROR(__xludf.DUMMYFUNCTION("""COMPUTED_VALUE"""),"Vacuum or light brush only. Do not use water or any cleaning products.")</f>
        <v>Vacuum or light brush only. Do not use water or any cleaning products.</v>
      </c>
      <c r="DM1005" s="15" t="s">
        <v>719</v>
      </c>
      <c r="DQ1005" s="15" t="s">
        <v>997</v>
      </c>
      <c r="DT1005" s="15" t="s">
        <v>1186</v>
      </c>
      <c r="DU1005" s="15" t="s">
        <v>1605</v>
      </c>
      <c r="DV1005" s="15">
        <v>0.0</v>
      </c>
      <c r="DZ1005" s="15">
        <v>0.0</v>
      </c>
      <c r="EA1005" s="15" t="s">
        <v>722</v>
      </c>
      <c r="EB1005" s="15" t="s">
        <v>723</v>
      </c>
      <c r="EC1005" s="15" t="s">
        <v>724</v>
      </c>
      <c r="ED1005" s="15">
        <v>1.0</v>
      </c>
      <c r="EE1005" s="15">
        <v>1.0</v>
      </c>
      <c r="EG1005" s="15" t="s">
        <v>444</v>
      </c>
      <c r="EH1005" s="15" t="s">
        <v>9913</v>
      </c>
      <c r="EI1005" s="15">
        <v>0.0</v>
      </c>
      <c r="EJ1005" s="15" t="s">
        <v>726</v>
      </c>
      <c r="EK1005" s="15" t="s">
        <v>727</v>
      </c>
      <c r="EL1005" s="15" t="s">
        <v>1603</v>
      </c>
      <c r="EM1005" s="15" t="str">
        <f>IFERROR(__xludf.DUMMYFUNCTION("""COMPUTED_VALUE"""),"{""value"":22.83,""unit"":""in""}")</f>
        <v>{"value":22.83,"unit":"in"}</v>
      </c>
      <c r="EN1005" s="15" t="s">
        <v>2050</v>
      </c>
      <c r="EO1005" s="15" t="s">
        <v>3512</v>
      </c>
      <c r="ES1005" s="15" t="s">
        <v>2050</v>
      </c>
      <c r="ET1005" s="15" t="s">
        <v>761</v>
      </c>
      <c r="EU1005" s="15" t="s">
        <v>2156</v>
      </c>
      <c r="EV1005" s="15" t="s">
        <v>3129</v>
      </c>
      <c r="EW1005" s="15" t="s">
        <v>2144</v>
      </c>
      <c r="EZ1005" s="15" t="s">
        <v>1254</v>
      </c>
      <c r="FC1005" s="15" t="s">
        <v>723</v>
      </c>
      <c r="FD1005" s="15" t="s">
        <v>1076</v>
      </c>
      <c r="FE1005" s="15" t="s">
        <v>3408</v>
      </c>
      <c r="FF1005" s="15" t="s">
        <v>997</v>
      </c>
      <c r="FO1005" s="15" t="s">
        <v>9920</v>
      </c>
      <c r="FP1005" s="15" t="s">
        <v>2652</v>
      </c>
      <c r="FQ1005" s="15">
        <v>0.0</v>
      </c>
      <c r="FR1005" s="15">
        <v>0.0</v>
      </c>
      <c r="FT1005" s="15">
        <v>0.0</v>
      </c>
      <c r="IL1005" s="15" t="s">
        <v>1610</v>
      </c>
    </row>
    <row r="1006" ht="15.75" customHeight="1">
      <c r="A1006" s="14" t="s">
        <v>391</v>
      </c>
      <c r="B1006" s="15" t="s">
        <v>9914</v>
      </c>
      <c r="C1006" s="16"/>
      <c r="D1006" s="15" t="s">
        <v>432</v>
      </c>
      <c r="G1006" s="14" t="s">
        <v>393</v>
      </c>
      <c r="H1006" s="14" t="s">
        <v>394</v>
      </c>
      <c r="I1006" s="14" t="b">
        <v>1</v>
      </c>
      <c r="J1006" s="14" t="s">
        <v>395</v>
      </c>
      <c r="L1006" s="14" t="b">
        <v>0</v>
      </c>
      <c r="M1006" s="15" t="s">
        <v>9921</v>
      </c>
      <c r="N1006" s="14" t="s">
        <v>393</v>
      </c>
      <c r="O1006" s="14" t="s">
        <v>393</v>
      </c>
      <c r="P1006" s="15" t="s">
        <v>397</v>
      </c>
      <c r="Q1006" s="15" t="s">
        <v>1596</v>
      </c>
      <c r="T1006" s="14" t="b">
        <v>0</v>
      </c>
      <c r="U1006" s="15" t="s">
        <v>9922</v>
      </c>
      <c r="V1006" s="15" t="s">
        <v>5178</v>
      </c>
      <c r="W1006" s="15" t="s">
        <v>401</v>
      </c>
      <c r="X1006" s="15" t="s">
        <v>695</v>
      </c>
      <c r="Y1006" s="15">
        <v>1807.0</v>
      </c>
      <c r="AA1006" s="15" t="str">
        <f t="shared" si="1690"/>
        <v>695</v>
      </c>
      <c r="AB1006" s="14" t="b">
        <v>1</v>
      </c>
      <c r="AC1006" s="14" t="b">
        <v>1</v>
      </c>
      <c r="AD1006" s="15" t="str">
        <f>"801542030513"</f>
        <v>801542030513</v>
      </c>
      <c r="AE1006" s="15" t="s">
        <v>9923</v>
      </c>
      <c r="AF1006" s="14" t="s">
        <v>404</v>
      </c>
      <c r="AG1006" s="14" t="s">
        <v>405</v>
      </c>
      <c r="AH1006" s="14" t="s">
        <v>406</v>
      </c>
      <c r="AI1006" s="15">
        <v>0.0</v>
      </c>
      <c r="AL1006" s="15" t="s">
        <v>1600</v>
      </c>
      <c r="AM1006" s="15" t="s">
        <v>410</v>
      </c>
      <c r="AN1006" s="15" t="s">
        <v>439</v>
      </c>
      <c r="AO1006" s="15" t="s">
        <v>913</v>
      </c>
      <c r="AP1006" s="15" t="s">
        <v>914</v>
      </c>
      <c r="AQ1006" s="15" t="s">
        <v>701</v>
      </c>
      <c r="AR1006" s="15" t="s">
        <v>702</v>
      </c>
      <c r="AS1006" s="15" t="s">
        <v>915</v>
      </c>
      <c r="AT1006" s="15" t="s">
        <v>1596</v>
      </c>
      <c r="AW1006" s="15" t="s">
        <v>706</v>
      </c>
      <c r="AX1006" s="15" t="s">
        <v>707</v>
      </c>
      <c r="AY1006" s="15" t="s">
        <v>413</v>
      </c>
      <c r="AZ1006" s="15" t="b">
        <v>0</v>
      </c>
      <c r="BA1006" s="15" t="s">
        <v>413</v>
      </c>
      <c r="BB1006" s="15" t="b">
        <v>0</v>
      </c>
      <c r="BC1006" s="15" t="s">
        <v>9924</v>
      </c>
      <c r="BD1006" s="15" t="s">
        <v>709</v>
      </c>
      <c r="BE1006" s="15" t="str">
        <f t="shared" si="1680"/>
        <v>1</v>
      </c>
      <c r="BF1006" s="15" t="s">
        <v>416</v>
      </c>
      <c r="BG1006" s="15" t="str">
        <f t="shared" si="1691"/>
        <v>36.02</v>
      </c>
      <c r="BH1006" s="15" t="s">
        <v>4053</v>
      </c>
      <c r="BI1006" s="15" t="str">
        <f t="shared" si="1692"/>
        <v>33.07</v>
      </c>
      <c r="BJ1006" s="15" t="s">
        <v>1091</v>
      </c>
      <c r="BK1006" s="15" t="str">
        <f t="shared" si="1693"/>
        <v>28.74</v>
      </c>
      <c r="BL1006" s="15" t="s">
        <v>2113</v>
      </c>
      <c r="BM1006" s="15" t="str">
        <f t="shared" si="1694"/>
        <v>73.63</v>
      </c>
      <c r="BN1006" s="15" t="s">
        <v>9919</v>
      </c>
      <c r="BQ1006" s="15" t="s">
        <v>444</v>
      </c>
      <c r="BS1006" s="15" t="s">
        <v>444</v>
      </c>
      <c r="BU1006" s="15" t="s">
        <v>444</v>
      </c>
      <c r="BW1006" s="15" t="s">
        <v>444</v>
      </c>
      <c r="BZ1006" s="15" t="s">
        <v>444</v>
      </c>
      <c r="CB1006" s="15" t="s">
        <v>444</v>
      </c>
      <c r="CD1006" s="15" t="s">
        <v>444</v>
      </c>
      <c r="CF1006" s="15" t="s">
        <v>444</v>
      </c>
      <c r="CI1006" s="15" t="s">
        <v>444</v>
      </c>
      <c r="CK1006" s="15" t="s">
        <v>444</v>
      </c>
      <c r="CM1006" s="15" t="s">
        <v>444</v>
      </c>
      <c r="CO1006" s="15" t="s">
        <v>444</v>
      </c>
      <c r="CP1006" s="15" t="str">
        <f t="shared" si="1695"/>
        <v>19.81</v>
      </c>
      <c r="CQ1006" s="15" t="str">
        <f t="shared" si="1696"/>
        <v>0.561</v>
      </c>
      <c r="CR1006" s="15" t="s">
        <v>497</v>
      </c>
      <c r="CY1006" s="15" t="s">
        <v>3512</v>
      </c>
      <c r="CZ1006" s="15" t="s">
        <v>3856</v>
      </c>
      <c r="DA1006" s="15" t="s">
        <v>2652</v>
      </c>
      <c r="DB1006" s="15" t="s">
        <v>1700</v>
      </c>
      <c r="DC1006" s="15" t="str">
        <f>IFERROR(__xludf.DUMMYFUNCTION("""COMPUTED_VALUE"""),"{""value"":21.50,""unit"":""in""}")</f>
        <v>{"value":21.50,"unit":"in"}</v>
      </c>
      <c r="DD1006" s="15" t="s">
        <v>823</v>
      </c>
      <c r="DE1006" s="15" t="str">
        <f>IFERROR(__xludf.DUMMYFUNCTION("""COMPUTED_VALUE"""),"{""value"":18.90,""unit"":""in""}")</f>
        <v>{"value":18.90,"unit":"in"}</v>
      </c>
      <c r="DF1006" s="15" t="s">
        <v>2019</v>
      </c>
      <c r="DG1006" s="15" t="str">
        <f>IFERROR(__xludf.DUMMYFUNCTION("""COMPUTED_VALUE"""),"{""value"":21.65,""unit"":""in""}")</f>
        <v>{"value":21.65,"unit":"in"}</v>
      </c>
      <c r="DH1006" s="15">
        <v>0.0</v>
      </c>
      <c r="DI1006" s="15">
        <v>1.0</v>
      </c>
      <c r="DJ1006" s="15" t="s">
        <v>717</v>
      </c>
      <c r="DK1006" s="15" t="s">
        <v>718</v>
      </c>
      <c r="DL1006" s="15" t="str">
        <f>IFERROR(__xludf.DUMMYFUNCTION("""COMPUTED_VALUE"""),"Vacuum or light brush only. Do not use water or any cleaning products.")</f>
        <v>Vacuum or light brush only. Do not use water or any cleaning products.</v>
      </c>
      <c r="DM1006" s="15" t="s">
        <v>719</v>
      </c>
      <c r="DQ1006" s="15" t="s">
        <v>997</v>
      </c>
      <c r="DT1006" s="15" t="s">
        <v>1186</v>
      </c>
      <c r="DU1006" s="15" t="s">
        <v>1605</v>
      </c>
      <c r="DV1006" s="15">
        <v>0.0</v>
      </c>
      <c r="DZ1006" s="15">
        <v>0.0</v>
      </c>
      <c r="EA1006" s="15" t="s">
        <v>722</v>
      </c>
      <c r="EB1006" s="15" t="s">
        <v>723</v>
      </c>
      <c r="EC1006" s="15" t="s">
        <v>724</v>
      </c>
      <c r="ED1006" s="15">
        <v>1.0</v>
      </c>
      <c r="EE1006" s="15">
        <v>1.0</v>
      </c>
      <c r="EG1006" s="15" t="s">
        <v>444</v>
      </c>
      <c r="EH1006" s="15" t="s">
        <v>9913</v>
      </c>
      <c r="EI1006" s="15">
        <v>0.0</v>
      </c>
      <c r="EJ1006" s="15" t="s">
        <v>726</v>
      </c>
      <c r="EK1006" s="15" t="s">
        <v>727</v>
      </c>
      <c r="EL1006" s="15" t="s">
        <v>1603</v>
      </c>
      <c r="EM1006" s="15" t="str">
        <f>IFERROR(__xludf.DUMMYFUNCTION("""COMPUTED_VALUE"""),"{""value"":22.83,""unit"":""in""}")</f>
        <v>{"value":22.83,"unit":"in"}</v>
      </c>
      <c r="EN1006" s="15" t="s">
        <v>2050</v>
      </c>
      <c r="EO1006" s="15" t="s">
        <v>3512</v>
      </c>
      <c r="ES1006" s="15" t="s">
        <v>2050</v>
      </c>
      <c r="ET1006" s="15" t="s">
        <v>761</v>
      </c>
      <c r="EU1006" s="15" t="s">
        <v>2156</v>
      </c>
      <c r="EV1006" s="15" t="s">
        <v>3129</v>
      </c>
      <c r="EW1006" s="15" t="s">
        <v>2144</v>
      </c>
      <c r="EZ1006" s="15" t="s">
        <v>1254</v>
      </c>
      <c r="FC1006" s="15" t="s">
        <v>723</v>
      </c>
      <c r="FD1006" s="15" t="s">
        <v>1076</v>
      </c>
      <c r="FE1006" s="15" t="s">
        <v>3408</v>
      </c>
      <c r="FF1006" s="15" t="s">
        <v>997</v>
      </c>
      <c r="FO1006" s="15" t="s">
        <v>9920</v>
      </c>
      <c r="FP1006" s="15" t="s">
        <v>2652</v>
      </c>
      <c r="FQ1006" s="15">
        <v>0.0</v>
      </c>
      <c r="FR1006" s="15">
        <v>0.0</v>
      </c>
      <c r="FT1006" s="15">
        <v>0.0</v>
      </c>
      <c r="IL1006" s="15" t="s">
        <v>1610</v>
      </c>
    </row>
    <row r="1007" ht="15.75" customHeight="1">
      <c r="A1007" s="14" t="s">
        <v>391</v>
      </c>
      <c r="B1007" s="15" t="s">
        <v>9914</v>
      </c>
      <c r="C1007" s="16"/>
      <c r="D1007" s="15" t="s">
        <v>432</v>
      </c>
      <c r="G1007" s="14" t="s">
        <v>393</v>
      </c>
      <c r="H1007" s="14" t="s">
        <v>394</v>
      </c>
      <c r="I1007" s="14" t="b">
        <v>1</v>
      </c>
      <c r="J1007" s="14" t="s">
        <v>395</v>
      </c>
      <c r="L1007" s="14" t="b">
        <v>0</v>
      </c>
      <c r="M1007" s="15" t="s">
        <v>9925</v>
      </c>
      <c r="N1007" s="14" t="s">
        <v>393</v>
      </c>
      <c r="O1007" s="14" t="s">
        <v>393</v>
      </c>
      <c r="P1007" s="15" t="s">
        <v>397</v>
      </c>
      <c r="Q1007" s="15" t="s">
        <v>9290</v>
      </c>
      <c r="T1007" s="14" t="b">
        <v>0</v>
      </c>
      <c r="U1007" s="15" t="s">
        <v>9926</v>
      </c>
      <c r="V1007" s="15" t="s">
        <v>1521</v>
      </c>
      <c r="W1007" s="15" t="s">
        <v>401</v>
      </c>
      <c r="X1007" s="15" t="s">
        <v>742</v>
      </c>
      <c r="Y1007" s="15">
        <v>1157.0</v>
      </c>
      <c r="AA1007" s="15" t="str">
        <f t="shared" ref="AA1007:AA1008" si="1697">"445"</f>
        <v>445</v>
      </c>
      <c r="AB1007" s="14" t="b">
        <v>1</v>
      </c>
      <c r="AC1007" s="14" t="b">
        <v>1</v>
      </c>
      <c r="AD1007" s="15" t="str">
        <f>"801542568283"</f>
        <v>801542568283</v>
      </c>
      <c r="AE1007" s="15" t="s">
        <v>9927</v>
      </c>
      <c r="AF1007" s="14" t="s">
        <v>404</v>
      </c>
      <c r="AG1007" s="14" t="s">
        <v>405</v>
      </c>
      <c r="AH1007" s="14" t="s">
        <v>406</v>
      </c>
      <c r="AI1007" s="15">
        <v>0.0</v>
      </c>
      <c r="AL1007" s="15" t="s">
        <v>9911</v>
      </c>
      <c r="AM1007" s="15" t="s">
        <v>410</v>
      </c>
      <c r="AN1007" s="15" t="s">
        <v>439</v>
      </c>
      <c r="AO1007" s="15" t="s">
        <v>913</v>
      </c>
      <c r="AP1007" s="15" t="s">
        <v>914</v>
      </c>
      <c r="AQ1007" s="15" t="s">
        <v>701</v>
      </c>
      <c r="AR1007" s="15" t="s">
        <v>702</v>
      </c>
      <c r="AS1007" s="15" t="s">
        <v>3901</v>
      </c>
      <c r="AT1007" s="15" t="s">
        <v>9290</v>
      </c>
      <c r="AW1007" s="15" t="s">
        <v>706</v>
      </c>
      <c r="AX1007" s="15" t="s">
        <v>707</v>
      </c>
      <c r="AY1007" s="15" t="s">
        <v>426</v>
      </c>
      <c r="AZ1007" s="15" t="b">
        <v>1</v>
      </c>
      <c r="BA1007" s="15" t="s">
        <v>426</v>
      </c>
      <c r="BB1007" s="15" t="b">
        <v>1</v>
      </c>
      <c r="BC1007" s="15" t="s">
        <v>9928</v>
      </c>
      <c r="BD1007" s="15" t="s">
        <v>742</v>
      </c>
      <c r="BE1007" s="15" t="str">
        <f t="shared" si="1680"/>
        <v>1</v>
      </c>
      <c r="BF1007" s="15" t="s">
        <v>416</v>
      </c>
      <c r="BG1007" s="15" t="str">
        <f t="shared" ref="BG1007:BG1008" si="1698">"38.19"</f>
        <v>38.19</v>
      </c>
      <c r="BH1007" s="15" t="s">
        <v>3531</v>
      </c>
      <c r="BI1007" s="15" t="str">
        <f t="shared" ref="BI1007:BI1008" si="1699">"34.45"</f>
        <v>34.45</v>
      </c>
      <c r="BJ1007" s="15" t="s">
        <v>843</v>
      </c>
      <c r="BK1007" s="15" t="str">
        <f t="shared" ref="BK1007:BK1008" si="1700">"30.91"</f>
        <v>30.91</v>
      </c>
      <c r="BL1007" s="15" t="s">
        <v>3885</v>
      </c>
      <c r="BM1007" s="15" t="str">
        <f t="shared" ref="BM1007:BM1008" si="1701">"96.12"</f>
        <v>96.12</v>
      </c>
      <c r="BN1007" s="15" t="s">
        <v>9929</v>
      </c>
      <c r="BQ1007" s="15" t="s">
        <v>444</v>
      </c>
      <c r="BS1007" s="15" t="s">
        <v>444</v>
      </c>
      <c r="BU1007" s="15" t="s">
        <v>444</v>
      </c>
      <c r="BW1007" s="15" t="s">
        <v>444</v>
      </c>
      <c r="BZ1007" s="15" t="s">
        <v>444</v>
      </c>
      <c r="CB1007" s="15" t="s">
        <v>444</v>
      </c>
      <c r="CD1007" s="15" t="s">
        <v>444</v>
      </c>
      <c r="CF1007" s="15" t="s">
        <v>444</v>
      </c>
      <c r="CI1007" s="15" t="s">
        <v>444</v>
      </c>
      <c r="CK1007" s="15" t="s">
        <v>444</v>
      </c>
      <c r="CM1007" s="15" t="s">
        <v>444</v>
      </c>
      <c r="CO1007" s="15" t="s">
        <v>444</v>
      </c>
      <c r="CP1007" s="15" t="str">
        <f t="shared" ref="CP1007:CP1008" si="1702">"23.52"</f>
        <v>23.52</v>
      </c>
      <c r="CQ1007" s="15" t="str">
        <f t="shared" ref="CQ1007:CQ1008" si="1703">"0.666"</f>
        <v>0.666</v>
      </c>
      <c r="CR1007" s="15" t="s">
        <v>497</v>
      </c>
      <c r="CY1007" s="15" t="s">
        <v>3512</v>
      </c>
      <c r="CZ1007" s="15" t="s">
        <v>3856</v>
      </c>
      <c r="DA1007" s="15" t="s">
        <v>2652</v>
      </c>
      <c r="DB1007" s="15" t="s">
        <v>1700</v>
      </c>
      <c r="DC1007" s="15" t="str">
        <f>IFERROR(__xludf.DUMMYFUNCTION("""COMPUTED_VALUE"""),"{""value"":21.50,""unit"":""in""}")</f>
        <v>{"value":21.50,"unit":"in"}</v>
      </c>
      <c r="DD1007" s="15" t="s">
        <v>823</v>
      </c>
      <c r="DE1007" s="15" t="str">
        <f>IFERROR(__xludf.DUMMYFUNCTION("""COMPUTED_VALUE"""),"{""value"":18.90,""unit"":""in""}")</f>
        <v>{"value":18.90,"unit":"in"}</v>
      </c>
      <c r="DF1007" s="15" t="s">
        <v>2019</v>
      </c>
      <c r="DG1007" s="15" t="str">
        <f>IFERROR(__xludf.DUMMYFUNCTION("""COMPUTED_VALUE"""),"{""value"":21.65,""unit"":""in""}")</f>
        <v>{"value":21.65,"unit":"in"}</v>
      </c>
      <c r="DH1007" s="15">
        <v>0.0</v>
      </c>
      <c r="DI1007" s="15">
        <v>1.0</v>
      </c>
      <c r="DJ1007" s="15" t="s">
        <v>717</v>
      </c>
      <c r="DK1007" s="15" t="s">
        <v>855</v>
      </c>
      <c r="DL1007" s="15" t="str">
        <f>IFERROR(__xludf.DUMMYFUNCTION("""COMPUTED_VALUE"""),"Clean with solvent-based (dry clean only) products. Do not use water.")</f>
        <v>Clean with solvent-based (dry clean only) products. Do not use water.</v>
      </c>
      <c r="DM1007" s="15" t="s">
        <v>856</v>
      </c>
      <c r="DQ1007" s="15" t="s">
        <v>9930</v>
      </c>
      <c r="DT1007" s="15" t="s">
        <v>1186</v>
      </c>
      <c r="DU1007" s="15" t="s">
        <v>1605</v>
      </c>
      <c r="DV1007" s="15">
        <v>0.0</v>
      </c>
      <c r="DZ1007" s="15">
        <v>25000.0</v>
      </c>
      <c r="EA1007" s="15" t="s">
        <v>722</v>
      </c>
      <c r="EB1007" s="15" t="s">
        <v>723</v>
      </c>
      <c r="EC1007" s="15" t="s">
        <v>724</v>
      </c>
      <c r="ED1007" s="15">
        <v>1.0</v>
      </c>
      <c r="EE1007" s="15">
        <v>1.0</v>
      </c>
      <c r="EG1007" s="15" t="s">
        <v>444</v>
      </c>
      <c r="EH1007" s="15" t="s">
        <v>9913</v>
      </c>
      <c r="EI1007" s="15">
        <v>0.0</v>
      </c>
      <c r="EJ1007" s="15" t="s">
        <v>726</v>
      </c>
      <c r="EK1007" s="15" t="s">
        <v>727</v>
      </c>
      <c r="EL1007" s="15" t="s">
        <v>1603</v>
      </c>
      <c r="EM1007" s="15" t="str">
        <f>IFERROR(__xludf.DUMMYFUNCTION("""COMPUTED_VALUE"""),"{""value"":22.83,""unit"":""in""}")</f>
        <v>{"value":22.83,"unit":"in"}</v>
      </c>
      <c r="EN1007" s="15" t="s">
        <v>2050</v>
      </c>
      <c r="EO1007" s="15" t="s">
        <v>3512</v>
      </c>
      <c r="ES1007" s="15" t="s">
        <v>2050</v>
      </c>
      <c r="ET1007" s="15" t="s">
        <v>761</v>
      </c>
      <c r="EU1007" s="15" t="s">
        <v>2156</v>
      </c>
      <c r="EV1007" s="15" t="s">
        <v>3129</v>
      </c>
      <c r="EW1007" s="15" t="s">
        <v>2144</v>
      </c>
      <c r="EZ1007" s="15" t="s">
        <v>1254</v>
      </c>
      <c r="FC1007" s="15" t="s">
        <v>723</v>
      </c>
      <c r="FD1007" s="15" t="s">
        <v>1076</v>
      </c>
      <c r="FE1007" s="15" t="s">
        <v>9931</v>
      </c>
      <c r="FF1007" s="15" t="s">
        <v>9931</v>
      </c>
      <c r="FO1007" s="15" t="s">
        <v>9920</v>
      </c>
      <c r="FP1007" s="15" t="s">
        <v>2652</v>
      </c>
      <c r="FQ1007" s="15">
        <v>0.0</v>
      </c>
      <c r="FR1007" s="15">
        <v>0.0</v>
      </c>
      <c r="FT1007" s="15">
        <v>0.0</v>
      </c>
      <c r="IL1007" s="15" t="s">
        <v>1610</v>
      </c>
    </row>
    <row r="1008" ht="15.75" customHeight="1">
      <c r="A1008" s="14" t="s">
        <v>391</v>
      </c>
      <c r="B1008" s="15" t="s">
        <v>9914</v>
      </c>
      <c r="C1008" s="16"/>
      <c r="D1008" s="15" t="s">
        <v>432</v>
      </c>
      <c r="G1008" s="14" t="s">
        <v>393</v>
      </c>
      <c r="H1008" s="14" t="s">
        <v>394</v>
      </c>
      <c r="I1008" s="14" t="b">
        <v>1</v>
      </c>
      <c r="J1008" s="14" t="s">
        <v>395</v>
      </c>
      <c r="L1008" s="14" t="b">
        <v>0</v>
      </c>
      <c r="M1008" s="15" t="s">
        <v>9932</v>
      </c>
      <c r="N1008" s="14" t="s">
        <v>393</v>
      </c>
      <c r="O1008" s="14" t="s">
        <v>393</v>
      </c>
      <c r="P1008" s="15" t="s">
        <v>397</v>
      </c>
      <c r="Q1008" s="15" t="s">
        <v>1081</v>
      </c>
      <c r="T1008" s="14" t="b">
        <v>0</v>
      </c>
      <c r="U1008" s="15" t="s">
        <v>9933</v>
      </c>
      <c r="V1008" s="15" t="s">
        <v>1521</v>
      </c>
      <c r="W1008" s="15" t="s">
        <v>401</v>
      </c>
      <c r="X1008" s="15" t="s">
        <v>742</v>
      </c>
      <c r="Y1008" s="15">
        <v>1157.0</v>
      </c>
      <c r="AA1008" s="15" t="str">
        <f t="shared" si="1697"/>
        <v>445</v>
      </c>
      <c r="AB1008" s="14" t="b">
        <v>1</v>
      </c>
      <c r="AC1008" s="14" t="b">
        <v>1</v>
      </c>
      <c r="AD1008" s="15" t="str">
        <f>"801542702540"</f>
        <v>801542702540</v>
      </c>
      <c r="AE1008" s="15" t="s">
        <v>9934</v>
      </c>
      <c r="AF1008" s="14" t="s">
        <v>404</v>
      </c>
      <c r="AG1008" s="14" t="s">
        <v>405</v>
      </c>
      <c r="AH1008" s="14" t="s">
        <v>406</v>
      </c>
      <c r="AI1008" s="15">
        <v>0.0</v>
      </c>
      <c r="AL1008" s="15" t="s">
        <v>9911</v>
      </c>
      <c r="AM1008" s="15" t="s">
        <v>410</v>
      </c>
      <c r="AN1008" s="15" t="s">
        <v>439</v>
      </c>
      <c r="AO1008" s="15" t="s">
        <v>913</v>
      </c>
      <c r="AP1008" s="15" t="s">
        <v>914</v>
      </c>
      <c r="AQ1008" s="15" t="s">
        <v>701</v>
      </c>
      <c r="AR1008" s="15" t="s">
        <v>702</v>
      </c>
      <c r="AS1008" s="15" t="s">
        <v>3901</v>
      </c>
      <c r="AT1008" s="15" t="s">
        <v>1081</v>
      </c>
      <c r="AW1008" s="15" t="s">
        <v>706</v>
      </c>
      <c r="AX1008" s="15" t="s">
        <v>707</v>
      </c>
      <c r="AY1008" s="15" t="s">
        <v>426</v>
      </c>
      <c r="AZ1008" s="15" t="b">
        <v>1</v>
      </c>
      <c r="BA1008" s="15" t="s">
        <v>426</v>
      </c>
      <c r="BB1008" s="15" t="b">
        <v>1</v>
      </c>
      <c r="BC1008" s="15" t="s">
        <v>9935</v>
      </c>
      <c r="BD1008" s="15" t="s">
        <v>742</v>
      </c>
      <c r="BE1008" s="15" t="str">
        <f t="shared" si="1680"/>
        <v>1</v>
      </c>
      <c r="BF1008" s="15" t="s">
        <v>416</v>
      </c>
      <c r="BG1008" s="15" t="str">
        <f t="shared" si="1698"/>
        <v>38.19</v>
      </c>
      <c r="BH1008" s="15" t="s">
        <v>3531</v>
      </c>
      <c r="BI1008" s="15" t="str">
        <f t="shared" si="1699"/>
        <v>34.45</v>
      </c>
      <c r="BJ1008" s="15" t="s">
        <v>843</v>
      </c>
      <c r="BK1008" s="15" t="str">
        <f t="shared" si="1700"/>
        <v>30.91</v>
      </c>
      <c r="BL1008" s="15" t="s">
        <v>3885</v>
      </c>
      <c r="BM1008" s="15" t="str">
        <f t="shared" si="1701"/>
        <v>96.12</v>
      </c>
      <c r="BN1008" s="15" t="s">
        <v>9929</v>
      </c>
      <c r="BQ1008" s="15" t="s">
        <v>444</v>
      </c>
      <c r="BS1008" s="15" t="s">
        <v>444</v>
      </c>
      <c r="BU1008" s="15" t="s">
        <v>444</v>
      </c>
      <c r="BW1008" s="15" t="s">
        <v>444</v>
      </c>
      <c r="BZ1008" s="15" t="s">
        <v>444</v>
      </c>
      <c r="CB1008" s="15" t="s">
        <v>444</v>
      </c>
      <c r="CD1008" s="15" t="s">
        <v>444</v>
      </c>
      <c r="CF1008" s="15" t="s">
        <v>444</v>
      </c>
      <c r="CI1008" s="15" t="s">
        <v>444</v>
      </c>
      <c r="CK1008" s="15" t="s">
        <v>444</v>
      </c>
      <c r="CM1008" s="15" t="s">
        <v>444</v>
      </c>
      <c r="CO1008" s="15" t="s">
        <v>444</v>
      </c>
      <c r="CP1008" s="15" t="str">
        <f t="shared" si="1702"/>
        <v>23.52</v>
      </c>
      <c r="CQ1008" s="15" t="str">
        <f t="shared" si="1703"/>
        <v>0.666</v>
      </c>
      <c r="CR1008" s="15" t="s">
        <v>497</v>
      </c>
      <c r="CY1008" s="15" t="s">
        <v>3512</v>
      </c>
      <c r="CZ1008" s="15" t="s">
        <v>3856</v>
      </c>
      <c r="DA1008" s="15" t="s">
        <v>2652</v>
      </c>
      <c r="DB1008" s="15" t="s">
        <v>1700</v>
      </c>
      <c r="DC1008" s="15" t="str">
        <f>IFERROR(__xludf.DUMMYFUNCTION("""COMPUTED_VALUE"""),"{""value"":21.50,""unit"":""in""}")</f>
        <v>{"value":21.50,"unit":"in"}</v>
      </c>
      <c r="DD1008" s="15" t="s">
        <v>823</v>
      </c>
      <c r="DE1008" s="15" t="str">
        <f>IFERROR(__xludf.DUMMYFUNCTION("""COMPUTED_VALUE"""),"{""value"":18.90,""unit"":""in""}")</f>
        <v>{"value":18.90,"unit":"in"}</v>
      </c>
      <c r="DF1008" s="15" t="s">
        <v>2019</v>
      </c>
      <c r="DG1008" s="15" t="str">
        <f>IFERROR(__xludf.DUMMYFUNCTION("""COMPUTED_VALUE"""),"{""value"":21.65,""unit"":""in""}")</f>
        <v>{"value":21.65,"unit":"in"}</v>
      </c>
      <c r="DH1008" s="15">
        <v>0.0</v>
      </c>
      <c r="DI1008" s="15">
        <v>1.0</v>
      </c>
      <c r="DJ1008" s="15" t="s">
        <v>717</v>
      </c>
      <c r="DK1008" s="15" t="s">
        <v>855</v>
      </c>
      <c r="DL1008" s="15" t="str">
        <f>IFERROR(__xludf.DUMMYFUNCTION("""COMPUTED_VALUE"""),"Clean with solvent-based (dry clean only) products. Do not use water.")</f>
        <v>Clean with solvent-based (dry clean only) products. Do not use water.</v>
      </c>
      <c r="DM1008" s="15" t="s">
        <v>856</v>
      </c>
      <c r="DQ1008" s="15" t="s">
        <v>9930</v>
      </c>
      <c r="DT1008" s="15" t="s">
        <v>1186</v>
      </c>
      <c r="DU1008" s="15" t="s">
        <v>1605</v>
      </c>
      <c r="DV1008" s="15">
        <v>0.0</v>
      </c>
      <c r="DZ1008" s="15">
        <v>25000.0</v>
      </c>
      <c r="EA1008" s="15" t="s">
        <v>722</v>
      </c>
      <c r="EB1008" s="15" t="s">
        <v>723</v>
      </c>
      <c r="EC1008" s="15" t="s">
        <v>724</v>
      </c>
      <c r="ED1008" s="15">
        <v>1.0</v>
      </c>
      <c r="EE1008" s="15">
        <v>1.0</v>
      </c>
      <c r="EG1008" s="15" t="s">
        <v>444</v>
      </c>
      <c r="EH1008" s="15" t="s">
        <v>9913</v>
      </c>
      <c r="EI1008" s="15">
        <v>0.0</v>
      </c>
      <c r="EJ1008" s="15" t="s">
        <v>726</v>
      </c>
      <c r="EK1008" s="15" t="s">
        <v>727</v>
      </c>
      <c r="EL1008" s="15" t="s">
        <v>1603</v>
      </c>
      <c r="EM1008" s="15" t="str">
        <f>IFERROR(__xludf.DUMMYFUNCTION("""COMPUTED_VALUE"""),"{""value"":22.83,""unit"":""in""}")</f>
        <v>{"value":22.83,"unit":"in"}</v>
      </c>
      <c r="EN1008" s="15" t="s">
        <v>2050</v>
      </c>
      <c r="EO1008" s="15" t="s">
        <v>3512</v>
      </c>
      <c r="ES1008" s="15" t="s">
        <v>2050</v>
      </c>
      <c r="ET1008" s="15" t="s">
        <v>761</v>
      </c>
      <c r="EU1008" s="15" t="s">
        <v>2156</v>
      </c>
      <c r="EV1008" s="15" t="s">
        <v>3129</v>
      </c>
      <c r="EW1008" s="15" t="s">
        <v>2144</v>
      </c>
      <c r="EZ1008" s="15" t="s">
        <v>1254</v>
      </c>
      <c r="FC1008" s="15" t="s">
        <v>723</v>
      </c>
      <c r="FD1008" s="15" t="s">
        <v>1076</v>
      </c>
      <c r="FE1008" s="15" t="s">
        <v>9931</v>
      </c>
      <c r="FF1008" s="15" t="s">
        <v>9931</v>
      </c>
      <c r="FO1008" s="15" t="s">
        <v>9920</v>
      </c>
      <c r="FP1008" s="15" t="s">
        <v>2652</v>
      </c>
      <c r="FQ1008" s="15">
        <v>0.0</v>
      </c>
      <c r="FR1008" s="15">
        <v>0.0</v>
      </c>
      <c r="FT1008" s="15">
        <v>0.0</v>
      </c>
      <c r="IL1008" s="15" t="s">
        <v>1610</v>
      </c>
    </row>
    <row r="1009" ht="15.75" customHeight="1">
      <c r="A1009" s="14" t="s">
        <v>391</v>
      </c>
      <c r="B1009" s="15" t="s">
        <v>9936</v>
      </c>
      <c r="C1009" s="16"/>
      <c r="D1009" s="15" t="s">
        <v>432</v>
      </c>
      <c r="G1009" s="14" t="s">
        <v>393</v>
      </c>
      <c r="H1009" s="14" t="s">
        <v>394</v>
      </c>
      <c r="I1009" s="14" t="b">
        <v>1</v>
      </c>
      <c r="J1009" s="14" t="s">
        <v>395</v>
      </c>
      <c r="L1009" s="14" t="b">
        <v>0</v>
      </c>
      <c r="M1009" s="15" t="s">
        <v>9937</v>
      </c>
      <c r="N1009" s="14" t="s">
        <v>393</v>
      </c>
      <c r="O1009" s="14" t="s">
        <v>393</v>
      </c>
      <c r="P1009" s="15" t="s">
        <v>397</v>
      </c>
      <c r="Q1009" s="15" t="s">
        <v>9938</v>
      </c>
      <c r="T1009" s="14" t="b">
        <v>0</v>
      </c>
      <c r="U1009" s="15" t="s">
        <v>9939</v>
      </c>
      <c r="V1009" s="15" t="s">
        <v>1171</v>
      </c>
      <c r="W1009" s="15" t="s">
        <v>401</v>
      </c>
      <c r="X1009" s="15" t="s">
        <v>1172</v>
      </c>
      <c r="Y1009" s="15">
        <v>1859.0</v>
      </c>
      <c r="AA1009" s="15" t="str">
        <f t="shared" ref="AA1009:AA1010" si="1704">"715"</f>
        <v>715</v>
      </c>
      <c r="AB1009" s="14" t="b">
        <v>1</v>
      </c>
      <c r="AC1009" s="14" t="b">
        <v>1</v>
      </c>
      <c r="AD1009" s="15" t="str">
        <f>"198394068406"</f>
        <v>198394068406</v>
      </c>
      <c r="AE1009" s="15" t="s">
        <v>9940</v>
      </c>
      <c r="AF1009" s="14" t="s">
        <v>404</v>
      </c>
      <c r="AG1009" s="14" t="s">
        <v>405</v>
      </c>
      <c r="AH1009" s="14" t="s">
        <v>406</v>
      </c>
      <c r="AI1009" s="15">
        <v>0.0</v>
      </c>
      <c r="AL1009" s="15" t="s">
        <v>9941</v>
      </c>
      <c r="AM1009" s="15" t="s">
        <v>410</v>
      </c>
      <c r="AN1009" s="15" t="s">
        <v>439</v>
      </c>
      <c r="AO1009" s="15" t="s">
        <v>1007</v>
      </c>
      <c r="AP1009" s="15" t="s">
        <v>1008</v>
      </c>
      <c r="AQ1009" s="15" t="s">
        <v>2213</v>
      </c>
      <c r="AR1009" s="15" t="s">
        <v>2214</v>
      </c>
      <c r="AS1009" s="15" t="s">
        <v>5804</v>
      </c>
      <c r="AT1009" s="15" t="s">
        <v>9938</v>
      </c>
      <c r="AU1009" s="15" t="s">
        <v>5964</v>
      </c>
      <c r="AW1009" s="15" t="s">
        <v>628</v>
      </c>
      <c r="AY1009" s="15" t="s">
        <v>413</v>
      </c>
      <c r="AZ1009" s="15" t="b">
        <v>0</v>
      </c>
      <c r="BA1009" s="15" t="s">
        <v>413</v>
      </c>
      <c r="BB1009" s="15" t="b">
        <v>0</v>
      </c>
      <c r="BD1009" s="15" t="s">
        <v>1181</v>
      </c>
      <c r="BE1009" s="15" t="str">
        <f t="shared" si="1680"/>
        <v>1</v>
      </c>
      <c r="BF1009" s="15" t="s">
        <v>416</v>
      </c>
      <c r="BG1009" s="15" t="str">
        <f t="shared" ref="BG1009:BG1010" si="1705">"36.22"</f>
        <v>36.22</v>
      </c>
      <c r="BH1009" s="15" t="s">
        <v>1779</v>
      </c>
      <c r="BI1009" s="15" t="str">
        <f t="shared" ref="BI1009:BI1010" si="1706">"22.44"</f>
        <v>22.44</v>
      </c>
      <c r="BJ1009" s="15" t="s">
        <v>1156</v>
      </c>
      <c r="BK1009" s="15" t="str">
        <f t="shared" ref="BK1009:BK1010" si="1707">"31.1"</f>
        <v>31.1</v>
      </c>
      <c r="BL1009" s="15" t="s">
        <v>1386</v>
      </c>
      <c r="BM1009" s="15" t="str">
        <f t="shared" ref="BM1009:BM1010" si="1708">"110.23"</f>
        <v>110.23</v>
      </c>
      <c r="BN1009" s="15" t="s">
        <v>1131</v>
      </c>
      <c r="BQ1009" s="15" t="s">
        <v>444</v>
      </c>
      <c r="BS1009" s="15" t="s">
        <v>444</v>
      </c>
      <c r="BU1009" s="15" t="s">
        <v>444</v>
      </c>
      <c r="BW1009" s="15" t="s">
        <v>444</v>
      </c>
      <c r="BZ1009" s="15" t="s">
        <v>444</v>
      </c>
      <c r="CB1009" s="15" t="s">
        <v>444</v>
      </c>
      <c r="CD1009" s="15" t="s">
        <v>444</v>
      </c>
      <c r="CF1009" s="15" t="s">
        <v>444</v>
      </c>
      <c r="CI1009" s="15" t="s">
        <v>444</v>
      </c>
      <c r="CK1009" s="15" t="s">
        <v>444</v>
      </c>
      <c r="CM1009" s="15" t="s">
        <v>444</v>
      </c>
      <c r="CO1009" s="15" t="s">
        <v>444</v>
      </c>
      <c r="CP1009" s="15" t="str">
        <f t="shared" ref="CP1009:CP1010" si="1709">"14.62"</f>
        <v>14.62</v>
      </c>
      <c r="CQ1009" s="15" t="str">
        <f t="shared" ref="CQ1009:CQ1010" si="1710">"0.414"</f>
        <v>0.414</v>
      </c>
      <c r="CR1009" s="15" t="s">
        <v>465</v>
      </c>
      <c r="DC1009" s="15" t="str">
        <f>IFERROR(__xludf.DUMMYFUNCTION("""COMPUTED_VALUE"""),"")</f>
        <v/>
      </c>
      <c r="DE1009" s="15" t="str">
        <f>IFERROR(__xludf.DUMMYFUNCTION("""COMPUTED_VALUE"""),"")</f>
        <v/>
      </c>
      <c r="DG1009" s="15" t="str">
        <f>IFERROR(__xludf.DUMMYFUNCTION("""COMPUTED_VALUE"""),"")</f>
        <v/>
      </c>
      <c r="DL1009" s="15" t="str">
        <f>IFERROR(__xludf.DUMMYFUNCTION("""COMPUTED_VALUE"""),"")</f>
        <v/>
      </c>
      <c r="DM1009" s="15" t="s">
        <v>444</v>
      </c>
      <c r="DN1009" s="15" t="s">
        <v>418</v>
      </c>
      <c r="DO1009" s="15">
        <v>2.0</v>
      </c>
      <c r="DP1009" s="15" t="s">
        <v>1185</v>
      </c>
      <c r="DR1009" s="15">
        <v>0.0</v>
      </c>
      <c r="DT1009" s="15" t="s">
        <v>1186</v>
      </c>
      <c r="DU1009" s="15" t="s">
        <v>421</v>
      </c>
      <c r="DY1009" s="15">
        <v>0.0</v>
      </c>
      <c r="EF1009" s="15" t="s">
        <v>471</v>
      </c>
      <c r="EG1009" s="15" t="s">
        <v>472</v>
      </c>
      <c r="EH1009" s="15" t="s">
        <v>9942</v>
      </c>
      <c r="EJ1009" s="15" t="s">
        <v>500</v>
      </c>
      <c r="EK1009" s="15" t="s">
        <v>501</v>
      </c>
      <c r="EM1009" s="15" t="str">
        <f>IFERROR(__xludf.DUMMYFUNCTION("""COMPUTED_VALUE"""),"")</f>
        <v/>
      </c>
      <c r="EW1009" s="15" t="s">
        <v>429</v>
      </c>
      <c r="FL1009" s="15" t="s">
        <v>426</v>
      </c>
      <c r="FM1009" s="15">
        <v>0.0</v>
      </c>
      <c r="GF1009" s="15" t="s">
        <v>426</v>
      </c>
      <c r="GH1009" s="15">
        <v>0.0</v>
      </c>
      <c r="GI1009" s="15" t="s">
        <v>427</v>
      </c>
      <c r="GO1009" s="15" t="s">
        <v>426</v>
      </c>
      <c r="GQ1009" s="15" t="s">
        <v>8348</v>
      </c>
      <c r="GS1009" s="15" t="s">
        <v>2272</v>
      </c>
      <c r="GU1009" s="15" t="s">
        <v>9943</v>
      </c>
      <c r="GW1009" s="15" t="s">
        <v>431</v>
      </c>
      <c r="GY1009" s="15" t="s">
        <v>420</v>
      </c>
    </row>
    <row r="1010" ht="15.75" customHeight="1">
      <c r="A1010" s="14" t="s">
        <v>391</v>
      </c>
      <c r="B1010" s="15" t="s">
        <v>9936</v>
      </c>
      <c r="C1010" s="16"/>
      <c r="D1010" s="15" t="s">
        <v>432</v>
      </c>
      <c r="G1010" s="14" t="s">
        <v>393</v>
      </c>
      <c r="H1010" s="14" t="s">
        <v>394</v>
      </c>
      <c r="I1010" s="14" t="b">
        <v>1</v>
      </c>
      <c r="J1010" s="14" t="s">
        <v>395</v>
      </c>
      <c r="L1010" s="14" t="b">
        <v>0</v>
      </c>
      <c r="M1010" s="15" t="s">
        <v>9944</v>
      </c>
      <c r="N1010" s="14" t="s">
        <v>393</v>
      </c>
      <c r="O1010" s="14" t="s">
        <v>393</v>
      </c>
      <c r="P1010" s="15" t="s">
        <v>397</v>
      </c>
      <c r="Q1010" s="15" t="s">
        <v>9945</v>
      </c>
      <c r="T1010" s="14" t="b">
        <v>0</v>
      </c>
      <c r="U1010" s="15" t="s">
        <v>9946</v>
      </c>
      <c r="V1010" s="15" t="s">
        <v>1171</v>
      </c>
      <c r="W1010" s="15" t="s">
        <v>401</v>
      </c>
      <c r="X1010" s="15" t="s">
        <v>1172</v>
      </c>
      <c r="Y1010" s="15">
        <v>1859.0</v>
      </c>
      <c r="AA1010" s="15" t="str">
        <f t="shared" si="1704"/>
        <v>715</v>
      </c>
      <c r="AB1010" s="14" t="b">
        <v>1</v>
      </c>
      <c r="AC1010" s="14" t="b">
        <v>1</v>
      </c>
      <c r="AD1010" s="15" t="str">
        <f>"801542339975"</f>
        <v>801542339975</v>
      </c>
      <c r="AE1010" s="15" t="s">
        <v>9947</v>
      </c>
      <c r="AF1010" s="14" t="s">
        <v>404</v>
      </c>
      <c r="AG1010" s="14" t="s">
        <v>405</v>
      </c>
      <c r="AH1010" s="14" t="s">
        <v>406</v>
      </c>
      <c r="AI1010" s="15">
        <v>0.0</v>
      </c>
      <c r="AL1010" s="15" t="s">
        <v>6499</v>
      </c>
      <c r="AM1010" s="15" t="s">
        <v>410</v>
      </c>
      <c r="AN1010" s="15" t="s">
        <v>439</v>
      </c>
      <c r="AO1010" s="15" t="s">
        <v>1007</v>
      </c>
      <c r="AP1010" s="15" t="s">
        <v>1008</v>
      </c>
      <c r="AQ1010" s="15" t="s">
        <v>2213</v>
      </c>
      <c r="AR1010" s="15" t="s">
        <v>2214</v>
      </c>
      <c r="AS1010" s="15" t="s">
        <v>5804</v>
      </c>
      <c r="AT1010" s="15" t="s">
        <v>9945</v>
      </c>
      <c r="AU1010" s="15" t="s">
        <v>1898</v>
      </c>
      <c r="AW1010" s="15" t="s">
        <v>628</v>
      </c>
      <c r="AY1010" s="15" t="s">
        <v>413</v>
      </c>
      <c r="AZ1010" s="15" t="b">
        <v>0</v>
      </c>
      <c r="BA1010" s="15" t="s">
        <v>413</v>
      </c>
      <c r="BB1010" s="15" t="b">
        <v>0</v>
      </c>
      <c r="BC1010" s="15" t="s">
        <v>9948</v>
      </c>
      <c r="BD1010" s="15" t="s">
        <v>1181</v>
      </c>
      <c r="BE1010" s="15" t="str">
        <f t="shared" si="1680"/>
        <v>1</v>
      </c>
      <c r="BF1010" s="15" t="s">
        <v>416</v>
      </c>
      <c r="BG1010" s="15" t="str">
        <f t="shared" si="1705"/>
        <v>36.22</v>
      </c>
      <c r="BH1010" s="15" t="s">
        <v>1779</v>
      </c>
      <c r="BI1010" s="15" t="str">
        <f t="shared" si="1706"/>
        <v>22.44</v>
      </c>
      <c r="BJ1010" s="15" t="s">
        <v>1156</v>
      </c>
      <c r="BK1010" s="15" t="str">
        <f t="shared" si="1707"/>
        <v>31.1</v>
      </c>
      <c r="BL1010" s="15" t="s">
        <v>1386</v>
      </c>
      <c r="BM1010" s="15" t="str">
        <f t="shared" si="1708"/>
        <v>110.23</v>
      </c>
      <c r="BN1010" s="15" t="s">
        <v>1131</v>
      </c>
      <c r="BQ1010" s="15" t="s">
        <v>444</v>
      </c>
      <c r="BS1010" s="15" t="s">
        <v>444</v>
      </c>
      <c r="BU1010" s="15" t="s">
        <v>444</v>
      </c>
      <c r="BW1010" s="15" t="s">
        <v>444</v>
      </c>
      <c r="BZ1010" s="15" t="s">
        <v>444</v>
      </c>
      <c r="CB1010" s="15" t="s">
        <v>444</v>
      </c>
      <c r="CD1010" s="15" t="s">
        <v>444</v>
      </c>
      <c r="CF1010" s="15" t="s">
        <v>444</v>
      </c>
      <c r="CI1010" s="15" t="s">
        <v>444</v>
      </c>
      <c r="CK1010" s="15" t="s">
        <v>444</v>
      </c>
      <c r="CM1010" s="15" t="s">
        <v>444</v>
      </c>
      <c r="CO1010" s="15" t="s">
        <v>444</v>
      </c>
      <c r="CP1010" s="15" t="str">
        <f t="shared" si="1709"/>
        <v>14.62</v>
      </c>
      <c r="CQ1010" s="15" t="str">
        <f t="shared" si="1710"/>
        <v>0.414</v>
      </c>
      <c r="CR1010" s="15" t="s">
        <v>417</v>
      </c>
      <c r="DC1010" s="15" t="str">
        <f>IFERROR(__xludf.DUMMYFUNCTION("""COMPUTED_VALUE"""),"")</f>
        <v/>
      </c>
      <c r="DE1010" s="15" t="str">
        <f>IFERROR(__xludf.DUMMYFUNCTION("""COMPUTED_VALUE"""),"")</f>
        <v/>
      </c>
      <c r="DG1010" s="15" t="str">
        <f>IFERROR(__xludf.DUMMYFUNCTION("""COMPUTED_VALUE"""),"")</f>
        <v/>
      </c>
      <c r="DL1010" s="15" t="str">
        <f>IFERROR(__xludf.DUMMYFUNCTION("""COMPUTED_VALUE"""),"")</f>
        <v/>
      </c>
      <c r="DM1010" s="15" t="s">
        <v>444</v>
      </c>
      <c r="DN1010" s="15" t="s">
        <v>418</v>
      </c>
      <c r="DO1010" s="15">
        <v>2.0</v>
      </c>
      <c r="DP1010" s="15" t="s">
        <v>1185</v>
      </c>
      <c r="DR1010" s="15">
        <v>0.0</v>
      </c>
      <c r="DT1010" s="15" t="s">
        <v>1186</v>
      </c>
      <c r="DU1010" s="15" t="s">
        <v>421</v>
      </c>
      <c r="DY1010" s="15">
        <v>0.0</v>
      </c>
      <c r="EF1010" s="15" t="s">
        <v>471</v>
      </c>
      <c r="EG1010" s="15" t="s">
        <v>472</v>
      </c>
      <c r="EH1010" s="15" t="s">
        <v>9942</v>
      </c>
      <c r="EJ1010" s="15" t="s">
        <v>500</v>
      </c>
      <c r="EK1010" s="15" t="s">
        <v>501</v>
      </c>
      <c r="EM1010" s="15" t="str">
        <f>IFERROR(__xludf.DUMMYFUNCTION("""COMPUTED_VALUE"""),"")</f>
        <v/>
      </c>
      <c r="EW1010" s="15" t="s">
        <v>429</v>
      </c>
      <c r="FL1010" s="15" t="s">
        <v>426</v>
      </c>
      <c r="FM1010" s="15">
        <v>0.0</v>
      </c>
      <c r="GF1010" s="15" t="s">
        <v>426</v>
      </c>
      <c r="GH1010" s="15">
        <v>0.0</v>
      </c>
      <c r="GI1010" s="15" t="s">
        <v>427</v>
      </c>
      <c r="GO1010" s="15" t="s">
        <v>426</v>
      </c>
      <c r="GQ1010" s="15" t="s">
        <v>8348</v>
      </c>
      <c r="GS1010" s="15" t="s">
        <v>2272</v>
      </c>
      <c r="GU1010" s="15" t="s">
        <v>9943</v>
      </c>
      <c r="GW1010" s="15" t="s">
        <v>431</v>
      </c>
      <c r="GY1010" s="15" t="s">
        <v>420</v>
      </c>
    </row>
    <row r="1011" ht="15.75" customHeight="1">
      <c r="A1011" s="14" t="s">
        <v>391</v>
      </c>
      <c r="B1011" s="15" t="s">
        <v>9949</v>
      </c>
      <c r="C1011" s="16"/>
      <c r="D1011" s="15" t="s">
        <v>432</v>
      </c>
      <c r="G1011" s="14" t="s">
        <v>393</v>
      </c>
      <c r="H1011" s="14" t="s">
        <v>394</v>
      </c>
      <c r="I1011" s="14" t="b">
        <v>1</v>
      </c>
      <c r="J1011" s="14" t="s">
        <v>395</v>
      </c>
      <c r="L1011" s="14" t="b">
        <v>0</v>
      </c>
      <c r="M1011" s="15" t="s">
        <v>9950</v>
      </c>
      <c r="N1011" s="14" t="s">
        <v>393</v>
      </c>
      <c r="O1011" s="14" t="s">
        <v>393</v>
      </c>
      <c r="P1011" s="15" t="s">
        <v>397</v>
      </c>
      <c r="Q1011" s="15" t="s">
        <v>9938</v>
      </c>
      <c r="T1011" s="14" t="b">
        <v>0</v>
      </c>
      <c r="U1011" s="15" t="s">
        <v>9951</v>
      </c>
      <c r="V1011" s="15" t="s">
        <v>9952</v>
      </c>
      <c r="W1011" s="15" t="s">
        <v>401</v>
      </c>
      <c r="X1011" s="15" t="s">
        <v>1172</v>
      </c>
      <c r="Y1011" s="15">
        <v>4368.0</v>
      </c>
      <c r="AA1011" s="15" t="str">
        <f t="shared" ref="AA1011:AA1012" si="1711">"1680"</f>
        <v>1680</v>
      </c>
      <c r="AB1011" s="14" t="b">
        <v>1</v>
      </c>
      <c r="AC1011" s="14" t="b">
        <v>1</v>
      </c>
      <c r="AD1011" s="15" t="str">
        <f>"198394074971"</f>
        <v>198394074971</v>
      </c>
      <c r="AE1011" s="15" t="s">
        <v>9953</v>
      </c>
      <c r="AF1011" s="14" t="s">
        <v>404</v>
      </c>
      <c r="AG1011" s="14" t="s">
        <v>405</v>
      </c>
      <c r="AH1011" s="14" t="s">
        <v>406</v>
      </c>
      <c r="AI1011" s="15">
        <v>0.0</v>
      </c>
      <c r="AL1011" s="15" t="s">
        <v>8980</v>
      </c>
      <c r="AM1011" s="15" t="s">
        <v>2355</v>
      </c>
      <c r="AN1011" s="15" t="s">
        <v>2356</v>
      </c>
      <c r="AO1011" s="15" t="s">
        <v>410</v>
      </c>
      <c r="AP1011" s="15" t="s">
        <v>439</v>
      </c>
      <c r="AQ1011" s="15" t="s">
        <v>1276</v>
      </c>
      <c r="AR1011" s="15" t="s">
        <v>1277</v>
      </c>
      <c r="AS1011" s="15" t="s">
        <v>5804</v>
      </c>
      <c r="AT1011" s="15" t="s">
        <v>9938</v>
      </c>
      <c r="AW1011" s="15" t="s">
        <v>2134</v>
      </c>
      <c r="AX1011" s="15" t="s">
        <v>2135</v>
      </c>
      <c r="AY1011" s="15" t="s">
        <v>413</v>
      </c>
      <c r="AZ1011" s="15" t="b">
        <v>0</v>
      </c>
      <c r="BA1011" s="15" t="s">
        <v>413</v>
      </c>
      <c r="BB1011" s="15" t="b">
        <v>0</v>
      </c>
      <c r="BC1011" s="15" t="s">
        <v>9954</v>
      </c>
      <c r="BD1011" s="15" t="s">
        <v>1181</v>
      </c>
      <c r="BE1011" s="15" t="str">
        <f t="shared" si="1680"/>
        <v>1</v>
      </c>
      <c r="BF1011" s="15" t="s">
        <v>416</v>
      </c>
      <c r="BG1011" s="15" t="str">
        <f t="shared" ref="BG1011:BG1012" si="1712">"83.46"</f>
        <v>83.46</v>
      </c>
      <c r="BH1011" s="15" t="s">
        <v>2456</v>
      </c>
      <c r="BI1011" s="15" t="str">
        <f t="shared" ref="BI1011:BI1012" si="1713">"37.2"</f>
        <v>37.2</v>
      </c>
      <c r="BJ1011" s="15" t="s">
        <v>4678</v>
      </c>
      <c r="BK1011" s="15" t="str">
        <f t="shared" ref="BK1011:BK1012" si="1714">"21.65"</f>
        <v>21.65</v>
      </c>
      <c r="BL1011" s="15" t="s">
        <v>1506</v>
      </c>
      <c r="BM1011" s="15" t="str">
        <f t="shared" ref="BM1011:BM1012" si="1715">"334"</f>
        <v>334</v>
      </c>
      <c r="BN1011" s="15" t="s">
        <v>9955</v>
      </c>
      <c r="BQ1011" s="15" t="s">
        <v>444</v>
      </c>
      <c r="BS1011" s="15" t="s">
        <v>444</v>
      </c>
      <c r="BU1011" s="15" t="s">
        <v>444</v>
      </c>
      <c r="BW1011" s="15" t="s">
        <v>444</v>
      </c>
      <c r="BZ1011" s="15" t="s">
        <v>444</v>
      </c>
      <c r="CB1011" s="15" t="s">
        <v>444</v>
      </c>
      <c r="CD1011" s="15" t="s">
        <v>444</v>
      </c>
      <c r="CF1011" s="15" t="s">
        <v>444</v>
      </c>
      <c r="CI1011" s="15" t="s">
        <v>444</v>
      </c>
      <c r="CK1011" s="15" t="s">
        <v>444</v>
      </c>
      <c r="CM1011" s="15" t="s">
        <v>444</v>
      </c>
      <c r="CO1011" s="15" t="s">
        <v>444</v>
      </c>
      <c r="CP1011" s="15" t="str">
        <f t="shared" ref="CP1011:CP1012" si="1716">"38.92"</f>
        <v>38.92</v>
      </c>
      <c r="CQ1011" s="15" t="str">
        <f t="shared" ref="CQ1011:CQ1012" si="1717">"1.102"</f>
        <v>1.102</v>
      </c>
      <c r="CR1011" s="15" t="s">
        <v>465</v>
      </c>
      <c r="DC1011" s="15" t="str">
        <f>IFERROR(__xludf.DUMMYFUNCTION("""COMPUTED_VALUE"""),"")</f>
        <v/>
      </c>
      <c r="DE1011" s="15" t="str">
        <f>IFERROR(__xludf.DUMMYFUNCTION("""COMPUTED_VALUE"""),"")</f>
        <v/>
      </c>
      <c r="DG1011" s="15" t="str">
        <f>IFERROR(__xludf.DUMMYFUNCTION("""COMPUTED_VALUE"""),"")</f>
        <v/>
      </c>
      <c r="DL1011" s="15" t="str">
        <f>IFERROR(__xludf.DUMMYFUNCTION("""COMPUTED_VALUE"""),"")</f>
        <v/>
      </c>
      <c r="DM1011" s="15" t="s">
        <v>444</v>
      </c>
      <c r="DN1011" s="15" t="s">
        <v>2600</v>
      </c>
      <c r="DO1011" s="15">
        <v>5.0</v>
      </c>
      <c r="DP1011" s="15" t="s">
        <v>419</v>
      </c>
      <c r="DR1011" s="15">
        <v>0.0</v>
      </c>
      <c r="DT1011" s="15" t="s">
        <v>1186</v>
      </c>
      <c r="DU1011" s="15" t="s">
        <v>421</v>
      </c>
      <c r="DY1011" s="15">
        <v>0.0</v>
      </c>
      <c r="EF1011" s="15" t="s">
        <v>2137</v>
      </c>
      <c r="EG1011" s="15" t="s">
        <v>2138</v>
      </c>
      <c r="EH1011" s="15" t="s">
        <v>9942</v>
      </c>
      <c r="EJ1011" s="15" t="s">
        <v>424</v>
      </c>
      <c r="EK1011" s="15" t="s">
        <v>446</v>
      </c>
      <c r="EM1011" s="15" t="str">
        <f>IFERROR(__xludf.DUMMYFUNCTION("""COMPUTED_VALUE"""),"")</f>
        <v/>
      </c>
      <c r="EW1011" s="15" t="s">
        <v>4829</v>
      </c>
      <c r="EY1011" s="15" t="s">
        <v>9956</v>
      </c>
      <c r="FK1011" s="15" t="s">
        <v>4685</v>
      </c>
      <c r="FL1011" s="15" t="s">
        <v>426</v>
      </c>
      <c r="FM1011" s="15">
        <v>0.0</v>
      </c>
      <c r="FV1011" s="15" t="s">
        <v>7171</v>
      </c>
      <c r="GF1011" s="15" t="s">
        <v>426</v>
      </c>
      <c r="GH1011" s="15">
        <v>0.0</v>
      </c>
      <c r="GI1011" s="15" t="s">
        <v>427</v>
      </c>
      <c r="GO1011" s="15" t="s">
        <v>426</v>
      </c>
      <c r="GQ1011" s="15" t="s">
        <v>8348</v>
      </c>
      <c r="GR1011" s="15" t="s">
        <v>8348</v>
      </c>
      <c r="GS1011" s="15" t="s">
        <v>8581</v>
      </c>
      <c r="GT1011" s="15" t="s">
        <v>8581</v>
      </c>
      <c r="GU1011" s="15" t="s">
        <v>3513</v>
      </c>
      <c r="GV1011" s="15" t="s">
        <v>1931</v>
      </c>
      <c r="GW1011" s="15" t="s">
        <v>838</v>
      </c>
      <c r="GY1011" s="15" t="s">
        <v>420</v>
      </c>
      <c r="HD1011" s="15">
        <v>0.0</v>
      </c>
      <c r="HX1011" s="15" t="s">
        <v>8348</v>
      </c>
      <c r="HZ1011" s="15" t="s">
        <v>9129</v>
      </c>
      <c r="IB1011" s="15" t="s">
        <v>1931</v>
      </c>
      <c r="IG1011" s="15" t="s">
        <v>426</v>
      </c>
    </row>
    <row r="1012" ht="15.75" customHeight="1">
      <c r="A1012" s="14" t="s">
        <v>391</v>
      </c>
      <c r="B1012" s="15" t="s">
        <v>9949</v>
      </c>
      <c r="C1012" s="16"/>
      <c r="D1012" s="15" t="s">
        <v>432</v>
      </c>
      <c r="G1012" s="14" t="s">
        <v>393</v>
      </c>
      <c r="H1012" s="14" t="s">
        <v>394</v>
      </c>
      <c r="I1012" s="14" t="b">
        <v>1</v>
      </c>
      <c r="J1012" s="14" t="s">
        <v>395</v>
      </c>
      <c r="L1012" s="14" t="b">
        <v>0</v>
      </c>
      <c r="M1012" s="15" t="s">
        <v>9957</v>
      </c>
      <c r="N1012" s="14" t="s">
        <v>393</v>
      </c>
      <c r="O1012" s="14" t="s">
        <v>393</v>
      </c>
      <c r="P1012" s="15" t="s">
        <v>397</v>
      </c>
      <c r="Q1012" s="15" t="s">
        <v>9945</v>
      </c>
      <c r="T1012" s="14" t="b">
        <v>0</v>
      </c>
      <c r="U1012" s="15" t="s">
        <v>9958</v>
      </c>
      <c r="V1012" s="15" t="s">
        <v>9952</v>
      </c>
      <c r="W1012" s="15" t="s">
        <v>401</v>
      </c>
      <c r="X1012" s="15" t="s">
        <v>1172</v>
      </c>
      <c r="Y1012" s="15">
        <v>4368.0</v>
      </c>
      <c r="AA1012" s="15" t="str">
        <f t="shared" si="1711"/>
        <v>1680</v>
      </c>
      <c r="AB1012" s="14" t="b">
        <v>1</v>
      </c>
      <c r="AC1012" s="14" t="b">
        <v>1</v>
      </c>
      <c r="AD1012" s="15" t="str">
        <f>"801542339944"</f>
        <v>801542339944</v>
      </c>
      <c r="AE1012" s="15" t="s">
        <v>9959</v>
      </c>
      <c r="AF1012" s="14" t="s">
        <v>404</v>
      </c>
      <c r="AG1012" s="14" t="s">
        <v>405</v>
      </c>
      <c r="AH1012" s="14" t="s">
        <v>406</v>
      </c>
      <c r="AI1012" s="15">
        <v>0.0</v>
      </c>
      <c r="AL1012" s="15" t="s">
        <v>8980</v>
      </c>
      <c r="AM1012" s="15" t="s">
        <v>2355</v>
      </c>
      <c r="AN1012" s="15" t="s">
        <v>2356</v>
      </c>
      <c r="AO1012" s="15" t="s">
        <v>410</v>
      </c>
      <c r="AP1012" s="15" t="s">
        <v>439</v>
      </c>
      <c r="AQ1012" s="15" t="s">
        <v>1276</v>
      </c>
      <c r="AR1012" s="15" t="s">
        <v>1277</v>
      </c>
      <c r="AS1012" s="15" t="s">
        <v>5804</v>
      </c>
      <c r="AT1012" s="15" t="s">
        <v>9945</v>
      </c>
      <c r="AW1012" s="15" t="s">
        <v>2134</v>
      </c>
      <c r="AX1012" s="15" t="s">
        <v>2135</v>
      </c>
      <c r="AY1012" s="15" t="s">
        <v>413</v>
      </c>
      <c r="AZ1012" s="15" t="b">
        <v>0</v>
      </c>
      <c r="BA1012" s="15" t="s">
        <v>413</v>
      </c>
      <c r="BB1012" s="15" t="b">
        <v>0</v>
      </c>
      <c r="BC1012" s="15" t="s">
        <v>9960</v>
      </c>
      <c r="BD1012" s="15" t="s">
        <v>1181</v>
      </c>
      <c r="BE1012" s="15" t="str">
        <f t="shared" si="1680"/>
        <v>1</v>
      </c>
      <c r="BF1012" s="15" t="s">
        <v>416</v>
      </c>
      <c r="BG1012" s="15" t="str">
        <f t="shared" si="1712"/>
        <v>83.46</v>
      </c>
      <c r="BH1012" s="15" t="s">
        <v>2456</v>
      </c>
      <c r="BI1012" s="15" t="str">
        <f t="shared" si="1713"/>
        <v>37.2</v>
      </c>
      <c r="BJ1012" s="15" t="s">
        <v>4678</v>
      </c>
      <c r="BK1012" s="15" t="str">
        <f t="shared" si="1714"/>
        <v>21.65</v>
      </c>
      <c r="BL1012" s="15" t="s">
        <v>1506</v>
      </c>
      <c r="BM1012" s="15" t="str">
        <f t="shared" si="1715"/>
        <v>334</v>
      </c>
      <c r="BN1012" s="15" t="s">
        <v>9955</v>
      </c>
      <c r="BQ1012" s="15" t="s">
        <v>444</v>
      </c>
      <c r="BS1012" s="15" t="s">
        <v>444</v>
      </c>
      <c r="BU1012" s="15" t="s">
        <v>444</v>
      </c>
      <c r="BW1012" s="15" t="s">
        <v>444</v>
      </c>
      <c r="BZ1012" s="15" t="s">
        <v>444</v>
      </c>
      <c r="CB1012" s="15" t="s">
        <v>444</v>
      </c>
      <c r="CD1012" s="15" t="s">
        <v>444</v>
      </c>
      <c r="CF1012" s="15" t="s">
        <v>444</v>
      </c>
      <c r="CI1012" s="15" t="s">
        <v>444</v>
      </c>
      <c r="CK1012" s="15" t="s">
        <v>444</v>
      </c>
      <c r="CM1012" s="15" t="s">
        <v>444</v>
      </c>
      <c r="CO1012" s="15" t="s">
        <v>444</v>
      </c>
      <c r="CP1012" s="15" t="str">
        <f t="shared" si="1716"/>
        <v>38.92</v>
      </c>
      <c r="CQ1012" s="15" t="str">
        <f t="shared" si="1717"/>
        <v>1.102</v>
      </c>
      <c r="CR1012" s="15" t="s">
        <v>497</v>
      </c>
      <c r="DC1012" s="15" t="str">
        <f>IFERROR(__xludf.DUMMYFUNCTION("""COMPUTED_VALUE"""),"")</f>
        <v/>
      </c>
      <c r="DE1012" s="15" t="str">
        <f>IFERROR(__xludf.DUMMYFUNCTION("""COMPUTED_VALUE"""),"")</f>
        <v/>
      </c>
      <c r="DG1012" s="15" t="str">
        <f>IFERROR(__xludf.DUMMYFUNCTION("""COMPUTED_VALUE"""),"")</f>
        <v/>
      </c>
      <c r="DL1012" s="15" t="str">
        <f>IFERROR(__xludf.DUMMYFUNCTION("""COMPUTED_VALUE"""),"")</f>
        <v/>
      </c>
      <c r="DM1012" s="15" t="s">
        <v>444</v>
      </c>
      <c r="DN1012" s="15" t="s">
        <v>2600</v>
      </c>
      <c r="DO1012" s="15">
        <v>5.0</v>
      </c>
      <c r="DP1012" s="15" t="s">
        <v>419</v>
      </c>
      <c r="DR1012" s="15">
        <v>0.0</v>
      </c>
      <c r="DT1012" s="15" t="s">
        <v>1186</v>
      </c>
      <c r="DU1012" s="15" t="s">
        <v>421</v>
      </c>
      <c r="DY1012" s="15">
        <v>0.0</v>
      </c>
      <c r="EF1012" s="15" t="s">
        <v>2137</v>
      </c>
      <c r="EG1012" s="15" t="s">
        <v>2138</v>
      </c>
      <c r="EH1012" s="15" t="s">
        <v>9942</v>
      </c>
      <c r="EJ1012" s="15" t="s">
        <v>424</v>
      </c>
      <c r="EK1012" s="15" t="s">
        <v>446</v>
      </c>
      <c r="EM1012" s="15" t="str">
        <f>IFERROR(__xludf.DUMMYFUNCTION("""COMPUTED_VALUE"""),"")</f>
        <v/>
      </c>
      <c r="EW1012" s="15" t="s">
        <v>4829</v>
      </c>
      <c r="EY1012" s="15" t="s">
        <v>9956</v>
      </c>
      <c r="FK1012" s="15" t="s">
        <v>4685</v>
      </c>
      <c r="FL1012" s="15" t="s">
        <v>426</v>
      </c>
      <c r="FM1012" s="15">
        <v>0.0</v>
      </c>
      <c r="FV1012" s="15" t="s">
        <v>7171</v>
      </c>
      <c r="GF1012" s="15" t="s">
        <v>426</v>
      </c>
      <c r="GH1012" s="15">
        <v>0.0</v>
      </c>
      <c r="GI1012" s="15" t="s">
        <v>427</v>
      </c>
      <c r="GO1012" s="15" t="s">
        <v>426</v>
      </c>
      <c r="GQ1012" s="15" t="s">
        <v>8348</v>
      </c>
      <c r="GR1012" s="15" t="s">
        <v>8348</v>
      </c>
      <c r="GS1012" s="15" t="s">
        <v>8581</v>
      </c>
      <c r="GT1012" s="15" t="s">
        <v>8581</v>
      </c>
      <c r="GU1012" s="15" t="s">
        <v>3513</v>
      </c>
      <c r="GV1012" s="15" t="s">
        <v>1931</v>
      </c>
      <c r="GW1012" s="15" t="s">
        <v>838</v>
      </c>
      <c r="GY1012" s="15" t="s">
        <v>420</v>
      </c>
      <c r="HD1012" s="15">
        <v>0.0</v>
      </c>
      <c r="HX1012" s="15" t="s">
        <v>8348</v>
      </c>
      <c r="HZ1012" s="15" t="s">
        <v>9129</v>
      </c>
      <c r="IB1012" s="15" t="s">
        <v>1931</v>
      </c>
      <c r="IG1012" s="15" t="s">
        <v>426</v>
      </c>
    </row>
    <row r="1013" ht="15.75" customHeight="1">
      <c r="A1013" s="14" t="s">
        <v>391</v>
      </c>
      <c r="B1013" s="15" t="s">
        <v>9961</v>
      </c>
      <c r="C1013" s="16"/>
      <c r="D1013" s="15" t="s">
        <v>432</v>
      </c>
      <c r="G1013" s="14" t="s">
        <v>393</v>
      </c>
      <c r="H1013" s="14" t="s">
        <v>394</v>
      </c>
      <c r="I1013" s="14" t="b">
        <v>1</v>
      </c>
      <c r="J1013" s="14" t="s">
        <v>395</v>
      </c>
      <c r="L1013" s="14" t="b">
        <v>0</v>
      </c>
      <c r="M1013" s="15" t="s">
        <v>9962</v>
      </c>
      <c r="N1013" s="14" t="s">
        <v>393</v>
      </c>
      <c r="O1013" s="14" t="s">
        <v>393</v>
      </c>
      <c r="P1013" s="15" t="s">
        <v>397</v>
      </c>
      <c r="Q1013" s="15" t="s">
        <v>9938</v>
      </c>
      <c r="T1013" s="14" t="b">
        <v>0</v>
      </c>
      <c r="U1013" s="15" t="s">
        <v>9963</v>
      </c>
      <c r="V1013" s="15" t="s">
        <v>3787</v>
      </c>
      <c r="W1013" s="15" t="s">
        <v>401</v>
      </c>
      <c r="X1013" s="15" t="s">
        <v>1172</v>
      </c>
      <c r="Y1013" s="15">
        <v>2730.0</v>
      </c>
      <c r="AA1013" s="15" t="str">
        <f t="shared" ref="AA1013:AA1014" si="1718">"1050"</f>
        <v>1050</v>
      </c>
      <c r="AB1013" s="14" t="b">
        <v>1</v>
      </c>
      <c r="AC1013" s="14" t="b">
        <v>1</v>
      </c>
      <c r="AD1013" s="15" t="str">
        <f>"198394068413"</f>
        <v>198394068413</v>
      </c>
      <c r="AE1013" s="15" t="s">
        <v>9964</v>
      </c>
      <c r="AF1013" s="14" t="s">
        <v>404</v>
      </c>
      <c r="AG1013" s="14" t="s">
        <v>405</v>
      </c>
      <c r="AH1013" s="14" t="s">
        <v>406</v>
      </c>
      <c r="AI1013" s="15">
        <v>0.0</v>
      </c>
      <c r="AL1013" s="15" t="s">
        <v>8980</v>
      </c>
      <c r="AM1013" s="15" t="s">
        <v>1299</v>
      </c>
      <c r="AN1013" s="15" t="s">
        <v>1300</v>
      </c>
      <c r="AO1013" s="15" t="s">
        <v>2557</v>
      </c>
      <c r="AP1013" s="15" t="s">
        <v>2558</v>
      </c>
      <c r="AQ1013" s="15" t="s">
        <v>546</v>
      </c>
      <c r="AR1013" s="15" t="s">
        <v>547</v>
      </c>
      <c r="AS1013" s="15" t="s">
        <v>5804</v>
      </c>
      <c r="AT1013" s="15" t="s">
        <v>9938</v>
      </c>
      <c r="AU1013" s="15" t="s">
        <v>1540</v>
      </c>
      <c r="AW1013" s="15" t="s">
        <v>548</v>
      </c>
      <c r="AX1013" s="15" t="s">
        <v>549</v>
      </c>
      <c r="AY1013" s="15" t="s">
        <v>413</v>
      </c>
      <c r="AZ1013" s="15" t="b">
        <v>0</v>
      </c>
      <c r="BA1013" s="15" t="s">
        <v>413</v>
      </c>
      <c r="BB1013" s="15" t="b">
        <v>0</v>
      </c>
      <c r="BC1013" s="15" t="s">
        <v>9965</v>
      </c>
      <c r="BD1013" s="15" t="s">
        <v>1181</v>
      </c>
      <c r="BE1013" s="15" t="str">
        <f t="shared" si="1680"/>
        <v>1</v>
      </c>
      <c r="BF1013" s="15" t="s">
        <v>416</v>
      </c>
      <c r="BG1013" s="15" t="str">
        <f t="shared" ref="BG1013:BG1014" si="1719">"101.18"</f>
        <v>101.18</v>
      </c>
      <c r="BH1013" s="15" t="s">
        <v>1565</v>
      </c>
      <c r="BI1013" s="15" t="str">
        <f t="shared" ref="BI1013:BI1014" si="1720">"47.24"</f>
        <v>47.24</v>
      </c>
      <c r="BJ1013" s="15" t="s">
        <v>2287</v>
      </c>
      <c r="BK1013" s="15" t="str">
        <f t="shared" ref="BK1013:BK1014" si="1721">"12.6"</f>
        <v>12.6</v>
      </c>
      <c r="BL1013" s="15" t="s">
        <v>819</v>
      </c>
      <c r="BM1013" s="15" t="str">
        <f t="shared" ref="BM1013:BM1014" si="1722">"298.72"</f>
        <v>298.72</v>
      </c>
      <c r="BN1013" s="15" t="s">
        <v>9966</v>
      </c>
      <c r="BQ1013" s="15" t="s">
        <v>444</v>
      </c>
      <c r="BS1013" s="15" t="s">
        <v>444</v>
      </c>
      <c r="BU1013" s="15" t="s">
        <v>444</v>
      </c>
      <c r="BW1013" s="15" t="s">
        <v>444</v>
      </c>
      <c r="BZ1013" s="15" t="s">
        <v>444</v>
      </c>
      <c r="CB1013" s="15" t="s">
        <v>444</v>
      </c>
      <c r="CD1013" s="15" t="s">
        <v>444</v>
      </c>
      <c r="CF1013" s="15" t="s">
        <v>444</v>
      </c>
      <c r="CI1013" s="15" t="s">
        <v>444</v>
      </c>
      <c r="CK1013" s="15" t="s">
        <v>444</v>
      </c>
      <c r="CM1013" s="15" t="s">
        <v>444</v>
      </c>
      <c r="CO1013" s="15" t="s">
        <v>444</v>
      </c>
      <c r="CP1013" s="15" t="str">
        <f t="shared" ref="CP1013:CP1014" si="1723">"34.86"</f>
        <v>34.86</v>
      </c>
      <c r="CQ1013" s="15" t="str">
        <f t="shared" ref="CQ1013:CQ1014" si="1724">"0.987"</f>
        <v>0.987</v>
      </c>
      <c r="CR1013" s="15" t="s">
        <v>465</v>
      </c>
      <c r="DC1013" s="15" t="str">
        <f>IFERROR(__xludf.DUMMYFUNCTION("""COMPUTED_VALUE"""),"")</f>
        <v/>
      </c>
      <c r="DE1013" s="15" t="str">
        <f>IFERROR(__xludf.DUMMYFUNCTION("""COMPUTED_VALUE"""),"")</f>
        <v/>
      </c>
      <c r="DG1013" s="15" t="str">
        <f>IFERROR(__xludf.DUMMYFUNCTION("""COMPUTED_VALUE"""),"")</f>
        <v/>
      </c>
      <c r="DL1013" s="15" t="str">
        <f>IFERROR(__xludf.DUMMYFUNCTION("""COMPUTED_VALUE"""),"")</f>
        <v/>
      </c>
      <c r="DM1013" s="15" t="s">
        <v>444</v>
      </c>
      <c r="DN1013" s="15" t="s">
        <v>419</v>
      </c>
      <c r="DO1013" s="15">
        <v>0.0</v>
      </c>
      <c r="DP1013" s="15" t="s">
        <v>419</v>
      </c>
      <c r="DR1013" s="15">
        <v>0.0</v>
      </c>
      <c r="DT1013" s="15" t="s">
        <v>1186</v>
      </c>
      <c r="DU1013" s="15" t="s">
        <v>419</v>
      </c>
      <c r="DW1013" s="15">
        <v>0.0</v>
      </c>
      <c r="DX1013" s="15">
        <v>0.0</v>
      </c>
      <c r="DY1013" s="15">
        <v>0.0</v>
      </c>
      <c r="EE1013" s="15">
        <v>10.0</v>
      </c>
      <c r="EF1013" s="15" t="s">
        <v>471</v>
      </c>
      <c r="EG1013" s="15" t="s">
        <v>472</v>
      </c>
      <c r="EH1013" s="15" t="s">
        <v>9942</v>
      </c>
      <c r="EJ1013" s="15" t="s">
        <v>424</v>
      </c>
      <c r="EK1013" s="15" t="s">
        <v>446</v>
      </c>
      <c r="EM1013" s="15" t="str">
        <f>IFERROR(__xludf.DUMMYFUNCTION("""COMPUTED_VALUE"""),"")</f>
        <v/>
      </c>
      <c r="EW1013" s="15" t="s">
        <v>9967</v>
      </c>
      <c r="EY1013" s="15" t="s">
        <v>9968</v>
      </c>
      <c r="FH1013" s="15" t="s">
        <v>2500</v>
      </c>
      <c r="FI1013" s="15" t="s">
        <v>9969</v>
      </c>
      <c r="FJ1013" s="15" t="s">
        <v>2603</v>
      </c>
      <c r="FK1013" s="15" t="s">
        <v>4685</v>
      </c>
      <c r="FL1013" s="15" t="s">
        <v>426</v>
      </c>
      <c r="FM1013" s="15">
        <v>0.0</v>
      </c>
      <c r="FN1013" s="15">
        <v>0.0</v>
      </c>
      <c r="FU1013" s="15" t="s">
        <v>1807</v>
      </c>
      <c r="FV1013" s="15" t="s">
        <v>9967</v>
      </c>
      <c r="FW1013" s="15" t="s">
        <v>1014</v>
      </c>
      <c r="FX1013" s="15" t="s">
        <v>3694</v>
      </c>
    </row>
    <row r="1014" ht="15.75" customHeight="1">
      <c r="A1014" s="14" t="s">
        <v>391</v>
      </c>
      <c r="B1014" s="15" t="s">
        <v>9961</v>
      </c>
      <c r="C1014" s="16"/>
      <c r="D1014" s="15" t="s">
        <v>432</v>
      </c>
      <c r="G1014" s="14" t="s">
        <v>393</v>
      </c>
      <c r="H1014" s="14" t="s">
        <v>394</v>
      </c>
      <c r="I1014" s="14" t="b">
        <v>1</v>
      </c>
      <c r="J1014" s="14" t="s">
        <v>395</v>
      </c>
      <c r="L1014" s="14" t="b">
        <v>0</v>
      </c>
      <c r="M1014" s="15" t="s">
        <v>9970</v>
      </c>
      <c r="N1014" s="14" t="s">
        <v>393</v>
      </c>
      <c r="O1014" s="14" t="s">
        <v>393</v>
      </c>
      <c r="P1014" s="15" t="s">
        <v>397</v>
      </c>
      <c r="Q1014" s="15" t="s">
        <v>9945</v>
      </c>
      <c r="T1014" s="14" t="b">
        <v>0</v>
      </c>
      <c r="U1014" s="15" t="s">
        <v>9971</v>
      </c>
      <c r="V1014" s="15" t="s">
        <v>3787</v>
      </c>
      <c r="W1014" s="15" t="s">
        <v>401</v>
      </c>
      <c r="X1014" s="15" t="s">
        <v>1172</v>
      </c>
      <c r="Y1014" s="15">
        <v>2730.0</v>
      </c>
      <c r="AA1014" s="15" t="str">
        <f t="shared" si="1718"/>
        <v>1050</v>
      </c>
      <c r="AB1014" s="14" t="b">
        <v>1</v>
      </c>
      <c r="AC1014" s="14" t="b">
        <v>1</v>
      </c>
      <c r="AD1014" s="15" t="str">
        <f>"801542330699"</f>
        <v>801542330699</v>
      </c>
      <c r="AE1014" s="15" t="s">
        <v>9972</v>
      </c>
      <c r="AF1014" s="14" t="s">
        <v>404</v>
      </c>
      <c r="AG1014" s="14" t="s">
        <v>405</v>
      </c>
      <c r="AH1014" s="14" t="s">
        <v>406</v>
      </c>
      <c r="AI1014" s="15">
        <v>0.0</v>
      </c>
      <c r="AL1014" s="15" t="s">
        <v>8980</v>
      </c>
      <c r="AM1014" s="15" t="s">
        <v>1299</v>
      </c>
      <c r="AN1014" s="15" t="s">
        <v>1300</v>
      </c>
      <c r="AO1014" s="15" t="s">
        <v>2557</v>
      </c>
      <c r="AP1014" s="15" t="s">
        <v>2558</v>
      </c>
      <c r="AQ1014" s="15" t="s">
        <v>546</v>
      </c>
      <c r="AR1014" s="15" t="s">
        <v>547</v>
      </c>
      <c r="AS1014" s="15" t="s">
        <v>5804</v>
      </c>
      <c r="AT1014" s="15" t="s">
        <v>9945</v>
      </c>
      <c r="AU1014" s="15" t="s">
        <v>9973</v>
      </c>
      <c r="AW1014" s="15" t="s">
        <v>548</v>
      </c>
      <c r="AX1014" s="15" t="s">
        <v>549</v>
      </c>
      <c r="AY1014" s="15" t="s">
        <v>413</v>
      </c>
      <c r="AZ1014" s="15" t="b">
        <v>0</v>
      </c>
      <c r="BA1014" s="15" t="s">
        <v>413</v>
      </c>
      <c r="BB1014" s="15" t="b">
        <v>0</v>
      </c>
      <c r="BC1014" s="15" t="s">
        <v>9965</v>
      </c>
      <c r="BD1014" s="15" t="s">
        <v>1181</v>
      </c>
      <c r="BE1014" s="15" t="str">
        <f t="shared" si="1680"/>
        <v>1</v>
      </c>
      <c r="BF1014" s="15" t="s">
        <v>416</v>
      </c>
      <c r="BG1014" s="15" t="str">
        <f t="shared" si="1719"/>
        <v>101.18</v>
      </c>
      <c r="BH1014" s="15" t="s">
        <v>1565</v>
      </c>
      <c r="BI1014" s="15" t="str">
        <f t="shared" si="1720"/>
        <v>47.24</v>
      </c>
      <c r="BJ1014" s="15" t="s">
        <v>2287</v>
      </c>
      <c r="BK1014" s="15" t="str">
        <f t="shared" si="1721"/>
        <v>12.6</v>
      </c>
      <c r="BL1014" s="15" t="s">
        <v>819</v>
      </c>
      <c r="BM1014" s="15" t="str">
        <f t="shared" si="1722"/>
        <v>298.72</v>
      </c>
      <c r="BN1014" s="15" t="s">
        <v>9966</v>
      </c>
      <c r="BQ1014" s="15" t="s">
        <v>444</v>
      </c>
      <c r="BS1014" s="15" t="s">
        <v>444</v>
      </c>
      <c r="BU1014" s="15" t="s">
        <v>444</v>
      </c>
      <c r="BW1014" s="15" t="s">
        <v>444</v>
      </c>
      <c r="BZ1014" s="15" t="s">
        <v>444</v>
      </c>
      <c r="CB1014" s="15" t="s">
        <v>444</v>
      </c>
      <c r="CD1014" s="15" t="s">
        <v>444</v>
      </c>
      <c r="CF1014" s="15" t="s">
        <v>444</v>
      </c>
      <c r="CI1014" s="15" t="s">
        <v>444</v>
      </c>
      <c r="CK1014" s="15" t="s">
        <v>444</v>
      </c>
      <c r="CM1014" s="15" t="s">
        <v>444</v>
      </c>
      <c r="CO1014" s="15" t="s">
        <v>444</v>
      </c>
      <c r="CP1014" s="15" t="str">
        <f t="shared" si="1723"/>
        <v>34.86</v>
      </c>
      <c r="CQ1014" s="15" t="str">
        <f t="shared" si="1724"/>
        <v>0.987</v>
      </c>
      <c r="CR1014" s="15" t="s">
        <v>465</v>
      </c>
      <c r="DC1014" s="15" t="str">
        <f>IFERROR(__xludf.DUMMYFUNCTION("""COMPUTED_VALUE"""),"")</f>
        <v/>
      </c>
      <c r="DE1014" s="15" t="str">
        <f>IFERROR(__xludf.DUMMYFUNCTION("""COMPUTED_VALUE"""),"")</f>
        <v/>
      </c>
      <c r="DG1014" s="15" t="str">
        <f>IFERROR(__xludf.DUMMYFUNCTION("""COMPUTED_VALUE"""),"")</f>
        <v/>
      </c>
      <c r="DL1014" s="15" t="str">
        <f>IFERROR(__xludf.DUMMYFUNCTION("""COMPUTED_VALUE"""),"")</f>
        <v/>
      </c>
      <c r="DM1014" s="15" t="s">
        <v>444</v>
      </c>
      <c r="DN1014" s="15" t="s">
        <v>419</v>
      </c>
      <c r="DO1014" s="15">
        <v>0.0</v>
      </c>
      <c r="DP1014" s="15" t="s">
        <v>419</v>
      </c>
      <c r="DR1014" s="15">
        <v>0.0</v>
      </c>
      <c r="DT1014" s="15" t="s">
        <v>1186</v>
      </c>
      <c r="DU1014" s="15" t="s">
        <v>419</v>
      </c>
      <c r="DW1014" s="15">
        <v>0.0</v>
      </c>
      <c r="DX1014" s="15">
        <v>0.0</v>
      </c>
      <c r="DY1014" s="15">
        <v>0.0</v>
      </c>
      <c r="EE1014" s="15">
        <v>10.0</v>
      </c>
      <c r="EF1014" s="15" t="s">
        <v>471</v>
      </c>
      <c r="EG1014" s="15" t="s">
        <v>472</v>
      </c>
      <c r="EH1014" s="15" t="s">
        <v>9942</v>
      </c>
      <c r="EJ1014" s="15" t="s">
        <v>424</v>
      </c>
      <c r="EK1014" s="15" t="s">
        <v>446</v>
      </c>
      <c r="EM1014" s="15" t="str">
        <f>IFERROR(__xludf.DUMMYFUNCTION("""COMPUTED_VALUE"""),"")</f>
        <v/>
      </c>
      <c r="EW1014" s="15" t="s">
        <v>9967</v>
      </c>
      <c r="EY1014" s="15" t="s">
        <v>9968</v>
      </c>
      <c r="FH1014" s="15" t="s">
        <v>2500</v>
      </c>
      <c r="FI1014" s="15" t="s">
        <v>9969</v>
      </c>
      <c r="FJ1014" s="15" t="s">
        <v>2603</v>
      </c>
      <c r="FK1014" s="15" t="s">
        <v>4685</v>
      </c>
      <c r="FL1014" s="15" t="s">
        <v>426</v>
      </c>
      <c r="FM1014" s="15">
        <v>0.0</v>
      </c>
      <c r="FN1014" s="15">
        <v>0.0</v>
      </c>
      <c r="FU1014" s="15" t="s">
        <v>1807</v>
      </c>
      <c r="FV1014" s="15" t="s">
        <v>9967</v>
      </c>
      <c r="FW1014" s="15" t="s">
        <v>1014</v>
      </c>
      <c r="FX1014" s="15" t="s">
        <v>3694</v>
      </c>
    </row>
    <row r="1015" ht="15.75" customHeight="1">
      <c r="A1015" s="14" t="s">
        <v>391</v>
      </c>
      <c r="B1015" s="15" t="s">
        <v>9974</v>
      </c>
      <c r="C1015" s="16"/>
      <c r="D1015" s="15" t="s">
        <v>432</v>
      </c>
      <c r="G1015" s="14" t="s">
        <v>393</v>
      </c>
      <c r="H1015" s="14" t="s">
        <v>394</v>
      </c>
      <c r="I1015" s="14" t="b">
        <v>1</v>
      </c>
      <c r="J1015" s="14" t="s">
        <v>395</v>
      </c>
      <c r="L1015" s="14" t="b">
        <v>0</v>
      </c>
      <c r="M1015" s="15" t="s">
        <v>9975</v>
      </c>
      <c r="N1015" s="14" t="s">
        <v>393</v>
      </c>
      <c r="O1015" s="14" t="s">
        <v>393</v>
      </c>
      <c r="P1015" s="15" t="s">
        <v>397</v>
      </c>
      <c r="Q1015" s="15" t="s">
        <v>1540</v>
      </c>
      <c r="T1015" s="14" t="b">
        <v>0</v>
      </c>
      <c r="U1015" s="15" t="s">
        <v>9976</v>
      </c>
      <c r="V1015" s="15" t="s">
        <v>5789</v>
      </c>
      <c r="W1015" s="15" t="s">
        <v>401</v>
      </c>
      <c r="X1015" s="15" t="s">
        <v>1172</v>
      </c>
      <c r="Y1015" s="15">
        <v>2847.0</v>
      </c>
      <c r="AA1015" s="15" t="str">
        <f t="shared" ref="AA1015:AA1017" si="1725">"1095"</f>
        <v>1095</v>
      </c>
      <c r="AB1015" s="14" t="b">
        <v>1</v>
      </c>
      <c r="AC1015" s="14" t="b">
        <v>1</v>
      </c>
      <c r="AD1015" s="15" t="str">
        <f>"198394068420"</f>
        <v>198394068420</v>
      </c>
      <c r="AE1015" s="15" t="s">
        <v>9977</v>
      </c>
      <c r="AF1015" s="14" t="s">
        <v>404</v>
      </c>
      <c r="AG1015" s="14" t="s">
        <v>405</v>
      </c>
      <c r="AH1015" s="14" t="s">
        <v>406</v>
      </c>
      <c r="AI1015" s="15">
        <v>0.0</v>
      </c>
      <c r="AL1015" s="15" t="s">
        <v>9978</v>
      </c>
      <c r="AM1015" s="15" t="s">
        <v>1026</v>
      </c>
      <c r="AN1015" s="15" t="s">
        <v>1027</v>
      </c>
      <c r="AO1015" s="15" t="s">
        <v>1007</v>
      </c>
      <c r="AP1015" s="15" t="s">
        <v>1008</v>
      </c>
      <c r="AQ1015" s="15" t="s">
        <v>546</v>
      </c>
      <c r="AR1015" s="15" t="s">
        <v>547</v>
      </c>
      <c r="AS1015" s="15" t="s">
        <v>5804</v>
      </c>
      <c r="AT1015" s="15" t="s">
        <v>1540</v>
      </c>
      <c r="AU1015" s="15" t="s">
        <v>9938</v>
      </c>
      <c r="AW1015" s="15" t="s">
        <v>664</v>
      </c>
      <c r="AY1015" s="15" t="s">
        <v>413</v>
      </c>
      <c r="AZ1015" s="15" t="b">
        <v>0</v>
      </c>
      <c r="BA1015" s="15" t="s">
        <v>413</v>
      </c>
      <c r="BB1015" s="15" t="b">
        <v>0</v>
      </c>
      <c r="BC1015" s="15" t="s">
        <v>9979</v>
      </c>
      <c r="BD1015" s="15" t="s">
        <v>1181</v>
      </c>
      <c r="BE1015" s="15" t="str">
        <f t="shared" si="1680"/>
        <v>1</v>
      </c>
      <c r="BF1015" s="15" t="s">
        <v>416</v>
      </c>
      <c r="BG1015" s="15" t="str">
        <f>"86.22"</f>
        <v>86.22</v>
      </c>
      <c r="BH1015" s="15" t="s">
        <v>5861</v>
      </c>
      <c r="BI1015" s="15" t="str">
        <f>"22.44"</f>
        <v>22.44</v>
      </c>
      <c r="BJ1015" s="15" t="s">
        <v>1156</v>
      </c>
      <c r="BK1015" s="15" t="str">
        <f>"36.02"</f>
        <v>36.02</v>
      </c>
      <c r="BL1015" s="15" t="s">
        <v>4053</v>
      </c>
      <c r="BM1015" s="15" t="str">
        <f>"242.51"</f>
        <v>242.51</v>
      </c>
      <c r="BN1015" s="15" t="s">
        <v>6676</v>
      </c>
      <c r="BQ1015" s="15" t="s">
        <v>444</v>
      </c>
      <c r="BS1015" s="15" t="s">
        <v>444</v>
      </c>
      <c r="BU1015" s="15" t="s">
        <v>444</v>
      </c>
      <c r="BW1015" s="15" t="s">
        <v>444</v>
      </c>
      <c r="BZ1015" s="15" t="s">
        <v>444</v>
      </c>
      <c r="CB1015" s="15" t="s">
        <v>444</v>
      </c>
      <c r="CD1015" s="15" t="s">
        <v>444</v>
      </c>
      <c r="CF1015" s="15" t="s">
        <v>444</v>
      </c>
      <c r="CI1015" s="15" t="s">
        <v>444</v>
      </c>
      <c r="CK1015" s="15" t="s">
        <v>444</v>
      </c>
      <c r="CM1015" s="15" t="s">
        <v>444</v>
      </c>
      <c r="CO1015" s="15" t="s">
        <v>444</v>
      </c>
      <c r="CP1015" s="15" t="str">
        <f>"40.33"</f>
        <v>40.33</v>
      </c>
      <c r="CQ1015" s="15" t="str">
        <f>"1.142"</f>
        <v>1.142</v>
      </c>
      <c r="CR1015" s="15" t="s">
        <v>465</v>
      </c>
      <c r="CV1015" s="15" t="s">
        <v>2080</v>
      </c>
      <c r="CW1015" s="15" t="s">
        <v>2842</v>
      </c>
      <c r="CX1015" s="15" t="s">
        <v>9980</v>
      </c>
      <c r="DC1015" s="15" t="str">
        <f>IFERROR(__xludf.DUMMYFUNCTION("""COMPUTED_VALUE"""),"")</f>
        <v/>
      </c>
      <c r="DE1015" s="15" t="str">
        <f>IFERROR(__xludf.DUMMYFUNCTION("""COMPUTED_VALUE"""),"")</f>
        <v/>
      </c>
      <c r="DG1015" s="15" t="str">
        <f>IFERROR(__xludf.DUMMYFUNCTION("""COMPUTED_VALUE"""),"")</f>
        <v/>
      </c>
      <c r="DL1015" s="15" t="str">
        <f>IFERROR(__xludf.DUMMYFUNCTION("""COMPUTED_VALUE"""),"")</f>
        <v/>
      </c>
      <c r="DM1015" s="15" t="s">
        <v>444</v>
      </c>
      <c r="DN1015" s="15" t="s">
        <v>419</v>
      </c>
      <c r="DO1015" s="15">
        <v>0.0</v>
      </c>
      <c r="DP1015" s="15" t="s">
        <v>419</v>
      </c>
      <c r="DR1015" s="15">
        <v>0.0</v>
      </c>
      <c r="DT1015" s="15" t="s">
        <v>1186</v>
      </c>
      <c r="DU1015" s="15" t="s">
        <v>610</v>
      </c>
      <c r="DW1015" s="15">
        <v>18.14</v>
      </c>
      <c r="DX1015" s="15">
        <v>40.0</v>
      </c>
      <c r="DY1015" s="15">
        <v>2.0</v>
      </c>
      <c r="EG1015" s="15" t="s">
        <v>444</v>
      </c>
      <c r="EH1015" s="15" t="s">
        <v>9942</v>
      </c>
      <c r="EJ1015" s="15" t="s">
        <v>424</v>
      </c>
      <c r="EK1015" s="15" t="s">
        <v>446</v>
      </c>
      <c r="EM1015" s="15" t="str">
        <f>IFERROR(__xludf.DUMMYFUNCTION("""COMPUTED_VALUE"""),"")</f>
        <v/>
      </c>
      <c r="EW1015" s="15" t="s">
        <v>429</v>
      </c>
      <c r="FL1015" s="15" t="s">
        <v>426</v>
      </c>
      <c r="FM1015" s="15">
        <v>2.0</v>
      </c>
      <c r="FY1015" s="15" t="s">
        <v>2312</v>
      </c>
      <c r="FZ1015" s="15" t="s">
        <v>3130</v>
      </c>
      <c r="GA1015" s="15" t="s">
        <v>1515</v>
      </c>
      <c r="GB1015" s="15" t="s">
        <v>5123</v>
      </c>
      <c r="GC1015" s="15" t="s">
        <v>612</v>
      </c>
      <c r="GD1015" s="15" t="s">
        <v>9981</v>
      </c>
      <c r="GE1015" s="15">
        <v>0.0</v>
      </c>
      <c r="GF1015" s="15" t="s">
        <v>426</v>
      </c>
      <c r="GH1015" s="15">
        <v>4.0</v>
      </c>
      <c r="GI1015" s="15" t="s">
        <v>614</v>
      </c>
      <c r="GJ1015" s="15" t="s">
        <v>1045</v>
      </c>
      <c r="GK1015" s="15">
        <v>0.0</v>
      </c>
      <c r="GL1015" s="15" t="s">
        <v>426</v>
      </c>
      <c r="GN1015" s="15" t="s">
        <v>616</v>
      </c>
      <c r="HA1015" s="15" t="s">
        <v>2080</v>
      </c>
      <c r="HB1015" s="15" t="s">
        <v>2842</v>
      </c>
      <c r="HC1015" s="15" t="s">
        <v>9980</v>
      </c>
      <c r="HW1015" s="15" t="s">
        <v>789</v>
      </c>
      <c r="IH1015" s="15" t="s">
        <v>426</v>
      </c>
    </row>
    <row r="1016" ht="15.75" customHeight="1">
      <c r="A1016" s="14" t="s">
        <v>391</v>
      </c>
      <c r="B1016" s="15" t="s">
        <v>9982</v>
      </c>
      <c r="C1016" s="16"/>
      <c r="D1016" s="15" t="s">
        <v>432</v>
      </c>
      <c r="G1016" s="14" t="s">
        <v>393</v>
      </c>
      <c r="H1016" s="14" t="s">
        <v>394</v>
      </c>
      <c r="I1016" s="14" t="b">
        <v>1</v>
      </c>
      <c r="J1016" s="14" t="s">
        <v>395</v>
      </c>
      <c r="L1016" s="14" t="b">
        <v>0</v>
      </c>
      <c r="M1016" s="15" t="s">
        <v>9983</v>
      </c>
      <c r="N1016" s="14" t="s">
        <v>393</v>
      </c>
      <c r="O1016" s="14" t="s">
        <v>393</v>
      </c>
      <c r="P1016" s="15" t="s">
        <v>397</v>
      </c>
      <c r="Q1016" s="15" t="s">
        <v>9984</v>
      </c>
      <c r="R1016" s="15" t="s">
        <v>839</v>
      </c>
      <c r="S1016" s="15" t="s">
        <v>877</v>
      </c>
      <c r="T1016" s="14" t="b">
        <v>0</v>
      </c>
      <c r="U1016" s="15" t="s">
        <v>9985</v>
      </c>
      <c r="V1016" s="15" t="s">
        <v>8026</v>
      </c>
      <c r="W1016" s="15" t="s">
        <v>401</v>
      </c>
      <c r="X1016" s="15" t="s">
        <v>742</v>
      </c>
      <c r="Y1016" s="15">
        <v>2847.0</v>
      </c>
      <c r="AA1016" s="15" t="str">
        <f t="shared" si="1725"/>
        <v>1095</v>
      </c>
      <c r="AB1016" s="14" t="b">
        <v>1</v>
      </c>
      <c r="AC1016" s="14" t="b">
        <v>1</v>
      </c>
      <c r="AD1016" s="15" t="str">
        <f>"801542093532"</f>
        <v>801542093532</v>
      </c>
      <c r="AE1016" s="15" t="s">
        <v>9986</v>
      </c>
      <c r="AF1016" s="14" t="s">
        <v>404</v>
      </c>
      <c r="AG1016" s="14" t="s">
        <v>405</v>
      </c>
      <c r="AH1016" s="14" t="s">
        <v>406</v>
      </c>
      <c r="AI1016" s="15">
        <v>0.0</v>
      </c>
      <c r="AL1016" s="15" t="s">
        <v>2354</v>
      </c>
      <c r="AM1016" s="15" t="s">
        <v>3943</v>
      </c>
      <c r="AN1016" s="15" t="s">
        <v>3944</v>
      </c>
      <c r="AO1016" s="15" t="s">
        <v>3092</v>
      </c>
      <c r="AP1016" s="15" t="s">
        <v>3093</v>
      </c>
      <c r="AQ1016" s="15" t="s">
        <v>2088</v>
      </c>
      <c r="AR1016" s="15" t="s">
        <v>2089</v>
      </c>
      <c r="AS1016" s="15" t="s">
        <v>1101</v>
      </c>
      <c r="AT1016" s="15" t="s">
        <v>5956</v>
      </c>
      <c r="AU1016" s="15" t="s">
        <v>9984</v>
      </c>
      <c r="AW1016" s="15" t="s">
        <v>839</v>
      </c>
      <c r="AX1016" s="15" t="s">
        <v>877</v>
      </c>
      <c r="AY1016" s="15" t="s">
        <v>413</v>
      </c>
      <c r="AZ1016" s="15" t="b">
        <v>0</v>
      </c>
      <c r="BA1016" s="15" t="s">
        <v>413</v>
      </c>
      <c r="BB1016" s="15" t="b">
        <v>0</v>
      </c>
      <c r="BC1016" s="15" t="s">
        <v>9987</v>
      </c>
      <c r="BD1016" s="15" t="s">
        <v>742</v>
      </c>
      <c r="BE1016" s="15" t="str">
        <f t="shared" ref="BE1016:BE1019" si="1726">"2"</f>
        <v>2</v>
      </c>
      <c r="BF1016" s="15" t="s">
        <v>980</v>
      </c>
      <c r="BG1016" s="15" t="str">
        <f t="shared" ref="BG1016:BG1017" si="1727">"70.08"</f>
        <v>70.08</v>
      </c>
      <c r="BH1016" s="15" t="s">
        <v>957</v>
      </c>
      <c r="BI1016" s="15" t="str">
        <f t="shared" ref="BI1016:BI1019" si="1728">"52.36"</f>
        <v>52.36</v>
      </c>
      <c r="BJ1016" s="15" t="s">
        <v>5314</v>
      </c>
      <c r="BK1016" s="15" t="str">
        <f t="shared" ref="BK1016:BK1019" si="1729">"9.84"</f>
        <v>9.84</v>
      </c>
      <c r="BL1016" s="15" t="s">
        <v>2964</v>
      </c>
      <c r="BM1016" s="15" t="str">
        <f t="shared" ref="BM1016:BM1017" si="1730">"170.86"</f>
        <v>170.86</v>
      </c>
      <c r="BN1016" s="15" t="s">
        <v>6951</v>
      </c>
      <c r="BO1016" s="15" t="s">
        <v>980</v>
      </c>
      <c r="BP1016" s="15" t="str">
        <f t="shared" ref="BP1016:BP1017" si="1731">"86.42"</f>
        <v>86.42</v>
      </c>
      <c r="BQ1016" s="15" t="s">
        <v>6945</v>
      </c>
      <c r="BR1016" s="15" t="str">
        <f t="shared" ref="BR1016:BR1017" si="1732">"13.19"</f>
        <v>13.19</v>
      </c>
      <c r="BS1016" s="15" t="s">
        <v>9988</v>
      </c>
      <c r="BT1016" s="15" t="str">
        <f t="shared" ref="BT1016:BT1017" si="1733">"8.27"</f>
        <v>8.27</v>
      </c>
      <c r="BU1016" s="15" t="s">
        <v>1106</v>
      </c>
      <c r="BV1016" s="15" t="str">
        <f t="shared" ref="BV1016:BV1017" si="1734">"48.5"</f>
        <v>48.5</v>
      </c>
      <c r="BW1016" s="15" t="s">
        <v>3578</v>
      </c>
      <c r="BZ1016" s="15" t="s">
        <v>444</v>
      </c>
      <c r="CB1016" s="15" t="s">
        <v>444</v>
      </c>
      <c r="CD1016" s="15" t="s">
        <v>444</v>
      </c>
      <c r="CF1016" s="15" t="s">
        <v>444</v>
      </c>
      <c r="CI1016" s="15" t="s">
        <v>444</v>
      </c>
      <c r="CK1016" s="15" t="s">
        <v>444</v>
      </c>
      <c r="CM1016" s="15" t="s">
        <v>444</v>
      </c>
      <c r="CO1016" s="15" t="s">
        <v>444</v>
      </c>
      <c r="CP1016" s="15" t="str">
        <f t="shared" ref="CP1016:CP1017" si="1735">"26.34"</f>
        <v>26.34</v>
      </c>
      <c r="CQ1016" s="15" t="str">
        <f t="shared" ref="CQ1016:CQ1017" si="1736">"0.746"</f>
        <v>0.746</v>
      </c>
      <c r="CR1016" s="15" t="s">
        <v>417</v>
      </c>
      <c r="DC1016" s="15" t="str">
        <f>IFERROR(__xludf.DUMMYFUNCTION("""COMPUTED_VALUE"""),"")</f>
        <v/>
      </c>
      <c r="DE1016" s="15" t="str">
        <f>IFERROR(__xludf.DUMMYFUNCTION("""COMPUTED_VALUE"""),"")</f>
        <v/>
      </c>
      <c r="DG1016" s="15" t="str">
        <f>IFERROR(__xludf.DUMMYFUNCTION("""COMPUTED_VALUE"""),"")</f>
        <v/>
      </c>
      <c r="DL1016" s="15" t="str">
        <f>IFERROR(__xludf.DUMMYFUNCTION("""COMPUTED_VALUE"""),"")</f>
        <v/>
      </c>
      <c r="DM1016" s="15" t="s">
        <v>444</v>
      </c>
      <c r="DN1016" s="15" t="s">
        <v>419</v>
      </c>
      <c r="DO1016" s="15">
        <v>0.0</v>
      </c>
      <c r="DP1016" s="15" t="s">
        <v>419</v>
      </c>
      <c r="DR1016" s="15">
        <v>0.0</v>
      </c>
      <c r="DT1016" s="15" t="s">
        <v>721</v>
      </c>
      <c r="DU1016" s="15" t="s">
        <v>419</v>
      </c>
      <c r="DW1016" s="15">
        <v>0.0</v>
      </c>
      <c r="DX1016" s="15">
        <v>0.0</v>
      </c>
      <c r="DY1016" s="15">
        <v>0.0</v>
      </c>
      <c r="EG1016" s="15" t="s">
        <v>444</v>
      </c>
      <c r="EH1016" s="15" t="s">
        <v>9989</v>
      </c>
      <c r="EJ1016" s="15" t="s">
        <v>858</v>
      </c>
      <c r="EK1016" s="15" t="s">
        <v>859</v>
      </c>
      <c r="EM1016" s="15" t="str">
        <f>IFERROR(__xludf.DUMMYFUNCTION("""COMPUTED_VALUE"""),"")</f>
        <v/>
      </c>
      <c r="FM1016" s="15">
        <v>0.0</v>
      </c>
      <c r="IM1016" s="15" t="s">
        <v>1483</v>
      </c>
      <c r="IN1016" s="15" t="s">
        <v>1483</v>
      </c>
      <c r="IO1016" s="15" t="s">
        <v>3052</v>
      </c>
      <c r="IP1016" s="15" t="s">
        <v>1116</v>
      </c>
      <c r="IQ1016" s="15" t="s">
        <v>759</v>
      </c>
      <c r="IR1016" s="15" t="s">
        <v>4708</v>
      </c>
      <c r="IS1016" s="15" t="s">
        <v>5320</v>
      </c>
      <c r="IT1016" s="15" t="s">
        <v>759</v>
      </c>
      <c r="IU1016" s="15" t="s">
        <v>4708</v>
      </c>
      <c r="IV1016" s="15" t="s">
        <v>8734</v>
      </c>
      <c r="IW1016" s="15" t="s">
        <v>1957</v>
      </c>
      <c r="IX1016" s="15" t="s">
        <v>890</v>
      </c>
      <c r="IY1016" s="15" t="s">
        <v>714</v>
      </c>
      <c r="IZ1016" s="15" t="s">
        <v>8734</v>
      </c>
      <c r="JA1016" s="15" t="s">
        <v>1517</v>
      </c>
      <c r="JB1016" s="15" t="s">
        <v>426</v>
      </c>
      <c r="JC1016" s="15" t="s">
        <v>2973</v>
      </c>
      <c r="JD1016" s="15" t="s">
        <v>2604</v>
      </c>
      <c r="JE1016" s="15" t="s">
        <v>873</v>
      </c>
      <c r="JF1016" s="15" t="s">
        <v>877</v>
      </c>
      <c r="JL1016" s="15" t="s">
        <v>759</v>
      </c>
      <c r="JM1016" s="15" t="s">
        <v>3154</v>
      </c>
      <c r="JN1016" s="15" t="s">
        <v>759</v>
      </c>
      <c r="JO1016" s="15" t="s">
        <v>426</v>
      </c>
      <c r="JP1016" s="15" t="s">
        <v>2474</v>
      </c>
    </row>
    <row r="1017" ht="15.75" customHeight="1">
      <c r="A1017" s="14" t="s">
        <v>391</v>
      </c>
      <c r="B1017" s="15" t="s">
        <v>9982</v>
      </c>
      <c r="C1017" s="16"/>
      <c r="D1017" s="15" t="s">
        <v>432</v>
      </c>
      <c r="G1017" s="14" t="s">
        <v>393</v>
      </c>
      <c r="H1017" s="14" t="s">
        <v>394</v>
      </c>
      <c r="I1017" s="14" t="b">
        <v>1</v>
      </c>
      <c r="J1017" s="14" t="s">
        <v>395</v>
      </c>
      <c r="L1017" s="14" t="b">
        <v>0</v>
      </c>
      <c r="M1017" s="15" t="s">
        <v>9990</v>
      </c>
      <c r="N1017" s="14" t="s">
        <v>393</v>
      </c>
      <c r="O1017" s="14" t="s">
        <v>393</v>
      </c>
      <c r="P1017" s="15" t="s">
        <v>397</v>
      </c>
      <c r="Q1017" s="15" t="s">
        <v>9991</v>
      </c>
      <c r="R1017" s="15" t="s">
        <v>839</v>
      </c>
      <c r="S1017" s="15" t="s">
        <v>877</v>
      </c>
      <c r="T1017" s="14" t="b">
        <v>0</v>
      </c>
      <c r="U1017" s="15" t="s">
        <v>9992</v>
      </c>
      <c r="V1017" s="15" t="s">
        <v>8026</v>
      </c>
      <c r="W1017" s="15" t="s">
        <v>401</v>
      </c>
      <c r="X1017" s="15" t="s">
        <v>742</v>
      </c>
      <c r="Y1017" s="15">
        <v>2847.0</v>
      </c>
      <c r="AA1017" s="15" t="str">
        <f t="shared" si="1725"/>
        <v>1095</v>
      </c>
      <c r="AB1017" s="14" t="b">
        <v>1</v>
      </c>
      <c r="AC1017" s="14" t="b">
        <v>1</v>
      </c>
      <c r="AD1017" s="15" t="str">
        <f>"801542056155"</f>
        <v>801542056155</v>
      </c>
      <c r="AE1017" s="15" t="s">
        <v>9993</v>
      </c>
      <c r="AF1017" s="14" t="s">
        <v>404</v>
      </c>
      <c r="AG1017" s="14" t="s">
        <v>405</v>
      </c>
      <c r="AH1017" s="14" t="s">
        <v>406</v>
      </c>
      <c r="AI1017" s="15">
        <v>0.0</v>
      </c>
      <c r="AL1017" s="15" t="s">
        <v>2354</v>
      </c>
      <c r="AM1017" s="15" t="s">
        <v>3943</v>
      </c>
      <c r="AN1017" s="15" t="s">
        <v>3944</v>
      </c>
      <c r="AO1017" s="15" t="s">
        <v>3092</v>
      </c>
      <c r="AP1017" s="15" t="s">
        <v>3093</v>
      </c>
      <c r="AQ1017" s="15" t="s">
        <v>2088</v>
      </c>
      <c r="AR1017" s="15" t="s">
        <v>2089</v>
      </c>
      <c r="AS1017" s="15" t="s">
        <v>1101</v>
      </c>
      <c r="AT1017" s="15" t="s">
        <v>9991</v>
      </c>
      <c r="AW1017" s="15" t="s">
        <v>839</v>
      </c>
      <c r="AX1017" s="15" t="s">
        <v>877</v>
      </c>
      <c r="AY1017" s="15" t="s">
        <v>413</v>
      </c>
      <c r="AZ1017" s="15" t="b">
        <v>0</v>
      </c>
      <c r="BA1017" s="15" t="s">
        <v>413</v>
      </c>
      <c r="BB1017" s="15" t="b">
        <v>0</v>
      </c>
      <c r="BD1017" s="15" t="s">
        <v>742</v>
      </c>
      <c r="BE1017" s="15" t="str">
        <f t="shared" si="1726"/>
        <v>2</v>
      </c>
      <c r="BF1017" s="15" t="s">
        <v>980</v>
      </c>
      <c r="BG1017" s="15" t="str">
        <f t="shared" si="1727"/>
        <v>70.08</v>
      </c>
      <c r="BH1017" s="15" t="s">
        <v>957</v>
      </c>
      <c r="BI1017" s="15" t="str">
        <f t="shared" si="1728"/>
        <v>52.36</v>
      </c>
      <c r="BJ1017" s="15" t="s">
        <v>5314</v>
      </c>
      <c r="BK1017" s="15" t="str">
        <f t="shared" si="1729"/>
        <v>9.84</v>
      </c>
      <c r="BL1017" s="15" t="s">
        <v>2964</v>
      </c>
      <c r="BM1017" s="15" t="str">
        <f t="shared" si="1730"/>
        <v>170.86</v>
      </c>
      <c r="BN1017" s="15" t="s">
        <v>6951</v>
      </c>
      <c r="BO1017" s="15" t="s">
        <v>980</v>
      </c>
      <c r="BP1017" s="15" t="str">
        <f t="shared" si="1731"/>
        <v>86.42</v>
      </c>
      <c r="BQ1017" s="15" t="s">
        <v>6945</v>
      </c>
      <c r="BR1017" s="15" t="str">
        <f t="shared" si="1732"/>
        <v>13.19</v>
      </c>
      <c r="BS1017" s="15" t="s">
        <v>9988</v>
      </c>
      <c r="BT1017" s="15" t="str">
        <f t="shared" si="1733"/>
        <v>8.27</v>
      </c>
      <c r="BU1017" s="15" t="s">
        <v>1106</v>
      </c>
      <c r="BV1017" s="15" t="str">
        <f t="shared" si="1734"/>
        <v>48.5</v>
      </c>
      <c r="BW1017" s="15" t="s">
        <v>3578</v>
      </c>
      <c r="BZ1017" s="15" t="s">
        <v>444</v>
      </c>
      <c r="CB1017" s="15" t="s">
        <v>444</v>
      </c>
      <c r="CD1017" s="15" t="s">
        <v>444</v>
      </c>
      <c r="CF1017" s="15" t="s">
        <v>444</v>
      </c>
      <c r="CI1017" s="15" t="s">
        <v>444</v>
      </c>
      <c r="CK1017" s="15" t="s">
        <v>444</v>
      </c>
      <c r="CM1017" s="15" t="s">
        <v>444</v>
      </c>
      <c r="CO1017" s="15" t="s">
        <v>444</v>
      </c>
      <c r="CP1017" s="15" t="str">
        <f t="shared" si="1735"/>
        <v>26.34</v>
      </c>
      <c r="CQ1017" s="15" t="str">
        <f t="shared" si="1736"/>
        <v>0.746</v>
      </c>
      <c r="CR1017" s="15" t="s">
        <v>465</v>
      </c>
      <c r="DC1017" s="15" t="str">
        <f>IFERROR(__xludf.DUMMYFUNCTION("""COMPUTED_VALUE"""),"")</f>
        <v/>
      </c>
      <c r="DE1017" s="15" t="str">
        <f>IFERROR(__xludf.DUMMYFUNCTION("""COMPUTED_VALUE"""),"")</f>
        <v/>
      </c>
      <c r="DG1017" s="15" t="str">
        <f>IFERROR(__xludf.DUMMYFUNCTION("""COMPUTED_VALUE"""),"")</f>
        <v/>
      </c>
      <c r="DL1017" s="15" t="str">
        <f>IFERROR(__xludf.DUMMYFUNCTION("""COMPUTED_VALUE"""),"")</f>
        <v/>
      </c>
      <c r="DM1017" s="15" t="s">
        <v>444</v>
      </c>
      <c r="DN1017" s="15" t="s">
        <v>419</v>
      </c>
      <c r="DO1017" s="15">
        <v>0.0</v>
      </c>
      <c r="DP1017" s="15" t="s">
        <v>419</v>
      </c>
      <c r="DR1017" s="15">
        <v>0.0</v>
      </c>
      <c r="DT1017" s="15" t="s">
        <v>721</v>
      </c>
      <c r="DU1017" s="15" t="s">
        <v>419</v>
      </c>
      <c r="DW1017" s="15">
        <v>0.0</v>
      </c>
      <c r="DX1017" s="15">
        <v>0.0</v>
      </c>
      <c r="DY1017" s="15">
        <v>0.0</v>
      </c>
      <c r="EG1017" s="15" t="s">
        <v>444</v>
      </c>
      <c r="EH1017" s="15" t="s">
        <v>9989</v>
      </c>
      <c r="EJ1017" s="15" t="s">
        <v>858</v>
      </c>
      <c r="EK1017" s="15" t="s">
        <v>859</v>
      </c>
      <c r="EM1017" s="15" t="str">
        <f>IFERROR(__xludf.DUMMYFUNCTION("""COMPUTED_VALUE"""),"")</f>
        <v/>
      </c>
      <c r="FM1017" s="15">
        <v>0.0</v>
      </c>
      <c r="IM1017" s="15" t="s">
        <v>1483</v>
      </c>
      <c r="IN1017" s="15" t="s">
        <v>1483</v>
      </c>
      <c r="IO1017" s="15" t="s">
        <v>3052</v>
      </c>
      <c r="IP1017" s="15" t="s">
        <v>1116</v>
      </c>
      <c r="IQ1017" s="15" t="s">
        <v>759</v>
      </c>
      <c r="IR1017" s="15" t="s">
        <v>4708</v>
      </c>
      <c r="IS1017" s="15" t="s">
        <v>5320</v>
      </c>
      <c r="IT1017" s="15" t="s">
        <v>759</v>
      </c>
      <c r="IU1017" s="15" t="s">
        <v>4708</v>
      </c>
      <c r="IV1017" s="15" t="s">
        <v>8734</v>
      </c>
      <c r="IW1017" s="15" t="s">
        <v>1957</v>
      </c>
      <c r="IX1017" s="15" t="s">
        <v>890</v>
      </c>
      <c r="IY1017" s="15" t="s">
        <v>714</v>
      </c>
      <c r="IZ1017" s="15" t="s">
        <v>8734</v>
      </c>
      <c r="JA1017" s="15" t="s">
        <v>1517</v>
      </c>
      <c r="JB1017" s="15" t="s">
        <v>426</v>
      </c>
      <c r="JC1017" s="15" t="s">
        <v>2973</v>
      </c>
      <c r="JD1017" s="15" t="s">
        <v>2604</v>
      </c>
      <c r="JE1017" s="15" t="s">
        <v>873</v>
      </c>
      <c r="JF1017" s="15" t="s">
        <v>877</v>
      </c>
      <c r="JL1017" s="15" t="s">
        <v>759</v>
      </c>
      <c r="JM1017" s="15" t="s">
        <v>3154</v>
      </c>
      <c r="JN1017" s="15" t="s">
        <v>759</v>
      </c>
      <c r="JO1017" s="15" t="s">
        <v>426</v>
      </c>
      <c r="JP1017" s="15" t="s">
        <v>2474</v>
      </c>
    </row>
    <row r="1018" ht="15.75" customHeight="1">
      <c r="A1018" s="14" t="s">
        <v>391</v>
      </c>
      <c r="B1018" s="15" t="s">
        <v>9982</v>
      </c>
      <c r="C1018" s="16"/>
      <c r="D1018" s="15" t="s">
        <v>432</v>
      </c>
      <c r="G1018" s="14" t="s">
        <v>393</v>
      </c>
      <c r="H1018" s="14" t="s">
        <v>394</v>
      </c>
      <c r="I1018" s="14" t="b">
        <v>1</v>
      </c>
      <c r="J1018" s="14" t="s">
        <v>395</v>
      </c>
      <c r="L1018" s="14" t="b">
        <v>0</v>
      </c>
      <c r="M1018" s="15" t="s">
        <v>9994</v>
      </c>
      <c r="N1018" s="14" t="s">
        <v>393</v>
      </c>
      <c r="O1018" s="14" t="s">
        <v>393</v>
      </c>
      <c r="P1018" s="15" t="s">
        <v>397</v>
      </c>
      <c r="Q1018" s="15" t="s">
        <v>9991</v>
      </c>
      <c r="R1018" s="15" t="s">
        <v>839</v>
      </c>
      <c r="S1018" s="15" t="s">
        <v>828</v>
      </c>
      <c r="T1018" s="14" t="b">
        <v>0</v>
      </c>
      <c r="U1018" s="15" t="s">
        <v>9995</v>
      </c>
      <c r="V1018" s="15" t="s">
        <v>4872</v>
      </c>
      <c r="W1018" s="15" t="s">
        <v>401</v>
      </c>
      <c r="X1018" s="15" t="s">
        <v>742</v>
      </c>
      <c r="Y1018" s="15">
        <v>3276.0</v>
      </c>
      <c r="AA1018" s="15" t="str">
        <f t="shared" ref="AA1018:AA1019" si="1737">"1260"</f>
        <v>1260</v>
      </c>
      <c r="AB1018" s="14" t="b">
        <v>1</v>
      </c>
      <c r="AC1018" s="14" t="b">
        <v>1</v>
      </c>
      <c r="AD1018" s="15" t="str">
        <f>"801542056148"</f>
        <v>801542056148</v>
      </c>
      <c r="AE1018" s="15" t="s">
        <v>9996</v>
      </c>
      <c r="AF1018" s="14" t="s">
        <v>404</v>
      </c>
      <c r="AG1018" s="14" t="s">
        <v>405</v>
      </c>
      <c r="AH1018" s="14" t="s">
        <v>406</v>
      </c>
      <c r="AI1018" s="15">
        <v>0.0</v>
      </c>
      <c r="AL1018" s="15" t="s">
        <v>2354</v>
      </c>
      <c r="AM1018" s="15" t="s">
        <v>3965</v>
      </c>
      <c r="AN1018" s="15" t="s">
        <v>3966</v>
      </c>
      <c r="AO1018" s="15" t="s">
        <v>3092</v>
      </c>
      <c r="AP1018" s="15" t="s">
        <v>3093</v>
      </c>
      <c r="AQ1018" s="15" t="s">
        <v>2088</v>
      </c>
      <c r="AR1018" s="15" t="s">
        <v>2089</v>
      </c>
      <c r="AS1018" s="15" t="s">
        <v>1101</v>
      </c>
      <c r="AT1018" s="15" t="s">
        <v>9991</v>
      </c>
      <c r="AW1018" s="15" t="s">
        <v>839</v>
      </c>
      <c r="AX1018" s="15" t="s">
        <v>828</v>
      </c>
      <c r="AY1018" s="15" t="s">
        <v>413</v>
      </c>
      <c r="AZ1018" s="15" t="b">
        <v>0</v>
      </c>
      <c r="BA1018" s="15" t="s">
        <v>413</v>
      </c>
      <c r="BB1018" s="15" t="b">
        <v>0</v>
      </c>
      <c r="BD1018" s="15" t="s">
        <v>742</v>
      </c>
      <c r="BE1018" s="15" t="str">
        <f t="shared" si="1726"/>
        <v>2</v>
      </c>
      <c r="BF1018" s="15" t="s">
        <v>980</v>
      </c>
      <c r="BG1018" s="15" t="str">
        <f t="shared" ref="BG1018:BG1019" si="1738">"87.01"</f>
        <v>87.01</v>
      </c>
      <c r="BH1018" s="15" t="s">
        <v>3884</v>
      </c>
      <c r="BI1018" s="15" t="str">
        <f t="shared" si="1728"/>
        <v>52.36</v>
      </c>
      <c r="BJ1018" s="15" t="s">
        <v>5314</v>
      </c>
      <c r="BK1018" s="15" t="str">
        <f t="shared" si="1729"/>
        <v>9.84</v>
      </c>
      <c r="BL1018" s="15" t="s">
        <v>2964</v>
      </c>
      <c r="BM1018" s="15" t="str">
        <f t="shared" ref="BM1018:BM1019" si="1739">"207.23"</f>
        <v>207.23</v>
      </c>
      <c r="BN1018" s="15" t="s">
        <v>4114</v>
      </c>
      <c r="BO1018" s="15" t="s">
        <v>980</v>
      </c>
      <c r="BP1018" s="15" t="str">
        <f t="shared" ref="BP1018:BP1019" si="1740">"87.01"</f>
        <v>87.01</v>
      </c>
      <c r="BQ1018" s="15" t="s">
        <v>3884</v>
      </c>
      <c r="BR1018" s="15" t="str">
        <f t="shared" ref="BR1018:BR1019" si="1741">"12.2"</f>
        <v>12.2</v>
      </c>
      <c r="BS1018" s="15" t="s">
        <v>4566</v>
      </c>
      <c r="BT1018" s="15" t="str">
        <f t="shared" ref="BT1018:BT1019" si="1742">"8.46"</f>
        <v>8.46</v>
      </c>
      <c r="BU1018" s="15" t="s">
        <v>7847</v>
      </c>
      <c r="BV1018" s="15" t="str">
        <f t="shared" ref="BV1018:BV1019" si="1743">"59.52"</f>
        <v>59.52</v>
      </c>
      <c r="BW1018" s="15" t="s">
        <v>854</v>
      </c>
      <c r="BZ1018" s="15" t="s">
        <v>444</v>
      </c>
      <c r="CB1018" s="15" t="s">
        <v>444</v>
      </c>
      <c r="CD1018" s="15" t="s">
        <v>444</v>
      </c>
      <c r="CF1018" s="15" t="s">
        <v>444</v>
      </c>
      <c r="CI1018" s="15" t="s">
        <v>444</v>
      </c>
      <c r="CK1018" s="15" t="s">
        <v>444</v>
      </c>
      <c r="CM1018" s="15" t="s">
        <v>444</v>
      </c>
      <c r="CO1018" s="15" t="s">
        <v>444</v>
      </c>
      <c r="CP1018" s="15" t="str">
        <f t="shared" ref="CP1018:CP1019" si="1744">"31.15"</f>
        <v>31.15</v>
      </c>
      <c r="CQ1018" s="15" t="str">
        <f t="shared" ref="CQ1018:CQ1019" si="1745">"0.882"</f>
        <v>0.882</v>
      </c>
      <c r="CR1018" s="15" t="s">
        <v>497</v>
      </c>
      <c r="DC1018" s="15" t="str">
        <f>IFERROR(__xludf.DUMMYFUNCTION("""COMPUTED_VALUE"""),"")</f>
        <v/>
      </c>
      <c r="DE1018" s="15" t="str">
        <f>IFERROR(__xludf.DUMMYFUNCTION("""COMPUTED_VALUE"""),"")</f>
        <v/>
      </c>
      <c r="DG1018" s="15" t="str">
        <f>IFERROR(__xludf.DUMMYFUNCTION("""COMPUTED_VALUE"""),"")</f>
        <v/>
      </c>
      <c r="DL1018" s="15" t="str">
        <f>IFERROR(__xludf.DUMMYFUNCTION("""COMPUTED_VALUE"""),"")</f>
        <v/>
      </c>
      <c r="DM1018" s="15" t="s">
        <v>444</v>
      </c>
      <c r="DN1018" s="15" t="s">
        <v>419</v>
      </c>
      <c r="DO1018" s="15">
        <v>0.0</v>
      </c>
      <c r="DP1018" s="15" t="s">
        <v>419</v>
      </c>
      <c r="DR1018" s="15">
        <v>0.0</v>
      </c>
      <c r="DT1018" s="15" t="s">
        <v>721</v>
      </c>
      <c r="DU1018" s="15" t="s">
        <v>419</v>
      </c>
      <c r="DW1018" s="15">
        <v>0.0</v>
      </c>
      <c r="DX1018" s="15">
        <v>0.0</v>
      </c>
      <c r="DY1018" s="15">
        <v>0.0</v>
      </c>
      <c r="EG1018" s="15" t="s">
        <v>444</v>
      </c>
      <c r="EH1018" s="15" t="s">
        <v>9989</v>
      </c>
      <c r="EJ1018" s="15" t="s">
        <v>858</v>
      </c>
      <c r="EK1018" s="15" t="s">
        <v>859</v>
      </c>
      <c r="EM1018" s="15" t="str">
        <f>IFERROR(__xludf.DUMMYFUNCTION("""COMPUTED_VALUE"""),"")</f>
        <v/>
      </c>
      <c r="FM1018" s="15">
        <v>0.0</v>
      </c>
      <c r="IM1018" s="15" t="s">
        <v>1483</v>
      </c>
      <c r="IN1018" s="15" t="s">
        <v>1483</v>
      </c>
      <c r="IO1018" s="15" t="s">
        <v>3052</v>
      </c>
      <c r="IP1018" s="15" t="s">
        <v>1116</v>
      </c>
      <c r="IQ1018" s="15" t="s">
        <v>759</v>
      </c>
      <c r="IR1018" s="15" t="s">
        <v>9997</v>
      </c>
      <c r="IS1018" s="15" t="s">
        <v>5320</v>
      </c>
      <c r="IT1018" s="15" t="s">
        <v>759</v>
      </c>
      <c r="IU1018" s="15" t="s">
        <v>9997</v>
      </c>
      <c r="IV1018" s="15" t="s">
        <v>8734</v>
      </c>
      <c r="IW1018" s="15" t="s">
        <v>1957</v>
      </c>
      <c r="IX1018" s="15" t="s">
        <v>4384</v>
      </c>
      <c r="IY1018" s="15" t="s">
        <v>714</v>
      </c>
      <c r="IZ1018" s="15" t="s">
        <v>8734</v>
      </c>
      <c r="JA1018" s="15" t="s">
        <v>1517</v>
      </c>
      <c r="JB1018" s="15" t="s">
        <v>426</v>
      </c>
      <c r="JC1018" s="15" t="s">
        <v>2973</v>
      </c>
      <c r="JD1018" s="15" t="s">
        <v>2604</v>
      </c>
      <c r="JE1018" s="15" t="s">
        <v>873</v>
      </c>
      <c r="JF1018" s="15" t="s">
        <v>828</v>
      </c>
      <c r="JL1018" s="15" t="s">
        <v>759</v>
      </c>
      <c r="JM1018" s="15" t="s">
        <v>3154</v>
      </c>
      <c r="JN1018" s="15" t="s">
        <v>759</v>
      </c>
      <c r="JO1018" s="15" t="s">
        <v>426</v>
      </c>
      <c r="JP1018" s="15" t="s">
        <v>2474</v>
      </c>
    </row>
    <row r="1019" ht="15.75" customHeight="1">
      <c r="A1019" s="14" t="s">
        <v>391</v>
      </c>
      <c r="B1019" s="15" t="s">
        <v>9982</v>
      </c>
      <c r="C1019" s="16"/>
      <c r="D1019" s="15" t="s">
        <v>432</v>
      </c>
      <c r="G1019" s="14" t="s">
        <v>393</v>
      </c>
      <c r="H1019" s="14" t="s">
        <v>394</v>
      </c>
      <c r="I1019" s="14" t="b">
        <v>1</v>
      </c>
      <c r="J1019" s="14" t="s">
        <v>395</v>
      </c>
      <c r="L1019" s="14" t="b">
        <v>0</v>
      </c>
      <c r="M1019" s="15" t="s">
        <v>9998</v>
      </c>
      <c r="N1019" s="14" t="s">
        <v>393</v>
      </c>
      <c r="O1019" s="14" t="s">
        <v>393</v>
      </c>
      <c r="P1019" s="15" t="s">
        <v>397</v>
      </c>
      <c r="Q1019" s="15" t="s">
        <v>9984</v>
      </c>
      <c r="R1019" s="15" t="s">
        <v>839</v>
      </c>
      <c r="S1019" s="15" t="s">
        <v>828</v>
      </c>
      <c r="T1019" s="14" t="b">
        <v>0</v>
      </c>
      <c r="U1019" s="15" t="s">
        <v>9999</v>
      </c>
      <c r="V1019" s="15" t="s">
        <v>4872</v>
      </c>
      <c r="W1019" s="15" t="s">
        <v>401</v>
      </c>
      <c r="X1019" s="15" t="s">
        <v>742</v>
      </c>
      <c r="Y1019" s="15">
        <v>3276.0</v>
      </c>
      <c r="AA1019" s="15" t="str">
        <f t="shared" si="1737"/>
        <v>1260</v>
      </c>
      <c r="AB1019" s="14" t="b">
        <v>1</v>
      </c>
      <c r="AC1019" s="14" t="b">
        <v>1</v>
      </c>
      <c r="AD1019" s="15" t="str">
        <f>"801542093501"</f>
        <v>801542093501</v>
      </c>
      <c r="AE1019" s="15" t="s">
        <v>10000</v>
      </c>
      <c r="AF1019" s="14" t="s">
        <v>404</v>
      </c>
      <c r="AG1019" s="14" t="s">
        <v>405</v>
      </c>
      <c r="AH1019" s="14" t="s">
        <v>406</v>
      </c>
      <c r="AI1019" s="15">
        <v>0.0</v>
      </c>
      <c r="AL1019" s="15" t="s">
        <v>2354</v>
      </c>
      <c r="AM1019" s="15" t="s">
        <v>3965</v>
      </c>
      <c r="AN1019" s="15" t="s">
        <v>3966</v>
      </c>
      <c r="AO1019" s="15" t="s">
        <v>3092</v>
      </c>
      <c r="AP1019" s="15" t="s">
        <v>3093</v>
      </c>
      <c r="AQ1019" s="15" t="s">
        <v>2088</v>
      </c>
      <c r="AR1019" s="15" t="s">
        <v>2089</v>
      </c>
      <c r="AS1019" s="15" t="s">
        <v>1101</v>
      </c>
      <c r="AT1019" s="15" t="s">
        <v>9991</v>
      </c>
      <c r="AU1019" s="15" t="s">
        <v>9984</v>
      </c>
      <c r="AW1019" s="15" t="s">
        <v>839</v>
      </c>
      <c r="AX1019" s="15" t="s">
        <v>828</v>
      </c>
      <c r="AY1019" s="15" t="s">
        <v>413</v>
      </c>
      <c r="AZ1019" s="15" t="b">
        <v>0</v>
      </c>
      <c r="BA1019" s="15" t="s">
        <v>413</v>
      </c>
      <c r="BB1019" s="15" t="b">
        <v>0</v>
      </c>
      <c r="BC1019" s="15" t="s">
        <v>9987</v>
      </c>
      <c r="BD1019" s="15" t="s">
        <v>742</v>
      </c>
      <c r="BE1019" s="15" t="str">
        <f t="shared" si="1726"/>
        <v>2</v>
      </c>
      <c r="BF1019" s="15" t="s">
        <v>980</v>
      </c>
      <c r="BG1019" s="15" t="str">
        <f t="shared" si="1738"/>
        <v>87.01</v>
      </c>
      <c r="BH1019" s="15" t="s">
        <v>3884</v>
      </c>
      <c r="BI1019" s="15" t="str">
        <f t="shared" si="1728"/>
        <v>52.36</v>
      </c>
      <c r="BJ1019" s="15" t="s">
        <v>5314</v>
      </c>
      <c r="BK1019" s="15" t="str">
        <f t="shared" si="1729"/>
        <v>9.84</v>
      </c>
      <c r="BL1019" s="15" t="s">
        <v>2964</v>
      </c>
      <c r="BM1019" s="15" t="str">
        <f t="shared" si="1739"/>
        <v>207.23</v>
      </c>
      <c r="BN1019" s="15" t="s">
        <v>4114</v>
      </c>
      <c r="BO1019" s="15" t="s">
        <v>980</v>
      </c>
      <c r="BP1019" s="15" t="str">
        <f t="shared" si="1740"/>
        <v>87.01</v>
      </c>
      <c r="BQ1019" s="15" t="s">
        <v>3884</v>
      </c>
      <c r="BR1019" s="15" t="str">
        <f t="shared" si="1741"/>
        <v>12.2</v>
      </c>
      <c r="BS1019" s="15" t="s">
        <v>4566</v>
      </c>
      <c r="BT1019" s="15" t="str">
        <f t="shared" si="1742"/>
        <v>8.46</v>
      </c>
      <c r="BU1019" s="15" t="s">
        <v>7847</v>
      </c>
      <c r="BV1019" s="15" t="str">
        <f t="shared" si="1743"/>
        <v>59.52</v>
      </c>
      <c r="BW1019" s="15" t="s">
        <v>854</v>
      </c>
      <c r="BZ1019" s="15" t="s">
        <v>444</v>
      </c>
      <c r="CB1019" s="15" t="s">
        <v>444</v>
      </c>
      <c r="CD1019" s="15" t="s">
        <v>444</v>
      </c>
      <c r="CF1019" s="15" t="s">
        <v>444</v>
      </c>
      <c r="CI1019" s="15" t="s">
        <v>444</v>
      </c>
      <c r="CK1019" s="15" t="s">
        <v>444</v>
      </c>
      <c r="CM1019" s="15" t="s">
        <v>444</v>
      </c>
      <c r="CO1019" s="15" t="s">
        <v>444</v>
      </c>
      <c r="CP1019" s="15" t="str">
        <f t="shared" si="1744"/>
        <v>31.15</v>
      </c>
      <c r="CQ1019" s="15" t="str">
        <f t="shared" si="1745"/>
        <v>0.882</v>
      </c>
      <c r="CR1019" s="15" t="s">
        <v>465</v>
      </c>
      <c r="DC1019" s="15" t="str">
        <f>IFERROR(__xludf.DUMMYFUNCTION("""COMPUTED_VALUE"""),"")</f>
        <v/>
      </c>
      <c r="DE1019" s="15" t="str">
        <f>IFERROR(__xludf.DUMMYFUNCTION("""COMPUTED_VALUE"""),"")</f>
        <v/>
      </c>
      <c r="DG1019" s="15" t="str">
        <f>IFERROR(__xludf.DUMMYFUNCTION("""COMPUTED_VALUE"""),"")</f>
        <v/>
      </c>
      <c r="DL1019" s="15" t="str">
        <f>IFERROR(__xludf.DUMMYFUNCTION("""COMPUTED_VALUE"""),"")</f>
        <v/>
      </c>
      <c r="DM1019" s="15" t="s">
        <v>444</v>
      </c>
      <c r="DN1019" s="15" t="s">
        <v>419</v>
      </c>
      <c r="DO1019" s="15">
        <v>0.0</v>
      </c>
      <c r="DP1019" s="15" t="s">
        <v>419</v>
      </c>
      <c r="DR1019" s="15">
        <v>0.0</v>
      </c>
      <c r="DT1019" s="15" t="s">
        <v>721</v>
      </c>
      <c r="DU1019" s="15" t="s">
        <v>419</v>
      </c>
      <c r="DW1019" s="15">
        <v>0.0</v>
      </c>
      <c r="DX1019" s="15">
        <v>0.0</v>
      </c>
      <c r="DY1019" s="15">
        <v>0.0</v>
      </c>
      <c r="EG1019" s="15" t="s">
        <v>444</v>
      </c>
      <c r="EH1019" s="15" t="s">
        <v>9989</v>
      </c>
      <c r="EJ1019" s="15" t="s">
        <v>858</v>
      </c>
      <c r="EK1019" s="15" t="s">
        <v>859</v>
      </c>
      <c r="EM1019" s="15" t="str">
        <f>IFERROR(__xludf.DUMMYFUNCTION("""COMPUTED_VALUE"""),"")</f>
        <v/>
      </c>
      <c r="FM1019" s="15">
        <v>0.0</v>
      </c>
      <c r="IM1019" s="15" t="s">
        <v>1483</v>
      </c>
      <c r="IN1019" s="15" t="s">
        <v>1483</v>
      </c>
      <c r="IO1019" s="15" t="s">
        <v>3052</v>
      </c>
      <c r="IP1019" s="15" t="s">
        <v>1116</v>
      </c>
      <c r="IQ1019" s="15" t="s">
        <v>759</v>
      </c>
      <c r="IR1019" s="15" t="s">
        <v>9997</v>
      </c>
      <c r="IS1019" s="15" t="s">
        <v>5320</v>
      </c>
      <c r="IT1019" s="15" t="s">
        <v>759</v>
      </c>
      <c r="IU1019" s="15" t="s">
        <v>9997</v>
      </c>
      <c r="IV1019" s="15" t="s">
        <v>8734</v>
      </c>
      <c r="IW1019" s="15" t="s">
        <v>1957</v>
      </c>
      <c r="IX1019" s="15" t="s">
        <v>4384</v>
      </c>
      <c r="IY1019" s="15" t="s">
        <v>714</v>
      </c>
      <c r="IZ1019" s="15" t="s">
        <v>8734</v>
      </c>
      <c r="JA1019" s="15" t="s">
        <v>1517</v>
      </c>
      <c r="JB1019" s="15" t="s">
        <v>426</v>
      </c>
      <c r="JC1019" s="15" t="s">
        <v>2973</v>
      </c>
      <c r="JD1019" s="15" t="s">
        <v>2604</v>
      </c>
      <c r="JE1019" s="15" t="s">
        <v>873</v>
      </c>
      <c r="JF1019" s="15" t="s">
        <v>828</v>
      </c>
      <c r="JL1019" s="15" t="s">
        <v>759</v>
      </c>
      <c r="JM1019" s="15" t="s">
        <v>3154</v>
      </c>
      <c r="JN1019" s="15" t="s">
        <v>759</v>
      </c>
      <c r="JO1019" s="15" t="s">
        <v>426</v>
      </c>
      <c r="JP1019" s="15" t="s">
        <v>2474</v>
      </c>
    </row>
    <row r="1020" ht="15.75" customHeight="1">
      <c r="A1020" s="14" t="s">
        <v>391</v>
      </c>
      <c r="B1020" s="15" t="s">
        <v>10001</v>
      </c>
      <c r="C1020" s="16"/>
      <c r="D1020" s="15" t="s">
        <v>432</v>
      </c>
      <c r="G1020" s="14" t="s">
        <v>393</v>
      </c>
      <c r="H1020" s="14" t="s">
        <v>394</v>
      </c>
      <c r="I1020" s="14" t="b">
        <v>1</v>
      </c>
      <c r="J1020" s="14" t="s">
        <v>395</v>
      </c>
      <c r="L1020" s="14" t="b">
        <v>0</v>
      </c>
      <c r="M1020" s="15" t="s">
        <v>10002</v>
      </c>
      <c r="N1020" s="14" t="s">
        <v>393</v>
      </c>
      <c r="O1020" s="14" t="s">
        <v>393</v>
      </c>
      <c r="P1020" s="15" t="s">
        <v>397</v>
      </c>
      <c r="Q1020" s="15" t="s">
        <v>9991</v>
      </c>
      <c r="T1020" s="14" t="b">
        <v>0</v>
      </c>
      <c r="U1020" s="15" t="s">
        <v>10003</v>
      </c>
      <c r="V1020" s="15" t="s">
        <v>8335</v>
      </c>
      <c r="W1020" s="15" t="s">
        <v>401</v>
      </c>
      <c r="X1020" s="15" t="s">
        <v>742</v>
      </c>
      <c r="Y1020" s="15">
        <v>2951.0</v>
      </c>
      <c r="AA1020" s="15" t="str">
        <f>"1135"</f>
        <v>1135</v>
      </c>
      <c r="AB1020" s="14" t="b">
        <v>1</v>
      </c>
      <c r="AC1020" s="14" t="b">
        <v>1</v>
      </c>
      <c r="AD1020" s="15" t="str">
        <f>"801542028930"</f>
        <v>801542028930</v>
      </c>
      <c r="AE1020" s="15" t="s">
        <v>10004</v>
      </c>
      <c r="AF1020" s="14" t="s">
        <v>404</v>
      </c>
      <c r="AG1020" s="14" t="s">
        <v>405</v>
      </c>
      <c r="AH1020" s="14" t="s">
        <v>406</v>
      </c>
      <c r="AI1020" s="15">
        <v>0.0</v>
      </c>
      <c r="AL1020" s="15" t="s">
        <v>2354</v>
      </c>
      <c r="AM1020" s="15" t="s">
        <v>452</v>
      </c>
      <c r="AN1020" s="15" t="s">
        <v>453</v>
      </c>
      <c r="AO1020" s="15" t="s">
        <v>600</v>
      </c>
      <c r="AP1020" s="15" t="s">
        <v>601</v>
      </c>
      <c r="AQ1020" s="15" t="s">
        <v>1276</v>
      </c>
      <c r="AR1020" s="15" t="s">
        <v>1277</v>
      </c>
      <c r="AS1020" s="15" t="s">
        <v>1101</v>
      </c>
      <c r="AT1020" s="15" t="s">
        <v>9991</v>
      </c>
      <c r="AW1020" s="15" t="s">
        <v>2134</v>
      </c>
      <c r="AX1020" s="15" t="s">
        <v>2135</v>
      </c>
      <c r="AY1020" s="15" t="s">
        <v>413</v>
      </c>
      <c r="AZ1020" s="15" t="b">
        <v>0</v>
      </c>
      <c r="BA1020" s="15" t="s">
        <v>413</v>
      </c>
      <c r="BB1020" s="15" t="b">
        <v>0</v>
      </c>
      <c r="BC1020" s="15" t="s">
        <v>10005</v>
      </c>
      <c r="BD1020" s="15" t="s">
        <v>742</v>
      </c>
      <c r="BE1020" s="15" t="str">
        <f t="shared" ref="BE1020:BE1029" si="1746">"1"</f>
        <v>1</v>
      </c>
      <c r="BF1020" s="15" t="s">
        <v>980</v>
      </c>
      <c r="BG1020" s="15" t="str">
        <f>"73.62"</f>
        <v>73.62</v>
      </c>
      <c r="BH1020" s="15" t="s">
        <v>2078</v>
      </c>
      <c r="BI1020" s="15" t="str">
        <f>"31.3"</f>
        <v>31.3</v>
      </c>
      <c r="BJ1020" s="15" t="s">
        <v>1182</v>
      </c>
      <c r="BK1020" s="15" t="str">
        <f>"27.36"</f>
        <v>27.36</v>
      </c>
      <c r="BL1020" s="15" t="s">
        <v>2065</v>
      </c>
      <c r="BM1020" s="15" t="str">
        <f>"202.83"</f>
        <v>202.83</v>
      </c>
      <c r="BN1020" s="15" t="s">
        <v>5584</v>
      </c>
      <c r="BQ1020" s="15" t="s">
        <v>444</v>
      </c>
      <c r="BS1020" s="15" t="s">
        <v>444</v>
      </c>
      <c r="BU1020" s="15" t="s">
        <v>444</v>
      </c>
      <c r="BW1020" s="15" t="s">
        <v>444</v>
      </c>
      <c r="BZ1020" s="15" t="s">
        <v>444</v>
      </c>
      <c r="CB1020" s="15" t="s">
        <v>444</v>
      </c>
      <c r="CD1020" s="15" t="s">
        <v>444</v>
      </c>
      <c r="CF1020" s="15" t="s">
        <v>444</v>
      </c>
      <c r="CI1020" s="15" t="s">
        <v>444</v>
      </c>
      <c r="CK1020" s="15" t="s">
        <v>444</v>
      </c>
      <c r="CM1020" s="15" t="s">
        <v>444</v>
      </c>
      <c r="CO1020" s="15" t="s">
        <v>444</v>
      </c>
      <c r="CP1020" s="15" t="str">
        <f>"36.48"</f>
        <v>36.48</v>
      </c>
      <c r="CQ1020" s="15" t="str">
        <f>"1.033"</f>
        <v>1.033</v>
      </c>
      <c r="CR1020" s="15" t="s">
        <v>465</v>
      </c>
      <c r="DC1020" s="15" t="str">
        <f>IFERROR(__xludf.DUMMYFUNCTION("""COMPUTED_VALUE"""),"")</f>
        <v/>
      </c>
      <c r="DE1020" s="15" t="str">
        <f>IFERROR(__xludf.DUMMYFUNCTION("""COMPUTED_VALUE"""),"")</f>
        <v/>
      </c>
      <c r="DG1020" s="15" t="str">
        <f>IFERROR(__xludf.DUMMYFUNCTION("""COMPUTED_VALUE"""),"")</f>
        <v/>
      </c>
      <c r="DL1020" s="15" t="str">
        <f>IFERROR(__xludf.DUMMYFUNCTION("""COMPUTED_VALUE"""),"")</f>
        <v/>
      </c>
      <c r="DM1020" s="15" t="s">
        <v>444</v>
      </c>
      <c r="DN1020" s="15" t="s">
        <v>4002</v>
      </c>
      <c r="DO1020" s="15">
        <v>7.0</v>
      </c>
      <c r="DP1020" s="15" t="s">
        <v>1185</v>
      </c>
      <c r="DR1020" s="15">
        <v>0.0</v>
      </c>
      <c r="DT1020" s="15" t="s">
        <v>721</v>
      </c>
      <c r="DU1020" s="15" t="s">
        <v>421</v>
      </c>
      <c r="DY1020" s="15">
        <v>0.0</v>
      </c>
      <c r="EF1020" s="15" t="s">
        <v>2137</v>
      </c>
      <c r="EG1020" s="15" t="s">
        <v>2138</v>
      </c>
      <c r="EH1020" s="15" t="s">
        <v>9989</v>
      </c>
      <c r="EJ1020" s="15" t="s">
        <v>500</v>
      </c>
      <c r="EK1020" s="15" t="s">
        <v>501</v>
      </c>
      <c r="EM1020" s="15" t="str">
        <f>IFERROR(__xludf.DUMMYFUNCTION("""COMPUTED_VALUE"""),"")</f>
        <v/>
      </c>
      <c r="EW1020" s="15" t="s">
        <v>714</v>
      </c>
      <c r="EX1020" s="15" t="s">
        <v>1882</v>
      </c>
      <c r="EY1020" s="15" t="s">
        <v>10006</v>
      </c>
      <c r="FH1020" s="15" t="s">
        <v>2465</v>
      </c>
      <c r="FI1020" s="15" t="s">
        <v>4947</v>
      </c>
      <c r="FJ1020" s="15" t="s">
        <v>2465</v>
      </c>
      <c r="FK1020" s="15" t="s">
        <v>1042</v>
      </c>
      <c r="FL1020" s="15" t="s">
        <v>426</v>
      </c>
      <c r="FM1020" s="15">
        <v>0.0</v>
      </c>
      <c r="FV1020" s="15" t="s">
        <v>555</v>
      </c>
      <c r="GH1020" s="15">
        <v>0.0</v>
      </c>
      <c r="GI1020" s="15" t="s">
        <v>427</v>
      </c>
      <c r="GQ1020" s="15" t="s">
        <v>2020</v>
      </c>
      <c r="GR1020" s="15" t="s">
        <v>2020</v>
      </c>
      <c r="GS1020" s="15" t="s">
        <v>8581</v>
      </c>
      <c r="GT1020" s="15" t="s">
        <v>8166</v>
      </c>
      <c r="GU1020" s="15" t="s">
        <v>3927</v>
      </c>
      <c r="GV1020" s="15" t="s">
        <v>4187</v>
      </c>
      <c r="GW1020" s="15" t="s">
        <v>2604</v>
      </c>
      <c r="GY1020" s="15" t="s">
        <v>764</v>
      </c>
      <c r="GZ1020" s="15" t="s">
        <v>426</v>
      </c>
      <c r="HD1020" s="15">
        <v>0.0</v>
      </c>
      <c r="HX1020" s="15" t="s">
        <v>2020</v>
      </c>
      <c r="HY1020" s="15" t="s">
        <v>2020</v>
      </c>
      <c r="HZ1020" s="15" t="s">
        <v>10007</v>
      </c>
      <c r="IA1020" s="15" t="s">
        <v>8581</v>
      </c>
      <c r="IB1020" s="15" t="s">
        <v>4187</v>
      </c>
      <c r="IC1020" s="15" t="s">
        <v>4187</v>
      </c>
      <c r="IG1020" s="15" t="s">
        <v>426</v>
      </c>
    </row>
    <row r="1021" ht="15.75" customHeight="1">
      <c r="A1021" s="14" t="s">
        <v>391</v>
      </c>
      <c r="B1021" s="15" t="s">
        <v>10008</v>
      </c>
      <c r="C1021" s="16"/>
      <c r="D1021" s="15" t="s">
        <v>432</v>
      </c>
      <c r="G1021" s="14" t="s">
        <v>393</v>
      </c>
      <c r="H1021" s="14" t="s">
        <v>394</v>
      </c>
      <c r="I1021" s="14" t="b">
        <v>1</v>
      </c>
      <c r="J1021" s="14" t="s">
        <v>395</v>
      </c>
      <c r="L1021" s="14" t="b">
        <v>0</v>
      </c>
      <c r="M1021" s="15" t="s">
        <v>10009</v>
      </c>
      <c r="N1021" s="14" t="s">
        <v>393</v>
      </c>
      <c r="O1021" s="14" t="s">
        <v>393</v>
      </c>
      <c r="P1021" s="15" t="s">
        <v>397</v>
      </c>
      <c r="Q1021" s="15" t="s">
        <v>10010</v>
      </c>
      <c r="T1021" s="14" t="b">
        <v>0</v>
      </c>
      <c r="U1021" s="15" t="s">
        <v>10011</v>
      </c>
      <c r="V1021" s="15" t="s">
        <v>5578</v>
      </c>
      <c r="W1021" s="15" t="s">
        <v>401</v>
      </c>
      <c r="X1021" s="15" t="s">
        <v>402</v>
      </c>
      <c r="Y1021" s="15">
        <v>2080.0</v>
      </c>
      <c r="AA1021" s="15" t="str">
        <f t="shared" ref="AA1021:AA1023" si="1747">"800"</f>
        <v>800</v>
      </c>
      <c r="AB1021" s="14" t="b">
        <v>1</v>
      </c>
      <c r="AC1021" s="14" t="b">
        <v>1</v>
      </c>
      <c r="AD1021" s="15" t="str">
        <f>"801542933401"</f>
        <v>801542933401</v>
      </c>
      <c r="AE1021" s="15" t="s">
        <v>10012</v>
      </c>
      <c r="AF1021" s="14" t="s">
        <v>404</v>
      </c>
      <c r="AG1021" s="14" t="s">
        <v>405</v>
      </c>
      <c r="AH1021" s="14" t="s">
        <v>406</v>
      </c>
      <c r="AI1021" s="15">
        <v>0.0</v>
      </c>
      <c r="AL1021" s="15" t="s">
        <v>5927</v>
      </c>
      <c r="AM1021" s="15" t="s">
        <v>622</v>
      </c>
      <c r="AN1021" s="15" t="s">
        <v>623</v>
      </c>
      <c r="AO1021" s="15" t="s">
        <v>456</v>
      </c>
      <c r="AP1021" s="15" t="s">
        <v>457</v>
      </c>
      <c r="AQ1021" s="15" t="s">
        <v>3493</v>
      </c>
      <c r="AR1021" s="15" t="s">
        <v>2397</v>
      </c>
      <c r="AS1021" s="15" t="s">
        <v>4463</v>
      </c>
      <c r="AT1021" s="15" t="s">
        <v>10010</v>
      </c>
      <c r="AU1021" s="15" t="s">
        <v>10013</v>
      </c>
      <c r="AW1021" s="15" t="s">
        <v>412</v>
      </c>
      <c r="AY1021" s="15" t="s">
        <v>413</v>
      </c>
      <c r="AZ1021" s="15" t="b">
        <v>0</v>
      </c>
      <c r="BA1021" s="15" t="s">
        <v>413</v>
      </c>
      <c r="BB1021" s="15" t="b">
        <v>0</v>
      </c>
      <c r="BC1021" s="15" t="s">
        <v>10014</v>
      </c>
      <c r="BD1021" s="15" t="s">
        <v>415</v>
      </c>
      <c r="BE1021" s="15" t="str">
        <f t="shared" si="1746"/>
        <v>1</v>
      </c>
      <c r="BF1021" s="15" t="s">
        <v>416</v>
      </c>
      <c r="BG1021" s="15" t="str">
        <f t="shared" ref="BG1021:BG1023" si="1748">"40.94"</f>
        <v>40.94</v>
      </c>
      <c r="BH1021" s="15" t="s">
        <v>648</v>
      </c>
      <c r="BI1021" s="15" t="str">
        <f t="shared" ref="BI1021:BI1023" si="1749">"23.62"</f>
        <v>23.62</v>
      </c>
      <c r="BJ1021" s="15" t="s">
        <v>1570</v>
      </c>
      <c r="BK1021" s="15" t="str">
        <f t="shared" ref="BK1021:BK1023" si="1750">"52.76"</f>
        <v>52.76</v>
      </c>
      <c r="BL1021" s="15" t="s">
        <v>3949</v>
      </c>
      <c r="BM1021" s="15" t="str">
        <f t="shared" ref="BM1021:BM1023" si="1751">"167.55"</f>
        <v>167.55</v>
      </c>
      <c r="BN1021" s="15" t="s">
        <v>3886</v>
      </c>
      <c r="BQ1021" s="15" t="s">
        <v>444</v>
      </c>
      <c r="BS1021" s="15" t="s">
        <v>444</v>
      </c>
      <c r="BU1021" s="15" t="s">
        <v>444</v>
      </c>
      <c r="BW1021" s="15" t="s">
        <v>444</v>
      </c>
      <c r="BZ1021" s="15" t="s">
        <v>444</v>
      </c>
      <c r="CB1021" s="15" t="s">
        <v>444</v>
      </c>
      <c r="CD1021" s="15" t="s">
        <v>444</v>
      </c>
      <c r="CF1021" s="15" t="s">
        <v>444</v>
      </c>
      <c r="CI1021" s="15" t="s">
        <v>444</v>
      </c>
      <c r="CK1021" s="15" t="s">
        <v>444</v>
      </c>
      <c r="CM1021" s="15" t="s">
        <v>444</v>
      </c>
      <c r="CO1021" s="15" t="s">
        <v>444</v>
      </c>
      <c r="CP1021" s="15" t="str">
        <f t="shared" ref="CP1021:CP1023" si="1752">"29.52"</f>
        <v>29.52</v>
      </c>
      <c r="CQ1021" s="15" t="str">
        <f t="shared" ref="CQ1021:CQ1023" si="1753">"0.836"</f>
        <v>0.836</v>
      </c>
      <c r="CR1021" s="15" t="s">
        <v>465</v>
      </c>
      <c r="DC1021" s="15" t="str">
        <f>IFERROR(__xludf.DUMMYFUNCTION("""COMPUTED_VALUE"""),"")</f>
        <v/>
      </c>
      <c r="DE1021" s="15" t="str">
        <f>IFERROR(__xludf.DUMMYFUNCTION("""COMPUTED_VALUE"""),"")</f>
        <v/>
      </c>
      <c r="DG1021" s="15" t="str">
        <f>IFERROR(__xludf.DUMMYFUNCTION("""COMPUTED_VALUE"""),"")</f>
        <v/>
      </c>
      <c r="DL1021" s="15" t="str">
        <f>IFERROR(__xludf.DUMMYFUNCTION("""COMPUTED_VALUE"""),"")</f>
        <v/>
      </c>
      <c r="DM1021" s="15" t="s">
        <v>444</v>
      </c>
      <c r="DN1021" s="15" t="s">
        <v>2600</v>
      </c>
      <c r="DO1021" s="15">
        <v>5.0</v>
      </c>
      <c r="DP1021" s="15" t="s">
        <v>2601</v>
      </c>
      <c r="DR1021" s="15">
        <v>0.0</v>
      </c>
      <c r="DT1021" s="15" t="s">
        <v>764</v>
      </c>
      <c r="DU1021" s="15" t="s">
        <v>421</v>
      </c>
      <c r="DY1021" s="15">
        <v>0.0</v>
      </c>
      <c r="EF1021" s="15" t="s">
        <v>2094</v>
      </c>
      <c r="EG1021" s="15" t="s">
        <v>2095</v>
      </c>
      <c r="EH1021" s="15" t="s">
        <v>10015</v>
      </c>
      <c r="EJ1021" s="15" t="s">
        <v>500</v>
      </c>
      <c r="EK1021" s="15" t="s">
        <v>501</v>
      </c>
      <c r="EM1021" s="15" t="str">
        <f>IFERROR(__xludf.DUMMYFUNCTION("""COMPUTED_VALUE"""),"")</f>
        <v/>
      </c>
      <c r="EW1021" s="15" t="s">
        <v>8112</v>
      </c>
      <c r="FL1021" s="15" t="s">
        <v>426</v>
      </c>
      <c r="FM1021" s="15">
        <v>0.0</v>
      </c>
      <c r="GH1021" s="15">
        <v>0.0</v>
      </c>
      <c r="GI1021" s="15" t="s">
        <v>427</v>
      </c>
      <c r="GQ1021" s="15" t="s">
        <v>5940</v>
      </c>
      <c r="GS1021" s="15" t="s">
        <v>731</v>
      </c>
      <c r="GU1021" s="15" t="s">
        <v>2024</v>
      </c>
      <c r="GW1021" s="15" t="s">
        <v>2604</v>
      </c>
      <c r="GY1021" s="15" t="s">
        <v>764</v>
      </c>
      <c r="GZ1021" s="15" t="s">
        <v>426</v>
      </c>
    </row>
    <row r="1022" ht="15.75" customHeight="1">
      <c r="A1022" s="14" t="s">
        <v>391</v>
      </c>
      <c r="B1022" s="15" t="s">
        <v>10008</v>
      </c>
      <c r="C1022" s="16"/>
      <c r="D1022" s="15" t="s">
        <v>432</v>
      </c>
      <c r="G1022" s="14" t="s">
        <v>393</v>
      </c>
      <c r="H1022" s="14" t="s">
        <v>394</v>
      </c>
      <c r="I1022" s="14" t="b">
        <v>1</v>
      </c>
      <c r="J1022" s="14" t="s">
        <v>395</v>
      </c>
      <c r="L1022" s="14" t="b">
        <v>0</v>
      </c>
      <c r="M1022" s="15" t="s">
        <v>10016</v>
      </c>
      <c r="N1022" s="14" t="s">
        <v>393</v>
      </c>
      <c r="O1022" s="14" t="s">
        <v>393</v>
      </c>
      <c r="P1022" s="15" t="s">
        <v>397</v>
      </c>
      <c r="Q1022" s="15" t="s">
        <v>10017</v>
      </c>
      <c r="T1022" s="14" t="b">
        <v>0</v>
      </c>
      <c r="U1022" s="15" t="s">
        <v>10018</v>
      </c>
      <c r="V1022" s="15" t="s">
        <v>5578</v>
      </c>
      <c r="W1022" s="15" t="s">
        <v>401</v>
      </c>
      <c r="X1022" s="15" t="s">
        <v>402</v>
      </c>
      <c r="Y1022" s="15">
        <v>2080.0</v>
      </c>
      <c r="AA1022" s="15" t="str">
        <f t="shared" si="1747"/>
        <v>800</v>
      </c>
      <c r="AB1022" s="14" t="b">
        <v>1</v>
      </c>
      <c r="AC1022" s="14" t="b">
        <v>1</v>
      </c>
      <c r="AD1022" s="15" t="str">
        <f>"801542933418"</f>
        <v>801542933418</v>
      </c>
      <c r="AE1022" s="15" t="s">
        <v>10019</v>
      </c>
      <c r="AF1022" s="14" t="s">
        <v>404</v>
      </c>
      <c r="AG1022" s="14" t="s">
        <v>405</v>
      </c>
      <c r="AH1022" s="14" t="s">
        <v>406</v>
      </c>
      <c r="AI1022" s="15">
        <v>0.0</v>
      </c>
      <c r="AL1022" s="15" t="s">
        <v>5927</v>
      </c>
      <c r="AM1022" s="15" t="s">
        <v>622</v>
      </c>
      <c r="AN1022" s="15" t="s">
        <v>623</v>
      </c>
      <c r="AO1022" s="15" t="s">
        <v>456</v>
      </c>
      <c r="AP1022" s="15" t="s">
        <v>457</v>
      </c>
      <c r="AQ1022" s="15" t="s">
        <v>3493</v>
      </c>
      <c r="AR1022" s="15" t="s">
        <v>2397</v>
      </c>
      <c r="AS1022" s="15" t="s">
        <v>4463</v>
      </c>
      <c r="AT1022" s="15" t="s">
        <v>10017</v>
      </c>
      <c r="AU1022" s="15" t="s">
        <v>5928</v>
      </c>
      <c r="AW1022" s="15" t="s">
        <v>412</v>
      </c>
      <c r="AY1022" s="15" t="s">
        <v>413</v>
      </c>
      <c r="AZ1022" s="15" t="b">
        <v>0</v>
      </c>
      <c r="BA1022" s="15" t="s">
        <v>413</v>
      </c>
      <c r="BB1022" s="15" t="b">
        <v>0</v>
      </c>
      <c r="BC1022" s="15" t="s">
        <v>10020</v>
      </c>
      <c r="BD1022" s="15" t="s">
        <v>415</v>
      </c>
      <c r="BE1022" s="15" t="str">
        <f t="shared" si="1746"/>
        <v>1</v>
      </c>
      <c r="BF1022" s="15" t="s">
        <v>416</v>
      </c>
      <c r="BG1022" s="15" t="str">
        <f t="shared" si="1748"/>
        <v>40.94</v>
      </c>
      <c r="BH1022" s="15" t="s">
        <v>648</v>
      </c>
      <c r="BI1022" s="15" t="str">
        <f t="shared" si="1749"/>
        <v>23.62</v>
      </c>
      <c r="BJ1022" s="15" t="s">
        <v>1570</v>
      </c>
      <c r="BK1022" s="15" t="str">
        <f t="shared" si="1750"/>
        <v>52.76</v>
      </c>
      <c r="BL1022" s="15" t="s">
        <v>3949</v>
      </c>
      <c r="BM1022" s="15" t="str">
        <f t="shared" si="1751"/>
        <v>167.55</v>
      </c>
      <c r="BN1022" s="15" t="s">
        <v>3886</v>
      </c>
      <c r="BQ1022" s="15" t="s">
        <v>444</v>
      </c>
      <c r="BS1022" s="15" t="s">
        <v>444</v>
      </c>
      <c r="BU1022" s="15" t="s">
        <v>444</v>
      </c>
      <c r="BW1022" s="15" t="s">
        <v>444</v>
      </c>
      <c r="BZ1022" s="15" t="s">
        <v>444</v>
      </c>
      <c r="CB1022" s="15" t="s">
        <v>444</v>
      </c>
      <c r="CD1022" s="15" t="s">
        <v>444</v>
      </c>
      <c r="CF1022" s="15" t="s">
        <v>444</v>
      </c>
      <c r="CI1022" s="15" t="s">
        <v>444</v>
      </c>
      <c r="CK1022" s="15" t="s">
        <v>444</v>
      </c>
      <c r="CM1022" s="15" t="s">
        <v>444</v>
      </c>
      <c r="CO1022" s="15" t="s">
        <v>444</v>
      </c>
      <c r="CP1022" s="15" t="str">
        <f t="shared" si="1752"/>
        <v>29.52</v>
      </c>
      <c r="CQ1022" s="15" t="str">
        <f t="shared" si="1753"/>
        <v>0.836</v>
      </c>
      <c r="CR1022" s="15" t="s">
        <v>465</v>
      </c>
      <c r="DC1022" s="15" t="str">
        <f>IFERROR(__xludf.DUMMYFUNCTION("""COMPUTED_VALUE"""),"")</f>
        <v/>
      </c>
      <c r="DE1022" s="15" t="str">
        <f>IFERROR(__xludf.DUMMYFUNCTION("""COMPUTED_VALUE"""),"")</f>
        <v/>
      </c>
      <c r="DG1022" s="15" t="str">
        <f>IFERROR(__xludf.DUMMYFUNCTION("""COMPUTED_VALUE"""),"")</f>
        <v/>
      </c>
      <c r="DL1022" s="15" t="str">
        <f>IFERROR(__xludf.DUMMYFUNCTION("""COMPUTED_VALUE"""),"")</f>
        <v/>
      </c>
      <c r="DM1022" s="15" t="s">
        <v>444</v>
      </c>
      <c r="DN1022" s="15" t="s">
        <v>2600</v>
      </c>
      <c r="DO1022" s="15">
        <v>5.0</v>
      </c>
      <c r="DP1022" s="15" t="s">
        <v>2601</v>
      </c>
      <c r="DR1022" s="15">
        <v>0.0</v>
      </c>
      <c r="DT1022" s="15" t="s">
        <v>764</v>
      </c>
      <c r="DU1022" s="15" t="s">
        <v>421</v>
      </c>
      <c r="DY1022" s="15">
        <v>0.0</v>
      </c>
      <c r="EF1022" s="15" t="s">
        <v>2094</v>
      </c>
      <c r="EG1022" s="15" t="s">
        <v>2095</v>
      </c>
      <c r="EH1022" s="15" t="s">
        <v>10015</v>
      </c>
      <c r="EJ1022" s="15" t="s">
        <v>500</v>
      </c>
      <c r="EK1022" s="15" t="s">
        <v>501</v>
      </c>
      <c r="EM1022" s="15" t="str">
        <f>IFERROR(__xludf.DUMMYFUNCTION("""COMPUTED_VALUE"""),"")</f>
        <v/>
      </c>
      <c r="EW1022" s="15" t="s">
        <v>8112</v>
      </c>
      <c r="FL1022" s="15" t="s">
        <v>426</v>
      </c>
      <c r="FM1022" s="15">
        <v>0.0</v>
      </c>
      <c r="GH1022" s="15">
        <v>0.0</v>
      </c>
      <c r="GI1022" s="15" t="s">
        <v>427</v>
      </c>
      <c r="GQ1022" s="15" t="s">
        <v>5940</v>
      </c>
      <c r="GS1022" s="15" t="s">
        <v>731</v>
      </c>
      <c r="GU1022" s="15" t="s">
        <v>2024</v>
      </c>
      <c r="GW1022" s="15" t="s">
        <v>2604</v>
      </c>
      <c r="GY1022" s="15" t="s">
        <v>764</v>
      </c>
      <c r="GZ1022" s="15" t="s">
        <v>426</v>
      </c>
    </row>
    <row r="1023" ht="15.75" customHeight="1">
      <c r="A1023" s="14" t="s">
        <v>391</v>
      </c>
      <c r="B1023" s="15" t="s">
        <v>10008</v>
      </c>
      <c r="C1023" s="16"/>
      <c r="D1023" s="15" t="s">
        <v>432</v>
      </c>
      <c r="G1023" s="14" t="s">
        <v>393</v>
      </c>
      <c r="H1023" s="14" t="s">
        <v>394</v>
      </c>
      <c r="I1023" s="14" t="b">
        <v>1</v>
      </c>
      <c r="J1023" s="14" t="s">
        <v>395</v>
      </c>
      <c r="L1023" s="14" t="b">
        <v>0</v>
      </c>
      <c r="M1023" s="15" t="s">
        <v>10021</v>
      </c>
      <c r="N1023" s="14" t="s">
        <v>393</v>
      </c>
      <c r="O1023" s="14" t="s">
        <v>393</v>
      </c>
      <c r="P1023" s="15" t="s">
        <v>397</v>
      </c>
      <c r="Q1023" s="15" t="s">
        <v>10022</v>
      </c>
      <c r="T1023" s="14" t="b">
        <v>0</v>
      </c>
      <c r="U1023" s="15" t="s">
        <v>10023</v>
      </c>
      <c r="V1023" s="15" t="s">
        <v>5578</v>
      </c>
      <c r="W1023" s="15" t="s">
        <v>401</v>
      </c>
      <c r="X1023" s="15" t="s">
        <v>402</v>
      </c>
      <c r="Y1023" s="15">
        <v>2080.0</v>
      </c>
      <c r="AA1023" s="15" t="str">
        <f t="shared" si="1747"/>
        <v>800</v>
      </c>
      <c r="AB1023" s="14" t="b">
        <v>1</v>
      </c>
      <c r="AC1023" s="14" t="b">
        <v>1</v>
      </c>
      <c r="AD1023" s="15" t="str">
        <f>"801542933425"</f>
        <v>801542933425</v>
      </c>
      <c r="AE1023" s="15" t="s">
        <v>10024</v>
      </c>
      <c r="AF1023" s="14" t="s">
        <v>404</v>
      </c>
      <c r="AG1023" s="14" t="s">
        <v>405</v>
      </c>
      <c r="AH1023" s="14" t="s">
        <v>406</v>
      </c>
      <c r="AI1023" s="15">
        <v>0.0</v>
      </c>
      <c r="AL1023" s="15" t="s">
        <v>5927</v>
      </c>
      <c r="AM1023" s="15" t="s">
        <v>622</v>
      </c>
      <c r="AN1023" s="15" t="s">
        <v>623</v>
      </c>
      <c r="AO1023" s="15" t="s">
        <v>456</v>
      </c>
      <c r="AP1023" s="15" t="s">
        <v>457</v>
      </c>
      <c r="AQ1023" s="15" t="s">
        <v>3493</v>
      </c>
      <c r="AR1023" s="15" t="s">
        <v>2397</v>
      </c>
      <c r="AS1023" s="15" t="s">
        <v>4463</v>
      </c>
      <c r="AT1023" s="15" t="s">
        <v>10022</v>
      </c>
      <c r="AU1023" s="15" t="s">
        <v>5928</v>
      </c>
      <c r="AW1023" s="15" t="s">
        <v>412</v>
      </c>
      <c r="AY1023" s="15" t="s">
        <v>413</v>
      </c>
      <c r="AZ1023" s="15" t="b">
        <v>0</v>
      </c>
      <c r="BA1023" s="15" t="s">
        <v>413</v>
      </c>
      <c r="BB1023" s="15" t="b">
        <v>0</v>
      </c>
      <c r="BC1023" s="15" t="s">
        <v>10025</v>
      </c>
      <c r="BD1023" s="15" t="s">
        <v>415</v>
      </c>
      <c r="BE1023" s="15" t="str">
        <f t="shared" si="1746"/>
        <v>1</v>
      </c>
      <c r="BF1023" s="15" t="s">
        <v>416</v>
      </c>
      <c r="BG1023" s="15" t="str">
        <f t="shared" si="1748"/>
        <v>40.94</v>
      </c>
      <c r="BH1023" s="15" t="s">
        <v>648</v>
      </c>
      <c r="BI1023" s="15" t="str">
        <f t="shared" si="1749"/>
        <v>23.62</v>
      </c>
      <c r="BJ1023" s="15" t="s">
        <v>1570</v>
      </c>
      <c r="BK1023" s="15" t="str">
        <f t="shared" si="1750"/>
        <v>52.76</v>
      </c>
      <c r="BL1023" s="15" t="s">
        <v>3949</v>
      </c>
      <c r="BM1023" s="15" t="str">
        <f t="shared" si="1751"/>
        <v>167.55</v>
      </c>
      <c r="BN1023" s="15" t="s">
        <v>3886</v>
      </c>
      <c r="BQ1023" s="15" t="s">
        <v>444</v>
      </c>
      <c r="BS1023" s="15" t="s">
        <v>444</v>
      </c>
      <c r="BU1023" s="15" t="s">
        <v>444</v>
      </c>
      <c r="BW1023" s="15" t="s">
        <v>444</v>
      </c>
      <c r="BZ1023" s="15" t="s">
        <v>444</v>
      </c>
      <c r="CB1023" s="15" t="s">
        <v>444</v>
      </c>
      <c r="CD1023" s="15" t="s">
        <v>444</v>
      </c>
      <c r="CF1023" s="15" t="s">
        <v>444</v>
      </c>
      <c r="CI1023" s="15" t="s">
        <v>444</v>
      </c>
      <c r="CK1023" s="15" t="s">
        <v>444</v>
      </c>
      <c r="CM1023" s="15" t="s">
        <v>444</v>
      </c>
      <c r="CO1023" s="15" t="s">
        <v>444</v>
      </c>
      <c r="CP1023" s="15" t="str">
        <f t="shared" si="1752"/>
        <v>29.52</v>
      </c>
      <c r="CQ1023" s="15" t="str">
        <f t="shared" si="1753"/>
        <v>0.836</v>
      </c>
      <c r="CR1023" s="15" t="s">
        <v>417</v>
      </c>
      <c r="DC1023" s="15" t="str">
        <f>IFERROR(__xludf.DUMMYFUNCTION("""COMPUTED_VALUE"""),"")</f>
        <v/>
      </c>
      <c r="DE1023" s="15" t="str">
        <f>IFERROR(__xludf.DUMMYFUNCTION("""COMPUTED_VALUE"""),"")</f>
        <v/>
      </c>
      <c r="DG1023" s="15" t="str">
        <f>IFERROR(__xludf.DUMMYFUNCTION("""COMPUTED_VALUE"""),"")</f>
        <v/>
      </c>
      <c r="DL1023" s="15" t="str">
        <f>IFERROR(__xludf.DUMMYFUNCTION("""COMPUTED_VALUE"""),"")</f>
        <v/>
      </c>
      <c r="DM1023" s="15" t="s">
        <v>444</v>
      </c>
      <c r="DN1023" s="15" t="s">
        <v>2600</v>
      </c>
      <c r="DO1023" s="15">
        <v>5.0</v>
      </c>
      <c r="DP1023" s="15" t="s">
        <v>2601</v>
      </c>
      <c r="DR1023" s="15">
        <v>0.0</v>
      </c>
      <c r="DT1023" s="15" t="s">
        <v>764</v>
      </c>
      <c r="DU1023" s="15" t="s">
        <v>421</v>
      </c>
      <c r="DY1023" s="15">
        <v>0.0</v>
      </c>
      <c r="EF1023" s="15" t="s">
        <v>2094</v>
      </c>
      <c r="EG1023" s="15" t="s">
        <v>2095</v>
      </c>
      <c r="EH1023" s="15" t="s">
        <v>10015</v>
      </c>
      <c r="EJ1023" s="15" t="s">
        <v>500</v>
      </c>
      <c r="EK1023" s="15" t="s">
        <v>501</v>
      </c>
      <c r="EM1023" s="15" t="str">
        <f>IFERROR(__xludf.DUMMYFUNCTION("""COMPUTED_VALUE"""),"")</f>
        <v/>
      </c>
      <c r="EW1023" s="15" t="s">
        <v>8112</v>
      </c>
      <c r="FL1023" s="15" t="s">
        <v>426</v>
      </c>
      <c r="FM1023" s="15">
        <v>0.0</v>
      </c>
      <c r="GH1023" s="15">
        <v>0.0</v>
      </c>
      <c r="GI1023" s="15" t="s">
        <v>427</v>
      </c>
      <c r="GQ1023" s="15" t="s">
        <v>5940</v>
      </c>
      <c r="GS1023" s="15" t="s">
        <v>731</v>
      </c>
      <c r="GU1023" s="15" t="s">
        <v>2024</v>
      </c>
      <c r="GW1023" s="15" t="s">
        <v>2604</v>
      </c>
      <c r="GY1023" s="15" t="s">
        <v>764</v>
      </c>
      <c r="GZ1023" s="15" t="s">
        <v>426</v>
      </c>
    </row>
    <row r="1024" ht="15.75" customHeight="1">
      <c r="A1024" s="14" t="s">
        <v>391</v>
      </c>
      <c r="B1024" s="15" t="s">
        <v>10026</v>
      </c>
      <c r="C1024" s="16"/>
      <c r="D1024" s="15" t="s">
        <v>432</v>
      </c>
      <c r="G1024" s="14" t="s">
        <v>393</v>
      </c>
      <c r="H1024" s="14" t="s">
        <v>394</v>
      </c>
      <c r="I1024" s="14" t="b">
        <v>1</v>
      </c>
      <c r="J1024" s="14" t="s">
        <v>395</v>
      </c>
      <c r="L1024" s="14" t="b">
        <v>0</v>
      </c>
      <c r="M1024" s="15" t="s">
        <v>10027</v>
      </c>
      <c r="N1024" s="14" t="s">
        <v>393</v>
      </c>
      <c r="O1024" s="14" t="s">
        <v>393</v>
      </c>
      <c r="P1024" s="15" t="s">
        <v>397</v>
      </c>
      <c r="Q1024" s="15" t="s">
        <v>10010</v>
      </c>
      <c r="T1024" s="14" t="b">
        <v>0</v>
      </c>
      <c r="U1024" s="15" t="s">
        <v>10028</v>
      </c>
      <c r="V1024" s="15" t="s">
        <v>5062</v>
      </c>
      <c r="W1024" s="15" t="s">
        <v>401</v>
      </c>
      <c r="X1024" s="15" t="s">
        <v>402</v>
      </c>
      <c r="Y1024" s="15">
        <v>2405.0</v>
      </c>
      <c r="AA1024" s="15" t="str">
        <f t="shared" ref="AA1024:AA1026" si="1754">"925"</f>
        <v>925</v>
      </c>
      <c r="AB1024" s="14" t="b">
        <v>1</v>
      </c>
      <c r="AC1024" s="14" t="b">
        <v>1</v>
      </c>
      <c r="AD1024" s="15" t="str">
        <f>"801542933432"</f>
        <v>801542933432</v>
      </c>
      <c r="AE1024" s="15" t="s">
        <v>10029</v>
      </c>
      <c r="AF1024" s="14" t="s">
        <v>404</v>
      </c>
      <c r="AG1024" s="14" t="s">
        <v>405</v>
      </c>
      <c r="AH1024" s="14" t="s">
        <v>406</v>
      </c>
      <c r="AI1024" s="15">
        <v>0.0</v>
      </c>
      <c r="AL1024" s="15" t="s">
        <v>5927</v>
      </c>
      <c r="AM1024" s="15" t="s">
        <v>452</v>
      </c>
      <c r="AN1024" s="15" t="s">
        <v>453</v>
      </c>
      <c r="AO1024" s="15" t="s">
        <v>456</v>
      </c>
      <c r="AP1024" s="15" t="s">
        <v>457</v>
      </c>
      <c r="AQ1024" s="15" t="s">
        <v>645</v>
      </c>
      <c r="AR1024" s="15" t="s">
        <v>646</v>
      </c>
      <c r="AS1024" s="15" t="s">
        <v>4463</v>
      </c>
      <c r="AT1024" s="15" t="s">
        <v>10010</v>
      </c>
      <c r="AU1024" s="15" t="s">
        <v>10013</v>
      </c>
      <c r="AW1024" s="15" t="s">
        <v>412</v>
      </c>
      <c r="AY1024" s="15" t="s">
        <v>413</v>
      </c>
      <c r="AZ1024" s="15" t="b">
        <v>0</v>
      </c>
      <c r="BA1024" s="15" t="s">
        <v>413</v>
      </c>
      <c r="BB1024" s="15" t="b">
        <v>0</v>
      </c>
      <c r="BC1024" s="15" t="s">
        <v>10030</v>
      </c>
      <c r="BD1024" s="15" t="s">
        <v>415</v>
      </c>
      <c r="BE1024" s="15" t="str">
        <f t="shared" si="1746"/>
        <v>1</v>
      </c>
      <c r="BF1024" s="15" t="s">
        <v>416</v>
      </c>
      <c r="BG1024" s="15" t="str">
        <f t="shared" ref="BG1024:BG1026" si="1755">"74.41"</f>
        <v>74.41</v>
      </c>
      <c r="BH1024" s="15" t="s">
        <v>5246</v>
      </c>
      <c r="BI1024" s="15" t="str">
        <f t="shared" ref="BI1024:BI1029" si="1756">"22.44"</f>
        <v>22.44</v>
      </c>
      <c r="BJ1024" s="15" t="s">
        <v>1156</v>
      </c>
      <c r="BK1024" s="15" t="str">
        <f t="shared" ref="BK1024:BK1026" si="1757">"39.96"</f>
        <v>39.96</v>
      </c>
      <c r="BL1024" s="15" t="s">
        <v>6320</v>
      </c>
      <c r="BM1024" s="15" t="str">
        <f t="shared" ref="BM1024:BM1026" si="1758">"207.23"</f>
        <v>207.23</v>
      </c>
      <c r="BN1024" s="15" t="s">
        <v>4114</v>
      </c>
      <c r="BQ1024" s="15" t="s">
        <v>444</v>
      </c>
      <c r="BS1024" s="15" t="s">
        <v>444</v>
      </c>
      <c r="BU1024" s="15" t="s">
        <v>444</v>
      </c>
      <c r="BW1024" s="15" t="s">
        <v>444</v>
      </c>
      <c r="BZ1024" s="15" t="s">
        <v>444</v>
      </c>
      <c r="CB1024" s="15" t="s">
        <v>444</v>
      </c>
      <c r="CD1024" s="15" t="s">
        <v>444</v>
      </c>
      <c r="CF1024" s="15" t="s">
        <v>444</v>
      </c>
      <c r="CI1024" s="15" t="s">
        <v>444</v>
      </c>
      <c r="CK1024" s="15" t="s">
        <v>444</v>
      </c>
      <c r="CM1024" s="15" t="s">
        <v>444</v>
      </c>
      <c r="CO1024" s="15" t="s">
        <v>444</v>
      </c>
      <c r="CP1024" s="15" t="str">
        <f t="shared" ref="CP1024:CP1026" si="1759">"38.6"</f>
        <v>38.6</v>
      </c>
      <c r="CQ1024" s="15" t="str">
        <f t="shared" ref="CQ1024:CQ1026" si="1760">"1.093"</f>
        <v>1.093</v>
      </c>
      <c r="CR1024" s="15" t="s">
        <v>497</v>
      </c>
      <c r="DC1024" s="15" t="str">
        <f>IFERROR(__xludf.DUMMYFUNCTION("""COMPUTED_VALUE"""),"")</f>
        <v/>
      </c>
      <c r="DE1024" s="15" t="str">
        <f>IFERROR(__xludf.DUMMYFUNCTION("""COMPUTED_VALUE"""),"")</f>
        <v/>
      </c>
      <c r="DG1024" s="15" t="str">
        <f>IFERROR(__xludf.DUMMYFUNCTION("""COMPUTED_VALUE"""),"")</f>
        <v/>
      </c>
      <c r="DL1024" s="15" t="str">
        <f>IFERROR(__xludf.DUMMYFUNCTION("""COMPUTED_VALUE"""),"")</f>
        <v/>
      </c>
      <c r="DM1024" s="15" t="s">
        <v>444</v>
      </c>
      <c r="DN1024" s="15" t="s">
        <v>2600</v>
      </c>
      <c r="DO1024" s="15">
        <v>7.0</v>
      </c>
      <c r="DP1024" s="15" t="s">
        <v>2601</v>
      </c>
      <c r="DR1024" s="15">
        <v>0.0</v>
      </c>
      <c r="DT1024" s="15" t="s">
        <v>764</v>
      </c>
      <c r="DU1024" s="15" t="s">
        <v>421</v>
      </c>
      <c r="DY1024" s="15">
        <v>0.0</v>
      </c>
      <c r="EF1024" s="15" t="s">
        <v>422</v>
      </c>
      <c r="EG1024" s="15" t="s">
        <v>445</v>
      </c>
      <c r="EH1024" s="15" t="s">
        <v>10015</v>
      </c>
      <c r="EJ1024" s="15" t="s">
        <v>500</v>
      </c>
      <c r="EK1024" s="15" t="s">
        <v>501</v>
      </c>
      <c r="EM1024" s="15" t="str">
        <f>IFERROR(__xludf.DUMMYFUNCTION("""COMPUTED_VALUE"""),"")</f>
        <v/>
      </c>
      <c r="EW1024" s="15" t="s">
        <v>3240</v>
      </c>
      <c r="FL1024" s="15" t="s">
        <v>426</v>
      </c>
      <c r="FM1024" s="15">
        <v>0.0</v>
      </c>
      <c r="GH1024" s="15">
        <v>0.0</v>
      </c>
      <c r="GI1024" s="15" t="s">
        <v>427</v>
      </c>
      <c r="GQ1024" s="15" t="s">
        <v>1287</v>
      </c>
      <c r="GR1024" s="15" t="s">
        <v>1287</v>
      </c>
      <c r="GS1024" s="15" t="s">
        <v>2899</v>
      </c>
      <c r="GT1024" s="15" t="s">
        <v>2116</v>
      </c>
      <c r="GU1024" s="15" t="s">
        <v>1237</v>
      </c>
      <c r="GV1024" s="15" t="s">
        <v>1994</v>
      </c>
      <c r="GW1024" s="15" t="s">
        <v>2604</v>
      </c>
      <c r="GY1024" s="15" t="s">
        <v>764</v>
      </c>
      <c r="GZ1024" s="15" t="s">
        <v>426</v>
      </c>
    </row>
    <row r="1025" ht="15.75" customHeight="1">
      <c r="A1025" s="14" t="s">
        <v>391</v>
      </c>
      <c r="B1025" s="15" t="s">
        <v>10026</v>
      </c>
      <c r="C1025" s="16"/>
      <c r="D1025" s="15" t="s">
        <v>432</v>
      </c>
      <c r="G1025" s="14" t="s">
        <v>393</v>
      </c>
      <c r="H1025" s="14" t="s">
        <v>394</v>
      </c>
      <c r="I1025" s="14" t="b">
        <v>1</v>
      </c>
      <c r="J1025" s="14" t="s">
        <v>395</v>
      </c>
      <c r="L1025" s="14" t="b">
        <v>0</v>
      </c>
      <c r="M1025" s="15" t="s">
        <v>10031</v>
      </c>
      <c r="N1025" s="14" t="s">
        <v>393</v>
      </c>
      <c r="O1025" s="14" t="s">
        <v>393</v>
      </c>
      <c r="P1025" s="15" t="s">
        <v>397</v>
      </c>
      <c r="Q1025" s="15" t="s">
        <v>10017</v>
      </c>
      <c r="T1025" s="14" t="b">
        <v>0</v>
      </c>
      <c r="U1025" s="15" t="s">
        <v>10032</v>
      </c>
      <c r="V1025" s="15" t="s">
        <v>5062</v>
      </c>
      <c r="W1025" s="15" t="s">
        <v>401</v>
      </c>
      <c r="X1025" s="15" t="s">
        <v>402</v>
      </c>
      <c r="Y1025" s="15">
        <v>2405.0</v>
      </c>
      <c r="AA1025" s="15" t="str">
        <f t="shared" si="1754"/>
        <v>925</v>
      </c>
      <c r="AB1025" s="14" t="b">
        <v>1</v>
      </c>
      <c r="AC1025" s="14" t="b">
        <v>1</v>
      </c>
      <c r="AD1025" s="15" t="str">
        <f>"801542934026"</f>
        <v>801542934026</v>
      </c>
      <c r="AE1025" s="15" t="s">
        <v>10033</v>
      </c>
      <c r="AF1025" s="14" t="s">
        <v>404</v>
      </c>
      <c r="AG1025" s="14" t="s">
        <v>405</v>
      </c>
      <c r="AH1025" s="14" t="s">
        <v>406</v>
      </c>
      <c r="AI1025" s="15">
        <v>0.0</v>
      </c>
      <c r="AL1025" s="15" t="s">
        <v>5927</v>
      </c>
      <c r="AM1025" s="15" t="s">
        <v>452</v>
      </c>
      <c r="AN1025" s="15" t="s">
        <v>453</v>
      </c>
      <c r="AO1025" s="15" t="s">
        <v>456</v>
      </c>
      <c r="AP1025" s="15" t="s">
        <v>457</v>
      </c>
      <c r="AQ1025" s="15" t="s">
        <v>645</v>
      </c>
      <c r="AR1025" s="15" t="s">
        <v>646</v>
      </c>
      <c r="AS1025" s="15" t="s">
        <v>4463</v>
      </c>
      <c r="AT1025" s="15" t="s">
        <v>10017</v>
      </c>
      <c r="AU1025" s="15" t="s">
        <v>5928</v>
      </c>
      <c r="AW1025" s="15" t="s">
        <v>412</v>
      </c>
      <c r="AY1025" s="15" t="s">
        <v>413</v>
      </c>
      <c r="AZ1025" s="15" t="b">
        <v>0</v>
      </c>
      <c r="BA1025" s="15" t="s">
        <v>413</v>
      </c>
      <c r="BB1025" s="15" t="b">
        <v>0</v>
      </c>
      <c r="BC1025" s="15" t="s">
        <v>10034</v>
      </c>
      <c r="BD1025" s="15" t="s">
        <v>415</v>
      </c>
      <c r="BE1025" s="15" t="str">
        <f t="shared" si="1746"/>
        <v>1</v>
      </c>
      <c r="BF1025" s="15" t="s">
        <v>416</v>
      </c>
      <c r="BG1025" s="15" t="str">
        <f t="shared" si="1755"/>
        <v>74.41</v>
      </c>
      <c r="BH1025" s="15" t="s">
        <v>5246</v>
      </c>
      <c r="BI1025" s="15" t="str">
        <f t="shared" si="1756"/>
        <v>22.44</v>
      </c>
      <c r="BJ1025" s="15" t="s">
        <v>1156</v>
      </c>
      <c r="BK1025" s="15" t="str">
        <f t="shared" si="1757"/>
        <v>39.96</v>
      </c>
      <c r="BL1025" s="15" t="s">
        <v>6320</v>
      </c>
      <c r="BM1025" s="15" t="str">
        <f t="shared" si="1758"/>
        <v>207.23</v>
      </c>
      <c r="BN1025" s="15" t="s">
        <v>4114</v>
      </c>
      <c r="BQ1025" s="15" t="s">
        <v>444</v>
      </c>
      <c r="BS1025" s="15" t="s">
        <v>444</v>
      </c>
      <c r="BU1025" s="15" t="s">
        <v>444</v>
      </c>
      <c r="BW1025" s="15" t="s">
        <v>444</v>
      </c>
      <c r="BZ1025" s="15" t="s">
        <v>444</v>
      </c>
      <c r="CB1025" s="15" t="s">
        <v>444</v>
      </c>
      <c r="CD1025" s="15" t="s">
        <v>444</v>
      </c>
      <c r="CF1025" s="15" t="s">
        <v>444</v>
      </c>
      <c r="CI1025" s="15" t="s">
        <v>444</v>
      </c>
      <c r="CK1025" s="15" t="s">
        <v>444</v>
      </c>
      <c r="CM1025" s="15" t="s">
        <v>444</v>
      </c>
      <c r="CO1025" s="15" t="s">
        <v>444</v>
      </c>
      <c r="CP1025" s="15" t="str">
        <f t="shared" si="1759"/>
        <v>38.6</v>
      </c>
      <c r="CQ1025" s="15" t="str">
        <f t="shared" si="1760"/>
        <v>1.093</v>
      </c>
      <c r="CR1025" s="15" t="s">
        <v>465</v>
      </c>
      <c r="DC1025" s="15" t="str">
        <f>IFERROR(__xludf.DUMMYFUNCTION("""COMPUTED_VALUE"""),"")</f>
        <v/>
      </c>
      <c r="DE1025" s="15" t="str">
        <f>IFERROR(__xludf.DUMMYFUNCTION("""COMPUTED_VALUE"""),"")</f>
        <v/>
      </c>
      <c r="DG1025" s="15" t="str">
        <f>IFERROR(__xludf.DUMMYFUNCTION("""COMPUTED_VALUE"""),"")</f>
        <v/>
      </c>
      <c r="DL1025" s="15" t="str">
        <f>IFERROR(__xludf.DUMMYFUNCTION("""COMPUTED_VALUE"""),"")</f>
        <v/>
      </c>
      <c r="DM1025" s="15" t="s">
        <v>444</v>
      </c>
      <c r="DN1025" s="15" t="s">
        <v>2600</v>
      </c>
      <c r="DO1025" s="15">
        <v>7.0</v>
      </c>
      <c r="DP1025" s="15" t="s">
        <v>2601</v>
      </c>
      <c r="DR1025" s="15">
        <v>0.0</v>
      </c>
      <c r="DT1025" s="15" t="s">
        <v>764</v>
      </c>
      <c r="DU1025" s="15" t="s">
        <v>421</v>
      </c>
      <c r="DY1025" s="15">
        <v>0.0</v>
      </c>
      <c r="EF1025" s="15" t="s">
        <v>422</v>
      </c>
      <c r="EG1025" s="15" t="s">
        <v>445</v>
      </c>
      <c r="EH1025" s="15" t="s">
        <v>10015</v>
      </c>
      <c r="EJ1025" s="15" t="s">
        <v>500</v>
      </c>
      <c r="EK1025" s="15" t="s">
        <v>501</v>
      </c>
      <c r="EM1025" s="15" t="str">
        <f>IFERROR(__xludf.DUMMYFUNCTION("""COMPUTED_VALUE"""),"")</f>
        <v/>
      </c>
      <c r="EW1025" s="15" t="s">
        <v>3240</v>
      </c>
      <c r="FL1025" s="15" t="s">
        <v>426</v>
      </c>
      <c r="FM1025" s="15">
        <v>0.0</v>
      </c>
      <c r="GH1025" s="15">
        <v>0.0</v>
      </c>
      <c r="GI1025" s="15" t="s">
        <v>427</v>
      </c>
      <c r="GQ1025" s="15" t="s">
        <v>1287</v>
      </c>
      <c r="GR1025" s="15" t="s">
        <v>1287</v>
      </c>
      <c r="GS1025" s="15" t="s">
        <v>2899</v>
      </c>
      <c r="GT1025" s="15" t="s">
        <v>2116</v>
      </c>
      <c r="GU1025" s="15" t="s">
        <v>1237</v>
      </c>
      <c r="GV1025" s="15" t="s">
        <v>1994</v>
      </c>
      <c r="GW1025" s="15" t="s">
        <v>2604</v>
      </c>
      <c r="GY1025" s="15" t="s">
        <v>764</v>
      </c>
      <c r="GZ1025" s="15" t="s">
        <v>426</v>
      </c>
    </row>
    <row r="1026" ht="15.75" customHeight="1">
      <c r="A1026" s="14" t="s">
        <v>391</v>
      </c>
      <c r="B1026" s="15" t="s">
        <v>10026</v>
      </c>
      <c r="C1026" s="16"/>
      <c r="D1026" s="15" t="s">
        <v>432</v>
      </c>
      <c r="G1026" s="14" t="s">
        <v>393</v>
      </c>
      <c r="H1026" s="14" t="s">
        <v>394</v>
      </c>
      <c r="I1026" s="14" t="b">
        <v>1</v>
      </c>
      <c r="J1026" s="14" t="s">
        <v>395</v>
      </c>
      <c r="L1026" s="14" t="b">
        <v>0</v>
      </c>
      <c r="M1026" s="15" t="s">
        <v>10035</v>
      </c>
      <c r="N1026" s="14" t="s">
        <v>393</v>
      </c>
      <c r="O1026" s="14" t="s">
        <v>393</v>
      </c>
      <c r="P1026" s="15" t="s">
        <v>397</v>
      </c>
      <c r="Q1026" s="15" t="s">
        <v>10022</v>
      </c>
      <c r="T1026" s="14" t="b">
        <v>0</v>
      </c>
      <c r="U1026" s="15" t="s">
        <v>10036</v>
      </c>
      <c r="V1026" s="15" t="s">
        <v>5062</v>
      </c>
      <c r="W1026" s="15" t="s">
        <v>401</v>
      </c>
      <c r="X1026" s="15" t="s">
        <v>402</v>
      </c>
      <c r="Y1026" s="15">
        <v>2405.0</v>
      </c>
      <c r="AA1026" s="15" t="str">
        <f t="shared" si="1754"/>
        <v>925</v>
      </c>
      <c r="AB1026" s="14" t="b">
        <v>1</v>
      </c>
      <c r="AC1026" s="14" t="b">
        <v>1</v>
      </c>
      <c r="AD1026" s="15" t="str">
        <f>"801542934033"</f>
        <v>801542934033</v>
      </c>
      <c r="AE1026" s="15" t="s">
        <v>10037</v>
      </c>
      <c r="AF1026" s="14" t="s">
        <v>404</v>
      </c>
      <c r="AG1026" s="14" t="s">
        <v>405</v>
      </c>
      <c r="AH1026" s="14" t="s">
        <v>406</v>
      </c>
      <c r="AI1026" s="15">
        <v>0.0</v>
      </c>
      <c r="AL1026" s="15" t="s">
        <v>5927</v>
      </c>
      <c r="AM1026" s="15" t="s">
        <v>452</v>
      </c>
      <c r="AN1026" s="15" t="s">
        <v>453</v>
      </c>
      <c r="AO1026" s="15" t="s">
        <v>456</v>
      </c>
      <c r="AP1026" s="15" t="s">
        <v>457</v>
      </c>
      <c r="AQ1026" s="15" t="s">
        <v>645</v>
      </c>
      <c r="AR1026" s="15" t="s">
        <v>646</v>
      </c>
      <c r="AS1026" s="15" t="s">
        <v>4463</v>
      </c>
      <c r="AT1026" s="15" t="s">
        <v>10022</v>
      </c>
      <c r="AU1026" s="15" t="s">
        <v>5928</v>
      </c>
      <c r="AW1026" s="15" t="s">
        <v>412</v>
      </c>
      <c r="AY1026" s="15" t="s">
        <v>413</v>
      </c>
      <c r="AZ1026" s="15" t="b">
        <v>0</v>
      </c>
      <c r="BA1026" s="15" t="s">
        <v>413</v>
      </c>
      <c r="BB1026" s="15" t="b">
        <v>0</v>
      </c>
      <c r="BC1026" s="15" t="s">
        <v>10038</v>
      </c>
      <c r="BD1026" s="15" t="s">
        <v>415</v>
      </c>
      <c r="BE1026" s="15" t="str">
        <f t="shared" si="1746"/>
        <v>1</v>
      </c>
      <c r="BF1026" s="15" t="s">
        <v>416</v>
      </c>
      <c r="BG1026" s="15" t="str">
        <f t="shared" si="1755"/>
        <v>74.41</v>
      </c>
      <c r="BH1026" s="15" t="s">
        <v>5246</v>
      </c>
      <c r="BI1026" s="15" t="str">
        <f t="shared" si="1756"/>
        <v>22.44</v>
      </c>
      <c r="BJ1026" s="15" t="s">
        <v>1156</v>
      </c>
      <c r="BK1026" s="15" t="str">
        <f t="shared" si="1757"/>
        <v>39.96</v>
      </c>
      <c r="BL1026" s="15" t="s">
        <v>6320</v>
      </c>
      <c r="BM1026" s="15" t="str">
        <f t="shared" si="1758"/>
        <v>207.23</v>
      </c>
      <c r="BN1026" s="15" t="s">
        <v>4114</v>
      </c>
      <c r="BQ1026" s="15" t="s">
        <v>444</v>
      </c>
      <c r="BS1026" s="15" t="s">
        <v>444</v>
      </c>
      <c r="BU1026" s="15" t="s">
        <v>444</v>
      </c>
      <c r="BW1026" s="15" t="s">
        <v>444</v>
      </c>
      <c r="BZ1026" s="15" t="s">
        <v>444</v>
      </c>
      <c r="CB1026" s="15" t="s">
        <v>444</v>
      </c>
      <c r="CD1026" s="15" t="s">
        <v>444</v>
      </c>
      <c r="CF1026" s="15" t="s">
        <v>444</v>
      </c>
      <c r="CI1026" s="15" t="s">
        <v>444</v>
      </c>
      <c r="CK1026" s="15" t="s">
        <v>444</v>
      </c>
      <c r="CM1026" s="15" t="s">
        <v>444</v>
      </c>
      <c r="CO1026" s="15" t="s">
        <v>444</v>
      </c>
      <c r="CP1026" s="15" t="str">
        <f t="shared" si="1759"/>
        <v>38.6</v>
      </c>
      <c r="CQ1026" s="15" t="str">
        <f t="shared" si="1760"/>
        <v>1.093</v>
      </c>
      <c r="CR1026" s="15" t="s">
        <v>465</v>
      </c>
      <c r="DC1026" s="15" t="str">
        <f>IFERROR(__xludf.DUMMYFUNCTION("""COMPUTED_VALUE"""),"")</f>
        <v/>
      </c>
      <c r="DE1026" s="15" t="str">
        <f>IFERROR(__xludf.DUMMYFUNCTION("""COMPUTED_VALUE"""),"")</f>
        <v/>
      </c>
      <c r="DG1026" s="15" t="str">
        <f>IFERROR(__xludf.DUMMYFUNCTION("""COMPUTED_VALUE"""),"")</f>
        <v/>
      </c>
      <c r="DL1026" s="15" t="str">
        <f>IFERROR(__xludf.DUMMYFUNCTION("""COMPUTED_VALUE"""),"")</f>
        <v/>
      </c>
      <c r="DM1026" s="15" t="s">
        <v>444</v>
      </c>
      <c r="DN1026" s="15" t="s">
        <v>2600</v>
      </c>
      <c r="DO1026" s="15">
        <v>7.0</v>
      </c>
      <c r="DP1026" s="15" t="s">
        <v>2601</v>
      </c>
      <c r="DR1026" s="15">
        <v>0.0</v>
      </c>
      <c r="DT1026" s="15" t="s">
        <v>764</v>
      </c>
      <c r="DU1026" s="15" t="s">
        <v>421</v>
      </c>
      <c r="DY1026" s="15">
        <v>0.0</v>
      </c>
      <c r="EF1026" s="15" t="s">
        <v>422</v>
      </c>
      <c r="EG1026" s="15" t="s">
        <v>445</v>
      </c>
      <c r="EH1026" s="15" t="s">
        <v>10015</v>
      </c>
      <c r="EJ1026" s="15" t="s">
        <v>500</v>
      </c>
      <c r="EK1026" s="15" t="s">
        <v>501</v>
      </c>
      <c r="EM1026" s="15" t="str">
        <f>IFERROR(__xludf.DUMMYFUNCTION("""COMPUTED_VALUE"""),"")</f>
        <v/>
      </c>
      <c r="EW1026" s="15" t="s">
        <v>3240</v>
      </c>
      <c r="FL1026" s="15" t="s">
        <v>426</v>
      </c>
      <c r="FM1026" s="15">
        <v>0.0</v>
      </c>
      <c r="GH1026" s="15">
        <v>0.0</v>
      </c>
      <c r="GI1026" s="15" t="s">
        <v>427</v>
      </c>
      <c r="GQ1026" s="15" t="s">
        <v>1287</v>
      </c>
      <c r="GR1026" s="15" t="s">
        <v>1287</v>
      </c>
      <c r="GS1026" s="15" t="s">
        <v>2899</v>
      </c>
      <c r="GT1026" s="15" t="s">
        <v>2116</v>
      </c>
      <c r="GU1026" s="15" t="s">
        <v>1237</v>
      </c>
      <c r="GV1026" s="15" t="s">
        <v>1994</v>
      </c>
      <c r="GW1026" s="15" t="s">
        <v>2604</v>
      </c>
      <c r="GY1026" s="15" t="s">
        <v>764</v>
      </c>
      <c r="GZ1026" s="15" t="s">
        <v>426</v>
      </c>
    </row>
    <row r="1027" ht="15.75" customHeight="1">
      <c r="A1027" s="14" t="s">
        <v>391</v>
      </c>
      <c r="B1027" s="15" t="s">
        <v>10039</v>
      </c>
      <c r="C1027" s="16"/>
      <c r="D1027" s="15" t="s">
        <v>432</v>
      </c>
      <c r="G1027" s="14" t="s">
        <v>393</v>
      </c>
      <c r="H1027" s="14" t="s">
        <v>394</v>
      </c>
      <c r="I1027" s="14" t="b">
        <v>1</v>
      </c>
      <c r="J1027" s="14" t="s">
        <v>395</v>
      </c>
      <c r="L1027" s="14" t="b">
        <v>0</v>
      </c>
      <c r="M1027" s="15" t="s">
        <v>10040</v>
      </c>
      <c r="N1027" s="14" t="s">
        <v>393</v>
      </c>
      <c r="O1027" s="14" t="s">
        <v>393</v>
      </c>
      <c r="P1027" s="15" t="s">
        <v>397</v>
      </c>
      <c r="Q1027" s="15" t="s">
        <v>10010</v>
      </c>
      <c r="T1027" s="14" t="b">
        <v>0</v>
      </c>
      <c r="U1027" s="15" t="s">
        <v>10041</v>
      </c>
      <c r="V1027" s="15" t="s">
        <v>3940</v>
      </c>
      <c r="W1027" s="15" t="s">
        <v>401</v>
      </c>
      <c r="X1027" s="15" t="s">
        <v>402</v>
      </c>
      <c r="Y1027" s="15">
        <v>2626.0</v>
      </c>
      <c r="AA1027" s="15" t="str">
        <f t="shared" ref="AA1027:AA1029" si="1761">"1010"</f>
        <v>1010</v>
      </c>
      <c r="AB1027" s="14" t="b">
        <v>1</v>
      </c>
      <c r="AC1027" s="14" t="b">
        <v>1</v>
      </c>
      <c r="AD1027" s="15" t="str">
        <f>"801542779603"</f>
        <v>801542779603</v>
      </c>
      <c r="AE1027" s="15" t="s">
        <v>10042</v>
      </c>
      <c r="AF1027" s="14" t="s">
        <v>404</v>
      </c>
      <c r="AG1027" s="14" t="s">
        <v>405</v>
      </c>
      <c r="AH1027" s="14" t="s">
        <v>406</v>
      </c>
      <c r="AI1027" s="15">
        <v>0.0</v>
      </c>
      <c r="AL1027" s="15" t="s">
        <v>5927</v>
      </c>
      <c r="AM1027" s="15" t="s">
        <v>452</v>
      </c>
      <c r="AN1027" s="15" t="s">
        <v>453</v>
      </c>
      <c r="AO1027" s="15" t="s">
        <v>1007</v>
      </c>
      <c r="AP1027" s="15" t="s">
        <v>1008</v>
      </c>
      <c r="AQ1027" s="15" t="s">
        <v>5214</v>
      </c>
      <c r="AR1027" s="15" t="s">
        <v>5215</v>
      </c>
      <c r="AS1027" s="15" t="s">
        <v>4463</v>
      </c>
      <c r="AT1027" s="15" t="s">
        <v>10010</v>
      </c>
      <c r="AU1027" s="15" t="s">
        <v>10013</v>
      </c>
      <c r="AW1027" s="15" t="s">
        <v>412</v>
      </c>
      <c r="AY1027" s="15" t="s">
        <v>413</v>
      </c>
      <c r="AZ1027" s="15" t="b">
        <v>0</v>
      </c>
      <c r="BA1027" s="15" t="s">
        <v>413</v>
      </c>
      <c r="BB1027" s="15" t="b">
        <v>0</v>
      </c>
      <c r="BC1027" s="15" t="s">
        <v>10043</v>
      </c>
      <c r="BD1027" s="15" t="s">
        <v>415</v>
      </c>
      <c r="BE1027" s="15" t="str">
        <f t="shared" si="1746"/>
        <v>1</v>
      </c>
      <c r="BF1027" s="15" t="s">
        <v>416</v>
      </c>
      <c r="BG1027" s="15" t="str">
        <f t="shared" ref="BG1027:BG1029" si="1762">"74.8"</f>
        <v>74.8</v>
      </c>
      <c r="BH1027" s="15" t="s">
        <v>6710</v>
      </c>
      <c r="BI1027" s="15" t="str">
        <f t="shared" si="1756"/>
        <v>22.44</v>
      </c>
      <c r="BJ1027" s="15" t="s">
        <v>1156</v>
      </c>
      <c r="BK1027" s="15" t="str">
        <f t="shared" ref="BK1027:BK1029" si="1763">"45.28"</f>
        <v>45.28</v>
      </c>
      <c r="BL1027" s="15" t="s">
        <v>682</v>
      </c>
      <c r="BM1027" s="15" t="str">
        <f t="shared" ref="BM1027:BM1029" si="1764">"253.53"</f>
        <v>253.53</v>
      </c>
      <c r="BN1027" s="15" t="s">
        <v>4878</v>
      </c>
      <c r="BQ1027" s="15" t="s">
        <v>444</v>
      </c>
      <c r="BS1027" s="15" t="s">
        <v>444</v>
      </c>
      <c r="BU1027" s="15" t="s">
        <v>444</v>
      </c>
      <c r="BW1027" s="15" t="s">
        <v>444</v>
      </c>
      <c r="BZ1027" s="15" t="s">
        <v>444</v>
      </c>
      <c r="CB1027" s="15" t="s">
        <v>444</v>
      </c>
      <c r="CD1027" s="15" t="s">
        <v>444</v>
      </c>
      <c r="CF1027" s="15" t="s">
        <v>444</v>
      </c>
      <c r="CI1027" s="15" t="s">
        <v>444</v>
      </c>
      <c r="CK1027" s="15" t="s">
        <v>444</v>
      </c>
      <c r="CM1027" s="15" t="s">
        <v>444</v>
      </c>
      <c r="CO1027" s="15" t="s">
        <v>444</v>
      </c>
      <c r="CP1027" s="15" t="str">
        <f t="shared" ref="CP1027:CP1029" si="1765">"43.97"</f>
        <v>43.97</v>
      </c>
      <c r="CQ1027" s="15" t="str">
        <f t="shared" ref="CQ1027:CQ1029" si="1766">"1.245"</f>
        <v>1.245</v>
      </c>
      <c r="CR1027" s="15" t="s">
        <v>417</v>
      </c>
      <c r="DC1027" s="15" t="str">
        <f>IFERROR(__xludf.DUMMYFUNCTION("""COMPUTED_VALUE"""),"")</f>
        <v/>
      </c>
      <c r="DE1027" s="15" t="str">
        <f>IFERROR(__xludf.DUMMYFUNCTION("""COMPUTED_VALUE"""),"")</f>
        <v/>
      </c>
      <c r="DG1027" s="15" t="str">
        <f>IFERROR(__xludf.DUMMYFUNCTION("""COMPUTED_VALUE"""),"")</f>
        <v/>
      </c>
      <c r="DL1027" s="15" t="str">
        <f>IFERROR(__xludf.DUMMYFUNCTION("""COMPUTED_VALUE"""),"")</f>
        <v/>
      </c>
      <c r="DM1027" s="15" t="s">
        <v>444</v>
      </c>
      <c r="DN1027" s="15" t="s">
        <v>2600</v>
      </c>
      <c r="DO1027" s="15">
        <v>9.0</v>
      </c>
      <c r="DP1027" s="15" t="s">
        <v>2604</v>
      </c>
      <c r="DR1027" s="15">
        <v>0.0</v>
      </c>
      <c r="DT1027" s="15" t="s">
        <v>764</v>
      </c>
      <c r="DU1027" s="15" t="s">
        <v>421</v>
      </c>
      <c r="DY1027" s="15">
        <v>0.0</v>
      </c>
      <c r="EF1027" s="15" t="s">
        <v>422</v>
      </c>
      <c r="EG1027" s="15" t="s">
        <v>445</v>
      </c>
      <c r="EH1027" s="15" t="s">
        <v>10015</v>
      </c>
      <c r="EJ1027" s="15" t="s">
        <v>500</v>
      </c>
      <c r="EK1027" s="15" t="s">
        <v>501</v>
      </c>
      <c r="EM1027" s="15" t="str">
        <f>IFERROR(__xludf.DUMMYFUNCTION("""COMPUTED_VALUE"""),"")</f>
        <v/>
      </c>
      <c r="EW1027" s="15" t="s">
        <v>10044</v>
      </c>
      <c r="FL1027" s="15" t="s">
        <v>426</v>
      </c>
      <c r="FM1027" s="15">
        <v>0.0</v>
      </c>
      <c r="GH1027" s="15">
        <v>0.0</v>
      </c>
      <c r="GI1027" s="15" t="s">
        <v>427</v>
      </c>
      <c r="GQ1027" s="15" t="s">
        <v>5940</v>
      </c>
      <c r="GR1027" s="15" t="s">
        <v>5940</v>
      </c>
      <c r="GS1027" s="15" t="s">
        <v>6947</v>
      </c>
      <c r="GT1027" s="15" t="s">
        <v>6043</v>
      </c>
      <c r="GU1027" s="15" t="s">
        <v>1488</v>
      </c>
      <c r="GV1027" s="15" t="s">
        <v>10045</v>
      </c>
      <c r="GW1027" s="15" t="s">
        <v>2604</v>
      </c>
      <c r="GY1027" s="15" t="s">
        <v>764</v>
      </c>
      <c r="GZ1027" s="15" t="s">
        <v>426</v>
      </c>
    </row>
    <row r="1028" ht="15.75" customHeight="1">
      <c r="A1028" s="14" t="s">
        <v>391</v>
      </c>
      <c r="B1028" s="15" t="s">
        <v>10039</v>
      </c>
      <c r="C1028" s="16"/>
      <c r="D1028" s="15" t="s">
        <v>432</v>
      </c>
      <c r="G1028" s="14" t="s">
        <v>393</v>
      </c>
      <c r="H1028" s="14" t="s">
        <v>394</v>
      </c>
      <c r="I1028" s="14" t="b">
        <v>1</v>
      </c>
      <c r="J1028" s="14" t="s">
        <v>395</v>
      </c>
      <c r="L1028" s="14" t="b">
        <v>0</v>
      </c>
      <c r="M1028" s="15" t="s">
        <v>10046</v>
      </c>
      <c r="N1028" s="14" t="s">
        <v>393</v>
      </c>
      <c r="O1028" s="14" t="s">
        <v>393</v>
      </c>
      <c r="P1028" s="15" t="s">
        <v>397</v>
      </c>
      <c r="Q1028" s="15" t="s">
        <v>10017</v>
      </c>
      <c r="T1028" s="14" t="b">
        <v>0</v>
      </c>
      <c r="U1028" s="15" t="s">
        <v>10047</v>
      </c>
      <c r="V1028" s="15" t="s">
        <v>3940</v>
      </c>
      <c r="W1028" s="15" t="s">
        <v>401</v>
      </c>
      <c r="X1028" s="15" t="s">
        <v>402</v>
      </c>
      <c r="Y1028" s="15">
        <v>2626.0</v>
      </c>
      <c r="AA1028" s="15" t="str">
        <f t="shared" si="1761"/>
        <v>1010</v>
      </c>
      <c r="AB1028" s="14" t="b">
        <v>1</v>
      </c>
      <c r="AC1028" s="14" t="b">
        <v>1</v>
      </c>
      <c r="AD1028" s="15" t="str">
        <f>"801542779610"</f>
        <v>801542779610</v>
      </c>
      <c r="AE1028" s="15" t="s">
        <v>10048</v>
      </c>
      <c r="AF1028" s="14" t="s">
        <v>404</v>
      </c>
      <c r="AG1028" s="14" t="s">
        <v>405</v>
      </c>
      <c r="AH1028" s="14" t="s">
        <v>406</v>
      </c>
      <c r="AI1028" s="15">
        <v>0.0</v>
      </c>
      <c r="AL1028" s="15" t="s">
        <v>5927</v>
      </c>
      <c r="AM1028" s="15" t="s">
        <v>452</v>
      </c>
      <c r="AN1028" s="15" t="s">
        <v>453</v>
      </c>
      <c r="AO1028" s="15" t="s">
        <v>1007</v>
      </c>
      <c r="AP1028" s="15" t="s">
        <v>1008</v>
      </c>
      <c r="AQ1028" s="15" t="s">
        <v>5214</v>
      </c>
      <c r="AR1028" s="15" t="s">
        <v>5215</v>
      </c>
      <c r="AS1028" s="15" t="s">
        <v>4463</v>
      </c>
      <c r="AT1028" s="15" t="s">
        <v>10017</v>
      </c>
      <c r="AU1028" s="15" t="s">
        <v>5928</v>
      </c>
      <c r="AW1028" s="15" t="s">
        <v>412</v>
      </c>
      <c r="AY1028" s="15" t="s">
        <v>413</v>
      </c>
      <c r="AZ1028" s="15" t="b">
        <v>0</v>
      </c>
      <c r="BA1028" s="15" t="s">
        <v>413</v>
      </c>
      <c r="BB1028" s="15" t="b">
        <v>0</v>
      </c>
      <c r="BC1028" s="15" t="s">
        <v>10049</v>
      </c>
      <c r="BD1028" s="15" t="s">
        <v>415</v>
      </c>
      <c r="BE1028" s="15" t="str">
        <f t="shared" si="1746"/>
        <v>1</v>
      </c>
      <c r="BF1028" s="15" t="s">
        <v>416</v>
      </c>
      <c r="BG1028" s="15" t="str">
        <f t="shared" si="1762"/>
        <v>74.8</v>
      </c>
      <c r="BH1028" s="15" t="s">
        <v>6710</v>
      </c>
      <c r="BI1028" s="15" t="str">
        <f t="shared" si="1756"/>
        <v>22.44</v>
      </c>
      <c r="BJ1028" s="15" t="s">
        <v>1156</v>
      </c>
      <c r="BK1028" s="15" t="str">
        <f t="shared" si="1763"/>
        <v>45.28</v>
      </c>
      <c r="BL1028" s="15" t="s">
        <v>682</v>
      </c>
      <c r="BM1028" s="15" t="str">
        <f t="shared" si="1764"/>
        <v>253.53</v>
      </c>
      <c r="BN1028" s="15" t="s">
        <v>4878</v>
      </c>
      <c r="BQ1028" s="15" t="s">
        <v>444</v>
      </c>
      <c r="BS1028" s="15" t="s">
        <v>444</v>
      </c>
      <c r="BU1028" s="15" t="s">
        <v>444</v>
      </c>
      <c r="BW1028" s="15" t="s">
        <v>444</v>
      </c>
      <c r="BZ1028" s="15" t="s">
        <v>444</v>
      </c>
      <c r="CB1028" s="15" t="s">
        <v>444</v>
      </c>
      <c r="CD1028" s="15" t="s">
        <v>444</v>
      </c>
      <c r="CF1028" s="15" t="s">
        <v>444</v>
      </c>
      <c r="CI1028" s="15" t="s">
        <v>444</v>
      </c>
      <c r="CK1028" s="15" t="s">
        <v>444</v>
      </c>
      <c r="CM1028" s="15" t="s">
        <v>444</v>
      </c>
      <c r="CO1028" s="15" t="s">
        <v>444</v>
      </c>
      <c r="CP1028" s="15" t="str">
        <f t="shared" si="1765"/>
        <v>43.97</v>
      </c>
      <c r="CQ1028" s="15" t="str">
        <f t="shared" si="1766"/>
        <v>1.245</v>
      </c>
      <c r="CR1028" s="15" t="s">
        <v>465</v>
      </c>
      <c r="DC1028" s="15" t="str">
        <f>IFERROR(__xludf.DUMMYFUNCTION("""COMPUTED_VALUE"""),"")</f>
        <v/>
      </c>
      <c r="DE1028" s="15" t="str">
        <f>IFERROR(__xludf.DUMMYFUNCTION("""COMPUTED_VALUE"""),"")</f>
        <v/>
      </c>
      <c r="DG1028" s="15" t="str">
        <f>IFERROR(__xludf.DUMMYFUNCTION("""COMPUTED_VALUE"""),"")</f>
        <v/>
      </c>
      <c r="DL1028" s="15" t="str">
        <f>IFERROR(__xludf.DUMMYFUNCTION("""COMPUTED_VALUE"""),"")</f>
        <v/>
      </c>
      <c r="DM1028" s="15" t="s">
        <v>444</v>
      </c>
      <c r="DN1028" s="15" t="s">
        <v>2600</v>
      </c>
      <c r="DO1028" s="15">
        <v>9.0</v>
      </c>
      <c r="DP1028" s="15" t="s">
        <v>2604</v>
      </c>
      <c r="DR1028" s="15">
        <v>0.0</v>
      </c>
      <c r="DT1028" s="15" t="s">
        <v>764</v>
      </c>
      <c r="DU1028" s="15" t="s">
        <v>421</v>
      </c>
      <c r="DY1028" s="15">
        <v>0.0</v>
      </c>
      <c r="EF1028" s="15" t="s">
        <v>422</v>
      </c>
      <c r="EG1028" s="15" t="s">
        <v>445</v>
      </c>
      <c r="EH1028" s="15" t="s">
        <v>10015</v>
      </c>
      <c r="EJ1028" s="15" t="s">
        <v>500</v>
      </c>
      <c r="EK1028" s="15" t="s">
        <v>501</v>
      </c>
      <c r="EM1028" s="15" t="str">
        <f>IFERROR(__xludf.DUMMYFUNCTION("""COMPUTED_VALUE"""),"")</f>
        <v/>
      </c>
      <c r="EW1028" s="15" t="s">
        <v>10044</v>
      </c>
      <c r="FL1028" s="15" t="s">
        <v>426</v>
      </c>
      <c r="FM1028" s="15">
        <v>0.0</v>
      </c>
      <c r="GH1028" s="15">
        <v>0.0</v>
      </c>
      <c r="GI1028" s="15" t="s">
        <v>427</v>
      </c>
      <c r="GQ1028" s="15" t="s">
        <v>5940</v>
      </c>
      <c r="GR1028" s="15" t="s">
        <v>5940</v>
      </c>
      <c r="GS1028" s="15" t="s">
        <v>6947</v>
      </c>
      <c r="GT1028" s="15" t="s">
        <v>6043</v>
      </c>
      <c r="GU1028" s="15" t="s">
        <v>1488</v>
      </c>
      <c r="GV1028" s="15" t="s">
        <v>10045</v>
      </c>
      <c r="GW1028" s="15" t="s">
        <v>2604</v>
      </c>
      <c r="GY1028" s="15" t="s">
        <v>764</v>
      </c>
      <c r="GZ1028" s="15" t="s">
        <v>426</v>
      </c>
    </row>
    <row r="1029" ht="15.75" customHeight="1">
      <c r="A1029" s="14" t="s">
        <v>391</v>
      </c>
      <c r="B1029" s="15" t="s">
        <v>10039</v>
      </c>
      <c r="C1029" s="16"/>
      <c r="D1029" s="15" t="s">
        <v>432</v>
      </c>
      <c r="G1029" s="14" t="s">
        <v>393</v>
      </c>
      <c r="H1029" s="14" t="s">
        <v>394</v>
      </c>
      <c r="I1029" s="14" t="b">
        <v>1</v>
      </c>
      <c r="J1029" s="14" t="s">
        <v>395</v>
      </c>
      <c r="L1029" s="14" t="b">
        <v>0</v>
      </c>
      <c r="M1029" s="15" t="s">
        <v>10050</v>
      </c>
      <c r="N1029" s="14" t="s">
        <v>393</v>
      </c>
      <c r="O1029" s="14" t="s">
        <v>393</v>
      </c>
      <c r="P1029" s="15" t="s">
        <v>397</v>
      </c>
      <c r="Q1029" s="15" t="s">
        <v>10022</v>
      </c>
      <c r="T1029" s="14" t="b">
        <v>0</v>
      </c>
      <c r="U1029" s="15" t="s">
        <v>10051</v>
      </c>
      <c r="V1029" s="15" t="s">
        <v>3940</v>
      </c>
      <c r="W1029" s="15" t="s">
        <v>401</v>
      </c>
      <c r="X1029" s="15" t="s">
        <v>402</v>
      </c>
      <c r="Y1029" s="15">
        <v>2626.0</v>
      </c>
      <c r="AA1029" s="15" t="str">
        <f t="shared" si="1761"/>
        <v>1010</v>
      </c>
      <c r="AB1029" s="14" t="b">
        <v>1</v>
      </c>
      <c r="AC1029" s="14" t="b">
        <v>1</v>
      </c>
      <c r="AD1029" s="15" t="str">
        <f>"801542863494"</f>
        <v>801542863494</v>
      </c>
      <c r="AE1029" s="15" t="s">
        <v>10052</v>
      </c>
      <c r="AF1029" s="14" t="s">
        <v>404</v>
      </c>
      <c r="AG1029" s="14" t="s">
        <v>405</v>
      </c>
      <c r="AH1029" s="14" t="s">
        <v>406</v>
      </c>
      <c r="AI1029" s="15">
        <v>0.0</v>
      </c>
      <c r="AL1029" s="15" t="s">
        <v>5927</v>
      </c>
      <c r="AM1029" s="15" t="s">
        <v>452</v>
      </c>
      <c r="AN1029" s="15" t="s">
        <v>453</v>
      </c>
      <c r="AO1029" s="15" t="s">
        <v>1007</v>
      </c>
      <c r="AP1029" s="15" t="s">
        <v>1008</v>
      </c>
      <c r="AQ1029" s="15" t="s">
        <v>5214</v>
      </c>
      <c r="AR1029" s="15" t="s">
        <v>5215</v>
      </c>
      <c r="AS1029" s="15" t="s">
        <v>4463</v>
      </c>
      <c r="AT1029" s="15" t="s">
        <v>10022</v>
      </c>
      <c r="AU1029" s="15" t="s">
        <v>5928</v>
      </c>
      <c r="AW1029" s="15" t="s">
        <v>412</v>
      </c>
      <c r="AY1029" s="15" t="s">
        <v>413</v>
      </c>
      <c r="AZ1029" s="15" t="b">
        <v>0</v>
      </c>
      <c r="BA1029" s="15" t="s">
        <v>413</v>
      </c>
      <c r="BB1029" s="15" t="b">
        <v>0</v>
      </c>
      <c r="BC1029" s="15" t="s">
        <v>10053</v>
      </c>
      <c r="BD1029" s="15" t="s">
        <v>415</v>
      </c>
      <c r="BE1029" s="15" t="str">
        <f t="shared" si="1746"/>
        <v>1</v>
      </c>
      <c r="BF1029" s="15" t="s">
        <v>416</v>
      </c>
      <c r="BG1029" s="15" t="str">
        <f t="shared" si="1762"/>
        <v>74.8</v>
      </c>
      <c r="BH1029" s="15" t="s">
        <v>6710</v>
      </c>
      <c r="BI1029" s="15" t="str">
        <f t="shared" si="1756"/>
        <v>22.44</v>
      </c>
      <c r="BJ1029" s="15" t="s">
        <v>1156</v>
      </c>
      <c r="BK1029" s="15" t="str">
        <f t="shared" si="1763"/>
        <v>45.28</v>
      </c>
      <c r="BL1029" s="15" t="s">
        <v>682</v>
      </c>
      <c r="BM1029" s="15" t="str">
        <f t="shared" si="1764"/>
        <v>253.53</v>
      </c>
      <c r="BN1029" s="15" t="s">
        <v>4878</v>
      </c>
      <c r="BQ1029" s="15" t="s">
        <v>444</v>
      </c>
      <c r="BS1029" s="15" t="s">
        <v>444</v>
      </c>
      <c r="BU1029" s="15" t="s">
        <v>444</v>
      </c>
      <c r="BW1029" s="15" t="s">
        <v>444</v>
      </c>
      <c r="BZ1029" s="15" t="s">
        <v>444</v>
      </c>
      <c r="CB1029" s="15" t="s">
        <v>444</v>
      </c>
      <c r="CD1029" s="15" t="s">
        <v>444</v>
      </c>
      <c r="CF1029" s="15" t="s">
        <v>444</v>
      </c>
      <c r="CI1029" s="15" t="s">
        <v>444</v>
      </c>
      <c r="CK1029" s="15" t="s">
        <v>444</v>
      </c>
      <c r="CM1029" s="15" t="s">
        <v>444</v>
      </c>
      <c r="CO1029" s="15" t="s">
        <v>444</v>
      </c>
      <c r="CP1029" s="15" t="str">
        <f t="shared" si="1765"/>
        <v>43.97</v>
      </c>
      <c r="CQ1029" s="15" t="str">
        <f t="shared" si="1766"/>
        <v>1.245</v>
      </c>
      <c r="CR1029" s="15" t="s">
        <v>465</v>
      </c>
      <c r="DC1029" s="15" t="str">
        <f>IFERROR(__xludf.DUMMYFUNCTION("""COMPUTED_VALUE"""),"")</f>
        <v/>
      </c>
      <c r="DE1029" s="15" t="str">
        <f>IFERROR(__xludf.DUMMYFUNCTION("""COMPUTED_VALUE"""),"")</f>
        <v/>
      </c>
      <c r="DG1029" s="15" t="str">
        <f>IFERROR(__xludf.DUMMYFUNCTION("""COMPUTED_VALUE"""),"")</f>
        <v/>
      </c>
      <c r="DL1029" s="15" t="str">
        <f>IFERROR(__xludf.DUMMYFUNCTION("""COMPUTED_VALUE"""),"")</f>
        <v/>
      </c>
      <c r="DM1029" s="15" t="s">
        <v>444</v>
      </c>
      <c r="DN1029" s="15" t="s">
        <v>2600</v>
      </c>
      <c r="DO1029" s="15">
        <v>9.0</v>
      </c>
      <c r="DP1029" s="15" t="s">
        <v>2604</v>
      </c>
      <c r="DR1029" s="15">
        <v>0.0</v>
      </c>
      <c r="DT1029" s="15" t="s">
        <v>764</v>
      </c>
      <c r="DU1029" s="15" t="s">
        <v>421</v>
      </c>
      <c r="DY1029" s="15">
        <v>0.0</v>
      </c>
      <c r="EF1029" s="15" t="s">
        <v>422</v>
      </c>
      <c r="EG1029" s="15" t="s">
        <v>445</v>
      </c>
      <c r="EH1029" s="15" t="s">
        <v>10015</v>
      </c>
      <c r="EJ1029" s="15" t="s">
        <v>500</v>
      </c>
      <c r="EK1029" s="15" t="s">
        <v>501</v>
      </c>
      <c r="EM1029" s="15" t="str">
        <f>IFERROR(__xludf.DUMMYFUNCTION("""COMPUTED_VALUE"""),"")</f>
        <v/>
      </c>
      <c r="EW1029" s="15" t="s">
        <v>10044</v>
      </c>
      <c r="FL1029" s="15" t="s">
        <v>426</v>
      </c>
      <c r="FM1029" s="15">
        <v>0.0</v>
      </c>
      <c r="GH1029" s="15">
        <v>0.0</v>
      </c>
      <c r="GI1029" s="15" t="s">
        <v>427</v>
      </c>
      <c r="GQ1029" s="15" t="s">
        <v>5940</v>
      </c>
      <c r="GR1029" s="15" t="s">
        <v>5940</v>
      </c>
      <c r="GS1029" s="15" t="s">
        <v>6947</v>
      </c>
      <c r="GT1029" s="15" t="s">
        <v>6043</v>
      </c>
      <c r="GU1029" s="15" t="s">
        <v>1488</v>
      </c>
      <c r="GV1029" s="15" t="s">
        <v>10045</v>
      </c>
      <c r="GW1029" s="15" t="s">
        <v>2604</v>
      </c>
      <c r="GY1029" s="15" t="s">
        <v>764</v>
      </c>
      <c r="GZ1029" s="15" t="s">
        <v>426</v>
      </c>
    </row>
    <row r="1030" ht="15.75" customHeight="1">
      <c r="A1030" s="14" t="s">
        <v>391</v>
      </c>
      <c r="B1030" s="15" t="s">
        <v>10054</v>
      </c>
      <c r="C1030" s="16"/>
      <c r="D1030" s="15" t="s">
        <v>432</v>
      </c>
      <c r="G1030" s="14" t="s">
        <v>393</v>
      </c>
      <c r="H1030" s="14" t="s">
        <v>394</v>
      </c>
      <c r="I1030" s="14" t="b">
        <v>1</v>
      </c>
      <c r="J1030" s="14" t="s">
        <v>395</v>
      </c>
      <c r="L1030" s="14" t="b">
        <v>0</v>
      </c>
      <c r="M1030" s="15" t="s">
        <v>10055</v>
      </c>
      <c r="N1030" s="14" t="s">
        <v>393</v>
      </c>
      <c r="O1030" s="14" t="s">
        <v>393</v>
      </c>
      <c r="P1030" s="15" t="s">
        <v>397</v>
      </c>
      <c r="Q1030" s="15" t="s">
        <v>10010</v>
      </c>
      <c r="R1030" s="15" t="s">
        <v>265</v>
      </c>
      <c r="S1030" s="15" t="s">
        <v>877</v>
      </c>
      <c r="T1030" s="14" t="b">
        <v>0</v>
      </c>
      <c r="U1030" s="15" t="s">
        <v>10056</v>
      </c>
      <c r="V1030" s="15" t="s">
        <v>8737</v>
      </c>
      <c r="W1030" s="15" t="s">
        <v>401</v>
      </c>
      <c r="X1030" s="15" t="s">
        <v>402</v>
      </c>
      <c r="Y1030" s="15">
        <v>1859.0</v>
      </c>
      <c r="AA1030" s="15" t="str">
        <f>"715"</f>
        <v>715</v>
      </c>
      <c r="AB1030" s="14" t="b">
        <v>1</v>
      </c>
      <c r="AC1030" s="14" t="b">
        <v>1</v>
      </c>
      <c r="AD1030" s="15" t="str">
        <f>"801542558970"</f>
        <v>801542558970</v>
      </c>
      <c r="AE1030" s="15" t="s">
        <v>10057</v>
      </c>
      <c r="AF1030" s="14" t="s">
        <v>404</v>
      </c>
      <c r="AG1030" s="14" t="s">
        <v>405</v>
      </c>
      <c r="AH1030" s="14" t="s">
        <v>406</v>
      </c>
      <c r="AI1030" s="15">
        <v>0.0</v>
      </c>
      <c r="AL1030" s="15" t="s">
        <v>10058</v>
      </c>
      <c r="AM1030" s="15" t="s">
        <v>8799</v>
      </c>
      <c r="AN1030" s="15" t="s">
        <v>8800</v>
      </c>
      <c r="AO1030" s="15" t="s">
        <v>6631</v>
      </c>
      <c r="AP1030" s="15" t="s">
        <v>3003</v>
      </c>
      <c r="AQ1030" s="15" t="s">
        <v>5528</v>
      </c>
      <c r="AR1030" s="15" t="s">
        <v>5529</v>
      </c>
      <c r="AS1030" s="15" t="s">
        <v>4463</v>
      </c>
      <c r="AT1030" s="15" t="s">
        <v>10010</v>
      </c>
      <c r="AW1030" s="15" t="s">
        <v>839</v>
      </c>
      <c r="AX1030" s="15" t="s">
        <v>877</v>
      </c>
      <c r="AY1030" s="15" t="s">
        <v>413</v>
      </c>
      <c r="AZ1030" s="15" t="b">
        <v>0</v>
      </c>
      <c r="BA1030" s="15" t="s">
        <v>413</v>
      </c>
      <c r="BB1030" s="15" t="b">
        <v>0</v>
      </c>
      <c r="BC1030" s="15" t="s">
        <v>10059</v>
      </c>
      <c r="BD1030" s="15" t="s">
        <v>415</v>
      </c>
      <c r="BE1030" s="15" t="str">
        <f t="shared" ref="BE1030:BE1035" si="1767">"3"</f>
        <v>3</v>
      </c>
      <c r="BF1030" s="15" t="s">
        <v>841</v>
      </c>
      <c r="BG1030" s="15" t="str">
        <f>"69.29"</f>
        <v>69.29</v>
      </c>
      <c r="BH1030" s="15" t="s">
        <v>4999</v>
      </c>
      <c r="BI1030" s="15" t="str">
        <f>"5.31"</f>
        <v>5.31</v>
      </c>
      <c r="BJ1030" s="15" t="s">
        <v>4023</v>
      </c>
      <c r="BK1030" s="15" t="str">
        <f t="shared" ref="BK1030:BK1035" si="1768">"46.85"</f>
        <v>46.85</v>
      </c>
      <c r="BL1030" s="15" t="s">
        <v>2286</v>
      </c>
      <c r="BM1030" s="15" t="str">
        <f>"88.18"</f>
        <v>88.18</v>
      </c>
      <c r="BN1030" s="15" t="s">
        <v>5169</v>
      </c>
      <c r="BO1030" s="15" t="s">
        <v>10060</v>
      </c>
      <c r="BP1030" s="15" t="str">
        <f>"68.11"</f>
        <v>68.11</v>
      </c>
      <c r="BQ1030" s="15" t="s">
        <v>2980</v>
      </c>
      <c r="BR1030" s="15" t="str">
        <f>"9.06"</f>
        <v>9.06</v>
      </c>
      <c r="BS1030" s="15" t="s">
        <v>2481</v>
      </c>
      <c r="BT1030" s="15" t="str">
        <f t="shared" ref="BT1030:BT1035" si="1769">"13.78"</f>
        <v>13.78</v>
      </c>
      <c r="BU1030" s="15" t="s">
        <v>6566</v>
      </c>
      <c r="BV1030" s="15" t="str">
        <f>"56.22"</f>
        <v>56.22</v>
      </c>
      <c r="BW1030" s="15" t="s">
        <v>5843</v>
      </c>
      <c r="BX1030" s="15" t="s">
        <v>10061</v>
      </c>
      <c r="BY1030" s="15" t="str">
        <f>"90.16"</f>
        <v>90.16</v>
      </c>
      <c r="BZ1030" s="15" t="s">
        <v>3095</v>
      </c>
      <c r="CA1030" s="15" t="str">
        <f>"6.69"</f>
        <v>6.69</v>
      </c>
      <c r="CB1030" s="15" t="s">
        <v>2461</v>
      </c>
      <c r="CC1030" s="15" t="str">
        <f>"18.5"</f>
        <v>18.5</v>
      </c>
      <c r="CD1030" s="15" t="s">
        <v>810</v>
      </c>
      <c r="CE1030" s="15" t="str">
        <f>"61.73"</f>
        <v>61.73</v>
      </c>
      <c r="CF1030" s="15" t="s">
        <v>1948</v>
      </c>
      <c r="CI1030" s="15" t="s">
        <v>444</v>
      </c>
      <c r="CK1030" s="15" t="s">
        <v>444</v>
      </c>
      <c r="CM1030" s="15" t="s">
        <v>444</v>
      </c>
      <c r="CO1030" s="15" t="s">
        <v>444</v>
      </c>
      <c r="CP1030" s="15" t="str">
        <f>"21.37"</f>
        <v>21.37</v>
      </c>
      <c r="CQ1030" s="15" t="str">
        <f>"0.605"</f>
        <v>0.605</v>
      </c>
      <c r="CR1030" s="15" t="s">
        <v>497</v>
      </c>
      <c r="DC1030" s="15" t="str">
        <f>IFERROR(__xludf.DUMMYFUNCTION("""COMPUTED_VALUE"""),"")</f>
        <v/>
      </c>
      <c r="DE1030" s="15" t="str">
        <f>IFERROR(__xludf.DUMMYFUNCTION("""COMPUTED_VALUE"""),"")</f>
        <v/>
      </c>
      <c r="DG1030" s="15" t="str">
        <f>IFERROR(__xludf.DUMMYFUNCTION("""COMPUTED_VALUE"""),"")</f>
        <v/>
      </c>
      <c r="DL1030" s="15" t="str">
        <f>IFERROR(__xludf.DUMMYFUNCTION("""COMPUTED_VALUE"""),"")</f>
        <v/>
      </c>
      <c r="DM1030" s="15" t="s">
        <v>444</v>
      </c>
      <c r="DN1030" s="15" t="s">
        <v>419</v>
      </c>
      <c r="DO1030" s="15">
        <v>0.0</v>
      </c>
      <c r="DP1030" s="15" t="s">
        <v>419</v>
      </c>
      <c r="DR1030" s="15">
        <v>0.0</v>
      </c>
      <c r="DT1030" s="15" t="s">
        <v>420</v>
      </c>
      <c r="DU1030" s="15" t="s">
        <v>419</v>
      </c>
      <c r="DW1030" s="15">
        <v>0.0</v>
      </c>
      <c r="DX1030" s="15">
        <v>0.0</v>
      </c>
      <c r="DY1030" s="15">
        <v>0.0</v>
      </c>
      <c r="EG1030" s="15" t="s">
        <v>444</v>
      </c>
      <c r="EH1030" s="15" t="s">
        <v>10015</v>
      </c>
      <c r="EJ1030" s="15" t="s">
        <v>858</v>
      </c>
      <c r="EK1030" s="15" t="s">
        <v>859</v>
      </c>
      <c r="EM1030" s="15" t="str">
        <f>IFERROR(__xludf.DUMMYFUNCTION("""COMPUTED_VALUE"""),"")</f>
        <v/>
      </c>
      <c r="FM1030" s="15">
        <v>0.0</v>
      </c>
      <c r="IM1030" s="15" t="s">
        <v>2026</v>
      </c>
      <c r="IN1030" s="15" t="s">
        <v>2026</v>
      </c>
      <c r="IO1030" s="15" t="s">
        <v>2026</v>
      </c>
      <c r="IP1030" s="15" t="s">
        <v>3781</v>
      </c>
      <c r="IQ1030" s="15" t="s">
        <v>2046</v>
      </c>
      <c r="IR1030" s="15" t="s">
        <v>6555</v>
      </c>
      <c r="IS1030" s="15" t="s">
        <v>1232</v>
      </c>
      <c r="IT1030" s="15" t="s">
        <v>2144</v>
      </c>
      <c r="IU1030" s="15" t="s">
        <v>6555</v>
      </c>
      <c r="IV1030" s="15" t="s">
        <v>8835</v>
      </c>
      <c r="IW1030" s="15" t="s">
        <v>4469</v>
      </c>
      <c r="IX1030" s="15" t="s">
        <v>3284</v>
      </c>
      <c r="IY1030" s="15" t="s">
        <v>731</v>
      </c>
      <c r="IZ1030" s="15" t="s">
        <v>8835</v>
      </c>
      <c r="JA1030" s="15" t="s">
        <v>2046</v>
      </c>
      <c r="JB1030" s="15" t="s">
        <v>426</v>
      </c>
      <c r="JC1030" s="15" t="s">
        <v>871</v>
      </c>
      <c r="JD1030" s="15" t="s">
        <v>2604</v>
      </c>
      <c r="JE1030" s="15" t="s">
        <v>873</v>
      </c>
      <c r="JF1030" s="15" t="s">
        <v>877</v>
      </c>
      <c r="JL1030" s="15" t="s">
        <v>787</v>
      </c>
      <c r="JM1030" s="15" t="s">
        <v>6743</v>
      </c>
      <c r="JN1030" s="15" t="s">
        <v>787</v>
      </c>
      <c r="JO1030" s="15" t="s">
        <v>426</v>
      </c>
      <c r="JP1030" s="15" t="s">
        <v>2474</v>
      </c>
    </row>
    <row r="1031" ht="15.75" customHeight="1">
      <c r="A1031" s="14" t="s">
        <v>391</v>
      </c>
      <c r="B1031" s="15" t="s">
        <v>10054</v>
      </c>
      <c r="C1031" s="16"/>
      <c r="D1031" s="15" t="s">
        <v>432</v>
      </c>
      <c r="G1031" s="14" t="s">
        <v>393</v>
      </c>
      <c r="H1031" s="14" t="s">
        <v>394</v>
      </c>
      <c r="I1031" s="14" t="b">
        <v>1</v>
      </c>
      <c r="J1031" s="14" t="s">
        <v>395</v>
      </c>
      <c r="L1031" s="14" t="b">
        <v>0</v>
      </c>
      <c r="M1031" s="15" t="s">
        <v>10062</v>
      </c>
      <c r="N1031" s="14" t="s">
        <v>393</v>
      </c>
      <c r="O1031" s="14" t="s">
        <v>393</v>
      </c>
      <c r="P1031" s="15" t="s">
        <v>397</v>
      </c>
      <c r="Q1031" s="15" t="s">
        <v>10010</v>
      </c>
      <c r="R1031" s="15" t="s">
        <v>265</v>
      </c>
      <c r="S1031" s="15" t="s">
        <v>828</v>
      </c>
      <c r="T1031" s="14" t="b">
        <v>0</v>
      </c>
      <c r="U1031" s="15" t="s">
        <v>10063</v>
      </c>
      <c r="V1031" s="15" t="s">
        <v>5240</v>
      </c>
      <c r="W1031" s="15" t="s">
        <v>401</v>
      </c>
      <c r="X1031" s="15" t="s">
        <v>402</v>
      </c>
      <c r="Y1031" s="15">
        <v>2080.0</v>
      </c>
      <c r="AA1031" s="15" t="str">
        <f t="shared" ref="AA1031:AA1032" si="1770">"800"</f>
        <v>800</v>
      </c>
      <c r="AB1031" s="14" t="b">
        <v>1</v>
      </c>
      <c r="AC1031" s="14" t="b">
        <v>1</v>
      </c>
      <c r="AD1031" s="15" t="str">
        <f>"801542558932"</f>
        <v>801542558932</v>
      </c>
      <c r="AE1031" s="15" t="s">
        <v>10064</v>
      </c>
      <c r="AF1031" s="14" t="s">
        <v>404</v>
      </c>
      <c r="AG1031" s="14" t="s">
        <v>405</v>
      </c>
      <c r="AH1031" s="14" t="s">
        <v>406</v>
      </c>
      <c r="AI1031" s="15">
        <v>0.0</v>
      </c>
      <c r="AL1031" s="15" t="s">
        <v>10058</v>
      </c>
      <c r="AM1031" s="15" t="s">
        <v>7045</v>
      </c>
      <c r="AN1031" s="15" t="s">
        <v>7046</v>
      </c>
      <c r="AO1031" s="15" t="s">
        <v>6631</v>
      </c>
      <c r="AP1031" s="15" t="s">
        <v>3003</v>
      </c>
      <c r="AQ1031" s="15" t="s">
        <v>5528</v>
      </c>
      <c r="AR1031" s="15" t="s">
        <v>5529</v>
      </c>
      <c r="AS1031" s="15" t="s">
        <v>4463</v>
      </c>
      <c r="AT1031" s="15" t="s">
        <v>10010</v>
      </c>
      <c r="AW1031" s="15" t="s">
        <v>839</v>
      </c>
      <c r="AX1031" s="15" t="s">
        <v>828</v>
      </c>
      <c r="AY1031" s="15" t="s">
        <v>413</v>
      </c>
      <c r="AZ1031" s="15" t="b">
        <v>0</v>
      </c>
      <c r="BA1031" s="15" t="s">
        <v>413</v>
      </c>
      <c r="BB1031" s="15" t="b">
        <v>0</v>
      </c>
      <c r="BC1031" s="15" t="s">
        <v>10059</v>
      </c>
      <c r="BD1031" s="15" t="s">
        <v>415</v>
      </c>
      <c r="BE1031" s="15" t="str">
        <f t="shared" si="1767"/>
        <v>3</v>
      </c>
      <c r="BF1031" s="15" t="s">
        <v>841</v>
      </c>
      <c r="BG1031" s="15" t="str">
        <f t="shared" ref="BG1031:BG1032" si="1771">"85.04"</f>
        <v>85.04</v>
      </c>
      <c r="BH1031" s="15" t="s">
        <v>440</v>
      </c>
      <c r="BI1031" s="15" t="str">
        <f t="shared" ref="BI1031:BI1032" si="1772">"5.71"</f>
        <v>5.71</v>
      </c>
      <c r="BJ1031" s="15" t="s">
        <v>10065</v>
      </c>
      <c r="BK1031" s="15" t="str">
        <f t="shared" si="1768"/>
        <v>46.85</v>
      </c>
      <c r="BL1031" s="15" t="s">
        <v>2286</v>
      </c>
      <c r="BM1031" s="15" t="str">
        <f t="shared" ref="BM1031:BM1032" si="1773">"106.92"</f>
        <v>106.92</v>
      </c>
      <c r="BN1031" s="15" t="s">
        <v>10066</v>
      </c>
      <c r="BO1031" s="15" t="s">
        <v>10060</v>
      </c>
      <c r="BP1031" s="15" t="str">
        <f t="shared" ref="BP1031:BP1032" si="1774">"83.86"</f>
        <v>83.86</v>
      </c>
      <c r="BQ1031" s="15" t="s">
        <v>5542</v>
      </c>
      <c r="BR1031" s="15" t="str">
        <f t="shared" ref="BR1031:BR1032" si="1775">"9.25"</f>
        <v>9.25</v>
      </c>
      <c r="BS1031" s="15" t="s">
        <v>2457</v>
      </c>
      <c r="BT1031" s="15" t="str">
        <f t="shared" si="1769"/>
        <v>13.78</v>
      </c>
      <c r="BU1031" s="15" t="s">
        <v>6566</v>
      </c>
      <c r="BV1031" s="15" t="str">
        <f t="shared" ref="BV1031:BV1032" si="1776">"70.55"</f>
        <v>70.55</v>
      </c>
      <c r="BW1031" s="15" t="s">
        <v>845</v>
      </c>
      <c r="BX1031" s="15" t="s">
        <v>10061</v>
      </c>
      <c r="BY1031" s="15" t="str">
        <f t="shared" ref="BY1031:BY1032" si="1777">"88.98"</f>
        <v>88.98</v>
      </c>
      <c r="BZ1031" s="15" t="s">
        <v>1752</v>
      </c>
      <c r="CA1031" s="15" t="str">
        <f t="shared" ref="CA1031:CA1032" si="1778">"7.09"</f>
        <v>7.09</v>
      </c>
      <c r="CB1031" s="15" t="s">
        <v>5615</v>
      </c>
      <c r="CC1031" s="15" t="str">
        <f t="shared" ref="CC1031:CC1032" si="1779">"19.29"</f>
        <v>19.29</v>
      </c>
      <c r="CD1031" s="15" t="s">
        <v>566</v>
      </c>
      <c r="CE1031" s="15" t="str">
        <f t="shared" ref="CE1031:CE1032" si="1780">"63.93"</f>
        <v>63.93</v>
      </c>
      <c r="CF1031" s="15" t="s">
        <v>2965</v>
      </c>
      <c r="CI1031" s="15" t="s">
        <v>444</v>
      </c>
      <c r="CK1031" s="15" t="s">
        <v>444</v>
      </c>
      <c r="CM1031" s="15" t="s">
        <v>444</v>
      </c>
      <c r="CO1031" s="15" t="s">
        <v>444</v>
      </c>
      <c r="CP1031" s="15" t="str">
        <f t="shared" ref="CP1031:CP1032" si="1781">"26.38"</f>
        <v>26.38</v>
      </c>
      <c r="CQ1031" s="15" t="str">
        <f t="shared" ref="CQ1031:CQ1032" si="1782">"0.747"</f>
        <v>0.747</v>
      </c>
      <c r="CR1031" s="15" t="s">
        <v>417</v>
      </c>
      <c r="DC1031" s="15" t="str">
        <f>IFERROR(__xludf.DUMMYFUNCTION("""COMPUTED_VALUE"""),"")</f>
        <v/>
      </c>
      <c r="DE1031" s="15" t="str">
        <f>IFERROR(__xludf.DUMMYFUNCTION("""COMPUTED_VALUE"""),"")</f>
        <v/>
      </c>
      <c r="DG1031" s="15" t="str">
        <f>IFERROR(__xludf.DUMMYFUNCTION("""COMPUTED_VALUE"""),"")</f>
        <v/>
      </c>
      <c r="DL1031" s="15" t="str">
        <f>IFERROR(__xludf.DUMMYFUNCTION("""COMPUTED_VALUE"""),"")</f>
        <v/>
      </c>
      <c r="DM1031" s="15" t="s">
        <v>444</v>
      </c>
      <c r="DN1031" s="15" t="s">
        <v>419</v>
      </c>
      <c r="DO1031" s="15">
        <v>0.0</v>
      </c>
      <c r="DP1031" s="15" t="s">
        <v>419</v>
      </c>
      <c r="DR1031" s="15">
        <v>0.0</v>
      </c>
      <c r="DT1031" s="15" t="s">
        <v>420</v>
      </c>
      <c r="DU1031" s="15" t="s">
        <v>419</v>
      </c>
      <c r="DW1031" s="15">
        <v>0.0</v>
      </c>
      <c r="DX1031" s="15">
        <v>0.0</v>
      </c>
      <c r="DY1031" s="15">
        <v>0.0</v>
      </c>
      <c r="EG1031" s="15" t="s">
        <v>444</v>
      </c>
      <c r="EH1031" s="15" t="s">
        <v>10015</v>
      </c>
      <c r="EJ1031" s="15" t="s">
        <v>858</v>
      </c>
      <c r="EK1031" s="15" t="s">
        <v>859</v>
      </c>
      <c r="EM1031" s="15" t="str">
        <f>IFERROR(__xludf.DUMMYFUNCTION("""COMPUTED_VALUE"""),"")</f>
        <v/>
      </c>
      <c r="FM1031" s="15">
        <v>0.0</v>
      </c>
      <c r="IM1031" s="15" t="s">
        <v>2026</v>
      </c>
      <c r="IN1031" s="15" t="s">
        <v>2026</v>
      </c>
      <c r="IO1031" s="15" t="s">
        <v>2026</v>
      </c>
      <c r="IP1031" s="15" t="s">
        <v>3781</v>
      </c>
      <c r="IQ1031" s="15" t="s">
        <v>2046</v>
      </c>
      <c r="IR1031" s="15" t="s">
        <v>6489</v>
      </c>
      <c r="IS1031" s="15" t="s">
        <v>1232</v>
      </c>
      <c r="IT1031" s="15" t="s">
        <v>2144</v>
      </c>
      <c r="IU1031" s="15" t="s">
        <v>6489</v>
      </c>
      <c r="IV1031" s="15" t="s">
        <v>8835</v>
      </c>
      <c r="IW1031" s="15" t="s">
        <v>4469</v>
      </c>
      <c r="IX1031" s="15" t="s">
        <v>6489</v>
      </c>
      <c r="IY1031" s="15" t="s">
        <v>731</v>
      </c>
      <c r="IZ1031" s="15" t="s">
        <v>8835</v>
      </c>
      <c r="JA1031" s="15" t="s">
        <v>2046</v>
      </c>
      <c r="JB1031" s="15" t="s">
        <v>426</v>
      </c>
      <c r="JC1031" s="15" t="s">
        <v>871</v>
      </c>
      <c r="JD1031" s="15" t="s">
        <v>2604</v>
      </c>
      <c r="JE1031" s="15" t="s">
        <v>873</v>
      </c>
      <c r="JF1031" s="15" t="s">
        <v>828</v>
      </c>
      <c r="JL1031" s="15" t="s">
        <v>787</v>
      </c>
      <c r="JM1031" s="15" t="s">
        <v>6743</v>
      </c>
      <c r="JN1031" s="15" t="s">
        <v>787</v>
      </c>
      <c r="JO1031" s="15" t="s">
        <v>426</v>
      </c>
      <c r="JP1031" s="15" t="s">
        <v>2474</v>
      </c>
    </row>
    <row r="1032" ht="15.75" customHeight="1">
      <c r="A1032" s="14" t="s">
        <v>391</v>
      </c>
      <c r="B1032" s="15" t="s">
        <v>10054</v>
      </c>
      <c r="C1032" s="16"/>
      <c r="D1032" s="15" t="s">
        <v>432</v>
      </c>
      <c r="G1032" s="14" t="s">
        <v>393</v>
      </c>
      <c r="H1032" s="14" t="s">
        <v>394</v>
      </c>
      <c r="I1032" s="14" t="b">
        <v>1</v>
      </c>
      <c r="J1032" s="14" t="s">
        <v>395</v>
      </c>
      <c r="L1032" s="14" t="b">
        <v>0</v>
      </c>
      <c r="M1032" s="15" t="s">
        <v>10067</v>
      </c>
      <c r="N1032" s="14" t="s">
        <v>393</v>
      </c>
      <c r="O1032" s="14" t="s">
        <v>393</v>
      </c>
      <c r="P1032" s="15" t="s">
        <v>397</v>
      </c>
      <c r="Q1032" s="15" t="s">
        <v>10017</v>
      </c>
      <c r="R1032" s="15" t="s">
        <v>265</v>
      </c>
      <c r="S1032" s="15" t="s">
        <v>828</v>
      </c>
      <c r="T1032" s="14" t="b">
        <v>0</v>
      </c>
      <c r="U1032" s="15" t="s">
        <v>10068</v>
      </c>
      <c r="V1032" s="15" t="s">
        <v>5240</v>
      </c>
      <c r="W1032" s="15" t="s">
        <v>401</v>
      </c>
      <c r="X1032" s="15" t="s">
        <v>402</v>
      </c>
      <c r="Y1032" s="15">
        <v>2080.0</v>
      </c>
      <c r="AA1032" s="15" t="str">
        <f t="shared" si="1770"/>
        <v>800</v>
      </c>
      <c r="AB1032" s="14" t="b">
        <v>1</v>
      </c>
      <c r="AC1032" s="14" t="b">
        <v>1</v>
      </c>
      <c r="AD1032" s="15" t="str">
        <f>"801542573195"</f>
        <v>801542573195</v>
      </c>
      <c r="AE1032" s="15" t="s">
        <v>10069</v>
      </c>
      <c r="AF1032" s="14" t="s">
        <v>404</v>
      </c>
      <c r="AG1032" s="14" t="s">
        <v>405</v>
      </c>
      <c r="AH1032" s="14" t="s">
        <v>406</v>
      </c>
      <c r="AI1032" s="15">
        <v>0.0</v>
      </c>
      <c r="AL1032" s="15" t="s">
        <v>10058</v>
      </c>
      <c r="AM1032" s="15" t="s">
        <v>7045</v>
      </c>
      <c r="AN1032" s="15" t="s">
        <v>7046</v>
      </c>
      <c r="AO1032" s="15" t="s">
        <v>6631</v>
      </c>
      <c r="AP1032" s="15" t="s">
        <v>3003</v>
      </c>
      <c r="AQ1032" s="15" t="s">
        <v>5528</v>
      </c>
      <c r="AR1032" s="15" t="s">
        <v>5529</v>
      </c>
      <c r="AS1032" s="15" t="s">
        <v>4463</v>
      </c>
      <c r="AT1032" s="15" t="s">
        <v>10017</v>
      </c>
      <c r="AW1032" s="15" t="s">
        <v>839</v>
      </c>
      <c r="AX1032" s="15" t="s">
        <v>828</v>
      </c>
      <c r="AY1032" s="15" t="s">
        <v>413</v>
      </c>
      <c r="AZ1032" s="15" t="b">
        <v>0</v>
      </c>
      <c r="BA1032" s="15" t="s">
        <v>413</v>
      </c>
      <c r="BB1032" s="15" t="b">
        <v>0</v>
      </c>
      <c r="BC1032" s="15" t="s">
        <v>10070</v>
      </c>
      <c r="BD1032" s="15" t="s">
        <v>415</v>
      </c>
      <c r="BE1032" s="15" t="str">
        <f t="shared" si="1767"/>
        <v>3</v>
      </c>
      <c r="BF1032" s="15" t="s">
        <v>841</v>
      </c>
      <c r="BG1032" s="15" t="str">
        <f t="shared" si="1771"/>
        <v>85.04</v>
      </c>
      <c r="BH1032" s="15" t="s">
        <v>440</v>
      </c>
      <c r="BI1032" s="15" t="str">
        <f t="shared" si="1772"/>
        <v>5.71</v>
      </c>
      <c r="BJ1032" s="15" t="s">
        <v>10065</v>
      </c>
      <c r="BK1032" s="15" t="str">
        <f t="shared" si="1768"/>
        <v>46.85</v>
      </c>
      <c r="BL1032" s="15" t="s">
        <v>2286</v>
      </c>
      <c r="BM1032" s="15" t="str">
        <f t="shared" si="1773"/>
        <v>106.92</v>
      </c>
      <c r="BN1032" s="15" t="s">
        <v>10066</v>
      </c>
      <c r="BO1032" s="15" t="s">
        <v>10060</v>
      </c>
      <c r="BP1032" s="15" t="str">
        <f t="shared" si="1774"/>
        <v>83.86</v>
      </c>
      <c r="BQ1032" s="15" t="s">
        <v>5542</v>
      </c>
      <c r="BR1032" s="15" t="str">
        <f t="shared" si="1775"/>
        <v>9.25</v>
      </c>
      <c r="BS1032" s="15" t="s">
        <v>2457</v>
      </c>
      <c r="BT1032" s="15" t="str">
        <f t="shared" si="1769"/>
        <v>13.78</v>
      </c>
      <c r="BU1032" s="15" t="s">
        <v>6566</v>
      </c>
      <c r="BV1032" s="15" t="str">
        <f t="shared" si="1776"/>
        <v>70.55</v>
      </c>
      <c r="BW1032" s="15" t="s">
        <v>845</v>
      </c>
      <c r="BX1032" s="15" t="s">
        <v>10061</v>
      </c>
      <c r="BY1032" s="15" t="str">
        <f t="shared" si="1777"/>
        <v>88.98</v>
      </c>
      <c r="BZ1032" s="15" t="s">
        <v>1752</v>
      </c>
      <c r="CA1032" s="15" t="str">
        <f t="shared" si="1778"/>
        <v>7.09</v>
      </c>
      <c r="CB1032" s="15" t="s">
        <v>5615</v>
      </c>
      <c r="CC1032" s="15" t="str">
        <f t="shared" si="1779"/>
        <v>19.29</v>
      </c>
      <c r="CD1032" s="15" t="s">
        <v>566</v>
      </c>
      <c r="CE1032" s="15" t="str">
        <f t="shared" si="1780"/>
        <v>63.93</v>
      </c>
      <c r="CF1032" s="15" t="s">
        <v>2965</v>
      </c>
      <c r="CI1032" s="15" t="s">
        <v>444</v>
      </c>
      <c r="CK1032" s="15" t="s">
        <v>444</v>
      </c>
      <c r="CM1032" s="15" t="s">
        <v>444</v>
      </c>
      <c r="CO1032" s="15" t="s">
        <v>444</v>
      </c>
      <c r="CP1032" s="15" t="str">
        <f t="shared" si="1781"/>
        <v>26.38</v>
      </c>
      <c r="CQ1032" s="15" t="str">
        <f t="shared" si="1782"/>
        <v>0.747</v>
      </c>
      <c r="CR1032" s="15" t="s">
        <v>417</v>
      </c>
      <c r="DC1032" s="15" t="str">
        <f>IFERROR(__xludf.DUMMYFUNCTION("""COMPUTED_VALUE"""),"")</f>
        <v/>
      </c>
      <c r="DE1032" s="15" t="str">
        <f>IFERROR(__xludf.DUMMYFUNCTION("""COMPUTED_VALUE"""),"")</f>
        <v/>
      </c>
      <c r="DG1032" s="15" t="str">
        <f>IFERROR(__xludf.DUMMYFUNCTION("""COMPUTED_VALUE"""),"")</f>
        <v/>
      </c>
      <c r="DL1032" s="15" t="str">
        <f>IFERROR(__xludf.DUMMYFUNCTION("""COMPUTED_VALUE"""),"")</f>
        <v/>
      </c>
      <c r="DM1032" s="15" t="s">
        <v>444</v>
      </c>
      <c r="DN1032" s="15" t="s">
        <v>419</v>
      </c>
      <c r="DO1032" s="15">
        <v>0.0</v>
      </c>
      <c r="DP1032" s="15" t="s">
        <v>419</v>
      </c>
      <c r="DR1032" s="15">
        <v>0.0</v>
      </c>
      <c r="DT1032" s="15" t="s">
        <v>420</v>
      </c>
      <c r="DU1032" s="15" t="s">
        <v>419</v>
      </c>
      <c r="DW1032" s="15">
        <v>0.0</v>
      </c>
      <c r="DX1032" s="15">
        <v>0.0</v>
      </c>
      <c r="DY1032" s="15">
        <v>0.0</v>
      </c>
      <c r="EG1032" s="15" t="s">
        <v>444</v>
      </c>
      <c r="EH1032" s="15" t="s">
        <v>10015</v>
      </c>
      <c r="EJ1032" s="15" t="s">
        <v>858</v>
      </c>
      <c r="EK1032" s="15" t="s">
        <v>859</v>
      </c>
      <c r="EM1032" s="15" t="str">
        <f>IFERROR(__xludf.DUMMYFUNCTION("""COMPUTED_VALUE"""),"")</f>
        <v/>
      </c>
      <c r="FM1032" s="15">
        <v>0.0</v>
      </c>
      <c r="IM1032" s="15" t="s">
        <v>2026</v>
      </c>
      <c r="IN1032" s="15" t="s">
        <v>2026</v>
      </c>
      <c r="IO1032" s="15" t="s">
        <v>2026</v>
      </c>
      <c r="IP1032" s="15" t="s">
        <v>3781</v>
      </c>
      <c r="IQ1032" s="15" t="s">
        <v>2046</v>
      </c>
      <c r="IR1032" s="15" t="s">
        <v>6489</v>
      </c>
      <c r="IS1032" s="15" t="s">
        <v>1232</v>
      </c>
      <c r="IT1032" s="15" t="s">
        <v>2144</v>
      </c>
      <c r="IU1032" s="15" t="s">
        <v>6489</v>
      </c>
      <c r="IV1032" s="15" t="s">
        <v>8835</v>
      </c>
      <c r="IW1032" s="15" t="s">
        <v>4469</v>
      </c>
      <c r="IX1032" s="15" t="s">
        <v>6489</v>
      </c>
      <c r="IY1032" s="15" t="s">
        <v>731</v>
      </c>
      <c r="IZ1032" s="15" t="s">
        <v>8835</v>
      </c>
      <c r="JA1032" s="15" t="s">
        <v>2046</v>
      </c>
      <c r="JB1032" s="15" t="s">
        <v>426</v>
      </c>
      <c r="JC1032" s="15" t="s">
        <v>871</v>
      </c>
      <c r="JD1032" s="15" t="s">
        <v>2604</v>
      </c>
      <c r="JE1032" s="15" t="s">
        <v>873</v>
      </c>
      <c r="JF1032" s="15" t="s">
        <v>828</v>
      </c>
      <c r="JL1032" s="15" t="s">
        <v>787</v>
      </c>
      <c r="JM1032" s="15" t="s">
        <v>6743</v>
      </c>
      <c r="JN1032" s="15" t="s">
        <v>787</v>
      </c>
      <c r="JO1032" s="15" t="s">
        <v>426</v>
      </c>
      <c r="JP1032" s="15" t="s">
        <v>2474</v>
      </c>
    </row>
    <row r="1033" ht="15.75" customHeight="1">
      <c r="A1033" s="14" t="s">
        <v>391</v>
      </c>
      <c r="B1033" s="15" t="s">
        <v>10054</v>
      </c>
      <c r="C1033" s="16"/>
      <c r="D1033" s="15" t="s">
        <v>432</v>
      </c>
      <c r="G1033" s="14" t="s">
        <v>393</v>
      </c>
      <c r="H1033" s="14" t="s">
        <v>394</v>
      </c>
      <c r="I1033" s="14" t="b">
        <v>1</v>
      </c>
      <c r="J1033" s="14" t="s">
        <v>395</v>
      </c>
      <c r="L1033" s="14" t="b">
        <v>0</v>
      </c>
      <c r="M1033" s="15" t="s">
        <v>10071</v>
      </c>
      <c r="N1033" s="14" t="s">
        <v>393</v>
      </c>
      <c r="O1033" s="14" t="s">
        <v>393</v>
      </c>
      <c r="P1033" s="15" t="s">
        <v>397</v>
      </c>
      <c r="Q1033" s="15" t="s">
        <v>10017</v>
      </c>
      <c r="R1033" s="15" t="s">
        <v>265</v>
      </c>
      <c r="S1033" s="15" t="s">
        <v>877</v>
      </c>
      <c r="T1033" s="14" t="b">
        <v>0</v>
      </c>
      <c r="U1033" s="15" t="s">
        <v>10072</v>
      </c>
      <c r="V1033" s="15" t="s">
        <v>8737</v>
      </c>
      <c r="W1033" s="15" t="s">
        <v>401</v>
      </c>
      <c r="X1033" s="15" t="s">
        <v>402</v>
      </c>
      <c r="Y1033" s="15">
        <v>1859.0</v>
      </c>
      <c r="AA1033" s="15" t="str">
        <f>"715"</f>
        <v>715</v>
      </c>
      <c r="AB1033" s="14" t="b">
        <v>1</v>
      </c>
      <c r="AC1033" s="14" t="b">
        <v>1</v>
      </c>
      <c r="AD1033" s="15" t="str">
        <f>"801542573201"</f>
        <v>801542573201</v>
      </c>
      <c r="AE1033" s="15" t="s">
        <v>10073</v>
      </c>
      <c r="AF1033" s="14" t="s">
        <v>404</v>
      </c>
      <c r="AG1033" s="14" t="s">
        <v>405</v>
      </c>
      <c r="AH1033" s="14" t="s">
        <v>406</v>
      </c>
      <c r="AI1033" s="15">
        <v>0.0</v>
      </c>
      <c r="AL1033" s="15" t="s">
        <v>10058</v>
      </c>
      <c r="AM1033" s="15" t="s">
        <v>8799</v>
      </c>
      <c r="AN1033" s="15" t="s">
        <v>8800</v>
      </c>
      <c r="AO1033" s="15" t="s">
        <v>6631</v>
      </c>
      <c r="AP1033" s="15" t="s">
        <v>3003</v>
      </c>
      <c r="AQ1033" s="15" t="s">
        <v>5528</v>
      </c>
      <c r="AR1033" s="15" t="s">
        <v>5529</v>
      </c>
      <c r="AS1033" s="15" t="s">
        <v>4463</v>
      </c>
      <c r="AT1033" s="15" t="s">
        <v>10017</v>
      </c>
      <c r="AW1033" s="15" t="s">
        <v>839</v>
      </c>
      <c r="AX1033" s="15" t="s">
        <v>877</v>
      </c>
      <c r="AY1033" s="15" t="s">
        <v>413</v>
      </c>
      <c r="AZ1033" s="15" t="b">
        <v>0</v>
      </c>
      <c r="BA1033" s="15" t="s">
        <v>413</v>
      </c>
      <c r="BB1033" s="15" t="b">
        <v>0</v>
      </c>
      <c r="BC1033" s="15" t="s">
        <v>10070</v>
      </c>
      <c r="BD1033" s="15" t="s">
        <v>415</v>
      </c>
      <c r="BE1033" s="15" t="str">
        <f t="shared" si="1767"/>
        <v>3</v>
      </c>
      <c r="BF1033" s="15" t="s">
        <v>841</v>
      </c>
      <c r="BG1033" s="15" t="str">
        <f>"69.29"</f>
        <v>69.29</v>
      </c>
      <c r="BH1033" s="15" t="s">
        <v>4999</v>
      </c>
      <c r="BI1033" s="15" t="str">
        <f>"5.31"</f>
        <v>5.31</v>
      </c>
      <c r="BJ1033" s="15" t="s">
        <v>4023</v>
      </c>
      <c r="BK1033" s="15" t="str">
        <f t="shared" si="1768"/>
        <v>46.85</v>
      </c>
      <c r="BL1033" s="15" t="s">
        <v>2286</v>
      </c>
      <c r="BM1033" s="15" t="str">
        <f>"88.18"</f>
        <v>88.18</v>
      </c>
      <c r="BN1033" s="15" t="s">
        <v>5169</v>
      </c>
      <c r="BO1033" s="15" t="s">
        <v>10060</v>
      </c>
      <c r="BP1033" s="15" t="str">
        <f>"68.11"</f>
        <v>68.11</v>
      </c>
      <c r="BQ1033" s="15" t="s">
        <v>2980</v>
      </c>
      <c r="BR1033" s="15" t="str">
        <f>"9.06"</f>
        <v>9.06</v>
      </c>
      <c r="BS1033" s="15" t="s">
        <v>2481</v>
      </c>
      <c r="BT1033" s="15" t="str">
        <f t="shared" si="1769"/>
        <v>13.78</v>
      </c>
      <c r="BU1033" s="15" t="s">
        <v>6566</v>
      </c>
      <c r="BV1033" s="15" t="str">
        <f>"56.22"</f>
        <v>56.22</v>
      </c>
      <c r="BW1033" s="15" t="s">
        <v>5843</v>
      </c>
      <c r="BX1033" s="15" t="s">
        <v>10061</v>
      </c>
      <c r="BY1033" s="15" t="str">
        <f>"90.16"</f>
        <v>90.16</v>
      </c>
      <c r="BZ1033" s="15" t="s">
        <v>3095</v>
      </c>
      <c r="CA1033" s="15" t="str">
        <f>"6.69"</f>
        <v>6.69</v>
      </c>
      <c r="CB1033" s="15" t="s">
        <v>2461</v>
      </c>
      <c r="CC1033" s="15" t="str">
        <f>"18.5"</f>
        <v>18.5</v>
      </c>
      <c r="CD1033" s="15" t="s">
        <v>810</v>
      </c>
      <c r="CE1033" s="15" t="str">
        <f>"61.73"</f>
        <v>61.73</v>
      </c>
      <c r="CF1033" s="15" t="s">
        <v>1948</v>
      </c>
      <c r="CI1033" s="15" t="s">
        <v>444</v>
      </c>
      <c r="CK1033" s="15" t="s">
        <v>444</v>
      </c>
      <c r="CM1033" s="15" t="s">
        <v>444</v>
      </c>
      <c r="CO1033" s="15" t="s">
        <v>444</v>
      </c>
      <c r="CP1033" s="15" t="str">
        <f>"21.37"</f>
        <v>21.37</v>
      </c>
      <c r="CQ1033" s="15" t="str">
        <f>"0.605"</f>
        <v>0.605</v>
      </c>
      <c r="CR1033" s="15" t="s">
        <v>417</v>
      </c>
      <c r="DC1033" s="15" t="str">
        <f>IFERROR(__xludf.DUMMYFUNCTION("""COMPUTED_VALUE"""),"")</f>
        <v/>
      </c>
      <c r="DE1033" s="15" t="str">
        <f>IFERROR(__xludf.DUMMYFUNCTION("""COMPUTED_VALUE"""),"")</f>
        <v/>
      </c>
      <c r="DG1033" s="15" t="str">
        <f>IFERROR(__xludf.DUMMYFUNCTION("""COMPUTED_VALUE"""),"")</f>
        <v/>
      </c>
      <c r="DL1033" s="15" t="str">
        <f>IFERROR(__xludf.DUMMYFUNCTION("""COMPUTED_VALUE"""),"")</f>
        <v/>
      </c>
      <c r="DM1033" s="15" t="s">
        <v>444</v>
      </c>
      <c r="DN1033" s="15" t="s">
        <v>419</v>
      </c>
      <c r="DO1033" s="15">
        <v>0.0</v>
      </c>
      <c r="DP1033" s="15" t="s">
        <v>419</v>
      </c>
      <c r="DR1033" s="15">
        <v>0.0</v>
      </c>
      <c r="DT1033" s="15" t="s">
        <v>420</v>
      </c>
      <c r="DU1033" s="15" t="s">
        <v>419</v>
      </c>
      <c r="DW1033" s="15">
        <v>0.0</v>
      </c>
      <c r="DX1033" s="15">
        <v>0.0</v>
      </c>
      <c r="DY1033" s="15">
        <v>0.0</v>
      </c>
      <c r="EG1033" s="15" t="s">
        <v>444</v>
      </c>
      <c r="EH1033" s="15" t="s">
        <v>10015</v>
      </c>
      <c r="EJ1033" s="15" t="s">
        <v>858</v>
      </c>
      <c r="EK1033" s="15" t="s">
        <v>859</v>
      </c>
      <c r="EM1033" s="15" t="str">
        <f>IFERROR(__xludf.DUMMYFUNCTION("""COMPUTED_VALUE"""),"")</f>
        <v/>
      </c>
      <c r="FM1033" s="15">
        <v>0.0</v>
      </c>
      <c r="IM1033" s="15" t="s">
        <v>2026</v>
      </c>
      <c r="IN1033" s="15" t="s">
        <v>2026</v>
      </c>
      <c r="IO1033" s="15" t="s">
        <v>2026</v>
      </c>
      <c r="IP1033" s="15" t="s">
        <v>3781</v>
      </c>
      <c r="IQ1033" s="15" t="s">
        <v>2046</v>
      </c>
      <c r="IR1033" s="15" t="s">
        <v>6555</v>
      </c>
      <c r="IS1033" s="15" t="s">
        <v>1232</v>
      </c>
      <c r="IT1033" s="15" t="s">
        <v>2144</v>
      </c>
      <c r="IU1033" s="15" t="s">
        <v>6555</v>
      </c>
      <c r="IV1033" s="15" t="s">
        <v>8835</v>
      </c>
      <c r="IW1033" s="15" t="s">
        <v>4469</v>
      </c>
      <c r="IX1033" s="15" t="s">
        <v>3284</v>
      </c>
      <c r="IY1033" s="15" t="s">
        <v>731</v>
      </c>
      <c r="IZ1033" s="15" t="s">
        <v>8835</v>
      </c>
      <c r="JA1033" s="15" t="s">
        <v>2046</v>
      </c>
      <c r="JB1033" s="15" t="s">
        <v>426</v>
      </c>
      <c r="JC1033" s="15" t="s">
        <v>871</v>
      </c>
      <c r="JD1033" s="15" t="s">
        <v>2604</v>
      </c>
      <c r="JE1033" s="15" t="s">
        <v>873</v>
      </c>
      <c r="JF1033" s="15" t="s">
        <v>877</v>
      </c>
      <c r="JL1033" s="15" t="s">
        <v>787</v>
      </c>
      <c r="JM1033" s="15" t="s">
        <v>6743</v>
      </c>
      <c r="JN1033" s="15" t="s">
        <v>787</v>
      </c>
      <c r="JO1033" s="15" t="s">
        <v>426</v>
      </c>
      <c r="JP1033" s="15" t="s">
        <v>2474</v>
      </c>
    </row>
    <row r="1034" ht="15.75" customHeight="1">
      <c r="A1034" s="14" t="s">
        <v>391</v>
      </c>
      <c r="B1034" s="15" t="s">
        <v>10054</v>
      </c>
      <c r="C1034" s="16"/>
      <c r="D1034" s="15" t="s">
        <v>432</v>
      </c>
      <c r="G1034" s="14" t="s">
        <v>393</v>
      </c>
      <c r="H1034" s="14" t="s">
        <v>394</v>
      </c>
      <c r="I1034" s="14" t="b">
        <v>1</v>
      </c>
      <c r="J1034" s="14" t="s">
        <v>395</v>
      </c>
      <c r="L1034" s="14" t="b">
        <v>0</v>
      </c>
      <c r="M1034" s="15" t="s">
        <v>10074</v>
      </c>
      <c r="N1034" s="14" t="s">
        <v>393</v>
      </c>
      <c r="O1034" s="14" t="s">
        <v>393</v>
      </c>
      <c r="P1034" s="15" t="s">
        <v>397</v>
      </c>
      <c r="Q1034" s="15" t="s">
        <v>10022</v>
      </c>
      <c r="R1034" s="15" t="s">
        <v>265</v>
      </c>
      <c r="S1034" s="15" t="s">
        <v>828</v>
      </c>
      <c r="T1034" s="14" t="b">
        <v>0</v>
      </c>
      <c r="U1034" s="15" t="s">
        <v>10075</v>
      </c>
      <c r="V1034" s="15" t="s">
        <v>5240</v>
      </c>
      <c r="W1034" s="15" t="s">
        <v>401</v>
      </c>
      <c r="X1034" s="15" t="s">
        <v>402</v>
      </c>
      <c r="Y1034" s="15">
        <v>2080.0</v>
      </c>
      <c r="AA1034" s="15" t="str">
        <f>"800"</f>
        <v>800</v>
      </c>
      <c r="AB1034" s="14" t="b">
        <v>1</v>
      </c>
      <c r="AC1034" s="14" t="b">
        <v>1</v>
      </c>
      <c r="AD1034" s="15" t="str">
        <f>"801542768638"</f>
        <v>801542768638</v>
      </c>
      <c r="AE1034" s="15" t="s">
        <v>10076</v>
      </c>
      <c r="AF1034" s="14" t="s">
        <v>404</v>
      </c>
      <c r="AG1034" s="14" t="s">
        <v>405</v>
      </c>
      <c r="AH1034" s="14" t="s">
        <v>406</v>
      </c>
      <c r="AI1034" s="15">
        <v>0.0</v>
      </c>
      <c r="AL1034" s="15" t="s">
        <v>10058</v>
      </c>
      <c r="AM1034" s="15" t="s">
        <v>7045</v>
      </c>
      <c r="AN1034" s="15" t="s">
        <v>7046</v>
      </c>
      <c r="AO1034" s="15" t="s">
        <v>6631</v>
      </c>
      <c r="AP1034" s="15" t="s">
        <v>3003</v>
      </c>
      <c r="AQ1034" s="15" t="s">
        <v>5528</v>
      </c>
      <c r="AR1034" s="15" t="s">
        <v>5529</v>
      </c>
      <c r="AS1034" s="15" t="s">
        <v>4463</v>
      </c>
      <c r="AT1034" s="15" t="s">
        <v>10022</v>
      </c>
      <c r="AW1034" s="15" t="s">
        <v>839</v>
      </c>
      <c r="AX1034" s="15" t="s">
        <v>828</v>
      </c>
      <c r="AY1034" s="15" t="s">
        <v>413</v>
      </c>
      <c r="AZ1034" s="15" t="b">
        <v>0</v>
      </c>
      <c r="BA1034" s="15" t="s">
        <v>413</v>
      </c>
      <c r="BB1034" s="15" t="b">
        <v>0</v>
      </c>
      <c r="BC1034" s="15" t="s">
        <v>10077</v>
      </c>
      <c r="BD1034" s="15" t="s">
        <v>415</v>
      </c>
      <c r="BE1034" s="15" t="str">
        <f t="shared" si="1767"/>
        <v>3</v>
      </c>
      <c r="BF1034" s="15" t="s">
        <v>10078</v>
      </c>
      <c r="BG1034" s="15" t="str">
        <f>"85.04"</f>
        <v>85.04</v>
      </c>
      <c r="BH1034" s="15" t="s">
        <v>440</v>
      </c>
      <c r="BI1034" s="15" t="str">
        <f>"5.71"</f>
        <v>5.71</v>
      </c>
      <c r="BJ1034" s="15" t="s">
        <v>10065</v>
      </c>
      <c r="BK1034" s="15" t="str">
        <f t="shared" si="1768"/>
        <v>46.85</v>
      </c>
      <c r="BL1034" s="15" t="s">
        <v>2286</v>
      </c>
      <c r="BM1034" s="15" t="str">
        <f>"106.92"</f>
        <v>106.92</v>
      </c>
      <c r="BN1034" s="15" t="s">
        <v>10066</v>
      </c>
      <c r="BO1034" s="15" t="s">
        <v>10079</v>
      </c>
      <c r="BP1034" s="15" t="str">
        <f>"83.86"</f>
        <v>83.86</v>
      </c>
      <c r="BQ1034" s="15" t="s">
        <v>5542</v>
      </c>
      <c r="BR1034" s="15" t="str">
        <f>"9.25"</f>
        <v>9.25</v>
      </c>
      <c r="BS1034" s="15" t="s">
        <v>2457</v>
      </c>
      <c r="BT1034" s="15" t="str">
        <f t="shared" si="1769"/>
        <v>13.78</v>
      </c>
      <c r="BU1034" s="15" t="s">
        <v>6566</v>
      </c>
      <c r="BV1034" s="15" t="str">
        <f>"70.55"</f>
        <v>70.55</v>
      </c>
      <c r="BW1034" s="15" t="s">
        <v>845</v>
      </c>
      <c r="BX1034" s="15" t="s">
        <v>10080</v>
      </c>
      <c r="BY1034" s="15" t="str">
        <f>"88.98"</f>
        <v>88.98</v>
      </c>
      <c r="BZ1034" s="15" t="s">
        <v>1752</v>
      </c>
      <c r="CA1034" s="15" t="str">
        <f>"7.09"</f>
        <v>7.09</v>
      </c>
      <c r="CB1034" s="15" t="s">
        <v>5615</v>
      </c>
      <c r="CC1034" s="15" t="str">
        <f>"19.29"</f>
        <v>19.29</v>
      </c>
      <c r="CD1034" s="15" t="s">
        <v>566</v>
      </c>
      <c r="CE1034" s="15" t="str">
        <f>"63.93"</f>
        <v>63.93</v>
      </c>
      <c r="CF1034" s="15" t="s">
        <v>2965</v>
      </c>
      <c r="CI1034" s="15" t="s">
        <v>444</v>
      </c>
      <c r="CK1034" s="15" t="s">
        <v>444</v>
      </c>
      <c r="CM1034" s="15" t="s">
        <v>444</v>
      </c>
      <c r="CO1034" s="15" t="s">
        <v>444</v>
      </c>
      <c r="CP1034" s="15" t="str">
        <f>"26.38"</f>
        <v>26.38</v>
      </c>
      <c r="CQ1034" s="15" t="str">
        <f>"0.747"</f>
        <v>0.747</v>
      </c>
      <c r="CR1034" s="15" t="s">
        <v>417</v>
      </c>
      <c r="DC1034" s="15" t="str">
        <f>IFERROR(__xludf.DUMMYFUNCTION("""COMPUTED_VALUE"""),"")</f>
        <v/>
      </c>
      <c r="DE1034" s="15" t="str">
        <f>IFERROR(__xludf.DUMMYFUNCTION("""COMPUTED_VALUE"""),"")</f>
        <v/>
      </c>
      <c r="DG1034" s="15" t="str">
        <f>IFERROR(__xludf.DUMMYFUNCTION("""COMPUTED_VALUE"""),"")</f>
        <v/>
      </c>
      <c r="DL1034" s="15" t="str">
        <f>IFERROR(__xludf.DUMMYFUNCTION("""COMPUTED_VALUE"""),"")</f>
        <v/>
      </c>
      <c r="DM1034" s="15" t="s">
        <v>444</v>
      </c>
      <c r="DN1034" s="15" t="s">
        <v>419</v>
      </c>
      <c r="DO1034" s="15">
        <v>0.0</v>
      </c>
      <c r="DP1034" s="15" t="s">
        <v>419</v>
      </c>
      <c r="DR1034" s="15">
        <v>0.0</v>
      </c>
      <c r="DT1034" s="15" t="s">
        <v>420</v>
      </c>
      <c r="DU1034" s="15" t="s">
        <v>419</v>
      </c>
      <c r="DW1034" s="15">
        <v>0.0</v>
      </c>
      <c r="DX1034" s="15">
        <v>0.0</v>
      </c>
      <c r="DY1034" s="15">
        <v>0.0</v>
      </c>
      <c r="EG1034" s="15" t="s">
        <v>444</v>
      </c>
      <c r="EH1034" s="15" t="s">
        <v>10015</v>
      </c>
      <c r="EJ1034" s="15" t="s">
        <v>858</v>
      </c>
      <c r="EK1034" s="15" t="s">
        <v>859</v>
      </c>
      <c r="EM1034" s="15" t="str">
        <f>IFERROR(__xludf.DUMMYFUNCTION("""COMPUTED_VALUE"""),"")</f>
        <v/>
      </c>
      <c r="FM1034" s="15">
        <v>0.0</v>
      </c>
      <c r="IM1034" s="15" t="s">
        <v>2026</v>
      </c>
      <c r="IN1034" s="15" t="s">
        <v>2026</v>
      </c>
      <c r="IO1034" s="15" t="s">
        <v>2026</v>
      </c>
      <c r="IP1034" s="15" t="s">
        <v>3781</v>
      </c>
      <c r="IQ1034" s="15" t="s">
        <v>2046</v>
      </c>
      <c r="IR1034" s="15" t="s">
        <v>6489</v>
      </c>
      <c r="IS1034" s="15" t="s">
        <v>1232</v>
      </c>
      <c r="IT1034" s="15" t="s">
        <v>2144</v>
      </c>
      <c r="IU1034" s="15" t="s">
        <v>6489</v>
      </c>
      <c r="IV1034" s="15" t="s">
        <v>8835</v>
      </c>
      <c r="IW1034" s="15" t="s">
        <v>4469</v>
      </c>
      <c r="IX1034" s="15" t="s">
        <v>6489</v>
      </c>
      <c r="IY1034" s="15" t="s">
        <v>731</v>
      </c>
      <c r="IZ1034" s="15" t="s">
        <v>8835</v>
      </c>
      <c r="JA1034" s="15" t="s">
        <v>2046</v>
      </c>
      <c r="JB1034" s="15" t="s">
        <v>426</v>
      </c>
      <c r="JC1034" s="15" t="s">
        <v>871</v>
      </c>
      <c r="JD1034" s="15" t="s">
        <v>2604</v>
      </c>
      <c r="JE1034" s="15" t="s">
        <v>873</v>
      </c>
      <c r="JF1034" s="15" t="s">
        <v>828</v>
      </c>
      <c r="JL1034" s="15" t="s">
        <v>787</v>
      </c>
      <c r="JM1034" s="15" t="s">
        <v>6743</v>
      </c>
      <c r="JN1034" s="15" t="s">
        <v>787</v>
      </c>
      <c r="JO1034" s="15" t="s">
        <v>426</v>
      </c>
      <c r="JP1034" s="15" t="s">
        <v>2474</v>
      </c>
    </row>
    <row r="1035" ht="15.75" customHeight="1">
      <c r="A1035" s="14" t="s">
        <v>391</v>
      </c>
      <c r="B1035" s="15" t="s">
        <v>10054</v>
      </c>
      <c r="C1035" s="16"/>
      <c r="D1035" s="15" t="s">
        <v>432</v>
      </c>
      <c r="G1035" s="14" t="s">
        <v>393</v>
      </c>
      <c r="H1035" s="14" t="s">
        <v>394</v>
      </c>
      <c r="I1035" s="14" t="b">
        <v>1</v>
      </c>
      <c r="J1035" s="14" t="s">
        <v>395</v>
      </c>
      <c r="L1035" s="14" t="b">
        <v>0</v>
      </c>
      <c r="M1035" s="15" t="s">
        <v>10081</v>
      </c>
      <c r="N1035" s="14" t="s">
        <v>393</v>
      </c>
      <c r="O1035" s="14" t="s">
        <v>393</v>
      </c>
      <c r="P1035" s="15" t="s">
        <v>397</v>
      </c>
      <c r="Q1035" s="15" t="s">
        <v>10022</v>
      </c>
      <c r="R1035" s="15" t="s">
        <v>265</v>
      </c>
      <c r="S1035" s="15" t="s">
        <v>877</v>
      </c>
      <c r="T1035" s="14" t="b">
        <v>0</v>
      </c>
      <c r="U1035" s="15" t="s">
        <v>10082</v>
      </c>
      <c r="V1035" s="15" t="s">
        <v>8737</v>
      </c>
      <c r="W1035" s="15" t="s">
        <v>401</v>
      </c>
      <c r="X1035" s="15" t="s">
        <v>402</v>
      </c>
      <c r="Y1035" s="15">
        <v>1859.0</v>
      </c>
      <c r="AA1035" s="15" t="str">
        <f>"715"</f>
        <v>715</v>
      </c>
      <c r="AB1035" s="14" t="b">
        <v>1</v>
      </c>
      <c r="AC1035" s="14" t="b">
        <v>1</v>
      </c>
      <c r="AD1035" s="15" t="str">
        <f>"801542768676"</f>
        <v>801542768676</v>
      </c>
      <c r="AE1035" s="15" t="s">
        <v>10083</v>
      </c>
      <c r="AF1035" s="14" t="s">
        <v>404</v>
      </c>
      <c r="AG1035" s="14" t="s">
        <v>405</v>
      </c>
      <c r="AH1035" s="14" t="s">
        <v>406</v>
      </c>
      <c r="AI1035" s="15">
        <v>0.0</v>
      </c>
      <c r="AL1035" s="15" t="s">
        <v>10058</v>
      </c>
      <c r="AM1035" s="15" t="s">
        <v>8799</v>
      </c>
      <c r="AN1035" s="15" t="s">
        <v>8800</v>
      </c>
      <c r="AO1035" s="15" t="s">
        <v>6631</v>
      </c>
      <c r="AP1035" s="15" t="s">
        <v>3003</v>
      </c>
      <c r="AQ1035" s="15" t="s">
        <v>5528</v>
      </c>
      <c r="AR1035" s="15" t="s">
        <v>5529</v>
      </c>
      <c r="AS1035" s="15" t="s">
        <v>4463</v>
      </c>
      <c r="AT1035" s="15" t="s">
        <v>10022</v>
      </c>
      <c r="AW1035" s="15" t="s">
        <v>839</v>
      </c>
      <c r="AX1035" s="15" t="s">
        <v>877</v>
      </c>
      <c r="AY1035" s="15" t="s">
        <v>413</v>
      </c>
      <c r="AZ1035" s="15" t="b">
        <v>0</v>
      </c>
      <c r="BA1035" s="15" t="s">
        <v>413</v>
      </c>
      <c r="BB1035" s="15" t="b">
        <v>0</v>
      </c>
      <c r="BC1035" s="15" t="s">
        <v>10077</v>
      </c>
      <c r="BD1035" s="15" t="s">
        <v>415</v>
      </c>
      <c r="BE1035" s="15" t="str">
        <f t="shared" si="1767"/>
        <v>3</v>
      </c>
      <c r="BF1035" s="15" t="s">
        <v>10078</v>
      </c>
      <c r="BG1035" s="15" t="str">
        <f>"69.29"</f>
        <v>69.29</v>
      </c>
      <c r="BH1035" s="15" t="s">
        <v>4999</v>
      </c>
      <c r="BI1035" s="15" t="str">
        <f>"5.31"</f>
        <v>5.31</v>
      </c>
      <c r="BJ1035" s="15" t="s">
        <v>4023</v>
      </c>
      <c r="BK1035" s="15" t="str">
        <f t="shared" si="1768"/>
        <v>46.85</v>
      </c>
      <c r="BL1035" s="15" t="s">
        <v>2286</v>
      </c>
      <c r="BM1035" s="15" t="str">
        <f>"88.18"</f>
        <v>88.18</v>
      </c>
      <c r="BN1035" s="15" t="s">
        <v>5169</v>
      </c>
      <c r="BO1035" s="15" t="s">
        <v>10079</v>
      </c>
      <c r="BP1035" s="15" t="str">
        <f>"68.11"</f>
        <v>68.11</v>
      </c>
      <c r="BQ1035" s="15" t="s">
        <v>2980</v>
      </c>
      <c r="BR1035" s="15" t="str">
        <f>"9.06"</f>
        <v>9.06</v>
      </c>
      <c r="BS1035" s="15" t="s">
        <v>2481</v>
      </c>
      <c r="BT1035" s="15" t="str">
        <f t="shared" si="1769"/>
        <v>13.78</v>
      </c>
      <c r="BU1035" s="15" t="s">
        <v>6566</v>
      </c>
      <c r="BV1035" s="15" t="str">
        <f>"56.22"</f>
        <v>56.22</v>
      </c>
      <c r="BW1035" s="15" t="s">
        <v>5843</v>
      </c>
      <c r="BX1035" s="15" t="s">
        <v>10080</v>
      </c>
      <c r="BY1035" s="15" t="str">
        <f>"90.16"</f>
        <v>90.16</v>
      </c>
      <c r="BZ1035" s="15" t="s">
        <v>3095</v>
      </c>
      <c r="CA1035" s="15" t="str">
        <f>"6.69"</f>
        <v>6.69</v>
      </c>
      <c r="CB1035" s="15" t="s">
        <v>2461</v>
      </c>
      <c r="CC1035" s="15" t="str">
        <f>"18.5"</f>
        <v>18.5</v>
      </c>
      <c r="CD1035" s="15" t="s">
        <v>810</v>
      </c>
      <c r="CE1035" s="15" t="str">
        <f>"61.73"</f>
        <v>61.73</v>
      </c>
      <c r="CF1035" s="15" t="s">
        <v>1948</v>
      </c>
      <c r="CI1035" s="15" t="s">
        <v>444</v>
      </c>
      <c r="CK1035" s="15" t="s">
        <v>444</v>
      </c>
      <c r="CM1035" s="15" t="s">
        <v>444</v>
      </c>
      <c r="CO1035" s="15" t="s">
        <v>444</v>
      </c>
      <c r="CP1035" s="15" t="str">
        <f>"21.37"</f>
        <v>21.37</v>
      </c>
      <c r="CQ1035" s="15" t="str">
        <f>"0.605"</f>
        <v>0.605</v>
      </c>
      <c r="CR1035" s="15" t="s">
        <v>417</v>
      </c>
      <c r="DC1035" s="15" t="str">
        <f>IFERROR(__xludf.DUMMYFUNCTION("""COMPUTED_VALUE"""),"")</f>
        <v/>
      </c>
      <c r="DE1035" s="15" t="str">
        <f>IFERROR(__xludf.DUMMYFUNCTION("""COMPUTED_VALUE"""),"")</f>
        <v/>
      </c>
      <c r="DG1035" s="15" t="str">
        <f>IFERROR(__xludf.DUMMYFUNCTION("""COMPUTED_VALUE"""),"")</f>
        <v/>
      </c>
      <c r="DL1035" s="15" t="str">
        <f>IFERROR(__xludf.DUMMYFUNCTION("""COMPUTED_VALUE"""),"")</f>
        <v/>
      </c>
      <c r="DM1035" s="15" t="s">
        <v>444</v>
      </c>
      <c r="DN1035" s="15" t="s">
        <v>419</v>
      </c>
      <c r="DO1035" s="15">
        <v>0.0</v>
      </c>
      <c r="DP1035" s="15" t="s">
        <v>419</v>
      </c>
      <c r="DR1035" s="15">
        <v>0.0</v>
      </c>
      <c r="DT1035" s="15" t="s">
        <v>420</v>
      </c>
      <c r="DU1035" s="15" t="s">
        <v>419</v>
      </c>
      <c r="DW1035" s="15">
        <v>0.0</v>
      </c>
      <c r="DX1035" s="15">
        <v>0.0</v>
      </c>
      <c r="DY1035" s="15">
        <v>0.0</v>
      </c>
      <c r="EG1035" s="15" t="s">
        <v>444</v>
      </c>
      <c r="EH1035" s="15" t="s">
        <v>10015</v>
      </c>
      <c r="EJ1035" s="15" t="s">
        <v>858</v>
      </c>
      <c r="EK1035" s="15" t="s">
        <v>859</v>
      </c>
      <c r="EM1035" s="15" t="str">
        <f>IFERROR(__xludf.DUMMYFUNCTION("""COMPUTED_VALUE"""),"")</f>
        <v/>
      </c>
      <c r="FM1035" s="15">
        <v>0.0</v>
      </c>
      <c r="IM1035" s="15" t="s">
        <v>2026</v>
      </c>
      <c r="IN1035" s="15" t="s">
        <v>2026</v>
      </c>
      <c r="IO1035" s="15" t="s">
        <v>2026</v>
      </c>
      <c r="IP1035" s="15" t="s">
        <v>3781</v>
      </c>
      <c r="IQ1035" s="15" t="s">
        <v>2046</v>
      </c>
      <c r="IR1035" s="15" t="s">
        <v>6555</v>
      </c>
      <c r="IS1035" s="15" t="s">
        <v>1232</v>
      </c>
      <c r="IT1035" s="15" t="s">
        <v>2144</v>
      </c>
      <c r="IU1035" s="15" t="s">
        <v>6555</v>
      </c>
      <c r="IV1035" s="15" t="s">
        <v>8835</v>
      </c>
      <c r="IW1035" s="15" t="s">
        <v>4469</v>
      </c>
      <c r="IX1035" s="15" t="s">
        <v>3284</v>
      </c>
      <c r="IY1035" s="15" t="s">
        <v>731</v>
      </c>
      <c r="IZ1035" s="15" t="s">
        <v>8835</v>
      </c>
      <c r="JA1035" s="15" t="s">
        <v>2046</v>
      </c>
      <c r="JB1035" s="15" t="s">
        <v>426</v>
      </c>
      <c r="JC1035" s="15" t="s">
        <v>871</v>
      </c>
      <c r="JD1035" s="15" t="s">
        <v>2604</v>
      </c>
      <c r="JE1035" s="15" t="s">
        <v>873</v>
      </c>
      <c r="JF1035" s="15" t="s">
        <v>877</v>
      </c>
      <c r="JL1035" s="15" t="s">
        <v>787</v>
      </c>
      <c r="JM1035" s="15" t="s">
        <v>6743</v>
      </c>
      <c r="JN1035" s="15" t="s">
        <v>787</v>
      </c>
      <c r="JO1035" s="15" t="s">
        <v>426</v>
      </c>
      <c r="JP1035" s="15" t="s">
        <v>2474</v>
      </c>
    </row>
    <row r="1036" ht="15.75" customHeight="1">
      <c r="A1036" s="14" t="s">
        <v>391</v>
      </c>
      <c r="B1036" s="15" t="s">
        <v>10084</v>
      </c>
      <c r="C1036" s="16"/>
      <c r="D1036" s="15" t="s">
        <v>432</v>
      </c>
      <c r="G1036" s="14" t="s">
        <v>393</v>
      </c>
      <c r="H1036" s="14" t="s">
        <v>394</v>
      </c>
      <c r="I1036" s="14" t="b">
        <v>1</v>
      </c>
      <c r="J1036" s="14" t="s">
        <v>395</v>
      </c>
      <c r="L1036" s="14" t="b">
        <v>0</v>
      </c>
      <c r="M1036" s="15" t="s">
        <v>10085</v>
      </c>
      <c r="N1036" s="14" t="s">
        <v>393</v>
      </c>
      <c r="O1036" s="14" t="s">
        <v>393</v>
      </c>
      <c r="P1036" s="15" t="s">
        <v>397</v>
      </c>
      <c r="Q1036" s="15" t="s">
        <v>10022</v>
      </c>
      <c r="T1036" s="14" t="b">
        <v>0</v>
      </c>
      <c r="U1036" s="15" t="s">
        <v>10086</v>
      </c>
      <c r="V1036" s="15" t="s">
        <v>2414</v>
      </c>
      <c r="W1036" s="15" t="s">
        <v>401</v>
      </c>
      <c r="X1036" s="15" t="s">
        <v>402</v>
      </c>
      <c r="Y1036" s="15">
        <v>1313.0</v>
      </c>
      <c r="AA1036" s="15" t="str">
        <f t="shared" ref="AA1036:AA1038" si="1783">"505"</f>
        <v>505</v>
      </c>
      <c r="AB1036" s="14" t="b">
        <v>1</v>
      </c>
      <c r="AC1036" s="14" t="b">
        <v>1</v>
      </c>
      <c r="AD1036" s="15" t="str">
        <f>"801542763343"</f>
        <v>801542763343</v>
      </c>
      <c r="AE1036" s="15" t="s">
        <v>10087</v>
      </c>
      <c r="AF1036" s="14" t="s">
        <v>404</v>
      </c>
      <c r="AG1036" s="14" t="s">
        <v>405</v>
      </c>
      <c r="AH1036" s="14" t="s">
        <v>406</v>
      </c>
      <c r="AI1036" s="15">
        <v>0.0</v>
      </c>
      <c r="AL1036" s="15" t="s">
        <v>10088</v>
      </c>
      <c r="AM1036" s="15" t="s">
        <v>1177</v>
      </c>
      <c r="AN1036" s="15" t="s">
        <v>1178</v>
      </c>
      <c r="AO1036" s="15" t="s">
        <v>1007</v>
      </c>
      <c r="AP1036" s="15" t="s">
        <v>1008</v>
      </c>
      <c r="AQ1036" s="15" t="s">
        <v>2355</v>
      </c>
      <c r="AR1036" s="15" t="s">
        <v>2356</v>
      </c>
      <c r="AS1036" s="15" t="s">
        <v>4463</v>
      </c>
      <c r="AT1036" s="15" t="s">
        <v>10089</v>
      </c>
      <c r="AU1036" s="15" t="s">
        <v>5928</v>
      </c>
      <c r="AV1036" s="15" t="s">
        <v>10022</v>
      </c>
      <c r="AW1036" s="15" t="s">
        <v>1899</v>
      </c>
      <c r="AY1036" s="15" t="s">
        <v>413</v>
      </c>
      <c r="AZ1036" s="15" t="b">
        <v>0</v>
      </c>
      <c r="BA1036" s="15" t="s">
        <v>413</v>
      </c>
      <c r="BB1036" s="15" t="b">
        <v>0</v>
      </c>
      <c r="BC1036" s="15" t="s">
        <v>10090</v>
      </c>
      <c r="BD1036" s="15" t="s">
        <v>415</v>
      </c>
      <c r="BE1036" s="15" t="str">
        <f t="shared" ref="BE1036:BE1066" si="1784">"1"</f>
        <v>1</v>
      </c>
      <c r="BF1036" s="15" t="s">
        <v>416</v>
      </c>
      <c r="BG1036" s="15" t="str">
        <f t="shared" ref="BG1036:BG1038" si="1785">"27.56"</f>
        <v>27.56</v>
      </c>
      <c r="BH1036" s="15" t="s">
        <v>1780</v>
      </c>
      <c r="BI1036" s="15" t="str">
        <f t="shared" ref="BI1036:BI1038" si="1786">"20.08"</f>
        <v>20.08</v>
      </c>
      <c r="BJ1036" s="15" t="s">
        <v>4825</v>
      </c>
      <c r="BK1036" s="15" t="str">
        <f t="shared" ref="BK1036:BK1038" si="1787">"82.68"</f>
        <v>82.68</v>
      </c>
      <c r="BL1036" s="15" t="s">
        <v>6076</v>
      </c>
      <c r="BM1036" s="15" t="str">
        <f t="shared" ref="BM1036:BM1038" si="1788">"99.21"</f>
        <v>99.21</v>
      </c>
      <c r="BN1036" s="15" t="s">
        <v>1507</v>
      </c>
      <c r="BQ1036" s="15" t="s">
        <v>444</v>
      </c>
      <c r="BS1036" s="15" t="s">
        <v>444</v>
      </c>
      <c r="BU1036" s="15" t="s">
        <v>444</v>
      </c>
      <c r="BW1036" s="15" t="s">
        <v>444</v>
      </c>
      <c r="BZ1036" s="15" t="s">
        <v>444</v>
      </c>
      <c r="CB1036" s="15" t="s">
        <v>444</v>
      </c>
      <c r="CD1036" s="15" t="s">
        <v>444</v>
      </c>
      <c r="CF1036" s="15" t="s">
        <v>444</v>
      </c>
      <c r="CI1036" s="15" t="s">
        <v>444</v>
      </c>
      <c r="CK1036" s="15" t="s">
        <v>444</v>
      </c>
      <c r="CM1036" s="15" t="s">
        <v>444</v>
      </c>
      <c r="CO1036" s="15" t="s">
        <v>444</v>
      </c>
      <c r="CP1036" s="15" t="str">
        <f t="shared" ref="CP1036:CP1038" si="1789">"26.49"</f>
        <v>26.49</v>
      </c>
      <c r="CQ1036" s="15" t="str">
        <f t="shared" ref="CQ1036:CQ1038" si="1790">"0.75"</f>
        <v>0.75</v>
      </c>
      <c r="CR1036" s="15" t="s">
        <v>465</v>
      </c>
      <c r="CS1036" s="15" t="s">
        <v>1014</v>
      </c>
      <c r="CT1036" s="15" t="s">
        <v>2046</v>
      </c>
      <c r="CU1036" s="15" t="s">
        <v>2652</v>
      </c>
      <c r="CV1036" s="15" t="s">
        <v>3098</v>
      </c>
      <c r="CW1036" s="15" t="s">
        <v>10091</v>
      </c>
      <c r="CX1036" s="15" t="s">
        <v>3927</v>
      </c>
      <c r="DC1036" s="15" t="str">
        <f>IFERROR(__xludf.DUMMYFUNCTION("""COMPUTED_VALUE"""),"")</f>
        <v/>
      </c>
      <c r="DE1036" s="15" t="str">
        <f>IFERROR(__xludf.DUMMYFUNCTION("""COMPUTED_VALUE"""),"")</f>
        <v/>
      </c>
      <c r="DG1036" s="15" t="str">
        <f>IFERROR(__xludf.DUMMYFUNCTION("""COMPUTED_VALUE"""),"")</f>
        <v/>
      </c>
      <c r="DL1036" s="15" t="str">
        <f>IFERROR(__xludf.DUMMYFUNCTION("""COMPUTED_VALUE"""),"")</f>
        <v/>
      </c>
      <c r="DM1036" s="15" t="s">
        <v>444</v>
      </c>
      <c r="DN1036" s="15" t="s">
        <v>2600</v>
      </c>
      <c r="DO1036" s="15">
        <v>2.0</v>
      </c>
      <c r="DP1036" s="15" t="s">
        <v>2604</v>
      </c>
      <c r="DR1036" s="15">
        <v>3.0</v>
      </c>
      <c r="DS1036" s="15" t="s">
        <v>426</v>
      </c>
      <c r="DT1036" s="15" t="s">
        <v>764</v>
      </c>
      <c r="DU1036" s="15" t="s">
        <v>421</v>
      </c>
      <c r="DW1036" s="15">
        <v>18.14</v>
      </c>
      <c r="DX1036" s="15">
        <v>40.0</v>
      </c>
      <c r="DY1036" s="15">
        <v>0.0</v>
      </c>
      <c r="EF1036" s="15" t="s">
        <v>1906</v>
      </c>
      <c r="EG1036" s="15" t="s">
        <v>1907</v>
      </c>
      <c r="EH1036" s="15" t="s">
        <v>10015</v>
      </c>
      <c r="EK1036" s="15" t="s">
        <v>444</v>
      </c>
      <c r="EM1036" s="15" t="str">
        <f>IFERROR(__xludf.DUMMYFUNCTION("""COMPUTED_VALUE"""),"")</f>
        <v/>
      </c>
      <c r="EW1036" s="15" t="s">
        <v>2050</v>
      </c>
      <c r="FL1036" s="15" t="s">
        <v>426</v>
      </c>
      <c r="FM1036" s="15">
        <v>4.0</v>
      </c>
      <c r="GH1036" s="15">
        <v>0.0</v>
      </c>
      <c r="GI1036" s="15" t="s">
        <v>427</v>
      </c>
      <c r="GQ1036" s="15" t="s">
        <v>788</v>
      </c>
      <c r="GS1036" s="15" t="s">
        <v>1955</v>
      </c>
      <c r="GU1036" s="15" t="s">
        <v>2500</v>
      </c>
      <c r="GW1036" s="15" t="s">
        <v>2604</v>
      </c>
      <c r="GY1036" s="15" t="s">
        <v>764</v>
      </c>
      <c r="GZ1036" s="15" t="s">
        <v>426</v>
      </c>
      <c r="HA1036" s="15" t="s">
        <v>3098</v>
      </c>
      <c r="HB1036" s="15" t="s">
        <v>2598</v>
      </c>
      <c r="HC1036" s="15" t="s">
        <v>3927</v>
      </c>
      <c r="HQ1036" s="15" t="s">
        <v>3098</v>
      </c>
      <c r="HS1036" s="15" t="s">
        <v>862</v>
      </c>
      <c r="HU1036" s="15" t="s">
        <v>3927</v>
      </c>
    </row>
    <row r="1037" ht="15.75" customHeight="1">
      <c r="A1037" s="14" t="s">
        <v>391</v>
      </c>
      <c r="B1037" s="15" t="s">
        <v>10084</v>
      </c>
      <c r="C1037" s="16"/>
      <c r="D1037" s="15" t="s">
        <v>432</v>
      </c>
      <c r="G1037" s="14" t="s">
        <v>393</v>
      </c>
      <c r="H1037" s="14" t="s">
        <v>394</v>
      </c>
      <c r="I1037" s="14" t="b">
        <v>1</v>
      </c>
      <c r="J1037" s="14" t="s">
        <v>395</v>
      </c>
      <c r="L1037" s="14" t="b">
        <v>0</v>
      </c>
      <c r="M1037" s="15" t="s">
        <v>10092</v>
      </c>
      <c r="N1037" s="14" t="s">
        <v>393</v>
      </c>
      <c r="O1037" s="14" t="s">
        <v>393</v>
      </c>
      <c r="P1037" s="15" t="s">
        <v>397</v>
      </c>
      <c r="Q1037" s="15" t="s">
        <v>10010</v>
      </c>
      <c r="T1037" s="14" t="b">
        <v>0</v>
      </c>
      <c r="U1037" s="15" t="s">
        <v>10093</v>
      </c>
      <c r="V1037" s="15" t="s">
        <v>2414</v>
      </c>
      <c r="W1037" s="15" t="s">
        <v>401</v>
      </c>
      <c r="X1037" s="15" t="s">
        <v>402</v>
      </c>
      <c r="Y1037" s="15">
        <v>1313.0</v>
      </c>
      <c r="AA1037" s="15" t="str">
        <f t="shared" si="1783"/>
        <v>505</v>
      </c>
      <c r="AB1037" s="14" t="b">
        <v>1</v>
      </c>
      <c r="AC1037" s="14" t="b">
        <v>1</v>
      </c>
      <c r="AD1037" s="15" t="str">
        <f>"801542391768"</f>
        <v>801542391768</v>
      </c>
      <c r="AE1037" s="15" t="s">
        <v>10094</v>
      </c>
      <c r="AF1037" s="14" t="s">
        <v>404</v>
      </c>
      <c r="AG1037" s="14" t="s">
        <v>405</v>
      </c>
      <c r="AH1037" s="14" t="s">
        <v>406</v>
      </c>
      <c r="AI1037" s="15">
        <v>0.0</v>
      </c>
      <c r="AL1037" s="15" t="s">
        <v>10088</v>
      </c>
      <c r="AM1037" s="15" t="s">
        <v>1177</v>
      </c>
      <c r="AN1037" s="15" t="s">
        <v>1178</v>
      </c>
      <c r="AO1037" s="15" t="s">
        <v>1007</v>
      </c>
      <c r="AP1037" s="15" t="s">
        <v>1008</v>
      </c>
      <c r="AQ1037" s="15" t="s">
        <v>2355</v>
      </c>
      <c r="AR1037" s="15" t="s">
        <v>2356</v>
      </c>
      <c r="AS1037" s="15" t="s">
        <v>4463</v>
      </c>
      <c r="AT1037" s="15" t="s">
        <v>10089</v>
      </c>
      <c r="AU1037" s="15" t="s">
        <v>10013</v>
      </c>
      <c r="AV1037" s="15" t="s">
        <v>10010</v>
      </c>
      <c r="AW1037" s="15" t="s">
        <v>1899</v>
      </c>
      <c r="AY1037" s="15" t="s">
        <v>413</v>
      </c>
      <c r="AZ1037" s="15" t="b">
        <v>0</v>
      </c>
      <c r="BA1037" s="15" t="s">
        <v>413</v>
      </c>
      <c r="BB1037" s="15" t="b">
        <v>0</v>
      </c>
      <c r="BC1037" s="15" t="s">
        <v>10095</v>
      </c>
      <c r="BD1037" s="15" t="s">
        <v>415</v>
      </c>
      <c r="BE1037" s="15" t="str">
        <f t="shared" si="1784"/>
        <v>1</v>
      </c>
      <c r="BF1037" s="15" t="s">
        <v>416</v>
      </c>
      <c r="BG1037" s="15" t="str">
        <f t="shared" si="1785"/>
        <v>27.56</v>
      </c>
      <c r="BH1037" s="15" t="s">
        <v>1780</v>
      </c>
      <c r="BI1037" s="15" t="str">
        <f t="shared" si="1786"/>
        <v>20.08</v>
      </c>
      <c r="BJ1037" s="15" t="s">
        <v>4825</v>
      </c>
      <c r="BK1037" s="15" t="str">
        <f t="shared" si="1787"/>
        <v>82.68</v>
      </c>
      <c r="BL1037" s="15" t="s">
        <v>6076</v>
      </c>
      <c r="BM1037" s="15" t="str">
        <f t="shared" si="1788"/>
        <v>99.21</v>
      </c>
      <c r="BN1037" s="15" t="s">
        <v>1507</v>
      </c>
      <c r="BQ1037" s="15" t="s">
        <v>444</v>
      </c>
      <c r="BS1037" s="15" t="s">
        <v>444</v>
      </c>
      <c r="BU1037" s="15" t="s">
        <v>444</v>
      </c>
      <c r="BW1037" s="15" t="s">
        <v>444</v>
      </c>
      <c r="BZ1037" s="15" t="s">
        <v>444</v>
      </c>
      <c r="CB1037" s="15" t="s">
        <v>444</v>
      </c>
      <c r="CD1037" s="15" t="s">
        <v>444</v>
      </c>
      <c r="CF1037" s="15" t="s">
        <v>444</v>
      </c>
      <c r="CI1037" s="15" t="s">
        <v>444</v>
      </c>
      <c r="CK1037" s="15" t="s">
        <v>444</v>
      </c>
      <c r="CM1037" s="15" t="s">
        <v>444</v>
      </c>
      <c r="CO1037" s="15" t="s">
        <v>444</v>
      </c>
      <c r="CP1037" s="15" t="str">
        <f t="shared" si="1789"/>
        <v>26.49</v>
      </c>
      <c r="CQ1037" s="15" t="str">
        <f t="shared" si="1790"/>
        <v>0.75</v>
      </c>
      <c r="CR1037" s="15" t="s">
        <v>465</v>
      </c>
      <c r="CS1037" s="15" t="s">
        <v>1014</v>
      </c>
      <c r="CT1037" s="15" t="s">
        <v>2046</v>
      </c>
      <c r="CU1037" s="15" t="s">
        <v>2652</v>
      </c>
      <c r="CV1037" s="15" t="s">
        <v>3098</v>
      </c>
      <c r="CW1037" s="15" t="s">
        <v>10091</v>
      </c>
      <c r="CX1037" s="15" t="s">
        <v>3927</v>
      </c>
      <c r="DC1037" s="15" t="str">
        <f>IFERROR(__xludf.DUMMYFUNCTION("""COMPUTED_VALUE"""),"")</f>
        <v/>
      </c>
      <c r="DE1037" s="15" t="str">
        <f>IFERROR(__xludf.DUMMYFUNCTION("""COMPUTED_VALUE"""),"")</f>
        <v/>
      </c>
      <c r="DG1037" s="15" t="str">
        <f>IFERROR(__xludf.DUMMYFUNCTION("""COMPUTED_VALUE"""),"")</f>
        <v/>
      </c>
      <c r="DL1037" s="15" t="str">
        <f>IFERROR(__xludf.DUMMYFUNCTION("""COMPUTED_VALUE"""),"")</f>
        <v/>
      </c>
      <c r="DM1037" s="15" t="s">
        <v>444</v>
      </c>
      <c r="DN1037" s="15" t="s">
        <v>2600</v>
      </c>
      <c r="DO1037" s="15">
        <v>2.0</v>
      </c>
      <c r="DP1037" s="15" t="s">
        <v>2604</v>
      </c>
      <c r="DR1037" s="15">
        <v>3.0</v>
      </c>
      <c r="DS1037" s="15" t="s">
        <v>426</v>
      </c>
      <c r="DT1037" s="15" t="s">
        <v>764</v>
      </c>
      <c r="DU1037" s="15" t="s">
        <v>421</v>
      </c>
      <c r="DW1037" s="15">
        <v>18.14</v>
      </c>
      <c r="DX1037" s="15">
        <v>40.0</v>
      </c>
      <c r="DY1037" s="15">
        <v>0.0</v>
      </c>
      <c r="EF1037" s="15" t="s">
        <v>1906</v>
      </c>
      <c r="EG1037" s="15" t="s">
        <v>1907</v>
      </c>
      <c r="EH1037" s="15" t="s">
        <v>10015</v>
      </c>
      <c r="EK1037" s="15" t="s">
        <v>444</v>
      </c>
      <c r="EM1037" s="15" t="str">
        <f>IFERROR(__xludf.DUMMYFUNCTION("""COMPUTED_VALUE"""),"")</f>
        <v/>
      </c>
      <c r="EW1037" s="15" t="s">
        <v>2050</v>
      </c>
      <c r="FL1037" s="15" t="s">
        <v>426</v>
      </c>
      <c r="FM1037" s="15">
        <v>4.0</v>
      </c>
      <c r="GH1037" s="15">
        <v>0.0</v>
      </c>
      <c r="GI1037" s="15" t="s">
        <v>427</v>
      </c>
      <c r="GQ1037" s="15" t="s">
        <v>788</v>
      </c>
      <c r="GS1037" s="15" t="s">
        <v>1955</v>
      </c>
      <c r="GU1037" s="15" t="s">
        <v>2500</v>
      </c>
      <c r="GW1037" s="15" t="s">
        <v>2604</v>
      </c>
      <c r="GY1037" s="15" t="s">
        <v>764</v>
      </c>
      <c r="GZ1037" s="15" t="s">
        <v>426</v>
      </c>
      <c r="HA1037" s="15" t="s">
        <v>3098</v>
      </c>
      <c r="HB1037" s="15" t="s">
        <v>2598</v>
      </c>
      <c r="HC1037" s="15" t="s">
        <v>3927</v>
      </c>
      <c r="HQ1037" s="15" t="s">
        <v>3098</v>
      </c>
      <c r="HS1037" s="15" t="s">
        <v>862</v>
      </c>
      <c r="HU1037" s="15" t="s">
        <v>3927</v>
      </c>
    </row>
    <row r="1038" ht="15.75" customHeight="1">
      <c r="A1038" s="14" t="s">
        <v>391</v>
      </c>
      <c r="B1038" s="15" t="s">
        <v>10084</v>
      </c>
      <c r="C1038" s="16"/>
      <c r="D1038" s="15" t="s">
        <v>432</v>
      </c>
      <c r="G1038" s="14" t="s">
        <v>393</v>
      </c>
      <c r="H1038" s="14" t="s">
        <v>394</v>
      </c>
      <c r="I1038" s="14" t="b">
        <v>1</v>
      </c>
      <c r="J1038" s="14" t="s">
        <v>395</v>
      </c>
      <c r="L1038" s="14" t="b">
        <v>0</v>
      </c>
      <c r="M1038" s="15" t="s">
        <v>10096</v>
      </c>
      <c r="N1038" s="14" t="s">
        <v>393</v>
      </c>
      <c r="O1038" s="14" t="s">
        <v>393</v>
      </c>
      <c r="P1038" s="15" t="s">
        <v>397</v>
      </c>
      <c r="Q1038" s="15" t="s">
        <v>10017</v>
      </c>
      <c r="T1038" s="14" t="b">
        <v>0</v>
      </c>
      <c r="U1038" s="15" t="s">
        <v>10097</v>
      </c>
      <c r="V1038" s="15" t="s">
        <v>2414</v>
      </c>
      <c r="W1038" s="15" t="s">
        <v>401</v>
      </c>
      <c r="X1038" s="15" t="s">
        <v>402</v>
      </c>
      <c r="Y1038" s="15">
        <v>1313.0</v>
      </c>
      <c r="AA1038" s="15" t="str">
        <f t="shared" si="1783"/>
        <v>505</v>
      </c>
      <c r="AB1038" s="14" t="b">
        <v>1</v>
      </c>
      <c r="AC1038" s="14" t="b">
        <v>1</v>
      </c>
      <c r="AD1038" s="15" t="str">
        <f>"801542507329"</f>
        <v>801542507329</v>
      </c>
      <c r="AE1038" s="15" t="s">
        <v>10098</v>
      </c>
      <c r="AF1038" s="14" t="s">
        <v>404</v>
      </c>
      <c r="AG1038" s="14" t="s">
        <v>405</v>
      </c>
      <c r="AH1038" s="14" t="s">
        <v>406</v>
      </c>
      <c r="AI1038" s="15">
        <v>0.0</v>
      </c>
      <c r="AL1038" s="15" t="s">
        <v>10088</v>
      </c>
      <c r="AM1038" s="15" t="s">
        <v>1177</v>
      </c>
      <c r="AN1038" s="15" t="s">
        <v>1178</v>
      </c>
      <c r="AO1038" s="15" t="s">
        <v>1007</v>
      </c>
      <c r="AP1038" s="15" t="s">
        <v>1008</v>
      </c>
      <c r="AQ1038" s="15" t="s">
        <v>2355</v>
      </c>
      <c r="AR1038" s="15" t="s">
        <v>2356</v>
      </c>
      <c r="AS1038" s="15" t="s">
        <v>4463</v>
      </c>
      <c r="AT1038" s="15" t="s">
        <v>10089</v>
      </c>
      <c r="AU1038" s="15" t="s">
        <v>5928</v>
      </c>
      <c r="AV1038" s="15" t="s">
        <v>10017</v>
      </c>
      <c r="AW1038" s="15" t="s">
        <v>1899</v>
      </c>
      <c r="AY1038" s="15" t="s">
        <v>413</v>
      </c>
      <c r="AZ1038" s="15" t="b">
        <v>0</v>
      </c>
      <c r="BA1038" s="15" t="s">
        <v>413</v>
      </c>
      <c r="BB1038" s="15" t="b">
        <v>0</v>
      </c>
      <c r="BC1038" s="15" t="s">
        <v>10099</v>
      </c>
      <c r="BD1038" s="15" t="s">
        <v>415</v>
      </c>
      <c r="BE1038" s="15" t="str">
        <f t="shared" si="1784"/>
        <v>1</v>
      </c>
      <c r="BF1038" s="15" t="s">
        <v>416</v>
      </c>
      <c r="BG1038" s="15" t="str">
        <f t="shared" si="1785"/>
        <v>27.56</v>
      </c>
      <c r="BH1038" s="15" t="s">
        <v>1780</v>
      </c>
      <c r="BI1038" s="15" t="str">
        <f t="shared" si="1786"/>
        <v>20.08</v>
      </c>
      <c r="BJ1038" s="15" t="s">
        <v>4825</v>
      </c>
      <c r="BK1038" s="15" t="str">
        <f t="shared" si="1787"/>
        <v>82.68</v>
      </c>
      <c r="BL1038" s="15" t="s">
        <v>6076</v>
      </c>
      <c r="BM1038" s="15" t="str">
        <f t="shared" si="1788"/>
        <v>99.21</v>
      </c>
      <c r="BN1038" s="15" t="s">
        <v>1507</v>
      </c>
      <c r="BQ1038" s="15" t="s">
        <v>444</v>
      </c>
      <c r="BS1038" s="15" t="s">
        <v>444</v>
      </c>
      <c r="BU1038" s="15" t="s">
        <v>444</v>
      </c>
      <c r="BW1038" s="15" t="s">
        <v>444</v>
      </c>
      <c r="BZ1038" s="15" t="s">
        <v>444</v>
      </c>
      <c r="CB1038" s="15" t="s">
        <v>444</v>
      </c>
      <c r="CD1038" s="15" t="s">
        <v>444</v>
      </c>
      <c r="CF1038" s="15" t="s">
        <v>444</v>
      </c>
      <c r="CI1038" s="15" t="s">
        <v>444</v>
      </c>
      <c r="CK1038" s="15" t="s">
        <v>444</v>
      </c>
      <c r="CM1038" s="15" t="s">
        <v>444</v>
      </c>
      <c r="CO1038" s="15" t="s">
        <v>444</v>
      </c>
      <c r="CP1038" s="15" t="str">
        <f t="shared" si="1789"/>
        <v>26.49</v>
      </c>
      <c r="CQ1038" s="15" t="str">
        <f t="shared" si="1790"/>
        <v>0.75</v>
      </c>
      <c r="CR1038" s="15" t="s">
        <v>497</v>
      </c>
      <c r="CS1038" s="15" t="s">
        <v>1014</v>
      </c>
      <c r="CT1038" s="15" t="s">
        <v>2046</v>
      </c>
      <c r="CU1038" s="15" t="s">
        <v>2652</v>
      </c>
      <c r="CV1038" s="15" t="s">
        <v>3098</v>
      </c>
      <c r="CW1038" s="15" t="s">
        <v>10091</v>
      </c>
      <c r="CX1038" s="15" t="s">
        <v>3927</v>
      </c>
      <c r="DC1038" s="15" t="str">
        <f>IFERROR(__xludf.DUMMYFUNCTION("""COMPUTED_VALUE"""),"")</f>
        <v/>
      </c>
      <c r="DE1038" s="15" t="str">
        <f>IFERROR(__xludf.DUMMYFUNCTION("""COMPUTED_VALUE"""),"")</f>
        <v/>
      </c>
      <c r="DG1038" s="15" t="str">
        <f>IFERROR(__xludf.DUMMYFUNCTION("""COMPUTED_VALUE"""),"")</f>
        <v/>
      </c>
      <c r="DL1038" s="15" t="str">
        <f>IFERROR(__xludf.DUMMYFUNCTION("""COMPUTED_VALUE"""),"")</f>
        <v/>
      </c>
      <c r="DM1038" s="15" t="s">
        <v>444</v>
      </c>
      <c r="DN1038" s="15" t="s">
        <v>2600</v>
      </c>
      <c r="DO1038" s="15">
        <v>2.0</v>
      </c>
      <c r="DP1038" s="15" t="s">
        <v>2604</v>
      </c>
      <c r="DR1038" s="15">
        <v>3.0</v>
      </c>
      <c r="DS1038" s="15" t="s">
        <v>426</v>
      </c>
      <c r="DT1038" s="15" t="s">
        <v>764</v>
      </c>
      <c r="DU1038" s="15" t="s">
        <v>421</v>
      </c>
      <c r="DW1038" s="15">
        <v>18.14</v>
      </c>
      <c r="DX1038" s="15">
        <v>40.0</v>
      </c>
      <c r="DY1038" s="15">
        <v>0.0</v>
      </c>
      <c r="EF1038" s="15" t="s">
        <v>1906</v>
      </c>
      <c r="EG1038" s="15" t="s">
        <v>1907</v>
      </c>
      <c r="EH1038" s="15" t="s">
        <v>10015</v>
      </c>
      <c r="EK1038" s="15" t="s">
        <v>444</v>
      </c>
      <c r="EM1038" s="15" t="str">
        <f>IFERROR(__xludf.DUMMYFUNCTION("""COMPUTED_VALUE"""),"")</f>
        <v/>
      </c>
      <c r="EW1038" s="15" t="s">
        <v>2050</v>
      </c>
      <c r="FL1038" s="15" t="s">
        <v>426</v>
      </c>
      <c r="FM1038" s="15">
        <v>4.0</v>
      </c>
      <c r="GH1038" s="15">
        <v>0.0</v>
      </c>
      <c r="GI1038" s="15" t="s">
        <v>427</v>
      </c>
      <c r="GQ1038" s="15" t="s">
        <v>788</v>
      </c>
      <c r="GS1038" s="15" t="s">
        <v>1955</v>
      </c>
      <c r="GU1038" s="15" t="s">
        <v>2500</v>
      </c>
      <c r="GW1038" s="15" t="s">
        <v>2604</v>
      </c>
      <c r="GY1038" s="15" t="s">
        <v>764</v>
      </c>
      <c r="GZ1038" s="15" t="s">
        <v>426</v>
      </c>
      <c r="HA1038" s="15" t="s">
        <v>3098</v>
      </c>
      <c r="HB1038" s="15" t="s">
        <v>2598</v>
      </c>
      <c r="HC1038" s="15" t="s">
        <v>3927</v>
      </c>
      <c r="HQ1038" s="15" t="s">
        <v>3098</v>
      </c>
      <c r="HS1038" s="15" t="s">
        <v>862</v>
      </c>
      <c r="HU1038" s="15" t="s">
        <v>3927</v>
      </c>
    </row>
    <row r="1039" ht="15.75" customHeight="1">
      <c r="A1039" s="14" t="s">
        <v>391</v>
      </c>
      <c r="B1039" s="15" t="s">
        <v>10100</v>
      </c>
      <c r="C1039" s="16"/>
      <c r="D1039" s="15" t="s">
        <v>432</v>
      </c>
      <c r="G1039" s="14" t="s">
        <v>393</v>
      </c>
      <c r="H1039" s="14" t="s">
        <v>394</v>
      </c>
      <c r="I1039" s="14" t="b">
        <v>1</v>
      </c>
      <c r="J1039" s="14" t="s">
        <v>395</v>
      </c>
      <c r="L1039" s="14" t="b">
        <v>0</v>
      </c>
      <c r="M1039" s="15" t="s">
        <v>10101</v>
      </c>
      <c r="N1039" s="14" t="s">
        <v>393</v>
      </c>
      <c r="O1039" s="14" t="s">
        <v>393</v>
      </c>
      <c r="P1039" s="15" t="s">
        <v>397</v>
      </c>
      <c r="Q1039" s="15" t="s">
        <v>10010</v>
      </c>
      <c r="T1039" s="14" t="b">
        <v>0</v>
      </c>
      <c r="U1039" s="15" t="s">
        <v>10102</v>
      </c>
      <c r="V1039" s="15" t="s">
        <v>3108</v>
      </c>
      <c r="W1039" s="15" t="s">
        <v>401</v>
      </c>
      <c r="X1039" s="15" t="s">
        <v>402</v>
      </c>
      <c r="Y1039" s="15">
        <v>1092.0</v>
      </c>
      <c r="AA1039" s="15" t="str">
        <f t="shared" ref="AA1039:AA1041" si="1791">"420"</f>
        <v>420</v>
      </c>
      <c r="AB1039" s="14" t="b">
        <v>1</v>
      </c>
      <c r="AC1039" s="14" t="b">
        <v>1</v>
      </c>
      <c r="AD1039" s="15" t="str">
        <f>"801542622671"</f>
        <v>801542622671</v>
      </c>
      <c r="AE1039" s="15" t="s">
        <v>10103</v>
      </c>
      <c r="AF1039" s="14" t="s">
        <v>404</v>
      </c>
      <c r="AG1039" s="14" t="s">
        <v>405</v>
      </c>
      <c r="AH1039" s="14" t="s">
        <v>406</v>
      </c>
      <c r="AI1039" s="15">
        <v>0.0</v>
      </c>
      <c r="AL1039" s="15" t="s">
        <v>10088</v>
      </c>
      <c r="AM1039" s="15" t="s">
        <v>487</v>
      </c>
      <c r="AN1039" s="15" t="s">
        <v>488</v>
      </c>
      <c r="AO1039" s="15" t="s">
        <v>489</v>
      </c>
      <c r="AP1039" s="15" t="s">
        <v>490</v>
      </c>
      <c r="AQ1039" s="15" t="s">
        <v>546</v>
      </c>
      <c r="AR1039" s="15" t="s">
        <v>547</v>
      </c>
      <c r="AS1039" s="15" t="s">
        <v>4463</v>
      </c>
      <c r="AT1039" s="15" t="s">
        <v>10089</v>
      </c>
      <c r="AU1039" s="15" t="s">
        <v>10013</v>
      </c>
      <c r="AV1039" s="15" t="s">
        <v>10010</v>
      </c>
      <c r="AW1039" s="15" t="s">
        <v>519</v>
      </c>
      <c r="AY1039" s="15" t="s">
        <v>413</v>
      </c>
      <c r="AZ1039" s="15" t="b">
        <v>0</v>
      </c>
      <c r="BA1039" s="15" t="s">
        <v>413</v>
      </c>
      <c r="BB1039" s="15" t="b">
        <v>0</v>
      </c>
      <c r="BC1039" s="15" t="s">
        <v>10104</v>
      </c>
      <c r="BD1039" s="15" t="s">
        <v>415</v>
      </c>
      <c r="BE1039" s="15" t="str">
        <f t="shared" si="1784"/>
        <v>1</v>
      </c>
      <c r="BF1039" s="15" t="s">
        <v>416</v>
      </c>
      <c r="BG1039" s="15" t="str">
        <f t="shared" ref="BG1039:BG1041" si="1792">"59.84"</f>
        <v>59.84</v>
      </c>
      <c r="BH1039" s="15" t="s">
        <v>4804</v>
      </c>
      <c r="BI1039" s="15" t="str">
        <f t="shared" ref="BI1039:BI1041" si="1793">"19.29"</f>
        <v>19.29</v>
      </c>
      <c r="BJ1039" s="15" t="s">
        <v>566</v>
      </c>
      <c r="BK1039" s="15" t="str">
        <f t="shared" ref="BK1039:BK1044" si="1794">"33.27"</f>
        <v>33.27</v>
      </c>
      <c r="BL1039" s="15" t="s">
        <v>3223</v>
      </c>
      <c r="BM1039" s="15" t="str">
        <f t="shared" ref="BM1039:BM1041" si="1795">"78.26"</f>
        <v>78.26</v>
      </c>
      <c r="BN1039" s="15" t="s">
        <v>10105</v>
      </c>
      <c r="BQ1039" s="15" t="s">
        <v>444</v>
      </c>
      <c r="BS1039" s="15" t="s">
        <v>444</v>
      </c>
      <c r="BU1039" s="15" t="s">
        <v>444</v>
      </c>
      <c r="BW1039" s="15" t="s">
        <v>444</v>
      </c>
      <c r="BZ1039" s="15" t="s">
        <v>444</v>
      </c>
      <c r="CB1039" s="15" t="s">
        <v>444</v>
      </c>
      <c r="CD1039" s="15" t="s">
        <v>444</v>
      </c>
      <c r="CF1039" s="15" t="s">
        <v>444</v>
      </c>
      <c r="CI1039" s="15" t="s">
        <v>444</v>
      </c>
      <c r="CK1039" s="15" t="s">
        <v>444</v>
      </c>
      <c r="CM1039" s="15" t="s">
        <v>444</v>
      </c>
      <c r="CO1039" s="15" t="s">
        <v>444</v>
      </c>
      <c r="CP1039" s="15" t="str">
        <f t="shared" ref="CP1039:CP1041" si="1796">"22.21"</f>
        <v>22.21</v>
      </c>
      <c r="CQ1039" s="15" t="str">
        <f t="shared" ref="CQ1039:CQ1041" si="1797">"0.629"</f>
        <v>0.629</v>
      </c>
      <c r="CR1039" s="15" t="s">
        <v>417</v>
      </c>
      <c r="CV1039" s="15" t="s">
        <v>3781</v>
      </c>
      <c r="CW1039" s="15" t="s">
        <v>4375</v>
      </c>
      <c r="CX1039" s="15" t="s">
        <v>4180</v>
      </c>
      <c r="DC1039" s="15" t="str">
        <f>IFERROR(__xludf.DUMMYFUNCTION("""COMPUTED_VALUE"""),"")</f>
        <v/>
      </c>
      <c r="DE1039" s="15" t="str">
        <f>IFERROR(__xludf.DUMMYFUNCTION("""COMPUTED_VALUE"""),"")</f>
        <v/>
      </c>
      <c r="DG1039" s="15" t="str">
        <f>IFERROR(__xludf.DUMMYFUNCTION("""COMPUTED_VALUE"""),"")</f>
        <v/>
      </c>
      <c r="DL1039" s="15" t="str">
        <f>IFERROR(__xludf.DUMMYFUNCTION("""COMPUTED_VALUE"""),"")</f>
        <v/>
      </c>
      <c r="DM1039" s="15" t="s">
        <v>444</v>
      </c>
      <c r="DN1039" s="15" t="s">
        <v>2600</v>
      </c>
      <c r="DO1039" s="15">
        <v>2.0</v>
      </c>
      <c r="DP1039" s="15" t="s">
        <v>2604</v>
      </c>
      <c r="DR1039" s="15">
        <v>0.0</v>
      </c>
      <c r="DT1039" s="15" t="s">
        <v>764</v>
      </c>
      <c r="DU1039" s="15" t="s">
        <v>421</v>
      </c>
      <c r="DY1039" s="15">
        <v>0.0</v>
      </c>
      <c r="EF1039" s="15" t="s">
        <v>471</v>
      </c>
      <c r="EG1039" s="15" t="s">
        <v>472</v>
      </c>
      <c r="EH1039" s="15" t="s">
        <v>10015</v>
      </c>
      <c r="EJ1039" s="15" t="s">
        <v>500</v>
      </c>
      <c r="EK1039" s="15" t="s">
        <v>501</v>
      </c>
      <c r="EM1039" s="15" t="str">
        <f>IFERROR(__xludf.DUMMYFUNCTION("""COMPUTED_VALUE"""),"")</f>
        <v/>
      </c>
      <c r="EW1039" s="15" t="s">
        <v>477</v>
      </c>
      <c r="EX1039" s="15" t="s">
        <v>1390</v>
      </c>
      <c r="EY1039" s="15" t="s">
        <v>10106</v>
      </c>
      <c r="FH1039" s="15" t="s">
        <v>504</v>
      </c>
      <c r="FI1039" s="15" t="s">
        <v>2220</v>
      </c>
      <c r="FJ1039" s="15" t="s">
        <v>2337</v>
      </c>
      <c r="FK1039" s="15" t="s">
        <v>2046</v>
      </c>
      <c r="FL1039" s="15" t="s">
        <v>426</v>
      </c>
      <c r="FM1039" s="15">
        <v>1.0</v>
      </c>
      <c r="FN1039" s="15">
        <v>0.0</v>
      </c>
      <c r="GH1039" s="15">
        <v>0.0</v>
      </c>
      <c r="GI1039" s="15" t="s">
        <v>427</v>
      </c>
      <c r="GQ1039" s="15" t="s">
        <v>1608</v>
      </c>
      <c r="GS1039" s="15" t="s">
        <v>2603</v>
      </c>
      <c r="GU1039" s="15" t="s">
        <v>10107</v>
      </c>
      <c r="GW1039" s="15" t="s">
        <v>2604</v>
      </c>
      <c r="GY1039" s="15" t="s">
        <v>764</v>
      </c>
      <c r="GZ1039" s="15" t="s">
        <v>426</v>
      </c>
    </row>
    <row r="1040" ht="15.75" customHeight="1">
      <c r="A1040" s="14" t="s">
        <v>391</v>
      </c>
      <c r="B1040" s="15" t="s">
        <v>10100</v>
      </c>
      <c r="C1040" s="16"/>
      <c r="D1040" s="15" t="s">
        <v>432</v>
      </c>
      <c r="G1040" s="14" t="s">
        <v>393</v>
      </c>
      <c r="H1040" s="14" t="s">
        <v>394</v>
      </c>
      <c r="I1040" s="14" t="b">
        <v>1</v>
      </c>
      <c r="J1040" s="14" t="s">
        <v>395</v>
      </c>
      <c r="L1040" s="14" t="b">
        <v>0</v>
      </c>
      <c r="M1040" s="15" t="s">
        <v>10108</v>
      </c>
      <c r="N1040" s="14" t="s">
        <v>393</v>
      </c>
      <c r="O1040" s="14" t="s">
        <v>393</v>
      </c>
      <c r="P1040" s="15" t="s">
        <v>397</v>
      </c>
      <c r="Q1040" s="15" t="s">
        <v>10017</v>
      </c>
      <c r="T1040" s="14" t="b">
        <v>0</v>
      </c>
      <c r="U1040" s="15" t="s">
        <v>10109</v>
      </c>
      <c r="V1040" s="15" t="s">
        <v>3108</v>
      </c>
      <c r="W1040" s="15" t="s">
        <v>401</v>
      </c>
      <c r="X1040" s="15" t="s">
        <v>402</v>
      </c>
      <c r="Y1040" s="15">
        <v>1092.0</v>
      </c>
      <c r="AA1040" s="15" t="str">
        <f t="shared" si="1791"/>
        <v>420</v>
      </c>
      <c r="AB1040" s="14" t="b">
        <v>1</v>
      </c>
      <c r="AC1040" s="14" t="b">
        <v>1</v>
      </c>
      <c r="AD1040" s="15" t="str">
        <f>"801542624224"</f>
        <v>801542624224</v>
      </c>
      <c r="AE1040" s="15" t="s">
        <v>10110</v>
      </c>
      <c r="AF1040" s="14" t="s">
        <v>404</v>
      </c>
      <c r="AG1040" s="14" t="s">
        <v>405</v>
      </c>
      <c r="AH1040" s="14" t="s">
        <v>406</v>
      </c>
      <c r="AI1040" s="15">
        <v>0.0</v>
      </c>
      <c r="AL1040" s="15" t="s">
        <v>10088</v>
      </c>
      <c r="AM1040" s="15" t="s">
        <v>487</v>
      </c>
      <c r="AN1040" s="15" t="s">
        <v>488</v>
      </c>
      <c r="AO1040" s="15" t="s">
        <v>489</v>
      </c>
      <c r="AP1040" s="15" t="s">
        <v>490</v>
      </c>
      <c r="AQ1040" s="15" t="s">
        <v>546</v>
      </c>
      <c r="AR1040" s="15" t="s">
        <v>547</v>
      </c>
      <c r="AS1040" s="15" t="s">
        <v>4463</v>
      </c>
      <c r="AT1040" s="15" t="s">
        <v>10089</v>
      </c>
      <c r="AU1040" s="15" t="s">
        <v>5928</v>
      </c>
      <c r="AV1040" s="15" t="s">
        <v>10017</v>
      </c>
      <c r="AW1040" s="15" t="s">
        <v>519</v>
      </c>
      <c r="AY1040" s="15" t="s">
        <v>413</v>
      </c>
      <c r="AZ1040" s="15" t="b">
        <v>0</v>
      </c>
      <c r="BA1040" s="15" t="s">
        <v>413</v>
      </c>
      <c r="BB1040" s="15" t="b">
        <v>0</v>
      </c>
      <c r="BC1040" s="15" t="s">
        <v>10111</v>
      </c>
      <c r="BD1040" s="15" t="s">
        <v>415</v>
      </c>
      <c r="BE1040" s="15" t="str">
        <f t="shared" si="1784"/>
        <v>1</v>
      </c>
      <c r="BF1040" s="15" t="s">
        <v>416</v>
      </c>
      <c r="BG1040" s="15" t="str">
        <f t="shared" si="1792"/>
        <v>59.84</v>
      </c>
      <c r="BH1040" s="15" t="s">
        <v>4804</v>
      </c>
      <c r="BI1040" s="15" t="str">
        <f t="shared" si="1793"/>
        <v>19.29</v>
      </c>
      <c r="BJ1040" s="15" t="s">
        <v>566</v>
      </c>
      <c r="BK1040" s="15" t="str">
        <f t="shared" si="1794"/>
        <v>33.27</v>
      </c>
      <c r="BL1040" s="15" t="s">
        <v>3223</v>
      </c>
      <c r="BM1040" s="15" t="str">
        <f t="shared" si="1795"/>
        <v>78.26</v>
      </c>
      <c r="BN1040" s="15" t="s">
        <v>10105</v>
      </c>
      <c r="BQ1040" s="15" t="s">
        <v>444</v>
      </c>
      <c r="BS1040" s="15" t="s">
        <v>444</v>
      </c>
      <c r="BU1040" s="15" t="s">
        <v>444</v>
      </c>
      <c r="BW1040" s="15" t="s">
        <v>444</v>
      </c>
      <c r="BZ1040" s="15" t="s">
        <v>444</v>
      </c>
      <c r="CB1040" s="15" t="s">
        <v>444</v>
      </c>
      <c r="CD1040" s="15" t="s">
        <v>444</v>
      </c>
      <c r="CF1040" s="15" t="s">
        <v>444</v>
      </c>
      <c r="CI1040" s="15" t="s">
        <v>444</v>
      </c>
      <c r="CK1040" s="15" t="s">
        <v>444</v>
      </c>
      <c r="CM1040" s="15" t="s">
        <v>444</v>
      </c>
      <c r="CO1040" s="15" t="s">
        <v>444</v>
      </c>
      <c r="CP1040" s="15" t="str">
        <f t="shared" si="1796"/>
        <v>22.21</v>
      </c>
      <c r="CQ1040" s="15" t="str">
        <f t="shared" si="1797"/>
        <v>0.629</v>
      </c>
      <c r="CR1040" s="15" t="s">
        <v>417</v>
      </c>
      <c r="CV1040" s="15" t="s">
        <v>3781</v>
      </c>
      <c r="CW1040" s="15" t="s">
        <v>4375</v>
      </c>
      <c r="CX1040" s="15" t="s">
        <v>4180</v>
      </c>
      <c r="DC1040" s="15" t="str">
        <f>IFERROR(__xludf.DUMMYFUNCTION("""COMPUTED_VALUE"""),"")</f>
        <v/>
      </c>
      <c r="DE1040" s="15" t="str">
        <f>IFERROR(__xludf.DUMMYFUNCTION("""COMPUTED_VALUE"""),"")</f>
        <v/>
      </c>
      <c r="DG1040" s="15" t="str">
        <f>IFERROR(__xludf.DUMMYFUNCTION("""COMPUTED_VALUE"""),"")</f>
        <v/>
      </c>
      <c r="DL1040" s="15" t="str">
        <f>IFERROR(__xludf.DUMMYFUNCTION("""COMPUTED_VALUE"""),"")</f>
        <v/>
      </c>
      <c r="DM1040" s="15" t="s">
        <v>444</v>
      </c>
      <c r="DN1040" s="15" t="s">
        <v>2600</v>
      </c>
      <c r="DO1040" s="15">
        <v>2.0</v>
      </c>
      <c r="DP1040" s="15" t="s">
        <v>2604</v>
      </c>
      <c r="DR1040" s="15">
        <v>0.0</v>
      </c>
      <c r="DT1040" s="15" t="s">
        <v>764</v>
      </c>
      <c r="DU1040" s="15" t="s">
        <v>421</v>
      </c>
      <c r="DY1040" s="15">
        <v>0.0</v>
      </c>
      <c r="EF1040" s="15" t="s">
        <v>471</v>
      </c>
      <c r="EG1040" s="15" t="s">
        <v>472</v>
      </c>
      <c r="EH1040" s="15" t="s">
        <v>10015</v>
      </c>
      <c r="EJ1040" s="15" t="s">
        <v>500</v>
      </c>
      <c r="EK1040" s="15" t="s">
        <v>501</v>
      </c>
      <c r="EM1040" s="15" t="str">
        <f>IFERROR(__xludf.DUMMYFUNCTION("""COMPUTED_VALUE"""),"")</f>
        <v/>
      </c>
      <c r="EW1040" s="15" t="s">
        <v>477</v>
      </c>
      <c r="EX1040" s="15" t="s">
        <v>1390</v>
      </c>
      <c r="EY1040" s="15" t="s">
        <v>10106</v>
      </c>
      <c r="FH1040" s="15" t="s">
        <v>504</v>
      </c>
      <c r="FI1040" s="15" t="s">
        <v>2220</v>
      </c>
      <c r="FJ1040" s="15" t="s">
        <v>2337</v>
      </c>
      <c r="FK1040" s="15" t="s">
        <v>2046</v>
      </c>
      <c r="FL1040" s="15" t="s">
        <v>426</v>
      </c>
      <c r="FM1040" s="15">
        <v>1.0</v>
      </c>
      <c r="FN1040" s="15">
        <v>0.0</v>
      </c>
      <c r="GH1040" s="15">
        <v>0.0</v>
      </c>
      <c r="GI1040" s="15" t="s">
        <v>427</v>
      </c>
      <c r="GQ1040" s="15" t="s">
        <v>1608</v>
      </c>
      <c r="GS1040" s="15" t="s">
        <v>2603</v>
      </c>
      <c r="GU1040" s="15" t="s">
        <v>10107</v>
      </c>
      <c r="GW1040" s="15" t="s">
        <v>2604</v>
      </c>
      <c r="GY1040" s="15" t="s">
        <v>764</v>
      </c>
      <c r="GZ1040" s="15" t="s">
        <v>426</v>
      </c>
    </row>
    <row r="1041" ht="15.75" customHeight="1">
      <c r="A1041" s="14" t="s">
        <v>391</v>
      </c>
      <c r="B1041" s="15" t="s">
        <v>10100</v>
      </c>
      <c r="C1041" s="16"/>
      <c r="D1041" s="15" t="s">
        <v>432</v>
      </c>
      <c r="G1041" s="14" t="s">
        <v>393</v>
      </c>
      <c r="H1041" s="14" t="s">
        <v>394</v>
      </c>
      <c r="I1041" s="14" t="b">
        <v>1</v>
      </c>
      <c r="J1041" s="14" t="s">
        <v>395</v>
      </c>
      <c r="L1041" s="14" t="b">
        <v>0</v>
      </c>
      <c r="M1041" s="15" t="s">
        <v>10112</v>
      </c>
      <c r="N1041" s="14" t="s">
        <v>393</v>
      </c>
      <c r="O1041" s="14" t="s">
        <v>393</v>
      </c>
      <c r="P1041" s="15" t="s">
        <v>397</v>
      </c>
      <c r="Q1041" s="15" t="s">
        <v>10022</v>
      </c>
      <c r="T1041" s="14" t="b">
        <v>0</v>
      </c>
      <c r="U1041" s="15" t="s">
        <v>10113</v>
      </c>
      <c r="V1041" s="15" t="s">
        <v>3108</v>
      </c>
      <c r="W1041" s="15" t="s">
        <v>401</v>
      </c>
      <c r="X1041" s="15" t="s">
        <v>402</v>
      </c>
      <c r="Y1041" s="15">
        <v>1092.0</v>
      </c>
      <c r="AA1041" s="15" t="str">
        <f t="shared" si="1791"/>
        <v>420</v>
      </c>
      <c r="AB1041" s="14" t="b">
        <v>1</v>
      </c>
      <c r="AC1041" s="14" t="b">
        <v>1</v>
      </c>
      <c r="AD1041" s="15" t="str">
        <f>"801542763367"</f>
        <v>801542763367</v>
      </c>
      <c r="AE1041" s="15" t="s">
        <v>10114</v>
      </c>
      <c r="AF1041" s="14" t="s">
        <v>404</v>
      </c>
      <c r="AG1041" s="14" t="s">
        <v>405</v>
      </c>
      <c r="AH1041" s="14" t="s">
        <v>406</v>
      </c>
      <c r="AI1041" s="15">
        <v>0.0</v>
      </c>
      <c r="AL1041" s="15" t="s">
        <v>10088</v>
      </c>
      <c r="AM1041" s="15" t="s">
        <v>487</v>
      </c>
      <c r="AN1041" s="15" t="s">
        <v>488</v>
      </c>
      <c r="AO1041" s="15" t="s">
        <v>489</v>
      </c>
      <c r="AP1041" s="15" t="s">
        <v>490</v>
      </c>
      <c r="AQ1041" s="15" t="s">
        <v>546</v>
      </c>
      <c r="AR1041" s="15" t="s">
        <v>547</v>
      </c>
      <c r="AS1041" s="15" t="s">
        <v>4463</v>
      </c>
      <c r="AT1041" s="15" t="s">
        <v>10089</v>
      </c>
      <c r="AU1041" s="15" t="s">
        <v>5928</v>
      </c>
      <c r="AV1041" s="15" t="s">
        <v>10022</v>
      </c>
      <c r="AW1041" s="15" t="s">
        <v>519</v>
      </c>
      <c r="AY1041" s="15" t="s">
        <v>413</v>
      </c>
      <c r="AZ1041" s="15" t="b">
        <v>0</v>
      </c>
      <c r="BA1041" s="15" t="s">
        <v>413</v>
      </c>
      <c r="BB1041" s="15" t="b">
        <v>0</v>
      </c>
      <c r="BC1041" s="15" t="s">
        <v>10115</v>
      </c>
      <c r="BD1041" s="15" t="s">
        <v>415</v>
      </c>
      <c r="BE1041" s="15" t="str">
        <f t="shared" si="1784"/>
        <v>1</v>
      </c>
      <c r="BF1041" s="15" t="s">
        <v>416</v>
      </c>
      <c r="BG1041" s="15" t="str">
        <f t="shared" si="1792"/>
        <v>59.84</v>
      </c>
      <c r="BH1041" s="15" t="s">
        <v>4804</v>
      </c>
      <c r="BI1041" s="15" t="str">
        <f t="shared" si="1793"/>
        <v>19.29</v>
      </c>
      <c r="BJ1041" s="15" t="s">
        <v>566</v>
      </c>
      <c r="BK1041" s="15" t="str">
        <f t="shared" si="1794"/>
        <v>33.27</v>
      </c>
      <c r="BL1041" s="15" t="s">
        <v>3223</v>
      </c>
      <c r="BM1041" s="15" t="str">
        <f t="shared" si="1795"/>
        <v>78.26</v>
      </c>
      <c r="BN1041" s="15" t="s">
        <v>10105</v>
      </c>
      <c r="BQ1041" s="15" t="s">
        <v>444</v>
      </c>
      <c r="BS1041" s="15" t="s">
        <v>444</v>
      </c>
      <c r="BU1041" s="15" t="s">
        <v>444</v>
      </c>
      <c r="BW1041" s="15" t="s">
        <v>444</v>
      </c>
      <c r="BZ1041" s="15" t="s">
        <v>444</v>
      </c>
      <c r="CB1041" s="15" t="s">
        <v>444</v>
      </c>
      <c r="CD1041" s="15" t="s">
        <v>444</v>
      </c>
      <c r="CF1041" s="15" t="s">
        <v>444</v>
      </c>
      <c r="CI1041" s="15" t="s">
        <v>444</v>
      </c>
      <c r="CK1041" s="15" t="s">
        <v>444</v>
      </c>
      <c r="CM1041" s="15" t="s">
        <v>444</v>
      </c>
      <c r="CO1041" s="15" t="s">
        <v>444</v>
      </c>
      <c r="CP1041" s="15" t="str">
        <f t="shared" si="1796"/>
        <v>22.21</v>
      </c>
      <c r="CQ1041" s="15" t="str">
        <f t="shared" si="1797"/>
        <v>0.629</v>
      </c>
      <c r="CR1041" s="15" t="s">
        <v>417</v>
      </c>
      <c r="CV1041" s="15" t="s">
        <v>3781</v>
      </c>
      <c r="CW1041" s="15" t="s">
        <v>4375</v>
      </c>
      <c r="CX1041" s="15" t="s">
        <v>4180</v>
      </c>
      <c r="DC1041" s="15" t="str">
        <f>IFERROR(__xludf.DUMMYFUNCTION("""COMPUTED_VALUE"""),"")</f>
        <v/>
      </c>
      <c r="DE1041" s="15" t="str">
        <f>IFERROR(__xludf.DUMMYFUNCTION("""COMPUTED_VALUE"""),"")</f>
        <v/>
      </c>
      <c r="DG1041" s="15" t="str">
        <f>IFERROR(__xludf.DUMMYFUNCTION("""COMPUTED_VALUE"""),"")</f>
        <v/>
      </c>
      <c r="DL1041" s="15" t="str">
        <f>IFERROR(__xludf.DUMMYFUNCTION("""COMPUTED_VALUE"""),"")</f>
        <v/>
      </c>
      <c r="DM1041" s="15" t="s">
        <v>444</v>
      </c>
      <c r="DN1041" s="15" t="s">
        <v>2600</v>
      </c>
      <c r="DO1041" s="15">
        <v>2.0</v>
      </c>
      <c r="DP1041" s="15" t="s">
        <v>2604</v>
      </c>
      <c r="DR1041" s="15">
        <v>0.0</v>
      </c>
      <c r="DT1041" s="15" t="s">
        <v>764</v>
      </c>
      <c r="DU1041" s="15" t="s">
        <v>421</v>
      </c>
      <c r="DY1041" s="15">
        <v>0.0</v>
      </c>
      <c r="EF1041" s="15" t="s">
        <v>471</v>
      </c>
      <c r="EG1041" s="15" t="s">
        <v>472</v>
      </c>
      <c r="EH1041" s="15" t="s">
        <v>10015</v>
      </c>
      <c r="EJ1041" s="15" t="s">
        <v>500</v>
      </c>
      <c r="EK1041" s="15" t="s">
        <v>501</v>
      </c>
      <c r="EM1041" s="15" t="str">
        <f>IFERROR(__xludf.DUMMYFUNCTION("""COMPUTED_VALUE"""),"")</f>
        <v/>
      </c>
      <c r="EW1041" s="15" t="s">
        <v>477</v>
      </c>
      <c r="EX1041" s="15" t="s">
        <v>1390</v>
      </c>
      <c r="EY1041" s="15" t="s">
        <v>10106</v>
      </c>
      <c r="FH1041" s="15" t="s">
        <v>504</v>
      </c>
      <c r="FI1041" s="15" t="s">
        <v>2220</v>
      </c>
      <c r="FJ1041" s="15" t="s">
        <v>2337</v>
      </c>
      <c r="FK1041" s="15" t="s">
        <v>2046</v>
      </c>
      <c r="FL1041" s="15" t="s">
        <v>426</v>
      </c>
      <c r="FM1041" s="15">
        <v>1.0</v>
      </c>
      <c r="FN1041" s="15">
        <v>0.0</v>
      </c>
      <c r="GH1041" s="15">
        <v>0.0</v>
      </c>
      <c r="GI1041" s="15" t="s">
        <v>427</v>
      </c>
      <c r="GQ1041" s="15" t="s">
        <v>1608</v>
      </c>
      <c r="GS1041" s="15" t="s">
        <v>2603</v>
      </c>
      <c r="GU1041" s="15" t="s">
        <v>10107</v>
      </c>
      <c r="GW1041" s="15" t="s">
        <v>2604</v>
      </c>
      <c r="GY1041" s="15" t="s">
        <v>764</v>
      </c>
      <c r="GZ1041" s="15" t="s">
        <v>426</v>
      </c>
    </row>
    <row r="1042" ht="15.75" customHeight="1">
      <c r="A1042" s="14" t="s">
        <v>391</v>
      </c>
      <c r="B1042" s="15" t="s">
        <v>10116</v>
      </c>
      <c r="C1042" s="16"/>
      <c r="D1042" s="15" t="s">
        <v>432</v>
      </c>
      <c r="G1042" s="14" t="s">
        <v>393</v>
      </c>
      <c r="H1042" s="14" t="s">
        <v>394</v>
      </c>
      <c r="I1042" s="14" t="b">
        <v>1</v>
      </c>
      <c r="J1042" s="14" t="s">
        <v>395</v>
      </c>
      <c r="L1042" s="14" t="b">
        <v>0</v>
      </c>
      <c r="M1042" s="15" t="s">
        <v>10117</v>
      </c>
      <c r="N1042" s="14" t="s">
        <v>393</v>
      </c>
      <c r="O1042" s="14" t="s">
        <v>393</v>
      </c>
      <c r="P1042" s="15" t="s">
        <v>397</v>
      </c>
      <c r="Q1042" s="15" t="s">
        <v>10010</v>
      </c>
      <c r="T1042" s="14" t="b">
        <v>0</v>
      </c>
      <c r="U1042" s="15" t="s">
        <v>10118</v>
      </c>
      <c r="V1042" s="15" t="s">
        <v>2330</v>
      </c>
      <c r="W1042" s="15" t="s">
        <v>401</v>
      </c>
      <c r="X1042" s="15" t="s">
        <v>402</v>
      </c>
      <c r="Y1042" s="15">
        <v>2080.0</v>
      </c>
      <c r="AA1042" s="15" t="str">
        <f t="shared" ref="AA1042:AA1044" si="1798">"800"</f>
        <v>800</v>
      </c>
      <c r="AB1042" s="14" t="b">
        <v>1</v>
      </c>
      <c r="AC1042" s="14" t="b">
        <v>1</v>
      </c>
      <c r="AD1042" s="15" t="str">
        <f>"801542618520"</f>
        <v>801542618520</v>
      </c>
      <c r="AE1042" s="15" t="s">
        <v>10119</v>
      </c>
      <c r="AF1042" s="14" t="s">
        <v>404</v>
      </c>
      <c r="AG1042" s="14" t="s">
        <v>405</v>
      </c>
      <c r="AH1042" s="14" t="s">
        <v>406</v>
      </c>
      <c r="AI1042" s="15">
        <v>0.0</v>
      </c>
      <c r="AL1042" s="15" t="s">
        <v>5927</v>
      </c>
      <c r="AM1042" s="15" t="s">
        <v>452</v>
      </c>
      <c r="AN1042" s="15" t="s">
        <v>453</v>
      </c>
      <c r="AO1042" s="15" t="s">
        <v>600</v>
      </c>
      <c r="AP1042" s="15" t="s">
        <v>601</v>
      </c>
      <c r="AQ1042" s="15" t="s">
        <v>546</v>
      </c>
      <c r="AR1042" s="15" t="s">
        <v>547</v>
      </c>
      <c r="AS1042" s="15" t="s">
        <v>4463</v>
      </c>
      <c r="AT1042" s="15" t="s">
        <v>10010</v>
      </c>
      <c r="AU1042" s="15" t="s">
        <v>10013</v>
      </c>
      <c r="AW1042" s="15" t="s">
        <v>2134</v>
      </c>
      <c r="AX1042" s="15" t="s">
        <v>2135</v>
      </c>
      <c r="AY1042" s="15" t="s">
        <v>413</v>
      </c>
      <c r="AZ1042" s="15" t="b">
        <v>0</v>
      </c>
      <c r="BA1042" s="15" t="s">
        <v>413</v>
      </c>
      <c r="BB1042" s="15" t="b">
        <v>0</v>
      </c>
      <c r="BC1042" s="15" t="s">
        <v>10120</v>
      </c>
      <c r="BD1042" s="15" t="s">
        <v>415</v>
      </c>
      <c r="BE1042" s="15" t="str">
        <f t="shared" si="1784"/>
        <v>1</v>
      </c>
      <c r="BF1042" s="15" t="s">
        <v>416</v>
      </c>
      <c r="BG1042" s="15" t="str">
        <f t="shared" ref="BG1042:BG1044" si="1799">"74.02"</f>
        <v>74.02</v>
      </c>
      <c r="BH1042" s="15" t="s">
        <v>3201</v>
      </c>
      <c r="BI1042" s="15" t="str">
        <f t="shared" ref="BI1042:BI1044" si="1800">"30.31"</f>
        <v>30.31</v>
      </c>
      <c r="BJ1042" s="15" t="s">
        <v>982</v>
      </c>
      <c r="BK1042" s="15" t="str">
        <f t="shared" si="1794"/>
        <v>33.27</v>
      </c>
      <c r="BL1042" s="15" t="s">
        <v>3223</v>
      </c>
      <c r="BM1042" s="15" t="str">
        <f t="shared" ref="BM1042:BM1044" si="1801">"181.88"</f>
        <v>181.88</v>
      </c>
      <c r="BN1042" s="15" t="s">
        <v>10121</v>
      </c>
      <c r="BQ1042" s="15" t="s">
        <v>444</v>
      </c>
      <c r="BS1042" s="15" t="s">
        <v>444</v>
      </c>
      <c r="BU1042" s="15" t="s">
        <v>444</v>
      </c>
      <c r="BW1042" s="15" t="s">
        <v>444</v>
      </c>
      <c r="BZ1042" s="15" t="s">
        <v>444</v>
      </c>
      <c r="CB1042" s="15" t="s">
        <v>444</v>
      </c>
      <c r="CD1042" s="15" t="s">
        <v>444</v>
      </c>
      <c r="CF1042" s="15" t="s">
        <v>444</v>
      </c>
      <c r="CI1042" s="15" t="s">
        <v>444</v>
      </c>
      <c r="CK1042" s="15" t="s">
        <v>444</v>
      </c>
      <c r="CM1042" s="15" t="s">
        <v>444</v>
      </c>
      <c r="CO1042" s="15" t="s">
        <v>444</v>
      </c>
      <c r="CP1042" s="15" t="str">
        <f t="shared" ref="CP1042:CP1044" si="1802">"43.19"</f>
        <v>43.19</v>
      </c>
      <c r="CQ1042" s="15" t="str">
        <f t="shared" ref="CQ1042:CQ1044" si="1803">"1.223"</f>
        <v>1.223</v>
      </c>
      <c r="CR1042" s="15" t="s">
        <v>497</v>
      </c>
      <c r="CS1042" s="15" t="s">
        <v>7556</v>
      </c>
      <c r="CT1042" s="15" t="s">
        <v>2046</v>
      </c>
      <c r="CU1042" s="15" t="s">
        <v>779</v>
      </c>
      <c r="CV1042" s="15" t="s">
        <v>6397</v>
      </c>
      <c r="CW1042" s="15" t="s">
        <v>6039</v>
      </c>
      <c r="CX1042" s="15" t="s">
        <v>779</v>
      </c>
      <c r="DC1042" s="15" t="str">
        <f>IFERROR(__xludf.DUMMYFUNCTION("""COMPUTED_VALUE"""),"")</f>
        <v/>
      </c>
      <c r="DE1042" s="15" t="str">
        <f>IFERROR(__xludf.DUMMYFUNCTION("""COMPUTED_VALUE"""),"")</f>
        <v/>
      </c>
      <c r="DG1042" s="15" t="str">
        <f>IFERROR(__xludf.DUMMYFUNCTION("""COMPUTED_VALUE"""),"")</f>
        <v/>
      </c>
      <c r="DL1042" s="15" t="str">
        <f>IFERROR(__xludf.DUMMYFUNCTION("""COMPUTED_VALUE"""),"")</f>
        <v/>
      </c>
      <c r="DM1042" s="15" t="s">
        <v>444</v>
      </c>
      <c r="DN1042" s="15" t="s">
        <v>2600</v>
      </c>
      <c r="DO1042" s="15">
        <v>4.0</v>
      </c>
      <c r="DP1042" s="15" t="s">
        <v>2604</v>
      </c>
      <c r="DR1042" s="15">
        <v>2.0</v>
      </c>
      <c r="DS1042" s="15" t="s">
        <v>426</v>
      </c>
      <c r="DT1042" s="15" t="s">
        <v>764</v>
      </c>
      <c r="DU1042" s="15" t="s">
        <v>610</v>
      </c>
      <c r="DY1042" s="15">
        <v>1.0</v>
      </c>
      <c r="EF1042" s="15" t="s">
        <v>2137</v>
      </c>
      <c r="EG1042" s="15" t="s">
        <v>2138</v>
      </c>
      <c r="EH1042" s="15" t="s">
        <v>10015</v>
      </c>
      <c r="EJ1042" s="15" t="s">
        <v>500</v>
      </c>
      <c r="EK1042" s="15" t="s">
        <v>501</v>
      </c>
      <c r="EM1042" s="15" t="str">
        <f>IFERROR(__xludf.DUMMYFUNCTION("""COMPUTED_VALUE"""),"")</f>
        <v/>
      </c>
      <c r="EW1042" s="15" t="s">
        <v>9479</v>
      </c>
      <c r="EX1042" s="15" t="s">
        <v>798</v>
      </c>
      <c r="EY1042" s="15" t="s">
        <v>4988</v>
      </c>
      <c r="FH1042" s="15" t="s">
        <v>3858</v>
      </c>
      <c r="FI1042" s="15" t="s">
        <v>1132</v>
      </c>
      <c r="FJ1042" s="15" t="s">
        <v>468</v>
      </c>
      <c r="FK1042" s="15" t="s">
        <v>2046</v>
      </c>
      <c r="FL1042" s="15" t="s">
        <v>426</v>
      </c>
      <c r="FM1042" s="15">
        <v>5.0</v>
      </c>
      <c r="FV1042" s="15" t="s">
        <v>2647</v>
      </c>
      <c r="FY1042" s="15" t="s">
        <v>6039</v>
      </c>
      <c r="FZ1042" s="15" t="s">
        <v>2046</v>
      </c>
      <c r="GA1042" s="15" t="s">
        <v>779</v>
      </c>
      <c r="GB1042" s="15" t="s">
        <v>6397</v>
      </c>
      <c r="GC1042" s="15" t="s">
        <v>2046</v>
      </c>
      <c r="GD1042" s="15" t="s">
        <v>779</v>
      </c>
      <c r="GF1042" s="15" t="s">
        <v>426</v>
      </c>
      <c r="GG1042" s="15" t="s">
        <v>785</v>
      </c>
      <c r="GH1042" s="15">
        <v>1.0</v>
      </c>
      <c r="GI1042" s="15" t="s">
        <v>614</v>
      </c>
      <c r="GJ1042" s="15" t="s">
        <v>615</v>
      </c>
      <c r="GL1042" s="15" t="s">
        <v>426</v>
      </c>
      <c r="GN1042" s="15" t="s">
        <v>616</v>
      </c>
      <c r="GQ1042" s="15" t="s">
        <v>2179</v>
      </c>
      <c r="GR1042" s="15" t="s">
        <v>2179</v>
      </c>
      <c r="GS1042" s="15" t="s">
        <v>1444</v>
      </c>
      <c r="GT1042" s="15" t="s">
        <v>8883</v>
      </c>
      <c r="GU1042" s="15" t="s">
        <v>2652</v>
      </c>
      <c r="GV1042" s="15" t="s">
        <v>823</v>
      </c>
      <c r="GW1042" s="15" t="s">
        <v>2604</v>
      </c>
      <c r="GY1042" s="15" t="s">
        <v>764</v>
      </c>
      <c r="GZ1042" s="15" t="s">
        <v>426</v>
      </c>
      <c r="HA1042" s="15" t="s">
        <v>7556</v>
      </c>
      <c r="HB1042" s="15" t="s">
        <v>10122</v>
      </c>
      <c r="HC1042" s="15" t="s">
        <v>779</v>
      </c>
      <c r="HD1042" s="15">
        <v>1.0</v>
      </c>
      <c r="HQ1042" s="15" t="s">
        <v>7556</v>
      </c>
      <c r="HR1042" s="15" t="s">
        <v>7556</v>
      </c>
      <c r="HS1042" s="15" t="s">
        <v>10122</v>
      </c>
      <c r="HT1042" s="15" t="s">
        <v>10122</v>
      </c>
      <c r="HU1042" s="15" t="s">
        <v>779</v>
      </c>
      <c r="HV1042" s="15" t="s">
        <v>779</v>
      </c>
      <c r="HX1042" s="15" t="s">
        <v>2179</v>
      </c>
      <c r="HZ1042" s="15" t="s">
        <v>1548</v>
      </c>
      <c r="IB1042" s="15" t="s">
        <v>823</v>
      </c>
      <c r="IG1042" s="15" t="s">
        <v>426</v>
      </c>
      <c r="KX1042" s="15" t="s">
        <v>7556</v>
      </c>
      <c r="KY1042" s="15" t="s">
        <v>10122</v>
      </c>
      <c r="KZ1042" s="15" t="s">
        <v>779</v>
      </c>
    </row>
    <row r="1043" ht="15.75" customHeight="1">
      <c r="A1043" s="14" t="s">
        <v>391</v>
      </c>
      <c r="B1043" s="15" t="s">
        <v>10116</v>
      </c>
      <c r="C1043" s="16"/>
      <c r="D1043" s="15" t="s">
        <v>432</v>
      </c>
      <c r="G1043" s="14" t="s">
        <v>393</v>
      </c>
      <c r="H1043" s="14" t="s">
        <v>394</v>
      </c>
      <c r="I1043" s="14" t="b">
        <v>1</v>
      </c>
      <c r="J1043" s="14" t="s">
        <v>395</v>
      </c>
      <c r="L1043" s="14" t="b">
        <v>0</v>
      </c>
      <c r="M1043" s="15" t="s">
        <v>10123</v>
      </c>
      <c r="N1043" s="14" t="s">
        <v>393</v>
      </c>
      <c r="O1043" s="14" t="s">
        <v>393</v>
      </c>
      <c r="P1043" s="15" t="s">
        <v>397</v>
      </c>
      <c r="Q1043" s="15" t="s">
        <v>10017</v>
      </c>
      <c r="T1043" s="14" t="b">
        <v>0</v>
      </c>
      <c r="U1043" s="15" t="s">
        <v>10124</v>
      </c>
      <c r="V1043" s="15" t="s">
        <v>2330</v>
      </c>
      <c r="W1043" s="15" t="s">
        <v>401</v>
      </c>
      <c r="X1043" s="15" t="s">
        <v>402</v>
      </c>
      <c r="Y1043" s="15">
        <v>2080.0</v>
      </c>
      <c r="AA1043" s="15" t="str">
        <f t="shared" si="1798"/>
        <v>800</v>
      </c>
      <c r="AB1043" s="14" t="b">
        <v>1</v>
      </c>
      <c r="AC1043" s="14" t="b">
        <v>1</v>
      </c>
      <c r="AD1043" s="15" t="str">
        <f>"801542618537"</f>
        <v>801542618537</v>
      </c>
      <c r="AE1043" s="15" t="s">
        <v>10125</v>
      </c>
      <c r="AF1043" s="14" t="s">
        <v>404</v>
      </c>
      <c r="AG1043" s="14" t="s">
        <v>405</v>
      </c>
      <c r="AH1043" s="14" t="s">
        <v>406</v>
      </c>
      <c r="AI1043" s="15">
        <v>0.0</v>
      </c>
      <c r="AL1043" s="15" t="s">
        <v>5927</v>
      </c>
      <c r="AM1043" s="15" t="s">
        <v>452</v>
      </c>
      <c r="AN1043" s="15" t="s">
        <v>453</v>
      </c>
      <c r="AO1043" s="15" t="s">
        <v>600</v>
      </c>
      <c r="AP1043" s="15" t="s">
        <v>601</v>
      </c>
      <c r="AQ1043" s="15" t="s">
        <v>546</v>
      </c>
      <c r="AR1043" s="15" t="s">
        <v>547</v>
      </c>
      <c r="AS1043" s="15" t="s">
        <v>4463</v>
      </c>
      <c r="AT1043" s="15" t="s">
        <v>10017</v>
      </c>
      <c r="AU1043" s="15" t="s">
        <v>5928</v>
      </c>
      <c r="AW1043" s="15" t="s">
        <v>2134</v>
      </c>
      <c r="AX1043" s="15" t="s">
        <v>2135</v>
      </c>
      <c r="AY1043" s="15" t="s">
        <v>413</v>
      </c>
      <c r="AZ1043" s="15" t="b">
        <v>0</v>
      </c>
      <c r="BA1043" s="15" t="s">
        <v>413</v>
      </c>
      <c r="BB1043" s="15" t="b">
        <v>0</v>
      </c>
      <c r="BC1043" s="15" t="s">
        <v>10126</v>
      </c>
      <c r="BD1043" s="15" t="s">
        <v>415</v>
      </c>
      <c r="BE1043" s="15" t="str">
        <f t="shared" si="1784"/>
        <v>1</v>
      </c>
      <c r="BF1043" s="15" t="s">
        <v>416</v>
      </c>
      <c r="BG1043" s="15" t="str">
        <f t="shared" si="1799"/>
        <v>74.02</v>
      </c>
      <c r="BH1043" s="15" t="s">
        <v>3201</v>
      </c>
      <c r="BI1043" s="15" t="str">
        <f t="shared" si="1800"/>
        <v>30.31</v>
      </c>
      <c r="BJ1043" s="15" t="s">
        <v>982</v>
      </c>
      <c r="BK1043" s="15" t="str">
        <f t="shared" si="1794"/>
        <v>33.27</v>
      </c>
      <c r="BL1043" s="15" t="s">
        <v>3223</v>
      </c>
      <c r="BM1043" s="15" t="str">
        <f t="shared" si="1801"/>
        <v>181.88</v>
      </c>
      <c r="BN1043" s="15" t="s">
        <v>10121</v>
      </c>
      <c r="BQ1043" s="15" t="s">
        <v>444</v>
      </c>
      <c r="BS1043" s="15" t="s">
        <v>444</v>
      </c>
      <c r="BU1043" s="15" t="s">
        <v>444</v>
      </c>
      <c r="BW1043" s="15" t="s">
        <v>444</v>
      </c>
      <c r="BZ1043" s="15" t="s">
        <v>444</v>
      </c>
      <c r="CB1043" s="15" t="s">
        <v>444</v>
      </c>
      <c r="CD1043" s="15" t="s">
        <v>444</v>
      </c>
      <c r="CF1043" s="15" t="s">
        <v>444</v>
      </c>
      <c r="CI1043" s="15" t="s">
        <v>444</v>
      </c>
      <c r="CK1043" s="15" t="s">
        <v>444</v>
      </c>
      <c r="CM1043" s="15" t="s">
        <v>444</v>
      </c>
      <c r="CO1043" s="15" t="s">
        <v>444</v>
      </c>
      <c r="CP1043" s="15" t="str">
        <f t="shared" si="1802"/>
        <v>43.19</v>
      </c>
      <c r="CQ1043" s="15" t="str">
        <f t="shared" si="1803"/>
        <v>1.223</v>
      </c>
      <c r="CR1043" s="15" t="s">
        <v>497</v>
      </c>
      <c r="CS1043" s="15" t="s">
        <v>7556</v>
      </c>
      <c r="CT1043" s="15" t="s">
        <v>2046</v>
      </c>
      <c r="CU1043" s="15" t="s">
        <v>779</v>
      </c>
      <c r="CV1043" s="15" t="s">
        <v>6397</v>
      </c>
      <c r="CW1043" s="15" t="s">
        <v>6039</v>
      </c>
      <c r="CX1043" s="15" t="s">
        <v>779</v>
      </c>
      <c r="DC1043" s="15" t="str">
        <f>IFERROR(__xludf.DUMMYFUNCTION("""COMPUTED_VALUE"""),"")</f>
        <v/>
      </c>
      <c r="DE1043" s="15" t="str">
        <f>IFERROR(__xludf.DUMMYFUNCTION("""COMPUTED_VALUE"""),"")</f>
        <v/>
      </c>
      <c r="DG1043" s="15" t="str">
        <f>IFERROR(__xludf.DUMMYFUNCTION("""COMPUTED_VALUE"""),"")</f>
        <v/>
      </c>
      <c r="DL1043" s="15" t="str">
        <f>IFERROR(__xludf.DUMMYFUNCTION("""COMPUTED_VALUE"""),"")</f>
        <v/>
      </c>
      <c r="DM1043" s="15" t="s">
        <v>444</v>
      </c>
      <c r="DN1043" s="15" t="s">
        <v>2600</v>
      </c>
      <c r="DO1043" s="15">
        <v>4.0</v>
      </c>
      <c r="DP1043" s="15" t="s">
        <v>2604</v>
      </c>
      <c r="DR1043" s="15">
        <v>2.0</v>
      </c>
      <c r="DS1043" s="15" t="s">
        <v>426</v>
      </c>
      <c r="DT1043" s="15" t="s">
        <v>764</v>
      </c>
      <c r="DU1043" s="15" t="s">
        <v>610</v>
      </c>
      <c r="DY1043" s="15">
        <v>1.0</v>
      </c>
      <c r="EF1043" s="15" t="s">
        <v>2137</v>
      </c>
      <c r="EG1043" s="15" t="s">
        <v>2138</v>
      </c>
      <c r="EH1043" s="15" t="s">
        <v>10015</v>
      </c>
      <c r="EJ1043" s="15" t="s">
        <v>500</v>
      </c>
      <c r="EK1043" s="15" t="s">
        <v>501</v>
      </c>
      <c r="EM1043" s="15" t="str">
        <f>IFERROR(__xludf.DUMMYFUNCTION("""COMPUTED_VALUE"""),"")</f>
        <v/>
      </c>
      <c r="EW1043" s="15" t="s">
        <v>9479</v>
      </c>
      <c r="EX1043" s="15" t="s">
        <v>798</v>
      </c>
      <c r="EY1043" s="15" t="s">
        <v>4988</v>
      </c>
      <c r="FH1043" s="15" t="s">
        <v>3858</v>
      </c>
      <c r="FI1043" s="15" t="s">
        <v>1132</v>
      </c>
      <c r="FJ1043" s="15" t="s">
        <v>468</v>
      </c>
      <c r="FK1043" s="15" t="s">
        <v>2046</v>
      </c>
      <c r="FL1043" s="15" t="s">
        <v>426</v>
      </c>
      <c r="FM1043" s="15">
        <v>5.0</v>
      </c>
      <c r="FV1043" s="15" t="s">
        <v>2647</v>
      </c>
      <c r="FY1043" s="15" t="s">
        <v>6039</v>
      </c>
      <c r="FZ1043" s="15" t="s">
        <v>2046</v>
      </c>
      <c r="GA1043" s="15" t="s">
        <v>779</v>
      </c>
      <c r="GB1043" s="15" t="s">
        <v>6397</v>
      </c>
      <c r="GC1043" s="15" t="s">
        <v>2046</v>
      </c>
      <c r="GD1043" s="15" t="s">
        <v>779</v>
      </c>
      <c r="GF1043" s="15" t="s">
        <v>426</v>
      </c>
      <c r="GG1043" s="15" t="s">
        <v>785</v>
      </c>
      <c r="GH1043" s="15">
        <v>1.0</v>
      </c>
      <c r="GI1043" s="15" t="s">
        <v>614</v>
      </c>
      <c r="GJ1043" s="15" t="s">
        <v>615</v>
      </c>
      <c r="GL1043" s="15" t="s">
        <v>426</v>
      </c>
      <c r="GN1043" s="15" t="s">
        <v>616</v>
      </c>
      <c r="GQ1043" s="15" t="s">
        <v>2179</v>
      </c>
      <c r="GR1043" s="15" t="s">
        <v>2179</v>
      </c>
      <c r="GS1043" s="15" t="s">
        <v>1444</v>
      </c>
      <c r="GT1043" s="15" t="s">
        <v>8883</v>
      </c>
      <c r="GU1043" s="15" t="s">
        <v>2652</v>
      </c>
      <c r="GV1043" s="15" t="s">
        <v>823</v>
      </c>
      <c r="GW1043" s="15" t="s">
        <v>2604</v>
      </c>
      <c r="GY1043" s="15" t="s">
        <v>764</v>
      </c>
      <c r="GZ1043" s="15" t="s">
        <v>426</v>
      </c>
      <c r="HA1043" s="15" t="s">
        <v>7556</v>
      </c>
      <c r="HB1043" s="15" t="s">
        <v>10122</v>
      </c>
      <c r="HC1043" s="15" t="s">
        <v>779</v>
      </c>
      <c r="HD1043" s="15">
        <v>1.0</v>
      </c>
      <c r="HQ1043" s="15" t="s">
        <v>7556</v>
      </c>
      <c r="HR1043" s="15" t="s">
        <v>7556</v>
      </c>
      <c r="HS1043" s="15" t="s">
        <v>10122</v>
      </c>
      <c r="HT1043" s="15" t="s">
        <v>10122</v>
      </c>
      <c r="HU1043" s="15" t="s">
        <v>779</v>
      </c>
      <c r="HV1043" s="15" t="s">
        <v>779</v>
      </c>
      <c r="HX1043" s="15" t="s">
        <v>2179</v>
      </c>
      <c r="HZ1043" s="15" t="s">
        <v>1548</v>
      </c>
      <c r="IB1043" s="15" t="s">
        <v>823</v>
      </c>
      <c r="IG1043" s="15" t="s">
        <v>426</v>
      </c>
      <c r="KX1043" s="15" t="s">
        <v>7556</v>
      </c>
      <c r="KY1043" s="15" t="s">
        <v>10122</v>
      </c>
      <c r="KZ1043" s="15" t="s">
        <v>779</v>
      </c>
    </row>
    <row r="1044" ht="15.75" customHeight="1">
      <c r="A1044" s="14" t="s">
        <v>391</v>
      </c>
      <c r="B1044" s="15" t="s">
        <v>10116</v>
      </c>
      <c r="C1044" s="16"/>
      <c r="D1044" s="15" t="s">
        <v>432</v>
      </c>
      <c r="G1044" s="14" t="s">
        <v>393</v>
      </c>
      <c r="H1044" s="14" t="s">
        <v>394</v>
      </c>
      <c r="I1044" s="14" t="b">
        <v>1</v>
      </c>
      <c r="J1044" s="14" t="s">
        <v>395</v>
      </c>
      <c r="L1044" s="14" t="b">
        <v>0</v>
      </c>
      <c r="M1044" s="15" t="s">
        <v>10127</v>
      </c>
      <c r="N1044" s="14" t="s">
        <v>393</v>
      </c>
      <c r="O1044" s="14" t="s">
        <v>393</v>
      </c>
      <c r="P1044" s="15" t="s">
        <v>397</v>
      </c>
      <c r="Q1044" s="15" t="s">
        <v>10022</v>
      </c>
      <c r="T1044" s="14" t="b">
        <v>0</v>
      </c>
      <c r="U1044" s="15" t="s">
        <v>10128</v>
      </c>
      <c r="V1044" s="15" t="s">
        <v>2330</v>
      </c>
      <c r="W1044" s="15" t="s">
        <v>401</v>
      </c>
      <c r="X1044" s="15" t="s">
        <v>402</v>
      </c>
      <c r="Y1044" s="15">
        <v>2080.0</v>
      </c>
      <c r="AA1044" s="15" t="str">
        <f t="shared" si="1798"/>
        <v>800</v>
      </c>
      <c r="AB1044" s="14" t="b">
        <v>1</v>
      </c>
      <c r="AC1044" s="14" t="b">
        <v>1</v>
      </c>
      <c r="AD1044" s="15" t="str">
        <f>"801542769512"</f>
        <v>801542769512</v>
      </c>
      <c r="AE1044" s="15" t="s">
        <v>10129</v>
      </c>
      <c r="AF1044" s="14" t="s">
        <v>404</v>
      </c>
      <c r="AG1044" s="14" t="s">
        <v>405</v>
      </c>
      <c r="AH1044" s="14" t="s">
        <v>406</v>
      </c>
      <c r="AI1044" s="15">
        <v>0.0</v>
      </c>
      <c r="AL1044" s="15" t="s">
        <v>5927</v>
      </c>
      <c r="AM1044" s="15" t="s">
        <v>452</v>
      </c>
      <c r="AN1044" s="15" t="s">
        <v>453</v>
      </c>
      <c r="AO1044" s="15" t="s">
        <v>600</v>
      </c>
      <c r="AP1044" s="15" t="s">
        <v>601</v>
      </c>
      <c r="AQ1044" s="15" t="s">
        <v>546</v>
      </c>
      <c r="AR1044" s="15" t="s">
        <v>547</v>
      </c>
      <c r="AS1044" s="15" t="s">
        <v>4463</v>
      </c>
      <c r="AT1044" s="15" t="s">
        <v>10022</v>
      </c>
      <c r="AU1044" s="15" t="s">
        <v>5928</v>
      </c>
      <c r="AW1044" s="15" t="s">
        <v>2134</v>
      </c>
      <c r="AX1044" s="15" t="s">
        <v>2135</v>
      </c>
      <c r="AY1044" s="15" t="s">
        <v>413</v>
      </c>
      <c r="AZ1044" s="15" t="b">
        <v>0</v>
      </c>
      <c r="BA1044" s="15" t="s">
        <v>413</v>
      </c>
      <c r="BB1044" s="15" t="b">
        <v>0</v>
      </c>
      <c r="BC1044" s="15" t="s">
        <v>10130</v>
      </c>
      <c r="BD1044" s="15" t="s">
        <v>415</v>
      </c>
      <c r="BE1044" s="15" t="str">
        <f t="shared" si="1784"/>
        <v>1</v>
      </c>
      <c r="BF1044" s="15" t="s">
        <v>416</v>
      </c>
      <c r="BG1044" s="15" t="str">
        <f t="shared" si="1799"/>
        <v>74.02</v>
      </c>
      <c r="BH1044" s="15" t="s">
        <v>3201</v>
      </c>
      <c r="BI1044" s="15" t="str">
        <f t="shared" si="1800"/>
        <v>30.31</v>
      </c>
      <c r="BJ1044" s="15" t="s">
        <v>982</v>
      </c>
      <c r="BK1044" s="15" t="str">
        <f t="shared" si="1794"/>
        <v>33.27</v>
      </c>
      <c r="BL1044" s="15" t="s">
        <v>3223</v>
      </c>
      <c r="BM1044" s="15" t="str">
        <f t="shared" si="1801"/>
        <v>181.88</v>
      </c>
      <c r="BN1044" s="15" t="s">
        <v>10121</v>
      </c>
      <c r="BQ1044" s="15" t="s">
        <v>444</v>
      </c>
      <c r="BS1044" s="15" t="s">
        <v>444</v>
      </c>
      <c r="BU1044" s="15" t="s">
        <v>444</v>
      </c>
      <c r="BW1044" s="15" t="s">
        <v>444</v>
      </c>
      <c r="BZ1044" s="15" t="s">
        <v>444</v>
      </c>
      <c r="CB1044" s="15" t="s">
        <v>444</v>
      </c>
      <c r="CD1044" s="15" t="s">
        <v>444</v>
      </c>
      <c r="CF1044" s="15" t="s">
        <v>444</v>
      </c>
      <c r="CI1044" s="15" t="s">
        <v>444</v>
      </c>
      <c r="CK1044" s="15" t="s">
        <v>444</v>
      </c>
      <c r="CM1044" s="15" t="s">
        <v>444</v>
      </c>
      <c r="CO1044" s="15" t="s">
        <v>444</v>
      </c>
      <c r="CP1044" s="15" t="str">
        <f t="shared" si="1802"/>
        <v>43.19</v>
      </c>
      <c r="CQ1044" s="15" t="str">
        <f t="shared" si="1803"/>
        <v>1.223</v>
      </c>
      <c r="CR1044" s="15" t="s">
        <v>497</v>
      </c>
      <c r="CS1044" s="15" t="s">
        <v>7556</v>
      </c>
      <c r="CT1044" s="15" t="s">
        <v>2046</v>
      </c>
      <c r="CU1044" s="15" t="s">
        <v>779</v>
      </c>
      <c r="CV1044" s="15" t="s">
        <v>6397</v>
      </c>
      <c r="CW1044" s="15" t="s">
        <v>6039</v>
      </c>
      <c r="CX1044" s="15" t="s">
        <v>779</v>
      </c>
      <c r="DC1044" s="15" t="str">
        <f>IFERROR(__xludf.DUMMYFUNCTION("""COMPUTED_VALUE"""),"")</f>
        <v/>
      </c>
      <c r="DE1044" s="15" t="str">
        <f>IFERROR(__xludf.DUMMYFUNCTION("""COMPUTED_VALUE"""),"")</f>
        <v/>
      </c>
      <c r="DG1044" s="15" t="str">
        <f>IFERROR(__xludf.DUMMYFUNCTION("""COMPUTED_VALUE"""),"")</f>
        <v/>
      </c>
      <c r="DL1044" s="15" t="str">
        <f>IFERROR(__xludf.DUMMYFUNCTION("""COMPUTED_VALUE"""),"")</f>
        <v/>
      </c>
      <c r="DM1044" s="15" t="s">
        <v>444</v>
      </c>
      <c r="DN1044" s="15" t="s">
        <v>2600</v>
      </c>
      <c r="DO1044" s="15">
        <v>4.0</v>
      </c>
      <c r="DP1044" s="15" t="s">
        <v>2604</v>
      </c>
      <c r="DR1044" s="15">
        <v>2.0</v>
      </c>
      <c r="DS1044" s="15" t="s">
        <v>426</v>
      </c>
      <c r="DT1044" s="15" t="s">
        <v>764</v>
      </c>
      <c r="DU1044" s="15" t="s">
        <v>610</v>
      </c>
      <c r="DY1044" s="15">
        <v>1.0</v>
      </c>
      <c r="EF1044" s="15" t="s">
        <v>2137</v>
      </c>
      <c r="EG1044" s="15" t="s">
        <v>2138</v>
      </c>
      <c r="EH1044" s="15" t="s">
        <v>10015</v>
      </c>
      <c r="EJ1044" s="15" t="s">
        <v>500</v>
      </c>
      <c r="EK1044" s="15" t="s">
        <v>501</v>
      </c>
      <c r="EM1044" s="15" t="str">
        <f>IFERROR(__xludf.DUMMYFUNCTION("""COMPUTED_VALUE"""),"")</f>
        <v/>
      </c>
      <c r="EW1044" s="15" t="s">
        <v>9479</v>
      </c>
      <c r="EX1044" s="15" t="s">
        <v>798</v>
      </c>
      <c r="EY1044" s="15" t="s">
        <v>4988</v>
      </c>
      <c r="FH1044" s="15" t="s">
        <v>3858</v>
      </c>
      <c r="FI1044" s="15" t="s">
        <v>1132</v>
      </c>
      <c r="FJ1044" s="15" t="s">
        <v>468</v>
      </c>
      <c r="FK1044" s="15" t="s">
        <v>2046</v>
      </c>
      <c r="FL1044" s="15" t="s">
        <v>426</v>
      </c>
      <c r="FM1044" s="15">
        <v>5.0</v>
      </c>
      <c r="FV1044" s="15" t="s">
        <v>2647</v>
      </c>
      <c r="FY1044" s="15" t="s">
        <v>6039</v>
      </c>
      <c r="FZ1044" s="15" t="s">
        <v>2046</v>
      </c>
      <c r="GA1044" s="15" t="s">
        <v>779</v>
      </c>
      <c r="GB1044" s="15" t="s">
        <v>6397</v>
      </c>
      <c r="GC1044" s="15" t="s">
        <v>2046</v>
      </c>
      <c r="GD1044" s="15" t="s">
        <v>779</v>
      </c>
      <c r="GF1044" s="15" t="s">
        <v>426</v>
      </c>
      <c r="GG1044" s="15" t="s">
        <v>785</v>
      </c>
      <c r="GH1044" s="15">
        <v>1.0</v>
      </c>
      <c r="GI1044" s="15" t="s">
        <v>614</v>
      </c>
      <c r="GJ1044" s="15" t="s">
        <v>615</v>
      </c>
      <c r="GL1044" s="15" t="s">
        <v>426</v>
      </c>
      <c r="GN1044" s="15" t="s">
        <v>616</v>
      </c>
      <c r="GQ1044" s="15" t="s">
        <v>2179</v>
      </c>
      <c r="GR1044" s="15" t="s">
        <v>2179</v>
      </c>
      <c r="GS1044" s="15" t="s">
        <v>1444</v>
      </c>
      <c r="GT1044" s="15" t="s">
        <v>8883</v>
      </c>
      <c r="GU1044" s="15" t="s">
        <v>2652</v>
      </c>
      <c r="GV1044" s="15" t="s">
        <v>823</v>
      </c>
      <c r="GW1044" s="15" t="s">
        <v>2604</v>
      </c>
      <c r="GY1044" s="15" t="s">
        <v>764</v>
      </c>
      <c r="GZ1044" s="15" t="s">
        <v>426</v>
      </c>
      <c r="HA1044" s="15" t="s">
        <v>7556</v>
      </c>
      <c r="HB1044" s="15" t="s">
        <v>10122</v>
      </c>
      <c r="HC1044" s="15" t="s">
        <v>779</v>
      </c>
      <c r="HD1044" s="15">
        <v>1.0</v>
      </c>
      <c r="HQ1044" s="15" t="s">
        <v>7556</v>
      </c>
      <c r="HR1044" s="15" t="s">
        <v>7556</v>
      </c>
      <c r="HS1044" s="15" t="s">
        <v>10122</v>
      </c>
      <c r="HT1044" s="15" t="s">
        <v>10122</v>
      </c>
      <c r="HU1044" s="15" t="s">
        <v>779</v>
      </c>
      <c r="HV1044" s="15" t="s">
        <v>779</v>
      </c>
      <c r="HX1044" s="15" t="s">
        <v>2179</v>
      </c>
      <c r="HZ1044" s="15" t="s">
        <v>1548</v>
      </c>
      <c r="IB1044" s="15" t="s">
        <v>823</v>
      </c>
      <c r="IG1044" s="15" t="s">
        <v>426</v>
      </c>
      <c r="KX1044" s="15" t="s">
        <v>7556</v>
      </c>
      <c r="KY1044" s="15" t="s">
        <v>10122</v>
      </c>
      <c r="KZ1044" s="15" t="s">
        <v>779</v>
      </c>
    </row>
    <row r="1045" ht="15.75" customHeight="1">
      <c r="A1045" s="14" t="s">
        <v>391</v>
      </c>
      <c r="B1045" s="15" t="s">
        <v>10131</v>
      </c>
      <c r="C1045" s="16"/>
      <c r="D1045" s="15" t="s">
        <v>432</v>
      </c>
      <c r="G1045" s="14" t="s">
        <v>393</v>
      </c>
      <c r="H1045" s="14" t="s">
        <v>394</v>
      </c>
      <c r="I1045" s="14" t="b">
        <v>1</v>
      </c>
      <c r="J1045" s="14" t="s">
        <v>395</v>
      </c>
      <c r="L1045" s="14" t="b">
        <v>0</v>
      </c>
      <c r="M1045" s="15" t="s">
        <v>10132</v>
      </c>
      <c r="N1045" s="14" t="s">
        <v>393</v>
      </c>
      <c r="O1045" s="14" t="s">
        <v>393</v>
      </c>
      <c r="P1045" s="15" t="s">
        <v>397</v>
      </c>
      <c r="Q1045" s="15" t="s">
        <v>10010</v>
      </c>
      <c r="T1045" s="14" t="b">
        <v>0</v>
      </c>
      <c r="U1045" s="15" t="s">
        <v>10133</v>
      </c>
      <c r="V1045" s="15" t="s">
        <v>1521</v>
      </c>
      <c r="W1045" s="15" t="s">
        <v>401</v>
      </c>
      <c r="X1045" s="15" t="s">
        <v>402</v>
      </c>
      <c r="Y1045" s="15">
        <v>1209.0</v>
      </c>
      <c r="AA1045" s="15" t="str">
        <f t="shared" ref="AA1045:AA1047" si="1804">"465"</f>
        <v>465</v>
      </c>
      <c r="AB1045" s="14" t="b">
        <v>1</v>
      </c>
      <c r="AC1045" s="14" t="b">
        <v>1</v>
      </c>
      <c r="AD1045" s="15" t="str">
        <f>"801542941659"</f>
        <v>801542941659</v>
      </c>
      <c r="AE1045" s="15" t="s">
        <v>10134</v>
      </c>
      <c r="AF1045" s="14" t="s">
        <v>404</v>
      </c>
      <c r="AG1045" s="14" t="s">
        <v>405</v>
      </c>
      <c r="AH1045" s="14" t="s">
        <v>406</v>
      </c>
      <c r="AI1045" s="15">
        <v>0.0</v>
      </c>
      <c r="AL1045" s="15" t="s">
        <v>5927</v>
      </c>
      <c r="AM1045" s="15" t="s">
        <v>622</v>
      </c>
      <c r="AN1045" s="15" t="s">
        <v>623</v>
      </c>
      <c r="AO1045" s="15" t="s">
        <v>1007</v>
      </c>
      <c r="AP1045" s="15" t="s">
        <v>1008</v>
      </c>
      <c r="AQ1045" s="15" t="s">
        <v>1175</v>
      </c>
      <c r="AR1045" s="15" t="s">
        <v>1176</v>
      </c>
      <c r="AS1045" s="15" t="s">
        <v>4463</v>
      </c>
      <c r="AT1045" s="15" t="s">
        <v>10010</v>
      </c>
      <c r="AU1045" s="15" t="s">
        <v>10013</v>
      </c>
      <c r="AW1045" s="15" t="s">
        <v>628</v>
      </c>
      <c r="AY1045" s="15" t="s">
        <v>413</v>
      </c>
      <c r="AZ1045" s="15" t="b">
        <v>0</v>
      </c>
      <c r="BA1045" s="15" t="s">
        <v>413</v>
      </c>
      <c r="BB1045" s="15" t="b">
        <v>0</v>
      </c>
      <c r="BC1045" s="15" t="s">
        <v>10135</v>
      </c>
      <c r="BD1045" s="15" t="s">
        <v>415</v>
      </c>
      <c r="BE1045" s="15" t="str">
        <f t="shared" si="1784"/>
        <v>1</v>
      </c>
      <c r="BF1045" s="15" t="s">
        <v>416</v>
      </c>
      <c r="BG1045" s="15" t="str">
        <f t="shared" ref="BG1045:BG1047" si="1805">"40.94"</f>
        <v>40.94</v>
      </c>
      <c r="BH1045" s="15" t="s">
        <v>648</v>
      </c>
      <c r="BI1045" s="15" t="str">
        <f t="shared" ref="BI1045:BI1047" si="1806">"22.05"</f>
        <v>22.05</v>
      </c>
      <c r="BJ1045" s="15" t="s">
        <v>2310</v>
      </c>
      <c r="BK1045" s="15" t="str">
        <f t="shared" ref="BK1045:BK1047" si="1807">"30.98"</f>
        <v>30.98</v>
      </c>
      <c r="BL1045" s="15" t="s">
        <v>10136</v>
      </c>
      <c r="BM1045" s="15" t="str">
        <f t="shared" ref="BM1045:BM1047" si="1808">"92.59"</f>
        <v>92.59</v>
      </c>
      <c r="BN1045" s="15" t="s">
        <v>3348</v>
      </c>
      <c r="BQ1045" s="15" t="s">
        <v>444</v>
      </c>
      <c r="BS1045" s="15" t="s">
        <v>444</v>
      </c>
      <c r="BU1045" s="15" t="s">
        <v>444</v>
      </c>
      <c r="BW1045" s="15" t="s">
        <v>444</v>
      </c>
      <c r="BZ1045" s="15" t="s">
        <v>444</v>
      </c>
      <c r="CB1045" s="15" t="s">
        <v>444</v>
      </c>
      <c r="CD1045" s="15" t="s">
        <v>444</v>
      </c>
      <c r="CF1045" s="15" t="s">
        <v>444</v>
      </c>
      <c r="CI1045" s="15" t="s">
        <v>444</v>
      </c>
      <c r="CK1045" s="15" t="s">
        <v>444</v>
      </c>
      <c r="CM1045" s="15" t="s">
        <v>444</v>
      </c>
      <c r="CO1045" s="15" t="s">
        <v>444</v>
      </c>
      <c r="CP1045" s="15" t="str">
        <f t="shared" ref="CP1045:CP1047" si="1809">"16.17"</f>
        <v>16.17</v>
      </c>
      <c r="CQ1045" s="15" t="str">
        <f t="shared" ref="CQ1045:CQ1047" si="1810">"0.458"</f>
        <v>0.458</v>
      </c>
      <c r="CR1045" s="15" t="s">
        <v>465</v>
      </c>
      <c r="DC1045" s="15" t="str">
        <f>IFERROR(__xludf.DUMMYFUNCTION("""COMPUTED_VALUE"""),"")</f>
        <v/>
      </c>
      <c r="DE1045" s="15" t="str">
        <f>IFERROR(__xludf.DUMMYFUNCTION("""COMPUTED_VALUE"""),"")</f>
        <v/>
      </c>
      <c r="DG1045" s="15" t="str">
        <f>IFERROR(__xludf.DUMMYFUNCTION("""COMPUTED_VALUE"""),"")</f>
        <v/>
      </c>
      <c r="DL1045" s="15" t="str">
        <f>IFERROR(__xludf.DUMMYFUNCTION("""COMPUTED_VALUE"""),"")</f>
        <v/>
      </c>
      <c r="DM1045" s="15" t="s">
        <v>444</v>
      </c>
      <c r="DN1045" s="15" t="s">
        <v>2600</v>
      </c>
      <c r="DO1045" s="15">
        <v>3.0</v>
      </c>
      <c r="DP1045" s="15" t="s">
        <v>2604</v>
      </c>
      <c r="DR1045" s="15">
        <v>0.0</v>
      </c>
      <c r="DT1045" s="15" t="s">
        <v>764</v>
      </c>
      <c r="DU1045" s="15" t="s">
        <v>421</v>
      </c>
      <c r="DY1045" s="15">
        <v>0.0</v>
      </c>
      <c r="EF1045" s="15" t="s">
        <v>471</v>
      </c>
      <c r="EG1045" s="15" t="s">
        <v>472</v>
      </c>
      <c r="EH1045" s="15" t="s">
        <v>10015</v>
      </c>
      <c r="EJ1045" s="15" t="s">
        <v>500</v>
      </c>
      <c r="EK1045" s="15" t="s">
        <v>501</v>
      </c>
      <c r="EM1045" s="15" t="str">
        <f>IFERROR(__xludf.DUMMYFUNCTION("""COMPUTED_VALUE"""),"")</f>
        <v/>
      </c>
      <c r="EW1045" s="15" t="s">
        <v>8114</v>
      </c>
      <c r="FL1045" s="15" t="s">
        <v>426</v>
      </c>
      <c r="FM1045" s="15">
        <v>0.0</v>
      </c>
      <c r="GH1045" s="15">
        <v>0.0</v>
      </c>
      <c r="GI1045" s="15" t="s">
        <v>427</v>
      </c>
      <c r="GQ1045" s="15" t="s">
        <v>8348</v>
      </c>
      <c r="GR1045" s="15" t="s">
        <v>8348</v>
      </c>
      <c r="GS1045" s="15" t="s">
        <v>2505</v>
      </c>
      <c r="GT1045" s="15" t="s">
        <v>10137</v>
      </c>
      <c r="GU1045" s="15" t="s">
        <v>4550</v>
      </c>
      <c r="GV1045" s="15" t="s">
        <v>4550</v>
      </c>
      <c r="GW1045" s="15" t="s">
        <v>2604</v>
      </c>
      <c r="GY1045" s="15" t="s">
        <v>764</v>
      </c>
      <c r="GZ1045" s="15" t="s">
        <v>426</v>
      </c>
    </row>
    <row r="1046" ht="15.75" customHeight="1">
      <c r="A1046" s="14" t="s">
        <v>391</v>
      </c>
      <c r="B1046" s="15" t="s">
        <v>10131</v>
      </c>
      <c r="C1046" s="16"/>
      <c r="D1046" s="15" t="s">
        <v>432</v>
      </c>
      <c r="G1046" s="14" t="s">
        <v>393</v>
      </c>
      <c r="H1046" s="14" t="s">
        <v>394</v>
      </c>
      <c r="I1046" s="14" t="b">
        <v>1</v>
      </c>
      <c r="J1046" s="14" t="s">
        <v>395</v>
      </c>
      <c r="L1046" s="14" t="b">
        <v>0</v>
      </c>
      <c r="M1046" s="15" t="s">
        <v>10138</v>
      </c>
      <c r="N1046" s="14" t="s">
        <v>393</v>
      </c>
      <c r="O1046" s="14" t="s">
        <v>393</v>
      </c>
      <c r="P1046" s="15" t="s">
        <v>397</v>
      </c>
      <c r="Q1046" s="15" t="s">
        <v>10017</v>
      </c>
      <c r="T1046" s="14" t="b">
        <v>0</v>
      </c>
      <c r="U1046" s="15" t="s">
        <v>10139</v>
      </c>
      <c r="V1046" s="15" t="s">
        <v>1521</v>
      </c>
      <c r="W1046" s="15" t="s">
        <v>401</v>
      </c>
      <c r="X1046" s="15" t="s">
        <v>402</v>
      </c>
      <c r="Y1046" s="15">
        <v>1209.0</v>
      </c>
      <c r="AA1046" s="15" t="str">
        <f t="shared" si="1804"/>
        <v>465</v>
      </c>
      <c r="AB1046" s="14" t="b">
        <v>1</v>
      </c>
      <c r="AC1046" s="14" t="b">
        <v>1</v>
      </c>
      <c r="AD1046" s="15" t="str">
        <f>"801542941666"</f>
        <v>801542941666</v>
      </c>
      <c r="AE1046" s="15" t="s">
        <v>10140</v>
      </c>
      <c r="AF1046" s="14" t="s">
        <v>404</v>
      </c>
      <c r="AG1046" s="14" t="s">
        <v>405</v>
      </c>
      <c r="AH1046" s="14" t="s">
        <v>406</v>
      </c>
      <c r="AI1046" s="15">
        <v>0.0</v>
      </c>
      <c r="AL1046" s="15" t="s">
        <v>5927</v>
      </c>
      <c r="AM1046" s="15" t="s">
        <v>622</v>
      </c>
      <c r="AN1046" s="15" t="s">
        <v>623</v>
      </c>
      <c r="AO1046" s="15" t="s">
        <v>1007</v>
      </c>
      <c r="AP1046" s="15" t="s">
        <v>1008</v>
      </c>
      <c r="AQ1046" s="15" t="s">
        <v>1175</v>
      </c>
      <c r="AR1046" s="15" t="s">
        <v>1176</v>
      </c>
      <c r="AS1046" s="15" t="s">
        <v>4463</v>
      </c>
      <c r="AT1046" s="15" t="s">
        <v>10017</v>
      </c>
      <c r="AU1046" s="15" t="s">
        <v>5928</v>
      </c>
      <c r="AW1046" s="15" t="s">
        <v>628</v>
      </c>
      <c r="AY1046" s="15" t="s">
        <v>413</v>
      </c>
      <c r="AZ1046" s="15" t="b">
        <v>0</v>
      </c>
      <c r="BA1046" s="15" t="s">
        <v>413</v>
      </c>
      <c r="BB1046" s="15" t="b">
        <v>0</v>
      </c>
      <c r="BC1046" s="15" t="s">
        <v>10141</v>
      </c>
      <c r="BD1046" s="15" t="s">
        <v>415</v>
      </c>
      <c r="BE1046" s="15" t="str">
        <f t="shared" si="1784"/>
        <v>1</v>
      </c>
      <c r="BF1046" s="15" t="s">
        <v>416</v>
      </c>
      <c r="BG1046" s="15" t="str">
        <f t="shared" si="1805"/>
        <v>40.94</v>
      </c>
      <c r="BH1046" s="15" t="s">
        <v>648</v>
      </c>
      <c r="BI1046" s="15" t="str">
        <f t="shared" si="1806"/>
        <v>22.05</v>
      </c>
      <c r="BJ1046" s="15" t="s">
        <v>2310</v>
      </c>
      <c r="BK1046" s="15" t="str">
        <f t="shared" si="1807"/>
        <v>30.98</v>
      </c>
      <c r="BL1046" s="15" t="s">
        <v>10136</v>
      </c>
      <c r="BM1046" s="15" t="str">
        <f t="shared" si="1808"/>
        <v>92.59</v>
      </c>
      <c r="BN1046" s="15" t="s">
        <v>3348</v>
      </c>
      <c r="BQ1046" s="15" t="s">
        <v>444</v>
      </c>
      <c r="BS1046" s="15" t="s">
        <v>444</v>
      </c>
      <c r="BU1046" s="15" t="s">
        <v>444</v>
      </c>
      <c r="BW1046" s="15" t="s">
        <v>444</v>
      </c>
      <c r="BZ1046" s="15" t="s">
        <v>444</v>
      </c>
      <c r="CB1046" s="15" t="s">
        <v>444</v>
      </c>
      <c r="CD1046" s="15" t="s">
        <v>444</v>
      </c>
      <c r="CF1046" s="15" t="s">
        <v>444</v>
      </c>
      <c r="CI1046" s="15" t="s">
        <v>444</v>
      </c>
      <c r="CK1046" s="15" t="s">
        <v>444</v>
      </c>
      <c r="CM1046" s="15" t="s">
        <v>444</v>
      </c>
      <c r="CO1046" s="15" t="s">
        <v>444</v>
      </c>
      <c r="CP1046" s="15" t="str">
        <f t="shared" si="1809"/>
        <v>16.17</v>
      </c>
      <c r="CQ1046" s="15" t="str">
        <f t="shared" si="1810"/>
        <v>0.458</v>
      </c>
      <c r="CR1046" s="15" t="s">
        <v>465</v>
      </c>
      <c r="DC1046" s="15" t="str">
        <f>IFERROR(__xludf.DUMMYFUNCTION("""COMPUTED_VALUE"""),"")</f>
        <v/>
      </c>
      <c r="DE1046" s="15" t="str">
        <f>IFERROR(__xludf.DUMMYFUNCTION("""COMPUTED_VALUE"""),"")</f>
        <v/>
      </c>
      <c r="DG1046" s="15" t="str">
        <f>IFERROR(__xludf.DUMMYFUNCTION("""COMPUTED_VALUE"""),"")</f>
        <v/>
      </c>
      <c r="DL1046" s="15" t="str">
        <f>IFERROR(__xludf.DUMMYFUNCTION("""COMPUTED_VALUE"""),"")</f>
        <v/>
      </c>
      <c r="DM1046" s="15" t="s">
        <v>444</v>
      </c>
      <c r="DN1046" s="15" t="s">
        <v>2600</v>
      </c>
      <c r="DO1046" s="15">
        <v>3.0</v>
      </c>
      <c r="DP1046" s="15" t="s">
        <v>2604</v>
      </c>
      <c r="DR1046" s="15">
        <v>0.0</v>
      </c>
      <c r="DT1046" s="15" t="s">
        <v>764</v>
      </c>
      <c r="DU1046" s="15" t="s">
        <v>421</v>
      </c>
      <c r="DY1046" s="15">
        <v>0.0</v>
      </c>
      <c r="EF1046" s="15" t="s">
        <v>471</v>
      </c>
      <c r="EG1046" s="15" t="s">
        <v>472</v>
      </c>
      <c r="EH1046" s="15" t="s">
        <v>10015</v>
      </c>
      <c r="EJ1046" s="15" t="s">
        <v>500</v>
      </c>
      <c r="EK1046" s="15" t="s">
        <v>501</v>
      </c>
      <c r="EM1046" s="15" t="str">
        <f>IFERROR(__xludf.DUMMYFUNCTION("""COMPUTED_VALUE"""),"")</f>
        <v/>
      </c>
      <c r="EW1046" s="15" t="s">
        <v>8114</v>
      </c>
      <c r="FL1046" s="15" t="s">
        <v>426</v>
      </c>
      <c r="FM1046" s="15">
        <v>0.0</v>
      </c>
      <c r="GH1046" s="15">
        <v>0.0</v>
      </c>
      <c r="GI1046" s="15" t="s">
        <v>427</v>
      </c>
      <c r="GQ1046" s="15" t="s">
        <v>8348</v>
      </c>
      <c r="GR1046" s="15" t="s">
        <v>8348</v>
      </c>
      <c r="GS1046" s="15" t="s">
        <v>2505</v>
      </c>
      <c r="GT1046" s="15" t="s">
        <v>10137</v>
      </c>
      <c r="GU1046" s="15" t="s">
        <v>4550</v>
      </c>
      <c r="GV1046" s="15" t="s">
        <v>4550</v>
      </c>
      <c r="GW1046" s="15" t="s">
        <v>2604</v>
      </c>
      <c r="GY1046" s="15" t="s">
        <v>764</v>
      </c>
      <c r="GZ1046" s="15" t="s">
        <v>426</v>
      </c>
    </row>
    <row r="1047" ht="15.75" customHeight="1">
      <c r="A1047" s="14" t="s">
        <v>391</v>
      </c>
      <c r="B1047" s="15" t="s">
        <v>10131</v>
      </c>
      <c r="C1047" s="16"/>
      <c r="D1047" s="15" t="s">
        <v>432</v>
      </c>
      <c r="G1047" s="14" t="s">
        <v>393</v>
      </c>
      <c r="H1047" s="14" t="s">
        <v>394</v>
      </c>
      <c r="I1047" s="14" t="b">
        <v>1</v>
      </c>
      <c r="J1047" s="14" t="s">
        <v>395</v>
      </c>
      <c r="L1047" s="14" t="b">
        <v>0</v>
      </c>
      <c r="M1047" s="15" t="s">
        <v>10142</v>
      </c>
      <c r="N1047" s="14" t="s">
        <v>393</v>
      </c>
      <c r="O1047" s="14" t="s">
        <v>393</v>
      </c>
      <c r="P1047" s="15" t="s">
        <v>397</v>
      </c>
      <c r="Q1047" s="15" t="s">
        <v>10022</v>
      </c>
      <c r="T1047" s="14" t="b">
        <v>0</v>
      </c>
      <c r="U1047" s="15" t="s">
        <v>10143</v>
      </c>
      <c r="V1047" s="15" t="s">
        <v>1521</v>
      </c>
      <c r="W1047" s="15" t="s">
        <v>401</v>
      </c>
      <c r="X1047" s="15" t="s">
        <v>402</v>
      </c>
      <c r="Y1047" s="15">
        <v>1209.0</v>
      </c>
      <c r="AA1047" s="15" t="str">
        <f t="shared" si="1804"/>
        <v>465</v>
      </c>
      <c r="AB1047" s="14" t="b">
        <v>1</v>
      </c>
      <c r="AC1047" s="14" t="b">
        <v>1</v>
      </c>
      <c r="AD1047" s="15" t="str">
        <f>"801542941673"</f>
        <v>801542941673</v>
      </c>
      <c r="AE1047" s="15" t="s">
        <v>10144</v>
      </c>
      <c r="AF1047" s="14" t="s">
        <v>404</v>
      </c>
      <c r="AG1047" s="14" t="s">
        <v>405</v>
      </c>
      <c r="AH1047" s="14" t="s">
        <v>406</v>
      </c>
      <c r="AI1047" s="15">
        <v>0.0</v>
      </c>
      <c r="AL1047" s="15" t="s">
        <v>5927</v>
      </c>
      <c r="AM1047" s="15" t="s">
        <v>622</v>
      </c>
      <c r="AN1047" s="15" t="s">
        <v>623</v>
      </c>
      <c r="AO1047" s="15" t="s">
        <v>1007</v>
      </c>
      <c r="AP1047" s="15" t="s">
        <v>1008</v>
      </c>
      <c r="AQ1047" s="15" t="s">
        <v>1175</v>
      </c>
      <c r="AR1047" s="15" t="s">
        <v>1176</v>
      </c>
      <c r="AS1047" s="15" t="s">
        <v>4463</v>
      </c>
      <c r="AT1047" s="15" t="s">
        <v>10022</v>
      </c>
      <c r="AU1047" s="15" t="s">
        <v>5928</v>
      </c>
      <c r="AW1047" s="15" t="s">
        <v>628</v>
      </c>
      <c r="AY1047" s="15" t="s">
        <v>413</v>
      </c>
      <c r="AZ1047" s="15" t="b">
        <v>0</v>
      </c>
      <c r="BA1047" s="15" t="s">
        <v>413</v>
      </c>
      <c r="BB1047" s="15" t="b">
        <v>0</v>
      </c>
      <c r="BC1047" s="15" t="s">
        <v>10145</v>
      </c>
      <c r="BD1047" s="15" t="s">
        <v>415</v>
      </c>
      <c r="BE1047" s="15" t="str">
        <f t="shared" si="1784"/>
        <v>1</v>
      </c>
      <c r="BF1047" s="15" t="s">
        <v>416</v>
      </c>
      <c r="BG1047" s="15" t="str">
        <f t="shared" si="1805"/>
        <v>40.94</v>
      </c>
      <c r="BH1047" s="15" t="s">
        <v>648</v>
      </c>
      <c r="BI1047" s="15" t="str">
        <f t="shared" si="1806"/>
        <v>22.05</v>
      </c>
      <c r="BJ1047" s="15" t="s">
        <v>2310</v>
      </c>
      <c r="BK1047" s="15" t="str">
        <f t="shared" si="1807"/>
        <v>30.98</v>
      </c>
      <c r="BL1047" s="15" t="s">
        <v>10136</v>
      </c>
      <c r="BM1047" s="15" t="str">
        <f t="shared" si="1808"/>
        <v>92.59</v>
      </c>
      <c r="BN1047" s="15" t="s">
        <v>3348</v>
      </c>
      <c r="BQ1047" s="15" t="s">
        <v>444</v>
      </c>
      <c r="BS1047" s="15" t="s">
        <v>444</v>
      </c>
      <c r="BU1047" s="15" t="s">
        <v>444</v>
      </c>
      <c r="BW1047" s="15" t="s">
        <v>444</v>
      </c>
      <c r="BZ1047" s="15" t="s">
        <v>444</v>
      </c>
      <c r="CB1047" s="15" t="s">
        <v>444</v>
      </c>
      <c r="CD1047" s="15" t="s">
        <v>444</v>
      </c>
      <c r="CF1047" s="15" t="s">
        <v>444</v>
      </c>
      <c r="CI1047" s="15" t="s">
        <v>444</v>
      </c>
      <c r="CK1047" s="15" t="s">
        <v>444</v>
      </c>
      <c r="CM1047" s="15" t="s">
        <v>444</v>
      </c>
      <c r="CO1047" s="15" t="s">
        <v>444</v>
      </c>
      <c r="CP1047" s="15" t="str">
        <f t="shared" si="1809"/>
        <v>16.17</v>
      </c>
      <c r="CQ1047" s="15" t="str">
        <f t="shared" si="1810"/>
        <v>0.458</v>
      </c>
      <c r="CR1047" s="15" t="s">
        <v>465</v>
      </c>
      <c r="DC1047" s="15" t="str">
        <f>IFERROR(__xludf.DUMMYFUNCTION("""COMPUTED_VALUE"""),"")</f>
        <v/>
      </c>
      <c r="DE1047" s="15" t="str">
        <f>IFERROR(__xludf.DUMMYFUNCTION("""COMPUTED_VALUE"""),"")</f>
        <v/>
      </c>
      <c r="DG1047" s="15" t="str">
        <f>IFERROR(__xludf.DUMMYFUNCTION("""COMPUTED_VALUE"""),"")</f>
        <v/>
      </c>
      <c r="DL1047" s="15" t="str">
        <f>IFERROR(__xludf.DUMMYFUNCTION("""COMPUTED_VALUE"""),"")</f>
        <v/>
      </c>
      <c r="DM1047" s="15" t="s">
        <v>444</v>
      </c>
      <c r="DN1047" s="15" t="s">
        <v>2600</v>
      </c>
      <c r="DO1047" s="15">
        <v>3.0</v>
      </c>
      <c r="DP1047" s="15" t="s">
        <v>2604</v>
      </c>
      <c r="DR1047" s="15">
        <v>0.0</v>
      </c>
      <c r="DT1047" s="15" t="s">
        <v>764</v>
      </c>
      <c r="DU1047" s="15" t="s">
        <v>421</v>
      </c>
      <c r="DY1047" s="15">
        <v>0.0</v>
      </c>
      <c r="EF1047" s="15" t="s">
        <v>471</v>
      </c>
      <c r="EG1047" s="15" t="s">
        <v>472</v>
      </c>
      <c r="EH1047" s="15" t="s">
        <v>10015</v>
      </c>
      <c r="EJ1047" s="15" t="s">
        <v>500</v>
      </c>
      <c r="EK1047" s="15" t="s">
        <v>501</v>
      </c>
      <c r="EM1047" s="15" t="str">
        <f>IFERROR(__xludf.DUMMYFUNCTION("""COMPUTED_VALUE"""),"")</f>
        <v/>
      </c>
      <c r="EW1047" s="15" t="s">
        <v>8114</v>
      </c>
      <c r="FL1047" s="15" t="s">
        <v>426</v>
      </c>
      <c r="FM1047" s="15">
        <v>0.0</v>
      </c>
      <c r="GH1047" s="15">
        <v>0.0</v>
      </c>
      <c r="GI1047" s="15" t="s">
        <v>427</v>
      </c>
      <c r="GQ1047" s="15" t="s">
        <v>8348</v>
      </c>
      <c r="GR1047" s="15" t="s">
        <v>8348</v>
      </c>
      <c r="GS1047" s="15" t="s">
        <v>2505</v>
      </c>
      <c r="GT1047" s="15" t="s">
        <v>10137</v>
      </c>
      <c r="GU1047" s="15" t="s">
        <v>4550</v>
      </c>
      <c r="GV1047" s="15" t="s">
        <v>4550</v>
      </c>
      <c r="GW1047" s="15" t="s">
        <v>2604</v>
      </c>
      <c r="GY1047" s="15" t="s">
        <v>764</v>
      </c>
      <c r="GZ1047" s="15" t="s">
        <v>426</v>
      </c>
    </row>
    <row r="1048" ht="15.75" customHeight="1">
      <c r="A1048" s="14" t="s">
        <v>391</v>
      </c>
      <c r="B1048" s="15" t="s">
        <v>10146</v>
      </c>
      <c r="C1048" s="16"/>
      <c r="D1048" s="15" t="s">
        <v>432</v>
      </c>
      <c r="G1048" s="14" t="s">
        <v>393</v>
      </c>
      <c r="H1048" s="14" t="s">
        <v>394</v>
      </c>
      <c r="I1048" s="14" t="b">
        <v>1</v>
      </c>
      <c r="J1048" s="14" t="s">
        <v>395</v>
      </c>
      <c r="L1048" s="14" t="b">
        <v>0</v>
      </c>
      <c r="M1048" s="15" t="s">
        <v>10147</v>
      </c>
      <c r="N1048" s="14" t="s">
        <v>393</v>
      </c>
      <c r="O1048" s="14" t="s">
        <v>393</v>
      </c>
      <c r="P1048" s="15" t="s">
        <v>397</v>
      </c>
      <c r="Q1048" s="15" t="s">
        <v>10010</v>
      </c>
      <c r="T1048" s="14" t="b">
        <v>0</v>
      </c>
      <c r="U1048" s="15" t="s">
        <v>10148</v>
      </c>
      <c r="V1048" s="15" t="s">
        <v>4070</v>
      </c>
      <c r="W1048" s="15" t="s">
        <v>401</v>
      </c>
      <c r="X1048" s="15" t="s">
        <v>402</v>
      </c>
      <c r="Y1048" s="15">
        <v>1638.0</v>
      </c>
      <c r="AA1048" s="15" t="str">
        <f t="shared" ref="AA1048:AA1050" si="1811">"630"</f>
        <v>630</v>
      </c>
      <c r="AB1048" s="14" t="b">
        <v>1</v>
      </c>
      <c r="AC1048" s="14" t="b">
        <v>1</v>
      </c>
      <c r="AD1048" s="15" t="str">
        <f>"801542391751"</f>
        <v>801542391751</v>
      </c>
      <c r="AE1048" s="15" t="s">
        <v>10149</v>
      </c>
      <c r="AF1048" s="14" t="s">
        <v>404</v>
      </c>
      <c r="AG1048" s="14" t="s">
        <v>405</v>
      </c>
      <c r="AH1048" s="14" t="s">
        <v>406</v>
      </c>
      <c r="AI1048" s="15">
        <v>0.0</v>
      </c>
      <c r="AL1048" s="15" t="s">
        <v>5927</v>
      </c>
      <c r="AM1048" s="15" t="s">
        <v>6215</v>
      </c>
      <c r="AN1048" s="15" t="s">
        <v>6216</v>
      </c>
      <c r="AO1048" s="15" t="s">
        <v>1007</v>
      </c>
      <c r="AP1048" s="15" t="s">
        <v>1008</v>
      </c>
      <c r="AQ1048" s="15" t="s">
        <v>1472</v>
      </c>
      <c r="AR1048" s="15" t="s">
        <v>1473</v>
      </c>
      <c r="AS1048" s="15" t="s">
        <v>4463</v>
      </c>
      <c r="AT1048" s="15" t="s">
        <v>10010</v>
      </c>
      <c r="AU1048" s="15" t="s">
        <v>10013</v>
      </c>
      <c r="AW1048" s="15" t="s">
        <v>602</v>
      </c>
      <c r="AY1048" s="15" t="s">
        <v>413</v>
      </c>
      <c r="AZ1048" s="15" t="b">
        <v>0</v>
      </c>
      <c r="BA1048" s="15" t="s">
        <v>413</v>
      </c>
      <c r="BB1048" s="15" t="b">
        <v>0</v>
      </c>
      <c r="BC1048" s="15" t="s">
        <v>10150</v>
      </c>
      <c r="BD1048" s="15" t="s">
        <v>415</v>
      </c>
      <c r="BE1048" s="15" t="str">
        <f t="shared" si="1784"/>
        <v>1</v>
      </c>
      <c r="BF1048" s="15" t="s">
        <v>416</v>
      </c>
      <c r="BG1048" s="15" t="str">
        <f t="shared" ref="BG1048:BG1050" si="1812">"74.02"</f>
        <v>74.02</v>
      </c>
      <c r="BH1048" s="15" t="s">
        <v>3201</v>
      </c>
      <c r="BI1048" s="15" t="str">
        <f t="shared" ref="BI1048:BI1050" si="1813">"22.24"</f>
        <v>22.24</v>
      </c>
      <c r="BJ1048" s="15" t="s">
        <v>1423</v>
      </c>
      <c r="BK1048" s="15" t="str">
        <f t="shared" ref="BK1048:BK1050" si="1814">"33.86"</f>
        <v>33.86</v>
      </c>
      <c r="BL1048" s="15" t="s">
        <v>1209</v>
      </c>
      <c r="BM1048" s="15" t="str">
        <f t="shared" ref="BM1048:BM1050" si="1815">"142.2"</f>
        <v>142.2</v>
      </c>
      <c r="BN1048" s="15" t="s">
        <v>10151</v>
      </c>
      <c r="BQ1048" s="15" t="s">
        <v>444</v>
      </c>
      <c r="BS1048" s="15" t="s">
        <v>444</v>
      </c>
      <c r="BU1048" s="15" t="s">
        <v>444</v>
      </c>
      <c r="BW1048" s="15" t="s">
        <v>444</v>
      </c>
      <c r="BZ1048" s="15" t="s">
        <v>444</v>
      </c>
      <c r="CB1048" s="15" t="s">
        <v>444</v>
      </c>
      <c r="CD1048" s="15" t="s">
        <v>444</v>
      </c>
      <c r="CF1048" s="15" t="s">
        <v>444</v>
      </c>
      <c r="CI1048" s="15" t="s">
        <v>444</v>
      </c>
      <c r="CK1048" s="15" t="s">
        <v>444</v>
      </c>
      <c r="CM1048" s="15" t="s">
        <v>444</v>
      </c>
      <c r="CO1048" s="15" t="s">
        <v>444</v>
      </c>
      <c r="CP1048" s="15" t="str">
        <f t="shared" ref="CP1048:CP1050" si="1816">"32.24"</f>
        <v>32.24</v>
      </c>
      <c r="CQ1048" s="15" t="str">
        <f t="shared" ref="CQ1048:CQ1050" si="1817">"0.913"</f>
        <v>0.913</v>
      </c>
      <c r="CR1048" s="15" t="s">
        <v>465</v>
      </c>
      <c r="CS1048" s="15" t="s">
        <v>4178</v>
      </c>
      <c r="CT1048" s="15" t="s">
        <v>2046</v>
      </c>
      <c r="CU1048" s="15" t="s">
        <v>2274</v>
      </c>
      <c r="CV1048" s="15" t="s">
        <v>4178</v>
      </c>
      <c r="CW1048" s="15" t="s">
        <v>1950</v>
      </c>
      <c r="CX1048" s="15" t="s">
        <v>2274</v>
      </c>
      <c r="DC1048" s="15" t="str">
        <f>IFERROR(__xludf.DUMMYFUNCTION("""COMPUTED_VALUE"""),"")</f>
        <v/>
      </c>
      <c r="DE1048" s="15" t="str">
        <f>IFERROR(__xludf.DUMMYFUNCTION("""COMPUTED_VALUE"""),"")</f>
        <v/>
      </c>
      <c r="DG1048" s="15" t="str">
        <f>IFERROR(__xludf.DUMMYFUNCTION("""COMPUTED_VALUE"""),"")</f>
        <v/>
      </c>
      <c r="DL1048" s="15" t="str">
        <f>IFERROR(__xludf.DUMMYFUNCTION("""COMPUTED_VALUE"""),"")</f>
        <v/>
      </c>
      <c r="DM1048" s="15" t="s">
        <v>444</v>
      </c>
      <c r="DN1048" s="15" t="s">
        <v>2600</v>
      </c>
      <c r="DO1048" s="15">
        <v>2.0</v>
      </c>
      <c r="DP1048" s="15" t="s">
        <v>2604</v>
      </c>
      <c r="DR1048" s="15">
        <v>1.0</v>
      </c>
      <c r="DS1048" s="15" t="s">
        <v>426</v>
      </c>
      <c r="DT1048" s="15" t="s">
        <v>764</v>
      </c>
      <c r="DU1048" s="15" t="s">
        <v>610</v>
      </c>
      <c r="DW1048" s="15">
        <v>18.14</v>
      </c>
      <c r="DX1048" s="15">
        <v>40.0</v>
      </c>
      <c r="DY1048" s="15">
        <v>2.0</v>
      </c>
      <c r="EG1048" s="15" t="s">
        <v>444</v>
      </c>
      <c r="EH1048" s="15" t="s">
        <v>10015</v>
      </c>
      <c r="EK1048" s="15" t="s">
        <v>444</v>
      </c>
      <c r="EM1048" s="15" t="str">
        <f>IFERROR(__xludf.DUMMYFUNCTION("""COMPUTED_VALUE"""),"")</f>
        <v/>
      </c>
      <c r="EW1048" s="15" t="s">
        <v>2974</v>
      </c>
      <c r="FL1048" s="15" t="s">
        <v>426</v>
      </c>
      <c r="FM1048" s="15">
        <v>4.0</v>
      </c>
      <c r="FY1048" s="15" t="s">
        <v>778</v>
      </c>
      <c r="FZ1048" s="15" t="s">
        <v>2046</v>
      </c>
      <c r="GA1048" s="15" t="s">
        <v>2274</v>
      </c>
      <c r="GB1048" s="15" t="s">
        <v>10152</v>
      </c>
      <c r="GC1048" s="15" t="s">
        <v>2046</v>
      </c>
      <c r="GD1048" s="15" t="s">
        <v>2020</v>
      </c>
      <c r="GF1048" s="15" t="s">
        <v>426</v>
      </c>
      <c r="GG1048" s="15" t="s">
        <v>785</v>
      </c>
      <c r="GH1048" s="15">
        <v>2.0</v>
      </c>
      <c r="GI1048" s="15" t="s">
        <v>614</v>
      </c>
      <c r="GJ1048" s="15" t="s">
        <v>615</v>
      </c>
      <c r="GL1048" s="15" t="s">
        <v>426</v>
      </c>
      <c r="GN1048" s="15" t="s">
        <v>616</v>
      </c>
      <c r="GQ1048" s="15" t="s">
        <v>1459</v>
      </c>
      <c r="GS1048" s="15" t="s">
        <v>3856</v>
      </c>
      <c r="GU1048" s="15" t="s">
        <v>10153</v>
      </c>
      <c r="GW1048" s="15" t="s">
        <v>2604</v>
      </c>
      <c r="GY1048" s="15" t="s">
        <v>764</v>
      </c>
      <c r="GZ1048" s="15" t="s">
        <v>426</v>
      </c>
      <c r="HA1048" s="15" t="s">
        <v>2178</v>
      </c>
      <c r="HB1048" s="15" t="s">
        <v>778</v>
      </c>
      <c r="HC1048" s="15" t="s">
        <v>2020</v>
      </c>
      <c r="HD1048" s="15">
        <v>0.0</v>
      </c>
      <c r="HQ1048" s="15" t="s">
        <v>2178</v>
      </c>
      <c r="HR1048" s="15" t="s">
        <v>4178</v>
      </c>
      <c r="HS1048" s="15" t="s">
        <v>778</v>
      </c>
      <c r="HT1048" s="15" t="s">
        <v>1950</v>
      </c>
      <c r="HU1048" s="15" t="s">
        <v>2020</v>
      </c>
      <c r="HV1048" s="15" t="s">
        <v>2274</v>
      </c>
      <c r="HW1048" s="15" t="s">
        <v>2468</v>
      </c>
      <c r="IH1048" s="15" t="s">
        <v>426</v>
      </c>
    </row>
    <row r="1049" ht="15.75" customHeight="1">
      <c r="A1049" s="14" t="s">
        <v>391</v>
      </c>
      <c r="B1049" s="15" t="s">
        <v>10146</v>
      </c>
      <c r="C1049" s="16"/>
      <c r="D1049" s="15" t="s">
        <v>432</v>
      </c>
      <c r="G1049" s="14" t="s">
        <v>393</v>
      </c>
      <c r="H1049" s="14" t="s">
        <v>394</v>
      </c>
      <c r="I1049" s="14" t="b">
        <v>1</v>
      </c>
      <c r="J1049" s="14" t="s">
        <v>395</v>
      </c>
      <c r="L1049" s="14" t="b">
        <v>0</v>
      </c>
      <c r="M1049" s="15" t="s">
        <v>10154</v>
      </c>
      <c r="N1049" s="14" t="s">
        <v>393</v>
      </c>
      <c r="O1049" s="14" t="s">
        <v>393</v>
      </c>
      <c r="P1049" s="15" t="s">
        <v>397</v>
      </c>
      <c r="Q1049" s="15" t="s">
        <v>10017</v>
      </c>
      <c r="T1049" s="14" t="b">
        <v>0</v>
      </c>
      <c r="U1049" s="15" t="s">
        <v>10155</v>
      </c>
      <c r="V1049" s="15" t="s">
        <v>4070</v>
      </c>
      <c r="W1049" s="15" t="s">
        <v>401</v>
      </c>
      <c r="X1049" s="15" t="s">
        <v>402</v>
      </c>
      <c r="Y1049" s="15">
        <v>1638.0</v>
      </c>
      <c r="AA1049" s="15" t="str">
        <f t="shared" si="1811"/>
        <v>630</v>
      </c>
      <c r="AB1049" s="14" t="b">
        <v>1</v>
      </c>
      <c r="AC1049" s="14" t="b">
        <v>1</v>
      </c>
      <c r="AD1049" s="15" t="str">
        <f>"801542507367"</f>
        <v>801542507367</v>
      </c>
      <c r="AE1049" s="15" t="s">
        <v>10156</v>
      </c>
      <c r="AF1049" s="14" t="s">
        <v>404</v>
      </c>
      <c r="AG1049" s="14" t="s">
        <v>405</v>
      </c>
      <c r="AH1049" s="14" t="s">
        <v>406</v>
      </c>
      <c r="AI1049" s="15">
        <v>0.0</v>
      </c>
      <c r="AL1049" s="15" t="s">
        <v>5927</v>
      </c>
      <c r="AM1049" s="15" t="s">
        <v>6215</v>
      </c>
      <c r="AN1049" s="15" t="s">
        <v>6216</v>
      </c>
      <c r="AO1049" s="15" t="s">
        <v>1007</v>
      </c>
      <c r="AP1049" s="15" t="s">
        <v>1008</v>
      </c>
      <c r="AQ1049" s="15" t="s">
        <v>1472</v>
      </c>
      <c r="AR1049" s="15" t="s">
        <v>1473</v>
      </c>
      <c r="AS1049" s="15" t="s">
        <v>4463</v>
      </c>
      <c r="AT1049" s="15" t="s">
        <v>10017</v>
      </c>
      <c r="AU1049" s="15" t="s">
        <v>5928</v>
      </c>
      <c r="AW1049" s="15" t="s">
        <v>602</v>
      </c>
      <c r="AY1049" s="15" t="s">
        <v>413</v>
      </c>
      <c r="AZ1049" s="15" t="b">
        <v>0</v>
      </c>
      <c r="BA1049" s="15" t="s">
        <v>413</v>
      </c>
      <c r="BB1049" s="15" t="b">
        <v>0</v>
      </c>
      <c r="BC1049" s="15" t="s">
        <v>10157</v>
      </c>
      <c r="BD1049" s="15" t="s">
        <v>415</v>
      </c>
      <c r="BE1049" s="15" t="str">
        <f t="shared" si="1784"/>
        <v>1</v>
      </c>
      <c r="BF1049" s="15" t="s">
        <v>416</v>
      </c>
      <c r="BG1049" s="15" t="str">
        <f t="shared" si="1812"/>
        <v>74.02</v>
      </c>
      <c r="BH1049" s="15" t="s">
        <v>3201</v>
      </c>
      <c r="BI1049" s="15" t="str">
        <f t="shared" si="1813"/>
        <v>22.24</v>
      </c>
      <c r="BJ1049" s="15" t="s">
        <v>1423</v>
      </c>
      <c r="BK1049" s="15" t="str">
        <f t="shared" si="1814"/>
        <v>33.86</v>
      </c>
      <c r="BL1049" s="15" t="s">
        <v>1209</v>
      </c>
      <c r="BM1049" s="15" t="str">
        <f t="shared" si="1815"/>
        <v>142.2</v>
      </c>
      <c r="BN1049" s="15" t="s">
        <v>10151</v>
      </c>
      <c r="BQ1049" s="15" t="s">
        <v>444</v>
      </c>
      <c r="BS1049" s="15" t="s">
        <v>444</v>
      </c>
      <c r="BU1049" s="15" t="s">
        <v>444</v>
      </c>
      <c r="BW1049" s="15" t="s">
        <v>444</v>
      </c>
      <c r="BZ1049" s="15" t="s">
        <v>444</v>
      </c>
      <c r="CB1049" s="15" t="s">
        <v>444</v>
      </c>
      <c r="CD1049" s="15" t="s">
        <v>444</v>
      </c>
      <c r="CF1049" s="15" t="s">
        <v>444</v>
      </c>
      <c r="CI1049" s="15" t="s">
        <v>444</v>
      </c>
      <c r="CK1049" s="15" t="s">
        <v>444</v>
      </c>
      <c r="CM1049" s="15" t="s">
        <v>444</v>
      </c>
      <c r="CO1049" s="15" t="s">
        <v>444</v>
      </c>
      <c r="CP1049" s="15" t="str">
        <f t="shared" si="1816"/>
        <v>32.24</v>
      </c>
      <c r="CQ1049" s="15" t="str">
        <f t="shared" si="1817"/>
        <v>0.913</v>
      </c>
      <c r="CR1049" s="15" t="s">
        <v>465</v>
      </c>
      <c r="CS1049" s="15" t="s">
        <v>4178</v>
      </c>
      <c r="CT1049" s="15" t="s">
        <v>2046</v>
      </c>
      <c r="CU1049" s="15" t="s">
        <v>2274</v>
      </c>
      <c r="CV1049" s="15" t="s">
        <v>4178</v>
      </c>
      <c r="CW1049" s="15" t="s">
        <v>1950</v>
      </c>
      <c r="CX1049" s="15" t="s">
        <v>2274</v>
      </c>
      <c r="DC1049" s="15" t="str">
        <f>IFERROR(__xludf.DUMMYFUNCTION("""COMPUTED_VALUE"""),"")</f>
        <v/>
      </c>
      <c r="DE1049" s="15" t="str">
        <f>IFERROR(__xludf.DUMMYFUNCTION("""COMPUTED_VALUE"""),"")</f>
        <v/>
      </c>
      <c r="DG1049" s="15" t="str">
        <f>IFERROR(__xludf.DUMMYFUNCTION("""COMPUTED_VALUE"""),"")</f>
        <v/>
      </c>
      <c r="DL1049" s="15" t="str">
        <f>IFERROR(__xludf.DUMMYFUNCTION("""COMPUTED_VALUE"""),"")</f>
        <v/>
      </c>
      <c r="DM1049" s="15" t="s">
        <v>444</v>
      </c>
      <c r="DN1049" s="15" t="s">
        <v>2600</v>
      </c>
      <c r="DO1049" s="15">
        <v>2.0</v>
      </c>
      <c r="DP1049" s="15" t="s">
        <v>2604</v>
      </c>
      <c r="DR1049" s="15">
        <v>1.0</v>
      </c>
      <c r="DS1049" s="15" t="s">
        <v>426</v>
      </c>
      <c r="DT1049" s="15" t="s">
        <v>764</v>
      </c>
      <c r="DU1049" s="15" t="s">
        <v>610</v>
      </c>
      <c r="DW1049" s="15">
        <v>18.14</v>
      </c>
      <c r="DX1049" s="15">
        <v>40.0</v>
      </c>
      <c r="DY1049" s="15">
        <v>2.0</v>
      </c>
      <c r="EG1049" s="15" t="s">
        <v>444</v>
      </c>
      <c r="EH1049" s="15" t="s">
        <v>10015</v>
      </c>
      <c r="EK1049" s="15" t="s">
        <v>444</v>
      </c>
      <c r="EM1049" s="15" t="str">
        <f>IFERROR(__xludf.DUMMYFUNCTION("""COMPUTED_VALUE"""),"")</f>
        <v/>
      </c>
      <c r="EW1049" s="15" t="s">
        <v>2974</v>
      </c>
      <c r="FL1049" s="15" t="s">
        <v>426</v>
      </c>
      <c r="FM1049" s="15">
        <v>4.0</v>
      </c>
      <c r="FY1049" s="15" t="s">
        <v>778</v>
      </c>
      <c r="FZ1049" s="15" t="s">
        <v>2046</v>
      </c>
      <c r="GA1049" s="15" t="s">
        <v>2274</v>
      </c>
      <c r="GB1049" s="15" t="s">
        <v>10152</v>
      </c>
      <c r="GC1049" s="15" t="s">
        <v>2046</v>
      </c>
      <c r="GD1049" s="15" t="s">
        <v>2020</v>
      </c>
      <c r="GF1049" s="15" t="s">
        <v>426</v>
      </c>
      <c r="GG1049" s="15" t="s">
        <v>785</v>
      </c>
      <c r="GH1049" s="15">
        <v>2.0</v>
      </c>
      <c r="GI1049" s="15" t="s">
        <v>614</v>
      </c>
      <c r="GJ1049" s="15" t="s">
        <v>615</v>
      </c>
      <c r="GL1049" s="15" t="s">
        <v>426</v>
      </c>
      <c r="GN1049" s="15" t="s">
        <v>616</v>
      </c>
      <c r="GQ1049" s="15" t="s">
        <v>1459</v>
      </c>
      <c r="GS1049" s="15" t="s">
        <v>3856</v>
      </c>
      <c r="GU1049" s="15" t="s">
        <v>10153</v>
      </c>
      <c r="GW1049" s="15" t="s">
        <v>2604</v>
      </c>
      <c r="GY1049" s="15" t="s">
        <v>764</v>
      </c>
      <c r="GZ1049" s="15" t="s">
        <v>426</v>
      </c>
      <c r="HA1049" s="15" t="s">
        <v>2178</v>
      </c>
      <c r="HB1049" s="15" t="s">
        <v>778</v>
      </c>
      <c r="HC1049" s="15" t="s">
        <v>2020</v>
      </c>
      <c r="HD1049" s="15">
        <v>0.0</v>
      </c>
      <c r="HQ1049" s="15" t="s">
        <v>2178</v>
      </c>
      <c r="HR1049" s="15" t="s">
        <v>4178</v>
      </c>
      <c r="HS1049" s="15" t="s">
        <v>778</v>
      </c>
      <c r="HT1049" s="15" t="s">
        <v>1950</v>
      </c>
      <c r="HU1049" s="15" t="s">
        <v>2020</v>
      </c>
      <c r="HV1049" s="15" t="s">
        <v>2274</v>
      </c>
      <c r="HW1049" s="15" t="s">
        <v>2468</v>
      </c>
      <c r="IH1049" s="15" t="s">
        <v>426</v>
      </c>
    </row>
    <row r="1050" ht="15.75" customHeight="1">
      <c r="A1050" s="14" t="s">
        <v>391</v>
      </c>
      <c r="B1050" s="15" t="s">
        <v>10146</v>
      </c>
      <c r="C1050" s="16"/>
      <c r="D1050" s="15" t="s">
        <v>432</v>
      </c>
      <c r="G1050" s="14" t="s">
        <v>393</v>
      </c>
      <c r="H1050" s="14" t="s">
        <v>394</v>
      </c>
      <c r="I1050" s="14" t="b">
        <v>1</v>
      </c>
      <c r="J1050" s="14" t="s">
        <v>395</v>
      </c>
      <c r="L1050" s="14" t="b">
        <v>0</v>
      </c>
      <c r="M1050" s="15" t="s">
        <v>10158</v>
      </c>
      <c r="N1050" s="14" t="s">
        <v>393</v>
      </c>
      <c r="O1050" s="14" t="s">
        <v>393</v>
      </c>
      <c r="P1050" s="15" t="s">
        <v>397</v>
      </c>
      <c r="Q1050" s="15" t="s">
        <v>10022</v>
      </c>
      <c r="T1050" s="14" t="b">
        <v>0</v>
      </c>
      <c r="U1050" s="15" t="s">
        <v>10159</v>
      </c>
      <c r="V1050" s="15" t="s">
        <v>4070</v>
      </c>
      <c r="W1050" s="15" t="s">
        <v>401</v>
      </c>
      <c r="X1050" s="15" t="s">
        <v>402</v>
      </c>
      <c r="Y1050" s="15">
        <v>1638.0</v>
      </c>
      <c r="AA1050" s="15" t="str">
        <f t="shared" si="1811"/>
        <v>630</v>
      </c>
      <c r="AB1050" s="14" t="b">
        <v>1</v>
      </c>
      <c r="AC1050" s="14" t="b">
        <v>1</v>
      </c>
      <c r="AD1050" s="15" t="str">
        <f>"801542763381"</f>
        <v>801542763381</v>
      </c>
      <c r="AE1050" s="15" t="s">
        <v>10160</v>
      </c>
      <c r="AF1050" s="14" t="s">
        <v>404</v>
      </c>
      <c r="AG1050" s="14" t="s">
        <v>405</v>
      </c>
      <c r="AH1050" s="14" t="s">
        <v>406</v>
      </c>
      <c r="AI1050" s="15">
        <v>0.0</v>
      </c>
      <c r="AL1050" s="15" t="s">
        <v>5927</v>
      </c>
      <c r="AM1050" s="15" t="s">
        <v>6215</v>
      </c>
      <c r="AN1050" s="15" t="s">
        <v>6216</v>
      </c>
      <c r="AO1050" s="15" t="s">
        <v>1007</v>
      </c>
      <c r="AP1050" s="15" t="s">
        <v>1008</v>
      </c>
      <c r="AQ1050" s="15" t="s">
        <v>1472</v>
      </c>
      <c r="AR1050" s="15" t="s">
        <v>1473</v>
      </c>
      <c r="AS1050" s="15" t="s">
        <v>4463</v>
      </c>
      <c r="AT1050" s="15" t="s">
        <v>10022</v>
      </c>
      <c r="AU1050" s="15" t="s">
        <v>5928</v>
      </c>
      <c r="AW1050" s="15" t="s">
        <v>602</v>
      </c>
      <c r="AY1050" s="15" t="s">
        <v>413</v>
      </c>
      <c r="AZ1050" s="15" t="b">
        <v>0</v>
      </c>
      <c r="BA1050" s="15" t="s">
        <v>413</v>
      </c>
      <c r="BB1050" s="15" t="b">
        <v>0</v>
      </c>
      <c r="BC1050" s="15" t="s">
        <v>10161</v>
      </c>
      <c r="BD1050" s="15" t="s">
        <v>415</v>
      </c>
      <c r="BE1050" s="15" t="str">
        <f t="shared" si="1784"/>
        <v>1</v>
      </c>
      <c r="BF1050" s="15" t="s">
        <v>416</v>
      </c>
      <c r="BG1050" s="15" t="str">
        <f t="shared" si="1812"/>
        <v>74.02</v>
      </c>
      <c r="BH1050" s="15" t="s">
        <v>3201</v>
      </c>
      <c r="BI1050" s="15" t="str">
        <f t="shared" si="1813"/>
        <v>22.24</v>
      </c>
      <c r="BJ1050" s="15" t="s">
        <v>1423</v>
      </c>
      <c r="BK1050" s="15" t="str">
        <f t="shared" si="1814"/>
        <v>33.86</v>
      </c>
      <c r="BL1050" s="15" t="s">
        <v>1209</v>
      </c>
      <c r="BM1050" s="15" t="str">
        <f t="shared" si="1815"/>
        <v>142.2</v>
      </c>
      <c r="BN1050" s="15" t="s">
        <v>10151</v>
      </c>
      <c r="BQ1050" s="15" t="s">
        <v>444</v>
      </c>
      <c r="BS1050" s="15" t="s">
        <v>444</v>
      </c>
      <c r="BU1050" s="15" t="s">
        <v>444</v>
      </c>
      <c r="BW1050" s="15" t="s">
        <v>444</v>
      </c>
      <c r="BZ1050" s="15" t="s">
        <v>444</v>
      </c>
      <c r="CB1050" s="15" t="s">
        <v>444</v>
      </c>
      <c r="CD1050" s="15" t="s">
        <v>444</v>
      </c>
      <c r="CF1050" s="15" t="s">
        <v>444</v>
      </c>
      <c r="CI1050" s="15" t="s">
        <v>444</v>
      </c>
      <c r="CK1050" s="15" t="s">
        <v>444</v>
      </c>
      <c r="CM1050" s="15" t="s">
        <v>444</v>
      </c>
      <c r="CO1050" s="15" t="s">
        <v>444</v>
      </c>
      <c r="CP1050" s="15" t="str">
        <f t="shared" si="1816"/>
        <v>32.24</v>
      </c>
      <c r="CQ1050" s="15" t="str">
        <f t="shared" si="1817"/>
        <v>0.913</v>
      </c>
      <c r="CR1050" s="15" t="s">
        <v>417</v>
      </c>
      <c r="CS1050" s="15" t="s">
        <v>4178</v>
      </c>
      <c r="CT1050" s="15" t="s">
        <v>2046</v>
      </c>
      <c r="CU1050" s="15" t="s">
        <v>2274</v>
      </c>
      <c r="CV1050" s="15" t="s">
        <v>4178</v>
      </c>
      <c r="CW1050" s="15" t="s">
        <v>1950</v>
      </c>
      <c r="CX1050" s="15" t="s">
        <v>2274</v>
      </c>
      <c r="DC1050" s="15" t="str">
        <f>IFERROR(__xludf.DUMMYFUNCTION("""COMPUTED_VALUE"""),"")</f>
        <v/>
      </c>
      <c r="DE1050" s="15" t="str">
        <f>IFERROR(__xludf.DUMMYFUNCTION("""COMPUTED_VALUE"""),"")</f>
        <v/>
      </c>
      <c r="DG1050" s="15" t="str">
        <f>IFERROR(__xludf.DUMMYFUNCTION("""COMPUTED_VALUE"""),"")</f>
        <v/>
      </c>
      <c r="DL1050" s="15" t="str">
        <f>IFERROR(__xludf.DUMMYFUNCTION("""COMPUTED_VALUE"""),"")</f>
        <v/>
      </c>
      <c r="DM1050" s="15" t="s">
        <v>444</v>
      </c>
      <c r="DN1050" s="15" t="s">
        <v>2600</v>
      </c>
      <c r="DO1050" s="15">
        <v>2.0</v>
      </c>
      <c r="DP1050" s="15" t="s">
        <v>2604</v>
      </c>
      <c r="DR1050" s="15">
        <v>1.0</v>
      </c>
      <c r="DS1050" s="15" t="s">
        <v>426</v>
      </c>
      <c r="DT1050" s="15" t="s">
        <v>764</v>
      </c>
      <c r="DU1050" s="15" t="s">
        <v>610</v>
      </c>
      <c r="DW1050" s="15">
        <v>18.14</v>
      </c>
      <c r="DX1050" s="15">
        <v>40.0</v>
      </c>
      <c r="DY1050" s="15">
        <v>2.0</v>
      </c>
      <c r="EG1050" s="15" t="s">
        <v>444</v>
      </c>
      <c r="EH1050" s="15" t="s">
        <v>10015</v>
      </c>
      <c r="EK1050" s="15" t="s">
        <v>444</v>
      </c>
      <c r="EM1050" s="15" t="str">
        <f>IFERROR(__xludf.DUMMYFUNCTION("""COMPUTED_VALUE"""),"")</f>
        <v/>
      </c>
      <c r="EW1050" s="15" t="s">
        <v>2974</v>
      </c>
      <c r="FL1050" s="15" t="s">
        <v>426</v>
      </c>
      <c r="FM1050" s="15">
        <v>4.0</v>
      </c>
      <c r="FY1050" s="15" t="s">
        <v>778</v>
      </c>
      <c r="FZ1050" s="15" t="s">
        <v>2046</v>
      </c>
      <c r="GA1050" s="15" t="s">
        <v>2274</v>
      </c>
      <c r="GB1050" s="15" t="s">
        <v>10152</v>
      </c>
      <c r="GC1050" s="15" t="s">
        <v>2046</v>
      </c>
      <c r="GD1050" s="15" t="s">
        <v>2020</v>
      </c>
      <c r="GF1050" s="15" t="s">
        <v>426</v>
      </c>
      <c r="GG1050" s="15" t="s">
        <v>785</v>
      </c>
      <c r="GH1050" s="15">
        <v>2.0</v>
      </c>
      <c r="GI1050" s="15" t="s">
        <v>614</v>
      </c>
      <c r="GJ1050" s="15" t="s">
        <v>615</v>
      </c>
      <c r="GL1050" s="15" t="s">
        <v>426</v>
      </c>
      <c r="GN1050" s="15" t="s">
        <v>616</v>
      </c>
      <c r="GQ1050" s="15" t="s">
        <v>1459</v>
      </c>
      <c r="GS1050" s="15" t="s">
        <v>3856</v>
      </c>
      <c r="GU1050" s="15" t="s">
        <v>10153</v>
      </c>
      <c r="GW1050" s="15" t="s">
        <v>2604</v>
      </c>
      <c r="GY1050" s="15" t="s">
        <v>764</v>
      </c>
      <c r="GZ1050" s="15" t="s">
        <v>426</v>
      </c>
      <c r="HA1050" s="15" t="s">
        <v>2178</v>
      </c>
      <c r="HB1050" s="15" t="s">
        <v>778</v>
      </c>
      <c r="HC1050" s="15" t="s">
        <v>2020</v>
      </c>
      <c r="HD1050" s="15">
        <v>0.0</v>
      </c>
      <c r="HQ1050" s="15" t="s">
        <v>2178</v>
      </c>
      <c r="HR1050" s="15" t="s">
        <v>4178</v>
      </c>
      <c r="HS1050" s="15" t="s">
        <v>778</v>
      </c>
      <c r="HT1050" s="15" t="s">
        <v>1950</v>
      </c>
      <c r="HU1050" s="15" t="s">
        <v>2020</v>
      </c>
      <c r="HV1050" s="15" t="s">
        <v>2274</v>
      </c>
      <c r="HW1050" s="15" t="s">
        <v>2468</v>
      </c>
      <c r="IH1050" s="15" t="s">
        <v>426</v>
      </c>
    </row>
    <row r="1051" ht="15.75" customHeight="1">
      <c r="A1051" s="14" t="s">
        <v>391</v>
      </c>
      <c r="B1051" s="15" t="s">
        <v>10162</v>
      </c>
      <c r="C1051" s="16"/>
      <c r="D1051" s="15" t="s">
        <v>432</v>
      </c>
      <c r="G1051" s="14" t="s">
        <v>393</v>
      </c>
      <c r="H1051" s="14" t="s">
        <v>394</v>
      </c>
      <c r="I1051" s="14" t="b">
        <v>1</v>
      </c>
      <c r="J1051" s="14" t="s">
        <v>395</v>
      </c>
      <c r="L1051" s="14" t="b">
        <v>0</v>
      </c>
      <c r="M1051" s="15" t="s">
        <v>10163</v>
      </c>
      <c r="N1051" s="14" t="s">
        <v>393</v>
      </c>
      <c r="O1051" s="14" t="s">
        <v>393</v>
      </c>
      <c r="P1051" s="15" t="s">
        <v>397</v>
      </c>
      <c r="Q1051" s="15" t="s">
        <v>10010</v>
      </c>
      <c r="T1051" s="14" t="b">
        <v>0</v>
      </c>
      <c r="U1051" s="15" t="s">
        <v>10164</v>
      </c>
      <c r="V1051" s="15" t="s">
        <v>5776</v>
      </c>
      <c r="W1051" s="15" t="s">
        <v>401</v>
      </c>
      <c r="X1051" s="15" t="s">
        <v>402</v>
      </c>
      <c r="Y1051" s="15">
        <v>1261.0</v>
      </c>
      <c r="AA1051" s="15" t="str">
        <f t="shared" ref="AA1051:AA1053" si="1818">"485"</f>
        <v>485</v>
      </c>
      <c r="AB1051" s="14" t="b">
        <v>1</v>
      </c>
      <c r="AC1051" s="14" t="b">
        <v>1</v>
      </c>
      <c r="AD1051" s="15" t="str">
        <f>"801542758615"</f>
        <v>801542758615</v>
      </c>
      <c r="AE1051" s="15" t="s">
        <v>10165</v>
      </c>
      <c r="AF1051" s="14" t="s">
        <v>404</v>
      </c>
      <c r="AG1051" s="14" t="s">
        <v>405</v>
      </c>
      <c r="AH1051" s="14" t="s">
        <v>406</v>
      </c>
      <c r="AI1051" s="15">
        <v>0.0</v>
      </c>
      <c r="AL1051" s="15" t="s">
        <v>5927</v>
      </c>
      <c r="AM1051" s="15" t="s">
        <v>546</v>
      </c>
      <c r="AN1051" s="15" t="s">
        <v>547</v>
      </c>
      <c r="AO1051" s="15" t="s">
        <v>1561</v>
      </c>
      <c r="AP1051" s="15" t="s">
        <v>1562</v>
      </c>
      <c r="AQ1051" s="15" t="s">
        <v>1276</v>
      </c>
      <c r="AR1051" s="15" t="s">
        <v>1277</v>
      </c>
      <c r="AS1051" s="15" t="s">
        <v>4463</v>
      </c>
      <c r="AT1051" s="15" t="s">
        <v>10010</v>
      </c>
      <c r="AU1051" s="15" t="s">
        <v>10013</v>
      </c>
      <c r="AW1051" s="15" t="s">
        <v>10166</v>
      </c>
      <c r="AY1051" s="15" t="s">
        <v>413</v>
      </c>
      <c r="AZ1051" s="15" t="b">
        <v>0</v>
      </c>
      <c r="BA1051" s="15" t="s">
        <v>413</v>
      </c>
      <c r="BB1051" s="15" t="b">
        <v>0</v>
      </c>
      <c r="BC1051" s="15" t="s">
        <v>10167</v>
      </c>
      <c r="BD1051" s="15" t="s">
        <v>415</v>
      </c>
      <c r="BE1051" s="15" t="str">
        <f t="shared" si="1784"/>
        <v>1</v>
      </c>
      <c r="BF1051" s="15" t="s">
        <v>416</v>
      </c>
      <c r="BG1051" s="15" t="str">
        <f t="shared" ref="BG1051:BG1053" si="1819">"34.65"</f>
        <v>34.65</v>
      </c>
      <c r="BH1051" s="15" t="s">
        <v>1229</v>
      </c>
      <c r="BI1051" s="15" t="str">
        <f t="shared" ref="BI1051:BI1053" si="1820">"26.77"</f>
        <v>26.77</v>
      </c>
      <c r="BJ1051" s="15" t="s">
        <v>2322</v>
      </c>
      <c r="BK1051" s="15" t="str">
        <f t="shared" ref="BK1051:BK1053" si="1821">"37.01"</f>
        <v>37.01</v>
      </c>
      <c r="BL1051" s="15" t="s">
        <v>1990</v>
      </c>
      <c r="BM1051" s="15" t="str">
        <f t="shared" ref="BM1051:BM1053" si="1822">"112.43"</f>
        <v>112.43</v>
      </c>
      <c r="BN1051" s="15" t="s">
        <v>7620</v>
      </c>
      <c r="BQ1051" s="15" t="s">
        <v>444</v>
      </c>
      <c r="BS1051" s="15" t="s">
        <v>444</v>
      </c>
      <c r="BU1051" s="15" t="s">
        <v>444</v>
      </c>
      <c r="BW1051" s="15" t="s">
        <v>444</v>
      </c>
      <c r="BZ1051" s="15" t="s">
        <v>444</v>
      </c>
      <c r="CB1051" s="15" t="s">
        <v>444</v>
      </c>
      <c r="CD1051" s="15" t="s">
        <v>444</v>
      </c>
      <c r="CF1051" s="15" t="s">
        <v>444</v>
      </c>
      <c r="CI1051" s="15" t="s">
        <v>444</v>
      </c>
      <c r="CK1051" s="15" t="s">
        <v>444</v>
      </c>
      <c r="CM1051" s="15" t="s">
        <v>444</v>
      </c>
      <c r="CO1051" s="15" t="s">
        <v>444</v>
      </c>
      <c r="CP1051" s="15" t="str">
        <f>"19.85"</f>
        <v>19.85</v>
      </c>
      <c r="CQ1051" s="15" t="str">
        <f>"0.562"</f>
        <v>0.562</v>
      </c>
      <c r="CR1051" s="15" t="s">
        <v>497</v>
      </c>
      <c r="CS1051" s="15" t="s">
        <v>779</v>
      </c>
      <c r="CT1051" s="15" t="s">
        <v>2046</v>
      </c>
      <c r="CU1051" s="15" t="s">
        <v>3512</v>
      </c>
      <c r="CV1051" s="15" t="s">
        <v>779</v>
      </c>
      <c r="CW1051" s="15" t="s">
        <v>10044</v>
      </c>
      <c r="CX1051" s="15" t="s">
        <v>3512</v>
      </c>
      <c r="DC1051" s="15" t="str">
        <f>IFERROR(__xludf.DUMMYFUNCTION("""COMPUTED_VALUE"""),"")</f>
        <v/>
      </c>
      <c r="DE1051" s="15" t="str">
        <f>IFERROR(__xludf.DUMMYFUNCTION("""COMPUTED_VALUE"""),"")</f>
        <v/>
      </c>
      <c r="DG1051" s="15" t="str">
        <f>IFERROR(__xludf.DUMMYFUNCTION("""COMPUTED_VALUE"""),"")</f>
        <v/>
      </c>
      <c r="DL1051" s="15" t="str">
        <f>IFERROR(__xludf.DUMMYFUNCTION("""COMPUTED_VALUE"""),"")</f>
        <v/>
      </c>
      <c r="DM1051" s="15" t="s">
        <v>444</v>
      </c>
      <c r="DN1051" s="15" t="s">
        <v>2600</v>
      </c>
      <c r="DO1051" s="15">
        <v>2.0</v>
      </c>
      <c r="DP1051" s="15" t="s">
        <v>2604</v>
      </c>
      <c r="DR1051" s="15">
        <v>1.0</v>
      </c>
      <c r="DS1051" s="15" t="s">
        <v>426</v>
      </c>
      <c r="DT1051" s="15" t="s">
        <v>764</v>
      </c>
      <c r="DU1051" s="15" t="s">
        <v>421</v>
      </c>
      <c r="DY1051" s="15">
        <v>0.0</v>
      </c>
      <c r="EF1051" s="15" t="s">
        <v>10168</v>
      </c>
      <c r="EG1051" s="15" t="s">
        <v>10169</v>
      </c>
      <c r="EH1051" s="15" t="s">
        <v>10015</v>
      </c>
      <c r="EJ1051" s="15" t="s">
        <v>500</v>
      </c>
      <c r="EK1051" s="15" t="s">
        <v>501</v>
      </c>
      <c r="EM1051" s="15" t="str">
        <f>IFERROR(__xludf.DUMMYFUNCTION("""COMPUTED_VALUE"""),"")</f>
        <v/>
      </c>
      <c r="EW1051" s="15" t="s">
        <v>2050</v>
      </c>
      <c r="EX1051" s="15" t="s">
        <v>779</v>
      </c>
      <c r="EY1051" s="15" t="s">
        <v>3512</v>
      </c>
      <c r="FH1051" s="15" t="s">
        <v>1074</v>
      </c>
      <c r="FI1051" s="15" t="s">
        <v>2651</v>
      </c>
      <c r="FJ1051" s="15" t="s">
        <v>4552</v>
      </c>
      <c r="FK1051" s="15" t="s">
        <v>2046</v>
      </c>
      <c r="FL1051" s="15" t="s">
        <v>426</v>
      </c>
      <c r="FM1051" s="15">
        <v>1.0</v>
      </c>
      <c r="GH1051" s="15">
        <v>0.0</v>
      </c>
      <c r="GI1051" s="15" t="s">
        <v>427</v>
      </c>
      <c r="GQ1051" s="15" t="s">
        <v>2598</v>
      </c>
      <c r="GR1051" s="15" t="s">
        <v>2598</v>
      </c>
      <c r="GS1051" s="15" t="s">
        <v>4375</v>
      </c>
      <c r="GT1051" s="15" t="s">
        <v>10122</v>
      </c>
      <c r="GU1051" s="15" t="s">
        <v>4056</v>
      </c>
      <c r="GV1051" s="15" t="s">
        <v>4056</v>
      </c>
      <c r="GW1051" s="15" t="s">
        <v>2604</v>
      </c>
      <c r="GY1051" s="15" t="s">
        <v>764</v>
      </c>
      <c r="GZ1051" s="15" t="s">
        <v>426</v>
      </c>
      <c r="HD1051" s="15">
        <v>1.0</v>
      </c>
      <c r="IG1051" s="15" t="s">
        <v>426</v>
      </c>
    </row>
    <row r="1052" ht="15.75" customHeight="1">
      <c r="A1052" s="14" t="s">
        <v>391</v>
      </c>
      <c r="B1052" s="15" t="s">
        <v>10162</v>
      </c>
      <c r="C1052" s="16"/>
      <c r="D1052" s="15" t="s">
        <v>432</v>
      </c>
      <c r="G1052" s="14" t="s">
        <v>393</v>
      </c>
      <c r="H1052" s="14" t="s">
        <v>394</v>
      </c>
      <c r="I1052" s="14" t="b">
        <v>1</v>
      </c>
      <c r="J1052" s="14" t="s">
        <v>395</v>
      </c>
      <c r="L1052" s="14" t="b">
        <v>0</v>
      </c>
      <c r="M1052" s="15" t="s">
        <v>10170</v>
      </c>
      <c r="N1052" s="14" t="s">
        <v>393</v>
      </c>
      <c r="O1052" s="14" t="s">
        <v>393</v>
      </c>
      <c r="P1052" s="15" t="s">
        <v>397</v>
      </c>
      <c r="Q1052" s="15" t="s">
        <v>10017</v>
      </c>
      <c r="T1052" s="14" t="b">
        <v>0</v>
      </c>
      <c r="U1052" s="15" t="s">
        <v>10171</v>
      </c>
      <c r="V1052" s="15" t="s">
        <v>5776</v>
      </c>
      <c r="W1052" s="15" t="s">
        <v>401</v>
      </c>
      <c r="X1052" s="15" t="s">
        <v>402</v>
      </c>
      <c r="Y1052" s="15">
        <v>1261.0</v>
      </c>
      <c r="AA1052" s="15" t="str">
        <f t="shared" si="1818"/>
        <v>485</v>
      </c>
      <c r="AB1052" s="14" t="b">
        <v>1</v>
      </c>
      <c r="AC1052" s="14" t="b">
        <v>1</v>
      </c>
      <c r="AD1052" s="15" t="str">
        <f>"801542758769"</f>
        <v>801542758769</v>
      </c>
      <c r="AE1052" s="15" t="s">
        <v>10172</v>
      </c>
      <c r="AF1052" s="14" t="s">
        <v>404</v>
      </c>
      <c r="AG1052" s="14" t="s">
        <v>405</v>
      </c>
      <c r="AH1052" s="14" t="s">
        <v>406</v>
      </c>
      <c r="AI1052" s="15">
        <v>0.0</v>
      </c>
      <c r="AL1052" s="15" t="s">
        <v>5927</v>
      </c>
      <c r="AM1052" s="15" t="s">
        <v>546</v>
      </c>
      <c r="AN1052" s="15" t="s">
        <v>547</v>
      </c>
      <c r="AO1052" s="15" t="s">
        <v>1561</v>
      </c>
      <c r="AP1052" s="15" t="s">
        <v>1562</v>
      </c>
      <c r="AQ1052" s="15" t="s">
        <v>1276</v>
      </c>
      <c r="AR1052" s="15" t="s">
        <v>1277</v>
      </c>
      <c r="AS1052" s="15" t="s">
        <v>4463</v>
      </c>
      <c r="AT1052" s="15" t="s">
        <v>10017</v>
      </c>
      <c r="AU1052" s="15" t="s">
        <v>5928</v>
      </c>
      <c r="AW1052" s="15" t="s">
        <v>10166</v>
      </c>
      <c r="AY1052" s="15" t="s">
        <v>413</v>
      </c>
      <c r="AZ1052" s="15" t="b">
        <v>0</v>
      </c>
      <c r="BA1052" s="15" t="s">
        <v>413</v>
      </c>
      <c r="BB1052" s="15" t="b">
        <v>0</v>
      </c>
      <c r="BC1052" s="15" t="s">
        <v>10173</v>
      </c>
      <c r="BD1052" s="15" t="s">
        <v>415</v>
      </c>
      <c r="BE1052" s="15" t="str">
        <f t="shared" si="1784"/>
        <v>1</v>
      </c>
      <c r="BF1052" s="15" t="s">
        <v>416</v>
      </c>
      <c r="BG1052" s="15" t="str">
        <f t="shared" si="1819"/>
        <v>34.65</v>
      </c>
      <c r="BH1052" s="15" t="s">
        <v>1229</v>
      </c>
      <c r="BI1052" s="15" t="str">
        <f t="shared" si="1820"/>
        <v>26.77</v>
      </c>
      <c r="BJ1052" s="15" t="s">
        <v>2322</v>
      </c>
      <c r="BK1052" s="15" t="str">
        <f t="shared" si="1821"/>
        <v>37.01</v>
      </c>
      <c r="BL1052" s="15" t="s">
        <v>1990</v>
      </c>
      <c r="BM1052" s="15" t="str">
        <f t="shared" si="1822"/>
        <v>112.43</v>
      </c>
      <c r="BN1052" s="15" t="s">
        <v>7620</v>
      </c>
      <c r="BQ1052" s="15" t="s">
        <v>444</v>
      </c>
      <c r="BS1052" s="15" t="s">
        <v>444</v>
      </c>
      <c r="BU1052" s="15" t="s">
        <v>444</v>
      </c>
      <c r="BW1052" s="15" t="s">
        <v>444</v>
      </c>
      <c r="BZ1052" s="15" t="s">
        <v>444</v>
      </c>
      <c r="CB1052" s="15" t="s">
        <v>444</v>
      </c>
      <c r="CD1052" s="15" t="s">
        <v>444</v>
      </c>
      <c r="CF1052" s="15" t="s">
        <v>444</v>
      </c>
      <c r="CI1052" s="15" t="s">
        <v>444</v>
      </c>
      <c r="CK1052" s="15" t="s">
        <v>444</v>
      </c>
      <c r="CM1052" s="15" t="s">
        <v>444</v>
      </c>
      <c r="CO1052" s="15" t="s">
        <v>444</v>
      </c>
      <c r="CP1052" s="15" t="str">
        <f t="shared" ref="CP1052:CP1053" si="1823">"19.88"</f>
        <v>19.88</v>
      </c>
      <c r="CQ1052" s="15" t="str">
        <f t="shared" ref="CQ1052:CQ1053" si="1824">"0.563"</f>
        <v>0.563</v>
      </c>
      <c r="CR1052" s="15" t="s">
        <v>497</v>
      </c>
      <c r="CS1052" s="15" t="s">
        <v>779</v>
      </c>
      <c r="CT1052" s="15" t="s">
        <v>2046</v>
      </c>
      <c r="CU1052" s="15" t="s">
        <v>3512</v>
      </c>
      <c r="CV1052" s="15" t="s">
        <v>779</v>
      </c>
      <c r="CW1052" s="15" t="s">
        <v>10044</v>
      </c>
      <c r="CX1052" s="15" t="s">
        <v>3512</v>
      </c>
      <c r="DC1052" s="15" t="str">
        <f>IFERROR(__xludf.DUMMYFUNCTION("""COMPUTED_VALUE"""),"")</f>
        <v/>
      </c>
      <c r="DE1052" s="15" t="str">
        <f>IFERROR(__xludf.DUMMYFUNCTION("""COMPUTED_VALUE"""),"")</f>
        <v/>
      </c>
      <c r="DG1052" s="15" t="str">
        <f>IFERROR(__xludf.DUMMYFUNCTION("""COMPUTED_VALUE"""),"")</f>
        <v/>
      </c>
      <c r="DL1052" s="15" t="str">
        <f>IFERROR(__xludf.DUMMYFUNCTION("""COMPUTED_VALUE"""),"")</f>
        <v/>
      </c>
      <c r="DM1052" s="15" t="s">
        <v>444</v>
      </c>
      <c r="DN1052" s="15" t="s">
        <v>2600</v>
      </c>
      <c r="DO1052" s="15">
        <v>2.0</v>
      </c>
      <c r="DP1052" s="15" t="s">
        <v>2604</v>
      </c>
      <c r="DR1052" s="15">
        <v>1.0</v>
      </c>
      <c r="DS1052" s="15" t="s">
        <v>426</v>
      </c>
      <c r="DT1052" s="15" t="s">
        <v>764</v>
      </c>
      <c r="DU1052" s="15" t="s">
        <v>421</v>
      </c>
      <c r="DY1052" s="15">
        <v>0.0</v>
      </c>
      <c r="EF1052" s="15" t="s">
        <v>10168</v>
      </c>
      <c r="EG1052" s="15" t="s">
        <v>10169</v>
      </c>
      <c r="EH1052" s="15" t="s">
        <v>10015</v>
      </c>
      <c r="EJ1052" s="15" t="s">
        <v>500</v>
      </c>
      <c r="EK1052" s="15" t="s">
        <v>501</v>
      </c>
      <c r="EM1052" s="15" t="str">
        <f>IFERROR(__xludf.DUMMYFUNCTION("""COMPUTED_VALUE"""),"")</f>
        <v/>
      </c>
      <c r="EW1052" s="15" t="s">
        <v>2050</v>
      </c>
      <c r="EX1052" s="15" t="s">
        <v>779</v>
      </c>
      <c r="EY1052" s="15" t="s">
        <v>3512</v>
      </c>
      <c r="FH1052" s="15" t="s">
        <v>1074</v>
      </c>
      <c r="FI1052" s="15" t="s">
        <v>2651</v>
      </c>
      <c r="FJ1052" s="15" t="s">
        <v>4552</v>
      </c>
      <c r="FK1052" s="15" t="s">
        <v>2046</v>
      </c>
      <c r="FL1052" s="15" t="s">
        <v>426</v>
      </c>
      <c r="FM1052" s="15">
        <v>1.0</v>
      </c>
      <c r="GH1052" s="15">
        <v>0.0</v>
      </c>
      <c r="GI1052" s="15" t="s">
        <v>427</v>
      </c>
      <c r="GQ1052" s="15" t="s">
        <v>2598</v>
      </c>
      <c r="GR1052" s="15" t="s">
        <v>2598</v>
      </c>
      <c r="GS1052" s="15" t="s">
        <v>4375</v>
      </c>
      <c r="GT1052" s="15" t="s">
        <v>10122</v>
      </c>
      <c r="GU1052" s="15" t="s">
        <v>4056</v>
      </c>
      <c r="GV1052" s="15" t="s">
        <v>4056</v>
      </c>
      <c r="GW1052" s="15" t="s">
        <v>2604</v>
      </c>
      <c r="GY1052" s="15" t="s">
        <v>764</v>
      </c>
      <c r="GZ1052" s="15" t="s">
        <v>426</v>
      </c>
      <c r="HD1052" s="15">
        <v>1.0</v>
      </c>
      <c r="IG1052" s="15" t="s">
        <v>426</v>
      </c>
    </row>
    <row r="1053" ht="15.75" customHeight="1">
      <c r="A1053" s="14" t="s">
        <v>391</v>
      </c>
      <c r="B1053" s="15" t="s">
        <v>10162</v>
      </c>
      <c r="C1053" s="16"/>
      <c r="D1053" s="15" t="s">
        <v>432</v>
      </c>
      <c r="G1053" s="14" t="s">
        <v>393</v>
      </c>
      <c r="H1053" s="14" t="s">
        <v>394</v>
      </c>
      <c r="I1053" s="14" t="b">
        <v>1</v>
      </c>
      <c r="J1053" s="14" t="s">
        <v>395</v>
      </c>
      <c r="L1053" s="14" t="b">
        <v>0</v>
      </c>
      <c r="M1053" s="15" t="s">
        <v>10174</v>
      </c>
      <c r="N1053" s="14" t="s">
        <v>393</v>
      </c>
      <c r="O1053" s="14" t="s">
        <v>393</v>
      </c>
      <c r="P1053" s="15" t="s">
        <v>397</v>
      </c>
      <c r="Q1053" s="15" t="s">
        <v>10022</v>
      </c>
      <c r="T1053" s="14" t="b">
        <v>0</v>
      </c>
      <c r="U1053" s="15" t="s">
        <v>10175</v>
      </c>
      <c r="V1053" s="15" t="s">
        <v>5776</v>
      </c>
      <c r="W1053" s="15" t="s">
        <v>401</v>
      </c>
      <c r="X1053" s="15" t="s">
        <v>402</v>
      </c>
      <c r="Y1053" s="15">
        <v>1261.0</v>
      </c>
      <c r="AA1053" s="15" t="str">
        <f t="shared" si="1818"/>
        <v>485</v>
      </c>
      <c r="AB1053" s="14" t="b">
        <v>1</v>
      </c>
      <c r="AC1053" s="14" t="b">
        <v>1</v>
      </c>
      <c r="AD1053" s="15" t="str">
        <f>"801542769536"</f>
        <v>801542769536</v>
      </c>
      <c r="AE1053" s="15" t="s">
        <v>10176</v>
      </c>
      <c r="AF1053" s="14" t="s">
        <v>404</v>
      </c>
      <c r="AG1053" s="14" t="s">
        <v>405</v>
      </c>
      <c r="AH1053" s="14" t="s">
        <v>406</v>
      </c>
      <c r="AI1053" s="15">
        <v>0.0</v>
      </c>
      <c r="AL1053" s="15" t="s">
        <v>5927</v>
      </c>
      <c r="AM1053" s="15" t="s">
        <v>546</v>
      </c>
      <c r="AN1053" s="15" t="s">
        <v>547</v>
      </c>
      <c r="AO1053" s="15" t="s">
        <v>1561</v>
      </c>
      <c r="AP1053" s="15" t="s">
        <v>1562</v>
      </c>
      <c r="AQ1053" s="15" t="s">
        <v>1276</v>
      </c>
      <c r="AR1053" s="15" t="s">
        <v>1277</v>
      </c>
      <c r="AS1053" s="15" t="s">
        <v>4463</v>
      </c>
      <c r="AT1053" s="15" t="s">
        <v>10022</v>
      </c>
      <c r="AU1053" s="15" t="s">
        <v>5928</v>
      </c>
      <c r="AW1053" s="15" t="s">
        <v>10166</v>
      </c>
      <c r="AY1053" s="15" t="s">
        <v>413</v>
      </c>
      <c r="AZ1053" s="15" t="b">
        <v>0</v>
      </c>
      <c r="BA1053" s="15" t="s">
        <v>413</v>
      </c>
      <c r="BB1053" s="15" t="b">
        <v>0</v>
      </c>
      <c r="BC1053" s="15" t="s">
        <v>10177</v>
      </c>
      <c r="BD1053" s="15" t="s">
        <v>415</v>
      </c>
      <c r="BE1053" s="15" t="str">
        <f t="shared" si="1784"/>
        <v>1</v>
      </c>
      <c r="BF1053" s="15" t="s">
        <v>416</v>
      </c>
      <c r="BG1053" s="15" t="str">
        <f t="shared" si="1819"/>
        <v>34.65</v>
      </c>
      <c r="BH1053" s="15" t="s">
        <v>1229</v>
      </c>
      <c r="BI1053" s="15" t="str">
        <f t="shared" si="1820"/>
        <v>26.77</v>
      </c>
      <c r="BJ1053" s="15" t="s">
        <v>2322</v>
      </c>
      <c r="BK1053" s="15" t="str">
        <f t="shared" si="1821"/>
        <v>37.01</v>
      </c>
      <c r="BL1053" s="15" t="s">
        <v>1990</v>
      </c>
      <c r="BM1053" s="15" t="str">
        <f t="shared" si="1822"/>
        <v>112.43</v>
      </c>
      <c r="BN1053" s="15" t="s">
        <v>7620</v>
      </c>
      <c r="BQ1053" s="15" t="s">
        <v>444</v>
      </c>
      <c r="BS1053" s="15" t="s">
        <v>444</v>
      </c>
      <c r="BU1053" s="15" t="s">
        <v>444</v>
      </c>
      <c r="BW1053" s="15" t="s">
        <v>444</v>
      </c>
      <c r="BZ1053" s="15" t="s">
        <v>444</v>
      </c>
      <c r="CB1053" s="15" t="s">
        <v>444</v>
      </c>
      <c r="CD1053" s="15" t="s">
        <v>444</v>
      </c>
      <c r="CF1053" s="15" t="s">
        <v>444</v>
      </c>
      <c r="CI1053" s="15" t="s">
        <v>444</v>
      </c>
      <c r="CK1053" s="15" t="s">
        <v>444</v>
      </c>
      <c r="CM1053" s="15" t="s">
        <v>444</v>
      </c>
      <c r="CO1053" s="15" t="s">
        <v>444</v>
      </c>
      <c r="CP1053" s="15" t="str">
        <f t="shared" si="1823"/>
        <v>19.88</v>
      </c>
      <c r="CQ1053" s="15" t="str">
        <f t="shared" si="1824"/>
        <v>0.563</v>
      </c>
      <c r="CR1053" s="15" t="s">
        <v>465</v>
      </c>
      <c r="CS1053" s="15" t="s">
        <v>779</v>
      </c>
      <c r="CT1053" s="15" t="s">
        <v>2046</v>
      </c>
      <c r="CU1053" s="15" t="s">
        <v>3512</v>
      </c>
      <c r="CV1053" s="15" t="s">
        <v>779</v>
      </c>
      <c r="CW1053" s="15" t="s">
        <v>10044</v>
      </c>
      <c r="CX1053" s="15" t="s">
        <v>3512</v>
      </c>
      <c r="DC1053" s="15" t="str">
        <f>IFERROR(__xludf.DUMMYFUNCTION("""COMPUTED_VALUE"""),"")</f>
        <v/>
      </c>
      <c r="DE1053" s="15" t="str">
        <f>IFERROR(__xludf.DUMMYFUNCTION("""COMPUTED_VALUE"""),"")</f>
        <v/>
      </c>
      <c r="DG1053" s="15" t="str">
        <f>IFERROR(__xludf.DUMMYFUNCTION("""COMPUTED_VALUE"""),"")</f>
        <v/>
      </c>
      <c r="DL1053" s="15" t="str">
        <f>IFERROR(__xludf.DUMMYFUNCTION("""COMPUTED_VALUE"""),"")</f>
        <v/>
      </c>
      <c r="DM1053" s="15" t="s">
        <v>444</v>
      </c>
      <c r="DN1053" s="15" t="s">
        <v>2600</v>
      </c>
      <c r="DO1053" s="15">
        <v>2.0</v>
      </c>
      <c r="DP1053" s="15" t="s">
        <v>2604</v>
      </c>
      <c r="DR1053" s="15">
        <v>1.0</v>
      </c>
      <c r="DS1053" s="15" t="s">
        <v>426</v>
      </c>
      <c r="DT1053" s="15" t="s">
        <v>764</v>
      </c>
      <c r="DU1053" s="15" t="s">
        <v>421</v>
      </c>
      <c r="DY1053" s="15">
        <v>0.0</v>
      </c>
      <c r="EF1053" s="15" t="s">
        <v>10168</v>
      </c>
      <c r="EG1053" s="15" t="s">
        <v>10169</v>
      </c>
      <c r="EH1053" s="15" t="s">
        <v>10015</v>
      </c>
      <c r="EJ1053" s="15" t="s">
        <v>500</v>
      </c>
      <c r="EK1053" s="15" t="s">
        <v>501</v>
      </c>
      <c r="EM1053" s="15" t="str">
        <f>IFERROR(__xludf.DUMMYFUNCTION("""COMPUTED_VALUE"""),"")</f>
        <v/>
      </c>
      <c r="EW1053" s="15" t="s">
        <v>2050</v>
      </c>
      <c r="EX1053" s="15" t="s">
        <v>779</v>
      </c>
      <c r="EY1053" s="15" t="s">
        <v>3512</v>
      </c>
      <c r="FH1053" s="15" t="s">
        <v>1074</v>
      </c>
      <c r="FI1053" s="15" t="s">
        <v>2651</v>
      </c>
      <c r="FJ1053" s="15" t="s">
        <v>4552</v>
      </c>
      <c r="FK1053" s="15" t="s">
        <v>2046</v>
      </c>
      <c r="FL1053" s="15" t="s">
        <v>426</v>
      </c>
      <c r="FM1053" s="15">
        <v>1.0</v>
      </c>
      <c r="GH1053" s="15">
        <v>0.0</v>
      </c>
      <c r="GI1053" s="15" t="s">
        <v>427</v>
      </c>
      <c r="GQ1053" s="15" t="s">
        <v>2598</v>
      </c>
      <c r="GR1053" s="15" t="s">
        <v>2598</v>
      </c>
      <c r="GS1053" s="15" t="s">
        <v>4375</v>
      </c>
      <c r="GT1053" s="15" t="s">
        <v>10122</v>
      </c>
      <c r="GU1053" s="15" t="s">
        <v>4056</v>
      </c>
      <c r="GV1053" s="15" t="s">
        <v>4056</v>
      </c>
      <c r="GW1053" s="15" t="s">
        <v>2604</v>
      </c>
      <c r="GY1053" s="15" t="s">
        <v>764</v>
      </c>
      <c r="GZ1053" s="15" t="s">
        <v>426</v>
      </c>
      <c r="HD1053" s="15">
        <v>1.0</v>
      </c>
      <c r="IG1053" s="15" t="s">
        <v>426</v>
      </c>
    </row>
    <row r="1054" ht="15.75" customHeight="1">
      <c r="A1054" s="14" t="s">
        <v>391</v>
      </c>
      <c r="B1054" s="15" t="s">
        <v>10178</v>
      </c>
      <c r="C1054" s="16"/>
      <c r="D1054" s="15" t="s">
        <v>432</v>
      </c>
      <c r="G1054" s="14" t="s">
        <v>393</v>
      </c>
      <c r="H1054" s="14" t="s">
        <v>394</v>
      </c>
      <c r="I1054" s="14" t="b">
        <v>1</v>
      </c>
      <c r="J1054" s="14" t="s">
        <v>395</v>
      </c>
      <c r="L1054" s="14" t="b">
        <v>0</v>
      </c>
      <c r="M1054" s="15" t="s">
        <v>10179</v>
      </c>
      <c r="N1054" s="14" t="s">
        <v>393</v>
      </c>
      <c r="O1054" s="14" t="s">
        <v>393</v>
      </c>
      <c r="P1054" s="15" t="s">
        <v>397</v>
      </c>
      <c r="Q1054" s="15" t="s">
        <v>10010</v>
      </c>
      <c r="T1054" s="14" t="b">
        <v>0</v>
      </c>
      <c r="U1054" s="15" t="s">
        <v>10180</v>
      </c>
      <c r="V1054" s="15" t="s">
        <v>7380</v>
      </c>
      <c r="W1054" s="15" t="s">
        <v>401</v>
      </c>
      <c r="X1054" s="15" t="s">
        <v>402</v>
      </c>
      <c r="Y1054" s="15">
        <v>1638.0</v>
      </c>
      <c r="AA1054" s="15" t="str">
        <f t="shared" ref="AA1054:AA1056" si="1825">"630"</f>
        <v>630</v>
      </c>
      <c r="AB1054" s="14" t="b">
        <v>1</v>
      </c>
      <c r="AC1054" s="14" t="b">
        <v>1</v>
      </c>
      <c r="AD1054" s="15" t="str">
        <f>"801542391799"</f>
        <v>801542391799</v>
      </c>
      <c r="AE1054" s="15" t="s">
        <v>10181</v>
      </c>
      <c r="AF1054" s="14" t="s">
        <v>404</v>
      </c>
      <c r="AG1054" s="14" t="s">
        <v>405</v>
      </c>
      <c r="AH1054" s="14" t="s">
        <v>406</v>
      </c>
      <c r="AI1054" s="15">
        <v>0.0</v>
      </c>
      <c r="AL1054" s="15" t="s">
        <v>5927</v>
      </c>
      <c r="AM1054" s="15" t="s">
        <v>10182</v>
      </c>
      <c r="AN1054" s="15" t="s">
        <v>10183</v>
      </c>
      <c r="AO1054" s="15" t="s">
        <v>1561</v>
      </c>
      <c r="AP1054" s="15" t="s">
        <v>1562</v>
      </c>
      <c r="AQ1054" s="15" t="s">
        <v>1276</v>
      </c>
      <c r="AR1054" s="15" t="s">
        <v>1277</v>
      </c>
      <c r="AS1054" s="15" t="s">
        <v>4463</v>
      </c>
      <c r="AT1054" s="15" t="s">
        <v>10010</v>
      </c>
      <c r="AU1054" s="15" t="s">
        <v>10013</v>
      </c>
      <c r="AW1054" s="15" t="s">
        <v>10166</v>
      </c>
      <c r="AY1054" s="15" t="s">
        <v>413</v>
      </c>
      <c r="AZ1054" s="15" t="b">
        <v>0</v>
      </c>
      <c r="BA1054" s="15" t="s">
        <v>413</v>
      </c>
      <c r="BB1054" s="15" t="b">
        <v>0</v>
      </c>
      <c r="BC1054" s="15" t="s">
        <v>10184</v>
      </c>
      <c r="BD1054" s="15" t="s">
        <v>415</v>
      </c>
      <c r="BE1054" s="15" t="str">
        <f t="shared" si="1784"/>
        <v>1</v>
      </c>
      <c r="BF1054" s="15" t="s">
        <v>416</v>
      </c>
      <c r="BG1054" s="15" t="str">
        <f t="shared" ref="BG1054:BG1056" si="1826">"64.57"</f>
        <v>64.57</v>
      </c>
      <c r="BH1054" s="15" t="s">
        <v>8244</v>
      </c>
      <c r="BI1054" s="15" t="str">
        <f t="shared" ref="BI1054:BI1056" si="1827">"26.57"</f>
        <v>26.57</v>
      </c>
      <c r="BJ1054" s="15" t="s">
        <v>3718</v>
      </c>
      <c r="BK1054" s="15" t="str">
        <f t="shared" ref="BK1054:BK1056" si="1828">"35.83"</f>
        <v>35.83</v>
      </c>
      <c r="BL1054" s="15" t="s">
        <v>1505</v>
      </c>
      <c r="BM1054" s="15" t="str">
        <f t="shared" ref="BM1054:BM1056" si="1829">"156.53"</f>
        <v>156.53</v>
      </c>
      <c r="BN1054" s="15" t="s">
        <v>10185</v>
      </c>
      <c r="BQ1054" s="15" t="s">
        <v>444</v>
      </c>
      <c r="BS1054" s="15" t="s">
        <v>444</v>
      </c>
      <c r="BU1054" s="15" t="s">
        <v>444</v>
      </c>
      <c r="BW1054" s="15" t="s">
        <v>444</v>
      </c>
      <c r="BZ1054" s="15" t="s">
        <v>444</v>
      </c>
      <c r="CB1054" s="15" t="s">
        <v>444</v>
      </c>
      <c r="CD1054" s="15" t="s">
        <v>444</v>
      </c>
      <c r="CF1054" s="15" t="s">
        <v>444</v>
      </c>
      <c r="CI1054" s="15" t="s">
        <v>444</v>
      </c>
      <c r="CK1054" s="15" t="s">
        <v>444</v>
      </c>
      <c r="CM1054" s="15" t="s">
        <v>444</v>
      </c>
      <c r="CO1054" s="15" t="s">
        <v>444</v>
      </c>
      <c r="CP1054" s="15" t="str">
        <f t="shared" ref="CP1054:CP1056" si="1830">"35.56"</f>
        <v>35.56</v>
      </c>
      <c r="CQ1054" s="15" t="str">
        <f t="shared" ref="CQ1054:CQ1056" si="1831">"1.007"</f>
        <v>1.007</v>
      </c>
      <c r="CR1054" s="15" t="s">
        <v>417</v>
      </c>
      <c r="CS1054" s="15" t="s">
        <v>10186</v>
      </c>
      <c r="CT1054" s="15" t="s">
        <v>2046</v>
      </c>
      <c r="CU1054" s="15" t="s">
        <v>824</v>
      </c>
      <c r="CV1054" s="15" t="s">
        <v>10186</v>
      </c>
      <c r="CW1054" s="15" t="s">
        <v>10187</v>
      </c>
      <c r="CX1054" s="15" t="s">
        <v>824</v>
      </c>
      <c r="DC1054" s="15" t="str">
        <f>IFERROR(__xludf.DUMMYFUNCTION("""COMPUTED_VALUE"""),"")</f>
        <v/>
      </c>
      <c r="DE1054" s="15" t="str">
        <f>IFERROR(__xludf.DUMMYFUNCTION("""COMPUTED_VALUE"""),"")</f>
        <v/>
      </c>
      <c r="DG1054" s="15" t="str">
        <f>IFERROR(__xludf.DUMMYFUNCTION("""COMPUTED_VALUE"""),"")</f>
        <v/>
      </c>
      <c r="DL1054" s="15" t="str">
        <f>IFERROR(__xludf.DUMMYFUNCTION("""COMPUTED_VALUE"""),"")</f>
        <v/>
      </c>
      <c r="DM1054" s="15" t="s">
        <v>444</v>
      </c>
      <c r="DN1054" s="15" t="s">
        <v>2600</v>
      </c>
      <c r="DO1054" s="15">
        <v>4.0</v>
      </c>
      <c r="DP1054" s="15" t="s">
        <v>2604</v>
      </c>
      <c r="DR1054" s="15">
        <v>1.0</v>
      </c>
      <c r="DS1054" s="15" t="s">
        <v>426</v>
      </c>
      <c r="DT1054" s="15" t="s">
        <v>764</v>
      </c>
      <c r="DU1054" s="15" t="s">
        <v>421</v>
      </c>
      <c r="DY1054" s="15">
        <v>0.0</v>
      </c>
      <c r="EF1054" s="15" t="s">
        <v>10188</v>
      </c>
      <c r="EG1054" s="15" t="s">
        <v>10189</v>
      </c>
      <c r="EH1054" s="15" t="s">
        <v>10015</v>
      </c>
      <c r="EJ1054" s="15" t="s">
        <v>500</v>
      </c>
      <c r="EK1054" s="15" t="s">
        <v>501</v>
      </c>
      <c r="EM1054" s="15" t="str">
        <f>IFERROR(__xludf.DUMMYFUNCTION("""COMPUTED_VALUE"""),"")</f>
        <v/>
      </c>
      <c r="EW1054" s="15" t="s">
        <v>3857</v>
      </c>
      <c r="EX1054" s="15" t="s">
        <v>779</v>
      </c>
      <c r="EY1054" s="15" t="s">
        <v>10190</v>
      </c>
      <c r="FH1054" s="15" t="s">
        <v>1074</v>
      </c>
      <c r="FI1054" s="15" t="s">
        <v>2974</v>
      </c>
      <c r="FJ1054" s="15" t="s">
        <v>10191</v>
      </c>
      <c r="FK1054" s="15" t="s">
        <v>2046</v>
      </c>
      <c r="FL1054" s="15" t="s">
        <v>426</v>
      </c>
      <c r="FM1054" s="15">
        <v>2.0</v>
      </c>
      <c r="GF1054" s="15" t="s">
        <v>426</v>
      </c>
      <c r="GH1054" s="15">
        <v>0.0</v>
      </c>
      <c r="GI1054" s="15" t="s">
        <v>427</v>
      </c>
      <c r="GQ1054" s="15" t="s">
        <v>2598</v>
      </c>
      <c r="GR1054" s="15" t="s">
        <v>2598</v>
      </c>
      <c r="GS1054" s="15" t="s">
        <v>5796</v>
      </c>
      <c r="GT1054" s="15" t="s">
        <v>5059</v>
      </c>
      <c r="GU1054" s="15" t="s">
        <v>3775</v>
      </c>
      <c r="GV1054" s="15" t="s">
        <v>3775</v>
      </c>
      <c r="GW1054" s="15" t="s">
        <v>2604</v>
      </c>
      <c r="GY1054" s="15" t="s">
        <v>764</v>
      </c>
      <c r="GZ1054" s="15" t="s">
        <v>426</v>
      </c>
      <c r="HD1054" s="15">
        <v>2.0</v>
      </c>
    </row>
    <row r="1055" ht="15.75" customHeight="1">
      <c r="A1055" s="14" t="s">
        <v>391</v>
      </c>
      <c r="B1055" s="15" t="s">
        <v>10178</v>
      </c>
      <c r="C1055" s="16"/>
      <c r="D1055" s="15" t="s">
        <v>432</v>
      </c>
      <c r="G1055" s="14" t="s">
        <v>393</v>
      </c>
      <c r="H1055" s="14" t="s">
        <v>394</v>
      </c>
      <c r="I1055" s="14" t="b">
        <v>1</v>
      </c>
      <c r="J1055" s="14" t="s">
        <v>395</v>
      </c>
      <c r="L1055" s="14" t="b">
        <v>0</v>
      </c>
      <c r="M1055" s="15" t="s">
        <v>10192</v>
      </c>
      <c r="N1055" s="14" t="s">
        <v>393</v>
      </c>
      <c r="O1055" s="14" t="s">
        <v>393</v>
      </c>
      <c r="P1055" s="15" t="s">
        <v>397</v>
      </c>
      <c r="Q1055" s="15" t="s">
        <v>10017</v>
      </c>
      <c r="T1055" s="14" t="b">
        <v>0</v>
      </c>
      <c r="U1055" s="15" t="s">
        <v>10193</v>
      </c>
      <c r="V1055" s="15" t="s">
        <v>7380</v>
      </c>
      <c r="W1055" s="15" t="s">
        <v>401</v>
      </c>
      <c r="X1055" s="15" t="s">
        <v>402</v>
      </c>
      <c r="Y1055" s="15">
        <v>1638.0</v>
      </c>
      <c r="AA1055" s="15" t="str">
        <f t="shared" si="1825"/>
        <v>630</v>
      </c>
      <c r="AB1055" s="14" t="b">
        <v>1</v>
      </c>
      <c r="AC1055" s="14" t="b">
        <v>1</v>
      </c>
      <c r="AD1055" s="15" t="str">
        <f>"801542507350"</f>
        <v>801542507350</v>
      </c>
      <c r="AE1055" s="15" t="s">
        <v>10194</v>
      </c>
      <c r="AF1055" s="14" t="s">
        <v>404</v>
      </c>
      <c r="AG1055" s="14" t="s">
        <v>405</v>
      </c>
      <c r="AH1055" s="14" t="s">
        <v>406</v>
      </c>
      <c r="AI1055" s="15">
        <v>0.0</v>
      </c>
      <c r="AL1055" s="15" t="s">
        <v>5927</v>
      </c>
      <c r="AM1055" s="15" t="s">
        <v>10182</v>
      </c>
      <c r="AN1055" s="15" t="s">
        <v>10183</v>
      </c>
      <c r="AO1055" s="15" t="s">
        <v>1561</v>
      </c>
      <c r="AP1055" s="15" t="s">
        <v>1562</v>
      </c>
      <c r="AQ1055" s="15" t="s">
        <v>1276</v>
      </c>
      <c r="AR1055" s="15" t="s">
        <v>1277</v>
      </c>
      <c r="AS1055" s="15" t="s">
        <v>4463</v>
      </c>
      <c r="AT1055" s="15" t="s">
        <v>10017</v>
      </c>
      <c r="AU1055" s="15" t="s">
        <v>5928</v>
      </c>
      <c r="AW1055" s="15" t="s">
        <v>10166</v>
      </c>
      <c r="AY1055" s="15" t="s">
        <v>413</v>
      </c>
      <c r="AZ1055" s="15" t="b">
        <v>0</v>
      </c>
      <c r="BA1055" s="15" t="s">
        <v>413</v>
      </c>
      <c r="BB1055" s="15" t="b">
        <v>0</v>
      </c>
      <c r="BC1055" s="15" t="s">
        <v>10195</v>
      </c>
      <c r="BD1055" s="15" t="s">
        <v>415</v>
      </c>
      <c r="BE1055" s="15" t="str">
        <f t="shared" si="1784"/>
        <v>1</v>
      </c>
      <c r="BF1055" s="15" t="s">
        <v>416</v>
      </c>
      <c r="BG1055" s="15" t="str">
        <f t="shared" si="1826"/>
        <v>64.57</v>
      </c>
      <c r="BH1055" s="15" t="s">
        <v>8244</v>
      </c>
      <c r="BI1055" s="15" t="str">
        <f t="shared" si="1827"/>
        <v>26.57</v>
      </c>
      <c r="BJ1055" s="15" t="s">
        <v>3718</v>
      </c>
      <c r="BK1055" s="15" t="str">
        <f t="shared" si="1828"/>
        <v>35.83</v>
      </c>
      <c r="BL1055" s="15" t="s">
        <v>1505</v>
      </c>
      <c r="BM1055" s="15" t="str">
        <f t="shared" si="1829"/>
        <v>156.53</v>
      </c>
      <c r="BN1055" s="15" t="s">
        <v>10185</v>
      </c>
      <c r="BQ1055" s="15" t="s">
        <v>444</v>
      </c>
      <c r="BS1055" s="15" t="s">
        <v>444</v>
      </c>
      <c r="BU1055" s="15" t="s">
        <v>444</v>
      </c>
      <c r="BW1055" s="15" t="s">
        <v>444</v>
      </c>
      <c r="BZ1055" s="15" t="s">
        <v>444</v>
      </c>
      <c r="CB1055" s="15" t="s">
        <v>444</v>
      </c>
      <c r="CD1055" s="15" t="s">
        <v>444</v>
      </c>
      <c r="CF1055" s="15" t="s">
        <v>444</v>
      </c>
      <c r="CI1055" s="15" t="s">
        <v>444</v>
      </c>
      <c r="CK1055" s="15" t="s">
        <v>444</v>
      </c>
      <c r="CM1055" s="15" t="s">
        <v>444</v>
      </c>
      <c r="CO1055" s="15" t="s">
        <v>444</v>
      </c>
      <c r="CP1055" s="15" t="str">
        <f t="shared" si="1830"/>
        <v>35.56</v>
      </c>
      <c r="CQ1055" s="15" t="str">
        <f t="shared" si="1831"/>
        <v>1.007</v>
      </c>
      <c r="CR1055" s="15" t="s">
        <v>497</v>
      </c>
      <c r="CS1055" s="15" t="s">
        <v>10186</v>
      </c>
      <c r="CT1055" s="15" t="s">
        <v>2046</v>
      </c>
      <c r="CU1055" s="15" t="s">
        <v>824</v>
      </c>
      <c r="CV1055" s="15" t="s">
        <v>10186</v>
      </c>
      <c r="CW1055" s="15" t="s">
        <v>10187</v>
      </c>
      <c r="CX1055" s="15" t="s">
        <v>824</v>
      </c>
      <c r="DC1055" s="15" t="str">
        <f>IFERROR(__xludf.DUMMYFUNCTION("""COMPUTED_VALUE"""),"")</f>
        <v/>
      </c>
      <c r="DE1055" s="15" t="str">
        <f>IFERROR(__xludf.DUMMYFUNCTION("""COMPUTED_VALUE"""),"")</f>
        <v/>
      </c>
      <c r="DG1055" s="15" t="str">
        <f>IFERROR(__xludf.DUMMYFUNCTION("""COMPUTED_VALUE"""),"")</f>
        <v/>
      </c>
      <c r="DL1055" s="15" t="str">
        <f>IFERROR(__xludf.DUMMYFUNCTION("""COMPUTED_VALUE"""),"")</f>
        <v/>
      </c>
      <c r="DM1055" s="15" t="s">
        <v>444</v>
      </c>
      <c r="DN1055" s="15" t="s">
        <v>2600</v>
      </c>
      <c r="DO1055" s="15">
        <v>4.0</v>
      </c>
      <c r="DP1055" s="15" t="s">
        <v>2604</v>
      </c>
      <c r="DR1055" s="15">
        <v>1.0</v>
      </c>
      <c r="DS1055" s="15" t="s">
        <v>426</v>
      </c>
      <c r="DT1055" s="15" t="s">
        <v>764</v>
      </c>
      <c r="DU1055" s="15" t="s">
        <v>421</v>
      </c>
      <c r="DY1055" s="15">
        <v>0.0</v>
      </c>
      <c r="EF1055" s="15" t="s">
        <v>10188</v>
      </c>
      <c r="EG1055" s="15" t="s">
        <v>10189</v>
      </c>
      <c r="EH1055" s="15" t="s">
        <v>10015</v>
      </c>
      <c r="EJ1055" s="15" t="s">
        <v>500</v>
      </c>
      <c r="EK1055" s="15" t="s">
        <v>501</v>
      </c>
      <c r="EM1055" s="15" t="str">
        <f>IFERROR(__xludf.DUMMYFUNCTION("""COMPUTED_VALUE"""),"")</f>
        <v/>
      </c>
      <c r="EW1055" s="15" t="s">
        <v>3857</v>
      </c>
      <c r="EX1055" s="15" t="s">
        <v>779</v>
      </c>
      <c r="EY1055" s="15" t="s">
        <v>10190</v>
      </c>
      <c r="FH1055" s="15" t="s">
        <v>1074</v>
      </c>
      <c r="FI1055" s="15" t="s">
        <v>2974</v>
      </c>
      <c r="FJ1055" s="15" t="s">
        <v>10191</v>
      </c>
      <c r="FK1055" s="15" t="s">
        <v>2046</v>
      </c>
      <c r="FL1055" s="15" t="s">
        <v>426</v>
      </c>
      <c r="FM1055" s="15">
        <v>2.0</v>
      </c>
      <c r="GF1055" s="15" t="s">
        <v>426</v>
      </c>
      <c r="GH1055" s="15">
        <v>0.0</v>
      </c>
      <c r="GI1055" s="15" t="s">
        <v>427</v>
      </c>
      <c r="GQ1055" s="15" t="s">
        <v>2598</v>
      </c>
      <c r="GR1055" s="15" t="s">
        <v>2598</v>
      </c>
      <c r="GS1055" s="15" t="s">
        <v>5796</v>
      </c>
      <c r="GT1055" s="15" t="s">
        <v>5059</v>
      </c>
      <c r="GU1055" s="15" t="s">
        <v>3775</v>
      </c>
      <c r="GV1055" s="15" t="s">
        <v>3775</v>
      </c>
      <c r="GW1055" s="15" t="s">
        <v>2604</v>
      </c>
      <c r="GY1055" s="15" t="s">
        <v>764</v>
      </c>
      <c r="GZ1055" s="15" t="s">
        <v>426</v>
      </c>
      <c r="HD1055" s="15">
        <v>2.0</v>
      </c>
    </row>
    <row r="1056" ht="15.75" customHeight="1">
      <c r="A1056" s="14" t="s">
        <v>391</v>
      </c>
      <c r="B1056" s="15" t="s">
        <v>10178</v>
      </c>
      <c r="C1056" s="16"/>
      <c r="D1056" s="15" t="s">
        <v>432</v>
      </c>
      <c r="G1056" s="14" t="s">
        <v>393</v>
      </c>
      <c r="H1056" s="14" t="s">
        <v>394</v>
      </c>
      <c r="I1056" s="14" t="b">
        <v>1</v>
      </c>
      <c r="J1056" s="14" t="s">
        <v>395</v>
      </c>
      <c r="L1056" s="14" t="b">
        <v>0</v>
      </c>
      <c r="M1056" s="15" t="s">
        <v>10196</v>
      </c>
      <c r="N1056" s="14" t="s">
        <v>393</v>
      </c>
      <c r="O1056" s="14" t="s">
        <v>393</v>
      </c>
      <c r="P1056" s="15" t="s">
        <v>397</v>
      </c>
      <c r="Q1056" s="15" t="s">
        <v>10022</v>
      </c>
      <c r="T1056" s="14" t="b">
        <v>0</v>
      </c>
      <c r="U1056" s="15" t="s">
        <v>10197</v>
      </c>
      <c r="V1056" s="15" t="s">
        <v>7380</v>
      </c>
      <c r="W1056" s="15" t="s">
        <v>401</v>
      </c>
      <c r="X1056" s="15" t="s">
        <v>402</v>
      </c>
      <c r="Y1056" s="15">
        <v>1638.0</v>
      </c>
      <c r="AA1056" s="15" t="str">
        <f t="shared" si="1825"/>
        <v>630</v>
      </c>
      <c r="AB1056" s="14" t="b">
        <v>1</v>
      </c>
      <c r="AC1056" s="14" t="b">
        <v>1</v>
      </c>
      <c r="AD1056" s="15" t="str">
        <f>"801542769543"</f>
        <v>801542769543</v>
      </c>
      <c r="AE1056" s="15" t="s">
        <v>10198</v>
      </c>
      <c r="AF1056" s="14" t="s">
        <v>404</v>
      </c>
      <c r="AG1056" s="14" t="s">
        <v>405</v>
      </c>
      <c r="AH1056" s="14" t="s">
        <v>406</v>
      </c>
      <c r="AI1056" s="15">
        <v>0.0</v>
      </c>
      <c r="AL1056" s="15" t="s">
        <v>5927</v>
      </c>
      <c r="AM1056" s="15" t="s">
        <v>10182</v>
      </c>
      <c r="AN1056" s="15" t="s">
        <v>10183</v>
      </c>
      <c r="AO1056" s="15" t="s">
        <v>1561</v>
      </c>
      <c r="AP1056" s="15" t="s">
        <v>1562</v>
      </c>
      <c r="AQ1056" s="15" t="s">
        <v>1276</v>
      </c>
      <c r="AR1056" s="15" t="s">
        <v>1277</v>
      </c>
      <c r="AS1056" s="15" t="s">
        <v>4463</v>
      </c>
      <c r="AT1056" s="15" t="s">
        <v>10022</v>
      </c>
      <c r="AU1056" s="15" t="s">
        <v>5928</v>
      </c>
      <c r="AW1056" s="15" t="s">
        <v>10166</v>
      </c>
      <c r="AY1056" s="15" t="s">
        <v>413</v>
      </c>
      <c r="AZ1056" s="15" t="b">
        <v>0</v>
      </c>
      <c r="BA1056" s="15" t="s">
        <v>413</v>
      </c>
      <c r="BB1056" s="15" t="b">
        <v>0</v>
      </c>
      <c r="BC1056" s="15" t="s">
        <v>10199</v>
      </c>
      <c r="BD1056" s="15" t="s">
        <v>415</v>
      </c>
      <c r="BE1056" s="15" t="str">
        <f t="shared" si="1784"/>
        <v>1</v>
      </c>
      <c r="BF1056" s="15" t="s">
        <v>416</v>
      </c>
      <c r="BG1056" s="15" t="str">
        <f t="shared" si="1826"/>
        <v>64.57</v>
      </c>
      <c r="BH1056" s="15" t="s">
        <v>8244</v>
      </c>
      <c r="BI1056" s="15" t="str">
        <f t="shared" si="1827"/>
        <v>26.57</v>
      </c>
      <c r="BJ1056" s="15" t="s">
        <v>3718</v>
      </c>
      <c r="BK1056" s="15" t="str">
        <f t="shared" si="1828"/>
        <v>35.83</v>
      </c>
      <c r="BL1056" s="15" t="s">
        <v>1505</v>
      </c>
      <c r="BM1056" s="15" t="str">
        <f t="shared" si="1829"/>
        <v>156.53</v>
      </c>
      <c r="BN1056" s="15" t="s">
        <v>10185</v>
      </c>
      <c r="BQ1056" s="15" t="s">
        <v>444</v>
      </c>
      <c r="BS1056" s="15" t="s">
        <v>444</v>
      </c>
      <c r="BU1056" s="15" t="s">
        <v>444</v>
      </c>
      <c r="BW1056" s="15" t="s">
        <v>444</v>
      </c>
      <c r="BZ1056" s="15" t="s">
        <v>444</v>
      </c>
      <c r="CB1056" s="15" t="s">
        <v>444</v>
      </c>
      <c r="CD1056" s="15" t="s">
        <v>444</v>
      </c>
      <c r="CF1056" s="15" t="s">
        <v>444</v>
      </c>
      <c r="CI1056" s="15" t="s">
        <v>444</v>
      </c>
      <c r="CK1056" s="15" t="s">
        <v>444</v>
      </c>
      <c r="CM1056" s="15" t="s">
        <v>444</v>
      </c>
      <c r="CO1056" s="15" t="s">
        <v>444</v>
      </c>
      <c r="CP1056" s="15" t="str">
        <f t="shared" si="1830"/>
        <v>35.56</v>
      </c>
      <c r="CQ1056" s="15" t="str">
        <f t="shared" si="1831"/>
        <v>1.007</v>
      </c>
      <c r="CR1056" s="15" t="s">
        <v>465</v>
      </c>
      <c r="CS1056" s="15" t="s">
        <v>10186</v>
      </c>
      <c r="CT1056" s="15" t="s">
        <v>2046</v>
      </c>
      <c r="CU1056" s="15" t="s">
        <v>824</v>
      </c>
      <c r="CV1056" s="15" t="s">
        <v>10186</v>
      </c>
      <c r="CW1056" s="15" t="s">
        <v>10187</v>
      </c>
      <c r="CX1056" s="15" t="s">
        <v>824</v>
      </c>
      <c r="DC1056" s="15" t="str">
        <f>IFERROR(__xludf.DUMMYFUNCTION("""COMPUTED_VALUE"""),"")</f>
        <v/>
      </c>
      <c r="DE1056" s="15" t="str">
        <f>IFERROR(__xludf.DUMMYFUNCTION("""COMPUTED_VALUE"""),"")</f>
        <v/>
      </c>
      <c r="DG1056" s="15" t="str">
        <f>IFERROR(__xludf.DUMMYFUNCTION("""COMPUTED_VALUE"""),"")</f>
        <v/>
      </c>
      <c r="DL1056" s="15" t="str">
        <f>IFERROR(__xludf.DUMMYFUNCTION("""COMPUTED_VALUE"""),"")</f>
        <v/>
      </c>
      <c r="DM1056" s="15" t="s">
        <v>444</v>
      </c>
      <c r="DN1056" s="15" t="s">
        <v>2600</v>
      </c>
      <c r="DO1056" s="15">
        <v>4.0</v>
      </c>
      <c r="DP1056" s="15" t="s">
        <v>2604</v>
      </c>
      <c r="DR1056" s="15">
        <v>1.0</v>
      </c>
      <c r="DS1056" s="15" t="s">
        <v>426</v>
      </c>
      <c r="DT1056" s="15" t="s">
        <v>764</v>
      </c>
      <c r="DU1056" s="15" t="s">
        <v>421</v>
      </c>
      <c r="DY1056" s="15">
        <v>0.0</v>
      </c>
      <c r="EF1056" s="15" t="s">
        <v>10188</v>
      </c>
      <c r="EG1056" s="15" t="s">
        <v>10189</v>
      </c>
      <c r="EH1056" s="15" t="s">
        <v>10015</v>
      </c>
      <c r="EJ1056" s="15" t="s">
        <v>500</v>
      </c>
      <c r="EK1056" s="15" t="s">
        <v>501</v>
      </c>
      <c r="EM1056" s="15" t="str">
        <f>IFERROR(__xludf.DUMMYFUNCTION("""COMPUTED_VALUE"""),"")</f>
        <v/>
      </c>
      <c r="EW1056" s="15" t="s">
        <v>3857</v>
      </c>
      <c r="EX1056" s="15" t="s">
        <v>779</v>
      </c>
      <c r="EY1056" s="15" t="s">
        <v>10190</v>
      </c>
      <c r="FH1056" s="15" t="s">
        <v>1074</v>
      </c>
      <c r="FI1056" s="15" t="s">
        <v>2974</v>
      </c>
      <c r="FJ1056" s="15" t="s">
        <v>10191</v>
      </c>
      <c r="FK1056" s="15" t="s">
        <v>2046</v>
      </c>
      <c r="FL1056" s="15" t="s">
        <v>426</v>
      </c>
      <c r="FM1056" s="15">
        <v>2.0</v>
      </c>
      <c r="GF1056" s="15" t="s">
        <v>426</v>
      </c>
      <c r="GH1056" s="15">
        <v>0.0</v>
      </c>
      <c r="GI1056" s="15" t="s">
        <v>427</v>
      </c>
      <c r="GQ1056" s="15" t="s">
        <v>2598</v>
      </c>
      <c r="GR1056" s="15" t="s">
        <v>2598</v>
      </c>
      <c r="GS1056" s="15" t="s">
        <v>5796</v>
      </c>
      <c r="GT1056" s="15" t="s">
        <v>5059</v>
      </c>
      <c r="GU1056" s="15" t="s">
        <v>3775</v>
      </c>
      <c r="GV1056" s="15" t="s">
        <v>3775</v>
      </c>
      <c r="GW1056" s="15" t="s">
        <v>2604</v>
      </c>
      <c r="GY1056" s="15" t="s">
        <v>764</v>
      </c>
      <c r="GZ1056" s="15" t="s">
        <v>426</v>
      </c>
      <c r="HD1056" s="15">
        <v>2.0</v>
      </c>
    </row>
    <row r="1057" ht="15.75" customHeight="1">
      <c r="A1057" s="14" t="s">
        <v>391</v>
      </c>
      <c r="B1057" s="15" t="s">
        <v>10200</v>
      </c>
      <c r="C1057" s="16"/>
      <c r="D1057" s="15" t="s">
        <v>432</v>
      </c>
      <c r="G1057" s="14" t="s">
        <v>393</v>
      </c>
      <c r="H1057" s="14" t="s">
        <v>394</v>
      </c>
      <c r="I1057" s="14" t="b">
        <v>1</v>
      </c>
      <c r="J1057" s="14" t="s">
        <v>395</v>
      </c>
      <c r="L1057" s="14" t="b">
        <v>0</v>
      </c>
      <c r="M1057" s="15" t="s">
        <v>10201</v>
      </c>
      <c r="N1057" s="14" t="s">
        <v>393</v>
      </c>
      <c r="O1057" s="14" t="s">
        <v>393</v>
      </c>
      <c r="P1057" s="15" t="s">
        <v>397</v>
      </c>
      <c r="Q1057" s="15" t="s">
        <v>10010</v>
      </c>
      <c r="T1057" s="14" t="b">
        <v>0</v>
      </c>
      <c r="U1057" s="15" t="s">
        <v>10202</v>
      </c>
      <c r="V1057" s="15" t="s">
        <v>6144</v>
      </c>
      <c r="W1057" s="15" t="s">
        <v>401</v>
      </c>
      <c r="X1057" s="15" t="s">
        <v>402</v>
      </c>
      <c r="Y1057" s="15">
        <v>2080.0</v>
      </c>
      <c r="AA1057" s="15" t="str">
        <f t="shared" ref="AA1057:AA1059" si="1832">"800"</f>
        <v>800</v>
      </c>
      <c r="AB1057" s="14" t="b">
        <v>1</v>
      </c>
      <c r="AC1057" s="14" t="b">
        <v>1</v>
      </c>
      <c r="AD1057" s="15" t="str">
        <f>"801542623043"</f>
        <v>801542623043</v>
      </c>
      <c r="AE1057" s="15" t="s">
        <v>10203</v>
      </c>
      <c r="AF1057" s="14" t="s">
        <v>404</v>
      </c>
      <c r="AG1057" s="14" t="s">
        <v>405</v>
      </c>
      <c r="AH1057" s="14" t="s">
        <v>406</v>
      </c>
      <c r="AI1057" s="15">
        <v>0.0</v>
      </c>
      <c r="AL1057" s="15" t="s">
        <v>5927</v>
      </c>
      <c r="AM1057" s="15" t="s">
        <v>645</v>
      </c>
      <c r="AN1057" s="15" t="s">
        <v>646</v>
      </c>
      <c r="AO1057" s="15" t="s">
        <v>1152</v>
      </c>
      <c r="AP1057" s="15" t="s">
        <v>1153</v>
      </c>
      <c r="AQ1057" s="15" t="s">
        <v>9660</v>
      </c>
      <c r="AR1057" s="15" t="s">
        <v>9661</v>
      </c>
      <c r="AS1057" s="15" t="s">
        <v>4463</v>
      </c>
      <c r="AT1057" s="15" t="s">
        <v>10010</v>
      </c>
      <c r="AU1057" s="15" t="s">
        <v>10013</v>
      </c>
      <c r="AW1057" s="15" t="s">
        <v>1899</v>
      </c>
      <c r="AY1057" s="15" t="s">
        <v>413</v>
      </c>
      <c r="AZ1057" s="15" t="b">
        <v>0</v>
      </c>
      <c r="BA1057" s="15" t="s">
        <v>413</v>
      </c>
      <c r="BB1057" s="15" t="b">
        <v>0</v>
      </c>
      <c r="BC1057" s="15" t="s">
        <v>10204</v>
      </c>
      <c r="BD1057" s="15" t="s">
        <v>415</v>
      </c>
      <c r="BE1057" s="15" t="str">
        <f t="shared" si="1784"/>
        <v>1</v>
      </c>
      <c r="BF1057" s="15" t="s">
        <v>416</v>
      </c>
      <c r="BG1057" s="15" t="str">
        <f t="shared" ref="BG1057:BG1059" si="1833">"40.75"</f>
        <v>40.75</v>
      </c>
      <c r="BH1057" s="15" t="s">
        <v>1280</v>
      </c>
      <c r="BI1057" s="15" t="str">
        <f t="shared" ref="BI1057:BI1059" si="1834">"21.26"</f>
        <v>21.26</v>
      </c>
      <c r="BJ1057" s="15" t="s">
        <v>684</v>
      </c>
      <c r="BK1057" s="15" t="str">
        <f t="shared" ref="BK1057:BK1059" si="1835">"90.35"</f>
        <v>90.35</v>
      </c>
      <c r="BL1057" s="15" t="s">
        <v>10205</v>
      </c>
      <c r="BM1057" s="15" t="str">
        <f t="shared" ref="BM1057:BM1059" si="1836">"186.29"</f>
        <v>186.29</v>
      </c>
      <c r="BN1057" s="15" t="s">
        <v>7920</v>
      </c>
      <c r="BQ1057" s="15" t="s">
        <v>444</v>
      </c>
      <c r="BS1057" s="15" t="s">
        <v>444</v>
      </c>
      <c r="BU1057" s="15" t="s">
        <v>444</v>
      </c>
      <c r="BW1057" s="15" t="s">
        <v>444</v>
      </c>
      <c r="BZ1057" s="15" t="s">
        <v>444</v>
      </c>
      <c r="CB1057" s="15" t="s">
        <v>444</v>
      </c>
      <c r="CD1057" s="15" t="s">
        <v>444</v>
      </c>
      <c r="CF1057" s="15" t="s">
        <v>444</v>
      </c>
      <c r="CI1057" s="15" t="s">
        <v>444</v>
      </c>
      <c r="CK1057" s="15" t="s">
        <v>444</v>
      </c>
      <c r="CM1057" s="15" t="s">
        <v>444</v>
      </c>
      <c r="CO1057" s="15" t="s">
        <v>444</v>
      </c>
      <c r="CP1057" s="15" t="str">
        <f t="shared" ref="CP1057:CP1059" si="1837">"45.31"</f>
        <v>45.31</v>
      </c>
      <c r="CQ1057" s="15" t="str">
        <f t="shared" ref="CQ1057:CQ1059" si="1838">"1.283"</f>
        <v>1.283</v>
      </c>
      <c r="CR1057" s="15" t="s">
        <v>497</v>
      </c>
      <c r="CS1057" s="15" t="s">
        <v>2178</v>
      </c>
      <c r="CT1057" s="15" t="s">
        <v>2046</v>
      </c>
      <c r="CU1057" s="15" t="s">
        <v>9792</v>
      </c>
      <c r="CV1057" s="15" t="s">
        <v>3735</v>
      </c>
      <c r="CW1057" s="15" t="s">
        <v>866</v>
      </c>
      <c r="CX1057" s="15" t="s">
        <v>10206</v>
      </c>
      <c r="DC1057" s="15" t="str">
        <f>IFERROR(__xludf.DUMMYFUNCTION("""COMPUTED_VALUE"""),"")</f>
        <v/>
      </c>
      <c r="DE1057" s="15" t="str">
        <f>IFERROR(__xludf.DUMMYFUNCTION("""COMPUTED_VALUE"""),"")</f>
        <v/>
      </c>
      <c r="DG1057" s="15" t="str">
        <f>IFERROR(__xludf.DUMMYFUNCTION("""COMPUTED_VALUE"""),"")</f>
        <v/>
      </c>
      <c r="DL1057" s="15" t="str">
        <f>IFERROR(__xludf.DUMMYFUNCTION("""COMPUTED_VALUE"""),"")</f>
        <v/>
      </c>
      <c r="DM1057" s="15" t="s">
        <v>444</v>
      </c>
      <c r="DN1057" s="15" t="s">
        <v>419</v>
      </c>
      <c r="DO1057" s="15">
        <v>0.0</v>
      </c>
      <c r="DP1057" s="15" t="s">
        <v>419</v>
      </c>
      <c r="DR1057" s="15">
        <v>3.0</v>
      </c>
      <c r="DS1057" s="15" t="s">
        <v>426</v>
      </c>
      <c r="DT1057" s="15" t="s">
        <v>764</v>
      </c>
      <c r="DU1057" s="15" t="s">
        <v>610</v>
      </c>
      <c r="DW1057" s="15">
        <v>18.14</v>
      </c>
      <c r="DX1057" s="15">
        <v>40.0</v>
      </c>
      <c r="DY1057" s="15">
        <v>1.0</v>
      </c>
      <c r="EF1057" s="15" t="s">
        <v>1906</v>
      </c>
      <c r="EG1057" s="15" t="s">
        <v>1907</v>
      </c>
      <c r="EH1057" s="15" t="s">
        <v>10015</v>
      </c>
      <c r="EK1057" s="15" t="s">
        <v>444</v>
      </c>
      <c r="EM1057" s="15" t="str">
        <f>IFERROR(__xludf.DUMMYFUNCTION("""COMPUTED_VALUE"""),"")</f>
        <v/>
      </c>
      <c r="EW1057" s="15" t="s">
        <v>2050</v>
      </c>
      <c r="FL1057" s="15" t="s">
        <v>426</v>
      </c>
      <c r="FM1057" s="15">
        <v>5.0</v>
      </c>
      <c r="FY1057" s="15" t="s">
        <v>3102</v>
      </c>
      <c r="FZ1057" s="15" t="s">
        <v>2046</v>
      </c>
      <c r="GA1057" s="15" t="s">
        <v>2051</v>
      </c>
      <c r="GB1057" s="15" t="s">
        <v>3735</v>
      </c>
      <c r="GC1057" s="15" t="s">
        <v>2046</v>
      </c>
      <c r="GD1057" s="15" t="s">
        <v>1375</v>
      </c>
      <c r="GF1057" s="15" t="s">
        <v>426</v>
      </c>
      <c r="GH1057" s="15">
        <v>2.0</v>
      </c>
      <c r="GI1057" s="15" t="s">
        <v>614</v>
      </c>
      <c r="GJ1057" s="15" t="s">
        <v>615</v>
      </c>
      <c r="GL1057" s="15" t="s">
        <v>426</v>
      </c>
      <c r="GN1057" s="15" t="s">
        <v>616</v>
      </c>
      <c r="HA1057" s="15" t="s">
        <v>2178</v>
      </c>
      <c r="HB1057" s="15" t="s">
        <v>822</v>
      </c>
      <c r="HC1057" s="15" t="s">
        <v>10207</v>
      </c>
      <c r="HQ1057" s="15" t="s">
        <v>2178</v>
      </c>
      <c r="HR1057" s="15" t="s">
        <v>2178</v>
      </c>
      <c r="HS1057" s="15" t="s">
        <v>1374</v>
      </c>
      <c r="HT1057" s="15" t="s">
        <v>7065</v>
      </c>
      <c r="HU1057" s="15" t="s">
        <v>10207</v>
      </c>
      <c r="HV1057" s="15" t="s">
        <v>10207</v>
      </c>
      <c r="KX1057" s="15" t="s">
        <v>2178</v>
      </c>
      <c r="KY1057" s="15" t="s">
        <v>4258</v>
      </c>
      <c r="KZ1057" s="15" t="s">
        <v>10207</v>
      </c>
    </row>
    <row r="1058" ht="15.75" customHeight="1">
      <c r="A1058" s="14" t="s">
        <v>391</v>
      </c>
      <c r="B1058" s="15" t="s">
        <v>10200</v>
      </c>
      <c r="C1058" s="16"/>
      <c r="D1058" s="15" t="s">
        <v>432</v>
      </c>
      <c r="G1058" s="14" t="s">
        <v>393</v>
      </c>
      <c r="H1058" s="14" t="s">
        <v>394</v>
      </c>
      <c r="I1058" s="14" t="b">
        <v>1</v>
      </c>
      <c r="J1058" s="14" t="s">
        <v>395</v>
      </c>
      <c r="L1058" s="14" t="b">
        <v>0</v>
      </c>
      <c r="M1058" s="15" t="s">
        <v>10208</v>
      </c>
      <c r="N1058" s="14" t="s">
        <v>393</v>
      </c>
      <c r="O1058" s="14" t="s">
        <v>393</v>
      </c>
      <c r="P1058" s="15" t="s">
        <v>397</v>
      </c>
      <c r="Q1058" s="15" t="s">
        <v>10017</v>
      </c>
      <c r="T1058" s="14" t="b">
        <v>0</v>
      </c>
      <c r="U1058" s="15" t="s">
        <v>10209</v>
      </c>
      <c r="V1058" s="15" t="s">
        <v>6144</v>
      </c>
      <c r="W1058" s="15" t="s">
        <v>401</v>
      </c>
      <c r="X1058" s="15" t="s">
        <v>402</v>
      </c>
      <c r="Y1058" s="15">
        <v>2080.0</v>
      </c>
      <c r="AA1058" s="15" t="str">
        <f t="shared" si="1832"/>
        <v>800</v>
      </c>
      <c r="AB1058" s="14" t="b">
        <v>1</v>
      </c>
      <c r="AC1058" s="14" t="b">
        <v>1</v>
      </c>
      <c r="AD1058" s="15" t="str">
        <f>"801542623050"</f>
        <v>801542623050</v>
      </c>
      <c r="AE1058" s="15" t="s">
        <v>10210</v>
      </c>
      <c r="AF1058" s="14" t="s">
        <v>404</v>
      </c>
      <c r="AG1058" s="14" t="s">
        <v>405</v>
      </c>
      <c r="AH1058" s="14" t="s">
        <v>406</v>
      </c>
      <c r="AI1058" s="15">
        <v>0.0</v>
      </c>
      <c r="AL1058" s="15" t="s">
        <v>5927</v>
      </c>
      <c r="AM1058" s="15" t="s">
        <v>645</v>
      </c>
      <c r="AN1058" s="15" t="s">
        <v>646</v>
      </c>
      <c r="AO1058" s="15" t="s">
        <v>1152</v>
      </c>
      <c r="AP1058" s="15" t="s">
        <v>1153</v>
      </c>
      <c r="AQ1058" s="15" t="s">
        <v>9660</v>
      </c>
      <c r="AR1058" s="15" t="s">
        <v>9661</v>
      </c>
      <c r="AS1058" s="15" t="s">
        <v>4463</v>
      </c>
      <c r="AT1058" s="15" t="s">
        <v>10017</v>
      </c>
      <c r="AU1058" s="15" t="s">
        <v>5928</v>
      </c>
      <c r="AW1058" s="15" t="s">
        <v>1899</v>
      </c>
      <c r="AY1058" s="15" t="s">
        <v>413</v>
      </c>
      <c r="AZ1058" s="15" t="b">
        <v>0</v>
      </c>
      <c r="BA1058" s="15" t="s">
        <v>413</v>
      </c>
      <c r="BB1058" s="15" t="b">
        <v>0</v>
      </c>
      <c r="BC1058" s="15" t="s">
        <v>10211</v>
      </c>
      <c r="BD1058" s="15" t="s">
        <v>415</v>
      </c>
      <c r="BE1058" s="15" t="str">
        <f t="shared" si="1784"/>
        <v>1</v>
      </c>
      <c r="BF1058" s="15" t="s">
        <v>416</v>
      </c>
      <c r="BG1058" s="15" t="str">
        <f t="shared" si="1833"/>
        <v>40.75</v>
      </c>
      <c r="BH1058" s="15" t="s">
        <v>1280</v>
      </c>
      <c r="BI1058" s="15" t="str">
        <f t="shared" si="1834"/>
        <v>21.26</v>
      </c>
      <c r="BJ1058" s="15" t="s">
        <v>684</v>
      </c>
      <c r="BK1058" s="15" t="str">
        <f t="shared" si="1835"/>
        <v>90.35</v>
      </c>
      <c r="BL1058" s="15" t="s">
        <v>10205</v>
      </c>
      <c r="BM1058" s="15" t="str">
        <f t="shared" si="1836"/>
        <v>186.29</v>
      </c>
      <c r="BN1058" s="15" t="s">
        <v>7920</v>
      </c>
      <c r="BQ1058" s="15" t="s">
        <v>444</v>
      </c>
      <c r="BS1058" s="15" t="s">
        <v>444</v>
      </c>
      <c r="BU1058" s="15" t="s">
        <v>444</v>
      </c>
      <c r="BW1058" s="15" t="s">
        <v>444</v>
      </c>
      <c r="BZ1058" s="15" t="s">
        <v>444</v>
      </c>
      <c r="CB1058" s="15" t="s">
        <v>444</v>
      </c>
      <c r="CD1058" s="15" t="s">
        <v>444</v>
      </c>
      <c r="CF1058" s="15" t="s">
        <v>444</v>
      </c>
      <c r="CI1058" s="15" t="s">
        <v>444</v>
      </c>
      <c r="CK1058" s="15" t="s">
        <v>444</v>
      </c>
      <c r="CM1058" s="15" t="s">
        <v>444</v>
      </c>
      <c r="CO1058" s="15" t="s">
        <v>444</v>
      </c>
      <c r="CP1058" s="15" t="str">
        <f t="shared" si="1837"/>
        <v>45.31</v>
      </c>
      <c r="CQ1058" s="15" t="str">
        <f t="shared" si="1838"/>
        <v>1.283</v>
      </c>
      <c r="CR1058" s="15" t="s">
        <v>497</v>
      </c>
      <c r="CS1058" s="15" t="s">
        <v>2178</v>
      </c>
      <c r="CT1058" s="15" t="s">
        <v>2046</v>
      </c>
      <c r="CU1058" s="15" t="s">
        <v>9792</v>
      </c>
      <c r="CV1058" s="15" t="s">
        <v>3735</v>
      </c>
      <c r="CW1058" s="15" t="s">
        <v>866</v>
      </c>
      <c r="CX1058" s="15" t="s">
        <v>10206</v>
      </c>
      <c r="DC1058" s="15" t="str">
        <f>IFERROR(__xludf.DUMMYFUNCTION("""COMPUTED_VALUE"""),"")</f>
        <v/>
      </c>
      <c r="DE1058" s="15" t="str">
        <f>IFERROR(__xludf.DUMMYFUNCTION("""COMPUTED_VALUE"""),"")</f>
        <v/>
      </c>
      <c r="DG1058" s="15" t="str">
        <f>IFERROR(__xludf.DUMMYFUNCTION("""COMPUTED_VALUE"""),"")</f>
        <v/>
      </c>
      <c r="DL1058" s="15" t="str">
        <f>IFERROR(__xludf.DUMMYFUNCTION("""COMPUTED_VALUE"""),"")</f>
        <v/>
      </c>
      <c r="DM1058" s="15" t="s">
        <v>444</v>
      </c>
      <c r="DN1058" s="15" t="s">
        <v>419</v>
      </c>
      <c r="DO1058" s="15">
        <v>0.0</v>
      </c>
      <c r="DP1058" s="15" t="s">
        <v>419</v>
      </c>
      <c r="DR1058" s="15">
        <v>3.0</v>
      </c>
      <c r="DS1058" s="15" t="s">
        <v>426</v>
      </c>
      <c r="DT1058" s="15" t="s">
        <v>764</v>
      </c>
      <c r="DU1058" s="15" t="s">
        <v>610</v>
      </c>
      <c r="DW1058" s="15">
        <v>18.14</v>
      </c>
      <c r="DX1058" s="15">
        <v>40.0</v>
      </c>
      <c r="DY1058" s="15">
        <v>1.0</v>
      </c>
      <c r="EF1058" s="15" t="s">
        <v>1906</v>
      </c>
      <c r="EG1058" s="15" t="s">
        <v>1907</v>
      </c>
      <c r="EH1058" s="15" t="s">
        <v>10015</v>
      </c>
      <c r="EK1058" s="15" t="s">
        <v>444</v>
      </c>
      <c r="EM1058" s="15" t="str">
        <f>IFERROR(__xludf.DUMMYFUNCTION("""COMPUTED_VALUE"""),"")</f>
        <v/>
      </c>
      <c r="EW1058" s="15" t="s">
        <v>2050</v>
      </c>
      <c r="FL1058" s="15" t="s">
        <v>426</v>
      </c>
      <c r="FM1058" s="15">
        <v>5.0</v>
      </c>
      <c r="FY1058" s="15" t="s">
        <v>3102</v>
      </c>
      <c r="FZ1058" s="15" t="s">
        <v>2046</v>
      </c>
      <c r="GA1058" s="15" t="s">
        <v>2051</v>
      </c>
      <c r="GB1058" s="15" t="s">
        <v>3735</v>
      </c>
      <c r="GC1058" s="15" t="s">
        <v>2046</v>
      </c>
      <c r="GD1058" s="15" t="s">
        <v>1375</v>
      </c>
      <c r="GF1058" s="15" t="s">
        <v>426</v>
      </c>
      <c r="GH1058" s="15">
        <v>2.0</v>
      </c>
      <c r="GI1058" s="15" t="s">
        <v>614</v>
      </c>
      <c r="GJ1058" s="15" t="s">
        <v>615</v>
      </c>
      <c r="GL1058" s="15" t="s">
        <v>426</v>
      </c>
      <c r="GN1058" s="15" t="s">
        <v>616</v>
      </c>
      <c r="HA1058" s="15" t="s">
        <v>2178</v>
      </c>
      <c r="HB1058" s="15" t="s">
        <v>822</v>
      </c>
      <c r="HC1058" s="15" t="s">
        <v>10207</v>
      </c>
      <c r="HQ1058" s="15" t="s">
        <v>2178</v>
      </c>
      <c r="HR1058" s="15" t="s">
        <v>2178</v>
      </c>
      <c r="HS1058" s="15" t="s">
        <v>1374</v>
      </c>
      <c r="HT1058" s="15" t="s">
        <v>7065</v>
      </c>
      <c r="HU1058" s="15" t="s">
        <v>10207</v>
      </c>
      <c r="HV1058" s="15" t="s">
        <v>10207</v>
      </c>
      <c r="KX1058" s="15" t="s">
        <v>2178</v>
      </c>
      <c r="KY1058" s="15" t="s">
        <v>4258</v>
      </c>
      <c r="KZ1058" s="15" t="s">
        <v>10207</v>
      </c>
    </row>
    <row r="1059" ht="15.75" customHeight="1">
      <c r="A1059" s="14" t="s">
        <v>391</v>
      </c>
      <c r="B1059" s="15" t="s">
        <v>10200</v>
      </c>
      <c r="C1059" s="16"/>
      <c r="D1059" s="15" t="s">
        <v>432</v>
      </c>
      <c r="G1059" s="14" t="s">
        <v>393</v>
      </c>
      <c r="H1059" s="14" t="s">
        <v>394</v>
      </c>
      <c r="I1059" s="14" t="b">
        <v>1</v>
      </c>
      <c r="J1059" s="14" t="s">
        <v>395</v>
      </c>
      <c r="L1059" s="14" t="b">
        <v>0</v>
      </c>
      <c r="M1059" s="15" t="s">
        <v>10212</v>
      </c>
      <c r="N1059" s="14" t="s">
        <v>393</v>
      </c>
      <c r="O1059" s="14" t="s">
        <v>393</v>
      </c>
      <c r="P1059" s="15" t="s">
        <v>397</v>
      </c>
      <c r="Q1059" s="15" t="s">
        <v>10022</v>
      </c>
      <c r="T1059" s="14" t="b">
        <v>0</v>
      </c>
      <c r="U1059" s="15" t="s">
        <v>10213</v>
      </c>
      <c r="V1059" s="15" t="s">
        <v>6144</v>
      </c>
      <c r="W1059" s="15" t="s">
        <v>401</v>
      </c>
      <c r="X1059" s="15" t="s">
        <v>402</v>
      </c>
      <c r="Y1059" s="15">
        <v>2080.0</v>
      </c>
      <c r="AA1059" s="15" t="str">
        <f t="shared" si="1832"/>
        <v>800</v>
      </c>
      <c r="AB1059" s="14" t="b">
        <v>1</v>
      </c>
      <c r="AC1059" s="14" t="b">
        <v>1</v>
      </c>
      <c r="AD1059" s="15" t="str">
        <f>"801542763398"</f>
        <v>801542763398</v>
      </c>
      <c r="AE1059" s="15" t="s">
        <v>10214</v>
      </c>
      <c r="AF1059" s="14" t="s">
        <v>404</v>
      </c>
      <c r="AG1059" s="14" t="s">
        <v>405</v>
      </c>
      <c r="AH1059" s="14" t="s">
        <v>406</v>
      </c>
      <c r="AI1059" s="15">
        <v>0.0</v>
      </c>
      <c r="AL1059" s="15" t="s">
        <v>5927</v>
      </c>
      <c r="AM1059" s="15" t="s">
        <v>645</v>
      </c>
      <c r="AN1059" s="15" t="s">
        <v>646</v>
      </c>
      <c r="AO1059" s="15" t="s">
        <v>1152</v>
      </c>
      <c r="AP1059" s="15" t="s">
        <v>1153</v>
      </c>
      <c r="AQ1059" s="15" t="s">
        <v>9660</v>
      </c>
      <c r="AR1059" s="15" t="s">
        <v>9661</v>
      </c>
      <c r="AS1059" s="15" t="s">
        <v>4463</v>
      </c>
      <c r="AT1059" s="15" t="s">
        <v>10022</v>
      </c>
      <c r="AU1059" s="15" t="s">
        <v>5928</v>
      </c>
      <c r="AW1059" s="15" t="s">
        <v>1899</v>
      </c>
      <c r="AY1059" s="15" t="s">
        <v>413</v>
      </c>
      <c r="AZ1059" s="15" t="b">
        <v>0</v>
      </c>
      <c r="BA1059" s="15" t="s">
        <v>413</v>
      </c>
      <c r="BB1059" s="15" t="b">
        <v>0</v>
      </c>
      <c r="BC1059" s="15" t="s">
        <v>10215</v>
      </c>
      <c r="BD1059" s="15" t="s">
        <v>415</v>
      </c>
      <c r="BE1059" s="15" t="str">
        <f t="shared" si="1784"/>
        <v>1</v>
      </c>
      <c r="BF1059" s="15" t="s">
        <v>416</v>
      </c>
      <c r="BG1059" s="15" t="str">
        <f t="shared" si="1833"/>
        <v>40.75</v>
      </c>
      <c r="BH1059" s="15" t="s">
        <v>1280</v>
      </c>
      <c r="BI1059" s="15" t="str">
        <f t="shared" si="1834"/>
        <v>21.26</v>
      </c>
      <c r="BJ1059" s="15" t="s">
        <v>684</v>
      </c>
      <c r="BK1059" s="15" t="str">
        <f t="shared" si="1835"/>
        <v>90.35</v>
      </c>
      <c r="BL1059" s="15" t="s">
        <v>10205</v>
      </c>
      <c r="BM1059" s="15" t="str">
        <f t="shared" si="1836"/>
        <v>186.29</v>
      </c>
      <c r="BN1059" s="15" t="s">
        <v>7920</v>
      </c>
      <c r="BQ1059" s="15" t="s">
        <v>444</v>
      </c>
      <c r="BS1059" s="15" t="s">
        <v>444</v>
      </c>
      <c r="BU1059" s="15" t="s">
        <v>444</v>
      </c>
      <c r="BW1059" s="15" t="s">
        <v>444</v>
      </c>
      <c r="BZ1059" s="15" t="s">
        <v>444</v>
      </c>
      <c r="CB1059" s="15" t="s">
        <v>444</v>
      </c>
      <c r="CD1059" s="15" t="s">
        <v>444</v>
      </c>
      <c r="CF1059" s="15" t="s">
        <v>444</v>
      </c>
      <c r="CI1059" s="15" t="s">
        <v>444</v>
      </c>
      <c r="CK1059" s="15" t="s">
        <v>444</v>
      </c>
      <c r="CM1059" s="15" t="s">
        <v>444</v>
      </c>
      <c r="CO1059" s="15" t="s">
        <v>444</v>
      </c>
      <c r="CP1059" s="15" t="str">
        <f t="shared" si="1837"/>
        <v>45.31</v>
      </c>
      <c r="CQ1059" s="15" t="str">
        <f t="shared" si="1838"/>
        <v>1.283</v>
      </c>
      <c r="CR1059" s="15" t="s">
        <v>497</v>
      </c>
      <c r="CS1059" s="15" t="s">
        <v>2178</v>
      </c>
      <c r="CT1059" s="15" t="s">
        <v>2046</v>
      </c>
      <c r="CU1059" s="15" t="s">
        <v>9792</v>
      </c>
      <c r="CV1059" s="15" t="s">
        <v>3735</v>
      </c>
      <c r="CW1059" s="15" t="s">
        <v>866</v>
      </c>
      <c r="CX1059" s="15" t="s">
        <v>10206</v>
      </c>
      <c r="DC1059" s="15" t="str">
        <f>IFERROR(__xludf.DUMMYFUNCTION("""COMPUTED_VALUE"""),"")</f>
        <v/>
      </c>
      <c r="DE1059" s="15" t="str">
        <f>IFERROR(__xludf.DUMMYFUNCTION("""COMPUTED_VALUE"""),"")</f>
        <v/>
      </c>
      <c r="DG1059" s="15" t="str">
        <f>IFERROR(__xludf.DUMMYFUNCTION("""COMPUTED_VALUE"""),"")</f>
        <v/>
      </c>
      <c r="DL1059" s="15" t="str">
        <f>IFERROR(__xludf.DUMMYFUNCTION("""COMPUTED_VALUE"""),"")</f>
        <v/>
      </c>
      <c r="DM1059" s="15" t="s">
        <v>444</v>
      </c>
      <c r="DN1059" s="15" t="s">
        <v>419</v>
      </c>
      <c r="DO1059" s="15">
        <v>0.0</v>
      </c>
      <c r="DP1059" s="15" t="s">
        <v>419</v>
      </c>
      <c r="DR1059" s="15">
        <v>3.0</v>
      </c>
      <c r="DS1059" s="15" t="s">
        <v>426</v>
      </c>
      <c r="DT1059" s="15" t="s">
        <v>764</v>
      </c>
      <c r="DU1059" s="15" t="s">
        <v>610</v>
      </c>
      <c r="DW1059" s="15">
        <v>18.14</v>
      </c>
      <c r="DX1059" s="15">
        <v>40.0</v>
      </c>
      <c r="DY1059" s="15">
        <v>1.0</v>
      </c>
      <c r="EF1059" s="15" t="s">
        <v>1906</v>
      </c>
      <c r="EG1059" s="15" t="s">
        <v>1907</v>
      </c>
      <c r="EH1059" s="15" t="s">
        <v>10015</v>
      </c>
      <c r="EK1059" s="15" t="s">
        <v>444</v>
      </c>
      <c r="EM1059" s="15" t="str">
        <f>IFERROR(__xludf.DUMMYFUNCTION("""COMPUTED_VALUE"""),"")</f>
        <v/>
      </c>
      <c r="EW1059" s="15" t="s">
        <v>2050</v>
      </c>
      <c r="FL1059" s="15" t="s">
        <v>426</v>
      </c>
      <c r="FM1059" s="15">
        <v>5.0</v>
      </c>
      <c r="FY1059" s="15" t="s">
        <v>3102</v>
      </c>
      <c r="FZ1059" s="15" t="s">
        <v>2046</v>
      </c>
      <c r="GA1059" s="15" t="s">
        <v>2051</v>
      </c>
      <c r="GB1059" s="15" t="s">
        <v>3735</v>
      </c>
      <c r="GC1059" s="15" t="s">
        <v>2046</v>
      </c>
      <c r="GD1059" s="15" t="s">
        <v>1375</v>
      </c>
      <c r="GF1059" s="15" t="s">
        <v>426</v>
      </c>
      <c r="GH1059" s="15">
        <v>2.0</v>
      </c>
      <c r="GI1059" s="15" t="s">
        <v>614</v>
      </c>
      <c r="GJ1059" s="15" t="s">
        <v>615</v>
      </c>
      <c r="GL1059" s="15" t="s">
        <v>426</v>
      </c>
      <c r="GN1059" s="15" t="s">
        <v>616</v>
      </c>
      <c r="HA1059" s="15" t="s">
        <v>2178</v>
      </c>
      <c r="HB1059" s="15" t="s">
        <v>822</v>
      </c>
      <c r="HC1059" s="15" t="s">
        <v>10207</v>
      </c>
      <c r="HQ1059" s="15" t="s">
        <v>2178</v>
      </c>
      <c r="HR1059" s="15" t="s">
        <v>2178</v>
      </c>
      <c r="HS1059" s="15" t="s">
        <v>1374</v>
      </c>
      <c r="HT1059" s="15" t="s">
        <v>7065</v>
      </c>
      <c r="HU1059" s="15" t="s">
        <v>10207</v>
      </c>
      <c r="HV1059" s="15" t="s">
        <v>10207</v>
      </c>
      <c r="KX1059" s="15" t="s">
        <v>2178</v>
      </c>
      <c r="KY1059" s="15" t="s">
        <v>4258</v>
      </c>
      <c r="KZ1059" s="15" t="s">
        <v>10207</v>
      </c>
    </row>
    <row r="1060" ht="15.75" customHeight="1">
      <c r="A1060" s="14" t="s">
        <v>391</v>
      </c>
      <c r="B1060" s="15" t="s">
        <v>10216</v>
      </c>
      <c r="C1060" s="16"/>
      <c r="D1060" s="15" t="s">
        <v>432</v>
      </c>
      <c r="G1060" s="14" t="s">
        <v>393</v>
      </c>
      <c r="H1060" s="14" t="s">
        <v>394</v>
      </c>
      <c r="I1060" s="14" t="b">
        <v>1</v>
      </c>
      <c r="J1060" s="14" t="s">
        <v>395</v>
      </c>
      <c r="L1060" s="14" t="b">
        <v>0</v>
      </c>
      <c r="M1060" s="15" t="s">
        <v>10217</v>
      </c>
      <c r="N1060" s="14" t="s">
        <v>393</v>
      </c>
      <c r="O1060" s="14" t="s">
        <v>393</v>
      </c>
      <c r="P1060" s="15" t="s">
        <v>397</v>
      </c>
      <c r="Q1060" s="15" t="s">
        <v>10010</v>
      </c>
      <c r="T1060" s="14" t="b">
        <v>0</v>
      </c>
      <c r="U1060" s="15" t="s">
        <v>10218</v>
      </c>
      <c r="V1060" s="15" t="s">
        <v>10219</v>
      </c>
      <c r="W1060" s="15" t="s">
        <v>401</v>
      </c>
      <c r="X1060" s="15" t="s">
        <v>402</v>
      </c>
      <c r="Y1060" s="15">
        <v>1365.0</v>
      </c>
      <c r="AA1060" s="15" t="str">
        <f t="shared" ref="AA1060:AA1061" si="1839">"525"</f>
        <v>525</v>
      </c>
      <c r="AB1060" s="14" t="b">
        <v>1</v>
      </c>
      <c r="AC1060" s="14" t="b">
        <v>1</v>
      </c>
      <c r="AD1060" s="15" t="str">
        <f>"801542391775"</f>
        <v>801542391775</v>
      </c>
      <c r="AE1060" s="15" t="s">
        <v>10220</v>
      </c>
      <c r="AF1060" s="14" t="s">
        <v>404</v>
      </c>
      <c r="AG1060" s="14" t="s">
        <v>405</v>
      </c>
      <c r="AH1060" s="14" t="s">
        <v>406</v>
      </c>
      <c r="AI1060" s="15">
        <v>0.0</v>
      </c>
      <c r="AL1060" s="15" t="s">
        <v>5927</v>
      </c>
      <c r="AM1060" s="15" t="s">
        <v>10182</v>
      </c>
      <c r="AN1060" s="15" t="s">
        <v>10183</v>
      </c>
      <c r="AO1060" s="15" t="s">
        <v>1561</v>
      </c>
      <c r="AP1060" s="15" t="s">
        <v>1562</v>
      </c>
      <c r="AQ1060" s="15" t="s">
        <v>1276</v>
      </c>
      <c r="AR1060" s="15" t="s">
        <v>1277</v>
      </c>
      <c r="AS1060" s="15" t="s">
        <v>4463</v>
      </c>
      <c r="AT1060" s="15" t="s">
        <v>10010</v>
      </c>
      <c r="AU1060" s="15" t="s">
        <v>10013</v>
      </c>
      <c r="AW1060" s="15" t="s">
        <v>2134</v>
      </c>
      <c r="AX1060" s="15" t="s">
        <v>2171</v>
      </c>
      <c r="AY1060" s="15" t="s">
        <v>413</v>
      </c>
      <c r="AZ1060" s="15" t="b">
        <v>0</v>
      </c>
      <c r="BA1060" s="15" t="s">
        <v>413</v>
      </c>
      <c r="BB1060" s="15" t="b">
        <v>0</v>
      </c>
      <c r="BC1060" s="15" t="s">
        <v>10221</v>
      </c>
      <c r="BD1060" s="15" t="s">
        <v>415</v>
      </c>
      <c r="BE1060" s="15" t="str">
        <f t="shared" si="1784"/>
        <v>1</v>
      </c>
      <c r="BF1060" s="15" t="s">
        <v>416</v>
      </c>
      <c r="BG1060" s="15" t="str">
        <f t="shared" ref="BG1060:BG1061" si="1840">"64.49"</f>
        <v>64.49</v>
      </c>
      <c r="BH1060" s="15" t="s">
        <v>10222</v>
      </c>
      <c r="BI1060" s="15" t="str">
        <f t="shared" ref="BI1060:BI1061" si="1841">"25.98"</f>
        <v>25.98</v>
      </c>
      <c r="BJ1060" s="15" t="s">
        <v>522</v>
      </c>
      <c r="BK1060" s="15" t="str">
        <f t="shared" ref="BK1060:BK1061" si="1842">"34.49"</f>
        <v>34.49</v>
      </c>
      <c r="BL1060" s="15" t="s">
        <v>10223</v>
      </c>
      <c r="BM1060" s="15" t="str">
        <f t="shared" ref="BM1060:BM1061" si="1843">"105.82"</f>
        <v>105.82</v>
      </c>
      <c r="BN1060" s="15" t="s">
        <v>2961</v>
      </c>
      <c r="BQ1060" s="15" t="s">
        <v>444</v>
      </c>
      <c r="BS1060" s="15" t="s">
        <v>444</v>
      </c>
      <c r="BU1060" s="15" t="s">
        <v>444</v>
      </c>
      <c r="BW1060" s="15" t="s">
        <v>444</v>
      </c>
      <c r="BZ1060" s="15" t="s">
        <v>444</v>
      </c>
      <c r="CB1060" s="15" t="s">
        <v>444</v>
      </c>
      <c r="CD1060" s="15" t="s">
        <v>444</v>
      </c>
      <c r="CF1060" s="15" t="s">
        <v>444</v>
      </c>
      <c r="CI1060" s="15" t="s">
        <v>444</v>
      </c>
      <c r="CK1060" s="15" t="s">
        <v>444</v>
      </c>
      <c r="CM1060" s="15" t="s">
        <v>444</v>
      </c>
      <c r="CO1060" s="15" t="s">
        <v>444</v>
      </c>
      <c r="CP1060" s="15" t="str">
        <f t="shared" ref="CP1060:CP1061" si="1844">"33.44"</f>
        <v>33.44</v>
      </c>
      <c r="CQ1060" s="15" t="str">
        <f t="shared" ref="CQ1060:CQ1061" si="1845">"0.947"</f>
        <v>0.947</v>
      </c>
      <c r="CR1060" s="15" t="s">
        <v>497</v>
      </c>
      <c r="DC1060" s="15" t="str">
        <f>IFERROR(__xludf.DUMMYFUNCTION("""COMPUTED_VALUE"""),"")</f>
        <v/>
      </c>
      <c r="DE1060" s="15" t="str">
        <f>IFERROR(__xludf.DUMMYFUNCTION("""COMPUTED_VALUE"""),"")</f>
        <v/>
      </c>
      <c r="DG1060" s="15" t="str">
        <f>IFERROR(__xludf.DUMMYFUNCTION("""COMPUTED_VALUE"""),"")</f>
        <v/>
      </c>
      <c r="DL1060" s="15" t="str">
        <f>IFERROR(__xludf.DUMMYFUNCTION("""COMPUTED_VALUE"""),"")</f>
        <v/>
      </c>
      <c r="DM1060" s="15" t="s">
        <v>444</v>
      </c>
      <c r="DN1060" s="15" t="s">
        <v>2600</v>
      </c>
      <c r="DO1060" s="15">
        <v>3.0</v>
      </c>
      <c r="DP1060" s="15" t="s">
        <v>2604</v>
      </c>
      <c r="DR1060" s="15">
        <v>0.0</v>
      </c>
      <c r="DT1060" s="15" t="s">
        <v>764</v>
      </c>
      <c r="DU1060" s="15" t="s">
        <v>421</v>
      </c>
      <c r="DY1060" s="15">
        <v>0.0</v>
      </c>
      <c r="EF1060" s="15" t="s">
        <v>4768</v>
      </c>
      <c r="EG1060" s="15" t="s">
        <v>4769</v>
      </c>
      <c r="EH1060" s="15" t="s">
        <v>10015</v>
      </c>
      <c r="EJ1060" s="15" t="s">
        <v>500</v>
      </c>
      <c r="EK1060" s="15" t="s">
        <v>501</v>
      </c>
      <c r="EM1060" s="15" t="str">
        <f>IFERROR(__xludf.DUMMYFUNCTION("""COMPUTED_VALUE"""),"")</f>
        <v/>
      </c>
      <c r="EW1060" s="15" t="s">
        <v>2050</v>
      </c>
      <c r="EX1060" s="15" t="s">
        <v>823</v>
      </c>
      <c r="EY1060" s="15" t="s">
        <v>10190</v>
      </c>
      <c r="FH1060" s="15" t="s">
        <v>1074</v>
      </c>
      <c r="FI1060" s="15" t="s">
        <v>987</v>
      </c>
      <c r="FJ1060" s="15" t="s">
        <v>10191</v>
      </c>
      <c r="FK1060" s="15" t="s">
        <v>2046</v>
      </c>
      <c r="FL1060" s="15" t="s">
        <v>426</v>
      </c>
      <c r="FM1060" s="15">
        <v>0.0</v>
      </c>
      <c r="FV1060" s="15" t="s">
        <v>1806</v>
      </c>
      <c r="GH1060" s="15">
        <v>0.0</v>
      </c>
      <c r="GI1060" s="15" t="s">
        <v>427</v>
      </c>
      <c r="GQ1060" s="15" t="s">
        <v>824</v>
      </c>
      <c r="GS1060" s="15" t="s">
        <v>1122</v>
      </c>
      <c r="GU1060" s="15" t="s">
        <v>1515</v>
      </c>
      <c r="GW1060" s="15" t="s">
        <v>2604</v>
      </c>
      <c r="GY1060" s="15" t="s">
        <v>764</v>
      </c>
      <c r="GZ1060" s="15" t="s">
        <v>426</v>
      </c>
      <c r="HD1060" s="15">
        <v>0.0</v>
      </c>
      <c r="IG1060" s="15" t="s">
        <v>426</v>
      </c>
    </row>
    <row r="1061" ht="15.75" customHeight="1">
      <c r="A1061" s="14" t="s">
        <v>391</v>
      </c>
      <c r="B1061" s="15" t="s">
        <v>10216</v>
      </c>
      <c r="C1061" s="16"/>
      <c r="D1061" s="15" t="s">
        <v>432</v>
      </c>
      <c r="G1061" s="14" t="s">
        <v>393</v>
      </c>
      <c r="H1061" s="14" t="s">
        <v>394</v>
      </c>
      <c r="I1061" s="14" t="b">
        <v>1</v>
      </c>
      <c r="J1061" s="14" t="s">
        <v>395</v>
      </c>
      <c r="L1061" s="14" t="b">
        <v>0</v>
      </c>
      <c r="M1061" s="15" t="s">
        <v>10224</v>
      </c>
      <c r="N1061" s="14" t="s">
        <v>393</v>
      </c>
      <c r="O1061" s="14" t="s">
        <v>393</v>
      </c>
      <c r="P1061" s="15" t="s">
        <v>397</v>
      </c>
      <c r="Q1061" s="15" t="s">
        <v>10022</v>
      </c>
      <c r="T1061" s="14" t="b">
        <v>0</v>
      </c>
      <c r="U1061" s="15" t="s">
        <v>10225</v>
      </c>
      <c r="V1061" s="15" t="s">
        <v>10219</v>
      </c>
      <c r="W1061" s="15" t="s">
        <v>401</v>
      </c>
      <c r="X1061" s="15" t="s">
        <v>402</v>
      </c>
      <c r="Y1061" s="15">
        <v>1365.0</v>
      </c>
      <c r="AA1061" s="15" t="str">
        <f t="shared" si="1839"/>
        <v>525</v>
      </c>
      <c r="AB1061" s="14" t="b">
        <v>1</v>
      </c>
      <c r="AC1061" s="14" t="b">
        <v>1</v>
      </c>
      <c r="AD1061" s="15" t="str">
        <f>"801542769550"</f>
        <v>801542769550</v>
      </c>
      <c r="AE1061" s="15" t="s">
        <v>10226</v>
      </c>
      <c r="AF1061" s="14" t="s">
        <v>404</v>
      </c>
      <c r="AG1061" s="14" t="s">
        <v>405</v>
      </c>
      <c r="AH1061" s="14" t="s">
        <v>406</v>
      </c>
      <c r="AI1061" s="15">
        <v>0.0</v>
      </c>
      <c r="AL1061" s="15" t="s">
        <v>5927</v>
      </c>
      <c r="AM1061" s="15" t="s">
        <v>10182</v>
      </c>
      <c r="AN1061" s="15" t="s">
        <v>10183</v>
      </c>
      <c r="AO1061" s="15" t="s">
        <v>1561</v>
      </c>
      <c r="AP1061" s="15" t="s">
        <v>1562</v>
      </c>
      <c r="AQ1061" s="15" t="s">
        <v>1276</v>
      </c>
      <c r="AR1061" s="15" t="s">
        <v>1277</v>
      </c>
      <c r="AS1061" s="15" t="s">
        <v>4463</v>
      </c>
      <c r="AT1061" s="15" t="s">
        <v>10022</v>
      </c>
      <c r="AU1061" s="15" t="s">
        <v>5928</v>
      </c>
      <c r="AW1061" s="15" t="s">
        <v>2134</v>
      </c>
      <c r="AX1061" s="15" t="s">
        <v>2171</v>
      </c>
      <c r="AY1061" s="15" t="s">
        <v>413</v>
      </c>
      <c r="AZ1061" s="15" t="b">
        <v>0</v>
      </c>
      <c r="BA1061" s="15" t="s">
        <v>413</v>
      </c>
      <c r="BB1061" s="15" t="b">
        <v>0</v>
      </c>
      <c r="BC1061" s="15" t="s">
        <v>10227</v>
      </c>
      <c r="BD1061" s="15" t="s">
        <v>415</v>
      </c>
      <c r="BE1061" s="15" t="str">
        <f t="shared" si="1784"/>
        <v>1</v>
      </c>
      <c r="BF1061" s="15" t="s">
        <v>416</v>
      </c>
      <c r="BG1061" s="15" t="str">
        <f t="shared" si="1840"/>
        <v>64.49</v>
      </c>
      <c r="BH1061" s="15" t="s">
        <v>10222</v>
      </c>
      <c r="BI1061" s="15" t="str">
        <f t="shared" si="1841"/>
        <v>25.98</v>
      </c>
      <c r="BJ1061" s="15" t="s">
        <v>522</v>
      </c>
      <c r="BK1061" s="15" t="str">
        <f t="shared" si="1842"/>
        <v>34.49</v>
      </c>
      <c r="BL1061" s="15" t="s">
        <v>10223</v>
      </c>
      <c r="BM1061" s="15" t="str">
        <f t="shared" si="1843"/>
        <v>105.82</v>
      </c>
      <c r="BN1061" s="15" t="s">
        <v>2961</v>
      </c>
      <c r="BQ1061" s="15" t="s">
        <v>444</v>
      </c>
      <c r="BS1061" s="15" t="s">
        <v>444</v>
      </c>
      <c r="BU1061" s="15" t="s">
        <v>444</v>
      </c>
      <c r="BW1061" s="15" t="s">
        <v>444</v>
      </c>
      <c r="BZ1061" s="15" t="s">
        <v>444</v>
      </c>
      <c r="CB1061" s="15" t="s">
        <v>444</v>
      </c>
      <c r="CD1061" s="15" t="s">
        <v>444</v>
      </c>
      <c r="CF1061" s="15" t="s">
        <v>444</v>
      </c>
      <c r="CI1061" s="15" t="s">
        <v>444</v>
      </c>
      <c r="CK1061" s="15" t="s">
        <v>444</v>
      </c>
      <c r="CM1061" s="15" t="s">
        <v>444</v>
      </c>
      <c r="CO1061" s="15" t="s">
        <v>444</v>
      </c>
      <c r="CP1061" s="15" t="str">
        <f t="shared" si="1844"/>
        <v>33.44</v>
      </c>
      <c r="CQ1061" s="15" t="str">
        <f t="shared" si="1845"/>
        <v>0.947</v>
      </c>
      <c r="CR1061" s="15" t="s">
        <v>497</v>
      </c>
      <c r="DC1061" s="15" t="str">
        <f>IFERROR(__xludf.DUMMYFUNCTION("""COMPUTED_VALUE"""),"")</f>
        <v/>
      </c>
      <c r="DE1061" s="15" t="str">
        <f>IFERROR(__xludf.DUMMYFUNCTION("""COMPUTED_VALUE"""),"")</f>
        <v/>
      </c>
      <c r="DG1061" s="15" t="str">
        <f>IFERROR(__xludf.DUMMYFUNCTION("""COMPUTED_VALUE"""),"")</f>
        <v/>
      </c>
      <c r="DL1061" s="15" t="str">
        <f>IFERROR(__xludf.DUMMYFUNCTION("""COMPUTED_VALUE"""),"")</f>
        <v/>
      </c>
      <c r="DM1061" s="15" t="s">
        <v>444</v>
      </c>
      <c r="DN1061" s="15" t="s">
        <v>2600</v>
      </c>
      <c r="DO1061" s="15">
        <v>3.0</v>
      </c>
      <c r="DP1061" s="15" t="s">
        <v>2604</v>
      </c>
      <c r="DR1061" s="15">
        <v>0.0</v>
      </c>
      <c r="DT1061" s="15" t="s">
        <v>764</v>
      </c>
      <c r="DU1061" s="15" t="s">
        <v>421</v>
      </c>
      <c r="DY1061" s="15">
        <v>0.0</v>
      </c>
      <c r="EF1061" s="15" t="s">
        <v>4768</v>
      </c>
      <c r="EG1061" s="15" t="s">
        <v>4769</v>
      </c>
      <c r="EH1061" s="15" t="s">
        <v>10015</v>
      </c>
      <c r="EJ1061" s="15" t="s">
        <v>500</v>
      </c>
      <c r="EK1061" s="15" t="s">
        <v>501</v>
      </c>
      <c r="EM1061" s="15" t="str">
        <f>IFERROR(__xludf.DUMMYFUNCTION("""COMPUTED_VALUE"""),"")</f>
        <v/>
      </c>
      <c r="EW1061" s="15" t="s">
        <v>2050</v>
      </c>
      <c r="EX1061" s="15" t="s">
        <v>823</v>
      </c>
      <c r="EY1061" s="15" t="s">
        <v>10190</v>
      </c>
      <c r="FH1061" s="15" t="s">
        <v>1074</v>
      </c>
      <c r="FI1061" s="15" t="s">
        <v>987</v>
      </c>
      <c r="FJ1061" s="15" t="s">
        <v>10191</v>
      </c>
      <c r="FK1061" s="15" t="s">
        <v>2046</v>
      </c>
      <c r="FL1061" s="15" t="s">
        <v>426</v>
      </c>
      <c r="FM1061" s="15">
        <v>0.0</v>
      </c>
      <c r="FV1061" s="15" t="s">
        <v>1806</v>
      </c>
      <c r="GH1061" s="15">
        <v>0.0</v>
      </c>
      <c r="GI1061" s="15" t="s">
        <v>427</v>
      </c>
      <c r="GQ1061" s="15" t="s">
        <v>824</v>
      </c>
      <c r="GS1061" s="15" t="s">
        <v>1122</v>
      </c>
      <c r="GU1061" s="15" t="s">
        <v>1515</v>
      </c>
      <c r="GW1061" s="15" t="s">
        <v>2604</v>
      </c>
      <c r="GY1061" s="15" t="s">
        <v>764</v>
      </c>
      <c r="GZ1061" s="15" t="s">
        <v>426</v>
      </c>
      <c r="HD1061" s="15">
        <v>0.0</v>
      </c>
      <c r="IG1061" s="15" t="s">
        <v>426</v>
      </c>
    </row>
    <row r="1062" ht="15.75" customHeight="1">
      <c r="A1062" s="14" t="s">
        <v>391</v>
      </c>
      <c r="B1062" s="15" t="s">
        <v>10228</v>
      </c>
      <c r="C1062" s="16"/>
      <c r="D1062" s="15" t="s">
        <v>432</v>
      </c>
      <c r="G1062" s="14" t="s">
        <v>393</v>
      </c>
      <c r="H1062" s="14" t="s">
        <v>394</v>
      </c>
      <c r="I1062" s="14" t="b">
        <v>1</v>
      </c>
      <c r="J1062" s="14" t="s">
        <v>395</v>
      </c>
      <c r="L1062" s="14" t="b">
        <v>0</v>
      </c>
      <c r="M1062" s="15" t="s">
        <v>10229</v>
      </c>
      <c r="N1062" s="14" t="s">
        <v>393</v>
      </c>
      <c r="O1062" s="14" t="s">
        <v>393</v>
      </c>
      <c r="P1062" s="15" t="s">
        <v>397</v>
      </c>
      <c r="Q1062" s="15" t="s">
        <v>10010</v>
      </c>
      <c r="T1062" s="14" t="b">
        <v>0</v>
      </c>
      <c r="U1062" s="15" t="s">
        <v>10230</v>
      </c>
      <c r="V1062" s="15" t="s">
        <v>10231</v>
      </c>
      <c r="W1062" s="15" t="s">
        <v>401</v>
      </c>
      <c r="X1062" s="15" t="s">
        <v>402</v>
      </c>
      <c r="Y1062" s="15">
        <v>767.0</v>
      </c>
      <c r="AA1062" s="15" t="str">
        <f t="shared" ref="AA1062:AA1064" si="1846">"295"</f>
        <v>295</v>
      </c>
      <c r="AB1062" s="14" t="b">
        <v>1</v>
      </c>
      <c r="AC1062" s="14" t="b">
        <v>1</v>
      </c>
      <c r="AD1062" s="15" t="str">
        <f>"801542566067"</f>
        <v>801542566067</v>
      </c>
      <c r="AE1062" s="15" t="s">
        <v>10232</v>
      </c>
      <c r="AF1062" s="14" t="s">
        <v>404</v>
      </c>
      <c r="AG1062" s="14" t="s">
        <v>405</v>
      </c>
      <c r="AH1062" s="14" t="s">
        <v>406</v>
      </c>
      <c r="AI1062" s="15">
        <v>0.0</v>
      </c>
      <c r="AL1062" s="15" t="s">
        <v>5927</v>
      </c>
      <c r="AM1062" s="15" t="s">
        <v>1177</v>
      </c>
      <c r="AN1062" s="15" t="s">
        <v>1178</v>
      </c>
      <c r="AO1062" s="15" t="s">
        <v>1152</v>
      </c>
      <c r="AP1062" s="15" t="s">
        <v>1153</v>
      </c>
      <c r="AQ1062" s="15" t="s">
        <v>600</v>
      </c>
      <c r="AR1062" s="15" t="s">
        <v>601</v>
      </c>
      <c r="AS1062" s="15" t="s">
        <v>4463</v>
      </c>
      <c r="AT1062" s="15" t="s">
        <v>10010</v>
      </c>
      <c r="AU1062" s="15" t="s">
        <v>10013</v>
      </c>
      <c r="AW1062" s="15" t="s">
        <v>628</v>
      </c>
      <c r="AY1062" s="15" t="s">
        <v>413</v>
      </c>
      <c r="AZ1062" s="15" t="b">
        <v>0</v>
      </c>
      <c r="BA1062" s="15" t="s">
        <v>413</v>
      </c>
      <c r="BB1062" s="15" t="b">
        <v>0</v>
      </c>
      <c r="BC1062" s="15" t="s">
        <v>10233</v>
      </c>
      <c r="BD1062" s="15" t="s">
        <v>415</v>
      </c>
      <c r="BE1062" s="15" t="str">
        <f t="shared" si="1784"/>
        <v>1</v>
      </c>
      <c r="BF1062" s="15" t="s">
        <v>416</v>
      </c>
      <c r="BG1062" s="15" t="str">
        <f t="shared" ref="BG1062:BG1064" si="1847">"28.54"</f>
        <v>28.54</v>
      </c>
      <c r="BH1062" s="15" t="s">
        <v>3923</v>
      </c>
      <c r="BI1062" s="15" t="str">
        <f t="shared" ref="BI1062:BI1064" si="1848">"21.06"</f>
        <v>21.06</v>
      </c>
      <c r="BJ1062" s="15" t="s">
        <v>3187</v>
      </c>
      <c r="BK1062" s="15" t="str">
        <f t="shared" ref="BK1062:BK1064" si="1849">"32.28"</f>
        <v>32.28</v>
      </c>
      <c r="BL1062" s="15" t="s">
        <v>954</v>
      </c>
      <c r="BM1062" s="15" t="str">
        <f t="shared" ref="BM1062:BM1064" si="1850">"54.01"</f>
        <v>54.01</v>
      </c>
      <c r="BN1062" s="15" t="s">
        <v>888</v>
      </c>
      <c r="BQ1062" s="15" t="s">
        <v>444</v>
      </c>
      <c r="BS1062" s="15" t="s">
        <v>444</v>
      </c>
      <c r="BU1062" s="15" t="s">
        <v>444</v>
      </c>
      <c r="BW1062" s="15" t="s">
        <v>444</v>
      </c>
      <c r="BZ1062" s="15" t="s">
        <v>444</v>
      </c>
      <c r="CB1062" s="15" t="s">
        <v>444</v>
      </c>
      <c r="CD1062" s="15" t="s">
        <v>444</v>
      </c>
      <c r="CF1062" s="15" t="s">
        <v>444</v>
      </c>
      <c r="CI1062" s="15" t="s">
        <v>444</v>
      </c>
      <c r="CK1062" s="15" t="s">
        <v>444</v>
      </c>
      <c r="CM1062" s="15" t="s">
        <v>444</v>
      </c>
      <c r="CO1062" s="15" t="s">
        <v>444</v>
      </c>
      <c r="CP1062" s="15" t="str">
        <f t="shared" ref="CP1062:CP1064" si="1851">"11.23"</f>
        <v>11.23</v>
      </c>
      <c r="CQ1062" s="15" t="str">
        <f t="shared" ref="CQ1062:CQ1064" si="1852">"0.318"</f>
        <v>0.318</v>
      </c>
      <c r="CR1062" s="15" t="s">
        <v>497</v>
      </c>
      <c r="CS1062" s="15" t="s">
        <v>10153</v>
      </c>
      <c r="CT1062" s="15" t="s">
        <v>612</v>
      </c>
      <c r="CU1062" s="15" t="s">
        <v>2500</v>
      </c>
      <c r="CV1062" s="15" t="s">
        <v>10153</v>
      </c>
      <c r="CW1062" s="15" t="s">
        <v>10234</v>
      </c>
      <c r="CX1062" s="15" t="s">
        <v>2500</v>
      </c>
      <c r="DC1062" s="15" t="str">
        <f>IFERROR(__xludf.DUMMYFUNCTION("""COMPUTED_VALUE"""),"")</f>
        <v/>
      </c>
      <c r="DE1062" s="15" t="str">
        <f>IFERROR(__xludf.DUMMYFUNCTION("""COMPUTED_VALUE"""),"")</f>
        <v/>
      </c>
      <c r="DG1062" s="15" t="str">
        <f>IFERROR(__xludf.DUMMYFUNCTION("""COMPUTED_VALUE"""),"")</f>
        <v/>
      </c>
      <c r="DL1062" s="15" t="str">
        <f>IFERROR(__xludf.DUMMYFUNCTION("""COMPUTED_VALUE"""),"")</f>
        <v/>
      </c>
      <c r="DM1062" s="15" t="s">
        <v>444</v>
      </c>
      <c r="DN1062" s="15" t="s">
        <v>2600</v>
      </c>
      <c r="DO1062" s="15">
        <v>1.0</v>
      </c>
      <c r="DP1062" s="15" t="s">
        <v>2601</v>
      </c>
      <c r="DR1062" s="15">
        <v>1.0</v>
      </c>
      <c r="DS1062" s="15" t="s">
        <v>426</v>
      </c>
      <c r="DT1062" s="15" t="s">
        <v>764</v>
      </c>
      <c r="DU1062" s="15" t="s">
        <v>421</v>
      </c>
      <c r="DY1062" s="15">
        <v>0.0</v>
      </c>
      <c r="EF1062" s="15" t="s">
        <v>471</v>
      </c>
      <c r="EG1062" s="15" t="s">
        <v>472</v>
      </c>
      <c r="EH1062" s="15" t="s">
        <v>10015</v>
      </c>
      <c r="EJ1062" s="15" t="s">
        <v>500</v>
      </c>
      <c r="EK1062" s="15" t="s">
        <v>501</v>
      </c>
      <c r="EM1062" s="15" t="str">
        <f>IFERROR(__xludf.DUMMYFUNCTION("""COMPUTED_VALUE"""),"")</f>
        <v/>
      </c>
      <c r="EW1062" s="15" t="s">
        <v>714</v>
      </c>
      <c r="FL1062" s="15" t="s">
        <v>426</v>
      </c>
      <c r="FM1062" s="15">
        <v>1.0</v>
      </c>
      <c r="GH1062" s="15">
        <v>0.0</v>
      </c>
      <c r="GI1062" s="15" t="s">
        <v>427</v>
      </c>
      <c r="GQ1062" s="15" t="s">
        <v>10235</v>
      </c>
      <c r="GS1062" s="15" t="s">
        <v>4553</v>
      </c>
      <c r="GU1062" s="15" t="s">
        <v>2842</v>
      </c>
      <c r="GW1062" s="15" t="s">
        <v>2604</v>
      </c>
      <c r="GY1062" s="15" t="s">
        <v>764</v>
      </c>
      <c r="GZ1062" s="15" t="s">
        <v>426</v>
      </c>
    </row>
    <row r="1063" ht="15.75" customHeight="1">
      <c r="A1063" s="14" t="s">
        <v>391</v>
      </c>
      <c r="B1063" s="15" t="s">
        <v>10228</v>
      </c>
      <c r="C1063" s="16"/>
      <c r="D1063" s="15" t="s">
        <v>432</v>
      </c>
      <c r="G1063" s="14" t="s">
        <v>393</v>
      </c>
      <c r="H1063" s="14" t="s">
        <v>394</v>
      </c>
      <c r="I1063" s="14" t="b">
        <v>1</v>
      </c>
      <c r="J1063" s="14" t="s">
        <v>395</v>
      </c>
      <c r="L1063" s="14" t="b">
        <v>0</v>
      </c>
      <c r="M1063" s="15" t="s">
        <v>10236</v>
      </c>
      <c r="N1063" s="14" t="s">
        <v>393</v>
      </c>
      <c r="O1063" s="14" t="s">
        <v>393</v>
      </c>
      <c r="P1063" s="15" t="s">
        <v>397</v>
      </c>
      <c r="Q1063" s="15" t="s">
        <v>10017</v>
      </c>
      <c r="T1063" s="14" t="b">
        <v>0</v>
      </c>
      <c r="U1063" s="15" t="s">
        <v>10237</v>
      </c>
      <c r="V1063" s="15" t="s">
        <v>10231</v>
      </c>
      <c r="W1063" s="15" t="s">
        <v>401</v>
      </c>
      <c r="X1063" s="15" t="s">
        <v>402</v>
      </c>
      <c r="Y1063" s="15">
        <v>767.0</v>
      </c>
      <c r="AA1063" s="15" t="str">
        <f t="shared" si="1846"/>
        <v>295</v>
      </c>
      <c r="AB1063" s="14" t="b">
        <v>1</v>
      </c>
      <c r="AC1063" s="14" t="b">
        <v>1</v>
      </c>
      <c r="AD1063" s="15" t="str">
        <f>"801542570347"</f>
        <v>801542570347</v>
      </c>
      <c r="AE1063" s="15" t="s">
        <v>10238</v>
      </c>
      <c r="AF1063" s="14" t="s">
        <v>404</v>
      </c>
      <c r="AG1063" s="14" t="s">
        <v>405</v>
      </c>
      <c r="AH1063" s="14" t="s">
        <v>406</v>
      </c>
      <c r="AI1063" s="15">
        <v>0.0</v>
      </c>
      <c r="AL1063" s="15" t="s">
        <v>5927</v>
      </c>
      <c r="AM1063" s="15" t="s">
        <v>1177</v>
      </c>
      <c r="AN1063" s="15" t="s">
        <v>1178</v>
      </c>
      <c r="AO1063" s="15" t="s">
        <v>1152</v>
      </c>
      <c r="AP1063" s="15" t="s">
        <v>1153</v>
      </c>
      <c r="AQ1063" s="15" t="s">
        <v>600</v>
      </c>
      <c r="AR1063" s="15" t="s">
        <v>601</v>
      </c>
      <c r="AS1063" s="15" t="s">
        <v>4463</v>
      </c>
      <c r="AT1063" s="15" t="s">
        <v>10017</v>
      </c>
      <c r="AU1063" s="15" t="s">
        <v>5928</v>
      </c>
      <c r="AW1063" s="15" t="s">
        <v>628</v>
      </c>
      <c r="AY1063" s="15" t="s">
        <v>413</v>
      </c>
      <c r="AZ1063" s="15" t="b">
        <v>0</v>
      </c>
      <c r="BA1063" s="15" t="s">
        <v>413</v>
      </c>
      <c r="BB1063" s="15" t="b">
        <v>0</v>
      </c>
      <c r="BC1063" s="15" t="s">
        <v>10239</v>
      </c>
      <c r="BD1063" s="15" t="s">
        <v>415</v>
      </c>
      <c r="BE1063" s="15" t="str">
        <f t="shared" si="1784"/>
        <v>1</v>
      </c>
      <c r="BF1063" s="15" t="s">
        <v>416</v>
      </c>
      <c r="BG1063" s="15" t="str">
        <f t="shared" si="1847"/>
        <v>28.54</v>
      </c>
      <c r="BH1063" s="15" t="s">
        <v>3923</v>
      </c>
      <c r="BI1063" s="15" t="str">
        <f t="shared" si="1848"/>
        <v>21.06</v>
      </c>
      <c r="BJ1063" s="15" t="s">
        <v>3187</v>
      </c>
      <c r="BK1063" s="15" t="str">
        <f t="shared" si="1849"/>
        <v>32.28</v>
      </c>
      <c r="BL1063" s="15" t="s">
        <v>954</v>
      </c>
      <c r="BM1063" s="15" t="str">
        <f t="shared" si="1850"/>
        <v>54.01</v>
      </c>
      <c r="BN1063" s="15" t="s">
        <v>888</v>
      </c>
      <c r="BQ1063" s="15" t="s">
        <v>444</v>
      </c>
      <c r="BS1063" s="15" t="s">
        <v>444</v>
      </c>
      <c r="BU1063" s="15" t="s">
        <v>444</v>
      </c>
      <c r="BW1063" s="15" t="s">
        <v>444</v>
      </c>
      <c r="BZ1063" s="15" t="s">
        <v>444</v>
      </c>
      <c r="CB1063" s="15" t="s">
        <v>444</v>
      </c>
      <c r="CD1063" s="15" t="s">
        <v>444</v>
      </c>
      <c r="CF1063" s="15" t="s">
        <v>444</v>
      </c>
      <c r="CI1063" s="15" t="s">
        <v>444</v>
      </c>
      <c r="CK1063" s="15" t="s">
        <v>444</v>
      </c>
      <c r="CM1063" s="15" t="s">
        <v>444</v>
      </c>
      <c r="CO1063" s="15" t="s">
        <v>444</v>
      </c>
      <c r="CP1063" s="15" t="str">
        <f t="shared" si="1851"/>
        <v>11.23</v>
      </c>
      <c r="CQ1063" s="15" t="str">
        <f t="shared" si="1852"/>
        <v>0.318</v>
      </c>
      <c r="CR1063" s="15" t="s">
        <v>497</v>
      </c>
      <c r="CS1063" s="15" t="s">
        <v>10153</v>
      </c>
      <c r="CT1063" s="15" t="s">
        <v>612</v>
      </c>
      <c r="CU1063" s="15" t="s">
        <v>2500</v>
      </c>
      <c r="CV1063" s="15" t="s">
        <v>10153</v>
      </c>
      <c r="CW1063" s="15" t="s">
        <v>10234</v>
      </c>
      <c r="CX1063" s="15" t="s">
        <v>2500</v>
      </c>
      <c r="DC1063" s="15" t="str">
        <f>IFERROR(__xludf.DUMMYFUNCTION("""COMPUTED_VALUE"""),"")</f>
        <v/>
      </c>
      <c r="DE1063" s="15" t="str">
        <f>IFERROR(__xludf.DUMMYFUNCTION("""COMPUTED_VALUE"""),"")</f>
        <v/>
      </c>
      <c r="DG1063" s="15" t="str">
        <f>IFERROR(__xludf.DUMMYFUNCTION("""COMPUTED_VALUE"""),"")</f>
        <v/>
      </c>
      <c r="DL1063" s="15" t="str">
        <f>IFERROR(__xludf.DUMMYFUNCTION("""COMPUTED_VALUE"""),"")</f>
        <v/>
      </c>
      <c r="DM1063" s="15" t="s">
        <v>444</v>
      </c>
      <c r="DN1063" s="15" t="s">
        <v>2600</v>
      </c>
      <c r="DO1063" s="15">
        <v>1.0</v>
      </c>
      <c r="DP1063" s="15" t="s">
        <v>2601</v>
      </c>
      <c r="DR1063" s="15">
        <v>1.0</v>
      </c>
      <c r="DS1063" s="15" t="s">
        <v>426</v>
      </c>
      <c r="DT1063" s="15" t="s">
        <v>764</v>
      </c>
      <c r="DU1063" s="15" t="s">
        <v>421</v>
      </c>
      <c r="DY1063" s="15">
        <v>0.0</v>
      </c>
      <c r="EF1063" s="15" t="s">
        <v>471</v>
      </c>
      <c r="EG1063" s="15" t="s">
        <v>472</v>
      </c>
      <c r="EH1063" s="15" t="s">
        <v>10015</v>
      </c>
      <c r="EJ1063" s="15" t="s">
        <v>500</v>
      </c>
      <c r="EK1063" s="15" t="s">
        <v>501</v>
      </c>
      <c r="EM1063" s="15" t="str">
        <f>IFERROR(__xludf.DUMMYFUNCTION("""COMPUTED_VALUE"""),"")</f>
        <v/>
      </c>
      <c r="EW1063" s="15" t="s">
        <v>714</v>
      </c>
      <c r="FL1063" s="15" t="s">
        <v>426</v>
      </c>
      <c r="FM1063" s="15">
        <v>1.0</v>
      </c>
      <c r="GH1063" s="15">
        <v>0.0</v>
      </c>
      <c r="GI1063" s="15" t="s">
        <v>427</v>
      </c>
      <c r="GQ1063" s="15" t="s">
        <v>10235</v>
      </c>
      <c r="GS1063" s="15" t="s">
        <v>4553</v>
      </c>
      <c r="GU1063" s="15" t="s">
        <v>2842</v>
      </c>
      <c r="GW1063" s="15" t="s">
        <v>2604</v>
      </c>
      <c r="GY1063" s="15" t="s">
        <v>764</v>
      </c>
      <c r="GZ1063" s="15" t="s">
        <v>426</v>
      </c>
    </row>
    <row r="1064" ht="15.75" customHeight="1">
      <c r="A1064" s="14" t="s">
        <v>391</v>
      </c>
      <c r="B1064" s="15" t="s">
        <v>10228</v>
      </c>
      <c r="C1064" s="16"/>
      <c r="D1064" s="15" t="s">
        <v>432</v>
      </c>
      <c r="G1064" s="14" t="s">
        <v>393</v>
      </c>
      <c r="H1064" s="14" t="s">
        <v>394</v>
      </c>
      <c r="I1064" s="14" t="b">
        <v>1</v>
      </c>
      <c r="J1064" s="14" t="s">
        <v>395</v>
      </c>
      <c r="L1064" s="14" t="b">
        <v>0</v>
      </c>
      <c r="M1064" s="15" t="s">
        <v>10240</v>
      </c>
      <c r="N1064" s="14" t="s">
        <v>393</v>
      </c>
      <c r="O1064" s="14" t="s">
        <v>393</v>
      </c>
      <c r="P1064" s="15" t="s">
        <v>397</v>
      </c>
      <c r="Q1064" s="15" t="s">
        <v>10022</v>
      </c>
      <c r="T1064" s="14" t="b">
        <v>0</v>
      </c>
      <c r="U1064" s="15" t="s">
        <v>10241</v>
      </c>
      <c r="V1064" s="15" t="s">
        <v>10231</v>
      </c>
      <c r="W1064" s="15" t="s">
        <v>401</v>
      </c>
      <c r="X1064" s="15" t="s">
        <v>402</v>
      </c>
      <c r="Y1064" s="15">
        <v>767.0</v>
      </c>
      <c r="AA1064" s="15" t="str">
        <f t="shared" si="1846"/>
        <v>295</v>
      </c>
      <c r="AB1064" s="14" t="b">
        <v>1</v>
      </c>
      <c r="AC1064" s="14" t="b">
        <v>1</v>
      </c>
      <c r="AD1064" s="15" t="str">
        <f>"801542769567"</f>
        <v>801542769567</v>
      </c>
      <c r="AE1064" s="15" t="s">
        <v>10242</v>
      </c>
      <c r="AF1064" s="14" t="s">
        <v>404</v>
      </c>
      <c r="AG1064" s="14" t="s">
        <v>405</v>
      </c>
      <c r="AH1064" s="14" t="s">
        <v>406</v>
      </c>
      <c r="AI1064" s="15">
        <v>0.0</v>
      </c>
      <c r="AL1064" s="15" t="s">
        <v>5927</v>
      </c>
      <c r="AM1064" s="15" t="s">
        <v>1177</v>
      </c>
      <c r="AN1064" s="15" t="s">
        <v>1178</v>
      </c>
      <c r="AO1064" s="15" t="s">
        <v>1152</v>
      </c>
      <c r="AP1064" s="15" t="s">
        <v>1153</v>
      </c>
      <c r="AQ1064" s="15" t="s">
        <v>600</v>
      </c>
      <c r="AR1064" s="15" t="s">
        <v>601</v>
      </c>
      <c r="AS1064" s="15" t="s">
        <v>4463</v>
      </c>
      <c r="AT1064" s="15" t="s">
        <v>10022</v>
      </c>
      <c r="AU1064" s="15" t="s">
        <v>5928</v>
      </c>
      <c r="AW1064" s="15" t="s">
        <v>628</v>
      </c>
      <c r="AY1064" s="15" t="s">
        <v>413</v>
      </c>
      <c r="AZ1064" s="15" t="b">
        <v>0</v>
      </c>
      <c r="BA1064" s="15" t="s">
        <v>413</v>
      </c>
      <c r="BB1064" s="15" t="b">
        <v>0</v>
      </c>
      <c r="BC1064" s="15" t="s">
        <v>10243</v>
      </c>
      <c r="BD1064" s="15" t="s">
        <v>415</v>
      </c>
      <c r="BE1064" s="15" t="str">
        <f t="shared" si="1784"/>
        <v>1</v>
      </c>
      <c r="BF1064" s="15" t="s">
        <v>416</v>
      </c>
      <c r="BG1064" s="15" t="str">
        <f t="shared" si="1847"/>
        <v>28.54</v>
      </c>
      <c r="BH1064" s="15" t="s">
        <v>3923</v>
      </c>
      <c r="BI1064" s="15" t="str">
        <f t="shared" si="1848"/>
        <v>21.06</v>
      </c>
      <c r="BJ1064" s="15" t="s">
        <v>3187</v>
      </c>
      <c r="BK1064" s="15" t="str">
        <f t="shared" si="1849"/>
        <v>32.28</v>
      </c>
      <c r="BL1064" s="15" t="s">
        <v>954</v>
      </c>
      <c r="BM1064" s="15" t="str">
        <f t="shared" si="1850"/>
        <v>54.01</v>
      </c>
      <c r="BN1064" s="15" t="s">
        <v>888</v>
      </c>
      <c r="BQ1064" s="15" t="s">
        <v>444</v>
      </c>
      <c r="BS1064" s="15" t="s">
        <v>444</v>
      </c>
      <c r="BU1064" s="15" t="s">
        <v>444</v>
      </c>
      <c r="BW1064" s="15" t="s">
        <v>444</v>
      </c>
      <c r="BZ1064" s="15" t="s">
        <v>444</v>
      </c>
      <c r="CB1064" s="15" t="s">
        <v>444</v>
      </c>
      <c r="CD1064" s="15" t="s">
        <v>444</v>
      </c>
      <c r="CF1064" s="15" t="s">
        <v>444</v>
      </c>
      <c r="CI1064" s="15" t="s">
        <v>444</v>
      </c>
      <c r="CK1064" s="15" t="s">
        <v>444</v>
      </c>
      <c r="CM1064" s="15" t="s">
        <v>444</v>
      </c>
      <c r="CO1064" s="15" t="s">
        <v>444</v>
      </c>
      <c r="CP1064" s="15" t="str">
        <f t="shared" si="1851"/>
        <v>11.23</v>
      </c>
      <c r="CQ1064" s="15" t="str">
        <f t="shared" si="1852"/>
        <v>0.318</v>
      </c>
      <c r="CR1064" s="15" t="s">
        <v>465</v>
      </c>
      <c r="CS1064" s="15" t="s">
        <v>10153</v>
      </c>
      <c r="CT1064" s="15" t="s">
        <v>612</v>
      </c>
      <c r="CU1064" s="15" t="s">
        <v>2500</v>
      </c>
      <c r="CV1064" s="15" t="s">
        <v>10153</v>
      </c>
      <c r="CW1064" s="15" t="s">
        <v>10234</v>
      </c>
      <c r="CX1064" s="15" t="s">
        <v>2500</v>
      </c>
      <c r="DC1064" s="15" t="str">
        <f>IFERROR(__xludf.DUMMYFUNCTION("""COMPUTED_VALUE"""),"")</f>
        <v/>
      </c>
      <c r="DE1064" s="15" t="str">
        <f>IFERROR(__xludf.DUMMYFUNCTION("""COMPUTED_VALUE"""),"")</f>
        <v/>
      </c>
      <c r="DG1064" s="15" t="str">
        <f>IFERROR(__xludf.DUMMYFUNCTION("""COMPUTED_VALUE"""),"")</f>
        <v/>
      </c>
      <c r="DL1064" s="15" t="str">
        <f>IFERROR(__xludf.DUMMYFUNCTION("""COMPUTED_VALUE"""),"")</f>
        <v/>
      </c>
      <c r="DM1064" s="15" t="s">
        <v>444</v>
      </c>
      <c r="DN1064" s="15" t="s">
        <v>2600</v>
      </c>
      <c r="DO1064" s="15">
        <v>1.0</v>
      </c>
      <c r="DP1064" s="15" t="s">
        <v>2601</v>
      </c>
      <c r="DR1064" s="15">
        <v>1.0</v>
      </c>
      <c r="DS1064" s="15" t="s">
        <v>426</v>
      </c>
      <c r="DT1064" s="15" t="s">
        <v>764</v>
      </c>
      <c r="DU1064" s="15" t="s">
        <v>421</v>
      </c>
      <c r="DY1064" s="15">
        <v>0.0</v>
      </c>
      <c r="EF1064" s="15" t="s">
        <v>471</v>
      </c>
      <c r="EG1064" s="15" t="s">
        <v>472</v>
      </c>
      <c r="EH1064" s="15" t="s">
        <v>10015</v>
      </c>
      <c r="EJ1064" s="15" t="s">
        <v>500</v>
      </c>
      <c r="EK1064" s="15" t="s">
        <v>501</v>
      </c>
      <c r="EM1064" s="15" t="str">
        <f>IFERROR(__xludf.DUMMYFUNCTION("""COMPUTED_VALUE"""),"")</f>
        <v/>
      </c>
      <c r="EW1064" s="15" t="s">
        <v>714</v>
      </c>
      <c r="FL1064" s="15" t="s">
        <v>426</v>
      </c>
      <c r="FM1064" s="15">
        <v>1.0</v>
      </c>
      <c r="GH1064" s="15">
        <v>0.0</v>
      </c>
      <c r="GI1064" s="15" t="s">
        <v>427</v>
      </c>
      <c r="GQ1064" s="15" t="s">
        <v>10235</v>
      </c>
      <c r="GS1064" s="15" t="s">
        <v>4553</v>
      </c>
      <c r="GU1064" s="15" t="s">
        <v>2842</v>
      </c>
      <c r="GW1064" s="15" t="s">
        <v>2604</v>
      </c>
      <c r="GY1064" s="15" t="s">
        <v>764</v>
      </c>
      <c r="GZ1064" s="15" t="s">
        <v>426</v>
      </c>
    </row>
    <row r="1065" ht="15.75" customHeight="1">
      <c r="A1065" s="14" t="s">
        <v>391</v>
      </c>
      <c r="B1065" s="15" t="s">
        <v>10244</v>
      </c>
      <c r="C1065" s="16"/>
      <c r="D1065" s="15" t="s">
        <v>432</v>
      </c>
      <c r="G1065" s="14" t="s">
        <v>393</v>
      </c>
      <c r="H1065" s="14" t="s">
        <v>394</v>
      </c>
      <c r="I1065" s="14" t="b">
        <v>1</v>
      </c>
      <c r="J1065" s="14" t="s">
        <v>395</v>
      </c>
      <c r="L1065" s="14" t="b">
        <v>0</v>
      </c>
      <c r="M1065" s="15" t="s">
        <v>10245</v>
      </c>
      <c r="N1065" s="14" t="s">
        <v>393</v>
      </c>
      <c r="O1065" s="14" t="s">
        <v>393</v>
      </c>
      <c r="P1065" s="15" t="s">
        <v>397</v>
      </c>
      <c r="Q1065" s="15" t="s">
        <v>10017</v>
      </c>
      <c r="T1065" s="14" t="b">
        <v>0</v>
      </c>
      <c r="U1065" s="15" t="s">
        <v>10246</v>
      </c>
      <c r="V1065" s="15" t="s">
        <v>10247</v>
      </c>
      <c r="W1065" s="15" t="s">
        <v>401</v>
      </c>
      <c r="X1065" s="15" t="s">
        <v>402</v>
      </c>
      <c r="Y1065" s="15">
        <v>1755.0</v>
      </c>
      <c r="AA1065" s="15" t="str">
        <f>"675"</f>
        <v>675</v>
      </c>
      <c r="AB1065" s="14" t="b">
        <v>1</v>
      </c>
      <c r="AC1065" s="14" t="b">
        <v>1</v>
      </c>
      <c r="AD1065" s="15" t="str">
        <f>"801542507374"</f>
        <v>801542507374</v>
      </c>
      <c r="AE1065" s="15" t="s">
        <v>10248</v>
      </c>
      <c r="AF1065" s="14" t="s">
        <v>404</v>
      </c>
      <c r="AG1065" s="14" t="s">
        <v>405</v>
      </c>
      <c r="AH1065" s="14" t="s">
        <v>406</v>
      </c>
      <c r="AI1065" s="15">
        <v>0.0</v>
      </c>
      <c r="AL1065" s="15" t="s">
        <v>5927</v>
      </c>
      <c r="AM1065" s="15" t="s">
        <v>745</v>
      </c>
      <c r="AN1065" s="15" t="s">
        <v>746</v>
      </c>
      <c r="AO1065" s="15" t="s">
        <v>1007</v>
      </c>
      <c r="AP1065" s="15" t="s">
        <v>1008</v>
      </c>
      <c r="AQ1065" s="15" t="s">
        <v>1276</v>
      </c>
      <c r="AR1065" s="15" t="s">
        <v>1277</v>
      </c>
      <c r="AS1065" s="15" t="s">
        <v>4463</v>
      </c>
      <c r="AT1065" s="15" t="s">
        <v>10017</v>
      </c>
      <c r="AU1065" s="15" t="s">
        <v>5928</v>
      </c>
      <c r="AW1065" s="15" t="s">
        <v>664</v>
      </c>
      <c r="AY1065" s="15" t="s">
        <v>413</v>
      </c>
      <c r="AZ1065" s="15" t="b">
        <v>0</v>
      </c>
      <c r="BA1065" s="15" t="s">
        <v>413</v>
      </c>
      <c r="BB1065" s="15" t="b">
        <v>0</v>
      </c>
      <c r="BC1065" s="15" t="s">
        <v>10249</v>
      </c>
      <c r="BD1065" s="15" t="s">
        <v>415</v>
      </c>
      <c r="BE1065" s="15" t="str">
        <f t="shared" si="1784"/>
        <v>1</v>
      </c>
      <c r="BF1065" s="15" t="s">
        <v>416</v>
      </c>
      <c r="BG1065" s="15" t="str">
        <f>"76.77"</f>
        <v>76.77</v>
      </c>
      <c r="BH1065" s="15" t="s">
        <v>5515</v>
      </c>
      <c r="BI1065" s="15" t="str">
        <f>"21.46"</f>
        <v>21.46</v>
      </c>
      <c r="BJ1065" s="15" t="s">
        <v>1385</v>
      </c>
      <c r="BK1065" s="15" t="str">
        <f>"34.84"</f>
        <v>34.84</v>
      </c>
      <c r="BL1065" s="15" t="s">
        <v>5629</v>
      </c>
      <c r="BM1065" s="15" t="str">
        <f>"147.71"</f>
        <v>147.71</v>
      </c>
      <c r="BN1065" s="15" t="s">
        <v>3080</v>
      </c>
      <c r="BQ1065" s="15" t="s">
        <v>444</v>
      </c>
      <c r="BS1065" s="15" t="s">
        <v>444</v>
      </c>
      <c r="BU1065" s="15" t="s">
        <v>444</v>
      </c>
      <c r="BW1065" s="15" t="s">
        <v>444</v>
      </c>
      <c r="BZ1065" s="15" t="s">
        <v>444</v>
      </c>
      <c r="CB1065" s="15" t="s">
        <v>444</v>
      </c>
      <c r="CD1065" s="15" t="s">
        <v>444</v>
      </c>
      <c r="CF1065" s="15" t="s">
        <v>444</v>
      </c>
      <c r="CI1065" s="15" t="s">
        <v>444</v>
      </c>
      <c r="CK1065" s="15" t="s">
        <v>444</v>
      </c>
      <c r="CM1065" s="15" t="s">
        <v>444</v>
      </c>
      <c r="CO1065" s="15" t="s">
        <v>444</v>
      </c>
      <c r="CP1065" s="15" t="str">
        <f>"33.23"</f>
        <v>33.23</v>
      </c>
      <c r="CQ1065" s="15" t="str">
        <f>"0.941"</f>
        <v>0.941</v>
      </c>
      <c r="CR1065" s="15" t="s">
        <v>497</v>
      </c>
      <c r="CV1065" s="15" t="s">
        <v>2159</v>
      </c>
      <c r="CW1065" s="15" t="s">
        <v>985</v>
      </c>
      <c r="CX1065" s="15" t="s">
        <v>10250</v>
      </c>
      <c r="DC1065" s="15" t="str">
        <f>IFERROR(__xludf.DUMMYFUNCTION("""COMPUTED_VALUE"""),"")</f>
        <v/>
      </c>
      <c r="DE1065" s="15" t="str">
        <f>IFERROR(__xludf.DUMMYFUNCTION("""COMPUTED_VALUE"""),"")</f>
        <v/>
      </c>
      <c r="DG1065" s="15" t="str">
        <f>IFERROR(__xludf.DUMMYFUNCTION("""COMPUTED_VALUE"""),"")</f>
        <v/>
      </c>
      <c r="DL1065" s="15" t="str">
        <f>IFERROR(__xludf.DUMMYFUNCTION("""COMPUTED_VALUE"""),"")</f>
        <v/>
      </c>
      <c r="DM1065" s="15" t="s">
        <v>444</v>
      </c>
      <c r="DN1065" s="15" t="s">
        <v>2600</v>
      </c>
      <c r="DO1065" s="15">
        <v>2.0</v>
      </c>
      <c r="DP1065" s="15" t="s">
        <v>2604</v>
      </c>
      <c r="DR1065" s="15">
        <v>0.0</v>
      </c>
      <c r="DT1065" s="15" t="s">
        <v>764</v>
      </c>
      <c r="DU1065" s="15" t="s">
        <v>610</v>
      </c>
      <c r="DW1065" s="15">
        <v>18.14</v>
      </c>
      <c r="DX1065" s="15">
        <v>40.0</v>
      </c>
      <c r="DY1065" s="15">
        <v>2.0</v>
      </c>
      <c r="EG1065" s="15" t="s">
        <v>444</v>
      </c>
      <c r="EH1065" s="15" t="s">
        <v>10015</v>
      </c>
      <c r="EJ1065" s="15" t="s">
        <v>424</v>
      </c>
      <c r="EK1065" s="15" t="s">
        <v>446</v>
      </c>
      <c r="EM1065" s="15" t="str">
        <f>IFERROR(__xludf.DUMMYFUNCTION("""COMPUTED_VALUE"""),"")</f>
        <v/>
      </c>
      <c r="EW1065" s="15" t="s">
        <v>2050</v>
      </c>
      <c r="FL1065" s="15" t="s">
        <v>426</v>
      </c>
      <c r="FM1065" s="15">
        <v>2.0</v>
      </c>
      <c r="FY1065" s="15" t="s">
        <v>824</v>
      </c>
      <c r="FZ1065" s="15" t="s">
        <v>10251</v>
      </c>
      <c r="GA1065" s="15" t="s">
        <v>10252</v>
      </c>
      <c r="GB1065" s="15" t="s">
        <v>2159</v>
      </c>
      <c r="GC1065" s="15" t="s">
        <v>10251</v>
      </c>
      <c r="GD1065" s="15" t="s">
        <v>10250</v>
      </c>
      <c r="GE1065" s="15">
        <v>0.0</v>
      </c>
      <c r="GF1065" s="15" t="s">
        <v>426</v>
      </c>
      <c r="GG1065" s="15" t="s">
        <v>785</v>
      </c>
      <c r="GH1065" s="15">
        <v>3.0</v>
      </c>
      <c r="GI1065" s="15" t="s">
        <v>614</v>
      </c>
      <c r="GJ1065" s="15" t="s">
        <v>615</v>
      </c>
      <c r="GK1065" s="15">
        <v>0.0</v>
      </c>
      <c r="GL1065" s="15" t="s">
        <v>426</v>
      </c>
      <c r="GN1065" s="15" t="s">
        <v>616</v>
      </c>
      <c r="GQ1065" s="15" t="s">
        <v>3781</v>
      </c>
      <c r="GS1065" s="15" t="s">
        <v>714</v>
      </c>
      <c r="GU1065" s="15" t="s">
        <v>2598</v>
      </c>
      <c r="GW1065" s="15" t="s">
        <v>2604</v>
      </c>
      <c r="GY1065" s="15" t="s">
        <v>764</v>
      </c>
      <c r="GZ1065" s="15" t="s">
        <v>426</v>
      </c>
      <c r="HA1065" s="15" t="s">
        <v>2159</v>
      </c>
      <c r="HB1065" s="15" t="s">
        <v>985</v>
      </c>
      <c r="HC1065" s="15" t="s">
        <v>607</v>
      </c>
      <c r="HW1065" s="15" t="s">
        <v>732</v>
      </c>
      <c r="ID1065" s="15" t="s">
        <v>2159</v>
      </c>
      <c r="IE1065" s="15" t="s">
        <v>10251</v>
      </c>
      <c r="IF1065" s="15" t="s">
        <v>607</v>
      </c>
      <c r="IH1065" s="15" t="s">
        <v>426</v>
      </c>
    </row>
    <row r="1066" ht="15.75" customHeight="1">
      <c r="A1066" s="14" t="s">
        <v>391</v>
      </c>
      <c r="B1066" s="15" t="s">
        <v>10253</v>
      </c>
      <c r="C1066" s="16"/>
      <c r="D1066" s="15" t="s">
        <v>432</v>
      </c>
      <c r="G1066" s="14" t="s">
        <v>393</v>
      </c>
      <c r="H1066" s="14" t="s">
        <v>394</v>
      </c>
      <c r="I1066" s="14" t="b">
        <v>1</v>
      </c>
      <c r="J1066" s="14" t="s">
        <v>395</v>
      </c>
      <c r="L1066" s="14" t="b">
        <v>0</v>
      </c>
      <c r="M1066" s="15" t="s">
        <v>10254</v>
      </c>
      <c r="N1066" s="14" t="s">
        <v>393</v>
      </c>
      <c r="O1066" s="14" t="s">
        <v>393</v>
      </c>
      <c r="P1066" s="15" t="s">
        <v>397</v>
      </c>
      <c r="Q1066" s="15" t="s">
        <v>10255</v>
      </c>
      <c r="T1066" s="14" t="b">
        <v>0</v>
      </c>
      <c r="U1066" s="15" t="s">
        <v>10256</v>
      </c>
      <c r="V1066" s="15" t="s">
        <v>4460</v>
      </c>
      <c r="W1066" s="15" t="s">
        <v>401</v>
      </c>
      <c r="X1066" s="15" t="s">
        <v>695</v>
      </c>
      <c r="Y1066" s="15">
        <v>2405.0</v>
      </c>
      <c r="AA1066" s="15" t="str">
        <f>"925"</f>
        <v>925</v>
      </c>
      <c r="AB1066" s="14" t="b">
        <v>1</v>
      </c>
      <c r="AC1066" s="14" t="b">
        <v>1</v>
      </c>
      <c r="AD1066" s="15" t="str">
        <f>"801542981358"</f>
        <v>801542981358</v>
      </c>
      <c r="AE1066" s="15" t="s">
        <v>10257</v>
      </c>
      <c r="AF1066" s="14" t="s">
        <v>404</v>
      </c>
      <c r="AG1066" s="14" t="s">
        <v>405</v>
      </c>
      <c r="AH1066" s="14" t="s">
        <v>406</v>
      </c>
      <c r="AI1066" s="15">
        <v>0.0</v>
      </c>
      <c r="AL1066" s="15" t="s">
        <v>2872</v>
      </c>
      <c r="AM1066" s="15" t="s">
        <v>1224</v>
      </c>
      <c r="AN1066" s="15" t="s">
        <v>1225</v>
      </c>
      <c r="AO1066" s="15" t="s">
        <v>913</v>
      </c>
      <c r="AP1066" s="15" t="s">
        <v>914</v>
      </c>
      <c r="AQ1066" s="15" t="s">
        <v>2039</v>
      </c>
      <c r="AR1066" s="15" t="s">
        <v>2040</v>
      </c>
      <c r="AS1066" s="15" t="s">
        <v>2594</v>
      </c>
      <c r="AT1066" s="15" t="s">
        <v>10255</v>
      </c>
      <c r="AW1066" s="15" t="s">
        <v>491</v>
      </c>
      <c r="AY1066" s="15" t="s">
        <v>413</v>
      </c>
      <c r="AZ1066" s="15" t="b">
        <v>0</v>
      </c>
      <c r="BA1066" s="15" t="s">
        <v>413</v>
      </c>
      <c r="BB1066" s="15" t="b">
        <v>0</v>
      </c>
      <c r="BC1066" s="15" t="s">
        <v>10258</v>
      </c>
      <c r="BD1066" s="15" t="s">
        <v>709</v>
      </c>
      <c r="BE1066" s="15" t="str">
        <f t="shared" si="1784"/>
        <v>1</v>
      </c>
      <c r="BF1066" s="15" t="s">
        <v>416</v>
      </c>
      <c r="BG1066" s="15" t="str">
        <f>"68.11"</f>
        <v>68.11</v>
      </c>
      <c r="BH1066" s="15" t="s">
        <v>2980</v>
      </c>
      <c r="BI1066" s="15" t="str">
        <f>"38.19"</f>
        <v>38.19</v>
      </c>
      <c r="BJ1066" s="15" t="s">
        <v>3531</v>
      </c>
      <c r="BK1066" s="15" t="str">
        <f>"20.87"</f>
        <v>20.87</v>
      </c>
      <c r="BL1066" s="15" t="s">
        <v>495</v>
      </c>
      <c r="BM1066" s="15" t="str">
        <f>"165.35"</f>
        <v>165.35</v>
      </c>
      <c r="BN1066" s="15" t="s">
        <v>2398</v>
      </c>
      <c r="BQ1066" s="15" t="s">
        <v>444</v>
      </c>
      <c r="BS1066" s="15" t="s">
        <v>444</v>
      </c>
      <c r="BU1066" s="15" t="s">
        <v>444</v>
      </c>
      <c r="BW1066" s="15" t="s">
        <v>444</v>
      </c>
      <c r="BZ1066" s="15" t="s">
        <v>444</v>
      </c>
      <c r="CB1066" s="15" t="s">
        <v>444</v>
      </c>
      <c r="CD1066" s="15" t="s">
        <v>444</v>
      </c>
      <c r="CF1066" s="15" t="s">
        <v>444</v>
      </c>
      <c r="CI1066" s="15" t="s">
        <v>444</v>
      </c>
      <c r="CK1066" s="15" t="s">
        <v>444</v>
      </c>
      <c r="CM1066" s="15" t="s">
        <v>444</v>
      </c>
      <c r="CO1066" s="15" t="s">
        <v>444</v>
      </c>
      <c r="CP1066" s="15" t="str">
        <f>"31.43"</f>
        <v>31.43</v>
      </c>
      <c r="CQ1066" s="15" t="str">
        <f>"0.89"</f>
        <v>0.89</v>
      </c>
      <c r="CR1066" s="15" t="s">
        <v>465</v>
      </c>
      <c r="CS1066" s="15" t="s">
        <v>2637</v>
      </c>
      <c r="CT1066" s="15" t="s">
        <v>1188</v>
      </c>
      <c r="CU1066" s="15" t="s">
        <v>4770</v>
      </c>
      <c r="CV1066" s="15" t="s">
        <v>2637</v>
      </c>
      <c r="CW1066" s="15" t="s">
        <v>2805</v>
      </c>
      <c r="CX1066" s="15" t="s">
        <v>4770</v>
      </c>
      <c r="DC1066" s="15" t="str">
        <f>IFERROR(__xludf.DUMMYFUNCTION("""COMPUTED_VALUE"""),"")</f>
        <v/>
      </c>
      <c r="DE1066" s="15" t="str">
        <f>IFERROR(__xludf.DUMMYFUNCTION("""COMPUTED_VALUE"""),"")</f>
        <v/>
      </c>
      <c r="DG1066" s="15" t="str">
        <f>IFERROR(__xludf.DUMMYFUNCTION("""COMPUTED_VALUE"""),"")</f>
        <v/>
      </c>
      <c r="DL1066" s="15" t="str">
        <f>IFERROR(__xludf.DUMMYFUNCTION("""COMPUTED_VALUE"""),"")</f>
        <v/>
      </c>
      <c r="DM1066" s="15" t="s">
        <v>444</v>
      </c>
      <c r="DN1066" s="15" t="s">
        <v>419</v>
      </c>
      <c r="DO1066" s="15">
        <v>0.0</v>
      </c>
      <c r="DP1066" s="15" t="s">
        <v>419</v>
      </c>
      <c r="DR1066" s="15">
        <v>1.0</v>
      </c>
      <c r="DS1066" s="15" t="s">
        <v>426</v>
      </c>
      <c r="DT1066" s="15" t="s">
        <v>420</v>
      </c>
      <c r="DU1066" s="15" t="s">
        <v>1914</v>
      </c>
      <c r="DY1066" s="15">
        <v>0.0</v>
      </c>
      <c r="EF1066" s="15" t="s">
        <v>471</v>
      </c>
      <c r="EG1066" s="15" t="s">
        <v>472</v>
      </c>
      <c r="EH1066" s="15" t="s">
        <v>10259</v>
      </c>
      <c r="EJ1066" s="15" t="s">
        <v>500</v>
      </c>
      <c r="EK1066" s="15" t="s">
        <v>501</v>
      </c>
      <c r="EM1066" s="15" t="str">
        <f>IFERROR(__xludf.DUMMYFUNCTION("""COMPUTED_VALUE"""),"")</f>
        <v/>
      </c>
      <c r="EW1066" s="15" t="s">
        <v>1236</v>
      </c>
      <c r="EX1066" s="15" t="s">
        <v>558</v>
      </c>
      <c r="EY1066" s="15" t="s">
        <v>2399</v>
      </c>
      <c r="FH1066" s="15" t="s">
        <v>3545</v>
      </c>
      <c r="FI1066" s="15" t="s">
        <v>1287</v>
      </c>
      <c r="FJ1066" s="15" t="s">
        <v>672</v>
      </c>
      <c r="FK1066" s="15" t="s">
        <v>784</v>
      </c>
      <c r="FL1066" s="15" t="s">
        <v>426</v>
      </c>
      <c r="FM1066" s="15">
        <v>1.0</v>
      </c>
      <c r="FN1066" s="15">
        <v>0.0</v>
      </c>
      <c r="FW1066" s="15" t="s">
        <v>531</v>
      </c>
    </row>
    <row r="1067" ht="15.75" customHeight="1">
      <c r="A1067" s="14" t="s">
        <v>391</v>
      </c>
      <c r="B1067" s="15" t="s">
        <v>10260</v>
      </c>
      <c r="C1067" s="16"/>
      <c r="D1067" s="15" t="s">
        <v>432</v>
      </c>
      <c r="G1067" s="14" t="s">
        <v>393</v>
      </c>
      <c r="H1067" s="14" t="s">
        <v>394</v>
      </c>
      <c r="I1067" s="14" t="b">
        <v>1</v>
      </c>
      <c r="J1067" s="14" t="s">
        <v>395</v>
      </c>
      <c r="L1067" s="14" t="b">
        <v>0</v>
      </c>
      <c r="M1067" s="15" t="s">
        <v>10261</v>
      </c>
      <c r="N1067" s="14" t="s">
        <v>393</v>
      </c>
      <c r="O1067" s="14" t="s">
        <v>393</v>
      </c>
      <c r="P1067" s="15" t="s">
        <v>397</v>
      </c>
      <c r="Q1067" s="15" t="s">
        <v>10255</v>
      </c>
      <c r="T1067" s="14" t="b">
        <v>0</v>
      </c>
      <c r="U1067" s="15" t="s">
        <v>10262</v>
      </c>
      <c r="V1067" s="15" t="s">
        <v>10263</v>
      </c>
      <c r="W1067" s="15" t="s">
        <v>401</v>
      </c>
      <c r="X1067" s="15" t="s">
        <v>695</v>
      </c>
      <c r="Y1067" s="15">
        <v>1807.0</v>
      </c>
      <c r="AA1067" s="15" t="str">
        <f>"695"</f>
        <v>695</v>
      </c>
      <c r="AB1067" s="14" t="b">
        <v>1</v>
      </c>
      <c r="AC1067" s="14" t="b">
        <v>1</v>
      </c>
      <c r="AD1067" s="15" t="str">
        <f>"801542316839"</f>
        <v>801542316839</v>
      </c>
      <c r="AE1067" s="15" t="s">
        <v>10264</v>
      </c>
      <c r="AF1067" s="14" t="s">
        <v>404</v>
      </c>
      <c r="AG1067" s="14" t="s">
        <v>405</v>
      </c>
      <c r="AH1067" s="14" t="s">
        <v>406</v>
      </c>
      <c r="AI1067" s="15">
        <v>0.0</v>
      </c>
      <c r="AL1067" s="15" t="s">
        <v>2872</v>
      </c>
      <c r="AM1067" s="15" t="s">
        <v>2355</v>
      </c>
      <c r="AN1067" s="15" t="s">
        <v>2356</v>
      </c>
      <c r="AO1067" s="15" t="s">
        <v>1248</v>
      </c>
      <c r="AP1067" s="15" t="s">
        <v>1249</v>
      </c>
      <c r="AQ1067" s="15" t="s">
        <v>600</v>
      </c>
      <c r="AR1067" s="15" t="s">
        <v>601</v>
      </c>
      <c r="AS1067" s="15" t="s">
        <v>2594</v>
      </c>
      <c r="AT1067" s="15" t="s">
        <v>10255</v>
      </c>
      <c r="AW1067" s="15" t="s">
        <v>519</v>
      </c>
      <c r="AY1067" s="15" t="s">
        <v>413</v>
      </c>
      <c r="AZ1067" s="15" t="b">
        <v>0</v>
      </c>
      <c r="BA1067" s="15" t="s">
        <v>413</v>
      </c>
      <c r="BB1067" s="15" t="b">
        <v>0</v>
      </c>
      <c r="BC1067" s="15" t="s">
        <v>10258</v>
      </c>
      <c r="BD1067" s="15" t="s">
        <v>709</v>
      </c>
      <c r="BE1067" s="15" t="str">
        <f>"2"</f>
        <v>2</v>
      </c>
      <c r="BF1067" s="15" t="s">
        <v>1564</v>
      </c>
      <c r="BG1067" s="15" t="str">
        <f>"81.69"</f>
        <v>81.69</v>
      </c>
      <c r="BH1067" s="15" t="s">
        <v>8275</v>
      </c>
      <c r="BI1067" s="15" t="str">
        <f>"5.31"</f>
        <v>5.31</v>
      </c>
      <c r="BJ1067" s="15" t="s">
        <v>4023</v>
      </c>
      <c r="BK1067" s="15" t="str">
        <f>"23.43"</f>
        <v>23.43</v>
      </c>
      <c r="BL1067" s="15" t="s">
        <v>2091</v>
      </c>
      <c r="BM1067" s="15" t="str">
        <f>"68.34"</f>
        <v>68.34</v>
      </c>
      <c r="BN1067" s="15" t="s">
        <v>3744</v>
      </c>
      <c r="BO1067" s="15" t="s">
        <v>2238</v>
      </c>
      <c r="BP1067" s="15" t="str">
        <f>"22.64"</f>
        <v>22.64</v>
      </c>
      <c r="BQ1067" s="15" t="s">
        <v>5982</v>
      </c>
      <c r="BR1067" s="15" t="str">
        <f>"17.91"</f>
        <v>17.91</v>
      </c>
      <c r="BS1067" s="15" t="s">
        <v>5780</v>
      </c>
      <c r="BT1067" s="15" t="str">
        <f>"30.51"</f>
        <v>30.51</v>
      </c>
      <c r="BU1067" s="15" t="s">
        <v>5931</v>
      </c>
      <c r="BV1067" s="15" t="str">
        <f>"46.74"</f>
        <v>46.74</v>
      </c>
      <c r="BW1067" s="15" t="s">
        <v>10265</v>
      </c>
      <c r="BZ1067" s="15" t="s">
        <v>444</v>
      </c>
      <c r="CB1067" s="15" t="s">
        <v>444</v>
      </c>
      <c r="CD1067" s="15" t="s">
        <v>444</v>
      </c>
      <c r="CF1067" s="15" t="s">
        <v>444</v>
      </c>
      <c r="CI1067" s="15" t="s">
        <v>444</v>
      </c>
      <c r="CK1067" s="15" t="s">
        <v>444</v>
      </c>
      <c r="CM1067" s="15" t="s">
        <v>444</v>
      </c>
      <c r="CO1067" s="15" t="s">
        <v>444</v>
      </c>
      <c r="CP1067" s="15" t="str">
        <f>"13.07"</f>
        <v>13.07</v>
      </c>
      <c r="CQ1067" s="15" t="str">
        <f>"0.37"</f>
        <v>0.37</v>
      </c>
      <c r="CR1067" s="15" t="s">
        <v>465</v>
      </c>
      <c r="CS1067" s="15" t="s">
        <v>3781</v>
      </c>
      <c r="CT1067" s="15" t="s">
        <v>1042</v>
      </c>
      <c r="CU1067" s="15" t="s">
        <v>3763</v>
      </c>
      <c r="CV1067" s="15" t="s">
        <v>3781</v>
      </c>
      <c r="CW1067" s="15" t="s">
        <v>824</v>
      </c>
      <c r="CX1067" s="15" t="s">
        <v>3763</v>
      </c>
      <c r="DC1067" s="15" t="str">
        <f>IFERROR(__xludf.DUMMYFUNCTION("""COMPUTED_VALUE"""),"")</f>
        <v/>
      </c>
      <c r="DE1067" s="15" t="str">
        <f>IFERROR(__xludf.DUMMYFUNCTION("""COMPUTED_VALUE"""),"")</f>
        <v/>
      </c>
      <c r="DG1067" s="15" t="str">
        <f>IFERROR(__xludf.DUMMYFUNCTION("""COMPUTED_VALUE"""),"")</f>
        <v/>
      </c>
      <c r="DL1067" s="15" t="str">
        <f>IFERROR(__xludf.DUMMYFUNCTION("""COMPUTED_VALUE"""),"")</f>
        <v/>
      </c>
      <c r="DM1067" s="15" t="s">
        <v>444</v>
      </c>
      <c r="DN1067" s="15" t="s">
        <v>419</v>
      </c>
      <c r="DO1067" s="15">
        <v>0.0</v>
      </c>
      <c r="DP1067" s="15" t="s">
        <v>419</v>
      </c>
      <c r="DR1067" s="15">
        <v>1.0</v>
      </c>
      <c r="DS1067" s="15" t="s">
        <v>426</v>
      </c>
      <c r="DT1067" s="15" t="s">
        <v>420</v>
      </c>
      <c r="DU1067" s="15" t="s">
        <v>1914</v>
      </c>
      <c r="DY1067" s="15">
        <v>0.0</v>
      </c>
      <c r="EF1067" s="15" t="s">
        <v>471</v>
      </c>
      <c r="EG1067" s="15" t="s">
        <v>472</v>
      </c>
      <c r="EH1067" s="15" t="s">
        <v>10259</v>
      </c>
      <c r="EJ1067" s="15" t="s">
        <v>424</v>
      </c>
      <c r="EK1067" s="15" t="s">
        <v>446</v>
      </c>
      <c r="EM1067" s="15" t="str">
        <f>IFERROR(__xludf.DUMMYFUNCTION("""COMPUTED_VALUE"""),"")</f>
        <v/>
      </c>
      <c r="EW1067" s="15" t="s">
        <v>2603</v>
      </c>
      <c r="EX1067" s="15" t="s">
        <v>504</v>
      </c>
      <c r="EY1067" s="15" t="s">
        <v>8999</v>
      </c>
      <c r="FH1067" s="15" t="s">
        <v>759</v>
      </c>
      <c r="FI1067" s="15" t="s">
        <v>733</v>
      </c>
      <c r="FJ1067" s="15" t="s">
        <v>4685</v>
      </c>
      <c r="FK1067" s="15" t="s">
        <v>784</v>
      </c>
      <c r="FL1067" s="15" t="s">
        <v>426</v>
      </c>
      <c r="FM1067" s="15">
        <v>1.0</v>
      </c>
      <c r="FN1067" s="15">
        <v>0.0</v>
      </c>
      <c r="FW1067" s="15" t="s">
        <v>531</v>
      </c>
      <c r="GH1067" s="15">
        <v>0.0</v>
      </c>
      <c r="GI1067" s="15" t="s">
        <v>427</v>
      </c>
    </row>
    <row r="1068" ht="15.75" customHeight="1">
      <c r="A1068" s="14" t="s">
        <v>391</v>
      </c>
      <c r="B1068" s="15" t="s">
        <v>10266</v>
      </c>
      <c r="C1068" s="16"/>
      <c r="D1068" s="15" t="s">
        <v>432</v>
      </c>
      <c r="G1068" s="14" t="s">
        <v>393</v>
      </c>
      <c r="H1068" s="14" t="s">
        <v>394</v>
      </c>
      <c r="I1068" s="14" t="b">
        <v>1</v>
      </c>
      <c r="J1068" s="14" t="s">
        <v>395</v>
      </c>
      <c r="L1068" s="14" t="b">
        <v>0</v>
      </c>
      <c r="M1068" s="15" t="s">
        <v>10267</v>
      </c>
      <c r="N1068" s="14" t="s">
        <v>393</v>
      </c>
      <c r="O1068" s="14" t="s">
        <v>393</v>
      </c>
      <c r="P1068" s="15" t="s">
        <v>397</v>
      </c>
      <c r="Q1068" s="15" t="s">
        <v>3697</v>
      </c>
      <c r="T1068" s="14" t="b">
        <v>0</v>
      </c>
      <c r="U1068" s="15" t="s">
        <v>10268</v>
      </c>
      <c r="V1068" s="15" t="s">
        <v>1244</v>
      </c>
      <c r="W1068" s="15" t="s">
        <v>401</v>
      </c>
      <c r="X1068" s="15" t="s">
        <v>1296</v>
      </c>
      <c r="Y1068" s="15">
        <v>442.0</v>
      </c>
      <c r="AA1068" s="15" t="str">
        <f>"170"</f>
        <v>170</v>
      </c>
      <c r="AB1068" s="14" t="b">
        <v>1</v>
      </c>
      <c r="AC1068" s="14" t="b">
        <v>1</v>
      </c>
      <c r="AD1068" s="15" t="str">
        <f>"801542720964"</f>
        <v>801542720964</v>
      </c>
      <c r="AE1068" s="15" t="s">
        <v>10269</v>
      </c>
      <c r="AF1068" s="14" t="s">
        <v>404</v>
      </c>
      <c r="AG1068" s="14" t="s">
        <v>405</v>
      </c>
      <c r="AH1068" s="14" t="s">
        <v>406</v>
      </c>
      <c r="AI1068" s="15">
        <v>0.0</v>
      </c>
      <c r="AL1068" s="15" t="s">
        <v>3701</v>
      </c>
      <c r="AM1068" s="15" t="s">
        <v>409</v>
      </c>
      <c r="AN1068" s="15" t="s">
        <v>438</v>
      </c>
      <c r="AO1068" s="15" t="s">
        <v>409</v>
      </c>
      <c r="AP1068" s="15" t="s">
        <v>438</v>
      </c>
      <c r="AQ1068" s="15" t="s">
        <v>2059</v>
      </c>
      <c r="AR1068" s="15" t="s">
        <v>2060</v>
      </c>
      <c r="AS1068" s="15" t="s">
        <v>3586</v>
      </c>
      <c r="AT1068" s="15" t="s">
        <v>3697</v>
      </c>
      <c r="AW1068" s="15" t="s">
        <v>1154</v>
      </c>
      <c r="AY1068" s="15" t="s">
        <v>413</v>
      </c>
      <c r="AZ1068" s="15" t="b">
        <v>0</v>
      </c>
      <c r="BA1068" s="15" t="s">
        <v>413</v>
      </c>
      <c r="BB1068" s="15" t="b">
        <v>0</v>
      </c>
      <c r="BC1068" s="15" t="s">
        <v>10270</v>
      </c>
      <c r="BD1068" s="15" t="s">
        <v>1303</v>
      </c>
      <c r="BE1068" s="15" t="str">
        <f t="shared" ref="BE1068:BE1073" si="1853">"1"</f>
        <v>1</v>
      </c>
      <c r="BF1068" s="15" t="s">
        <v>416</v>
      </c>
      <c r="BG1068" s="15" t="str">
        <f>"21"</f>
        <v>21</v>
      </c>
      <c r="BH1068" s="15" t="s">
        <v>1676</v>
      </c>
      <c r="BI1068" s="15" t="str">
        <f>"21"</f>
        <v>21</v>
      </c>
      <c r="BJ1068" s="15" t="s">
        <v>1676</v>
      </c>
      <c r="BK1068" s="15" t="str">
        <f>"27"</f>
        <v>27</v>
      </c>
      <c r="BL1068" s="15" t="s">
        <v>601</v>
      </c>
      <c r="BM1068" s="15" t="str">
        <f>"27.12"</f>
        <v>27.12</v>
      </c>
      <c r="BN1068" s="15" t="s">
        <v>7948</v>
      </c>
      <c r="BQ1068" s="15" t="s">
        <v>444</v>
      </c>
      <c r="BS1068" s="15" t="s">
        <v>444</v>
      </c>
      <c r="BU1068" s="15" t="s">
        <v>444</v>
      </c>
      <c r="BW1068" s="15" t="s">
        <v>444</v>
      </c>
      <c r="BZ1068" s="15" t="s">
        <v>444</v>
      </c>
      <c r="CB1068" s="15" t="s">
        <v>444</v>
      </c>
      <c r="CD1068" s="15" t="s">
        <v>444</v>
      </c>
      <c r="CF1068" s="15" t="s">
        <v>444</v>
      </c>
      <c r="CI1068" s="15" t="s">
        <v>444</v>
      </c>
      <c r="CK1068" s="15" t="s">
        <v>444</v>
      </c>
      <c r="CM1068" s="15" t="s">
        <v>444</v>
      </c>
      <c r="CO1068" s="15" t="s">
        <v>444</v>
      </c>
      <c r="CP1068" s="15" t="str">
        <f>"6.89"</f>
        <v>6.89</v>
      </c>
      <c r="CQ1068" s="15" t="str">
        <f>"0.195"</f>
        <v>0.195</v>
      </c>
      <c r="CR1068" s="15" t="s">
        <v>497</v>
      </c>
      <c r="DC1068" s="15" t="str">
        <f>IFERROR(__xludf.DUMMYFUNCTION("""COMPUTED_VALUE"""),"")</f>
        <v/>
      </c>
      <c r="DE1068" s="15" t="str">
        <f>IFERROR(__xludf.DUMMYFUNCTION("""COMPUTED_VALUE"""),"")</f>
        <v/>
      </c>
      <c r="DG1068" s="15" t="str">
        <f>IFERROR(__xludf.DUMMYFUNCTION("""COMPUTED_VALUE"""),"")</f>
        <v/>
      </c>
      <c r="DL1068" s="15" t="str">
        <f>IFERROR(__xludf.DUMMYFUNCTION("""COMPUTED_VALUE"""),"")</f>
        <v/>
      </c>
      <c r="DM1068" s="15" t="s">
        <v>444</v>
      </c>
      <c r="DN1068" s="15" t="s">
        <v>419</v>
      </c>
      <c r="DO1068" s="15">
        <v>0.0</v>
      </c>
      <c r="DP1068" s="15" t="s">
        <v>419</v>
      </c>
      <c r="DR1068" s="15">
        <v>0.0</v>
      </c>
      <c r="DU1068" s="15" t="s">
        <v>419</v>
      </c>
      <c r="DY1068" s="15">
        <v>0.0</v>
      </c>
      <c r="EF1068" s="15" t="s">
        <v>1157</v>
      </c>
      <c r="EG1068" s="15" t="s">
        <v>1158</v>
      </c>
      <c r="EH1068" s="15" t="s">
        <v>10271</v>
      </c>
      <c r="EJ1068" s="15" t="s">
        <v>500</v>
      </c>
      <c r="EK1068" s="15" t="s">
        <v>501</v>
      </c>
      <c r="EM1068" s="15" t="str">
        <f>IFERROR(__xludf.DUMMYFUNCTION("""COMPUTED_VALUE"""),"")</f>
        <v/>
      </c>
      <c r="EW1068" s="15" t="s">
        <v>2735</v>
      </c>
      <c r="FH1068" s="15" t="s">
        <v>1213</v>
      </c>
      <c r="FI1068" s="15" t="s">
        <v>525</v>
      </c>
      <c r="FJ1068" s="15" t="s">
        <v>1213</v>
      </c>
      <c r="FK1068" s="15" t="s">
        <v>10272</v>
      </c>
      <c r="FM1068" s="15">
        <v>0.0</v>
      </c>
      <c r="FN1068" s="15">
        <v>0.0</v>
      </c>
      <c r="FW1068" s="15" t="s">
        <v>672</v>
      </c>
    </row>
    <row r="1069" ht="15.75" customHeight="1">
      <c r="A1069" s="14" t="s">
        <v>391</v>
      </c>
      <c r="B1069" s="15" t="s">
        <v>10273</v>
      </c>
      <c r="C1069" s="16"/>
      <c r="D1069" s="15" t="s">
        <v>432</v>
      </c>
      <c r="G1069" s="14" t="s">
        <v>393</v>
      </c>
      <c r="H1069" s="14" t="s">
        <v>394</v>
      </c>
      <c r="I1069" s="14" t="b">
        <v>1</v>
      </c>
      <c r="J1069" s="14" t="s">
        <v>395</v>
      </c>
      <c r="L1069" s="14" t="b">
        <v>0</v>
      </c>
      <c r="M1069" s="15" t="s">
        <v>10274</v>
      </c>
      <c r="N1069" s="14" t="s">
        <v>393</v>
      </c>
      <c r="O1069" s="14" t="s">
        <v>393</v>
      </c>
      <c r="P1069" s="15" t="s">
        <v>397</v>
      </c>
      <c r="Q1069" s="15" t="s">
        <v>10275</v>
      </c>
      <c r="T1069" s="14" t="b">
        <v>0</v>
      </c>
      <c r="U1069" s="15" t="s">
        <v>10276</v>
      </c>
      <c r="V1069" s="15" t="s">
        <v>4540</v>
      </c>
      <c r="W1069" s="15" t="s">
        <v>401</v>
      </c>
      <c r="X1069" s="15" t="s">
        <v>1296</v>
      </c>
      <c r="Y1069" s="15">
        <v>2184.0</v>
      </c>
      <c r="AA1069" s="15" t="str">
        <f t="shared" ref="AA1069:AA1070" si="1854">"840"</f>
        <v>840</v>
      </c>
      <c r="AB1069" s="14" t="b">
        <v>1</v>
      </c>
      <c r="AC1069" s="14" t="b">
        <v>1</v>
      </c>
      <c r="AD1069" s="15" t="str">
        <f>"801542026820"</f>
        <v>801542026820</v>
      </c>
      <c r="AE1069" s="15" t="s">
        <v>10277</v>
      </c>
      <c r="AF1069" s="14" t="s">
        <v>404</v>
      </c>
      <c r="AG1069" s="14" t="s">
        <v>405</v>
      </c>
      <c r="AH1069" s="14" t="s">
        <v>406</v>
      </c>
      <c r="AI1069" s="15">
        <v>0.0</v>
      </c>
      <c r="AL1069" s="15" t="s">
        <v>10278</v>
      </c>
      <c r="AM1069" s="15" t="s">
        <v>2355</v>
      </c>
      <c r="AN1069" s="15" t="s">
        <v>2356</v>
      </c>
      <c r="AO1069" s="15" t="s">
        <v>1007</v>
      </c>
      <c r="AP1069" s="15" t="s">
        <v>1008</v>
      </c>
      <c r="AQ1069" s="15" t="s">
        <v>600</v>
      </c>
      <c r="AR1069" s="15" t="s">
        <v>601</v>
      </c>
      <c r="AS1069" s="15" t="s">
        <v>4600</v>
      </c>
      <c r="AT1069" s="15" t="s">
        <v>10275</v>
      </c>
      <c r="AW1069" s="15" t="s">
        <v>602</v>
      </c>
      <c r="AY1069" s="15" t="s">
        <v>426</v>
      </c>
      <c r="AZ1069" s="15" t="b">
        <v>1</v>
      </c>
      <c r="BA1069" s="15" t="s">
        <v>413</v>
      </c>
      <c r="BB1069" s="15" t="b">
        <v>0</v>
      </c>
      <c r="BC1069" s="15" t="s">
        <v>10279</v>
      </c>
      <c r="BD1069" s="15" t="s">
        <v>1303</v>
      </c>
      <c r="BE1069" s="15" t="str">
        <f t="shared" si="1853"/>
        <v>1</v>
      </c>
      <c r="BF1069" s="15" t="s">
        <v>416</v>
      </c>
      <c r="BG1069" s="15" t="str">
        <f>"81.75"</f>
        <v>81.75</v>
      </c>
      <c r="BH1069" s="15" t="s">
        <v>3966</v>
      </c>
      <c r="BI1069" s="15" t="str">
        <f>"22.75"</f>
        <v>22.75</v>
      </c>
      <c r="BJ1069" s="15" t="s">
        <v>627</v>
      </c>
      <c r="BK1069" s="15" t="str">
        <f>"31.5"</f>
        <v>31.5</v>
      </c>
      <c r="BL1069" s="15" t="s">
        <v>1322</v>
      </c>
      <c r="BM1069" s="15" t="str">
        <f>"184.64"</f>
        <v>184.64</v>
      </c>
      <c r="BN1069" s="15" t="s">
        <v>10280</v>
      </c>
      <c r="BQ1069" s="15" t="s">
        <v>444</v>
      </c>
      <c r="BS1069" s="15" t="s">
        <v>444</v>
      </c>
      <c r="BU1069" s="15" t="s">
        <v>444</v>
      </c>
      <c r="BW1069" s="15" t="s">
        <v>444</v>
      </c>
      <c r="BZ1069" s="15" t="s">
        <v>444</v>
      </c>
      <c r="CB1069" s="15" t="s">
        <v>444</v>
      </c>
      <c r="CD1069" s="15" t="s">
        <v>444</v>
      </c>
      <c r="CF1069" s="15" t="s">
        <v>444</v>
      </c>
      <c r="CI1069" s="15" t="s">
        <v>444</v>
      </c>
      <c r="CK1069" s="15" t="s">
        <v>444</v>
      </c>
      <c r="CM1069" s="15" t="s">
        <v>444</v>
      </c>
      <c r="CO1069" s="15" t="s">
        <v>444</v>
      </c>
      <c r="CP1069" s="15" t="str">
        <f>"33.9"</f>
        <v>33.9</v>
      </c>
      <c r="CQ1069" s="15" t="str">
        <f>"0.96"</f>
        <v>0.96</v>
      </c>
      <c r="CR1069" s="15" t="s">
        <v>497</v>
      </c>
      <c r="CV1069" s="15" t="s">
        <v>1213</v>
      </c>
      <c r="CW1069" s="15" t="s">
        <v>10281</v>
      </c>
      <c r="CX1069" s="15" t="s">
        <v>4277</v>
      </c>
      <c r="DC1069" s="15" t="str">
        <f>IFERROR(__xludf.DUMMYFUNCTION("""COMPUTED_VALUE"""),"")</f>
        <v/>
      </c>
      <c r="DE1069" s="15" t="str">
        <f>IFERROR(__xludf.DUMMYFUNCTION("""COMPUTED_VALUE"""),"")</f>
        <v/>
      </c>
      <c r="DG1069" s="15" t="str">
        <f>IFERROR(__xludf.DUMMYFUNCTION("""COMPUTED_VALUE"""),"")</f>
        <v/>
      </c>
      <c r="DL1069" s="15" t="str">
        <f>IFERROR(__xludf.DUMMYFUNCTION("""COMPUTED_VALUE"""),"")</f>
        <v/>
      </c>
      <c r="DM1069" s="15" t="s">
        <v>444</v>
      </c>
      <c r="DN1069" s="15" t="s">
        <v>419</v>
      </c>
      <c r="DO1069" s="15">
        <v>0.0</v>
      </c>
      <c r="DP1069" s="15" t="s">
        <v>419</v>
      </c>
      <c r="DR1069" s="15">
        <v>0.0</v>
      </c>
      <c r="DT1069" s="15" t="s">
        <v>1111</v>
      </c>
      <c r="DU1069" s="15" t="s">
        <v>610</v>
      </c>
      <c r="DW1069" s="15">
        <v>18.14</v>
      </c>
      <c r="DX1069" s="15">
        <v>40.0</v>
      </c>
      <c r="DY1069" s="15">
        <v>2.0</v>
      </c>
      <c r="EG1069" s="15" t="s">
        <v>444</v>
      </c>
      <c r="EH1069" s="15" t="s">
        <v>10282</v>
      </c>
      <c r="EK1069" s="15" t="s">
        <v>444</v>
      </c>
      <c r="EM1069" s="15" t="str">
        <f>IFERROR(__xludf.DUMMYFUNCTION("""COMPUTED_VALUE"""),"")</f>
        <v/>
      </c>
      <c r="EW1069" s="15" t="s">
        <v>672</v>
      </c>
      <c r="FM1069" s="15">
        <v>2.0</v>
      </c>
      <c r="FY1069" s="15" t="s">
        <v>555</v>
      </c>
      <c r="FZ1069" s="15" t="s">
        <v>1188</v>
      </c>
      <c r="GA1069" s="15" t="s">
        <v>650</v>
      </c>
      <c r="GB1069" s="15" t="s">
        <v>504</v>
      </c>
      <c r="GC1069" s="15" t="s">
        <v>784</v>
      </c>
      <c r="GD1069" s="15" t="s">
        <v>4277</v>
      </c>
      <c r="GF1069" s="15" t="s">
        <v>426</v>
      </c>
      <c r="GG1069" s="15" t="s">
        <v>785</v>
      </c>
      <c r="GH1069" s="15">
        <v>4.0</v>
      </c>
      <c r="GI1069" s="15" t="s">
        <v>614</v>
      </c>
      <c r="GJ1069" s="15" t="s">
        <v>1045</v>
      </c>
      <c r="GL1069" s="15" t="s">
        <v>426</v>
      </c>
      <c r="GN1069" s="15" t="s">
        <v>616</v>
      </c>
      <c r="HA1069" s="15" t="s">
        <v>1213</v>
      </c>
      <c r="HB1069" s="15" t="s">
        <v>10281</v>
      </c>
      <c r="HC1069" s="15" t="s">
        <v>4277</v>
      </c>
      <c r="HD1069" s="15">
        <v>0.0</v>
      </c>
      <c r="IH1069" s="15" t="s">
        <v>426</v>
      </c>
    </row>
    <row r="1070" ht="15.75" customHeight="1">
      <c r="A1070" s="14" t="s">
        <v>391</v>
      </c>
      <c r="B1070" s="15" t="s">
        <v>10283</v>
      </c>
      <c r="C1070" s="16"/>
      <c r="D1070" s="15" t="s">
        <v>432</v>
      </c>
      <c r="G1070" s="14" t="s">
        <v>393</v>
      </c>
      <c r="H1070" s="14" t="s">
        <v>394</v>
      </c>
      <c r="I1070" s="14" t="b">
        <v>1</v>
      </c>
      <c r="J1070" s="14" t="s">
        <v>395</v>
      </c>
      <c r="L1070" s="14" t="b">
        <v>0</v>
      </c>
      <c r="M1070" s="15" t="s">
        <v>10284</v>
      </c>
      <c r="N1070" s="14" t="s">
        <v>393</v>
      </c>
      <c r="O1070" s="14" t="s">
        <v>393</v>
      </c>
      <c r="P1070" s="15" t="s">
        <v>397</v>
      </c>
      <c r="Q1070" s="15" t="s">
        <v>10275</v>
      </c>
      <c r="T1070" s="14" t="b">
        <v>0</v>
      </c>
      <c r="U1070" s="15" t="s">
        <v>10285</v>
      </c>
      <c r="V1070" s="15" t="s">
        <v>6195</v>
      </c>
      <c r="W1070" s="15" t="s">
        <v>401</v>
      </c>
      <c r="X1070" s="15" t="s">
        <v>1296</v>
      </c>
      <c r="Y1070" s="15">
        <v>2184.0</v>
      </c>
      <c r="AA1070" s="15" t="str">
        <f t="shared" si="1854"/>
        <v>840</v>
      </c>
      <c r="AB1070" s="14" t="b">
        <v>1</v>
      </c>
      <c r="AC1070" s="14" t="b">
        <v>1</v>
      </c>
      <c r="AD1070" s="15" t="str">
        <f>"801542331993"</f>
        <v>801542331993</v>
      </c>
      <c r="AE1070" s="15" t="s">
        <v>10286</v>
      </c>
      <c r="AF1070" s="14" t="s">
        <v>404</v>
      </c>
      <c r="AG1070" s="14" t="s">
        <v>405</v>
      </c>
      <c r="AH1070" s="14" t="s">
        <v>406</v>
      </c>
      <c r="AI1070" s="15">
        <v>0.0</v>
      </c>
      <c r="AL1070" s="15" t="s">
        <v>10278</v>
      </c>
      <c r="AM1070" s="15" t="s">
        <v>2701</v>
      </c>
      <c r="AN1070" s="15" t="s">
        <v>2702</v>
      </c>
      <c r="AO1070" s="15" t="s">
        <v>2701</v>
      </c>
      <c r="AP1070" s="15" t="s">
        <v>2702</v>
      </c>
      <c r="AQ1070" s="15" t="s">
        <v>2703</v>
      </c>
      <c r="AR1070" s="15" t="s">
        <v>2704</v>
      </c>
      <c r="AS1070" s="15" t="s">
        <v>4600</v>
      </c>
      <c r="AT1070" s="15" t="s">
        <v>10275</v>
      </c>
      <c r="AW1070" s="15" t="s">
        <v>491</v>
      </c>
      <c r="AY1070" s="15" t="s">
        <v>413</v>
      </c>
      <c r="AZ1070" s="15" t="b">
        <v>0</v>
      </c>
      <c r="BA1070" s="15" t="s">
        <v>413</v>
      </c>
      <c r="BB1070" s="15" t="b">
        <v>0</v>
      </c>
      <c r="BC1070" s="15" t="s">
        <v>10287</v>
      </c>
      <c r="BD1070" s="15" t="s">
        <v>1303</v>
      </c>
      <c r="BE1070" s="15" t="str">
        <f t="shared" si="1853"/>
        <v>1</v>
      </c>
      <c r="BF1070" s="15" t="s">
        <v>416</v>
      </c>
      <c r="BG1070" s="15" t="str">
        <f>"51.25"</f>
        <v>51.25</v>
      </c>
      <c r="BH1070" s="15" t="s">
        <v>6178</v>
      </c>
      <c r="BI1070" s="15" t="str">
        <f>"51.25"</f>
        <v>51.25</v>
      </c>
      <c r="BJ1070" s="15" t="s">
        <v>6178</v>
      </c>
      <c r="BK1070" s="15" t="str">
        <f>"19.75"</f>
        <v>19.75</v>
      </c>
      <c r="BL1070" s="15" t="s">
        <v>599</v>
      </c>
      <c r="BM1070" s="15" t="str">
        <f>"197.97"</f>
        <v>197.97</v>
      </c>
      <c r="BN1070" s="15" t="s">
        <v>10288</v>
      </c>
      <c r="BQ1070" s="15" t="s">
        <v>444</v>
      </c>
      <c r="BS1070" s="15" t="s">
        <v>444</v>
      </c>
      <c r="BU1070" s="15" t="s">
        <v>444</v>
      </c>
      <c r="BW1070" s="15" t="s">
        <v>444</v>
      </c>
      <c r="BZ1070" s="15" t="s">
        <v>444</v>
      </c>
      <c r="CB1070" s="15" t="s">
        <v>444</v>
      </c>
      <c r="CD1070" s="15" t="s">
        <v>444</v>
      </c>
      <c r="CF1070" s="15" t="s">
        <v>444</v>
      </c>
      <c r="CI1070" s="15" t="s">
        <v>444</v>
      </c>
      <c r="CK1070" s="15" t="s">
        <v>444</v>
      </c>
      <c r="CM1070" s="15" t="s">
        <v>444</v>
      </c>
      <c r="CO1070" s="15" t="s">
        <v>444</v>
      </c>
      <c r="CP1070" s="15" t="str">
        <f>"30.02"</f>
        <v>30.02</v>
      </c>
      <c r="CQ1070" s="15" t="str">
        <f>"0.85"</f>
        <v>0.85</v>
      </c>
      <c r="CR1070" s="15" t="s">
        <v>465</v>
      </c>
      <c r="CS1070" s="15" t="s">
        <v>4528</v>
      </c>
      <c r="CT1070" s="15" t="s">
        <v>784</v>
      </c>
      <c r="CU1070" s="15" t="s">
        <v>4528</v>
      </c>
      <c r="CV1070" s="15" t="s">
        <v>4528</v>
      </c>
      <c r="CW1070" s="15" t="s">
        <v>1738</v>
      </c>
      <c r="CX1070" s="15" t="s">
        <v>4528</v>
      </c>
      <c r="DC1070" s="15" t="str">
        <f>IFERROR(__xludf.DUMMYFUNCTION("""COMPUTED_VALUE"""),"")</f>
        <v/>
      </c>
      <c r="DE1070" s="15" t="str">
        <f>IFERROR(__xludf.DUMMYFUNCTION("""COMPUTED_VALUE"""),"")</f>
        <v/>
      </c>
      <c r="DG1070" s="15" t="str">
        <f>IFERROR(__xludf.DUMMYFUNCTION("""COMPUTED_VALUE"""),"")</f>
        <v/>
      </c>
      <c r="DL1070" s="15" t="str">
        <f>IFERROR(__xludf.DUMMYFUNCTION("""COMPUTED_VALUE"""),"")</f>
        <v/>
      </c>
      <c r="DM1070" s="15" t="s">
        <v>444</v>
      </c>
      <c r="DN1070" s="15" t="s">
        <v>419</v>
      </c>
      <c r="DO1070" s="15">
        <v>0.0</v>
      </c>
      <c r="DP1070" s="15" t="s">
        <v>419</v>
      </c>
      <c r="DR1070" s="15">
        <v>1.0</v>
      </c>
      <c r="DS1070" s="15" t="s">
        <v>426</v>
      </c>
      <c r="DT1070" s="15" t="s">
        <v>1111</v>
      </c>
      <c r="DU1070" s="15" t="s">
        <v>1914</v>
      </c>
      <c r="DY1070" s="15">
        <v>0.0</v>
      </c>
      <c r="EF1070" s="15" t="s">
        <v>1157</v>
      </c>
      <c r="EG1070" s="15" t="s">
        <v>1158</v>
      </c>
      <c r="EH1070" s="15" t="s">
        <v>10289</v>
      </c>
      <c r="EJ1070" s="15" t="s">
        <v>500</v>
      </c>
      <c r="EK1070" s="15" t="s">
        <v>501</v>
      </c>
      <c r="EM1070" s="15" t="str">
        <f>IFERROR(__xludf.DUMMYFUNCTION("""COMPUTED_VALUE"""),"")</f>
        <v/>
      </c>
      <c r="EW1070" s="15" t="s">
        <v>1236</v>
      </c>
      <c r="EX1070" s="15" t="s">
        <v>4528</v>
      </c>
      <c r="EY1070" s="15" t="s">
        <v>4528</v>
      </c>
      <c r="FH1070" s="15" t="s">
        <v>784</v>
      </c>
      <c r="FI1070" s="15" t="s">
        <v>788</v>
      </c>
      <c r="FJ1070" s="15" t="s">
        <v>531</v>
      </c>
      <c r="FK1070" s="15" t="s">
        <v>784</v>
      </c>
      <c r="FM1070" s="15">
        <v>1.0</v>
      </c>
      <c r="FN1070" s="15">
        <v>0.0</v>
      </c>
    </row>
    <row r="1071" ht="15.75" customHeight="1">
      <c r="A1071" s="14" t="s">
        <v>391</v>
      </c>
      <c r="B1071" s="15" t="s">
        <v>10290</v>
      </c>
      <c r="C1071" s="16"/>
      <c r="D1071" s="15" t="s">
        <v>432</v>
      </c>
      <c r="G1071" s="14" t="s">
        <v>393</v>
      </c>
      <c r="H1071" s="14" t="s">
        <v>394</v>
      </c>
      <c r="I1071" s="14" t="b">
        <v>1</v>
      </c>
      <c r="J1071" s="14" t="s">
        <v>395</v>
      </c>
      <c r="L1071" s="14" t="b">
        <v>0</v>
      </c>
      <c r="M1071" s="15" t="s">
        <v>10291</v>
      </c>
      <c r="N1071" s="14" t="s">
        <v>393</v>
      </c>
      <c r="O1071" s="14" t="s">
        <v>393</v>
      </c>
      <c r="P1071" s="15" t="s">
        <v>397</v>
      </c>
      <c r="Q1071" s="15" t="s">
        <v>10275</v>
      </c>
      <c r="T1071" s="14" t="b">
        <v>0</v>
      </c>
      <c r="U1071" s="15" t="s">
        <v>10292</v>
      </c>
      <c r="V1071" s="15" t="s">
        <v>10293</v>
      </c>
      <c r="W1071" s="15" t="s">
        <v>401</v>
      </c>
      <c r="X1071" s="15" t="s">
        <v>1296</v>
      </c>
      <c r="Y1071" s="15">
        <v>663.0</v>
      </c>
      <c r="AA1071" s="15" t="str">
        <f>"255"</f>
        <v>255</v>
      </c>
      <c r="AB1071" s="14" t="b">
        <v>1</v>
      </c>
      <c r="AC1071" s="14" t="b">
        <v>1</v>
      </c>
      <c r="AD1071" s="15" t="str">
        <f>"801542332105"</f>
        <v>801542332105</v>
      </c>
      <c r="AE1071" s="15" t="s">
        <v>10294</v>
      </c>
      <c r="AF1071" s="14" t="s">
        <v>404</v>
      </c>
      <c r="AG1071" s="14" t="s">
        <v>405</v>
      </c>
      <c r="AH1071" s="14" t="s">
        <v>406</v>
      </c>
      <c r="AI1071" s="15">
        <v>0.0</v>
      </c>
      <c r="AL1071" s="15" t="s">
        <v>10278</v>
      </c>
      <c r="AM1071" s="15" t="s">
        <v>1561</v>
      </c>
      <c r="AN1071" s="15" t="s">
        <v>1562</v>
      </c>
      <c r="AO1071" s="15" t="s">
        <v>1561</v>
      </c>
      <c r="AP1071" s="15" t="s">
        <v>1562</v>
      </c>
      <c r="AQ1071" s="15" t="s">
        <v>409</v>
      </c>
      <c r="AR1071" s="15" t="s">
        <v>438</v>
      </c>
      <c r="AS1071" s="15" t="s">
        <v>4600</v>
      </c>
      <c r="AT1071" s="15" t="s">
        <v>10275</v>
      </c>
      <c r="AW1071" s="15" t="s">
        <v>1154</v>
      </c>
      <c r="AY1071" s="15" t="s">
        <v>413</v>
      </c>
      <c r="AZ1071" s="15" t="b">
        <v>0</v>
      </c>
      <c r="BA1071" s="15" t="s">
        <v>413</v>
      </c>
      <c r="BB1071" s="15" t="b">
        <v>0</v>
      </c>
      <c r="BC1071" s="15" t="s">
        <v>10295</v>
      </c>
      <c r="BD1071" s="15" t="s">
        <v>1303</v>
      </c>
      <c r="BE1071" s="15" t="str">
        <f t="shared" si="1853"/>
        <v>1</v>
      </c>
      <c r="BF1071" s="15" t="s">
        <v>416</v>
      </c>
      <c r="BG1071" s="15" t="str">
        <f>"24.25"</f>
        <v>24.25</v>
      </c>
      <c r="BH1071" s="15" t="s">
        <v>462</v>
      </c>
      <c r="BI1071" s="15" t="str">
        <f>"24.5"</f>
        <v>24.5</v>
      </c>
      <c r="BJ1071" s="15" t="s">
        <v>1471</v>
      </c>
      <c r="BK1071" s="15" t="str">
        <f>"24.25"</f>
        <v>24.25</v>
      </c>
      <c r="BL1071" s="15" t="s">
        <v>462</v>
      </c>
      <c r="BM1071" s="15" t="str">
        <f>"44.09"</f>
        <v>44.09</v>
      </c>
      <c r="BN1071" s="15" t="s">
        <v>5781</v>
      </c>
      <c r="BQ1071" s="15" t="s">
        <v>444</v>
      </c>
      <c r="BS1071" s="15" t="s">
        <v>444</v>
      </c>
      <c r="BU1071" s="15" t="s">
        <v>444</v>
      </c>
      <c r="BW1071" s="15" t="s">
        <v>444</v>
      </c>
      <c r="BZ1071" s="15" t="s">
        <v>444</v>
      </c>
      <c r="CB1071" s="15" t="s">
        <v>444</v>
      </c>
      <c r="CD1071" s="15" t="s">
        <v>444</v>
      </c>
      <c r="CF1071" s="15" t="s">
        <v>444</v>
      </c>
      <c r="CI1071" s="15" t="s">
        <v>444</v>
      </c>
      <c r="CK1071" s="15" t="s">
        <v>444</v>
      </c>
      <c r="CM1071" s="15" t="s">
        <v>444</v>
      </c>
      <c r="CO1071" s="15" t="s">
        <v>444</v>
      </c>
      <c r="CP1071" s="15" t="str">
        <f>"8.33"</f>
        <v>8.33</v>
      </c>
      <c r="CQ1071" s="15" t="str">
        <f>"0.236"</f>
        <v>0.236</v>
      </c>
      <c r="CR1071" s="15" t="s">
        <v>417</v>
      </c>
      <c r="CS1071" s="15" t="s">
        <v>1237</v>
      </c>
      <c r="CT1071" s="15" t="s">
        <v>784</v>
      </c>
      <c r="CU1071" s="15" t="s">
        <v>1237</v>
      </c>
      <c r="CV1071" s="15" t="s">
        <v>1237</v>
      </c>
      <c r="CW1071" s="15" t="s">
        <v>1288</v>
      </c>
      <c r="CX1071" s="15" t="s">
        <v>1237</v>
      </c>
      <c r="DC1071" s="15" t="str">
        <f>IFERROR(__xludf.DUMMYFUNCTION("""COMPUTED_VALUE"""),"")</f>
        <v/>
      </c>
      <c r="DE1071" s="15" t="str">
        <f>IFERROR(__xludf.DUMMYFUNCTION("""COMPUTED_VALUE"""),"")</f>
        <v/>
      </c>
      <c r="DG1071" s="15" t="str">
        <f>IFERROR(__xludf.DUMMYFUNCTION("""COMPUTED_VALUE"""),"")</f>
        <v/>
      </c>
      <c r="DL1071" s="15" t="str">
        <f>IFERROR(__xludf.DUMMYFUNCTION("""COMPUTED_VALUE"""),"")</f>
        <v/>
      </c>
      <c r="DM1071" s="15" t="s">
        <v>444</v>
      </c>
      <c r="DN1071" s="15" t="s">
        <v>419</v>
      </c>
      <c r="DO1071" s="15">
        <v>0.0</v>
      </c>
      <c r="DP1071" s="15" t="s">
        <v>419</v>
      </c>
      <c r="DR1071" s="15">
        <v>1.0</v>
      </c>
      <c r="DS1071" s="15" t="s">
        <v>426</v>
      </c>
      <c r="DT1071" s="15" t="s">
        <v>1111</v>
      </c>
      <c r="DU1071" s="15" t="s">
        <v>1914</v>
      </c>
      <c r="DY1071" s="15">
        <v>0.0</v>
      </c>
      <c r="EF1071" s="15" t="s">
        <v>1157</v>
      </c>
      <c r="EG1071" s="15" t="s">
        <v>1158</v>
      </c>
      <c r="EH1071" s="15" t="s">
        <v>10289</v>
      </c>
      <c r="EJ1071" s="15" t="s">
        <v>500</v>
      </c>
      <c r="EK1071" s="15" t="s">
        <v>501</v>
      </c>
      <c r="EM1071" s="15" t="str">
        <f>IFERROR(__xludf.DUMMYFUNCTION("""COMPUTED_VALUE"""),"")</f>
        <v/>
      </c>
      <c r="EW1071" s="15" t="s">
        <v>672</v>
      </c>
      <c r="EX1071" s="15" t="s">
        <v>1237</v>
      </c>
      <c r="EY1071" s="15" t="s">
        <v>1237</v>
      </c>
      <c r="FH1071" s="15" t="s">
        <v>612</v>
      </c>
      <c r="FI1071" s="15" t="s">
        <v>1324</v>
      </c>
      <c r="FJ1071" s="15" t="s">
        <v>2498</v>
      </c>
      <c r="FK1071" s="15" t="s">
        <v>784</v>
      </c>
      <c r="FM1071" s="15">
        <v>1.0</v>
      </c>
      <c r="FN1071" s="15">
        <v>0.0</v>
      </c>
    </row>
    <row r="1072" ht="15.75" customHeight="1">
      <c r="A1072" s="14" t="s">
        <v>391</v>
      </c>
      <c r="B1072" s="15" t="s">
        <v>10296</v>
      </c>
      <c r="C1072" s="16"/>
      <c r="D1072" s="15" t="s">
        <v>432</v>
      </c>
      <c r="G1072" s="14" t="s">
        <v>393</v>
      </c>
      <c r="H1072" s="14" t="s">
        <v>394</v>
      </c>
      <c r="I1072" s="14" t="b">
        <v>1</v>
      </c>
      <c r="J1072" s="14" t="s">
        <v>395</v>
      </c>
      <c r="L1072" s="14" t="b">
        <v>0</v>
      </c>
      <c r="M1072" s="15" t="s">
        <v>10297</v>
      </c>
      <c r="N1072" s="14" t="s">
        <v>393</v>
      </c>
      <c r="O1072" s="14" t="s">
        <v>393</v>
      </c>
      <c r="P1072" s="15" t="s">
        <v>397</v>
      </c>
      <c r="Q1072" s="15" t="s">
        <v>4322</v>
      </c>
      <c r="T1072" s="14" t="b">
        <v>0</v>
      </c>
      <c r="U1072" s="15" t="s">
        <v>10298</v>
      </c>
      <c r="V1072" s="15" t="s">
        <v>3108</v>
      </c>
      <c r="W1072" s="15" t="s">
        <v>401</v>
      </c>
      <c r="X1072" s="15" t="s">
        <v>402</v>
      </c>
      <c r="Y1072" s="15">
        <v>1209.0</v>
      </c>
      <c r="AA1072" s="15" t="str">
        <f>"465"</f>
        <v>465</v>
      </c>
      <c r="AB1072" s="14" t="b">
        <v>1</v>
      </c>
      <c r="AC1072" s="14" t="b">
        <v>1</v>
      </c>
      <c r="AD1072" s="15" t="str">
        <f>"801542872052"</f>
        <v>801542872052</v>
      </c>
      <c r="AE1072" s="15" t="s">
        <v>10299</v>
      </c>
      <c r="AF1072" s="14" t="s">
        <v>404</v>
      </c>
      <c r="AG1072" s="14" t="s">
        <v>405</v>
      </c>
      <c r="AH1072" s="14" t="s">
        <v>406</v>
      </c>
      <c r="AI1072" s="15">
        <v>0.0</v>
      </c>
      <c r="AL1072" s="15" t="s">
        <v>1655</v>
      </c>
      <c r="AM1072" s="15" t="s">
        <v>622</v>
      </c>
      <c r="AN1072" s="15" t="s">
        <v>623</v>
      </c>
      <c r="AO1072" s="15" t="s">
        <v>3396</v>
      </c>
      <c r="AP1072" s="15" t="s">
        <v>2893</v>
      </c>
      <c r="AQ1072" s="15" t="s">
        <v>1276</v>
      </c>
      <c r="AR1072" s="15" t="s">
        <v>1277</v>
      </c>
      <c r="AS1072" s="15" t="s">
        <v>2108</v>
      </c>
      <c r="AT1072" s="15" t="s">
        <v>4322</v>
      </c>
      <c r="AW1072" s="15" t="s">
        <v>706</v>
      </c>
      <c r="AX1072" s="15" t="s">
        <v>707</v>
      </c>
      <c r="AY1072" s="15" t="s">
        <v>413</v>
      </c>
      <c r="AZ1072" s="15" t="b">
        <v>0</v>
      </c>
      <c r="BA1072" s="15" t="s">
        <v>413</v>
      </c>
      <c r="BB1072" s="15" t="b">
        <v>0</v>
      </c>
      <c r="BC1072" s="15" t="s">
        <v>10300</v>
      </c>
      <c r="BD1072" s="15" t="s">
        <v>415</v>
      </c>
      <c r="BE1072" s="15" t="str">
        <f t="shared" si="1853"/>
        <v>1</v>
      </c>
      <c r="BF1072" s="15" t="s">
        <v>416</v>
      </c>
      <c r="BG1072" s="15" t="str">
        <f>"42.13"</f>
        <v>42.13</v>
      </c>
      <c r="BH1072" s="15" t="s">
        <v>3794</v>
      </c>
      <c r="BI1072" s="15" t="str">
        <f>"42.13"</f>
        <v>42.13</v>
      </c>
      <c r="BJ1072" s="15" t="s">
        <v>3794</v>
      </c>
      <c r="BK1072" s="15" t="str">
        <f>"32.28"</f>
        <v>32.28</v>
      </c>
      <c r="BL1072" s="15" t="s">
        <v>954</v>
      </c>
      <c r="BM1072" s="15" t="str">
        <f>"74.96"</f>
        <v>74.96</v>
      </c>
      <c r="BN1072" s="15" t="s">
        <v>3559</v>
      </c>
      <c r="BQ1072" s="15" t="s">
        <v>444</v>
      </c>
      <c r="BS1072" s="15" t="s">
        <v>444</v>
      </c>
      <c r="BU1072" s="15" t="s">
        <v>444</v>
      </c>
      <c r="BW1072" s="15" t="s">
        <v>444</v>
      </c>
      <c r="BZ1072" s="15" t="s">
        <v>444</v>
      </c>
      <c r="CB1072" s="15" t="s">
        <v>444</v>
      </c>
      <c r="CD1072" s="15" t="s">
        <v>444</v>
      </c>
      <c r="CF1072" s="15" t="s">
        <v>444</v>
      </c>
      <c r="CI1072" s="15" t="s">
        <v>444</v>
      </c>
      <c r="CK1072" s="15" t="s">
        <v>444</v>
      </c>
      <c r="CM1072" s="15" t="s">
        <v>444</v>
      </c>
      <c r="CO1072" s="15" t="s">
        <v>444</v>
      </c>
      <c r="CP1072" s="15" t="str">
        <f>"33.16"</f>
        <v>33.16</v>
      </c>
      <c r="CQ1072" s="15" t="str">
        <f>"0.939"</f>
        <v>0.939</v>
      </c>
      <c r="CR1072" s="15" t="s">
        <v>497</v>
      </c>
      <c r="DB1072" s="15" t="s">
        <v>1212</v>
      </c>
      <c r="DC1072" s="15" t="str">
        <f>IFERROR(__xludf.DUMMYFUNCTION("""COMPUTED_VALUE"""),"{""value"":25.50,""unit"":""in""}")</f>
        <v>{"value":25.50,"unit":"in"}</v>
      </c>
      <c r="DD1072" s="15" t="s">
        <v>1325</v>
      </c>
      <c r="DE1072" s="15" t="str">
        <f>IFERROR(__xludf.DUMMYFUNCTION("""COMPUTED_VALUE"""),"{""value"":18.25,""unit"":""in""}")</f>
        <v>{"value":18.25,"unit":"in"}</v>
      </c>
      <c r="DG1072" s="15" t="str">
        <f>IFERROR(__xludf.DUMMYFUNCTION("""COMPUTED_VALUE"""),"")</f>
        <v/>
      </c>
      <c r="DH1072" s="15">
        <v>0.0</v>
      </c>
      <c r="DI1072" s="15">
        <v>0.0</v>
      </c>
      <c r="DJ1072" s="15" t="s">
        <v>717</v>
      </c>
      <c r="DK1072" s="15" t="s">
        <v>897</v>
      </c>
      <c r="DL1072" s="15" t="str">
        <f>IFERROR(__xludf.DUMMYFUNCTION("""COMPUTED_VALUE"""),"Clean with water-based products only. Use mild detergent or upholstery shampoo.")</f>
        <v>Clean with water-based products only. Use mild detergent or upholstery shampoo.</v>
      </c>
      <c r="DM1072" s="15" t="s">
        <v>898</v>
      </c>
      <c r="DT1072" s="15" t="s">
        <v>721</v>
      </c>
      <c r="DU1072" s="15" t="s">
        <v>1605</v>
      </c>
      <c r="DV1072" s="15">
        <v>0.0</v>
      </c>
      <c r="DZ1072" s="15">
        <v>100000.0</v>
      </c>
      <c r="EA1072" s="15" t="s">
        <v>990</v>
      </c>
      <c r="ED1072" s="15">
        <v>0.0</v>
      </c>
      <c r="EE1072" s="15">
        <v>1.0</v>
      </c>
      <c r="EG1072" s="15" t="s">
        <v>444</v>
      </c>
      <c r="EH1072" s="15" t="s">
        <v>10301</v>
      </c>
      <c r="EI1072" s="15">
        <v>0.0</v>
      </c>
      <c r="EJ1072" s="15" t="s">
        <v>726</v>
      </c>
      <c r="EK1072" s="15" t="s">
        <v>727</v>
      </c>
      <c r="EL1072" s="15" t="s">
        <v>2599</v>
      </c>
      <c r="EM1072" s="15" t="str">
        <f>IFERROR(__xludf.DUMMYFUNCTION("""COMPUTED_VALUE"""),"{""value"":30.75,""unit"":""in""}")</f>
        <v>{"value":30.75,"unit":"in"}</v>
      </c>
      <c r="EN1072" s="15" t="s">
        <v>1329</v>
      </c>
      <c r="EO1072" s="15" t="s">
        <v>1700</v>
      </c>
      <c r="ES1072" s="15" t="s">
        <v>2116</v>
      </c>
      <c r="EW1072" s="15" t="s">
        <v>672</v>
      </c>
      <c r="EZ1072" s="15" t="s">
        <v>1982</v>
      </c>
      <c r="FF1072" s="15" t="s">
        <v>860</v>
      </c>
      <c r="FO1072" s="15" t="s">
        <v>1324</v>
      </c>
      <c r="FP1072" s="15" t="s">
        <v>2839</v>
      </c>
      <c r="FQ1072" s="15">
        <v>0.0</v>
      </c>
      <c r="FR1072" s="15">
        <v>0.0</v>
      </c>
      <c r="FT1072" s="15">
        <v>0.0</v>
      </c>
      <c r="IL1072" s="15" t="s">
        <v>1610</v>
      </c>
    </row>
    <row r="1073" ht="15.75" customHeight="1">
      <c r="A1073" s="14" t="s">
        <v>391</v>
      </c>
      <c r="B1073" s="15" t="s">
        <v>10302</v>
      </c>
      <c r="C1073" s="16"/>
      <c r="D1073" s="15" t="s">
        <v>432</v>
      </c>
      <c r="G1073" s="14" t="s">
        <v>393</v>
      </c>
      <c r="H1073" s="14" t="s">
        <v>394</v>
      </c>
      <c r="I1073" s="14" t="b">
        <v>1</v>
      </c>
      <c r="J1073" s="14" t="s">
        <v>395</v>
      </c>
      <c r="L1073" s="14" t="b">
        <v>0</v>
      </c>
      <c r="M1073" s="15" t="s">
        <v>10303</v>
      </c>
      <c r="N1073" s="14" t="s">
        <v>393</v>
      </c>
      <c r="O1073" s="14" t="s">
        <v>393</v>
      </c>
      <c r="P1073" s="15" t="s">
        <v>397</v>
      </c>
      <c r="Q1073" s="15" t="s">
        <v>10304</v>
      </c>
      <c r="T1073" s="14" t="b">
        <v>0</v>
      </c>
      <c r="U1073" s="15" t="s">
        <v>10305</v>
      </c>
      <c r="V1073" s="15" t="s">
        <v>7505</v>
      </c>
      <c r="W1073" s="15" t="s">
        <v>401</v>
      </c>
      <c r="X1073" s="15" t="s">
        <v>742</v>
      </c>
      <c r="Y1073" s="15">
        <v>4264.0</v>
      </c>
      <c r="AA1073" s="15" t="str">
        <f>"1640"</f>
        <v>1640</v>
      </c>
      <c r="AB1073" s="14" t="b">
        <v>1</v>
      </c>
      <c r="AC1073" s="14" t="b">
        <v>1</v>
      </c>
      <c r="AD1073" s="15" t="str">
        <f>"198394119870"</f>
        <v>198394119870</v>
      </c>
      <c r="AE1073" s="15" t="s">
        <v>10306</v>
      </c>
      <c r="AF1073" s="14" t="s">
        <v>404</v>
      </c>
      <c r="AG1073" s="14" t="s">
        <v>405</v>
      </c>
      <c r="AH1073" s="14" t="s">
        <v>406</v>
      </c>
      <c r="AI1073" s="15">
        <v>0.0</v>
      </c>
      <c r="AL1073" s="15" t="s">
        <v>2354</v>
      </c>
      <c r="AM1073" s="15" t="s">
        <v>745</v>
      </c>
      <c r="AN1073" s="15" t="s">
        <v>746</v>
      </c>
      <c r="AO1073" s="15" t="s">
        <v>624</v>
      </c>
      <c r="AP1073" s="15" t="s">
        <v>625</v>
      </c>
      <c r="AQ1073" s="15" t="s">
        <v>410</v>
      </c>
      <c r="AR1073" s="15" t="s">
        <v>439</v>
      </c>
      <c r="AS1073" s="15" t="s">
        <v>751</v>
      </c>
      <c r="AT1073" s="15" t="s">
        <v>10304</v>
      </c>
      <c r="AU1073" s="15" t="s">
        <v>10307</v>
      </c>
      <c r="AW1073" s="15" t="s">
        <v>412</v>
      </c>
      <c r="AY1073" s="15" t="s">
        <v>413</v>
      </c>
      <c r="AZ1073" s="15" t="b">
        <v>0</v>
      </c>
      <c r="BA1073" s="15" t="s">
        <v>413</v>
      </c>
      <c r="BB1073" s="15" t="b">
        <v>0</v>
      </c>
      <c r="BC1073" s="15" t="s">
        <v>10308</v>
      </c>
      <c r="BD1073" s="15" t="s">
        <v>742</v>
      </c>
      <c r="BE1073" s="15" t="str">
        <f t="shared" si="1853"/>
        <v>1</v>
      </c>
      <c r="BF1073" s="15" t="s">
        <v>416</v>
      </c>
      <c r="BG1073" s="15" t="str">
        <f>"76.18"</f>
        <v>76.18</v>
      </c>
      <c r="BH1073" s="15" t="s">
        <v>7848</v>
      </c>
      <c r="BI1073" s="15" t="str">
        <f>"23.82"</f>
        <v>23.82</v>
      </c>
      <c r="BJ1073" s="15" t="s">
        <v>8500</v>
      </c>
      <c r="BK1073" s="15" t="str">
        <f>"37.8"</f>
        <v>37.8</v>
      </c>
      <c r="BL1073" s="15" t="s">
        <v>756</v>
      </c>
      <c r="BM1073" s="15" t="str">
        <f>"316.36"</f>
        <v>316.36</v>
      </c>
      <c r="BN1073" s="15" t="s">
        <v>10309</v>
      </c>
      <c r="BQ1073" s="15" t="s">
        <v>444</v>
      </c>
      <c r="BS1073" s="15" t="s">
        <v>444</v>
      </c>
      <c r="BU1073" s="15" t="s">
        <v>444</v>
      </c>
      <c r="BW1073" s="15" t="s">
        <v>444</v>
      </c>
      <c r="BZ1073" s="15" t="s">
        <v>444</v>
      </c>
      <c r="CB1073" s="15" t="s">
        <v>444</v>
      </c>
      <c r="CD1073" s="15" t="s">
        <v>444</v>
      </c>
      <c r="CF1073" s="15" t="s">
        <v>444</v>
      </c>
      <c r="CI1073" s="15" t="s">
        <v>444</v>
      </c>
      <c r="CK1073" s="15" t="s">
        <v>444</v>
      </c>
      <c r="CM1073" s="15" t="s">
        <v>444</v>
      </c>
      <c r="CO1073" s="15" t="s">
        <v>444</v>
      </c>
      <c r="CP1073" s="15" t="str">
        <f>"39.69"</f>
        <v>39.69</v>
      </c>
      <c r="CQ1073" s="15" t="str">
        <f>"1.124"</f>
        <v>1.124</v>
      </c>
      <c r="CR1073" s="15" t="s">
        <v>465</v>
      </c>
      <c r="DC1073" s="15" t="str">
        <f>IFERROR(__xludf.DUMMYFUNCTION("""COMPUTED_VALUE"""),"")</f>
        <v/>
      </c>
      <c r="DE1073" s="15" t="str">
        <f>IFERROR(__xludf.DUMMYFUNCTION("""COMPUTED_VALUE"""),"")</f>
        <v/>
      </c>
      <c r="DG1073" s="15" t="str">
        <f>IFERROR(__xludf.DUMMYFUNCTION("""COMPUTED_VALUE"""),"")</f>
        <v/>
      </c>
      <c r="DL1073" s="15" t="str">
        <f>IFERROR(__xludf.DUMMYFUNCTION("""COMPUTED_VALUE"""),"")</f>
        <v/>
      </c>
      <c r="DM1073" s="15" t="s">
        <v>444</v>
      </c>
      <c r="DN1073" s="15" t="s">
        <v>418</v>
      </c>
      <c r="DO1073" s="15">
        <v>6.0</v>
      </c>
      <c r="DP1073" s="15" t="s">
        <v>419</v>
      </c>
      <c r="DR1073" s="15">
        <v>0.0</v>
      </c>
      <c r="DT1073" s="15" t="s">
        <v>420</v>
      </c>
      <c r="DU1073" s="15" t="s">
        <v>421</v>
      </c>
      <c r="DY1073" s="15">
        <v>0.0</v>
      </c>
      <c r="EF1073" s="15" t="s">
        <v>422</v>
      </c>
      <c r="EG1073" s="15" t="s">
        <v>445</v>
      </c>
      <c r="EH1073" s="15" t="s">
        <v>10310</v>
      </c>
      <c r="EJ1073" s="15" t="s">
        <v>424</v>
      </c>
      <c r="EK1073" s="15" t="s">
        <v>446</v>
      </c>
      <c r="EM1073" s="15" t="str">
        <f>IFERROR(__xludf.DUMMYFUNCTION("""COMPUTED_VALUE"""),"")</f>
        <v/>
      </c>
      <c r="EW1073" s="15" t="s">
        <v>2162</v>
      </c>
      <c r="FL1073" s="15" t="s">
        <v>426</v>
      </c>
      <c r="FM1073" s="15">
        <v>0.0</v>
      </c>
      <c r="GH1073" s="15">
        <v>0.0</v>
      </c>
      <c r="GI1073" s="15" t="s">
        <v>427</v>
      </c>
      <c r="GO1073" s="15" t="s">
        <v>426</v>
      </c>
      <c r="GQ1073" s="15" t="s">
        <v>760</v>
      </c>
      <c r="GR1073" s="15" t="s">
        <v>760</v>
      </c>
      <c r="GS1073" s="15" t="s">
        <v>1132</v>
      </c>
      <c r="GT1073" s="15" t="s">
        <v>8114</v>
      </c>
      <c r="GU1073" s="15" t="s">
        <v>10311</v>
      </c>
      <c r="GV1073" s="15" t="s">
        <v>10311</v>
      </c>
      <c r="GW1073" s="15" t="s">
        <v>431</v>
      </c>
      <c r="GY1073" s="15" t="s">
        <v>764</v>
      </c>
    </row>
    <row r="1074" ht="15.75" customHeight="1">
      <c r="A1074" s="14" t="s">
        <v>391</v>
      </c>
      <c r="B1074" s="15" t="s">
        <v>10312</v>
      </c>
      <c r="C1074" s="16"/>
      <c r="D1074" s="15" t="s">
        <v>432</v>
      </c>
      <c r="G1074" s="14" t="s">
        <v>393</v>
      </c>
      <c r="H1074" s="14" t="s">
        <v>394</v>
      </c>
      <c r="I1074" s="14" t="b">
        <v>1</v>
      </c>
      <c r="J1074" s="14" t="s">
        <v>395</v>
      </c>
      <c r="L1074" s="14" t="b">
        <v>0</v>
      </c>
      <c r="M1074" s="15" t="s">
        <v>10313</v>
      </c>
      <c r="N1074" s="14" t="s">
        <v>393</v>
      </c>
      <c r="O1074" s="14" t="s">
        <v>393</v>
      </c>
      <c r="P1074" s="15" t="s">
        <v>397</v>
      </c>
      <c r="Q1074" s="15" t="s">
        <v>10304</v>
      </c>
      <c r="T1074" s="14" t="b">
        <v>0</v>
      </c>
      <c r="U1074" s="15" t="s">
        <v>10314</v>
      </c>
      <c r="V1074" s="15" t="s">
        <v>7088</v>
      </c>
      <c r="W1074" s="15" t="s">
        <v>401</v>
      </c>
      <c r="X1074" s="15" t="s">
        <v>742</v>
      </c>
      <c r="Y1074" s="15">
        <v>3276.0</v>
      </c>
      <c r="AA1074" s="15" t="str">
        <f>"1260"</f>
        <v>1260</v>
      </c>
      <c r="AB1074" s="14" t="b">
        <v>1</v>
      </c>
      <c r="AC1074" s="14" t="b">
        <v>1</v>
      </c>
      <c r="AD1074" s="15" t="str">
        <f>"801542385361"</f>
        <v>801542385361</v>
      </c>
      <c r="AE1074" s="15" t="s">
        <v>10315</v>
      </c>
      <c r="AF1074" s="14" t="s">
        <v>404</v>
      </c>
      <c r="AG1074" s="14" t="s">
        <v>405</v>
      </c>
      <c r="AH1074" s="14" t="s">
        <v>406</v>
      </c>
      <c r="AI1074" s="15">
        <v>0.0</v>
      </c>
      <c r="AL1074" s="15" t="s">
        <v>1298</v>
      </c>
      <c r="AM1074" s="15" t="s">
        <v>2355</v>
      </c>
      <c r="AN1074" s="15" t="s">
        <v>2356</v>
      </c>
      <c r="AO1074" s="15" t="s">
        <v>1007</v>
      </c>
      <c r="AP1074" s="15" t="s">
        <v>1008</v>
      </c>
      <c r="AQ1074" s="15" t="s">
        <v>410</v>
      </c>
      <c r="AR1074" s="15" t="s">
        <v>439</v>
      </c>
      <c r="AS1074" s="15" t="s">
        <v>751</v>
      </c>
      <c r="AT1074" s="15" t="s">
        <v>10304</v>
      </c>
      <c r="AW1074" s="15" t="s">
        <v>519</v>
      </c>
      <c r="AY1074" s="15" t="s">
        <v>413</v>
      </c>
      <c r="AZ1074" s="15" t="b">
        <v>0</v>
      </c>
      <c r="BA1074" s="15" t="s">
        <v>413</v>
      </c>
      <c r="BB1074" s="15" t="b">
        <v>0</v>
      </c>
      <c r="BC1074" s="15" t="s">
        <v>10316</v>
      </c>
      <c r="BD1074" s="15" t="s">
        <v>742</v>
      </c>
      <c r="BE1074" s="15" t="str">
        <f>"2"</f>
        <v>2</v>
      </c>
      <c r="BF1074" s="15" t="s">
        <v>8029</v>
      </c>
      <c r="BG1074" s="15" t="str">
        <f>"83.27"</f>
        <v>83.27</v>
      </c>
      <c r="BH1074" s="15" t="s">
        <v>10317</v>
      </c>
      <c r="BI1074" s="15" t="str">
        <f>"5.71"</f>
        <v>5.71</v>
      </c>
      <c r="BJ1074" s="15" t="s">
        <v>10065</v>
      </c>
      <c r="BK1074" s="15" t="str">
        <f>"22.24"</f>
        <v>22.24</v>
      </c>
      <c r="BL1074" s="15" t="s">
        <v>1423</v>
      </c>
      <c r="BM1074" s="15" t="str">
        <f>"56.22"</f>
        <v>56.22</v>
      </c>
      <c r="BN1074" s="15" t="s">
        <v>5843</v>
      </c>
      <c r="BO1074" s="15" t="s">
        <v>2238</v>
      </c>
      <c r="BP1074" s="15" t="str">
        <f>"31.3"</f>
        <v>31.3</v>
      </c>
      <c r="BQ1074" s="15" t="s">
        <v>1182</v>
      </c>
      <c r="BR1074" s="15" t="str">
        <f>"15.75"</f>
        <v>15.75</v>
      </c>
      <c r="BS1074" s="15" t="s">
        <v>1849</v>
      </c>
      <c r="BT1074" s="15" t="str">
        <f>"35.83"</f>
        <v>35.83</v>
      </c>
      <c r="BU1074" s="15" t="s">
        <v>1505</v>
      </c>
      <c r="BV1074" s="15" t="str">
        <f>"76.06"</f>
        <v>76.06</v>
      </c>
      <c r="BW1074" s="15" t="s">
        <v>3809</v>
      </c>
      <c r="BZ1074" s="15" t="s">
        <v>444</v>
      </c>
      <c r="CB1074" s="15" t="s">
        <v>444</v>
      </c>
      <c r="CD1074" s="15" t="s">
        <v>444</v>
      </c>
      <c r="CF1074" s="15" t="s">
        <v>444</v>
      </c>
      <c r="CI1074" s="15" t="s">
        <v>444</v>
      </c>
      <c r="CK1074" s="15" t="s">
        <v>444</v>
      </c>
      <c r="CM1074" s="15" t="s">
        <v>444</v>
      </c>
      <c r="CO1074" s="15" t="s">
        <v>444</v>
      </c>
      <c r="CP1074" s="15" t="str">
        <f>"16.32"</f>
        <v>16.32</v>
      </c>
      <c r="CQ1074" s="15" t="str">
        <f>"0.462"</f>
        <v>0.462</v>
      </c>
      <c r="CR1074" s="15" t="s">
        <v>465</v>
      </c>
      <c r="DC1074" s="15" t="str">
        <f>IFERROR(__xludf.DUMMYFUNCTION("""COMPUTED_VALUE"""),"")</f>
        <v/>
      </c>
      <c r="DE1074" s="15" t="str">
        <f>IFERROR(__xludf.DUMMYFUNCTION("""COMPUTED_VALUE"""),"")</f>
        <v/>
      </c>
      <c r="DG1074" s="15" t="str">
        <f>IFERROR(__xludf.DUMMYFUNCTION("""COMPUTED_VALUE"""),"")</f>
        <v/>
      </c>
      <c r="DL1074" s="15" t="str">
        <f>IFERROR(__xludf.DUMMYFUNCTION("""COMPUTED_VALUE"""),"")</f>
        <v/>
      </c>
      <c r="DM1074" s="15" t="s">
        <v>444</v>
      </c>
      <c r="DN1074" s="15" t="s">
        <v>419</v>
      </c>
      <c r="DO1074" s="15">
        <v>0.0</v>
      </c>
      <c r="DP1074" s="15" t="s">
        <v>419</v>
      </c>
      <c r="DR1074" s="15">
        <v>0.0</v>
      </c>
      <c r="DT1074" s="15" t="s">
        <v>1509</v>
      </c>
      <c r="DU1074" s="15" t="s">
        <v>419</v>
      </c>
      <c r="DY1074" s="15">
        <v>0.0</v>
      </c>
      <c r="EF1074" s="15" t="s">
        <v>471</v>
      </c>
      <c r="EG1074" s="15" t="s">
        <v>472</v>
      </c>
      <c r="EH1074" s="15" t="s">
        <v>10310</v>
      </c>
      <c r="EJ1074" s="15" t="s">
        <v>424</v>
      </c>
      <c r="EK1074" s="15" t="s">
        <v>446</v>
      </c>
      <c r="EM1074" s="15" t="str">
        <f>IFERROR(__xludf.DUMMYFUNCTION("""COMPUTED_VALUE"""),"")</f>
        <v/>
      </c>
      <c r="EW1074" s="15" t="s">
        <v>10318</v>
      </c>
      <c r="EY1074" s="15" t="s">
        <v>8920</v>
      </c>
      <c r="FH1074" s="15" t="s">
        <v>10319</v>
      </c>
      <c r="FI1074" s="15" t="s">
        <v>10318</v>
      </c>
      <c r="FJ1074" s="15" t="s">
        <v>10319</v>
      </c>
      <c r="FK1074" s="15" t="s">
        <v>789</v>
      </c>
      <c r="FL1074" s="15" t="s">
        <v>426</v>
      </c>
      <c r="FM1074" s="15">
        <v>0.0</v>
      </c>
      <c r="FN1074" s="15">
        <v>0.0</v>
      </c>
      <c r="FW1074" s="15" t="s">
        <v>10320</v>
      </c>
      <c r="GH1074" s="15">
        <v>0.0</v>
      </c>
      <c r="GI1074" s="15" t="s">
        <v>427</v>
      </c>
    </row>
    <row r="1075" ht="15.75" customHeight="1">
      <c r="A1075" s="14" t="s">
        <v>391</v>
      </c>
      <c r="B1075" s="15" t="s">
        <v>10321</v>
      </c>
      <c r="C1075" s="16"/>
      <c r="D1075" s="15" t="s">
        <v>432</v>
      </c>
      <c r="G1075" s="14" t="s">
        <v>393</v>
      </c>
      <c r="H1075" s="14" t="s">
        <v>394</v>
      </c>
      <c r="I1075" s="14" t="b">
        <v>1</v>
      </c>
      <c r="J1075" s="14" t="s">
        <v>395</v>
      </c>
      <c r="L1075" s="14" t="b">
        <v>0</v>
      </c>
      <c r="M1075" s="15" t="s">
        <v>10322</v>
      </c>
      <c r="N1075" s="14" t="s">
        <v>393</v>
      </c>
      <c r="O1075" s="14" t="s">
        <v>393</v>
      </c>
      <c r="P1075" s="15" t="s">
        <v>397</v>
      </c>
      <c r="Q1075" s="15" t="s">
        <v>10304</v>
      </c>
      <c r="T1075" s="14" t="b">
        <v>0</v>
      </c>
      <c r="U1075" s="15" t="s">
        <v>10323</v>
      </c>
      <c r="V1075" s="15" t="s">
        <v>10324</v>
      </c>
      <c r="W1075" s="15" t="s">
        <v>401</v>
      </c>
      <c r="X1075" s="15" t="s">
        <v>742</v>
      </c>
      <c r="Y1075" s="15">
        <v>4706.0</v>
      </c>
      <c r="AA1075" s="15" t="str">
        <f>"1810"</f>
        <v>1810</v>
      </c>
      <c r="AB1075" s="14" t="b">
        <v>1</v>
      </c>
      <c r="AC1075" s="14" t="b">
        <v>1</v>
      </c>
      <c r="AD1075" s="15" t="str">
        <f>"801542273187"</f>
        <v>801542273187</v>
      </c>
      <c r="AE1075" s="15" t="s">
        <v>10325</v>
      </c>
      <c r="AF1075" s="14" t="s">
        <v>404</v>
      </c>
      <c r="AG1075" s="14" t="s">
        <v>405</v>
      </c>
      <c r="AH1075" s="14" t="s">
        <v>406</v>
      </c>
      <c r="AI1075" s="15">
        <v>0.0</v>
      </c>
      <c r="AL1075" s="15" t="s">
        <v>2354</v>
      </c>
      <c r="AM1075" s="15" t="s">
        <v>770</v>
      </c>
      <c r="AN1075" s="15" t="s">
        <v>771</v>
      </c>
      <c r="AO1075" s="15" t="s">
        <v>1248</v>
      </c>
      <c r="AP1075" s="15" t="s">
        <v>1249</v>
      </c>
      <c r="AQ1075" s="15" t="s">
        <v>546</v>
      </c>
      <c r="AR1075" s="15" t="s">
        <v>547</v>
      </c>
      <c r="AS1075" s="15" t="s">
        <v>751</v>
      </c>
      <c r="AT1075" s="15" t="s">
        <v>10304</v>
      </c>
      <c r="AU1075" s="15" t="s">
        <v>10307</v>
      </c>
      <c r="AW1075" s="15" t="s">
        <v>664</v>
      </c>
      <c r="AY1075" s="15" t="s">
        <v>413</v>
      </c>
      <c r="AZ1075" s="15" t="b">
        <v>0</v>
      </c>
      <c r="BA1075" s="15" t="s">
        <v>413</v>
      </c>
      <c r="BB1075" s="15" t="b">
        <v>0</v>
      </c>
      <c r="BC1075" s="15" t="s">
        <v>10326</v>
      </c>
      <c r="BD1075" s="15" t="s">
        <v>742</v>
      </c>
      <c r="BE1075" s="15" t="str">
        <f t="shared" ref="BE1075:BE1078" si="1855">"1"</f>
        <v>1</v>
      </c>
      <c r="BF1075" s="15" t="s">
        <v>416</v>
      </c>
      <c r="BG1075" s="15" t="str">
        <f>"97.83"</f>
        <v>97.83</v>
      </c>
      <c r="BH1075" s="15" t="s">
        <v>7138</v>
      </c>
      <c r="BI1075" s="15" t="str">
        <f>"24.21"</f>
        <v>24.21</v>
      </c>
      <c r="BJ1075" s="15" t="s">
        <v>463</v>
      </c>
      <c r="BK1075" s="15" t="str">
        <f>"35.63"</f>
        <v>35.63</v>
      </c>
      <c r="BL1075" s="15" t="s">
        <v>710</v>
      </c>
      <c r="BM1075" s="15" t="str">
        <f>"328.49"</f>
        <v>328.49</v>
      </c>
      <c r="BN1075" s="15" t="s">
        <v>6504</v>
      </c>
      <c r="BQ1075" s="15" t="s">
        <v>444</v>
      </c>
      <c r="BS1075" s="15" t="s">
        <v>444</v>
      </c>
      <c r="BU1075" s="15" t="s">
        <v>444</v>
      </c>
      <c r="BW1075" s="15" t="s">
        <v>444</v>
      </c>
      <c r="BZ1075" s="15" t="s">
        <v>444</v>
      </c>
      <c r="CB1075" s="15" t="s">
        <v>444</v>
      </c>
      <c r="CD1075" s="15" t="s">
        <v>444</v>
      </c>
      <c r="CF1075" s="15" t="s">
        <v>444</v>
      </c>
      <c r="CI1075" s="15" t="s">
        <v>444</v>
      </c>
      <c r="CK1075" s="15" t="s">
        <v>444</v>
      </c>
      <c r="CM1075" s="15" t="s">
        <v>444</v>
      </c>
      <c r="CO1075" s="15" t="s">
        <v>444</v>
      </c>
      <c r="CP1075" s="15" t="str">
        <f>"48.84"</f>
        <v>48.84</v>
      </c>
      <c r="CQ1075" s="15" t="str">
        <f>"1.383"</f>
        <v>1.383</v>
      </c>
      <c r="CR1075" s="15" t="s">
        <v>465</v>
      </c>
      <c r="CV1075" s="15" t="s">
        <v>3053</v>
      </c>
      <c r="CW1075" s="15" t="s">
        <v>7250</v>
      </c>
      <c r="CX1075" s="15" t="s">
        <v>10327</v>
      </c>
      <c r="DC1075" s="15" t="str">
        <f>IFERROR(__xludf.DUMMYFUNCTION("""COMPUTED_VALUE"""),"")</f>
        <v/>
      </c>
      <c r="DE1075" s="15" t="str">
        <f>IFERROR(__xludf.DUMMYFUNCTION("""COMPUTED_VALUE"""),"")</f>
        <v/>
      </c>
      <c r="DG1075" s="15" t="str">
        <f>IFERROR(__xludf.DUMMYFUNCTION("""COMPUTED_VALUE"""),"")</f>
        <v/>
      </c>
      <c r="DL1075" s="15" t="str">
        <f>IFERROR(__xludf.DUMMYFUNCTION("""COMPUTED_VALUE"""),"")</f>
        <v/>
      </c>
      <c r="DM1075" s="15" t="s">
        <v>444</v>
      </c>
      <c r="DN1075" s="15" t="s">
        <v>419</v>
      </c>
      <c r="DO1075" s="15">
        <v>0.0</v>
      </c>
      <c r="DP1075" s="15" t="s">
        <v>419</v>
      </c>
      <c r="DR1075" s="15">
        <v>0.0</v>
      </c>
      <c r="DT1075" s="15" t="s">
        <v>420</v>
      </c>
      <c r="DU1075" s="15" t="s">
        <v>610</v>
      </c>
      <c r="DW1075" s="15">
        <v>18.14</v>
      </c>
      <c r="DX1075" s="15">
        <v>40.0</v>
      </c>
      <c r="DY1075" s="15">
        <v>2.0</v>
      </c>
      <c r="EG1075" s="15" t="s">
        <v>444</v>
      </c>
      <c r="EH1075" s="15" t="s">
        <v>10310</v>
      </c>
      <c r="EJ1075" s="15" t="s">
        <v>424</v>
      </c>
      <c r="EK1075" s="15" t="s">
        <v>446</v>
      </c>
      <c r="EM1075" s="15" t="str">
        <f>IFERROR(__xludf.DUMMYFUNCTION("""COMPUTED_VALUE"""),"")</f>
        <v/>
      </c>
      <c r="EW1075" s="15" t="s">
        <v>2162</v>
      </c>
      <c r="FL1075" s="15" t="s">
        <v>426</v>
      </c>
      <c r="FM1075" s="15">
        <v>2.0</v>
      </c>
      <c r="FY1075" s="15" t="s">
        <v>1116</v>
      </c>
      <c r="FZ1075" s="15" t="s">
        <v>612</v>
      </c>
      <c r="GA1075" s="15" t="s">
        <v>10328</v>
      </c>
      <c r="GB1075" s="15" t="s">
        <v>3053</v>
      </c>
      <c r="GC1075" s="15" t="s">
        <v>784</v>
      </c>
      <c r="GD1075" s="15" t="s">
        <v>10327</v>
      </c>
      <c r="GE1075" s="15">
        <v>0.0</v>
      </c>
      <c r="GF1075" s="15" t="s">
        <v>426</v>
      </c>
      <c r="GG1075" s="15" t="s">
        <v>785</v>
      </c>
      <c r="GH1075" s="15">
        <v>4.0</v>
      </c>
      <c r="GI1075" s="15" t="s">
        <v>614</v>
      </c>
      <c r="GJ1075" s="15" t="s">
        <v>786</v>
      </c>
      <c r="GK1075" s="15">
        <v>0.0</v>
      </c>
      <c r="GL1075" s="15" t="s">
        <v>426</v>
      </c>
      <c r="GN1075" s="15" t="s">
        <v>616</v>
      </c>
      <c r="HA1075" s="15" t="s">
        <v>3053</v>
      </c>
      <c r="HC1075" s="15" t="s">
        <v>10327</v>
      </c>
      <c r="HW1075" s="15" t="s">
        <v>789</v>
      </c>
      <c r="IH1075" s="15" t="s">
        <v>426</v>
      </c>
    </row>
    <row r="1076" ht="15.75" customHeight="1">
      <c r="A1076" s="14" t="s">
        <v>391</v>
      </c>
      <c r="B1076" s="15" t="s">
        <v>10329</v>
      </c>
      <c r="C1076" s="16"/>
      <c r="D1076" s="15" t="s">
        <v>432</v>
      </c>
      <c r="G1076" s="14" t="s">
        <v>393</v>
      </c>
      <c r="H1076" s="14" t="s">
        <v>394</v>
      </c>
      <c r="I1076" s="14" t="b">
        <v>1</v>
      </c>
      <c r="J1076" s="14" t="s">
        <v>395</v>
      </c>
      <c r="L1076" s="14" t="b">
        <v>0</v>
      </c>
      <c r="M1076" s="15" t="s">
        <v>10330</v>
      </c>
      <c r="N1076" s="14" t="s">
        <v>393</v>
      </c>
      <c r="O1076" s="14" t="s">
        <v>393</v>
      </c>
      <c r="P1076" s="15" t="s">
        <v>397</v>
      </c>
      <c r="Q1076" s="15" t="s">
        <v>9290</v>
      </c>
      <c r="T1076" s="14" t="b">
        <v>0</v>
      </c>
      <c r="U1076" s="15" t="s">
        <v>10331</v>
      </c>
      <c r="V1076" s="15" t="s">
        <v>7088</v>
      </c>
      <c r="W1076" s="15" t="s">
        <v>401</v>
      </c>
      <c r="X1076" s="15" t="s">
        <v>695</v>
      </c>
      <c r="Y1076" s="15">
        <v>2626.0</v>
      </c>
      <c r="AA1076" s="15" t="str">
        <f>"1010"</f>
        <v>1010</v>
      </c>
      <c r="AB1076" s="14" t="b">
        <v>1</v>
      </c>
      <c r="AC1076" s="14" t="b">
        <v>1</v>
      </c>
      <c r="AD1076" s="15" t="str">
        <f>"801542652104"</f>
        <v>801542652104</v>
      </c>
      <c r="AE1076" s="15" t="s">
        <v>10332</v>
      </c>
      <c r="AF1076" s="14" t="s">
        <v>404</v>
      </c>
      <c r="AG1076" s="14" t="s">
        <v>405</v>
      </c>
      <c r="AH1076" s="14" t="s">
        <v>406</v>
      </c>
      <c r="AI1076" s="15">
        <v>0.0</v>
      </c>
      <c r="AL1076" s="15" t="s">
        <v>10333</v>
      </c>
      <c r="AM1076" s="15" t="s">
        <v>2757</v>
      </c>
      <c r="AN1076" s="15" t="s">
        <v>2758</v>
      </c>
      <c r="AO1076" s="15" t="s">
        <v>1364</v>
      </c>
      <c r="AP1076" s="15" t="s">
        <v>1365</v>
      </c>
      <c r="AQ1076" s="15" t="s">
        <v>3396</v>
      </c>
      <c r="AR1076" s="15" t="s">
        <v>2893</v>
      </c>
      <c r="AS1076" s="15" t="s">
        <v>1628</v>
      </c>
      <c r="AT1076" s="15" t="s">
        <v>9290</v>
      </c>
      <c r="AU1076" s="15" t="s">
        <v>10334</v>
      </c>
      <c r="AW1076" s="15" t="s">
        <v>1732</v>
      </c>
      <c r="AY1076" s="15" t="s">
        <v>413</v>
      </c>
      <c r="AZ1076" s="15" t="b">
        <v>0</v>
      </c>
      <c r="BA1076" s="15" t="s">
        <v>426</v>
      </c>
      <c r="BB1076" s="15" t="b">
        <v>1</v>
      </c>
      <c r="BC1076" s="15" t="s">
        <v>10335</v>
      </c>
      <c r="BD1076" s="15" t="s">
        <v>709</v>
      </c>
      <c r="BE1076" s="15" t="str">
        <f t="shared" si="1855"/>
        <v>1</v>
      </c>
      <c r="BF1076" s="15" t="s">
        <v>1477</v>
      </c>
      <c r="BG1076" s="15" t="str">
        <f t="shared" ref="BG1076:BG1077" si="1856">"75.2"</f>
        <v>75.2</v>
      </c>
      <c r="BH1076" s="15" t="s">
        <v>461</v>
      </c>
      <c r="BI1076" s="15" t="str">
        <f t="shared" ref="BI1076:BI1077" si="1857">"35.43"</f>
        <v>35.43</v>
      </c>
      <c r="BJ1076" s="15" t="s">
        <v>1034</v>
      </c>
      <c r="BK1076" s="15" t="str">
        <f t="shared" ref="BK1076:BK1077" si="1858">"31.5"</f>
        <v>31.5</v>
      </c>
      <c r="BL1076" s="15" t="s">
        <v>1322</v>
      </c>
      <c r="BM1076" s="15" t="str">
        <f t="shared" ref="BM1076:BM1077" si="1859">"139.77"</f>
        <v>139.77</v>
      </c>
      <c r="BN1076" s="15" t="s">
        <v>10336</v>
      </c>
      <c r="BQ1076" s="15" t="s">
        <v>444</v>
      </c>
      <c r="BS1076" s="15" t="s">
        <v>444</v>
      </c>
      <c r="BU1076" s="15" t="s">
        <v>444</v>
      </c>
      <c r="BW1076" s="15" t="s">
        <v>444</v>
      </c>
      <c r="BZ1076" s="15" t="s">
        <v>444</v>
      </c>
      <c r="CB1076" s="15" t="s">
        <v>444</v>
      </c>
      <c r="CD1076" s="15" t="s">
        <v>444</v>
      </c>
      <c r="CF1076" s="15" t="s">
        <v>444</v>
      </c>
      <c r="CI1076" s="15" t="s">
        <v>444</v>
      </c>
      <c r="CK1076" s="15" t="s">
        <v>444</v>
      </c>
      <c r="CM1076" s="15" t="s">
        <v>444</v>
      </c>
      <c r="CO1076" s="15" t="s">
        <v>444</v>
      </c>
      <c r="CP1076" s="15" t="str">
        <f t="shared" ref="CP1076:CP1077" si="1860">"44.92"</f>
        <v>44.92</v>
      </c>
      <c r="CQ1076" s="15" t="str">
        <f t="shared" ref="CQ1076:CQ1077" si="1861">"1.272"</f>
        <v>1.272</v>
      </c>
      <c r="CR1076" s="15" t="s">
        <v>465</v>
      </c>
      <c r="CY1076" s="15" t="s">
        <v>1064</v>
      </c>
      <c r="CZ1076" s="15" t="s">
        <v>2402</v>
      </c>
      <c r="DA1076" s="15" t="s">
        <v>1739</v>
      </c>
      <c r="DB1076" s="15" t="s">
        <v>1331</v>
      </c>
      <c r="DC1076" s="15" t="str">
        <f>IFERROR(__xludf.DUMMYFUNCTION("""COMPUTED_VALUE"""),"{""value"":21.00,""unit"":""in""}")</f>
        <v>{"value":21.00,"unit":"in"}</v>
      </c>
      <c r="DD1076" s="15" t="s">
        <v>1237</v>
      </c>
      <c r="DE1076" s="15" t="str">
        <f>IFERROR(__xludf.DUMMYFUNCTION("""COMPUTED_VALUE"""),"{""value"":20.50,""unit"":""in""}")</f>
        <v>{"value":20.50,"unit":"in"}</v>
      </c>
      <c r="DF1076" s="15" t="s">
        <v>10337</v>
      </c>
      <c r="DG1076" s="15" t="str">
        <f>IFERROR(__xludf.DUMMYFUNCTION("""COMPUTED_VALUE"""),"{""value"":65.50,""unit"":""in""}")</f>
        <v>{"value":65.50,"unit":"in"}</v>
      </c>
      <c r="DH1076" s="15">
        <v>0.0</v>
      </c>
      <c r="DI1076" s="15">
        <v>2.0</v>
      </c>
      <c r="DJ1076" s="15" t="s">
        <v>717</v>
      </c>
      <c r="DK1076" s="15" t="s">
        <v>855</v>
      </c>
      <c r="DL1076" s="15" t="str">
        <f>IFERROR(__xludf.DUMMYFUNCTION("""COMPUTED_VALUE"""),"Clean with solvent-based (dry clean only) products. Do not use water.")</f>
        <v>Clean with solvent-based (dry clean only) products. Do not use water.</v>
      </c>
      <c r="DM1076" s="15" t="s">
        <v>856</v>
      </c>
      <c r="DQ1076" s="15" t="s">
        <v>997</v>
      </c>
      <c r="DT1076" s="15" t="s">
        <v>721</v>
      </c>
      <c r="DU1076" s="15" t="s">
        <v>419</v>
      </c>
      <c r="DV1076" s="15">
        <v>0.0</v>
      </c>
      <c r="DZ1076" s="15">
        <v>25000.0</v>
      </c>
      <c r="EA1076" s="15" t="s">
        <v>990</v>
      </c>
      <c r="EB1076" s="15" t="s">
        <v>723</v>
      </c>
      <c r="EC1076" s="15" t="s">
        <v>724</v>
      </c>
      <c r="ED1076" s="15">
        <v>2.0</v>
      </c>
      <c r="EE1076" s="15">
        <v>3.0</v>
      </c>
      <c r="EG1076" s="15" t="s">
        <v>444</v>
      </c>
      <c r="EH1076" s="15" t="s">
        <v>10338</v>
      </c>
      <c r="EI1076" s="15">
        <v>0.0</v>
      </c>
      <c r="EJ1076" s="15" t="s">
        <v>473</v>
      </c>
      <c r="EK1076" s="15" t="s">
        <v>474</v>
      </c>
      <c r="EL1076" s="15" t="s">
        <v>1212</v>
      </c>
      <c r="EM1076" s="15" t="str">
        <f>IFERROR(__xludf.DUMMYFUNCTION("""COMPUTED_VALUE"""),"{""value"":25.50,""unit"":""in""}")</f>
        <v>{"value":25.50,"unit":"in"}</v>
      </c>
      <c r="EN1076" s="15" t="s">
        <v>1327</v>
      </c>
      <c r="EO1076" s="15" t="s">
        <v>1574</v>
      </c>
      <c r="ES1076" s="15" t="s">
        <v>635</v>
      </c>
      <c r="ET1076" s="15" t="s">
        <v>2116</v>
      </c>
      <c r="EU1076" s="15" t="s">
        <v>1213</v>
      </c>
      <c r="EV1076" s="15" t="s">
        <v>529</v>
      </c>
      <c r="EW1076" s="15" t="s">
        <v>2547</v>
      </c>
      <c r="EX1076" s="15" t="s">
        <v>1330</v>
      </c>
      <c r="EY1076" s="15" t="s">
        <v>5286</v>
      </c>
      <c r="EZ1076" s="15" t="s">
        <v>1592</v>
      </c>
      <c r="FC1076" s="15" t="s">
        <v>723</v>
      </c>
      <c r="FD1076" s="15" t="s">
        <v>724</v>
      </c>
      <c r="FE1076" s="15" t="s">
        <v>3408</v>
      </c>
      <c r="FF1076" s="15" t="s">
        <v>997</v>
      </c>
      <c r="FO1076" s="15" t="s">
        <v>10337</v>
      </c>
      <c r="FP1076" s="15" t="s">
        <v>10337</v>
      </c>
    </row>
    <row r="1077" ht="15.75" customHeight="1">
      <c r="A1077" s="14" t="s">
        <v>391</v>
      </c>
      <c r="B1077" s="15" t="s">
        <v>10329</v>
      </c>
      <c r="C1077" s="16"/>
      <c r="D1077" s="15" t="s">
        <v>432</v>
      </c>
      <c r="G1077" s="14" t="s">
        <v>393</v>
      </c>
      <c r="H1077" s="14" t="s">
        <v>394</v>
      </c>
      <c r="I1077" s="14" t="b">
        <v>1</v>
      </c>
      <c r="J1077" s="14" t="s">
        <v>395</v>
      </c>
      <c r="L1077" s="14" t="b">
        <v>0</v>
      </c>
      <c r="M1077" s="15" t="s">
        <v>10339</v>
      </c>
      <c r="N1077" s="14" t="s">
        <v>393</v>
      </c>
      <c r="O1077" s="14" t="s">
        <v>393</v>
      </c>
      <c r="P1077" s="15" t="s">
        <v>397</v>
      </c>
      <c r="Q1077" s="15" t="s">
        <v>10340</v>
      </c>
      <c r="T1077" s="14" t="b">
        <v>0</v>
      </c>
      <c r="U1077" s="15" t="s">
        <v>10341</v>
      </c>
      <c r="V1077" s="15" t="s">
        <v>7088</v>
      </c>
      <c r="W1077" s="15" t="s">
        <v>401</v>
      </c>
      <c r="X1077" s="15" t="s">
        <v>695</v>
      </c>
      <c r="Y1077" s="15">
        <v>4160.0</v>
      </c>
      <c r="AA1077" s="15" t="str">
        <f>"1600"</f>
        <v>1600</v>
      </c>
      <c r="AB1077" s="14" t="b">
        <v>1</v>
      </c>
      <c r="AC1077" s="14" t="b">
        <v>1</v>
      </c>
      <c r="AD1077" s="15" t="str">
        <f>"801542716813"</f>
        <v>801542716813</v>
      </c>
      <c r="AE1077" s="15" t="s">
        <v>10342</v>
      </c>
      <c r="AF1077" s="14" t="s">
        <v>404</v>
      </c>
      <c r="AG1077" s="14" t="s">
        <v>405</v>
      </c>
      <c r="AH1077" s="14" t="s">
        <v>406</v>
      </c>
      <c r="AI1077" s="15">
        <v>0.0</v>
      </c>
      <c r="AL1077" s="15" t="s">
        <v>808</v>
      </c>
      <c r="AM1077" s="15" t="s">
        <v>2757</v>
      </c>
      <c r="AN1077" s="15" t="s">
        <v>2758</v>
      </c>
      <c r="AO1077" s="15" t="s">
        <v>1364</v>
      </c>
      <c r="AP1077" s="15" t="s">
        <v>1365</v>
      </c>
      <c r="AQ1077" s="15" t="s">
        <v>3396</v>
      </c>
      <c r="AR1077" s="15" t="s">
        <v>2893</v>
      </c>
      <c r="AS1077" s="15" t="s">
        <v>1628</v>
      </c>
      <c r="AT1077" s="15" t="s">
        <v>10340</v>
      </c>
      <c r="AU1077" s="15" t="s">
        <v>10343</v>
      </c>
      <c r="AW1077" s="15" t="s">
        <v>1732</v>
      </c>
      <c r="AY1077" s="15" t="s">
        <v>413</v>
      </c>
      <c r="AZ1077" s="15" t="b">
        <v>0</v>
      </c>
      <c r="BA1077" s="15" t="s">
        <v>413</v>
      </c>
      <c r="BB1077" s="15" t="b">
        <v>0</v>
      </c>
      <c r="BC1077" s="15" t="s">
        <v>10344</v>
      </c>
      <c r="BD1077" s="15" t="s">
        <v>709</v>
      </c>
      <c r="BE1077" s="15" t="str">
        <f t="shared" si="1855"/>
        <v>1</v>
      </c>
      <c r="BF1077" s="15" t="s">
        <v>6688</v>
      </c>
      <c r="BG1077" s="15" t="str">
        <f t="shared" si="1856"/>
        <v>75.2</v>
      </c>
      <c r="BH1077" s="15" t="s">
        <v>461</v>
      </c>
      <c r="BI1077" s="15" t="str">
        <f t="shared" si="1857"/>
        <v>35.43</v>
      </c>
      <c r="BJ1077" s="15" t="s">
        <v>1034</v>
      </c>
      <c r="BK1077" s="15" t="str">
        <f t="shared" si="1858"/>
        <v>31.5</v>
      </c>
      <c r="BL1077" s="15" t="s">
        <v>1322</v>
      </c>
      <c r="BM1077" s="15" t="str">
        <f t="shared" si="1859"/>
        <v>139.77</v>
      </c>
      <c r="BN1077" s="15" t="s">
        <v>10336</v>
      </c>
      <c r="BQ1077" s="15" t="s">
        <v>444</v>
      </c>
      <c r="BS1077" s="15" t="s">
        <v>444</v>
      </c>
      <c r="BU1077" s="15" t="s">
        <v>444</v>
      </c>
      <c r="BW1077" s="15" t="s">
        <v>444</v>
      </c>
      <c r="BZ1077" s="15" t="s">
        <v>444</v>
      </c>
      <c r="CB1077" s="15" t="s">
        <v>444</v>
      </c>
      <c r="CD1077" s="15" t="s">
        <v>444</v>
      </c>
      <c r="CF1077" s="15" t="s">
        <v>444</v>
      </c>
      <c r="CI1077" s="15" t="s">
        <v>444</v>
      </c>
      <c r="CK1077" s="15" t="s">
        <v>444</v>
      </c>
      <c r="CM1077" s="15" t="s">
        <v>444</v>
      </c>
      <c r="CO1077" s="15" t="s">
        <v>444</v>
      </c>
      <c r="CP1077" s="15" t="str">
        <f t="shared" si="1860"/>
        <v>44.92</v>
      </c>
      <c r="CQ1077" s="15" t="str">
        <f t="shared" si="1861"/>
        <v>1.272</v>
      </c>
      <c r="CR1077" s="15" t="s">
        <v>465</v>
      </c>
      <c r="CY1077" s="15" t="s">
        <v>1064</v>
      </c>
      <c r="CZ1077" s="15" t="s">
        <v>2402</v>
      </c>
      <c r="DA1077" s="15" t="s">
        <v>1739</v>
      </c>
      <c r="DB1077" s="15" t="s">
        <v>1331</v>
      </c>
      <c r="DC1077" s="15" t="str">
        <f>IFERROR(__xludf.DUMMYFUNCTION("""COMPUTED_VALUE"""),"{""value"":21.00,""unit"":""in""}")</f>
        <v>{"value":21.00,"unit":"in"}</v>
      </c>
      <c r="DD1077" s="15" t="s">
        <v>1237</v>
      </c>
      <c r="DE1077" s="15" t="str">
        <f>IFERROR(__xludf.DUMMYFUNCTION("""COMPUTED_VALUE"""),"{""value"":20.50,""unit"":""in""}")</f>
        <v>{"value":20.50,"unit":"in"}</v>
      </c>
      <c r="DF1077" s="15" t="s">
        <v>10337</v>
      </c>
      <c r="DG1077" s="15" t="str">
        <f>IFERROR(__xludf.DUMMYFUNCTION("""COMPUTED_VALUE"""),"{""value"":65.50,""unit"":""in""}")</f>
        <v>{"value":65.50,"unit":"in"}</v>
      </c>
      <c r="DH1077" s="15">
        <v>0.0</v>
      </c>
      <c r="DI1077" s="15">
        <v>2.0</v>
      </c>
      <c r="DJ1077" s="15" t="s">
        <v>717</v>
      </c>
      <c r="DK1077" s="15" t="s">
        <v>718</v>
      </c>
      <c r="DL1077" s="15" t="str">
        <f>IFERROR(__xludf.DUMMYFUNCTION("""COMPUTED_VALUE"""),"Vacuum or light brush only. Do not use water or any cleaning products.")</f>
        <v>Vacuum or light brush only. Do not use water or any cleaning products.</v>
      </c>
      <c r="DM1077" s="15" t="s">
        <v>719</v>
      </c>
      <c r="DQ1077" s="15" t="s">
        <v>997</v>
      </c>
      <c r="DT1077" s="15" t="s">
        <v>721</v>
      </c>
      <c r="DU1077" s="15" t="s">
        <v>419</v>
      </c>
      <c r="DV1077" s="15">
        <v>0.0</v>
      </c>
      <c r="DZ1077" s="15">
        <v>0.0</v>
      </c>
      <c r="EA1077" s="15" t="s">
        <v>990</v>
      </c>
      <c r="EB1077" s="15" t="s">
        <v>723</v>
      </c>
      <c r="EC1077" s="15" t="s">
        <v>724</v>
      </c>
      <c r="ED1077" s="15">
        <v>2.0</v>
      </c>
      <c r="EE1077" s="15">
        <v>3.0</v>
      </c>
      <c r="EG1077" s="15" t="s">
        <v>444</v>
      </c>
      <c r="EH1077" s="15" t="s">
        <v>10338</v>
      </c>
      <c r="EI1077" s="15">
        <v>0.0</v>
      </c>
      <c r="EJ1077" s="15" t="s">
        <v>473</v>
      </c>
      <c r="EK1077" s="15" t="s">
        <v>474</v>
      </c>
      <c r="EL1077" s="15" t="s">
        <v>1212</v>
      </c>
      <c r="EM1077" s="15" t="str">
        <f>IFERROR(__xludf.DUMMYFUNCTION("""COMPUTED_VALUE"""),"{""value"":25.50,""unit"":""in""}")</f>
        <v>{"value":25.50,"unit":"in"}</v>
      </c>
      <c r="EN1077" s="15" t="s">
        <v>1327</v>
      </c>
      <c r="EO1077" s="15" t="s">
        <v>1574</v>
      </c>
      <c r="ES1077" s="15" t="s">
        <v>635</v>
      </c>
      <c r="ET1077" s="15" t="s">
        <v>2116</v>
      </c>
      <c r="EU1077" s="15" t="s">
        <v>1213</v>
      </c>
      <c r="EV1077" s="15" t="s">
        <v>529</v>
      </c>
      <c r="EW1077" s="15" t="s">
        <v>2547</v>
      </c>
      <c r="EX1077" s="15" t="s">
        <v>1330</v>
      </c>
      <c r="EY1077" s="15" t="s">
        <v>5286</v>
      </c>
      <c r="EZ1077" s="15" t="s">
        <v>1592</v>
      </c>
      <c r="FC1077" s="15" t="s">
        <v>723</v>
      </c>
      <c r="FD1077" s="15" t="s">
        <v>724</v>
      </c>
      <c r="FE1077" s="15" t="s">
        <v>3408</v>
      </c>
      <c r="FF1077" s="15" t="s">
        <v>997</v>
      </c>
      <c r="FO1077" s="15" t="s">
        <v>10337</v>
      </c>
      <c r="FP1077" s="15" t="s">
        <v>10337</v>
      </c>
    </row>
    <row r="1078" ht="15.75" customHeight="1">
      <c r="A1078" s="14" t="s">
        <v>391</v>
      </c>
      <c r="B1078" s="15" t="s">
        <v>10345</v>
      </c>
      <c r="C1078" s="16"/>
      <c r="D1078" s="15" t="s">
        <v>432</v>
      </c>
      <c r="G1078" s="14" t="s">
        <v>393</v>
      </c>
      <c r="H1078" s="14" t="s">
        <v>394</v>
      </c>
      <c r="I1078" s="14" t="b">
        <v>1</v>
      </c>
      <c r="J1078" s="14" t="s">
        <v>395</v>
      </c>
      <c r="L1078" s="14" t="b">
        <v>0</v>
      </c>
      <c r="M1078" s="15" t="s">
        <v>10346</v>
      </c>
      <c r="N1078" s="14" t="s">
        <v>393</v>
      </c>
      <c r="O1078" s="14" t="s">
        <v>393</v>
      </c>
      <c r="P1078" s="15" t="s">
        <v>397</v>
      </c>
      <c r="Q1078" s="15" t="s">
        <v>10347</v>
      </c>
      <c r="T1078" s="14" t="b">
        <v>0</v>
      </c>
      <c r="U1078" s="15" t="s">
        <v>10348</v>
      </c>
      <c r="V1078" s="15" t="s">
        <v>10349</v>
      </c>
      <c r="W1078" s="15" t="s">
        <v>401</v>
      </c>
      <c r="X1078" s="15" t="s">
        <v>1296</v>
      </c>
      <c r="Y1078" s="15">
        <v>2301.0</v>
      </c>
      <c r="AA1078" s="15" t="str">
        <f>"885"</f>
        <v>885</v>
      </c>
      <c r="AB1078" s="14" t="b">
        <v>1</v>
      </c>
      <c r="AC1078" s="14" t="b">
        <v>1</v>
      </c>
      <c r="AD1078" s="15" t="str">
        <f>"801542144494"</f>
        <v>801542144494</v>
      </c>
      <c r="AE1078" s="15" t="s">
        <v>10350</v>
      </c>
      <c r="AF1078" s="14" t="s">
        <v>404</v>
      </c>
      <c r="AG1078" s="14" t="s">
        <v>405</v>
      </c>
      <c r="AH1078" s="14" t="s">
        <v>406</v>
      </c>
      <c r="AI1078" s="15">
        <v>0.0</v>
      </c>
      <c r="AL1078" s="15" t="s">
        <v>3369</v>
      </c>
      <c r="AM1078" s="15" t="s">
        <v>2757</v>
      </c>
      <c r="AN1078" s="15" t="s">
        <v>2758</v>
      </c>
      <c r="AO1078" s="15" t="s">
        <v>1007</v>
      </c>
      <c r="AP1078" s="15" t="s">
        <v>1008</v>
      </c>
      <c r="AQ1078" s="15" t="s">
        <v>1801</v>
      </c>
      <c r="AR1078" s="15" t="s">
        <v>1322</v>
      </c>
      <c r="AS1078" s="15" t="s">
        <v>10351</v>
      </c>
      <c r="AT1078" s="15" t="s">
        <v>10347</v>
      </c>
      <c r="AW1078" s="15" t="s">
        <v>664</v>
      </c>
      <c r="AY1078" s="15" t="s">
        <v>413</v>
      </c>
      <c r="AZ1078" s="15" t="b">
        <v>0</v>
      </c>
      <c r="BA1078" s="15" t="s">
        <v>413</v>
      </c>
      <c r="BB1078" s="15" t="b">
        <v>0</v>
      </c>
      <c r="BC1078" s="15" t="s">
        <v>10352</v>
      </c>
      <c r="BD1078" s="15" t="s">
        <v>1303</v>
      </c>
      <c r="BE1078" s="15" t="str">
        <f t="shared" si="1855"/>
        <v>1</v>
      </c>
      <c r="BF1078" s="15" t="s">
        <v>416</v>
      </c>
      <c r="BG1078" s="15" t="str">
        <f>"78"</f>
        <v>78</v>
      </c>
      <c r="BH1078" s="15" t="s">
        <v>2356</v>
      </c>
      <c r="BI1078" s="15" t="str">
        <f>"22.25"</f>
        <v>22.25</v>
      </c>
      <c r="BJ1078" s="15" t="s">
        <v>6199</v>
      </c>
      <c r="BK1078" s="15" t="str">
        <f>"37.5"</f>
        <v>37.5</v>
      </c>
      <c r="BL1078" s="15" t="s">
        <v>4837</v>
      </c>
      <c r="BM1078" s="15" t="str">
        <f>"177.47"</f>
        <v>177.47</v>
      </c>
      <c r="BN1078" s="15" t="s">
        <v>5932</v>
      </c>
      <c r="BQ1078" s="15" t="s">
        <v>444</v>
      </c>
      <c r="BS1078" s="15" t="s">
        <v>444</v>
      </c>
      <c r="BU1078" s="15" t="s">
        <v>444</v>
      </c>
      <c r="BW1078" s="15" t="s">
        <v>444</v>
      </c>
      <c r="BZ1078" s="15" t="s">
        <v>444</v>
      </c>
      <c r="CB1078" s="15" t="s">
        <v>444</v>
      </c>
      <c r="CD1078" s="15" t="s">
        <v>444</v>
      </c>
      <c r="CF1078" s="15" t="s">
        <v>444</v>
      </c>
      <c r="CI1078" s="15" t="s">
        <v>444</v>
      </c>
      <c r="CK1078" s="15" t="s">
        <v>444</v>
      </c>
      <c r="CM1078" s="15" t="s">
        <v>444</v>
      </c>
      <c r="CO1078" s="15" t="s">
        <v>444</v>
      </c>
      <c r="CP1078" s="15" t="str">
        <f>"37.65"</f>
        <v>37.65</v>
      </c>
      <c r="CQ1078" s="15" t="str">
        <f>"1.066"</f>
        <v>1.066</v>
      </c>
      <c r="CR1078" s="15" t="s">
        <v>465</v>
      </c>
      <c r="CV1078" s="15" t="s">
        <v>1213</v>
      </c>
      <c r="CW1078" s="15" t="s">
        <v>943</v>
      </c>
      <c r="CX1078" s="15" t="s">
        <v>1994</v>
      </c>
      <c r="DC1078" s="15" t="str">
        <f>IFERROR(__xludf.DUMMYFUNCTION("""COMPUTED_VALUE"""),"")</f>
        <v/>
      </c>
      <c r="DE1078" s="15" t="str">
        <f>IFERROR(__xludf.DUMMYFUNCTION("""COMPUTED_VALUE"""),"")</f>
        <v/>
      </c>
      <c r="DG1078" s="15" t="str">
        <f>IFERROR(__xludf.DUMMYFUNCTION("""COMPUTED_VALUE"""),"")</f>
        <v/>
      </c>
      <c r="DL1078" s="15" t="str">
        <f>IFERROR(__xludf.DUMMYFUNCTION("""COMPUTED_VALUE"""),"")</f>
        <v/>
      </c>
      <c r="DM1078" s="15" t="s">
        <v>444</v>
      </c>
      <c r="DN1078" s="15" t="s">
        <v>419</v>
      </c>
      <c r="DO1078" s="15">
        <v>0.0</v>
      </c>
      <c r="DP1078" s="15" t="s">
        <v>419</v>
      </c>
      <c r="DR1078" s="15">
        <v>0.0</v>
      </c>
      <c r="DU1078" s="15" t="s">
        <v>610</v>
      </c>
      <c r="DW1078" s="15">
        <v>18.14</v>
      </c>
      <c r="DX1078" s="15">
        <v>40.0</v>
      </c>
      <c r="DY1078" s="15">
        <v>2.0</v>
      </c>
      <c r="EG1078" s="15" t="s">
        <v>444</v>
      </c>
      <c r="EH1078" s="15" t="s">
        <v>10353</v>
      </c>
      <c r="EJ1078" s="15" t="s">
        <v>424</v>
      </c>
      <c r="EK1078" s="15" t="s">
        <v>446</v>
      </c>
      <c r="EM1078" s="15" t="str">
        <f>IFERROR(__xludf.DUMMYFUNCTION("""COMPUTED_VALUE"""),"")</f>
        <v/>
      </c>
      <c r="EW1078" s="15" t="s">
        <v>505</v>
      </c>
      <c r="FL1078" s="15" t="s">
        <v>426</v>
      </c>
      <c r="FM1078" s="15">
        <v>2.0</v>
      </c>
      <c r="FY1078" s="15" t="s">
        <v>1234</v>
      </c>
      <c r="FZ1078" s="15" t="s">
        <v>1188</v>
      </c>
      <c r="GA1078" s="15" t="s">
        <v>4178</v>
      </c>
      <c r="GB1078" s="15" t="s">
        <v>1213</v>
      </c>
      <c r="GC1078" s="15" t="s">
        <v>612</v>
      </c>
      <c r="GD1078" s="15" t="s">
        <v>1993</v>
      </c>
      <c r="GE1078" s="15">
        <v>0.0</v>
      </c>
      <c r="GH1078" s="15">
        <v>4.0</v>
      </c>
      <c r="GI1078" s="15" t="s">
        <v>614</v>
      </c>
      <c r="GJ1078" s="15" t="s">
        <v>615</v>
      </c>
      <c r="GK1078" s="15">
        <v>0.0</v>
      </c>
      <c r="GL1078" s="15" t="s">
        <v>426</v>
      </c>
      <c r="GN1078" s="15" t="s">
        <v>616</v>
      </c>
      <c r="HA1078" s="15" t="s">
        <v>1213</v>
      </c>
      <c r="HB1078" s="15" t="s">
        <v>2837</v>
      </c>
      <c r="HC1078" s="15" t="s">
        <v>1994</v>
      </c>
      <c r="HW1078" s="15" t="s">
        <v>672</v>
      </c>
      <c r="IH1078" s="15" t="s">
        <v>426</v>
      </c>
      <c r="KF1078" s="15" t="s">
        <v>1160</v>
      </c>
      <c r="KG1078" s="15" t="s">
        <v>612</v>
      </c>
      <c r="KH1078" s="15" t="s">
        <v>529</v>
      </c>
    </row>
    <row r="1079" ht="15.75" customHeight="1">
      <c r="A1079" s="14" t="s">
        <v>391</v>
      </c>
      <c r="B1079" s="15" t="s">
        <v>10354</v>
      </c>
      <c r="C1079" s="16"/>
      <c r="D1079" s="15" t="s">
        <v>432</v>
      </c>
      <c r="G1079" s="14" t="s">
        <v>393</v>
      </c>
      <c r="H1079" s="14" t="s">
        <v>394</v>
      </c>
      <c r="I1079" s="14" t="b">
        <v>1</v>
      </c>
      <c r="J1079" s="14" t="s">
        <v>395</v>
      </c>
      <c r="L1079" s="14" t="b">
        <v>0</v>
      </c>
      <c r="M1079" s="15" t="s">
        <v>10355</v>
      </c>
      <c r="N1079" s="14" t="s">
        <v>393</v>
      </c>
      <c r="O1079" s="14" t="s">
        <v>393</v>
      </c>
      <c r="P1079" s="15" t="s">
        <v>397</v>
      </c>
      <c r="Q1079" s="15" t="s">
        <v>10356</v>
      </c>
      <c r="T1079" s="14" t="b">
        <v>0</v>
      </c>
      <c r="U1079" s="15" t="s">
        <v>10357</v>
      </c>
      <c r="V1079" s="15" t="s">
        <v>7204</v>
      </c>
      <c r="W1079" s="15" t="s">
        <v>401</v>
      </c>
      <c r="X1079" s="15" t="s">
        <v>742</v>
      </c>
      <c r="Y1079" s="15">
        <v>2405.0</v>
      </c>
      <c r="AA1079" s="15" t="str">
        <f>"925"</f>
        <v>925</v>
      </c>
      <c r="AB1079" s="14" t="b">
        <v>1</v>
      </c>
      <c r="AC1079" s="14" t="b">
        <v>1</v>
      </c>
      <c r="AD1079" s="15" t="str">
        <f>"801542638528"</f>
        <v>801542638528</v>
      </c>
      <c r="AE1079" s="15" t="s">
        <v>10358</v>
      </c>
      <c r="AF1079" s="14" t="s">
        <v>404</v>
      </c>
      <c r="AG1079" s="14" t="s">
        <v>405</v>
      </c>
      <c r="AH1079" s="14" t="s">
        <v>406</v>
      </c>
      <c r="AI1079" s="15">
        <v>0.0</v>
      </c>
      <c r="AL1079" s="15" t="s">
        <v>2354</v>
      </c>
      <c r="AM1079" s="15" t="s">
        <v>2037</v>
      </c>
      <c r="AN1079" s="15" t="s">
        <v>2038</v>
      </c>
      <c r="AO1079" s="15" t="s">
        <v>1007</v>
      </c>
      <c r="AP1079" s="15" t="s">
        <v>1008</v>
      </c>
      <c r="AQ1079" s="15" t="s">
        <v>1537</v>
      </c>
      <c r="AR1079" s="15" t="s">
        <v>1538</v>
      </c>
      <c r="AS1079" s="15" t="s">
        <v>1896</v>
      </c>
      <c r="AT1079" s="15" t="s">
        <v>10356</v>
      </c>
      <c r="AU1079" s="15" t="s">
        <v>10359</v>
      </c>
      <c r="AW1079" s="15" t="s">
        <v>412</v>
      </c>
      <c r="AY1079" s="15" t="s">
        <v>413</v>
      </c>
      <c r="AZ1079" s="15" t="b">
        <v>0</v>
      </c>
      <c r="BA1079" s="15" t="s">
        <v>413</v>
      </c>
      <c r="BB1079" s="15" t="b">
        <v>0</v>
      </c>
      <c r="BC1079" s="15" t="s">
        <v>10360</v>
      </c>
      <c r="BD1079" s="15" t="s">
        <v>742</v>
      </c>
      <c r="BE1079" s="15" t="str">
        <f>"2"</f>
        <v>2</v>
      </c>
      <c r="BF1079" s="15" t="s">
        <v>10361</v>
      </c>
      <c r="BG1079" s="15" t="str">
        <f>"63.58"</f>
        <v>63.58</v>
      </c>
      <c r="BH1079" s="15" t="s">
        <v>9143</v>
      </c>
      <c r="BI1079" s="15" t="str">
        <f>"22.72"</f>
        <v>22.72</v>
      </c>
      <c r="BJ1079" s="15" t="s">
        <v>10362</v>
      </c>
      <c r="BK1079" s="15" t="str">
        <f>"5.71"</f>
        <v>5.71</v>
      </c>
      <c r="BL1079" s="15" t="s">
        <v>10065</v>
      </c>
      <c r="BM1079" s="15" t="str">
        <f>"79.37"</f>
        <v>79.37</v>
      </c>
      <c r="BN1079" s="15" t="s">
        <v>1441</v>
      </c>
      <c r="BO1079" s="15" t="s">
        <v>4730</v>
      </c>
      <c r="BP1079" s="15" t="str">
        <f>"63.39"</f>
        <v>63.39</v>
      </c>
      <c r="BQ1079" s="15" t="s">
        <v>2335</v>
      </c>
      <c r="BR1079" s="15" t="str">
        <f>"21.85"</f>
        <v>21.85</v>
      </c>
      <c r="BS1079" s="15" t="s">
        <v>1405</v>
      </c>
      <c r="BT1079" s="15" t="str">
        <f>"36.61"</f>
        <v>36.61</v>
      </c>
      <c r="BU1079" s="15" t="s">
        <v>1734</v>
      </c>
      <c r="BV1079" s="15" t="str">
        <f>"179.68"</f>
        <v>179.68</v>
      </c>
      <c r="BW1079" s="15" t="s">
        <v>9399</v>
      </c>
      <c r="BZ1079" s="15" t="s">
        <v>444</v>
      </c>
      <c r="CB1079" s="15" t="s">
        <v>444</v>
      </c>
      <c r="CD1079" s="15" t="s">
        <v>444</v>
      </c>
      <c r="CF1079" s="15" t="s">
        <v>444</v>
      </c>
      <c r="CI1079" s="15" t="s">
        <v>444</v>
      </c>
      <c r="CK1079" s="15" t="s">
        <v>444</v>
      </c>
      <c r="CM1079" s="15" t="s">
        <v>444</v>
      </c>
      <c r="CO1079" s="15" t="s">
        <v>444</v>
      </c>
      <c r="CP1079" s="15" t="str">
        <f>"34.11"</f>
        <v>34.11</v>
      </c>
      <c r="CQ1079" s="15" t="str">
        <f>"0.966"</f>
        <v>0.966</v>
      </c>
      <c r="CR1079" s="15" t="s">
        <v>465</v>
      </c>
      <c r="DC1079" s="15" t="str">
        <f>IFERROR(__xludf.DUMMYFUNCTION("""COMPUTED_VALUE"""),"")</f>
        <v/>
      </c>
      <c r="DE1079" s="15" t="str">
        <f>IFERROR(__xludf.DUMMYFUNCTION("""COMPUTED_VALUE"""),"")</f>
        <v/>
      </c>
      <c r="DG1079" s="15" t="str">
        <f>IFERROR(__xludf.DUMMYFUNCTION("""COMPUTED_VALUE"""),"")</f>
        <v/>
      </c>
      <c r="DL1079" s="15" t="str">
        <f>IFERROR(__xludf.DUMMYFUNCTION("""COMPUTED_VALUE"""),"")</f>
        <v/>
      </c>
      <c r="DM1079" s="15" t="s">
        <v>444</v>
      </c>
      <c r="DN1079" s="15" t="s">
        <v>2600</v>
      </c>
      <c r="DO1079" s="15">
        <v>6.0</v>
      </c>
      <c r="DP1079" s="15" t="s">
        <v>419</v>
      </c>
      <c r="DR1079" s="15">
        <v>0.0</v>
      </c>
      <c r="DT1079" s="15" t="s">
        <v>1186</v>
      </c>
      <c r="DU1079" s="15" t="s">
        <v>421</v>
      </c>
      <c r="DY1079" s="15">
        <v>0.0</v>
      </c>
      <c r="EF1079" s="15" t="s">
        <v>422</v>
      </c>
      <c r="EG1079" s="15" t="s">
        <v>445</v>
      </c>
      <c r="EH1079" s="15" t="s">
        <v>10363</v>
      </c>
      <c r="EJ1079" s="15" t="s">
        <v>500</v>
      </c>
      <c r="EK1079" s="15" t="s">
        <v>501</v>
      </c>
      <c r="EM1079" s="15" t="str">
        <f>IFERROR(__xludf.DUMMYFUNCTION("""COMPUTED_VALUE"""),"")</f>
        <v/>
      </c>
      <c r="EW1079" s="15" t="s">
        <v>429</v>
      </c>
      <c r="FL1079" s="15" t="s">
        <v>426</v>
      </c>
      <c r="FM1079" s="15">
        <v>0.0</v>
      </c>
      <c r="GH1079" s="15">
        <v>0.0</v>
      </c>
      <c r="GI1079" s="15" t="s">
        <v>427</v>
      </c>
      <c r="GQ1079" s="15" t="s">
        <v>4684</v>
      </c>
      <c r="GS1079" s="15" t="s">
        <v>731</v>
      </c>
      <c r="GU1079" s="15" t="s">
        <v>9631</v>
      </c>
      <c r="GW1079" s="15" t="s">
        <v>2604</v>
      </c>
      <c r="GY1079" s="15" t="s">
        <v>764</v>
      </c>
    </row>
    <row r="1080" ht="15.75" customHeight="1">
      <c r="A1080" s="14" t="s">
        <v>391</v>
      </c>
      <c r="B1080" s="15" t="s">
        <v>10364</v>
      </c>
      <c r="C1080" s="16"/>
      <c r="D1080" s="15" t="s">
        <v>432</v>
      </c>
      <c r="G1080" s="14" t="s">
        <v>393</v>
      </c>
      <c r="H1080" s="14" t="s">
        <v>394</v>
      </c>
      <c r="I1080" s="14" t="b">
        <v>1</v>
      </c>
      <c r="J1080" s="14" t="s">
        <v>395</v>
      </c>
      <c r="L1080" s="14" t="b">
        <v>0</v>
      </c>
      <c r="M1080" s="15" t="s">
        <v>10365</v>
      </c>
      <c r="N1080" s="14" t="s">
        <v>393</v>
      </c>
      <c r="O1080" s="14" t="s">
        <v>393</v>
      </c>
      <c r="P1080" s="15" t="s">
        <v>397</v>
      </c>
      <c r="Q1080" s="15" t="s">
        <v>10366</v>
      </c>
      <c r="T1080" s="14" t="b">
        <v>0</v>
      </c>
      <c r="U1080" s="15" t="s">
        <v>10367</v>
      </c>
      <c r="V1080" s="15" t="s">
        <v>10368</v>
      </c>
      <c r="W1080" s="15" t="s">
        <v>401</v>
      </c>
      <c r="X1080" s="15" t="s">
        <v>1296</v>
      </c>
      <c r="Y1080" s="15">
        <v>442.0</v>
      </c>
      <c r="AA1080" s="15" t="str">
        <f t="shared" ref="AA1080:AA1083" si="1862">"170"</f>
        <v>170</v>
      </c>
      <c r="AB1080" s="14" t="b">
        <v>1</v>
      </c>
      <c r="AC1080" s="14" t="b">
        <v>1</v>
      </c>
      <c r="AD1080" s="15" t="str">
        <f>"801542578770"</f>
        <v>801542578770</v>
      </c>
      <c r="AE1080" s="15" t="s">
        <v>10369</v>
      </c>
      <c r="AF1080" s="14" t="s">
        <v>404</v>
      </c>
      <c r="AG1080" s="14" t="s">
        <v>405</v>
      </c>
      <c r="AH1080" s="14" t="s">
        <v>406</v>
      </c>
      <c r="AI1080" s="15">
        <v>0.0</v>
      </c>
      <c r="AL1080" s="15" t="s">
        <v>4726</v>
      </c>
      <c r="AM1080" s="15" t="s">
        <v>9350</v>
      </c>
      <c r="AN1080" s="15" t="s">
        <v>4428</v>
      </c>
      <c r="AO1080" s="15" t="s">
        <v>9350</v>
      </c>
      <c r="AP1080" s="15" t="s">
        <v>4428</v>
      </c>
      <c r="AQ1080" s="15" t="s">
        <v>10370</v>
      </c>
      <c r="AR1080" s="15" t="s">
        <v>3496</v>
      </c>
      <c r="AS1080" s="15" t="s">
        <v>2630</v>
      </c>
      <c r="AT1080" s="15" t="s">
        <v>10366</v>
      </c>
      <c r="AU1080" s="15" t="s">
        <v>4717</v>
      </c>
      <c r="AW1080" s="15" t="s">
        <v>1154</v>
      </c>
      <c r="AY1080" s="15" t="s">
        <v>426</v>
      </c>
      <c r="AZ1080" s="15" t="b">
        <v>1</v>
      </c>
      <c r="BA1080" s="15" t="s">
        <v>413</v>
      </c>
      <c r="BB1080" s="15" t="b">
        <v>0</v>
      </c>
      <c r="BC1080" s="15" t="s">
        <v>10371</v>
      </c>
      <c r="BD1080" s="15" t="s">
        <v>1303</v>
      </c>
      <c r="BE1080" s="15" t="str">
        <f t="shared" ref="BE1080:BE1088" si="1863">"1"</f>
        <v>1</v>
      </c>
      <c r="BF1080" s="15" t="s">
        <v>416</v>
      </c>
      <c r="BG1080" s="15" t="str">
        <f t="shared" ref="BG1080:BG1083" si="1864">"22.5"</f>
        <v>22.5</v>
      </c>
      <c r="BH1080" s="15" t="s">
        <v>1247</v>
      </c>
      <c r="BI1080" s="15" t="str">
        <f t="shared" ref="BI1080:BI1083" si="1865">"16.5"</f>
        <v>16.5</v>
      </c>
      <c r="BJ1080" s="15" t="s">
        <v>2704</v>
      </c>
      <c r="BK1080" s="15" t="str">
        <f t="shared" ref="BK1080:BK1083" si="1866">"17.5"</f>
        <v>17.5</v>
      </c>
      <c r="BL1080" s="15" t="s">
        <v>1453</v>
      </c>
      <c r="BM1080" s="15" t="str">
        <f t="shared" ref="BM1080:BM1083" si="1867">"40.01"</f>
        <v>40.01</v>
      </c>
      <c r="BN1080" s="15" t="s">
        <v>10372</v>
      </c>
      <c r="BQ1080" s="15" t="s">
        <v>444</v>
      </c>
      <c r="BS1080" s="15" t="s">
        <v>444</v>
      </c>
      <c r="BU1080" s="15" t="s">
        <v>444</v>
      </c>
      <c r="BW1080" s="15" t="s">
        <v>444</v>
      </c>
      <c r="BZ1080" s="15" t="s">
        <v>444</v>
      </c>
      <c r="CB1080" s="15" t="s">
        <v>444</v>
      </c>
      <c r="CD1080" s="15" t="s">
        <v>444</v>
      </c>
      <c r="CF1080" s="15" t="s">
        <v>444</v>
      </c>
      <c r="CI1080" s="15" t="s">
        <v>444</v>
      </c>
      <c r="CK1080" s="15" t="s">
        <v>444</v>
      </c>
      <c r="CM1080" s="15" t="s">
        <v>444</v>
      </c>
      <c r="CO1080" s="15" t="s">
        <v>444</v>
      </c>
      <c r="CP1080" s="15" t="str">
        <f t="shared" ref="CP1080:CP1083" si="1868">"3.74"</f>
        <v>3.74</v>
      </c>
      <c r="CQ1080" s="15" t="str">
        <f t="shared" ref="CQ1080:CQ1083" si="1869">"0.106"</f>
        <v>0.106</v>
      </c>
      <c r="CR1080" s="15" t="s">
        <v>497</v>
      </c>
      <c r="DC1080" s="15" t="str">
        <f>IFERROR(__xludf.DUMMYFUNCTION("""COMPUTED_VALUE"""),"")</f>
        <v/>
      </c>
      <c r="DE1080" s="15" t="str">
        <f>IFERROR(__xludf.DUMMYFUNCTION("""COMPUTED_VALUE"""),"")</f>
        <v/>
      </c>
      <c r="DG1080" s="15" t="str">
        <f>IFERROR(__xludf.DUMMYFUNCTION("""COMPUTED_VALUE"""),"")</f>
        <v/>
      </c>
      <c r="DL1080" s="15" t="str">
        <f>IFERROR(__xludf.DUMMYFUNCTION("""COMPUTED_VALUE"""),"")</f>
        <v/>
      </c>
      <c r="DM1080" s="15" t="s">
        <v>444</v>
      </c>
      <c r="DN1080" s="15" t="s">
        <v>419</v>
      </c>
      <c r="DO1080" s="15">
        <v>0.0</v>
      </c>
      <c r="DP1080" s="15" t="s">
        <v>419</v>
      </c>
      <c r="DR1080" s="15">
        <v>0.0</v>
      </c>
      <c r="DU1080" s="15" t="s">
        <v>419</v>
      </c>
      <c r="DY1080" s="15">
        <v>0.0</v>
      </c>
      <c r="EF1080" s="15" t="s">
        <v>1157</v>
      </c>
      <c r="EG1080" s="15" t="s">
        <v>1158</v>
      </c>
      <c r="EH1080" s="15" t="s">
        <v>10373</v>
      </c>
      <c r="EJ1080" s="15" t="s">
        <v>500</v>
      </c>
      <c r="EK1080" s="15" t="s">
        <v>501</v>
      </c>
      <c r="EM1080" s="15" t="str">
        <f>IFERROR(__xludf.DUMMYFUNCTION("""COMPUTED_VALUE"""),"")</f>
        <v/>
      </c>
      <c r="EW1080" s="15" t="s">
        <v>6018</v>
      </c>
      <c r="FH1080" s="15" t="s">
        <v>7169</v>
      </c>
      <c r="FI1080" s="15" t="s">
        <v>505</v>
      </c>
      <c r="FJ1080" s="15" t="s">
        <v>7169</v>
      </c>
      <c r="FK1080" s="15" t="s">
        <v>612</v>
      </c>
      <c r="FM1080" s="15">
        <v>0.0</v>
      </c>
      <c r="FN1080" s="15">
        <v>0.0</v>
      </c>
      <c r="FW1080" s="15" t="s">
        <v>3305</v>
      </c>
    </row>
    <row r="1081" ht="15.75" customHeight="1">
      <c r="A1081" s="14" t="s">
        <v>391</v>
      </c>
      <c r="B1081" s="15" t="s">
        <v>10364</v>
      </c>
      <c r="C1081" s="16"/>
      <c r="D1081" s="15" t="s">
        <v>432</v>
      </c>
      <c r="G1081" s="14" t="s">
        <v>393</v>
      </c>
      <c r="H1081" s="14" t="s">
        <v>394</v>
      </c>
      <c r="I1081" s="14" t="b">
        <v>1</v>
      </c>
      <c r="J1081" s="14" t="s">
        <v>395</v>
      </c>
      <c r="L1081" s="14" t="b">
        <v>0</v>
      </c>
      <c r="M1081" s="15" t="s">
        <v>10374</v>
      </c>
      <c r="N1081" s="14" t="s">
        <v>393</v>
      </c>
      <c r="O1081" s="14" t="s">
        <v>393</v>
      </c>
      <c r="P1081" s="15" t="s">
        <v>397</v>
      </c>
      <c r="Q1081" s="15" t="s">
        <v>2254</v>
      </c>
      <c r="T1081" s="14" t="b">
        <v>0</v>
      </c>
      <c r="U1081" s="15" t="s">
        <v>10375</v>
      </c>
      <c r="V1081" s="15" t="s">
        <v>10368</v>
      </c>
      <c r="W1081" s="15" t="s">
        <v>401</v>
      </c>
      <c r="X1081" s="15" t="s">
        <v>1296</v>
      </c>
      <c r="Y1081" s="15">
        <v>442.0</v>
      </c>
      <c r="AA1081" s="15" t="str">
        <f t="shared" si="1862"/>
        <v>170</v>
      </c>
      <c r="AB1081" s="14" t="b">
        <v>1</v>
      </c>
      <c r="AC1081" s="14" t="b">
        <v>1</v>
      </c>
      <c r="AD1081" s="15" t="str">
        <f>"801542029715"</f>
        <v>801542029715</v>
      </c>
      <c r="AE1081" s="15" t="s">
        <v>10376</v>
      </c>
      <c r="AF1081" s="14" t="s">
        <v>404</v>
      </c>
      <c r="AG1081" s="14" t="s">
        <v>405</v>
      </c>
      <c r="AH1081" s="14" t="s">
        <v>406</v>
      </c>
      <c r="AI1081" s="15">
        <v>0.0</v>
      </c>
      <c r="AL1081" s="15" t="s">
        <v>4726</v>
      </c>
      <c r="AM1081" s="15" t="s">
        <v>9350</v>
      </c>
      <c r="AN1081" s="15" t="s">
        <v>4428</v>
      </c>
      <c r="AO1081" s="15" t="s">
        <v>9350</v>
      </c>
      <c r="AP1081" s="15" t="s">
        <v>4428</v>
      </c>
      <c r="AQ1081" s="15" t="s">
        <v>10370</v>
      </c>
      <c r="AR1081" s="15" t="s">
        <v>3496</v>
      </c>
      <c r="AS1081" s="15" t="s">
        <v>2630</v>
      </c>
      <c r="AT1081" s="15" t="s">
        <v>2254</v>
      </c>
      <c r="AU1081" s="15" t="s">
        <v>4717</v>
      </c>
      <c r="AW1081" s="15" t="s">
        <v>1154</v>
      </c>
      <c r="AY1081" s="15" t="s">
        <v>413</v>
      </c>
      <c r="AZ1081" s="15" t="b">
        <v>0</v>
      </c>
      <c r="BA1081" s="15" t="s">
        <v>413</v>
      </c>
      <c r="BB1081" s="15" t="b">
        <v>0</v>
      </c>
      <c r="BC1081" s="15" t="s">
        <v>10377</v>
      </c>
      <c r="BD1081" s="15" t="s">
        <v>1303</v>
      </c>
      <c r="BE1081" s="15" t="str">
        <f t="shared" si="1863"/>
        <v>1</v>
      </c>
      <c r="BF1081" s="15" t="s">
        <v>416</v>
      </c>
      <c r="BG1081" s="15" t="str">
        <f t="shared" si="1864"/>
        <v>22.5</v>
      </c>
      <c r="BH1081" s="15" t="s">
        <v>1247</v>
      </c>
      <c r="BI1081" s="15" t="str">
        <f t="shared" si="1865"/>
        <v>16.5</v>
      </c>
      <c r="BJ1081" s="15" t="s">
        <v>2704</v>
      </c>
      <c r="BK1081" s="15" t="str">
        <f t="shared" si="1866"/>
        <v>17.5</v>
      </c>
      <c r="BL1081" s="15" t="s">
        <v>1453</v>
      </c>
      <c r="BM1081" s="15" t="str">
        <f t="shared" si="1867"/>
        <v>40.01</v>
      </c>
      <c r="BN1081" s="15" t="s">
        <v>10372</v>
      </c>
      <c r="BQ1081" s="15" t="s">
        <v>444</v>
      </c>
      <c r="BS1081" s="15" t="s">
        <v>444</v>
      </c>
      <c r="BU1081" s="15" t="s">
        <v>444</v>
      </c>
      <c r="BW1081" s="15" t="s">
        <v>444</v>
      </c>
      <c r="BZ1081" s="15" t="s">
        <v>444</v>
      </c>
      <c r="CB1081" s="15" t="s">
        <v>444</v>
      </c>
      <c r="CD1081" s="15" t="s">
        <v>444</v>
      </c>
      <c r="CF1081" s="15" t="s">
        <v>444</v>
      </c>
      <c r="CI1081" s="15" t="s">
        <v>444</v>
      </c>
      <c r="CK1081" s="15" t="s">
        <v>444</v>
      </c>
      <c r="CM1081" s="15" t="s">
        <v>444</v>
      </c>
      <c r="CO1081" s="15" t="s">
        <v>444</v>
      </c>
      <c r="CP1081" s="15" t="str">
        <f t="shared" si="1868"/>
        <v>3.74</v>
      </c>
      <c r="CQ1081" s="15" t="str">
        <f t="shared" si="1869"/>
        <v>0.106</v>
      </c>
      <c r="CR1081" s="15" t="s">
        <v>497</v>
      </c>
      <c r="DC1081" s="15" t="str">
        <f>IFERROR(__xludf.DUMMYFUNCTION("""COMPUTED_VALUE"""),"")</f>
        <v/>
      </c>
      <c r="DE1081" s="15" t="str">
        <f>IFERROR(__xludf.DUMMYFUNCTION("""COMPUTED_VALUE"""),"")</f>
        <v/>
      </c>
      <c r="DG1081" s="15" t="str">
        <f>IFERROR(__xludf.DUMMYFUNCTION("""COMPUTED_VALUE"""),"")</f>
        <v/>
      </c>
      <c r="DL1081" s="15" t="str">
        <f>IFERROR(__xludf.DUMMYFUNCTION("""COMPUTED_VALUE"""),"")</f>
        <v/>
      </c>
      <c r="DM1081" s="15" t="s">
        <v>444</v>
      </c>
      <c r="DN1081" s="15" t="s">
        <v>419</v>
      </c>
      <c r="DO1081" s="15">
        <v>0.0</v>
      </c>
      <c r="DP1081" s="15" t="s">
        <v>419</v>
      </c>
      <c r="DR1081" s="15">
        <v>0.0</v>
      </c>
      <c r="DU1081" s="15" t="s">
        <v>419</v>
      </c>
      <c r="DY1081" s="15">
        <v>0.0</v>
      </c>
      <c r="EF1081" s="15" t="s">
        <v>1157</v>
      </c>
      <c r="EG1081" s="15" t="s">
        <v>1158</v>
      </c>
      <c r="EH1081" s="15" t="s">
        <v>10373</v>
      </c>
      <c r="EJ1081" s="15" t="s">
        <v>500</v>
      </c>
      <c r="EK1081" s="15" t="s">
        <v>501</v>
      </c>
      <c r="EM1081" s="15" t="str">
        <f>IFERROR(__xludf.DUMMYFUNCTION("""COMPUTED_VALUE"""),"")</f>
        <v/>
      </c>
      <c r="EW1081" s="15" t="s">
        <v>6018</v>
      </c>
      <c r="FH1081" s="15" t="s">
        <v>7169</v>
      </c>
      <c r="FI1081" s="15" t="s">
        <v>505</v>
      </c>
      <c r="FJ1081" s="15" t="s">
        <v>7169</v>
      </c>
      <c r="FK1081" s="15" t="s">
        <v>612</v>
      </c>
      <c r="FM1081" s="15">
        <v>0.0</v>
      </c>
      <c r="FN1081" s="15">
        <v>0.0</v>
      </c>
      <c r="FW1081" s="15" t="s">
        <v>3305</v>
      </c>
    </row>
    <row r="1082" ht="15.75" customHeight="1">
      <c r="A1082" s="14" t="s">
        <v>391</v>
      </c>
      <c r="B1082" s="15" t="s">
        <v>10364</v>
      </c>
      <c r="C1082" s="16"/>
      <c r="D1082" s="15" t="s">
        <v>432</v>
      </c>
      <c r="G1082" s="14" t="s">
        <v>393</v>
      </c>
      <c r="H1082" s="14" t="s">
        <v>394</v>
      </c>
      <c r="I1082" s="14" t="b">
        <v>1</v>
      </c>
      <c r="J1082" s="14" t="s">
        <v>395</v>
      </c>
      <c r="L1082" s="14" t="b">
        <v>0</v>
      </c>
      <c r="M1082" s="15" t="s">
        <v>10378</v>
      </c>
      <c r="N1082" s="14" t="s">
        <v>393</v>
      </c>
      <c r="O1082" s="14" t="s">
        <v>393</v>
      </c>
      <c r="P1082" s="15" t="s">
        <v>397</v>
      </c>
      <c r="Q1082" s="15" t="s">
        <v>10379</v>
      </c>
      <c r="T1082" s="14" t="b">
        <v>0</v>
      </c>
      <c r="U1082" s="15" t="s">
        <v>10380</v>
      </c>
      <c r="V1082" s="15" t="s">
        <v>10368</v>
      </c>
      <c r="W1082" s="15" t="s">
        <v>401</v>
      </c>
      <c r="X1082" s="15" t="s">
        <v>1296</v>
      </c>
      <c r="Y1082" s="15">
        <v>442.0</v>
      </c>
      <c r="AA1082" s="15" t="str">
        <f t="shared" si="1862"/>
        <v>170</v>
      </c>
      <c r="AB1082" s="14" t="b">
        <v>1</v>
      </c>
      <c r="AC1082" s="14" t="b">
        <v>1</v>
      </c>
      <c r="AD1082" s="15" t="str">
        <f>"801542034795"</f>
        <v>801542034795</v>
      </c>
      <c r="AE1082" s="15" t="s">
        <v>10381</v>
      </c>
      <c r="AF1082" s="14" t="s">
        <v>404</v>
      </c>
      <c r="AG1082" s="14" t="s">
        <v>405</v>
      </c>
      <c r="AH1082" s="14" t="s">
        <v>406</v>
      </c>
      <c r="AI1082" s="15">
        <v>0.0</v>
      </c>
      <c r="AL1082" s="15" t="s">
        <v>4726</v>
      </c>
      <c r="AM1082" s="15" t="s">
        <v>9350</v>
      </c>
      <c r="AN1082" s="15" t="s">
        <v>4428</v>
      </c>
      <c r="AO1082" s="15" t="s">
        <v>9350</v>
      </c>
      <c r="AP1082" s="15" t="s">
        <v>4428</v>
      </c>
      <c r="AQ1082" s="15" t="s">
        <v>10370</v>
      </c>
      <c r="AR1082" s="15" t="s">
        <v>3496</v>
      </c>
      <c r="AS1082" s="15" t="s">
        <v>2630</v>
      </c>
      <c r="AT1082" s="15" t="s">
        <v>10379</v>
      </c>
      <c r="AU1082" s="15" t="s">
        <v>4717</v>
      </c>
      <c r="AW1082" s="15" t="s">
        <v>1154</v>
      </c>
      <c r="AY1082" s="15" t="s">
        <v>413</v>
      </c>
      <c r="AZ1082" s="15" t="b">
        <v>0</v>
      </c>
      <c r="BA1082" s="15" t="s">
        <v>413</v>
      </c>
      <c r="BB1082" s="15" t="b">
        <v>0</v>
      </c>
      <c r="BD1082" s="15" t="s">
        <v>1303</v>
      </c>
      <c r="BE1082" s="15" t="str">
        <f t="shared" si="1863"/>
        <v>1</v>
      </c>
      <c r="BF1082" s="15" t="s">
        <v>416</v>
      </c>
      <c r="BG1082" s="15" t="str">
        <f t="shared" si="1864"/>
        <v>22.5</v>
      </c>
      <c r="BH1082" s="15" t="s">
        <v>1247</v>
      </c>
      <c r="BI1082" s="15" t="str">
        <f t="shared" si="1865"/>
        <v>16.5</v>
      </c>
      <c r="BJ1082" s="15" t="s">
        <v>2704</v>
      </c>
      <c r="BK1082" s="15" t="str">
        <f t="shared" si="1866"/>
        <v>17.5</v>
      </c>
      <c r="BL1082" s="15" t="s">
        <v>1453</v>
      </c>
      <c r="BM1082" s="15" t="str">
        <f t="shared" si="1867"/>
        <v>40.01</v>
      </c>
      <c r="BN1082" s="15" t="s">
        <v>10372</v>
      </c>
      <c r="BQ1082" s="15" t="s">
        <v>444</v>
      </c>
      <c r="BS1082" s="15" t="s">
        <v>444</v>
      </c>
      <c r="BU1082" s="15" t="s">
        <v>444</v>
      </c>
      <c r="BW1082" s="15" t="s">
        <v>444</v>
      </c>
      <c r="BZ1082" s="15" t="s">
        <v>444</v>
      </c>
      <c r="CB1082" s="15" t="s">
        <v>444</v>
      </c>
      <c r="CD1082" s="15" t="s">
        <v>444</v>
      </c>
      <c r="CF1082" s="15" t="s">
        <v>444</v>
      </c>
      <c r="CI1082" s="15" t="s">
        <v>444</v>
      </c>
      <c r="CK1082" s="15" t="s">
        <v>444</v>
      </c>
      <c r="CM1082" s="15" t="s">
        <v>444</v>
      </c>
      <c r="CO1082" s="15" t="s">
        <v>444</v>
      </c>
      <c r="CP1082" s="15" t="str">
        <f t="shared" si="1868"/>
        <v>3.74</v>
      </c>
      <c r="CQ1082" s="15" t="str">
        <f t="shared" si="1869"/>
        <v>0.106</v>
      </c>
      <c r="CR1082" s="15" t="s">
        <v>465</v>
      </c>
      <c r="DC1082" s="15" t="str">
        <f>IFERROR(__xludf.DUMMYFUNCTION("""COMPUTED_VALUE"""),"")</f>
        <v/>
      </c>
      <c r="DE1082" s="15" t="str">
        <f>IFERROR(__xludf.DUMMYFUNCTION("""COMPUTED_VALUE"""),"")</f>
        <v/>
      </c>
      <c r="DG1082" s="15" t="str">
        <f>IFERROR(__xludf.DUMMYFUNCTION("""COMPUTED_VALUE"""),"")</f>
        <v/>
      </c>
      <c r="DL1082" s="15" t="str">
        <f>IFERROR(__xludf.DUMMYFUNCTION("""COMPUTED_VALUE"""),"")</f>
        <v/>
      </c>
      <c r="DM1082" s="15" t="s">
        <v>444</v>
      </c>
      <c r="DN1082" s="15" t="s">
        <v>419</v>
      </c>
      <c r="DO1082" s="15">
        <v>0.0</v>
      </c>
      <c r="DP1082" s="15" t="s">
        <v>419</v>
      </c>
      <c r="DR1082" s="15">
        <v>0.0</v>
      </c>
      <c r="DU1082" s="15" t="s">
        <v>419</v>
      </c>
      <c r="DY1082" s="15">
        <v>0.0</v>
      </c>
      <c r="EF1082" s="15" t="s">
        <v>1157</v>
      </c>
      <c r="EG1082" s="15" t="s">
        <v>1158</v>
      </c>
      <c r="EH1082" s="15" t="s">
        <v>10373</v>
      </c>
      <c r="EJ1082" s="15" t="s">
        <v>500</v>
      </c>
      <c r="EK1082" s="15" t="s">
        <v>501</v>
      </c>
      <c r="EM1082" s="15" t="str">
        <f>IFERROR(__xludf.DUMMYFUNCTION("""COMPUTED_VALUE"""),"")</f>
        <v/>
      </c>
      <c r="EW1082" s="15" t="s">
        <v>6018</v>
      </c>
      <c r="FH1082" s="15" t="s">
        <v>7169</v>
      </c>
      <c r="FI1082" s="15" t="s">
        <v>505</v>
      </c>
      <c r="FJ1082" s="15" t="s">
        <v>7169</v>
      </c>
      <c r="FK1082" s="15" t="s">
        <v>612</v>
      </c>
      <c r="FM1082" s="15">
        <v>0.0</v>
      </c>
      <c r="FN1082" s="15">
        <v>0.0</v>
      </c>
      <c r="FW1082" s="15" t="s">
        <v>3305</v>
      </c>
    </row>
    <row r="1083" ht="15.75" customHeight="1">
      <c r="A1083" s="14" t="s">
        <v>391</v>
      </c>
      <c r="B1083" s="15" t="s">
        <v>10364</v>
      </c>
      <c r="C1083" s="16"/>
      <c r="D1083" s="15" t="s">
        <v>432</v>
      </c>
      <c r="G1083" s="14" t="s">
        <v>393</v>
      </c>
      <c r="H1083" s="14" t="s">
        <v>394</v>
      </c>
      <c r="I1083" s="14" t="b">
        <v>1</v>
      </c>
      <c r="J1083" s="14" t="s">
        <v>395</v>
      </c>
      <c r="L1083" s="14" t="b">
        <v>0</v>
      </c>
      <c r="M1083" s="15" t="s">
        <v>10382</v>
      </c>
      <c r="N1083" s="14" t="s">
        <v>393</v>
      </c>
      <c r="O1083" s="14" t="s">
        <v>393</v>
      </c>
      <c r="P1083" s="15" t="s">
        <v>397</v>
      </c>
      <c r="Q1083" s="15" t="s">
        <v>4577</v>
      </c>
      <c r="T1083" s="14" t="b">
        <v>0</v>
      </c>
      <c r="U1083" s="15" t="s">
        <v>10383</v>
      </c>
      <c r="V1083" s="15" t="s">
        <v>10368</v>
      </c>
      <c r="W1083" s="15" t="s">
        <v>401</v>
      </c>
      <c r="X1083" s="15" t="s">
        <v>1296</v>
      </c>
      <c r="Y1083" s="15">
        <v>442.0</v>
      </c>
      <c r="AA1083" s="15" t="str">
        <f t="shared" si="1862"/>
        <v>170</v>
      </c>
      <c r="AB1083" s="14" t="b">
        <v>1</v>
      </c>
      <c r="AC1083" s="14" t="b">
        <v>1</v>
      </c>
      <c r="AD1083" s="15" t="str">
        <f>"801542049126"</f>
        <v>801542049126</v>
      </c>
      <c r="AE1083" s="15" t="s">
        <v>10384</v>
      </c>
      <c r="AF1083" s="14" t="s">
        <v>404</v>
      </c>
      <c r="AG1083" s="14" t="s">
        <v>405</v>
      </c>
      <c r="AH1083" s="14" t="s">
        <v>406</v>
      </c>
      <c r="AI1083" s="15">
        <v>0.0</v>
      </c>
      <c r="AL1083" s="15" t="s">
        <v>4726</v>
      </c>
      <c r="AM1083" s="15" t="s">
        <v>9350</v>
      </c>
      <c r="AN1083" s="15" t="s">
        <v>4428</v>
      </c>
      <c r="AO1083" s="15" t="s">
        <v>9350</v>
      </c>
      <c r="AP1083" s="15" t="s">
        <v>4428</v>
      </c>
      <c r="AQ1083" s="15" t="s">
        <v>10370</v>
      </c>
      <c r="AR1083" s="15" t="s">
        <v>3496</v>
      </c>
      <c r="AS1083" s="15" t="s">
        <v>2630</v>
      </c>
      <c r="AT1083" s="15" t="s">
        <v>4577</v>
      </c>
      <c r="AU1083" s="15" t="s">
        <v>4717</v>
      </c>
      <c r="AW1083" s="15" t="s">
        <v>1154</v>
      </c>
      <c r="AY1083" s="15" t="s">
        <v>413</v>
      </c>
      <c r="AZ1083" s="15" t="b">
        <v>0</v>
      </c>
      <c r="BA1083" s="15" t="s">
        <v>413</v>
      </c>
      <c r="BB1083" s="15" t="b">
        <v>0</v>
      </c>
      <c r="BC1083" s="15" t="s">
        <v>10385</v>
      </c>
      <c r="BD1083" s="15" t="s">
        <v>1303</v>
      </c>
      <c r="BE1083" s="15" t="str">
        <f t="shared" si="1863"/>
        <v>1</v>
      </c>
      <c r="BF1083" s="15" t="s">
        <v>416</v>
      </c>
      <c r="BG1083" s="15" t="str">
        <f t="shared" si="1864"/>
        <v>22.5</v>
      </c>
      <c r="BH1083" s="15" t="s">
        <v>1247</v>
      </c>
      <c r="BI1083" s="15" t="str">
        <f t="shared" si="1865"/>
        <v>16.5</v>
      </c>
      <c r="BJ1083" s="15" t="s">
        <v>2704</v>
      </c>
      <c r="BK1083" s="15" t="str">
        <f t="shared" si="1866"/>
        <v>17.5</v>
      </c>
      <c r="BL1083" s="15" t="s">
        <v>1453</v>
      </c>
      <c r="BM1083" s="15" t="str">
        <f t="shared" si="1867"/>
        <v>40.01</v>
      </c>
      <c r="BN1083" s="15" t="s">
        <v>10372</v>
      </c>
      <c r="BQ1083" s="15" t="s">
        <v>444</v>
      </c>
      <c r="BS1083" s="15" t="s">
        <v>444</v>
      </c>
      <c r="BU1083" s="15" t="s">
        <v>444</v>
      </c>
      <c r="BW1083" s="15" t="s">
        <v>444</v>
      </c>
      <c r="BZ1083" s="15" t="s">
        <v>444</v>
      </c>
      <c r="CB1083" s="15" t="s">
        <v>444</v>
      </c>
      <c r="CD1083" s="15" t="s">
        <v>444</v>
      </c>
      <c r="CF1083" s="15" t="s">
        <v>444</v>
      </c>
      <c r="CI1083" s="15" t="s">
        <v>444</v>
      </c>
      <c r="CK1083" s="15" t="s">
        <v>444</v>
      </c>
      <c r="CM1083" s="15" t="s">
        <v>444</v>
      </c>
      <c r="CO1083" s="15" t="s">
        <v>444</v>
      </c>
      <c r="CP1083" s="15" t="str">
        <f t="shared" si="1868"/>
        <v>3.74</v>
      </c>
      <c r="CQ1083" s="15" t="str">
        <f t="shared" si="1869"/>
        <v>0.106</v>
      </c>
      <c r="CR1083" s="15" t="s">
        <v>465</v>
      </c>
      <c r="DC1083" s="15" t="str">
        <f>IFERROR(__xludf.DUMMYFUNCTION("""COMPUTED_VALUE"""),"")</f>
        <v/>
      </c>
      <c r="DE1083" s="15" t="str">
        <f>IFERROR(__xludf.DUMMYFUNCTION("""COMPUTED_VALUE"""),"")</f>
        <v/>
      </c>
      <c r="DG1083" s="15" t="str">
        <f>IFERROR(__xludf.DUMMYFUNCTION("""COMPUTED_VALUE"""),"")</f>
        <v/>
      </c>
      <c r="DL1083" s="15" t="str">
        <f>IFERROR(__xludf.DUMMYFUNCTION("""COMPUTED_VALUE"""),"")</f>
        <v/>
      </c>
      <c r="DM1083" s="15" t="s">
        <v>444</v>
      </c>
      <c r="DN1083" s="15" t="s">
        <v>419</v>
      </c>
      <c r="DO1083" s="15">
        <v>0.0</v>
      </c>
      <c r="DP1083" s="15" t="s">
        <v>419</v>
      </c>
      <c r="DR1083" s="15">
        <v>0.0</v>
      </c>
      <c r="DU1083" s="15" t="s">
        <v>419</v>
      </c>
      <c r="DY1083" s="15">
        <v>0.0</v>
      </c>
      <c r="EF1083" s="15" t="s">
        <v>1157</v>
      </c>
      <c r="EG1083" s="15" t="s">
        <v>1158</v>
      </c>
      <c r="EH1083" s="15" t="s">
        <v>10373</v>
      </c>
      <c r="EJ1083" s="15" t="s">
        <v>500</v>
      </c>
      <c r="EK1083" s="15" t="s">
        <v>501</v>
      </c>
      <c r="EM1083" s="15" t="str">
        <f>IFERROR(__xludf.DUMMYFUNCTION("""COMPUTED_VALUE"""),"")</f>
        <v/>
      </c>
      <c r="EW1083" s="15" t="s">
        <v>6018</v>
      </c>
      <c r="FH1083" s="15" t="s">
        <v>7169</v>
      </c>
      <c r="FI1083" s="15" t="s">
        <v>505</v>
      </c>
      <c r="FJ1083" s="15" t="s">
        <v>7169</v>
      </c>
      <c r="FK1083" s="15" t="s">
        <v>612</v>
      </c>
      <c r="FM1083" s="15">
        <v>0.0</v>
      </c>
      <c r="FN1083" s="15">
        <v>0.0</v>
      </c>
      <c r="FW1083" s="15" t="s">
        <v>3305</v>
      </c>
    </row>
    <row r="1084" ht="15.75" customHeight="1">
      <c r="A1084" s="14" t="s">
        <v>391</v>
      </c>
      <c r="B1084" s="15" t="s">
        <v>10386</v>
      </c>
      <c r="C1084" s="16"/>
      <c r="D1084" s="15" t="s">
        <v>432</v>
      </c>
      <c r="G1084" s="14" t="s">
        <v>393</v>
      </c>
      <c r="H1084" s="14" t="s">
        <v>394</v>
      </c>
      <c r="I1084" s="14" t="b">
        <v>1</v>
      </c>
      <c r="J1084" s="14" t="s">
        <v>395</v>
      </c>
      <c r="L1084" s="14" t="b">
        <v>0</v>
      </c>
      <c r="M1084" s="15" t="s">
        <v>10387</v>
      </c>
      <c r="N1084" s="14" t="s">
        <v>393</v>
      </c>
      <c r="O1084" s="14" t="s">
        <v>393</v>
      </c>
      <c r="P1084" s="15" t="s">
        <v>397</v>
      </c>
      <c r="Q1084" s="15" t="s">
        <v>2351</v>
      </c>
      <c r="T1084" s="14" t="b">
        <v>0</v>
      </c>
      <c r="U1084" s="15" t="s">
        <v>10388</v>
      </c>
      <c r="V1084" s="15" t="s">
        <v>10389</v>
      </c>
      <c r="W1084" s="15" t="s">
        <v>401</v>
      </c>
      <c r="X1084" s="15" t="s">
        <v>1296</v>
      </c>
      <c r="Y1084" s="15">
        <v>3068.0</v>
      </c>
      <c r="AA1084" s="15" t="str">
        <f>"1180"</f>
        <v>1180</v>
      </c>
      <c r="AB1084" s="14" t="b">
        <v>1</v>
      </c>
      <c r="AC1084" s="14" t="b">
        <v>1</v>
      </c>
      <c r="AD1084" s="15" t="str">
        <f>"801542244743"</f>
        <v>801542244743</v>
      </c>
      <c r="AE1084" s="15" t="s">
        <v>10390</v>
      </c>
      <c r="AF1084" s="14" t="s">
        <v>404</v>
      </c>
      <c r="AG1084" s="14" t="s">
        <v>405</v>
      </c>
      <c r="AH1084" s="14" t="s">
        <v>406</v>
      </c>
      <c r="AI1084" s="15">
        <v>0.0</v>
      </c>
      <c r="AL1084" s="15" t="s">
        <v>2354</v>
      </c>
      <c r="AM1084" s="15" t="s">
        <v>7508</v>
      </c>
      <c r="AN1084" s="15" t="s">
        <v>7509</v>
      </c>
      <c r="AO1084" s="15" t="s">
        <v>1007</v>
      </c>
      <c r="AP1084" s="15" t="s">
        <v>1008</v>
      </c>
      <c r="AQ1084" s="15" t="s">
        <v>410</v>
      </c>
      <c r="AR1084" s="15" t="s">
        <v>439</v>
      </c>
      <c r="AS1084" s="15" t="s">
        <v>2875</v>
      </c>
      <c r="AT1084" s="15" t="s">
        <v>2351</v>
      </c>
      <c r="AW1084" s="15" t="s">
        <v>412</v>
      </c>
      <c r="AY1084" s="15" t="s">
        <v>413</v>
      </c>
      <c r="AZ1084" s="15" t="b">
        <v>0</v>
      </c>
      <c r="BA1084" s="15" t="s">
        <v>413</v>
      </c>
      <c r="BB1084" s="15" t="b">
        <v>0</v>
      </c>
      <c r="BC1084" s="15" t="s">
        <v>10391</v>
      </c>
      <c r="BD1084" s="15" t="s">
        <v>1303</v>
      </c>
      <c r="BE1084" s="15" t="str">
        <f t="shared" si="1863"/>
        <v>1</v>
      </c>
      <c r="BF1084" s="15" t="s">
        <v>416</v>
      </c>
      <c r="BG1084" s="15" t="str">
        <f>"79"</f>
        <v>79</v>
      </c>
      <c r="BH1084" s="15" t="s">
        <v>4675</v>
      </c>
      <c r="BI1084" s="15" t="str">
        <f>"22"</f>
        <v>22</v>
      </c>
      <c r="BJ1084" s="15" t="s">
        <v>1562</v>
      </c>
      <c r="BK1084" s="15" t="str">
        <f>"41.25"</f>
        <v>41.25</v>
      </c>
      <c r="BL1084" s="15" t="s">
        <v>7386</v>
      </c>
      <c r="BM1084" s="15" t="str">
        <f>"315.26"</f>
        <v>315.26</v>
      </c>
      <c r="BN1084" s="15" t="s">
        <v>10392</v>
      </c>
      <c r="BQ1084" s="15" t="s">
        <v>444</v>
      </c>
      <c r="BS1084" s="15" t="s">
        <v>444</v>
      </c>
      <c r="BU1084" s="15" t="s">
        <v>444</v>
      </c>
      <c r="BW1084" s="15" t="s">
        <v>444</v>
      </c>
      <c r="BZ1084" s="15" t="s">
        <v>444</v>
      </c>
      <c r="CB1084" s="15" t="s">
        <v>444</v>
      </c>
      <c r="CD1084" s="15" t="s">
        <v>444</v>
      </c>
      <c r="CF1084" s="15" t="s">
        <v>444</v>
      </c>
      <c r="CI1084" s="15" t="s">
        <v>444</v>
      </c>
      <c r="CK1084" s="15" t="s">
        <v>444</v>
      </c>
      <c r="CM1084" s="15" t="s">
        <v>444</v>
      </c>
      <c r="CO1084" s="15" t="s">
        <v>444</v>
      </c>
      <c r="CP1084" s="15" t="str">
        <f>"41.49"</f>
        <v>41.49</v>
      </c>
      <c r="CQ1084" s="15" t="str">
        <f>"1.175"</f>
        <v>1.175</v>
      </c>
      <c r="CR1084" s="15" t="s">
        <v>465</v>
      </c>
      <c r="DC1084" s="15" t="str">
        <f>IFERROR(__xludf.DUMMYFUNCTION("""COMPUTED_VALUE"""),"")</f>
        <v/>
      </c>
      <c r="DE1084" s="15" t="str">
        <f>IFERROR(__xludf.DUMMYFUNCTION("""COMPUTED_VALUE"""),"")</f>
        <v/>
      </c>
      <c r="DG1084" s="15" t="str">
        <f>IFERROR(__xludf.DUMMYFUNCTION("""COMPUTED_VALUE"""),"")</f>
        <v/>
      </c>
      <c r="DL1084" s="15" t="str">
        <f>IFERROR(__xludf.DUMMYFUNCTION("""COMPUTED_VALUE"""),"")</f>
        <v/>
      </c>
      <c r="DM1084" s="15" t="s">
        <v>444</v>
      </c>
      <c r="DN1084" s="15" t="s">
        <v>418</v>
      </c>
      <c r="DO1084" s="15">
        <v>6.0</v>
      </c>
      <c r="DP1084" s="15" t="s">
        <v>2601</v>
      </c>
      <c r="DR1084" s="15">
        <v>0.0</v>
      </c>
      <c r="DU1084" s="15" t="s">
        <v>421</v>
      </c>
      <c r="DY1084" s="15">
        <v>0.0</v>
      </c>
      <c r="EF1084" s="15" t="s">
        <v>422</v>
      </c>
      <c r="EG1084" s="15" t="s">
        <v>445</v>
      </c>
      <c r="EH1084" s="15" t="s">
        <v>10393</v>
      </c>
      <c r="EJ1084" s="15" t="s">
        <v>424</v>
      </c>
      <c r="EK1084" s="15" t="s">
        <v>446</v>
      </c>
      <c r="EM1084" s="15" t="str">
        <f>IFERROR(__xludf.DUMMYFUNCTION("""COMPUTED_VALUE"""),"")</f>
        <v/>
      </c>
      <c r="EW1084" s="15" t="s">
        <v>672</v>
      </c>
      <c r="FL1084" s="15" t="s">
        <v>426</v>
      </c>
      <c r="FM1084" s="15">
        <v>0.0</v>
      </c>
      <c r="GH1084" s="15">
        <v>0.0</v>
      </c>
      <c r="GI1084" s="15" t="s">
        <v>427</v>
      </c>
      <c r="GO1084" s="15" t="s">
        <v>426</v>
      </c>
      <c r="GQ1084" s="15" t="s">
        <v>1982</v>
      </c>
      <c r="GS1084" s="15" t="s">
        <v>429</v>
      </c>
      <c r="GU1084" s="15" t="s">
        <v>1993</v>
      </c>
      <c r="GW1084" s="15" t="s">
        <v>431</v>
      </c>
      <c r="GY1084" s="15" t="s">
        <v>420</v>
      </c>
      <c r="GZ1084" s="15" t="s">
        <v>426</v>
      </c>
    </row>
    <row r="1085" ht="15.75" customHeight="1">
      <c r="A1085" s="14" t="s">
        <v>391</v>
      </c>
      <c r="B1085" s="15" t="s">
        <v>10394</v>
      </c>
      <c r="C1085" s="16"/>
      <c r="D1085" s="15" t="s">
        <v>432</v>
      </c>
      <c r="G1085" s="14" t="s">
        <v>393</v>
      </c>
      <c r="H1085" s="14" t="s">
        <v>394</v>
      </c>
      <c r="I1085" s="14" t="b">
        <v>1</v>
      </c>
      <c r="J1085" s="14" t="s">
        <v>395</v>
      </c>
      <c r="L1085" s="14" t="b">
        <v>0</v>
      </c>
      <c r="M1085" s="15" t="s">
        <v>10395</v>
      </c>
      <c r="N1085" s="14" t="s">
        <v>393</v>
      </c>
      <c r="O1085" s="14" t="s">
        <v>393</v>
      </c>
      <c r="P1085" s="15" t="s">
        <v>397</v>
      </c>
      <c r="Q1085" s="15" t="s">
        <v>10396</v>
      </c>
      <c r="T1085" s="14" t="b">
        <v>0</v>
      </c>
      <c r="U1085" s="15" t="s">
        <v>10397</v>
      </c>
      <c r="V1085" s="15" t="s">
        <v>6144</v>
      </c>
      <c r="W1085" s="15" t="s">
        <v>401</v>
      </c>
      <c r="X1085" s="15" t="s">
        <v>1296</v>
      </c>
      <c r="Y1085" s="15">
        <v>1859.0</v>
      </c>
      <c r="AA1085" s="15" t="str">
        <f t="shared" ref="AA1085:AA1086" si="1870">"715"</f>
        <v>715</v>
      </c>
      <c r="AB1085" s="14" t="b">
        <v>1</v>
      </c>
      <c r="AC1085" s="14" t="b">
        <v>1</v>
      </c>
      <c r="AD1085" s="15" t="str">
        <f>"801542363956"</f>
        <v>801542363956</v>
      </c>
      <c r="AE1085" s="15" t="s">
        <v>10398</v>
      </c>
      <c r="AF1085" s="14" t="s">
        <v>404</v>
      </c>
      <c r="AG1085" s="14" t="s">
        <v>405</v>
      </c>
      <c r="AH1085" s="14" t="s">
        <v>406</v>
      </c>
      <c r="AI1085" s="15">
        <v>0.0</v>
      </c>
      <c r="AL1085" s="15" t="s">
        <v>1025</v>
      </c>
      <c r="AM1085" s="15" t="s">
        <v>1224</v>
      </c>
      <c r="AN1085" s="15" t="s">
        <v>1225</v>
      </c>
      <c r="AO1085" s="15" t="s">
        <v>622</v>
      </c>
      <c r="AP1085" s="15" t="s">
        <v>623</v>
      </c>
      <c r="AQ1085" s="15" t="s">
        <v>3702</v>
      </c>
      <c r="AR1085" s="15" t="s">
        <v>3703</v>
      </c>
      <c r="AS1085" s="15" t="s">
        <v>2875</v>
      </c>
      <c r="AT1085" s="15" t="s">
        <v>10396</v>
      </c>
      <c r="AU1085" s="15" t="s">
        <v>10399</v>
      </c>
      <c r="AW1085" s="15" t="s">
        <v>491</v>
      </c>
      <c r="AY1085" s="15" t="s">
        <v>413</v>
      </c>
      <c r="AZ1085" s="15" t="b">
        <v>0</v>
      </c>
      <c r="BA1085" s="15" t="s">
        <v>413</v>
      </c>
      <c r="BB1085" s="15" t="b">
        <v>0</v>
      </c>
      <c r="BC1085" s="15" t="s">
        <v>10400</v>
      </c>
      <c r="BD1085" s="15" t="s">
        <v>1303</v>
      </c>
      <c r="BE1085" s="15" t="str">
        <f t="shared" si="1863"/>
        <v>1</v>
      </c>
      <c r="BF1085" s="15" t="s">
        <v>416</v>
      </c>
      <c r="BG1085" s="15" t="str">
        <f t="shared" ref="BG1085:BG1086" si="1871">"68"</f>
        <v>68</v>
      </c>
      <c r="BH1085" s="15" t="s">
        <v>952</v>
      </c>
      <c r="BI1085" s="15" t="str">
        <f t="shared" ref="BI1085:BI1086" si="1872">"11"</f>
        <v>11</v>
      </c>
      <c r="BJ1085" s="15" t="s">
        <v>2633</v>
      </c>
      <c r="BK1085" s="15" t="str">
        <f t="shared" ref="BK1085:BK1086" si="1873">"39.5"</f>
        <v>39.5</v>
      </c>
      <c r="BL1085" s="15" t="s">
        <v>5215</v>
      </c>
      <c r="BM1085" s="15" t="str">
        <f t="shared" ref="BM1085:BM1086" si="1874">"147.26"</f>
        <v>147.26</v>
      </c>
      <c r="BN1085" s="15" t="s">
        <v>10401</v>
      </c>
      <c r="BQ1085" s="15" t="s">
        <v>444</v>
      </c>
      <c r="BS1085" s="15" t="s">
        <v>444</v>
      </c>
      <c r="BU1085" s="15" t="s">
        <v>444</v>
      </c>
      <c r="BW1085" s="15" t="s">
        <v>444</v>
      </c>
      <c r="BZ1085" s="15" t="s">
        <v>444</v>
      </c>
      <c r="CB1085" s="15" t="s">
        <v>444</v>
      </c>
      <c r="CD1085" s="15" t="s">
        <v>444</v>
      </c>
      <c r="CF1085" s="15" t="s">
        <v>444</v>
      </c>
      <c r="CI1085" s="15" t="s">
        <v>444</v>
      </c>
      <c r="CK1085" s="15" t="s">
        <v>444</v>
      </c>
      <c r="CM1085" s="15" t="s">
        <v>444</v>
      </c>
      <c r="CO1085" s="15" t="s">
        <v>444</v>
      </c>
      <c r="CP1085" s="15" t="str">
        <f t="shared" ref="CP1085:CP1086" si="1875">"17.09"</f>
        <v>17.09</v>
      </c>
      <c r="CQ1085" s="15" t="str">
        <f t="shared" ref="CQ1085:CQ1086" si="1876">"0.484"</f>
        <v>0.484</v>
      </c>
      <c r="CR1085" s="15" t="s">
        <v>465</v>
      </c>
      <c r="DC1085" s="15" t="str">
        <f>IFERROR(__xludf.DUMMYFUNCTION("""COMPUTED_VALUE"""),"")</f>
        <v/>
      </c>
      <c r="DE1085" s="15" t="str">
        <f>IFERROR(__xludf.DUMMYFUNCTION("""COMPUTED_VALUE"""),"")</f>
        <v/>
      </c>
      <c r="DG1085" s="15" t="str">
        <f>IFERROR(__xludf.DUMMYFUNCTION("""COMPUTED_VALUE"""),"")</f>
        <v/>
      </c>
      <c r="DL1085" s="15" t="str">
        <f>IFERROR(__xludf.DUMMYFUNCTION("""COMPUTED_VALUE"""),"")</f>
        <v/>
      </c>
      <c r="DM1085" s="15" t="s">
        <v>444</v>
      </c>
      <c r="DN1085" s="15" t="s">
        <v>419</v>
      </c>
      <c r="DO1085" s="15">
        <v>0.0</v>
      </c>
      <c r="DP1085" s="15" t="s">
        <v>419</v>
      </c>
      <c r="DR1085" s="15">
        <v>0.0</v>
      </c>
      <c r="DU1085" s="15" t="s">
        <v>419</v>
      </c>
      <c r="DY1085" s="15">
        <v>0.0</v>
      </c>
      <c r="EF1085" s="15" t="s">
        <v>471</v>
      </c>
      <c r="EG1085" s="15" t="s">
        <v>472</v>
      </c>
      <c r="EH1085" s="15" t="s">
        <v>10393</v>
      </c>
      <c r="EJ1085" s="15" t="s">
        <v>500</v>
      </c>
      <c r="EK1085" s="15" t="s">
        <v>501</v>
      </c>
      <c r="EM1085" s="15" t="str">
        <f>IFERROR(__xludf.DUMMYFUNCTION("""COMPUTED_VALUE"""),"")</f>
        <v/>
      </c>
      <c r="EW1085" s="15" t="s">
        <v>3635</v>
      </c>
      <c r="EY1085" s="15" t="s">
        <v>6826</v>
      </c>
      <c r="FH1085" s="15" t="s">
        <v>1739</v>
      </c>
      <c r="FI1085" s="15" t="s">
        <v>943</v>
      </c>
      <c r="FJ1085" s="15" t="s">
        <v>672</v>
      </c>
      <c r="FK1085" s="15" t="s">
        <v>5586</v>
      </c>
      <c r="FL1085" s="15" t="s">
        <v>426</v>
      </c>
      <c r="FM1085" s="15">
        <v>0.0</v>
      </c>
      <c r="FN1085" s="15">
        <v>0.0</v>
      </c>
      <c r="FW1085" s="15" t="s">
        <v>1188</v>
      </c>
    </row>
    <row r="1086" ht="15.75" customHeight="1">
      <c r="A1086" s="14" t="s">
        <v>391</v>
      </c>
      <c r="B1086" s="15" t="s">
        <v>10394</v>
      </c>
      <c r="C1086" s="16"/>
      <c r="D1086" s="15" t="s">
        <v>432</v>
      </c>
      <c r="G1086" s="14" t="s">
        <v>393</v>
      </c>
      <c r="H1086" s="14" t="s">
        <v>394</v>
      </c>
      <c r="I1086" s="14" t="b">
        <v>1</v>
      </c>
      <c r="J1086" s="14" t="s">
        <v>395</v>
      </c>
      <c r="L1086" s="14" t="b">
        <v>0</v>
      </c>
      <c r="M1086" s="15" t="s">
        <v>10402</v>
      </c>
      <c r="N1086" s="14" t="s">
        <v>393</v>
      </c>
      <c r="O1086" s="14" t="s">
        <v>393</v>
      </c>
      <c r="P1086" s="15" t="s">
        <v>397</v>
      </c>
      <c r="Q1086" s="15" t="s">
        <v>2351</v>
      </c>
      <c r="T1086" s="14" t="b">
        <v>0</v>
      </c>
      <c r="U1086" s="15" t="s">
        <v>10403</v>
      </c>
      <c r="V1086" s="15" t="s">
        <v>6144</v>
      </c>
      <c r="W1086" s="15" t="s">
        <v>401</v>
      </c>
      <c r="X1086" s="15" t="s">
        <v>1296</v>
      </c>
      <c r="Y1086" s="15">
        <v>1859.0</v>
      </c>
      <c r="AA1086" s="15" t="str">
        <f t="shared" si="1870"/>
        <v>715</v>
      </c>
      <c r="AB1086" s="14" t="b">
        <v>1</v>
      </c>
      <c r="AC1086" s="14" t="b">
        <v>1</v>
      </c>
      <c r="AD1086" s="15" t="str">
        <f>"801542252687"</f>
        <v>801542252687</v>
      </c>
      <c r="AE1086" s="15" t="s">
        <v>10404</v>
      </c>
      <c r="AF1086" s="14" t="s">
        <v>404</v>
      </c>
      <c r="AG1086" s="14" t="s">
        <v>405</v>
      </c>
      <c r="AH1086" s="14" t="s">
        <v>406</v>
      </c>
      <c r="AI1086" s="15">
        <v>0.0</v>
      </c>
      <c r="AL1086" s="15" t="s">
        <v>2354</v>
      </c>
      <c r="AM1086" s="15" t="s">
        <v>1224</v>
      </c>
      <c r="AN1086" s="15" t="s">
        <v>1225</v>
      </c>
      <c r="AO1086" s="15" t="s">
        <v>622</v>
      </c>
      <c r="AP1086" s="15" t="s">
        <v>623</v>
      </c>
      <c r="AQ1086" s="15" t="s">
        <v>3702</v>
      </c>
      <c r="AR1086" s="15" t="s">
        <v>3703</v>
      </c>
      <c r="AS1086" s="15" t="s">
        <v>2875</v>
      </c>
      <c r="AT1086" s="15" t="s">
        <v>2351</v>
      </c>
      <c r="AW1086" s="15" t="s">
        <v>491</v>
      </c>
      <c r="AY1086" s="15" t="s">
        <v>413</v>
      </c>
      <c r="AZ1086" s="15" t="b">
        <v>0</v>
      </c>
      <c r="BA1086" s="15" t="s">
        <v>413</v>
      </c>
      <c r="BB1086" s="15" t="b">
        <v>0</v>
      </c>
      <c r="BC1086" s="15" t="s">
        <v>10405</v>
      </c>
      <c r="BD1086" s="15" t="s">
        <v>1303</v>
      </c>
      <c r="BE1086" s="15" t="str">
        <f t="shared" si="1863"/>
        <v>1</v>
      </c>
      <c r="BF1086" s="15" t="s">
        <v>416</v>
      </c>
      <c r="BG1086" s="15" t="str">
        <f t="shared" si="1871"/>
        <v>68</v>
      </c>
      <c r="BH1086" s="15" t="s">
        <v>952</v>
      </c>
      <c r="BI1086" s="15" t="str">
        <f t="shared" si="1872"/>
        <v>11</v>
      </c>
      <c r="BJ1086" s="15" t="s">
        <v>2633</v>
      </c>
      <c r="BK1086" s="15" t="str">
        <f t="shared" si="1873"/>
        <v>39.5</v>
      </c>
      <c r="BL1086" s="15" t="s">
        <v>5215</v>
      </c>
      <c r="BM1086" s="15" t="str">
        <f t="shared" si="1874"/>
        <v>147.26</v>
      </c>
      <c r="BN1086" s="15" t="s">
        <v>10401</v>
      </c>
      <c r="BQ1086" s="15" t="s">
        <v>444</v>
      </c>
      <c r="BS1086" s="15" t="s">
        <v>444</v>
      </c>
      <c r="BU1086" s="15" t="s">
        <v>444</v>
      </c>
      <c r="BW1086" s="15" t="s">
        <v>444</v>
      </c>
      <c r="BZ1086" s="15" t="s">
        <v>444</v>
      </c>
      <c r="CB1086" s="15" t="s">
        <v>444</v>
      </c>
      <c r="CD1086" s="15" t="s">
        <v>444</v>
      </c>
      <c r="CF1086" s="15" t="s">
        <v>444</v>
      </c>
      <c r="CI1086" s="15" t="s">
        <v>444</v>
      </c>
      <c r="CK1086" s="15" t="s">
        <v>444</v>
      </c>
      <c r="CM1086" s="15" t="s">
        <v>444</v>
      </c>
      <c r="CO1086" s="15" t="s">
        <v>444</v>
      </c>
      <c r="CP1086" s="15" t="str">
        <f t="shared" si="1875"/>
        <v>17.09</v>
      </c>
      <c r="CQ1086" s="15" t="str">
        <f t="shared" si="1876"/>
        <v>0.484</v>
      </c>
      <c r="CR1086" s="15" t="s">
        <v>497</v>
      </c>
      <c r="DC1086" s="15" t="str">
        <f>IFERROR(__xludf.DUMMYFUNCTION("""COMPUTED_VALUE"""),"")</f>
        <v/>
      </c>
      <c r="DE1086" s="15" t="str">
        <f>IFERROR(__xludf.DUMMYFUNCTION("""COMPUTED_VALUE"""),"")</f>
        <v/>
      </c>
      <c r="DG1086" s="15" t="str">
        <f>IFERROR(__xludf.DUMMYFUNCTION("""COMPUTED_VALUE"""),"")</f>
        <v/>
      </c>
      <c r="DL1086" s="15" t="str">
        <f>IFERROR(__xludf.DUMMYFUNCTION("""COMPUTED_VALUE"""),"")</f>
        <v/>
      </c>
      <c r="DM1086" s="15" t="s">
        <v>444</v>
      </c>
      <c r="DN1086" s="15" t="s">
        <v>419</v>
      </c>
      <c r="DO1086" s="15">
        <v>0.0</v>
      </c>
      <c r="DP1086" s="15" t="s">
        <v>419</v>
      </c>
      <c r="DR1086" s="15">
        <v>0.0</v>
      </c>
      <c r="DU1086" s="15" t="s">
        <v>419</v>
      </c>
      <c r="DY1086" s="15">
        <v>0.0</v>
      </c>
      <c r="EF1086" s="15" t="s">
        <v>471</v>
      </c>
      <c r="EG1086" s="15" t="s">
        <v>472</v>
      </c>
      <c r="EH1086" s="15" t="s">
        <v>10393</v>
      </c>
      <c r="EJ1086" s="15" t="s">
        <v>500</v>
      </c>
      <c r="EK1086" s="15" t="s">
        <v>501</v>
      </c>
      <c r="EM1086" s="15" t="str">
        <f>IFERROR(__xludf.DUMMYFUNCTION("""COMPUTED_VALUE"""),"")</f>
        <v/>
      </c>
      <c r="EW1086" s="15" t="s">
        <v>3635</v>
      </c>
      <c r="EY1086" s="15" t="s">
        <v>6826</v>
      </c>
      <c r="FH1086" s="15" t="s">
        <v>1739</v>
      </c>
      <c r="FI1086" s="15" t="s">
        <v>943</v>
      </c>
      <c r="FJ1086" s="15" t="s">
        <v>672</v>
      </c>
      <c r="FK1086" s="15" t="s">
        <v>5586</v>
      </c>
      <c r="FL1086" s="15" t="s">
        <v>426</v>
      </c>
      <c r="FM1086" s="15">
        <v>0.0</v>
      </c>
      <c r="FN1086" s="15">
        <v>0.0</v>
      </c>
      <c r="FW1086" s="15" t="s">
        <v>1188</v>
      </c>
    </row>
    <row r="1087" ht="15.75" customHeight="1">
      <c r="A1087" s="14" t="s">
        <v>391</v>
      </c>
      <c r="B1087" s="15" t="s">
        <v>10406</v>
      </c>
      <c r="C1087" s="16"/>
      <c r="D1087" s="15" t="s">
        <v>432</v>
      </c>
      <c r="G1087" s="14" t="s">
        <v>393</v>
      </c>
      <c r="H1087" s="14" t="s">
        <v>394</v>
      </c>
      <c r="I1087" s="14" t="b">
        <v>1</v>
      </c>
      <c r="J1087" s="14" t="s">
        <v>395</v>
      </c>
      <c r="L1087" s="14" t="b">
        <v>0</v>
      </c>
      <c r="M1087" s="15" t="s">
        <v>10407</v>
      </c>
      <c r="N1087" s="14" t="s">
        <v>393</v>
      </c>
      <c r="O1087" s="14" t="s">
        <v>393</v>
      </c>
      <c r="P1087" s="15" t="s">
        <v>397</v>
      </c>
      <c r="Q1087" s="15" t="s">
        <v>10396</v>
      </c>
      <c r="T1087" s="14" t="b">
        <v>0</v>
      </c>
      <c r="U1087" s="15" t="s">
        <v>10408</v>
      </c>
      <c r="V1087" s="15" t="s">
        <v>10409</v>
      </c>
      <c r="W1087" s="15" t="s">
        <v>401</v>
      </c>
      <c r="X1087" s="15" t="s">
        <v>1296</v>
      </c>
      <c r="Y1087" s="15">
        <v>1534.0</v>
      </c>
      <c r="AA1087" s="15" t="str">
        <f t="shared" ref="AA1087:AA1088" si="1877">"590"</f>
        <v>590</v>
      </c>
      <c r="AB1087" s="14" t="b">
        <v>1</v>
      </c>
      <c r="AC1087" s="14" t="b">
        <v>1</v>
      </c>
      <c r="AD1087" s="15" t="str">
        <f>"801542363963"</f>
        <v>801542363963</v>
      </c>
      <c r="AE1087" s="15" t="s">
        <v>10410</v>
      </c>
      <c r="AF1087" s="14" t="s">
        <v>404</v>
      </c>
      <c r="AG1087" s="14" t="s">
        <v>405</v>
      </c>
      <c r="AH1087" s="14" t="s">
        <v>406</v>
      </c>
      <c r="AI1087" s="15">
        <v>0.0</v>
      </c>
      <c r="AL1087" s="15" t="s">
        <v>1025</v>
      </c>
      <c r="AM1087" s="15" t="s">
        <v>2355</v>
      </c>
      <c r="AN1087" s="15" t="s">
        <v>2356</v>
      </c>
      <c r="AO1087" s="15" t="s">
        <v>1007</v>
      </c>
      <c r="AP1087" s="15" t="s">
        <v>1008</v>
      </c>
      <c r="AQ1087" s="15" t="s">
        <v>749</v>
      </c>
      <c r="AR1087" s="15" t="s">
        <v>750</v>
      </c>
      <c r="AS1087" s="15" t="s">
        <v>2875</v>
      </c>
      <c r="AT1087" s="15" t="s">
        <v>10396</v>
      </c>
      <c r="AU1087" s="15" t="s">
        <v>10399</v>
      </c>
      <c r="AW1087" s="15" t="s">
        <v>519</v>
      </c>
      <c r="AY1087" s="15" t="s">
        <v>413</v>
      </c>
      <c r="AZ1087" s="15" t="b">
        <v>0</v>
      </c>
      <c r="BA1087" s="15" t="s">
        <v>413</v>
      </c>
      <c r="BB1087" s="15" t="b">
        <v>0</v>
      </c>
      <c r="BC1087" s="15" t="s">
        <v>10411</v>
      </c>
      <c r="BD1087" s="15" t="s">
        <v>1303</v>
      </c>
      <c r="BE1087" s="15" t="str">
        <f t="shared" si="1863"/>
        <v>1</v>
      </c>
      <c r="BF1087" s="15" t="s">
        <v>416</v>
      </c>
      <c r="BG1087" s="15" t="str">
        <f t="shared" ref="BG1087:BG1088" si="1878">"82.75"</f>
        <v>82.75</v>
      </c>
      <c r="BH1087" s="15" t="s">
        <v>834</v>
      </c>
      <c r="BI1087" s="15" t="str">
        <f t="shared" ref="BI1087:BI1088" si="1879">"10.5"</f>
        <v>10.5</v>
      </c>
      <c r="BJ1087" s="15" t="s">
        <v>10412</v>
      </c>
      <c r="BK1087" s="15" t="str">
        <f t="shared" ref="BK1087:BK1088" si="1880">"22"</f>
        <v>22</v>
      </c>
      <c r="BL1087" s="15" t="s">
        <v>1562</v>
      </c>
      <c r="BM1087" s="15" t="str">
        <f t="shared" ref="BM1087:BM1088" si="1881">"114.64"</f>
        <v>114.64</v>
      </c>
      <c r="BN1087" s="15" t="s">
        <v>7248</v>
      </c>
      <c r="BQ1087" s="15" t="s">
        <v>444</v>
      </c>
      <c r="BS1087" s="15" t="s">
        <v>444</v>
      </c>
      <c r="BU1087" s="15" t="s">
        <v>444</v>
      </c>
      <c r="BW1087" s="15" t="s">
        <v>444</v>
      </c>
      <c r="BZ1087" s="15" t="s">
        <v>444</v>
      </c>
      <c r="CB1087" s="15" t="s">
        <v>444</v>
      </c>
      <c r="CD1087" s="15" t="s">
        <v>444</v>
      </c>
      <c r="CF1087" s="15" t="s">
        <v>444</v>
      </c>
      <c r="CI1087" s="15" t="s">
        <v>444</v>
      </c>
      <c r="CK1087" s="15" t="s">
        <v>444</v>
      </c>
      <c r="CM1087" s="15" t="s">
        <v>444</v>
      </c>
      <c r="CO1087" s="15" t="s">
        <v>444</v>
      </c>
      <c r="CP1087" s="15" t="str">
        <f t="shared" ref="CP1087:CP1088" si="1882">"11.05"</f>
        <v>11.05</v>
      </c>
      <c r="CQ1087" s="15" t="str">
        <f t="shared" ref="CQ1087:CQ1088" si="1883">"0.313"</f>
        <v>0.313</v>
      </c>
      <c r="CR1087" s="15" t="s">
        <v>465</v>
      </c>
      <c r="DC1087" s="15" t="str">
        <f>IFERROR(__xludf.DUMMYFUNCTION("""COMPUTED_VALUE"""),"")</f>
        <v/>
      </c>
      <c r="DE1087" s="15" t="str">
        <f>IFERROR(__xludf.DUMMYFUNCTION("""COMPUTED_VALUE"""),"")</f>
        <v/>
      </c>
      <c r="DG1087" s="15" t="str">
        <f>IFERROR(__xludf.DUMMYFUNCTION("""COMPUTED_VALUE"""),"")</f>
        <v/>
      </c>
      <c r="DL1087" s="15" t="str">
        <f>IFERROR(__xludf.DUMMYFUNCTION("""COMPUTED_VALUE"""),"")</f>
        <v/>
      </c>
      <c r="DM1087" s="15" t="s">
        <v>444</v>
      </c>
      <c r="DN1087" s="15" t="s">
        <v>419</v>
      </c>
      <c r="DO1087" s="15">
        <v>0.0</v>
      </c>
      <c r="DP1087" s="15" t="s">
        <v>419</v>
      </c>
      <c r="DR1087" s="15">
        <v>0.0</v>
      </c>
      <c r="DU1087" s="15" t="s">
        <v>419</v>
      </c>
      <c r="DY1087" s="15">
        <v>0.0</v>
      </c>
      <c r="EF1087" s="15" t="s">
        <v>471</v>
      </c>
      <c r="EG1087" s="15" t="s">
        <v>472</v>
      </c>
      <c r="EH1087" s="15" t="s">
        <v>10393</v>
      </c>
      <c r="EJ1087" s="15" t="s">
        <v>424</v>
      </c>
      <c r="EK1087" s="15" t="s">
        <v>446</v>
      </c>
      <c r="EM1087" s="15" t="str">
        <f>IFERROR(__xludf.DUMMYFUNCTION("""COMPUTED_VALUE"""),"")</f>
        <v/>
      </c>
      <c r="EW1087" s="15" t="s">
        <v>1330</v>
      </c>
      <c r="EY1087" s="15" t="s">
        <v>960</v>
      </c>
      <c r="FH1087" s="15" t="s">
        <v>1213</v>
      </c>
      <c r="FI1087" s="15" t="s">
        <v>558</v>
      </c>
      <c r="FJ1087" s="15" t="s">
        <v>672</v>
      </c>
      <c r="FK1087" s="15" t="s">
        <v>5586</v>
      </c>
      <c r="FL1087" s="15" t="s">
        <v>426</v>
      </c>
      <c r="FM1087" s="15">
        <v>0.0</v>
      </c>
      <c r="FN1087" s="15">
        <v>0.0</v>
      </c>
      <c r="FW1087" s="15" t="s">
        <v>1236</v>
      </c>
      <c r="GH1087" s="15">
        <v>0.0</v>
      </c>
      <c r="GI1087" s="15" t="s">
        <v>427</v>
      </c>
    </row>
    <row r="1088" ht="15.75" customHeight="1">
      <c r="A1088" s="14" t="s">
        <v>391</v>
      </c>
      <c r="B1088" s="15" t="s">
        <v>10406</v>
      </c>
      <c r="C1088" s="16"/>
      <c r="D1088" s="15" t="s">
        <v>432</v>
      </c>
      <c r="G1088" s="14" t="s">
        <v>393</v>
      </c>
      <c r="H1088" s="14" t="s">
        <v>394</v>
      </c>
      <c r="I1088" s="14" t="b">
        <v>1</v>
      </c>
      <c r="J1088" s="14" t="s">
        <v>395</v>
      </c>
      <c r="L1088" s="14" t="b">
        <v>0</v>
      </c>
      <c r="M1088" s="15" t="s">
        <v>10413</v>
      </c>
      <c r="N1088" s="14" t="s">
        <v>393</v>
      </c>
      <c r="O1088" s="14" t="s">
        <v>393</v>
      </c>
      <c r="P1088" s="15" t="s">
        <v>397</v>
      </c>
      <c r="Q1088" s="15" t="s">
        <v>2351</v>
      </c>
      <c r="T1088" s="14" t="b">
        <v>0</v>
      </c>
      <c r="U1088" s="15" t="s">
        <v>10414</v>
      </c>
      <c r="V1088" s="15" t="s">
        <v>10409</v>
      </c>
      <c r="W1088" s="15" t="s">
        <v>401</v>
      </c>
      <c r="X1088" s="15" t="s">
        <v>1296</v>
      </c>
      <c r="Y1088" s="15">
        <v>1534.0</v>
      </c>
      <c r="AA1088" s="15" t="str">
        <f t="shared" si="1877"/>
        <v>590</v>
      </c>
      <c r="AB1088" s="14" t="b">
        <v>1</v>
      </c>
      <c r="AC1088" s="14" t="b">
        <v>1</v>
      </c>
      <c r="AD1088" s="15" t="str">
        <f>"801542244736"</f>
        <v>801542244736</v>
      </c>
      <c r="AE1088" s="15" t="s">
        <v>10415</v>
      </c>
      <c r="AF1088" s="14" t="s">
        <v>404</v>
      </c>
      <c r="AG1088" s="14" t="s">
        <v>405</v>
      </c>
      <c r="AH1088" s="14" t="s">
        <v>406</v>
      </c>
      <c r="AI1088" s="15">
        <v>0.0</v>
      </c>
      <c r="AL1088" s="15" t="s">
        <v>2354</v>
      </c>
      <c r="AM1088" s="15" t="s">
        <v>2355</v>
      </c>
      <c r="AN1088" s="15" t="s">
        <v>2356</v>
      </c>
      <c r="AO1088" s="15" t="s">
        <v>1007</v>
      </c>
      <c r="AP1088" s="15" t="s">
        <v>1008</v>
      </c>
      <c r="AQ1088" s="15" t="s">
        <v>749</v>
      </c>
      <c r="AR1088" s="15" t="s">
        <v>750</v>
      </c>
      <c r="AS1088" s="15" t="s">
        <v>2875</v>
      </c>
      <c r="AT1088" s="15" t="s">
        <v>2351</v>
      </c>
      <c r="AW1088" s="15" t="s">
        <v>519</v>
      </c>
      <c r="AY1088" s="15" t="s">
        <v>413</v>
      </c>
      <c r="AZ1088" s="15" t="b">
        <v>0</v>
      </c>
      <c r="BA1088" s="15" t="s">
        <v>413</v>
      </c>
      <c r="BB1088" s="15" t="b">
        <v>0</v>
      </c>
      <c r="BC1088" s="15" t="s">
        <v>10416</v>
      </c>
      <c r="BD1088" s="15" t="s">
        <v>1303</v>
      </c>
      <c r="BE1088" s="15" t="str">
        <f t="shared" si="1863"/>
        <v>1</v>
      </c>
      <c r="BF1088" s="15" t="s">
        <v>416</v>
      </c>
      <c r="BG1088" s="15" t="str">
        <f t="shared" si="1878"/>
        <v>82.75</v>
      </c>
      <c r="BH1088" s="15" t="s">
        <v>834</v>
      </c>
      <c r="BI1088" s="15" t="str">
        <f t="shared" si="1879"/>
        <v>10.5</v>
      </c>
      <c r="BJ1088" s="15" t="s">
        <v>10412</v>
      </c>
      <c r="BK1088" s="15" t="str">
        <f t="shared" si="1880"/>
        <v>22</v>
      </c>
      <c r="BL1088" s="15" t="s">
        <v>1562</v>
      </c>
      <c r="BM1088" s="15" t="str">
        <f t="shared" si="1881"/>
        <v>114.64</v>
      </c>
      <c r="BN1088" s="15" t="s">
        <v>7248</v>
      </c>
      <c r="BQ1088" s="15" t="s">
        <v>444</v>
      </c>
      <c r="BS1088" s="15" t="s">
        <v>444</v>
      </c>
      <c r="BU1088" s="15" t="s">
        <v>444</v>
      </c>
      <c r="BW1088" s="15" t="s">
        <v>444</v>
      </c>
      <c r="BZ1088" s="15" t="s">
        <v>444</v>
      </c>
      <c r="CB1088" s="15" t="s">
        <v>444</v>
      </c>
      <c r="CD1088" s="15" t="s">
        <v>444</v>
      </c>
      <c r="CF1088" s="15" t="s">
        <v>444</v>
      </c>
      <c r="CI1088" s="15" t="s">
        <v>444</v>
      </c>
      <c r="CK1088" s="15" t="s">
        <v>444</v>
      </c>
      <c r="CM1088" s="15" t="s">
        <v>444</v>
      </c>
      <c r="CO1088" s="15" t="s">
        <v>444</v>
      </c>
      <c r="CP1088" s="15" t="str">
        <f t="shared" si="1882"/>
        <v>11.05</v>
      </c>
      <c r="CQ1088" s="15" t="str">
        <f t="shared" si="1883"/>
        <v>0.313</v>
      </c>
      <c r="CR1088" s="15" t="s">
        <v>465</v>
      </c>
      <c r="DC1088" s="15" t="str">
        <f>IFERROR(__xludf.DUMMYFUNCTION("""COMPUTED_VALUE"""),"")</f>
        <v/>
      </c>
      <c r="DE1088" s="15" t="str">
        <f>IFERROR(__xludf.DUMMYFUNCTION("""COMPUTED_VALUE"""),"")</f>
        <v/>
      </c>
      <c r="DG1088" s="15" t="str">
        <f>IFERROR(__xludf.DUMMYFUNCTION("""COMPUTED_VALUE"""),"")</f>
        <v/>
      </c>
      <c r="DL1088" s="15" t="str">
        <f>IFERROR(__xludf.DUMMYFUNCTION("""COMPUTED_VALUE"""),"")</f>
        <v/>
      </c>
      <c r="DM1088" s="15" t="s">
        <v>444</v>
      </c>
      <c r="DN1088" s="15" t="s">
        <v>419</v>
      </c>
      <c r="DO1088" s="15">
        <v>0.0</v>
      </c>
      <c r="DP1088" s="15" t="s">
        <v>419</v>
      </c>
      <c r="DR1088" s="15">
        <v>0.0</v>
      </c>
      <c r="DU1088" s="15" t="s">
        <v>419</v>
      </c>
      <c r="DY1088" s="15">
        <v>0.0</v>
      </c>
      <c r="EF1088" s="15" t="s">
        <v>471</v>
      </c>
      <c r="EG1088" s="15" t="s">
        <v>472</v>
      </c>
      <c r="EH1088" s="15" t="s">
        <v>10393</v>
      </c>
      <c r="EJ1088" s="15" t="s">
        <v>424</v>
      </c>
      <c r="EK1088" s="15" t="s">
        <v>446</v>
      </c>
      <c r="EM1088" s="15" t="str">
        <f>IFERROR(__xludf.DUMMYFUNCTION("""COMPUTED_VALUE"""),"")</f>
        <v/>
      </c>
      <c r="EW1088" s="15" t="s">
        <v>1330</v>
      </c>
      <c r="EY1088" s="15" t="s">
        <v>960</v>
      </c>
      <c r="FH1088" s="15" t="s">
        <v>1213</v>
      </c>
      <c r="FI1088" s="15" t="s">
        <v>558</v>
      </c>
      <c r="FJ1088" s="15" t="s">
        <v>672</v>
      </c>
      <c r="FK1088" s="15" t="s">
        <v>5586</v>
      </c>
      <c r="FL1088" s="15" t="s">
        <v>426</v>
      </c>
      <c r="FM1088" s="15">
        <v>0.0</v>
      </c>
      <c r="FN1088" s="15">
        <v>0.0</v>
      </c>
      <c r="FW1088" s="15" t="s">
        <v>1236</v>
      </c>
      <c r="GH1088" s="15">
        <v>0.0</v>
      </c>
      <c r="GI1088" s="15" t="s">
        <v>427</v>
      </c>
    </row>
    <row r="1089" ht="15.75" customHeight="1">
      <c r="A1089" s="14" t="s">
        <v>391</v>
      </c>
      <c r="B1089" s="15" t="s">
        <v>10417</v>
      </c>
      <c r="C1089" s="16"/>
      <c r="D1089" s="15" t="s">
        <v>432</v>
      </c>
      <c r="G1089" s="14" t="s">
        <v>393</v>
      </c>
      <c r="H1089" s="14" t="s">
        <v>394</v>
      </c>
      <c r="I1089" s="14" t="b">
        <v>1</v>
      </c>
      <c r="J1089" s="14" t="s">
        <v>395</v>
      </c>
      <c r="L1089" s="14" t="b">
        <v>0</v>
      </c>
      <c r="M1089" s="15" t="s">
        <v>10418</v>
      </c>
      <c r="N1089" s="14" t="s">
        <v>393</v>
      </c>
      <c r="O1089" s="14" t="s">
        <v>393</v>
      </c>
      <c r="P1089" s="15" t="s">
        <v>397</v>
      </c>
      <c r="Q1089" s="15" t="s">
        <v>7632</v>
      </c>
      <c r="T1089" s="14" t="b">
        <v>0</v>
      </c>
      <c r="U1089" s="15" t="s">
        <v>10419</v>
      </c>
      <c r="V1089" s="15" t="s">
        <v>10420</v>
      </c>
      <c r="W1089" s="15" t="s">
        <v>401</v>
      </c>
      <c r="X1089" s="15" t="s">
        <v>1296</v>
      </c>
      <c r="Y1089" s="15">
        <v>2522.0</v>
      </c>
      <c r="AA1089" s="15" t="str">
        <f>"970"</f>
        <v>970</v>
      </c>
      <c r="AB1089" s="14" t="b">
        <v>1</v>
      </c>
      <c r="AC1089" s="14" t="b">
        <v>1</v>
      </c>
      <c r="AD1089" s="15" t="str">
        <f>"801542263911"</f>
        <v>801542263911</v>
      </c>
      <c r="AE1089" s="15" t="s">
        <v>10421</v>
      </c>
      <c r="AF1089" s="14" t="s">
        <v>404</v>
      </c>
      <c r="AG1089" s="14" t="s">
        <v>405</v>
      </c>
      <c r="AH1089" s="14" t="s">
        <v>406</v>
      </c>
      <c r="AI1089" s="15">
        <v>0.0</v>
      </c>
      <c r="AL1089" s="15" t="s">
        <v>1532</v>
      </c>
      <c r="AM1089" s="15" t="s">
        <v>2355</v>
      </c>
      <c r="AN1089" s="15" t="s">
        <v>2356</v>
      </c>
      <c r="AO1089" s="15" t="s">
        <v>546</v>
      </c>
      <c r="AP1089" s="15" t="s">
        <v>547</v>
      </c>
      <c r="AQ1089" s="15" t="s">
        <v>1276</v>
      </c>
      <c r="AR1089" s="15" t="s">
        <v>1277</v>
      </c>
      <c r="AS1089" s="15" t="s">
        <v>2875</v>
      </c>
      <c r="AT1089" s="15" t="s">
        <v>7632</v>
      </c>
      <c r="AU1089" s="15" t="s">
        <v>2351</v>
      </c>
      <c r="AW1089" s="15" t="s">
        <v>2134</v>
      </c>
      <c r="AX1089" s="15" t="s">
        <v>2171</v>
      </c>
      <c r="AY1089" s="15" t="s">
        <v>413</v>
      </c>
      <c r="AZ1089" s="15" t="b">
        <v>0</v>
      </c>
      <c r="BA1089" s="15" t="s">
        <v>413</v>
      </c>
      <c r="BB1089" s="15" t="b">
        <v>0</v>
      </c>
      <c r="BC1089" s="15" t="s">
        <v>10422</v>
      </c>
      <c r="BD1089" s="15" t="s">
        <v>1303</v>
      </c>
      <c r="BE1089" s="15" t="str">
        <f t="shared" ref="BE1089:BE1091" si="1884">"2"</f>
        <v>2</v>
      </c>
      <c r="BF1089" s="15" t="s">
        <v>1564</v>
      </c>
      <c r="BG1089" s="15" t="str">
        <f>"82"</f>
        <v>82</v>
      </c>
      <c r="BH1089" s="15" t="s">
        <v>1027</v>
      </c>
      <c r="BI1089" s="15" t="str">
        <f>"10"</f>
        <v>10</v>
      </c>
      <c r="BJ1089" s="15" t="s">
        <v>4428</v>
      </c>
      <c r="BK1089" s="15" t="str">
        <f>"34"</f>
        <v>34</v>
      </c>
      <c r="BL1089" s="15" t="s">
        <v>1365</v>
      </c>
      <c r="BM1089" s="15" t="str">
        <f>"140.21"</f>
        <v>140.21</v>
      </c>
      <c r="BN1089" s="15" t="s">
        <v>10423</v>
      </c>
      <c r="BO1089" s="15" t="s">
        <v>2238</v>
      </c>
      <c r="BP1089" s="15" t="str">
        <f t="shared" ref="BP1089:BP1091" si="1885">"33"</f>
        <v>33</v>
      </c>
      <c r="BQ1089" s="15" t="s">
        <v>518</v>
      </c>
      <c r="BR1089" s="15" t="str">
        <f t="shared" ref="BR1089:BR1091" si="1886">"8.5"</f>
        <v>8.5</v>
      </c>
      <c r="BS1089" s="15" t="s">
        <v>9680</v>
      </c>
      <c r="BT1089" s="15" t="str">
        <f t="shared" ref="BT1089:BT1091" si="1887">"34"</f>
        <v>34</v>
      </c>
      <c r="BU1089" s="15" t="s">
        <v>1365</v>
      </c>
      <c r="BV1089" s="15" t="str">
        <f t="shared" ref="BV1089:BV1091" si="1888">"86.64"</f>
        <v>86.64</v>
      </c>
      <c r="BW1089" s="15" t="s">
        <v>10424</v>
      </c>
      <c r="BZ1089" s="15" t="s">
        <v>444</v>
      </c>
      <c r="CB1089" s="15" t="s">
        <v>444</v>
      </c>
      <c r="CD1089" s="15" t="s">
        <v>444</v>
      </c>
      <c r="CF1089" s="15" t="s">
        <v>444</v>
      </c>
      <c r="CI1089" s="15" t="s">
        <v>444</v>
      </c>
      <c r="CK1089" s="15" t="s">
        <v>444</v>
      </c>
      <c r="CM1089" s="15" t="s">
        <v>444</v>
      </c>
      <c r="CO1089" s="15" t="s">
        <v>444</v>
      </c>
      <c r="CP1089" s="15" t="str">
        <f>"21.65"</f>
        <v>21.65</v>
      </c>
      <c r="CQ1089" s="15" t="str">
        <f>"0.613"</f>
        <v>0.613</v>
      </c>
      <c r="CR1089" s="15" t="s">
        <v>465</v>
      </c>
      <c r="DC1089" s="15" t="str">
        <f>IFERROR(__xludf.DUMMYFUNCTION("""COMPUTED_VALUE"""),"")</f>
        <v/>
      </c>
      <c r="DE1089" s="15" t="str">
        <f>IFERROR(__xludf.DUMMYFUNCTION("""COMPUTED_VALUE"""),"")</f>
        <v/>
      </c>
      <c r="DG1089" s="15" t="str">
        <f>IFERROR(__xludf.DUMMYFUNCTION("""COMPUTED_VALUE"""),"")</f>
        <v/>
      </c>
      <c r="DL1089" s="15" t="str">
        <f>IFERROR(__xludf.DUMMYFUNCTION("""COMPUTED_VALUE"""),"")</f>
        <v/>
      </c>
      <c r="DM1089" s="15" t="s">
        <v>444</v>
      </c>
      <c r="DN1089" s="15" t="s">
        <v>1371</v>
      </c>
      <c r="DO1089" s="15">
        <v>4.0</v>
      </c>
      <c r="DP1089" s="15" t="s">
        <v>2601</v>
      </c>
      <c r="DR1089" s="15">
        <v>0.0</v>
      </c>
      <c r="DU1089" s="15" t="s">
        <v>421</v>
      </c>
      <c r="DY1089" s="15">
        <v>0.0</v>
      </c>
      <c r="EF1089" s="15" t="s">
        <v>4768</v>
      </c>
      <c r="EG1089" s="15" t="s">
        <v>4769</v>
      </c>
      <c r="EH1089" s="15" t="s">
        <v>10393</v>
      </c>
      <c r="EJ1089" s="15" t="s">
        <v>424</v>
      </c>
      <c r="EK1089" s="15" t="s">
        <v>446</v>
      </c>
      <c r="EM1089" s="15" t="str">
        <f>IFERROR(__xludf.DUMMYFUNCTION("""COMPUTED_VALUE"""),"")</f>
        <v/>
      </c>
      <c r="EW1089" s="15" t="s">
        <v>1306</v>
      </c>
      <c r="EY1089" s="15" t="s">
        <v>4591</v>
      </c>
      <c r="FK1089" s="15" t="s">
        <v>5586</v>
      </c>
      <c r="FL1089" s="15" t="s">
        <v>426</v>
      </c>
      <c r="FM1089" s="15">
        <v>0.0</v>
      </c>
      <c r="FV1089" s="15" t="s">
        <v>1306</v>
      </c>
      <c r="GH1089" s="15">
        <v>0.0</v>
      </c>
      <c r="GI1089" s="15" t="s">
        <v>427</v>
      </c>
      <c r="GO1089" s="15" t="s">
        <v>426</v>
      </c>
      <c r="GQ1089" s="15" t="s">
        <v>1075</v>
      </c>
      <c r="GS1089" s="15" t="s">
        <v>5586</v>
      </c>
      <c r="GU1089" s="15" t="s">
        <v>428</v>
      </c>
      <c r="GW1089" s="15" t="s">
        <v>431</v>
      </c>
      <c r="GY1089" s="15" t="s">
        <v>420</v>
      </c>
      <c r="GZ1089" s="15" t="s">
        <v>426</v>
      </c>
      <c r="HD1089" s="15">
        <v>0.0</v>
      </c>
      <c r="IG1089" s="15" t="s">
        <v>426</v>
      </c>
    </row>
    <row r="1090" ht="15.75" customHeight="1">
      <c r="A1090" s="14" t="s">
        <v>391</v>
      </c>
      <c r="B1090" s="15" t="s">
        <v>10425</v>
      </c>
      <c r="C1090" s="16"/>
      <c r="D1090" s="15" t="s">
        <v>432</v>
      </c>
      <c r="G1090" s="14" t="s">
        <v>393</v>
      </c>
      <c r="H1090" s="14" t="s">
        <v>394</v>
      </c>
      <c r="I1090" s="14" t="b">
        <v>1</v>
      </c>
      <c r="J1090" s="14" t="s">
        <v>395</v>
      </c>
      <c r="L1090" s="14" t="b">
        <v>0</v>
      </c>
      <c r="M1090" s="15" t="s">
        <v>10426</v>
      </c>
      <c r="N1090" s="14" t="s">
        <v>393</v>
      </c>
      <c r="O1090" s="14" t="s">
        <v>393</v>
      </c>
      <c r="P1090" s="15" t="s">
        <v>397</v>
      </c>
      <c r="Q1090" s="15" t="s">
        <v>10396</v>
      </c>
      <c r="T1090" s="14" t="b">
        <v>0</v>
      </c>
      <c r="U1090" s="15" t="s">
        <v>10427</v>
      </c>
      <c r="V1090" s="15" t="s">
        <v>10428</v>
      </c>
      <c r="W1090" s="15" t="s">
        <v>401</v>
      </c>
      <c r="X1090" s="15" t="s">
        <v>1296</v>
      </c>
      <c r="Y1090" s="15">
        <v>2847.0</v>
      </c>
      <c r="AA1090" s="15" t="str">
        <f t="shared" ref="AA1090:AA1091" si="1889">"1095"</f>
        <v>1095</v>
      </c>
      <c r="AB1090" s="14" t="b">
        <v>1</v>
      </c>
      <c r="AC1090" s="14" t="b">
        <v>1</v>
      </c>
      <c r="AD1090" s="15" t="str">
        <f>"801542365813"</f>
        <v>801542365813</v>
      </c>
      <c r="AE1090" s="15" t="s">
        <v>10429</v>
      </c>
      <c r="AF1090" s="14" t="s">
        <v>404</v>
      </c>
      <c r="AG1090" s="14" t="s">
        <v>405</v>
      </c>
      <c r="AH1090" s="14" t="s">
        <v>406</v>
      </c>
      <c r="AI1090" s="15">
        <v>0.0</v>
      </c>
      <c r="AL1090" s="15" t="s">
        <v>1025</v>
      </c>
      <c r="AM1090" s="15" t="s">
        <v>770</v>
      </c>
      <c r="AN1090" s="15" t="s">
        <v>771</v>
      </c>
      <c r="AO1090" s="15" t="s">
        <v>2557</v>
      </c>
      <c r="AP1090" s="15" t="s">
        <v>2558</v>
      </c>
      <c r="AQ1090" s="15" t="s">
        <v>546</v>
      </c>
      <c r="AR1090" s="15" t="s">
        <v>547</v>
      </c>
      <c r="AS1090" s="15" t="s">
        <v>2875</v>
      </c>
      <c r="AT1090" s="15" t="s">
        <v>10396</v>
      </c>
      <c r="AU1090" s="15" t="s">
        <v>10399</v>
      </c>
      <c r="AW1090" s="15" t="s">
        <v>548</v>
      </c>
      <c r="AX1090" s="15" t="s">
        <v>549</v>
      </c>
      <c r="AY1090" s="15" t="s">
        <v>413</v>
      </c>
      <c r="AZ1090" s="15" t="b">
        <v>0</v>
      </c>
      <c r="BA1090" s="15" t="s">
        <v>413</v>
      </c>
      <c r="BB1090" s="15" t="b">
        <v>0</v>
      </c>
      <c r="BC1090" s="15" t="s">
        <v>10430</v>
      </c>
      <c r="BD1090" s="15" t="s">
        <v>1303</v>
      </c>
      <c r="BE1090" s="15" t="str">
        <f t="shared" si="1884"/>
        <v>2</v>
      </c>
      <c r="BF1090" s="15" t="s">
        <v>1564</v>
      </c>
      <c r="BG1090" s="15" t="str">
        <f t="shared" ref="BG1090:BG1091" si="1890">"99"</f>
        <v>99</v>
      </c>
      <c r="BH1090" s="15" t="s">
        <v>9417</v>
      </c>
      <c r="BI1090" s="15" t="str">
        <f t="shared" ref="BI1090:BI1091" si="1891">"6"</f>
        <v>6</v>
      </c>
      <c r="BJ1090" s="15" t="s">
        <v>2999</v>
      </c>
      <c r="BK1090" s="15" t="str">
        <f t="shared" ref="BK1090:BK1091" si="1892">"46"</f>
        <v>46</v>
      </c>
      <c r="BL1090" s="15" t="s">
        <v>2395</v>
      </c>
      <c r="BM1090" s="15" t="str">
        <f t="shared" ref="BM1090:BM1091" si="1893">"192.24"</f>
        <v>192.24</v>
      </c>
      <c r="BN1090" s="15" t="s">
        <v>10431</v>
      </c>
      <c r="BO1090" s="15" t="s">
        <v>2238</v>
      </c>
      <c r="BP1090" s="15" t="str">
        <f t="shared" si="1885"/>
        <v>33</v>
      </c>
      <c r="BQ1090" s="15" t="s">
        <v>518</v>
      </c>
      <c r="BR1090" s="15" t="str">
        <f t="shared" si="1886"/>
        <v>8.5</v>
      </c>
      <c r="BS1090" s="15" t="s">
        <v>9680</v>
      </c>
      <c r="BT1090" s="15" t="str">
        <f t="shared" si="1887"/>
        <v>34</v>
      </c>
      <c r="BU1090" s="15" t="s">
        <v>1365</v>
      </c>
      <c r="BV1090" s="15" t="str">
        <f t="shared" si="1888"/>
        <v>86.64</v>
      </c>
      <c r="BW1090" s="15" t="s">
        <v>10424</v>
      </c>
      <c r="BZ1090" s="15" t="s">
        <v>444</v>
      </c>
      <c r="CB1090" s="15" t="s">
        <v>444</v>
      </c>
      <c r="CD1090" s="15" t="s">
        <v>444</v>
      </c>
      <c r="CF1090" s="15" t="s">
        <v>444</v>
      </c>
      <c r="CI1090" s="15" t="s">
        <v>444</v>
      </c>
      <c r="CK1090" s="15" t="s">
        <v>444</v>
      </c>
      <c r="CM1090" s="15" t="s">
        <v>444</v>
      </c>
      <c r="CO1090" s="15" t="s">
        <v>444</v>
      </c>
      <c r="CP1090" s="15" t="str">
        <f t="shared" ref="CP1090:CP1091" si="1894">"21.33"</f>
        <v>21.33</v>
      </c>
      <c r="CQ1090" s="15" t="str">
        <f t="shared" ref="CQ1090:CQ1091" si="1895">"0.604"</f>
        <v>0.604</v>
      </c>
      <c r="CR1090" s="15" t="s">
        <v>465</v>
      </c>
      <c r="DC1090" s="15" t="str">
        <f>IFERROR(__xludf.DUMMYFUNCTION("""COMPUTED_VALUE"""),"")</f>
        <v/>
      </c>
      <c r="DE1090" s="15" t="str">
        <f>IFERROR(__xludf.DUMMYFUNCTION("""COMPUTED_VALUE"""),"")</f>
        <v/>
      </c>
      <c r="DG1090" s="15" t="str">
        <f>IFERROR(__xludf.DUMMYFUNCTION("""COMPUTED_VALUE"""),"")</f>
        <v/>
      </c>
      <c r="DL1090" s="15" t="str">
        <f>IFERROR(__xludf.DUMMYFUNCTION("""COMPUTED_VALUE"""),"")</f>
        <v/>
      </c>
      <c r="DM1090" s="15" t="s">
        <v>444</v>
      </c>
      <c r="DN1090" s="15" t="s">
        <v>419</v>
      </c>
      <c r="DO1090" s="15">
        <v>0.0</v>
      </c>
      <c r="DP1090" s="15" t="s">
        <v>419</v>
      </c>
      <c r="DR1090" s="15">
        <v>0.0</v>
      </c>
      <c r="DU1090" s="15" t="s">
        <v>419</v>
      </c>
      <c r="DW1090" s="15">
        <v>0.0</v>
      </c>
      <c r="DX1090" s="15">
        <v>0.0</v>
      </c>
      <c r="DY1090" s="15">
        <v>0.0</v>
      </c>
      <c r="EE1090" s="15">
        <v>8.0</v>
      </c>
      <c r="EF1090" s="15" t="s">
        <v>471</v>
      </c>
      <c r="EG1090" s="15" t="s">
        <v>472</v>
      </c>
      <c r="EH1090" s="15" t="s">
        <v>10393</v>
      </c>
      <c r="EJ1090" s="15" t="s">
        <v>424</v>
      </c>
      <c r="EK1090" s="15" t="s">
        <v>446</v>
      </c>
      <c r="EM1090" s="15" t="str">
        <f>IFERROR(__xludf.DUMMYFUNCTION("""COMPUTED_VALUE"""),"")</f>
        <v/>
      </c>
      <c r="EW1090" s="15" t="s">
        <v>3811</v>
      </c>
      <c r="EY1090" s="15" t="s">
        <v>9083</v>
      </c>
      <c r="FH1090" s="15" t="s">
        <v>558</v>
      </c>
      <c r="FI1090" s="15" t="s">
        <v>7500</v>
      </c>
      <c r="FJ1090" s="15" t="s">
        <v>5586</v>
      </c>
      <c r="FK1090" s="15" t="s">
        <v>5586</v>
      </c>
      <c r="FL1090" s="15" t="s">
        <v>426</v>
      </c>
      <c r="FM1090" s="15">
        <v>0.0</v>
      </c>
      <c r="FN1090" s="15">
        <v>0.0</v>
      </c>
      <c r="FU1090" s="15" t="s">
        <v>1236</v>
      </c>
      <c r="FV1090" s="15" t="s">
        <v>3811</v>
      </c>
      <c r="FW1090" s="15" t="s">
        <v>1288</v>
      </c>
      <c r="FX1090" s="15" t="s">
        <v>10432</v>
      </c>
    </row>
    <row r="1091" ht="15.75" customHeight="1">
      <c r="A1091" s="14" t="s">
        <v>391</v>
      </c>
      <c r="B1091" s="15" t="s">
        <v>10425</v>
      </c>
      <c r="C1091" s="16"/>
      <c r="D1091" s="15" t="s">
        <v>432</v>
      </c>
      <c r="G1091" s="14" t="s">
        <v>393</v>
      </c>
      <c r="H1091" s="14" t="s">
        <v>394</v>
      </c>
      <c r="I1091" s="14" t="b">
        <v>1</v>
      </c>
      <c r="J1091" s="14" t="s">
        <v>395</v>
      </c>
      <c r="L1091" s="14" t="b">
        <v>0</v>
      </c>
      <c r="M1091" s="15" t="s">
        <v>10433</v>
      </c>
      <c r="N1091" s="14" t="s">
        <v>393</v>
      </c>
      <c r="O1091" s="14" t="s">
        <v>393</v>
      </c>
      <c r="P1091" s="15" t="s">
        <v>397</v>
      </c>
      <c r="Q1091" s="15" t="s">
        <v>2351</v>
      </c>
      <c r="T1091" s="14" t="b">
        <v>0</v>
      </c>
      <c r="U1091" s="15" t="s">
        <v>10434</v>
      </c>
      <c r="V1091" s="15" t="s">
        <v>10428</v>
      </c>
      <c r="W1091" s="15" t="s">
        <v>401</v>
      </c>
      <c r="X1091" s="15" t="s">
        <v>1296</v>
      </c>
      <c r="Y1091" s="15">
        <v>2847.0</v>
      </c>
      <c r="AA1091" s="15" t="str">
        <f t="shared" si="1889"/>
        <v>1095</v>
      </c>
      <c r="AB1091" s="14" t="b">
        <v>1</v>
      </c>
      <c r="AC1091" s="14" t="b">
        <v>1</v>
      </c>
      <c r="AD1091" s="15" t="str">
        <f>"801542241773"</f>
        <v>801542241773</v>
      </c>
      <c r="AE1091" s="15" t="s">
        <v>10435</v>
      </c>
      <c r="AF1091" s="14" t="s">
        <v>404</v>
      </c>
      <c r="AG1091" s="14" t="s">
        <v>405</v>
      </c>
      <c r="AH1091" s="14" t="s">
        <v>406</v>
      </c>
      <c r="AI1091" s="15">
        <v>0.0</v>
      </c>
      <c r="AL1091" s="15" t="s">
        <v>2354</v>
      </c>
      <c r="AM1091" s="15" t="s">
        <v>770</v>
      </c>
      <c r="AN1091" s="15" t="s">
        <v>771</v>
      </c>
      <c r="AO1091" s="15" t="s">
        <v>2557</v>
      </c>
      <c r="AP1091" s="15" t="s">
        <v>2558</v>
      </c>
      <c r="AQ1091" s="15" t="s">
        <v>546</v>
      </c>
      <c r="AR1091" s="15" t="s">
        <v>547</v>
      </c>
      <c r="AS1091" s="15" t="s">
        <v>2875</v>
      </c>
      <c r="AT1091" s="15" t="s">
        <v>2351</v>
      </c>
      <c r="AW1091" s="15" t="s">
        <v>548</v>
      </c>
      <c r="AX1091" s="15" t="s">
        <v>549</v>
      </c>
      <c r="AY1091" s="15" t="s">
        <v>413</v>
      </c>
      <c r="AZ1091" s="15" t="b">
        <v>0</v>
      </c>
      <c r="BA1091" s="15" t="s">
        <v>413</v>
      </c>
      <c r="BB1091" s="15" t="b">
        <v>0</v>
      </c>
      <c r="BC1091" s="15" t="s">
        <v>10436</v>
      </c>
      <c r="BD1091" s="15" t="s">
        <v>1303</v>
      </c>
      <c r="BE1091" s="15" t="str">
        <f t="shared" si="1884"/>
        <v>2</v>
      </c>
      <c r="BF1091" s="15" t="s">
        <v>1564</v>
      </c>
      <c r="BG1091" s="15" t="str">
        <f t="shared" si="1890"/>
        <v>99</v>
      </c>
      <c r="BH1091" s="15" t="s">
        <v>9417</v>
      </c>
      <c r="BI1091" s="15" t="str">
        <f t="shared" si="1891"/>
        <v>6</v>
      </c>
      <c r="BJ1091" s="15" t="s">
        <v>2999</v>
      </c>
      <c r="BK1091" s="15" t="str">
        <f t="shared" si="1892"/>
        <v>46</v>
      </c>
      <c r="BL1091" s="15" t="s">
        <v>2395</v>
      </c>
      <c r="BM1091" s="15" t="str">
        <f t="shared" si="1893"/>
        <v>192.24</v>
      </c>
      <c r="BN1091" s="15" t="s">
        <v>10431</v>
      </c>
      <c r="BO1091" s="15" t="s">
        <v>2238</v>
      </c>
      <c r="BP1091" s="15" t="str">
        <f t="shared" si="1885"/>
        <v>33</v>
      </c>
      <c r="BQ1091" s="15" t="s">
        <v>518</v>
      </c>
      <c r="BR1091" s="15" t="str">
        <f t="shared" si="1886"/>
        <v>8.5</v>
      </c>
      <c r="BS1091" s="15" t="s">
        <v>9680</v>
      </c>
      <c r="BT1091" s="15" t="str">
        <f t="shared" si="1887"/>
        <v>34</v>
      </c>
      <c r="BU1091" s="15" t="s">
        <v>1365</v>
      </c>
      <c r="BV1091" s="15" t="str">
        <f t="shared" si="1888"/>
        <v>86.64</v>
      </c>
      <c r="BW1091" s="15" t="s">
        <v>10424</v>
      </c>
      <c r="BZ1091" s="15" t="s">
        <v>444</v>
      </c>
      <c r="CB1091" s="15" t="s">
        <v>444</v>
      </c>
      <c r="CD1091" s="15" t="s">
        <v>444</v>
      </c>
      <c r="CF1091" s="15" t="s">
        <v>444</v>
      </c>
      <c r="CI1091" s="15" t="s">
        <v>444</v>
      </c>
      <c r="CK1091" s="15" t="s">
        <v>444</v>
      </c>
      <c r="CM1091" s="15" t="s">
        <v>444</v>
      </c>
      <c r="CO1091" s="15" t="s">
        <v>444</v>
      </c>
      <c r="CP1091" s="15" t="str">
        <f t="shared" si="1894"/>
        <v>21.33</v>
      </c>
      <c r="CQ1091" s="15" t="str">
        <f t="shared" si="1895"/>
        <v>0.604</v>
      </c>
      <c r="CR1091" s="15" t="s">
        <v>465</v>
      </c>
      <c r="DC1091" s="15" t="str">
        <f>IFERROR(__xludf.DUMMYFUNCTION("""COMPUTED_VALUE"""),"")</f>
        <v/>
      </c>
      <c r="DE1091" s="15" t="str">
        <f>IFERROR(__xludf.DUMMYFUNCTION("""COMPUTED_VALUE"""),"")</f>
        <v/>
      </c>
      <c r="DG1091" s="15" t="str">
        <f>IFERROR(__xludf.DUMMYFUNCTION("""COMPUTED_VALUE"""),"")</f>
        <v/>
      </c>
      <c r="DL1091" s="15" t="str">
        <f>IFERROR(__xludf.DUMMYFUNCTION("""COMPUTED_VALUE"""),"")</f>
        <v/>
      </c>
      <c r="DM1091" s="15" t="s">
        <v>444</v>
      </c>
      <c r="DN1091" s="15" t="s">
        <v>419</v>
      </c>
      <c r="DO1091" s="15">
        <v>0.0</v>
      </c>
      <c r="DP1091" s="15" t="s">
        <v>419</v>
      </c>
      <c r="DR1091" s="15">
        <v>0.0</v>
      </c>
      <c r="DU1091" s="15" t="s">
        <v>419</v>
      </c>
      <c r="DW1091" s="15">
        <v>0.0</v>
      </c>
      <c r="DX1091" s="15">
        <v>0.0</v>
      </c>
      <c r="DY1091" s="15">
        <v>0.0</v>
      </c>
      <c r="EE1091" s="15">
        <v>8.0</v>
      </c>
      <c r="EF1091" s="15" t="s">
        <v>471</v>
      </c>
      <c r="EG1091" s="15" t="s">
        <v>472</v>
      </c>
      <c r="EH1091" s="15" t="s">
        <v>10393</v>
      </c>
      <c r="EJ1091" s="15" t="s">
        <v>424</v>
      </c>
      <c r="EK1091" s="15" t="s">
        <v>446</v>
      </c>
      <c r="EM1091" s="15" t="str">
        <f>IFERROR(__xludf.DUMMYFUNCTION("""COMPUTED_VALUE"""),"")</f>
        <v/>
      </c>
      <c r="EW1091" s="15" t="s">
        <v>3811</v>
      </c>
      <c r="EY1091" s="15" t="s">
        <v>9083</v>
      </c>
      <c r="FH1091" s="15" t="s">
        <v>558</v>
      </c>
      <c r="FI1091" s="15" t="s">
        <v>7500</v>
      </c>
      <c r="FJ1091" s="15" t="s">
        <v>5586</v>
      </c>
      <c r="FK1091" s="15" t="s">
        <v>5586</v>
      </c>
      <c r="FL1091" s="15" t="s">
        <v>426</v>
      </c>
      <c r="FM1091" s="15">
        <v>0.0</v>
      </c>
      <c r="FN1091" s="15">
        <v>0.0</v>
      </c>
      <c r="FU1091" s="15" t="s">
        <v>1236</v>
      </c>
      <c r="FV1091" s="15" t="s">
        <v>3811</v>
      </c>
      <c r="FW1091" s="15" t="s">
        <v>1288</v>
      </c>
      <c r="FX1091" s="15" t="s">
        <v>10432</v>
      </c>
    </row>
    <row r="1092" ht="15.75" customHeight="1">
      <c r="A1092" s="14" t="s">
        <v>391</v>
      </c>
      <c r="B1092" s="15" t="s">
        <v>10437</v>
      </c>
      <c r="C1092" s="16"/>
      <c r="D1092" s="15" t="s">
        <v>432</v>
      </c>
      <c r="G1092" s="14" t="s">
        <v>393</v>
      </c>
      <c r="H1092" s="14" t="s">
        <v>394</v>
      </c>
      <c r="I1092" s="14" t="b">
        <v>1</v>
      </c>
      <c r="J1092" s="14" t="s">
        <v>395</v>
      </c>
      <c r="L1092" s="14" t="b">
        <v>0</v>
      </c>
      <c r="M1092" s="15" t="s">
        <v>10438</v>
      </c>
      <c r="N1092" s="14" t="s">
        <v>393</v>
      </c>
      <c r="O1092" s="14" t="s">
        <v>393</v>
      </c>
      <c r="P1092" s="15" t="s">
        <v>397</v>
      </c>
      <c r="Q1092" s="15" t="s">
        <v>10396</v>
      </c>
      <c r="T1092" s="14" t="b">
        <v>0</v>
      </c>
      <c r="U1092" s="15" t="s">
        <v>10439</v>
      </c>
      <c r="V1092" s="15" t="s">
        <v>10440</v>
      </c>
      <c r="W1092" s="15" t="s">
        <v>401</v>
      </c>
      <c r="X1092" s="15" t="s">
        <v>1296</v>
      </c>
      <c r="Y1092" s="15">
        <v>884.0</v>
      </c>
      <c r="AA1092" s="15" t="str">
        <f t="shared" ref="AA1092:AA1093" si="1896">"340"</f>
        <v>340</v>
      </c>
      <c r="AB1092" s="14" t="b">
        <v>1</v>
      </c>
      <c r="AC1092" s="14" t="b">
        <v>1</v>
      </c>
      <c r="AD1092" s="15" t="str">
        <f>"801542364793"</f>
        <v>801542364793</v>
      </c>
      <c r="AE1092" s="15" t="s">
        <v>10441</v>
      </c>
      <c r="AF1092" s="14" t="s">
        <v>404</v>
      </c>
      <c r="AG1092" s="14" t="s">
        <v>405</v>
      </c>
      <c r="AH1092" s="14" t="s">
        <v>406</v>
      </c>
      <c r="AI1092" s="15">
        <v>0.0</v>
      </c>
      <c r="AL1092" s="15" t="s">
        <v>1025</v>
      </c>
      <c r="AM1092" s="15" t="s">
        <v>1177</v>
      </c>
      <c r="AN1092" s="15" t="s">
        <v>1178</v>
      </c>
      <c r="AO1092" s="15" t="s">
        <v>1177</v>
      </c>
      <c r="AP1092" s="15" t="s">
        <v>1178</v>
      </c>
      <c r="AQ1092" s="15" t="s">
        <v>409</v>
      </c>
      <c r="AR1092" s="15" t="s">
        <v>438</v>
      </c>
      <c r="AS1092" s="15" t="s">
        <v>2875</v>
      </c>
      <c r="AT1092" s="15" t="s">
        <v>10396</v>
      </c>
      <c r="AU1092" s="15" t="s">
        <v>10399</v>
      </c>
      <c r="AW1092" s="15" t="s">
        <v>1154</v>
      </c>
      <c r="AY1092" s="15" t="s">
        <v>413</v>
      </c>
      <c r="AZ1092" s="15" t="b">
        <v>0</v>
      </c>
      <c r="BA1092" s="15" t="s">
        <v>413</v>
      </c>
      <c r="BB1092" s="15" t="b">
        <v>0</v>
      </c>
      <c r="BC1092" s="15" t="s">
        <v>10442</v>
      </c>
      <c r="BD1092" s="15" t="s">
        <v>1303</v>
      </c>
      <c r="BE1092" s="15" t="str">
        <f t="shared" ref="BE1092:BE1100" si="1897">"1"</f>
        <v>1</v>
      </c>
      <c r="BF1092" s="15" t="s">
        <v>416</v>
      </c>
      <c r="BG1092" s="15" t="str">
        <f t="shared" ref="BG1092:BG1093" si="1898">"28"</f>
        <v>28</v>
      </c>
      <c r="BH1092" s="15" t="s">
        <v>1086</v>
      </c>
      <c r="BI1092" s="15" t="str">
        <f t="shared" ref="BI1092:BI1093" si="1899">"12.25"</f>
        <v>12.25</v>
      </c>
      <c r="BJ1092" s="15" t="s">
        <v>10443</v>
      </c>
      <c r="BK1092" s="15" t="str">
        <f t="shared" ref="BK1092:BK1093" si="1900">"29"</f>
        <v>29</v>
      </c>
      <c r="BL1092" s="15" t="s">
        <v>1275</v>
      </c>
      <c r="BM1092" s="15" t="str">
        <f t="shared" ref="BM1092:BM1093" si="1901">"72.09"</f>
        <v>72.09</v>
      </c>
      <c r="BN1092" s="15" t="s">
        <v>10444</v>
      </c>
      <c r="BQ1092" s="15" t="s">
        <v>444</v>
      </c>
      <c r="BS1092" s="15" t="s">
        <v>444</v>
      </c>
      <c r="BU1092" s="15" t="s">
        <v>444</v>
      </c>
      <c r="BW1092" s="15" t="s">
        <v>444</v>
      </c>
      <c r="BZ1092" s="15" t="s">
        <v>444</v>
      </c>
      <c r="CB1092" s="15" t="s">
        <v>444</v>
      </c>
      <c r="CD1092" s="15" t="s">
        <v>444</v>
      </c>
      <c r="CF1092" s="15" t="s">
        <v>444</v>
      </c>
      <c r="CI1092" s="15" t="s">
        <v>444</v>
      </c>
      <c r="CK1092" s="15" t="s">
        <v>444</v>
      </c>
      <c r="CM1092" s="15" t="s">
        <v>444</v>
      </c>
      <c r="CO1092" s="15" t="s">
        <v>444</v>
      </c>
      <c r="CP1092" s="15" t="str">
        <f t="shared" ref="CP1092:CP1093" si="1902">"5.76"</f>
        <v>5.76</v>
      </c>
      <c r="CQ1092" s="15" t="str">
        <f t="shared" ref="CQ1092:CQ1093" si="1903">"0.163"</f>
        <v>0.163</v>
      </c>
      <c r="CR1092" s="15" t="s">
        <v>465</v>
      </c>
      <c r="DC1092" s="15" t="str">
        <f>IFERROR(__xludf.DUMMYFUNCTION("""COMPUTED_VALUE"""),"")</f>
        <v/>
      </c>
      <c r="DE1092" s="15" t="str">
        <f>IFERROR(__xludf.DUMMYFUNCTION("""COMPUTED_VALUE"""),"")</f>
        <v/>
      </c>
      <c r="DG1092" s="15" t="str">
        <f>IFERROR(__xludf.DUMMYFUNCTION("""COMPUTED_VALUE"""),"")</f>
        <v/>
      </c>
      <c r="DL1092" s="15" t="str">
        <f>IFERROR(__xludf.DUMMYFUNCTION("""COMPUTED_VALUE"""),"")</f>
        <v/>
      </c>
      <c r="DM1092" s="15" t="s">
        <v>444</v>
      </c>
      <c r="DN1092" s="15" t="s">
        <v>419</v>
      </c>
      <c r="DO1092" s="15">
        <v>0.0</v>
      </c>
      <c r="DP1092" s="15" t="s">
        <v>419</v>
      </c>
      <c r="DR1092" s="15">
        <v>0.0</v>
      </c>
      <c r="DU1092" s="15" t="s">
        <v>419</v>
      </c>
      <c r="DY1092" s="15">
        <v>0.0</v>
      </c>
      <c r="EF1092" s="15" t="s">
        <v>471</v>
      </c>
      <c r="EG1092" s="15" t="s">
        <v>472</v>
      </c>
      <c r="EH1092" s="15" t="s">
        <v>10393</v>
      </c>
      <c r="EJ1092" s="15" t="s">
        <v>500</v>
      </c>
      <c r="EK1092" s="15" t="s">
        <v>501</v>
      </c>
      <c r="EM1092" s="15" t="str">
        <f>IFERROR(__xludf.DUMMYFUNCTION("""COMPUTED_VALUE"""),"")</f>
        <v/>
      </c>
      <c r="EW1092" s="15" t="s">
        <v>788</v>
      </c>
      <c r="EY1092" s="15" t="s">
        <v>1065</v>
      </c>
      <c r="FH1092" s="15" t="s">
        <v>1072</v>
      </c>
      <c r="FI1092" s="15" t="s">
        <v>2292</v>
      </c>
      <c r="FJ1092" s="15" t="s">
        <v>672</v>
      </c>
      <c r="FK1092" s="15" t="s">
        <v>5586</v>
      </c>
      <c r="FL1092" s="15" t="s">
        <v>426</v>
      </c>
      <c r="FM1092" s="15">
        <v>0.0</v>
      </c>
      <c r="FN1092" s="15">
        <v>0.0</v>
      </c>
      <c r="FW1092" s="15" t="s">
        <v>1188</v>
      </c>
    </row>
    <row r="1093" ht="15.75" customHeight="1">
      <c r="A1093" s="14" t="s">
        <v>391</v>
      </c>
      <c r="B1093" s="15" t="s">
        <v>10437</v>
      </c>
      <c r="C1093" s="16"/>
      <c r="D1093" s="15" t="s">
        <v>432</v>
      </c>
      <c r="G1093" s="14" t="s">
        <v>393</v>
      </c>
      <c r="H1093" s="14" t="s">
        <v>394</v>
      </c>
      <c r="I1093" s="14" t="b">
        <v>1</v>
      </c>
      <c r="J1093" s="14" t="s">
        <v>395</v>
      </c>
      <c r="L1093" s="14" t="b">
        <v>0</v>
      </c>
      <c r="M1093" s="15" t="s">
        <v>10445</v>
      </c>
      <c r="N1093" s="14" t="s">
        <v>393</v>
      </c>
      <c r="O1093" s="14" t="s">
        <v>393</v>
      </c>
      <c r="P1093" s="15" t="s">
        <v>397</v>
      </c>
      <c r="Q1093" s="15" t="s">
        <v>2351</v>
      </c>
      <c r="T1093" s="14" t="b">
        <v>0</v>
      </c>
      <c r="U1093" s="15" t="s">
        <v>10446</v>
      </c>
      <c r="V1093" s="15" t="s">
        <v>10440</v>
      </c>
      <c r="W1093" s="15" t="s">
        <v>401</v>
      </c>
      <c r="X1093" s="15" t="s">
        <v>1296</v>
      </c>
      <c r="Y1093" s="15">
        <v>884.0</v>
      </c>
      <c r="AA1093" s="15" t="str">
        <f t="shared" si="1896"/>
        <v>340</v>
      </c>
      <c r="AB1093" s="14" t="b">
        <v>1</v>
      </c>
      <c r="AC1093" s="14" t="b">
        <v>1</v>
      </c>
      <c r="AD1093" s="15" t="str">
        <f>"801542244750"</f>
        <v>801542244750</v>
      </c>
      <c r="AE1093" s="15" t="s">
        <v>10447</v>
      </c>
      <c r="AF1093" s="14" t="s">
        <v>404</v>
      </c>
      <c r="AG1093" s="14" t="s">
        <v>405</v>
      </c>
      <c r="AH1093" s="14" t="s">
        <v>406</v>
      </c>
      <c r="AI1093" s="15">
        <v>0.0</v>
      </c>
      <c r="AL1093" s="15" t="s">
        <v>2354</v>
      </c>
      <c r="AM1093" s="15" t="s">
        <v>1177</v>
      </c>
      <c r="AN1093" s="15" t="s">
        <v>1178</v>
      </c>
      <c r="AO1093" s="15" t="s">
        <v>1177</v>
      </c>
      <c r="AP1093" s="15" t="s">
        <v>1178</v>
      </c>
      <c r="AQ1093" s="15" t="s">
        <v>409</v>
      </c>
      <c r="AR1093" s="15" t="s">
        <v>438</v>
      </c>
      <c r="AS1093" s="15" t="s">
        <v>2875</v>
      </c>
      <c r="AT1093" s="15" t="s">
        <v>2351</v>
      </c>
      <c r="AW1093" s="15" t="s">
        <v>1154</v>
      </c>
      <c r="AY1093" s="15" t="s">
        <v>413</v>
      </c>
      <c r="AZ1093" s="15" t="b">
        <v>0</v>
      </c>
      <c r="BA1093" s="15" t="s">
        <v>413</v>
      </c>
      <c r="BB1093" s="15" t="b">
        <v>0</v>
      </c>
      <c r="BC1093" s="15" t="s">
        <v>10448</v>
      </c>
      <c r="BD1093" s="15" t="s">
        <v>1303</v>
      </c>
      <c r="BE1093" s="15" t="str">
        <f t="shared" si="1897"/>
        <v>1</v>
      </c>
      <c r="BF1093" s="15" t="s">
        <v>416</v>
      </c>
      <c r="BG1093" s="15" t="str">
        <f t="shared" si="1898"/>
        <v>28</v>
      </c>
      <c r="BH1093" s="15" t="s">
        <v>1086</v>
      </c>
      <c r="BI1093" s="15" t="str">
        <f t="shared" si="1899"/>
        <v>12.25</v>
      </c>
      <c r="BJ1093" s="15" t="s">
        <v>10443</v>
      </c>
      <c r="BK1093" s="15" t="str">
        <f t="shared" si="1900"/>
        <v>29</v>
      </c>
      <c r="BL1093" s="15" t="s">
        <v>1275</v>
      </c>
      <c r="BM1093" s="15" t="str">
        <f t="shared" si="1901"/>
        <v>72.09</v>
      </c>
      <c r="BN1093" s="15" t="s">
        <v>10444</v>
      </c>
      <c r="BQ1093" s="15" t="s">
        <v>444</v>
      </c>
      <c r="BS1093" s="15" t="s">
        <v>444</v>
      </c>
      <c r="BU1093" s="15" t="s">
        <v>444</v>
      </c>
      <c r="BW1093" s="15" t="s">
        <v>444</v>
      </c>
      <c r="BZ1093" s="15" t="s">
        <v>444</v>
      </c>
      <c r="CB1093" s="15" t="s">
        <v>444</v>
      </c>
      <c r="CD1093" s="15" t="s">
        <v>444</v>
      </c>
      <c r="CF1093" s="15" t="s">
        <v>444</v>
      </c>
      <c r="CI1093" s="15" t="s">
        <v>444</v>
      </c>
      <c r="CK1093" s="15" t="s">
        <v>444</v>
      </c>
      <c r="CM1093" s="15" t="s">
        <v>444</v>
      </c>
      <c r="CO1093" s="15" t="s">
        <v>444</v>
      </c>
      <c r="CP1093" s="15" t="str">
        <f t="shared" si="1902"/>
        <v>5.76</v>
      </c>
      <c r="CQ1093" s="15" t="str">
        <f t="shared" si="1903"/>
        <v>0.163</v>
      </c>
      <c r="CR1093" s="15" t="s">
        <v>417</v>
      </c>
      <c r="DC1093" s="15" t="str">
        <f>IFERROR(__xludf.DUMMYFUNCTION("""COMPUTED_VALUE"""),"")</f>
        <v/>
      </c>
      <c r="DE1093" s="15" t="str">
        <f>IFERROR(__xludf.DUMMYFUNCTION("""COMPUTED_VALUE"""),"")</f>
        <v/>
      </c>
      <c r="DG1093" s="15" t="str">
        <f>IFERROR(__xludf.DUMMYFUNCTION("""COMPUTED_VALUE"""),"")</f>
        <v/>
      </c>
      <c r="DL1093" s="15" t="str">
        <f>IFERROR(__xludf.DUMMYFUNCTION("""COMPUTED_VALUE"""),"")</f>
        <v/>
      </c>
      <c r="DM1093" s="15" t="s">
        <v>444</v>
      </c>
      <c r="DN1093" s="15" t="s">
        <v>419</v>
      </c>
      <c r="DO1093" s="15">
        <v>0.0</v>
      </c>
      <c r="DP1093" s="15" t="s">
        <v>419</v>
      </c>
      <c r="DR1093" s="15">
        <v>0.0</v>
      </c>
      <c r="DU1093" s="15" t="s">
        <v>419</v>
      </c>
      <c r="DY1093" s="15">
        <v>0.0</v>
      </c>
      <c r="EF1093" s="15" t="s">
        <v>471</v>
      </c>
      <c r="EG1093" s="15" t="s">
        <v>472</v>
      </c>
      <c r="EH1093" s="15" t="s">
        <v>10393</v>
      </c>
      <c r="EJ1093" s="15" t="s">
        <v>500</v>
      </c>
      <c r="EK1093" s="15" t="s">
        <v>501</v>
      </c>
      <c r="EM1093" s="15" t="str">
        <f>IFERROR(__xludf.DUMMYFUNCTION("""COMPUTED_VALUE"""),"")</f>
        <v/>
      </c>
      <c r="EW1093" s="15" t="s">
        <v>788</v>
      </c>
      <c r="EY1093" s="15" t="s">
        <v>1065</v>
      </c>
      <c r="FH1093" s="15" t="s">
        <v>1072</v>
      </c>
      <c r="FI1093" s="15" t="s">
        <v>2292</v>
      </c>
      <c r="FJ1093" s="15" t="s">
        <v>672</v>
      </c>
      <c r="FK1093" s="15" t="s">
        <v>5586</v>
      </c>
      <c r="FL1093" s="15" t="s">
        <v>426</v>
      </c>
      <c r="FM1093" s="15">
        <v>0.0</v>
      </c>
      <c r="FN1093" s="15">
        <v>0.0</v>
      </c>
      <c r="FW1093" s="15" t="s">
        <v>1188</v>
      </c>
    </row>
    <row r="1094" ht="15.75" customHeight="1">
      <c r="A1094" s="14" t="s">
        <v>391</v>
      </c>
      <c r="B1094" s="15" t="s">
        <v>10449</v>
      </c>
      <c r="C1094" s="16"/>
      <c r="D1094" s="15" t="s">
        <v>432</v>
      </c>
      <c r="G1094" s="14" t="s">
        <v>393</v>
      </c>
      <c r="H1094" s="14" t="s">
        <v>394</v>
      </c>
      <c r="I1094" s="14" t="b">
        <v>1</v>
      </c>
      <c r="J1094" s="14" t="s">
        <v>395</v>
      </c>
      <c r="L1094" s="14" t="b">
        <v>0</v>
      </c>
      <c r="M1094" s="15" t="s">
        <v>10450</v>
      </c>
      <c r="N1094" s="14" t="s">
        <v>393</v>
      </c>
      <c r="O1094" s="14" t="s">
        <v>393</v>
      </c>
      <c r="P1094" s="15" t="s">
        <v>397</v>
      </c>
      <c r="Q1094" s="15" t="s">
        <v>10396</v>
      </c>
      <c r="T1094" s="14" t="b">
        <v>0</v>
      </c>
      <c r="U1094" s="15" t="s">
        <v>10451</v>
      </c>
      <c r="V1094" s="15" t="s">
        <v>8001</v>
      </c>
      <c r="W1094" s="15" t="s">
        <v>401</v>
      </c>
      <c r="X1094" s="15" t="s">
        <v>1296</v>
      </c>
      <c r="Y1094" s="15">
        <v>1157.0</v>
      </c>
      <c r="AA1094" s="15" t="str">
        <f t="shared" ref="AA1094:AA1095" si="1904">"445"</f>
        <v>445</v>
      </c>
      <c r="AB1094" s="14" t="b">
        <v>1</v>
      </c>
      <c r="AC1094" s="14" t="b">
        <v>1</v>
      </c>
      <c r="AD1094" s="15" t="str">
        <f>"801542364809"</f>
        <v>801542364809</v>
      </c>
      <c r="AE1094" s="15" t="s">
        <v>10452</v>
      </c>
      <c r="AF1094" s="14" t="s">
        <v>404</v>
      </c>
      <c r="AG1094" s="14" t="s">
        <v>405</v>
      </c>
      <c r="AH1094" s="14" t="s">
        <v>406</v>
      </c>
      <c r="AI1094" s="15">
        <v>0.0</v>
      </c>
      <c r="AL1094" s="15" t="s">
        <v>1025</v>
      </c>
      <c r="AM1094" s="15" t="s">
        <v>622</v>
      </c>
      <c r="AN1094" s="15" t="s">
        <v>623</v>
      </c>
      <c r="AO1094" s="15" t="s">
        <v>1007</v>
      </c>
      <c r="AP1094" s="15" t="s">
        <v>1008</v>
      </c>
      <c r="AQ1094" s="15" t="s">
        <v>1177</v>
      </c>
      <c r="AR1094" s="15" t="s">
        <v>1178</v>
      </c>
      <c r="AS1094" s="15" t="s">
        <v>2875</v>
      </c>
      <c r="AT1094" s="15" t="s">
        <v>10396</v>
      </c>
      <c r="AU1094" s="15" t="s">
        <v>10399</v>
      </c>
      <c r="AW1094" s="15" t="s">
        <v>628</v>
      </c>
      <c r="AY1094" s="15" t="s">
        <v>413</v>
      </c>
      <c r="AZ1094" s="15" t="b">
        <v>0</v>
      </c>
      <c r="BA1094" s="15" t="s">
        <v>413</v>
      </c>
      <c r="BB1094" s="15" t="b">
        <v>0</v>
      </c>
      <c r="BC1094" s="15" t="s">
        <v>10453</v>
      </c>
      <c r="BD1094" s="15" t="s">
        <v>1303</v>
      </c>
      <c r="BE1094" s="15" t="str">
        <f t="shared" si="1897"/>
        <v>1</v>
      </c>
      <c r="BF1094" s="15" t="s">
        <v>416</v>
      </c>
      <c r="BG1094" s="15" t="str">
        <f t="shared" ref="BG1094:BG1095" si="1905">"39.5"</f>
        <v>39.5</v>
      </c>
      <c r="BH1094" s="15" t="s">
        <v>5215</v>
      </c>
      <c r="BI1094" s="15" t="str">
        <f>"21.75"</f>
        <v>21.75</v>
      </c>
      <c r="BJ1094" s="15" t="s">
        <v>2878</v>
      </c>
      <c r="BK1094" s="15" t="str">
        <f>"28.25"</f>
        <v>28.25</v>
      </c>
      <c r="BL1094" s="15" t="s">
        <v>702</v>
      </c>
      <c r="BM1094" s="15" t="str">
        <f t="shared" ref="BM1094:BM1095" si="1906">"108.25"</f>
        <v>108.25</v>
      </c>
      <c r="BN1094" s="15" t="s">
        <v>10454</v>
      </c>
      <c r="BQ1094" s="15" t="s">
        <v>444</v>
      </c>
      <c r="BS1094" s="15" t="s">
        <v>444</v>
      </c>
      <c r="BU1094" s="15" t="s">
        <v>444</v>
      </c>
      <c r="BW1094" s="15" t="s">
        <v>444</v>
      </c>
      <c r="BZ1094" s="15" t="s">
        <v>444</v>
      </c>
      <c r="CB1094" s="15" t="s">
        <v>444</v>
      </c>
      <c r="CD1094" s="15" t="s">
        <v>444</v>
      </c>
      <c r="CF1094" s="15" t="s">
        <v>444</v>
      </c>
      <c r="CI1094" s="15" t="s">
        <v>444</v>
      </c>
      <c r="CK1094" s="15" t="s">
        <v>444</v>
      </c>
      <c r="CM1094" s="15" t="s">
        <v>444</v>
      </c>
      <c r="CO1094" s="15" t="s">
        <v>444</v>
      </c>
      <c r="CP1094" s="15" t="str">
        <f>"14.06"</f>
        <v>14.06</v>
      </c>
      <c r="CQ1094" s="15" t="str">
        <f>"0.398"</f>
        <v>0.398</v>
      </c>
      <c r="CR1094" s="15" t="s">
        <v>465</v>
      </c>
      <c r="CV1094" s="15" t="s">
        <v>6018</v>
      </c>
      <c r="CW1094" s="15" t="s">
        <v>3241</v>
      </c>
      <c r="CX1094" s="15" t="s">
        <v>734</v>
      </c>
      <c r="DC1094" s="15" t="str">
        <f>IFERROR(__xludf.DUMMYFUNCTION("""COMPUTED_VALUE"""),"")</f>
        <v/>
      </c>
      <c r="DE1094" s="15" t="str">
        <f>IFERROR(__xludf.DUMMYFUNCTION("""COMPUTED_VALUE"""),"")</f>
        <v/>
      </c>
      <c r="DG1094" s="15" t="str">
        <f>IFERROR(__xludf.DUMMYFUNCTION("""COMPUTED_VALUE"""),"")</f>
        <v/>
      </c>
      <c r="DL1094" s="15" t="str">
        <f>IFERROR(__xludf.DUMMYFUNCTION("""COMPUTED_VALUE"""),"")</f>
        <v/>
      </c>
      <c r="DM1094" s="15" t="s">
        <v>444</v>
      </c>
      <c r="DN1094" s="15" t="s">
        <v>418</v>
      </c>
      <c r="DO1094" s="15">
        <v>1.0</v>
      </c>
      <c r="DP1094" s="15" t="s">
        <v>2601</v>
      </c>
      <c r="DR1094" s="15">
        <v>0.0</v>
      </c>
      <c r="DT1094" s="15" t="s">
        <v>1111</v>
      </c>
      <c r="DU1094" s="15" t="s">
        <v>421</v>
      </c>
      <c r="DY1094" s="15">
        <v>0.0</v>
      </c>
      <c r="EF1094" s="15" t="s">
        <v>471</v>
      </c>
      <c r="EG1094" s="15" t="s">
        <v>472</v>
      </c>
      <c r="EH1094" s="15" t="s">
        <v>10393</v>
      </c>
      <c r="EJ1094" s="15" t="s">
        <v>500</v>
      </c>
      <c r="EK1094" s="15" t="s">
        <v>501</v>
      </c>
      <c r="EM1094" s="15" t="str">
        <f>IFERROR(__xludf.DUMMYFUNCTION("""COMPUTED_VALUE"""),"")</f>
        <v/>
      </c>
      <c r="EW1094" s="15" t="s">
        <v>672</v>
      </c>
      <c r="FM1094" s="15">
        <v>1.0</v>
      </c>
      <c r="GH1094" s="15">
        <v>0.0</v>
      </c>
      <c r="GI1094" s="15" t="s">
        <v>427</v>
      </c>
      <c r="GO1094" s="15" t="s">
        <v>426</v>
      </c>
      <c r="GQ1094" s="15" t="s">
        <v>1982</v>
      </c>
      <c r="GS1094" s="15" t="s">
        <v>505</v>
      </c>
      <c r="GU1094" s="15" t="s">
        <v>3546</v>
      </c>
      <c r="GW1094" s="15" t="s">
        <v>431</v>
      </c>
      <c r="GY1094" s="15" t="s">
        <v>420</v>
      </c>
      <c r="GZ1094" s="15" t="s">
        <v>426</v>
      </c>
    </row>
    <row r="1095" ht="15.75" customHeight="1">
      <c r="A1095" s="14" t="s">
        <v>391</v>
      </c>
      <c r="B1095" s="15" t="s">
        <v>10449</v>
      </c>
      <c r="C1095" s="16"/>
      <c r="D1095" s="15" t="s">
        <v>432</v>
      </c>
      <c r="G1095" s="14" t="s">
        <v>393</v>
      </c>
      <c r="H1095" s="14" t="s">
        <v>394</v>
      </c>
      <c r="I1095" s="14" t="b">
        <v>1</v>
      </c>
      <c r="J1095" s="14" t="s">
        <v>395</v>
      </c>
      <c r="L1095" s="14" t="b">
        <v>0</v>
      </c>
      <c r="M1095" s="15" t="s">
        <v>10455</v>
      </c>
      <c r="N1095" s="14" t="s">
        <v>393</v>
      </c>
      <c r="O1095" s="14" t="s">
        <v>393</v>
      </c>
      <c r="P1095" s="15" t="s">
        <v>397</v>
      </c>
      <c r="Q1095" s="15" t="s">
        <v>2351</v>
      </c>
      <c r="T1095" s="14" t="b">
        <v>0</v>
      </c>
      <c r="U1095" s="15" t="s">
        <v>10456</v>
      </c>
      <c r="V1095" s="15" t="s">
        <v>10457</v>
      </c>
      <c r="W1095" s="15" t="s">
        <v>401</v>
      </c>
      <c r="X1095" s="15" t="s">
        <v>1296</v>
      </c>
      <c r="Y1095" s="15">
        <v>1157.0</v>
      </c>
      <c r="AA1095" s="15" t="str">
        <f t="shared" si="1904"/>
        <v>445</v>
      </c>
      <c r="AB1095" s="14" t="b">
        <v>1</v>
      </c>
      <c r="AC1095" s="14" t="b">
        <v>1</v>
      </c>
      <c r="AD1095" s="15" t="str">
        <f>"801542252694"</f>
        <v>801542252694</v>
      </c>
      <c r="AE1095" s="15" t="s">
        <v>10458</v>
      </c>
      <c r="AF1095" s="14" t="s">
        <v>404</v>
      </c>
      <c r="AG1095" s="14" t="s">
        <v>405</v>
      </c>
      <c r="AH1095" s="14" t="s">
        <v>406</v>
      </c>
      <c r="AI1095" s="15">
        <v>0.0</v>
      </c>
      <c r="AL1095" s="15" t="s">
        <v>2354</v>
      </c>
      <c r="AM1095" s="15" t="s">
        <v>622</v>
      </c>
      <c r="AN1095" s="15" t="s">
        <v>623</v>
      </c>
      <c r="AO1095" s="15" t="s">
        <v>1007</v>
      </c>
      <c r="AP1095" s="15" t="s">
        <v>1008</v>
      </c>
      <c r="AQ1095" s="15" t="s">
        <v>1177</v>
      </c>
      <c r="AR1095" s="15" t="s">
        <v>1178</v>
      </c>
      <c r="AS1095" s="15" t="s">
        <v>2875</v>
      </c>
      <c r="AT1095" s="15" t="s">
        <v>2351</v>
      </c>
      <c r="AW1095" s="15" t="s">
        <v>628</v>
      </c>
      <c r="AY1095" s="15" t="s">
        <v>413</v>
      </c>
      <c r="AZ1095" s="15" t="b">
        <v>0</v>
      </c>
      <c r="BA1095" s="15" t="s">
        <v>413</v>
      </c>
      <c r="BB1095" s="15" t="b">
        <v>0</v>
      </c>
      <c r="BC1095" s="15" t="s">
        <v>10453</v>
      </c>
      <c r="BD1095" s="15" t="s">
        <v>1303</v>
      </c>
      <c r="BE1095" s="15" t="str">
        <f t="shared" si="1897"/>
        <v>1</v>
      </c>
      <c r="BF1095" s="15" t="s">
        <v>416</v>
      </c>
      <c r="BG1095" s="15" t="str">
        <f t="shared" si="1905"/>
        <v>39.5</v>
      </c>
      <c r="BH1095" s="15" t="s">
        <v>5215</v>
      </c>
      <c r="BI1095" s="15" t="str">
        <f t="shared" ref="BI1095:BI1096" si="1907">"22"</f>
        <v>22</v>
      </c>
      <c r="BJ1095" s="15" t="s">
        <v>1562</v>
      </c>
      <c r="BK1095" s="15" t="str">
        <f>"27.75"</f>
        <v>27.75</v>
      </c>
      <c r="BL1095" s="15" t="s">
        <v>6486</v>
      </c>
      <c r="BM1095" s="15" t="str">
        <f t="shared" si="1906"/>
        <v>108.25</v>
      </c>
      <c r="BN1095" s="15" t="s">
        <v>10454</v>
      </c>
      <c r="BQ1095" s="15" t="s">
        <v>444</v>
      </c>
      <c r="BS1095" s="15" t="s">
        <v>444</v>
      </c>
      <c r="BU1095" s="15" t="s">
        <v>444</v>
      </c>
      <c r="BW1095" s="15" t="s">
        <v>444</v>
      </c>
      <c r="BZ1095" s="15" t="s">
        <v>444</v>
      </c>
      <c r="CB1095" s="15" t="s">
        <v>444</v>
      </c>
      <c r="CD1095" s="15" t="s">
        <v>444</v>
      </c>
      <c r="CF1095" s="15" t="s">
        <v>444</v>
      </c>
      <c r="CI1095" s="15" t="s">
        <v>444</v>
      </c>
      <c r="CK1095" s="15" t="s">
        <v>444</v>
      </c>
      <c r="CM1095" s="15" t="s">
        <v>444</v>
      </c>
      <c r="CO1095" s="15" t="s">
        <v>444</v>
      </c>
      <c r="CP1095" s="15" t="str">
        <f>"13.95"</f>
        <v>13.95</v>
      </c>
      <c r="CQ1095" s="15" t="str">
        <f>"0.395"</f>
        <v>0.395</v>
      </c>
      <c r="CR1095" s="15" t="s">
        <v>465</v>
      </c>
      <c r="CV1095" s="15" t="s">
        <v>6018</v>
      </c>
      <c r="CW1095" s="15" t="s">
        <v>3241</v>
      </c>
      <c r="CX1095" s="15" t="s">
        <v>734</v>
      </c>
      <c r="DC1095" s="15" t="str">
        <f>IFERROR(__xludf.DUMMYFUNCTION("""COMPUTED_VALUE"""),"")</f>
        <v/>
      </c>
      <c r="DE1095" s="15" t="str">
        <f>IFERROR(__xludf.DUMMYFUNCTION("""COMPUTED_VALUE"""),"")</f>
        <v/>
      </c>
      <c r="DG1095" s="15" t="str">
        <f>IFERROR(__xludf.DUMMYFUNCTION("""COMPUTED_VALUE"""),"")</f>
        <v/>
      </c>
      <c r="DL1095" s="15" t="str">
        <f>IFERROR(__xludf.DUMMYFUNCTION("""COMPUTED_VALUE"""),"")</f>
        <v/>
      </c>
      <c r="DM1095" s="15" t="s">
        <v>444</v>
      </c>
      <c r="DN1095" s="15" t="s">
        <v>418</v>
      </c>
      <c r="DO1095" s="15">
        <v>1.0</v>
      </c>
      <c r="DP1095" s="15" t="s">
        <v>2601</v>
      </c>
      <c r="DR1095" s="15">
        <v>0.0</v>
      </c>
      <c r="DT1095" s="15" t="s">
        <v>1111</v>
      </c>
      <c r="DU1095" s="15" t="s">
        <v>421</v>
      </c>
      <c r="DY1095" s="15">
        <v>0.0</v>
      </c>
      <c r="EF1095" s="15" t="s">
        <v>471</v>
      </c>
      <c r="EG1095" s="15" t="s">
        <v>472</v>
      </c>
      <c r="EH1095" s="15" t="s">
        <v>10393</v>
      </c>
      <c r="EJ1095" s="15" t="s">
        <v>500</v>
      </c>
      <c r="EK1095" s="15" t="s">
        <v>501</v>
      </c>
      <c r="EM1095" s="15" t="str">
        <f>IFERROR(__xludf.DUMMYFUNCTION("""COMPUTED_VALUE"""),"")</f>
        <v/>
      </c>
      <c r="EW1095" s="15" t="s">
        <v>672</v>
      </c>
      <c r="FM1095" s="15">
        <v>1.0</v>
      </c>
      <c r="GH1095" s="15">
        <v>0.0</v>
      </c>
      <c r="GI1095" s="15" t="s">
        <v>427</v>
      </c>
      <c r="GO1095" s="15" t="s">
        <v>426</v>
      </c>
      <c r="GQ1095" s="15" t="s">
        <v>1982</v>
      </c>
      <c r="GS1095" s="15" t="s">
        <v>505</v>
      </c>
      <c r="GU1095" s="15" t="s">
        <v>3546</v>
      </c>
      <c r="GW1095" s="15" t="s">
        <v>431</v>
      </c>
      <c r="GY1095" s="15" t="s">
        <v>420</v>
      </c>
      <c r="GZ1095" s="15" t="s">
        <v>426</v>
      </c>
    </row>
    <row r="1096" ht="15.75" customHeight="1">
      <c r="A1096" s="14" t="s">
        <v>391</v>
      </c>
      <c r="B1096" s="15" t="s">
        <v>10459</v>
      </c>
      <c r="C1096" s="16"/>
      <c r="D1096" s="15" t="s">
        <v>432</v>
      </c>
      <c r="G1096" s="14" t="s">
        <v>393</v>
      </c>
      <c r="H1096" s="14" t="s">
        <v>394</v>
      </c>
      <c r="I1096" s="14" t="b">
        <v>1</v>
      </c>
      <c r="J1096" s="14" t="s">
        <v>395</v>
      </c>
      <c r="L1096" s="14" t="b">
        <v>0</v>
      </c>
      <c r="M1096" s="15" t="s">
        <v>10460</v>
      </c>
      <c r="N1096" s="14" t="s">
        <v>393</v>
      </c>
      <c r="O1096" s="14" t="s">
        <v>393</v>
      </c>
      <c r="P1096" s="15" t="s">
        <v>397</v>
      </c>
      <c r="Q1096" s="15" t="s">
        <v>7632</v>
      </c>
      <c r="T1096" s="14" t="b">
        <v>0</v>
      </c>
      <c r="U1096" s="15" t="s">
        <v>10461</v>
      </c>
      <c r="V1096" s="15" t="s">
        <v>10462</v>
      </c>
      <c r="W1096" s="15" t="s">
        <v>401</v>
      </c>
      <c r="X1096" s="15" t="s">
        <v>1296</v>
      </c>
      <c r="Y1096" s="15">
        <v>3393.0</v>
      </c>
      <c r="AA1096" s="15" t="str">
        <f>"1305"</f>
        <v>1305</v>
      </c>
      <c r="AB1096" s="14" t="b">
        <v>1</v>
      </c>
      <c r="AC1096" s="14" t="b">
        <v>1</v>
      </c>
      <c r="AD1096" s="15" t="str">
        <f>"801542241780"</f>
        <v>801542241780</v>
      </c>
      <c r="AE1096" s="15" t="s">
        <v>10463</v>
      </c>
      <c r="AF1096" s="14" t="s">
        <v>404</v>
      </c>
      <c r="AG1096" s="14" t="s">
        <v>405</v>
      </c>
      <c r="AH1096" s="14" t="s">
        <v>406</v>
      </c>
      <c r="AI1096" s="15">
        <v>0.0</v>
      </c>
      <c r="AL1096" s="15" t="s">
        <v>1532</v>
      </c>
      <c r="AM1096" s="15" t="s">
        <v>770</v>
      </c>
      <c r="AN1096" s="15" t="s">
        <v>771</v>
      </c>
      <c r="AO1096" s="15" t="s">
        <v>1007</v>
      </c>
      <c r="AP1096" s="15" t="s">
        <v>1008</v>
      </c>
      <c r="AQ1096" s="15" t="s">
        <v>546</v>
      </c>
      <c r="AR1096" s="15" t="s">
        <v>547</v>
      </c>
      <c r="AS1096" s="15" t="s">
        <v>2875</v>
      </c>
      <c r="AT1096" s="15" t="s">
        <v>7632</v>
      </c>
      <c r="AU1096" s="15" t="s">
        <v>2351</v>
      </c>
      <c r="AW1096" s="15" t="s">
        <v>664</v>
      </c>
      <c r="AY1096" s="15" t="s">
        <v>413</v>
      </c>
      <c r="AZ1096" s="15" t="b">
        <v>0</v>
      </c>
      <c r="BA1096" s="15" t="s">
        <v>413</v>
      </c>
      <c r="BB1096" s="15" t="b">
        <v>0</v>
      </c>
      <c r="BC1096" s="15" t="s">
        <v>10464</v>
      </c>
      <c r="BD1096" s="15" t="s">
        <v>1303</v>
      </c>
      <c r="BE1096" s="15" t="str">
        <f t="shared" si="1897"/>
        <v>1</v>
      </c>
      <c r="BF1096" s="15" t="s">
        <v>416</v>
      </c>
      <c r="BG1096" s="15" t="str">
        <f>"97.5"</f>
        <v>97.5</v>
      </c>
      <c r="BH1096" s="15" t="s">
        <v>6992</v>
      </c>
      <c r="BI1096" s="15" t="str">
        <f t="shared" si="1907"/>
        <v>22</v>
      </c>
      <c r="BJ1096" s="15" t="s">
        <v>1562</v>
      </c>
      <c r="BK1096" s="15" t="str">
        <f>"33.5"</f>
        <v>33.5</v>
      </c>
      <c r="BL1096" s="15" t="s">
        <v>1223</v>
      </c>
      <c r="BM1096" s="15" t="str">
        <f>"249.12"</f>
        <v>249.12</v>
      </c>
      <c r="BN1096" s="15" t="s">
        <v>1035</v>
      </c>
      <c r="BQ1096" s="15" t="s">
        <v>444</v>
      </c>
      <c r="BS1096" s="15" t="s">
        <v>444</v>
      </c>
      <c r="BU1096" s="15" t="s">
        <v>444</v>
      </c>
      <c r="BW1096" s="15" t="s">
        <v>444</v>
      </c>
      <c r="BZ1096" s="15" t="s">
        <v>444</v>
      </c>
      <c r="CB1096" s="15" t="s">
        <v>444</v>
      </c>
      <c r="CD1096" s="15" t="s">
        <v>444</v>
      </c>
      <c r="CF1096" s="15" t="s">
        <v>444</v>
      </c>
      <c r="CI1096" s="15" t="s">
        <v>444</v>
      </c>
      <c r="CK1096" s="15" t="s">
        <v>444</v>
      </c>
      <c r="CM1096" s="15" t="s">
        <v>444</v>
      </c>
      <c r="CO1096" s="15" t="s">
        <v>444</v>
      </c>
      <c r="CP1096" s="15" t="str">
        <f>"41.6"</f>
        <v>41.6</v>
      </c>
      <c r="CQ1096" s="15" t="str">
        <f>"1.178"</f>
        <v>1.178</v>
      </c>
      <c r="CR1096" s="15" t="s">
        <v>465</v>
      </c>
      <c r="CV1096" s="15" t="s">
        <v>1288</v>
      </c>
      <c r="CW1096" s="15" t="s">
        <v>1286</v>
      </c>
      <c r="CX1096" s="15" t="s">
        <v>10465</v>
      </c>
      <c r="DC1096" s="15" t="str">
        <f>IFERROR(__xludf.DUMMYFUNCTION("""COMPUTED_VALUE"""),"")</f>
        <v/>
      </c>
      <c r="DE1096" s="15" t="str">
        <f>IFERROR(__xludf.DUMMYFUNCTION("""COMPUTED_VALUE"""),"")</f>
        <v/>
      </c>
      <c r="DG1096" s="15" t="str">
        <f>IFERROR(__xludf.DUMMYFUNCTION("""COMPUTED_VALUE"""),"")</f>
        <v/>
      </c>
      <c r="DL1096" s="15" t="str">
        <f>IFERROR(__xludf.DUMMYFUNCTION("""COMPUTED_VALUE"""),"")</f>
        <v/>
      </c>
      <c r="DM1096" s="15" t="s">
        <v>444</v>
      </c>
      <c r="DN1096" s="15" t="s">
        <v>419</v>
      </c>
      <c r="DO1096" s="15">
        <v>0.0</v>
      </c>
      <c r="DP1096" s="15" t="s">
        <v>419</v>
      </c>
      <c r="DR1096" s="15">
        <v>0.0</v>
      </c>
      <c r="DT1096" s="15" t="s">
        <v>1111</v>
      </c>
      <c r="DU1096" s="15" t="s">
        <v>610</v>
      </c>
      <c r="DW1096" s="15">
        <v>18.14</v>
      </c>
      <c r="DX1096" s="15">
        <v>40.0</v>
      </c>
      <c r="DY1096" s="15">
        <v>2.0</v>
      </c>
      <c r="EG1096" s="15" t="s">
        <v>444</v>
      </c>
      <c r="EH1096" s="15" t="s">
        <v>10393</v>
      </c>
      <c r="EJ1096" s="15" t="s">
        <v>424</v>
      </c>
      <c r="EK1096" s="15" t="s">
        <v>446</v>
      </c>
      <c r="EM1096" s="15" t="str">
        <f>IFERROR(__xludf.DUMMYFUNCTION("""COMPUTED_VALUE"""),"")</f>
        <v/>
      </c>
      <c r="EW1096" s="15" t="s">
        <v>672</v>
      </c>
      <c r="FL1096" s="15" t="s">
        <v>426</v>
      </c>
      <c r="FM1096" s="15">
        <v>2.0</v>
      </c>
      <c r="FY1096" s="15" t="s">
        <v>1286</v>
      </c>
      <c r="FZ1096" s="15" t="s">
        <v>612</v>
      </c>
      <c r="GA1096" s="15" t="s">
        <v>1072</v>
      </c>
      <c r="GB1096" s="15" t="s">
        <v>1288</v>
      </c>
      <c r="GC1096" s="15" t="s">
        <v>612</v>
      </c>
      <c r="GD1096" s="15" t="s">
        <v>3841</v>
      </c>
      <c r="GE1096" s="15">
        <v>0.0</v>
      </c>
      <c r="GF1096" s="15" t="s">
        <v>426</v>
      </c>
      <c r="GG1096" s="15" t="s">
        <v>1883</v>
      </c>
      <c r="GH1096" s="15">
        <v>4.0</v>
      </c>
      <c r="GI1096" s="15" t="s">
        <v>614</v>
      </c>
      <c r="GJ1096" s="15" t="s">
        <v>615</v>
      </c>
      <c r="GK1096" s="15">
        <v>0.0</v>
      </c>
      <c r="GL1096" s="15" t="s">
        <v>426</v>
      </c>
      <c r="GN1096" s="15" t="s">
        <v>616</v>
      </c>
    </row>
    <row r="1097" ht="15.75" customHeight="1">
      <c r="A1097" s="14" t="s">
        <v>391</v>
      </c>
      <c r="B1097" s="15" t="s">
        <v>10466</v>
      </c>
      <c r="C1097" s="16"/>
      <c r="D1097" s="15" t="s">
        <v>432</v>
      </c>
      <c r="G1097" s="14" t="s">
        <v>393</v>
      </c>
      <c r="H1097" s="14" t="s">
        <v>394</v>
      </c>
      <c r="I1097" s="14" t="b">
        <v>1</v>
      </c>
      <c r="J1097" s="14" t="s">
        <v>395</v>
      </c>
      <c r="L1097" s="14" t="b">
        <v>0</v>
      </c>
      <c r="M1097" s="15" t="s">
        <v>10467</v>
      </c>
      <c r="N1097" s="14" t="s">
        <v>393</v>
      </c>
      <c r="O1097" s="14" t="s">
        <v>393</v>
      </c>
      <c r="P1097" s="15" t="s">
        <v>397</v>
      </c>
      <c r="Q1097" s="15" t="s">
        <v>2818</v>
      </c>
      <c r="T1097" s="14" t="b">
        <v>0</v>
      </c>
      <c r="U1097" s="15" t="s">
        <v>10468</v>
      </c>
      <c r="V1097" s="15" t="s">
        <v>1220</v>
      </c>
      <c r="W1097" s="15" t="s">
        <v>401</v>
      </c>
      <c r="X1097" s="15" t="s">
        <v>695</v>
      </c>
      <c r="Y1097" s="15">
        <v>2080.0</v>
      </c>
      <c r="AA1097" s="15" t="str">
        <f t="shared" ref="AA1097:AA1098" si="1908">"800"</f>
        <v>800</v>
      </c>
      <c r="AB1097" s="14" t="b">
        <v>1</v>
      </c>
      <c r="AC1097" s="14" t="b">
        <v>1</v>
      </c>
      <c r="AD1097" s="15" t="str">
        <f>"801542133696"</f>
        <v>801542133696</v>
      </c>
      <c r="AE1097" s="15" t="s">
        <v>10469</v>
      </c>
      <c r="AF1097" s="14" t="s">
        <v>404</v>
      </c>
      <c r="AG1097" s="14" t="s">
        <v>405</v>
      </c>
      <c r="AH1097" s="14" t="s">
        <v>406</v>
      </c>
      <c r="AI1097" s="15">
        <v>0.0</v>
      </c>
      <c r="AL1097" s="15" t="s">
        <v>1600</v>
      </c>
      <c r="AM1097" s="15" t="s">
        <v>645</v>
      </c>
      <c r="AN1097" s="15" t="s">
        <v>646</v>
      </c>
      <c r="AO1097" s="15" t="s">
        <v>622</v>
      </c>
      <c r="AP1097" s="15" t="s">
        <v>623</v>
      </c>
      <c r="AQ1097" s="15" t="s">
        <v>1085</v>
      </c>
      <c r="AR1097" s="15" t="s">
        <v>1086</v>
      </c>
      <c r="AS1097" s="15" t="s">
        <v>915</v>
      </c>
      <c r="AT1097" s="15" t="s">
        <v>2818</v>
      </c>
      <c r="AW1097" s="15" t="s">
        <v>706</v>
      </c>
      <c r="AX1097" s="15" t="s">
        <v>707</v>
      </c>
      <c r="AY1097" s="15" t="s">
        <v>413</v>
      </c>
      <c r="AZ1097" s="15" t="b">
        <v>0</v>
      </c>
      <c r="BA1097" s="15" t="s">
        <v>413</v>
      </c>
      <c r="BB1097" s="15" t="b">
        <v>0</v>
      </c>
      <c r="BC1097" s="15" t="s">
        <v>10470</v>
      </c>
      <c r="BD1097" s="15" t="s">
        <v>709</v>
      </c>
      <c r="BE1097" s="15" t="str">
        <f t="shared" si="1897"/>
        <v>1</v>
      </c>
      <c r="BF1097" s="15" t="s">
        <v>416</v>
      </c>
      <c r="BG1097" s="15" t="str">
        <f>"37.01"</f>
        <v>37.01</v>
      </c>
      <c r="BH1097" s="15" t="s">
        <v>1990</v>
      </c>
      <c r="BI1097" s="15" t="str">
        <f>"37.01"</f>
        <v>37.01</v>
      </c>
      <c r="BJ1097" s="15" t="s">
        <v>1990</v>
      </c>
      <c r="BK1097" s="15" t="str">
        <f>"29.53"</f>
        <v>29.53</v>
      </c>
      <c r="BL1097" s="15" t="s">
        <v>1062</v>
      </c>
      <c r="BM1097" s="15" t="str">
        <f>"92.59"</f>
        <v>92.59</v>
      </c>
      <c r="BN1097" s="15" t="s">
        <v>3348</v>
      </c>
      <c r="BQ1097" s="15" t="s">
        <v>444</v>
      </c>
      <c r="BS1097" s="15" t="s">
        <v>444</v>
      </c>
      <c r="BU1097" s="15" t="s">
        <v>444</v>
      </c>
      <c r="BW1097" s="15" t="s">
        <v>444</v>
      </c>
      <c r="BZ1097" s="15" t="s">
        <v>444</v>
      </c>
      <c r="CB1097" s="15" t="s">
        <v>444</v>
      </c>
      <c r="CD1097" s="15" t="s">
        <v>444</v>
      </c>
      <c r="CF1097" s="15" t="s">
        <v>444</v>
      </c>
      <c r="CI1097" s="15" t="s">
        <v>444</v>
      </c>
      <c r="CK1097" s="15" t="s">
        <v>444</v>
      </c>
      <c r="CM1097" s="15" t="s">
        <v>444</v>
      </c>
      <c r="CO1097" s="15" t="s">
        <v>444</v>
      </c>
      <c r="CP1097" s="15" t="str">
        <f>"23.41"</f>
        <v>23.41</v>
      </c>
      <c r="CQ1097" s="15" t="str">
        <f>"0.663"</f>
        <v>0.663</v>
      </c>
      <c r="CR1097" s="15" t="s">
        <v>465</v>
      </c>
      <c r="DB1097" s="15" t="s">
        <v>555</v>
      </c>
      <c r="DC1097" s="15" t="str">
        <f>IFERROR(__xludf.DUMMYFUNCTION("""COMPUTED_VALUE"""),"{""value"":25.00,""unit"":""in""}")</f>
        <v>{"value":25.00,"unit":"in"}</v>
      </c>
      <c r="DD1097" s="15" t="s">
        <v>1065</v>
      </c>
      <c r="DE1097" s="15" t="str">
        <f>IFERROR(__xludf.DUMMYFUNCTION("""COMPUTED_VALUE"""),"{""value"":18.00,""unit"":""in""}")</f>
        <v>{"value":18.00,"unit":"in"}</v>
      </c>
      <c r="DF1097" s="15" t="s">
        <v>1214</v>
      </c>
      <c r="DG1097" s="15" t="str">
        <f>IFERROR(__xludf.DUMMYFUNCTION("""COMPUTED_VALUE"""),"{""value"":21.75,""unit"":""in""}")</f>
        <v>{"value":21.75,"unit":"in"}</v>
      </c>
      <c r="DH1097" s="15">
        <v>0.0</v>
      </c>
      <c r="DI1097" s="15">
        <v>0.0</v>
      </c>
      <c r="DJ1097" s="15" t="s">
        <v>717</v>
      </c>
      <c r="DK1097" s="15" t="s">
        <v>718</v>
      </c>
      <c r="DL1097" s="15" t="str">
        <f>IFERROR(__xludf.DUMMYFUNCTION("""COMPUTED_VALUE"""),"Vacuum or light brush only. Do not use water or any cleaning products.")</f>
        <v>Vacuum or light brush only. Do not use water or any cleaning products.</v>
      </c>
      <c r="DM1097" s="15" t="s">
        <v>719</v>
      </c>
      <c r="DT1097" s="15" t="s">
        <v>721</v>
      </c>
      <c r="DU1097" s="15" t="s">
        <v>1605</v>
      </c>
      <c r="DV1097" s="15">
        <v>0.0</v>
      </c>
      <c r="DZ1097" s="15">
        <v>0.0</v>
      </c>
      <c r="EA1097" s="15" t="s">
        <v>990</v>
      </c>
      <c r="ED1097" s="15">
        <v>0.0</v>
      </c>
      <c r="EE1097" s="15">
        <v>1.0</v>
      </c>
      <c r="EG1097" s="15" t="s">
        <v>444</v>
      </c>
      <c r="EH1097" s="15" t="s">
        <v>10471</v>
      </c>
      <c r="EI1097" s="15">
        <v>0.0</v>
      </c>
      <c r="EJ1097" s="15" t="s">
        <v>726</v>
      </c>
      <c r="EK1097" s="15" t="s">
        <v>727</v>
      </c>
      <c r="EL1097" s="15" t="s">
        <v>1574</v>
      </c>
      <c r="EM1097" s="15" t="str">
        <f>IFERROR(__xludf.DUMMYFUNCTION("""COMPUTED_VALUE"""),"{""value"":28.00,""unit"":""in""}")</f>
        <v>{"value":28.00,"unit":"in"}</v>
      </c>
      <c r="EN1097" s="15" t="s">
        <v>531</v>
      </c>
      <c r="EO1097" s="15" t="s">
        <v>2434</v>
      </c>
      <c r="ES1097" s="15" t="s">
        <v>2736</v>
      </c>
      <c r="EW1097" s="15" t="s">
        <v>425</v>
      </c>
      <c r="EZ1097" s="15" t="s">
        <v>531</v>
      </c>
      <c r="FF1097" s="15" t="s">
        <v>1255</v>
      </c>
      <c r="FG1097" s="15" t="s">
        <v>2200</v>
      </c>
      <c r="FQ1097" s="15">
        <v>0.0</v>
      </c>
      <c r="FR1097" s="15">
        <v>0.0</v>
      </c>
      <c r="FT1097" s="15">
        <v>0.0</v>
      </c>
      <c r="IL1097" s="15" t="s">
        <v>1610</v>
      </c>
    </row>
    <row r="1098" ht="15.75" customHeight="1">
      <c r="A1098" s="14" t="s">
        <v>391</v>
      </c>
      <c r="B1098" s="15" t="s">
        <v>10472</v>
      </c>
      <c r="C1098" s="16"/>
      <c r="D1098" s="15" t="s">
        <v>432</v>
      </c>
      <c r="G1098" s="14" t="s">
        <v>393</v>
      </c>
      <c r="H1098" s="14" t="s">
        <v>394</v>
      </c>
      <c r="I1098" s="14" t="b">
        <v>1</v>
      </c>
      <c r="J1098" s="14" t="s">
        <v>395</v>
      </c>
      <c r="L1098" s="14" t="b">
        <v>0</v>
      </c>
      <c r="M1098" s="15" t="s">
        <v>10473</v>
      </c>
      <c r="N1098" s="14" t="s">
        <v>393</v>
      </c>
      <c r="O1098" s="14" t="s">
        <v>393</v>
      </c>
      <c r="P1098" s="15" t="s">
        <v>397</v>
      </c>
      <c r="Q1098" s="15" t="s">
        <v>9007</v>
      </c>
      <c r="T1098" s="14" t="b">
        <v>0</v>
      </c>
      <c r="U1098" s="15" t="s">
        <v>10474</v>
      </c>
      <c r="V1098" s="15" t="s">
        <v>5010</v>
      </c>
      <c r="W1098" s="15" t="s">
        <v>401</v>
      </c>
      <c r="X1098" s="15" t="s">
        <v>742</v>
      </c>
      <c r="Y1098" s="15">
        <v>2080.0</v>
      </c>
      <c r="AA1098" s="15" t="str">
        <f t="shared" si="1908"/>
        <v>800</v>
      </c>
      <c r="AB1098" s="14" t="b">
        <v>1</v>
      </c>
      <c r="AC1098" s="14" t="b">
        <v>1</v>
      </c>
      <c r="AD1098" s="15" t="str">
        <f>"801542350635"</f>
        <v>801542350635</v>
      </c>
      <c r="AE1098" s="15" t="s">
        <v>10475</v>
      </c>
      <c r="AF1098" s="14" t="s">
        <v>404</v>
      </c>
      <c r="AG1098" s="14" t="s">
        <v>405</v>
      </c>
      <c r="AH1098" s="14" t="s">
        <v>406</v>
      </c>
      <c r="AI1098" s="15">
        <v>0.0</v>
      </c>
      <c r="AL1098" s="15" t="s">
        <v>6403</v>
      </c>
      <c r="AM1098" s="15" t="s">
        <v>2151</v>
      </c>
      <c r="AN1098" s="15" t="s">
        <v>2152</v>
      </c>
      <c r="AO1098" s="15" t="s">
        <v>1152</v>
      </c>
      <c r="AP1098" s="15" t="s">
        <v>1153</v>
      </c>
      <c r="AQ1098" s="15" t="s">
        <v>546</v>
      </c>
      <c r="AR1098" s="15" t="s">
        <v>547</v>
      </c>
      <c r="AS1098" s="15" t="s">
        <v>2063</v>
      </c>
      <c r="AT1098" s="15" t="s">
        <v>9007</v>
      </c>
      <c r="AU1098" s="15" t="s">
        <v>10476</v>
      </c>
      <c r="AV1098" s="15" t="s">
        <v>10477</v>
      </c>
      <c r="AW1098" s="15" t="s">
        <v>664</v>
      </c>
      <c r="AY1098" s="15" t="s">
        <v>413</v>
      </c>
      <c r="AZ1098" s="15" t="b">
        <v>0</v>
      </c>
      <c r="BA1098" s="15" t="s">
        <v>413</v>
      </c>
      <c r="BB1098" s="15" t="b">
        <v>0</v>
      </c>
      <c r="BC1098" s="15" t="s">
        <v>10478</v>
      </c>
      <c r="BD1098" s="15" t="s">
        <v>742</v>
      </c>
      <c r="BE1098" s="15" t="str">
        <f t="shared" si="1897"/>
        <v>1</v>
      </c>
      <c r="BF1098" s="15" t="s">
        <v>10479</v>
      </c>
      <c r="BG1098" s="15" t="str">
        <f>"86.81"</f>
        <v>86.81</v>
      </c>
      <c r="BH1098" s="15" t="s">
        <v>10480</v>
      </c>
      <c r="BI1098" s="15" t="str">
        <f>"20.87"</f>
        <v>20.87</v>
      </c>
      <c r="BJ1098" s="15" t="s">
        <v>495</v>
      </c>
      <c r="BK1098" s="15" t="str">
        <f>"32.68"</f>
        <v>32.68</v>
      </c>
      <c r="BL1098" s="15" t="s">
        <v>2066</v>
      </c>
      <c r="BM1098" s="15" t="str">
        <f>"266.76"</f>
        <v>266.76</v>
      </c>
      <c r="BN1098" s="15" t="s">
        <v>6423</v>
      </c>
      <c r="BQ1098" s="15" t="s">
        <v>444</v>
      </c>
      <c r="BS1098" s="15" t="s">
        <v>444</v>
      </c>
      <c r="BU1098" s="15" t="s">
        <v>444</v>
      </c>
      <c r="BW1098" s="15" t="s">
        <v>444</v>
      </c>
      <c r="BZ1098" s="15" t="s">
        <v>444</v>
      </c>
      <c r="CB1098" s="15" t="s">
        <v>444</v>
      </c>
      <c r="CD1098" s="15" t="s">
        <v>444</v>
      </c>
      <c r="CF1098" s="15" t="s">
        <v>444</v>
      </c>
      <c r="CI1098" s="15" t="s">
        <v>444</v>
      </c>
      <c r="CK1098" s="15" t="s">
        <v>444</v>
      </c>
      <c r="CM1098" s="15" t="s">
        <v>444</v>
      </c>
      <c r="CO1098" s="15" t="s">
        <v>444</v>
      </c>
      <c r="CP1098" s="15" t="str">
        <f>"34.26"</f>
        <v>34.26</v>
      </c>
      <c r="CQ1098" s="15" t="str">
        <f>"0.97"</f>
        <v>0.97</v>
      </c>
      <c r="CR1098" s="15" t="s">
        <v>417</v>
      </c>
      <c r="CV1098" s="15" t="s">
        <v>8348</v>
      </c>
      <c r="CW1098" s="15" t="s">
        <v>715</v>
      </c>
      <c r="CX1098" s="15" t="s">
        <v>10481</v>
      </c>
      <c r="DC1098" s="15" t="str">
        <f>IFERROR(__xludf.DUMMYFUNCTION("""COMPUTED_VALUE"""),"")</f>
        <v/>
      </c>
      <c r="DE1098" s="15" t="str">
        <f>IFERROR(__xludf.DUMMYFUNCTION("""COMPUTED_VALUE"""),"")</f>
        <v/>
      </c>
      <c r="DG1098" s="15" t="str">
        <f>IFERROR(__xludf.DUMMYFUNCTION("""COMPUTED_VALUE"""),"")</f>
        <v/>
      </c>
      <c r="DL1098" s="15" t="str">
        <f>IFERROR(__xludf.DUMMYFUNCTION("""COMPUTED_VALUE"""),"")</f>
        <v/>
      </c>
      <c r="DM1098" s="15" t="s">
        <v>444</v>
      </c>
      <c r="DN1098" s="15" t="s">
        <v>419</v>
      </c>
      <c r="DO1098" s="15">
        <v>0.0</v>
      </c>
      <c r="DP1098" s="15" t="s">
        <v>419</v>
      </c>
      <c r="DR1098" s="15">
        <v>0.0</v>
      </c>
      <c r="DT1098" s="15" t="s">
        <v>764</v>
      </c>
      <c r="DU1098" s="15" t="s">
        <v>610</v>
      </c>
      <c r="DW1098" s="15">
        <v>18.14</v>
      </c>
      <c r="DX1098" s="15">
        <v>40.0</v>
      </c>
      <c r="DY1098" s="15">
        <v>2.0</v>
      </c>
      <c r="EG1098" s="15" t="s">
        <v>444</v>
      </c>
      <c r="EH1098" s="15" t="s">
        <v>10482</v>
      </c>
      <c r="EJ1098" s="15" t="s">
        <v>424</v>
      </c>
      <c r="EK1098" s="15" t="s">
        <v>446</v>
      </c>
      <c r="EM1098" s="15" t="str">
        <f>IFERROR(__xludf.DUMMYFUNCTION("""COMPUTED_VALUE"""),"")</f>
        <v/>
      </c>
      <c r="EW1098" s="15" t="s">
        <v>2603</v>
      </c>
      <c r="FL1098" s="15" t="s">
        <v>426</v>
      </c>
      <c r="FM1098" s="15">
        <v>2.0</v>
      </c>
      <c r="FY1098" s="15" t="s">
        <v>2652</v>
      </c>
      <c r="FZ1098" s="15" t="s">
        <v>782</v>
      </c>
      <c r="GA1098" s="15" t="s">
        <v>1484</v>
      </c>
      <c r="GB1098" s="15" t="s">
        <v>8348</v>
      </c>
      <c r="GC1098" s="15" t="s">
        <v>612</v>
      </c>
      <c r="GD1098" s="15" t="s">
        <v>10481</v>
      </c>
      <c r="GE1098" s="15">
        <v>0.0</v>
      </c>
      <c r="GF1098" s="15" t="s">
        <v>426</v>
      </c>
      <c r="GH1098" s="15">
        <v>4.0</v>
      </c>
      <c r="GI1098" s="15" t="s">
        <v>614</v>
      </c>
      <c r="GJ1098" s="15" t="s">
        <v>1045</v>
      </c>
      <c r="GK1098" s="15">
        <v>0.0</v>
      </c>
      <c r="GL1098" s="15" t="s">
        <v>426</v>
      </c>
      <c r="GN1098" s="15" t="s">
        <v>616</v>
      </c>
      <c r="HA1098" s="15" t="s">
        <v>8348</v>
      </c>
      <c r="HB1098" s="15" t="s">
        <v>715</v>
      </c>
      <c r="HC1098" s="15" t="s">
        <v>10481</v>
      </c>
      <c r="HW1098" s="15" t="s">
        <v>1957</v>
      </c>
      <c r="IH1098" s="15" t="s">
        <v>426</v>
      </c>
    </row>
    <row r="1099" ht="15.75" customHeight="1">
      <c r="A1099" s="14" t="s">
        <v>391</v>
      </c>
      <c r="B1099" s="15" t="s">
        <v>10483</v>
      </c>
      <c r="C1099" s="16"/>
      <c r="D1099" s="15" t="s">
        <v>432</v>
      </c>
      <c r="G1099" s="14" t="s">
        <v>393</v>
      </c>
      <c r="H1099" s="14" t="s">
        <v>394</v>
      </c>
      <c r="I1099" s="14" t="b">
        <v>1</v>
      </c>
      <c r="J1099" s="14" t="s">
        <v>395</v>
      </c>
      <c r="L1099" s="14" t="b">
        <v>0</v>
      </c>
      <c r="M1099" s="15" t="s">
        <v>10484</v>
      </c>
      <c r="N1099" s="14" t="s">
        <v>393</v>
      </c>
      <c r="O1099" s="14" t="s">
        <v>393</v>
      </c>
      <c r="P1099" s="15" t="s">
        <v>397</v>
      </c>
      <c r="Q1099" s="15" t="s">
        <v>5209</v>
      </c>
      <c r="T1099" s="14" t="b">
        <v>0</v>
      </c>
      <c r="U1099" s="15" t="s">
        <v>10485</v>
      </c>
      <c r="V1099" s="15" t="s">
        <v>8681</v>
      </c>
      <c r="W1099" s="15" t="s">
        <v>401</v>
      </c>
      <c r="X1099" s="15" t="s">
        <v>402</v>
      </c>
      <c r="Y1099" s="15">
        <v>2626.0</v>
      </c>
      <c r="AA1099" s="15" t="str">
        <f t="shared" ref="AA1099:AA1100" si="1909">"1010"</f>
        <v>1010</v>
      </c>
      <c r="AB1099" s="14" t="b">
        <v>1</v>
      </c>
      <c r="AC1099" s="14" t="b">
        <v>1</v>
      </c>
      <c r="AD1099" s="15" t="str">
        <f>"801542046934"</f>
        <v>801542046934</v>
      </c>
      <c r="AE1099" s="15" t="s">
        <v>10486</v>
      </c>
      <c r="AF1099" s="14" t="s">
        <v>404</v>
      </c>
      <c r="AG1099" s="14" t="s">
        <v>405</v>
      </c>
      <c r="AH1099" s="14" t="s">
        <v>406</v>
      </c>
      <c r="AI1099" s="15">
        <v>0.0</v>
      </c>
      <c r="AL1099" s="15" t="s">
        <v>5267</v>
      </c>
      <c r="AM1099" s="15" t="s">
        <v>582</v>
      </c>
      <c r="AN1099" s="15" t="s">
        <v>583</v>
      </c>
      <c r="AO1099" s="15" t="s">
        <v>3442</v>
      </c>
      <c r="AP1099" s="15" t="s">
        <v>3443</v>
      </c>
      <c r="AQ1099" s="15" t="s">
        <v>1276</v>
      </c>
      <c r="AR1099" s="15" t="s">
        <v>1277</v>
      </c>
      <c r="AS1099" s="15" t="s">
        <v>2374</v>
      </c>
      <c r="AT1099" s="15" t="s">
        <v>5209</v>
      </c>
      <c r="AU1099" s="15" t="s">
        <v>5268</v>
      </c>
      <c r="AW1099" s="15" t="s">
        <v>1732</v>
      </c>
      <c r="AY1099" s="15" t="s">
        <v>413</v>
      </c>
      <c r="AZ1099" s="15" t="b">
        <v>0</v>
      </c>
      <c r="BA1099" s="15" t="s">
        <v>413</v>
      </c>
      <c r="BB1099" s="15" t="b">
        <v>0</v>
      </c>
      <c r="BC1099" s="15" t="s">
        <v>10487</v>
      </c>
      <c r="BD1099" s="15" t="s">
        <v>415</v>
      </c>
      <c r="BE1099" s="15" t="str">
        <f t="shared" si="1897"/>
        <v>1</v>
      </c>
      <c r="BF1099" s="15" t="s">
        <v>416</v>
      </c>
      <c r="BG1099" s="15" t="str">
        <f t="shared" ref="BG1099:BG1100" si="1910">"93"</f>
        <v>93</v>
      </c>
      <c r="BH1099" s="15" t="s">
        <v>8103</v>
      </c>
      <c r="BI1099" s="15" t="str">
        <f t="shared" ref="BI1099:BI1100" si="1911">"42"</f>
        <v>42</v>
      </c>
      <c r="BJ1099" s="15" t="s">
        <v>2558</v>
      </c>
      <c r="BK1099" s="15" t="str">
        <f t="shared" ref="BK1099:BK1100" si="1912">"28"</f>
        <v>28</v>
      </c>
      <c r="BL1099" s="15" t="s">
        <v>1086</v>
      </c>
      <c r="BM1099" s="15" t="str">
        <f t="shared" ref="BM1099:BM1100" si="1913">"154.32"</f>
        <v>154.32</v>
      </c>
      <c r="BN1099" s="15" t="s">
        <v>2459</v>
      </c>
      <c r="BQ1099" s="15" t="s">
        <v>444</v>
      </c>
      <c r="BS1099" s="15" t="s">
        <v>444</v>
      </c>
      <c r="BU1099" s="15" t="s">
        <v>444</v>
      </c>
      <c r="BW1099" s="15" t="s">
        <v>444</v>
      </c>
      <c r="BZ1099" s="15" t="s">
        <v>444</v>
      </c>
      <c r="CB1099" s="15" t="s">
        <v>444</v>
      </c>
      <c r="CD1099" s="15" t="s">
        <v>444</v>
      </c>
      <c r="CF1099" s="15" t="s">
        <v>444</v>
      </c>
      <c r="CI1099" s="15" t="s">
        <v>444</v>
      </c>
      <c r="CK1099" s="15" t="s">
        <v>444</v>
      </c>
      <c r="CM1099" s="15" t="s">
        <v>444</v>
      </c>
      <c r="CO1099" s="15" t="s">
        <v>444</v>
      </c>
      <c r="CP1099" s="15" t="str">
        <f t="shared" ref="CP1099:CP1100" si="1914">"63.28"</f>
        <v>63.28</v>
      </c>
      <c r="CQ1099" s="15" t="str">
        <f t="shared" ref="CQ1099:CQ1100" si="1915">"1.792"</f>
        <v>1.792</v>
      </c>
      <c r="CR1099" s="15" t="s">
        <v>417</v>
      </c>
      <c r="CY1099" s="15" t="s">
        <v>3798</v>
      </c>
      <c r="CZ1099" s="15" t="s">
        <v>475</v>
      </c>
      <c r="DA1099" s="15" t="s">
        <v>671</v>
      </c>
      <c r="DB1099" s="15" t="s">
        <v>2571</v>
      </c>
      <c r="DC1099" s="15" t="str">
        <f>IFERROR(__xludf.DUMMYFUNCTION("""COMPUTED_VALUE"""),"{""value"":28.25,""unit"":""in""}")</f>
        <v>{"value":28.25,"unit":"in"}</v>
      </c>
      <c r="DD1099" s="15" t="s">
        <v>2292</v>
      </c>
      <c r="DE1099" s="15" t="str">
        <f>IFERROR(__xludf.DUMMYFUNCTION("""COMPUTED_VALUE"""),"{""value"":17.75,""unit"":""in""}")</f>
        <v>{"value":17.75,"unit":"in"}</v>
      </c>
      <c r="DF1099" s="15" t="s">
        <v>10488</v>
      </c>
      <c r="DG1099" s="15" t="str">
        <f>IFERROR(__xludf.DUMMYFUNCTION("""COMPUTED_VALUE"""),"{""value"":67.75,""unit"":""in""}")</f>
        <v>{"value":67.75,"unit":"in"}</v>
      </c>
      <c r="DH1099" s="15">
        <v>2.0</v>
      </c>
      <c r="DI1099" s="15">
        <v>2.0</v>
      </c>
      <c r="DJ1099" s="15" t="s">
        <v>717</v>
      </c>
      <c r="DK1099" s="15" t="s">
        <v>897</v>
      </c>
      <c r="DL1099" s="15" t="str">
        <f>IFERROR(__xludf.DUMMYFUNCTION("""COMPUTED_VALUE"""),"Clean with water-based products only. Use mild detergent or upholstery shampoo.")</f>
        <v>Clean with water-based products only. Use mild detergent or upholstery shampoo.</v>
      </c>
      <c r="DM1099" s="15" t="s">
        <v>898</v>
      </c>
      <c r="DQ1099" s="15" t="s">
        <v>2380</v>
      </c>
      <c r="DT1099" s="15" t="s">
        <v>721</v>
      </c>
      <c r="DU1099" s="15" t="s">
        <v>419</v>
      </c>
      <c r="DV1099" s="15">
        <v>0.0</v>
      </c>
      <c r="DZ1099" s="15">
        <v>100000.0</v>
      </c>
      <c r="EA1099" s="15" t="s">
        <v>990</v>
      </c>
      <c r="EB1099" s="15" t="s">
        <v>723</v>
      </c>
      <c r="EC1099" s="15" t="s">
        <v>1076</v>
      </c>
      <c r="ED1099" s="15">
        <v>2.0</v>
      </c>
      <c r="EE1099" s="15">
        <v>3.0</v>
      </c>
      <c r="EG1099" s="15" t="s">
        <v>444</v>
      </c>
      <c r="EH1099" s="15" t="s">
        <v>10489</v>
      </c>
      <c r="EI1099" s="15">
        <v>0.0</v>
      </c>
      <c r="EJ1099" s="15" t="s">
        <v>473</v>
      </c>
      <c r="EK1099" s="15" t="s">
        <v>474</v>
      </c>
      <c r="EL1099" s="15" t="s">
        <v>1212</v>
      </c>
      <c r="EM1099" s="15" t="str">
        <f>IFERROR(__xludf.DUMMYFUNCTION("""COMPUTED_VALUE"""),"{""value"":25.50,""unit"":""in""}")</f>
        <v>{"value":25.50,"unit":"in"}</v>
      </c>
      <c r="EN1099" s="15" t="s">
        <v>3735</v>
      </c>
      <c r="EO1099" s="15" t="s">
        <v>1575</v>
      </c>
      <c r="EP1099" s="15" t="s">
        <v>2547</v>
      </c>
      <c r="EQ1099" s="15" t="s">
        <v>1331</v>
      </c>
      <c r="ER1099" s="15" t="s">
        <v>4944</v>
      </c>
      <c r="ES1099" s="15" t="s">
        <v>672</v>
      </c>
      <c r="ET1099" s="15" t="s">
        <v>2547</v>
      </c>
      <c r="EU1099" s="15" t="s">
        <v>1161</v>
      </c>
      <c r="EV1099" s="15" t="s">
        <v>2385</v>
      </c>
      <c r="EW1099" s="15" t="s">
        <v>672</v>
      </c>
      <c r="EX1099" s="15" t="s">
        <v>2384</v>
      </c>
      <c r="EY1099" s="15" t="s">
        <v>1755</v>
      </c>
      <c r="EZ1099" s="15" t="s">
        <v>1069</v>
      </c>
      <c r="FA1099" s="15" t="s">
        <v>1076</v>
      </c>
      <c r="FB1099" s="15" t="s">
        <v>426</v>
      </c>
      <c r="FC1099" s="15" t="s">
        <v>723</v>
      </c>
      <c r="FD1099" s="15" t="s">
        <v>1076</v>
      </c>
      <c r="FE1099" s="15" t="s">
        <v>1289</v>
      </c>
      <c r="FF1099" s="15" t="s">
        <v>2387</v>
      </c>
      <c r="FL1099" s="15" t="s">
        <v>426</v>
      </c>
      <c r="FO1099" s="15" t="s">
        <v>10488</v>
      </c>
      <c r="FP1099" s="15" t="s">
        <v>10488</v>
      </c>
    </row>
    <row r="1100" ht="15.75" customHeight="1">
      <c r="A1100" s="14" t="s">
        <v>391</v>
      </c>
      <c r="B1100" s="15" t="s">
        <v>10483</v>
      </c>
      <c r="C1100" s="16"/>
      <c r="D1100" s="15" t="s">
        <v>432</v>
      </c>
      <c r="G1100" s="14" t="s">
        <v>393</v>
      </c>
      <c r="H1100" s="14" t="s">
        <v>394</v>
      </c>
      <c r="I1100" s="14" t="b">
        <v>1</v>
      </c>
      <c r="J1100" s="14" t="s">
        <v>395</v>
      </c>
      <c r="L1100" s="14" t="b">
        <v>0</v>
      </c>
      <c r="M1100" s="15" t="s">
        <v>10490</v>
      </c>
      <c r="N1100" s="14" t="s">
        <v>393</v>
      </c>
      <c r="O1100" s="14" t="s">
        <v>393</v>
      </c>
      <c r="P1100" s="15" t="s">
        <v>397</v>
      </c>
      <c r="Q1100" s="15" t="s">
        <v>5222</v>
      </c>
      <c r="T1100" s="14" t="b">
        <v>0</v>
      </c>
      <c r="U1100" s="15" t="s">
        <v>10491</v>
      </c>
      <c r="V1100" s="15" t="s">
        <v>8681</v>
      </c>
      <c r="W1100" s="15" t="s">
        <v>401</v>
      </c>
      <c r="X1100" s="15" t="s">
        <v>402</v>
      </c>
      <c r="Y1100" s="15">
        <v>2626.0</v>
      </c>
      <c r="AA1100" s="15" t="str">
        <f t="shared" si="1909"/>
        <v>1010</v>
      </c>
      <c r="AB1100" s="14" t="b">
        <v>1</v>
      </c>
      <c r="AC1100" s="14" t="b">
        <v>1</v>
      </c>
      <c r="AD1100" s="15" t="str">
        <f>"801542046941"</f>
        <v>801542046941</v>
      </c>
      <c r="AE1100" s="15" t="s">
        <v>10492</v>
      </c>
      <c r="AF1100" s="14" t="s">
        <v>404</v>
      </c>
      <c r="AG1100" s="14" t="s">
        <v>405</v>
      </c>
      <c r="AH1100" s="14" t="s">
        <v>406</v>
      </c>
      <c r="AI1100" s="15">
        <v>0.0</v>
      </c>
      <c r="AL1100" s="15" t="s">
        <v>5267</v>
      </c>
      <c r="AM1100" s="15" t="s">
        <v>582</v>
      </c>
      <c r="AN1100" s="15" t="s">
        <v>583</v>
      </c>
      <c r="AO1100" s="15" t="s">
        <v>3442</v>
      </c>
      <c r="AP1100" s="15" t="s">
        <v>3443</v>
      </c>
      <c r="AQ1100" s="15" t="s">
        <v>1276</v>
      </c>
      <c r="AR1100" s="15" t="s">
        <v>1277</v>
      </c>
      <c r="AS1100" s="15" t="s">
        <v>2374</v>
      </c>
      <c r="AT1100" s="15" t="s">
        <v>5222</v>
      </c>
      <c r="AU1100" s="15" t="s">
        <v>5268</v>
      </c>
      <c r="AW1100" s="15" t="s">
        <v>1732</v>
      </c>
      <c r="AY1100" s="15" t="s">
        <v>413</v>
      </c>
      <c r="AZ1100" s="15" t="b">
        <v>0</v>
      </c>
      <c r="BA1100" s="15" t="s">
        <v>413</v>
      </c>
      <c r="BB1100" s="15" t="b">
        <v>0</v>
      </c>
      <c r="BC1100" s="15" t="s">
        <v>10493</v>
      </c>
      <c r="BD1100" s="15" t="s">
        <v>415</v>
      </c>
      <c r="BE1100" s="15" t="str">
        <f t="shared" si="1897"/>
        <v>1</v>
      </c>
      <c r="BF1100" s="15" t="s">
        <v>416</v>
      </c>
      <c r="BG1100" s="15" t="str">
        <f t="shared" si="1910"/>
        <v>93</v>
      </c>
      <c r="BH1100" s="15" t="s">
        <v>8103</v>
      </c>
      <c r="BI1100" s="15" t="str">
        <f t="shared" si="1911"/>
        <v>42</v>
      </c>
      <c r="BJ1100" s="15" t="s">
        <v>2558</v>
      </c>
      <c r="BK1100" s="15" t="str">
        <f t="shared" si="1912"/>
        <v>28</v>
      </c>
      <c r="BL1100" s="15" t="s">
        <v>1086</v>
      </c>
      <c r="BM1100" s="15" t="str">
        <f t="shared" si="1913"/>
        <v>154.32</v>
      </c>
      <c r="BN1100" s="15" t="s">
        <v>2459</v>
      </c>
      <c r="BQ1100" s="15" t="s">
        <v>444</v>
      </c>
      <c r="BS1100" s="15" t="s">
        <v>444</v>
      </c>
      <c r="BU1100" s="15" t="s">
        <v>444</v>
      </c>
      <c r="BW1100" s="15" t="s">
        <v>444</v>
      </c>
      <c r="BZ1100" s="15" t="s">
        <v>444</v>
      </c>
      <c r="CB1100" s="15" t="s">
        <v>444</v>
      </c>
      <c r="CD1100" s="15" t="s">
        <v>444</v>
      </c>
      <c r="CF1100" s="15" t="s">
        <v>444</v>
      </c>
      <c r="CI1100" s="15" t="s">
        <v>444</v>
      </c>
      <c r="CK1100" s="15" t="s">
        <v>444</v>
      </c>
      <c r="CM1100" s="15" t="s">
        <v>444</v>
      </c>
      <c r="CO1100" s="15" t="s">
        <v>444</v>
      </c>
      <c r="CP1100" s="15" t="str">
        <f t="shared" si="1914"/>
        <v>63.28</v>
      </c>
      <c r="CQ1100" s="15" t="str">
        <f t="shared" si="1915"/>
        <v>1.792</v>
      </c>
      <c r="CR1100" s="15" t="s">
        <v>417</v>
      </c>
      <c r="CY1100" s="15" t="s">
        <v>3798</v>
      </c>
      <c r="CZ1100" s="15" t="s">
        <v>475</v>
      </c>
      <c r="DA1100" s="15" t="s">
        <v>671</v>
      </c>
      <c r="DB1100" s="15" t="s">
        <v>2571</v>
      </c>
      <c r="DC1100" s="15" t="str">
        <f>IFERROR(__xludf.DUMMYFUNCTION("""COMPUTED_VALUE"""),"{""value"":28.25,""unit"":""in""}")</f>
        <v>{"value":28.25,"unit":"in"}</v>
      </c>
      <c r="DD1100" s="15" t="s">
        <v>2292</v>
      </c>
      <c r="DE1100" s="15" t="str">
        <f>IFERROR(__xludf.DUMMYFUNCTION("""COMPUTED_VALUE"""),"{""value"":17.75,""unit"":""in""}")</f>
        <v>{"value":17.75,"unit":"in"}</v>
      </c>
      <c r="DF1100" s="15" t="s">
        <v>10488</v>
      </c>
      <c r="DG1100" s="15" t="str">
        <f>IFERROR(__xludf.DUMMYFUNCTION("""COMPUTED_VALUE"""),"{""value"":67.75,""unit"":""in""}")</f>
        <v>{"value":67.75,"unit":"in"}</v>
      </c>
      <c r="DH1100" s="15">
        <v>2.0</v>
      </c>
      <c r="DI1100" s="15">
        <v>2.0</v>
      </c>
      <c r="DJ1100" s="15" t="s">
        <v>717</v>
      </c>
      <c r="DK1100" s="15" t="s">
        <v>897</v>
      </c>
      <c r="DL1100" s="15" t="str">
        <f>IFERROR(__xludf.DUMMYFUNCTION("""COMPUTED_VALUE"""),"Clean with water-based products only. Use mild detergent or upholstery shampoo.")</f>
        <v>Clean with water-based products only. Use mild detergent or upholstery shampoo.</v>
      </c>
      <c r="DM1100" s="15" t="s">
        <v>898</v>
      </c>
      <c r="DQ1100" s="15" t="s">
        <v>2380</v>
      </c>
      <c r="DT1100" s="15" t="s">
        <v>721</v>
      </c>
      <c r="DU1100" s="15" t="s">
        <v>419</v>
      </c>
      <c r="DV1100" s="15">
        <v>0.0</v>
      </c>
      <c r="DZ1100" s="15">
        <v>100000.0</v>
      </c>
      <c r="EA1100" s="15" t="s">
        <v>990</v>
      </c>
      <c r="EB1100" s="15" t="s">
        <v>723</v>
      </c>
      <c r="EC1100" s="15" t="s">
        <v>1076</v>
      </c>
      <c r="ED1100" s="15">
        <v>2.0</v>
      </c>
      <c r="EE1100" s="15">
        <v>3.0</v>
      </c>
      <c r="EG1100" s="15" t="s">
        <v>444</v>
      </c>
      <c r="EH1100" s="15" t="s">
        <v>10489</v>
      </c>
      <c r="EI1100" s="15">
        <v>0.0</v>
      </c>
      <c r="EJ1100" s="15" t="s">
        <v>473</v>
      </c>
      <c r="EK1100" s="15" t="s">
        <v>474</v>
      </c>
      <c r="EL1100" s="15" t="s">
        <v>1212</v>
      </c>
      <c r="EM1100" s="15" t="str">
        <f>IFERROR(__xludf.DUMMYFUNCTION("""COMPUTED_VALUE"""),"{""value"":25.50,""unit"":""in""}")</f>
        <v>{"value":25.50,"unit":"in"}</v>
      </c>
      <c r="EN1100" s="15" t="s">
        <v>3735</v>
      </c>
      <c r="EO1100" s="15" t="s">
        <v>1575</v>
      </c>
      <c r="EP1100" s="15" t="s">
        <v>2547</v>
      </c>
      <c r="EQ1100" s="15" t="s">
        <v>1331</v>
      </c>
      <c r="ER1100" s="15" t="s">
        <v>4944</v>
      </c>
      <c r="ES1100" s="15" t="s">
        <v>672</v>
      </c>
      <c r="ET1100" s="15" t="s">
        <v>2547</v>
      </c>
      <c r="EU1100" s="15" t="s">
        <v>1161</v>
      </c>
      <c r="EV1100" s="15" t="s">
        <v>2385</v>
      </c>
      <c r="EW1100" s="15" t="s">
        <v>672</v>
      </c>
      <c r="EX1100" s="15" t="s">
        <v>2384</v>
      </c>
      <c r="EY1100" s="15" t="s">
        <v>1755</v>
      </c>
      <c r="EZ1100" s="15" t="s">
        <v>1069</v>
      </c>
      <c r="FA1100" s="15" t="s">
        <v>1076</v>
      </c>
      <c r="FB1100" s="15" t="s">
        <v>426</v>
      </c>
      <c r="FC1100" s="15" t="s">
        <v>723</v>
      </c>
      <c r="FD1100" s="15" t="s">
        <v>1076</v>
      </c>
      <c r="FE1100" s="15" t="s">
        <v>1289</v>
      </c>
      <c r="FF1100" s="15" t="s">
        <v>2387</v>
      </c>
      <c r="FL1100" s="15" t="s">
        <v>426</v>
      </c>
      <c r="FO1100" s="15" t="s">
        <v>10488</v>
      </c>
      <c r="FP1100" s="15" t="s">
        <v>10488</v>
      </c>
    </row>
    <row r="1101" ht="15.75" customHeight="1">
      <c r="A1101" s="14" t="s">
        <v>391</v>
      </c>
      <c r="B1101" s="15" t="s">
        <v>10494</v>
      </c>
      <c r="C1101" s="16"/>
      <c r="D1101" s="15" t="s">
        <v>432</v>
      </c>
      <c r="G1101" s="14" t="s">
        <v>393</v>
      </c>
      <c r="H1101" s="14" t="s">
        <v>394</v>
      </c>
      <c r="I1101" s="14" t="b">
        <v>1</v>
      </c>
      <c r="J1101" s="14" t="s">
        <v>395</v>
      </c>
      <c r="L1101" s="14" t="b">
        <v>0</v>
      </c>
      <c r="M1101" s="15" t="s">
        <v>10495</v>
      </c>
      <c r="N1101" s="14" t="s">
        <v>393</v>
      </c>
      <c r="O1101" s="14" t="s">
        <v>393</v>
      </c>
      <c r="P1101" s="15" t="s">
        <v>397</v>
      </c>
      <c r="Q1101" s="15" t="s">
        <v>7194</v>
      </c>
      <c r="R1101" s="15" t="s">
        <v>265</v>
      </c>
      <c r="S1101" s="15" t="s">
        <v>10496</v>
      </c>
      <c r="T1101" s="14" t="b">
        <v>0</v>
      </c>
      <c r="U1101" s="15" t="s">
        <v>10497</v>
      </c>
      <c r="V1101" s="15" t="s">
        <v>10498</v>
      </c>
      <c r="W1101" s="15" t="s">
        <v>401</v>
      </c>
      <c r="X1101" s="15" t="s">
        <v>3827</v>
      </c>
      <c r="Y1101" s="15">
        <v>7644.0</v>
      </c>
      <c r="AA1101" s="15" t="str">
        <f t="shared" ref="AA1101:AA1102" si="1916">"2940"</f>
        <v>2940</v>
      </c>
      <c r="AB1101" s="14" t="b">
        <v>1</v>
      </c>
      <c r="AC1101" s="14" t="b">
        <v>1</v>
      </c>
      <c r="AD1101" s="15" t="str">
        <f>"198394026734"</f>
        <v>198394026734</v>
      </c>
      <c r="AE1101" s="15" t="s">
        <v>10499</v>
      </c>
      <c r="AF1101" s="14" t="s">
        <v>404</v>
      </c>
      <c r="AG1101" s="14" t="s">
        <v>405</v>
      </c>
      <c r="AH1101" s="14" t="s">
        <v>406</v>
      </c>
      <c r="AI1101" s="15">
        <v>0.0</v>
      </c>
      <c r="AL1101" s="15" t="s">
        <v>10500</v>
      </c>
      <c r="AM1101" s="15" t="s">
        <v>10501</v>
      </c>
      <c r="AN1101" s="15" t="s">
        <v>10502</v>
      </c>
      <c r="AO1101" s="15" t="s">
        <v>1673</v>
      </c>
      <c r="AP1101" s="15" t="s">
        <v>1674</v>
      </c>
      <c r="AQ1101" s="15" t="s">
        <v>645</v>
      </c>
      <c r="AR1101" s="15" t="s">
        <v>646</v>
      </c>
      <c r="AS1101" s="15" t="s">
        <v>6751</v>
      </c>
      <c r="AT1101" s="15" t="s">
        <v>7194</v>
      </c>
      <c r="AU1101" s="15" t="s">
        <v>8339</v>
      </c>
      <c r="AV1101" s="15" t="s">
        <v>10503</v>
      </c>
      <c r="AW1101" s="15" t="s">
        <v>1629</v>
      </c>
      <c r="AX1101" s="15" t="s">
        <v>2916</v>
      </c>
      <c r="AY1101" s="15" t="s">
        <v>413</v>
      </c>
      <c r="AZ1101" s="15" t="b">
        <v>0</v>
      </c>
      <c r="BA1101" s="15" t="s">
        <v>426</v>
      </c>
      <c r="BB1101" s="15" t="b">
        <v>1</v>
      </c>
      <c r="BC1101" s="15" t="s">
        <v>10504</v>
      </c>
      <c r="BD1101" s="15" t="s">
        <v>3835</v>
      </c>
      <c r="BE1101" s="15" t="str">
        <f t="shared" ref="BE1101:BE1103" si="1917">"2"</f>
        <v>2</v>
      </c>
      <c r="BF1101" s="15" t="s">
        <v>7389</v>
      </c>
      <c r="BG1101" s="15" t="str">
        <f t="shared" ref="BG1101:BG1104" si="1918">"86"</f>
        <v>86</v>
      </c>
      <c r="BH1101" s="15" t="s">
        <v>514</v>
      </c>
      <c r="BI1101" s="15" t="str">
        <f t="shared" ref="BI1101:BI1103" si="1919">"38"</f>
        <v>38</v>
      </c>
      <c r="BJ1101" s="15" t="s">
        <v>2373</v>
      </c>
      <c r="BK1101" s="15" t="str">
        <f t="shared" ref="BK1101:BK1103" si="1920">"36"</f>
        <v>36</v>
      </c>
      <c r="BL1101" s="15" t="s">
        <v>623</v>
      </c>
      <c r="BM1101" s="15" t="str">
        <f t="shared" ref="BM1101:BM1103" si="1921">"234"</f>
        <v>234</v>
      </c>
      <c r="BN1101" s="15" t="s">
        <v>10505</v>
      </c>
      <c r="BO1101" s="15" t="s">
        <v>10506</v>
      </c>
      <c r="BP1101" s="15" t="str">
        <f t="shared" ref="BP1101:BP1103" si="1922">"46"</f>
        <v>46</v>
      </c>
      <c r="BQ1101" s="15" t="s">
        <v>2395</v>
      </c>
      <c r="BR1101" s="15" t="str">
        <f t="shared" ref="BR1101:BR1103" si="1923">"61"</f>
        <v>61</v>
      </c>
      <c r="BS1101" s="15" t="s">
        <v>1674</v>
      </c>
      <c r="BT1101" s="15" t="str">
        <f t="shared" ref="BT1101:BT1103" si="1924">"38"</f>
        <v>38</v>
      </c>
      <c r="BU1101" s="15" t="s">
        <v>2373</v>
      </c>
      <c r="BV1101" s="15" t="str">
        <f t="shared" ref="BV1101:BV1102" si="1925">"188"</f>
        <v>188</v>
      </c>
      <c r="BW1101" s="15" t="s">
        <v>10507</v>
      </c>
      <c r="BZ1101" s="15" t="s">
        <v>444</v>
      </c>
      <c r="CB1101" s="15" t="s">
        <v>444</v>
      </c>
      <c r="CD1101" s="15" t="s">
        <v>444</v>
      </c>
      <c r="CF1101" s="15" t="s">
        <v>444</v>
      </c>
      <c r="CI1101" s="15" t="s">
        <v>444</v>
      </c>
      <c r="CK1101" s="15" t="s">
        <v>444</v>
      </c>
      <c r="CM1101" s="15" t="s">
        <v>444</v>
      </c>
      <c r="CO1101" s="15" t="s">
        <v>444</v>
      </c>
      <c r="CP1101" s="15" t="str">
        <f t="shared" ref="CP1101:CP1103" si="1926">"129.78"</f>
        <v>129.78</v>
      </c>
      <c r="CQ1101" s="15" t="str">
        <f t="shared" ref="CQ1101:CQ1103" si="1927">"3.675"</f>
        <v>3.675</v>
      </c>
      <c r="CR1101" s="15" t="s">
        <v>497</v>
      </c>
      <c r="DC1101" s="15" t="str">
        <f>IFERROR(__xludf.DUMMYFUNCTION("""COMPUTED_VALUE"""),"")</f>
        <v/>
      </c>
      <c r="DE1101" s="15" t="str">
        <f>IFERROR(__xludf.DUMMYFUNCTION("""COMPUTED_VALUE"""),"")</f>
        <v/>
      </c>
      <c r="DG1101" s="15" t="str">
        <f>IFERROR(__xludf.DUMMYFUNCTION("""COMPUTED_VALUE"""),"")</f>
        <v/>
      </c>
      <c r="DJ1101" s="15" t="s">
        <v>717</v>
      </c>
      <c r="DK1101" s="15" t="s">
        <v>934</v>
      </c>
      <c r="DL1101" s="15" t="str">
        <f>IFERROR(__xludf.DUMMYFUNCTION("""COMPUTED_VALUE"""),"Spot clean with water-based or solvent-based cleaner. Use mild detergent or upholstery shampoo.")</f>
        <v>Spot clean with water-based or solvent-based cleaner. Use mild detergent or upholstery shampoo.</v>
      </c>
      <c r="DM1101" s="15" t="s">
        <v>935</v>
      </c>
      <c r="DQ1101" s="15" t="s">
        <v>2502</v>
      </c>
      <c r="DT1101" s="15" t="s">
        <v>1111</v>
      </c>
      <c r="DZ1101" s="15">
        <v>33000.0</v>
      </c>
      <c r="EA1101" s="15" t="s">
        <v>470</v>
      </c>
      <c r="EB1101" s="15" t="s">
        <v>1016</v>
      </c>
      <c r="EC1101" s="15" t="s">
        <v>724</v>
      </c>
      <c r="EE1101" s="15">
        <v>6.0</v>
      </c>
      <c r="EF1101" s="15" t="s">
        <v>419</v>
      </c>
      <c r="EG1101" s="15" t="s">
        <v>10508</v>
      </c>
      <c r="EH1101" s="15" t="s">
        <v>10509</v>
      </c>
      <c r="EJ1101" s="15" t="s">
        <v>8454</v>
      </c>
      <c r="EK1101" s="15" t="s">
        <v>8455</v>
      </c>
      <c r="EM1101" s="15" t="str">
        <f>IFERROR(__xludf.DUMMYFUNCTION("""COMPUTED_VALUE"""),"")</f>
        <v/>
      </c>
      <c r="FC1101" s="15" t="s">
        <v>723</v>
      </c>
      <c r="FD1101" s="15" t="s">
        <v>1076</v>
      </c>
      <c r="FE1101" s="15" t="s">
        <v>2502</v>
      </c>
      <c r="FF1101" s="15" t="s">
        <v>2502</v>
      </c>
      <c r="FS1101" s="15" t="s">
        <v>2436</v>
      </c>
      <c r="HO1101" s="15" t="s">
        <v>1638</v>
      </c>
      <c r="HP1101" s="15" t="s">
        <v>3410</v>
      </c>
      <c r="NG1101" s="15" t="s">
        <v>426</v>
      </c>
    </row>
    <row r="1102" ht="15.75" customHeight="1">
      <c r="A1102" s="14" t="s">
        <v>391</v>
      </c>
      <c r="B1102" s="15" t="s">
        <v>10494</v>
      </c>
      <c r="C1102" s="16"/>
      <c r="D1102" s="15" t="s">
        <v>432</v>
      </c>
      <c r="G1102" s="14" t="s">
        <v>393</v>
      </c>
      <c r="H1102" s="14" t="s">
        <v>394</v>
      </c>
      <c r="I1102" s="14" t="b">
        <v>1</v>
      </c>
      <c r="J1102" s="14" t="s">
        <v>395</v>
      </c>
      <c r="L1102" s="14" t="b">
        <v>0</v>
      </c>
      <c r="M1102" s="15" t="s">
        <v>10510</v>
      </c>
      <c r="N1102" s="14" t="s">
        <v>393</v>
      </c>
      <c r="O1102" s="14" t="s">
        <v>393</v>
      </c>
      <c r="P1102" s="15" t="s">
        <v>397</v>
      </c>
      <c r="Q1102" s="15" t="s">
        <v>7194</v>
      </c>
      <c r="R1102" s="15" t="s">
        <v>265</v>
      </c>
      <c r="S1102" s="15" t="s">
        <v>10511</v>
      </c>
      <c r="T1102" s="14" t="b">
        <v>0</v>
      </c>
      <c r="U1102" s="15" t="s">
        <v>10512</v>
      </c>
      <c r="V1102" s="15" t="s">
        <v>10498</v>
      </c>
      <c r="W1102" s="15" t="s">
        <v>401</v>
      </c>
      <c r="X1102" s="15" t="s">
        <v>3827</v>
      </c>
      <c r="Y1102" s="15">
        <v>7644.0</v>
      </c>
      <c r="AA1102" s="15" t="str">
        <f t="shared" si="1916"/>
        <v>2940</v>
      </c>
      <c r="AB1102" s="14" t="b">
        <v>1</v>
      </c>
      <c r="AC1102" s="14" t="b">
        <v>1</v>
      </c>
      <c r="AD1102" s="15" t="str">
        <f>"198394026772"</f>
        <v>198394026772</v>
      </c>
      <c r="AE1102" s="15" t="s">
        <v>10513</v>
      </c>
      <c r="AF1102" s="14" t="s">
        <v>404</v>
      </c>
      <c r="AG1102" s="14" t="s">
        <v>405</v>
      </c>
      <c r="AH1102" s="14" t="s">
        <v>406</v>
      </c>
      <c r="AI1102" s="15">
        <v>0.0</v>
      </c>
      <c r="AL1102" s="15" t="s">
        <v>10500</v>
      </c>
      <c r="AM1102" s="15" t="s">
        <v>10501</v>
      </c>
      <c r="AN1102" s="15" t="s">
        <v>10502</v>
      </c>
      <c r="AO1102" s="15" t="s">
        <v>1673</v>
      </c>
      <c r="AP1102" s="15" t="s">
        <v>1674</v>
      </c>
      <c r="AQ1102" s="15" t="s">
        <v>645</v>
      </c>
      <c r="AR1102" s="15" t="s">
        <v>646</v>
      </c>
      <c r="AS1102" s="15" t="s">
        <v>6751</v>
      </c>
      <c r="AT1102" s="15" t="s">
        <v>7194</v>
      </c>
      <c r="AU1102" s="15" t="s">
        <v>8339</v>
      </c>
      <c r="AV1102" s="15" t="s">
        <v>10503</v>
      </c>
      <c r="AW1102" s="15" t="s">
        <v>1629</v>
      </c>
      <c r="AX1102" s="15" t="s">
        <v>2933</v>
      </c>
      <c r="AY1102" s="15" t="s">
        <v>413</v>
      </c>
      <c r="AZ1102" s="15" t="b">
        <v>0</v>
      </c>
      <c r="BA1102" s="15" t="s">
        <v>426</v>
      </c>
      <c r="BB1102" s="15" t="b">
        <v>1</v>
      </c>
      <c r="BC1102" s="15" t="s">
        <v>10514</v>
      </c>
      <c r="BD1102" s="15" t="s">
        <v>3835</v>
      </c>
      <c r="BE1102" s="15" t="str">
        <f t="shared" si="1917"/>
        <v>2</v>
      </c>
      <c r="BF1102" s="15" t="s">
        <v>7389</v>
      </c>
      <c r="BG1102" s="15" t="str">
        <f t="shared" si="1918"/>
        <v>86</v>
      </c>
      <c r="BH1102" s="15" t="s">
        <v>514</v>
      </c>
      <c r="BI1102" s="15" t="str">
        <f t="shared" si="1919"/>
        <v>38</v>
      </c>
      <c r="BJ1102" s="15" t="s">
        <v>2373</v>
      </c>
      <c r="BK1102" s="15" t="str">
        <f t="shared" si="1920"/>
        <v>36</v>
      </c>
      <c r="BL1102" s="15" t="s">
        <v>623</v>
      </c>
      <c r="BM1102" s="15" t="str">
        <f t="shared" si="1921"/>
        <v>234</v>
      </c>
      <c r="BN1102" s="15" t="s">
        <v>10505</v>
      </c>
      <c r="BO1102" s="15" t="s">
        <v>10506</v>
      </c>
      <c r="BP1102" s="15" t="str">
        <f t="shared" si="1922"/>
        <v>46</v>
      </c>
      <c r="BQ1102" s="15" t="s">
        <v>2395</v>
      </c>
      <c r="BR1102" s="15" t="str">
        <f t="shared" si="1923"/>
        <v>61</v>
      </c>
      <c r="BS1102" s="15" t="s">
        <v>1674</v>
      </c>
      <c r="BT1102" s="15" t="str">
        <f t="shared" si="1924"/>
        <v>38</v>
      </c>
      <c r="BU1102" s="15" t="s">
        <v>2373</v>
      </c>
      <c r="BV1102" s="15" t="str">
        <f t="shared" si="1925"/>
        <v>188</v>
      </c>
      <c r="BW1102" s="15" t="s">
        <v>10507</v>
      </c>
      <c r="BZ1102" s="15" t="s">
        <v>444</v>
      </c>
      <c r="CB1102" s="15" t="s">
        <v>444</v>
      </c>
      <c r="CD1102" s="15" t="s">
        <v>444</v>
      </c>
      <c r="CF1102" s="15" t="s">
        <v>444</v>
      </c>
      <c r="CI1102" s="15" t="s">
        <v>444</v>
      </c>
      <c r="CK1102" s="15" t="s">
        <v>444</v>
      </c>
      <c r="CM1102" s="15" t="s">
        <v>444</v>
      </c>
      <c r="CO1102" s="15" t="s">
        <v>444</v>
      </c>
      <c r="CP1102" s="15" t="str">
        <f t="shared" si="1926"/>
        <v>129.78</v>
      </c>
      <c r="CQ1102" s="15" t="str">
        <f t="shared" si="1927"/>
        <v>3.675</v>
      </c>
      <c r="CR1102" s="15" t="s">
        <v>497</v>
      </c>
      <c r="DC1102" s="15" t="str">
        <f>IFERROR(__xludf.DUMMYFUNCTION("""COMPUTED_VALUE"""),"")</f>
        <v/>
      </c>
      <c r="DE1102" s="15" t="str">
        <f>IFERROR(__xludf.DUMMYFUNCTION("""COMPUTED_VALUE"""),"")</f>
        <v/>
      </c>
      <c r="DG1102" s="15" t="str">
        <f>IFERROR(__xludf.DUMMYFUNCTION("""COMPUTED_VALUE"""),"")</f>
        <v/>
      </c>
      <c r="DJ1102" s="15" t="s">
        <v>717</v>
      </c>
      <c r="DK1102" s="15" t="s">
        <v>934</v>
      </c>
      <c r="DL1102" s="15" t="str">
        <f>IFERROR(__xludf.DUMMYFUNCTION("""COMPUTED_VALUE"""),"Spot clean with water-based or solvent-based cleaner. Use mild detergent or upholstery shampoo.")</f>
        <v>Spot clean with water-based or solvent-based cleaner. Use mild detergent or upholstery shampoo.</v>
      </c>
      <c r="DM1102" s="15" t="s">
        <v>935</v>
      </c>
      <c r="DQ1102" s="15" t="s">
        <v>2502</v>
      </c>
      <c r="DT1102" s="15" t="s">
        <v>1111</v>
      </c>
      <c r="DU1102" s="15" t="s">
        <v>2381</v>
      </c>
      <c r="DZ1102" s="15">
        <v>33000.0</v>
      </c>
      <c r="EA1102" s="15" t="s">
        <v>470</v>
      </c>
      <c r="EB1102" s="15" t="s">
        <v>1016</v>
      </c>
      <c r="EC1102" s="15" t="s">
        <v>724</v>
      </c>
      <c r="EE1102" s="15">
        <v>6.0</v>
      </c>
      <c r="EF1102" s="15" t="s">
        <v>419</v>
      </c>
      <c r="EG1102" s="15" t="s">
        <v>10508</v>
      </c>
      <c r="EH1102" s="15" t="s">
        <v>10509</v>
      </c>
      <c r="EJ1102" s="15" t="s">
        <v>8454</v>
      </c>
      <c r="EK1102" s="15" t="s">
        <v>8455</v>
      </c>
      <c r="EM1102" s="15" t="str">
        <f>IFERROR(__xludf.DUMMYFUNCTION("""COMPUTED_VALUE"""),"")</f>
        <v/>
      </c>
      <c r="FC1102" s="15" t="s">
        <v>723</v>
      </c>
      <c r="FD1102" s="15" t="s">
        <v>1076</v>
      </c>
      <c r="FE1102" s="15" t="s">
        <v>2502</v>
      </c>
      <c r="FF1102" s="15" t="s">
        <v>2502</v>
      </c>
      <c r="FS1102" s="15" t="s">
        <v>2436</v>
      </c>
      <c r="HO1102" s="15" t="s">
        <v>1638</v>
      </c>
      <c r="HP1102" s="15" t="s">
        <v>3415</v>
      </c>
      <c r="NG1102" s="15" t="s">
        <v>426</v>
      </c>
    </row>
    <row r="1103" ht="15.75" customHeight="1">
      <c r="A1103" s="14" t="s">
        <v>391</v>
      </c>
      <c r="B1103" s="15" t="s">
        <v>10494</v>
      </c>
      <c r="C1103" s="16"/>
      <c r="D1103" s="15" t="s">
        <v>432</v>
      </c>
      <c r="G1103" s="14" t="s">
        <v>393</v>
      </c>
      <c r="H1103" s="14" t="s">
        <v>394</v>
      </c>
      <c r="I1103" s="14" t="b">
        <v>1</v>
      </c>
      <c r="J1103" s="14" t="s">
        <v>395</v>
      </c>
      <c r="L1103" s="14" t="b">
        <v>0</v>
      </c>
      <c r="M1103" s="15" t="s">
        <v>10515</v>
      </c>
      <c r="N1103" s="14" t="s">
        <v>393</v>
      </c>
      <c r="O1103" s="14" t="s">
        <v>393</v>
      </c>
      <c r="P1103" s="15" t="s">
        <v>397</v>
      </c>
      <c r="Q1103" s="15" t="s">
        <v>7194</v>
      </c>
      <c r="R1103" s="15" t="s">
        <v>265</v>
      </c>
      <c r="S1103" s="15" t="s">
        <v>10516</v>
      </c>
      <c r="T1103" s="14" t="b">
        <v>0</v>
      </c>
      <c r="U1103" s="15" t="s">
        <v>10517</v>
      </c>
      <c r="V1103" s="15" t="s">
        <v>10518</v>
      </c>
      <c r="W1103" s="15" t="s">
        <v>401</v>
      </c>
      <c r="X1103" s="15" t="s">
        <v>3827</v>
      </c>
      <c r="Y1103" s="15">
        <v>7319.0</v>
      </c>
      <c r="AA1103" s="15" t="str">
        <f>"2815"</f>
        <v>2815</v>
      </c>
      <c r="AB1103" s="14" t="b">
        <v>1</v>
      </c>
      <c r="AC1103" s="14" t="b">
        <v>1</v>
      </c>
      <c r="AD1103" s="15" t="str">
        <f>"198394026727"</f>
        <v>198394026727</v>
      </c>
      <c r="AE1103" s="15" t="s">
        <v>10519</v>
      </c>
      <c r="AF1103" s="14" t="s">
        <v>404</v>
      </c>
      <c r="AG1103" s="14" t="s">
        <v>405</v>
      </c>
      <c r="AH1103" s="14" t="s">
        <v>406</v>
      </c>
      <c r="AI1103" s="15">
        <v>0.0</v>
      </c>
      <c r="AL1103" s="15" t="s">
        <v>10500</v>
      </c>
      <c r="AM1103" s="15" t="s">
        <v>10520</v>
      </c>
      <c r="AN1103" s="15" t="s">
        <v>10521</v>
      </c>
      <c r="AO1103" s="15" t="s">
        <v>9658</v>
      </c>
      <c r="AP1103" s="15" t="s">
        <v>9659</v>
      </c>
      <c r="AQ1103" s="15" t="s">
        <v>645</v>
      </c>
      <c r="AR1103" s="15" t="s">
        <v>646</v>
      </c>
      <c r="AS1103" s="15" t="s">
        <v>6751</v>
      </c>
      <c r="AT1103" s="15" t="s">
        <v>7194</v>
      </c>
      <c r="AU1103" s="15" t="s">
        <v>8339</v>
      </c>
      <c r="AV1103" s="15" t="s">
        <v>10503</v>
      </c>
      <c r="AW1103" s="15" t="s">
        <v>1629</v>
      </c>
      <c r="AX1103" s="15" t="s">
        <v>2916</v>
      </c>
      <c r="AY1103" s="15" t="s">
        <v>413</v>
      </c>
      <c r="AZ1103" s="15" t="b">
        <v>0</v>
      </c>
      <c r="BA1103" s="15" t="s">
        <v>426</v>
      </c>
      <c r="BB1103" s="15" t="b">
        <v>1</v>
      </c>
      <c r="BC1103" s="15" t="s">
        <v>10522</v>
      </c>
      <c r="BD1103" s="15" t="s">
        <v>3835</v>
      </c>
      <c r="BE1103" s="15" t="str">
        <f t="shared" si="1917"/>
        <v>2</v>
      </c>
      <c r="BF1103" s="15" t="s">
        <v>7389</v>
      </c>
      <c r="BG1103" s="15" t="str">
        <f t="shared" si="1918"/>
        <v>86</v>
      </c>
      <c r="BH1103" s="15" t="s">
        <v>514</v>
      </c>
      <c r="BI1103" s="15" t="str">
        <f t="shared" si="1919"/>
        <v>38</v>
      </c>
      <c r="BJ1103" s="15" t="s">
        <v>2373</v>
      </c>
      <c r="BK1103" s="15" t="str">
        <f t="shared" si="1920"/>
        <v>36</v>
      </c>
      <c r="BL1103" s="15" t="s">
        <v>623</v>
      </c>
      <c r="BM1103" s="15" t="str">
        <f t="shared" si="1921"/>
        <v>234</v>
      </c>
      <c r="BN1103" s="15" t="s">
        <v>10505</v>
      </c>
      <c r="BO1103" s="15" t="s">
        <v>10523</v>
      </c>
      <c r="BP1103" s="15" t="str">
        <f t="shared" si="1922"/>
        <v>46</v>
      </c>
      <c r="BQ1103" s="15" t="s">
        <v>2395</v>
      </c>
      <c r="BR1103" s="15" t="str">
        <f t="shared" si="1923"/>
        <v>61</v>
      </c>
      <c r="BS1103" s="15" t="s">
        <v>1674</v>
      </c>
      <c r="BT1103" s="15" t="str">
        <f t="shared" si="1924"/>
        <v>38</v>
      </c>
      <c r="BU1103" s="15" t="s">
        <v>2373</v>
      </c>
      <c r="BV1103" s="15" t="str">
        <f>"132"</f>
        <v>132</v>
      </c>
      <c r="BW1103" s="15" t="s">
        <v>10524</v>
      </c>
      <c r="BZ1103" s="15" t="s">
        <v>444</v>
      </c>
      <c r="CB1103" s="15" t="s">
        <v>444</v>
      </c>
      <c r="CD1103" s="15" t="s">
        <v>444</v>
      </c>
      <c r="CF1103" s="15" t="s">
        <v>444</v>
      </c>
      <c r="CI1103" s="15" t="s">
        <v>444</v>
      </c>
      <c r="CK1103" s="15" t="s">
        <v>444</v>
      </c>
      <c r="CM1103" s="15" t="s">
        <v>444</v>
      </c>
      <c r="CO1103" s="15" t="s">
        <v>444</v>
      </c>
      <c r="CP1103" s="15" t="str">
        <f t="shared" si="1926"/>
        <v>129.78</v>
      </c>
      <c r="CQ1103" s="15" t="str">
        <f t="shared" si="1927"/>
        <v>3.675</v>
      </c>
      <c r="CR1103" s="15" t="s">
        <v>497</v>
      </c>
      <c r="DC1103" s="15" t="str">
        <f>IFERROR(__xludf.DUMMYFUNCTION("""COMPUTED_VALUE"""),"")</f>
        <v/>
      </c>
      <c r="DE1103" s="15" t="str">
        <f>IFERROR(__xludf.DUMMYFUNCTION("""COMPUTED_VALUE"""),"")</f>
        <v/>
      </c>
      <c r="DG1103" s="15" t="str">
        <f>IFERROR(__xludf.DUMMYFUNCTION("""COMPUTED_VALUE"""),"")</f>
        <v/>
      </c>
      <c r="DJ1103" s="15" t="s">
        <v>717</v>
      </c>
      <c r="DK1103" s="15" t="s">
        <v>934</v>
      </c>
      <c r="DL1103" s="15" t="str">
        <f>IFERROR(__xludf.DUMMYFUNCTION("""COMPUTED_VALUE"""),"Spot clean with water-based or solvent-based cleaner. Use mild detergent or upholstery shampoo.")</f>
        <v>Spot clean with water-based or solvent-based cleaner. Use mild detergent or upholstery shampoo.</v>
      </c>
      <c r="DM1103" s="15" t="s">
        <v>935</v>
      </c>
      <c r="DQ1103" s="15" t="s">
        <v>2502</v>
      </c>
      <c r="DT1103" s="15" t="s">
        <v>1111</v>
      </c>
      <c r="DU1103" s="15" t="s">
        <v>2381</v>
      </c>
      <c r="DZ1103" s="15">
        <v>33000.0</v>
      </c>
      <c r="EA1103" s="15" t="s">
        <v>470</v>
      </c>
      <c r="EE1103" s="15">
        <v>6.0</v>
      </c>
      <c r="EG1103" s="15" t="s">
        <v>444</v>
      </c>
      <c r="EH1103" s="15" t="s">
        <v>10509</v>
      </c>
      <c r="EJ1103" s="15" t="s">
        <v>8454</v>
      </c>
      <c r="EK1103" s="15" t="s">
        <v>8455</v>
      </c>
      <c r="EM1103" s="15" t="str">
        <f>IFERROR(__xludf.DUMMYFUNCTION("""COMPUTED_VALUE"""),"")</f>
        <v/>
      </c>
      <c r="FC1103" s="15" t="s">
        <v>723</v>
      </c>
      <c r="FD1103" s="15" t="s">
        <v>1076</v>
      </c>
      <c r="FE1103" s="15" t="s">
        <v>2502</v>
      </c>
      <c r="FF1103" s="15" t="s">
        <v>2502</v>
      </c>
      <c r="FS1103" s="15" t="s">
        <v>2436</v>
      </c>
      <c r="HO1103" s="15" t="s">
        <v>1638</v>
      </c>
      <c r="HP1103" s="15" t="s">
        <v>3410</v>
      </c>
      <c r="NG1103" s="15" t="s">
        <v>426</v>
      </c>
    </row>
    <row r="1104" ht="15.75" customHeight="1">
      <c r="A1104" s="14" t="s">
        <v>391</v>
      </c>
      <c r="B1104" s="15" t="s">
        <v>10525</v>
      </c>
      <c r="C1104" s="16"/>
      <c r="D1104" s="15" t="s">
        <v>432</v>
      </c>
      <c r="G1104" s="14" t="s">
        <v>393</v>
      </c>
      <c r="H1104" s="14" t="s">
        <v>394</v>
      </c>
      <c r="I1104" s="14" t="b">
        <v>1</v>
      </c>
      <c r="J1104" s="14" t="s">
        <v>395</v>
      </c>
      <c r="L1104" s="14" t="b">
        <v>0</v>
      </c>
      <c r="M1104" s="15" t="s">
        <v>10526</v>
      </c>
      <c r="N1104" s="14" t="s">
        <v>393</v>
      </c>
      <c r="O1104" s="14" t="s">
        <v>393</v>
      </c>
      <c r="P1104" s="15" t="s">
        <v>397</v>
      </c>
      <c r="Q1104" s="15" t="s">
        <v>10503</v>
      </c>
      <c r="R1104" s="15" t="s">
        <v>265</v>
      </c>
      <c r="S1104" s="15">
        <v>42.0</v>
      </c>
      <c r="T1104" s="14" t="b">
        <v>0</v>
      </c>
      <c r="U1104" s="15" t="s">
        <v>10527</v>
      </c>
      <c r="V1104" s="15" t="s">
        <v>5626</v>
      </c>
      <c r="W1104" s="15" t="s">
        <v>401</v>
      </c>
      <c r="X1104" s="15" t="s">
        <v>3827</v>
      </c>
      <c r="Y1104" s="15">
        <v>4368.0</v>
      </c>
      <c r="AA1104" s="15" t="str">
        <f>"1680"</f>
        <v>1680</v>
      </c>
      <c r="AB1104" s="14" t="b">
        <v>1</v>
      </c>
      <c r="AC1104" s="14" t="b">
        <v>1</v>
      </c>
      <c r="AD1104" s="15" t="str">
        <f>"801542175535"</f>
        <v>801542175535</v>
      </c>
      <c r="AE1104" s="15" t="s">
        <v>10528</v>
      </c>
      <c r="AF1104" s="14" t="s">
        <v>404</v>
      </c>
      <c r="AG1104" s="14" t="s">
        <v>405</v>
      </c>
      <c r="AH1104" s="14" t="s">
        <v>406</v>
      </c>
      <c r="AI1104" s="15">
        <v>0.0</v>
      </c>
      <c r="AL1104" s="15" t="s">
        <v>10529</v>
      </c>
      <c r="AM1104" s="15" t="s">
        <v>513</v>
      </c>
      <c r="AN1104" s="15" t="s">
        <v>514</v>
      </c>
      <c r="AO1104" s="15" t="s">
        <v>2557</v>
      </c>
      <c r="AP1104" s="15" t="s">
        <v>2558</v>
      </c>
      <c r="AQ1104" s="15" t="s">
        <v>1364</v>
      </c>
      <c r="AR1104" s="15" t="s">
        <v>1365</v>
      </c>
      <c r="AS1104" s="15" t="s">
        <v>6751</v>
      </c>
      <c r="AT1104" s="15" t="s">
        <v>7194</v>
      </c>
      <c r="AU1104" s="15" t="s">
        <v>10503</v>
      </c>
      <c r="AV1104" s="15" t="s">
        <v>8339</v>
      </c>
      <c r="AW1104" s="15" t="s">
        <v>1732</v>
      </c>
      <c r="AY1104" s="15" t="s">
        <v>426</v>
      </c>
      <c r="AZ1104" s="15" t="b">
        <v>1</v>
      </c>
      <c r="BA1104" s="15" t="s">
        <v>426</v>
      </c>
      <c r="BB1104" s="15" t="b">
        <v>1</v>
      </c>
      <c r="BC1104" s="15" t="s">
        <v>10530</v>
      </c>
      <c r="BD1104" s="15" t="s">
        <v>3835</v>
      </c>
      <c r="BE1104" s="15" t="str">
        <f t="shared" ref="BE1104:BE1106" si="1928">"1"</f>
        <v>1</v>
      </c>
      <c r="BF1104" s="15" t="s">
        <v>10531</v>
      </c>
      <c r="BG1104" s="15" t="str">
        <f t="shared" si="1918"/>
        <v>86</v>
      </c>
      <c r="BH1104" s="15" t="s">
        <v>514</v>
      </c>
      <c r="BI1104" s="15" t="str">
        <f>"43"</f>
        <v>43</v>
      </c>
      <c r="BJ1104" s="15" t="s">
        <v>545</v>
      </c>
      <c r="BK1104" s="15" t="str">
        <f>"27.5"</f>
        <v>27.5</v>
      </c>
      <c r="BL1104" s="15" t="s">
        <v>1056</v>
      </c>
      <c r="BM1104" s="15" t="str">
        <f>"249.78"</f>
        <v>249.78</v>
      </c>
      <c r="BN1104" s="15" t="s">
        <v>7484</v>
      </c>
      <c r="BQ1104" s="15" t="s">
        <v>444</v>
      </c>
      <c r="BS1104" s="15" t="s">
        <v>444</v>
      </c>
      <c r="BU1104" s="15" t="s">
        <v>444</v>
      </c>
      <c r="BW1104" s="15" t="s">
        <v>444</v>
      </c>
      <c r="BZ1104" s="15" t="s">
        <v>444</v>
      </c>
      <c r="CB1104" s="15" t="s">
        <v>444</v>
      </c>
      <c r="CD1104" s="15" t="s">
        <v>444</v>
      </c>
      <c r="CF1104" s="15" t="s">
        <v>444</v>
      </c>
      <c r="CI1104" s="15" t="s">
        <v>444</v>
      </c>
      <c r="CK1104" s="15" t="s">
        <v>444</v>
      </c>
      <c r="CM1104" s="15" t="s">
        <v>444</v>
      </c>
      <c r="CO1104" s="15" t="s">
        <v>444</v>
      </c>
      <c r="CP1104" s="15" t="str">
        <f>"58.83"</f>
        <v>58.83</v>
      </c>
      <c r="CQ1104" s="15" t="str">
        <f>"1.666"</f>
        <v>1.666</v>
      </c>
      <c r="CR1104" s="15" t="s">
        <v>497</v>
      </c>
      <c r="CY1104" s="15" t="s">
        <v>1739</v>
      </c>
      <c r="CZ1104" s="15" t="s">
        <v>2547</v>
      </c>
      <c r="DA1104" s="15" t="s">
        <v>5321</v>
      </c>
      <c r="DB1104" s="15" t="s">
        <v>1064</v>
      </c>
      <c r="DC1104" s="15" t="str">
        <f>IFERROR(__xludf.DUMMYFUNCTION("""COMPUTED_VALUE"""),"{""value"":27.00,""unit"":""in""}")</f>
        <v>{"value":27.00,"unit":"in"}</v>
      </c>
      <c r="DD1104" s="15" t="s">
        <v>824</v>
      </c>
      <c r="DE1104" s="15" t="str">
        <f>IFERROR(__xludf.DUMMYFUNCTION("""COMPUTED_VALUE"""),"{""value"":18.50,""unit"":""in""}")</f>
        <v>{"value":18.50,"unit":"in"}</v>
      </c>
      <c r="DF1104" s="15" t="s">
        <v>5321</v>
      </c>
      <c r="DG1104" s="15" t="str">
        <f>IFERROR(__xludf.DUMMYFUNCTION("""COMPUTED_VALUE"""),"{""value"":80.00,""unit"":""in""}")</f>
        <v>{"value":80.00,"unit":"in"}</v>
      </c>
      <c r="DH1104" s="15">
        <v>0.0</v>
      </c>
      <c r="DI1104" s="15">
        <v>2.0</v>
      </c>
      <c r="DJ1104" s="15" t="s">
        <v>717</v>
      </c>
      <c r="DK1104" s="15" t="s">
        <v>934</v>
      </c>
      <c r="DL1104" s="15" t="str">
        <f>IFERROR(__xludf.DUMMYFUNCTION("""COMPUTED_VALUE"""),"Spot clean with water-based or solvent-based cleaner. Use mild detergent or upholstery shampoo.")</f>
        <v>Spot clean with water-based or solvent-based cleaner. Use mild detergent or upholstery shampoo.</v>
      </c>
      <c r="DM1104" s="15" t="s">
        <v>935</v>
      </c>
      <c r="DQ1104" s="15" t="s">
        <v>2502</v>
      </c>
      <c r="DT1104" s="15" t="s">
        <v>1111</v>
      </c>
      <c r="DU1104" s="15" t="s">
        <v>2381</v>
      </c>
      <c r="DV1104" s="15">
        <v>0.0</v>
      </c>
      <c r="DZ1104" s="15">
        <v>33000.0</v>
      </c>
      <c r="EA1104" s="15" t="s">
        <v>470</v>
      </c>
      <c r="EB1104" s="15" t="s">
        <v>1016</v>
      </c>
      <c r="EC1104" s="15" t="s">
        <v>724</v>
      </c>
      <c r="ED1104" s="15">
        <v>1.0</v>
      </c>
      <c r="EE1104" s="15">
        <v>4.0</v>
      </c>
      <c r="EG1104" s="15" t="s">
        <v>444</v>
      </c>
      <c r="EH1104" s="15" t="s">
        <v>10509</v>
      </c>
      <c r="EI1104" s="15">
        <v>0.0</v>
      </c>
      <c r="EJ1104" s="15" t="s">
        <v>588</v>
      </c>
      <c r="EK1104" s="15" t="s">
        <v>589</v>
      </c>
      <c r="EL1104" s="15" t="s">
        <v>1283</v>
      </c>
      <c r="EM1104" s="15" t="str">
        <f>IFERROR(__xludf.DUMMYFUNCTION("""COMPUTED_VALUE"""),"{""value"":26.50,""unit"":""in""}")</f>
        <v>{"value":26.50,"unit":"in"}</v>
      </c>
      <c r="EN1104" s="15" t="s">
        <v>2402</v>
      </c>
      <c r="EO1104" s="15" t="s">
        <v>3332</v>
      </c>
      <c r="ES1104" s="15" t="s">
        <v>1236</v>
      </c>
      <c r="ET1104" s="15" t="s">
        <v>2402</v>
      </c>
      <c r="EU1104" s="15" t="s">
        <v>1324</v>
      </c>
      <c r="EV1104" s="15" t="s">
        <v>10532</v>
      </c>
      <c r="EW1104" s="15" t="s">
        <v>672</v>
      </c>
      <c r="EX1104" s="15" t="s">
        <v>1574</v>
      </c>
      <c r="EY1104" s="15" t="s">
        <v>7787</v>
      </c>
      <c r="EZ1104" s="15" t="s">
        <v>2402</v>
      </c>
      <c r="FC1104" s="15" t="s">
        <v>723</v>
      </c>
      <c r="FD1104" s="15" t="s">
        <v>1076</v>
      </c>
      <c r="FE1104" s="15" t="s">
        <v>2502</v>
      </c>
      <c r="FF1104" s="15" t="s">
        <v>2502</v>
      </c>
      <c r="JF1104" s="15" t="s">
        <v>877</v>
      </c>
      <c r="KC1104" s="15" t="s">
        <v>824</v>
      </c>
      <c r="KD1104" s="15" t="s">
        <v>2337</v>
      </c>
      <c r="KE1104" s="15" t="s">
        <v>5321</v>
      </c>
    </row>
    <row r="1105" ht="15.75" customHeight="1">
      <c r="A1105" s="14" t="s">
        <v>391</v>
      </c>
      <c r="B1105" s="15" t="s">
        <v>10525</v>
      </c>
      <c r="C1105" s="16"/>
      <c r="D1105" s="15" t="s">
        <v>432</v>
      </c>
      <c r="G1105" s="14" t="s">
        <v>393</v>
      </c>
      <c r="H1105" s="14" t="s">
        <v>394</v>
      </c>
      <c r="I1105" s="14" t="b">
        <v>1</v>
      </c>
      <c r="J1105" s="14" t="s">
        <v>395</v>
      </c>
      <c r="L1105" s="14" t="b">
        <v>0</v>
      </c>
      <c r="M1105" s="15" t="s">
        <v>10533</v>
      </c>
      <c r="N1105" s="14" t="s">
        <v>393</v>
      </c>
      <c r="O1105" s="14" t="s">
        <v>393</v>
      </c>
      <c r="P1105" s="15" t="s">
        <v>397</v>
      </c>
      <c r="Q1105" s="15" t="s">
        <v>10503</v>
      </c>
      <c r="R1105" s="15" t="s">
        <v>265</v>
      </c>
      <c r="S1105" s="15">
        <v>38.0</v>
      </c>
      <c r="T1105" s="14" t="b">
        <v>0</v>
      </c>
      <c r="U1105" s="15" t="s">
        <v>10534</v>
      </c>
      <c r="V1105" s="15" t="s">
        <v>10535</v>
      </c>
      <c r="W1105" s="15" t="s">
        <v>401</v>
      </c>
      <c r="X1105" s="15" t="s">
        <v>3827</v>
      </c>
      <c r="Y1105" s="15">
        <v>4264.0</v>
      </c>
      <c r="AA1105" s="15" t="str">
        <f>"1640"</f>
        <v>1640</v>
      </c>
      <c r="AB1105" s="14" t="b">
        <v>1</v>
      </c>
      <c r="AC1105" s="14" t="b">
        <v>1</v>
      </c>
      <c r="AD1105" s="15" t="str">
        <f>"801542242992"</f>
        <v>801542242992</v>
      </c>
      <c r="AE1105" s="15" t="s">
        <v>10536</v>
      </c>
      <c r="AF1105" s="14" t="s">
        <v>404</v>
      </c>
      <c r="AG1105" s="14" t="s">
        <v>405</v>
      </c>
      <c r="AH1105" s="14" t="s">
        <v>406</v>
      </c>
      <c r="AI1105" s="15">
        <v>0.0</v>
      </c>
      <c r="AL1105" s="15" t="s">
        <v>10529</v>
      </c>
      <c r="AM1105" s="15" t="s">
        <v>513</v>
      </c>
      <c r="AN1105" s="15" t="s">
        <v>514</v>
      </c>
      <c r="AO1105" s="15" t="s">
        <v>2372</v>
      </c>
      <c r="AP1105" s="15" t="s">
        <v>2373</v>
      </c>
      <c r="AQ1105" s="15" t="s">
        <v>1364</v>
      </c>
      <c r="AR1105" s="15" t="s">
        <v>1365</v>
      </c>
      <c r="AS1105" s="15" t="s">
        <v>6751</v>
      </c>
      <c r="AT1105" s="15" t="s">
        <v>7194</v>
      </c>
      <c r="AU1105" s="15" t="s">
        <v>10503</v>
      </c>
      <c r="AV1105" s="15" t="s">
        <v>8339</v>
      </c>
      <c r="AW1105" s="15" t="s">
        <v>1732</v>
      </c>
      <c r="AY1105" s="15" t="s">
        <v>413</v>
      </c>
      <c r="AZ1105" s="15" t="b">
        <v>0</v>
      </c>
      <c r="BA1105" s="15" t="s">
        <v>426</v>
      </c>
      <c r="BB1105" s="15" t="b">
        <v>1</v>
      </c>
      <c r="BC1105" s="15" t="s">
        <v>10537</v>
      </c>
      <c r="BD1105" s="15" t="s">
        <v>3835</v>
      </c>
      <c r="BE1105" s="15" t="str">
        <f t="shared" si="1928"/>
        <v>1</v>
      </c>
      <c r="BF1105" s="15" t="s">
        <v>10538</v>
      </c>
      <c r="BG1105" s="15" t="str">
        <f>"91"</f>
        <v>91</v>
      </c>
      <c r="BH1105" s="15" t="s">
        <v>5858</v>
      </c>
      <c r="BI1105" s="15" t="str">
        <f>"38.5"</f>
        <v>38.5</v>
      </c>
      <c r="BJ1105" s="15" t="s">
        <v>1206</v>
      </c>
      <c r="BK1105" s="15" t="str">
        <f>"31"</f>
        <v>31</v>
      </c>
      <c r="BL1105" s="15" t="s">
        <v>1277</v>
      </c>
      <c r="BM1105" s="15" t="str">
        <f>"234.44"</f>
        <v>234.44</v>
      </c>
      <c r="BN1105" s="15" t="s">
        <v>10539</v>
      </c>
      <c r="BQ1105" s="15" t="s">
        <v>444</v>
      </c>
      <c r="BS1105" s="15" t="s">
        <v>444</v>
      </c>
      <c r="BU1105" s="15" t="s">
        <v>444</v>
      </c>
      <c r="BW1105" s="15" t="s">
        <v>444</v>
      </c>
      <c r="BZ1105" s="15" t="s">
        <v>444</v>
      </c>
      <c r="CB1105" s="15" t="s">
        <v>444</v>
      </c>
      <c r="CD1105" s="15" t="s">
        <v>444</v>
      </c>
      <c r="CF1105" s="15" t="s">
        <v>444</v>
      </c>
      <c r="CI1105" s="15" t="s">
        <v>444</v>
      </c>
      <c r="CK1105" s="15" t="s">
        <v>444</v>
      </c>
      <c r="CM1105" s="15" t="s">
        <v>444</v>
      </c>
      <c r="CO1105" s="15" t="s">
        <v>444</v>
      </c>
      <c r="CP1105" s="15" t="str">
        <f>"62.86"</f>
        <v>62.86</v>
      </c>
      <c r="CQ1105" s="15" t="str">
        <f>"1.78"</f>
        <v>1.78</v>
      </c>
      <c r="CR1105" s="15" t="s">
        <v>417</v>
      </c>
      <c r="CY1105" s="15" t="s">
        <v>558</v>
      </c>
      <c r="CZ1105" s="15" t="s">
        <v>2547</v>
      </c>
      <c r="DA1105" s="15" t="s">
        <v>5321</v>
      </c>
      <c r="DB1105" s="15" t="s">
        <v>1286</v>
      </c>
      <c r="DC1105" s="15" t="str">
        <f>IFERROR(__xludf.DUMMYFUNCTION("""COMPUTED_VALUE"""),"{""value"":23.50,""unit"":""in""}")</f>
        <v>{"value":23.50,"unit":"in"}</v>
      </c>
      <c r="DD1105" s="15" t="s">
        <v>824</v>
      </c>
      <c r="DE1105" s="15" t="str">
        <f>IFERROR(__xludf.DUMMYFUNCTION("""COMPUTED_VALUE"""),"{""value"":18.50,""unit"":""in""}")</f>
        <v>{"value":18.50,"unit":"in"}</v>
      </c>
      <c r="DF1105" s="15" t="s">
        <v>5321</v>
      </c>
      <c r="DG1105" s="15" t="str">
        <f>IFERROR(__xludf.DUMMYFUNCTION("""COMPUTED_VALUE"""),"{""value"":80.00,""unit"":""in""}")</f>
        <v>{"value":80.00,"unit":"in"}</v>
      </c>
      <c r="DH1105" s="15">
        <v>0.0</v>
      </c>
      <c r="DI1105" s="15">
        <v>2.0</v>
      </c>
      <c r="DJ1105" s="15" t="s">
        <v>717</v>
      </c>
      <c r="DK1105" s="15" t="s">
        <v>934</v>
      </c>
      <c r="DL1105" s="15" t="str">
        <f>IFERROR(__xludf.DUMMYFUNCTION("""COMPUTED_VALUE"""),"Spot clean with water-based or solvent-based cleaner. Use mild detergent or upholstery shampoo.")</f>
        <v>Spot clean with water-based or solvent-based cleaner. Use mild detergent or upholstery shampoo.</v>
      </c>
      <c r="DM1105" s="15" t="s">
        <v>935</v>
      </c>
      <c r="DQ1105" s="15" t="s">
        <v>2502</v>
      </c>
      <c r="DT1105" s="15" t="s">
        <v>1111</v>
      </c>
      <c r="DU1105" s="15" t="s">
        <v>2381</v>
      </c>
      <c r="DV1105" s="15">
        <v>0.0</v>
      </c>
      <c r="DZ1105" s="15">
        <v>33000.0</v>
      </c>
      <c r="EA1105" s="15" t="s">
        <v>470</v>
      </c>
      <c r="EB1105" s="15" t="s">
        <v>1016</v>
      </c>
      <c r="EC1105" s="15" t="s">
        <v>724</v>
      </c>
      <c r="ED1105" s="15">
        <v>1.0</v>
      </c>
      <c r="EE1105" s="15">
        <v>4.0</v>
      </c>
      <c r="EG1105" s="15" t="s">
        <v>444</v>
      </c>
      <c r="EH1105" s="15" t="s">
        <v>10509</v>
      </c>
      <c r="EI1105" s="15">
        <v>0.0</v>
      </c>
      <c r="EJ1105" s="15" t="s">
        <v>588</v>
      </c>
      <c r="EK1105" s="15" t="s">
        <v>589</v>
      </c>
      <c r="EL1105" s="15" t="s">
        <v>1283</v>
      </c>
      <c r="EM1105" s="15" t="str">
        <f>IFERROR(__xludf.DUMMYFUNCTION("""COMPUTED_VALUE"""),"{""value"":26.50,""unit"":""in""}")</f>
        <v>{"value":26.50,"unit":"in"}</v>
      </c>
      <c r="EN1105" s="15" t="s">
        <v>2402</v>
      </c>
      <c r="EO1105" s="15" t="s">
        <v>2385</v>
      </c>
      <c r="ES1105" s="15" t="s">
        <v>1236</v>
      </c>
      <c r="ET1105" s="15" t="s">
        <v>2402</v>
      </c>
      <c r="EU1105" s="15" t="s">
        <v>1324</v>
      </c>
      <c r="EV1105" s="15" t="s">
        <v>10532</v>
      </c>
      <c r="EW1105" s="15" t="s">
        <v>672</v>
      </c>
      <c r="EX1105" s="15" t="s">
        <v>1283</v>
      </c>
      <c r="EY1105" s="15" t="s">
        <v>7787</v>
      </c>
      <c r="EZ1105" s="15" t="s">
        <v>2402</v>
      </c>
      <c r="FC1105" s="15" t="s">
        <v>723</v>
      </c>
      <c r="FD1105" s="15" t="s">
        <v>1076</v>
      </c>
      <c r="FE1105" s="15" t="s">
        <v>2502</v>
      </c>
      <c r="FF1105" s="15" t="s">
        <v>2502</v>
      </c>
      <c r="JF1105" s="15" t="s">
        <v>10540</v>
      </c>
      <c r="KC1105" s="15" t="s">
        <v>824</v>
      </c>
      <c r="KD1105" s="15" t="s">
        <v>5704</v>
      </c>
      <c r="KE1105" s="15" t="s">
        <v>5321</v>
      </c>
    </row>
    <row r="1106" ht="15.75" customHeight="1">
      <c r="A1106" s="14" t="s">
        <v>391</v>
      </c>
      <c r="B1106" s="15" t="s">
        <v>10541</v>
      </c>
      <c r="C1106" s="16"/>
      <c r="D1106" s="15" t="s">
        <v>432</v>
      </c>
      <c r="G1106" s="14" t="s">
        <v>393</v>
      </c>
      <c r="H1106" s="14" t="s">
        <v>394</v>
      </c>
      <c r="I1106" s="14" t="b">
        <v>1</v>
      </c>
      <c r="J1106" s="14" t="s">
        <v>395</v>
      </c>
      <c r="L1106" s="14" t="b">
        <v>0</v>
      </c>
      <c r="M1106" s="15" t="s">
        <v>10542</v>
      </c>
      <c r="N1106" s="14" t="s">
        <v>393</v>
      </c>
      <c r="O1106" s="14" t="s">
        <v>393</v>
      </c>
      <c r="P1106" s="15" t="s">
        <v>397</v>
      </c>
      <c r="Q1106" s="15" t="s">
        <v>7194</v>
      </c>
      <c r="T1106" s="14" t="b">
        <v>0</v>
      </c>
      <c r="U1106" s="15" t="s">
        <v>10543</v>
      </c>
      <c r="V1106" s="15" t="s">
        <v>3826</v>
      </c>
      <c r="W1106" s="15" t="s">
        <v>401</v>
      </c>
      <c r="X1106" s="15" t="s">
        <v>3827</v>
      </c>
      <c r="Y1106" s="15">
        <v>3276.0</v>
      </c>
      <c r="AA1106" s="15" t="str">
        <f>"1260"</f>
        <v>1260</v>
      </c>
      <c r="AB1106" s="14" t="b">
        <v>1</v>
      </c>
      <c r="AC1106" s="14" t="b">
        <v>1</v>
      </c>
      <c r="AD1106" s="15" t="str">
        <f>"198394126205"</f>
        <v>198394126205</v>
      </c>
      <c r="AE1106" s="15" t="s">
        <v>10544</v>
      </c>
      <c r="AF1106" s="14" t="s">
        <v>404</v>
      </c>
      <c r="AG1106" s="14" t="s">
        <v>405</v>
      </c>
      <c r="AH1106" s="14" t="s">
        <v>406</v>
      </c>
      <c r="AI1106" s="15">
        <v>0.0</v>
      </c>
      <c r="AL1106" s="15" t="s">
        <v>10545</v>
      </c>
      <c r="AM1106" s="15" t="s">
        <v>5046</v>
      </c>
      <c r="AN1106" s="15" t="s">
        <v>5047</v>
      </c>
      <c r="AO1106" s="15" t="s">
        <v>1401</v>
      </c>
      <c r="AP1106" s="15" t="s">
        <v>1402</v>
      </c>
      <c r="AQ1106" s="15" t="s">
        <v>2834</v>
      </c>
      <c r="AR1106" s="15" t="s">
        <v>2239</v>
      </c>
      <c r="AS1106" s="15" t="s">
        <v>6751</v>
      </c>
      <c r="AT1106" s="15" t="s">
        <v>7194</v>
      </c>
      <c r="AU1106" s="15" t="s">
        <v>8339</v>
      </c>
      <c r="AW1106" s="15" t="s">
        <v>1732</v>
      </c>
      <c r="AY1106" s="15" t="s">
        <v>413</v>
      </c>
      <c r="AZ1106" s="15" t="b">
        <v>0</v>
      </c>
      <c r="BA1106" s="15" t="s">
        <v>426</v>
      </c>
      <c r="BB1106" s="15" t="b">
        <v>1</v>
      </c>
      <c r="BC1106" s="15" t="s">
        <v>10546</v>
      </c>
      <c r="BD1106" s="15" t="s">
        <v>3835</v>
      </c>
      <c r="BE1106" s="15" t="str">
        <f t="shared" si="1928"/>
        <v>1</v>
      </c>
      <c r="BF1106" s="15" t="s">
        <v>5429</v>
      </c>
      <c r="BG1106" s="15" t="str">
        <f>"86"</f>
        <v>86</v>
      </c>
      <c r="BH1106" s="15" t="s">
        <v>514</v>
      </c>
      <c r="BI1106" s="15" t="str">
        <f>"43"</f>
        <v>43</v>
      </c>
      <c r="BJ1106" s="15" t="s">
        <v>545</v>
      </c>
      <c r="BK1106" s="15" t="str">
        <f>"27.5"</f>
        <v>27.5</v>
      </c>
      <c r="BL1106" s="15" t="s">
        <v>1056</v>
      </c>
      <c r="BM1106" s="15" t="str">
        <f>"172"</f>
        <v>172</v>
      </c>
      <c r="BN1106" s="15" t="s">
        <v>10547</v>
      </c>
      <c r="BQ1106" s="15" t="s">
        <v>444</v>
      </c>
      <c r="BS1106" s="15" t="s">
        <v>444</v>
      </c>
      <c r="BU1106" s="15" t="s">
        <v>444</v>
      </c>
      <c r="BW1106" s="15" t="s">
        <v>444</v>
      </c>
      <c r="BZ1106" s="15" t="s">
        <v>444</v>
      </c>
      <c r="CB1106" s="15" t="s">
        <v>444</v>
      </c>
      <c r="CD1106" s="15" t="s">
        <v>444</v>
      </c>
      <c r="CF1106" s="15" t="s">
        <v>444</v>
      </c>
      <c r="CI1106" s="15" t="s">
        <v>444</v>
      </c>
      <c r="CK1106" s="15" t="s">
        <v>444</v>
      </c>
      <c r="CM1106" s="15" t="s">
        <v>444</v>
      </c>
      <c r="CO1106" s="15" t="s">
        <v>444</v>
      </c>
      <c r="CP1106" s="15" t="str">
        <f>"58.83"</f>
        <v>58.83</v>
      </c>
      <c r="CQ1106" s="15" t="str">
        <f>"1.666"</f>
        <v>1.666</v>
      </c>
      <c r="CR1106" s="15" t="s">
        <v>497</v>
      </c>
      <c r="CY1106" s="15" t="s">
        <v>529</v>
      </c>
      <c r="CZ1106" s="15" t="s">
        <v>2402</v>
      </c>
      <c r="DA1106" s="15" t="s">
        <v>2379</v>
      </c>
      <c r="DB1106" s="15" t="s">
        <v>1253</v>
      </c>
      <c r="DC1106" s="15" t="str">
        <f>IFERROR(__xludf.DUMMYFUNCTION("""COMPUTED_VALUE"""),"{""value"":22.50,""unit"":""in""}")</f>
        <v>{"value":22.50,"unit":"in"}</v>
      </c>
      <c r="DD1106" s="15" t="s">
        <v>467</v>
      </c>
      <c r="DE1106" s="15" t="str">
        <f>IFERROR(__xludf.DUMMYFUNCTION("""COMPUTED_VALUE"""),"{""value"":19.00,""unit"":""in""}")</f>
        <v>{"value":19.00,"unit":"in"}</v>
      </c>
      <c r="DF1106" s="15" t="s">
        <v>2379</v>
      </c>
      <c r="DG1106" s="15" t="str">
        <f>IFERROR(__xludf.DUMMYFUNCTION("""COMPUTED_VALUE"""),"{""value"":79.00,""unit"":""in""}")</f>
        <v>{"value":79.00,"unit":"in"}</v>
      </c>
      <c r="DH1106" s="15">
        <v>0.0</v>
      </c>
      <c r="DI1106" s="15">
        <v>2.0</v>
      </c>
      <c r="DJ1106" s="15" t="s">
        <v>717</v>
      </c>
      <c r="DK1106" s="15" t="s">
        <v>934</v>
      </c>
      <c r="DL1106" s="15" t="str">
        <f>IFERROR(__xludf.DUMMYFUNCTION("""COMPUTED_VALUE"""),"Spot clean with water-based or solvent-based cleaner. Use mild detergent or upholstery shampoo.")</f>
        <v>Spot clean with water-based or solvent-based cleaner. Use mild detergent or upholstery shampoo.</v>
      </c>
      <c r="DM1106" s="15" t="s">
        <v>935</v>
      </c>
      <c r="DQ1106" s="15" t="s">
        <v>2502</v>
      </c>
      <c r="DT1106" s="15" t="s">
        <v>1111</v>
      </c>
      <c r="DU1106" s="15" t="s">
        <v>419</v>
      </c>
      <c r="DV1106" s="15">
        <v>0.0</v>
      </c>
      <c r="DZ1106" s="15">
        <v>33000.0</v>
      </c>
      <c r="EA1106" s="15" t="s">
        <v>470</v>
      </c>
      <c r="EB1106" s="15" t="s">
        <v>723</v>
      </c>
      <c r="EC1106" s="15" t="s">
        <v>724</v>
      </c>
      <c r="ED1106" s="15">
        <v>1.0</v>
      </c>
      <c r="EE1106" s="15">
        <v>4.0</v>
      </c>
      <c r="EG1106" s="15" t="s">
        <v>444</v>
      </c>
      <c r="EH1106" s="15" t="s">
        <v>10509</v>
      </c>
      <c r="EI1106" s="15">
        <v>0.0</v>
      </c>
      <c r="EJ1106" s="15" t="s">
        <v>588</v>
      </c>
      <c r="EK1106" s="15" t="s">
        <v>589</v>
      </c>
      <c r="EL1106" s="15" t="s">
        <v>1283</v>
      </c>
      <c r="EM1106" s="15" t="str">
        <f>IFERROR(__xludf.DUMMYFUNCTION("""COMPUTED_VALUE"""),"{""value"":26.50,""unit"":""in""}")</f>
        <v>{"value":26.50,"unit":"in"}</v>
      </c>
      <c r="EN1106" s="15" t="s">
        <v>2547</v>
      </c>
      <c r="EO1106" s="15" t="s">
        <v>10532</v>
      </c>
      <c r="ES1106" s="15" t="s">
        <v>477</v>
      </c>
      <c r="ET1106" s="15" t="s">
        <v>1593</v>
      </c>
      <c r="EU1106" s="15" t="s">
        <v>788</v>
      </c>
      <c r="EV1106" s="15" t="s">
        <v>2399</v>
      </c>
      <c r="EW1106" s="15" t="s">
        <v>672</v>
      </c>
      <c r="EX1106" s="15" t="s">
        <v>2637</v>
      </c>
      <c r="EY1106" s="15" t="s">
        <v>10548</v>
      </c>
      <c r="EZ1106" s="15" t="s">
        <v>2547</v>
      </c>
      <c r="FC1106" s="15" t="s">
        <v>723</v>
      </c>
      <c r="FD1106" s="15" t="s">
        <v>724</v>
      </c>
      <c r="FF1106" s="15" t="s">
        <v>2502</v>
      </c>
      <c r="FS1106" s="15" t="s">
        <v>2436</v>
      </c>
    </row>
    <row r="1107" ht="15.75" customHeight="1">
      <c r="A1107" s="14" t="s">
        <v>391</v>
      </c>
      <c r="B1107" s="15" t="s">
        <v>10549</v>
      </c>
      <c r="C1107" s="16"/>
      <c r="D1107" s="15" t="s">
        <v>432</v>
      </c>
      <c r="G1107" s="14" t="s">
        <v>393</v>
      </c>
      <c r="H1107" s="14" t="s">
        <v>394</v>
      </c>
      <c r="I1107" s="14" t="b">
        <v>1</v>
      </c>
      <c r="J1107" s="14" t="s">
        <v>395</v>
      </c>
      <c r="L1107" s="14" t="b">
        <v>0</v>
      </c>
      <c r="M1107" s="15" t="s">
        <v>10550</v>
      </c>
      <c r="N1107" s="14" t="s">
        <v>393</v>
      </c>
      <c r="O1107" s="14" t="s">
        <v>393</v>
      </c>
      <c r="P1107" s="15" t="s">
        <v>397</v>
      </c>
      <c r="Q1107" s="15" t="s">
        <v>7211</v>
      </c>
      <c r="R1107" s="15" t="s">
        <v>265</v>
      </c>
      <c r="S1107" s="15" t="s">
        <v>877</v>
      </c>
      <c r="T1107" s="14" t="b">
        <v>0</v>
      </c>
      <c r="U1107" s="15" t="s">
        <v>10551</v>
      </c>
      <c r="V1107" s="15" t="s">
        <v>4017</v>
      </c>
      <c r="W1107" s="15" t="s">
        <v>401</v>
      </c>
      <c r="X1107" s="15" t="s">
        <v>742</v>
      </c>
      <c r="Y1107" s="15">
        <v>2847.0</v>
      </c>
      <c r="AA1107" s="15" t="str">
        <f>"1095"</f>
        <v>1095</v>
      </c>
      <c r="AB1107" s="14" t="b">
        <v>1</v>
      </c>
      <c r="AC1107" s="14" t="b">
        <v>1</v>
      </c>
      <c r="AD1107" s="15" t="str">
        <f>"801542248215"</f>
        <v>801542248215</v>
      </c>
      <c r="AE1107" s="15" t="s">
        <v>10552</v>
      </c>
      <c r="AF1107" s="14" t="s">
        <v>404</v>
      </c>
      <c r="AG1107" s="14" t="s">
        <v>405</v>
      </c>
      <c r="AH1107" s="14" t="s">
        <v>406</v>
      </c>
      <c r="AI1107" s="15">
        <v>0.0</v>
      </c>
      <c r="AL1107" s="15" t="s">
        <v>10553</v>
      </c>
      <c r="AM1107" s="15" t="s">
        <v>4209</v>
      </c>
      <c r="AN1107" s="15" t="s">
        <v>4011</v>
      </c>
      <c r="AO1107" s="15" t="s">
        <v>10554</v>
      </c>
      <c r="AP1107" s="15" t="s">
        <v>10555</v>
      </c>
      <c r="AQ1107" s="15" t="s">
        <v>10556</v>
      </c>
      <c r="AR1107" s="15" t="s">
        <v>10557</v>
      </c>
      <c r="AS1107" s="15" t="s">
        <v>1030</v>
      </c>
      <c r="AT1107" s="15" t="s">
        <v>7211</v>
      </c>
      <c r="AU1107" s="15" t="s">
        <v>10558</v>
      </c>
      <c r="AV1107" s="15" t="s">
        <v>10559</v>
      </c>
      <c r="AW1107" s="15" t="s">
        <v>839</v>
      </c>
      <c r="AX1107" s="15" t="s">
        <v>877</v>
      </c>
      <c r="AY1107" s="15" t="s">
        <v>413</v>
      </c>
      <c r="AZ1107" s="15" t="b">
        <v>0</v>
      </c>
      <c r="BA1107" s="15" t="s">
        <v>426</v>
      </c>
      <c r="BB1107" s="15" t="b">
        <v>1</v>
      </c>
      <c r="BC1107" s="15" t="s">
        <v>10560</v>
      </c>
      <c r="BD1107" s="15" t="s">
        <v>742</v>
      </c>
      <c r="BE1107" s="15" t="str">
        <f t="shared" ref="BE1107:BE1108" si="1929">"3"</f>
        <v>3</v>
      </c>
      <c r="BF1107" s="15" t="s">
        <v>841</v>
      </c>
      <c r="BG1107" s="15" t="str">
        <f>"70.47"</f>
        <v>70.47</v>
      </c>
      <c r="BH1107" s="15" t="s">
        <v>10561</v>
      </c>
      <c r="BI1107" s="15" t="str">
        <f>"7.68"</f>
        <v>7.68</v>
      </c>
      <c r="BJ1107" s="15" t="s">
        <v>6549</v>
      </c>
      <c r="BK1107" s="15" t="str">
        <f>"56.1"</f>
        <v>56.1</v>
      </c>
      <c r="BL1107" s="15" t="s">
        <v>10562</v>
      </c>
      <c r="BM1107" s="15" t="str">
        <f>"106.33"</f>
        <v>106.33</v>
      </c>
      <c r="BN1107" s="15" t="s">
        <v>10563</v>
      </c>
      <c r="BO1107" s="15" t="s">
        <v>846</v>
      </c>
      <c r="BP1107" s="15" t="str">
        <f>"70.47"</f>
        <v>70.47</v>
      </c>
      <c r="BQ1107" s="15" t="s">
        <v>10561</v>
      </c>
      <c r="BR1107" s="15" t="str">
        <f>"7.68"</f>
        <v>7.68</v>
      </c>
      <c r="BS1107" s="15" t="s">
        <v>6549</v>
      </c>
      <c r="BT1107" s="15" t="str">
        <f>"27.17"</f>
        <v>27.17</v>
      </c>
      <c r="BU1107" s="15" t="s">
        <v>1478</v>
      </c>
      <c r="BV1107" s="15" t="str">
        <f>"55.12"</f>
        <v>55.12</v>
      </c>
      <c r="BW1107" s="15" t="s">
        <v>5847</v>
      </c>
      <c r="BX1107" s="15" t="s">
        <v>10564</v>
      </c>
      <c r="BY1107" s="15" t="str">
        <f>"88.58"</f>
        <v>88.58</v>
      </c>
      <c r="BZ1107" s="15" t="s">
        <v>5317</v>
      </c>
      <c r="CA1107" s="15" t="str">
        <f>"11.02"</f>
        <v>11.02</v>
      </c>
      <c r="CB1107" s="15" t="s">
        <v>932</v>
      </c>
      <c r="CC1107" s="15" t="str">
        <f>"12.99"</f>
        <v>12.99</v>
      </c>
      <c r="CD1107" s="15" t="s">
        <v>6448</v>
      </c>
      <c r="CE1107" s="15" t="str">
        <f>"97.86"</f>
        <v>97.86</v>
      </c>
      <c r="CF1107" s="15" t="s">
        <v>10565</v>
      </c>
      <c r="CI1107" s="15" t="s">
        <v>444</v>
      </c>
      <c r="CK1107" s="15" t="s">
        <v>444</v>
      </c>
      <c r="CM1107" s="15" t="s">
        <v>444</v>
      </c>
      <c r="CO1107" s="15" t="s">
        <v>444</v>
      </c>
      <c r="CP1107" s="15" t="str">
        <f>"33.41"</f>
        <v>33.41</v>
      </c>
      <c r="CQ1107" s="15" t="str">
        <f>"0.946"</f>
        <v>0.946</v>
      </c>
      <c r="CR1107" s="15" t="s">
        <v>417</v>
      </c>
      <c r="DC1107" s="15" t="str">
        <f>IFERROR(__xludf.DUMMYFUNCTION("""COMPUTED_VALUE"""),"")</f>
        <v/>
      </c>
      <c r="DE1107" s="15" t="str">
        <f>IFERROR(__xludf.DUMMYFUNCTION("""COMPUTED_VALUE"""),"")</f>
        <v/>
      </c>
      <c r="DG1107" s="15" t="str">
        <f>IFERROR(__xludf.DUMMYFUNCTION("""COMPUTED_VALUE"""),"")</f>
        <v/>
      </c>
      <c r="DK1107" s="15" t="s">
        <v>897</v>
      </c>
      <c r="DL1107" s="15" t="str">
        <f>IFERROR(__xludf.DUMMYFUNCTION("""COMPUTED_VALUE"""),"Clean with water-based products only. Use mild detergent or upholstery shampoo.")</f>
        <v>Clean with water-based products only. Use mild detergent or upholstery shampoo.</v>
      </c>
      <c r="DM1107" s="15" t="s">
        <v>898</v>
      </c>
      <c r="DN1107" s="15" t="s">
        <v>419</v>
      </c>
      <c r="DO1107" s="15">
        <v>0.0</v>
      </c>
      <c r="DP1107" s="15" t="s">
        <v>419</v>
      </c>
      <c r="DR1107" s="15">
        <v>0.0</v>
      </c>
      <c r="DT1107" s="15" t="s">
        <v>721</v>
      </c>
      <c r="DU1107" s="15" t="s">
        <v>419</v>
      </c>
      <c r="DW1107" s="15">
        <v>0.0</v>
      </c>
      <c r="DX1107" s="15">
        <v>0.0</v>
      </c>
      <c r="DY1107" s="15">
        <v>0.0</v>
      </c>
      <c r="DZ1107" s="15">
        <v>15000.0</v>
      </c>
      <c r="EG1107" s="15" t="s">
        <v>444</v>
      </c>
      <c r="EH1107" s="15" t="s">
        <v>10566</v>
      </c>
      <c r="EJ1107" s="15" t="s">
        <v>858</v>
      </c>
      <c r="EK1107" s="15" t="s">
        <v>859</v>
      </c>
      <c r="EM1107" s="15" t="str">
        <f>IFERROR(__xludf.DUMMYFUNCTION("""COMPUTED_VALUE"""),"")</f>
        <v/>
      </c>
      <c r="FM1107" s="15">
        <v>0.0</v>
      </c>
      <c r="IM1107" s="15" t="s">
        <v>7641</v>
      </c>
      <c r="IN1107" s="15" t="s">
        <v>7641</v>
      </c>
      <c r="IO1107" s="15" t="s">
        <v>7641</v>
      </c>
      <c r="IP1107" s="15" t="s">
        <v>4946</v>
      </c>
      <c r="IQ1107" s="15" t="s">
        <v>10567</v>
      </c>
      <c r="IR1107" s="15" t="s">
        <v>3135</v>
      </c>
      <c r="IS1107" s="15" t="s">
        <v>10568</v>
      </c>
      <c r="IT1107" s="15" t="s">
        <v>10567</v>
      </c>
      <c r="IU1107" s="15" t="s">
        <v>3135</v>
      </c>
      <c r="IV1107" s="15" t="s">
        <v>2971</v>
      </c>
      <c r="IW1107" s="15" t="s">
        <v>4685</v>
      </c>
      <c r="IX1107" s="15" t="s">
        <v>3284</v>
      </c>
      <c r="IY1107" s="15" t="s">
        <v>6721</v>
      </c>
      <c r="IZ1107" s="15" t="s">
        <v>4378</v>
      </c>
      <c r="JA1107" s="15" t="s">
        <v>2144</v>
      </c>
      <c r="JB1107" s="15" t="s">
        <v>426</v>
      </c>
      <c r="JC1107" s="15" t="s">
        <v>2973</v>
      </c>
      <c r="JD1107" s="15" t="s">
        <v>872</v>
      </c>
      <c r="JE1107" s="15" t="s">
        <v>873</v>
      </c>
      <c r="JF1107" s="15" t="s">
        <v>877</v>
      </c>
      <c r="JL1107" s="15" t="s">
        <v>759</v>
      </c>
      <c r="JM1107" s="15" t="s">
        <v>6925</v>
      </c>
      <c r="JO1107" s="15" t="s">
        <v>426</v>
      </c>
      <c r="JP1107" s="15" t="s">
        <v>10569</v>
      </c>
      <c r="JS1107" s="15" t="s">
        <v>2971</v>
      </c>
      <c r="JT1107" s="15" t="s">
        <v>3284</v>
      </c>
    </row>
    <row r="1108" ht="15.75" customHeight="1">
      <c r="A1108" s="14" t="s">
        <v>391</v>
      </c>
      <c r="B1108" s="15" t="s">
        <v>10549</v>
      </c>
      <c r="C1108" s="16"/>
      <c r="D1108" s="15" t="s">
        <v>432</v>
      </c>
      <c r="G1108" s="14" t="s">
        <v>393</v>
      </c>
      <c r="H1108" s="14" t="s">
        <v>394</v>
      </c>
      <c r="I1108" s="14" t="b">
        <v>1</v>
      </c>
      <c r="J1108" s="14" t="s">
        <v>395</v>
      </c>
      <c r="L1108" s="14" t="b">
        <v>0</v>
      </c>
      <c r="M1108" s="15" t="s">
        <v>10570</v>
      </c>
      <c r="N1108" s="14" t="s">
        <v>393</v>
      </c>
      <c r="O1108" s="14" t="s">
        <v>393</v>
      </c>
      <c r="P1108" s="15" t="s">
        <v>397</v>
      </c>
      <c r="Q1108" s="15" t="s">
        <v>7211</v>
      </c>
      <c r="R1108" s="15" t="s">
        <v>265</v>
      </c>
      <c r="S1108" s="15" t="s">
        <v>828</v>
      </c>
      <c r="T1108" s="14" t="b">
        <v>0</v>
      </c>
      <c r="U1108" s="15" t="s">
        <v>10571</v>
      </c>
      <c r="V1108" s="15" t="s">
        <v>10572</v>
      </c>
      <c r="W1108" s="15" t="s">
        <v>401</v>
      </c>
      <c r="X1108" s="15" t="s">
        <v>742</v>
      </c>
      <c r="Y1108" s="15">
        <v>3276.0</v>
      </c>
      <c r="AA1108" s="15" t="str">
        <f>"1260"</f>
        <v>1260</v>
      </c>
      <c r="AB1108" s="14" t="b">
        <v>1</v>
      </c>
      <c r="AC1108" s="14" t="b">
        <v>1</v>
      </c>
      <c r="AD1108" s="15" t="str">
        <f>"801542248208"</f>
        <v>801542248208</v>
      </c>
      <c r="AE1108" s="15" t="s">
        <v>10573</v>
      </c>
      <c r="AF1108" s="14" t="s">
        <v>404</v>
      </c>
      <c r="AG1108" s="14" t="s">
        <v>405</v>
      </c>
      <c r="AH1108" s="14" t="s">
        <v>406</v>
      </c>
      <c r="AI1108" s="15">
        <v>0.0</v>
      </c>
      <c r="AL1108" s="15" t="s">
        <v>10553</v>
      </c>
      <c r="AM1108" s="15" t="s">
        <v>6631</v>
      </c>
      <c r="AN1108" s="15" t="s">
        <v>3003</v>
      </c>
      <c r="AO1108" s="15" t="s">
        <v>10554</v>
      </c>
      <c r="AP1108" s="15" t="s">
        <v>10555</v>
      </c>
      <c r="AQ1108" s="15" t="s">
        <v>10556</v>
      </c>
      <c r="AR1108" s="15" t="s">
        <v>10557</v>
      </c>
      <c r="AS1108" s="15" t="s">
        <v>1030</v>
      </c>
      <c r="AT1108" s="15" t="s">
        <v>7211</v>
      </c>
      <c r="AU1108" s="15" t="s">
        <v>10558</v>
      </c>
      <c r="AV1108" s="15" t="s">
        <v>10559</v>
      </c>
      <c r="AW1108" s="15" t="s">
        <v>839</v>
      </c>
      <c r="AX1108" s="15" t="s">
        <v>828</v>
      </c>
      <c r="AY1108" s="15" t="s">
        <v>413</v>
      </c>
      <c r="AZ1108" s="15" t="b">
        <v>0</v>
      </c>
      <c r="BA1108" s="15" t="s">
        <v>426</v>
      </c>
      <c r="BB1108" s="15" t="b">
        <v>1</v>
      </c>
      <c r="BC1108" s="15" t="s">
        <v>10560</v>
      </c>
      <c r="BD1108" s="15" t="s">
        <v>742</v>
      </c>
      <c r="BE1108" s="15" t="str">
        <f t="shared" si="1929"/>
        <v>3</v>
      </c>
      <c r="BF1108" s="15" t="s">
        <v>841</v>
      </c>
      <c r="BG1108" s="15" t="str">
        <f>"87.01"</f>
        <v>87.01</v>
      </c>
      <c r="BH1108" s="15" t="s">
        <v>3884</v>
      </c>
      <c r="BI1108" s="15" t="str">
        <f>"7.48"</f>
        <v>7.48</v>
      </c>
      <c r="BJ1108" s="15" t="s">
        <v>6711</v>
      </c>
      <c r="BK1108" s="15" t="str">
        <f>"56.3"</f>
        <v>56.3</v>
      </c>
      <c r="BL1108" s="15" t="s">
        <v>3400</v>
      </c>
      <c r="BM1108" s="15" t="str">
        <f>"122.36"</f>
        <v>122.36</v>
      </c>
      <c r="BN1108" s="15" t="s">
        <v>5065</v>
      </c>
      <c r="BO1108" s="15" t="s">
        <v>846</v>
      </c>
      <c r="BP1108" s="15" t="str">
        <f>"86.42"</f>
        <v>86.42</v>
      </c>
      <c r="BQ1108" s="15" t="s">
        <v>6945</v>
      </c>
      <c r="BR1108" s="15" t="str">
        <f>"7.87"</f>
        <v>7.87</v>
      </c>
      <c r="BS1108" s="15" t="s">
        <v>923</v>
      </c>
      <c r="BT1108" s="15" t="str">
        <f>"27.36"</f>
        <v>27.36</v>
      </c>
      <c r="BU1108" s="15" t="s">
        <v>2065</v>
      </c>
      <c r="BV1108" s="15" t="str">
        <f>"63.93"</f>
        <v>63.93</v>
      </c>
      <c r="BW1108" s="15" t="s">
        <v>2965</v>
      </c>
      <c r="BX1108" s="15" t="s">
        <v>10574</v>
      </c>
      <c r="BY1108" s="15" t="str">
        <f>"87.8"</f>
        <v>87.8</v>
      </c>
      <c r="BZ1108" s="15" t="s">
        <v>2615</v>
      </c>
      <c r="CA1108" s="15" t="str">
        <f>"11.42"</f>
        <v>11.42</v>
      </c>
      <c r="CB1108" s="15" t="s">
        <v>853</v>
      </c>
      <c r="CC1108" s="15" t="str">
        <f>"13.58"</f>
        <v>13.58</v>
      </c>
      <c r="CD1108" s="15" t="s">
        <v>9581</v>
      </c>
      <c r="CE1108" s="15" t="str">
        <f>"120.15"</f>
        <v>120.15</v>
      </c>
      <c r="CF1108" s="15" t="s">
        <v>10575</v>
      </c>
      <c r="CI1108" s="15" t="s">
        <v>444</v>
      </c>
      <c r="CK1108" s="15" t="s">
        <v>444</v>
      </c>
      <c r="CM1108" s="15" t="s">
        <v>444</v>
      </c>
      <c r="CO1108" s="15" t="s">
        <v>444</v>
      </c>
      <c r="CP1108" s="15" t="str">
        <f>"39.83"</f>
        <v>39.83</v>
      </c>
      <c r="CQ1108" s="15" t="str">
        <f>"1.128"</f>
        <v>1.128</v>
      </c>
      <c r="CR1108" s="15" t="s">
        <v>465</v>
      </c>
      <c r="DC1108" s="15" t="str">
        <f>IFERROR(__xludf.DUMMYFUNCTION("""COMPUTED_VALUE"""),"")</f>
        <v/>
      </c>
      <c r="DE1108" s="15" t="str">
        <f>IFERROR(__xludf.DUMMYFUNCTION("""COMPUTED_VALUE"""),"")</f>
        <v/>
      </c>
      <c r="DG1108" s="15" t="str">
        <f>IFERROR(__xludf.DUMMYFUNCTION("""COMPUTED_VALUE"""),"")</f>
        <v/>
      </c>
      <c r="DK1108" s="15" t="s">
        <v>897</v>
      </c>
      <c r="DL1108" s="15" t="str">
        <f>IFERROR(__xludf.DUMMYFUNCTION("""COMPUTED_VALUE"""),"Clean with water-based products only. Use mild detergent or upholstery shampoo.")</f>
        <v>Clean with water-based products only. Use mild detergent or upholstery shampoo.</v>
      </c>
      <c r="DM1108" s="15" t="s">
        <v>898</v>
      </c>
      <c r="DN1108" s="15" t="s">
        <v>419</v>
      </c>
      <c r="DO1108" s="15">
        <v>0.0</v>
      </c>
      <c r="DP1108" s="15" t="s">
        <v>419</v>
      </c>
      <c r="DR1108" s="15">
        <v>0.0</v>
      </c>
      <c r="DT1108" s="15" t="s">
        <v>721</v>
      </c>
      <c r="DU1108" s="15" t="s">
        <v>419</v>
      </c>
      <c r="DW1108" s="15">
        <v>0.0</v>
      </c>
      <c r="DX1108" s="15">
        <v>0.0</v>
      </c>
      <c r="DY1108" s="15">
        <v>0.0</v>
      </c>
      <c r="DZ1108" s="15">
        <v>15000.0</v>
      </c>
      <c r="EG1108" s="15" t="s">
        <v>444</v>
      </c>
      <c r="EH1108" s="15" t="s">
        <v>10566</v>
      </c>
      <c r="EJ1108" s="15" t="s">
        <v>858</v>
      </c>
      <c r="EK1108" s="15" t="s">
        <v>859</v>
      </c>
      <c r="EM1108" s="15" t="str">
        <f>IFERROR(__xludf.DUMMYFUNCTION("""COMPUTED_VALUE"""),"")</f>
        <v/>
      </c>
      <c r="FM1108" s="15">
        <v>0.0</v>
      </c>
      <c r="IM1108" s="15" t="s">
        <v>7641</v>
      </c>
      <c r="IN1108" s="15" t="s">
        <v>7641</v>
      </c>
      <c r="IO1108" s="15" t="s">
        <v>7641</v>
      </c>
      <c r="IP1108" s="15" t="s">
        <v>4946</v>
      </c>
      <c r="IQ1108" s="15" t="s">
        <v>10567</v>
      </c>
      <c r="IR1108" s="15" t="s">
        <v>6633</v>
      </c>
      <c r="IS1108" s="15" t="s">
        <v>10568</v>
      </c>
      <c r="IT1108" s="15" t="s">
        <v>10567</v>
      </c>
      <c r="IU1108" s="15" t="s">
        <v>6633</v>
      </c>
      <c r="IV1108" s="15" t="s">
        <v>2971</v>
      </c>
      <c r="IW1108" s="15" t="s">
        <v>4685</v>
      </c>
      <c r="IX1108" s="15" t="s">
        <v>869</v>
      </c>
      <c r="IY1108" s="15" t="s">
        <v>6721</v>
      </c>
      <c r="IZ1108" s="15" t="s">
        <v>4378</v>
      </c>
      <c r="JA1108" s="15" t="s">
        <v>2144</v>
      </c>
      <c r="JB1108" s="15" t="s">
        <v>426</v>
      </c>
      <c r="JC1108" s="15" t="s">
        <v>2973</v>
      </c>
      <c r="JD1108" s="15" t="s">
        <v>872</v>
      </c>
      <c r="JE1108" s="15" t="s">
        <v>873</v>
      </c>
      <c r="JF1108" s="15" t="s">
        <v>828</v>
      </c>
      <c r="JL1108" s="15" t="s">
        <v>759</v>
      </c>
      <c r="JM1108" s="15" t="s">
        <v>6925</v>
      </c>
      <c r="JO1108" s="15" t="s">
        <v>426</v>
      </c>
      <c r="JP1108" s="15" t="s">
        <v>10569</v>
      </c>
      <c r="JS1108" s="15" t="s">
        <v>2971</v>
      </c>
      <c r="JT1108" s="15" t="s">
        <v>869</v>
      </c>
    </row>
    <row r="1109" ht="15.75" customHeight="1">
      <c r="A1109" s="14" t="s">
        <v>391</v>
      </c>
      <c r="B1109" s="15" t="s">
        <v>10576</v>
      </c>
      <c r="C1109" s="16"/>
      <c r="D1109" s="15" t="s">
        <v>432</v>
      </c>
      <c r="G1109" s="14" t="s">
        <v>393</v>
      </c>
      <c r="H1109" s="14" t="s">
        <v>394</v>
      </c>
      <c r="I1109" s="14" t="b">
        <v>1</v>
      </c>
      <c r="J1109" s="14" t="s">
        <v>395</v>
      </c>
      <c r="L1109" s="14" t="b">
        <v>0</v>
      </c>
      <c r="M1109" s="15" t="s">
        <v>10577</v>
      </c>
      <c r="N1109" s="14" t="s">
        <v>393</v>
      </c>
      <c r="O1109" s="14" t="s">
        <v>393</v>
      </c>
      <c r="P1109" s="15" t="s">
        <v>397</v>
      </c>
      <c r="Q1109" s="15" t="s">
        <v>2008</v>
      </c>
      <c r="T1109" s="14" t="b">
        <v>0</v>
      </c>
      <c r="U1109" s="15" t="s">
        <v>10578</v>
      </c>
      <c r="V1109" s="15" t="s">
        <v>1598</v>
      </c>
      <c r="W1109" s="15" t="s">
        <v>401</v>
      </c>
      <c r="X1109" s="15" t="s">
        <v>695</v>
      </c>
      <c r="Y1109" s="15">
        <v>2847.0</v>
      </c>
      <c r="AA1109" s="15" t="str">
        <f t="shared" ref="AA1109:AA1110" si="1930">"1095"</f>
        <v>1095</v>
      </c>
      <c r="AB1109" s="14" t="b">
        <v>1</v>
      </c>
      <c r="AC1109" s="14" t="b">
        <v>1</v>
      </c>
      <c r="AD1109" s="15" t="str">
        <f>"801542774486"</f>
        <v>801542774486</v>
      </c>
      <c r="AE1109" s="15" t="s">
        <v>10579</v>
      </c>
      <c r="AF1109" s="14" t="s">
        <v>404</v>
      </c>
      <c r="AG1109" s="14" t="s">
        <v>405</v>
      </c>
      <c r="AH1109" s="14" t="s">
        <v>406</v>
      </c>
      <c r="AI1109" s="15">
        <v>0.0</v>
      </c>
      <c r="AL1109" s="15" t="s">
        <v>1341</v>
      </c>
      <c r="AM1109" s="15" t="s">
        <v>517</v>
      </c>
      <c r="AN1109" s="15" t="s">
        <v>518</v>
      </c>
      <c r="AO1109" s="15" t="s">
        <v>645</v>
      </c>
      <c r="AP1109" s="15" t="s">
        <v>646</v>
      </c>
      <c r="AQ1109" s="15" t="s">
        <v>1085</v>
      </c>
      <c r="AR1109" s="15" t="s">
        <v>1086</v>
      </c>
      <c r="AS1109" s="15" t="s">
        <v>703</v>
      </c>
      <c r="AT1109" s="15" t="s">
        <v>2008</v>
      </c>
      <c r="AU1109" s="15" t="s">
        <v>2014</v>
      </c>
      <c r="AW1109" s="15" t="s">
        <v>706</v>
      </c>
      <c r="AX1109" s="15" t="s">
        <v>707</v>
      </c>
      <c r="AY1109" s="15" t="s">
        <v>413</v>
      </c>
      <c r="AZ1109" s="15" t="b">
        <v>0</v>
      </c>
      <c r="BA1109" s="15" t="s">
        <v>413</v>
      </c>
      <c r="BB1109" s="15" t="b">
        <v>0</v>
      </c>
      <c r="BC1109" s="15" t="s">
        <v>10580</v>
      </c>
      <c r="BD1109" s="15" t="s">
        <v>709</v>
      </c>
      <c r="BE1109" s="15" t="str">
        <f t="shared" ref="BE1109:BE1115" si="1931">"1"</f>
        <v>1</v>
      </c>
      <c r="BF1109" s="15" t="s">
        <v>416</v>
      </c>
      <c r="BG1109" s="15" t="str">
        <f>"36.61"</f>
        <v>36.61</v>
      </c>
      <c r="BH1109" s="15" t="s">
        <v>1734</v>
      </c>
      <c r="BI1109" s="15" t="str">
        <f>"36.02"</f>
        <v>36.02</v>
      </c>
      <c r="BJ1109" s="15" t="s">
        <v>4053</v>
      </c>
      <c r="BK1109" s="15" t="str">
        <f>"24.02"</f>
        <v>24.02</v>
      </c>
      <c r="BL1109" s="15" t="s">
        <v>755</v>
      </c>
      <c r="BM1109" s="15" t="str">
        <f>"78.04"</f>
        <v>78.04</v>
      </c>
      <c r="BN1109" s="15" t="s">
        <v>10581</v>
      </c>
      <c r="BQ1109" s="15" t="s">
        <v>444</v>
      </c>
      <c r="BS1109" s="15" t="s">
        <v>444</v>
      </c>
      <c r="BU1109" s="15" t="s">
        <v>444</v>
      </c>
      <c r="BW1109" s="15" t="s">
        <v>444</v>
      </c>
      <c r="BZ1109" s="15" t="s">
        <v>444</v>
      </c>
      <c r="CB1109" s="15" t="s">
        <v>444</v>
      </c>
      <c r="CD1109" s="15" t="s">
        <v>444</v>
      </c>
      <c r="CF1109" s="15" t="s">
        <v>444</v>
      </c>
      <c r="CI1109" s="15" t="s">
        <v>444</v>
      </c>
      <c r="CK1109" s="15" t="s">
        <v>444</v>
      </c>
      <c r="CM1109" s="15" t="s">
        <v>444</v>
      </c>
      <c r="CO1109" s="15" t="s">
        <v>444</v>
      </c>
      <c r="CP1109" s="15" t="str">
        <f>"18.36"</f>
        <v>18.36</v>
      </c>
      <c r="CQ1109" s="15" t="str">
        <f>"0.52"</f>
        <v>0.52</v>
      </c>
      <c r="CR1109" s="15" t="s">
        <v>417</v>
      </c>
      <c r="DB1109" s="15" t="s">
        <v>1482</v>
      </c>
      <c r="DC1109" s="15" t="str">
        <f>IFERROR(__xludf.DUMMYFUNCTION("""COMPUTED_VALUE"""),"{""value"":24.41,""unit"":""in""}")</f>
        <v>{"value":24.41,"unit":"in"}</v>
      </c>
      <c r="DD1109" s="15" t="s">
        <v>1604</v>
      </c>
      <c r="DE1109" s="15" t="str">
        <f>IFERROR(__xludf.DUMMYFUNCTION("""COMPUTED_VALUE"""),"{""value"":16.93,""unit"":""in""}")</f>
        <v>{"value":16.93,"unit":"in"}</v>
      </c>
      <c r="DF1109" s="15" t="s">
        <v>4201</v>
      </c>
      <c r="DG1109" s="15" t="str">
        <f>IFERROR(__xludf.DUMMYFUNCTION("""COMPUTED_VALUE"""),"{""value"":23.82,""unit"":""in""}")</f>
        <v>{"value":23.82,"unit":"in"}</v>
      </c>
      <c r="DH1109" s="15">
        <v>0.0</v>
      </c>
      <c r="DI1109" s="15">
        <v>0.0</v>
      </c>
      <c r="DJ1109" s="15" t="s">
        <v>717</v>
      </c>
      <c r="DK1109" s="15" t="s">
        <v>718</v>
      </c>
      <c r="DL1109" s="15" t="str">
        <f>IFERROR(__xludf.DUMMYFUNCTION("""COMPUTED_VALUE"""),"Vacuum or light brush only. Do not use water or any cleaning products.")</f>
        <v>Vacuum or light brush only. Do not use water or any cleaning products.</v>
      </c>
      <c r="DM1109" s="15" t="s">
        <v>719</v>
      </c>
      <c r="DT1109" s="15" t="s">
        <v>721</v>
      </c>
      <c r="DU1109" s="15" t="s">
        <v>419</v>
      </c>
      <c r="DV1109" s="15">
        <v>0.0</v>
      </c>
      <c r="DZ1109" s="15">
        <v>0.0</v>
      </c>
      <c r="EA1109" s="15" t="s">
        <v>990</v>
      </c>
      <c r="ED1109" s="15">
        <v>0.0</v>
      </c>
      <c r="EE1109" s="15">
        <v>1.0</v>
      </c>
      <c r="EG1109" s="15" t="s">
        <v>444</v>
      </c>
      <c r="EH1109" s="15" t="s">
        <v>10582</v>
      </c>
      <c r="EI1109" s="15">
        <v>0.0</v>
      </c>
      <c r="EJ1109" s="15" t="s">
        <v>726</v>
      </c>
      <c r="EK1109" s="15" t="s">
        <v>727</v>
      </c>
      <c r="EL1109" s="15" t="s">
        <v>1445</v>
      </c>
      <c r="EM1109" s="15" t="str">
        <f>IFERROR(__xludf.DUMMYFUNCTION("""COMPUTED_VALUE"""),"{""value"":27.95,""unit"":""in""}")</f>
        <v>{"value":27.95,"unit":"in"}</v>
      </c>
      <c r="EN1109" s="15" t="s">
        <v>822</v>
      </c>
      <c r="EO1109" s="15" t="s">
        <v>9792</v>
      </c>
      <c r="ES1109" s="15" t="s">
        <v>4375</v>
      </c>
      <c r="EW1109" s="15" t="s">
        <v>3052</v>
      </c>
      <c r="EX1109" s="15" t="s">
        <v>3512</v>
      </c>
      <c r="EY1109" s="15" t="s">
        <v>3926</v>
      </c>
      <c r="EZ1109" s="15" t="s">
        <v>2156</v>
      </c>
      <c r="FF1109" s="15" t="s">
        <v>10583</v>
      </c>
      <c r="FO1109" s="15" t="s">
        <v>713</v>
      </c>
      <c r="FP1109" s="15" t="s">
        <v>713</v>
      </c>
      <c r="FQ1109" s="15">
        <v>0.0</v>
      </c>
      <c r="FR1109" s="15">
        <v>0.0</v>
      </c>
      <c r="FS1109" s="15" t="s">
        <v>3362</v>
      </c>
      <c r="FT1109" s="15">
        <v>0.0</v>
      </c>
    </row>
    <row r="1110" ht="15.75" customHeight="1">
      <c r="A1110" s="14" t="s">
        <v>391</v>
      </c>
      <c r="B1110" s="15" t="s">
        <v>10584</v>
      </c>
      <c r="C1110" s="16"/>
      <c r="D1110" s="15" t="s">
        <v>432</v>
      </c>
      <c r="G1110" s="14" t="s">
        <v>393</v>
      </c>
      <c r="H1110" s="14" t="s">
        <v>394</v>
      </c>
      <c r="I1110" s="14" t="b">
        <v>1</v>
      </c>
      <c r="J1110" s="14" t="s">
        <v>395</v>
      </c>
      <c r="L1110" s="14" t="b">
        <v>0</v>
      </c>
      <c r="M1110" s="15" t="s">
        <v>10585</v>
      </c>
      <c r="N1110" s="14" t="s">
        <v>393</v>
      </c>
      <c r="O1110" s="14" t="s">
        <v>393</v>
      </c>
      <c r="P1110" s="15" t="s">
        <v>397</v>
      </c>
      <c r="Q1110" s="15" t="s">
        <v>1578</v>
      </c>
      <c r="T1110" s="14" t="b">
        <v>0</v>
      </c>
      <c r="U1110" s="15" t="s">
        <v>10586</v>
      </c>
      <c r="V1110" s="15" t="s">
        <v>10587</v>
      </c>
      <c r="W1110" s="15" t="s">
        <v>401</v>
      </c>
      <c r="X1110" s="15" t="s">
        <v>402</v>
      </c>
      <c r="Y1110" s="15">
        <v>2847.0</v>
      </c>
      <c r="AA1110" s="15" t="str">
        <f t="shared" si="1930"/>
        <v>1095</v>
      </c>
      <c r="AB1110" s="14" t="b">
        <v>1</v>
      </c>
      <c r="AC1110" s="14" t="b">
        <v>1</v>
      </c>
      <c r="AD1110" s="15" t="str">
        <f>"801542824914"</f>
        <v>801542824914</v>
      </c>
      <c r="AE1110" s="15" t="s">
        <v>10588</v>
      </c>
      <c r="AF1110" s="14" t="s">
        <v>404</v>
      </c>
      <c r="AG1110" s="14" t="s">
        <v>405</v>
      </c>
      <c r="AH1110" s="14" t="s">
        <v>406</v>
      </c>
      <c r="AI1110" s="15">
        <v>0.0</v>
      </c>
      <c r="AL1110" s="15" t="s">
        <v>3527</v>
      </c>
      <c r="AM1110" s="15" t="s">
        <v>452</v>
      </c>
      <c r="AN1110" s="15" t="s">
        <v>453</v>
      </c>
      <c r="AO1110" s="15" t="s">
        <v>645</v>
      </c>
      <c r="AP1110" s="15" t="s">
        <v>646</v>
      </c>
      <c r="AQ1110" s="15" t="s">
        <v>489</v>
      </c>
      <c r="AR1110" s="15" t="s">
        <v>490</v>
      </c>
      <c r="AS1110" s="15" t="s">
        <v>411</v>
      </c>
      <c r="AT1110" s="15" t="s">
        <v>1578</v>
      </c>
      <c r="AU1110" s="15" t="s">
        <v>3528</v>
      </c>
      <c r="AW1110" s="15" t="s">
        <v>491</v>
      </c>
      <c r="AY1110" s="15" t="s">
        <v>413</v>
      </c>
      <c r="AZ1110" s="15" t="b">
        <v>0</v>
      </c>
      <c r="BA1110" s="15" t="s">
        <v>413</v>
      </c>
      <c r="BB1110" s="15" t="b">
        <v>0</v>
      </c>
      <c r="BC1110" s="15" t="s">
        <v>10589</v>
      </c>
      <c r="BD1110" s="15" t="s">
        <v>415</v>
      </c>
      <c r="BE1110" s="15" t="str">
        <f t="shared" si="1931"/>
        <v>1</v>
      </c>
      <c r="BF1110" s="15" t="s">
        <v>416</v>
      </c>
      <c r="BG1110" s="15" t="str">
        <f>"77.56"</f>
        <v>77.56</v>
      </c>
      <c r="BH1110" s="15" t="s">
        <v>6772</v>
      </c>
      <c r="BI1110" s="15" t="str">
        <f>"39.37"</f>
        <v>39.37</v>
      </c>
      <c r="BJ1110" s="15" t="s">
        <v>523</v>
      </c>
      <c r="BK1110" s="15" t="str">
        <f>"21.26"</f>
        <v>21.26</v>
      </c>
      <c r="BL1110" s="15" t="s">
        <v>684</v>
      </c>
      <c r="BM1110" s="15" t="str">
        <f>"150.57"</f>
        <v>150.57</v>
      </c>
      <c r="BN1110" s="15" t="s">
        <v>10590</v>
      </c>
      <c r="BQ1110" s="15" t="s">
        <v>444</v>
      </c>
      <c r="BS1110" s="15" t="s">
        <v>444</v>
      </c>
      <c r="BU1110" s="15" t="s">
        <v>444</v>
      </c>
      <c r="BW1110" s="15" t="s">
        <v>444</v>
      </c>
      <c r="BZ1110" s="15" t="s">
        <v>444</v>
      </c>
      <c r="CB1110" s="15" t="s">
        <v>444</v>
      </c>
      <c r="CD1110" s="15" t="s">
        <v>444</v>
      </c>
      <c r="CF1110" s="15" t="s">
        <v>444</v>
      </c>
      <c r="CI1110" s="15" t="s">
        <v>444</v>
      </c>
      <c r="CK1110" s="15" t="s">
        <v>444</v>
      </c>
      <c r="CM1110" s="15" t="s">
        <v>444</v>
      </c>
      <c r="CO1110" s="15" t="s">
        <v>444</v>
      </c>
      <c r="CP1110" s="15" t="str">
        <f>"37.57"</f>
        <v>37.57</v>
      </c>
      <c r="CQ1110" s="15" t="str">
        <f>"1.064"</f>
        <v>1.064</v>
      </c>
      <c r="CR1110" s="15" t="s">
        <v>465</v>
      </c>
      <c r="DC1110" s="15" t="str">
        <f>IFERROR(__xludf.DUMMYFUNCTION("""COMPUTED_VALUE"""),"")</f>
        <v/>
      </c>
      <c r="DE1110" s="15" t="str">
        <f>IFERROR(__xludf.DUMMYFUNCTION("""COMPUTED_VALUE"""),"")</f>
        <v/>
      </c>
      <c r="DG1110" s="15" t="str">
        <f>IFERROR(__xludf.DUMMYFUNCTION("""COMPUTED_VALUE"""),"")</f>
        <v/>
      </c>
      <c r="DL1110" s="15" t="str">
        <f>IFERROR(__xludf.DUMMYFUNCTION("""COMPUTED_VALUE"""),"")</f>
        <v/>
      </c>
      <c r="DM1110" s="15" t="s">
        <v>444</v>
      </c>
      <c r="DN1110" s="15" t="s">
        <v>419</v>
      </c>
      <c r="DO1110" s="15">
        <v>0.0</v>
      </c>
      <c r="DP1110" s="15" t="s">
        <v>419</v>
      </c>
      <c r="DR1110" s="15">
        <v>0.0</v>
      </c>
      <c r="DT1110" s="15" t="s">
        <v>420</v>
      </c>
      <c r="DU1110" s="15" t="s">
        <v>419</v>
      </c>
      <c r="DY1110" s="15">
        <v>0.0</v>
      </c>
      <c r="EF1110" s="15" t="s">
        <v>471</v>
      </c>
      <c r="EG1110" s="15" t="s">
        <v>472</v>
      </c>
      <c r="EH1110" s="15" t="s">
        <v>10591</v>
      </c>
      <c r="EJ1110" s="15" t="s">
        <v>500</v>
      </c>
      <c r="EK1110" s="15" t="s">
        <v>501</v>
      </c>
      <c r="EM1110" s="15" t="str">
        <f>IFERROR(__xludf.DUMMYFUNCTION("""COMPUTED_VALUE"""),"")</f>
        <v/>
      </c>
      <c r="EW1110" s="15" t="s">
        <v>1238</v>
      </c>
      <c r="EX1110" s="15" t="s">
        <v>467</v>
      </c>
      <c r="EY1110" s="15" t="s">
        <v>10592</v>
      </c>
      <c r="FH1110" s="15" t="s">
        <v>555</v>
      </c>
      <c r="FI1110" s="15" t="s">
        <v>1238</v>
      </c>
      <c r="FJ1110" s="15" t="s">
        <v>4074</v>
      </c>
      <c r="FK1110" s="15" t="s">
        <v>784</v>
      </c>
      <c r="FL1110" s="15" t="s">
        <v>426</v>
      </c>
      <c r="FM1110" s="15">
        <v>0.0</v>
      </c>
      <c r="FN1110" s="15">
        <v>0.0</v>
      </c>
      <c r="FW1110" s="15" t="s">
        <v>505</v>
      </c>
    </row>
    <row r="1111" ht="15.75" customHeight="1">
      <c r="A1111" s="14" t="s">
        <v>391</v>
      </c>
      <c r="B1111" s="15" t="s">
        <v>10593</v>
      </c>
      <c r="C1111" s="16"/>
      <c r="D1111" s="15" t="s">
        <v>432</v>
      </c>
      <c r="G1111" s="14" t="s">
        <v>393</v>
      </c>
      <c r="H1111" s="14" t="s">
        <v>394</v>
      </c>
      <c r="I1111" s="14" t="b">
        <v>1</v>
      </c>
      <c r="J1111" s="14" t="s">
        <v>395</v>
      </c>
      <c r="L1111" s="14" t="b">
        <v>0</v>
      </c>
      <c r="M1111" s="15" t="s">
        <v>10594</v>
      </c>
      <c r="N1111" s="14" t="s">
        <v>393</v>
      </c>
      <c r="O1111" s="14" t="s">
        <v>393</v>
      </c>
      <c r="P1111" s="15" t="s">
        <v>397</v>
      </c>
      <c r="Q1111" s="15" t="s">
        <v>10595</v>
      </c>
      <c r="T1111" s="14" t="b">
        <v>0</v>
      </c>
      <c r="U1111" s="15" t="s">
        <v>10596</v>
      </c>
      <c r="V1111" s="15" t="s">
        <v>2725</v>
      </c>
      <c r="W1111" s="15" t="s">
        <v>401</v>
      </c>
      <c r="X1111" s="15" t="s">
        <v>695</v>
      </c>
      <c r="Y1111" s="15">
        <v>1365.0</v>
      </c>
      <c r="AA1111" s="15" t="str">
        <f>"525"</f>
        <v>525</v>
      </c>
      <c r="AB1111" s="14" t="b">
        <v>1</v>
      </c>
      <c r="AC1111" s="14" t="b">
        <v>1</v>
      </c>
      <c r="AD1111" s="15" t="str">
        <f>"801542018177"</f>
        <v>801542018177</v>
      </c>
      <c r="AE1111" s="15" t="s">
        <v>10597</v>
      </c>
      <c r="AF1111" s="14" t="s">
        <v>404</v>
      </c>
      <c r="AG1111" s="14" t="s">
        <v>405</v>
      </c>
      <c r="AH1111" s="14" t="s">
        <v>406</v>
      </c>
      <c r="AI1111" s="15">
        <v>0.0</v>
      </c>
      <c r="AL1111" s="15" t="s">
        <v>7021</v>
      </c>
      <c r="AM1111" s="15" t="s">
        <v>1053</v>
      </c>
      <c r="AN1111" s="15" t="s">
        <v>1054</v>
      </c>
      <c r="AO1111" s="15" t="s">
        <v>701</v>
      </c>
      <c r="AP1111" s="15" t="s">
        <v>702</v>
      </c>
      <c r="AQ1111" s="15" t="s">
        <v>1472</v>
      </c>
      <c r="AR1111" s="15" t="s">
        <v>1473</v>
      </c>
      <c r="AS1111" s="15" t="s">
        <v>703</v>
      </c>
      <c r="AT1111" s="15" t="s">
        <v>10595</v>
      </c>
      <c r="AU1111" s="15" t="s">
        <v>2014</v>
      </c>
      <c r="AW1111" s="15" t="s">
        <v>706</v>
      </c>
      <c r="AX1111" s="15" t="s">
        <v>707</v>
      </c>
      <c r="AY1111" s="15" t="s">
        <v>413</v>
      </c>
      <c r="AZ1111" s="15" t="b">
        <v>0</v>
      </c>
      <c r="BA1111" s="15" t="s">
        <v>413</v>
      </c>
      <c r="BB1111" s="15" t="b">
        <v>0</v>
      </c>
      <c r="BC1111" s="15" t="s">
        <v>10598</v>
      </c>
      <c r="BD1111" s="15" t="s">
        <v>709</v>
      </c>
      <c r="BE1111" s="15" t="str">
        <f t="shared" si="1931"/>
        <v>1</v>
      </c>
      <c r="BF1111" s="15" t="s">
        <v>416</v>
      </c>
      <c r="BG1111" s="15" t="str">
        <f t="shared" ref="BG1111:BG1112" si="1932">"29.92"</f>
        <v>29.92</v>
      </c>
      <c r="BH1111" s="15" t="s">
        <v>1321</v>
      </c>
      <c r="BI1111" s="15" t="str">
        <f t="shared" ref="BI1111:BI1112" si="1933">"28.35"</f>
        <v>28.35</v>
      </c>
      <c r="BJ1111" s="15" t="s">
        <v>924</v>
      </c>
      <c r="BK1111" s="15" t="str">
        <f t="shared" ref="BK1111:BK1112" si="1934">"31.89"</f>
        <v>31.89</v>
      </c>
      <c r="BL1111" s="15" t="s">
        <v>1183</v>
      </c>
      <c r="BM1111" s="15" t="str">
        <f t="shared" ref="BM1111:BM1112" si="1935">"52.03"</f>
        <v>52.03</v>
      </c>
      <c r="BN1111" s="15" t="s">
        <v>10599</v>
      </c>
      <c r="BQ1111" s="15" t="s">
        <v>444</v>
      </c>
      <c r="BS1111" s="15" t="s">
        <v>444</v>
      </c>
      <c r="BU1111" s="15" t="s">
        <v>444</v>
      </c>
      <c r="BW1111" s="15" t="s">
        <v>444</v>
      </c>
      <c r="BZ1111" s="15" t="s">
        <v>444</v>
      </c>
      <c r="CB1111" s="15" t="s">
        <v>444</v>
      </c>
      <c r="CD1111" s="15" t="s">
        <v>444</v>
      </c>
      <c r="CF1111" s="15" t="s">
        <v>444</v>
      </c>
      <c r="CI1111" s="15" t="s">
        <v>444</v>
      </c>
      <c r="CK1111" s="15" t="s">
        <v>444</v>
      </c>
      <c r="CM1111" s="15" t="s">
        <v>444</v>
      </c>
      <c r="CO1111" s="15" t="s">
        <v>444</v>
      </c>
      <c r="CP1111" s="15" t="str">
        <f t="shared" ref="CP1111:CP1112" si="1936">"15.64"</f>
        <v>15.64</v>
      </c>
      <c r="CQ1111" s="15" t="str">
        <f t="shared" ref="CQ1111:CQ1112" si="1937">"0.443"</f>
        <v>0.443</v>
      </c>
      <c r="CR1111" s="15" t="s">
        <v>417</v>
      </c>
      <c r="CY1111" s="15" t="s">
        <v>2160</v>
      </c>
      <c r="CZ1111" s="15" t="s">
        <v>2221</v>
      </c>
      <c r="DA1111" s="15" t="s">
        <v>824</v>
      </c>
      <c r="DB1111" s="15" t="s">
        <v>2160</v>
      </c>
      <c r="DC1111" s="15" t="str">
        <f>IFERROR(__xludf.DUMMYFUNCTION("""COMPUTED_VALUE"""),"{""value"":20.08,""unit"":""in""}")</f>
        <v>{"value":20.08,"unit":"in"}</v>
      </c>
      <c r="DD1111" s="15" t="s">
        <v>4180</v>
      </c>
      <c r="DE1111" s="15" t="str">
        <f>IFERROR(__xludf.DUMMYFUNCTION("""COMPUTED_VALUE"""),"{""value"":17.32,""unit"":""in""}")</f>
        <v>{"value":17.32,"unit":"in"}</v>
      </c>
      <c r="DG1111" s="15" t="str">
        <f>IFERROR(__xludf.DUMMYFUNCTION("""COMPUTED_VALUE"""),"")</f>
        <v/>
      </c>
      <c r="DH1111" s="15">
        <v>0.0</v>
      </c>
      <c r="DI1111" s="15">
        <v>1.0</v>
      </c>
      <c r="DJ1111" s="15" t="s">
        <v>717</v>
      </c>
      <c r="DK1111" s="15" t="s">
        <v>1837</v>
      </c>
      <c r="DL1111" s="15" t="str">
        <f>IFERROR(__xludf.DUMMYFUNCTION("""COMPUTED_VALUE"""),"Dry clean only. Professional cleaning recommended.")</f>
        <v>Dry clean only. Professional cleaning recommended.</v>
      </c>
      <c r="DM1111" s="15" t="s">
        <v>1838</v>
      </c>
      <c r="DT1111" s="15" t="s">
        <v>721</v>
      </c>
      <c r="DU1111" s="15" t="s">
        <v>419</v>
      </c>
      <c r="DV1111" s="15">
        <v>0.0</v>
      </c>
      <c r="DZ1111" s="15">
        <v>15000.0</v>
      </c>
      <c r="EA1111" s="15" t="s">
        <v>990</v>
      </c>
      <c r="EB1111" s="15" t="s">
        <v>723</v>
      </c>
      <c r="EC1111" s="15" t="s">
        <v>724</v>
      </c>
      <c r="ED1111" s="15">
        <v>1.0</v>
      </c>
      <c r="EE1111" s="15">
        <v>1.0</v>
      </c>
      <c r="EG1111" s="15" t="s">
        <v>444</v>
      </c>
      <c r="EH1111" s="15" t="s">
        <v>10600</v>
      </c>
      <c r="EI1111" s="15">
        <v>0.0</v>
      </c>
      <c r="EJ1111" s="15" t="s">
        <v>726</v>
      </c>
      <c r="EK1111" s="15" t="s">
        <v>727</v>
      </c>
      <c r="EL1111" s="15" t="s">
        <v>1482</v>
      </c>
      <c r="EM1111" s="15" t="str">
        <f>IFERROR(__xludf.DUMMYFUNCTION("""COMPUTED_VALUE"""),"{""value"":24.41,""unit"":""in""}")</f>
        <v>{"value":24.41,"unit":"in"}</v>
      </c>
      <c r="EN1111" s="15" t="s">
        <v>731</v>
      </c>
      <c r="EO1111" s="15" t="s">
        <v>2020</v>
      </c>
      <c r="ES1111" s="15" t="s">
        <v>1122</v>
      </c>
      <c r="EW1111" s="15" t="s">
        <v>1483</v>
      </c>
      <c r="EX1111" s="15" t="s">
        <v>2178</v>
      </c>
      <c r="EY1111" s="15" t="s">
        <v>716</v>
      </c>
      <c r="EZ1111" s="15" t="s">
        <v>866</v>
      </c>
      <c r="FC1111" s="15" t="s">
        <v>1016</v>
      </c>
      <c r="FF1111" s="15" t="s">
        <v>10601</v>
      </c>
      <c r="FO1111" s="15" t="s">
        <v>1425</v>
      </c>
      <c r="FP1111" s="15" t="s">
        <v>824</v>
      </c>
      <c r="FQ1111" s="15">
        <v>0.0</v>
      </c>
      <c r="FR1111" s="15">
        <v>0.0</v>
      </c>
      <c r="FT1111" s="15">
        <v>0.0</v>
      </c>
    </row>
    <row r="1112" ht="15.75" customHeight="1">
      <c r="A1112" s="14" t="s">
        <v>391</v>
      </c>
      <c r="B1112" s="15" t="s">
        <v>10593</v>
      </c>
      <c r="C1112" s="16"/>
      <c r="D1112" s="15" t="s">
        <v>432</v>
      </c>
      <c r="G1112" s="14" t="s">
        <v>393</v>
      </c>
      <c r="H1112" s="14" t="s">
        <v>394</v>
      </c>
      <c r="I1112" s="14" t="b">
        <v>1</v>
      </c>
      <c r="J1112" s="14" t="s">
        <v>395</v>
      </c>
      <c r="L1112" s="14" t="b">
        <v>0</v>
      </c>
      <c r="M1112" s="15" t="s">
        <v>10602</v>
      </c>
      <c r="N1112" s="14" t="s">
        <v>393</v>
      </c>
      <c r="O1112" s="14" t="s">
        <v>393</v>
      </c>
      <c r="P1112" s="15" t="s">
        <v>397</v>
      </c>
      <c r="Q1112" s="15" t="s">
        <v>10603</v>
      </c>
      <c r="T1112" s="14" t="b">
        <v>0</v>
      </c>
      <c r="U1112" s="15" t="s">
        <v>10604</v>
      </c>
      <c r="V1112" s="15" t="s">
        <v>2725</v>
      </c>
      <c r="W1112" s="15" t="s">
        <v>401</v>
      </c>
      <c r="X1112" s="15" t="s">
        <v>695</v>
      </c>
      <c r="Y1112" s="15">
        <v>1911.0</v>
      </c>
      <c r="AA1112" s="15" t="str">
        <f>"735"</f>
        <v>735</v>
      </c>
      <c r="AB1112" s="14" t="b">
        <v>1</v>
      </c>
      <c r="AC1112" s="14" t="b">
        <v>1</v>
      </c>
      <c r="AD1112" s="15" t="str">
        <f>"801542018184"</f>
        <v>801542018184</v>
      </c>
      <c r="AE1112" s="15" t="s">
        <v>10605</v>
      </c>
      <c r="AF1112" s="14" t="s">
        <v>404</v>
      </c>
      <c r="AG1112" s="14" t="s">
        <v>405</v>
      </c>
      <c r="AH1112" s="14" t="s">
        <v>406</v>
      </c>
      <c r="AI1112" s="15">
        <v>0.0</v>
      </c>
      <c r="AL1112" s="15" t="s">
        <v>1341</v>
      </c>
      <c r="AM1112" s="15" t="s">
        <v>1053</v>
      </c>
      <c r="AN1112" s="15" t="s">
        <v>1054</v>
      </c>
      <c r="AO1112" s="15" t="s">
        <v>701</v>
      </c>
      <c r="AP1112" s="15" t="s">
        <v>702</v>
      </c>
      <c r="AQ1112" s="15" t="s">
        <v>1472</v>
      </c>
      <c r="AR1112" s="15" t="s">
        <v>1473</v>
      </c>
      <c r="AS1112" s="15" t="s">
        <v>703</v>
      </c>
      <c r="AT1112" s="15" t="s">
        <v>10603</v>
      </c>
      <c r="AU1112" s="15" t="s">
        <v>2014</v>
      </c>
      <c r="AW1112" s="15" t="s">
        <v>706</v>
      </c>
      <c r="AX1112" s="15" t="s">
        <v>707</v>
      </c>
      <c r="AY1112" s="15" t="s">
        <v>413</v>
      </c>
      <c r="AZ1112" s="15" t="b">
        <v>0</v>
      </c>
      <c r="BA1112" s="15" t="s">
        <v>413</v>
      </c>
      <c r="BB1112" s="15" t="b">
        <v>0</v>
      </c>
      <c r="BC1112" s="15" t="s">
        <v>10606</v>
      </c>
      <c r="BD1112" s="15" t="s">
        <v>709</v>
      </c>
      <c r="BE1112" s="15" t="str">
        <f t="shared" si="1931"/>
        <v>1</v>
      </c>
      <c r="BF1112" s="15" t="s">
        <v>416</v>
      </c>
      <c r="BG1112" s="15" t="str">
        <f t="shared" si="1932"/>
        <v>29.92</v>
      </c>
      <c r="BH1112" s="15" t="s">
        <v>1321</v>
      </c>
      <c r="BI1112" s="15" t="str">
        <f t="shared" si="1933"/>
        <v>28.35</v>
      </c>
      <c r="BJ1112" s="15" t="s">
        <v>924</v>
      </c>
      <c r="BK1112" s="15" t="str">
        <f t="shared" si="1934"/>
        <v>31.89</v>
      </c>
      <c r="BL1112" s="15" t="s">
        <v>1183</v>
      </c>
      <c r="BM1112" s="15" t="str">
        <f t="shared" si="1935"/>
        <v>52.03</v>
      </c>
      <c r="BN1112" s="15" t="s">
        <v>10599</v>
      </c>
      <c r="BQ1112" s="15" t="s">
        <v>444</v>
      </c>
      <c r="BS1112" s="15" t="s">
        <v>444</v>
      </c>
      <c r="BU1112" s="15" t="s">
        <v>444</v>
      </c>
      <c r="BW1112" s="15" t="s">
        <v>444</v>
      </c>
      <c r="BZ1112" s="15" t="s">
        <v>444</v>
      </c>
      <c r="CB1112" s="15" t="s">
        <v>444</v>
      </c>
      <c r="CD1112" s="15" t="s">
        <v>444</v>
      </c>
      <c r="CF1112" s="15" t="s">
        <v>444</v>
      </c>
      <c r="CI1112" s="15" t="s">
        <v>444</v>
      </c>
      <c r="CK1112" s="15" t="s">
        <v>444</v>
      </c>
      <c r="CM1112" s="15" t="s">
        <v>444</v>
      </c>
      <c r="CO1112" s="15" t="s">
        <v>444</v>
      </c>
      <c r="CP1112" s="15" t="str">
        <f t="shared" si="1936"/>
        <v>15.64</v>
      </c>
      <c r="CQ1112" s="15" t="str">
        <f t="shared" si="1937"/>
        <v>0.443</v>
      </c>
      <c r="CR1112" s="15" t="s">
        <v>497</v>
      </c>
      <c r="CY1112" s="15" t="s">
        <v>2160</v>
      </c>
      <c r="CZ1112" s="15" t="s">
        <v>2221</v>
      </c>
      <c r="DA1112" s="15" t="s">
        <v>824</v>
      </c>
      <c r="DB1112" s="15" t="s">
        <v>2160</v>
      </c>
      <c r="DC1112" s="15" t="str">
        <f>IFERROR(__xludf.DUMMYFUNCTION("""COMPUTED_VALUE"""),"{""value"":20.08,""unit"":""in""}")</f>
        <v>{"value":20.08,"unit":"in"}</v>
      </c>
      <c r="DD1112" s="15" t="s">
        <v>4180</v>
      </c>
      <c r="DE1112" s="15" t="str">
        <f>IFERROR(__xludf.DUMMYFUNCTION("""COMPUTED_VALUE"""),"{""value"":17.32,""unit"":""in""}")</f>
        <v>{"value":17.32,"unit":"in"}</v>
      </c>
      <c r="DG1112" s="15" t="str">
        <f>IFERROR(__xludf.DUMMYFUNCTION("""COMPUTED_VALUE"""),"")</f>
        <v/>
      </c>
      <c r="DH1112" s="15">
        <v>0.0</v>
      </c>
      <c r="DI1112" s="15">
        <v>1.0</v>
      </c>
      <c r="DJ1112" s="15" t="s">
        <v>717</v>
      </c>
      <c r="DK1112" s="15" t="s">
        <v>718</v>
      </c>
      <c r="DL1112" s="15" t="str">
        <f>IFERROR(__xludf.DUMMYFUNCTION("""COMPUTED_VALUE"""),"Vacuum or light brush only. Do not use water or any cleaning products.")</f>
        <v>Vacuum or light brush only. Do not use water or any cleaning products.</v>
      </c>
      <c r="DM1112" s="15" t="s">
        <v>719</v>
      </c>
      <c r="DT1112" s="15" t="s">
        <v>721</v>
      </c>
      <c r="DU1112" s="15" t="s">
        <v>419</v>
      </c>
      <c r="DV1112" s="15">
        <v>0.0</v>
      </c>
      <c r="DZ1112" s="15">
        <v>0.0</v>
      </c>
      <c r="EA1112" s="15" t="s">
        <v>990</v>
      </c>
      <c r="EB1112" s="15" t="s">
        <v>723</v>
      </c>
      <c r="EC1112" s="15" t="s">
        <v>724</v>
      </c>
      <c r="ED1112" s="15">
        <v>1.0</v>
      </c>
      <c r="EE1112" s="15">
        <v>1.0</v>
      </c>
      <c r="EG1112" s="15" t="s">
        <v>444</v>
      </c>
      <c r="EH1112" s="15" t="s">
        <v>10600</v>
      </c>
      <c r="EI1112" s="15">
        <v>0.0</v>
      </c>
      <c r="EJ1112" s="15" t="s">
        <v>726</v>
      </c>
      <c r="EK1112" s="15" t="s">
        <v>727</v>
      </c>
      <c r="EL1112" s="15" t="s">
        <v>1482</v>
      </c>
      <c r="EM1112" s="15" t="str">
        <f>IFERROR(__xludf.DUMMYFUNCTION("""COMPUTED_VALUE"""),"{""value"":24.41,""unit"":""in""}")</f>
        <v>{"value":24.41,"unit":"in"}</v>
      </c>
      <c r="EN1112" s="15" t="s">
        <v>731</v>
      </c>
      <c r="EO1112" s="15" t="s">
        <v>2020</v>
      </c>
      <c r="ES1112" s="15" t="s">
        <v>1122</v>
      </c>
      <c r="EW1112" s="15" t="s">
        <v>1483</v>
      </c>
      <c r="EX1112" s="15" t="s">
        <v>2178</v>
      </c>
      <c r="EY1112" s="15" t="s">
        <v>716</v>
      </c>
      <c r="EZ1112" s="15" t="s">
        <v>866</v>
      </c>
      <c r="FC1112" s="15" t="s">
        <v>1016</v>
      </c>
      <c r="FF1112" s="15" t="s">
        <v>10601</v>
      </c>
      <c r="FO1112" s="15" t="s">
        <v>1425</v>
      </c>
      <c r="FP1112" s="15" t="s">
        <v>824</v>
      </c>
      <c r="FQ1112" s="15">
        <v>0.0</v>
      </c>
      <c r="FR1112" s="15">
        <v>0.0</v>
      </c>
      <c r="FT1112" s="15">
        <v>0.0</v>
      </c>
    </row>
    <row r="1113" ht="15.75" customHeight="1">
      <c r="A1113" s="14" t="s">
        <v>391</v>
      </c>
      <c r="B1113" s="15" t="s">
        <v>10607</v>
      </c>
      <c r="C1113" s="16"/>
      <c r="D1113" s="15" t="s">
        <v>432</v>
      </c>
      <c r="G1113" s="14" t="s">
        <v>393</v>
      </c>
      <c r="H1113" s="14" t="s">
        <v>394</v>
      </c>
      <c r="I1113" s="14" t="b">
        <v>1</v>
      </c>
      <c r="J1113" s="14" t="s">
        <v>395</v>
      </c>
      <c r="L1113" s="14" t="b">
        <v>0</v>
      </c>
      <c r="M1113" s="15" t="s">
        <v>10608</v>
      </c>
      <c r="N1113" s="14" t="s">
        <v>393</v>
      </c>
      <c r="O1113" s="14" t="s">
        <v>393</v>
      </c>
      <c r="P1113" s="15" t="s">
        <v>397</v>
      </c>
      <c r="Q1113" s="15" t="s">
        <v>10609</v>
      </c>
      <c r="T1113" s="14" t="b">
        <v>0</v>
      </c>
      <c r="U1113" s="15" t="s">
        <v>10610</v>
      </c>
      <c r="V1113" s="15" t="s">
        <v>5776</v>
      </c>
      <c r="W1113" s="15" t="s">
        <v>401</v>
      </c>
      <c r="X1113" s="15" t="s">
        <v>742</v>
      </c>
      <c r="Y1113" s="15">
        <v>1040.0</v>
      </c>
      <c r="AA1113" s="15" t="str">
        <f>"400"</f>
        <v>400</v>
      </c>
      <c r="AB1113" s="14" t="b">
        <v>1</v>
      </c>
      <c r="AC1113" s="14" t="b">
        <v>1</v>
      </c>
      <c r="AD1113" s="15" t="str">
        <f>"801542705039"</f>
        <v>801542705039</v>
      </c>
      <c r="AE1113" s="15" t="s">
        <v>10611</v>
      </c>
      <c r="AF1113" s="14" t="s">
        <v>404</v>
      </c>
      <c r="AG1113" s="14" t="s">
        <v>405</v>
      </c>
      <c r="AH1113" s="14" t="s">
        <v>406</v>
      </c>
      <c r="AI1113" s="15">
        <v>0.0</v>
      </c>
      <c r="AL1113" s="15" t="s">
        <v>10612</v>
      </c>
      <c r="AM1113" s="15" t="s">
        <v>546</v>
      </c>
      <c r="AN1113" s="15" t="s">
        <v>547</v>
      </c>
      <c r="AO1113" s="15" t="s">
        <v>1007</v>
      </c>
      <c r="AP1113" s="15" t="s">
        <v>1008</v>
      </c>
      <c r="AQ1113" s="15" t="s">
        <v>1276</v>
      </c>
      <c r="AR1113" s="15" t="s">
        <v>1277</v>
      </c>
      <c r="AS1113" s="15" t="s">
        <v>10613</v>
      </c>
      <c r="AT1113" s="15" t="s">
        <v>10609</v>
      </c>
      <c r="AU1113" s="15" t="s">
        <v>4336</v>
      </c>
      <c r="AW1113" s="15" t="s">
        <v>412</v>
      </c>
      <c r="AY1113" s="15" t="s">
        <v>413</v>
      </c>
      <c r="AZ1113" s="15" t="b">
        <v>0</v>
      </c>
      <c r="BA1113" s="15" t="s">
        <v>413</v>
      </c>
      <c r="BB1113" s="15" t="b">
        <v>0</v>
      </c>
      <c r="BC1113" s="15" t="s">
        <v>10614</v>
      </c>
      <c r="BD1113" s="15" t="s">
        <v>742</v>
      </c>
      <c r="BE1113" s="15" t="str">
        <f t="shared" si="1931"/>
        <v>1</v>
      </c>
      <c r="BF1113" s="15" t="s">
        <v>416</v>
      </c>
      <c r="BG1113" s="15" t="str">
        <f>"33.86"</f>
        <v>33.86</v>
      </c>
      <c r="BH1113" s="15" t="s">
        <v>1209</v>
      </c>
      <c r="BI1113" s="15" t="str">
        <f>"22.05"</f>
        <v>22.05</v>
      </c>
      <c r="BJ1113" s="15" t="s">
        <v>2310</v>
      </c>
      <c r="BK1113" s="15" t="str">
        <f>"31.1"</f>
        <v>31.1</v>
      </c>
      <c r="BL1113" s="15" t="s">
        <v>1386</v>
      </c>
      <c r="BM1113" s="15" t="str">
        <f>"108.03"</f>
        <v>108.03</v>
      </c>
      <c r="BN1113" s="15" t="s">
        <v>4967</v>
      </c>
      <c r="BQ1113" s="15" t="s">
        <v>444</v>
      </c>
      <c r="BS1113" s="15" t="s">
        <v>444</v>
      </c>
      <c r="BU1113" s="15" t="s">
        <v>444</v>
      </c>
      <c r="BW1113" s="15" t="s">
        <v>444</v>
      </c>
      <c r="BZ1113" s="15" t="s">
        <v>444</v>
      </c>
      <c r="CB1113" s="15" t="s">
        <v>444</v>
      </c>
      <c r="CD1113" s="15" t="s">
        <v>444</v>
      </c>
      <c r="CF1113" s="15" t="s">
        <v>444</v>
      </c>
      <c r="CI1113" s="15" t="s">
        <v>444</v>
      </c>
      <c r="CK1113" s="15" t="s">
        <v>444</v>
      </c>
      <c r="CM1113" s="15" t="s">
        <v>444</v>
      </c>
      <c r="CO1113" s="15" t="s">
        <v>444</v>
      </c>
      <c r="CP1113" s="15" t="str">
        <f>"13.42"</f>
        <v>13.42</v>
      </c>
      <c r="CQ1113" s="15" t="str">
        <f>"0.38"</f>
        <v>0.38</v>
      </c>
      <c r="CR1113" s="15" t="s">
        <v>465</v>
      </c>
      <c r="DC1113" s="15" t="str">
        <f>IFERROR(__xludf.DUMMYFUNCTION("""COMPUTED_VALUE"""),"")</f>
        <v/>
      </c>
      <c r="DE1113" s="15" t="str">
        <f>IFERROR(__xludf.DUMMYFUNCTION("""COMPUTED_VALUE"""),"")</f>
        <v/>
      </c>
      <c r="DG1113" s="15" t="str">
        <f>IFERROR(__xludf.DUMMYFUNCTION("""COMPUTED_VALUE"""),"")</f>
        <v/>
      </c>
      <c r="DL1113" s="15" t="str">
        <f>IFERROR(__xludf.DUMMYFUNCTION("""COMPUTED_VALUE"""),"")</f>
        <v/>
      </c>
      <c r="DM1113" s="15" t="s">
        <v>444</v>
      </c>
      <c r="DN1113" s="15" t="s">
        <v>4002</v>
      </c>
      <c r="DO1113" s="15">
        <v>3.0</v>
      </c>
      <c r="DP1113" s="15" t="s">
        <v>2604</v>
      </c>
      <c r="DR1113" s="15">
        <v>0.0</v>
      </c>
      <c r="DT1113" s="15" t="s">
        <v>2048</v>
      </c>
      <c r="DU1113" s="15" t="s">
        <v>421</v>
      </c>
      <c r="DY1113" s="15">
        <v>0.0</v>
      </c>
      <c r="EF1113" s="15" t="s">
        <v>1408</v>
      </c>
      <c r="EG1113" s="15" t="s">
        <v>1409</v>
      </c>
      <c r="EH1113" s="15" t="s">
        <v>10613</v>
      </c>
      <c r="EJ1113" s="15" t="s">
        <v>500</v>
      </c>
      <c r="EK1113" s="15" t="s">
        <v>501</v>
      </c>
      <c r="EM1113" s="15" t="str">
        <f>IFERROR(__xludf.DUMMYFUNCTION("""COMPUTED_VALUE"""),"")</f>
        <v/>
      </c>
      <c r="EW1113" s="15" t="s">
        <v>1955</v>
      </c>
      <c r="FL1113" s="15" t="s">
        <v>426</v>
      </c>
      <c r="FM1113" s="15">
        <v>0.0</v>
      </c>
      <c r="GH1113" s="15">
        <v>0.0</v>
      </c>
      <c r="GI1113" s="15" t="s">
        <v>427</v>
      </c>
      <c r="GQ1113" s="15" t="s">
        <v>10615</v>
      </c>
      <c r="GS1113" s="15" t="s">
        <v>3101</v>
      </c>
      <c r="GU1113" s="15" t="s">
        <v>7160</v>
      </c>
      <c r="GW1113" s="15" t="s">
        <v>838</v>
      </c>
      <c r="GZ1113" s="15" t="s">
        <v>426</v>
      </c>
    </row>
    <row r="1114" ht="15.75" customHeight="1">
      <c r="A1114" s="14" t="s">
        <v>391</v>
      </c>
      <c r="B1114" s="15" t="s">
        <v>10616</v>
      </c>
      <c r="C1114" s="16"/>
      <c r="D1114" s="15" t="s">
        <v>432</v>
      </c>
      <c r="G1114" s="14" t="s">
        <v>393</v>
      </c>
      <c r="H1114" s="14" t="s">
        <v>394</v>
      </c>
      <c r="I1114" s="14" t="b">
        <v>1</v>
      </c>
      <c r="J1114" s="14" t="s">
        <v>395</v>
      </c>
      <c r="L1114" s="14" t="b">
        <v>0</v>
      </c>
      <c r="M1114" s="15" t="s">
        <v>10617</v>
      </c>
      <c r="N1114" s="14" t="s">
        <v>393</v>
      </c>
      <c r="O1114" s="14" t="s">
        <v>393</v>
      </c>
      <c r="P1114" s="15" t="s">
        <v>397</v>
      </c>
      <c r="Q1114" s="15" t="s">
        <v>10609</v>
      </c>
      <c r="T1114" s="14" t="b">
        <v>0</v>
      </c>
      <c r="U1114" s="15" t="s">
        <v>10618</v>
      </c>
      <c r="V1114" s="15" t="s">
        <v>10619</v>
      </c>
      <c r="W1114" s="15" t="s">
        <v>401</v>
      </c>
      <c r="X1114" s="15" t="s">
        <v>742</v>
      </c>
      <c r="Y1114" s="15">
        <v>1534.0</v>
      </c>
      <c r="AA1114" s="15" t="str">
        <f>"590"</f>
        <v>590</v>
      </c>
      <c r="AB1114" s="14" t="b">
        <v>1</v>
      </c>
      <c r="AC1114" s="14" t="b">
        <v>1</v>
      </c>
      <c r="AD1114" s="15" t="str">
        <f>"801542825027"</f>
        <v>801542825027</v>
      </c>
      <c r="AE1114" s="15" t="s">
        <v>10620</v>
      </c>
      <c r="AF1114" s="14" t="s">
        <v>404</v>
      </c>
      <c r="AG1114" s="14" t="s">
        <v>405</v>
      </c>
      <c r="AH1114" s="14" t="s">
        <v>406</v>
      </c>
      <c r="AI1114" s="15">
        <v>0.0</v>
      </c>
      <c r="AL1114" s="15" t="s">
        <v>10612</v>
      </c>
      <c r="AM1114" s="15" t="s">
        <v>546</v>
      </c>
      <c r="AN1114" s="15" t="s">
        <v>547</v>
      </c>
      <c r="AO1114" s="15" t="s">
        <v>456</v>
      </c>
      <c r="AP1114" s="15" t="s">
        <v>457</v>
      </c>
      <c r="AQ1114" s="15" t="s">
        <v>5528</v>
      </c>
      <c r="AR1114" s="15" t="s">
        <v>5529</v>
      </c>
      <c r="AS1114" s="15" t="s">
        <v>10613</v>
      </c>
      <c r="AT1114" s="15" t="s">
        <v>10609</v>
      </c>
      <c r="AU1114" s="15" t="s">
        <v>4336</v>
      </c>
      <c r="AW1114" s="15" t="s">
        <v>412</v>
      </c>
      <c r="AY1114" s="15" t="s">
        <v>413</v>
      </c>
      <c r="AZ1114" s="15" t="b">
        <v>0</v>
      </c>
      <c r="BA1114" s="15" t="s">
        <v>413</v>
      </c>
      <c r="BB1114" s="15" t="b">
        <v>0</v>
      </c>
      <c r="BC1114" s="15" t="s">
        <v>10621</v>
      </c>
      <c r="BD1114" s="15" t="s">
        <v>742</v>
      </c>
      <c r="BE1114" s="15" t="str">
        <f t="shared" si="1931"/>
        <v>1</v>
      </c>
      <c r="BF1114" s="15" t="s">
        <v>416</v>
      </c>
      <c r="BG1114" s="15" t="str">
        <f>"34.06"</f>
        <v>34.06</v>
      </c>
      <c r="BH1114" s="15" t="s">
        <v>1571</v>
      </c>
      <c r="BI1114" s="15" t="str">
        <f>"22.83"</f>
        <v>22.83</v>
      </c>
      <c r="BJ1114" s="15" t="s">
        <v>1543</v>
      </c>
      <c r="BK1114" s="15" t="str">
        <f>"50"</f>
        <v>50</v>
      </c>
      <c r="BL1114" s="15" t="s">
        <v>5529</v>
      </c>
      <c r="BM1114" s="15" t="str">
        <f>"165.35"</f>
        <v>165.35</v>
      </c>
      <c r="BN1114" s="15" t="s">
        <v>2398</v>
      </c>
      <c r="BQ1114" s="15" t="s">
        <v>444</v>
      </c>
      <c r="BS1114" s="15" t="s">
        <v>444</v>
      </c>
      <c r="BU1114" s="15" t="s">
        <v>444</v>
      </c>
      <c r="BW1114" s="15" t="s">
        <v>444</v>
      </c>
      <c r="BZ1114" s="15" t="s">
        <v>444</v>
      </c>
      <c r="CB1114" s="15" t="s">
        <v>444</v>
      </c>
      <c r="CD1114" s="15" t="s">
        <v>444</v>
      </c>
      <c r="CF1114" s="15" t="s">
        <v>444</v>
      </c>
      <c r="CI1114" s="15" t="s">
        <v>444</v>
      </c>
      <c r="CK1114" s="15" t="s">
        <v>444</v>
      </c>
      <c r="CM1114" s="15" t="s">
        <v>444</v>
      </c>
      <c r="CO1114" s="15" t="s">
        <v>444</v>
      </c>
      <c r="CP1114" s="15" t="str">
        <f>"22.5"</f>
        <v>22.5</v>
      </c>
      <c r="CQ1114" s="15" t="str">
        <f>"0.637"</f>
        <v>0.637</v>
      </c>
      <c r="CR1114" s="15" t="s">
        <v>417</v>
      </c>
      <c r="DC1114" s="15" t="str">
        <f>IFERROR(__xludf.DUMMYFUNCTION("""COMPUTED_VALUE"""),"")</f>
        <v/>
      </c>
      <c r="DE1114" s="15" t="str">
        <f>IFERROR(__xludf.DUMMYFUNCTION("""COMPUTED_VALUE"""),"")</f>
        <v/>
      </c>
      <c r="DG1114" s="15" t="str">
        <f>IFERROR(__xludf.DUMMYFUNCTION("""COMPUTED_VALUE"""),"")</f>
        <v/>
      </c>
      <c r="DL1114" s="15" t="str">
        <f>IFERROR(__xludf.DUMMYFUNCTION("""COMPUTED_VALUE"""),"")</f>
        <v/>
      </c>
      <c r="DM1114" s="15" t="s">
        <v>444</v>
      </c>
      <c r="DN1114" s="15" t="s">
        <v>4002</v>
      </c>
      <c r="DO1114" s="15">
        <v>5.0</v>
      </c>
      <c r="DP1114" s="15" t="s">
        <v>2604</v>
      </c>
      <c r="DR1114" s="15">
        <v>0.0</v>
      </c>
      <c r="DT1114" s="15" t="s">
        <v>2048</v>
      </c>
      <c r="DU1114" s="15" t="s">
        <v>421</v>
      </c>
      <c r="DY1114" s="15">
        <v>0.0</v>
      </c>
      <c r="EF1114" s="15" t="s">
        <v>2094</v>
      </c>
      <c r="EG1114" s="15" t="s">
        <v>2095</v>
      </c>
      <c r="EH1114" s="15" t="s">
        <v>10613</v>
      </c>
      <c r="EJ1114" s="15" t="s">
        <v>500</v>
      </c>
      <c r="EK1114" s="15" t="s">
        <v>501</v>
      </c>
      <c r="EM1114" s="15" t="str">
        <f>IFERROR(__xludf.DUMMYFUNCTION("""COMPUTED_VALUE"""),"")</f>
        <v/>
      </c>
      <c r="EW1114" s="15" t="s">
        <v>1955</v>
      </c>
      <c r="FL1114" s="15" t="s">
        <v>426</v>
      </c>
      <c r="FM1114" s="15">
        <v>0.0</v>
      </c>
      <c r="GH1114" s="15">
        <v>0.0</v>
      </c>
      <c r="GI1114" s="15" t="s">
        <v>427</v>
      </c>
      <c r="GQ1114" s="15" t="s">
        <v>1508</v>
      </c>
      <c r="GS1114" s="15" t="s">
        <v>7777</v>
      </c>
      <c r="GU1114" s="15" t="s">
        <v>7160</v>
      </c>
      <c r="GW1114" s="15" t="s">
        <v>838</v>
      </c>
      <c r="GZ1114" s="15" t="s">
        <v>426</v>
      </c>
    </row>
    <row r="1115" ht="15.75" customHeight="1">
      <c r="A1115" s="14" t="s">
        <v>391</v>
      </c>
      <c r="B1115" s="15" t="s">
        <v>10622</v>
      </c>
      <c r="C1115" s="16"/>
      <c r="D1115" s="15" t="s">
        <v>432</v>
      </c>
      <c r="G1115" s="14" t="s">
        <v>393</v>
      </c>
      <c r="H1115" s="14" t="s">
        <v>394</v>
      </c>
      <c r="I1115" s="14" t="b">
        <v>1</v>
      </c>
      <c r="J1115" s="14" t="s">
        <v>395</v>
      </c>
      <c r="L1115" s="14" t="b">
        <v>0</v>
      </c>
      <c r="M1115" s="15" t="s">
        <v>10623</v>
      </c>
      <c r="N1115" s="14" t="s">
        <v>393</v>
      </c>
      <c r="O1115" s="14" t="s">
        <v>393</v>
      </c>
      <c r="P1115" s="15" t="s">
        <v>397</v>
      </c>
      <c r="Q1115" s="15" t="s">
        <v>10609</v>
      </c>
      <c r="T1115" s="14" t="b">
        <v>0</v>
      </c>
      <c r="U1115" s="15" t="s">
        <v>10624</v>
      </c>
      <c r="V1115" s="15" t="s">
        <v>10625</v>
      </c>
      <c r="W1115" s="15" t="s">
        <v>401</v>
      </c>
      <c r="X1115" s="15" t="s">
        <v>742</v>
      </c>
      <c r="Y1115" s="15">
        <v>1807.0</v>
      </c>
      <c r="AA1115" s="15" t="str">
        <f>"695"</f>
        <v>695</v>
      </c>
      <c r="AB1115" s="14" t="b">
        <v>1</v>
      </c>
      <c r="AC1115" s="14" t="b">
        <v>1</v>
      </c>
      <c r="AD1115" s="15" t="str">
        <f>"801542617585"</f>
        <v>801542617585</v>
      </c>
      <c r="AE1115" s="15" t="s">
        <v>10626</v>
      </c>
      <c r="AF1115" s="14" t="s">
        <v>404</v>
      </c>
      <c r="AG1115" s="14" t="s">
        <v>405</v>
      </c>
      <c r="AH1115" s="14" t="s">
        <v>406</v>
      </c>
      <c r="AI1115" s="15">
        <v>0.0</v>
      </c>
      <c r="AL1115" s="15" t="s">
        <v>10612</v>
      </c>
      <c r="AM1115" s="15" t="s">
        <v>7426</v>
      </c>
      <c r="AN1115" s="15" t="s">
        <v>7427</v>
      </c>
      <c r="AO1115" s="15" t="s">
        <v>1007</v>
      </c>
      <c r="AP1115" s="15" t="s">
        <v>1008</v>
      </c>
      <c r="AQ1115" s="15" t="s">
        <v>1276</v>
      </c>
      <c r="AR1115" s="15" t="s">
        <v>1277</v>
      </c>
      <c r="AS1115" s="15" t="s">
        <v>10613</v>
      </c>
      <c r="AT1115" s="15" t="s">
        <v>10609</v>
      </c>
      <c r="AU1115" s="15" t="s">
        <v>4336</v>
      </c>
      <c r="AW1115" s="15" t="s">
        <v>412</v>
      </c>
      <c r="AY1115" s="15" t="s">
        <v>413</v>
      </c>
      <c r="AZ1115" s="15" t="b">
        <v>0</v>
      </c>
      <c r="BA1115" s="15" t="s">
        <v>413</v>
      </c>
      <c r="BB1115" s="15" t="b">
        <v>0</v>
      </c>
      <c r="BC1115" s="15" t="s">
        <v>10627</v>
      </c>
      <c r="BD1115" s="15" t="s">
        <v>742</v>
      </c>
      <c r="BE1115" s="15" t="str">
        <f t="shared" si="1931"/>
        <v>1</v>
      </c>
      <c r="BF1115" s="15" t="s">
        <v>2043</v>
      </c>
      <c r="BG1115" s="15" t="str">
        <f>"62.01"</f>
        <v>62.01</v>
      </c>
      <c r="BH1115" s="15" t="s">
        <v>10628</v>
      </c>
      <c r="BI1115" s="15" t="str">
        <f>"21.85"</f>
        <v>21.85</v>
      </c>
      <c r="BJ1115" s="15" t="s">
        <v>1405</v>
      </c>
      <c r="BK1115" s="15" t="str">
        <f>"31.1"</f>
        <v>31.1</v>
      </c>
      <c r="BL1115" s="15" t="s">
        <v>1386</v>
      </c>
      <c r="BM1115" s="15" t="str">
        <f>"177.03"</f>
        <v>177.03</v>
      </c>
      <c r="BN1115" s="15" t="s">
        <v>10629</v>
      </c>
      <c r="BQ1115" s="15" t="s">
        <v>444</v>
      </c>
      <c r="BS1115" s="15" t="s">
        <v>444</v>
      </c>
      <c r="BU1115" s="15" t="s">
        <v>444</v>
      </c>
      <c r="BW1115" s="15" t="s">
        <v>444</v>
      </c>
      <c r="BZ1115" s="15" t="s">
        <v>444</v>
      </c>
      <c r="CB1115" s="15" t="s">
        <v>444</v>
      </c>
      <c r="CD1115" s="15" t="s">
        <v>444</v>
      </c>
      <c r="CF1115" s="15" t="s">
        <v>444</v>
      </c>
      <c r="CI1115" s="15" t="s">
        <v>444</v>
      </c>
      <c r="CK1115" s="15" t="s">
        <v>444</v>
      </c>
      <c r="CM1115" s="15" t="s">
        <v>444</v>
      </c>
      <c r="CO1115" s="15" t="s">
        <v>444</v>
      </c>
      <c r="CP1115" s="15" t="str">
        <f>"24.4"</f>
        <v>24.4</v>
      </c>
      <c r="CQ1115" s="15" t="str">
        <f>"0.691"</f>
        <v>0.691</v>
      </c>
      <c r="CR1115" s="15" t="s">
        <v>465</v>
      </c>
      <c r="DC1115" s="15" t="str">
        <f>IFERROR(__xludf.DUMMYFUNCTION("""COMPUTED_VALUE"""),"")</f>
        <v/>
      </c>
      <c r="DE1115" s="15" t="str">
        <f>IFERROR(__xludf.DUMMYFUNCTION("""COMPUTED_VALUE"""),"")</f>
        <v/>
      </c>
      <c r="DG1115" s="15" t="str">
        <f>IFERROR(__xludf.DUMMYFUNCTION("""COMPUTED_VALUE"""),"")</f>
        <v/>
      </c>
      <c r="DL1115" s="15" t="str">
        <f>IFERROR(__xludf.DUMMYFUNCTION("""COMPUTED_VALUE"""),"")</f>
        <v/>
      </c>
      <c r="DM1115" s="15" t="s">
        <v>444</v>
      </c>
      <c r="DN1115" s="15" t="s">
        <v>2600</v>
      </c>
      <c r="DO1115" s="15">
        <v>6.0</v>
      </c>
      <c r="DP1115" s="15" t="s">
        <v>2604</v>
      </c>
      <c r="DR1115" s="15">
        <v>0.0</v>
      </c>
      <c r="DT1115" s="15" t="s">
        <v>2048</v>
      </c>
      <c r="DU1115" s="15" t="s">
        <v>421</v>
      </c>
      <c r="DY1115" s="15">
        <v>0.0</v>
      </c>
      <c r="EF1115" s="15" t="s">
        <v>422</v>
      </c>
      <c r="EG1115" s="15" t="s">
        <v>445</v>
      </c>
      <c r="EH1115" s="15" t="s">
        <v>10613</v>
      </c>
      <c r="EJ1115" s="15" t="s">
        <v>500</v>
      </c>
      <c r="EK1115" s="15" t="s">
        <v>501</v>
      </c>
      <c r="EM1115" s="15" t="str">
        <f>IFERROR(__xludf.DUMMYFUNCTION("""COMPUTED_VALUE"""),"")</f>
        <v/>
      </c>
      <c r="EW1115" s="15" t="s">
        <v>1955</v>
      </c>
      <c r="FL1115" s="15" t="s">
        <v>426</v>
      </c>
      <c r="FM1115" s="15">
        <v>0.0</v>
      </c>
      <c r="GH1115" s="15">
        <v>0.0</v>
      </c>
      <c r="GI1115" s="15" t="s">
        <v>427</v>
      </c>
      <c r="GQ1115" s="15" t="s">
        <v>7173</v>
      </c>
      <c r="GS1115" s="15" t="s">
        <v>3101</v>
      </c>
      <c r="GU1115" s="15" t="s">
        <v>2650</v>
      </c>
      <c r="GW1115" s="15" t="s">
        <v>838</v>
      </c>
      <c r="GY1115" s="15" t="s">
        <v>420</v>
      </c>
      <c r="GZ1115" s="15" t="s">
        <v>426</v>
      </c>
    </row>
    <row r="1116" ht="15.75" customHeight="1">
      <c r="A1116" s="14" t="s">
        <v>391</v>
      </c>
      <c r="B1116" s="15" t="s">
        <v>10630</v>
      </c>
      <c r="C1116" s="16"/>
      <c r="D1116" s="15" t="s">
        <v>432</v>
      </c>
      <c r="G1116" s="14" t="s">
        <v>393</v>
      </c>
      <c r="H1116" s="14" t="s">
        <v>394</v>
      </c>
      <c r="I1116" s="14" t="b">
        <v>1</v>
      </c>
      <c r="J1116" s="14" t="s">
        <v>395</v>
      </c>
      <c r="L1116" s="14" t="b">
        <v>0</v>
      </c>
      <c r="M1116" s="15" t="s">
        <v>10631</v>
      </c>
      <c r="N1116" s="14" t="s">
        <v>393</v>
      </c>
      <c r="O1116" s="14" t="s">
        <v>393</v>
      </c>
      <c r="P1116" s="15" t="s">
        <v>397</v>
      </c>
      <c r="Q1116" s="15" t="s">
        <v>5604</v>
      </c>
      <c r="T1116" s="14" t="b">
        <v>0</v>
      </c>
      <c r="U1116" s="15" t="s">
        <v>10632</v>
      </c>
      <c r="V1116" s="15" t="s">
        <v>7707</v>
      </c>
      <c r="W1116" s="15" t="s">
        <v>401</v>
      </c>
      <c r="X1116" s="15" t="s">
        <v>742</v>
      </c>
      <c r="Y1116" s="15">
        <v>1859.0</v>
      </c>
      <c r="AA1116" s="15" t="str">
        <f>"715"</f>
        <v>715</v>
      </c>
      <c r="AB1116" s="14" t="b">
        <v>1</v>
      </c>
      <c r="AC1116" s="14" t="b">
        <v>1</v>
      </c>
      <c r="AD1116" s="15" t="str">
        <f>"801542323882"</f>
        <v>801542323882</v>
      </c>
      <c r="AE1116" s="15" t="s">
        <v>10633</v>
      </c>
      <c r="AF1116" s="14" t="s">
        <v>404</v>
      </c>
      <c r="AG1116" s="14" t="s">
        <v>405</v>
      </c>
      <c r="AH1116" s="14" t="s">
        <v>406</v>
      </c>
      <c r="AI1116" s="15">
        <v>0.0</v>
      </c>
      <c r="AL1116" s="15" t="s">
        <v>1025</v>
      </c>
      <c r="AM1116" s="15" t="s">
        <v>7508</v>
      </c>
      <c r="AN1116" s="15" t="s">
        <v>7509</v>
      </c>
      <c r="AO1116" s="15" t="s">
        <v>546</v>
      </c>
      <c r="AP1116" s="15" t="s">
        <v>547</v>
      </c>
      <c r="AQ1116" s="15" t="s">
        <v>546</v>
      </c>
      <c r="AR1116" s="15" t="s">
        <v>547</v>
      </c>
      <c r="AS1116" s="15" t="s">
        <v>1896</v>
      </c>
      <c r="AT1116" s="15" t="s">
        <v>5604</v>
      </c>
      <c r="AW1116" s="15" t="s">
        <v>2134</v>
      </c>
      <c r="AX1116" s="15" t="s">
        <v>2171</v>
      </c>
      <c r="AY1116" s="15" t="s">
        <v>413</v>
      </c>
      <c r="AZ1116" s="15" t="b">
        <v>0</v>
      </c>
      <c r="BA1116" s="15" t="s">
        <v>413</v>
      </c>
      <c r="BB1116" s="15" t="b">
        <v>0</v>
      </c>
      <c r="BC1116" s="15" t="s">
        <v>10634</v>
      </c>
      <c r="BD1116" s="15" t="s">
        <v>742</v>
      </c>
      <c r="BE1116" s="15" t="str">
        <f>"2"</f>
        <v>2</v>
      </c>
      <c r="BF1116" s="15" t="s">
        <v>1564</v>
      </c>
      <c r="BG1116" s="15" t="str">
        <f>"79.53"</f>
        <v>79.53</v>
      </c>
      <c r="BH1116" s="15" t="s">
        <v>521</v>
      </c>
      <c r="BI1116" s="15" t="str">
        <f>"34.65"</f>
        <v>34.65</v>
      </c>
      <c r="BJ1116" s="15" t="s">
        <v>1229</v>
      </c>
      <c r="BK1116" s="15" t="str">
        <f>"6.1"</f>
        <v>6.1</v>
      </c>
      <c r="BL1116" s="15" t="s">
        <v>7342</v>
      </c>
      <c r="BM1116" s="15" t="str">
        <f>"101.41"</f>
        <v>101.41</v>
      </c>
      <c r="BN1116" s="15" t="s">
        <v>5860</v>
      </c>
      <c r="BO1116" s="15" t="s">
        <v>5617</v>
      </c>
      <c r="BP1116" s="15" t="str">
        <f>"32.68"</f>
        <v>32.68</v>
      </c>
      <c r="BQ1116" s="15" t="s">
        <v>2066</v>
      </c>
      <c r="BR1116" s="15" t="str">
        <f>"29.33"</f>
        <v>29.33</v>
      </c>
      <c r="BS1116" s="15" t="s">
        <v>1090</v>
      </c>
      <c r="BT1116" s="15" t="str">
        <f>"23.43"</f>
        <v>23.43</v>
      </c>
      <c r="BU1116" s="15" t="s">
        <v>2091</v>
      </c>
      <c r="BV1116" s="15" t="str">
        <f>"99.21"</f>
        <v>99.21</v>
      </c>
      <c r="BW1116" s="15" t="s">
        <v>1507</v>
      </c>
      <c r="BZ1116" s="15" t="s">
        <v>444</v>
      </c>
      <c r="CB1116" s="15" t="s">
        <v>444</v>
      </c>
      <c r="CD1116" s="15" t="s">
        <v>444</v>
      </c>
      <c r="CF1116" s="15" t="s">
        <v>444</v>
      </c>
      <c r="CI1116" s="15" t="s">
        <v>444</v>
      </c>
      <c r="CK1116" s="15" t="s">
        <v>444</v>
      </c>
      <c r="CM1116" s="15" t="s">
        <v>444</v>
      </c>
      <c r="CO1116" s="15" t="s">
        <v>444</v>
      </c>
      <c r="CP1116" s="15" t="str">
        <f>"22.74"</f>
        <v>22.74</v>
      </c>
      <c r="CQ1116" s="15" t="str">
        <f>"0.644"</f>
        <v>0.644</v>
      </c>
      <c r="CR1116" s="15" t="s">
        <v>417</v>
      </c>
      <c r="DC1116" s="15" t="str">
        <f>IFERROR(__xludf.DUMMYFUNCTION("""COMPUTED_VALUE"""),"")</f>
        <v/>
      </c>
      <c r="DE1116" s="15" t="str">
        <f>IFERROR(__xludf.DUMMYFUNCTION("""COMPUTED_VALUE"""),"")</f>
        <v/>
      </c>
      <c r="DG1116" s="15" t="str">
        <f>IFERROR(__xludf.DUMMYFUNCTION("""COMPUTED_VALUE"""),"")</f>
        <v/>
      </c>
      <c r="DL1116" s="15" t="str">
        <f>IFERROR(__xludf.DUMMYFUNCTION("""COMPUTED_VALUE"""),"")</f>
        <v/>
      </c>
      <c r="DM1116" s="15" t="s">
        <v>444</v>
      </c>
      <c r="DN1116" s="15" t="s">
        <v>419</v>
      </c>
      <c r="DO1116" s="15">
        <v>0.0</v>
      </c>
      <c r="DP1116" s="15" t="s">
        <v>419</v>
      </c>
      <c r="DR1116" s="15">
        <v>0.0</v>
      </c>
      <c r="DT1116" s="15" t="s">
        <v>420</v>
      </c>
      <c r="DU1116" s="15" t="s">
        <v>419</v>
      </c>
      <c r="DY1116" s="15">
        <v>0.0</v>
      </c>
      <c r="EF1116" s="15" t="s">
        <v>4768</v>
      </c>
      <c r="EG1116" s="15" t="s">
        <v>4769</v>
      </c>
      <c r="EH1116" s="15" t="s">
        <v>10635</v>
      </c>
      <c r="EJ1116" s="15" t="s">
        <v>424</v>
      </c>
      <c r="EK1116" s="15" t="s">
        <v>446</v>
      </c>
      <c r="EM1116" s="15" t="str">
        <f>IFERROR(__xludf.DUMMYFUNCTION("""COMPUTED_VALUE"""),"")</f>
        <v/>
      </c>
      <c r="EW1116" s="15" t="s">
        <v>10636</v>
      </c>
      <c r="EY1116" s="15" t="s">
        <v>5939</v>
      </c>
      <c r="FK1116" s="15" t="s">
        <v>1607</v>
      </c>
      <c r="FL1116" s="15" t="s">
        <v>426</v>
      </c>
      <c r="FM1116" s="15">
        <v>0.0</v>
      </c>
      <c r="FV1116" s="15" t="s">
        <v>10636</v>
      </c>
      <c r="GH1116" s="15">
        <v>0.0</v>
      </c>
      <c r="GI1116" s="15" t="s">
        <v>427</v>
      </c>
      <c r="HD1116" s="15">
        <v>0.0</v>
      </c>
      <c r="IG1116" s="15" t="s">
        <v>426</v>
      </c>
    </row>
    <row r="1117" ht="15.75" customHeight="1">
      <c r="A1117" s="14" t="s">
        <v>391</v>
      </c>
      <c r="B1117" s="15" t="s">
        <v>10637</v>
      </c>
      <c r="C1117" s="16"/>
      <c r="D1117" s="15" t="s">
        <v>432</v>
      </c>
      <c r="G1117" s="14" t="s">
        <v>393</v>
      </c>
      <c r="H1117" s="14" t="s">
        <v>394</v>
      </c>
      <c r="I1117" s="14" t="b">
        <v>1</v>
      </c>
      <c r="J1117" s="14" t="s">
        <v>395</v>
      </c>
      <c r="L1117" s="14" t="b">
        <v>0</v>
      </c>
      <c r="M1117" s="15" t="s">
        <v>10638</v>
      </c>
      <c r="N1117" s="14" t="s">
        <v>393</v>
      </c>
      <c r="O1117" s="14" t="s">
        <v>393</v>
      </c>
      <c r="P1117" s="15" t="s">
        <v>397</v>
      </c>
      <c r="Q1117" s="15" t="s">
        <v>10639</v>
      </c>
      <c r="T1117" s="14" t="b">
        <v>0</v>
      </c>
      <c r="U1117" s="15" t="s">
        <v>10640</v>
      </c>
      <c r="V1117" s="15" t="s">
        <v>10641</v>
      </c>
      <c r="W1117" s="15" t="s">
        <v>401</v>
      </c>
      <c r="X1117" s="15" t="s">
        <v>695</v>
      </c>
      <c r="Y1117" s="15">
        <v>1482.0</v>
      </c>
      <c r="AA1117" s="15" t="str">
        <f>"570"</f>
        <v>570</v>
      </c>
      <c r="AB1117" s="14" t="b">
        <v>1</v>
      </c>
      <c r="AC1117" s="14" t="b">
        <v>1</v>
      </c>
      <c r="AD1117" s="15" t="str">
        <f>"801542927370"</f>
        <v>801542927370</v>
      </c>
      <c r="AE1117" s="15" t="s">
        <v>10642</v>
      </c>
      <c r="AF1117" s="14" t="s">
        <v>404</v>
      </c>
      <c r="AG1117" s="14" t="s">
        <v>405</v>
      </c>
      <c r="AH1117" s="14" t="s">
        <v>406</v>
      </c>
      <c r="AI1117" s="15">
        <v>0.0</v>
      </c>
      <c r="AL1117" s="15" t="s">
        <v>10643</v>
      </c>
      <c r="AM1117" s="15" t="s">
        <v>546</v>
      </c>
      <c r="AN1117" s="15" t="s">
        <v>547</v>
      </c>
      <c r="AO1117" s="15" t="s">
        <v>701</v>
      </c>
      <c r="AP1117" s="15" t="s">
        <v>702</v>
      </c>
      <c r="AQ1117" s="15" t="s">
        <v>546</v>
      </c>
      <c r="AR1117" s="15" t="s">
        <v>547</v>
      </c>
      <c r="AS1117" s="15" t="s">
        <v>915</v>
      </c>
      <c r="AT1117" s="15" t="s">
        <v>10639</v>
      </c>
      <c r="AU1117" s="15" t="s">
        <v>10644</v>
      </c>
      <c r="AV1117" s="15" t="s">
        <v>10645</v>
      </c>
      <c r="AW1117" s="15" t="s">
        <v>706</v>
      </c>
      <c r="AX1117" s="15" t="s">
        <v>707</v>
      </c>
      <c r="AY1117" s="15" t="s">
        <v>413</v>
      </c>
      <c r="AZ1117" s="15" t="b">
        <v>0</v>
      </c>
      <c r="BA1117" s="15" t="s">
        <v>426</v>
      </c>
      <c r="BB1117" s="15" t="b">
        <v>1</v>
      </c>
      <c r="BC1117" s="15" t="s">
        <v>10646</v>
      </c>
      <c r="BD1117" s="15" t="s">
        <v>709</v>
      </c>
      <c r="BE1117" s="15" t="str">
        <f t="shared" ref="BE1117:BE1120" si="1938">"1"</f>
        <v>1</v>
      </c>
      <c r="BF1117" s="15" t="s">
        <v>416</v>
      </c>
      <c r="BG1117" s="15" t="str">
        <f t="shared" ref="BG1117:BG1119" si="1939">"35.04"</f>
        <v>35.04</v>
      </c>
      <c r="BH1117" s="15" t="s">
        <v>1404</v>
      </c>
      <c r="BI1117" s="15" t="str">
        <f t="shared" ref="BI1117:BI1119" si="1940">"33.46"</f>
        <v>33.46</v>
      </c>
      <c r="BJ1117" s="15" t="s">
        <v>1109</v>
      </c>
      <c r="BK1117" s="15" t="str">
        <f t="shared" ref="BK1117:BK1119" si="1941">"32.28"</f>
        <v>32.28</v>
      </c>
      <c r="BL1117" s="15" t="s">
        <v>954</v>
      </c>
      <c r="BM1117" s="15" t="str">
        <f t="shared" ref="BM1117:BM1119" si="1942">"50.71"</f>
        <v>50.71</v>
      </c>
      <c r="BN1117" s="15" t="s">
        <v>8087</v>
      </c>
      <c r="BQ1117" s="15" t="s">
        <v>444</v>
      </c>
      <c r="BS1117" s="15" t="s">
        <v>444</v>
      </c>
      <c r="BU1117" s="15" t="s">
        <v>444</v>
      </c>
      <c r="BW1117" s="15" t="s">
        <v>444</v>
      </c>
      <c r="BZ1117" s="15" t="s">
        <v>444</v>
      </c>
      <c r="CB1117" s="15" t="s">
        <v>444</v>
      </c>
      <c r="CD1117" s="15" t="s">
        <v>444</v>
      </c>
      <c r="CF1117" s="15" t="s">
        <v>444</v>
      </c>
      <c r="CI1117" s="15" t="s">
        <v>444</v>
      </c>
      <c r="CK1117" s="15" t="s">
        <v>444</v>
      </c>
      <c r="CM1117" s="15" t="s">
        <v>444</v>
      </c>
      <c r="CO1117" s="15" t="s">
        <v>444</v>
      </c>
      <c r="CP1117" s="15" t="str">
        <f t="shared" ref="CP1117:CP1119" si="1943">"21.9"</f>
        <v>21.9</v>
      </c>
      <c r="CQ1117" s="15" t="str">
        <f t="shared" ref="CQ1117:CQ1119" si="1944">"0.62"</f>
        <v>0.62</v>
      </c>
      <c r="CR1117" s="15" t="s">
        <v>417</v>
      </c>
      <c r="DB1117" s="15" t="s">
        <v>525</v>
      </c>
      <c r="DC1117" s="15" t="str">
        <f>IFERROR(__xludf.DUMMYFUNCTION("""COMPUTED_VALUE"""),"{""value"":23.00,""unit"":""in""}")</f>
        <v>{"value":23.00,"unit":"in"}</v>
      </c>
      <c r="DD1117" s="15" t="s">
        <v>1065</v>
      </c>
      <c r="DE1117" s="15" t="str">
        <f>IFERROR(__xludf.DUMMYFUNCTION("""COMPUTED_VALUE"""),"{""value"":18.00,""unit"":""in""}")</f>
        <v>{"value":18.00,"unit":"in"}</v>
      </c>
      <c r="DG1117" s="15" t="str">
        <f>IFERROR(__xludf.DUMMYFUNCTION("""COMPUTED_VALUE"""),"")</f>
        <v/>
      </c>
      <c r="DH1117" s="15">
        <v>0.0</v>
      </c>
      <c r="DI1117" s="15">
        <v>0.0</v>
      </c>
      <c r="DJ1117" s="15" t="s">
        <v>717</v>
      </c>
      <c r="DK1117" s="15" t="s">
        <v>855</v>
      </c>
      <c r="DL1117" s="15" t="str">
        <f>IFERROR(__xludf.DUMMYFUNCTION("""COMPUTED_VALUE"""),"Clean with solvent-based (dry clean only) products. Do not use water.")</f>
        <v>Clean with solvent-based (dry clean only) products. Do not use water.</v>
      </c>
      <c r="DM1117" s="15" t="s">
        <v>856</v>
      </c>
      <c r="DT1117" s="15" t="s">
        <v>721</v>
      </c>
      <c r="DU1117" s="15" t="s">
        <v>419</v>
      </c>
      <c r="DV1117" s="15">
        <v>0.0</v>
      </c>
      <c r="DZ1117" s="15">
        <v>30000.0</v>
      </c>
      <c r="EA1117" s="15" t="s">
        <v>990</v>
      </c>
      <c r="EB1117" s="15" t="s">
        <v>1016</v>
      </c>
      <c r="ED1117" s="15">
        <v>1.0</v>
      </c>
      <c r="EE1117" s="15">
        <v>1.0</v>
      </c>
      <c r="EG1117" s="15" t="s">
        <v>444</v>
      </c>
      <c r="EH1117" s="15" t="s">
        <v>10647</v>
      </c>
      <c r="EI1117" s="15">
        <v>0.0</v>
      </c>
      <c r="EJ1117" s="15" t="s">
        <v>726</v>
      </c>
      <c r="EK1117" s="15" t="s">
        <v>727</v>
      </c>
      <c r="EL1117" s="15" t="s">
        <v>1234</v>
      </c>
      <c r="EM1117" s="15" t="str">
        <f>IFERROR(__xludf.DUMMYFUNCTION("""COMPUTED_VALUE"""),"{""value"":24.25,""unit"":""in""}")</f>
        <v>{"value":24.25,"unit":"in"}</v>
      </c>
      <c r="EN1117" s="15" t="s">
        <v>2899</v>
      </c>
      <c r="EO1117" s="15" t="s">
        <v>1306</v>
      </c>
      <c r="ES1117" s="15" t="s">
        <v>1236</v>
      </c>
      <c r="EW1117" s="15" t="s">
        <v>2402</v>
      </c>
      <c r="EX1117" s="15" t="s">
        <v>1324</v>
      </c>
      <c r="EY1117" s="15" t="s">
        <v>1806</v>
      </c>
      <c r="EZ1117" s="15" t="s">
        <v>1996</v>
      </c>
      <c r="FF1117" s="15" t="s">
        <v>937</v>
      </c>
      <c r="FO1117" s="15" t="s">
        <v>1700</v>
      </c>
      <c r="FP1117" s="15" t="s">
        <v>555</v>
      </c>
      <c r="FQ1117" s="15">
        <v>0.0</v>
      </c>
      <c r="FR1117" s="15">
        <v>0.0</v>
      </c>
      <c r="FT1117" s="15">
        <v>0.0</v>
      </c>
    </row>
    <row r="1118" ht="15.75" customHeight="1">
      <c r="A1118" s="14" t="s">
        <v>391</v>
      </c>
      <c r="B1118" s="15" t="s">
        <v>10637</v>
      </c>
      <c r="C1118" s="16"/>
      <c r="D1118" s="15" t="s">
        <v>432</v>
      </c>
      <c r="G1118" s="14" t="s">
        <v>393</v>
      </c>
      <c r="H1118" s="14" t="s">
        <v>394</v>
      </c>
      <c r="I1118" s="14" t="b">
        <v>1</v>
      </c>
      <c r="J1118" s="14" t="s">
        <v>395</v>
      </c>
      <c r="L1118" s="14" t="b">
        <v>0</v>
      </c>
      <c r="M1118" s="15" t="s">
        <v>10648</v>
      </c>
      <c r="N1118" s="14" t="s">
        <v>393</v>
      </c>
      <c r="O1118" s="14" t="s">
        <v>393</v>
      </c>
      <c r="P1118" s="15" t="s">
        <v>397</v>
      </c>
      <c r="Q1118" s="15" t="s">
        <v>5944</v>
      </c>
      <c r="T1118" s="14" t="b">
        <v>0</v>
      </c>
      <c r="U1118" s="15" t="s">
        <v>10649</v>
      </c>
      <c r="V1118" s="15" t="s">
        <v>10641</v>
      </c>
      <c r="W1118" s="15" t="s">
        <v>401</v>
      </c>
      <c r="X1118" s="15" t="s">
        <v>695</v>
      </c>
      <c r="Y1118" s="15">
        <v>1586.0</v>
      </c>
      <c r="AA1118" s="15" t="str">
        <f>"610"</f>
        <v>610</v>
      </c>
      <c r="AB1118" s="14" t="b">
        <v>1</v>
      </c>
      <c r="AC1118" s="14" t="b">
        <v>1</v>
      </c>
      <c r="AD1118" s="15" t="str">
        <f>"801542132774"</f>
        <v>801542132774</v>
      </c>
      <c r="AE1118" s="15" t="s">
        <v>10650</v>
      </c>
      <c r="AF1118" s="14" t="s">
        <v>404</v>
      </c>
      <c r="AG1118" s="14" t="s">
        <v>405</v>
      </c>
      <c r="AH1118" s="14" t="s">
        <v>406</v>
      </c>
      <c r="AI1118" s="15">
        <v>0.0</v>
      </c>
      <c r="AL1118" s="15" t="s">
        <v>10651</v>
      </c>
      <c r="AM1118" s="15" t="s">
        <v>546</v>
      </c>
      <c r="AN1118" s="15" t="s">
        <v>547</v>
      </c>
      <c r="AO1118" s="15" t="s">
        <v>701</v>
      </c>
      <c r="AP1118" s="15" t="s">
        <v>702</v>
      </c>
      <c r="AQ1118" s="15" t="s">
        <v>546</v>
      </c>
      <c r="AR1118" s="15" t="s">
        <v>547</v>
      </c>
      <c r="AS1118" s="15" t="s">
        <v>915</v>
      </c>
      <c r="AT1118" s="15" t="s">
        <v>5944</v>
      </c>
      <c r="AU1118" s="15" t="s">
        <v>10644</v>
      </c>
      <c r="AV1118" s="15" t="s">
        <v>10645</v>
      </c>
      <c r="AW1118" s="15" t="s">
        <v>706</v>
      </c>
      <c r="AX1118" s="15" t="s">
        <v>707</v>
      </c>
      <c r="AY1118" s="15" t="s">
        <v>413</v>
      </c>
      <c r="AZ1118" s="15" t="b">
        <v>0</v>
      </c>
      <c r="BA1118" s="15" t="s">
        <v>413</v>
      </c>
      <c r="BB1118" s="15" t="b">
        <v>0</v>
      </c>
      <c r="BC1118" s="15" t="s">
        <v>10646</v>
      </c>
      <c r="BD1118" s="15" t="s">
        <v>709</v>
      </c>
      <c r="BE1118" s="15" t="str">
        <f t="shared" si="1938"/>
        <v>1</v>
      </c>
      <c r="BF1118" s="15" t="s">
        <v>416</v>
      </c>
      <c r="BG1118" s="15" t="str">
        <f t="shared" si="1939"/>
        <v>35.04</v>
      </c>
      <c r="BH1118" s="15" t="s">
        <v>1404</v>
      </c>
      <c r="BI1118" s="15" t="str">
        <f t="shared" si="1940"/>
        <v>33.46</v>
      </c>
      <c r="BJ1118" s="15" t="s">
        <v>1109</v>
      </c>
      <c r="BK1118" s="15" t="str">
        <f t="shared" si="1941"/>
        <v>32.28</v>
      </c>
      <c r="BL1118" s="15" t="s">
        <v>954</v>
      </c>
      <c r="BM1118" s="15" t="str">
        <f t="shared" si="1942"/>
        <v>50.71</v>
      </c>
      <c r="BN1118" s="15" t="s">
        <v>8087</v>
      </c>
      <c r="BQ1118" s="15" t="s">
        <v>444</v>
      </c>
      <c r="BS1118" s="15" t="s">
        <v>444</v>
      </c>
      <c r="BU1118" s="15" t="s">
        <v>444</v>
      </c>
      <c r="BW1118" s="15" t="s">
        <v>444</v>
      </c>
      <c r="BZ1118" s="15" t="s">
        <v>444</v>
      </c>
      <c r="CB1118" s="15" t="s">
        <v>444</v>
      </c>
      <c r="CD1118" s="15" t="s">
        <v>444</v>
      </c>
      <c r="CF1118" s="15" t="s">
        <v>444</v>
      </c>
      <c r="CI1118" s="15" t="s">
        <v>444</v>
      </c>
      <c r="CK1118" s="15" t="s">
        <v>444</v>
      </c>
      <c r="CM1118" s="15" t="s">
        <v>444</v>
      </c>
      <c r="CO1118" s="15" t="s">
        <v>444</v>
      </c>
      <c r="CP1118" s="15" t="str">
        <f t="shared" si="1943"/>
        <v>21.9</v>
      </c>
      <c r="CQ1118" s="15" t="str">
        <f t="shared" si="1944"/>
        <v>0.62</v>
      </c>
      <c r="CR1118" s="15" t="s">
        <v>465</v>
      </c>
      <c r="DB1118" s="15" t="s">
        <v>525</v>
      </c>
      <c r="DC1118" s="15" t="str">
        <f>IFERROR(__xludf.DUMMYFUNCTION("""COMPUTED_VALUE"""),"{""value"":23.00,""unit"":""in""}")</f>
        <v>{"value":23.00,"unit":"in"}</v>
      </c>
      <c r="DD1118" s="15" t="s">
        <v>1065</v>
      </c>
      <c r="DE1118" s="15" t="str">
        <f>IFERROR(__xludf.DUMMYFUNCTION("""COMPUTED_VALUE"""),"{""value"":18.00,""unit"":""in""}")</f>
        <v>{"value":18.00,"unit":"in"}</v>
      </c>
      <c r="DG1118" s="15" t="str">
        <f>IFERROR(__xludf.DUMMYFUNCTION("""COMPUTED_VALUE"""),"")</f>
        <v/>
      </c>
      <c r="DH1118" s="15">
        <v>0.0</v>
      </c>
      <c r="DI1118" s="15">
        <v>0.0</v>
      </c>
      <c r="DJ1118" s="15" t="s">
        <v>717</v>
      </c>
      <c r="DK1118" s="15" t="s">
        <v>718</v>
      </c>
      <c r="DL1118" s="15" t="str">
        <f>IFERROR(__xludf.DUMMYFUNCTION("""COMPUTED_VALUE"""),"Vacuum or light brush only. Do not use water or any cleaning products.")</f>
        <v>Vacuum or light brush only. Do not use water or any cleaning products.</v>
      </c>
      <c r="DM1118" s="15" t="s">
        <v>719</v>
      </c>
      <c r="DT1118" s="15" t="s">
        <v>721</v>
      </c>
      <c r="DU1118" s="15" t="s">
        <v>419</v>
      </c>
      <c r="DV1118" s="15">
        <v>0.0</v>
      </c>
      <c r="DZ1118" s="15">
        <v>0.0</v>
      </c>
      <c r="EA1118" s="15" t="s">
        <v>990</v>
      </c>
      <c r="EB1118" s="15" t="s">
        <v>1016</v>
      </c>
      <c r="ED1118" s="15">
        <v>1.0</v>
      </c>
      <c r="EE1118" s="15">
        <v>1.0</v>
      </c>
      <c r="EG1118" s="15" t="s">
        <v>444</v>
      </c>
      <c r="EH1118" s="15" t="s">
        <v>10647</v>
      </c>
      <c r="EI1118" s="15">
        <v>0.0</v>
      </c>
      <c r="EJ1118" s="15" t="s">
        <v>726</v>
      </c>
      <c r="EK1118" s="15" t="s">
        <v>727</v>
      </c>
      <c r="EL1118" s="15" t="s">
        <v>1234</v>
      </c>
      <c r="EM1118" s="15" t="str">
        <f>IFERROR(__xludf.DUMMYFUNCTION("""COMPUTED_VALUE"""),"{""value"":24.25,""unit"":""in""}")</f>
        <v>{"value":24.25,"unit":"in"}</v>
      </c>
      <c r="EN1118" s="15" t="s">
        <v>2899</v>
      </c>
      <c r="EO1118" s="15" t="s">
        <v>1306</v>
      </c>
      <c r="ES1118" s="15" t="s">
        <v>1236</v>
      </c>
      <c r="EW1118" s="15" t="s">
        <v>2402</v>
      </c>
      <c r="EX1118" s="15" t="s">
        <v>1324</v>
      </c>
      <c r="EY1118" s="15" t="s">
        <v>1806</v>
      </c>
      <c r="EZ1118" s="15" t="s">
        <v>1996</v>
      </c>
      <c r="FF1118" s="15" t="s">
        <v>937</v>
      </c>
      <c r="FO1118" s="15" t="s">
        <v>1700</v>
      </c>
      <c r="FP1118" s="15" t="s">
        <v>555</v>
      </c>
      <c r="FQ1118" s="15">
        <v>0.0</v>
      </c>
      <c r="FR1118" s="15">
        <v>0.0</v>
      </c>
      <c r="FT1118" s="15">
        <v>0.0</v>
      </c>
    </row>
    <row r="1119" ht="15.75" customHeight="1">
      <c r="A1119" s="14" t="s">
        <v>391</v>
      </c>
      <c r="B1119" s="15" t="s">
        <v>10637</v>
      </c>
      <c r="C1119" s="16"/>
      <c r="D1119" s="15" t="s">
        <v>432</v>
      </c>
      <c r="G1119" s="14" t="s">
        <v>393</v>
      </c>
      <c r="H1119" s="14" t="s">
        <v>394</v>
      </c>
      <c r="I1119" s="14" t="b">
        <v>1</v>
      </c>
      <c r="J1119" s="14" t="s">
        <v>395</v>
      </c>
      <c r="L1119" s="14" t="b">
        <v>0</v>
      </c>
      <c r="M1119" s="15" t="s">
        <v>10652</v>
      </c>
      <c r="N1119" s="14" t="s">
        <v>393</v>
      </c>
      <c r="O1119" s="14" t="s">
        <v>393</v>
      </c>
      <c r="P1119" s="15" t="s">
        <v>397</v>
      </c>
      <c r="Q1119" s="15" t="s">
        <v>3563</v>
      </c>
      <c r="T1119" s="14" t="b">
        <v>0</v>
      </c>
      <c r="U1119" s="15" t="s">
        <v>10653</v>
      </c>
      <c r="V1119" s="15" t="s">
        <v>10641</v>
      </c>
      <c r="W1119" s="15" t="s">
        <v>401</v>
      </c>
      <c r="X1119" s="15" t="s">
        <v>695</v>
      </c>
      <c r="Y1119" s="15">
        <v>1911.0</v>
      </c>
      <c r="AA1119" s="15" t="str">
        <f>"735"</f>
        <v>735</v>
      </c>
      <c r="AB1119" s="14" t="b">
        <v>1</v>
      </c>
      <c r="AC1119" s="14" t="b">
        <v>1</v>
      </c>
      <c r="AD1119" s="15" t="str">
        <f>"801542099770"</f>
        <v>801542099770</v>
      </c>
      <c r="AE1119" s="15" t="s">
        <v>10654</v>
      </c>
      <c r="AF1119" s="14" t="s">
        <v>404</v>
      </c>
      <c r="AG1119" s="14" t="s">
        <v>405</v>
      </c>
      <c r="AH1119" s="14" t="s">
        <v>406</v>
      </c>
      <c r="AI1119" s="15">
        <v>0.0</v>
      </c>
      <c r="AL1119" s="15" t="s">
        <v>10655</v>
      </c>
      <c r="AM1119" s="15" t="s">
        <v>546</v>
      </c>
      <c r="AN1119" s="15" t="s">
        <v>547</v>
      </c>
      <c r="AO1119" s="15" t="s">
        <v>701</v>
      </c>
      <c r="AP1119" s="15" t="s">
        <v>702</v>
      </c>
      <c r="AQ1119" s="15" t="s">
        <v>546</v>
      </c>
      <c r="AR1119" s="15" t="s">
        <v>547</v>
      </c>
      <c r="AS1119" s="15" t="s">
        <v>915</v>
      </c>
      <c r="AT1119" s="15" t="s">
        <v>3563</v>
      </c>
      <c r="AU1119" s="15" t="s">
        <v>10644</v>
      </c>
      <c r="AV1119" s="15" t="s">
        <v>10645</v>
      </c>
      <c r="AW1119" s="15" t="s">
        <v>706</v>
      </c>
      <c r="AX1119" s="15" t="s">
        <v>707</v>
      </c>
      <c r="AY1119" s="15" t="s">
        <v>413</v>
      </c>
      <c r="AZ1119" s="15" t="b">
        <v>0</v>
      </c>
      <c r="BA1119" s="15" t="s">
        <v>413</v>
      </c>
      <c r="BB1119" s="15" t="b">
        <v>0</v>
      </c>
      <c r="BC1119" s="15" t="s">
        <v>10656</v>
      </c>
      <c r="BD1119" s="15" t="s">
        <v>709</v>
      </c>
      <c r="BE1119" s="15" t="str">
        <f t="shared" si="1938"/>
        <v>1</v>
      </c>
      <c r="BF1119" s="15" t="s">
        <v>416</v>
      </c>
      <c r="BG1119" s="15" t="str">
        <f t="shared" si="1939"/>
        <v>35.04</v>
      </c>
      <c r="BH1119" s="15" t="s">
        <v>1404</v>
      </c>
      <c r="BI1119" s="15" t="str">
        <f t="shared" si="1940"/>
        <v>33.46</v>
      </c>
      <c r="BJ1119" s="15" t="s">
        <v>1109</v>
      </c>
      <c r="BK1119" s="15" t="str">
        <f t="shared" si="1941"/>
        <v>32.28</v>
      </c>
      <c r="BL1119" s="15" t="s">
        <v>954</v>
      </c>
      <c r="BM1119" s="15" t="str">
        <f t="shared" si="1942"/>
        <v>50.71</v>
      </c>
      <c r="BN1119" s="15" t="s">
        <v>8087</v>
      </c>
      <c r="BQ1119" s="15" t="s">
        <v>444</v>
      </c>
      <c r="BS1119" s="15" t="s">
        <v>444</v>
      </c>
      <c r="BU1119" s="15" t="s">
        <v>444</v>
      </c>
      <c r="BW1119" s="15" t="s">
        <v>444</v>
      </c>
      <c r="BZ1119" s="15" t="s">
        <v>444</v>
      </c>
      <c r="CB1119" s="15" t="s">
        <v>444</v>
      </c>
      <c r="CD1119" s="15" t="s">
        <v>444</v>
      </c>
      <c r="CF1119" s="15" t="s">
        <v>444</v>
      </c>
      <c r="CI1119" s="15" t="s">
        <v>444</v>
      </c>
      <c r="CK1119" s="15" t="s">
        <v>444</v>
      </c>
      <c r="CM1119" s="15" t="s">
        <v>444</v>
      </c>
      <c r="CO1119" s="15" t="s">
        <v>444</v>
      </c>
      <c r="CP1119" s="15" t="str">
        <f t="shared" si="1943"/>
        <v>21.9</v>
      </c>
      <c r="CQ1119" s="15" t="str">
        <f t="shared" si="1944"/>
        <v>0.62</v>
      </c>
      <c r="CR1119" s="15" t="s">
        <v>465</v>
      </c>
      <c r="DB1119" s="15" t="s">
        <v>525</v>
      </c>
      <c r="DC1119" s="15" t="str">
        <f>IFERROR(__xludf.DUMMYFUNCTION("""COMPUTED_VALUE"""),"{""value"":23.00,""unit"":""in""}")</f>
        <v>{"value":23.00,"unit":"in"}</v>
      </c>
      <c r="DD1119" s="15" t="s">
        <v>1065</v>
      </c>
      <c r="DE1119" s="15" t="str">
        <f>IFERROR(__xludf.DUMMYFUNCTION("""COMPUTED_VALUE"""),"{""value"":18.00,""unit"":""in""}")</f>
        <v>{"value":18.00,"unit":"in"}</v>
      </c>
      <c r="DG1119" s="15" t="str">
        <f>IFERROR(__xludf.DUMMYFUNCTION("""COMPUTED_VALUE"""),"")</f>
        <v/>
      </c>
      <c r="DH1119" s="15">
        <v>0.0</v>
      </c>
      <c r="DI1119" s="15">
        <v>0.0</v>
      </c>
      <c r="DJ1119" s="15" t="s">
        <v>717</v>
      </c>
      <c r="DK1119" s="15" t="s">
        <v>855</v>
      </c>
      <c r="DL1119" s="15" t="str">
        <f>IFERROR(__xludf.DUMMYFUNCTION("""COMPUTED_VALUE"""),"Clean with solvent-based (dry clean only) products. Do not use water.")</f>
        <v>Clean with solvent-based (dry clean only) products. Do not use water.</v>
      </c>
      <c r="DM1119" s="15" t="s">
        <v>856</v>
      </c>
      <c r="DT1119" s="15" t="s">
        <v>721</v>
      </c>
      <c r="DU1119" s="15" t="s">
        <v>419</v>
      </c>
      <c r="DV1119" s="15">
        <v>0.0</v>
      </c>
      <c r="DZ1119" s="15">
        <v>50000.0</v>
      </c>
      <c r="EA1119" s="15" t="s">
        <v>990</v>
      </c>
      <c r="EB1119" s="15" t="s">
        <v>1016</v>
      </c>
      <c r="ED1119" s="15">
        <v>1.0</v>
      </c>
      <c r="EE1119" s="15">
        <v>1.0</v>
      </c>
      <c r="EG1119" s="15" t="s">
        <v>444</v>
      </c>
      <c r="EH1119" s="15" t="s">
        <v>10647</v>
      </c>
      <c r="EI1119" s="15">
        <v>0.0</v>
      </c>
      <c r="EJ1119" s="15" t="s">
        <v>726</v>
      </c>
      <c r="EK1119" s="15" t="s">
        <v>727</v>
      </c>
      <c r="EL1119" s="15" t="s">
        <v>1234</v>
      </c>
      <c r="EM1119" s="15" t="str">
        <f>IFERROR(__xludf.DUMMYFUNCTION("""COMPUTED_VALUE"""),"{""value"":24.25,""unit"":""in""}")</f>
        <v>{"value":24.25,"unit":"in"}</v>
      </c>
      <c r="EN1119" s="15" t="s">
        <v>2899</v>
      </c>
      <c r="EO1119" s="15" t="s">
        <v>1306</v>
      </c>
      <c r="ES1119" s="15" t="s">
        <v>1236</v>
      </c>
      <c r="EW1119" s="15" t="s">
        <v>2402</v>
      </c>
      <c r="EX1119" s="15" t="s">
        <v>1324</v>
      </c>
      <c r="EY1119" s="15" t="s">
        <v>1806</v>
      </c>
      <c r="EZ1119" s="15" t="s">
        <v>1996</v>
      </c>
      <c r="FF1119" s="15" t="s">
        <v>937</v>
      </c>
      <c r="FO1119" s="15" t="s">
        <v>1700</v>
      </c>
      <c r="FP1119" s="15" t="s">
        <v>555</v>
      </c>
      <c r="FQ1119" s="15">
        <v>0.0</v>
      </c>
      <c r="FR1119" s="15">
        <v>0.0</v>
      </c>
      <c r="FT1119" s="15">
        <v>0.0</v>
      </c>
    </row>
    <row r="1120" ht="15.75" customHeight="1">
      <c r="A1120" s="14" t="s">
        <v>391</v>
      </c>
      <c r="B1120" s="15" t="s">
        <v>10657</v>
      </c>
      <c r="C1120" s="16"/>
      <c r="D1120" s="15" t="s">
        <v>432</v>
      </c>
      <c r="G1120" s="14" t="s">
        <v>393</v>
      </c>
      <c r="H1120" s="14" t="s">
        <v>394</v>
      </c>
      <c r="I1120" s="14" t="b">
        <v>1</v>
      </c>
      <c r="J1120" s="14" t="s">
        <v>395</v>
      </c>
      <c r="L1120" s="14" t="b">
        <v>0</v>
      </c>
      <c r="M1120" s="15" t="s">
        <v>10658</v>
      </c>
      <c r="N1120" s="14" t="s">
        <v>393</v>
      </c>
      <c r="O1120" s="14" t="s">
        <v>393</v>
      </c>
      <c r="P1120" s="15" t="s">
        <v>397</v>
      </c>
      <c r="Q1120" s="15" t="s">
        <v>1658</v>
      </c>
      <c r="T1120" s="14" t="b">
        <v>0</v>
      </c>
      <c r="U1120" s="15" t="s">
        <v>10659</v>
      </c>
      <c r="V1120" s="15" t="s">
        <v>10660</v>
      </c>
      <c r="W1120" s="15" t="s">
        <v>401</v>
      </c>
      <c r="X1120" s="15" t="s">
        <v>742</v>
      </c>
      <c r="Y1120" s="15">
        <v>6448.0</v>
      </c>
      <c r="AA1120" s="15" t="str">
        <f>"2480"</f>
        <v>2480</v>
      </c>
      <c r="AB1120" s="14" t="b">
        <v>1</v>
      </c>
      <c r="AC1120" s="14" t="b">
        <v>1</v>
      </c>
      <c r="AD1120" s="15" t="str">
        <f>"801542977559"</f>
        <v>801542977559</v>
      </c>
      <c r="AE1120" s="15" t="s">
        <v>10661</v>
      </c>
      <c r="AF1120" s="14" t="s">
        <v>404</v>
      </c>
      <c r="AG1120" s="14" t="s">
        <v>405</v>
      </c>
      <c r="AH1120" s="14" t="s">
        <v>406</v>
      </c>
      <c r="AI1120" s="15">
        <v>0.0</v>
      </c>
      <c r="AL1120" s="15" t="s">
        <v>1600</v>
      </c>
      <c r="AM1120" s="15" t="s">
        <v>1299</v>
      </c>
      <c r="AN1120" s="15" t="s">
        <v>1300</v>
      </c>
      <c r="AO1120" s="15" t="s">
        <v>10662</v>
      </c>
      <c r="AP1120" s="15" t="s">
        <v>2377</v>
      </c>
      <c r="AQ1120" s="15" t="s">
        <v>1472</v>
      </c>
      <c r="AR1120" s="15" t="s">
        <v>1473</v>
      </c>
      <c r="AS1120" s="15" t="s">
        <v>3277</v>
      </c>
      <c r="AT1120" s="15" t="s">
        <v>1658</v>
      </c>
      <c r="AW1120" s="15" t="s">
        <v>1732</v>
      </c>
      <c r="AY1120" s="15" t="s">
        <v>413</v>
      </c>
      <c r="AZ1120" s="15" t="b">
        <v>0</v>
      </c>
      <c r="BA1120" s="15" t="s">
        <v>413</v>
      </c>
      <c r="BB1120" s="15" t="b">
        <v>0</v>
      </c>
      <c r="BC1120" s="15" t="s">
        <v>10663</v>
      </c>
      <c r="BD1120" s="15" t="s">
        <v>742</v>
      </c>
      <c r="BE1120" s="15" t="str">
        <f t="shared" si="1938"/>
        <v>1</v>
      </c>
      <c r="BF1120" s="15" t="s">
        <v>7389</v>
      </c>
      <c r="BG1120" s="15" t="str">
        <f>"97.24"</f>
        <v>97.24</v>
      </c>
      <c r="BH1120" s="15" t="s">
        <v>10664</v>
      </c>
      <c r="BI1120" s="15" t="str">
        <f>"42.32"</f>
        <v>42.32</v>
      </c>
      <c r="BJ1120" s="15" t="s">
        <v>10665</v>
      </c>
      <c r="BK1120" s="15" t="str">
        <f>"21.26"</f>
        <v>21.26</v>
      </c>
      <c r="BL1120" s="15" t="s">
        <v>684</v>
      </c>
      <c r="BM1120" s="15" t="str">
        <f>"231.49"</f>
        <v>231.49</v>
      </c>
      <c r="BN1120" s="15" t="s">
        <v>10666</v>
      </c>
      <c r="BQ1120" s="15" t="s">
        <v>444</v>
      </c>
      <c r="BS1120" s="15" t="s">
        <v>444</v>
      </c>
      <c r="BU1120" s="15" t="s">
        <v>444</v>
      </c>
      <c r="BW1120" s="15" t="s">
        <v>444</v>
      </c>
      <c r="BZ1120" s="15" t="s">
        <v>444</v>
      </c>
      <c r="CB1120" s="15" t="s">
        <v>444</v>
      </c>
      <c r="CD1120" s="15" t="s">
        <v>444</v>
      </c>
      <c r="CF1120" s="15" t="s">
        <v>444</v>
      </c>
      <c r="CI1120" s="15" t="s">
        <v>444</v>
      </c>
      <c r="CK1120" s="15" t="s">
        <v>444</v>
      </c>
      <c r="CM1120" s="15" t="s">
        <v>444</v>
      </c>
      <c r="CO1120" s="15" t="s">
        <v>444</v>
      </c>
      <c r="CP1120" s="15" t="str">
        <f>"50.64"</f>
        <v>50.64</v>
      </c>
      <c r="CQ1120" s="15" t="str">
        <f>"1.434"</f>
        <v>1.434</v>
      </c>
      <c r="CR1120" s="15" t="s">
        <v>497</v>
      </c>
      <c r="CY1120" s="15" t="s">
        <v>734</v>
      </c>
      <c r="CZ1120" s="15" t="s">
        <v>5058</v>
      </c>
      <c r="DA1120" s="15" t="s">
        <v>10667</v>
      </c>
      <c r="DB1120" s="15" t="s">
        <v>3361</v>
      </c>
      <c r="DC1120" s="15" t="str">
        <f>IFERROR(__xludf.DUMMYFUNCTION("""COMPUTED_VALUE"""),"{""value"":25.39,""unit"":""in""}")</f>
        <v>{"value":25.39,"unit":"in"}</v>
      </c>
      <c r="DD1120" s="15" t="s">
        <v>10668</v>
      </c>
      <c r="DE1120" s="15" t="str">
        <f>IFERROR(__xludf.DUMMYFUNCTION("""COMPUTED_VALUE"""),"{""value"":17.87,""unit"":""in""}")</f>
        <v>{"value":17.87,"unit":"in"}</v>
      </c>
      <c r="DF1120" s="15" t="s">
        <v>10669</v>
      </c>
      <c r="DG1120" s="15" t="str">
        <f>IFERROR(__xludf.DUMMYFUNCTION("""COMPUTED_VALUE"""),"{""value"":76.69,""unit"":""in""}")</f>
        <v>{"value":76.69,"unit":"in"}</v>
      </c>
      <c r="DH1120" s="15">
        <v>0.0</v>
      </c>
      <c r="DI1120" s="15">
        <v>2.0</v>
      </c>
      <c r="DJ1120" s="15" t="s">
        <v>717</v>
      </c>
      <c r="DK1120" s="15" t="s">
        <v>718</v>
      </c>
      <c r="DL1120" s="15" t="str">
        <f>IFERROR(__xludf.DUMMYFUNCTION("""COMPUTED_VALUE"""),"Vacuum or light brush only. Do not use water or any cleaning products.")</f>
        <v>Vacuum or light brush only. Do not use water or any cleaning products.</v>
      </c>
      <c r="DM1120" s="15" t="s">
        <v>719</v>
      </c>
      <c r="DQ1120" s="15" t="s">
        <v>10670</v>
      </c>
      <c r="DT1120" s="15" t="s">
        <v>1388</v>
      </c>
      <c r="DU1120" s="15" t="s">
        <v>419</v>
      </c>
      <c r="DV1120" s="15">
        <v>0.0</v>
      </c>
      <c r="DZ1120" s="15">
        <v>0.0</v>
      </c>
      <c r="EA1120" s="15" t="s">
        <v>990</v>
      </c>
      <c r="EB1120" s="15" t="s">
        <v>723</v>
      </c>
      <c r="EC1120" s="15" t="s">
        <v>724</v>
      </c>
      <c r="ED1120" s="15">
        <v>2.0</v>
      </c>
      <c r="EE1120" s="15">
        <v>5.0</v>
      </c>
      <c r="EG1120" s="15" t="s">
        <v>444</v>
      </c>
      <c r="EH1120" s="15" t="s">
        <v>10671</v>
      </c>
      <c r="EI1120" s="15">
        <v>0.0</v>
      </c>
      <c r="EJ1120" s="15" t="s">
        <v>1636</v>
      </c>
      <c r="EK1120" s="15" t="s">
        <v>1637</v>
      </c>
      <c r="EL1120" s="15" t="s">
        <v>6042</v>
      </c>
      <c r="EM1120" s="15" t="str">
        <f>IFERROR(__xludf.DUMMYFUNCTION("""COMPUTED_VALUE"""),"{""value"":24.17,""unit"":""in""}")</f>
        <v>{"value":24.17,"unit":"in"}</v>
      </c>
      <c r="EN1120" s="15" t="s">
        <v>2026</v>
      </c>
      <c r="EO1120" s="15" t="s">
        <v>10672</v>
      </c>
      <c r="ES1120" s="15" t="s">
        <v>5474</v>
      </c>
      <c r="ET1120" s="15" t="s">
        <v>714</v>
      </c>
      <c r="EU1120" s="15" t="s">
        <v>778</v>
      </c>
      <c r="EV1120" s="15" t="s">
        <v>10667</v>
      </c>
      <c r="EW1120" s="15" t="s">
        <v>6045</v>
      </c>
      <c r="EY1120" s="15" t="s">
        <v>5545</v>
      </c>
      <c r="EZ1120" s="15" t="s">
        <v>2026</v>
      </c>
      <c r="FC1120" s="15" t="s">
        <v>723</v>
      </c>
      <c r="FD1120" s="15" t="s">
        <v>724</v>
      </c>
      <c r="FE1120" s="15" t="s">
        <v>3386</v>
      </c>
      <c r="FF1120" s="15" t="s">
        <v>735</v>
      </c>
      <c r="FO1120" s="15" t="s">
        <v>10669</v>
      </c>
      <c r="FP1120" s="15" t="s">
        <v>10669</v>
      </c>
    </row>
    <row r="1121" ht="15.75" customHeight="1">
      <c r="A1121" s="14" t="s">
        <v>391</v>
      </c>
      <c r="B1121" s="15" t="s">
        <v>10673</v>
      </c>
      <c r="C1121" s="16"/>
      <c r="D1121" s="15" t="s">
        <v>432</v>
      </c>
      <c r="G1121" s="14" t="s">
        <v>393</v>
      </c>
      <c r="H1121" s="14" t="s">
        <v>394</v>
      </c>
      <c r="I1121" s="14" t="b">
        <v>1</v>
      </c>
      <c r="J1121" s="14" t="s">
        <v>395</v>
      </c>
      <c r="L1121" s="14" t="b">
        <v>0</v>
      </c>
      <c r="M1121" s="15" t="s">
        <v>10674</v>
      </c>
      <c r="N1121" s="14" t="s">
        <v>393</v>
      </c>
      <c r="O1121" s="14" t="s">
        <v>393</v>
      </c>
      <c r="P1121" s="15" t="s">
        <v>397</v>
      </c>
      <c r="Q1121" s="15" t="s">
        <v>10675</v>
      </c>
      <c r="T1121" s="14" t="b">
        <v>0</v>
      </c>
      <c r="U1121" s="15" t="s">
        <v>10676</v>
      </c>
      <c r="V1121" s="15" t="s">
        <v>10677</v>
      </c>
      <c r="W1121" s="15" t="s">
        <v>401</v>
      </c>
      <c r="X1121" s="15" t="s">
        <v>695</v>
      </c>
      <c r="Y1121" s="15">
        <v>2184.0</v>
      </c>
      <c r="AA1121" s="15" t="str">
        <f>"840"</f>
        <v>840</v>
      </c>
      <c r="AB1121" s="14" t="b">
        <v>1</v>
      </c>
      <c r="AC1121" s="14" t="b">
        <v>1</v>
      </c>
      <c r="AD1121" s="15" t="str">
        <f>"801542248314"</f>
        <v>801542248314</v>
      </c>
      <c r="AE1121" s="15" t="s">
        <v>10678</v>
      </c>
      <c r="AF1121" s="14" t="s">
        <v>404</v>
      </c>
      <c r="AG1121" s="14" t="s">
        <v>405</v>
      </c>
      <c r="AH1121" s="14" t="s">
        <v>406</v>
      </c>
      <c r="AI1121" s="15">
        <v>0.0</v>
      </c>
      <c r="AL1121" s="15" t="s">
        <v>407</v>
      </c>
      <c r="AM1121" s="15" t="s">
        <v>770</v>
      </c>
      <c r="AN1121" s="15" t="s">
        <v>771</v>
      </c>
      <c r="AO1121" s="15" t="s">
        <v>1007</v>
      </c>
      <c r="AP1121" s="15" t="s">
        <v>1008</v>
      </c>
      <c r="AQ1121" s="15" t="s">
        <v>546</v>
      </c>
      <c r="AR1121" s="15" t="s">
        <v>547</v>
      </c>
      <c r="AS1121" s="15" t="s">
        <v>1474</v>
      </c>
      <c r="AT1121" s="15" t="s">
        <v>10675</v>
      </c>
      <c r="AW1121" s="15" t="s">
        <v>519</v>
      </c>
      <c r="AY1121" s="15" t="s">
        <v>413</v>
      </c>
      <c r="AZ1121" s="15" t="b">
        <v>0</v>
      </c>
      <c r="BA1121" s="15" t="s">
        <v>413</v>
      </c>
      <c r="BB1121" s="15" t="b">
        <v>0</v>
      </c>
      <c r="BC1121" s="15" t="s">
        <v>10679</v>
      </c>
      <c r="BD1121" s="15" t="s">
        <v>709</v>
      </c>
      <c r="BE1121" s="15" t="str">
        <f>"2"</f>
        <v>2</v>
      </c>
      <c r="BF1121" s="15" t="s">
        <v>1564</v>
      </c>
      <c r="BG1121" s="15" t="str">
        <f>"99.02"</f>
        <v>99.02</v>
      </c>
      <c r="BH1121" s="15" t="s">
        <v>7060</v>
      </c>
      <c r="BI1121" s="15" t="str">
        <f>"7.09"</f>
        <v>7.09</v>
      </c>
      <c r="BJ1121" s="15" t="s">
        <v>5615</v>
      </c>
      <c r="BK1121" s="15" t="str">
        <f>"22.64"</f>
        <v>22.64</v>
      </c>
      <c r="BL1121" s="15" t="s">
        <v>5982</v>
      </c>
      <c r="BM1121" s="15" t="str">
        <f>"98.99"</f>
        <v>98.99</v>
      </c>
      <c r="BN1121" s="15" t="s">
        <v>5744</v>
      </c>
      <c r="BO1121" s="15" t="s">
        <v>2238</v>
      </c>
      <c r="BP1121" s="15" t="str">
        <f>"19.29"</f>
        <v>19.29</v>
      </c>
      <c r="BQ1121" s="15" t="s">
        <v>566</v>
      </c>
      <c r="BR1121" s="15" t="str">
        <f>"17.32"</f>
        <v>17.32</v>
      </c>
      <c r="BS1121" s="15" t="s">
        <v>2776</v>
      </c>
      <c r="BT1121" s="15" t="str">
        <f>"33.46"</f>
        <v>33.46</v>
      </c>
      <c r="BU1121" s="15" t="s">
        <v>1109</v>
      </c>
      <c r="BV1121" s="15" t="str">
        <f>"79.81"</f>
        <v>79.81</v>
      </c>
      <c r="BW1121" s="15" t="s">
        <v>10680</v>
      </c>
      <c r="BZ1121" s="15" t="s">
        <v>444</v>
      </c>
      <c r="CB1121" s="15" t="s">
        <v>444</v>
      </c>
      <c r="CD1121" s="15" t="s">
        <v>444</v>
      </c>
      <c r="CF1121" s="15" t="s">
        <v>444</v>
      </c>
      <c r="CI1121" s="15" t="s">
        <v>444</v>
      </c>
      <c r="CK1121" s="15" t="s">
        <v>444</v>
      </c>
      <c r="CM1121" s="15" t="s">
        <v>444</v>
      </c>
      <c r="CO1121" s="15" t="s">
        <v>444</v>
      </c>
      <c r="CP1121" s="15" t="str">
        <f>"15.64"</f>
        <v>15.64</v>
      </c>
      <c r="CQ1121" s="15" t="str">
        <f>"0.443"</f>
        <v>0.443</v>
      </c>
      <c r="CR1121" s="15" t="s">
        <v>417</v>
      </c>
      <c r="DC1121" s="15" t="str">
        <f>IFERROR(__xludf.DUMMYFUNCTION("""COMPUTED_VALUE"""),"")</f>
        <v/>
      </c>
      <c r="DE1121" s="15" t="str">
        <f>IFERROR(__xludf.DUMMYFUNCTION("""COMPUTED_VALUE"""),"")</f>
        <v/>
      </c>
      <c r="DG1121" s="15" t="str">
        <f>IFERROR(__xludf.DUMMYFUNCTION("""COMPUTED_VALUE"""),"")</f>
        <v/>
      </c>
      <c r="DL1121" s="15" t="str">
        <f>IFERROR(__xludf.DUMMYFUNCTION("""COMPUTED_VALUE"""),"")</f>
        <v/>
      </c>
      <c r="DM1121" s="15" t="s">
        <v>444</v>
      </c>
      <c r="DN1121" s="15" t="s">
        <v>419</v>
      </c>
      <c r="DO1121" s="15">
        <v>0.0</v>
      </c>
      <c r="DP1121" s="15" t="s">
        <v>419</v>
      </c>
      <c r="DR1121" s="15">
        <v>0.0</v>
      </c>
      <c r="DT1121" s="15" t="s">
        <v>1186</v>
      </c>
      <c r="DU1121" s="15" t="s">
        <v>419</v>
      </c>
      <c r="DY1121" s="15">
        <v>0.0</v>
      </c>
      <c r="EF1121" s="15" t="s">
        <v>471</v>
      </c>
      <c r="EG1121" s="15" t="s">
        <v>472</v>
      </c>
      <c r="EH1121" s="15" t="s">
        <v>10681</v>
      </c>
      <c r="EJ1121" s="15" t="s">
        <v>424</v>
      </c>
      <c r="EK1121" s="15" t="s">
        <v>446</v>
      </c>
      <c r="EM1121" s="15" t="str">
        <f>IFERROR(__xludf.DUMMYFUNCTION("""COMPUTED_VALUE"""),"")</f>
        <v/>
      </c>
      <c r="EW1121" s="15" t="s">
        <v>1460</v>
      </c>
      <c r="EX1121" s="15" t="s">
        <v>10234</v>
      </c>
      <c r="EY1121" s="15" t="s">
        <v>10682</v>
      </c>
      <c r="FH1121" s="15" t="s">
        <v>1957</v>
      </c>
      <c r="FI1121" s="15" t="s">
        <v>1411</v>
      </c>
      <c r="FJ1121" s="15" t="s">
        <v>822</v>
      </c>
      <c r="FK1121" s="15" t="s">
        <v>1957</v>
      </c>
      <c r="FL1121" s="15" t="s">
        <v>426</v>
      </c>
      <c r="FM1121" s="15">
        <v>0.0</v>
      </c>
      <c r="FN1121" s="15">
        <v>0.0</v>
      </c>
      <c r="FW1121" s="15" t="s">
        <v>531</v>
      </c>
      <c r="GH1121" s="15">
        <v>0.0</v>
      </c>
      <c r="GI1121" s="15" t="s">
        <v>427</v>
      </c>
    </row>
    <row r="1122" ht="15.75" customHeight="1">
      <c r="A1122" s="14" t="s">
        <v>391</v>
      </c>
      <c r="B1122" s="15" t="s">
        <v>10683</v>
      </c>
      <c r="C1122" s="16"/>
      <c r="D1122" s="15" t="s">
        <v>432</v>
      </c>
      <c r="G1122" s="14" t="s">
        <v>393</v>
      </c>
      <c r="H1122" s="14" t="s">
        <v>394</v>
      </c>
      <c r="I1122" s="14" t="b">
        <v>1</v>
      </c>
      <c r="J1122" s="14" t="s">
        <v>395</v>
      </c>
      <c r="L1122" s="14" t="b">
        <v>0</v>
      </c>
      <c r="M1122" s="15" t="s">
        <v>10684</v>
      </c>
      <c r="N1122" s="14" t="s">
        <v>393</v>
      </c>
      <c r="O1122" s="14" t="s">
        <v>393</v>
      </c>
      <c r="P1122" s="15" t="s">
        <v>397</v>
      </c>
      <c r="Q1122" s="15" t="s">
        <v>10685</v>
      </c>
      <c r="T1122" s="14" t="b">
        <v>0</v>
      </c>
      <c r="U1122" s="15" t="s">
        <v>10686</v>
      </c>
      <c r="V1122" s="15" t="s">
        <v>10687</v>
      </c>
      <c r="W1122" s="15" t="s">
        <v>401</v>
      </c>
      <c r="X1122" s="15" t="s">
        <v>1296</v>
      </c>
      <c r="Y1122" s="15">
        <v>1534.0</v>
      </c>
      <c r="AA1122" s="15" t="str">
        <f>"590"</f>
        <v>590</v>
      </c>
      <c r="AB1122" s="14" t="b">
        <v>1</v>
      </c>
      <c r="AC1122" s="14" t="b">
        <v>1</v>
      </c>
      <c r="AD1122" s="15" t="str">
        <f>"198394081603"</f>
        <v>198394081603</v>
      </c>
      <c r="AE1122" s="15" t="s">
        <v>10688</v>
      </c>
      <c r="AF1122" s="14" t="s">
        <v>404</v>
      </c>
      <c r="AG1122" s="14" t="s">
        <v>405</v>
      </c>
      <c r="AH1122" s="14" t="s">
        <v>406</v>
      </c>
      <c r="AI1122" s="15">
        <v>0.0</v>
      </c>
      <c r="AL1122" s="15" t="s">
        <v>10689</v>
      </c>
      <c r="AM1122" s="15" t="s">
        <v>410</v>
      </c>
      <c r="AN1122" s="15" t="s">
        <v>439</v>
      </c>
      <c r="AO1122" s="15" t="s">
        <v>410</v>
      </c>
      <c r="AP1122" s="15" t="s">
        <v>439</v>
      </c>
      <c r="AQ1122" s="15" t="s">
        <v>4800</v>
      </c>
      <c r="AR1122" s="15" t="s">
        <v>4801</v>
      </c>
      <c r="AS1122" s="15" t="s">
        <v>3586</v>
      </c>
      <c r="AT1122" s="15" t="s">
        <v>10685</v>
      </c>
      <c r="AU1122" s="15" t="s">
        <v>3730</v>
      </c>
      <c r="AW1122" s="15" t="s">
        <v>491</v>
      </c>
      <c r="AY1122" s="15" t="s">
        <v>413</v>
      </c>
      <c r="AZ1122" s="15" t="b">
        <v>0</v>
      </c>
      <c r="BA1122" s="15" t="s">
        <v>413</v>
      </c>
      <c r="BB1122" s="15" t="b">
        <v>0</v>
      </c>
      <c r="BC1122" s="15" t="s">
        <v>10690</v>
      </c>
      <c r="BD1122" s="15" t="s">
        <v>1303</v>
      </c>
      <c r="BE1122" s="15" t="str">
        <f>"4"</f>
        <v>4</v>
      </c>
      <c r="BF1122" s="15" t="s">
        <v>10691</v>
      </c>
      <c r="BG1122" s="15" t="str">
        <f>"23.5"</f>
        <v>23.5</v>
      </c>
      <c r="BH1122" s="15" t="s">
        <v>2060</v>
      </c>
      <c r="BI1122" s="15" t="str">
        <f>"5"</f>
        <v>5</v>
      </c>
      <c r="BJ1122" s="15" t="s">
        <v>2236</v>
      </c>
      <c r="BK1122" s="15" t="str">
        <f>"24"</f>
        <v>24</v>
      </c>
      <c r="BL1122" s="15" t="s">
        <v>1178</v>
      </c>
      <c r="BM1122" s="15" t="str">
        <f>"34.61"</f>
        <v>34.61</v>
      </c>
      <c r="BN1122" s="15" t="s">
        <v>10692</v>
      </c>
      <c r="BO1122" s="15" t="s">
        <v>10693</v>
      </c>
      <c r="BP1122" s="15" t="str">
        <f>"37.25"</f>
        <v>37.25</v>
      </c>
      <c r="BQ1122" s="15" t="s">
        <v>6599</v>
      </c>
      <c r="BR1122" s="15" t="str">
        <f>"6"</f>
        <v>6</v>
      </c>
      <c r="BS1122" s="15" t="s">
        <v>2999</v>
      </c>
      <c r="BT1122" s="15" t="str">
        <f>"38"</f>
        <v>38</v>
      </c>
      <c r="BU1122" s="15" t="s">
        <v>2373</v>
      </c>
      <c r="BV1122" s="15" t="str">
        <f>"99.3"</f>
        <v>99.3</v>
      </c>
      <c r="BW1122" s="15" t="s">
        <v>10694</v>
      </c>
      <c r="BX1122" s="15" t="s">
        <v>10695</v>
      </c>
      <c r="BY1122" s="15" t="str">
        <f>"33.75"</f>
        <v>33.75</v>
      </c>
      <c r="BZ1122" s="15" t="s">
        <v>1204</v>
      </c>
      <c r="CA1122" s="15" t="str">
        <f>"34.5"</f>
        <v>34.5</v>
      </c>
      <c r="CB1122" s="15" t="s">
        <v>2239</v>
      </c>
      <c r="CC1122" s="15" t="str">
        <f>"19"</f>
        <v>19</v>
      </c>
      <c r="CD1122" s="15" t="s">
        <v>457</v>
      </c>
      <c r="CE1122" s="15" t="str">
        <f>"70.77"</f>
        <v>70.77</v>
      </c>
      <c r="CF1122" s="15" t="s">
        <v>10696</v>
      </c>
      <c r="CG1122" s="15" t="s">
        <v>10697</v>
      </c>
      <c r="CH1122" s="15" t="str">
        <f>"22.5"</f>
        <v>22.5</v>
      </c>
      <c r="CI1122" s="15" t="s">
        <v>1247</v>
      </c>
      <c r="CJ1122" s="15" t="str">
        <f>"22.75"</f>
        <v>22.75</v>
      </c>
      <c r="CK1122" s="15" t="s">
        <v>627</v>
      </c>
      <c r="CL1122" s="15" t="str">
        <f>"21"</f>
        <v>21</v>
      </c>
      <c r="CM1122" s="15" t="s">
        <v>1676</v>
      </c>
      <c r="CN1122" s="15" t="str">
        <f>"22.27"</f>
        <v>22.27</v>
      </c>
      <c r="CO1122" s="15" t="s">
        <v>4731</v>
      </c>
      <c r="CP1122" s="15" t="str">
        <f>"25.57"</f>
        <v>25.57</v>
      </c>
      <c r="CQ1122" s="15" t="str">
        <f>"0.724"</f>
        <v>0.724</v>
      </c>
      <c r="CR1122" s="15" t="s">
        <v>497</v>
      </c>
      <c r="DC1122" s="15" t="str">
        <f>IFERROR(__xludf.DUMMYFUNCTION("""COMPUTED_VALUE"""),"")</f>
        <v/>
      </c>
      <c r="DE1122" s="15" t="str">
        <f>IFERROR(__xludf.DUMMYFUNCTION("""COMPUTED_VALUE"""),"")</f>
        <v/>
      </c>
      <c r="DG1122" s="15" t="str">
        <f>IFERROR(__xludf.DUMMYFUNCTION("""COMPUTED_VALUE"""),"")</f>
        <v/>
      </c>
      <c r="DL1122" s="15" t="str">
        <f>IFERROR(__xludf.DUMMYFUNCTION("""COMPUTED_VALUE"""),"")</f>
        <v/>
      </c>
      <c r="DM1122" s="15" t="s">
        <v>444</v>
      </c>
      <c r="DN1122" s="15" t="s">
        <v>419</v>
      </c>
      <c r="DO1122" s="15">
        <v>0.0</v>
      </c>
      <c r="DP1122" s="15" t="s">
        <v>419</v>
      </c>
      <c r="DR1122" s="15">
        <v>0.0</v>
      </c>
      <c r="DU1122" s="15" t="s">
        <v>419</v>
      </c>
      <c r="DY1122" s="15">
        <v>0.0</v>
      </c>
      <c r="EF1122" s="15" t="s">
        <v>1157</v>
      </c>
      <c r="EG1122" s="15" t="s">
        <v>1158</v>
      </c>
      <c r="EH1122" s="15" t="s">
        <v>10698</v>
      </c>
      <c r="EJ1122" s="15" t="s">
        <v>500</v>
      </c>
      <c r="EK1122" s="15" t="s">
        <v>501</v>
      </c>
      <c r="EM1122" s="15" t="str">
        <f>IFERROR(__xludf.DUMMYFUNCTION("""COMPUTED_VALUE"""),"")</f>
        <v/>
      </c>
      <c r="FM1122" s="15">
        <v>0.0</v>
      </c>
      <c r="FN1122" s="15">
        <v>0.0</v>
      </c>
    </row>
    <row r="1123" ht="15.75" customHeight="1">
      <c r="A1123" s="14" t="s">
        <v>391</v>
      </c>
      <c r="B1123" s="15" t="s">
        <v>10699</v>
      </c>
      <c r="C1123" s="16"/>
      <c r="D1123" s="15" t="s">
        <v>432</v>
      </c>
      <c r="G1123" s="14" t="s">
        <v>393</v>
      </c>
      <c r="H1123" s="14" t="s">
        <v>394</v>
      </c>
      <c r="I1123" s="14" t="b">
        <v>1</v>
      </c>
      <c r="J1123" s="14" t="s">
        <v>395</v>
      </c>
      <c r="L1123" s="14" t="b">
        <v>0</v>
      </c>
      <c r="M1123" s="15" t="s">
        <v>10700</v>
      </c>
      <c r="N1123" s="14" t="s">
        <v>393</v>
      </c>
      <c r="O1123" s="14" t="s">
        <v>393</v>
      </c>
      <c r="P1123" s="15" t="s">
        <v>397</v>
      </c>
      <c r="Q1123" s="15" t="s">
        <v>5494</v>
      </c>
      <c r="T1123" s="14" t="b">
        <v>0</v>
      </c>
      <c r="U1123" s="15" t="s">
        <v>10701</v>
      </c>
      <c r="V1123" s="15" t="s">
        <v>3182</v>
      </c>
      <c r="W1123" s="15" t="s">
        <v>401</v>
      </c>
      <c r="X1123" s="15" t="s">
        <v>742</v>
      </c>
      <c r="Y1123" s="15">
        <v>442.0</v>
      </c>
      <c r="AA1123" s="15" t="str">
        <f t="shared" ref="AA1123:AA1124" si="1945">"170"</f>
        <v>170</v>
      </c>
      <c r="AB1123" s="14" t="b">
        <v>1</v>
      </c>
      <c r="AC1123" s="14" t="b">
        <v>1</v>
      </c>
      <c r="AD1123" s="15" t="str">
        <f>"801542025793"</f>
        <v>801542025793</v>
      </c>
      <c r="AE1123" s="15" t="s">
        <v>10702</v>
      </c>
      <c r="AF1123" s="14" t="s">
        <v>404</v>
      </c>
      <c r="AG1123" s="14" t="s">
        <v>405</v>
      </c>
      <c r="AH1123" s="14" t="s">
        <v>406</v>
      </c>
      <c r="AI1123" s="15">
        <v>0.0</v>
      </c>
      <c r="AL1123" s="15" t="s">
        <v>10703</v>
      </c>
      <c r="AM1123" s="15" t="s">
        <v>1152</v>
      </c>
      <c r="AN1123" s="15" t="s">
        <v>1153</v>
      </c>
      <c r="AO1123" s="15" t="s">
        <v>1152</v>
      </c>
      <c r="AP1123" s="15" t="s">
        <v>1153</v>
      </c>
      <c r="AQ1123" s="15" t="s">
        <v>409</v>
      </c>
      <c r="AR1123" s="15" t="s">
        <v>438</v>
      </c>
      <c r="AS1123" s="15" t="s">
        <v>2063</v>
      </c>
      <c r="AT1123" s="15" t="s">
        <v>5494</v>
      </c>
      <c r="AU1123" s="15" t="s">
        <v>10704</v>
      </c>
      <c r="AW1123" s="15" t="s">
        <v>1154</v>
      </c>
      <c r="AY1123" s="15" t="s">
        <v>413</v>
      </c>
      <c r="AZ1123" s="15" t="b">
        <v>0</v>
      </c>
      <c r="BA1123" s="15" t="s">
        <v>413</v>
      </c>
      <c r="BB1123" s="15" t="b">
        <v>0</v>
      </c>
      <c r="BC1123" s="15" t="s">
        <v>10705</v>
      </c>
      <c r="BD1123" s="15" t="s">
        <v>742</v>
      </c>
      <c r="BE1123" s="15" t="str">
        <f t="shared" ref="BE1123:BE1125" si="1946">"1"</f>
        <v>1</v>
      </c>
      <c r="BF1123" s="15" t="s">
        <v>416</v>
      </c>
      <c r="BG1123" s="15" t="str">
        <f t="shared" ref="BG1123:BG1124" si="1947">"20.08"</f>
        <v>20.08</v>
      </c>
      <c r="BH1123" s="15" t="s">
        <v>4825</v>
      </c>
      <c r="BI1123" s="15" t="str">
        <f t="shared" ref="BI1123:BI1124" si="1948">"19.49"</f>
        <v>19.49</v>
      </c>
      <c r="BJ1123" s="15" t="s">
        <v>10706</v>
      </c>
      <c r="BK1123" s="15" t="str">
        <f t="shared" ref="BK1123:BK1124" si="1949">"24.41"</f>
        <v>24.41</v>
      </c>
      <c r="BL1123" s="15" t="s">
        <v>796</v>
      </c>
      <c r="BM1123" s="15" t="str">
        <f t="shared" ref="BM1123:BM1124" si="1950">"28.66"</f>
        <v>28.66</v>
      </c>
      <c r="BN1123" s="15" t="s">
        <v>1905</v>
      </c>
      <c r="BQ1123" s="15" t="s">
        <v>444</v>
      </c>
      <c r="BS1123" s="15" t="s">
        <v>444</v>
      </c>
      <c r="BU1123" s="15" t="s">
        <v>444</v>
      </c>
      <c r="BW1123" s="15" t="s">
        <v>444</v>
      </c>
      <c r="BZ1123" s="15" t="s">
        <v>444</v>
      </c>
      <c r="CB1123" s="15" t="s">
        <v>444</v>
      </c>
      <c r="CD1123" s="15" t="s">
        <v>444</v>
      </c>
      <c r="CF1123" s="15" t="s">
        <v>444</v>
      </c>
      <c r="CI1123" s="15" t="s">
        <v>444</v>
      </c>
      <c r="CK1123" s="15" t="s">
        <v>444</v>
      </c>
      <c r="CM1123" s="15" t="s">
        <v>444</v>
      </c>
      <c r="CO1123" s="15" t="s">
        <v>444</v>
      </c>
      <c r="CP1123" s="15" t="str">
        <f t="shared" ref="CP1123:CP1124" si="1951">"5.54"</f>
        <v>5.54</v>
      </c>
      <c r="CQ1123" s="15" t="str">
        <f t="shared" ref="CQ1123:CQ1124" si="1952">"0.157"</f>
        <v>0.157</v>
      </c>
      <c r="CR1123" s="15" t="s">
        <v>465</v>
      </c>
      <c r="DC1123" s="15" t="str">
        <f>IFERROR(__xludf.DUMMYFUNCTION("""COMPUTED_VALUE"""),"")</f>
        <v/>
      </c>
      <c r="DE1123" s="15" t="str">
        <f>IFERROR(__xludf.DUMMYFUNCTION("""COMPUTED_VALUE"""),"")</f>
        <v/>
      </c>
      <c r="DG1123" s="15" t="str">
        <f>IFERROR(__xludf.DUMMYFUNCTION("""COMPUTED_VALUE"""),"")</f>
        <v/>
      </c>
      <c r="DL1123" s="15" t="str">
        <f>IFERROR(__xludf.DUMMYFUNCTION("""COMPUTED_VALUE"""),"")</f>
        <v/>
      </c>
      <c r="DM1123" s="15" t="s">
        <v>444</v>
      </c>
      <c r="DN1123" s="15" t="s">
        <v>419</v>
      </c>
      <c r="DO1123" s="15">
        <v>0.0</v>
      </c>
      <c r="DP1123" s="15" t="s">
        <v>419</v>
      </c>
      <c r="DR1123" s="15">
        <v>0.0</v>
      </c>
      <c r="DT1123" s="15" t="s">
        <v>420</v>
      </c>
      <c r="DU1123" s="15" t="s">
        <v>419</v>
      </c>
      <c r="DY1123" s="15">
        <v>0.0</v>
      </c>
      <c r="EF1123" s="15" t="s">
        <v>1157</v>
      </c>
      <c r="EG1123" s="15" t="s">
        <v>1158</v>
      </c>
      <c r="EH1123" s="15" t="s">
        <v>10707</v>
      </c>
      <c r="EJ1123" s="15" t="s">
        <v>500</v>
      </c>
      <c r="EK1123" s="15" t="s">
        <v>501</v>
      </c>
      <c r="EM1123" s="15" t="str">
        <f>IFERROR(__xludf.DUMMYFUNCTION("""COMPUTED_VALUE"""),"")</f>
        <v/>
      </c>
      <c r="EW1123" s="15" t="s">
        <v>3777</v>
      </c>
      <c r="FH1123" s="15" t="s">
        <v>2651</v>
      </c>
      <c r="FI1123" s="15" t="s">
        <v>3777</v>
      </c>
      <c r="FJ1123" s="15" t="s">
        <v>2651</v>
      </c>
      <c r="FK1123" s="15" t="s">
        <v>8581</v>
      </c>
      <c r="FL1123" s="15" t="s">
        <v>426</v>
      </c>
      <c r="FM1123" s="15">
        <v>0.0</v>
      </c>
      <c r="FN1123" s="15">
        <v>0.0</v>
      </c>
      <c r="FW1123" s="15" t="s">
        <v>2505</v>
      </c>
    </row>
    <row r="1124" ht="15.75" customHeight="1">
      <c r="A1124" s="14" t="s">
        <v>391</v>
      </c>
      <c r="B1124" s="15" t="s">
        <v>10699</v>
      </c>
      <c r="C1124" s="16"/>
      <c r="D1124" s="15" t="s">
        <v>432</v>
      </c>
      <c r="G1124" s="14" t="s">
        <v>393</v>
      </c>
      <c r="H1124" s="14" t="s">
        <v>394</v>
      </c>
      <c r="I1124" s="14" t="b">
        <v>1</v>
      </c>
      <c r="J1124" s="14" t="s">
        <v>395</v>
      </c>
      <c r="L1124" s="14" t="b">
        <v>0</v>
      </c>
      <c r="M1124" s="15" t="s">
        <v>10708</v>
      </c>
      <c r="N1124" s="14" t="s">
        <v>393</v>
      </c>
      <c r="O1124" s="14" t="s">
        <v>393</v>
      </c>
      <c r="P1124" s="15" t="s">
        <v>397</v>
      </c>
      <c r="Q1124" s="15" t="s">
        <v>10709</v>
      </c>
      <c r="T1124" s="14" t="b">
        <v>0</v>
      </c>
      <c r="U1124" s="15" t="s">
        <v>10710</v>
      </c>
      <c r="V1124" s="15" t="s">
        <v>3182</v>
      </c>
      <c r="W1124" s="15" t="s">
        <v>401</v>
      </c>
      <c r="X1124" s="15" t="s">
        <v>742</v>
      </c>
      <c r="Y1124" s="15">
        <v>442.0</v>
      </c>
      <c r="AA1124" s="15" t="str">
        <f t="shared" si="1945"/>
        <v>170</v>
      </c>
      <c r="AB1124" s="14" t="b">
        <v>1</v>
      </c>
      <c r="AC1124" s="14" t="b">
        <v>1</v>
      </c>
      <c r="AD1124" s="15" t="str">
        <f>"801542024406"</f>
        <v>801542024406</v>
      </c>
      <c r="AE1124" s="15" t="s">
        <v>10711</v>
      </c>
      <c r="AF1124" s="14" t="s">
        <v>404</v>
      </c>
      <c r="AG1124" s="14" t="s">
        <v>405</v>
      </c>
      <c r="AH1124" s="14" t="s">
        <v>406</v>
      </c>
      <c r="AI1124" s="15">
        <v>0.0</v>
      </c>
      <c r="AL1124" s="15" t="s">
        <v>10703</v>
      </c>
      <c r="AM1124" s="15" t="s">
        <v>1152</v>
      </c>
      <c r="AN1124" s="15" t="s">
        <v>1153</v>
      </c>
      <c r="AO1124" s="15" t="s">
        <v>1152</v>
      </c>
      <c r="AP1124" s="15" t="s">
        <v>1153</v>
      </c>
      <c r="AQ1124" s="15" t="s">
        <v>409</v>
      </c>
      <c r="AR1124" s="15" t="s">
        <v>438</v>
      </c>
      <c r="AS1124" s="15" t="s">
        <v>2063</v>
      </c>
      <c r="AT1124" s="15" t="s">
        <v>10709</v>
      </c>
      <c r="AU1124" s="15" t="s">
        <v>10712</v>
      </c>
      <c r="AW1124" s="15" t="s">
        <v>1154</v>
      </c>
      <c r="AY1124" s="15" t="s">
        <v>413</v>
      </c>
      <c r="AZ1124" s="15" t="b">
        <v>0</v>
      </c>
      <c r="BA1124" s="15" t="s">
        <v>413</v>
      </c>
      <c r="BB1124" s="15" t="b">
        <v>0</v>
      </c>
      <c r="BC1124" s="15" t="s">
        <v>10713</v>
      </c>
      <c r="BD1124" s="15" t="s">
        <v>742</v>
      </c>
      <c r="BE1124" s="15" t="str">
        <f t="shared" si="1946"/>
        <v>1</v>
      </c>
      <c r="BF1124" s="15" t="s">
        <v>416</v>
      </c>
      <c r="BG1124" s="15" t="str">
        <f t="shared" si="1947"/>
        <v>20.08</v>
      </c>
      <c r="BH1124" s="15" t="s">
        <v>4825</v>
      </c>
      <c r="BI1124" s="15" t="str">
        <f t="shared" si="1948"/>
        <v>19.49</v>
      </c>
      <c r="BJ1124" s="15" t="s">
        <v>10706</v>
      </c>
      <c r="BK1124" s="15" t="str">
        <f t="shared" si="1949"/>
        <v>24.41</v>
      </c>
      <c r="BL1124" s="15" t="s">
        <v>796</v>
      </c>
      <c r="BM1124" s="15" t="str">
        <f t="shared" si="1950"/>
        <v>28.66</v>
      </c>
      <c r="BN1124" s="15" t="s">
        <v>1905</v>
      </c>
      <c r="BQ1124" s="15" t="s">
        <v>444</v>
      </c>
      <c r="BS1124" s="15" t="s">
        <v>444</v>
      </c>
      <c r="BU1124" s="15" t="s">
        <v>444</v>
      </c>
      <c r="BW1124" s="15" t="s">
        <v>444</v>
      </c>
      <c r="BZ1124" s="15" t="s">
        <v>444</v>
      </c>
      <c r="CB1124" s="15" t="s">
        <v>444</v>
      </c>
      <c r="CD1124" s="15" t="s">
        <v>444</v>
      </c>
      <c r="CF1124" s="15" t="s">
        <v>444</v>
      </c>
      <c r="CI1124" s="15" t="s">
        <v>444</v>
      </c>
      <c r="CK1124" s="15" t="s">
        <v>444</v>
      </c>
      <c r="CM1124" s="15" t="s">
        <v>444</v>
      </c>
      <c r="CO1124" s="15" t="s">
        <v>444</v>
      </c>
      <c r="CP1124" s="15" t="str">
        <f t="shared" si="1951"/>
        <v>5.54</v>
      </c>
      <c r="CQ1124" s="15" t="str">
        <f t="shared" si="1952"/>
        <v>0.157</v>
      </c>
      <c r="CR1124" s="15" t="s">
        <v>417</v>
      </c>
      <c r="DC1124" s="15" t="str">
        <f>IFERROR(__xludf.DUMMYFUNCTION("""COMPUTED_VALUE"""),"")</f>
        <v/>
      </c>
      <c r="DE1124" s="15" t="str">
        <f>IFERROR(__xludf.DUMMYFUNCTION("""COMPUTED_VALUE"""),"")</f>
        <v/>
      </c>
      <c r="DG1124" s="15" t="str">
        <f>IFERROR(__xludf.DUMMYFUNCTION("""COMPUTED_VALUE"""),"")</f>
        <v/>
      </c>
      <c r="DL1124" s="15" t="str">
        <f>IFERROR(__xludf.DUMMYFUNCTION("""COMPUTED_VALUE"""),"")</f>
        <v/>
      </c>
      <c r="DM1124" s="15" t="s">
        <v>444</v>
      </c>
      <c r="DN1124" s="15" t="s">
        <v>419</v>
      </c>
      <c r="DO1124" s="15">
        <v>0.0</v>
      </c>
      <c r="DP1124" s="15" t="s">
        <v>419</v>
      </c>
      <c r="DR1124" s="15">
        <v>0.0</v>
      </c>
      <c r="DT1124" s="15" t="s">
        <v>420</v>
      </c>
      <c r="DU1124" s="15" t="s">
        <v>419</v>
      </c>
      <c r="DY1124" s="15">
        <v>0.0</v>
      </c>
      <c r="EF1124" s="15" t="s">
        <v>1157</v>
      </c>
      <c r="EG1124" s="15" t="s">
        <v>1158</v>
      </c>
      <c r="EH1124" s="15" t="s">
        <v>10707</v>
      </c>
      <c r="EJ1124" s="15" t="s">
        <v>500</v>
      </c>
      <c r="EK1124" s="15" t="s">
        <v>501</v>
      </c>
      <c r="EM1124" s="15" t="str">
        <f>IFERROR(__xludf.DUMMYFUNCTION("""COMPUTED_VALUE"""),"")</f>
        <v/>
      </c>
      <c r="EW1124" s="15" t="s">
        <v>3777</v>
      </c>
      <c r="FH1124" s="15" t="s">
        <v>2651</v>
      </c>
      <c r="FI1124" s="15" t="s">
        <v>3777</v>
      </c>
      <c r="FJ1124" s="15" t="s">
        <v>2651</v>
      </c>
      <c r="FK1124" s="15" t="s">
        <v>8581</v>
      </c>
      <c r="FL1124" s="15" t="s">
        <v>426</v>
      </c>
      <c r="FM1124" s="15">
        <v>0.0</v>
      </c>
      <c r="FN1124" s="15">
        <v>0.0</v>
      </c>
      <c r="FW1124" s="15" t="s">
        <v>2505</v>
      </c>
    </row>
    <row r="1125" ht="15.75" customHeight="1">
      <c r="A1125" s="14" t="s">
        <v>391</v>
      </c>
      <c r="B1125" s="15" t="s">
        <v>10714</v>
      </c>
      <c r="C1125" s="16"/>
      <c r="D1125" s="15" t="s">
        <v>432</v>
      </c>
      <c r="G1125" s="14" t="s">
        <v>393</v>
      </c>
      <c r="H1125" s="14" t="s">
        <v>394</v>
      </c>
      <c r="I1125" s="14" t="b">
        <v>1</v>
      </c>
      <c r="J1125" s="14" t="s">
        <v>395</v>
      </c>
      <c r="L1125" s="14" t="b">
        <v>0</v>
      </c>
      <c r="M1125" s="15" t="s">
        <v>10715</v>
      </c>
      <c r="N1125" s="14" t="s">
        <v>393</v>
      </c>
      <c r="O1125" s="14" t="s">
        <v>393</v>
      </c>
      <c r="P1125" s="15" t="s">
        <v>397</v>
      </c>
      <c r="Q1125" s="15" t="s">
        <v>7118</v>
      </c>
      <c r="T1125" s="14" t="b">
        <v>0</v>
      </c>
      <c r="U1125" s="15" t="s">
        <v>10716</v>
      </c>
      <c r="V1125" s="15" t="s">
        <v>10717</v>
      </c>
      <c r="W1125" s="15" t="s">
        <v>401</v>
      </c>
      <c r="X1125" s="15" t="s">
        <v>695</v>
      </c>
      <c r="Y1125" s="15">
        <v>338.0</v>
      </c>
      <c r="AA1125" s="15" t="str">
        <f>"130"</f>
        <v>130</v>
      </c>
      <c r="AB1125" s="14" t="b">
        <v>1</v>
      </c>
      <c r="AC1125" s="14" t="b">
        <v>1</v>
      </c>
      <c r="AD1125" s="15" t="str">
        <f>"198394005548"</f>
        <v>198394005548</v>
      </c>
      <c r="AE1125" s="15" t="s">
        <v>10718</v>
      </c>
      <c r="AF1125" s="14" t="s">
        <v>404</v>
      </c>
      <c r="AG1125" s="14" t="s">
        <v>405</v>
      </c>
      <c r="AH1125" s="14" t="s">
        <v>406</v>
      </c>
      <c r="AI1125" s="15">
        <v>0.0</v>
      </c>
      <c r="AL1125" s="15" t="s">
        <v>832</v>
      </c>
      <c r="AM1125" s="15" t="s">
        <v>1007</v>
      </c>
      <c r="AN1125" s="15" t="s">
        <v>1008</v>
      </c>
      <c r="AO1125" s="15" t="s">
        <v>1007</v>
      </c>
      <c r="AP1125" s="15" t="s">
        <v>1008</v>
      </c>
      <c r="AQ1125" s="15" t="s">
        <v>7136</v>
      </c>
      <c r="AR1125" s="15" t="s">
        <v>3732</v>
      </c>
      <c r="AS1125" s="15" t="s">
        <v>915</v>
      </c>
      <c r="AT1125" s="15" t="s">
        <v>7118</v>
      </c>
      <c r="AU1125" s="15" t="s">
        <v>1059</v>
      </c>
      <c r="AW1125" s="15" t="s">
        <v>1009</v>
      </c>
      <c r="AY1125" s="15" t="s">
        <v>413</v>
      </c>
      <c r="AZ1125" s="15" t="b">
        <v>0</v>
      </c>
      <c r="BA1125" s="15" t="s">
        <v>413</v>
      </c>
      <c r="BB1125" s="15" t="b">
        <v>0</v>
      </c>
      <c r="BC1125" s="15" t="s">
        <v>10719</v>
      </c>
      <c r="BD1125" s="15" t="s">
        <v>709</v>
      </c>
      <c r="BE1125" s="15" t="str">
        <f t="shared" si="1946"/>
        <v>1</v>
      </c>
      <c r="BF1125" s="15" t="s">
        <v>416</v>
      </c>
      <c r="BG1125" s="15" t="str">
        <f>"20.47"</f>
        <v>20.47</v>
      </c>
      <c r="BH1125" s="15" t="s">
        <v>818</v>
      </c>
      <c r="BI1125" s="15" t="str">
        <f>"20.47"</f>
        <v>20.47</v>
      </c>
      <c r="BJ1125" s="15" t="s">
        <v>818</v>
      </c>
      <c r="BK1125" s="15" t="str">
        <f>"15.75"</f>
        <v>15.75</v>
      </c>
      <c r="BL1125" s="15" t="s">
        <v>1849</v>
      </c>
      <c r="BM1125" s="15" t="str">
        <f>"18.08"</f>
        <v>18.08</v>
      </c>
      <c r="BN1125" s="15" t="s">
        <v>10720</v>
      </c>
      <c r="BQ1125" s="15" t="s">
        <v>444</v>
      </c>
      <c r="BS1125" s="15" t="s">
        <v>444</v>
      </c>
      <c r="BU1125" s="15" t="s">
        <v>444</v>
      </c>
      <c r="BW1125" s="15" t="s">
        <v>444</v>
      </c>
      <c r="BZ1125" s="15" t="s">
        <v>444</v>
      </c>
      <c r="CB1125" s="15" t="s">
        <v>444</v>
      </c>
      <c r="CD1125" s="15" t="s">
        <v>444</v>
      </c>
      <c r="CF1125" s="15" t="s">
        <v>444</v>
      </c>
      <c r="CI1125" s="15" t="s">
        <v>444</v>
      </c>
      <c r="CK1125" s="15" t="s">
        <v>444</v>
      </c>
      <c r="CM1125" s="15" t="s">
        <v>444</v>
      </c>
      <c r="CO1125" s="15" t="s">
        <v>444</v>
      </c>
      <c r="CP1125" s="15" t="str">
        <f>"3.81"</f>
        <v>3.81</v>
      </c>
      <c r="CQ1125" s="15" t="str">
        <f>"0.108"</f>
        <v>0.108</v>
      </c>
      <c r="CR1125" s="15" t="s">
        <v>497</v>
      </c>
      <c r="DB1125" s="15" t="s">
        <v>1065</v>
      </c>
      <c r="DC1125" s="15" t="str">
        <f>IFERROR(__xludf.DUMMYFUNCTION("""COMPUTED_VALUE"""),"{""value"":18.00,""unit"":""in""}")</f>
        <v>{"value":18.00,"unit":"in"}</v>
      </c>
      <c r="DD1125" s="15" t="s">
        <v>650</v>
      </c>
      <c r="DE1125" s="15" t="str">
        <f>IFERROR(__xludf.DUMMYFUNCTION("""COMPUTED_VALUE"""),"{""value"":19.50,""unit"":""in""}")</f>
        <v>{"value":19.50,"unit":"in"}</v>
      </c>
      <c r="DF1125" s="15" t="s">
        <v>1065</v>
      </c>
      <c r="DG1125" s="15" t="str">
        <f>IFERROR(__xludf.DUMMYFUNCTION("""COMPUTED_VALUE"""),"{""value"":18.00,""unit"":""in""}")</f>
        <v>{"value":18.00,"unit":"in"}</v>
      </c>
      <c r="DI1125" s="15">
        <v>0.0</v>
      </c>
      <c r="DK1125" s="15" t="s">
        <v>934</v>
      </c>
      <c r="DL1125" s="15" t="str">
        <f>IFERROR(__xludf.DUMMYFUNCTION("""COMPUTED_VALUE"""),"Spot clean with water-based or solvent-based cleaner. Use mild detergent or upholstery shampoo.")</f>
        <v>Spot clean with water-based or solvent-based cleaner. Use mild detergent or upholstery shampoo.</v>
      </c>
      <c r="DM1125" s="15" t="s">
        <v>935</v>
      </c>
      <c r="DT1125" s="15" t="s">
        <v>721</v>
      </c>
      <c r="DU1125" s="15" t="s">
        <v>419</v>
      </c>
      <c r="DV1125" s="15">
        <v>0.0</v>
      </c>
      <c r="DZ1125" s="15">
        <v>50000.0</v>
      </c>
      <c r="EA1125" s="15" t="s">
        <v>722</v>
      </c>
      <c r="EB1125" s="15" t="s">
        <v>1016</v>
      </c>
      <c r="ED1125" s="15">
        <v>1.0</v>
      </c>
      <c r="EE1125" s="15">
        <v>1.0</v>
      </c>
      <c r="EF1125" s="15" t="s">
        <v>1157</v>
      </c>
      <c r="EG1125" s="15" t="s">
        <v>1158</v>
      </c>
      <c r="EH1125" s="15" t="s">
        <v>10721</v>
      </c>
      <c r="EI1125" s="15">
        <v>0.0</v>
      </c>
      <c r="EJ1125" s="15" t="s">
        <v>726</v>
      </c>
      <c r="EK1125" s="15" t="s">
        <v>727</v>
      </c>
      <c r="EM1125" s="15" t="str">
        <f>IFERROR(__xludf.DUMMYFUNCTION("""COMPUTED_VALUE"""),"")</f>
        <v/>
      </c>
      <c r="EW1125" s="15" t="s">
        <v>1069</v>
      </c>
      <c r="EX1125" s="15" t="s">
        <v>762</v>
      </c>
      <c r="EY1125" s="15" t="s">
        <v>762</v>
      </c>
      <c r="FF1125" s="15" t="s">
        <v>1255</v>
      </c>
    </row>
    <row r="1126" ht="15.75" customHeight="1">
      <c r="A1126" s="14" t="s">
        <v>391</v>
      </c>
      <c r="B1126" s="15" t="s">
        <v>10722</v>
      </c>
      <c r="C1126" s="16"/>
      <c r="D1126" s="15" t="s">
        <v>432</v>
      </c>
      <c r="G1126" s="14" t="s">
        <v>393</v>
      </c>
      <c r="H1126" s="14" t="s">
        <v>394</v>
      </c>
      <c r="I1126" s="14" t="b">
        <v>1</v>
      </c>
      <c r="J1126" s="14" t="s">
        <v>395</v>
      </c>
      <c r="L1126" s="14" t="b">
        <v>0</v>
      </c>
      <c r="M1126" s="15" t="s">
        <v>10723</v>
      </c>
      <c r="N1126" s="14" t="s">
        <v>393</v>
      </c>
      <c r="O1126" s="14" t="s">
        <v>393</v>
      </c>
      <c r="P1126" s="15" t="s">
        <v>397</v>
      </c>
      <c r="Q1126" s="15" t="s">
        <v>1497</v>
      </c>
      <c r="T1126" s="14" t="b">
        <v>0</v>
      </c>
      <c r="U1126" s="15" t="s">
        <v>10724</v>
      </c>
      <c r="V1126" s="15" t="s">
        <v>10725</v>
      </c>
      <c r="W1126" s="15" t="s">
        <v>401</v>
      </c>
      <c r="X1126" s="15" t="s">
        <v>1296</v>
      </c>
      <c r="Y1126" s="15">
        <v>3393.0</v>
      </c>
      <c r="AA1126" s="15" t="str">
        <f>"1305"</f>
        <v>1305</v>
      </c>
      <c r="AB1126" s="14" t="b">
        <v>1</v>
      </c>
      <c r="AC1126" s="14" t="b">
        <v>1</v>
      </c>
      <c r="AD1126" s="15" t="str">
        <f>"801542829933"</f>
        <v>801542829933</v>
      </c>
      <c r="AE1126" s="15" t="s">
        <v>10726</v>
      </c>
      <c r="AF1126" s="14" t="s">
        <v>404</v>
      </c>
      <c r="AG1126" s="14" t="s">
        <v>405</v>
      </c>
      <c r="AH1126" s="14" t="s">
        <v>406</v>
      </c>
      <c r="AI1126" s="15">
        <v>0.0</v>
      </c>
      <c r="AL1126" s="15" t="s">
        <v>7667</v>
      </c>
      <c r="AM1126" s="15" t="s">
        <v>2088</v>
      </c>
      <c r="AN1126" s="15" t="s">
        <v>2089</v>
      </c>
      <c r="AO1126" s="15" t="s">
        <v>546</v>
      </c>
      <c r="AP1126" s="15" t="s">
        <v>547</v>
      </c>
      <c r="AQ1126" s="15" t="s">
        <v>489</v>
      </c>
      <c r="AR1126" s="15" t="s">
        <v>490</v>
      </c>
      <c r="AS1126" s="15" t="s">
        <v>2630</v>
      </c>
      <c r="AT1126" s="15" t="s">
        <v>1497</v>
      </c>
      <c r="AW1126" s="15" t="s">
        <v>491</v>
      </c>
      <c r="AY1126" s="15" t="s">
        <v>413</v>
      </c>
      <c r="AZ1126" s="15" t="b">
        <v>0</v>
      </c>
      <c r="BA1126" s="15" t="s">
        <v>413</v>
      </c>
      <c r="BB1126" s="15" t="b">
        <v>0</v>
      </c>
      <c r="BC1126" s="15" t="s">
        <v>10727</v>
      </c>
      <c r="BD1126" s="15" t="s">
        <v>1303</v>
      </c>
      <c r="BE1126" s="15" t="str">
        <f t="shared" ref="BE1126:BE1128" si="1953">"4"</f>
        <v>4</v>
      </c>
      <c r="BF1126" s="15" t="s">
        <v>1564</v>
      </c>
      <c r="BG1126" s="15" t="str">
        <f t="shared" ref="BG1126:BG1127" si="1954">"59.5"</f>
        <v>59.5</v>
      </c>
      <c r="BH1126" s="15" t="s">
        <v>10728</v>
      </c>
      <c r="BI1126" s="15" t="str">
        <f t="shared" ref="BI1126:BI1127" si="1955">"10.25"</f>
        <v>10.25</v>
      </c>
      <c r="BJ1126" s="15" t="s">
        <v>9060</v>
      </c>
      <c r="BK1126" s="15" t="str">
        <f t="shared" ref="BK1126:BK1128" si="1956">"41"</f>
        <v>41</v>
      </c>
      <c r="BL1126" s="15" t="s">
        <v>2377</v>
      </c>
      <c r="BM1126" s="15" t="str">
        <f t="shared" ref="BM1126:BM1127" si="1957">"160.82"</f>
        <v>160.82</v>
      </c>
      <c r="BN1126" s="15" t="s">
        <v>10729</v>
      </c>
      <c r="BO1126" s="15" t="s">
        <v>2238</v>
      </c>
      <c r="BP1126" s="15" t="str">
        <f t="shared" ref="BP1126:BP1127" si="1958">"42.75"</f>
        <v>42.75</v>
      </c>
      <c r="BQ1126" s="15" t="s">
        <v>10730</v>
      </c>
      <c r="BR1126" s="15" t="str">
        <f t="shared" ref="BR1126:BR1127" si="1959">"15"</f>
        <v>15</v>
      </c>
      <c r="BS1126" s="15" t="s">
        <v>490</v>
      </c>
      <c r="BT1126" s="15" t="str">
        <f t="shared" ref="BT1126:BT1127" si="1960">"19.25"</f>
        <v>19.25</v>
      </c>
      <c r="BU1126" s="15" t="s">
        <v>455</v>
      </c>
      <c r="BV1126" s="15" t="str">
        <f t="shared" ref="BV1126:BV1127" si="1961">"147.37"</f>
        <v>147.37</v>
      </c>
      <c r="BW1126" s="15" t="s">
        <v>10731</v>
      </c>
      <c r="BX1126" s="15" t="s">
        <v>1564</v>
      </c>
      <c r="BY1126" s="15" t="str">
        <f t="shared" ref="BY1126:BY1127" si="1962">"47.5"</f>
        <v>47.5</v>
      </c>
      <c r="BZ1126" s="15" t="s">
        <v>4791</v>
      </c>
      <c r="CA1126" s="15" t="str">
        <f t="shared" ref="CA1126:CA1127" si="1963">"10.5"</f>
        <v>10.5</v>
      </c>
      <c r="CB1126" s="15" t="s">
        <v>10412</v>
      </c>
      <c r="CC1126" s="15" t="str">
        <f t="shared" ref="CC1126:CC1127" si="1964">"36.5"</f>
        <v>36.5</v>
      </c>
      <c r="CD1126" s="15" t="s">
        <v>977</v>
      </c>
      <c r="CE1126" s="15" t="str">
        <f t="shared" ref="CE1126:CE1127" si="1965">"115.85"</f>
        <v>115.85</v>
      </c>
      <c r="CF1126" s="15" t="s">
        <v>10732</v>
      </c>
      <c r="CG1126" s="15" t="s">
        <v>2238</v>
      </c>
      <c r="CH1126" s="15" t="str">
        <f t="shared" ref="CH1126:CH1127" si="1966">"37"</f>
        <v>37</v>
      </c>
      <c r="CI1126" s="15" t="s">
        <v>699</v>
      </c>
      <c r="CJ1126" s="15" t="str">
        <f t="shared" ref="CJ1126:CJ1127" si="1967">"13"</f>
        <v>13</v>
      </c>
      <c r="CK1126" s="15" t="s">
        <v>9135</v>
      </c>
      <c r="CL1126" s="15" t="str">
        <f t="shared" ref="CL1126:CL1127" si="1968">"18"</f>
        <v>18</v>
      </c>
      <c r="CM1126" s="15" t="s">
        <v>1008</v>
      </c>
      <c r="CN1126" s="15" t="str">
        <f t="shared" ref="CN1126:CN1127" si="1969">"94.13"</f>
        <v>94.13</v>
      </c>
      <c r="CO1126" s="15" t="s">
        <v>10733</v>
      </c>
      <c r="CP1126" s="15" t="str">
        <f t="shared" ref="CP1126:CP1127" si="1970">"37.15"</f>
        <v>37.15</v>
      </c>
      <c r="CQ1126" s="15" t="str">
        <f t="shared" ref="CQ1126:CQ1127" si="1971">"1.052"</f>
        <v>1.052</v>
      </c>
      <c r="CR1126" s="15" t="s">
        <v>497</v>
      </c>
      <c r="DC1126" s="15" t="str">
        <f>IFERROR(__xludf.DUMMYFUNCTION("""COMPUTED_VALUE"""),"")</f>
        <v/>
      </c>
      <c r="DE1126" s="15" t="str">
        <f>IFERROR(__xludf.DUMMYFUNCTION("""COMPUTED_VALUE"""),"")</f>
        <v/>
      </c>
      <c r="DG1126" s="15" t="str">
        <f>IFERROR(__xludf.DUMMYFUNCTION("""COMPUTED_VALUE"""),"")</f>
        <v/>
      </c>
      <c r="DL1126" s="15" t="str">
        <f>IFERROR(__xludf.DUMMYFUNCTION("""COMPUTED_VALUE"""),"")</f>
        <v/>
      </c>
      <c r="DM1126" s="15" t="s">
        <v>444</v>
      </c>
      <c r="DU1126" s="15" t="s">
        <v>419</v>
      </c>
      <c r="EF1126" s="15" t="s">
        <v>1857</v>
      </c>
      <c r="EG1126" s="15" t="s">
        <v>1858</v>
      </c>
      <c r="EH1126" s="15" t="s">
        <v>10734</v>
      </c>
      <c r="EJ1126" s="15" t="s">
        <v>500</v>
      </c>
      <c r="EK1126" s="15" t="s">
        <v>501</v>
      </c>
      <c r="EM1126" s="15" t="str">
        <f>IFERROR(__xludf.DUMMYFUNCTION("""COMPUTED_VALUE"""),"")</f>
        <v/>
      </c>
    </row>
    <row r="1127" ht="15.75" customHeight="1">
      <c r="A1127" s="14" t="s">
        <v>391</v>
      </c>
      <c r="B1127" s="15" t="s">
        <v>10722</v>
      </c>
      <c r="C1127" s="16"/>
      <c r="D1127" s="15" t="s">
        <v>432</v>
      </c>
      <c r="G1127" s="14" t="s">
        <v>393</v>
      </c>
      <c r="H1127" s="14" t="s">
        <v>394</v>
      </c>
      <c r="I1127" s="14" t="b">
        <v>1</v>
      </c>
      <c r="J1127" s="14" t="s">
        <v>395</v>
      </c>
      <c r="L1127" s="14" t="b">
        <v>0</v>
      </c>
      <c r="M1127" s="15" t="s">
        <v>10735</v>
      </c>
      <c r="N1127" s="14" t="s">
        <v>393</v>
      </c>
      <c r="O1127" s="14" t="s">
        <v>393</v>
      </c>
      <c r="P1127" s="15" t="s">
        <v>397</v>
      </c>
      <c r="Q1127" s="15" t="s">
        <v>10379</v>
      </c>
      <c r="T1127" s="14" t="b">
        <v>0</v>
      </c>
      <c r="U1127" s="15" t="s">
        <v>10736</v>
      </c>
      <c r="V1127" s="15" t="s">
        <v>10725</v>
      </c>
      <c r="W1127" s="15" t="s">
        <v>401</v>
      </c>
      <c r="X1127" s="15" t="s">
        <v>1296</v>
      </c>
      <c r="Y1127" s="15">
        <v>2405.0</v>
      </c>
      <c r="AA1127" s="15" t="str">
        <f>"925"</f>
        <v>925</v>
      </c>
      <c r="AB1127" s="14" t="b">
        <v>1</v>
      </c>
      <c r="AC1127" s="14" t="b">
        <v>1</v>
      </c>
      <c r="AD1127" s="15" t="str">
        <f>"801542192938"</f>
        <v>801542192938</v>
      </c>
      <c r="AE1127" s="15" t="s">
        <v>10737</v>
      </c>
      <c r="AF1127" s="14" t="s">
        <v>404</v>
      </c>
      <c r="AG1127" s="14" t="s">
        <v>405</v>
      </c>
      <c r="AH1127" s="14" t="s">
        <v>406</v>
      </c>
      <c r="AI1127" s="15">
        <v>0.0</v>
      </c>
      <c r="AL1127" s="15" t="s">
        <v>7667</v>
      </c>
      <c r="AM1127" s="15" t="s">
        <v>2088</v>
      </c>
      <c r="AN1127" s="15" t="s">
        <v>2089</v>
      </c>
      <c r="AO1127" s="15" t="s">
        <v>546</v>
      </c>
      <c r="AP1127" s="15" t="s">
        <v>547</v>
      </c>
      <c r="AQ1127" s="15" t="s">
        <v>489</v>
      </c>
      <c r="AR1127" s="15" t="s">
        <v>490</v>
      </c>
      <c r="AS1127" s="15" t="s">
        <v>2630</v>
      </c>
      <c r="AT1127" s="15" t="s">
        <v>10379</v>
      </c>
      <c r="AW1127" s="15" t="s">
        <v>491</v>
      </c>
      <c r="AY1127" s="15" t="s">
        <v>413</v>
      </c>
      <c r="AZ1127" s="15" t="b">
        <v>0</v>
      </c>
      <c r="BA1127" s="15" t="s">
        <v>413</v>
      </c>
      <c r="BB1127" s="15" t="b">
        <v>0</v>
      </c>
      <c r="BC1127" s="15" t="s">
        <v>10727</v>
      </c>
      <c r="BD1127" s="15" t="s">
        <v>1303</v>
      </c>
      <c r="BE1127" s="15" t="str">
        <f t="shared" si="1953"/>
        <v>4</v>
      </c>
      <c r="BF1127" s="15" t="s">
        <v>1564</v>
      </c>
      <c r="BG1127" s="15" t="str">
        <f t="shared" si="1954"/>
        <v>59.5</v>
      </c>
      <c r="BH1127" s="15" t="s">
        <v>10728</v>
      </c>
      <c r="BI1127" s="15" t="str">
        <f t="shared" si="1955"/>
        <v>10.25</v>
      </c>
      <c r="BJ1127" s="15" t="s">
        <v>9060</v>
      </c>
      <c r="BK1127" s="15" t="str">
        <f t="shared" si="1956"/>
        <v>41</v>
      </c>
      <c r="BL1127" s="15" t="s">
        <v>2377</v>
      </c>
      <c r="BM1127" s="15" t="str">
        <f t="shared" si="1957"/>
        <v>160.82</v>
      </c>
      <c r="BN1127" s="15" t="s">
        <v>10729</v>
      </c>
      <c r="BO1127" s="15" t="s">
        <v>2238</v>
      </c>
      <c r="BP1127" s="15" t="str">
        <f t="shared" si="1958"/>
        <v>42.75</v>
      </c>
      <c r="BQ1127" s="15" t="s">
        <v>10730</v>
      </c>
      <c r="BR1127" s="15" t="str">
        <f t="shared" si="1959"/>
        <v>15</v>
      </c>
      <c r="BS1127" s="15" t="s">
        <v>490</v>
      </c>
      <c r="BT1127" s="15" t="str">
        <f t="shared" si="1960"/>
        <v>19.25</v>
      </c>
      <c r="BU1127" s="15" t="s">
        <v>455</v>
      </c>
      <c r="BV1127" s="15" t="str">
        <f t="shared" si="1961"/>
        <v>147.37</v>
      </c>
      <c r="BW1127" s="15" t="s">
        <v>10731</v>
      </c>
      <c r="BX1127" s="15" t="s">
        <v>1564</v>
      </c>
      <c r="BY1127" s="15" t="str">
        <f t="shared" si="1962"/>
        <v>47.5</v>
      </c>
      <c r="BZ1127" s="15" t="s">
        <v>4791</v>
      </c>
      <c r="CA1127" s="15" t="str">
        <f t="shared" si="1963"/>
        <v>10.5</v>
      </c>
      <c r="CB1127" s="15" t="s">
        <v>10412</v>
      </c>
      <c r="CC1127" s="15" t="str">
        <f t="shared" si="1964"/>
        <v>36.5</v>
      </c>
      <c r="CD1127" s="15" t="s">
        <v>977</v>
      </c>
      <c r="CE1127" s="15" t="str">
        <f t="shared" si="1965"/>
        <v>115.85</v>
      </c>
      <c r="CF1127" s="15" t="s">
        <v>10732</v>
      </c>
      <c r="CG1127" s="15" t="s">
        <v>2238</v>
      </c>
      <c r="CH1127" s="15" t="str">
        <f t="shared" si="1966"/>
        <v>37</v>
      </c>
      <c r="CI1127" s="15" t="s">
        <v>699</v>
      </c>
      <c r="CJ1127" s="15" t="str">
        <f t="shared" si="1967"/>
        <v>13</v>
      </c>
      <c r="CK1127" s="15" t="s">
        <v>9135</v>
      </c>
      <c r="CL1127" s="15" t="str">
        <f t="shared" si="1968"/>
        <v>18</v>
      </c>
      <c r="CM1127" s="15" t="s">
        <v>1008</v>
      </c>
      <c r="CN1127" s="15" t="str">
        <f t="shared" si="1969"/>
        <v>94.13</v>
      </c>
      <c r="CO1127" s="15" t="s">
        <v>10733</v>
      </c>
      <c r="CP1127" s="15" t="str">
        <f t="shared" si="1970"/>
        <v>37.15</v>
      </c>
      <c r="CQ1127" s="15" t="str">
        <f t="shared" si="1971"/>
        <v>1.052</v>
      </c>
      <c r="CR1127" s="15" t="s">
        <v>497</v>
      </c>
      <c r="DC1127" s="15" t="str">
        <f>IFERROR(__xludf.DUMMYFUNCTION("""COMPUTED_VALUE"""),"")</f>
        <v/>
      </c>
      <c r="DE1127" s="15" t="str">
        <f>IFERROR(__xludf.DUMMYFUNCTION("""COMPUTED_VALUE"""),"")</f>
        <v/>
      </c>
      <c r="DG1127" s="15" t="str">
        <f>IFERROR(__xludf.DUMMYFUNCTION("""COMPUTED_VALUE"""),"")</f>
        <v/>
      </c>
      <c r="DL1127" s="15" t="str">
        <f>IFERROR(__xludf.DUMMYFUNCTION("""COMPUTED_VALUE"""),"")</f>
        <v/>
      </c>
      <c r="DM1127" s="15" t="s">
        <v>444</v>
      </c>
      <c r="DU1127" s="15" t="s">
        <v>419</v>
      </c>
      <c r="EF1127" s="15" t="s">
        <v>1857</v>
      </c>
      <c r="EG1127" s="15" t="s">
        <v>1858</v>
      </c>
      <c r="EH1127" s="15" t="s">
        <v>10734</v>
      </c>
      <c r="EJ1127" s="15" t="s">
        <v>500</v>
      </c>
      <c r="EK1127" s="15" t="s">
        <v>501</v>
      </c>
      <c r="EM1127" s="15" t="str">
        <f>IFERROR(__xludf.DUMMYFUNCTION("""COMPUTED_VALUE"""),"")</f>
        <v/>
      </c>
    </row>
    <row r="1128" ht="15.75" customHeight="1">
      <c r="A1128" s="14" t="s">
        <v>391</v>
      </c>
      <c r="B1128" s="15" t="s">
        <v>10722</v>
      </c>
      <c r="C1128" s="16"/>
      <c r="D1128" s="15" t="s">
        <v>432</v>
      </c>
      <c r="G1128" s="14" t="s">
        <v>393</v>
      </c>
      <c r="H1128" s="14" t="s">
        <v>394</v>
      </c>
      <c r="I1128" s="14" t="b">
        <v>1</v>
      </c>
      <c r="J1128" s="14" t="s">
        <v>395</v>
      </c>
      <c r="L1128" s="14" t="b">
        <v>0</v>
      </c>
      <c r="M1128" s="15" t="s">
        <v>10738</v>
      </c>
      <c r="N1128" s="14" t="s">
        <v>393</v>
      </c>
      <c r="O1128" s="14" t="s">
        <v>393</v>
      </c>
      <c r="P1128" s="15" t="s">
        <v>397</v>
      </c>
      <c r="Q1128" s="15" t="s">
        <v>2868</v>
      </c>
      <c r="T1128" s="14" t="b">
        <v>0</v>
      </c>
      <c r="U1128" s="15" t="s">
        <v>10739</v>
      </c>
      <c r="V1128" s="15" t="s">
        <v>10740</v>
      </c>
      <c r="W1128" s="15" t="s">
        <v>401</v>
      </c>
      <c r="X1128" s="15" t="s">
        <v>1296</v>
      </c>
      <c r="Y1128" s="15">
        <v>2028.0</v>
      </c>
      <c r="AA1128" s="15" t="str">
        <f>"780"</f>
        <v>780</v>
      </c>
      <c r="AB1128" s="14" t="b">
        <v>1</v>
      </c>
      <c r="AC1128" s="14" t="b">
        <v>1</v>
      </c>
      <c r="AD1128" s="15" t="str">
        <f>"198394057882"</f>
        <v>198394057882</v>
      </c>
      <c r="AE1128" s="15" t="s">
        <v>10741</v>
      </c>
      <c r="AF1128" s="14" t="s">
        <v>404</v>
      </c>
      <c r="AG1128" s="14" t="s">
        <v>405</v>
      </c>
      <c r="AH1128" s="14" t="s">
        <v>406</v>
      </c>
      <c r="AI1128" s="15">
        <v>0.0</v>
      </c>
      <c r="AL1128" s="15" t="s">
        <v>1532</v>
      </c>
      <c r="AM1128" s="15" t="s">
        <v>2088</v>
      </c>
      <c r="AN1128" s="15" t="s">
        <v>2089</v>
      </c>
      <c r="AO1128" s="15" t="s">
        <v>546</v>
      </c>
      <c r="AP1128" s="15" t="s">
        <v>547</v>
      </c>
      <c r="AQ1128" s="15" t="s">
        <v>489</v>
      </c>
      <c r="AR1128" s="15" t="s">
        <v>490</v>
      </c>
      <c r="AS1128" s="15" t="s">
        <v>2630</v>
      </c>
      <c r="AT1128" s="15" t="s">
        <v>2868</v>
      </c>
      <c r="AU1128" s="15" t="s">
        <v>6520</v>
      </c>
      <c r="AW1128" s="15" t="s">
        <v>491</v>
      </c>
      <c r="AY1128" s="15" t="s">
        <v>413</v>
      </c>
      <c r="AZ1128" s="15" t="b">
        <v>0</v>
      </c>
      <c r="BA1128" s="15" t="s">
        <v>413</v>
      </c>
      <c r="BB1128" s="15" t="b">
        <v>0</v>
      </c>
      <c r="BC1128" s="15" t="s">
        <v>10742</v>
      </c>
      <c r="BD1128" s="15" t="s">
        <v>1303</v>
      </c>
      <c r="BE1128" s="15" t="str">
        <f t="shared" si="1953"/>
        <v>4</v>
      </c>
      <c r="BF1128" s="15" t="s">
        <v>1564</v>
      </c>
      <c r="BG1128" s="15" t="str">
        <f>"60"</f>
        <v>60</v>
      </c>
      <c r="BH1128" s="15" t="s">
        <v>2038</v>
      </c>
      <c r="BI1128" s="15" t="str">
        <f>"8.5"</f>
        <v>8.5</v>
      </c>
      <c r="BJ1128" s="15" t="s">
        <v>9680</v>
      </c>
      <c r="BK1128" s="15" t="str">
        <f t="shared" si="1956"/>
        <v>41</v>
      </c>
      <c r="BL1128" s="15" t="s">
        <v>2377</v>
      </c>
      <c r="BM1128" s="15" t="str">
        <f>"77.71"</f>
        <v>77.71</v>
      </c>
      <c r="BN1128" s="15" t="s">
        <v>10743</v>
      </c>
      <c r="BO1128" s="15" t="s">
        <v>2238</v>
      </c>
      <c r="BP1128" s="15" t="str">
        <f>"39"</f>
        <v>39</v>
      </c>
      <c r="BQ1128" s="15" t="s">
        <v>3443</v>
      </c>
      <c r="BR1128" s="15" t="str">
        <f>"16.75"</f>
        <v>16.75</v>
      </c>
      <c r="BS1128" s="15" t="s">
        <v>3705</v>
      </c>
      <c r="BT1128" s="15" t="str">
        <f>"21"</f>
        <v>21</v>
      </c>
      <c r="BU1128" s="15" t="s">
        <v>1676</v>
      </c>
      <c r="BV1128" s="15" t="str">
        <f>"40.12"</f>
        <v>40.12</v>
      </c>
      <c r="BW1128" s="15" t="s">
        <v>10744</v>
      </c>
      <c r="BX1128" s="15" t="s">
        <v>1564</v>
      </c>
      <c r="BY1128" s="15" t="str">
        <f>"48"</f>
        <v>48</v>
      </c>
      <c r="BZ1128" s="15" t="s">
        <v>2089</v>
      </c>
      <c r="CA1128" s="15" t="str">
        <f>"8.5"</f>
        <v>8.5</v>
      </c>
      <c r="CB1128" s="15" t="s">
        <v>9680</v>
      </c>
      <c r="CC1128" s="15" t="str">
        <f>"37"</f>
        <v>37</v>
      </c>
      <c r="CD1128" s="15" t="s">
        <v>699</v>
      </c>
      <c r="CE1128" s="15" t="str">
        <f>"57.98"</f>
        <v>57.98</v>
      </c>
      <c r="CF1128" s="15" t="s">
        <v>10745</v>
      </c>
      <c r="CG1128" s="15" t="s">
        <v>2238</v>
      </c>
      <c r="CH1128" s="15" t="str">
        <f>"33.5"</f>
        <v>33.5</v>
      </c>
      <c r="CI1128" s="15" t="s">
        <v>1223</v>
      </c>
      <c r="CJ1128" s="15" t="str">
        <f>"15"</f>
        <v>15</v>
      </c>
      <c r="CK1128" s="15" t="s">
        <v>490</v>
      </c>
      <c r="CL1128" s="15" t="str">
        <f>"19"</f>
        <v>19</v>
      </c>
      <c r="CM1128" s="15" t="s">
        <v>457</v>
      </c>
      <c r="CN1128" s="15" t="str">
        <f>"29.54"</f>
        <v>29.54</v>
      </c>
      <c r="CO1128" s="15" t="s">
        <v>10746</v>
      </c>
      <c r="CP1128" s="15" t="str">
        <f>"34.29"</f>
        <v>34.29</v>
      </c>
      <c r="CQ1128" s="15" t="str">
        <f>"0.971"</f>
        <v>0.971</v>
      </c>
      <c r="CR1128" s="15" t="s">
        <v>497</v>
      </c>
      <c r="DC1128" s="15" t="str">
        <f>IFERROR(__xludf.DUMMYFUNCTION("""COMPUTED_VALUE"""),"")</f>
        <v/>
      </c>
      <c r="DE1128" s="15" t="str">
        <f>IFERROR(__xludf.DUMMYFUNCTION("""COMPUTED_VALUE"""),"")</f>
        <v/>
      </c>
      <c r="DG1128" s="15" t="str">
        <f>IFERROR(__xludf.DUMMYFUNCTION("""COMPUTED_VALUE"""),"")</f>
        <v/>
      </c>
      <c r="DL1128" s="15" t="str">
        <f>IFERROR(__xludf.DUMMYFUNCTION("""COMPUTED_VALUE"""),"")</f>
        <v/>
      </c>
      <c r="DM1128" s="15" t="s">
        <v>444</v>
      </c>
      <c r="DU1128" s="15" t="s">
        <v>419</v>
      </c>
      <c r="EF1128" s="15" t="s">
        <v>1857</v>
      </c>
      <c r="EG1128" s="15" t="s">
        <v>1858</v>
      </c>
      <c r="EH1128" s="15" t="s">
        <v>10734</v>
      </c>
      <c r="EJ1128" s="15" t="s">
        <v>500</v>
      </c>
      <c r="EK1128" s="15" t="s">
        <v>501</v>
      </c>
      <c r="EM1128" s="15" t="str">
        <f>IFERROR(__xludf.DUMMYFUNCTION("""COMPUTED_VALUE"""),"")</f>
        <v/>
      </c>
    </row>
    <row r="1129" ht="15.75" customHeight="1">
      <c r="A1129" s="14" t="s">
        <v>391</v>
      </c>
      <c r="B1129" s="15" t="s">
        <v>10747</v>
      </c>
      <c r="C1129" s="16"/>
      <c r="D1129" s="15" t="s">
        <v>432</v>
      </c>
      <c r="G1129" s="14" t="s">
        <v>393</v>
      </c>
      <c r="H1129" s="14" t="s">
        <v>394</v>
      </c>
      <c r="I1129" s="14" t="b">
        <v>1</v>
      </c>
      <c r="J1129" s="14" t="s">
        <v>395</v>
      </c>
      <c r="L1129" s="14" t="b">
        <v>0</v>
      </c>
      <c r="M1129" s="15" t="s">
        <v>10748</v>
      </c>
      <c r="N1129" s="14" t="s">
        <v>393</v>
      </c>
      <c r="O1129" s="14" t="s">
        <v>393</v>
      </c>
      <c r="P1129" s="15" t="s">
        <v>397</v>
      </c>
      <c r="Q1129" s="15" t="s">
        <v>10749</v>
      </c>
      <c r="T1129" s="14" t="b">
        <v>0</v>
      </c>
      <c r="U1129" s="15" t="s">
        <v>10750</v>
      </c>
      <c r="V1129" s="15" t="s">
        <v>10751</v>
      </c>
      <c r="W1129" s="15" t="s">
        <v>401</v>
      </c>
      <c r="X1129" s="15" t="s">
        <v>742</v>
      </c>
      <c r="Y1129" s="15">
        <v>2730.0</v>
      </c>
      <c r="AA1129" s="15" t="str">
        <f>"1050"</f>
        <v>1050</v>
      </c>
      <c r="AB1129" s="14" t="b">
        <v>1</v>
      </c>
      <c r="AC1129" s="14" t="b">
        <v>1</v>
      </c>
      <c r="AD1129" s="15" t="str">
        <f>"801542761370"</f>
        <v>801542761370</v>
      </c>
      <c r="AE1129" s="15" t="s">
        <v>10752</v>
      </c>
      <c r="AF1129" s="14" t="s">
        <v>404</v>
      </c>
      <c r="AG1129" s="14" t="s">
        <v>405</v>
      </c>
      <c r="AH1129" s="14" t="s">
        <v>406</v>
      </c>
      <c r="AI1129" s="15">
        <v>0.0</v>
      </c>
      <c r="AL1129" s="15" t="s">
        <v>10753</v>
      </c>
      <c r="AM1129" s="15" t="s">
        <v>6215</v>
      </c>
      <c r="AN1129" s="15" t="s">
        <v>6216</v>
      </c>
      <c r="AO1129" s="15" t="s">
        <v>1007</v>
      </c>
      <c r="AP1129" s="15" t="s">
        <v>1008</v>
      </c>
      <c r="AQ1129" s="15" t="s">
        <v>700</v>
      </c>
      <c r="AR1129" s="15" t="s">
        <v>605</v>
      </c>
      <c r="AS1129" s="15" t="s">
        <v>5444</v>
      </c>
      <c r="AT1129" s="15" t="s">
        <v>10749</v>
      </c>
      <c r="AU1129" s="15" t="s">
        <v>6999</v>
      </c>
      <c r="AW1129" s="15" t="s">
        <v>412</v>
      </c>
      <c r="AY1129" s="15" t="s">
        <v>413</v>
      </c>
      <c r="AZ1129" s="15" t="b">
        <v>0</v>
      </c>
      <c r="BA1129" s="15" t="s">
        <v>413</v>
      </c>
      <c r="BB1129" s="15" t="b">
        <v>0</v>
      </c>
      <c r="BC1129" s="15" t="s">
        <v>10754</v>
      </c>
      <c r="BD1129" s="15" t="s">
        <v>742</v>
      </c>
      <c r="BE1129" s="15" t="str">
        <f t="shared" ref="BE1129:BE1133" si="1972">"1"</f>
        <v>1</v>
      </c>
      <c r="BF1129" s="15" t="s">
        <v>416</v>
      </c>
      <c r="BG1129" s="15" t="str">
        <f>"72.44"</f>
        <v>72.44</v>
      </c>
      <c r="BH1129" s="15" t="s">
        <v>9110</v>
      </c>
      <c r="BI1129" s="15" t="str">
        <f>"21.26"</f>
        <v>21.26</v>
      </c>
      <c r="BJ1129" s="15" t="s">
        <v>684</v>
      </c>
      <c r="BK1129" s="15" t="str">
        <f>"38.39"</f>
        <v>38.39</v>
      </c>
      <c r="BL1129" s="15" t="s">
        <v>1602</v>
      </c>
      <c r="BM1129" s="15" t="str">
        <f>"259.04"</f>
        <v>259.04</v>
      </c>
      <c r="BN1129" s="15" t="s">
        <v>10755</v>
      </c>
      <c r="BQ1129" s="15" t="s">
        <v>444</v>
      </c>
      <c r="BS1129" s="15" t="s">
        <v>444</v>
      </c>
      <c r="BU1129" s="15" t="s">
        <v>444</v>
      </c>
      <c r="BW1129" s="15" t="s">
        <v>444</v>
      </c>
      <c r="BZ1129" s="15" t="s">
        <v>444</v>
      </c>
      <c r="CB1129" s="15" t="s">
        <v>444</v>
      </c>
      <c r="CD1129" s="15" t="s">
        <v>444</v>
      </c>
      <c r="CF1129" s="15" t="s">
        <v>444</v>
      </c>
      <c r="CI1129" s="15" t="s">
        <v>444</v>
      </c>
      <c r="CK1129" s="15" t="s">
        <v>444</v>
      </c>
      <c r="CM1129" s="15" t="s">
        <v>444</v>
      </c>
      <c r="CO1129" s="15" t="s">
        <v>444</v>
      </c>
      <c r="CP1129" s="15" t="str">
        <f>"34.22"</f>
        <v>34.22</v>
      </c>
      <c r="CQ1129" s="15" t="str">
        <f>"0.969"</f>
        <v>0.969</v>
      </c>
      <c r="CR1129" s="15" t="s">
        <v>497</v>
      </c>
      <c r="CS1129" s="15" t="s">
        <v>1014</v>
      </c>
      <c r="CT1129" s="15" t="s">
        <v>3800</v>
      </c>
      <c r="CU1129" s="15" t="s">
        <v>10756</v>
      </c>
      <c r="CV1129" s="15" t="s">
        <v>1014</v>
      </c>
      <c r="CW1129" s="15" t="s">
        <v>7750</v>
      </c>
      <c r="CX1129" s="15" t="s">
        <v>10756</v>
      </c>
      <c r="DC1129" s="15" t="str">
        <f>IFERROR(__xludf.DUMMYFUNCTION("""COMPUTED_VALUE"""),"")</f>
        <v/>
      </c>
      <c r="DE1129" s="15" t="str">
        <f>IFERROR(__xludf.DUMMYFUNCTION("""COMPUTED_VALUE"""),"")</f>
        <v/>
      </c>
      <c r="DG1129" s="15" t="str">
        <f>IFERROR(__xludf.DUMMYFUNCTION("""COMPUTED_VALUE"""),"")</f>
        <v/>
      </c>
      <c r="DL1129" s="15" t="str">
        <f>IFERROR(__xludf.DUMMYFUNCTION("""COMPUTED_VALUE"""),"")</f>
        <v/>
      </c>
      <c r="DM1129" s="15" t="s">
        <v>444</v>
      </c>
      <c r="DN1129" s="15" t="s">
        <v>1371</v>
      </c>
      <c r="DO1129" s="15">
        <v>6.0</v>
      </c>
      <c r="DP1129" s="15" t="s">
        <v>419</v>
      </c>
      <c r="DR1129" s="15">
        <v>1.0</v>
      </c>
      <c r="DS1129" s="15" t="s">
        <v>426</v>
      </c>
      <c r="DT1129" s="15" t="s">
        <v>420</v>
      </c>
      <c r="DU1129" s="15" t="s">
        <v>421</v>
      </c>
      <c r="DY1129" s="15">
        <v>0.0</v>
      </c>
      <c r="EF1129" s="15" t="s">
        <v>422</v>
      </c>
      <c r="EG1129" s="15" t="s">
        <v>445</v>
      </c>
      <c r="EH1129" s="15" t="s">
        <v>10757</v>
      </c>
      <c r="EJ1129" s="15" t="s">
        <v>500</v>
      </c>
      <c r="EK1129" s="15" t="s">
        <v>501</v>
      </c>
      <c r="EM1129" s="15" t="str">
        <f>IFERROR(__xludf.DUMMYFUNCTION("""COMPUTED_VALUE"""),"")</f>
        <v/>
      </c>
      <c r="EW1129" s="15" t="s">
        <v>2098</v>
      </c>
      <c r="FL1129" s="15" t="s">
        <v>426</v>
      </c>
      <c r="FM1129" s="15">
        <v>1.0</v>
      </c>
      <c r="GH1129" s="15">
        <v>0.0</v>
      </c>
      <c r="GI1129" s="15" t="s">
        <v>427</v>
      </c>
      <c r="GO1129" s="15" t="s">
        <v>426</v>
      </c>
      <c r="GQ1129" s="15" t="s">
        <v>4684</v>
      </c>
      <c r="GR1129" s="15" t="s">
        <v>4684</v>
      </c>
      <c r="GS1129" s="15" t="s">
        <v>3101</v>
      </c>
      <c r="GT1129" s="15" t="s">
        <v>6267</v>
      </c>
      <c r="GU1129" s="15" t="s">
        <v>3287</v>
      </c>
      <c r="GV1129" s="15" t="s">
        <v>3287</v>
      </c>
      <c r="GW1129" s="15" t="s">
        <v>431</v>
      </c>
      <c r="GY1129" s="15" t="s">
        <v>764</v>
      </c>
    </row>
    <row r="1130" ht="15.75" customHeight="1">
      <c r="A1130" s="14" t="s">
        <v>391</v>
      </c>
      <c r="B1130" s="15" t="s">
        <v>10758</v>
      </c>
      <c r="C1130" s="16"/>
      <c r="D1130" s="15" t="s">
        <v>432</v>
      </c>
      <c r="G1130" s="14" t="s">
        <v>393</v>
      </c>
      <c r="H1130" s="14" t="s">
        <v>394</v>
      </c>
      <c r="I1130" s="14" t="b">
        <v>1</v>
      </c>
      <c r="J1130" s="14" t="s">
        <v>395</v>
      </c>
      <c r="L1130" s="14" t="b">
        <v>0</v>
      </c>
      <c r="M1130" s="15" t="s">
        <v>10759</v>
      </c>
      <c r="N1130" s="14" t="s">
        <v>393</v>
      </c>
      <c r="O1130" s="14" t="s">
        <v>393</v>
      </c>
      <c r="P1130" s="15" t="s">
        <v>397</v>
      </c>
      <c r="Q1130" s="15" t="s">
        <v>10749</v>
      </c>
      <c r="T1130" s="14" t="b">
        <v>0</v>
      </c>
      <c r="U1130" s="15" t="s">
        <v>10760</v>
      </c>
      <c r="V1130" s="15" t="s">
        <v>7408</v>
      </c>
      <c r="W1130" s="15" t="s">
        <v>401</v>
      </c>
      <c r="X1130" s="15" t="s">
        <v>742</v>
      </c>
      <c r="Y1130" s="15">
        <v>1430.0</v>
      </c>
      <c r="AA1130" s="15" t="str">
        <f>"550"</f>
        <v>550</v>
      </c>
      <c r="AB1130" s="14" t="b">
        <v>1</v>
      </c>
      <c r="AC1130" s="14" t="b">
        <v>1</v>
      </c>
      <c r="AD1130" s="15" t="str">
        <f>"801542742683"</f>
        <v>801542742683</v>
      </c>
      <c r="AE1130" s="15" t="s">
        <v>10761</v>
      </c>
      <c r="AF1130" s="14" t="s">
        <v>404</v>
      </c>
      <c r="AG1130" s="14" t="s">
        <v>405</v>
      </c>
      <c r="AH1130" s="14" t="s">
        <v>406</v>
      </c>
      <c r="AI1130" s="15">
        <v>0.0</v>
      </c>
      <c r="AL1130" s="15" t="s">
        <v>10762</v>
      </c>
      <c r="AM1130" s="15" t="s">
        <v>2088</v>
      </c>
      <c r="AN1130" s="15" t="s">
        <v>2089</v>
      </c>
      <c r="AO1130" s="15" t="s">
        <v>1175</v>
      </c>
      <c r="AP1130" s="15" t="s">
        <v>1176</v>
      </c>
      <c r="AQ1130" s="15" t="s">
        <v>1152</v>
      </c>
      <c r="AR1130" s="15" t="s">
        <v>1153</v>
      </c>
      <c r="AS1130" s="15" t="s">
        <v>5444</v>
      </c>
      <c r="AT1130" s="15" t="s">
        <v>10749</v>
      </c>
      <c r="AU1130" s="15" t="s">
        <v>6999</v>
      </c>
      <c r="AW1130" s="15" t="s">
        <v>491</v>
      </c>
      <c r="AY1130" s="15" t="s">
        <v>413</v>
      </c>
      <c r="AZ1130" s="15" t="b">
        <v>0</v>
      </c>
      <c r="BA1130" s="15" t="s">
        <v>413</v>
      </c>
      <c r="BB1130" s="15" t="b">
        <v>0</v>
      </c>
      <c r="BC1130" s="15" t="s">
        <v>10763</v>
      </c>
      <c r="BD1130" s="15" t="s">
        <v>742</v>
      </c>
      <c r="BE1130" s="15" t="str">
        <f t="shared" si="1972"/>
        <v>1</v>
      </c>
      <c r="BF1130" s="15" t="s">
        <v>416</v>
      </c>
      <c r="BG1130" s="15" t="str">
        <f>"51.18"</f>
        <v>51.18</v>
      </c>
      <c r="BH1130" s="15" t="s">
        <v>553</v>
      </c>
      <c r="BI1130" s="15" t="str">
        <f>"29.33"</f>
        <v>29.33</v>
      </c>
      <c r="BJ1130" s="15" t="s">
        <v>1090</v>
      </c>
      <c r="BK1130" s="15" t="str">
        <f>"22.05"</f>
        <v>22.05</v>
      </c>
      <c r="BL1130" s="15" t="s">
        <v>2310</v>
      </c>
      <c r="BM1130" s="15" t="str">
        <f>"130.07"</f>
        <v>130.07</v>
      </c>
      <c r="BN1130" s="15" t="s">
        <v>3331</v>
      </c>
      <c r="BQ1130" s="15" t="s">
        <v>444</v>
      </c>
      <c r="BS1130" s="15" t="s">
        <v>444</v>
      </c>
      <c r="BU1130" s="15" t="s">
        <v>444</v>
      </c>
      <c r="BW1130" s="15" t="s">
        <v>444</v>
      </c>
      <c r="BZ1130" s="15" t="s">
        <v>444</v>
      </c>
      <c r="CB1130" s="15" t="s">
        <v>444</v>
      </c>
      <c r="CD1130" s="15" t="s">
        <v>444</v>
      </c>
      <c r="CF1130" s="15" t="s">
        <v>444</v>
      </c>
      <c r="CI1130" s="15" t="s">
        <v>444</v>
      </c>
      <c r="CK1130" s="15" t="s">
        <v>444</v>
      </c>
      <c r="CM1130" s="15" t="s">
        <v>444</v>
      </c>
      <c r="CO1130" s="15" t="s">
        <v>444</v>
      </c>
      <c r="CP1130" s="15" t="str">
        <f>"19.14"</f>
        <v>19.14</v>
      </c>
      <c r="CQ1130" s="15" t="str">
        <f>"0.542"</f>
        <v>0.542</v>
      </c>
      <c r="CR1130" s="15" t="s">
        <v>465</v>
      </c>
      <c r="CS1130" s="15" t="s">
        <v>8200</v>
      </c>
      <c r="CT1130" s="15" t="s">
        <v>3800</v>
      </c>
      <c r="CU1130" s="15" t="s">
        <v>7230</v>
      </c>
      <c r="CV1130" s="15" t="s">
        <v>8200</v>
      </c>
      <c r="CW1130" s="15" t="s">
        <v>8114</v>
      </c>
      <c r="CX1130" s="15" t="s">
        <v>7230</v>
      </c>
      <c r="DC1130" s="15" t="str">
        <f>IFERROR(__xludf.DUMMYFUNCTION("""COMPUTED_VALUE"""),"")</f>
        <v/>
      </c>
      <c r="DE1130" s="15" t="str">
        <f>IFERROR(__xludf.DUMMYFUNCTION("""COMPUTED_VALUE"""),"")</f>
        <v/>
      </c>
      <c r="DG1130" s="15" t="str">
        <f>IFERROR(__xludf.DUMMYFUNCTION("""COMPUTED_VALUE"""),"")</f>
        <v/>
      </c>
      <c r="DL1130" s="15" t="str">
        <f>IFERROR(__xludf.DUMMYFUNCTION("""COMPUTED_VALUE"""),"")</f>
        <v/>
      </c>
      <c r="DM1130" s="15" t="s">
        <v>444</v>
      </c>
      <c r="DN1130" s="15" t="s">
        <v>1371</v>
      </c>
      <c r="DO1130" s="15">
        <v>4.0</v>
      </c>
      <c r="DP1130" s="15" t="s">
        <v>419</v>
      </c>
      <c r="DR1130" s="15">
        <v>1.0</v>
      </c>
      <c r="DS1130" s="15" t="s">
        <v>426</v>
      </c>
      <c r="DT1130" s="15" t="s">
        <v>420</v>
      </c>
      <c r="DU1130" s="15" t="s">
        <v>421</v>
      </c>
      <c r="DY1130" s="15">
        <v>0.0</v>
      </c>
      <c r="EF1130" s="15" t="s">
        <v>471</v>
      </c>
      <c r="EG1130" s="15" t="s">
        <v>472</v>
      </c>
      <c r="EH1130" s="15" t="s">
        <v>10757</v>
      </c>
      <c r="EJ1130" s="15" t="s">
        <v>500</v>
      </c>
      <c r="EK1130" s="15" t="s">
        <v>501</v>
      </c>
      <c r="EM1130" s="15" t="str">
        <f>IFERROR(__xludf.DUMMYFUNCTION("""COMPUTED_VALUE"""),"")</f>
        <v/>
      </c>
      <c r="EW1130" s="15" t="s">
        <v>4163</v>
      </c>
      <c r="EX1130" s="15" t="s">
        <v>6289</v>
      </c>
      <c r="EY1130" s="15" t="s">
        <v>996</v>
      </c>
      <c r="FH1130" s="15" t="s">
        <v>784</v>
      </c>
      <c r="FI1130" s="15" t="s">
        <v>2654</v>
      </c>
      <c r="FJ1130" s="15" t="s">
        <v>784</v>
      </c>
      <c r="FK1130" s="15" t="s">
        <v>782</v>
      </c>
      <c r="FL1130" s="15" t="s">
        <v>426</v>
      </c>
      <c r="FM1130" s="15">
        <v>1.0</v>
      </c>
      <c r="FN1130" s="15">
        <v>0.0</v>
      </c>
      <c r="GO1130" s="15" t="s">
        <v>426</v>
      </c>
      <c r="GQ1130" s="15" t="s">
        <v>10764</v>
      </c>
      <c r="GS1130" s="15" t="s">
        <v>6948</v>
      </c>
      <c r="GU1130" s="15" t="s">
        <v>10765</v>
      </c>
      <c r="GW1130" s="15" t="s">
        <v>431</v>
      </c>
      <c r="GY1130" s="15" t="s">
        <v>764</v>
      </c>
    </row>
    <row r="1131" ht="15.75" customHeight="1">
      <c r="A1131" s="14" t="s">
        <v>391</v>
      </c>
      <c r="B1131" s="15" t="s">
        <v>10766</v>
      </c>
      <c r="C1131" s="16"/>
      <c r="D1131" s="15" t="s">
        <v>432</v>
      </c>
      <c r="G1131" s="14" t="s">
        <v>393</v>
      </c>
      <c r="H1131" s="14" t="s">
        <v>394</v>
      </c>
      <c r="I1131" s="14" t="b">
        <v>1</v>
      </c>
      <c r="J1131" s="14" t="s">
        <v>395</v>
      </c>
      <c r="L1131" s="14" t="b">
        <v>0</v>
      </c>
      <c r="M1131" s="15" t="s">
        <v>10767</v>
      </c>
      <c r="N1131" s="14" t="s">
        <v>393</v>
      </c>
      <c r="O1131" s="14" t="s">
        <v>393</v>
      </c>
      <c r="P1131" s="15" t="s">
        <v>397</v>
      </c>
      <c r="Q1131" s="15" t="s">
        <v>10749</v>
      </c>
      <c r="T1131" s="14" t="b">
        <v>0</v>
      </c>
      <c r="U1131" s="15" t="s">
        <v>10768</v>
      </c>
      <c r="V1131" s="15" t="s">
        <v>10219</v>
      </c>
      <c r="W1131" s="15" t="s">
        <v>401</v>
      </c>
      <c r="X1131" s="15" t="s">
        <v>742</v>
      </c>
      <c r="Y1131" s="15">
        <v>1209.0</v>
      </c>
      <c r="AA1131" s="15" t="str">
        <f>"465"</f>
        <v>465</v>
      </c>
      <c r="AB1131" s="14" t="b">
        <v>1</v>
      </c>
      <c r="AC1131" s="14" t="b">
        <v>1</v>
      </c>
      <c r="AD1131" s="15" t="str">
        <f>"801542739799"</f>
        <v>801542739799</v>
      </c>
      <c r="AE1131" s="15" t="s">
        <v>10769</v>
      </c>
      <c r="AF1131" s="14" t="s">
        <v>404</v>
      </c>
      <c r="AG1131" s="14" t="s">
        <v>405</v>
      </c>
      <c r="AH1131" s="14" t="s">
        <v>406</v>
      </c>
      <c r="AI1131" s="15">
        <v>0.0</v>
      </c>
      <c r="AL1131" s="15" t="s">
        <v>10762</v>
      </c>
      <c r="AM1131" s="15" t="s">
        <v>487</v>
      </c>
      <c r="AN1131" s="15" t="s">
        <v>488</v>
      </c>
      <c r="AO1131" s="15" t="s">
        <v>1848</v>
      </c>
      <c r="AP1131" s="15" t="s">
        <v>1849</v>
      </c>
      <c r="AQ1131" s="15" t="s">
        <v>546</v>
      </c>
      <c r="AR1131" s="15" t="s">
        <v>547</v>
      </c>
      <c r="AS1131" s="15" t="s">
        <v>5444</v>
      </c>
      <c r="AT1131" s="15" t="s">
        <v>10749</v>
      </c>
      <c r="AU1131" s="15" t="s">
        <v>6999</v>
      </c>
      <c r="AW1131" s="15" t="s">
        <v>519</v>
      </c>
      <c r="AY1131" s="15" t="s">
        <v>413</v>
      </c>
      <c r="AZ1131" s="15" t="b">
        <v>0</v>
      </c>
      <c r="BA1131" s="15" t="s">
        <v>413</v>
      </c>
      <c r="BB1131" s="15" t="b">
        <v>0</v>
      </c>
      <c r="BC1131" s="15" t="s">
        <v>10763</v>
      </c>
      <c r="BD1131" s="15" t="s">
        <v>742</v>
      </c>
      <c r="BE1131" s="15" t="str">
        <f t="shared" si="1972"/>
        <v>1</v>
      </c>
      <c r="BF1131" s="15" t="s">
        <v>416</v>
      </c>
      <c r="BG1131" s="15" t="str">
        <f>"58.46"</f>
        <v>58.46</v>
      </c>
      <c r="BH1131" s="15" t="s">
        <v>5050</v>
      </c>
      <c r="BI1131" s="15" t="str">
        <f>"19.49"</f>
        <v>19.49</v>
      </c>
      <c r="BJ1131" s="15" t="s">
        <v>10706</v>
      </c>
      <c r="BK1131" s="15" t="str">
        <f>"35.04"</f>
        <v>35.04</v>
      </c>
      <c r="BL1131" s="15" t="s">
        <v>1404</v>
      </c>
      <c r="BM1131" s="15" t="str">
        <f>"109.13"</f>
        <v>109.13</v>
      </c>
      <c r="BN1131" s="15" t="s">
        <v>1567</v>
      </c>
      <c r="BQ1131" s="15" t="s">
        <v>444</v>
      </c>
      <c r="BS1131" s="15" t="s">
        <v>444</v>
      </c>
      <c r="BU1131" s="15" t="s">
        <v>444</v>
      </c>
      <c r="BW1131" s="15" t="s">
        <v>444</v>
      </c>
      <c r="BZ1131" s="15" t="s">
        <v>444</v>
      </c>
      <c r="CB1131" s="15" t="s">
        <v>444</v>
      </c>
      <c r="CD1131" s="15" t="s">
        <v>444</v>
      </c>
      <c r="CF1131" s="15" t="s">
        <v>444</v>
      </c>
      <c r="CI1131" s="15" t="s">
        <v>444</v>
      </c>
      <c r="CK1131" s="15" t="s">
        <v>444</v>
      </c>
      <c r="CM1131" s="15" t="s">
        <v>444</v>
      </c>
      <c r="CO1131" s="15" t="s">
        <v>444</v>
      </c>
      <c r="CP1131" s="15" t="str">
        <f>"23.1"</f>
        <v>23.1</v>
      </c>
      <c r="CQ1131" s="15" t="str">
        <f>"0.654"</f>
        <v>0.654</v>
      </c>
      <c r="CR1131" s="15" t="s">
        <v>497</v>
      </c>
      <c r="CS1131" s="15" t="s">
        <v>3112</v>
      </c>
      <c r="CT1131" s="15" t="s">
        <v>3800</v>
      </c>
      <c r="CU1131" s="15" t="s">
        <v>10770</v>
      </c>
      <c r="CV1131" s="15" t="s">
        <v>3112</v>
      </c>
      <c r="CW1131" s="15" t="s">
        <v>607</v>
      </c>
      <c r="CX1131" s="15" t="s">
        <v>10770</v>
      </c>
      <c r="DC1131" s="15" t="str">
        <f>IFERROR(__xludf.DUMMYFUNCTION("""COMPUTED_VALUE"""),"")</f>
        <v/>
      </c>
      <c r="DE1131" s="15" t="str">
        <f>IFERROR(__xludf.DUMMYFUNCTION("""COMPUTED_VALUE"""),"")</f>
        <v/>
      </c>
      <c r="DG1131" s="15" t="str">
        <f>IFERROR(__xludf.DUMMYFUNCTION("""COMPUTED_VALUE"""),"")</f>
        <v/>
      </c>
      <c r="DL1131" s="15" t="str">
        <f>IFERROR(__xludf.DUMMYFUNCTION("""COMPUTED_VALUE"""),"")</f>
        <v/>
      </c>
      <c r="DM1131" s="15" t="s">
        <v>444</v>
      </c>
      <c r="DN1131" s="15" t="s">
        <v>1371</v>
      </c>
      <c r="DO1131" s="15">
        <v>2.0</v>
      </c>
      <c r="DP1131" s="15" t="s">
        <v>419</v>
      </c>
      <c r="DR1131" s="15">
        <v>1.0</v>
      </c>
      <c r="DS1131" s="15" t="s">
        <v>426</v>
      </c>
      <c r="DT1131" s="15" t="s">
        <v>420</v>
      </c>
      <c r="DU1131" s="15" t="s">
        <v>421</v>
      </c>
      <c r="DY1131" s="15">
        <v>0.0</v>
      </c>
      <c r="EF1131" s="15" t="s">
        <v>471</v>
      </c>
      <c r="EG1131" s="15" t="s">
        <v>472</v>
      </c>
      <c r="EH1131" s="15" t="s">
        <v>10757</v>
      </c>
      <c r="EJ1131" s="15" t="s">
        <v>500</v>
      </c>
      <c r="EK1131" s="15" t="s">
        <v>501</v>
      </c>
      <c r="EM1131" s="15" t="str">
        <f>IFERROR(__xludf.DUMMYFUNCTION("""COMPUTED_VALUE"""),"")</f>
        <v/>
      </c>
      <c r="EW1131" s="15" t="s">
        <v>7777</v>
      </c>
      <c r="EX1131" s="15" t="s">
        <v>5817</v>
      </c>
      <c r="EY1131" s="15" t="s">
        <v>9968</v>
      </c>
      <c r="FH1131" s="15" t="s">
        <v>784</v>
      </c>
      <c r="FI1131" s="15" t="s">
        <v>558</v>
      </c>
      <c r="FJ1131" s="15" t="s">
        <v>784</v>
      </c>
      <c r="FK1131" s="15" t="s">
        <v>782</v>
      </c>
      <c r="FL1131" s="15" t="s">
        <v>426</v>
      </c>
      <c r="FM1131" s="15">
        <v>1.0</v>
      </c>
      <c r="FN1131" s="15">
        <v>0.0</v>
      </c>
      <c r="GH1131" s="15">
        <v>0.0</v>
      </c>
      <c r="GI1131" s="15" t="s">
        <v>427</v>
      </c>
      <c r="GO1131" s="15" t="s">
        <v>426</v>
      </c>
      <c r="GQ1131" s="15" t="s">
        <v>10764</v>
      </c>
      <c r="GS1131" s="15" t="s">
        <v>6948</v>
      </c>
      <c r="GU1131" s="15" t="s">
        <v>10771</v>
      </c>
      <c r="GW1131" s="15" t="s">
        <v>431</v>
      </c>
      <c r="GY1131" s="15" t="s">
        <v>764</v>
      </c>
    </row>
    <row r="1132" ht="15.75" customHeight="1">
      <c r="A1132" s="14" t="s">
        <v>391</v>
      </c>
      <c r="B1132" s="15" t="s">
        <v>10772</v>
      </c>
      <c r="C1132" s="16"/>
      <c r="D1132" s="15" t="s">
        <v>432</v>
      </c>
      <c r="G1132" s="14" t="s">
        <v>393</v>
      </c>
      <c r="H1132" s="14" t="s">
        <v>394</v>
      </c>
      <c r="I1132" s="14" t="b">
        <v>1</v>
      </c>
      <c r="J1132" s="14" t="s">
        <v>395</v>
      </c>
      <c r="L1132" s="14" t="b">
        <v>0</v>
      </c>
      <c r="M1132" s="15" t="s">
        <v>10773</v>
      </c>
      <c r="N1132" s="14" t="s">
        <v>393</v>
      </c>
      <c r="O1132" s="14" t="s">
        <v>393</v>
      </c>
      <c r="P1132" s="15" t="s">
        <v>397</v>
      </c>
      <c r="Q1132" s="15" t="s">
        <v>10749</v>
      </c>
      <c r="T1132" s="14" t="b">
        <v>0</v>
      </c>
      <c r="U1132" s="15" t="s">
        <v>10774</v>
      </c>
      <c r="V1132" s="15" t="s">
        <v>4389</v>
      </c>
      <c r="W1132" s="15" t="s">
        <v>401</v>
      </c>
      <c r="X1132" s="15" t="s">
        <v>742</v>
      </c>
      <c r="Y1132" s="15">
        <v>819.0</v>
      </c>
      <c r="AA1132" s="15" t="str">
        <f>"315"</f>
        <v>315</v>
      </c>
      <c r="AB1132" s="14" t="b">
        <v>1</v>
      </c>
      <c r="AC1132" s="14" t="b">
        <v>1</v>
      </c>
      <c r="AD1132" s="15" t="str">
        <f>"801542748852"</f>
        <v>801542748852</v>
      </c>
      <c r="AE1132" s="15" t="s">
        <v>10775</v>
      </c>
      <c r="AF1132" s="14" t="s">
        <v>404</v>
      </c>
      <c r="AG1132" s="14" t="s">
        <v>405</v>
      </c>
      <c r="AH1132" s="14" t="s">
        <v>406</v>
      </c>
      <c r="AI1132" s="15">
        <v>0.0</v>
      </c>
      <c r="AL1132" s="15" t="s">
        <v>10753</v>
      </c>
      <c r="AM1132" s="15" t="s">
        <v>1177</v>
      </c>
      <c r="AN1132" s="15" t="s">
        <v>1178</v>
      </c>
      <c r="AO1132" s="15" t="s">
        <v>1848</v>
      </c>
      <c r="AP1132" s="15" t="s">
        <v>1849</v>
      </c>
      <c r="AQ1132" s="15" t="s">
        <v>1175</v>
      </c>
      <c r="AR1132" s="15" t="s">
        <v>1176</v>
      </c>
      <c r="AS1132" s="15" t="s">
        <v>5444</v>
      </c>
      <c r="AT1132" s="15" t="s">
        <v>10749</v>
      </c>
      <c r="AU1132" s="15" t="s">
        <v>6999</v>
      </c>
      <c r="AW1132" s="15" t="s">
        <v>628</v>
      </c>
      <c r="AY1132" s="15" t="s">
        <v>413</v>
      </c>
      <c r="AZ1132" s="15" t="b">
        <v>0</v>
      </c>
      <c r="BA1132" s="15" t="s">
        <v>413</v>
      </c>
      <c r="BB1132" s="15" t="b">
        <v>0</v>
      </c>
      <c r="BC1132" s="15" t="s">
        <v>10776</v>
      </c>
      <c r="BD1132" s="15" t="s">
        <v>742</v>
      </c>
      <c r="BE1132" s="15" t="str">
        <f t="shared" si="1972"/>
        <v>1</v>
      </c>
      <c r="BF1132" s="15" t="s">
        <v>416</v>
      </c>
      <c r="BG1132" s="15" t="str">
        <f>"27.56"</f>
        <v>27.56</v>
      </c>
      <c r="BH1132" s="15" t="s">
        <v>1780</v>
      </c>
      <c r="BI1132" s="15" t="str">
        <f>"20.08"</f>
        <v>20.08</v>
      </c>
      <c r="BJ1132" s="15" t="s">
        <v>4825</v>
      </c>
      <c r="BK1132" s="15" t="str">
        <f>"30.12"</f>
        <v>30.12</v>
      </c>
      <c r="BL1132" s="15" t="s">
        <v>7048</v>
      </c>
      <c r="BM1132" s="15" t="str">
        <f>"67.24"</f>
        <v>67.24</v>
      </c>
      <c r="BN1132" s="15" t="s">
        <v>3589</v>
      </c>
      <c r="BQ1132" s="15" t="s">
        <v>444</v>
      </c>
      <c r="BS1132" s="15" t="s">
        <v>444</v>
      </c>
      <c r="BU1132" s="15" t="s">
        <v>444</v>
      </c>
      <c r="BW1132" s="15" t="s">
        <v>444</v>
      </c>
      <c r="BZ1132" s="15" t="s">
        <v>444</v>
      </c>
      <c r="CB1132" s="15" t="s">
        <v>444</v>
      </c>
      <c r="CD1132" s="15" t="s">
        <v>444</v>
      </c>
      <c r="CF1132" s="15" t="s">
        <v>444</v>
      </c>
      <c r="CI1132" s="15" t="s">
        <v>444</v>
      </c>
      <c r="CK1132" s="15" t="s">
        <v>444</v>
      </c>
      <c r="CM1132" s="15" t="s">
        <v>444</v>
      </c>
      <c r="CO1132" s="15" t="s">
        <v>444</v>
      </c>
      <c r="CP1132" s="15" t="str">
        <f>"9.64"</f>
        <v>9.64</v>
      </c>
      <c r="CQ1132" s="15" t="str">
        <f>"0.273"</f>
        <v>0.273</v>
      </c>
      <c r="CR1132" s="15" t="s">
        <v>497</v>
      </c>
      <c r="CS1132" s="15" t="s">
        <v>3112</v>
      </c>
      <c r="CT1132" s="15" t="s">
        <v>3800</v>
      </c>
      <c r="CU1132" s="15" t="s">
        <v>4201</v>
      </c>
      <c r="CV1132" s="15" t="s">
        <v>3112</v>
      </c>
      <c r="CW1132" s="15" t="s">
        <v>6270</v>
      </c>
      <c r="CX1132" s="15" t="s">
        <v>4201</v>
      </c>
      <c r="DC1132" s="15" t="str">
        <f>IFERROR(__xludf.DUMMYFUNCTION("""COMPUTED_VALUE"""),"")</f>
        <v/>
      </c>
      <c r="DE1132" s="15" t="str">
        <f>IFERROR(__xludf.DUMMYFUNCTION("""COMPUTED_VALUE"""),"")</f>
        <v/>
      </c>
      <c r="DG1132" s="15" t="str">
        <f>IFERROR(__xludf.DUMMYFUNCTION("""COMPUTED_VALUE"""),"")</f>
        <v/>
      </c>
      <c r="DL1132" s="15" t="str">
        <f>IFERROR(__xludf.DUMMYFUNCTION("""COMPUTED_VALUE"""),"")</f>
        <v/>
      </c>
      <c r="DM1132" s="15" t="s">
        <v>444</v>
      </c>
      <c r="DN1132" s="15" t="s">
        <v>1371</v>
      </c>
      <c r="DO1132" s="15">
        <v>2.0</v>
      </c>
      <c r="DP1132" s="15" t="s">
        <v>419</v>
      </c>
      <c r="DR1132" s="15">
        <v>1.0</v>
      </c>
      <c r="DS1132" s="15" t="s">
        <v>426</v>
      </c>
      <c r="DT1132" s="15" t="s">
        <v>420</v>
      </c>
      <c r="DU1132" s="15" t="s">
        <v>421</v>
      </c>
      <c r="DY1132" s="15">
        <v>0.0</v>
      </c>
      <c r="EF1132" s="15" t="s">
        <v>471</v>
      </c>
      <c r="EG1132" s="15" t="s">
        <v>472</v>
      </c>
      <c r="EH1132" s="15" t="s">
        <v>10757</v>
      </c>
      <c r="EJ1132" s="15" t="s">
        <v>500</v>
      </c>
      <c r="EK1132" s="15" t="s">
        <v>501</v>
      </c>
      <c r="EM1132" s="15" t="str">
        <f>IFERROR(__xludf.DUMMYFUNCTION("""COMPUTED_VALUE"""),"")</f>
        <v/>
      </c>
      <c r="EW1132" s="15" t="s">
        <v>4163</v>
      </c>
      <c r="FL1132" s="15" t="s">
        <v>426</v>
      </c>
      <c r="FM1132" s="15">
        <v>1.0</v>
      </c>
      <c r="GH1132" s="15">
        <v>0.0</v>
      </c>
      <c r="GI1132" s="15" t="s">
        <v>427</v>
      </c>
      <c r="GO1132" s="15" t="s">
        <v>426</v>
      </c>
      <c r="GQ1132" s="15" t="s">
        <v>10764</v>
      </c>
      <c r="GS1132" s="15" t="s">
        <v>2050</v>
      </c>
      <c r="GU1132" s="15" t="s">
        <v>10777</v>
      </c>
      <c r="GW1132" s="15" t="s">
        <v>431</v>
      </c>
      <c r="GY1132" s="15" t="s">
        <v>764</v>
      </c>
    </row>
    <row r="1133" ht="15.75" customHeight="1">
      <c r="A1133" s="14" t="s">
        <v>391</v>
      </c>
      <c r="B1133" s="15" t="s">
        <v>10778</v>
      </c>
      <c r="C1133" s="16"/>
      <c r="D1133" s="15" t="s">
        <v>432</v>
      </c>
      <c r="G1133" s="14" t="s">
        <v>393</v>
      </c>
      <c r="H1133" s="14" t="s">
        <v>394</v>
      </c>
      <c r="I1133" s="14" t="b">
        <v>1</v>
      </c>
      <c r="J1133" s="14" t="s">
        <v>395</v>
      </c>
      <c r="L1133" s="14" t="b">
        <v>0</v>
      </c>
      <c r="M1133" s="15" t="s">
        <v>10779</v>
      </c>
      <c r="N1133" s="14" t="s">
        <v>393</v>
      </c>
      <c r="O1133" s="14" t="s">
        <v>393</v>
      </c>
      <c r="P1133" s="15" t="s">
        <v>397</v>
      </c>
      <c r="Q1133" s="15" t="s">
        <v>10749</v>
      </c>
      <c r="T1133" s="14" t="b">
        <v>0</v>
      </c>
      <c r="U1133" s="15" t="s">
        <v>10780</v>
      </c>
      <c r="V1133" s="15" t="s">
        <v>2330</v>
      </c>
      <c r="W1133" s="15" t="s">
        <v>401</v>
      </c>
      <c r="X1133" s="15" t="s">
        <v>742</v>
      </c>
      <c r="Y1133" s="15">
        <v>1859.0</v>
      </c>
      <c r="AA1133" s="15" t="str">
        <f>"715"</f>
        <v>715</v>
      </c>
      <c r="AB1133" s="14" t="b">
        <v>1</v>
      </c>
      <c r="AC1133" s="14" t="b">
        <v>1</v>
      </c>
      <c r="AD1133" s="15" t="str">
        <f>"801542775667"</f>
        <v>801542775667</v>
      </c>
      <c r="AE1133" s="15" t="s">
        <v>10781</v>
      </c>
      <c r="AF1133" s="14" t="s">
        <v>404</v>
      </c>
      <c r="AG1133" s="14" t="s">
        <v>405</v>
      </c>
      <c r="AH1133" s="14" t="s">
        <v>406</v>
      </c>
      <c r="AI1133" s="15">
        <v>0.0</v>
      </c>
      <c r="AL1133" s="15" t="s">
        <v>10762</v>
      </c>
      <c r="AM1133" s="15" t="s">
        <v>745</v>
      </c>
      <c r="AN1133" s="15" t="s">
        <v>746</v>
      </c>
      <c r="AO1133" s="15" t="s">
        <v>1007</v>
      </c>
      <c r="AP1133" s="15" t="s">
        <v>1008</v>
      </c>
      <c r="AQ1133" s="15" t="s">
        <v>410</v>
      </c>
      <c r="AR1133" s="15" t="s">
        <v>439</v>
      </c>
      <c r="AS1133" s="15" t="s">
        <v>5444</v>
      </c>
      <c r="AT1133" s="15" t="s">
        <v>10749</v>
      </c>
      <c r="AU1133" s="15" t="s">
        <v>6999</v>
      </c>
      <c r="AW1133" s="15" t="s">
        <v>664</v>
      </c>
      <c r="AY1133" s="15" t="s">
        <v>426</v>
      </c>
      <c r="AZ1133" s="15" t="b">
        <v>1</v>
      </c>
      <c r="BA1133" s="15" t="s">
        <v>413</v>
      </c>
      <c r="BB1133" s="15" t="b">
        <v>0</v>
      </c>
      <c r="BC1133" s="15" t="s">
        <v>10782</v>
      </c>
      <c r="BD1133" s="15" t="s">
        <v>742</v>
      </c>
      <c r="BE1133" s="15" t="str">
        <f t="shared" si="1972"/>
        <v>1</v>
      </c>
      <c r="BF1133" s="15" t="s">
        <v>416</v>
      </c>
      <c r="BG1133" s="15" t="str">
        <f>"75.59"</f>
        <v>75.59</v>
      </c>
      <c r="BH1133" s="15" t="s">
        <v>3401</v>
      </c>
      <c r="BI1133" s="15" t="str">
        <f>"21.65"</f>
        <v>21.65</v>
      </c>
      <c r="BJ1133" s="15" t="s">
        <v>1506</v>
      </c>
      <c r="BK1133" s="15" t="str">
        <f>"36.22"</f>
        <v>36.22</v>
      </c>
      <c r="BL1133" s="15" t="s">
        <v>1779</v>
      </c>
      <c r="BM1133" s="15" t="str">
        <f>"181.88"</f>
        <v>181.88</v>
      </c>
      <c r="BN1133" s="15" t="s">
        <v>10121</v>
      </c>
      <c r="BQ1133" s="15" t="s">
        <v>444</v>
      </c>
      <c r="BS1133" s="15" t="s">
        <v>444</v>
      </c>
      <c r="BU1133" s="15" t="s">
        <v>444</v>
      </c>
      <c r="BW1133" s="15" t="s">
        <v>444</v>
      </c>
      <c r="BZ1133" s="15" t="s">
        <v>444</v>
      </c>
      <c r="CB1133" s="15" t="s">
        <v>444</v>
      </c>
      <c r="CD1133" s="15" t="s">
        <v>444</v>
      </c>
      <c r="CF1133" s="15" t="s">
        <v>444</v>
      </c>
      <c r="CI1133" s="15" t="s">
        <v>444</v>
      </c>
      <c r="CK1133" s="15" t="s">
        <v>444</v>
      </c>
      <c r="CM1133" s="15" t="s">
        <v>444</v>
      </c>
      <c r="CO1133" s="15" t="s">
        <v>444</v>
      </c>
      <c r="CP1133" s="15" t="str">
        <f>"34.33"</f>
        <v>34.33</v>
      </c>
      <c r="CQ1133" s="15" t="str">
        <f>"0.972"</f>
        <v>0.972</v>
      </c>
      <c r="CR1133" s="15" t="s">
        <v>497</v>
      </c>
      <c r="CS1133" s="15" t="s">
        <v>2165</v>
      </c>
      <c r="CT1133" s="15" t="s">
        <v>3800</v>
      </c>
      <c r="CU1133" s="15" t="s">
        <v>8120</v>
      </c>
      <c r="CV1133" s="15" t="s">
        <v>2020</v>
      </c>
      <c r="CW1133" s="15" t="s">
        <v>1425</v>
      </c>
      <c r="CX1133" s="15" t="s">
        <v>7440</v>
      </c>
      <c r="DC1133" s="15" t="str">
        <f>IFERROR(__xludf.DUMMYFUNCTION("""COMPUTED_VALUE"""),"")</f>
        <v/>
      </c>
      <c r="DE1133" s="15" t="str">
        <f>IFERROR(__xludf.DUMMYFUNCTION("""COMPUTED_VALUE"""),"")</f>
        <v/>
      </c>
      <c r="DG1133" s="15" t="str">
        <f>IFERROR(__xludf.DUMMYFUNCTION("""COMPUTED_VALUE"""),"")</f>
        <v/>
      </c>
      <c r="DL1133" s="15" t="str">
        <f>IFERROR(__xludf.DUMMYFUNCTION("""COMPUTED_VALUE"""),"")</f>
        <v/>
      </c>
      <c r="DM1133" s="15" t="s">
        <v>444</v>
      </c>
      <c r="DN1133" s="15" t="s">
        <v>419</v>
      </c>
      <c r="DO1133" s="15">
        <v>0.0</v>
      </c>
      <c r="DP1133" s="15" t="s">
        <v>419</v>
      </c>
      <c r="DR1133" s="15">
        <v>1.0</v>
      </c>
      <c r="DS1133" s="15" t="s">
        <v>426</v>
      </c>
      <c r="DT1133" s="15" t="s">
        <v>420</v>
      </c>
      <c r="DU1133" s="15" t="s">
        <v>610</v>
      </c>
      <c r="DW1133" s="15">
        <v>18.14</v>
      </c>
      <c r="DX1133" s="15">
        <v>40.0</v>
      </c>
      <c r="DY1133" s="15">
        <v>2.0</v>
      </c>
      <c r="EG1133" s="15" t="s">
        <v>444</v>
      </c>
      <c r="EH1133" s="15" t="s">
        <v>10757</v>
      </c>
      <c r="EJ1133" s="15" t="s">
        <v>424</v>
      </c>
      <c r="EK1133" s="15" t="s">
        <v>446</v>
      </c>
      <c r="EM1133" s="15" t="str">
        <f>IFERROR(__xludf.DUMMYFUNCTION("""COMPUTED_VALUE"""),"")</f>
        <v/>
      </c>
      <c r="EW1133" s="15" t="s">
        <v>7777</v>
      </c>
      <c r="FL1133" s="15" t="s">
        <v>426</v>
      </c>
      <c r="FM1133" s="15">
        <v>3.0</v>
      </c>
      <c r="FY1133" s="15" t="s">
        <v>5521</v>
      </c>
      <c r="FZ1133" s="15" t="s">
        <v>782</v>
      </c>
      <c r="GA1133" s="15" t="s">
        <v>10783</v>
      </c>
      <c r="GB1133" s="15" t="s">
        <v>2020</v>
      </c>
      <c r="GC1133" s="15" t="s">
        <v>782</v>
      </c>
      <c r="GD1133" s="15" t="s">
        <v>7440</v>
      </c>
      <c r="GE1133" s="15">
        <v>0.0</v>
      </c>
      <c r="GF1133" s="15" t="s">
        <v>426</v>
      </c>
      <c r="GG1133" s="15" t="s">
        <v>785</v>
      </c>
      <c r="GH1133" s="15">
        <v>4.0</v>
      </c>
      <c r="GI1133" s="15" t="s">
        <v>614</v>
      </c>
      <c r="GJ1133" s="15" t="s">
        <v>1045</v>
      </c>
      <c r="GK1133" s="15">
        <v>0.0</v>
      </c>
      <c r="GL1133" s="15" t="s">
        <v>426</v>
      </c>
      <c r="GN1133" s="15" t="s">
        <v>616</v>
      </c>
      <c r="HA1133" s="15" t="s">
        <v>2165</v>
      </c>
      <c r="HB1133" s="15" t="s">
        <v>8114</v>
      </c>
      <c r="HC1133" s="15" t="s">
        <v>8120</v>
      </c>
      <c r="HQ1133" s="15" t="s">
        <v>2020</v>
      </c>
      <c r="HS1133" s="15" t="s">
        <v>1425</v>
      </c>
      <c r="HU1133" s="15" t="s">
        <v>7440</v>
      </c>
      <c r="HW1133" s="15" t="s">
        <v>1957</v>
      </c>
      <c r="IH1133" s="15" t="s">
        <v>426</v>
      </c>
    </row>
  </sheetData>
  <autoFilter ref="$A$1:$OC$1133"/>
  <hyperlinks>
    <hyperlink r:id="rId1" location="command" ref="A1"/>
    <hyperlink r:id="rId2" location="title" ref="B1"/>
    <hyperlink r:id="rId3" location="body-html" ref="C1"/>
    <hyperlink r:id="rId4" location="vendor" ref="D1"/>
    <hyperlink r:id="rId5" location="type" ref="E1"/>
    <hyperlink r:id="rId6" location="tags" ref="F1"/>
    <hyperlink r:id="rId7" location="tags-command" ref="G1"/>
    <hyperlink r:id="rId8" location="Status" ref="H1"/>
    <hyperlink r:id="rId9" location="published" ref="I1"/>
    <hyperlink r:id="rId10" location="published-scope" ref="J1"/>
    <hyperlink r:id="rId11" location="template-suffix" ref="K1"/>
    <hyperlink r:id="rId12" location="Gift%20Card" ref="L1"/>
    <hyperlink r:id="rId13" location="image-src" ref="M1"/>
    <hyperlink r:id="rId14" location="image-command" ref="N1"/>
    <hyperlink r:id="rId15" location="variant-command" ref="O1"/>
    <hyperlink r:id="rId16" location="option1-name" ref="P1"/>
    <hyperlink r:id="rId17" location="option1-value" ref="Q1"/>
    <hyperlink r:id="rId18" location="option2-name" ref="R1"/>
    <hyperlink r:id="rId19" location="option2-value" ref="S1"/>
    <hyperlink r:id="rId20" location="variant-generate-from-options" ref="T1"/>
    <hyperlink r:id="rId21" location="variant-sku" ref="U1"/>
    <hyperlink r:id="rId22" location="variant-weight" ref="V1"/>
    <hyperlink r:id="rId23" location="variant-weight-unit" ref="W1"/>
    <hyperlink r:id="rId24" location="variant-country-of-origin" ref="X1"/>
    <hyperlink r:id="rId25" location="variant-compare-at-price" ref="Z1"/>
    <hyperlink r:id="rId26" location="variant-cost" ref="AA1"/>
    <hyperlink r:id="rId27" location="variant-requires-shipping" ref="AB1"/>
    <hyperlink r:id="rId28" location="variant-taxable" ref="AC1"/>
    <hyperlink r:id="rId29" location="variant-barcode" ref="AD1"/>
    <hyperlink r:id="rId30" location="variant-image" ref="AE1"/>
    <hyperlink r:id="rId31" location="variant-inventory-tracker" ref="AF1"/>
    <hyperlink r:id="rId32" location="variant-inventory-policy" ref="AG1"/>
    <hyperlink r:id="rId33" location="variant-fulfillment-service" ref="AH1"/>
    <hyperlink r:id="rId34" location="variant-inventory-qty" ref="AI1"/>
    <hyperlink r:id="rId35" location="Metafield:%20title_tag%20[string]" ref="AJ1"/>
    <hyperlink r:id="rId36" location="Metafield:%20description_tag%20[string]" ref="AK1"/>
  </hyperlinks>
  <printOptions/>
  <pageMargins bottom="0.75" footer="0.0" header="0.0" left="0.7" right="0.7" top="0.75"/>
  <pageSetup orientation="landscape"/>
  <drawing r:id="rId37"/>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9" width="7.38"/>
    <col customWidth="1" min="10" max="10" width="20.13"/>
    <col customWidth="1" min="11" max="12" width="9.13"/>
    <col customWidth="1" min="13" max="13" width="25.25"/>
    <col customWidth="1" min="14" max="14" width="24.13"/>
    <col customWidth="1" min="15" max="15" width="30.75"/>
    <col customWidth="1" min="16" max="19" width="9.13"/>
    <col customWidth="1" min="20" max="20" width="79.88"/>
    <col customWidth="1" min="21" max="21" width="33.13"/>
    <col customWidth="1" min="22" max="22" width="26.88"/>
    <col customWidth="1" min="23" max="26" width="22.0"/>
    <col customWidth="1" min="27" max="28" width="9.13"/>
    <col customWidth="1" min="29" max="59" width="8.63"/>
    <col customWidth="1" min="60" max="60" width="13.0"/>
    <col customWidth="1" min="61" max="374" width="8.63"/>
  </cols>
  <sheetData>
    <row r="1" ht="17.25" customHeight="1">
      <c r="C1" s="19" t="s">
        <v>10784</v>
      </c>
      <c r="D1" s="19"/>
      <c r="F1" s="19"/>
      <c r="G1" s="19"/>
      <c r="H1" s="19"/>
      <c r="I1" s="19"/>
      <c r="U1" s="20" t="s">
        <v>10785</v>
      </c>
      <c r="BI1" s="15" t="s">
        <v>10786</v>
      </c>
    </row>
    <row r="2" ht="17.25" customHeight="1">
      <c r="A2" s="21" t="s">
        <v>10787</v>
      </c>
      <c r="B2" s="21" t="s">
        <v>10788</v>
      </c>
      <c r="C2" s="22" t="s">
        <v>10789</v>
      </c>
      <c r="D2" s="23" t="s">
        <v>10790</v>
      </c>
      <c r="E2" s="24" t="s">
        <v>10791</v>
      </c>
      <c r="F2" s="21" t="s">
        <v>10792</v>
      </c>
      <c r="G2" s="21" t="s">
        <v>10793</v>
      </c>
      <c r="H2" s="21" t="s">
        <v>10794</v>
      </c>
      <c r="I2" s="21" t="s">
        <v>10795</v>
      </c>
      <c r="J2" s="13" t="s">
        <v>45</v>
      </c>
      <c r="K2" s="13" t="s">
        <v>46</v>
      </c>
      <c r="L2" s="13" t="s">
        <v>47</v>
      </c>
      <c r="M2" s="13" t="s">
        <v>44</v>
      </c>
      <c r="N2" s="13" t="s">
        <v>10796</v>
      </c>
      <c r="O2" s="13" t="s">
        <v>10797</v>
      </c>
      <c r="P2" s="25" t="s">
        <v>10798</v>
      </c>
      <c r="Q2" s="25" t="s">
        <v>10799</v>
      </c>
      <c r="R2" s="25" t="s">
        <v>10800</v>
      </c>
      <c r="S2" s="21" t="s">
        <v>10801</v>
      </c>
      <c r="T2" s="26" t="s">
        <v>10802</v>
      </c>
      <c r="U2" s="27" t="s">
        <v>10803</v>
      </c>
      <c r="V2" s="27" t="s">
        <v>10804</v>
      </c>
      <c r="W2" s="27" t="s">
        <v>10805</v>
      </c>
      <c r="X2" s="27" t="s">
        <v>10806</v>
      </c>
      <c r="Y2" s="27" t="s">
        <v>10807</v>
      </c>
      <c r="Z2" s="27" t="s">
        <v>10808</v>
      </c>
      <c r="AA2" s="13" t="s">
        <v>10809</v>
      </c>
      <c r="AB2" s="13" t="s">
        <v>52</v>
      </c>
      <c r="AC2" s="13" t="s">
        <v>10810</v>
      </c>
      <c r="AD2" s="15" t="s">
        <v>10811</v>
      </c>
      <c r="AE2" s="21" t="s">
        <v>10812</v>
      </c>
      <c r="AF2" s="21" t="s">
        <v>10813</v>
      </c>
      <c r="AG2" s="21" t="s">
        <v>10814</v>
      </c>
      <c r="AH2" s="21" t="s">
        <v>10815</v>
      </c>
      <c r="AI2" s="21" t="s">
        <v>10816</v>
      </c>
      <c r="AJ2" s="21" t="s">
        <v>10817</v>
      </c>
      <c r="AK2" s="21" t="s">
        <v>10818</v>
      </c>
      <c r="AL2" s="21" t="s">
        <v>10819</v>
      </c>
      <c r="AM2" s="21" t="s">
        <v>10820</v>
      </c>
      <c r="AN2" s="21" t="s">
        <v>10821</v>
      </c>
      <c r="AO2" s="21" t="s">
        <v>10822</v>
      </c>
      <c r="AP2" s="21" t="s">
        <v>10823</v>
      </c>
      <c r="AQ2" s="21" t="s">
        <v>10824</v>
      </c>
      <c r="AR2" s="21" t="s">
        <v>10825</v>
      </c>
      <c r="AS2" s="21" t="s">
        <v>10826</v>
      </c>
      <c r="AT2" s="21" t="s">
        <v>10827</v>
      </c>
      <c r="AU2" s="21" t="s">
        <v>10828</v>
      </c>
      <c r="AV2" s="21" t="s">
        <v>10829</v>
      </c>
      <c r="AW2" s="21" t="s">
        <v>10830</v>
      </c>
      <c r="AX2" s="21" t="s">
        <v>10831</v>
      </c>
      <c r="AY2" s="21" t="s">
        <v>10832</v>
      </c>
      <c r="AZ2" s="21" t="s">
        <v>10833</v>
      </c>
      <c r="BA2" s="21" t="s">
        <v>10834</v>
      </c>
      <c r="BB2" s="21" t="s">
        <v>10835</v>
      </c>
      <c r="BC2" s="21" t="s">
        <v>10836</v>
      </c>
      <c r="BD2" s="21" t="s">
        <v>10837</v>
      </c>
      <c r="BE2" s="21" t="s">
        <v>10838</v>
      </c>
      <c r="BF2" s="21" t="s">
        <v>10839</v>
      </c>
      <c r="BG2" s="21" t="s">
        <v>10840</v>
      </c>
      <c r="BH2" s="21" t="s">
        <v>10841</v>
      </c>
      <c r="BI2" s="21" t="s">
        <v>10842</v>
      </c>
      <c r="BJ2" s="21" t="s">
        <v>10843</v>
      </c>
      <c r="BK2" s="13" t="s">
        <v>55</v>
      </c>
      <c r="BL2" s="13" t="s">
        <v>10844</v>
      </c>
      <c r="BM2" s="13" t="s">
        <v>10845</v>
      </c>
      <c r="BN2" s="13" t="s">
        <v>10846</v>
      </c>
      <c r="BO2" s="13" t="s">
        <v>10847</v>
      </c>
      <c r="BP2" s="13" t="s">
        <v>10848</v>
      </c>
      <c r="BQ2" s="13" t="s">
        <v>10849</v>
      </c>
      <c r="BR2" s="13" t="s">
        <v>10850</v>
      </c>
      <c r="BS2" s="13" t="s">
        <v>10851</v>
      </c>
      <c r="BT2" s="13" t="s">
        <v>10852</v>
      </c>
      <c r="BU2" s="13" t="s">
        <v>10853</v>
      </c>
      <c r="BV2" s="13" t="s">
        <v>10854</v>
      </c>
      <c r="BW2" s="13" t="s">
        <v>10855</v>
      </c>
      <c r="BX2" s="13" t="s">
        <v>10856</v>
      </c>
      <c r="BY2" s="13" t="s">
        <v>10857</v>
      </c>
      <c r="BZ2" s="13" t="s">
        <v>10858</v>
      </c>
      <c r="CA2" s="13" t="s">
        <v>10859</v>
      </c>
      <c r="CB2" s="13" t="s">
        <v>10860</v>
      </c>
      <c r="CC2" s="13" t="s">
        <v>10861</v>
      </c>
      <c r="CD2" s="13" t="s">
        <v>10862</v>
      </c>
      <c r="CE2" s="13" t="s">
        <v>10863</v>
      </c>
      <c r="CF2" s="13" t="s">
        <v>10864</v>
      </c>
      <c r="CG2" s="13" t="s">
        <v>10865</v>
      </c>
      <c r="CH2" s="13" t="s">
        <v>10866</v>
      </c>
      <c r="CI2" s="13" t="s">
        <v>10867</v>
      </c>
      <c r="CJ2" s="13" t="s">
        <v>96</v>
      </c>
      <c r="CK2" s="13" t="s">
        <v>97</v>
      </c>
      <c r="CL2" s="13" t="s">
        <v>98</v>
      </c>
      <c r="CM2" s="13" t="s">
        <v>99</v>
      </c>
      <c r="CN2" s="13" t="s">
        <v>100</v>
      </c>
      <c r="CO2" s="13" t="s">
        <v>101</v>
      </c>
      <c r="CP2" s="13" t="s">
        <v>102</v>
      </c>
      <c r="CQ2" s="13" t="s">
        <v>103</v>
      </c>
      <c r="CR2" s="13" t="s">
        <v>104</v>
      </c>
      <c r="CS2" s="13" t="s">
        <v>10868</v>
      </c>
      <c r="CT2" s="13" t="s">
        <v>10869</v>
      </c>
      <c r="CU2" s="13" t="s">
        <v>10870</v>
      </c>
      <c r="CV2" s="13" t="s">
        <v>10871</v>
      </c>
      <c r="CW2" s="13" t="s">
        <v>10872</v>
      </c>
      <c r="CX2" s="13" t="s">
        <v>10873</v>
      </c>
      <c r="CY2" s="13" t="s">
        <v>10874</v>
      </c>
      <c r="CZ2" s="13" t="s">
        <v>117</v>
      </c>
      <c r="DA2" s="13" t="s">
        <v>118</v>
      </c>
      <c r="DB2" s="13" t="s">
        <v>119</v>
      </c>
      <c r="DC2" s="13" t="s">
        <v>120</v>
      </c>
      <c r="DD2" s="13" t="s">
        <v>121</v>
      </c>
      <c r="DE2" s="13" t="s">
        <v>122</v>
      </c>
      <c r="DF2" s="13" t="s">
        <v>123</v>
      </c>
      <c r="DG2" s="13" t="s">
        <v>124</v>
      </c>
      <c r="DH2" s="13" t="s">
        <v>125</v>
      </c>
      <c r="DI2" s="13" t="s">
        <v>126</v>
      </c>
      <c r="DJ2" s="13" t="s">
        <v>127</v>
      </c>
      <c r="DK2" s="13" t="s">
        <v>128</v>
      </c>
      <c r="DL2" s="13" t="s">
        <v>10875</v>
      </c>
      <c r="DM2" s="13" t="s">
        <v>130</v>
      </c>
      <c r="DN2" s="13" t="s">
        <v>131</v>
      </c>
      <c r="DO2" s="13" t="s">
        <v>132</v>
      </c>
      <c r="DP2" s="13" t="s">
        <v>133</v>
      </c>
      <c r="DQ2" s="13" t="s">
        <v>10876</v>
      </c>
      <c r="DR2" s="13" t="s">
        <v>10877</v>
      </c>
      <c r="DS2" s="13" t="s">
        <v>137</v>
      </c>
      <c r="DT2" s="13" t="s">
        <v>138</v>
      </c>
      <c r="DU2" s="13" t="s">
        <v>10878</v>
      </c>
      <c r="DV2" s="13" t="s">
        <v>10879</v>
      </c>
      <c r="DW2" s="13" t="s">
        <v>143</v>
      </c>
      <c r="DX2" s="13" t="s">
        <v>144</v>
      </c>
      <c r="DY2" s="13" t="s">
        <v>145</v>
      </c>
      <c r="DZ2" s="13" t="s">
        <v>146</v>
      </c>
      <c r="EA2" s="13" t="s">
        <v>147</v>
      </c>
      <c r="EB2" s="13" t="s">
        <v>148</v>
      </c>
      <c r="EC2" s="13" t="s">
        <v>149</v>
      </c>
      <c r="ED2" s="13" t="s">
        <v>150</v>
      </c>
      <c r="EE2" s="13" t="s">
        <v>151</v>
      </c>
      <c r="EF2" s="13" t="s">
        <v>152</v>
      </c>
      <c r="EG2" s="13" t="s">
        <v>153</v>
      </c>
      <c r="EH2" s="13" t="s">
        <v>154</v>
      </c>
      <c r="EI2" s="13" t="s">
        <v>155</v>
      </c>
      <c r="EJ2" s="13" t="s">
        <v>156</v>
      </c>
      <c r="EK2" s="13" t="s">
        <v>157</v>
      </c>
      <c r="EL2" s="13" t="s">
        <v>158</v>
      </c>
      <c r="EM2" s="13" t="s">
        <v>159</v>
      </c>
      <c r="EN2" s="13" t="s">
        <v>160</v>
      </c>
      <c r="EO2" s="13" t="s">
        <v>161</v>
      </c>
      <c r="EP2" s="13" t="s">
        <v>162</v>
      </c>
      <c r="EQ2" s="13" t="s">
        <v>163</v>
      </c>
      <c r="ER2" s="13" t="s">
        <v>164</v>
      </c>
      <c r="ES2" s="13" t="s">
        <v>165</v>
      </c>
      <c r="ET2" s="13" t="s">
        <v>166</v>
      </c>
      <c r="EU2" s="13" t="s">
        <v>167</v>
      </c>
      <c r="EV2" s="13" t="s">
        <v>168</v>
      </c>
      <c r="EW2" s="13" t="s">
        <v>169</v>
      </c>
      <c r="EX2" s="13" t="s">
        <v>170</v>
      </c>
      <c r="EY2" s="13" t="s">
        <v>171</v>
      </c>
      <c r="EZ2" s="13" t="s">
        <v>172</v>
      </c>
      <c r="FA2" s="13" t="s">
        <v>173</v>
      </c>
      <c r="FB2" s="13" t="s">
        <v>174</v>
      </c>
      <c r="FC2" s="13" t="s">
        <v>175</v>
      </c>
      <c r="FD2" s="13" t="s">
        <v>176</v>
      </c>
      <c r="FE2" s="13" t="s">
        <v>177</v>
      </c>
      <c r="FF2" s="13" t="s">
        <v>178</v>
      </c>
      <c r="FG2" s="13" t="s">
        <v>179</v>
      </c>
      <c r="FH2" s="13" t="s">
        <v>180</v>
      </c>
      <c r="FI2" s="13" t="s">
        <v>181</v>
      </c>
      <c r="FJ2" s="13" t="s">
        <v>182</v>
      </c>
      <c r="FK2" s="13" t="s">
        <v>183</v>
      </c>
      <c r="FL2" s="13" t="s">
        <v>184</v>
      </c>
      <c r="FM2" s="13" t="s">
        <v>185</v>
      </c>
      <c r="FN2" s="13" t="s">
        <v>186</v>
      </c>
      <c r="FO2" s="13" t="s">
        <v>187</v>
      </c>
      <c r="FP2" s="13" t="s">
        <v>188</v>
      </c>
      <c r="FQ2" s="13" t="s">
        <v>189</v>
      </c>
      <c r="FR2" s="13" t="s">
        <v>190</v>
      </c>
      <c r="FS2" s="13" t="s">
        <v>191</v>
      </c>
      <c r="FT2" s="13" t="s">
        <v>192</v>
      </c>
      <c r="FU2" s="13" t="s">
        <v>193</v>
      </c>
      <c r="FV2" s="13" t="s">
        <v>194</v>
      </c>
      <c r="FW2" s="13" t="s">
        <v>195</v>
      </c>
      <c r="FX2" s="13" t="s">
        <v>196</v>
      </c>
      <c r="FY2" s="13" t="s">
        <v>197</v>
      </c>
      <c r="FZ2" s="13" t="s">
        <v>198</v>
      </c>
      <c r="GA2" s="13" t="s">
        <v>199</v>
      </c>
      <c r="GB2" s="13" t="s">
        <v>200</v>
      </c>
      <c r="GC2" s="13" t="s">
        <v>201</v>
      </c>
      <c r="GD2" s="13" t="s">
        <v>202</v>
      </c>
      <c r="GE2" s="13" t="s">
        <v>203</v>
      </c>
      <c r="GF2" s="13" t="s">
        <v>204</v>
      </c>
      <c r="GG2" s="13" t="s">
        <v>205</v>
      </c>
      <c r="GH2" s="13" t="s">
        <v>206</v>
      </c>
      <c r="GI2" s="13" t="s">
        <v>207</v>
      </c>
      <c r="GJ2" s="13" t="s">
        <v>208</v>
      </c>
      <c r="GK2" s="13" t="s">
        <v>209</v>
      </c>
      <c r="GL2" s="13" t="s">
        <v>210</v>
      </c>
      <c r="GM2" s="13" t="s">
        <v>211</v>
      </c>
      <c r="GN2" s="13" t="s">
        <v>212</v>
      </c>
      <c r="GO2" s="13" t="s">
        <v>213</v>
      </c>
      <c r="GP2" s="13" t="s">
        <v>214</v>
      </c>
      <c r="GQ2" s="13" t="s">
        <v>215</v>
      </c>
      <c r="GR2" s="13" t="s">
        <v>216</v>
      </c>
      <c r="GS2" s="13" t="s">
        <v>217</v>
      </c>
      <c r="GT2" s="13" t="s">
        <v>218</v>
      </c>
      <c r="GU2" s="13" t="s">
        <v>219</v>
      </c>
      <c r="GV2" s="13" t="s">
        <v>220</v>
      </c>
      <c r="GW2" s="13" t="s">
        <v>221</v>
      </c>
      <c r="GX2" s="13" t="s">
        <v>222</v>
      </c>
      <c r="GY2" s="13" t="s">
        <v>223</v>
      </c>
      <c r="GZ2" s="13" t="s">
        <v>224</v>
      </c>
      <c r="HA2" s="13" t="s">
        <v>225</v>
      </c>
      <c r="HB2" s="13" t="s">
        <v>226</v>
      </c>
      <c r="HC2" s="13" t="s">
        <v>227</v>
      </c>
      <c r="HD2" s="13" t="s">
        <v>228</v>
      </c>
      <c r="HE2" s="13" t="s">
        <v>229</v>
      </c>
      <c r="HF2" s="13" t="s">
        <v>230</v>
      </c>
      <c r="HG2" s="13" t="s">
        <v>231</v>
      </c>
      <c r="HH2" s="13" t="s">
        <v>232</v>
      </c>
      <c r="HI2" s="13" t="s">
        <v>233</v>
      </c>
      <c r="HJ2" s="13" t="s">
        <v>234</v>
      </c>
      <c r="HK2" s="13" t="s">
        <v>235</v>
      </c>
      <c r="HL2" s="13" t="s">
        <v>236</v>
      </c>
      <c r="HM2" s="13" t="s">
        <v>237</v>
      </c>
      <c r="HN2" s="13" t="s">
        <v>238</v>
      </c>
      <c r="HO2" s="13" t="s">
        <v>239</v>
      </c>
      <c r="HP2" s="13" t="s">
        <v>240</v>
      </c>
      <c r="HQ2" s="13" t="s">
        <v>241</v>
      </c>
      <c r="HR2" s="13" t="s">
        <v>242</v>
      </c>
      <c r="HS2" s="13" t="s">
        <v>243</v>
      </c>
      <c r="HT2" s="13" t="s">
        <v>244</v>
      </c>
      <c r="HU2" s="13" t="s">
        <v>245</v>
      </c>
      <c r="HV2" s="13" t="s">
        <v>246</v>
      </c>
      <c r="HW2" s="13" t="s">
        <v>247</v>
      </c>
      <c r="HX2" s="13" t="s">
        <v>248</v>
      </c>
      <c r="HY2" s="13" t="s">
        <v>249</v>
      </c>
      <c r="HZ2" s="13" t="s">
        <v>250</v>
      </c>
      <c r="IA2" s="13" t="s">
        <v>251</v>
      </c>
      <c r="IB2" s="13" t="s">
        <v>252</v>
      </c>
      <c r="IC2" s="13" t="s">
        <v>253</v>
      </c>
      <c r="ID2" s="13" t="s">
        <v>254</v>
      </c>
      <c r="IE2" s="13" t="s">
        <v>255</v>
      </c>
      <c r="IF2" s="13" t="s">
        <v>256</v>
      </c>
      <c r="IG2" s="13" t="s">
        <v>257</v>
      </c>
      <c r="IH2" s="13" t="s">
        <v>258</v>
      </c>
      <c r="II2" s="13" t="s">
        <v>259</v>
      </c>
      <c r="IJ2" s="13" t="s">
        <v>260</v>
      </c>
      <c r="IK2" s="13" t="s">
        <v>261</v>
      </c>
      <c r="IL2" s="13" t="s">
        <v>262</v>
      </c>
      <c r="IM2" s="13" t="s">
        <v>263</v>
      </c>
      <c r="IN2" s="13" t="s">
        <v>264</v>
      </c>
      <c r="IO2" s="13" t="s">
        <v>265</v>
      </c>
      <c r="IP2" s="13" t="s">
        <v>266</v>
      </c>
      <c r="IQ2" s="13" t="s">
        <v>267</v>
      </c>
      <c r="IR2" s="13" t="s">
        <v>268</v>
      </c>
      <c r="IS2" s="13" t="s">
        <v>269</v>
      </c>
      <c r="IT2" s="13" t="s">
        <v>270</v>
      </c>
      <c r="IU2" s="13" t="s">
        <v>271</v>
      </c>
      <c r="IV2" s="13" t="s">
        <v>272</v>
      </c>
      <c r="IW2" s="13" t="s">
        <v>273</v>
      </c>
      <c r="IX2" s="13" t="s">
        <v>274</v>
      </c>
      <c r="IY2" s="13" t="s">
        <v>275</v>
      </c>
      <c r="IZ2" s="13" t="s">
        <v>276</v>
      </c>
      <c r="JA2" s="13" t="s">
        <v>277</v>
      </c>
      <c r="JB2" s="13" t="s">
        <v>278</v>
      </c>
      <c r="JC2" s="13" t="s">
        <v>279</v>
      </c>
      <c r="JD2" s="13" t="s">
        <v>280</v>
      </c>
      <c r="JE2" s="13" t="s">
        <v>281</v>
      </c>
      <c r="JF2" s="13" t="s">
        <v>282</v>
      </c>
      <c r="JG2" s="13" t="s">
        <v>283</v>
      </c>
      <c r="JH2" s="13" t="s">
        <v>284</v>
      </c>
      <c r="JI2" s="13" t="s">
        <v>285</v>
      </c>
      <c r="JJ2" s="13" t="s">
        <v>286</v>
      </c>
      <c r="JK2" s="13" t="s">
        <v>287</v>
      </c>
      <c r="JL2" s="13" t="s">
        <v>288</v>
      </c>
      <c r="JM2" s="13" t="s">
        <v>289</v>
      </c>
      <c r="JN2" s="13" t="s">
        <v>290</v>
      </c>
      <c r="JO2" s="13" t="s">
        <v>291</v>
      </c>
      <c r="JP2" s="13" t="s">
        <v>292</v>
      </c>
      <c r="JQ2" s="13" t="s">
        <v>293</v>
      </c>
      <c r="JR2" s="13" t="s">
        <v>294</v>
      </c>
      <c r="JS2" s="13" t="s">
        <v>295</v>
      </c>
      <c r="JT2" s="13" t="s">
        <v>296</v>
      </c>
      <c r="JU2" s="13" t="s">
        <v>297</v>
      </c>
      <c r="JV2" s="13" t="s">
        <v>298</v>
      </c>
      <c r="JW2" s="13" t="s">
        <v>299</v>
      </c>
      <c r="JX2" s="13" t="s">
        <v>300</v>
      </c>
      <c r="JY2" s="13" t="s">
        <v>301</v>
      </c>
      <c r="JZ2" s="13" t="s">
        <v>302</v>
      </c>
      <c r="KA2" s="13" t="s">
        <v>303</v>
      </c>
      <c r="KB2" s="13" t="s">
        <v>304</v>
      </c>
      <c r="KC2" s="13" t="s">
        <v>305</v>
      </c>
      <c r="KD2" s="13" t="s">
        <v>306</v>
      </c>
      <c r="KE2" s="13" t="s">
        <v>307</v>
      </c>
      <c r="KF2" s="13" t="s">
        <v>308</v>
      </c>
      <c r="KG2" s="13" t="s">
        <v>309</v>
      </c>
      <c r="KH2" s="13" t="s">
        <v>310</v>
      </c>
      <c r="KI2" s="13" t="s">
        <v>311</v>
      </c>
      <c r="KJ2" s="13" t="s">
        <v>312</v>
      </c>
      <c r="KK2" s="13" t="s">
        <v>313</v>
      </c>
      <c r="KL2" s="13" t="s">
        <v>314</v>
      </c>
      <c r="KM2" s="13" t="s">
        <v>315</v>
      </c>
      <c r="KN2" s="13" t="s">
        <v>316</v>
      </c>
      <c r="KO2" s="13" t="s">
        <v>317</v>
      </c>
      <c r="KP2" s="13" t="s">
        <v>318</v>
      </c>
      <c r="KQ2" s="13" t="s">
        <v>319</v>
      </c>
      <c r="KR2" s="13" t="s">
        <v>320</v>
      </c>
      <c r="KS2" s="13" t="s">
        <v>321</v>
      </c>
      <c r="KT2" s="13" t="s">
        <v>322</v>
      </c>
      <c r="KU2" s="13" t="s">
        <v>323</v>
      </c>
      <c r="KV2" s="13" t="s">
        <v>324</v>
      </c>
      <c r="KW2" s="13" t="s">
        <v>325</v>
      </c>
      <c r="KX2" s="13" t="s">
        <v>326</v>
      </c>
      <c r="KY2" s="13" t="s">
        <v>327</v>
      </c>
      <c r="KZ2" s="13" t="s">
        <v>328</v>
      </c>
      <c r="LA2" s="13" t="s">
        <v>329</v>
      </c>
      <c r="LB2" s="13" t="s">
        <v>330</v>
      </c>
      <c r="LC2" s="13" t="s">
        <v>331</v>
      </c>
      <c r="LD2" s="13" t="s">
        <v>332</v>
      </c>
      <c r="LE2" s="13" t="s">
        <v>333</v>
      </c>
      <c r="LF2" s="13" t="s">
        <v>334</v>
      </c>
      <c r="LG2" s="13" t="s">
        <v>335</v>
      </c>
      <c r="LH2" s="13" t="s">
        <v>336</v>
      </c>
      <c r="LI2" s="13" t="s">
        <v>337</v>
      </c>
      <c r="LJ2" s="13" t="s">
        <v>338</v>
      </c>
      <c r="LK2" s="13" t="s">
        <v>339</v>
      </c>
      <c r="LL2" s="13" t="s">
        <v>340</v>
      </c>
      <c r="LM2" s="13" t="s">
        <v>341</v>
      </c>
      <c r="LN2" s="13" t="s">
        <v>342</v>
      </c>
      <c r="LO2" s="13" t="s">
        <v>343</v>
      </c>
      <c r="LP2" s="13" t="s">
        <v>344</v>
      </c>
      <c r="LQ2" s="13" t="s">
        <v>345</v>
      </c>
      <c r="LR2" s="13" t="s">
        <v>346</v>
      </c>
      <c r="LS2" s="13" t="s">
        <v>347</v>
      </c>
      <c r="LT2" s="13" t="s">
        <v>348</v>
      </c>
      <c r="LU2" s="13" t="s">
        <v>349</v>
      </c>
      <c r="LV2" s="13" t="s">
        <v>350</v>
      </c>
      <c r="LW2" s="13" t="s">
        <v>351</v>
      </c>
      <c r="LX2" s="13" t="s">
        <v>352</v>
      </c>
      <c r="LY2" s="13" t="s">
        <v>353</v>
      </c>
      <c r="LZ2" s="13" t="s">
        <v>354</v>
      </c>
      <c r="MA2" s="13" t="s">
        <v>355</v>
      </c>
      <c r="MB2" s="13" t="s">
        <v>356</v>
      </c>
      <c r="MC2" s="13" t="s">
        <v>357</v>
      </c>
      <c r="MD2" s="13" t="s">
        <v>358</v>
      </c>
      <c r="ME2" s="13" t="s">
        <v>359</v>
      </c>
      <c r="MF2" s="13" t="s">
        <v>360</v>
      </c>
      <c r="MG2" s="13" t="s">
        <v>361</v>
      </c>
      <c r="MH2" s="13" t="s">
        <v>362</v>
      </c>
      <c r="MI2" s="13" t="s">
        <v>363</v>
      </c>
      <c r="MJ2" s="13" t="s">
        <v>364</v>
      </c>
      <c r="MK2" s="13" t="s">
        <v>365</v>
      </c>
      <c r="ML2" s="13" t="s">
        <v>366</v>
      </c>
      <c r="MM2" s="13" t="s">
        <v>367</v>
      </c>
      <c r="MN2" s="13" t="s">
        <v>368</v>
      </c>
      <c r="MO2" s="13" t="s">
        <v>369</v>
      </c>
      <c r="MP2" s="13" t="s">
        <v>370</v>
      </c>
      <c r="MQ2" s="13" t="s">
        <v>371</v>
      </c>
      <c r="MR2" s="13" t="s">
        <v>372</v>
      </c>
      <c r="MS2" s="13" t="s">
        <v>373</v>
      </c>
      <c r="MT2" s="13" t="s">
        <v>374</v>
      </c>
      <c r="MU2" s="13" t="s">
        <v>375</v>
      </c>
      <c r="MV2" s="13" t="s">
        <v>376</v>
      </c>
      <c r="MW2" s="13" t="s">
        <v>377</v>
      </c>
      <c r="MX2" s="13" t="s">
        <v>378</v>
      </c>
      <c r="MY2" s="13" t="s">
        <v>379</v>
      </c>
      <c r="MZ2" s="13" t="s">
        <v>380</v>
      </c>
      <c r="NA2" s="13" t="s">
        <v>381</v>
      </c>
      <c r="NB2" s="13" t="s">
        <v>382</v>
      </c>
      <c r="NC2" s="13" t="s">
        <v>383</v>
      </c>
      <c r="ND2" s="13" t="s">
        <v>384</v>
      </c>
      <c r="NE2" s="13" t="s">
        <v>385</v>
      </c>
      <c r="NF2" s="13" t="s">
        <v>386</v>
      </c>
      <c r="NG2" s="13" t="s">
        <v>387</v>
      </c>
      <c r="NH2" s="13" t="s">
        <v>388</v>
      </c>
      <c r="NI2" s="13" t="s">
        <v>389</v>
      </c>
      <c r="NJ2" s="13" t="s">
        <v>390</v>
      </c>
    </row>
    <row r="3" ht="17.25" customHeight="1">
      <c r="A3" s="15" t="s">
        <v>399</v>
      </c>
      <c r="B3" s="15" t="str">
        <f>"801542240929"</f>
        <v>801542240929</v>
      </c>
      <c r="C3" s="15" t="s">
        <v>10880</v>
      </c>
      <c r="D3" s="15" t="str">
        <f t="shared" ref="D3:D1134" si="1">CONCATENATE(E3,G3,I3)</f>
        <v>Abaso 6-Drawer DresserEbony Rustic Wormwood Oak</v>
      </c>
      <c r="E3" s="15" t="s">
        <v>392</v>
      </c>
      <c r="F3" s="15" t="s">
        <v>397</v>
      </c>
      <c r="G3" s="15" t="s">
        <v>398</v>
      </c>
      <c r="J3" s="15" t="s">
        <v>398</v>
      </c>
      <c r="M3" s="15" t="s">
        <v>411</v>
      </c>
      <c r="N3" s="15" t="s">
        <v>412</v>
      </c>
      <c r="P3" s="15" t="str">
        <f t="shared" ref="P3:P4" si="2">"80"</f>
        <v>80</v>
      </c>
      <c r="Q3" s="15" t="str">
        <f t="shared" ref="Q3:Q4" si="3">"20"</f>
        <v>20</v>
      </c>
      <c r="R3" s="15" t="str">
        <f t="shared" ref="R3:R4" si="4">"32"</f>
        <v>32</v>
      </c>
      <c r="S3" s="15" t="str">
        <f t="shared" ref="S3:S4" si="5">"304.01"</f>
        <v>304.01</v>
      </c>
      <c r="T3" s="15" t="s">
        <v>407</v>
      </c>
      <c r="U3" s="15" t="s">
        <v>10881</v>
      </c>
      <c r="AA3" s="15" t="s">
        <v>413</v>
      </c>
      <c r="AB3" s="15" t="s">
        <v>413</v>
      </c>
      <c r="AC3" s="15" t="s">
        <v>414</v>
      </c>
      <c r="AD3" s="15" t="s">
        <v>10882</v>
      </c>
      <c r="AE3" s="15" t="s">
        <v>403</v>
      </c>
      <c r="AF3" s="15" t="s">
        <v>10883</v>
      </c>
      <c r="AG3" s="15" t="s">
        <v>10884</v>
      </c>
      <c r="AH3" s="15" t="s">
        <v>10885</v>
      </c>
      <c r="AI3" s="15" t="s">
        <v>10886</v>
      </c>
      <c r="AJ3" s="15" t="s">
        <v>10887</v>
      </c>
      <c r="AK3" s="15" t="s">
        <v>10888</v>
      </c>
      <c r="AL3" s="15" t="s">
        <v>10889</v>
      </c>
      <c r="AM3" s="15" t="s">
        <v>10890</v>
      </c>
      <c r="AN3" s="15" t="s">
        <v>10891</v>
      </c>
      <c r="BH3" s="15" t="s">
        <v>396</v>
      </c>
      <c r="BI3" s="15" t="str">
        <f t="shared" ref="BI3:BI4" si="6">"4899"</f>
        <v>4899</v>
      </c>
      <c r="BJ3" s="15" t="str">
        <f t="shared" ref="BJ3:BJ4" si="7">"2060"</f>
        <v>2060</v>
      </c>
      <c r="BK3" s="15" t="s">
        <v>415</v>
      </c>
      <c r="BL3" s="15" t="str">
        <f t="shared" ref="BL3:BL27" si="8">"1"</f>
        <v>1</v>
      </c>
      <c r="BM3" s="15" t="s">
        <v>416</v>
      </c>
      <c r="BN3" s="15" t="str">
        <f t="shared" ref="BN3:BN4" si="9">"85.04"</f>
        <v>85.04</v>
      </c>
      <c r="BO3" s="15" t="str">
        <f t="shared" ref="BO3:BO4" si="10">"25.59"</f>
        <v>25.59</v>
      </c>
      <c r="BP3" s="15" t="str">
        <f t="shared" ref="BP3:BP4" si="11">"38.58"</f>
        <v>38.58</v>
      </c>
      <c r="BQ3" s="15" t="str">
        <f t="shared" ref="BQ3:BQ4" si="12">"384.26"</f>
        <v>384.26</v>
      </c>
      <c r="CG3" s="15" t="str">
        <f t="shared" ref="CG3:CG4" si="13">"48.59"</f>
        <v>48.59</v>
      </c>
      <c r="CH3" s="15" t="str">
        <f t="shared" ref="CH3:CH4" si="14">"1.376"</f>
        <v>1.376</v>
      </c>
      <c r="CI3" s="15" t="s">
        <v>417</v>
      </c>
      <c r="CZ3" s="15" t="s">
        <v>418</v>
      </c>
      <c r="DA3" s="15">
        <v>6.0</v>
      </c>
      <c r="DB3" s="15" t="s">
        <v>419</v>
      </c>
      <c r="DD3" s="15">
        <v>0.0</v>
      </c>
      <c r="DF3" s="15" t="s">
        <v>420</v>
      </c>
      <c r="DG3" s="15" t="s">
        <v>421</v>
      </c>
      <c r="DK3" s="15">
        <v>0.0</v>
      </c>
      <c r="DR3" s="15" t="s">
        <v>422</v>
      </c>
      <c r="DS3" s="15" t="s">
        <v>423</v>
      </c>
      <c r="DU3" s="15" t="s">
        <v>424</v>
      </c>
      <c r="EF3" s="15" t="s">
        <v>425</v>
      </c>
      <c r="EU3" s="15" t="s">
        <v>426</v>
      </c>
      <c r="EV3" s="15">
        <v>0.0</v>
      </c>
      <c r="FQ3" s="15">
        <v>0.0</v>
      </c>
      <c r="FR3" s="15" t="s">
        <v>427</v>
      </c>
      <c r="FX3" s="15" t="s">
        <v>426</v>
      </c>
      <c r="FZ3" s="15" t="s">
        <v>428</v>
      </c>
      <c r="GB3" s="15" t="s">
        <v>429</v>
      </c>
      <c r="GD3" s="15" t="s">
        <v>430</v>
      </c>
      <c r="GF3" s="15" t="s">
        <v>431</v>
      </c>
    </row>
    <row r="4" ht="17.25" customHeight="1">
      <c r="A4" s="15" t="s">
        <v>435</v>
      </c>
      <c r="B4" s="15" t="str">
        <f>"801542240936"</f>
        <v>801542240936</v>
      </c>
      <c r="C4" s="15" t="s">
        <v>10892</v>
      </c>
      <c r="D4" s="15" t="str">
        <f t="shared" si="1"/>
        <v>Abaso 6-Drawer DresserRustic Wormwood Oak</v>
      </c>
      <c r="E4" s="15" t="s">
        <v>392</v>
      </c>
      <c r="F4" s="15" t="s">
        <v>397</v>
      </c>
      <c r="G4" s="15" t="s">
        <v>434</v>
      </c>
      <c r="J4" s="15" t="s">
        <v>434</v>
      </c>
      <c r="M4" s="15" t="s">
        <v>411</v>
      </c>
      <c r="N4" s="15" t="s">
        <v>412</v>
      </c>
      <c r="P4" s="15" t="str">
        <f t="shared" si="2"/>
        <v>80</v>
      </c>
      <c r="Q4" s="15" t="str">
        <f t="shared" si="3"/>
        <v>20</v>
      </c>
      <c r="R4" s="15" t="str">
        <f t="shared" si="4"/>
        <v>32</v>
      </c>
      <c r="S4" s="15" t="str">
        <f t="shared" si="5"/>
        <v>304.01</v>
      </c>
      <c r="T4" s="15" t="s">
        <v>407</v>
      </c>
      <c r="U4" s="15" t="s">
        <v>10881</v>
      </c>
      <c r="AA4" s="15" t="s">
        <v>413</v>
      </c>
      <c r="AB4" s="15" t="s">
        <v>413</v>
      </c>
      <c r="AD4" s="15" t="s">
        <v>10893</v>
      </c>
      <c r="AE4" s="15" t="s">
        <v>436</v>
      </c>
      <c r="AF4" s="15" t="s">
        <v>10894</v>
      </c>
      <c r="AG4" s="15" t="s">
        <v>10895</v>
      </c>
      <c r="AH4" s="15" t="s">
        <v>10896</v>
      </c>
      <c r="AI4" s="15" t="s">
        <v>10897</v>
      </c>
      <c r="AJ4" s="15" t="s">
        <v>10898</v>
      </c>
      <c r="AK4" s="15" t="s">
        <v>10899</v>
      </c>
      <c r="AL4" s="15" t="s">
        <v>10900</v>
      </c>
      <c r="AM4" s="15" t="s">
        <v>10901</v>
      </c>
      <c r="BH4" s="15" t="s">
        <v>433</v>
      </c>
      <c r="BI4" s="15" t="str">
        <f t="shared" si="6"/>
        <v>4899</v>
      </c>
      <c r="BJ4" s="15" t="str">
        <f t="shared" si="7"/>
        <v>2060</v>
      </c>
      <c r="BK4" s="15" t="s">
        <v>415</v>
      </c>
      <c r="BL4" s="15" t="str">
        <f t="shared" si="8"/>
        <v>1</v>
      </c>
      <c r="BM4" s="15" t="s">
        <v>416</v>
      </c>
      <c r="BN4" s="15" t="str">
        <f t="shared" si="9"/>
        <v>85.04</v>
      </c>
      <c r="BO4" s="15" t="str">
        <f t="shared" si="10"/>
        <v>25.59</v>
      </c>
      <c r="BP4" s="15" t="str">
        <f t="shared" si="11"/>
        <v>38.58</v>
      </c>
      <c r="BQ4" s="15" t="str">
        <f t="shared" si="12"/>
        <v>384.26</v>
      </c>
      <c r="CG4" s="15" t="str">
        <f t="shared" si="13"/>
        <v>48.59</v>
      </c>
      <c r="CH4" s="15" t="str">
        <f t="shared" si="14"/>
        <v>1.376</v>
      </c>
      <c r="CI4" s="15" t="s">
        <v>417</v>
      </c>
      <c r="CZ4" s="15" t="s">
        <v>418</v>
      </c>
      <c r="DA4" s="15">
        <v>6.0</v>
      </c>
      <c r="DB4" s="15" t="s">
        <v>419</v>
      </c>
      <c r="DD4" s="15">
        <v>0.0</v>
      </c>
      <c r="DF4" s="15" t="s">
        <v>420</v>
      </c>
      <c r="DG4" s="15" t="s">
        <v>421</v>
      </c>
      <c r="DK4" s="15">
        <v>0.0</v>
      </c>
      <c r="DR4" s="15" t="s">
        <v>422</v>
      </c>
      <c r="DS4" s="15" t="s">
        <v>423</v>
      </c>
      <c r="DU4" s="15" t="s">
        <v>424</v>
      </c>
      <c r="EF4" s="15" t="s">
        <v>425</v>
      </c>
      <c r="EU4" s="15" t="s">
        <v>426</v>
      </c>
      <c r="EV4" s="15">
        <v>0.0</v>
      </c>
      <c r="FQ4" s="15">
        <v>0.0</v>
      </c>
      <c r="FR4" s="15" t="s">
        <v>427</v>
      </c>
      <c r="FX4" s="15" t="s">
        <v>426</v>
      </c>
      <c r="FZ4" s="15" t="s">
        <v>428</v>
      </c>
      <c r="GB4" s="15" t="s">
        <v>429</v>
      </c>
      <c r="GD4" s="15" t="s">
        <v>430</v>
      </c>
      <c r="GF4" s="15" t="s">
        <v>431</v>
      </c>
    </row>
    <row r="5" ht="17.25" customHeight="1">
      <c r="A5" s="15" t="s">
        <v>449</v>
      </c>
      <c r="B5" s="15" t="str">
        <f>"801542200787"</f>
        <v>801542200787</v>
      </c>
      <c r="C5" s="15" t="s">
        <v>10902</v>
      </c>
      <c r="D5" s="15" t="str">
        <f t="shared" si="1"/>
        <v>Abaso Accent BenchEbony Rustic Wormwood Oak</v>
      </c>
      <c r="E5" s="15" t="s">
        <v>447</v>
      </c>
      <c r="F5" s="15" t="s">
        <v>397</v>
      </c>
      <c r="G5" s="15" t="s">
        <v>398</v>
      </c>
      <c r="J5" s="15" t="s">
        <v>398</v>
      </c>
      <c r="M5" s="15" t="s">
        <v>411</v>
      </c>
      <c r="N5" s="15" t="s">
        <v>458</v>
      </c>
      <c r="O5" s="15" t="s">
        <v>459</v>
      </c>
      <c r="P5" s="15" t="str">
        <f t="shared" ref="P5:P6" si="15">"70"</f>
        <v>70</v>
      </c>
      <c r="Q5" s="15" t="str">
        <f t="shared" ref="Q5:Q6" si="16">"19.25"</f>
        <v>19.25</v>
      </c>
      <c r="R5" s="15" t="str">
        <f t="shared" ref="R5:R6" si="17">"19"</f>
        <v>19</v>
      </c>
      <c r="S5" s="15" t="str">
        <f t="shared" ref="S5:S6" si="18">"99.16"</f>
        <v>99.16</v>
      </c>
      <c r="T5" s="15" t="s">
        <v>407</v>
      </c>
      <c r="U5" s="15" t="s">
        <v>10881</v>
      </c>
      <c r="AA5" s="15" t="s">
        <v>426</v>
      </c>
      <c r="AB5" s="15" t="s">
        <v>413</v>
      </c>
      <c r="AC5" s="15" t="s">
        <v>460</v>
      </c>
      <c r="AD5" s="15" t="s">
        <v>10903</v>
      </c>
      <c r="AE5" s="15" t="s">
        <v>451</v>
      </c>
      <c r="AF5" s="15" t="s">
        <v>10904</v>
      </c>
      <c r="AG5" s="15" t="s">
        <v>10905</v>
      </c>
      <c r="AH5" s="15" t="s">
        <v>10906</v>
      </c>
      <c r="AI5" s="15" t="s">
        <v>10907</v>
      </c>
      <c r="AJ5" s="15" t="s">
        <v>10908</v>
      </c>
      <c r="AK5" s="15" t="s">
        <v>10888</v>
      </c>
      <c r="AL5" s="15" t="s">
        <v>10909</v>
      </c>
      <c r="AM5" s="15" t="s">
        <v>10910</v>
      </c>
      <c r="AN5" s="15" t="s">
        <v>10911</v>
      </c>
      <c r="AO5" s="15" t="s">
        <v>10912</v>
      </c>
      <c r="AP5" s="15" t="s">
        <v>10913</v>
      </c>
      <c r="AQ5" s="15" t="s">
        <v>10914</v>
      </c>
      <c r="AR5" s="15" t="s">
        <v>10915</v>
      </c>
      <c r="AS5" s="15" t="s">
        <v>10916</v>
      </c>
      <c r="BH5" s="15" t="s">
        <v>448</v>
      </c>
      <c r="BI5" s="15" t="str">
        <f t="shared" ref="BI5:BI6" si="19">"2099"</f>
        <v>2099</v>
      </c>
      <c r="BJ5" s="15" t="str">
        <f t="shared" ref="BJ5:BJ6" si="20">"885"</f>
        <v>885</v>
      </c>
      <c r="BK5" s="15" t="s">
        <v>415</v>
      </c>
      <c r="BL5" s="15" t="str">
        <f t="shared" si="8"/>
        <v>1</v>
      </c>
      <c r="BM5" s="15" t="s">
        <v>416</v>
      </c>
      <c r="BN5" s="15" t="str">
        <f t="shared" ref="BN5:BN6" si="21">"75.2"</f>
        <v>75.2</v>
      </c>
      <c r="BO5" s="15" t="str">
        <f t="shared" ref="BO5:BO6" si="22">"24.25"</f>
        <v>24.25</v>
      </c>
      <c r="BP5" s="15" t="str">
        <f t="shared" ref="BP5:BP6" si="23">"24.21"</f>
        <v>24.21</v>
      </c>
      <c r="BQ5" s="15" t="str">
        <f t="shared" ref="BQ5:BQ6" si="24">"142.64"</f>
        <v>142.64</v>
      </c>
      <c r="CG5" s="15" t="str">
        <f t="shared" ref="CG5:CG6" si="25">"25.57"</f>
        <v>25.57</v>
      </c>
      <c r="CH5" s="15" t="str">
        <f t="shared" ref="CH5:CH6" si="26">"0.724"</f>
        <v>0.724</v>
      </c>
      <c r="CI5" s="15" t="s">
        <v>465</v>
      </c>
      <c r="CS5" s="15" t="s">
        <v>466</v>
      </c>
      <c r="CT5" s="15" t="s">
        <v>467</v>
      </c>
      <c r="CU5" s="15" t="s">
        <v>468</v>
      </c>
      <c r="CV5" s="15">
        <v>0.0</v>
      </c>
      <c r="CW5" s="15">
        <v>0.0</v>
      </c>
      <c r="CX5" s="15" t="s">
        <v>469</v>
      </c>
      <c r="CZ5" s="15" t="s">
        <v>419</v>
      </c>
      <c r="DA5" s="15">
        <v>0.0</v>
      </c>
      <c r="DB5" s="15" t="s">
        <v>419</v>
      </c>
      <c r="DD5" s="15">
        <v>0.0</v>
      </c>
      <c r="DF5" s="15" t="s">
        <v>420</v>
      </c>
      <c r="DG5" s="15" t="s">
        <v>419</v>
      </c>
      <c r="DH5" s="15">
        <v>0.0</v>
      </c>
      <c r="DI5" s="15">
        <v>0.0</v>
      </c>
      <c r="DJ5" s="15">
        <v>0.0</v>
      </c>
      <c r="DK5" s="15">
        <v>0.0</v>
      </c>
      <c r="DM5" s="15" t="s">
        <v>470</v>
      </c>
      <c r="DP5" s="15">
        <v>0.0</v>
      </c>
      <c r="DQ5" s="15">
        <v>3.0</v>
      </c>
      <c r="DR5" s="15" t="s">
        <v>471</v>
      </c>
      <c r="DS5" s="15" t="s">
        <v>423</v>
      </c>
      <c r="DT5" s="15">
        <v>0.0</v>
      </c>
      <c r="DU5" s="15" t="s">
        <v>473</v>
      </c>
      <c r="EF5" s="15" t="s">
        <v>475</v>
      </c>
      <c r="EG5" s="15" t="s">
        <v>476</v>
      </c>
      <c r="EH5" s="15" t="s">
        <v>477</v>
      </c>
      <c r="EU5" s="15" t="s">
        <v>426</v>
      </c>
    </row>
    <row r="6" ht="17.25" customHeight="1">
      <c r="A6" s="15" t="s">
        <v>479</v>
      </c>
      <c r="B6" s="15" t="str">
        <f>"801542200244"</f>
        <v>801542200244</v>
      </c>
      <c r="C6" s="15" t="s">
        <v>10917</v>
      </c>
      <c r="D6" s="15" t="str">
        <f t="shared" si="1"/>
        <v>Abaso Accent BenchRustic Wormwood Oak</v>
      </c>
      <c r="E6" s="15" t="s">
        <v>447</v>
      </c>
      <c r="F6" s="15" t="s">
        <v>397</v>
      </c>
      <c r="G6" s="15" t="s">
        <v>434</v>
      </c>
      <c r="J6" s="15" t="s">
        <v>434</v>
      </c>
      <c r="M6" s="15" t="s">
        <v>411</v>
      </c>
      <c r="N6" s="15" t="s">
        <v>458</v>
      </c>
      <c r="O6" s="15" t="s">
        <v>459</v>
      </c>
      <c r="P6" s="15" t="str">
        <f t="shared" si="15"/>
        <v>70</v>
      </c>
      <c r="Q6" s="15" t="str">
        <f t="shared" si="16"/>
        <v>19.25</v>
      </c>
      <c r="R6" s="15" t="str">
        <f t="shared" si="17"/>
        <v>19</v>
      </c>
      <c r="S6" s="15" t="str">
        <f t="shared" si="18"/>
        <v>99.16</v>
      </c>
      <c r="T6" s="15" t="s">
        <v>407</v>
      </c>
      <c r="U6" s="15" t="s">
        <v>10881</v>
      </c>
      <c r="AA6" s="15" t="s">
        <v>426</v>
      </c>
      <c r="AB6" s="15" t="s">
        <v>413</v>
      </c>
      <c r="AC6" s="15" t="s">
        <v>481</v>
      </c>
      <c r="AD6" s="15" t="s">
        <v>10918</v>
      </c>
      <c r="AE6" s="15" t="s">
        <v>480</v>
      </c>
      <c r="AF6" s="15" t="s">
        <v>10919</v>
      </c>
      <c r="AG6" s="15" t="s">
        <v>10920</v>
      </c>
      <c r="AH6" s="15" t="s">
        <v>10921</v>
      </c>
      <c r="AI6" s="15" t="s">
        <v>10922</v>
      </c>
      <c r="AJ6" s="15" t="s">
        <v>10923</v>
      </c>
      <c r="AK6" s="15" t="s">
        <v>10924</v>
      </c>
      <c r="AL6" s="15" t="s">
        <v>10925</v>
      </c>
      <c r="AM6" s="15" t="s">
        <v>10926</v>
      </c>
      <c r="AN6" s="15" t="s">
        <v>10927</v>
      </c>
      <c r="AO6" s="15" t="s">
        <v>10928</v>
      </c>
      <c r="AP6" s="15" t="s">
        <v>10929</v>
      </c>
      <c r="AQ6" s="15" t="s">
        <v>10930</v>
      </c>
      <c r="AR6" s="15" t="s">
        <v>10931</v>
      </c>
      <c r="AS6" s="15" t="s">
        <v>10932</v>
      </c>
      <c r="AT6" s="15" t="s">
        <v>10933</v>
      </c>
      <c r="AU6" s="15" t="s">
        <v>10934</v>
      </c>
      <c r="AV6" s="15" t="s">
        <v>10935</v>
      </c>
      <c r="BH6" s="15" t="s">
        <v>478</v>
      </c>
      <c r="BI6" s="15" t="str">
        <f t="shared" si="19"/>
        <v>2099</v>
      </c>
      <c r="BJ6" s="15" t="str">
        <f t="shared" si="20"/>
        <v>885</v>
      </c>
      <c r="BK6" s="15" t="s">
        <v>415</v>
      </c>
      <c r="BL6" s="15" t="str">
        <f t="shared" si="8"/>
        <v>1</v>
      </c>
      <c r="BM6" s="15" t="s">
        <v>416</v>
      </c>
      <c r="BN6" s="15" t="str">
        <f t="shared" si="21"/>
        <v>75.2</v>
      </c>
      <c r="BO6" s="15" t="str">
        <f t="shared" si="22"/>
        <v>24.25</v>
      </c>
      <c r="BP6" s="15" t="str">
        <f t="shared" si="23"/>
        <v>24.21</v>
      </c>
      <c r="BQ6" s="15" t="str">
        <f t="shared" si="24"/>
        <v>142.64</v>
      </c>
      <c r="CG6" s="15" t="str">
        <f t="shared" si="25"/>
        <v>25.57</v>
      </c>
      <c r="CH6" s="15" t="str">
        <f t="shared" si="26"/>
        <v>0.724</v>
      </c>
      <c r="CI6" s="15" t="s">
        <v>465</v>
      </c>
      <c r="CS6" s="15" t="s">
        <v>466</v>
      </c>
      <c r="CT6" s="15" t="s">
        <v>467</v>
      </c>
      <c r="CU6" s="15" t="s">
        <v>468</v>
      </c>
      <c r="CV6" s="15">
        <v>0.0</v>
      </c>
      <c r="CW6" s="15">
        <v>0.0</v>
      </c>
      <c r="CX6" s="15" t="s">
        <v>469</v>
      </c>
      <c r="CZ6" s="15" t="s">
        <v>419</v>
      </c>
      <c r="DA6" s="15">
        <v>0.0</v>
      </c>
      <c r="DB6" s="15" t="s">
        <v>419</v>
      </c>
      <c r="DD6" s="15">
        <v>0.0</v>
      </c>
      <c r="DF6" s="15" t="s">
        <v>420</v>
      </c>
      <c r="DG6" s="15" t="s">
        <v>419</v>
      </c>
      <c r="DH6" s="15">
        <v>0.0</v>
      </c>
      <c r="DI6" s="15">
        <v>0.0</v>
      </c>
      <c r="DJ6" s="15">
        <v>0.0</v>
      </c>
      <c r="DK6" s="15">
        <v>0.0</v>
      </c>
      <c r="DM6" s="15" t="s">
        <v>470</v>
      </c>
      <c r="DP6" s="15">
        <v>0.0</v>
      </c>
      <c r="DQ6" s="15">
        <v>3.0</v>
      </c>
      <c r="DR6" s="15" t="s">
        <v>471</v>
      </c>
      <c r="DS6" s="15" t="s">
        <v>423</v>
      </c>
      <c r="DT6" s="15">
        <v>0.0</v>
      </c>
      <c r="DU6" s="15" t="s">
        <v>473</v>
      </c>
      <c r="EF6" s="15" t="s">
        <v>475</v>
      </c>
      <c r="EG6" s="15" t="s">
        <v>476</v>
      </c>
      <c r="EH6" s="15" t="s">
        <v>477</v>
      </c>
      <c r="EU6" s="15" t="s">
        <v>426</v>
      </c>
    </row>
    <row r="7" ht="17.25" customHeight="1">
      <c r="A7" s="15" t="s">
        <v>484</v>
      </c>
      <c r="B7" s="15" t="str">
        <f>"801542200299"</f>
        <v>801542200299</v>
      </c>
      <c r="C7" s="15" t="s">
        <v>10936</v>
      </c>
      <c r="D7" s="15" t="str">
        <f t="shared" si="1"/>
        <v>Abaso Coffee TableEbony Rustic Wormwood Oak</v>
      </c>
      <c r="E7" s="15" t="s">
        <v>482</v>
      </c>
      <c r="F7" s="15" t="s">
        <v>397</v>
      </c>
      <c r="G7" s="15" t="s">
        <v>398</v>
      </c>
      <c r="J7" s="15" t="s">
        <v>398</v>
      </c>
      <c r="M7" s="15" t="s">
        <v>411</v>
      </c>
      <c r="N7" s="15" t="s">
        <v>491</v>
      </c>
      <c r="P7" s="15" t="str">
        <f t="shared" ref="P7:Q7" si="27">"55"</f>
        <v>55</v>
      </c>
      <c r="Q7" s="15" t="str">
        <f t="shared" si="27"/>
        <v>55</v>
      </c>
      <c r="R7" s="15" t="str">
        <f>"15"</f>
        <v>15</v>
      </c>
      <c r="S7" s="15" t="str">
        <f>"168.87"</f>
        <v>168.87</v>
      </c>
      <c r="T7" s="15" t="s">
        <v>407</v>
      </c>
      <c r="U7" s="15" t="s">
        <v>10881</v>
      </c>
      <c r="AA7" s="15" t="s">
        <v>426</v>
      </c>
      <c r="AB7" s="15" t="s">
        <v>413</v>
      </c>
      <c r="AC7" s="15" t="s">
        <v>492</v>
      </c>
      <c r="AD7" s="15" t="s">
        <v>10937</v>
      </c>
      <c r="AE7" s="15" t="s">
        <v>486</v>
      </c>
      <c r="AF7" s="15" t="s">
        <v>10938</v>
      </c>
      <c r="AG7" s="15" t="s">
        <v>10939</v>
      </c>
      <c r="AH7" s="15" t="s">
        <v>10940</v>
      </c>
      <c r="AI7" s="15" t="s">
        <v>10941</v>
      </c>
      <c r="AJ7" s="15" t="s">
        <v>10888</v>
      </c>
      <c r="AK7" s="15" t="s">
        <v>10942</v>
      </c>
      <c r="AL7" s="15" t="s">
        <v>10943</v>
      </c>
      <c r="AM7" s="15" t="s">
        <v>10944</v>
      </c>
      <c r="AN7" s="15" t="s">
        <v>10945</v>
      </c>
      <c r="AO7" s="15" t="s">
        <v>10946</v>
      </c>
      <c r="AP7" s="15" t="s">
        <v>10947</v>
      </c>
      <c r="BH7" s="15" t="s">
        <v>483</v>
      </c>
      <c r="BI7" s="15" t="str">
        <f>"2299"</f>
        <v>2299</v>
      </c>
      <c r="BJ7" s="15" t="str">
        <f>"970"</f>
        <v>970</v>
      </c>
      <c r="BK7" s="15" t="s">
        <v>415</v>
      </c>
      <c r="BL7" s="15" t="str">
        <f t="shared" si="8"/>
        <v>1</v>
      </c>
      <c r="BM7" s="15" t="s">
        <v>416</v>
      </c>
      <c r="BN7" s="15" t="str">
        <f>"61.26"</f>
        <v>61.26</v>
      </c>
      <c r="BO7" s="15" t="str">
        <f>"61.65"</f>
        <v>61.65</v>
      </c>
      <c r="BP7" s="15" t="str">
        <f>"20.87"</f>
        <v>20.87</v>
      </c>
      <c r="BQ7" s="15" t="str">
        <f>"200.62"</f>
        <v>200.62</v>
      </c>
      <c r="CG7" s="15" t="str">
        <f>"45.59"</f>
        <v>45.59</v>
      </c>
      <c r="CH7" s="15" t="str">
        <f>"1.291"</f>
        <v>1.291</v>
      </c>
      <c r="CI7" s="15" t="s">
        <v>497</v>
      </c>
      <c r="CZ7" s="15" t="s">
        <v>419</v>
      </c>
      <c r="DA7" s="15">
        <v>0.0</v>
      </c>
      <c r="DB7" s="15" t="s">
        <v>419</v>
      </c>
      <c r="DD7" s="15">
        <v>0.0</v>
      </c>
      <c r="DF7" s="15" t="s">
        <v>420</v>
      </c>
      <c r="DG7" s="15" t="s">
        <v>419</v>
      </c>
      <c r="DK7" s="15">
        <v>0.0</v>
      </c>
      <c r="DR7" s="15" t="s">
        <v>498</v>
      </c>
      <c r="DS7" s="15" t="s">
        <v>423</v>
      </c>
      <c r="DU7" s="15" t="s">
        <v>500</v>
      </c>
      <c r="EF7" s="15" t="s">
        <v>475</v>
      </c>
      <c r="EG7" s="15" t="s">
        <v>502</v>
      </c>
      <c r="EH7" s="15" t="s">
        <v>502</v>
      </c>
      <c r="EQ7" s="15" t="s">
        <v>503</v>
      </c>
      <c r="ER7" s="15" t="s">
        <v>504</v>
      </c>
      <c r="ES7" s="15" t="s">
        <v>503</v>
      </c>
      <c r="ET7" s="15" t="s">
        <v>505</v>
      </c>
      <c r="EU7" s="15" t="s">
        <v>426</v>
      </c>
      <c r="EV7" s="15">
        <v>0.0</v>
      </c>
      <c r="EW7" s="15">
        <v>0.0</v>
      </c>
    </row>
    <row r="8" ht="17.25" customHeight="1">
      <c r="A8" s="15" t="s">
        <v>509</v>
      </c>
      <c r="B8" s="15" t="str">
        <f>"801542200848"</f>
        <v>801542200848</v>
      </c>
      <c r="C8" s="15" t="s">
        <v>10948</v>
      </c>
      <c r="D8" s="15" t="str">
        <f t="shared" si="1"/>
        <v>Abaso Console TableEbony Rustic Ash Oyster</v>
      </c>
      <c r="E8" s="15" t="s">
        <v>506</v>
      </c>
      <c r="F8" s="15" t="s">
        <v>397</v>
      </c>
      <c r="G8" s="15" t="s">
        <v>508</v>
      </c>
      <c r="J8" s="15" t="s">
        <v>508</v>
      </c>
      <c r="K8" s="15" t="s">
        <v>398</v>
      </c>
      <c r="M8" s="15" t="s">
        <v>411</v>
      </c>
      <c r="N8" s="15" t="s">
        <v>519</v>
      </c>
      <c r="P8" s="15" t="str">
        <f t="shared" ref="P8:P9" si="28">"86"</f>
        <v>86</v>
      </c>
      <c r="Q8" s="15" t="str">
        <f t="shared" ref="Q8:Q9" si="29">"20.25"</f>
        <v>20.25</v>
      </c>
      <c r="R8" s="15" t="str">
        <f t="shared" ref="R8:R9" si="30">"33"</f>
        <v>33</v>
      </c>
      <c r="S8" s="15" t="str">
        <f t="shared" ref="S8:S9" si="31">"132.5"</f>
        <v>132.5</v>
      </c>
      <c r="T8" s="15" t="s">
        <v>512</v>
      </c>
      <c r="U8" s="15" t="s">
        <v>10949</v>
      </c>
      <c r="V8" s="15" t="s">
        <v>10881</v>
      </c>
      <c r="AA8" s="15" t="s">
        <v>413</v>
      </c>
      <c r="AB8" s="15" t="s">
        <v>413</v>
      </c>
      <c r="AC8" s="15" t="s">
        <v>520</v>
      </c>
      <c r="AD8" s="15" t="s">
        <v>10950</v>
      </c>
      <c r="AE8" s="15" t="s">
        <v>511</v>
      </c>
      <c r="AF8" s="15" t="s">
        <v>10951</v>
      </c>
      <c r="AG8" s="15" t="s">
        <v>10952</v>
      </c>
      <c r="AH8" s="15" t="s">
        <v>10953</v>
      </c>
      <c r="AI8" s="15" t="s">
        <v>10954</v>
      </c>
      <c r="AJ8" s="15" t="s">
        <v>10955</v>
      </c>
      <c r="AK8" s="15" t="s">
        <v>10956</v>
      </c>
      <c r="AL8" s="15" t="s">
        <v>10888</v>
      </c>
      <c r="AM8" s="15" t="s">
        <v>10957</v>
      </c>
      <c r="AN8" s="15" t="s">
        <v>10958</v>
      </c>
      <c r="AO8" s="15" t="s">
        <v>10959</v>
      </c>
      <c r="AP8" s="15" t="s">
        <v>10960</v>
      </c>
      <c r="BH8" s="15" t="s">
        <v>507</v>
      </c>
      <c r="BI8" s="15" t="str">
        <f t="shared" ref="BI8:BI9" si="32">"2399"</f>
        <v>2399</v>
      </c>
      <c r="BJ8" s="15" t="str">
        <f t="shared" ref="BJ8:BJ9" si="33">"1010"</f>
        <v>1010</v>
      </c>
      <c r="BK8" s="15" t="s">
        <v>415</v>
      </c>
      <c r="BL8" s="15" t="str">
        <f t="shared" si="8"/>
        <v>1</v>
      </c>
      <c r="BM8" s="15" t="s">
        <v>416</v>
      </c>
      <c r="BN8" s="15" t="str">
        <f t="shared" ref="BN8:BN9" si="34">"79.53"</f>
        <v>79.53</v>
      </c>
      <c r="BO8" s="15" t="str">
        <f t="shared" ref="BO8:BO9" si="35">"25.98"</f>
        <v>25.98</v>
      </c>
      <c r="BP8" s="15" t="str">
        <f t="shared" ref="BP8:BP9" si="36">"39.37"</f>
        <v>39.37</v>
      </c>
      <c r="BQ8" s="15" t="str">
        <f t="shared" ref="BQ8:BQ9" si="37">"227.96"</f>
        <v>227.96</v>
      </c>
      <c r="CG8" s="15" t="str">
        <f t="shared" ref="CG8:CG9" si="38">"47.07"</f>
        <v>47.07</v>
      </c>
      <c r="CH8" s="15" t="str">
        <f t="shared" ref="CH8:CH9" si="39">"1.333"</f>
        <v>1.333</v>
      </c>
      <c r="CI8" s="15" t="s">
        <v>497</v>
      </c>
      <c r="CZ8" s="15" t="s">
        <v>419</v>
      </c>
      <c r="DA8" s="15">
        <v>0.0</v>
      </c>
      <c r="DB8" s="15" t="s">
        <v>419</v>
      </c>
      <c r="DD8" s="15">
        <v>0.0</v>
      </c>
      <c r="DF8" s="15" t="s">
        <v>420</v>
      </c>
      <c r="DG8" s="15" t="s">
        <v>419</v>
      </c>
      <c r="DK8" s="15">
        <v>0.0</v>
      </c>
      <c r="DR8" s="15" t="s">
        <v>471</v>
      </c>
      <c r="DS8" s="15" t="s">
        <v>423</v>
      </c>
      <c r="DU8" s="15" t="s">
        <v>424</v>
      </c>
      <c r="EF8" s="15" t="s">
        <v>525</v>
      </c>
      <c r="EG8" s="15" t="s">
        <v>526</v>
      </c>
      <c r="EH8" s="15" t="s">
        <v>527</v>
      </c>
      <c r="EQ8" s="15" t="s">
        <v>528</v>
      </c>
      <c r="ER8" s="15" t="s">
        <v>529</v>
      </c>
      <c r="ES8" s="15" t="s">
        <v>530</v>
      </c>
      <c r="ET8" s="15" t="s">
        <v>531</v>
      </c>
      <c r="EU8" s="15" t="s">
        <v>426</v>
      </c>
      <c r="EV8" s="15">
        <v>0.0</v>
      </c>
      <c r="EW8" s="15">
        <v>0.0</v>
      </c>
      <c r="FQ8" s="15">
        <v>0.0</v>
      </c>
      <c r="FR8" s="15" t="s">
        <v>427</v>
      </c>
    </row>
    <row r="9" ht="17.25" customHeight="1">
      <c r="A9" s="15" t="s">
        <v>534</v>
      </c>
      <c r="B9" s="15" t="str">
        <f>"801542009663"</f>
        <v>801542009663</v>
      </c>
      <c r="C9" s="15" t="s">
        <v>10961</v>
      </c>
      <c r="D9" s="15" t="str">
        <f t="shared" si="1"/>
        <v>Abaso Console TableRustic Ash Oyster</v>
      </c>
      <c r="E9" s="15" t="s">
        <v>506</v>
      </c>
      <c r="F9" s="15" t="s">
        <v>397</v>
      </c>
      <c r="G9" s="15" t="s">
        <v>533</v>
      </c>
      <c r="J9" s="15" t="s">
        <v>533</v>
      </c>
      <c r="K9" s="15" t="s">
        <v>434</v>
      </c>
      <c r="M9" s="15" t="s">
        <v>411</v>
      </c>
      <c r="N9" s="15" t="s">
        <v>519</v>
      </c>
      <c r="P9" s="15" t="str">
        <f t="shared" si="28"/>
        <v>86</v>
      </c>
      <c r="Q9" s="15" t="str">
        <f t="shared" si="29"/>
        <v>20.25</v>
      </c>
      <c r="R9" s="15" t="str">
        <f t="shared" si="30"/>
        <v>33</v>
      </c>
      <c r="S9" s="15" t="str">
        <f t="shared" si="31"/>
        <v>132.5</v>
      </c>
      <c r="T9" s="15" t="s">
        <v>512</v>
      </c>
      <c r="U9" s="15" t="s">
        <v>10949</v>
      </c>
      <c r="V9" s="15" t="s">
        <v>10881</v>
      </c>
      <c r="AA9" s="15" t="s">
        <v>426</v>
      </c>
      <c r="AB9" s="15" t="s">
        <v>413</v>
      </c>
      <c r="AC9" s="15" t="s">
        <v>536</v>
      </c>
      <c r="AD9" s="15" t="s">
        <v>10962</v>
      </c>
      <c r="AE9" s="15" t="s">
        <v>535</v>
      </c>
      <c r="AF9" s="15" t="s">
        <v>10963</v>
      </c>
      <c r="AG9" s="15" t="s">
        <v>10964</v>
      </c>
      <c r="AH9" s="15" t="s">
        <v>10965</v>
      </c>
      <c r="AI9" s="15" t="s">
        <v>10966</v>
      </c>
      <c r="AJ9" s="15" t="s">
        <v>10967</v>
      </c>
      <c r="AK9" s="15" t="s">
        <v>10968</v>
      </c>
      <c r="AL9" s="15" t="s">
        <v>10969</v>
      </c>
      <c r="AM9" s="15" t="s">
        <v>10970</v>
      </c>
      <c r="AN9" s="15" t="s">
        <v>10971</v>
      </c>
      <c r="BH9" s="15" t="s">
        <v>532</v>
      </c>
      <c r="BI9" s="15" t="str">
        <f t="shared" si="32"/>
        <v>2399</v>
      </c>
      <c r="BJ9" s="15" t="str">
        <f t="shared" si="33"/>
        <v>1010</v>
      </c>
      <c r="BK9" s="15" t="s">
        <v>415</v>
      </c>
      <c r="BL9" s="15" t="str">
        <f t="shared" si="8"/>
        <v>1</v>
      </c>
      <c r="BM9" s="15" t="s">
        <v>416</v>
      </c>
      <c r="BN9" s="15" t="str">
        <f t="shared" si="34"/>
        <v>79.53</v>
      </c>
      <c r="BO9" s="15" t="str">
        <f t="shared" si="35"/>
        <v>25.98</v>
      </c>
      <c r="BP9" s="15" t="str">
        <f t="shared" si="36"/>
        <v>39.37</v>
      </c>
      <c r="BQ9" s="15" t="str">
        <f t="shared" si="37"/>
        <v>227.96</v>
      </c>
      <c r="CG9" s="15" t="str">
        <f t="shared" si="38"/>
        <v>47.07</v>
      </c>
      <c r="CH9" s="15" t="str">
        <f t="shared" si="39"/>
        <v>1.333</v>
      </c>
      <c r="CI9" s="15" t="s">
        <v>497</v>
      </c>
      <c r="CZ9" s="15" t="s">
        <v>419</v>
      </c>
      <c r="DA9" s="15">
        <v>0.0</v>
      </c>
      <c r="DB9" s="15" t="s">
        <v>419</v>
      </c>
      <c r="DD9" s="15">
        <v>0.0</v>
      </c>
      <c r="DF9" s="15" t="s">
        <v>420</v>
      </c>
      <c r="DG9" s="15" t="s">
        <v>419</v>
      </c>
      <c r="DK9" s="15">
        <v>0.0</v>
      </c>
      <c r="DR9" s="15" t="s">
        <v>471</v>
      </c>
      <c r="DS9" s="15" t="s">
        <v>423</v>
      </c>
      <c r="DU9" s="15" t="s">
        <v>424</v>
      </c>
      <c r="EF9" s="15" t="s">
        <v>525</v>
      </c>
      <c r="EG9" s="15" t="s">
        <v>526</v>
      </c>
      <c r="EH9" s="15" t="s">
        <v>527</v>
      </c>
      <c r="EQ9" s="15" t="s">
        <v>528</v>
      </c>
      <c r="ER9" s="15" t="s">
        <v>529</v>
      </c>
      <c r="ES9" s="15" t="s">
        <v>530</v>
      </c>
      <c r="ET9" s="15" t="s">
        <v>531</v>
      </c>
      <c r="EU9" s="15" t="s">
        <v>426</v>
      </c>
      <c r="EV9" s="15">
        <v>0.0</v>
      </c>
      <c r="EW9" s="15">
        <v>0.0</v>
      </c>
      <c r="FQ9" s="15">
        <v>0.0</v>
      </c>
      <c r="FR9" s="15" t="s">
        <v>427</v>
      </c>
    </row>
    <row r="10" ht="17.25" customHeight="1">
      <c r="A10" s="15" t="s">
        <v>540</v>
      </c>
      <c r="B10" s="15" t="str">
        <f>"801542203122"</f>
        <v>801542203122</v>
      </c>
      <c r="C10" s="15" t="s">
        <v>10972</v>
      </c>
      <c r="D10" s="15" t="str">
        <f t="shared" si="1"/>
        <v>Abaso Dining TableEbony Rustic Wormwood Oak108</v>
      </c>
      <c r="E10" s="15" t="s">
        <v>537</v>
      </c>
      <c r="F10" s="15" t="s">
        <v>397</v>
      </c>
      <c r="G10" s="15" t="s">
        <v>398</v>
      </c>
      <c r="H10" s="15" t="s">
        <v>265</v>
      </c>
      <c r="I10" s="15" t="s">
        <v>539</v>
      </c>
      <c r="J10" s="15" t="s">
        <v>398</v>
      </c>
      <c r="M10" s="15" t="s">
        <v>411</v>
      </c>
      <c r="N10" s="15" t="s">
        <v>548</v>
      </c>
      <c r="O10" s="15" t="s">
        <v>549</v>
      </c>
      <c r="P10" s="15" t="str">
        <f>"108"</f>
        <v>108</v>
      </c>
      <c r="Q10" s="15" t="str">
        <f t="shared" ref="Q10:Q13" si="40">"43"</f>
        <v>43</v>
      </c>
      <c r="R10" s="15" t="str">
        <f t="shared" ref="R10:R13" si="41">"30"</f>
        <v>30</v>
      </c>
      <c r="S10" s="15" t="str">
        <f>"235.89"</f>
        <v>235.89</v>
      </c>
      <c r="T10" s="15" t="s">
        <v>407</v>
      </c>
      <c r="U10" s="15" t="s">
        <v>10881</v>
      </c>
      <c r="AA10" s="15" t="s">
        <v>426</v>
      </c>
      <c r="AB10" s="15" t="s">
        <v>413</v>
      </c>
      <c r="AC10" s="15" t="s">
        <v>550</v>
      </c>
      <c r="AD10" s="15" t="s">
        <v>10973</v>
      </c>
      <c r="AE10" s="15" t="s">
        <v>542</v>
      </c>
      <c r="AF10" s="15" t="s">
        <v>10974</v>
      </c>
      <c r="AG10" s="15" t="s">
        <v>10975</v>
      </c>
      <c r="AH10" s="15" t="s">
        <v>10976</v>
      </c>
      <c r="AI10" s="15" t="s">
        <v>10977</v>
      </c>
      <c r="AJ10" s="15" t="s">
        <v>10888</v>
      </c>
      <c r="AK10" s="15" t="s">
        <v>10978</v>
      </c>
      <c r="AL10" s="15" t="s">
        <v>10979</v>
      </c>
      <c r="AM10" s="15" t="s">
        <v>10980</v>
      </c>
      <c r="AN10" s="15" t="s">
        <v>10981</v>
      </c>
      <c r="BH10" s="15" t="s">
        <v>538</v>
      </c>
      <c r="BI10" s="15" t="str">
        <f>"4599"</f>
        <v>4599</v>
      </c>
      <c r="BJ10" s="15" t="str">
        <f>"1935"</f>
        <v>1935</v>
      </c>
      <c r="BK10" s="15" t="s">
        <v>415</v>
      </c>
      <c r="BL10" s="15" t="str">
        <f t="shared" si="8"/>
        <v>1</v>
      </c>
      <c r="BM10" s="15" t="s">
        <v>416</v>
      </c>
      <c r="BN10" s="15" t="str">
        <f>"100"</f>
        <v>100</v>
      </c>
      <c r="BO10" s="15" t="str">
        <f>"18.9"</f>
        <v>18.9</v>
      </c>
      <c r="BP10" s="15" t="str">
        <f>"51.18"</f>
        <v>51.18</v>
      </c>
      <c r="BQ10" s="15" t="str">
        <f>"322.97"</f>
        <v>322.97</v>
      </c>
      <c r="CG10" s="15" t="str">
        <f>"55.97"</f>
        <v>55.97</v>
      </c>
      <c r="CH10" s="15" t="str">
        <f>"1.585"</f>
        <v>1.585</v>
      </c>
      <c r="CI10" s="15" t="s">
        <v>465</v>
      </c>
      <c r="CZ10" s="15" t="s">
        <v>419</v>
      </c>
      <c r="DA10" s="15">
        <v>0.0</v>
      </c>
      <c r="DB10" s="15" t="s">
        <v>419</v>
      </c>
      <c r="DD10" s="15">
        <v>0.0</v>
      </c>
      <c r="DF10" s="15" t="s">
        <v>420</v>
      </c>
      <c r="DG10" s="15" t="s">
        <v>419</v>
      </c>
      <c r="DI10" s="15">
        <v>0.0</v>
      </c>
      <c r="DJ10" s="15">
        <v>0.0</v>
      </c>
      <c r="DK10" s="15">
        <v>0.0</v>
      </c>
      <c r="DQ10" s="15">
        <v>10.0</v>
      </c>
      <c r="DR10" s="15" t="s">
        <v>471</v>
      </c>
      <c r="DS10" s="15" t="s">
        <v>423</v>
      </c>
      <c r="DU10" s="15" t="s">
        <v>424</v>
      </c>
      <c r="EF10" s="15" t="s">
        <v>555</v>
      </c>
      <c r="EG10" s="15" t="s">
        <v>556</v>
      </c>
      <c r="EH10" s="15" t="s">
        <v>557</v>
      </c>
      <c r="EQ10" s="15" t="s">
        <v>528</v>
      </c>
      <c r="ER10" s="15" t="s">
        <v>558</v>
      </c>
      <c r="ES10" s="15" t="s">
        <v>530</v>
      </c>
      <c r="ET10" s="15" t="s">
        <v>429</v>
      </c>
      <c r="EU10" s="15" t="s">
        <v>426</v>
      </c>
      <c r="EV10" s="15">
        <v>0.0</v>
      </c>
      <c r="EW10" s="15">
        <v>0.0</v>
      </c>
      <c r="FE10" s="15" t="s">
        <v>555</v>
      </c>
      <c r="FG10" s="15" t="s">
        <v>559</v>
      </c>
    </row>
    <row r="11" ht="17.25" customHeight="1">
      <c r="A11" s="15" t="s">
        <v>561</v>
      </c>
      <c r="B11" s="15" t="str">
        <f>"801542957896"</f>
        <v>801542957896</v>
      </c>
      <c r="C11" s="15" t="s">
        <v>10972</v>
      </c>
      <c r="D11" s="15" t="str">
        <f t="shared" si="1"/>
        <v>Abaso Dining TableEbony Rustic Wormwood Oak86</v>
      </c>
      <c r="E11" s="15" t="s">
        <v>537</v>
      </c>
      <c r="F11" s="15" t="s">
        <v>397</v>
      </c>
      <c r="G11" s="15" t="s">
        <v>398</v>
      </c>
      <c r="H11" s="15" t="s">
        <v>265</v>
      </c>
      <c r="I11" s="15" t="s">
        <v>513</v>
      </c>
      <c r="J11" s="15" t="s">
        <v>398</v>
      </c>
      <c r="M11" s="15" t="s">
        <v>411</v>
      </c>
      <c r="N11" s="15" t="s">
        <v>548</v>
      </c>
      <c r="O11" s="15" t="s">
        <v>549</v>
      </c>
      <c r="P11" s="15" t="str">
        <f>"86"</f>
        <v>86</v>
      </c>
      <c r="Q11" s="15" t="str">
        <f t="shared" si="40"/>
        <v>43</v>
      </c>
      <c r="R11" s="15" t="str">
        <f t="shared" si="41"/>
        <v>30</v>
      </c>
      <c r="S11" s="15" t="str">
        <f>"188.27"</f>
        <v>188.27</v>
      </c>
      <c r="T11" s="15" t="s">
        <v>407</v>
      </c>
      <c r="U11" s="15" t="s">
        <v>10881</v>
      </c>
      <c r="AA11" s="15" t="s">
        <v>426</v>
      </c>
      <c r="AB11" s="15" t="s">
        <v>413</v>
      </c>
      <c r="AC11" s="15" t="s">
        <v>564</v>
      </c>
      <c r="AD11" s="15" t="s">
        <v>10982</v>
      </c>
      <c r="AE11" s="15" t="s">
        <v>563</v>
      </c>
      <c r="AF11" s="15" t="s">
        <v>10983</v>
      </c>
      <c r="AG11" s="15" t="s">
        <v>10984</v>
      </c>
      <c r="AH11" s="15" t="s">
        <v>10985</v>
      </c>
      <c r="AI11" s="15" t="s">
        <v>10986</v>
      </c>
      <c r="AJ11" s="15" t="s">
        <v>10987</v>
      </c>
      <c r="AK11" s="15" t="s">
        <v>10888</v>
      </c>
      <c r="AL11" s="15" t="s">
        <v>10988</v>
      </c>
      <c r="AM11" s="15" t="s">
        <v>10989</v>
      </c>
      <c r="AN11" s="15" t="s">
        <v>10990</v>
      </c>
      <c r="AO11" s="15" t="s">
        <v>10991</v>
      </c>
      <c r="BH11" s="15" t="s">
        <v>560</v>
      </c>
      <c r="BI11" s="15" t="str">
        <f>"3999"</f>
        <v>3999</v>
      </c>
      <c r="BJ11" s="15" t="str">
        <f>"1680"</f>
        <v>1680</v>
      </c>
      <c r="BK11" s="15" t="s">
        <v>415</v>
      </c>
      <c r="BL11" s="15" t="str">
        <f t="shared" si="8"/>
        <v>1</v>
      </c>
      <c r="BM11" s="15" t="s">
        <v>416</v>
      </c>
      <c r="BN11" s="15" t="str">
        <f>"78.7"</f>
        <v>78.7</v>
      </c>
      <c r="BO11" s="15" t="str">
        <f>"19.29"</f>
        <v>19.29</v>
      </c>
      <c r="BP11" s="15" t="str">
        <f>"51.57"</f>
        <v>51.57</v>
      </c>
      <c r="BQ11" s="15" t="str">
        <f>"233.69"</f>
        <v>233.69</v>
      </c>
      <c r="CG11" s="15" t="str">
        <f>"45.31"</f>
        <v>45.31</v>
      </c>
      <c r="CH11" s="15" t="str">
        <f>"1.283"</f>
        <v>1.283</v>
      </c>
      <c r="CI11" s="15" t="s">
        <v>465</v>
      </c>
      <c r="CZ11" s="15" t="s">
        <v>419</v>
      </c>
      <c r="DA11" s="15">
        <v>0.0</v>
      </c>
      <c r="DB11" s="15" t="s">
        <v>419</v>
      </c>
      <c r="DD11" s="15">
        <v>0.0</v>
      </c>
      <c r="DF11" s="15" t="s">
        <v>420</v>
      </c>
      <c r="DG11" s="15" t="s">
        <v>419</v>
      </c>
      <c r="DI11" s="15">
        <v>0.0</v>
      </c>
      <c r="DJ11" s="15">
        <v>0.0</v>
      </c>
      <c r="DK11" s="15">
        <v>0.0</v>
      </c>
      <c r="DQ11" s="15">
        <v>8.0</v>
      </c>
      <c r="DR11" s="15" t="s">
        <v>471</v>
      </c>
      <c r="DS11" s="15" t="s">
        <v>423</v>
      </c>
      <c r="DU11" s="15" t="s">
        <v>424</v>
      </c>
      <c r="EF11" s="15" t="s">
        <v>555</v>
      </c>
      <c r="EG11" s="15" t="s">
        <v>556</v>
      </c>
      <c r="EH11" s="15" t="s">
        <v>527</v>
      </c>
      <c r="EQ11" s="15" t="s">
        <v>528</v>
      </c>
      <c r="ER11" s="15" t="s">
        <v>558</v>
      </c>
      <c r="ES11" s="15" t="s">
        <v>530</v>
      </c>
      <c r="ET11" s="15" t="s">
        <v>429</v>
      </c>
      <c r="EU11" s="15" t="s">
        <v>426</v>
      </c>
      <c r="EV11" s="15">
        <v>0.0</v>
      </c>
      <c r="EW11" s="15">
        <v>0.0</v>
      </c>
      <c r="FE11" s="15" t="s">
        <v>555</v>
      </c>
      <c r="FG11" s="15" t="s">
        <v>559</v>
      </c>
    </row>
    <row r="12" ht="17.25" customHeight="1">
      <c r="A12" s="15" t="s">
        <v>570</v>
      </c>
      <c r="B12" s="15" t="str">
        <f>"801542110406"</f>
        <v>801542110406</v>
      </c>
      <c r="C12" s="15" t="s">
        <v>10992</v>
      </c>
      <c r="D12" s="15" t="str">
        <f t="shared" si="1"/>
        <v>Abaso Dining TableRustic Wormwood Oak108</v>
      </c>
      <c r="E12" s="15" t="s">
        <v>537</v>
      </c>
      <c r="F12" s="15" t="s">
        <v>397</v>
      </c>
      <c r="G12" s="15" t="s">
        <v>434</v>
      </c>
      <c r="H12" s="15" t="s">
        <v>265</v>
      </c>
      <c r="I12" s="15" t="s">
        <v>539</v>
      </c>
      <c r="J12" s="15" t="s">
        <v>434</v>
      </c>
      <c r="M12" s="15" t="s">
        <v>411</v>
      </c>
      <c r="N12" s="15" t="s">
        <v>548</v>
      </c>
      <c r="O12" s="15" t="s">
        <v>549</v>
      </c>
      <c r="P12" s="15" t="str">
        <f>"108"</f>
        <v>108</v>
      </c>
      <c r="Q12" s="15" t="str">
        <f t="shared" si="40"/>
        <v>43</v>
      </c>
      <c r="R12" s="15" t="str">
        <f t="shared" si="41"/>
        <v>30</v>
      </c>
      <c r="S12" s="15" t="str">
        <f>"235.89"</f>
        <v>235.89</v>
      </c>
      <c r="T12" s="15" t="s">
        <v>407</v>
      </c>
      <c r="U12" s="15" t="s">
        <v>10881</v>
      </c>
      <c r="AA12" s="15" t="s">
        <v>426</v>
      </c>
      <c r="AB12" s="15" t="s">
        <v>413</v>
      </c>
      <c r="AC12" s="15" t="s">
        <v>572</v>
      </c>
      <c r="AD12" s="15" t="s">
        <v>10993</v>
      </c>
      <c r="AE12" s="15" t="s">
        <v>571</v>
      </c>
      <c r="AF12" s="15" t="s">
        <v>10994</v>
      </c>
      <c r="AG12" s="15" t="s">
        <v>10995</v>
      </c>
      <c r="AH12" s="15" t="s">
        <v>10996</v>
      </c>
      <c r="AI12" s="15" t="s">
        <v>10997</v>
      </c>
      <c r="AJ12" s="15" t="s">
        <v>10998</v>
      </c>
      <c r="AK12" s="15" t="s">
        <v>10999</v>
      </c>
      <c r="AL12" s="15" t="s">
        <v>11000</v>
      </c>
      <c r="AM12" s="15" t="s">
        <v>11001</v>
      </c>
      <c r="BH12" s="15" t="s">
        <v>569</v>
      </c>
      <c r="BI12" s="15" t="str">
        <f>"4599"</f>
        <v>4599</v>
      </c>
      <c r="BJ12" s="15" t="str">
        <f>"1935"</f>
        <v>1935</v>
      </c>
      <c r="BK12" s="15" t="s">
        <v>415</v>
      </c>
      <c r="BL12" s="15" t="str">
        <f t="shared" si="8"/>
        <v>1</v>
      </c>
      <c r="BM12" s="15" t="s">
        <v>416</v>
      </c>
      <c r="BN12" s="15" t="str">
        <f>"100"</f>
        <v>100</v>
      </c>
      <c r="BO12" s="15" t="str">
        <f>"18.9"</f>
        <v>18.9</v>
      </c>
      <c r="BP12" s="15" t="str">
        <f>"51.18"</f>
        <v>51.18</v>
      </c>
      <c r="BQ12" s="15" t="str">
        <f>"322.97"</f>
        <v>322.97</v>
      </c>
      <c r="CG12" s="15" t="str">
        <f>"55.97"</f>
        <v>55.97</v>
      </c>
      <c r="CH12" s="15" t="str">
        <f>"1.585"</f>
        <v>1.585</v>
      </c>
      <c r="CI12" s="15" t="s">
        <v>497</v>
      </c>
      <c r="CZ12" s="15" t="s">
        <v>419</v>
      </c>
      <c r="DA12" s="15">
        <v>0.0</v>
      </c>
      <c r="DB12" s="15" t="s">
        <v>419</v>
      </c>
      <c r="DD12" s="15">
        <v>0.0</v>
      </c>
      <c r="DF12" s="15" t="s">
        <v>420</v>
      </c>
      <c r="DG12" s="15" t="s">
        <v>419</v>
      </c>
      <c r="DI12" s="15">
        <v>0.0</v>
      </c>
      <c r="DJ12" s="15">
        <v>0.0</v>
      </c>
      <c r="DK12" s="15">
        <v>0.0</v>
      </c>
      <c r="DQ12" s="15">
        <v>10.0</v>
      </c>
      <c r="DR12" s="15" t="s">
        <v>471</v>
      </c>
      <c r="DS12" s="15" t="s">
        <v>423</v>
      </c>
      <c r="DU12" s="15" t="s">
        <v>424</v>
      </c>
      <c r="EF12" s="15" t="s">
        <v>555</v>
      </c>
      <c r="EG12" s="15" t="s">
        <v>556</v>
      </c>
      <c r="EH12" s="15" t="s">
        <v>557</v>
      </c>
      <c r="EQ12" s="15" t="s">
        <v>528</v>
      </c>
      <c r="ER12" s="15" t="s">
        <v>558</v>
      </c>
      <c r="ES12" s="15" t="s">
        <v>530</v>
      </c>
      <c r="ET12" s="15" t="s">
        <v>429</v>
      </c>
      <c r="EU12" s="15" t="s">
        <v>426</v>
      </c>
      <c r="EV12" s="15">
        <v>0.0</v>
      </c>
      <c r="EW12" s="15">
        <v>0.0</v>
      </c>
      <c r="FE12" s="15" t="s">
        <v>555</v>
      </c>
      <c r="FG12" s="15" t="s">
        <v>559</v>
      </c>
    </row>
    <row r="13" ht="17.25" customHeight="1">
      <c r="A13" s="15" t="s">
        <v>574</v>
      </c>
      <c r="B13" s="15" t="str">
        <f>"801542312725"</f>
        <v>801542312725</v>
      </c>
      <c r="C13" s="15" t="s">
        <v>10992</v>
      </c>
      <c r="D13" s="15" t="str">
        <f t="shared" si="1"/>
        <v>Abaso Dining TableRustic Wormwood Oak86</v>
      </c>
      <c r="E13" s="15" t="s">
        <v>537</v>
      </c>
      <c r="F13" s="15" t="s">
        <v>397</v>
      </c>
      <c r="G13" s="15" t="s">
        <v>434</v>
      </c>
      <c r="H13" s="15" t="s">
        <v>265</v>
      </c>
      <c r="I13" s="15" t="s">
        <v>513</v>
      </c>
      <c r="J13" s="15" t="s">
        <v>434</v>
      </c>
      <c r="M13" s="15" t="s">
        <v>411</v>
      </c>
      <c r="N13" s="15" t="s">
        <v>548</v>
      </c>
      <c r="O13" s="15" t="s">
        <v>549</v>
      </c>
      <c r="P13" s="15" t="str">
        <f>"86"</f>
        <v>86</v>
      </c>
      <c r="Q13" s="15" t="str">
        <f t="shared" si="40"/>
        <v>43</v>
      </c>
      <c r="R13" s="15" t="str">
        <f t="shared" si="41"/>
        <v>30</v>
      </c>
      <c r="S13" s="15" t="str">
        <f>"188.27"</f>
        <v>188.27</v>
      </c>
      <c r="T13" s="15" t="s">
        <v>407</v>
      </c>
      <c r="U13" s="15" t="s">
        <v>10881</v>
      </c>
      <c r="AA13" s="15" t="s">
        <v>426</v>
      </c>
      <c r="AB13" s="15" t="s">
        <v>413</v>
      </c>
      <c r="AC13" s="15" t="s">
        <v>576</v>
      </c>
      <c r="AD13" s="15" t="s">
        <v>11002</v>
      </c>
      <c r="AE13" s="15" t="s">
        <v>575</v>
      </c>
      <c r="AF13" s="15" t="s">
        <v>11003</v>
      </c>
      <c r="AG13" s="15" t="s">
        <v>11004</v>
      </c>
      <c r="AH13" s="15" t="s">
        <v>11005</v>
      </c>
      <c r="AI13" s="15" t="s">
        <v>11006</v>
      </c>
      <c r="AJ13" s="15" t="s">
        <v>11007</v>
      </c>
      <c r="AK13" s="15" t="s">
        <v>11008</v>
      </c>
      <c r="AL13" s="15" t="s">
        <v>11009</v>
      </c>
      <c r="AM13" s="15" t="s">
        <v>11010</v>
      </c>
      <c r="AN13" s="15" t="s">
        <v>11011</v>
      </c>
      <c r="AO13" s="15" t="s">
        <v>11012</v>
      </c>
      <c r="AP13" s="15" t="s">
        <v>11013</v>
      </c>
      <c r="BH13" s="15" t="s">
        <v>573</v>
      </c>
      <c r="BI13" s="15" t="str">
        <f>"3999"</f>
        <v>3999</v>
      </c>
      <c r="BJ13" s="15" t="str">
        <f>"1680"</f>
        <v>1680</v>
      </c>
      <c r="BK13" s="15" t="s">
        <v>415</v>
      </c>
      <c r="BL13" s="15" t="str">
        <f t="shared" si="8"/>
        <v>1</v>
      </c>
      <c r="BM13" s="15" t="s">
        <v>416</v>
      </c>
      <c r="BN13" s="15" t="str">
        <f>"78.7"</f>
        <v>78.7</v>
      </c>
      <c r="BO13" s="15" t="str">
        <f>"19.29"</f>
        <v>19.29</v>
      </c>
      <c r="BP13" s="15" t="str">
        <f>"51.57"</f>
        <v>51.57</v>
      </c>
      <c r="BQ13" s="15" t="str">
        <f>"233.69"</f>
        <v>233.69</v>
      </c>
      <c r="CG13" s="15" t="str">
        <f>"45.31"</f>
        <v>45.31</v>
      </c>
      <c r="CH13" s="15" t="str">
        <f>"1.283"</f>
        <v>1.283</v>
      </c>
      <c r="CI13" s="15" t="s">
        <v>465</v>
      </c>
      <c r="CZ13" s="15" t="s">
        <v>419</v>
      </c>
      <c r="DA13" s="15">
        <v>0.0</v>
      </c>
      <c r="DB13" s="15" t="s">
        <v>419</v>
      </c>
      <c r="DD13" s="15">
        <v>0.0</v>
      </c>
      <c r="DF13" s="15" t="s">
        <v>420</v>
      </c>
      <c r="DG13" s="15" t="s">
        <v>419</v>
      </c>
      <c r="DI13" s="15">
        <v>0.0</v>
      </c>
      <c r="DJ13" s="15">
        <v>0.0</v>
      </c>
      <c r="DK13" s="15">
        <v>0.0</v>
      </c>
      <c r="DQ13" s="15">
        <v>8.0</v>
      </c>
      <c r="DR13" s="15" t="s">
        <v>471</v>
      </c>
      <c r="DS13" s="15" t="s">
        <v>423</v>
      </c>
      <c r="DU13" s="15" t="s">
        <v>424</v>
      </c>
      <c r="EF13" s="15" t="s">
        <v>555</v>
      </c>
      <c r="EG13" s="15" t="s">
        <v>556</v>
      </c>
      <c r="EH13" s="15" t="s">
        <v>527</v>
      </c>
      <c r="EQ13" s="15" t="s">
        <v>528</v>
      </c>
      <c r="ER13" s="15" t="s">
        <v>558</v>
      </c>
      <c r="ES13" s="15" t="s">
        <v>530</v>
      </c>
      <c r="ET13" s="15" t="s">
        <v>429</v>
      </c>
      <c r="EU13" s="15" t="s">
        <v>426</v>
      </c>
      <c r="EV13" s="15">
        <v>0.0</v>
      </c>
      <c r="EW13" s="15">
        <v>0.0</v>
      </c>
      <c r="FE13" s="15" t="s">
        <v>555</v>
      </c>
      <c r="FG13" s="15" t="s">
        <v>559</v>
      </c>
    </row>
    <row r="14" ht="17.25" customHeight="1">
      <c r="A14" s="15" t="s">
        <v>579</v>
      </c>
      <c r="B14" s="15" t="str">
        <f>"801542200329"</f>
        <v>801542200329</v>
      </c>
      <c r="C14" s="15" t="s">
        <v>11014</v>
      </c>
      <c r="D14" s="15" t="str">
        <f t="shared" si="1"/>
        <v>Abaso Large Accent BenchRustic Wormwood Oak</v>
      </c>
      <c r="E14" s="15" t="s">
        <v>577</v>
      </c>
      <c r="F14" s="15" t="s">
        <v>397</v>
      </c>
      <c r="G14" s="15" t="s">
        <v>434</v>
      </c>
      <c r="J14" s="15" t="s">
        <v>434</v>
      </c>
      <c r="M14" s="15" t="s">
        <v>411</v>
      </c>
      <c r="N14" s="15" t="s">
        <v>458</v>
      </c>
      <c r="O14" s="15" t="s">
        <v>459</v>
      </c>
      <c r="P14" s="15" t="str">
        <f>"90"</f>
        <v>90</v>
      </c>
      <c r="Q14" s="15" t="str">
        <f>"19.25"</f>
        <v>19.25</v>
      </c>
      <c r="R14" s="15" t="str">
        <f>"19"</f>
        <v>19</v>
      </c>
      <c r="S14" s="15" t="str">
        <f>"89.95"</f>
        <v>89.95</v>
      </c>
      <c r="T14" s="15" t="s">
        <v>407</v>
      </c>
      <c r="U14" s="15" t="s">
        <v>10881</v>
      </c>
      <c r="AA14" s="15" t="s">
        <v>426</v>
      </c>
      <c r="AB14" s="15" t="s">
        <v>413</v>
      </c>
      <c r="AC14" s="15" t="s">
        <v>460</v>
      </c>
      <c r="AD14" s="15" t="s">
        <v>11015</v>
      </c>
      <c r="AE14" s="15" t="s">
        <v>581</v>
      </c>
      <c r="AF14" s="15" t="s">
        <v>11016</v>
      </c>
      <c r="AG14" s="15" t="s">
        <v>11017</v>
      </c>
      <c r="AH14" s="15" t="s">
        <v>11018</v>
      </c>
      <c r="AI14" s="15" t="s">
        <v>11019</v>
      </c>
      <c r="AJ14" s="15" t="s">
        <v>11020</v>
      </c>
      <c r="AK14" s="15" t="s">
        <v>11021</v>
      </c>
      <c r="AL14" s="15" t="s">
        <v>11022</v>
      </c>
      <c r="AM14" s="15" t="s">
        <v>11023</v>
      </c>
      <c r="AN14" s="15" t="s">
        <v>11024</v>
      </c>
      <c r="AO14" s="15" t="s">
        <v>11025</v>
      </c>
      <c r="AP14" s="15" t="s">
        <v>11026</v>
      </c>
      <c r="BH14" s="15" t="s">
        <v>578</v>
      </c>
      <c r="BI14" s="15" t="str">
        <f>"2299"</f>
        <v>2299</v>
      </c>
      <c r="BJ14" s="15" t="str">
        <f>"970"</f>
        <v>970</v>
      </c>
      <c r="BK14" s="15" t="s">
        <v>415</v>
      </c>
      <c r="BL14" s="15" t="str">
        <f t="shared" si="8"/>
        <v>1</v>
      </c>
      <c r="BM14" s="15" t="s">
        <v>416</v>
      </c>
      <c r="BN14" s="15" t="str">
        <f>"96.06"</f>
        <v>96.06</v>
      </c>
      <c r="BO14" s="15" t="str">
        <f>"25.59"</f>
        <v>25.59</v>
      </c>
      <c r="BP14" s="15" t="str">
        <f>"25.2"</f>
        <v>25.2</v>
      </c>
      <c r="BQ14" s="15" t="str">
        <f>"169.31"</f>
        <v>169.31</v>
      </c>
      <c r="CG14" s="15" t="str">
        <f>"35.84"</f>
        <v>35.84</v>
      </c>
      <c r="CH14" s="15" t="str">
        <f>"1.015"</f>
        <v>1.015</v>
      </c>
      <c r="CI14" s="15" t="s">
        <v>465</v>
      </c>
      <c r="CS14" s="15" t="s">
        <v>466</v>
      </c>
      <c r="CT14" s="15" t="s">
        <v>467</v>
      </c>
      <c r="CU14" s="15" t="s">
        <v>587</v>
      </c>
      <c r="CV14" s="15">
        <v>0.0</v>
      </c>
      <c r="CW14" s="15">
        <v>0.0</v>
      </c>
      <c r="CX14" s="15" t="s">
        <v>469</v>
      </c>
      <c r="CZ14" s="15" t="s">
        <v>419</v>
      </c>
      <c r="DA14" s="15">
        <v>0.0</v>
      </c>
      <c r="DB14" s="15" t="s">
        <v>419</v>
      </c>
      <c r="DD14" s="15">
        <v>0.0</v>
      </c>
      <c r="DF14" s="15" t="s">
        <v>420</v>
      </c>
      <c r="DG14" s="15" t="s">
        <v>419</v>
      </c>
      <c r="DH14" s="15">
        <v>0.0</v>
      </c>
      <c r="DI14" s="15">
        <v>0.0</v>
      </c>
      <c r="DJ14" s="15">
        <v>0.0</v>
      </c>
      <c r="DK14" s="15">
        <v>0.0</v>
      </c>
      <c r="DM14" s="15" t="s">
        <v>470</v>
      </c>
      <c r="DP14" s="15">
        <v>0.0</v>
      </c>
      <c r="DQ14" s="15">
        <v>4.0</v>
      </c>
      <c r="DR14" s="15" t="s">
        <v>471</v>
      </c>
      <c r="DS14" s="15" t="s">
        <v>423</v>
      </c>
      <c r="DT14" s="15">
        <v>0.0</v>
      </c>
      <c r="DU14" s="15" t="s">
        <v>588</v>
      </c>
      <c r="EF14" s="15" t="s">
        <v>475</v>
      </c>
      <c r="EG14" s="15" t="s">
        <v>590</v>
      </c>
      <c r="EH14" s="15" t="s">
        <v>477</v>
      </c>
      <c r="EU14" s="15" t="s">
        <v>426</v>
      </c>
    </row>
    <row r="15" ht="17.25" customHeight="1">
      <c r="A15" s="15" t="s">
        <v>593</v>
      </c>
      <c r="B15" s="15" t="str">
        <f>"801542194239"</f>
        <v>801542194239</v>
      </c>
      <c r="C15" s="15" t="s">
        <v>11027</v>
      </c>
      <c r="D15" s="15" t="str">
        <f t="shared" si="1"/>
        <v>Abaso Media ConsoleEbony Rustic Wormwood Oak</v>
      </c>
      <c r="E15" s="15" t="s">
        <v>591</v>
      </c>
      <c r="F15" s="15" t="s">
        <v>397</v>
      </c>
      <c r="G15" s="15" t="s">
        <v>398</v>
      </c>
      <c r="J15" s="15" t="s">
        <v>398</v>
      </c>
      <c r="M15" s="15" t="s">
        <v>411</v>
      </c>
      <c r="N15" s="15" t="s">
        <v>602</v>
      </c>
      <c r="P15" s="15" t="str">
        <f>"94.5"</f>
        <v>94.5</v>
      </c>
      <c r="Q15" s="15" t="str">
        <f>"19.75"</f>
        <v>19.75</v>
      </c>
      <c r="R15" s="15" t="str">
        <f>"27"</f>
        <v>27</v>
      </c>
      <c r="S15" s="15" t="str">
        <f>"224.87"</f>
        <v>224.87</v>
      </c>
      <c r="T15" s="15" t="s">
        <v>407</v>
      </c>
      <c r="U15" s="15" t="s">
        <v>10881</v>
      </c>
      <c r="AA15" s="15" t="s">
        <v>426</v>
      </c>
      <c r="AB15" s="15" t="s">
        <v>413</v>
      </c>
      <c r="AC15" s="15" t="s">
        <v>603</v>
      </c>
      <c r="AD15" s="15" t="s">
        <v>11028</v>
      </c>
      <c r="AE15" s="15" t="s">
        <v>595</v>
      </c>
      <c r="AF15" s="15" t="s">
        <v>11029</v>
      </c>
      <c r="AG15" s="15" t="s">
        <v>11030</v>
      </c>
      <c r="AH15" s="15" t="s">
        <v>11031</v>
      </c>
      <c r="AI15" s="15" t="s">
        <v>10888</v>
      </c>
      <c r="AJ15" s="15" t="s">
        <v>11032</v>
      </c>
      <c r="AK15" s="15" t="s">
        <v>11033</v>
      </c>
      <c r="AL15" s="15" t="s">
        <v>11034</v>
      </c>
      <c r="AM15" s="15" t="s">
        <v>11035</v>
      </c>
      <c r="AN15" s="15" t="s">
        <v>11036</v>
      </c>
      <c r="AO15" s="15" t="s">
        <v>11037</v>
      </c>
      <c r="AP15" s="15" t="s">
        <v>11038</v>
      </c>
      <c r="AQ15" s="15" t="s">
        <v>11039</v>
      </c>
      <c r="BH15" s="15" t="s">
        <v>592</v>
      </c>
      <c r="BI15" s="15" t="str">
        <f>"4199"</f>
        <v>4199</v>
      </c>
      <c r="BJ15" s="15" t="str">
        <f>"1765"</f>
        <v>1765</v>
      </c>
      <c r="BK15" s="15" t="s">
        <v>415</v>
      </c>
      <c r="BL15" s="15" t="str">
        <f t="shared" si="8"/>
        <v>1</v>
      </c>
      <c r="BM15" s="15" t="s">
        <v>416</v>
      </c>
      <c r="BN15" s="15" t="str">
        <f>"100.59"</f>
        <v>100.59</v>
      </c>
      <c r="BO15" s="15" t="str">
        <f>"25.98"</f>
        <v>25.98</v>
      </c>
      <c r="BP15" s="15" t="str">
        <f>"34.25"</f>
        <v>34.25</v>
      </c>
      <c r="BQ15" s="15" t="str">
        <f>"308.86"</f>
        <v>308.86</v>
      </c>
      <c r="CG15" s="15" t="str">
        <f>"51.81"</f>
        <v>51.81</v>
      </c>
      <c r="CH15" s="15" t="str">
        <f>"1.467"</f>
        <v>1.467</v>
      </c>
      <c r="CI15" s="15" t="s">
        <v>465</v>
      </c>
      <c r="CM15" s="15" t="s">
        <v>607</v>
      </c>
      <c r="CN15" s="15" t="s">
        <v>608</v>
      </c>
      <c r="CO15" s="15" t="s">
        <v>609</v>
      </c>
      <c r="CZ15" s="15" t="s">
        <v>419</v>
      </c>
      <c r="DA15" s="15">
        <v>0.0</v>
      </c>
      <c r="DB15" s="15" t="s">
        <v>419</v>
      </c>
      <c r="DD15" s="15">
        <v>0.0</v>
      </c>
      <c r="DF15" s="15" t="s">
        <v>420</v>
      </c>
      <c r="DG15" s="15" t="s">
        <v>610</v>
      </c>
      <c r="DI15" s="15">
        <v>11.34</v>
      </c>
      <c r="DJ15" s="15">
        <v>25.0</v>
      </c>
      <c r="DK15" s="15">
        <v>2.0</v>
      </c>
      <c r="DS15" s="15" t="s">
        <v>423</v>
      </c>
      <c r="EF15" s="15" t="s">
        <v>425</v>
      </c>
      <c r="EU15" s="15" t="s">
        <v>426</v>
      </c>
      <c r="EV15" s="15">
        <v>2.0</v>
      </c>
      <c r="FH15" s="15" t="s">
        <v>611</v>
      </c>
      <c r="FI15" s="15" t="s">
        <v>612</v>
      </c>
      <c r="FJ15" s="15" t="s">
        <v>613</v>
      </c>
      <c r="FK15" s="15" t="s">
        <v>607</v>
      </c>
      <c r="FL15" s="15" t="s">
        <v>612</v>
      </c>
      <c r="FM15" s="15" t="s">
        <v>609</v>
      </c>
      <c r="FO15" s="15" t="s">
        <v>426</v>
      </c>
      <c r="FQ15" s="15">
        <v>4.0</v>
      </c>
      <c r="FR15" s="15" t="s">
        <v>614</v>
      </c>
      <c r="FS15" s="15" t="s">
        <v>615</v>
      </c>
      <c r="FU15" s="15" t="s">
        <v>426</v>
      </c>
      <c r="FW15" s="15" t="s">
        <v>616</v>
      </c>
      <c r="GM15" s="15">
        <v>0.0</v>
      </c>
    </row>
    <row r="16" ht="17.25" customHeight="1">
      <c r="A16" s="15" t="s">
        <v>619</v>
      </c>
      <c r="B16" s="15" t="str">
        <f>"801542240943"</f>
        <v>801542240943</v>
      </c>
      <c r="C16" s="15" t="s">
        <v>11040</v>
      </c>
      <c r="D16" s="15" t="str">
        <f t="shared" si="1"/>
        <v>Abaso NightstandEbony Rustic Wormwood Oak</v>
      </c>
      <c r="E16" s="15" t="s">
        <v>617</v>
      </c>
      <c r="F16" s="15" t="s">
        <v>397</v>
      </c>
      <c r="G16" s="15" t="s">
        <v>398</v>
      </c>
      <c r="J16" s="15" t="s">
        <v>398</v>
      </c>
      <c r="M16" s="15" t="s">
        <v>411</v>
      </c>
      <c r="N16" s="15" t="s">
        <v>628</v>
      </c>
      <c r="P16" s="15" t="str">
        <f t="shared" ref="P16:P17" si="42">"36"</f>
        <v>36</v>
      </c>
      <c r="Q16" s="15" t="str">
        <f t="shared" ref="Q16:Q17" si="43">"20.75"</f>
        <v>20.75</v>
      </c>
      <c r="R16" s="15" t="str">
        <f t="shared" ref="R16:R17" si="44">"22.75"</f>
        <v>22.75</v>
      </c>
      <c r="S16" s="15" t="str">
        <f t="shared" ref="S16:S17" si="45">"87.3"</f>
        <v>87.3</v>
      </c>
      <c r="T16" s="15" t="s">
        <v>407</v>
      </c>
      <c r="U16" s="15" t="s">
        <v>10881</v>
      </c>
      <c r="AA16" s="15" t="s">
        <v>413</v>
      </c>
      <c r="AB16" s="15" t="s">
        <v>413</v>
      </c>
      <c r="AC16" s="15" t="s">
        <v>629</v>
      </c>
      <c r="AD16" s="15" t="s">
        <v>11041</v>
      </c>
      <c r="AE16" s="15" t="s">
        <v>621</v>
      </c>
      <c r="AF16" s="15" t="s">
        <v>11042</v>
      </c>
      <c r="AG16" s="15" t="s">
        <v>11043</v>
      </c>
      <c r="AH16" s="15" t="s">
        <v>11044</v>
      </c>
      <c r="AI16" s="15" t="s">
        <v>11045</v>
      </c>
      <c r="AJ16" s="15" t="s">
        <v>11046</v>
      </c>
      <c r="AK16" s="15" t="s">
        <v>11047</v>
      </c>
      <c r="AL16" s="15" t="s">
        <v>10888</v>
      </c>
      <c r="AM16" s="15" t="s">
        <v>11048</v>
      </c>
      <c r="AN16" s="15" t="s">
        <v>11049</v>
      </c>
      <c r="AO16" s="15" t="s">
        <v>11050</v>
      </c>
      <c r="AP16" s="15" t="s">
        <v>11051</v>
      </c>
      <c r="AQ16" s="15" t="s">
        <v>11052</v>
      </c>
      <c r="AR16" s="15" t="s">
        <v>11053</v>
      </c>
      <c r="AS16" s="15" t="s">
        <v>11054</v>
      </c>
      <c r="AT16" s="15" t="s">
        <v>11055</v>
      </c>
      <c r="AU16" s="15" t="s">
        <v>11056</v>
      </c>
      <c r="AV16" s="15" t="s">
        <v>11057</v>
      </c>
      <c r="BH16" s="15" t="s">
        <v>618</v>
      </c>
      <c r="BI16" s="15" t="str">
        <f t="shared" ref="BI16:BI17" si="46">"2199"</f>
        <v>2199</v>
      </c>
      <c r="BJ16" s="15" t="str">
        <f t="shared" ref="BJ16:BJ17" si="47">"925"</f>
        <v>925</v>
      </c>
      <c r="BK16" s="15" t="s">
        <v>415</v>
      </c>
      <c r="BL16" s="15" t="str">
        <f t="shared" si="8"/>
        <v>1</v>
      </c>
      <c r="BM16" s="15" t="s">
        <v>416</v>
      </c>
      <c r="BN16" s="15" t="str">
        <f t="shared" ref="BN16:BN17" si="48">"41.34"</f>
        <v>41.34</v>
      </c>
      <c r="BO16" s="15" t="str">
        <f t="shared" ref="BO16:BO17" si="49">"25.79"</f>
        <v>25.79</v>
      </c>
      <c r="BP16" s="15" t="str">
        <f t="shared" ref="BP16:BP17" si="50">"28.94"</f>
        <v>28.94</v>
      </c>
      <c r="BQ16" s="15" t="str">
        <f t="shared" ref="BQ16:BQ17" si="51">"116.07"</f>
        <v>116.07</v>
      </c>
      <c r="CG16" s="15" t="str">
        <f t="shared" ref="CG16:CG17" si="52">"17.83"</f>
        <v>17.83</v>
      </c>
      <c r="CH16" s="15" t="str">
        <f t="shared" ref="CH16:CH17" si="53">"0.505"</f>
        <v>0.505</v>
      </c>
      <c r="CI16" s="15" t="s">
        <v>417</v>
      </c>
      <c r="CZ16" s="15" t="s">
        <v>418</v>
      </c>
      <c r="DA16" s="15">
        <v>2.0</v>
      </c>
      <c r="DB16" s="15" t="s">
        <v>419</v>
      </c>
      <c r="DD16" s="15">
        <v>0.0</v>
      </c>
      <c r="DF16" s="15" t="s">
        <v>420</v>
      </c>
      <c r="DG16" s="15" t="s">
        <v>421</v>
      </c>
      <c r="DK16" s="15">
        <v>0.0</v>
      </c>
      <c r="DR16" s="15" t="s">
        <v>471</v>
      </c>
      <c r="DS16" s="15" t="s">
        <v>423</v>
      </c>
      <c r="DU16" s="15" t="s">
        <v>500</v>
      </c>
      <c r="EF16" s="15" t="s">
        <v>425</v>
      </c>
      <c r="EU16" s="15" t="s">
        <v>426</v>
      </c>
      <c r="EV16" s="15">
        <v>0.0</v>
      </c>
      <c r="FQ16" s="15">
        <v>0.0</v>
      </c>
      <c r="FR16" s="15" t="s">
        <v>427</v>
      </c>
      <c r="FX16" s="15" t="s">
        <v>426</v>
      </c>
      <c r="FZ16" s="15" t="s">
        <v>634</v>
      </c>
      <c r="GB16" s="15" t="s">
        <v>635</v>
      </c>
      <c r="GD16" s="15" t="s">
        <v>636</v>
      </c>
      <c r="GF16" s="15" t="s">
        <v>431</v>
      </c>
    </row>
    <row r="17" ht="17.25" customHeight="1">
      <c r="A17" s="15" t="s">
        <v>638</v>
      </c>
      <c r="B17" s="15" t="str">
        <f>"801542240950"</f>
        <v>801542240950</v>
      </c>
      <c r="C17" s="15" t="s">
        <v>11058</v>
      </c>
      <c r="D17" s="15" t="str">
        <f t="shared" si="1"/>
        <v>Abaso NightstandRustic Wormwood Oak</v>
      </c>
      <c r="E17" s="15" t="s">
        <v>617</v>
      </c>
      <c r="F17" s="15" t="s">
        <v>397</v>
      </c>
      <c r="G17" s="15" t="s">
        <v>434</v>
      </c>
      <c r="J17" s="15" t="s">
        <v>434</v>
      </c>
      <c r="M17" s="15" t="s">
        <v>411</v>
      </c>
      <c r="N17" s="15" t="s">
        <v>628</v>
      </c>
      <c r="P17" s="15" t="str">
        <f t="shared" si="42"/>
        <v>36</v>
      </c>
      <c r="Q17" s="15" t="str">
        <f t="shared" si="43"/>
        <v>20.75</v>
      </c>
      <c r="R17" s="15" t="str">
        <f t="shared" si="44"/>
        <v>22.75</v>
      </c>
      <c r="S17" s="15" t="str">
        <f t="shared" si="45"/>
        <v>87.3</v>
      </c>
      <c r="T17" s="15" t="s">
        <v>407</v>
      </c>
      <c r="U17" s="15" t="s">
        <v>10881</v>
      </c>
      <c r="AA17" s="15" t="s">
        <v>413</v>
      </c>
      <c r="AB17" s="15" t="s">
        <v>413</v>
      </c>
      <c r="AC17" s="15" t="s">
        <v>629</v>
      </c>
      <c r="AD17" s="15" t="s">
        <v>11059</v>
      </c>
      <c r="AE17" s="15" t="s">
        <v>639</v>
      </c>
      <c r="AF17" s="15" t="s">
        <v>11060</v>
      </c>
      <c r="AG17" s="15" t="s">
        <v>11061</v>
      </c>
      <c r="AH17" s="15" t="s">
        <v>11062</v>
      </c>
      <c r="AI17" s="15" t="s">
        <v>11063</v>
      </c>
      <c r="AJ17" s="15" t="s">
        <v>11064</v>
      </c>
      <c r="AK17" s="15" t="s">
        <v>11065</v>
      </c>
      <c r="AL17" s="15" t="s">
        <v>11066</v>
      </c>
      <c r="AM17" s="15" t="s">
        <v>11067</v>
      </c>
      <c r="AN17" s="15" t="s">
        <v>11068</v>
      </c>
      <c r="AO17" s="15" t="s">
        <v>11069</v>
      </c>
      <c r="AP17" s="15" t="s">
        <v>11070</v>
      </c>
      <c r="AQ17" s="15" t="s">
        <v>11071</v>
      </c>
      <c r="AR17" s="15" t="s">
        <v>11072</v>
      </c>
      <c r="AS17" s="15" t="s">
        <v>11073</v>
      </c>
      <c r="AT17" s="15" t="s">
        <v>11074</v>
      </c>
      <c r="AU17" s="15" t="s">
        <v>11075</v>
      </c>
      <c r="BH17" s="15" t="s">
        <v>637</v>
      </c>
      <c r="BI17" s="15" t="str">
        <f t="shared" si="46"/>
        <v>2199</v>
      </c>
      <c r="BJ17" s="15" t="str">
        <f t="shared" si="47"/>
        <v>925</v>
      </c>
      <c r="BK17" s="15" t="s">
        <v>415</v>
      </c>
      <c r="BL17" s="15" t="str">
        <f t="shared" si="8"/>
        <v>1</v>
      </c>
      <c r="BM17" s="15" t="s">
        <v>416</v>
      </c>
      <c r="BN17" s="15" t="str">
        <f t="shared" si="48"/>
        <v>41.34</v>
      </c>
      <c r="BO17" s="15" t="str">
        <f t="shared" si="49"/>
        <v>25.79</v>
      </c>
      <c r="BP17" s="15" t="str">
        <f t="shared" si="50"/>
        <v>28.94</v>
      </c>
      <c r="BQ17" s="15" t="str">
        <f t="shared" si="51"/>
        <v>116.07</v>
      </c>
      <c r="CG17" s="15" t="str">
        <f t="shared" si="52"/>
        <v>17.83</v>
      </c>
      <c r="CH17" s="15" t="str">
        <f t="shared" si="53"/>
        <v>0.505</v>
      </c>
      <c r="CI17" s="15" t="s">
        <v>417</v>
      </c>
      <c r="CZ17" s="15" t="s">
        <v>418</v>
      </c>
      <c r="DA17" s="15">
        <v>2.0</v>
      </c>
      <c r="DB17" s="15" t="s">
        <v>419</v>
      </c>
      <c r="DD17" s="15">
        <v>0.0</v>
      </c>
      <c r="DF17" s="15" t="s">
        <v>420</v>
      </c>
      <c r="DG17" s="15" t="s">
        <v>421</v>
      </c>
      <c r="DK17" s="15">
        <v>0.0</v>
      </c>
      <c r="DR17" s="15" t="s">
        <v>471</v>
      </c>
      <c r="DS17" s="15" t="s">
        <v>423</v>
      </c>
      <c r="DU17" s="15" t="s">
        <v>500</v>
      </c>
      <c r="EF17" s="15" t="s">
        <v>425</v>
      </c>
      <c r="EU17" s="15" t="s">
        <v>426</v>
      </c>
      <c r="EV17" s="15">
        <v>0.0</v>
      </c>
      <c r="FQ17" s="15">
        <v>0.0</v>
      </c>
      <c r="FR17" s="15" t="s">
        <v>427</v>
      </c>
      <c r="FX17" s="15" t="s">
        <v>426</v>
      </c>
      <c r="FZ17" s="15" t="s">
        <v>634</v>
      </c>
      <c r="GB17" s="15" t="s">
        <v>635</v>
      </c>
      <c r="GD17" s="15" t="s">
        <v>636</v>
      </c>
      <c r="GF17" s="15" t="s">
        <v>431</v>
      </c>
    </row>
    <row r="18" ht="17.25" customHeight="1">
      <c r="A18" s="15" t="s">
        <v>642</v>
      </c>
      <c r="B18" s="15" t="str">
        <f>"801542200916"</f>
        <v>801542200916</v>
      </c>
      <c r="C18" s="15" t="s">
        <v>11076</v>
      </c>
      <c r="D18" s="15" t="str">
        <f t="shared" si="1"/>
        <v>Abaso Rectangular Coffee TableEbony Rustic Wormwood Oak</v>
      </c>
      <c r="E18" s="15" t="s">
        <v>640</v>
      </c>
      <c r="F18" s="15" t="s">
        <v>397</v>
      </c>
      <c r="G18" s="15" t="s">
        <v>398</v>
      </c>
      <c r="J18" s="15" t="s">
        <v>398</v>
      </c>
      <c r="M18" s="15" t="s">
        <v>411</v>
      </c>
      <c r="N18" s="15" t="s">
        <v>491</v>
      </c>
      <c r="P18" s="15" t="str">
        <f t="shared" ref="P18:P19" si="54">"70"</f>
        <v>70</v>
      </c>
      <c r="Q18" s="15" t="str">
        <f t="shared" ref="Q18:Q19" si="55">"35"</f>
        <v>35</v>
      </c>
      <c r="R18" s="15" t="str">
        <f t="shared" ref="R18:R19" si="56">"15"</f>
        <v>15</v>
      </c>
      <c r="S18" s="15" t="str">
        <f t="shared" ref="S18:S19" si="57">"110.67"</f>
        <v>110.67</v>
      </c>
      <c r="T18" s="15" t="s">
        <v>407</v>
      </c>
      <c r="U18" s="15" t="s">
        <v>10881</v>
      </c>
      <c r="AA18" s="15" t="s">
        <v>413</v>
      </c>
      <c r="AB18" s="15" t="s">
        <v>413</v>
      </c>
      <c r="AC18" s="15" t="s">
        <v>647</v>
      </c>
      <c r="AD18" s="15" t="s">
        <v>11077</v>
      </c>
      <c r="AE18" s="15" t="s">
        <v>644</v>
      </c>
      <c r="AF18" s="15" t="s">
        <v>11078</v>
      </c>
      <c r="AG18" s="15" t="s">
        <v>11079</v>
      </c>
      <c r="AH18" s="15" t="s">
        <v>11080</v>
      </c>
      <c r="AI18" s="15" t="s">
        <v>10888</v>
      </c>
      <c r="AJ18" s="15" t="s">
        <v>11081</v>
      </c>
      <c r="AK18" s="15" t="s">
        <v>11082</v>
      </c>
      <c r="AL18" s="15" t="s">
        <v>11083</v>
      </c>
      <c r="AM18" s="15" t="s">
        <v>11084</v>
      </c>
      <c r="AN18" s="15" t="s">
        <v>11085</v>
      </c>
      <c r="AO18" s="15" t="s">
        <v>11086</v>
      </c>
      <c r="AP18" s="15" t="s">
        <v>11087</v>
      </c>
      <c r="BH18" s="15" t="s">
        <v>641</v>
      </c>
      <c r="BI18" s="15" t="str">
        <f t="shared" ref="BI18:BI19" si="58">"2499"</f>
        <v>2499</v>
      </c>
      <c r="BJ18" s="15" t="str">
        <f t="shared" ref="BJ18:BJ19" si="59">"1050"</f>
        <v>1050</v>
      </c>
      <c r="BK18" s="15" t="s">
        <v>415</v>
      </c>
      <c r="BL18" s="15" t="str">
        <f t="shared" si="8"/>
        <v>1</v>
      </c>
      <c r="BM18" s="15" t="s">
        <v>416</v>
      </c>
      <c r="BN18" s="15" t="str">
        <f t="shared" ref="BN18:BN19" si="60">"75.2"</f>
        <v>75.2</v>
      </c>
      <c r="BO18" s="15" t="str">
        <f t="shared" ref="BO18:BO19" si="61">"40.94"</f>
        <v>40.94</v>
      </c>
      <c r="BP18" s="15" t="str">
        <f t="shared" ref="BP18:BP19" si="62">"20.87"</f>
        <v>20.87</v>
      </c>
      <c r="BQ18" s="15" t="str">
        <f t="shared" ref="BQ18:BQ19" si="63">"208.89"</f>
        <v>208.89</v>
      </c>
      <c r="CG18" s="15" t="str">
        <f t="shared" ref="CG18:CG19" si="64">"37.19"</f>
        <v>37.19</v>
      </c>
      <c r="CH18" s="15" t="str">
        <f t="shared" ref="CH18:CH19" si="65">"1.053"</f>
        <v>1.053</v>
      </c>
      <c r="CI18" s="15" t="s">
        <v>497</v>
      </c>
      <c r="CZ18" s="15" t="s">
        <v>419</v>
      </c>
      <c r="DA18" s="15">
        <v>0.0</v>
      </c>
      <c r="DB18" s="15" t="s">
        <v>419</v>
      </c>
      <c r="DD18" s="15">
        <v>0.0</v>
      </c>
      <c r="DF18" s="15" t="s">
        <v>420</v>
      </c>
      <c r="DG18" s="15" t="s">
        <v>419</v>
      </c>
      <c r="DK18" s="15">
        <v>0.0</v>
      </c>
      <c r="DR18" s="15" t="s">
        <v>471</v>
      </c>
      <c r="DS18" s="15" t="s">
        <v>423</v>
      </c>
      <c r="DU18" s="15" t="s">
        <v>500</v>
      </c>
      <c r="EF18" s="15" t="s">
        <v>475</v>
      </c>
      <c r="EG18" s="15" t="s">
        <v>650</v>
      </c>
      <c r="EH18" s="15" t="s">
        <v>651</v>
      </c>
      <c r="EQ18" s="15" t="s">
        <v>652</v>
      </c>
      <c r="ER18" s="15" t="s">
        <v>504</v>
      </c>
      <c r="ES18" s="15" t="s">
        <v>652</v>
      </c>
      <c r="ET18" s="15" t="s">
        <v>505</v>
      </c>
      <c r="EU18" s="15" t="s">
        <v>426</v>
      </c>
      <c r="EV18" s="15">
        <v>0.0</v>
      </c>
      <c r="EW18" s="15">
        <v>0.0</v>
      </c>
    </row>
    <row r="19" ht="17.25" customHeight="1">
      <c r="A19" s="15" t="s">
        <v>654</v>
      </c>
      <c r="B19" s="15" t="str">
        <f>"801542200343"</f>
        <v>801542200343</v>
      </c>
      <c r="C19" s="15" t="s">
        <v>11088</v>
      </c>
      <c r="D19" s="15" t="str">
        <f t="shared" si="1"/>
        <v>Abaso Rectangular Coffee TableRustic Wormwood Oak</v>
      </c>
      <c r="E19" s="15" t="s">
        <v>640</v>
      </c>
      <c r="F19" s="15" t="s">
        <v>397</v>
      </c>
      <c r="G19" s="15" t="s">
        <v>434</v>
      </c>
      <c r="J19" s="15" t="s">
        <v>434</v>
      </c>
      <c r="M19" s="15" t="s">
        <v>411</v>
      </c>
      <c r="N19" s="15" t="s">
        <v>491</v>
      </c>
      <c r="P19" s="15" t="str">
        <f t="shared" si="54"/>
        <v>70</v>
      </c>
      <c r="Q19" s="15" t="str">
        <f t="shared" si="55"/>
        <v>35</v>
      </c>
      <c r="R19" s="15" t="str">
        <f t="shared" si="56"/>
        <v>15</v>
      </c>
      <c r="S19" s="15" t="str">
        <f t="shared" si="57"/>
        <v>110.67</v>
      </c>
      <c r="T19" s="15" t="s">
        <v>407</v>
      </c>
      <c r="U19" s="15" t="s">
        <v>10881</v>
      </c>
      <c r="AA19" s="15" t="s">
        <v>413</v>
      </c>
      <c r="AB19" s="15" t="s">
        <v>413</v>
      </c>
      <c r="AC19" s="15" t="s">
        <v>656</v>
      </c>
      <c r="AD19" s="15" t="s">
        <v>11089</v>
      </c>
      <c r="AE19" s="15" t="s">
        <v>655</v>
      </c>
      <c r="AF19" s="15" t="s">
        <v>11090</v>
      </c>
      <c r="AG19" s="15" t="s">
        <v>11091</v>
      </c>
      <c r="AH19" s="15" t="s">
        <v>11092</v>
      </c>
      <c r="AI19" s="15" t="s">
        <v>11093</v>
      </c>
      <c r="AJ19" s="15" t="s">
        <v>11094</v>
      </c>
      <c r="AK19" s="15" t="s">
        <v>11095</v>
      </c>
      <c r="AL19" s="15" t="s">
        <v>11096</v>
      </c>
      <c r="AM19" s="15" t="s">
        <v>11097</v>
      </c>
      <c r="AN19" s="15" t="s">
        <v>11098</v>
      </c>
      <c r="AO19" s="15" t="s">
        <v>11099</v>
      </c>
      <c r="AP19" s="15" t="s">
        <v>11100</v>
      </c>
      <c r="BH19" s="15" t="s">
        <v>653</v>
      </c>
      <c r="BI19" s="15" t="str">
        <f t="shared" si="58"/>
        <v>2499</v>
      </c>
      <c r="BJ19" s="15" t="str">
        <f t="shared" si="59"/>
        <v>1050</v>
      </c>
      <c r="BK19" s="15" t="s">
        <v>415</v>
      </c>
      <c r="BL19" s="15" t="str">
        <f t="shared" si="8"/>
        <v>1</v>
      </c>
      <c r="BM19" s="15" t="s">
        <v>416</v>
      </c>
      <c r="BN19" s="15" t="str">
        <f t="shared" si="60"/>
        <v>75.2</v>
      </c>
      <c r="BO19" s="15" t="str">
        <f t="shared" si="61"/>
        <v>40.94</v>
      </c>
      <c r="BP19" s="15" t="str">
        <f t="shared" si="62"/>
        <v>20.87</v>
      </c>
      <c r="BQ19" s="15" t="str">
        <f t="shared" si="63"/>
        <v>208.89</v>
      </c>
      <c r="CG19" s="15" t="str">
        <f t="shared" si="64"/>
        <v>37.19</v>
      </c>
      <c r="CH19" s="15" t="str">
        <f t="shared" si="65"/>
        <v>1.053</v>
      </c>
      <c r="CI19" s="15" t="s">
        <v>497</v>
      </c>
      <c r="CZ19" s="15" t="s">
        <v>419</v>
      </c>
      <c r="DA19" s="15">
        <v>0.0</v>
      </c>
      <c r="DB19" s="15" t="s">
        <v>419</v>
      </c>
      <c r="DD19" s="15">
        <v>0.0</v>
      </c>
      <c r="DF19" s="15" t="s">
        <v>420</v>
      </c>
      <c r="DG19" s="15" t="s">
        <v>419</v>
      </c>
      <c r="DK19" s="15">
        <v>0.0</v>
      </c>
      <c r="DR19" s="15" t="s">
        <v>471</v>
      </c>
      <c r="DS19" s="15" t="s">
        <v>423</v>
      </c>
      <c r="DU19" s="15" t="s">
        <v>500</v>
      </c>
      <c r="EF19" s="15" t="s">
        <v>475</v>
      </c>
      <c r="EG19" s="15" t="s">
        <v>650</v>
      </c>
      <c r="EH19" s="15" t="s">
        <v>651</v>
      </c>
      <c r="EQ19" s="15" t="s">
        <v>652</v>
      </c>
      <c r="ER19" s="15" t="s">
        <v>504</v>
      </c>
      <c r="ES19" s="15" t="s">
        <v>652</v>
      </c>
      <c r="ET19" s="15" t="s">
        <v>505</v>
      </c>
      <c r="EU19" s="15" t="s">
        <v>426</v>
      </c>
      <c r="EV19" s="15">
        <v>0.0</v>
      </c>
      <c r="EW19" s="15">
        <v>0.0</v>
      </c>
    </row>
    <row r="20" ht="17.25" customHeight="1">
      <c r="A20" s="15" t="s">
        <v>659</v>
      </c>
      <c r="B20" s="15" t="str">
        <f>"801542203139"</f>
        <v>801542203139</v>
      </c>
      <c r="C20" s="15" t="s">
        <v>11101</v>
      </c>
      <c r="D20" s="15" t="str">
        <f t="shared" si="1"/>
        <v>Abaso SideboardEbony Rustic Wormwood Oak</v>
      </c>
      <c r="E20" s="15" t="s">
        <v>657</v>
      </c>
      <c r="F20" s="15" t="s">
        <v>397</v>
      </c>
      <c r="G20" s="15" t="s">
        <v>398</v>
      </c>
      <c r="J20" s="15" t="s">
        <v>398</v>
      </c>
      <c r="M20" s="15" t="s">
        <v>411</v>
      </c>
      <c r="N20" s="15" t="s">
        <v>664</v>
      </c>
      <c r="P20" s="15" t="str">
        <f>"94.5"</f>
        <v>94.5</v>
      </c>
      <c r="Q20" s="15" t="str">
        <f>"19.75"</f>
        <v>19.75</v>
      </c>
      <c r="R20" s="15" t="str">
        <f>"33.25"</f>
        <v>33.25</v>
      </c>
      <c r="S20" s="15" t="str">
        <f>"285.5"</f>
        <v>285.5</v>
      </c>
      <c r="T20" s="15" t="s">
        <v>407</v>
      </c>
      <c r="U20" s="15" t="s">
        <v>10881</v>
      </c>
      <c r="AA20" s="15" t="s">
        <v>413</v>
      </c>
      <c r="AB20" s="15" t="s">
        <v>413</v>
      </c>
      <c r="AC20" s="15" t="s">
        <v>665</v>
      </c>
      <c r="AD20" s="15" t="s">
        <v>11102</v>
      </c>
      <c r="AE20" s="15" t="s">
        <v>661</v>
      </c>
      <c r="AF20" s="15" t="s">
        <v>11103</v>
      </c>
      <c r="AG20" s="15" t="s">
        <v>11104</v>
      </c>
      <c r="AH20" s="15" t="s">
        <v>11105</v>
      </c>
      <c r="AI20" s="15" t="s">
        <v>11106</v>
      </c>
      <c r="AJ20" s="15" t="s">
        <v>10888</v>
      </c>
      <c r="AK20" s="15" t="s">
        <v>11107</v>
      </c>
      <c r="AL20" s="15" t="s">
        <v>11108</v>
      </c>
      <c r="AM20" s="15" t="s">
        <v>11109</v>
      </c>
      <c r="AN20" s="15" t="s">
        <v>11110</v>
      </c>
      <c r="AO20" s="15" t="s">
        <v>11111</v>
      </c>
      <c r="AP20" s="15" t="s">
        <v>11112</v>
      </c>
      <c r="BH20" s="15" t="s">
        <v>658</v>
      </c>
      <c r="BI20" s="15" t="str">
        <f>"4199"</f>
        <v>4199</v>
      </c>
      <c r="BJ20" s="15" t="str">
        <f>"1765"</f>
        <v>1765</v>
      </c>
      <c r="BK20" s="15" t="s">
        <v>415</v>
      </c>
      <c r="BL20" s="15" t="str">
        <f t="shared" si="8"/>
        <v>1</v>
      </c>
      <c r="BM20" s="15" t="s">
        <v>416</v>
      </c>
      <c r="BN20" s="15" t="str">
        <f>"100.79"</f>
        <v>100.79</v>
      </c>
      <c r="BO20" s="15" t="str">
        <f>"25.98"</f>
        <v>25.98</v>
      </c>
      <c r="BP20" s="15" t="str">
        <f>"40.16"</f>
        <v>40.16</v>
      </c>
      <c r="BQ20" s="15" t="str">
        <f>"334.44"</f>
        <v>334.44</v>
      </c>
      <c r="CG20" s="15" t="str">
        <f>"60.85"</f>
        <v>60.85</v>
      </c>
      <c r="CH20" s="15" t="str">
        <f>"1.723"</f>
        <v>1.723</v>
      </c>
      <c r="CI20" s="15" t="s">
        <v>417</v>
      </c>
      <c r="CM20" s="15" t="s">
        <v>669</v>
      </c>
      <c r="CN20" s="15" t="s">
        <v>670</v>
      </c>
      <c r="CO20" s="15" t="s">
        <v>671</v>
      </c>
      <c r="CZ20" s="15" t="s">
        <v>419</v>
      </c>
      <c r="DA20" s="15">
        <v>0.0</v>
      </c>
      <c r="DB20" s="15" t="s">
        <v>419</v>
      </c>
      <c r="DD20" s="15">
        <v>0.0</v>
      </c>
      <c r="DF20" s="15" t="s">
        <v>420</v>
      </c>
      <c r="DG20" s="15" t="s">
        <v>610</v>
      </c>
      <c r="DI20" s="15">
        <v>18.14</v>
      </c>
      <c r="DJ20" s="15">
        <v>40.0</v>
      </c>
      <c r="DK20" s="15">
        <v>2.0</v>
      </c>
      <c r="DS20" s="15" t="s">
        <v>423</v>
      </c>
      <c r="DU20" s="15" t="s">
        <v>424</v>
      </c>
      <c r="EF20" s="15" t="s">
        <v>672</v>
      </c>
      <c r="EU20" s="15" t="s">
        <v>426</v>
      </c>
      <c r="EV20" s="15">
        <v>2.0</v>
      </c>
      <c r="FH20" s="15" t="s">
        <v>673</v>
      </c>
      <c r="FI20" s="15" t="s">
        <v>612</v>
      </c>
      <c r="FJ20" s="15" t="s">
        <v>613</v>
      </c>
      <c r="FK20" s="15" t="s">
        <v>669</v>
      </c>
      <c r="FL20" s="15" t="s">
        <v>612</v>
      </c>
      <c r="FM20" s="15" t="s">
        <v>671</v>
      </c>
      <c r="FN20" s="15">
        <v>0.0</v>
      </c>
      <c r="FO20" s="15" t="s">
        <v>426</v>
      </c>
      <c r="FQ20" s="15">
        <v>4.0</v>
      </c>
      <c r="FR20" s="15" t="s">
        <v>614</v>
      </c>
      <c r="FS20" s="15" t="s">
        <v>615</v>
      </c>
      <c r="FT20" s="15">
        <v>0.0</v>
      </c>
      <c r="FU20" s="15" t="s">
        <v>426</v>
      </c>
      <c r="FW20" s="15" t="s">
        <v>616</v>
      </c>
    </row>
    <row r="21" ht="17.25" customHeight="1">
      <c r="A21" s="15" t="s">
        <v>676</v>
      </c>
      <c r="B21" s="15" t="str">
        <f>"801542200923"</f>
        <v>801542200923</v>
      </c>
      <c r="C21" s="15" t="s">
        <v>11113</v>
      </c>
      <c r="D21" s="15" t="str">
        <f t="shared" si="1"/>
        <v>Abaso Small Square Coffee TableEbony Rustic Wormwood Oak</v>
      </c>
      <c r="E21" s="15" t="s">
        <v>674</v>
      </c>
      <c r="F21" s="15" t="s">
        <v>397</v>
      </c>
      <c r="G21" s="15" t="s">
        <v>398</v>
      </c>
      <c r="J21" s="15" t="s">
        <v>398</v>
      </c>
      <c r="M21" s="15" t="s">
        <v>411</v>
      </c>
      <c r="N21" s="15" t="s">
        <v>491</v>
      </c>
      <c r="P21" s="15" t="str">
        <f t="shared" ref="P21:Q21" si="66">"40"</f>
        <v>40</v>
      </c>
      <c r="Q21" s="15" t="str">
        <f t="shared" si="66"/>
        <v>40</v>
      </c>
      <c r="R21" s="15" t="str">
        <f t="shared" ref="R21:R22" si="68">"15"</f>
        <v>15</v>
      </c>
      <c r="S21" s="15" t="str">
        <f t="shared" ref="S21:S22" si="69">"85.85"</f>
        <v>85.85</v>
      </c>
      <c r="T21" s="15" t="s">
        <v>407</v>
      </c>
      <c r="U21" s="15" t="s">
        <v>10881</v>
      </c>
      <c r="AA21" s="15" t="s">
        <v>413</v>
      </c>
      <c r="AB21" s="15" t="s">
        <v>413</v>
      </c>
      <c r="AC21" s="15" t="s">
        <v>681</v>
      </c>
      <c r="AD21" s="15" t="s">
        <v>11114</v>
      </c>
      <c r="AE21" s="15" t="s">
        <v>678</v>
      </c>
      <c r="AF21" s="15" t="s">
        <v>11115</v>
      </c>
      <c r="AG21" s="15" t="s">
        <v>11116</v>
      </c>
      <c r="AH21" s="15" t="s">
        <v>10888</v>
      </c>
      <c r="AI21" s="15" t="s">
        <v>11117</v>
      </c>
      <c r="AJ21" s="15" t="s">
        <v>11118</v>
      </c>
      <c r="AK21" s="15" t="s">
        <v>11119</v>
      </c>
      <c r="AL21" s="15" t="s">
        <v>11120</v>
      </c>
      <c r="AM21" s="15" t="s">
        <v>11121</v>
      </c>
      <c r="AN21" s="15" t="s">
        <v>11122</v>
      </c>
      <c r="AO21" s="15" t="s">
        <v>11123</v>
      </c>
      <c r="BH21" s="15" t="s">
        <v>675</v>
      </c>
      <c r="BI21" s="15" t="str">
        <f t="shared" ref="BI21:BI22" si="70">"2199"</f>
        <v>2199</v>
      </c>
      <c r="BJ21" s="15" t="str">
        <f t="shared" ref="BJ21:BJ22" si="71">"925"</f>
        <v>925</v>
      </c>
      <c r="BK21" s="15" t="s">
        <v>415</v>
      </c>
      <c r="BL21" s="15" t="str">
        <f t="shared" si="8"/>
        <v>1</v>
      </c>
      <c r="BM21" s="15" t="s">
        <v>416</v>
      </c>
      <c r="BN21" s="15" t="str">
        <f t="shared" ref="BN21:BN22" si="72">"45.28"</f>
        <v>45.28</v>
      </c>
      <c r="BO21" s="15" t="str">
        <f t="shared" ref="BO21:BO22" si="73">"45.67"</f>
        <v>45.67</v>
      </c>
      <c r="BP21" s="15" t="str">
        <f t="shared" ref="BP21:BP22" si="74">"21.26"</f>
        <v>21.26</v>
      </c>
      <c r="BQ21" s="15" t="str">
        <f t="shared" ref="BQ21:BQ22" si="75">"129.52"</f>
        <v>129.52</v>
      </c>
      <c r="CG21" s="15" t="str">
        <f t="shared" ref="CG21:CG22" si="76">"25.43"</f>
        <v>25.43</v>
      </c>
      <c r="CH21" s="15" t="str">
        <f t="shared" ref="CH21:CH22" si="77">"0.72"</f>
        <v>0.72</v>
      </c>
      <c r="CI21" s="15" t="s">
        <v>497</v>
      </c>
      <c r="CZ21" s="15" t="s">
        <v>419</v>
      </c>
      <c r="DA21" s="15">
        <v>0.0</v>
      </c>
      <c r="DB21" s="15" t="s">
        <v>419</v>
      </c>
      <c r="DD21" s="15">
        <v>0.0</v>
      </c>
      <c r="DF21" s="15" t="s">
        <v>420</v>
      </c>
      <c r="DG21" s="15" t="s">
        <v>419</v>
      </c>
      <c r="DK21" s="15">
        <v>0.0</v>
      </c>
      <c r="DR21" s="15" t="s">
        <v>498</v>
      </c>
      <c r="DS21" s="15" t="s">
        <v>423</v>
      </c>
      <c r="DU21" s="15" t="s">
        <v>500</v>
      </c>
      <c r="EF21" s="15" t="s">
        <v>475</v>
      </c>
      <c r="EG21" s="15" t="s">
        <v>636</v>
      </c>
      <c r="EH21" s="15" t="s">
        <v>636</v>
      </c>
      <c r="EQ21" s="15" t="s">
        <v>503</v>
      </c>
      <c r="ER21" s="15" t="s">
        <v>504</v>
      </c>
      <c r="ES21" s="15" t="s">
        <v>503</v>
      </c>
      <c r="ET21" s="15" t="s">
        <v>505</v>
      </c>
      <c r="EU21" s="15" t="s">
        <v>426</v>
      </c>
      <c r="EV21" s="15">
        <v>0.0</v>
      </c>
      <c r="EW21" s="15">
        <v>0.0</v>
      </c>
    </row>
    <row r="22" ht="17.25" customHeight="1">
      <c r="A22" s="15" t="s">
        <v>687</v>
      </c>
      <c r="B22" s="15" t="str">
        <f>"801542200367"</f>
        <v>801542200367</v>
      </c>
      <c r="C22" s="15" t="s">
        <v>11124</v>
      </c>
      <c r="D22" s="15" t="str">
        <f t="shared" si="1"/>
        <v>Abaso Small Square Coffee TableRustic Wormwood Oak</v>
      </c>
      <c r="E22" s="15" t="s">
        <v>674</v>
      </c>
      <c r="F22" s="15" t="s">
        <v>397</v>
      </c>
      <c r="G22" s="15" t="s">
        <v>434</v>
      </c>
      <c r="J22" s="15" t="s">
        <v>434</v>
      </c>
      <c r="M22" s="15" t="s">
        <v>411</v>
      </c>
      <c r="N22" s="15" t="s">
        <v>491</v>
      </c>
      <c r="P22" s="15" t="str">
        <f t="shared" ref="P22:Q22" si="67">"40"</f>
        <v>40</v>
      </c>
      <c r="Q22" s="15" t="str">
        <f t="shared" si="67"/>
        <v>40</v>
      </c>
      <c r="R22" s="15" t="str">
        <f t="shared" si="68"/>
        <v>15</v>
      </c>
      <c r="S22" s="15" t="str">
        <f t="shared" si="69"/>
        <v>85.85</v>
      </c>
      <c r="T22" s="15" t="s">
        <v>407</v>
      </c>
      <c r="U22" s="15" t="s">
        <v>10881</v>
      </c>
      <c r="AA22" s="15" t="s">
        <v>413</v>
      </c>
      <c r="AB22" s="15" t="s">
        <v>413</v>
      </c>
      <c r="AC22" s="15" t="s">
        <v>689</v>
      </c>
      <c r="AD22" s="15" t="s">
        <v>11125</v>
      </c>
      <c r="AE22" s="15" t="s">
        <v>688</v>
      </c>
      <c r="AF22" s="15" t="s">
        <v>11126</v>
      </c>
      <c r="AG22" s="15" t="s">
        <v>11127</v>
      </c>
      <c r="AH22" s="15" t="s">
        <v>11128</v>
      </c>
      <c r="AI22" s="15" t="s">
        <v>11129</v>
      </c>
      <c r="AJ22" s="15" t="s">
        <v>11130</v>
      </c>
      <c r="AK22" s="15" t="s">
        <v>11131</v>
      </c>
      <c r="AL22" s="15" t="s">
        <v>11132</v>
      </c>
      <c r="AM22" s="15" t="s">
        <v>11133</v>
      </c>
      <c r="AN22" s="15" t="s">
        <v>11134</v>
      </c>
      <c r="AO22" s="15" t="s">
        <v>11135</v>
      </c>
      <c r="BH22" s="15" t="s">
        <v>686</v>
      </c>
      <c r="BI22" s="15" t="str">
        <f t="shared" si="70"/>
        <v>2199</v>
      </c>
      <c r="BJ22" s="15" t="str">
        <f t="shared" si="71"/>
        <v>925</v>
      </c>
      <c r="BK22" s="15" t="s">
        <v>415</v>
      </c>
      <c r="BL22" s="15" t="str">
        <f t="shared" si="8"/>
        <v>1</v>
      </c>
      <c r="BM22" s="15" t="s">
        <v>416</v>
      </c>
      <c r="BN22" s="15" t="str">
        <f t="shared" si="72"/>
        <v>45.28</v>
      </c>
      <c r="BO22" s="15" t="str">
        <f t="shared" si="73"/>
        <v>45.67</v>
      </c>
      <c r="BP22" s="15" t="str">
        <f t="shared" si="74"/>
        <v>21.26</v>
      </c>
      <c r="BQ22" s="15" t="str">
        <f t="shared" si="75"/>
        <v>129.52</v>
      </c>
      <c r="CG22" s="15" t="str">
        <f t="shared" si="76"/>
        <v>25.43</v>
      </c>
      <c r="CH22" s="15" t="str">
        <f t="shared" si="77"/>
        <v>0.72</v>
      </c>
      <c r="CI22" s="15" t="s">
        <v>497</v>
      </c>
      <c r="CZ22" s="15" t="s">
        <v>419</v>
      </c>
      <c r="DA22" s="15">
        <v>0.0</v>
      </c>
      <c r="DB22" s="15" t="s">
        <v>419</v>
      </c>
      <c r="DD22" s="15">
        <v>0.0</v>
      </c>
      <c r="DF22" s="15" t="s">
        <v>420</v>
      </c>
      <c r="DG22" s="15" t="s">
        <v>419</v>
      </c>
      <c r="DK22" s="15">
        <v>0.0</v>
      </c>
      <c r="DR22" s="15" t="s">
        <v>498</v>
      </c>
      <c r="DS22" s="15" t="s">
        <v>423</v>
      </c>
      <c r="DU22" s="15" t="s">
        <v>500</v>
      </c>
      <c r="EF22" s="15" t="s">
        <v>475</v>
      </c>
      <c r="EG22" s="15" t="s">
        <v>636</v>
      </c>
      <c r="EH22" s="15" t="s">
        <v>636</v>
      </c>
      <c r="EQ22" s="15" t="s">
        <v>503</v>
      </c>
      <c r="ER22" s="15" t="s">
        <v>504</v>
      </c>
      <c r="ES22" s="15" t="s">
        <v>503</v>
      </c>
      <c r="ET22" s="15" t="s">
        <v>505</v>
      </c>
      <c r="EU22" s="15" t="s">
        <v>426</v>
      </c>
      <c r="EV22" s="15">
        <v>0.0</v>
      </c>
      <c r="EW22" s="15">
        <v>0.0</v>
      </c>
    </row>
    <row r="23" ht="17.25" customHeight="1">
      <c r="A23" s="15" t="s">
        <v>693</v>
      </c>
      <c r="B23" s="15" t="str">
        <f>"801542705923"</f>
        <v>801542705923</v>
      </c>
      <c r="C23" s="15" t="s">
        <v>11136</v>
      </c>
      <c r="D23" s="15" t="str">
        <f t="shared" si="1"/>
        <v>Abbott Club ChairCigar</v>
      </c>
      <c r="E23" s="15" t="s">
        <v>690</v>
      </c>
      <c r="F23" s="15" t="s">
        <v>397</v>
      </c>
      <c r="G23" s="15" t="s">
        <v>692</v>
      </c>
      <c r="J23" s="15" t="s">
        <v>692</v>
      </c>
      <c r="K23" s="15" t="s">
        <v>704</v>
      </c>
      <c r="L23" s="15" t="s">
        <v>705</v>
      </c>
      <c r="M23" s="15" t="s">
        <v>703</v>
      </c>
      <c r="N23" s="15" t="s">
        <v>706</v>
      </c>
      <c r="O23" s="15" t="s">
        <v>707</v>
      </c>
      <c r="P23" s="15" t="str">
        <f>"37"</f>
        <v>37</v>
      </c>
      <c r="Q23" s="15" t="str">
        <f>"34.25"</f>
        <v>34.25</v>
      </c>
      <c r="R23" s="15" t="str">
        <f>"28.25"</f>
        <v>28.25</v>
      </c>
      <c r="S23" s="15" t="str">
        <f>"68"</f>
        <v>68</v>
      </c>
      <c r="T23" s="15" t="s">
        <v>697</v>
      </c>
      <c r="U23" s="15" t="s">
        <v>11137</v>
      </c>
      <c r="V23" s="15" t="s">
        <v>11138</v>
      </c>
      <c r="W23" s="15" t="s">
        <v>11139</v>
      </c>
      <c r="AA23" s="15" t="s">
        <v>413</v>
      </c>
      <c r="AB23" s="15" t="s">
        <v>413</v>
      </c>
      <c r="AC23" s="15" t="s">
        <v>708</v>
      </c>
      <c r="AD23" s="15" t="s">
        <v>11140</v>
      </c>
      <c r="AE23" s="15" t="s">
        <v>696</v>
      </c>
      <c r="AF23" s="15" t="s">
        <v>11141</v>
      </c>
      <c r="AG23" s="15" t="s">
        <v>11142</v>
      </c>
      <c r="AH23" s="15" t="s">
        <v>11143</v>
      </c>
      <c r="AI23" s="15" t="s">
        <v>11144</v>
      </c>
      <c r="AJ23" s="15" t="s">
        <v>11145</v>
      </c>
      <c r="AK23" s="15" t="s">
        <v>11146</v>
      </c>
      <c r="AL23" s="15" t="s">
        <v>11147</v>
      </c>
      <c r="BH23" s="15" t="s">
        <v>691</v>
      </c>
      <c r="BI23" s="15" t="str">
        <f>"2799"</f>
        <v>2799</v>
      </c>
      <c r="BJ23" s="15" t="str">
        <f>"1180"</f>
        <v>1180</v>
      </c>
      <c r="BK23" s="15" t="s">
        <v>709</v>
      </c>
      <c r="BL23" s="15" t="str">
        <f t="shared" si="8"/>
        <v>1</v>
      </c>
      <c r="BM23" s="15" t="s">
        <v>416</v>
      </c>
      <c r="BN23" s="15" t="str">
        <f>"38.58"</f>
        <v>38.58</v>
      </c>
      <c r="BO23" s="15" t="str">
        <f>"35.63"</f>
        <v>35.63</v>
      </c>
      <c r="BP23" s="15" t="str">
        <f>"24.8"</f>
        <v>24.8</v>
      </c>
      <c r="BQ23" s="15" t="str">
        <f>"84.66"</f>
        <v>84.66</v>
      </c>
      <c r="CG23" s="15" t="str">
        <f>"19.74"</f>
        <v>19.74</v>
      </c>
      <c r="CH23" s="15" t="str">
        <f>"0.559"</f>
        <v>0.559</v>
      </c>
      <c r="CI23" s="15" t="s">
        <v>417</v>
      </c>
      <c r="CP23" s="15" t="s">
        <v>713</v>
      </c>
      <c r="CQ23" s="15" t="s">
        <v>714</v>
      </c>
      <c r="CR23" s="15" t="s">
        <v>715</v>
      </c>
      <c r="CS23" s="15" t="s">
        <v>713</v>
      </c>
      <c r="CT23" s="15" t="s">
        <v>716</v>
      </c>
      <c r="CU23" s="15" t="s">
        <v>715</v>
      </c>
      <c r="CV23" s="15">
        <v>0.0</v>
      </c>
      <c r="CW23" s="15">
        <v>0.0</v>
      </c>
      <c r="CX23" s="15" t="s">
        <v>717</v>
      </c>
      <c r="CY23" s="15" t="s">
        <v>718</v>
      </c>
      <c r="DC23" s="15" t="s">
        <v>720</v>
      </c>
      <c r="DF23" s="15" t="s">
        <v>721</v>
      </c>
      <c r="DG23" s="15" t="s">
        <v>419</v>
      </c>
      <c r="DH23" s="15">
        <v>0.0</v>
      </c>
      <c r="DL23" s="15">
        <v>0.0</v>
      </c>
      <c r="DM23" s="15" t="s">
        <v>722</v>
      </c>
      <c r="DN23" s="15" t="s">
        <v>723</v>
      </c>
      <c r="DO23" s="15" t="s">
        <v>724</v>
      </c>
      <c r="DP23" s="15">
        <v>1.0</v>
      </c>
      <c r="DQ23" s="15">
        <v>1.0</v>
      </c>
      <c r="DS23" s="15" t="s">
        <v>725</v>
      </c>
      <c r="DT23" s="15">
        <v>0.0</v>
      </c>
      <c r="DU23" s="15" t="s">
        <v>726</v>
      </c>
      <c r="DV23" s="15" t="s">
        <v>728</v>
      </c>
      <c r="DW23" s="15" t="s">
        <v>729</v>
      </c>
      <c r="DX23" s="15" t="s">
        <v>730</v>
      </c>
      <c r="EB23" s="15" t="s">
        <v>731</v>
      </c>
      <c r="EF23" s="15" t="s">
        <v>732</v>
      </c>
      <c r="EG23" s="15" t="s">
        <v>733</v>
      </c>
      <c r="EH23" s="15" t="s">
        <v>734</v>
      </c>
      <c r="EI23" s="15" t="s">
        <v>729</v>
      </c>
      <c r="EO23" s="15" t="s">
        <v>735</v>
      </c>
      <c r="EZ23" s="15">
        <v>0.0</v>
      </c>
      <c r="FA23" s="15">
        <v>0.0</v>
      </c>
      <c r="FB23" s="15" t="s">
        <v>736</v>
      </c>
      <c r="FC23" s="15">
        <v>0.0</v>
      </c>
    </row>
    <row r="24" ht="17.25" customHeight="1">
      <c r="A24" s="15" t="s">
        <v>740</v>
      </c>
      <c r="B24" s="15" t="str">
        <f>"801542358303"</f>
        <v>801542358303</v>
      </c>
      <c r="C24" s="15" t="s">
        <v>11148</v>
      </c>
      <c r="D24" s="15" t="str">
        <f t="shared" si="1"/>
        <v>Adolfo 6 Drawer DresserModern Black Ash</v>
      </c>
      <c r="E24" s="15" t="s">
        <v>737</v>
      </c>
      <c r="F24" s="15" t="s">
        <v>397</v>
      </c>
      <c r="G24" s="15" t="s">
        <v>739</v>
      </c>
      <c r="J24" s="15" t="s">
        <v>739</v>
      </c>
      <c r="K24" s="15" t="s">
        <v>752</v>
      </c>
      <c r="M24" s="15" t="s">
        <v>751</v>
      </c>
      <c r="N24" s="15" t="s">
        <v>412</v>
      </c>
      <c r="P24" s="15" t="str">
        <f>"72"</f>
        <v>72</v>
      </c>
      <c r="Q24" s="15" t="str">
        <f t="shared" ref="Q24:Q26" si="78">"21.5"</f>
        <v>21.5</v>
      </c>
      <c r="R24" s="15" t="str">
        <f>"32.25"</f>
        <v>32.25</v>
      </c>
      <c r="S24" s="15" t="str">
        <f>"306.44"</f>
        <v>306.44</v>
      </c>
      <c r="T24" s="15" t="s">
        <v>744</v>
      </c>
      <c r="U24" s="15" t="s">
        <v>11149</v>
      </c>
      <c r="V24" s="15" t="s">
        <v>11138</v>
      </c>
      <c r="AA24" s="15" t="s">
        <v>413</v>
      </c>
      <c r="AB24" s="15" t="s">
        <v>413</v>
      </c>
      <c r="AC24" s="15" t="s">
        <v>753</v>
      </c>
      <c r="AD24" s="15" t="s">
        <v>11150</v>
      </c>
      <c r="AE24" s="15" t="s">
        <v>743</v>
      </c>
      <c r="AF24" s="15" t="s">
        <v>11151</v>
      </c>
      <c r="AG24" s="15" t="s">
        <v>11152</v>
      </c>
      <c r="AH24" s="15" t="s">
        <v>11153</v>
      </c>
      <c r="AI24" s="15" t="s">
        <v>11154</v>
      </c>
      <c r="AJ24" s="15" t="s">
        <v>11155</v>
      </c>
      <c r="AK24" s="15" t="s">
        <v>11156</v>
      </c>
      <c r="AL24" s="15" t="s">
        <v>11157</v>
      </c>
      <c r="AM24" s="15" t="s">
        <v>11158</v>
      </c>
      <c r="AN24" s="15" t="s">
        <v>11159</v>
      </c>
      <c r="AO24" s="15" t="s">
        <v>11160</v>
      </c>
      <c r="AP24" s="15" t="s">
        <v>11161</v>
      </c>
      <c r="AQ24" s="15" t="s">
        <v>11162</v>
      </c>
      <c r="AR24" s="15" t="s">
        <v>11163</v>
      </c>
      <c r="AS24" s="15" t="s">
        <v>11164</v>
      </c>
      <c r="BH24" s="15" t="s">
        <v>738</v>
      </c>
      <c r="BI24" s="15" t="str">
        <f>"3299"</f>
        <v>3299</v>
      </c>
      <c r="BJ24" s="15" t="str">
        <f>"1390"</f>
        <v>1390</v>
      </c>
      <c r="BK24" s="15" t="s">
        <v>742</v>
      </c>
      <c r="BL24" s="15" t="str">
        <f t="shared" si="8"/>
        <v>1</v>
      </c>
      <c r="BM24" s="15" t="s">
        <v>416</v>
      </c>
      <c r="BN24" s="15" t="str">
        <f>"77.76"</f>
        <v>77.76</v>
      </c>
      <c r="BO24" s="15" t="str">
        <f t="shared" ref="BO24:BO25" si="79">"24.02"</f>
        <v>24.02</v>
      </c>
      <c r="BP24" s="15" t="str">
        <f>"37.8"</f>
        <v>37.8</v>
      </c>
      <c r="BQ24" s="15" t="str">
        <f>"340.61"</f>
        <v>340.61</v>
      </c>
      <c r="CG24" s="15" t="str">
        <f>"40.86"</f>
        <v>40.86</v>
      </c>
      <c r="CH24" s="15" t="str">
        <f>"1.157"</f>
        <v>1.157</v>
      </c>
      <c r="CI24" s="15" t="s">
        <v>465</v>
      </c>
      <c r="CZ24" s="15" t="s">
        <v>418</v>
      </c>
      <c r="DA24" s="15">
        <v>6.0</v>
      </c>
      <c r="DB24" s="15" t="s">
        <v>419</v>
      </c>
      <c r="DD24" s="15">
        <v>0.0</v>
      </c>
      <c r="DF24" s="15" t="s">
        <v>420</v>
      </c>
      <c r="DG24" s="15" t="s">
        <v>421</v>
      </c>
      <c r="DK24" s="15">
        <v>0.0</v>
      </c>
      <c r="DR24" s="15" t="s">
        <v>422</v>
      </c>
      <c r="DS24" s="15" t="s">
        <v>758</v>
      </c>
      <c r="DU24" s="15" t="s">
        <v>424</v>
      </c>
      <c r="EF24" s="15" t="s">
        <v>759</v>
      </c>
      <c r="EU24" s="15" t="s">
        <v>426</v>
      </c>
      <c r="EV24" s="15">
        <v>0.0</v>
      </c>
      <c r="FQ24" s="15">
        <v>0.0</v>
      </c>
      <c r="FR24" s="15" t="s">
        <v>427</v>
      </c>
      <c r="FX24" s="15" t="s">
        <v>426</v>
      </c>
      <c r="FZ24" s="15" t="s">
        <v>760</v>
      </c>
      <c r="GA24" s="15" t="s">
        <v>760</v>
      </c>
      <c r="GB24" s="15" t="s">
        <v>761</v>
      </c>
      <c r="GC24" s="15" t="s">
        <v>762</v>
      </c>
      <c r="GD24" s="15" t="s">
        <v>763</v>
      </c>
      <c r="GE24" s="15" t="s">
        <v>763</v>
      </c>
      <c r="GF24" s="15" t="s">
        <v>431</v>
      </c>
      <c r="GH24" s="15" t="s">
        <v>764</v>
      </c>
    </row>
    <row r="25" ht="17.25" customHeight="1">
      <c r="A25" s="15" t="s">
        <v>767</v>
      </c>
      <c r="B25" s="15" t="str">
        <f>"198394015462"</f>
        <v>198394015462</v>
      </c>
      <c r="C25" s="15" t="s">
        <v>11165</v>
      </c>
      <c r="D25" s="15" t="str">
        <f t="shared" si="1"/>
        <v>Adolfo Media ConsoleModern Black Ash</v>
      </c>
      <c r="E25" s="15" t="s">
        <v>765</v>
      </c>
      <c r="F25" s="15" t="s">
        <v>397</v>
      </c>
      <c r="G25" s="15" t="s">
        <v>739</v>
      </c>
      <c r="J25" s="15" t="s">
        <v>739</v>
      </c>
      <c r="K25" s="15" t="s">
        <v>752</v>
      </c>
      <c r="M25" s="15" t="s">
        <v>751</v>
      </c>
      <c r="N25" s="15" t="s">
        <v>602</v>
      </c>
      <c r="P25" s="15" t="str">
        <f t="shared" ref="P25:P26" si="80">"94"</f>
        <v>94</v>
      </c>
      <c r="Q25" s="15" t="str">
        <f t="shared" si="78"/>
        <v>21.5</v>
      </c>
      <c r="R25" s="15" t="str">
        <f>"27.25"</f>
        <v>27.25</v>
      </c>
      <c r="S25" s="15" t="str">
        <f>"272.27"</f>
        <v>272.27</v>
      </c>
      <c r="T25" s="15" t="s">
        <v>744</v>
      </c>
      <c r="U25" s="15" t="s">
        <v>11149</v>
      </c>
      <c r="V25" s="15" t="s">
        <v>11138</v>
      </c>
      <c r="AA25" s="15" t="s">
        <v>413</v>
      </c>
      <c r="AB25" s="15" t="s">
        <v>413</v>
      </c>
      <c r="AC25" s="15" t="s">
        <v>774</v>
      </c>
      <c r="AD25" s="15" t="s">
        <v>11166</v>
      </c>
      <c r="AE25" s="15" t="s">
        <v>769</v>
      </c>
      <c r="AF25" s="15" t="s">
        <v>11167</v>
      </c>
      <c r="AG25" s="15" t="s">
        <v>11168</v>
      </c>
      <c r="AH25" s="15" t="s">
        <v>11169</v>
      </c>
      <c r="AI25" s="15" t="s">
        <v>11170</v>
      </c>
      <c r="AJ25" s="15" t="s">
        <v>11171</v>
      </c>
      <c r="AK25" s="15" t="s">
        <v>11172</v>
      </c>
      <c r="AL25" s="15" t="s">
        <v>11173</v>
      </c>
      <c r="AM25" s="15" t="s">
        <v>11174</v>
      </c>
      <c r="AN25" s="15" t="s">
        <v>11175</v>
      </c>
      <c r="AO25" s="15" t="s">
        <v>11176</v>
      </c>
      <c r="AP25" s="15" t="s">
        <v>11177</v>
      </c>
      <c r="AQ25" s="15" t="s">
        <v>11178</v>
      </c>
      <c r="AR25" s="15" t="s">
        <v>11179</v>
      </c>
      <c r="BH25" s="15" t="s">
        <v>766</v>
      </c>
      <c r="BI25" s="15" t="str">
        <f>"4099"</f>
        <v>4099</v>
      </c>
      <c r="BJ25" s="15" t="str">
        <f>"1725"</f>
        <v>1725</v>
      </c>
      <c r="BK25" s="15" t="s">
        <v>742</v>
      </c>
      <c r="BL25" s="15" t="str">
        <f t="shared" si="8"/>
        <v>1</v>
      </c>
      <c r="BM25" s="15" t="s">
        <v>416</v>
      </c>
      <c r="BN25" s="15" t="str">
        <f t="shared" ref="BN25:BN26" si="81">"99.61"</f>
        <v>99.61</v>
      </c>
      <c r="BO25" s="15" t="str">
        <f t="shared" si="79"/>
        <v>24.02</v>
      </c>
      <c r="BP25" s="15" t="str">
        <f>"32.87"</f>
        <v>32.87</v>
      </c>
      <c r="BQ25" s="15" t="str">
        <f>"319.67"</f>
        <v>319.67</v>
      </c>
      <c r="CG25" s="15" t="str">
        <f>"45.52"</f>
        <v>45.52</v>
      </c>
      <c r="CH25" s="15" t="str">
        <f>"1.289"</f>
        <v>1.289</v>
      </c>
      <c r="CI25" s="15" t="s">
        <v>465</v>
      </c>
      <c r="CM25" s="15" t="s">
        <v>778</v>
      </c>
      <c r="CN25" s="15" t="s">
        <v>779</v>
      </c>
      <c r="CO25" s="15" t="s">
        <v>780</v>
      </c>
      <c r="CZ25" s="15" t="s">
        <v>418</v>
      </c>
      <c r="DA25" s="15">
        <v>3.0</v>
      </c>
      <c r="DB25" s="15" t="s">
        <v>419</v>
      </c>
      <c r="DD25" s="15">
        <v>0.0</v>
      </c>
      <c r="DF25" s="15" t="s">
        <v>420</v>
      </c>
      <c r="DG25" s="15" t="s">
        <v>610</v>
      </c>
      <c r="DI25" s="15">
        <v>18.14</v>
      </c>
      <c r="DJ25" s="15">
        <v>40.0</v>
      </c>
      <c r="DK25" s="15">
        <v>2.0</v>
      </c>
      <c r="DS25" s="15" t="s">
        <v>758</v>
      </c>
      <c r="EF25" s="15" t="s">
        <v>759</v>
      </c>
      <c r="EU25" s="15" t="s">
        <v>426</v>
      </c>
      <c r="EV25" s="15">
        <v>2.0</v>
      </c>
      <c r="FH25" s="15" t="s">
        <v>781</v>
      </c>
      <c r="FI25" s="15" t="s">
        <v>782</v>
      </c>
      <c r="FJ25" s="15" t="s">
        <v>783</v>
      </c>
      <c r="FK25" s="15" t="s">
        <v>778</v>
      </c>
      <c r="FL25" s="15" t="s">
        <v>784</v>
      </c>
      <c r="FM25" s="15" t="s">
        <v>780</v>
      </c>
      <c r="FO25" s="15" t="s">
        <v>426</v>
      </c>
      <c r="FP25" s="15" t="s">
        <v>785</v>
      </c>
      <c r="FQ25" s="15">
        <v>4.0</v>
      </c>
      <c r="FR25" s="15" t="s">
        <v>614</v>
      </c>
      <c r="FS25" s="15" t="s">
        <v>786</v>
      </c>
      <c r="FU25" s="15" t="s">
        <v>426</v>
      </c>
      <c r="FW25" s="15" t="s">
        <v>616</v>
      </c>
      <c r="FX25" s="15" t="s">
        <v>426</v>
      </c>
      <c r="FZ25" s="15" t="s">
        <v>760</v>
      </c>
      <c r="GB25" s="15" t="s">
        <v>787</v>
      </c>
      <c r="GD25" s="15" t="s">
        <v>788</v>
      </c>
      <c r="GF25" s="15" t="s">
        <v>431</v>
      </c>
      <c r="GH25" s="15" t="s">
        <v>764</v>
      </c>
      <c r="GJ25" s="15" t="s">
        <v>778</v>
      </c>
      <c r="GK25" s="15" t="s">
        <v>779</v>
      </c>
      <c r="GL25" s="15" t="s">
        <v>780</v>
      </c>
      <c r="GM25" s="15">
        <v>0.0</v>
      </c>
      <c r="HF25" s="15" t="s">
        <v>789</v>
      </c>
      <c r="HQ25" s="15" t="s">
        <v>426</v>
      </c>
    </row>
    <row r="26" ht="17.25" customHeight="1">
      <c r="A26" s="15" t="s">
        <v>792</v>
      </c>
      <c r="B26" s="15" t="str">
        <f>"801542996550"</f>
        <v>801542996550</v>
      </c>
      <c r="C26" s="15" t="s">
        <v>11180</v>
      </c>
      <c r="D26" s="15" t="str">
        <f t="shared" si="1"/>
        <v>Adolfo SideboardModern Black Ash</v>
      </c>
      <c r="E26" s="15" t="s">
        <v>790</v>
      </c>
      <c r="F26" s="15" t="s">
        <v>397</v>
      </c>
      <c r="G26" s="15" t="s">
        <v>739</v>
      </c>
      <c r="J26" s="15" t="s">
        <v>739</v>
      </c>
      <c r="K26" s="15" t="s">
        <v>752</v>
      </c>
      <c r="M26" s="15" t="s">
        <v>751</v>
      </c>
      <c r="N26" s="15" t="s">
        <v>664</v>
      </c>
      <c r="P26" s="15" t="str">
        <f t="shared" si="80"/>
        <v>94</v>
      </c>
      <c r="Q26" s="15" t="str">
        <f t="shared" si="78"/>
        <v>21.5</v>
      </c>
      <c r="R26" s="15" t="str">
        <f>"32.25"</f>
        <v>32.25</v>
      </c>
      <c r="S26" s="15" t="str">
        <f>"262.35"</f>
        <v>262.35</v>
      </c>
      <c r="T26" s="15" t="s">
        <v>744</v>
      </c>
      <c r="U26" s="15" t="s">
        <v>11149</v>
      </c>
      <c r="V26" s="15" t="s">
        <v>11138</v>
      </c>
      <c r="AA26" s="15" t="s">
        <v>413</v>
      </c>
      <c r="AB26" s="15" t="s">
        <v>413</v>
      </c>
      <c r="AC26" s="15" t="s">
        <v>795</v>
      </c>
      <c r="AD26" s="15" t="s">
        <v>11181</v>
      </c>
      <c r="AE26" s="15" t="s">
        <v>794</v>
      </c>
      <c r="AF26" s="15" t="s">
        <v>11182</v>
      </c>
      <c r="AG26" s="15" t="s">
        <v>11183</v>
      </c>
      <c r="AH26" s="15" t="s">
        <v>11184</v>
      </c>
      <c r="AI26" s="15" t="s">
        <v>11185</v>
      </c>
      <c r="AJ26" s="15" t="s">
        <v>11186</v>
      </c>
      <c r="AK26" s="15" t="s">
        <v>11187</v>
      </c>
      <c r="AL26" s="15" t="s">
        <v>11188</v>
      </c>
      <c r="AM26" s="15" t="s">
        <v>11189</v>
      </c>
      <c r="AN26" s="15" t="s">
        <v>11190</v>
      </c>
      <c r="AO26" s="15" t="s">
        <v>11191</v>
      </c>
      <c r="AP26" s="15" t="s">
        <v>11192</v>
      </c>
      <c r="AQ26" s="15" t="s">
        <v>11193</v>
      </c>
      <c r="AR26" s="15" t="s">
        <v>11194</v>
      </c>
      <c r="AS26" s="15" t="s">
        <v>11195</v>
      </c>
      <c r="AT26" s="15" t="s">
        <v>11196</v>
      </c>
      <c r="BH26" s="15" t="s">
        <v>791</v>
      </c>
      <c r="BI26" s="15" t="str">
        <f>"3999"</f>
        <v>3999</v>
      </c>
      <c r="BJ26" s="15" t="str">
        <f>"1680"</f>
        <v>1680</v>
      </c>
      <c r="BK26" s="15" t="s">
        <v>742</v>
      </c>
      <c r="BL26" s="15" t="str">
        <f t="shared" si="8"/>
        <v>1</v>
      </c>
      <c r="BM26" s="15" t="s">
        <v>416</v>
      </c>
      <c r="BN26" s="15" t="str">
        <f t="shared" si="81"/>
        <v>99.61</v>
      </c>
      <c r="BO26" s="15" t="str">
        <f>"24.41"</f>
        <v>24.41</v>
      </c>
      <c r="BP26" s="15" t="str">
        <f>"37.8"</f>
        <v>37.8</v>
      </c>
      <c r="BQ26" s="15" t="str">
        <f>"341.72"</f>
        <v>341.72</v>
      </c>
      <c r="CG26" s="15" t="str">
        <f>"53.18"</f>
        <v>53.18</v>
      </c>
      <c r="CH26" s="15" t="str">
        <f>"1.506"</f>
        <v>1.506</v>
      </c>
      <c r="CI26" s="15" t="s">
        <v>465</v>
      </c>
      <c r="CM26" s="15" t="s">
        <v>778</v>
      </c>
      <c r="CN26" s="15" t="s">
        <v>798</v>
      </c>
      <c r="CO26" s="15" t="s">
        <v>799</v>
      </c>
      <c r="CZ26" s="15" t="s">
        <v>419</v>
      </c>
      <c r="DA26" s="15">
        <v>0.0</v>
      </c>
      <c r="DB26" s="15" t="s">
        <v>419</v>
      </c>
      <c r="DD26" s="15">
        <v>0.0</v>
      </c>
      <c r="DF26" s="15" t="s">
        <v>420</v>
      </c>
      <c r="DG26" s="15" t="s">
        <v>610</v>
      </c>
      <c r="DI26" s="15">
        <v>18.14</v>
      </c>
      <c r="DJ26" s="15">
        <v>40.0</v>
      </c>
      <c r="DK26" s="15">
        <v>2.0</v>
      </c>
      <c r="DS26" s="15" t="s">
        <v>758</v>
      </c>
      <c r="DU26" s="15" t="s">
        <v>424</v>
      </c>
      <c r="EF26" s="15" t="s">
        <v>759</v>
      </c>
      <c r="EU26" s="15" t="s">
        <v>426</v>
      </c>
      <c r="EV26" s="15">
        <v>2.0</v>
      </c>
      <c r="FH26" s="15" t="s">
        <v>800</v>
      </c>
      <c r="FI26" s="15" t="s">
        <v>782</v>
      </c>
      <c r="FJ26" s="15" t="s">
        <v>801</v>
      </c>
      <c r="FK26" s="15" t="s">
        <v>778</v>
      </c>
      <c r="FL26" s="15" t="s">
        <v>784</v>
      </c>
      <c r="FM26" s="15" t="s">
        <v>799</v>
      </c>
      <c r="FN26" s="15">
        <v>0.0</v>
      </c>
      <c r="FO26" s="15" t="s">
        <v>426</v>
      </c>
      <c r="FP26" s="15" t="s">
        <v>785</v>
      </c>
      <c r="FQ26" s="15">
        <v>4.0</v>
      </c>
      <c r="FR26" s="15" t="s">
        <v>614</v>
      </c>
      <c r="FS26" s="15" t="s">
        <v>786</v>
      </c>
      <c r="FT26" s="15">
        <v>0.0</v>
      </c>
      <c r="FU26" s="15" t="s">
        <v>426</v>
      </c>
      <c r="FW26" s="15" t="s">
        <v>616</v>
      </c>
      <c r="GJ26" s="15" t="s">
        <v>778</v>
      </c>
      <c r="GK26" s="15" t="s">
        <v>798</v>
      </c>
      <c r="GL26" s="15" t="s">
        <v>799</v>
      </c>
      <c r="HF26" s="15" t="s">
        <v>789</v>
      </c>
    </row>
    <row r="27" ht="17.25" customHeight="1">
      <c r="A27" s="15" t="s">
        <v>805</v>
      </c>
      <c r="B27" s="15" t="str">
        <f>"801542295820"</f>
        <v>801542295820</v>
      </c>
      <c r="C27" s="15" t="s">
        <v>11197</v>
      </c>
      <c r="D27" s="15" t="str">
        <f t="shared" si="1"/>
        <v>Aesop Magazine RackPatina Brown</v>
      </c>
      <c r="E27" s="15" t="s">
        <v>802</v>
      </c>
      <c r="F27" s="15" t="s">
        <v>397</v>
      </c>
      <c r="G27" s="15" t="s">
        <v>804</v>
      </c>
      <c r="J27" s="15" t="s">
        <v>804</v>
      </c>
      <c r="K27" s="15" t="s">
        <v>814</v>
      </c>
      <c r="M27" s="15" t="s">
        <v>813</v>
      </c>
      <c r="N27" s="15" t="s">
        <v>815</v>
      </c>
      <c r="O27" s="15" t="s">
        <v>816</v>
      </c>
      <c r="P27" s="15" t="str">
        <f>"18.5"</f>
        <v>18.5</v>
      </c>
      <c r="Q27" s="15" t="str">
        <f>"11.75"</f>
        <v>11.75</v>
      </c>
      <c r="R27" s="15" t="str">
        <f>"19"</f>
        <v>19</v>
      </c>
      <c r="S27" s="15" t="str">
        <f>"4.41"</f>
        <v>4.41</v>
      </c>
      <c r="T27" s="15" t="s">
        <v>808</v>
      </c>
      <c r="U27" s="15" t="s">
        <v>11137</v>
      </c>
      <c r="V27" s="15" t="s">
        <v>11139</v>
      </c>
      <c r="AA27" s="15" t="s">
        <v>413</v>
      </c>
      <c r="AB27" s="15" t="s">
        <v>413</v>
      </c>
      <c r="AC27" s="15" t="s">
        <v>817</v>
      </c>
      <c r="AD27" s="15" t="s">
        <v>11198</v>
      </c>
      <c r="AE27" s="15" t="s">
        <v>807</v>
      </c>
      <c r="AF27" s="15" t="s">
        <v>11199</v>
      </c>
      <c r="AG27" s="15" t="s">
        <v>11200</v>
      </c>
      <c r="AH27" s="15" t="s">
        <v>11201</v>
      </c>
      <c r="AI27" s="15" t="s">
        <v>11202</v>
      </c>
      <c r="AJ27" s="15" t="s">
        <v>11203</v>
      </c>
      <c r="AK27" s="15" t="s">
        <v>11204</v>
      </c>
      <c r="AL27" s="15" t="s">
        <v>11205</v>
      </c>
      <c r="AM27" s="15" t="s">
        <v>11206</v>
      </c>
      <c r="AN27" s="15" t="s">
        <v>11207</v>
      </c>
      <c r="BH27" s="15" t="s">
        <v>803</v>
      </c>
      <c r="BI27" s="15" t="str">
        <f>"499"</f>
        <v>499</v>
      </c>
      <c r="BJ27" s="15" t="str">
        <f>"210"</f>
        <v>210</v>
      </c>
      <c r="BK27" s="15" t="s">
        <v>709</v>
      </c>
      <c r="BL27" s="15" t="str">
        <f t="shared" si="8"/>
        <v>1</v>
      </c>
      <c r="BM27" s="15" t="s">
        <v>416</v>
      </c>
      <c r="BN27" s="15" t="str">
        <f>"20.47"</f>
        <v>20.47</v>
      </c>
      <c r="BO27" s="15" t="str">
        <f>"12.6"</f>
        <v>12.6</v>
      </c>
      <c r="BP27" s="15" t="str">
        <f>"20.87"</f>
        <v>20.87</v>
      </c>
      <c r="BQ27" s="15" t="str">
        <f>"8.82"</f>
        <v>8.82</v>
      </c>
      <c r="CG27" s="15" t="str">
        <f>"3.11"</f>
        <v>3.11</v>
      </c>
      <c r="CH27" s="15" t="str">
        <f>"0.088"</f>
        <v>0.088</v>
      </c>
      <c r="CI27" s="15" t="s">
        <v>465</v>
      </c>
      <c r="CY27" s="15" t="s">
        <v>718</v>
      </c>
      <c r="DL27" s="15">
        <v>0.0</v>
      </c>
      <c r="DS27" s="15" t="s">
        <v>821</v>
      </c>
      <c r="KJ27" s="15" t="s">
        <v>822</v>
      </c>
      <c r="KK27" s="15" t="s">
        <v>823</v>
      </c>
      <c r="KL27" s="15" t="s">
        <v>824</v>
      </c>
      <c r="KM27" s="15">
        <v>1.0</v>
      </c>
    </row>
    <row r="28" ht="17.25" customHeight="1">
      <c r="A28" s="15" t="s">
        <v>829</v>
      </c>
      <c r="B28" s="15" t="str">
        <f>"801542029081"</f>
        <v>801542029081</v>
      </c>
      <c r="C28" s="15" t="s">
        <v>11208</v>
      </c>
      <c r="D28" s="15" t="str">
        <f t="shared" si="1"/>
        <v>Aidan BedPlushtone LinenKing</v>
      </c>
      <c r="E28" s="15" t="s">
        <v>825</v>
      </c>
      <c r="F28" s="15" t="s">
        <v>397</v>
      </c>
      <c r="G28" s="15" t="s">
        <v>827</v>
      </c>
      <c r="H28" s="15" t="s">
        <v>265</v>
      </c>
      <c r="I28" s="15" t="s">
        <v>828</v>
      </c>
      <c r="J28" s="15" t="s">
        <v>827</v>
      </c>
      <c r="K28" s="15" t="s">
        <v>838</v>
      </c>
      <c r="M28" s="15" t="s">
        <v>837</v>
      </c>
      <c r="N28" s="15" t="s">
        <v>839</v>
      </c>
      <c r="O28" s="15" t="s">
        <v>828</v>
      </c>
      <c r="P28" s="15" t="str">
        <f>"82.75"</f>
        <v>82.75</v>
      </c>
      <c r="Q28" s="15" t="str">
        <f t="shared" ref="Q28:Q31" si="82">"94"</f>
        <v>94</v>
      </c>
      <c r="R28" s="15" t="str">
        <f t="shared" ref="R28:R31" si="83">"35.25"</f>
        <v>35.25</v>
      </c>
      <c r="S28" s="15" t="str">
        <f>"169.97"</f>
        <v>169.97</v>
      </c>
      <c r="T28" s="15" t="s">
        <v>832</v>
      </c>
      <c r="U28" s="15" t="s">
        <v>11209</v>
      </c>
      <c r="V28" s="15" t="s">
        <v>11210</v>
      </c>
      <c r="AA28" s="15" t="s">
        <v>426</v>
      </c>
      <c r="AB28" s="15" t="s">
        <v>426</v>
      </c>
      <c r="AC28" s="15" t="s">
        <v>840</v>
      </c>
      <c r="AD28" s="15" t="s">
        <v>11211</v>
      </c>
      <c r="AE28" s="15" t="s">
        <v>831</v>
      </c>
      <c r="AF28" s="15" t="s">
        <v>11212</v>
      </c>
      <c r="AG28" s="15" t="s">
        <v>11213</v>
      </c>
      <c r="AH28" s="15" t="s">
        <v>11214</v>
      </c>
      <c r="AI28" s="15" t="s">
        <v>11215</v>
      </c>
      <c r="AJ28" s="15" t="s">
        <v>11216</v>
      </c>
      <c r="AK28" s="15" t="s">
        <v>11217</v>
      </c>
      <c r="AL28" s="15" t="s">
        <v>11218</v>
      </c>
      <c r="AM28" s="15" t="s">
        <v>11219</v>
      </c>
      <c r="AN28" s="15" t="s">
        <v>11220</v>
      </c>
      <c r="AO28" s="15" t="s">
        <v>11221</v>
      </c>
      <c r="BH28" s="15" t="s">
        <v>826</v>
      </c>
      <c r="BI28" s="15" t="str">
        <f>"1499"</f>
        <v>1499</v>
      </c>
      <c r="BJ28" s="15" t="str">
        <f>"630"</f>
        <v>630</v>
      </c>
      <c r="BK28" s="15" t="s">
        <v>742</v>
      </c>
      <c r="BL28" s="15" t="str">
        <f t="shared" ref="BL28:BL31" si="84">"3"</f>
        <v>3</v>
      </c>
      <c r="BM28" s="15" t="s">
        <v>841</v>
      </c>
      <c r="BN28" s="15" t="str">
        <f>"83.9"</f>
        <v>83.9</v>
      </c>
      <c r="BO28" s="15" t="str">
        <f t="shared" ref="BO28:BO31" si="85">"34.45"</f>
        <v>34.45</v>
      </c>
      <c r="BP28" s="15" t="str">
        <f t="shared" ref="BP28:BP31" si="86">"12.01"</f>
        <v>12.01</v>
      </c>
      <c r="BQ28" s="15" t="str">
        <f>"70.55"</f>
        <v>70.55</v>
      </c>
      <c r="BR28" s="15" t="s">
        <v>846</v>
      </c>
      <c r="BS28" s="15" t="str">
        <f>"85.24"</f>
        <v>85.24</v>
      </c>
      <c r="BT28" s="15" t="str">
        <f t="shared" ref="BT28:BT31" si="87">"11.22"</f>
        <v>11.22</v>
      </c>
      <c r="BU28" s="15" t="str">
        <f t="shared" ref="BU28:BU31" si="88">"8.07"</f>
        <v>8.07</v>
      </c>
      <c r="BV28" s="15" t="str">
        <f>"69.67"</f>
        <v>69.67</v>
      </c>
      <c r="BW28" s="15" t="s">
        <v>851</v>
      </c>
      <c r="BX28" s="15" t="str">
        <f t="shared" ref="BX28:BX32" si="89">"84.65"</f>
        <v>84.65</v>
      </c>
      <c r="BY28" s="15" t="str">
        <f t="shared" ref="BY28:BY31" si="90">"11.42"</f>
        <v>11.42</v>
      </c>
      <c r="BZ28" s="15" t="str">
        <f t="shared" ref="BZ28:BZ31" si="91">"8.07"</f>
        <v>8.07</v>
      </c>
      <c r="CA28" s="15" t="str">
        <f>"59.52"</f>
        <v>59.52</v>
      </c>
      <c r="CG28" s="15" t="str">
        <f>"29.06"</f>
        <v>29.06</v>
      </c>
      <c r="CH28" s="15" t="str">
        <f>"0.823"</f>
        <v>0.823</v>
      </c>
      <c r="CI28" s="15" t="s">
        <v>465</v>
      </c>
      <c r="CY28" s="15" t="s">
        <v>855</v>
      </c>
      <c r="CZ28" s="15" t="s">
        <v>419</v>
      </c>
      <c r="DA28" s="15">
        <v>0.0</v>
      </c>
      <c r="DB28" s="15" t="s">
        <v>419</v>
      </c>
      <c r="DD28" s="15">
        <v>0.0</v>
      </c>
      <c r="DF28" s="15" t="s">
        <v>721</v>
      </c>
      <c r="DG28" s="15" t="s">
        <v>419</v>
      </c>
      <c r="DI28" s="15">
        <v>0.0</v>
      </c>
      <c r="DJ28" s="15">
        <v>0.0</v>
      </c>
      <c r="DK28" s="15">
        <v>0.0</v>
      </c>
      <c r="DL28" s="15">
        <v>15000.0</v>
      </c>
      <c r="DS28" s="15" t="s">
        <v>857</v>
      </c>
      <c r="DU28" s="15" t="s">
        <v>858</v>
      </c>
      <c r="EO28" s="15" t="s">
        <v>860</v>
      </c>
      <c r="EV28" s="15">
        <v>0.0</v>
      </c>
      <c r="HV28" s="15" t="s">
        <v>861</v>
      </c>
      <c r="HW28" s="15" t="s">
        <v>861</v>
      </c>
      <c r="HX28" s="15" t="s">
        <v>861</v>
      </c>
      <c r="HY28" s="15" t="s">
        <v>862</v>
      </c>
      <c r="HZ28" s="15" t="s">
        <v>863</v>
      </c>
      <c r="IA28" s="15" t="s">
        <v>864</v>
      </c>
      <c r="IB28" s="15" t="s">
        <v>865</v>
      </c>
      <c r="IC28" s="15" t="s">
        <v>866</v>
      </c>
      <c r="ID28" s="15" t="s">
        <v>864</v>
      </c>
      <c r="IE28" s="15" t="s">
        <v>867</v>
      </c>
      <c r="IF28" s="15" t="s">
        <v>868</v>
      </c>
      <c r="IG28" s="15" t="s">
        <v>869</v>
      </c>
      <c r="IH28" s="15" t="s">
        <v>870</v>
      </c>
      <c r="II28" s="15" t="s">
        <v>867</v>
      </c>
      <c r="IJ28" s="15" t="s">
        <v>863</v>
      </c>
      <c r="IK28" s="15" t="s">
        <v>426</v>
      </c>
      <c r="IL28" s="15" t="s">
        <v>871</v>
      </c>
      <c r="IM28" s="15" t="s">
        <v>872</v>
      </c>
      <c r="IN28" s="15" t="s">
        <v>873</v>
      </c>
      <c r="IO28" s="15" t="s">
        <v>828</v>
      </c>
      <c r="IU28" s="15" t="s">
        <v>759</v>
      </c>
      <c r="IV28" s="15" t="s">
        <v>874</v>
      </c>
      <c r="IW28" s="15" t="s">
        <v>759</v>
      </c>
      <c r="IX28" s="15" t="s">
        <v>426</v>
      </c>
      <c r="IY28" s="15" t="s">
        <v>875</v>
      </c>
    </row>
    <row r="29" ht="17.25" customHeight="1">
      <c r="A29" s="15" t="s">
        <v>878</v>
      </c>
      <c r="B29" s="15" t="str">
        <f>"801542029128"</f>
        <v>801542029128</v>
      </c>
      <c r="C29" s="15" t="s">
        <v>11208</v>
      </c>
      <c r="D29" s="15" t="str">
        <f t="shared" si="1"/>
        <v>Aidan BedPlushtone LinenQueen</v>
      </c>
      <c r="E29" s="15" t="s">
        <v>825</v>
      </c>
      <c r="F29" s="15" t="s">
        <v>397</v>
      </c>
      <c r="G29" s="15" t="s">
        <v>827</v>
      </c>
      <c r="H29" s="15" t="s">
        <v>265</v>
      </c>
      <c r="I29" s="15" t="s">
        <v>877</v>
      </c>
      <c r="J29" s="15" t="s">
        <v>827</v>
      </c>
      <c r="K29" s="15" t="s">
        <v>838</v>
      </c>
      <c r="M29" s="15" t="s">
        <v>837</v>
      </c>
      <c r="N29" s="15" t="s">
        <v>839</v>
      </c>
      <c r="O29" s="15" t="s">
        <v>877</v>
      </c>
      <c r="P29" s="15" t="str">
        <f>"66.5"</f>
        <v>66.5</v>
      </c>
      <c r="Q29" s="15" t="str">
        <f t="shared" si="82"/>
        <v>94</v>
      </c>
      <c r="R29" s="15" t="str">
        <f t="shared" si="83"/>
        <v>35.25</v>
      </c>
      <c r="S29" s="15" t="str">
        <f>"138.89"</f>
        <v>138.89</v>
      </c>
      <c r="T29" s="15" t="s">
        <v>832</v>
      </c>
      <c r="U29" s="15" t="s">
        <v>11209</v>
      </c>
      <c r="V29" s="15" t="s">
        <v>11210</v>
      </c>
      <c r="AA29" s="15" t="s">
        <v>426</v>
      </c>
      <c r="AB29" s="15" t="s">
        <v>426</v>
      </c>
      <c r="AC29" s="15" t="s">
        <v>840</v>
      </c>
      <c r="AD29" s="15" t="s">
        <v>11222</v>
      </c>
      <c r="AE29" s="15" t="s">
        <v>880</v>
      </c>
      <c r="AF29" s="15" t="s">
        <v>11223</v>
      </c>
      <c r="AG29" s="15" t="s">
        <v>11224</v>
      </c>
      <c r="AH29" s="15" t="s">
        <v>11225</v>
      </c>
      <c r="AI29" s="15" t="s">
        <v>11226</v>
      </c>
      <c r="AJ29" s="15" t="s">
        <v>11227</v>
      </c>
      <c r="AK29" s="15" t="s">
        <v>11228</v>
      </c>
      <c r="AL29" s="15" t="s">
        <v>11229</v>
      </c>
      <c r="AM29" s="15" t="s">
        <v>11230</v>
      </c>
      <c r="AN29" s="15" t="s">
        <v>11231</v>
      </c>
      <c r="AO29" s="15" t="s">
        <v>11232</v>
      </c>
      <c r="BH29" s="15" t="s">
        <v>876</v>
      </c>
      <c r="BI29" s="15" t="str">
        <f>"1299"</f>
        <v>1299</v>
      </c>
      <c r="BJ29" s="15" t="str">
        <f>"550"</f>
        <v>550</v>
      </c>
      <c r="BK29" s="15" t="s">
        <v>742</v>
      </c>
      <c r="BL29" s="15" t="str">
        <f t="shared" si="84"/>
        <v>3</v>
      </c>
      <c r="BM29" s="15" t="s">
        <v>841</v>
      </c>
      <c r="BN29" s="15" t="str">
        <f>"67.91"</f>
        <v>67.91</v>
      </c>
      <c r="BO29" s="15" t="str">
        <f t="shared" si="85"/>
        <v>34.45</v>
      </c>
      <c r="BP29" s="15" t="str">
        <f t="shared" si="86"/>
        <v>12.01</v>
      </c>
      <c r="BQ29" s="15" t="str">
        <f>"59.97"</f>
        <v>59.97</v>
      </c>
      <c r="BR29" s="15" t="s">
        <v>846</v>
      </c>
      <c r="BS29" s="15" t="str">
        <f>"69.25"</f>
        <v>69.25</v>
      </c>
      <c r="BT29" s="15" t="str">
        <f t="shared" si="87"/>
        <v>11.22</v>
      </c>
      <c r="BU29" s="15" t="str">
        <f t="shared" si="88"/>
        <v>8.07</v>
      </c>
      <c r="BV29" s="15" t="str">
        <f>"54.67"</f>
        <v>54.67</v>
      </c>
      <c r="BW29" s="15" t="s">
        <v>887</v>
      </c>
      <c r="BX29" s="15" t="str">
        <f t="shared" si="89"/>
        <v>84.65</v>
      </c>
      <c r="BY29" s="15" t="str">
        <f t="shared" si="90"/>
        <v>11.42</v>
      </c>
      <c r="BZ29" s="15" t="str">
        <f t="shared" si="91"/>
        <v>8.07</v>
      </c>
      <c r="CA29" s="15" t="str">
        <f>"54.01"</f>
        <v>54.01</v>
      </c>
      <c r="CG29" s="15" t="str">
        <f>"24.4"</f>
        <v>24.4</v>
      </c>
      <c r="CH29" s="15" t="str">
        <f>"0.691"</f>
        <v>0.691</v>
      </c>
      <c r="CI29" s="15" t="s">
        <v>417</v>
      </c>
      <c r="CY29" s="15" t="s">
        <v>855</v>
      </c>
      <c r="CZ29" s="15" t="s">
        <v>419</v>
      </c>
      <c r="DA29" s="15">
        <v>0.0</v>
      </c>
      <c r="DB29" s="15" t="s">
        <v>419</v>
      </c>
      <c r="DD29" s="15">
        <v>0.0</v>
      </c>
      <c r="DF29" s="15" t="s">
        <v>721</v>
      </c>
      <c r="DG29" s="15" t="s">
        <v>419</v>
      </c>
      <c r="DI29" s="15">
        <v>0.0</v>
      </c>
      <c r="DJ29" s="15">
        <v>0.0</v>
      </c>
      <c r="DK29" s="15">
        <v>0.0</v>
      </c>
      <c r="DL29" s="15">
        <v>15000.0</v>
      </c>
      <c r="DS29" s="15" t="s">
        <v>857</v>
      </c>
      <c r="DU29" s="15" t="s">
        <v>858</v>
      </c>
      <c r="EO29" s="15" t="s">
        <v>860</v>
      </c>
      <c r="EV29" s="15">
        <v>0.0</v>
      </c>
      <c r="HV29" s="15" t="s">
        <v>861</v>
      </c>
      <c r="HW29" s="15" t="s">
        <v>861</v>
      </c>
      <c r="HX29" s="15" t="s">
        <v>861</v>
      </c>
      <c r="HY29" s="15" t="s">
        <v>862</v>
      </c>
      <c r="HZ29" s="15" t="s">
        <v>863</v>
      </c>
      <c r="IA29" s="15" t="s">
        <v>889</v>
      </c>
      <c r="IB29" s="15" t="s">
        <v>865</v>
      </c>
      <c r="IC29" s="15" t="s">
        <v>866</v>
      </c>
      <c r="ID29" s="15" t="s">
        <v>889</v>
      </c>
      <c r="IE29" s="15" t="s">
        <v>867</v>
      </c>
      <c r="IF29" s="15" t="s">
        <v>868</v>
      </c>
      <c r="IG29" s="15" t="s">
        <v>890</v>
      </c>
      <c r="IH29" s="15" t="s">
        <v>870</v>
      </c>
      <c r="II29" s="15" t="s">
        <v>867</v>
      </c>
      <c r="IJ29" s="15" t="s">
        <v>863</v>
      </c>
      <c r="IK29" s="15" t="s">
        <v>426</v>
      </c>
      <c r="IL29" s="15" t="s">
        <v>871</v>
      </c>
      <c r="IM29" s="15" t="s">
        <v>872</v>
      </c>
      <c r="IN29" s="15" t="s">
        <v>873</v>
      </c>
      <c r="IO29" s="15" t="s">
        <v>877</v>
      </c>
      <c r="IU29" s="15" t="s">
        <v>759</v>
      </c>
      <c r="IV29" s="15" t="s">
        <v>874</v>
      </c>
      <c r="IW29" s="15" t="s">
        <v>759</v>
      </c>
      <c r="IX29" s="15" t="s">
        <v>426</v>
      </c>
      <c r="IY29" s="15" t="s">
        <v>875</v>
      </c>
    </row>
    <row r="30" ht="17.25" customHeight="1">
      <c r="A30" s="15" t="s">
        <v>893</v>
      </c>
      <c r="B30" s="15" t="str">
        <f>"801542029166"</f>
        <v>801542029166</v>
      </c>
      <c r="C30" s="15" t="s">
        <v>11233</v>
      </c>
      <c r="D30" s="15" t="str">
        <f t="shared" si="1"/>
        <v>Aidan BedVintage TobaccoKing</v>
      </c>
      <c r="E30" s="15" t="s">
        <v>825</v>
      </c>
      <c r="F30" s="15" t="s">
        <v>397</v>
      </c>
      <c r="G30" s="15" t="s">
        <v>892</v>
      </c>
      <c r="H30" s="15" t="s">
        <v>265</v>
      </c>
      <c r="I30" s="15" t="s">
        <v>828</v>
      </c>
      <c r="J30" s="15" t="s">
        <v>892</v>
      </c>
      <c r="K30" s="15" t="s">
        <v>838</v>
      </c>
      <c r="M30" s="15" t="s">
        <v>837</v>
      </c>
      <c r="N30" s="15" t="s">
        <v>839</v>
      </c>
      <c r="O30" s="15" t="s">
        <v>828</v>
      </c>
      <c r="P30" s="15" t="str">
        <f>"82.75"</f>
        <v>82.75</v>
      </c>
      <c r="Q30" s="15" t="str">
        <f t="shared" si="82"/>
        <v>94</v>
      </c>
      <c r="R30" s="15" t="str">
        <f t="shared" si="83"/>
        <v>35.25</v>
      </c>
      <c r="S30" s="15" t="str">
        <f>"169.97"</f>
        <v>169.97</v>
      </c>
      <c r="T30" s="15" t="s">
        <v>895</v>
      </c>
      <c r="U30" s="15" t="s">
        <v>11234</v>
      </c>
      <c r="V30" s="15" t="s">
        <v>11235</v>
      </c>
      <c r="W30" s="15" t="s">
        <v>11210</v>
      </c>
      <c r="AA30" s="15" t="s">
        <v>413</v>
      </c>
      <c r="AB30" s="15" t="s">
        <v>413</v>
      </c>
      <c r="AC30" s="15" t="s">
        <v>896</v>
      </c>
      <c r="AD30" s="15" t="s">
        <v>11236</v>
      </c>
      <c r="AE30" s="15" t="s">
        <v>894</v>
      </c>
      <c r="AF30" s="15" t="s">
        <v>11237</v>
      </c>
      <c r="AG30" s="15" t="s">
        <v>11238</v>
      </c>
      <c r="AH30" s="15" t="s">
        <v>11239</v>
      </c>
      <c r="AI30" s="15" t="s">
        <v>11240</v>
      </c>
      <c r="AJ30" s="15" t="s">
        <v>11241</v>
      </c>
      <c r="AK30" s="15" t="s">
        <v>11242</v>
      </c>
      <c r="AL30" s="15" t="s">
        <v>11243</v>
      </c>
      <c r="AM30" s="15" t="s">
        <v>11244</v>
      </c>
      <c r="BH30" s="15" t="s">
        <v>891</v>
      </c>
      <c r="BI30" s="15" t="str">
        <f>"1499"</f>
        <v>1499</v>
      </c>
      <c r="BJ30" s="15" t="str">
        <f>"630"</f>
        <v>630</v>
      </c>
      <c r="BK30" s="15" t="s">
        <v>742</v>
      </c>
      <c r="BL30" s="15" t="str">
        <f t="shared" si="84"/>
        <v>3</v>
      </c>
      <c r="BM30" s="15" t="s">
        <v>841</v>
      </c>
      <c r="BN30" s="15" t="str">
        <f>"83.9"</f>
        <v>83.9</v>
      </c>
      <c r="BO30" s="15" t="str">
        <f t="shared" si="85"/>
        <v>34.45</v>
      </c>
      <c r="BP30" s="15" t="str">
        <f t="shared" si="86"/>
        <v>12.01</v>
      </c>
      <c r="BQ30" s="15" t="str">
        <f>"70.55"</f>
        <v>70.55</v>
      </c>
      <c r="BR30" s="15" t="s">
        <v>846</v>
      </c>
      <c r="BS30" s="15" t="str">
        <f>"85.24"</f>
        <v>85.24</v>
      </c>
      <c r="BT30" s="15" t="str">
        <f t="shared" si="87"/>
        <v>11.22</v>
      </c>
      <c r="BU30" s="15" t="str">
        <f t="shared" si="88"/>
        <v>8.07</v>
      </c>
      <c r="BV30" s="15" t="str">
        <f>"69.67"</f>
        <v>69.67</v>
      </c>
      <c r="BW30" s="15" t="s">
        <v>851</v>
      </c>
      <c r="BX30" s="15" t="str">
        <f t="shared" si="89"/>
        <v>84.65</v>
      </c>
      <c r="BY30" s="15" t="str">
        <f t="shared" si="90"/>
        <v>11.42</v>
      </c>
      <c r="BZ30" s="15" t="str">
        <f t="shared" si="91"/>
        <v>8.07</v>
      </c>
      <c r="CA30" s="15" t="str">
        <f>"59.52"</f>
        <v>59.52</v>
      </c>
      <c r="CG30" s="15" t="str">
        <f>"29.06"</f>
        <v>29.06</v>
      </c>
      <c r="CH30" s="15" t="str">
        <f>"0.823"</f>
        <v>0.823</v>
      </c>
      <c r="CI30" s="15" t="s">
        <v>497</v>
      </c>
      <c r="CY30" s="15" t="s">
        <v>897</v>
      </c>
      <c r="CZ30" s="15" t="s">
        <v>419</v>
      </c>
      <c r="DA30" s="15">
        <v>0.0</v>
      </c>
      <c r="DB30" s="15" t="s">
        <v>419</v>
      </c>
      <c r="DD30" s="15">
        <v>0.0</v>
      </c>
      <c r="DF30" s="15" t="s">
        <v>721</v>
      </c>
      <c r="DG30" s="15" t="s">
        <v>419</v>
      </c>
      <c r="DI30" s="15">
        <v>0.0</v>
      </c>
      <c r="DJ30" s="15">
        <v>0.0</v>
      </c>
      <c r="DK30" s="15">
        <v>0.0</v>
      </c>
      <c r="DL30" s="15">
        <v>15000.0</v>
      </c>
      <c r="DS30" s="15" t="s">
        <v>857</v>
      </c>
      <c r="DU30" s="15" t="s">
        <v>858</v>
      </c>
      <c r="EO30" s="15" t="s">
        <v>860</v>
      </c>
      <c r="EV30" s="15">
        <v>0.0</v>
      </c>
      <c r="HV30" s="15" t="s">
        <v>861</v>
      </c>
      <c r="HW30" s="15" t="s">
        <v>861</v>
      </c>
      <c r="HX30" s="15" t="s">
        <v>861</v>
      </c>
      <c r="HY30" s="15" t="s">
        <v>862</v>
      </c>
      <c r="HZ30" s="15" t="s">
        <v>863</v>
      </c>
      <c r="IA30" s="15" t="s">
        <v>864</v>
      </c>
      <c r="IB30" s="15" t="s">
        <v>865</v>
      </c>
      <c r="IC30" s="15" t="s">
        <v>866</v>
      </c>
      <c r="ID30" s="15" t="s">
        <v>864</v>
      </c>
      <c r="IE30" s="15" t="s">
        <v>867</v>
      </c>
      <c r="IF30" s="15" t="s">
        <v>868</v>
      </c>
      <c r="IG30" s="15" t="s">
        <v>869</v>
      </c>
      <c r="IH30" s="15" t="s">
        <v>870</v>
      </c>
      <c r="II30" s="15" t="s">
        <v>867</v>
      </c>
      <c r="IJ30" s="15" t="s">
        <v>863</v>
      </c>
      <c r="IK30" s="15" t="s">
        <v>426</v>
      </c>
      <c r="IL30" s="15" t="s">
        <v>871</v>
      </c>
      <c r="IM30" s="15" t="s">
        <v>872</v>
      </c>
      <c r="IN30" s="15" t="s">
        <v>873</v>
      </c>
      <c r="IO30" s="15" t="s">
        <v>828</v>
      </c>
      <c r="IU30" s="15" t="s">
        <v>759</v>
      </c>
      <c r="IV30" s="15" t="s">
        <v>874</v>
      </c>
      <c r="IW30" s="15" t="s">
        <v>759</v>
      </c>
      <c r="IX30" s="15" t="s">
        <v>426</v>
      </c>
      <c r="IY30" s="15" t="s">
        <v>875</v>
      </c>
    </row>
    <row r="31" ht="17.25" customHeight="1">
      <c r="A31" s="15" t="s">
        <v>900</v>
      </c>
      <c r="B31" s="15" t="str">
        <f>"801542029203"</f>
        <v>801542029203</v>
      </c>
      <c r="C31" s="15" t="s">
        <v>11233</v>
      </c>
      <c r="D31" s="15" t="str">
        <f t="shared" si="1"/>
        <v>Aidan BedVintage TobaccoQueen</v>
      </c>
      <c r="E31" s="15" t="s">
        <v>825</v>
      </c>
      <c r="F31" s="15" t="s">
        <v>397</v>
      </c>
      <c r="G31" s="15" t="s">
        <v>892</v>
      </c>
      <c r="H31" s="15" t="s">
        <v>265</v>
      </c>
      <c r="I31" s="15" t="s">
        <v>877</v>
      </c>
      <c r="J31" s="15" t="s">
        <v>892</v>
      </c>
      <c r="K31" s="15" t="s">
        <v>838</v>
      </c>
      <c r="M31" s="15" t="s">
        <v>837</v>
      </c>
      <c r="N31" s="15" t="s">
        <v>839</v>
      </c>
      <c r="O31" s="15" t="s">
        <v>877</v>
      </c>
      <c r="P31" s="15" t="str">
        <f>"66.5"</f>
        <v>66.5</v>
      </c>
      <c r="Q31" s="15" t="str">
        <f t="shared" si="82"/>
        <v>94</v>
      </c>
      <c r="R31" s="15" t="str">
        <f t="shared" si="83"/>
        <v>35.25</v>
      </c>
      <c r="S31" s="15" t="str">
        <f>"138.89"</f>
        <v>138.89</v>
      </c>
      <c r="T31" s="15" t="s">
        <v>895</v>
      </c>
      <c r="U31" s="15" t="s">
        <v>11234</v>
      </c>
      <c r="V31" s="15" t="s">
        <v>11235</v>
      </c>
      <c r="W31" s="15" t="s">
        <v>11210</v>
      </c>
      <c r="AA31" s="15" t="s">
        <v>413</v>
      </c>
      <c r="AB31" s="15" t="s">
        <v>413</v>
      </c>
      <c r="AC31" s="15" t="s">
        <v>896</v>
      </c>
      <c r="AD31" s="15" t="s">
        <v>11245</v>
      </c>
      <c r="AE31" s="15" t="s">
        <v>901</v>
      </c>
      <c r="AF31" s="15" t="s">
        <v>11246</v>
      </c>
      <c r="AG31" s="15" t="s">
        <v>11247</v>
      </c>
      <c r="AH31" s="15" t="s">
        <v>11248</v>
      </c>
      <c r="AI31" s="15" t="s">
        <v>11249</v>
      </c>
      <c r="AJ31" s="15" t="s">
        <v>11250</v>
      </c>
      <c r="AK31" s="15" t="s">
        <v>11251</v>
      </c>
      <c r="AL31" s="15" t="s">
        <v>11252</v>
      </c>
      <c r="AM31" s="15" t="s">
        <v>11253</v>
      </c>
      <c r="AN31" s="15" t="s">
        <v>11254</v>
      </c>
      <c r="AO31" s="15" t="s">
        <v>11255</v>
      </c>
      <c r="BH31" s="15" t="s">
        <v>899</v>
      </c>
      <c r="BI31" s="15" t="str">
        <f>"1299"</f>
        <v>1299</v>
      </c>
      <c r="BJ31" s="15" t="str">
        <f>"550"</f>
        <v>550</v>
      </c>
      <c r="BK31" s="15" t="s">
        <v>742</v>
      </c>
      <c r="BL31" s="15" t="str">
        <f t="shared" si="84"/>
        <v>3</v>
      </c>
      <c r="BM31" s="15" t="s">
        <v>841</v>
      </c>
      <c r="BN31" s="15" t="str">
        <f>"67.91"</f>
        <v>67.91</v>
      </c>
      <c r="BO31" s="15" t="str">
        <f t="shared" si="85"/>
        <v>34.45</v>
      </c>
      <c r="BP31" s="15" t="str">
        <f t="shared" si="86"/>
        <v>12.01</v>
      </c>
      <c r="BQ31" s="15" t="str">
        <f>"59.97"</f>
        <v>59.97</v>
      </c>
      <c r="BR31" s="15" t="s">
        <v>846</v>
      </c>
      <c r="BS31" s="15" t="str">
        <f>"69.25"</f>
        <v>69.25</v>
      </c>
      <c r="BT31" s="15" t="str">
        <f t="shared" si="87"/>
        <v>11.22</v>
      </c>
      <c r="BU31" s="15" t="str">
        <f t="shared" si="88"/>
        <v>8.07</v>
      </c>
      <c r="BV31" s="15" t="str">
        <f>"54.67"</f>
        <v>54.67</v>
      </c>
      <c r="BW31" s="15" t="s">
        <v>887</v>
      </c>
      <c r="BX31" s="15" t="str">
        <f t="shared" si="89"/>
        <v>84.65</v>
      </c>
      <c r="BY31" s="15" t="str">
        <f t="shared" si="90"/>
        <v>11.42</v>
      </c>
      <c r="BZ31" s="15" t="str">
        <f t="shared" si="91"/>
        <v>8.07</v>
      </c>
      <c r="CA31" s="15" t="str">
        <f>"54.01"</f>
        <v>54.01</v>
      </c>
      <c r="CG31" s="15" t="str">
        <f>"24.4"</f>
        <v>24.4</v>
      </c>
      <c r="CH31" s="15" t="str">
        <f>"0.691"</f>
        <v>0.691</v>
      </c>
      <c r="CI31" s="15" t="s">
        <v>497</v>
      </c>
      <c r="CY31" s="15" t="s">
        <v>897</v>
      </c>
      <c r="CZ31" s="15" t="s">
        <v>419</v>
      </c>
      <c r="DA31" s="15">
        <v>0.0</v>
      </c>
      <c r="DB31" s="15" t="s">
        <v>419</v>
      </c>
      <c r="DD31" s="15">
        <v>0.0</v>
      </c>
      <c r="DF31" s="15" t="s">
        <v>721</v>
      </c>
      <c r="DG31" s="15" t="s">
        <v>419</v>
      </c>
      <c r="DI31" s="15">
        <v>0.0</v>
      </c>
      <c r="DJ31" s="15">
        <v>0.0</v>
      </c>
      <c r="DK31" s="15">
        <v>0.0</v>
      </c>
      <c r="DL31" s="15">
        <v>15000.0</v>
      </c>
      <c r="DS31" s="15" t="s">
        <v>857</v>
      </c>
      <c r="DU31" s="15" t="s">
        <v>858</v>
      </c>
      <c r="EO31" s="15" t="s">
        <v>860</v>
      </c>
      <c r="EV31" s="15">
        <v>0.0</v>
      </c>
      <c r="HV31" s="15" t="s">
        <v>861</v>
      </c>
      <c r="HW31" s="15" t="s">
        <v>861</v>
      </c>
      <c r="HX31" s="15" t="s">
        <v>861</v>
      </c>
      <c r="HY31" s="15" t="s">
        <v>862</v>
      </c>
      <c r="HZ31" s="15" t="s">
        <v>863</v>
      </c>
      <c r="IA31" s="15" t="s">
        <v>889</v>
      </c>
      <c r="IB31" s="15" t="s">
        <v>865</v>
      </c>
      <c r="IC31" s="15" t="s">
        <v>866</v>
      </c>
      <c r="ID31" s="15" t="s">
        <v>889</v>
      </c>
      <c r="IE31" s="15" t="s">
        <v>867</v>
      </c>
      <c r="IF31" s="15" t="s">
        <v>868</v>
      </c>
      <c r="IG31" s="15" t="s">
        <v>890</v>
      </c>
      <c r="IH31" s="15" t="s">
        <v>870</v>
      </c>
      <c r="II31" s="15" t="s">
        <v>867</v>
      </c>
      <c r="IJ31" s="15" t="s">
        <v>863</v>
      </c>
      <c r="IK31" s="15" t="s">
        <v>426</v>
      </c>
      <c r="IL31" s="15" t="s">
        <v>871</v>
      </c>
      <c r="IM31" s="15" t="s">
        <v>872</v>
      </c>
      <c r="IN31" s="15" t="s">
        <v>873</v>
      </c>
      <c r="IO31" s="15" t="s">
        <v>877</v>
      </c>
      <c r="IU31" s="15" t="s">
        <v>759</v>
      </c>
      <c r="IV31" s="15" t="s">
        <v>874</v>
      </c>
      <c r="IW31" s="15" t="s">
        <v>759</v>
      </c>
      <c r="IX31" s="15" t="s">
        <v>426</v>
      </c>
      <c r="IY31" s="15" t="s">
        <v>875</v>
      </c>
    </row>
    <row r="32" ht="17.25" customHeight="1">
      <c r="A32" s="15" t="s">
        <v>905</v>
      </c>
      <c r="B32" s="15" t="str">
        <f>"801542125448"</f>
        <v>801542125448</v>
      </c>
      <c r="C32" s="15" t="s">
        <v>11256</v>
      </c>
      <c r="D32" s="15" t="str">
        <f t="shared" si="1"/>
        <v>Aidan Slipcover BedBrussels CoffeeKing</v>
      </c>
      <c r="E32" s="15" t="s">
        <v>902</v>
      </c>
      <c r="F32" s="15" t="s">
        <v>397</v>
      </c>
      <c r="G32" s="15" t="s">
        <v>904</v>
      </c>
      <c r="H32" s="15" t="s">
        <v>265</v>
      </c>
      <c r="I32" s="15" t="s">
        <v>828</v>
      </c>
      <c r="J32" s="15" t="s">
        <v>904</v>
      </c>
      <c r="M32" s="15" t="s">
        <v>915</v>
      </c>
      <c r="N32" s="15" t="s">
        <v>839</v>
      </c>
      <c r="O32" s="15" t="s">
        <v>828</v>
      </c>
      <c r="P32" s="15" t="str">
        <f>"84.25"</f>
        <v>84.25</v>
      </c>
      <c r="Q32" s="15" t="str">
        <f t="shared" ref="Q32:Q35" si="93">"93.75"</f>
        <v>93.75</v>
      </c>
      <c r="R32" s="15" t="str">
        <f t="shared" ref="R32:R35" si="94">"35.5"</f>
        <v>35.5</v>
      </c>
      <c r="S32" s="15" t="str">
        <f>"154.32"</f>
        <v>154.32</v>
      </c>
      <c r="T32" s="15" t="s">
        <v>908</v>
      </c>
      <c r="U32" s="15" t="s">
        <v>11257</v>
      </c>
      <c r="AA32" s="15" t="s">
        <v>413</v>
      </c>
      <c r="AB32" s="15" t="s">
        <v>413</v>
      </c>
      <c r="AC32" s="15" t="s">
        <v>916</v>
      </c>
      <c r="AD32" s="15" t="s">
        <v>11258</v>
      </c>
      <c r="AE32" s="15" t="s">
        <v>907</v>
      </c>
      <c r="AF32" s="15" t="s">
        <v>11259</v>
      </c>
      <c r="AG32" s="15" t="s">
        <v>11260</v>
      </c>
      <c r="AH32" s="15" t="s">
        <v>11261</v>
      </c>
      <c r="AI32" s="15" t="s">
        <v>11262</v>
      </c>
      <c r="AJ32" s="15" t="s">
        <v>11263</v>
      </c>
      <c r="AK32" s="15" t="s">
        <v>11264</v>
      </c>
      <c r="AL32" s="15" t="s">
        <v>11265</v>
      </c>
      <c r="AM32" s="15" t="s">
        <v>11266</v>
      </c>
      <c r="AN32" s="15" t="s">
        <v>11267</v>
      </c>
      <c r="AO32" s="15" t="s">
        <v>11268</v>
      </c>
      <c r="AP32" s="15" t="s">
        <v>11269</v>
      </c>
      <c r="AQ32" s="15" t="s">
        <v>11270</v>
      </c>
      <c r="AR32" s="15" t="s">
        <v>11271</v>
      </c>
      <c r="AS32" s="15" t="s">
        <v>11272</v>
      </c>
      <c r="AT32" s="15" t="s">
        <v>11273</v>
      </c>
      <c r="BH32" s="15" t="s">
        <v>903</v>
      </c>
      <c r="BI32" s="15" t="str">
        <f>"2799"</f>
        <v>2799</v>
      </c>
      <c r="BJ32" s="15" t="str">
        <f>"1180"</f>
        <v>1180</v>
      </c>
      <c r="BK32" s="15" t="s">
        <v>709</v>
      </c>
      <c r="BL32" s="15" t="str">
        <f t="shared" ref="BL32:BL35" si="95">"4"</f>
        <v>4</v>
      </c>
      <c r="BM32" s="15" t="s">
        <v>917</v>
      </c>
      <c r="BN32" s="15" t="str">
        <f t="shared" ref="BN32:BN35" si="96">"81.73"</f>
        <v>81.73</v>
      </c>
      <c r="BO32" s="15" t="str">
        <f t="shared" ref="BO32:BO35" si="97">"5.39"</f>
        <v>5.39</v>
      </c>
      <c r="BP32" s="15" t="str">
        <f>"40.35"</f>
        <v>40.35</v>
      </c>
      <c r="BQ32" s="15" t="str">
        <f>"52.91"</f>
        <v>52.91</v>
      </c>
      <c r="BR32" s="15" t="s">
        <v>922</v>
      </c>
      <c r="BS32" s="15" t="str">
        <f t="shared" ref="BS32:BT32" si="92">"7.87"</f>
        <v>7.87</v>
      </c>
      <c r="BT32" s="15" t="str">
        <f t="shared" si="92"/>
        <v>7.87</v>
      </c>
      <c r="BU32" s="15" t="str">
        <f t="shared" ref="BU32:BU35" si="99">"28.35"</f>
        <v>28.35</v>
      </c>
      <c r="BV32" s="15" t="str">
        <f>"12.79"</f>
        <v>12.79</v>
      </c>
      <c r="BW32" s="15" t="s">
        <v>926</v>
      </c>
      <c r="BX32" s="15" t="str">
        <f t="shared" si="89"/>
        <v>84.65</v>
      </c>
      <c r="BY32" s="15" t="str">
        <f t="shared" ref="BY32:BY35" si="100">"38.98"</f>
        <v>38.98</v>
      </c>
      <c r="BZ32" s="15" t="str">
        <f t="shared" ref="BZ32:BZ35" si="101">"12.6"</f>
        <v>12.6</v>
      </c>
      <c r="CA32" s="15" t="str">
        <f>"85.98"</f>
        <v>85.98</v>
      </c>
      <c r="CB32" s="15" t="s">
        <v>929</v>
      </c>
      <c r="CC32" s="15" t="str">
        <f t="shared" ref="CC32:CC35" si="102">"83.07"</f>
        <v>83.07</v>
      </c>
      <c r="CD32" s="15" t="str">
        <f t="shared" ref="CD32:CD35" si="103">"10.63"</f>
        <v>10.63</v>
      </c>
      <c r="CE32" s="15" t="str">
        <f t="shared" ref="CE32:CE35" si="104">"11.02"</f>
        <v>11.02</v>
      </c>
      <c r="CF32" s="15" t="str">
        <f t="shared" ref="CF32:CF35" si="105">"41.89"</f>
        <v>41.89</v>
      </c>
      <c r="CG32" s="15" t="str">
        <f>"41.04"</f>
        <v>41.04</v>
      </c>
      <c r="CH32" s="15" t="str">
        <f>"1.162"</f>
        <v>1.162</v>
      </c>
      <c r="CI32" s="15" t="s">
        <v>465</v>
      </c>
      <c r="CY32" s="15" t="s">
        <v>934</v>
      </c>
      <c r="CZ32" s="15" t="s">
        <v>419</v>
      </c>
      <c r="DA32" s="15">
        <v>0.0</v>
      </c>
      <c r="DB32" s="15" t="s">
        <v>419</v>
      </c>
      <c r="DD32" s="15">
        <v>0.0</v>
      </c>
      <c r="DF32" s="15" t="s">
        <v>721</v>
      </c>
      <c r="DG32" s="15" t="s">
        <v>936</v>
      </c>
      <c r="DI32" s="15">
        <v>0.0</v>
      </c>
      <c r="DJ32" s="15">
        <v>0.0</v>
      </c>
      <c r="DK32" s="15">
        <v>0.0</v>
      </c>
      <c r="DL32" s="15">
        <v>25000.0</v>
      </c>
      <c r="DS32" s="15" t="s">
        <v>857</v>
      </c>
      <c r="DU32" s="15" t="s">
        <v>858</v>
      </c>
      <c r="EO32" s="15" t="s">
        <v>937</v>
      </c>
      <c r="EV32" s="15">
        <v>0.0</v>
      </c>
      <c r="FB32" s="15" t="s">
        <v>938</v>
      </c>
      <c r="HY32" s="15" t="s">
        <v>939</v>
      </c>
      <c r="HZ32" s="15" t="s">
        <v>940</v>
      </c>
      <c r="IA32" s="15" t="s">
        <v>941</v>
      </c>
      <c r="IB32" s="15" t="s">
        <v>942</v>
      </c>
      <c r="IC32" s="15" t="s">
        <v>943</v>
      </c>
      <c r="ID32" s="15" t="s">
        <v>944</v>
      </c>
      <c r="IE32" s="15" t="s">
        <v>945</v>
      </c>
      <c r="IF32" s="15" t="s">
        <v>784</v>
      </c>
      <c r="IG32" s="15" t="s">
        <v>946</v>
      </c>
      <c r="IH32" s="15" t="s">
        <v>939</v>
      </c>
      <c r="II32" s="15" t="s">
        <v>945</v>
      </c>
      <c r="IJ32" s="15" t="s">
        <v>940</v>
      </c>
      <c r="IK32" s="15" t="s">
        <v>426</v>
      </c>
      <c r="IL32" s="15" t="s">
        <v>947</v>
      </c>
      <c r="IM32" s="15" t="s">
        <v>872</v>
      </c>
      <c r="IN32" s="15" t="s">
        <v>873</v>
      </c>
      <c r="IO32" s="15" t="s">
        <v>828</v>
      </c>
      <c r="IU32" s="15" t="s">
        <v>635</v>
      </c>
      <c r="IV32" s="15" t="s">
        <v>531</v>
      </c>
      <c r="IX32" s="15" t="s">
        <v>426</v>
      </c>
      <c r="IY32" s="15" t="s">
        <v>875</v>
      </c>
    </row>
    <row r="33" ht="17.25" customHeight="1">
      <c r="A33" s="15" t="s">
        <v>949</v>
      </c>
      <c r="B33" s="15" t="str">
        <f>"801542125455"</f>
        <v>801542125455</v>
      </c>
      <c r="C33" s="15" t="s">
        <v>11256</v>
      </c>
      <c r="D33" s="15" t="str">
        <f t="shared" si="1"/>
        <v>Aidan Slipcover BedBrussels CoffeeQueen</v>
      </c>
      <c r="E33" s="15" t="s">
        <v>902</v>
      </c>
      <c r="F33" s="15" t="s">
        <v>397</v>
      </c>
      <c r="G33" s="15" t="s">
        <v>904</v>
      </c>
      <c r="H33" s="15" t="s">
        <v>265</v>
      </c>
      <c r="I33" s="15" t="s">
        <v>877</v>
      </c>
      <c r="J33" s="15" t="s">
        <v>904</v>
      </c>
      <c r="M33" s="15" t="s">
        <v>915</v>
      </c>
      <c r="N33" s="15" t="s">
        <v>839</v>
      </c>
      <c r="O33" s="15" t="s">
        <v>877</v>
      </c>
      <c r="P33" s="15" t="str">
        <f>"68"</f>
        <v>68</v>
      </c>
      <c r="Q33" s="15" t="str">
        <f t="shared" si="93"/>
        <v>93.75</v>
      </c>
      <c r="R33" s="15" t="str">
        <f t="shared" si="94"/>
        <v>35.5</v>
      </c>
      <c r="S33" s="15" t="str">
        <f>"127.43"</f>
        <v>127.43</v>
      </c>
      <c r="T33" s="15" t="s">
        <v>908</v>
      </c>
      <c r="U33" s="15" t="s">
        <v>11257</v>
      </c>
      <c r="AA33" s="15" t="s">
        <v>413</v>
      </c>
      <c r="AB33" s="15" t="s">
        <v>413</v>
      </c>
      <c r="AC33" s="15" t="s">
        <v>953</v>
      </c>
      <c r="AD33" s="15" t="s">
        <v>11274</v>
      </c>
      <c r="AE33" s="15" t="s">
        <v>951</v>
      </c>
      <c r="AF33" s="15" t="s">
        <v>11275</v>
      </c>
      <c r="AG33" s="15" t="s">
        <v>11276</v>
      </c>
      <c r="AH33" s="15" t="s">
        <v>11277</v>
      </c>
      <c r="AI33" s="15" t="s">
        <v>11278</v>
      </c>
      <c r="AJ33" s="15" t="s">
        <v>11279</v>
      </c>
      <c r="AK33" s="15" t="s">
        <v>11280</v>
      </c>
      <c r="AL33" s="15" t="s">
        <v>11281</v>
      </c>
      <c r="AM33" s="15" t="s">
        <v>11282</v>
      </c>
      <c r="AN33" s="15" t="s">
        <v>11283</v>
      </c>
      <c r="AO33" s="15" t="s">
        <v>11284</v>
      </c>
      <c r="AP33" s="15" t="s">
        <v>11285</v>
      </c>
      <c r="AQ33" s="15" t="s">
        <v>11286</v>
      </c>
      <c r="AR33" s="15" t="s">
        <v>11287</v>
      </c>
      <c r="AS33" s="15" t="s">
        <v>11288</v>
      </c>
      <c r="AT33" s="15" t="s">
        <v>11289</v>
      </c>
      <c r="AU33" s="15" t="s">
        <v>11290</v>
      </c>
      <c r="BH33" s="15" t="s">
        <v>948</v>
      </c>
      <c r="BI33" s="15" t="str">
        <f>"2499"</f>
        <v>2499</v>
      </c>
      <c r="BJ33" s="15" t="str">
        <f>"1050"</f>
        <v>1050</v>
      </c>
      <c r="BK33" s="15" t="s">
        <v>709</v>
      </c>
      <c r="BL33" s="15" t="str">
        <f t="shared" si="95"/>
        <v>4</v>
      </c>
      <c r="BM33" s="15" t="s">
        <v>917</v>
      </c>
      <c r="BN33" s="15" t="str">
        <f t="shared" si="96"/>
        <v>81.73</v>
      </c>
      <c r="BO33" s="15" t="str">
        <f t="shared" si="97"/>
        <v>5.39</v>
      </c>
      <c r="BP33" s="15" t="str">
        <f>"32.28"</f>
        <v>32.28</v>
      </c>
      <c r="BQ33" s="15" t="str">
        <f>"43.87"</f>
        <v>43.87</v>
      </c>
      <c r="BR33" s="15" t="s">
        <v>922</v>
      </c>
      <c r="BS33" s="15" t="str">
        <f t="shared" ref="BS33:BT33" si="98">"7.87"</f>
        <v>7.87</v>
      </c>
      <c r="BT33" s="15" t="str">
        <f t="shared" si="98"/>
        <v>7.87</v>
      </c>
      <c r="BU33" s="15" t="str">
        <f t="shared" si="99"/>
        <v>28.35</v>
      </c>
      <c r="BV33" s="15" t="str">
        <f>"10.05"</f>
        <v>10.05</v>
      </c>
      <c r="BW33" s="15" t="s">
        <v>926</v>
      </c>
      <c r="BX33" s="15" t="str">
        <f>"70.08"</f>
        <v>70.08</v>
      </c>
      <c r="BY33" s="15" t="str">
        <f t="shared" si="100"/>
        <v>38.98</v>
      </c>
      <c r="BZ33" s="15" t="str">
        <f t="shared" si="101"/>
        <v>12.6</v>
      </c>
      <c r="CA33" s="15" t="str">
        <f>"66.14"</f>
        <v>66.14</v>
      </c>
      <c r="CB33" s="15" t="s">
        <v>929</v>
      </c>
      <c r="CC33" s="15" t="str">
        <f t="shared" si="102"/>
        <v>83.07</v>
      </c>
      <c r="CD33" s="15" t="str">
        <f t="shared" si="103"/>
        <v>10.63</v>
      </c>
      <c r="CE33" s="15" t="str">
        <f t="shared" si="104"/>
        <v>11.02</v>
      </c>
      <c r="CF33" s="15" t="str">
        <f t="shared" si="105"/>
        <v>41.89</v>
      </c>
      <c r="CG33" s="15" t="str">
        <f>"34.82"</f>
        <v>34.82</v>
      </c>
      <c r="CH33" s="15" t="str">
        <f>"0.986"</f>
        <v>0.986</v>
      </c>
      <c r="CI33" s="15" t="s">
        <v>417</v>
      </c>
      <c r="CY33" s="15" t="s">
        <v>934</v>
      </c>
      <c r="CZ33" s="15" t="s">
        <v>419</v>
      </c>
      <c r="DA33" s="15">
        <v>0.0</v>
      </c>
      <c r="DB33" s="15" t="s">
        <v>419</v>
      </c>
      <c r="DD33" s="15">
        <v>0.0</v>
      </c>
      <c r="DF33" s="15" t="s">
        <v>721</v>
      </c>
      <c r="DG33" s="15" t="s">
        <v>936</v>
      </c>
      <c r="DI33" s="15">
        <v>0.0</v>
      </c>
      <c r="DJ33" s="15">
        <v>0.0</v>
      </c>
      <c r="DK33" s="15">
        <v>0.0</v>
      </c>
      <c r="DL33" s="15">
        <v>25000.0</v>
      </c>
      <c r="DS33" s="15" t="s">
        <v>857</v>
      </c>
      <c r="DU33" s="15" t="s">
        <v>858</v>
      </c>
      <c r="EO33" s="15" t="s">
        <v>937</v>
      </c>
      <c r="EV33" s="15">
        <v>0.0</v>
      </c>
      <c r="FB33" s="15" t="s">
        <v>938</v>
      </c>
      <c r="HY33" s="15" t="s">
        <v>939</v>
      </c>
      <c r="HZ33" s="15" t="s">
        <v>940</v>
      </c>
      <c r="IA33" s="15" t="s">
        <v>959</v>
      </c>
      <c r="IB33" s="15" t="s">
        <v>942</v>
      </c>
      <c r="IC33" s="15" t="s">
        <v>943</v>
      </c>
      <c r="ID33" s="15" t="s">
        <v>960</v>
      </c>
      <c r="IE33" s="15" t="s">
        <v>945</v>
      </c>
      <c r="IF33" s="15" t="s">
        <v>784</v>
      </c>
      <c r="IG33" s="15" t="s">
        <v>961</v>
      </c>
      <c r="IH33" s="15" t="s">
        <v>939</v>
      </c>
      <c r="II33" s="15" t="s">
        <v>945</v>
      </c>
      <c r="IJ33" s="15" t="s">
        <v>940</v>
      </c>
      <c r="IK33" s="15" t="s">
        <v>426</v>
      </c>
      <c r="IL33" s="15" t="s">
        <v>947</v>
      </c>
      <c r="IM33" s="15" t="s">
        <v>872</v>
      </c>
      <c r="IN33" s="15" t="s">
        <v>873</v>
      </c>
      <c r="IO33" s="15" t="s">
        <v>877</v>
      </c>
      <c r="IU33" s="15" t="s">
        <v>635</v>
      </c>
      <c r="IV33" s="15" t="s">
        <v>531</v>
      </c>
      <c r="IX33" s="15" t="s">
        <v>426</v>
      </c>
      <c r="IY33" s="15" t="s">
        <v>875</v>
      </c>
    </row>
    <row r="34" ht="17.25" customHeight="1">
      <c r="A34" s="15" t="s">
        <v>964</v>
      </c>
      <c r="B34" s="15" t="str">
        <f>"801542125486"</f>
        <v>801542125486</v>
      </c>
      <c r="C34" s="15" t="s">
        <v>11291</v>
      </c>
      <c r="D34" s="15" t="str">
        <f t="shared" si="1"/>
        <v>Aidan Slipcover BedBrussels NaturalKing</v>
      </c>
      <c r="E34" s="15" t="s">
        <v>902</v>
      </c>
      <c r="F34" s="15" t="s">
        <v>397</v>
      </c>
      <c r="G34" s="15" t="s">
        <v>963</v>
      </c>
      <c r="H34" s="15" t="s">
        <v>265</v>
      </c>
      <c r="I34" s="15" t="s">
        <v>828</v>
      </c>
      <c r="J34" s="15" t="s">
        <v>963</v>
      </c>
      <c r="M34" s="15" t="s">
        <v>915</v>
      </c>
      <c r="N34" s="15" t="s">
        <v>839</v>
      </c>
      <c r="O34" s="15" t="s">
        <v>828</v>
      </c>
      <c r="P34" s="15" t="str">
        <f>"84.25"</f>
        <v>84.25</v>
      </c>
      <c r="Q34" s="15" t="str">
        <f t="shared" si="93"/>
        <v>93.75</v>
      </c>
      <c r="R34" s="15" t="str">
        <f t="shared" si="94"/>
        <v>35.5</v>
      </c>
      <c r="S34" s="15" t="str">
        <f>"154.32"</f>
        <v>154.32</v>
      </c>
      <c r="T34" s="15" t="s">
        <v>908</v>
      </c>
      <c r="U34" s="15" t="s">
        <v>11257</v>
      </c>
      <c r="AA34" s="15" t="s">
        <v>413</v>
      </c>
      <c r="AB34" s="15" t="s">
        <v>413</v>
      </c>
      <c r="AC34" s="15" t="s">
        <v>916</v>
      </c>
      <c r="AD34" s="15" t="s">
        <v>11292</v>
      </c>
      <c r="AE34" s="15" t="s">
        <v>965</v>
      </c>
      <c r="AF34" s="15" t="s">
        <v>11293</v>
      </c>
      <c r="AG34" s="15" t="s">
        <v>11294</v>
      </c>
      <c r="AH34" s="15" t="s">
        <v>11295</v>
      </c>
      <c r="AI34" s="15" t="s">
        <v>11296</v>
      </c>
      <c r="AJ34" s="15" t="s">
        <v>11297</v>
      </c>
      <c r="AK34" s="15" t="s">
        <v>11298</v>
      </c>
      <c r="AL34" s="15" t="s">
        <v>11299</v>
      </c>
      <c r="AM34" s="15" t="s">
        <v>11300</v>
      </c>
      <c r="AN34" s="15" t="s">
        <v>11301</v>
      </c>
      <c r="AO34" s="15" t="s">
        <v>11302</v>
      </c>
      <c r="AP34" s="15" t="s">
        <v>11303</v>
      </c>
      <c r="BH34" s="15" t="s">
        <v>962</v>
      </c>
      <c r="BI34" s="15" t="str">
        <f>"2699"</f>
        <v>2699</v>
      </c>
      <c r="BJ34" s="15" t="str">
        <f>"1135"</f>
        <v>1135</v>
      </c>
      <c r="BK34" s="15" t="s">
        <v>709</v>
      </c>
      <c r="BL34" s="15" t="str">
        <f t="shared" si="95"/>
        <v>4</v>
      </c>
      <c r="BM34" s="15" t="s">
        <v>917</v>
      </c>
      <c r="BN34" s="15" t="str">
        <f t="shared" si="96"/>
        <v>81.73</v>
      </c>
      <c r="BO34" s="15" t="str">
        <f t="shared" si="97"/>
        <v>5.39</v>
      </c>
      <c r="BP34" s="15" t="str">
        <f>"40.35"</f>
        <v>40.35</v>
      </c>
      <c r="BQ34" s="15" t="str">
        <f>"52.91"</f>
        <v>52.91</v>
      </c>
      <c r="BR34" s="15" t="s">
        <v>922</v>
      </c>
      <c r="BS34" s="15" t="str">
        <f t="shared" ref="BS34:BT34" si="106">"7.87"</f>
        <v>7.87</v>
      </c>
      <c r="BT34" s="15" t="str">
        <f t="shared" si="106"/>
        <v>7.87</v>
      </c>
      <c r="BU34" s="15" t="str">
        <f t="shared" si="99"/>
        <v>28.35</v>
      </c>
      <c r="BV34" s="15" t="str">
        <f>"12.79"</f>
        <v>12.79</v>
      </c>
      <c r="BW34" s="15" t="s">
        <v>926</v>
      </c>
      <c r="BX34" s="15" t="str">
        <f>"84.65"</f>
        <v>84.65</v>
      </c>
      <c r="BY34" s="15" t="str">
        <f t="shared" si="100"/>
        <v>38.98</v>
      </c>
      <c r="BZ34" s="15" t="str">
        <f t="shared" si="101"/>
        <v>12.6</v>
      </c>
      <c r="CA34" s="15" t="str">
        <f>"85.98"</f>
        <v>85.98</v>
      </c>
      <c r="CB34" s="15" t="s">
        <v>929</v>
      </c>
      <c r="CC34" s="15" t="str">
        <f t="shared" si="102"/>
        <v>83.07</v>
      </c>
      <c r="CD34" s="15" t="str">
        <f t="shared" si="103"/>
        <v>10.63</v>
      </c>
      <c r="CE34" s="15" t="str">
        <f t="shared" si="104"/>
        <v>11.02</v>
      </c>
      <c r="CF34" s="15" t="str">
        <f t="shared" si="105"/>
        <v>41.89</v>
      </c>
      <c r="CG34" s="15" t="str">
        <f>"41.04"</f>
        <v>41.04</v>
      </c>
      <c r="CH34" s="15" t="str">
        <f>"1.162"</f>
        <v>1.162</v>
      </c>
      <c r="CI34" s="15" t="s">
        <v>497</v>
      </c>
      <c r="CY34" s="15" t="s">
        <v>934</v>
      </c>
      <c r="CZ34" s="15" t="s">
        <v>419</v>
      </c>
      <c r="DA34" s="15">
        <v>0.0</v>
      </c>
      <c r="DB34" s="15" t="s">
        <v>419</v>
      </c>
      <c r="DD34" s="15">
        <v>0.0</v>
      </c>
      <c r="DF34" s="15" t="s">
        <v>721</v>
      </c>
      <c r="DG34" s="15" t="s">
        <v>936</v>
      </c>
      <c r="DI34" s="15">
        <v>0.0</v>
      </c>
      <c r="DJ34" s="15">
        <v>0.0</v>
      </c>
      <c r="DK34" s="15">
        <v>0.0</v>
      </c>
      <c r="DL34" s="15">
        <v>25000.0</v>
      </c>
      <c r="DS34" s="15" t="s">
        <v>857</v>
      </c>
      <c r="DU34" s="15" t="s">
        <v>858</v>
      </c>
      <c r="EO34" s="15" t="s">
        <v>937</v>
      </c>
      <c r="EV34" s="15">
        <v>0.0</v>
      </c>
      <c r="FB34" s="15" t="s">
        <v>938</v>
      </c>
      <c r="HY34" s="15" t="s">
        <v>939</v>
      </c>
      <c r="HZ34" s="15" t="s">
        <v>940</v>
      </c>
      <c r="IA34" s="15" t="s">
        <v>941</v>
      </c>
      <c r="IB34" s="15" t="s">
        <v>942</v>
      </c>
      <c r="IC34" s="15" t="s">
        <v>943</v>
      </c>
      <c r="ID34" s="15" t="s">
        <v>944</v>
      </c>
      <c r="IE34" s="15" t="s">
        <v>945</v>
      </c>
      <c r="IF34" s="15" t="s">
        <v>784</v>
      </c>
      <c r="IG34" s="15" t="s">
        <v>946</v>
      </c>
      <c r="IH34" s="15" t="s">
        <v>939</v>
      </c>
      <c r="II34" s="15" t="s">
        <v>945</v>
      </c>
      <c r="IJ34" s="15" t="s">
        <v>940</v>
      </c>
      <c r="IK34" s="15" t="s">
        <v>426</v>
      </c>
      <c r="IL34" s="15" t="s">
        <v>947</v>
      </c>
      <c r="IM34" s="15" t="s">
        <v>872</v>
      </c>
      <c r="IN34" s="15" t="s">
        <v>873</v>
      </c>
      <c r="IO34" s="15" t="s">
        <v>828</v>
      </c>
      <c r="IU34" s="15" t="s">
        <v>635</v>
      </c>
      <c r="IV34" s="15" t="s">
        <v>531</v>
      </c>
      <c r="IX34" s="15" t="s">
        <v>426</v>
      </c>
      <c r="IY34" s="15" t="s">
        <v>875</v>
      </c>
    </row>
    <row r="35" ht="17.25" customHeight="1">
      <c r="A35" s="15" t="s">
        <v>967</v>
      </c>
      <c r="B35" s="15" t="str">
        <f>"801542125493"</f>
        <v>801542125493</v>
      </c>
      <c r="C35" s="15" t="s">
        <v>11291</v>
      </c>
      <c r="D35" s="15" t="str">
        <f t="shared" si="1"/>
        <v>Aidan Slipcover BedBrussels NaturalQueen</v>
      </c>
      <c r="E35" s="15" t="s">
        <v>902</v>
      </c>
      <c r="F35" s="15" t="s">
        <v>397</v>
      </c>
      <c r="G35" s="15" t="s">
        <v>963</v>
      </c>
      <c r="H35" s="15" t="s">
        <v>265</v>
      </c>
      <c r="I35" s="15" t="s">
        <v>877</v>
      </c>
      <c r="J35" s="15" t="s">
        <v>963</v>
      </c>
      <c r="M35" s="15" t="s">
        <v>915</v>
      </c>
      <c r="N35" s="15" t="s">
        <v>839</v>
      </c>
      <c r="O35" s="15" t="s">
        <v>877</v>
      </c>
      <c r="P35" s="15" t="str">
        <f>"68"</f>
        <v>68</v>
      </c>
      <c r="Q35" s="15" t="str">
        <f t="shared" si="93"/>
        <v>93.75</v>
      </c>
      <c r="R35" s="15" t="str">
        <f t="shared" si="94"/>
        <v>35.5</v>
      </c>
      <c r="S35" s="15" t="str">
        <f>"127.43"</f>
        <v>127.43</v>
      </c>
      <c r="T35" s="15" t="s">
        <v>908</v>
      </c>
      <c r="U35" s="15" t="s">
        <v>11257</v>
      </c>
      <c r="AA35" s="15" t="s">
        <v>413</v>
      </c>
      <c r="AB35" s="15" t="s">
        <v>413</v>
      </c>
      <c r="AC35" s="15" t="s">
        <v>916</v>
      </c>
      <c r="AD35" s="15" t="s">
        <v>11304</v>
      </c>
      <c r="AE35" s="15" t="s">
        <v>968</v>
      </c>
      <c r="AF35" s="15" t="s">
        <v>11305</v>
      </c>
      <c r="AG35" s="15" t="s">
        <v>11306</v>
      </c>
      <c r="AH35" s="15" t="s">
        <v>11295</v>
      </c>
      <c r="AI35" s="15" t="s">
        <v>11307</v>
      </c>
      <c r="AJ35" s="15" t="s">
        <v>11308</v>
      </c>
      <c r="AK35" s="15" t="s">
        <v>11309</v>
      </c>
      <c r="AL35" s="15" t="s">
        <v>11310</v>
      </c>
      <c r="AM35" s="15" t="s">
        <v>11311</v>
      </c>
      <c r="AN35" s="15" t="s">
        <v>11312</v>
      </c>
      <c r="AO35" s="15" t="s">
        <v>11313</v>
      </c>
      <c r="BH35" s="15" t="s">
        <v>966</v>
      </c>
      <c r="BI35" s="15" t="str">
        <f>"2399"</f>
        <v>2399</v>
      </c>
      <c r="BJ35" s="15" t="str">
        <f>"1010"</f>
        <v>1010</v>
      </c>
      <c r="BK35" s="15" t="s">
        <v>709</v>
      </c>
      <c r="BL35" s="15" t="str">
        <f t="shared" si="95"/>
        <v>4</v>
      </c>
      <c r="BM35" s="15" t="s">
        <v>917</v>
      </c>
      <c r="BN35" s="15" t="str">
        <f t="shared" si="96"/>
        <v>81.73</v>
      </c>
      <c r="BO35" s="15" t="str">
        <f t="shared" si="97"/>
        <v>5.39</v>
      </c>
      <c r="BP35" s="15" t="str">
        <f>"32.28"</f>
        <v>32.28</v>
      </c>
      <c r="BQ35" s="15" t="str">
        <f>"43.87"</f>
        <v>43.87</v>
      </c>
      <c r="BR35" s="15" t="s">
        <v>922</v>
      </c>
      <c r="BS35" s="15" t="str">
        <f t="shared" ref="BS35:BT35" si="107">"7.87"</f>
        <v>7.87</v>
      </c>
      <c r="BT35" s="15" t="str">
        <f t="shared" si="107"/>
        <v>7.87</v>
      </c>
      <c r="BU35" s="15" t="str">
        <f t="shared" si="99"/>
        <v>28.35</v>
      </c>
      <c r="BV35" s="15" t="str">
        <f>"10.05"</f>
        <v>10.05</v>
      </c>
      <c r="BW35" s="15" t="s">
        <v>926</v>
      </c>
      <c r="BX35" s="15" t="str">
        <f>"70.08"</f>
        <v>70.08</v>
      </c>
      <c r="BY35" s="15" t="str">
        <f t="shared" si="100"/>
        <v>38.98</v>
      </c>
      <c r="BZ35" s="15" t="str">
        <f t="shared" si="101"/>
        <v>12.6</v>
      </c>
      <c r="CA35" s="15" t="str">
        <f>"66.14"</f>
        <v>66.14</v>
      </c>
      <c r="CB35" s="15" t="s">
        <v>929</v>
      </c>
      <c r="CC35" s="15" t="str">
        <f t="shared" si="102"/>
        <v>83.07</v>
      </c>
      <c r="CD35" s="15" t="str">
        <f t="shared" si="103"/>
        <v>10.63</v>
      </c>
      <c r="CE35" s="15" t="str">
        <f t="shared" si="104"/>
        <v>11.02</v>
      </c>
      <c r="CF35" s="15" t="str">
        <f t="shared" si="105"/>
        <v>41.89</v>
      </c>
      <c r="CG35" s="15" t="str">
        <f>"34.82"</f>
        <v>34.82</v>
      </c>
      <c r="CH35" s="15" t="str">
        <f>"0.986"</f>
        <v>0.986</v>
      </c>
      <c r="CI35" s="15" t="s">
        <v>465</v>
      </c>
      <c r="CY35" s="15" t="s">
        <v>934</v>
      </c>
      <c r="CZ35" s="15" t="s">
        <v>419</v>
      </c>
      <c r="DA35" s="15">
        <v>0.0</v>
      </c>
      <c r="DB35" s="15" t="s">
        <v>419</v>
      </c>
      <c r="DD35" s="15">
        <v>0.0</v>
      </c>
      <c r="DF35" s="15" t="s">
        <v>721</v>
      </c>
      <c r="DG35" s="15" t="s">
        <v>936</v>
      </c>
      <c r="DI35" s="15">
        <v>0.0</v>
      </c>
      <c r="DJ35" s="15">
        <v>0.0</v>
      </c>
      <c r="DK35" s="15">
        <v>0.0</v>
      </c>
      <c r="DL35" s="15">
        <v>25000.0</v>
      </c>
      <c r="DS35" s="15" t="s">
        <v>857</v>
      </c>
      <c r="DU35" s="15" t="s">
        <v>858</v>
      </c>
      <c r="EO35" s="15" t="s">
        <v>937</v>
      </c>
      <c r="EV35" s="15">
        <v>0.0</v>
      </c>
      <c r="FB35" s="15" t="s">
        <v>938</v>
      </c>
      <c r="HY35" s="15" t="s">
        <v>939</v>
      </c>
      <c r="HZ35" s="15" t="s">
        <v>940</v>
      </c>
      <c r="IA35" s="15" t="s">
        <v>959</v>
      </c>
      <c r="IB35" s="15" t="s">
        <v>942</v>
      </c>
      <c r="IC35" s="15" t="s">
        <v>943</v>
      </c>
      <c r="ID35" s="15" t="s">
        <v>960</v>
      </c>
      <c r="IE35" s="15" t="s">
        <v>945</v>
      </c>
      <c r="IF35" s="15" t="s">
        <v>784</v>
      </c>
      <c r="IG35" s="15" t="s">
        <v>961</v>
      </c>
      <c r="IH35" s="15" t="s">
        <v>939</v>
      </c>
      <c r="II35" s="15" t="s">
        <v>945</v>
      </c>
      <c r="IJ35" s="15" t="s">
        <v>940</v>
      </c>
      <c r="IK35" s="15" t="s">
        <v>426</v>
      </c>
      <c r="IL35" s="15" t="s">
        <v>947</v>
      </c>
      <c r="IM35" s="15" t="s">
        <v>872</v>
      </c>
      <c r="IN35" s="15" t="s">
        <v>873</v>
      </c>
      <c r="IO35" s="15" t="s">
        <v>877</v>
      </c>
      <c r="IU35" s="15" t="s">
        <v>635</v>
      </c>
      <c r="IV35" s="15" t="s">
        <v>531</v>
      </c>
      <c r="IX35" s="15" t="s">
        <v>426</v>
      </c>
      <c r="IY35" s="15" t="s">
        <v>875</v>
      </c>
    </row>
    <row r="36" ht="17.25" customHeight="1">
      <c r="A36" s="15" t="s">
        <v>972</v>
      </c>
      <c r="B36" s="15" t="str">
        <f>"801542803803"</f>
        <v>801542803803</v>
      </c>
      <c r="C36" s="15" t="s">
        <v>11314</v>
      </c>
      <c r="D36" s="15" t="str">
        <f t="shared" si="1"/>
        <v>Alec Chair &amp; HalfDulane Mahogany</v>
      </c>
      <c r="E36" s="15" t="s">
        <v>969</v>
      </c>
      <c r="F36" s="15" t="s">
        <v>397</v>
      </c>
      <c r="G36" s="15" t="s">
        <v>971</v>
      </c>
      <c r="J36" s="15" t="s">
        <v>971</v>
      </c>
      <c r="K36" s="15" t="s">
        <v>978</v>
      </c>
      <c r="M36" s="15" t="s">
        <v>837</v>
      </c>
      <c r="N36" s="15" t="s">
        <v>706</v>
      </c>
      <c r="O36" s="15" t="s">
        <v>707</v>
      </c>
      <c r="P36" s="15" t="str">
        <f>"55"</f>
        <v>55</v>
      </c>
      <c r="Q36" s="15" t="str">
        <f>"36.5"</f>
        <v>36.5</v>
      </c>
      <c r="R36" s="15" t="str">
        <f>"27.25"</f>
        <v>27.25</v>
      </c>
      <c r="S36" s="15" t="str">
        <f>"116.4"</f>
        <v>116.4</v>
      </c>
      <c r="T36" s="15" t="s">
        <v>975</v>
      </c>
      <c r="U36" s="15" t="s">
        <v>11137</v>
      </c>
      <c r="V36" s="15" t="s">
        <v>11210</v>
      </c>
      <c r="AA36" s="15" t="s">
        <v>413</v>
      </c>
      <c r="AB36" s="15" t="s">
        <v>413</v>
      </c>
      <c r="AC36" s="15" t="s">
        <v>979</v>
      </c>
      <c r="AD36" s="15" t="s">
        <v>11315</v>
      </c>
      <c r="AE36" s="15" t="s">
        <v>974</v>
      </c>
      <c r="AF36" s="15" t="s">
        <v>11316</v>
      </c>
      <c r="AG36" s="15" t="s">
        <v>11317</v>
      </c>
      <c r="AH36" s="15" t="s">
        <v>11318</v>
      </c>
      <c r="AI36" s="15" t="s">
        <v>11319</v>
      </c>
      <c r="AJ36" s="15" t="s">
        <v>11320</v>
      </c>
      <c r="AK36" s="15" t="s">
        <v>11321</v>
      </c>
      <c r="AL36" s="15" t="s">
        <v>11322</v>
      </c>
      <c r="AM36" s="15" t="s">
        <v>11323</v>
      </c>
      <c r="AN36" s="15" t="s">
        <v>11324</v>
      </c>
      <c r="AO36" s="15" t="s">
        <v>11325</v>
      </c>
      <c r="BH36" s="15" t="s">
        <v>970</v>
      </c>
      <c r="BI36" s="15" t="str">
        <f>"2599"</f>
        <v>2599</v>
      </c>
      <c r="BJ36" s="15" t="str">
        <f>"1095"</f>
        <v>1095</v>
      </c>
      <c r="BK36" s="15" t="s">
        <v>742</v>
      </c>
      <c r="BL36" s="15" t="str">
        <f t="shared" ref="BL36:BL40" si="108">"1"</f>
        <v>1</v>
      </c>
      <c r="BM36" s="15" t="s">
        <v>980</v>
      </c>
      <c r="BN36" s="15" t="str">
        <f>"57.48"</f>
        <v>57.48</v>
      </c>
      <c r="BO36" s="15" t="str">
        <f>"39.37"</f>
        <v>39.37</v>
      </c>
      <c r="BP36" s="15" t="str">
        <f>"30.31"</f>
        <v>30.31</v>
      </c>
      <c r="BQ36" s="15" t="str">
        <f>"134.48"</f>
        <v>134.48</v>
      </c>
      <c r="CG36" s="15" t="str">
        <f>"39.69"</f>
        <v>39.69</v>
      </c>
      <c r="CH36" s="15" t="str">
        <f>"1.124"</f>
        <v>1.124</v>
      </c>
      <c r="CI36" s="15" t="s">
        <v>417</v>
      </c>
      <c r="CP36" s="15" t="s">
        <v>984</v>
      </c>
      <c r="CQ36" s="15" t="s">
        <v>985</v>
      </c>
      <c r="CR36" s="15" t="s">
        <v>986</v>
      </c>
      <c r="CS36" s="15" t="s">
        <v>987</v>
      </c>
      <c r="CT36" s="15" t="s">
        <v>824</v>
      </c>
      <c r="CU36" s="15" t="s">
        <v>986</v>
      </c>
      <c r="CV36" s="15">
        <v>0.0</v>
      </c>
      <c r="CW36" s="15">
        <v>0.0</v>
      </c>
      <c r="CX36" s="15" t="s">
        <v>717</v>
      </c>
      <c r="CY36" s="15" t="s">
        <v>718</v>
      </c>
      <c r="DC36" s="15" t="s">
        <v>988</v>
      </c>
      <c r="DF36" s="15" t="s">
        <v>989</v>
      </c>
      <c r="DG36" s="15" t="s">
        <v>419</v>
      </c>
      <c r="DH36" s="15">
        <v>0.0</v>
      </c>
      <c r="DL36" s="15">
        <v>0.0</v>
      </c>
      <c r="DM36" s="15" t="s">
        <v>990</v>
      </c>
      <c r="DN36" s="15" t="s">
        <v>723</v>
      </c>
      <c r="DP36" s="15">
        <v>1.0</v>
      </c>
      <c r="DQ36" s="15">
        <v>1.0</v>
      </c>
      <c r="DS36" s="15" t="s">
        <v>991</v>
      </c>
      <c r="DT36" s="15">
        <v>0.0</v>
      </c>
      <c r="DU36" s="15" t="s">
        <v>726</v>
      </c>
      <c r="DV36" s="15" t="s">
        <v>992</v>
      </c>
      <c r="DW36" s="15" t="s">
        <v>993</v>
      </c>
      <c r="DX36" s="15" t="s">
        <v>994</v>
      </c>
      <c r="EB36" s="15" t="s">
        <v>995</v>
      </c>
      <c r="EG36" s="15" t="s">
        <v>987</v>
      </c>
      <c r="EH36" s="15" t="s">
        <v>996</v>
      </c>
      <c r="EI36" s="15" t="s">
        <v>993</v>
      </c>
      <c r="EO36" s="15" t="s">
        <v>997</v>
      </c>
      <c r="EZ36" s="15">
        <v>0.0</v>
      </c>
      <c r="FA36" s="15">
        <v>0.0</v>
      </c>
      <c r="FC36" s="15">
        <v>0.0</v>
      </c>
    </row>
    <row r="37" ht="17.25" customHeight="1">
      <c r="A37" s="15" t="s">
        <v>1000</v>
      </c>
      <c r="B37" s="15" t="str">
        <f>"801542803827"</f>
        <v>801542803827</v>
      </c>
      <c r="C37" s="15" t="s">
        <v>11326</v>
      </c>
      <c r="D37" s="15" t="str">
        <f t="shared" si="1"/>
        <v>Alec Storage OttomanDulane Mahogany</v>
      </c>
      <c r="E37" s="15" t="s">
        <v>998</v>
      </c>
      <c r="F37" s="15" t="s">
        <v>397</v>
      </c>
      <c r="G37" s="15" t="s">
        <v>971</v>
      </c>
      <c r="J37" s="15" t="s">
        <v>971</v>
      </c>
      <c r="K37" s="15" t="s">
        <v>978</v>
      </c>
      <c r="M37" s="15" t="s">
        <v>837</v>
      </c>
      <c r="N37" s="15" t="s">
        <v>1009</v>
      </c>
      <c r="P37" s="15" t="str">
        <f>"56"</f>
        <v>56</v>
      </c>
      <c r="Q37" s="15" t="str">
        <f>"29.75"</f>
        <v>29.75</v>
      </c>
      <c r="R37" s="15" t="str">
        <f>"18"</f>
        <v>18</v>
      </c>
      <c r="S37" s="15" t="str">
        <f>"97"</f>
        <v>97</v>
      </c>
      <c r="T37" s="15" t="s">
        <v>975</v>
      </c>
      <c r="U37" s="15" t="s">
        <v>11137</v>
      </c>
      <c r="V37" s="15" t="s">
        <v>11210</v>
      </c>
      <c r="AA37" s="15" t="s">
        <v>413</v>
      </c>
      <c r="AB37" s="15" t="s">
        <v>413</v>
      </c>
      <c r="AC37" s="15" t="s">
        <v>1010</v>
      </c>
      <c r="AD37" s="15" t="s">
        <v>11327</v>
      </c>
      <c r="AE37" s="15" t="s">
        <v>1002</v>
      </c>
      <c r="AF37" s="15" t="s">
        <v>11328</v>
      </c>
      <c r="AG37" s="15" t="s">
        <v>11329</v>
      </c>
      <c r="AH37" s="15" t="s">
        <v>11330</v>
      </c>
      <c r="AI37" s="15" t="s">
        <v>11331</v>
      </c>
      <c r="AJ37" s="15" t="s">
        <v>11332</v>
      </c>
      <c r="AK37" s="15" t="s">
        <v>11333</v>
      </c>
      <c r="AL37" s="15" t="s">
        <v>11334</v>
      </c>
      <c r="AM37" s="15" t="s">
        <v>11335</v>
      </c>
      <c r="AN37" s="15" t="s">
        <v>11336</v>
      </c>
      <c r="BH37" s="15" t="s">
        <v>999</v>
      </c>
      <c r="BI37" s="15" t="str">
        <f>"1699"</f>
        <v>1699</v>
      </c>
      <c r="BJ37" s="15" t="str">
        <f>"715"</f>
        <v>715</v>
      </c>
      <c r="BK37" s="15" t="s">
        <v>742</v>
      </c>
      <c r="BL37" s="15" t="str">
        <f t="shared" si="108"/>
        <v>1</v>
      </c>
      <c r="BM37" s="15" t="s">
        <v>980</v>
      </c>
      <c r="BN37" s="15" t="str">
        <f>"59.25"</f>
        <v>59.25</v>
      </c>
      <c r="BO37" s="15" t="str">
        <f>"32.87"</f>
        <v>32.87</v>
      </c>
      <c r="BP37" s="15" t="str">
        <f>"21.26"</f>
        <v>21.26</v>
      </c>
      <c r="BQ37" s="15" t="str">
        <f>"116.84"</f>
        <v>116.84</v>
      </c>
      <c r="CG37" s="15" t="str">
        <f>"23.98"</f>
        <v>23.98</v>
      </c>
      <c r="CH37" s="15" t="str">
        <f>"0.679"</f>
        <v>0.679</v>
      </c>
      <c r="CI37" s="15" t="s">
        <v>417</v>
      </c>
      <c r="CS37" s="15" t="s">
        <v>1013</v>
      </c>
      <c r="CT37" s="15" t="s">
        <v>1014</v>
      </c>
      <c r="CU37" s="15" t="s">
        <v>1015</v>
      </c>
      <c r="CW37" s="15">
        <v>0.0</v>
      </c>
      <c r="CY37" s="15" t="s">
        <v>718</v>
      </c>
      <c r="DF37" s="15" t="s">
        <v>989</v>
      </c>
      <c r="DH37" s="15">
        <v>0.0</v>
      </c>
      <c r="DL37" s="15">
        <v>0.0</v>
      </c>
      <c r="DM37" s="15" t="s">
        <v>990</v>
      </c>
      <c r="DN37" s="15" t="s">
        <v>1016</v>
      </c>
      <c r="DO37" s="15" t="s">
        <v>724</v>
      </c>
      <c r="DP37" s="15">
        <v>1.0</v>
      </c>
      <c r="DQ37" s="15">
        <v>1.0</v>
      </c>
      <c r="DR37" s="15" t="s">
        <v>471</v>
      </c>
      <c r="DS37" s="15" t="s">
        <v>991</v>
      </c>
      <c r="DT37" s="15">
        <v>0.0</v>
      </c>
      <c r="DU37" s="15" t="s">
        <v>726</v>
      </c>
      <c r="EG37" s="15" t="s">
        <v>1017</v>
      </c>
      <c r="EH37" s="15" t="s">
        <v>1018</v>
      </c>
      <c r="EO37" s="15" t="s">
        <v>860</v>
      </c>
    </row>
    <row r="38" ht="17.25" customHeight="1">
      <c r="A38" s="15" t="s">
        <v>1022</v>
      </c>
      <c r="B38" s="15" t="str">
        <f>"198394015479"</f>
        <v>198394015479</v>
      </c>
      <c r="C38" s="15" t="s">
        <v>11337</v>
      </c>
      <c r="D38" s="15" t="str">
        <f t="shared" si="1"/>
        <v>Alessio SideboardAged Natural Oak Veneer</v>
      </c>
      <c r="E38" s="15" t="s">
        <v>1019</v>
      </c>
      <c r="F38" s="15" t="s">
        <v>397</v>
      </c>
      <c r="G38" s="15" t="s">
        <v>1021</v>
      </c>
      <c r="J38" s="15" t="s">
        <v>1021</v>
      </c>
      <c r="M38" s="15" t="s">
        <v>1030</v>
      </c>
      <c r="N38" s="15" t="s">
        <v>664</v>
      </c>
      <c r="P38" s="15" t="str">
        <f>"82"</f>
        <v>82</v>
      </c>
      <c r="Q38" s="15" t="str">
        <f>"20"</f>
        <v>20</v>
      </c>
      <c r="R38" s="15" t="str">
        <f>"34.75"</f>
        <v>34.75</v>
      </c>
      <c r="S38" s="15" t="str">
        <f>"203.93"</f>
        <v>203.93</v>
      </c>
      <c r="T38" s="15" t="s">
        <v>1025</v>
      </c>
      <c r="U38" s="15" t="s">
        <v>10881</v>
      </c>
      <c r="V38" s="15" t="s">
        <v>11338</v>
      </c>
      <c r="AA38" s="15" t="s">
        <v>413</v>
      </c>
      <c r="AB38" s="15" t="s">
        <v>413</v>
      </c>
      <c r="AC38" s="15" t="s">
        <v>1031</v>
      </c>
      <c r="AD38" s="15" t="s">
        <v>11339</v>
      </c>
      <c r="AE38" s="15" t="s">
        <v>1024</v>
      </c>
      <c r="AF38" s="15" t="s">
        <v>11340</v>
      </c>
      <c r="AG38" s="15" t="s">
        <v>11341</v>
      </c>
      <c r="AH38" s="15" t="s">
        <v>11342</v>
      </c>
      <c r="AI38" s="15" t="s">
        <v>11343</v>
      </c>
      <c r="AJ38" s="15" t="s">
        <v>11344</v>
      </c>
      <c r="AK38" s="15" t="s">
        <v>11345</v>
      </c>
      <c r="AL38" s="15" t="s">
        <v>11346</v>
      </c>
      <c r="AM38" s="15" t="s">
        <v>11347</v>
      </c>
      <c r="AN38" s="15" t="s">
        <v>11348</v>
      </c>
      <c r="AO38" s="15" t="s">
        <v>11349</v>
      </c>
      <c r="AP38" s="15" t="s">
        <v>11350</v>
      </c>
      <c r="AQ38" s="15" t="s">
        <v>11351</v>
      </c>
      <c r="AR38" s="15" t="s">
        <v>11352</v>
      </c>
      <c r="AS38" s="15" t="s">
        <v>11353</v>
      </c>
      <c r="AT38" s="15" t="s">
        <v>11354</v>
      </c>
      <c r="BH38" s="15" t="s">
        <v>1020</v>
      </c>
      <c r="BI38" s="15" t="str">
        <f>"2699"</f>
        <v>2699</v>
      </c>
      <c r="BJ38" s="15" t="str">
        <f>"1135"</f>
        <v>1135</v>
      </c>
      <c r="BK38" s="15" t="s">
        <v>742</v>
      </c>
      <c r="BL38" s="15" t="str">
        <f t="shared" si="108"/>
        <v>1</v>
      </c>
      <c r="BM38" s="15" t="s">
        <v>980</v>
      </c>
      <c r="BN38" s="15" t="str">
        <f>"87.4"</f>
        <v>87.4</v>
      </c>
      <c r="BO38" s="15" t="str">
        <f>"24.61"</f>
        <v>24.61</v>
      </c>
      <c r="BP38" s="15" t="str">
        <f>"35.43"</f>
        <v>35.43</v>
      </c>
      <c r="BQ38" s="15" t="str">
        <f>"249.12"</f>
        <v>249.12</v>
      </c>
      <c r="CG38" s="15" t="str">
        <f>"44.11"</f>
        <v>44.11</v>
      </c>
      <c r="CH38" s="15" t="str">
        <f>"1.249"</f>
        <v>1.249</v>
      </c>
      <c r="CI38" s="15" t="s">
        <v>497</v>
      </c>
      <c r="CM38" s="15" t="s">
        <v>1036</v>
      </c>
      <c r="CN38" s="15" t="s">
        <v>1037</v>
      </c>
      <c r="CO38" s="15" t="s">
        <v>1038</v>
      </c>
      <c r="CZ38" s="15" t="s">
        <v>419</v>
      </c>
      <c r="DA38" s="15">
        <v>0.0</v>
      </c>
      <c r="DB38" s="15" t="s">
        <v>419</v>
      </c>
      <c r="DD38" s="15">
        <v>0.0</v>
      </c>
      <c r="DF38" s="15" t="s">
        <v>721</v>
      </c>
      <c r="DG38" s="15" t="s">
        <v>610</v>
      </c>
      <c r="DI38" s="15">
        <v>18.14</v>
      </c>
      <c r="DJ38" s="15">
        <v>40.0</v>
      </c>
      <c r="DK38" s="15">
        <v>2.0</v>
      </c>
      <c r="DS38" s="15" t="s">
        <v>1039</v>
      </c>
      <c r="DU38" s="15" t="s">
        <v>424</v>
      </c>
      <c r="EF38" s="15" t="s">
        <v>1040</v>
      </c>
      <c r="EU38" s="15" t="s">
        <v>426</v>
      </c>
      <c r="EV38" s="15">
        <v>2.0</v>
      </c>
      <c r="FH38" s="15" t="s">
        <v>1041</v>
      </c>
      <c r="FI38" s="15" t="s">
        <v>1042</v>
      </c>
      <c r="FJ38" s="15" t="s">
        <v>1043</v>
      </c>
      <c r="FK38" s="15" t="s">
        <v>1036</v>
      </c>
      <c r="FL38" s="15" t="s">
        <v>782</v>
      </c>
      <c r="FM38" s="15" t="s">
        <v>1038</v>
      </c>
      <c r="FN38" s="15">
        <v>0.0</v>
      </c>
      <c r="FO38" s="15" t="s">
        <v>426</v>
      </c>
      <c r="FP38" s="15" t="s">
        <v>1044</v>
      </c>
      <c r="FQ38" s="15">
        <v>4.0</v>
      </c>
      <c r="FR38" s="15" t="s">
        <v>614</v>
      </c>
      <c r="FS38" s="15" t="s">
        <v>1045</v>
      </c>
      <c r="FT38" s="15">
        <v>0.0</v>
      </c>
      <c r="FU38" s="15" t="s">
        <v>426</v>
      </c>
      <c r="FW38" s="15" t="s">
        <v>616</v>
      </c>
      <c r="GJ38" s="15" t="s">
        <v>1036</v>
      </c>
      <c r="GL38" s="15" t="s">
        <v>1038</v>
      </c>
      <c r="HF38" s="15" t="s">
        <v>789</v>
      </c>
      <c r="HQ38" s="15" t="s">
        <v>426</v>
      </c>
    </row>
    <row r="39" ht="17.25" customHeight="1">
      <c r="A39" s="15" t="s">
        <v>1049</v>
      </c>
      <c r="B39" s="15" t="str">
        <f>"801542277253"</f>
        <v>801542277253</v>
      </c>
      <c r="C39" s="15" t="s">
        <v>11355</v>
      </c>
      <c r="D39" s="15" t="str">
        <f t="shared" si="1"/>
        <v>Alexandria Accent ChairHoney Wheat</v>
      </c>
      <c r="E39" s="15" t="s">
        <v>1046</v>
      </c>
      <c r="F39" s="15" t="s">
        <v>397</v>
      </c>
      <c r="G39" s="15" t="s">
        <v>1048</v>
      </c>
      <c r="J39" s="15" t="s">
        <v>1048</v>
      </c>
      <c r="K39" s="15" t="s">
        <v>1059</v>
      </c>
      <c r="L39" s="15" t="s">
        <v>1060</v>
      </c>
      <c r="M39" s="15" t="s">
        <v>725</v>
      </c>
      <c r="N39" s="15" t="s">
        <v>706</v>
      </c>
      <c r="O39" s="15" t="s">
        <v>707</v>
      </c>
      <c r="P39" s="15" t="str">
        <f t="shared" ref="P39:P40" si="109">"26.75"</f>
        <v>26.75</v>
      </c>
      <c r="Q39" s="15" t="str">
        <f>"27.5"</f>
        <v>27.5</v>
      </c>
      <c r="R39" s="15" t="str">
        <f>"30.25"</f>
        <v>30.25</v>
      </c>
      <c r="S39" s="15" t="str">
        <f t="shared" ref="S39:S40" si="110">"25.35"</f>
        <v>25.35</v>
      </c>
      <c r="T39" s="15" t="s">
        <v>1052</v>
      </c>
      <c r="U39" s="15" t="s">
        <v>11356</v>
      </c>
      <c r="V39" s="15" t="s">
        <v>11357</v>
      </c>
      <c r="W39" s="15" t="s">
        <v>11210</v>
      </c>
      <c r="X39" s="15" t="s">
        <v>11358</v>
      </c>
      <c r="AA39" s="15" t="s">
        <v>413</v>
      </c>
      <c r="AB39" s="15" t="s">
        <v>413</v>
      </c>
      <c r="AC39" s="15" t="s">
        <v>1061</v>
      </c>
      <c r="AD39" s="15" t="s">
        <v>11359</v>
      </c>
      <c r="AE39" s="15" t="s">
        <v>1051</v>
      </c>
      <c r="AF39" s="15" t="s">
        <v>11360</v>
      </c>
      <c r="AG39" s="15" t="s">
        <v>11361</v>
      </c>
      <c r="AH39" s="15" t="s">
        <v>11362</v>
      </c>
      <c r="AI39" s="15" t="s">
        <v>11363</v>
      </c>
      <c r="AJ39" s="15" t="s">
        <v>11364</v>
      </c>
      <c r="AK39" s="15" t="s">
        <v>11365</v>
      </c>
      <c r="AL39" s="15" t="s">
        <v>11366</v>
      </c>
      <c r="AM39" s="15" t="s">
        <v>11367</v>
      </c>
      <c r="AN39" s="15" t="s">
        <v>11368</v>
      </c>
      <c r="AO39" s="15" t="s">
        <v>11369</v>
      </c>
      <c r="BH39" s="15" t="s">
        <v>1047</v>
      </c>
      <c r="BI39" s="15" t="str">
        <f>"1049"</f>
        <v>1049</v>
      </c>
      <c r="BJ39" s="15" t="str">
        <f>"445"</f>
        <v>445</v>
      </c>
      <c r="BK39" s="15" t="s">
        <v>709</v>
      </c>
      <c r="BL39" s="15" t="str">
        <f t="shared" si="108"/>
        <v>1</v>
      </c>
      <c r="BM39" s="15" t="s">
        <v>416</v>
      </c>
      <c r="BN39" s="15" t="str">
        <f>"29.53"</f>
        <v>29.53</v>
      </c>
      <c r="BO39" s="15" t="str">
        <f>"28.94"</f>
        <v>28.94</v>
      </c>
      <c r="BP39" s="15" t="str">
        <f>"32.28"</f>
        <v>32.28</v>
      </c>
      <c r="BQ39" s="15" t="str">
        <f>"37.26"</f>
        <v>37.26</v>
      </c>
      <c r="CG39" s="15" t="str">
        <f>"15.96"</f>
        <v>15.96</v>
      </c>
      <c r="CH39" s="15" t="str">
        <f>"0.452"</f>
        <v>0.452</v>
      </c>
      <c r="CI39" s="15" t="s">
        <v>465</v>
      </c>
      <c r="CP39" s="15" t="s">
        <v>525</v>
      </c>
      <c r="CQ39" s="15" t="s">
        <v>505</v>
      </c>
      <c r="CR39" s="15" t="s">
        <v>1064</v>
      </c>
      <c r="CS39" s="15" t="s">
        <v>1065</v>
      </c>
      <c r="CT39" s="15" t="s">
        <v>466</v>
      </c>
      <c r="CV39" s="15">
        <v>0.0</v>
      </c>
      <c r="CW39" s="15">
        <v>1.0</v>
      </c>
      <c r="CX39" s="15" t="s">
        <v>717</v>
      </c>
      <c r="CY39" s="15" t="s">
        <v>897</v>
      </c>
      <c r="DC39" s="15" t="s">
        <v>1066</v>
      </c>
      <c r="DF39" s="15" t="s">
        <v>721</v>
      </c>
      <c r="DG39" s="15" t="s">
        <v>419</v>
      </c>
      <c r="DH39" s="15">
        <v>0.0</v>
      </c>
      <c r="DL39" s="15">
        <v>20000.0</v>
      </c>
      <c r="DM39" s="15" t="s">
        <v>722</v>
      </c>
      <c r="DN39" s="15" t="s">
        <v>723</v>
      </c>
      <c r="DO39" s="15" t="s">
        <v>724</v>
      </c>
      <c r="DP39" s="15">
        <v>1.0</v>
      </c>
      <c r="DQ39" s="15">
        <v>1.0</v>
      </c>
      <c r="DS39" s="15" t="s">
        <v>1067</v>
      </c>
      <c r="DT39" s="15">
        <v>0.0</v>
      </c>
      <c r="DU39" s="15" t="s">
        <v>726</v>
      </c>
      <c r="DV39" s="15" t="s">
        <v>1068</v>
      </c>
      <c r="DW39" s="15" t="s">
        <v>1069</v>
      </c>
      <c r="DX39" s="15" t="s">
        <v>1070</v>
      </c>
      <c r="EB39" s="15" t="s">
        <v>1071</v>
      </c>
      <c r="EC39" s="15" t="s">
        <v>505</v>
      </c>
      <c r="ED39" s="15" t="s">
        <v>504</v>
      </c>
      <c r="EE39" s="15" t="s">
        <v>1072</v>
      </c>
      <c r="EF39" s="15" t="s">
        <v>1073</v>
      </c>
      <c r="EG39" s="15" t="s">
        <v>1074</v>
      </c>
      <c r="EH39" s="15" t="s">
        <v>1068</v>
      </c>
      <c r="EI39" s="15" t="s">
        <v>1075</v>
      </c>
      <c r="EL39" s="15" t="s">
        <v>723</v>
      </c>
      <c r="EM39" s="15" t="s">
        <v>1076</v>
      </c>
      <c r="EN39" s="15" t="s">
        <v>1077</v>
      </c>
      <c r="EO39" s="15" t="s">
        <v>1078</v>
      </c>
      <c r="EP39" s="15" t="s">
        <v>1079</v>
      </c>
      <c r="EY39" s="15" t="s">
        <v>1075</v>
      </c>
      <c r="EZ39" s="15" t="s">
        <v>713</v>
      </c>
      <c r="FA39" s="15">
        <v>0.0</v>
      </c>
      <c r="FB39" s="15">
        <v>0.0</v>
      </c>
      <c r="FD39" s="15">
        <v>0.0</v>
      </c>
    </row>
    <row r="40" ht="17.25" customHeight="1">
      <c r="A40" s="15" t="s">
        <v>1082</v>
      </c>
      <c r="B40" s="15" t="str">
        <f>"801542396800"</f>
        <v>801542396800</v>
      </c>
      <c r="C40" s="15" t="s">
        <v>11370</v>
      </c>
      <c r="D40" s="15" t="str">
        <f t="shared" si="1"/>
        <v>Alexandria Accent ChairKnoll Natural</v>
      </c>
      <c r="E40" s="15" t="s">
        <v>1046</v>
      </c>
      <c r="F40" s="15" t="s">
        <v>397</v>
      </c>
      <c r="G40" s="15" t="s">
        <v>1081</v>
      </c>
      <c r="J40" s="15" t="s">
        <v>1081</v>
      </c>
      <c r="K40" s="15" t="s">
        <v>1087</v>
      </c>
      <c r="L40" s="15" t="s">
        <v>1088</v>
      </c>
      <c r="M40" s="15" t="s">
        <v>725</v>
      </c>
      <c r="N40" s="15" t="s">
        <v>706</v>
      </c>
      <c r="O40" s="15" t="s">
        <v>707</v>
      </c>
      <c r="P40" s="15" t="str">
        <f t="shared" si="109"/>
        <v>26.75</v>
      </c>
      <c r="Q40" s="15" t="str">
        <f>"28"</f>
        <v>28</v>
      </c>
      <c r="R40" s="15" t="str">
        <f>"33"</f>
        <v>33</v>
      </c>
      <c r="S40" s="15" t="str">
        <f t="shared" si="110"/>
        <v>25.35</v>
      </c>
      <c r="T40" s="15" t="s">
        <v>1084</v>
      </c>
      <c r="U40" s="15" t="s">
        <v>11234</v>
      </c>
      <c r="V40" s="15" t="s">
        <v>11371</v>
      </c>
      <c r="W40" s="15" t="s">
        <v>11210</v>
      </c>
      <c r="X40" s="15" t="s">
        <v>11358</v>
      </c>
      <c r="AA40" s="15" t="s">
        <v>413</v>
      </c>
      <c r="AB40" s="15" t="s">
        <v>426</v>
      </c>
      <c r="AC40" s="15" t="s">
        <v>1089</v>
      </c>
      <c r="AD40" s="15" t="s">
        <v>11372</v>
      </c>
      <c r="AE40" s="15" t="s">
        <v>1083</v>
      </c>
      <c r="AF40" s="15" t="s">
        <v>11373</v>
      </c>
      <c r="AG40" s="15" t="s">
        <v>11374</v>
      </c>
      <c r="AH40" s="15" t="s">
        <v>11375</v>
      </c>
      <c r="AI40" s="15" t="s">
        <v>11376</v>
      </c>
      <c r="AJ40" s="15" t="s">
        <v>11377</v>
      </c>
      <c r="AK40" s="15" t="s">
        <v>11378</v>
      </c>
      <c r="AL40" s="15" t="s">
        <v>11379</v>
      </c>
      <c r="AM40" s="15" t="s">
        <v>11380</v>
      </c>
      <c r="AN40" s="15" t="s">
        <v>11381</v>
      </c>
      <c r="AO40" s="15" t="s">
        <v>11382</v>
      </c>
      <c r="AP40" s="15" t="s">
        <v>11383</v>
      </c>
      <c r="AQ40" s="15" t="s">
        <v>11384</v>
      </c>
      <c r="BH40" s="15" t="s">
        <v>1080</v>
      </c>
      <c r="BI40" s="15" t="str">
        <f>"1249"</f>
        <v>1249</v>
      </c>
      <c r="BJ40" s="15" t="str">
        <f>"525"</f>
        <v>525</v>
      </c>
      <c r="BK40" s="15" t="s">
        <v>709</v>
      </c>
      <c r="BL40" s="15" t="str">
        <f t="shared" si="108"/>
        <v>1</v>
      </c>
      <c r="BM40" s="15" t="s">
        <v>416</v>
      </c>
      <c r="BN40" s="15" t="str">
        <f t="shared" ref="BN40:BO40" si="111">"29.33"</f>
        <v>29.33</v>
      </c>
      <c r="BO40" s="15" t="str">
        <f t="shared" si="111"/>
        <v>29.33</v>
      </c>
      <c r="BP40" s="15" t="str">
        <f>"33.07"</f>
        <v>33.07</v>
      </c>
      <c r="BQ40" s="15" t="str">
        <f>"39.68"</f>
        <v>39.68</v>
      </c>
      <c r="CG40" s="15" t="str">
        <f>"16.46"</f>
        <v>16.46</v>
      </c>
      <c r="CH40" s="15" t="str">
        <f>"0.466"</f>
        <v>0.466</v>
      </c>
      <c r="CI40" s="15" t="s">
        <v>465</v>
      </c>
      <c r="CP40" s="15" t="s">
        <v>525</v>
      </c>
      <c r="CQ40" s="15" t="s">
        <v>505</v>
      </c>
      <c r="CR40" s="15" t="s">
        <v>1064</v>
      </c>
      <c r="CS40" s="15" t="s">
        <v>1065</v>
      </c>
      <c r="CT40" s="15" t="s">
        <v>466</v>
      </c>
      <c r="CV40" s="15">
        <v>0.0</v>
      </c>
      <c r="CW40" s="15">
        <v>1.0</v>
      </c>
      <c r="CX40" s="15" t="s">
        <v>717</v>
      </c>
      <c r="CY40" s="15" t="s">
        <v>855</v>
      </c>
      <c r="DC40" s="15" t="s">
        <v>1066</v>
      </c>
      <c r="DF40" s="15" t="s">
        <v>721</v>
      </c>
      <c r="DG40" s="15" t="s">
        <v>419</v>
      </c>
      <c r="DH40" s="15">
        <v>0.0</v>
      </c>
      <c r="DL40" s="15">
        <v>25000.0</v>
      </c>
      <c r="DM40" s="15" t="s">
        <v>722</v>
      </c>
      <c r="DN40" s="15" t="s">
        <v>723</v>
      </c>
      <c r="DO40" s="15" t="s">
        <v>724</v>
      </c>
      <c r="DP40" s="15">
        <v>1.0</v>
      </c>
      <c r="DQ40" s="15">
        <v>1.0</v>
      </c>
      <c r="DS40" s="15" t="s">
        <v>1067</v>
      </c>
      <c r="DT40" s="15">
        <v>0.0</v>
      </c>
      <c r="DU40" s="15" t="s">
        <v>726</v>
      </c>
      <c r="DV40" s="15" t="s">
        <v>1068</v>
      </c>
      <c r="DW40" s="15" t="s">
        <v>1069</v>
      </c>
      <c r="DX40" s="15" t="s">
        <v>1070</v>
      </c>
      <c r="EB40" s="15" t="s">
        <v>1071</v>
      </c>
      <c r="EC40" s="15" t="s">
        <v>505</v>
      </c>
      <c r="ED40" s="15" t="s">
        <v>504</v>
      </c>
      <c r="EE40" s="15" t="s">
        <v>1072</v>
      </c>
      <c r="EF40" s="15" t="s">
        <v>1073</v>
      </c>
      <c r="EG40" s="15" t="s">
        <v>1074</v>
      </c>
      <c r="EH40" s="15" t="s">
        <v>1068</v>
      </c>
      <c r="EI40" s="15" t="s">
        <v>1075</v>
      </c>
      <c r="EL40" s="15" t="s">
        <v>723</v>
      </c>
      <c r="EM40" s="15" t="s">
        <v>1076</v>
      </c>
      <c r="EN40" s="15" t="s">
        <v>1077</v>
      </c>
      <c r="EO40" s="15" t="s">
        <v>1078</v>
      </c>
      <c r="EP40" s="15" t="s">
        <v>1079</v>
      </c>
      <c r="EY40" s="15" t="s">
        <v>1075</v>
      </c>
      <c r="EZ40" s="15" t="s">
        <v>713</v>
      </c>
      <c r="FA40" s="15">
        <v>0.0</v>
      </c>
      <c r="FB40" s="15">
        <v>0.0</v>
      </c>
      <c r="FD40" s="15">
        <v>0.0</v>
      </c>
    </row>
    <row r="41" ht="17.25" customHeight="1">
      <c r="A41" s="15" t="s">
        <v>1097</v>
      </c>
      <c r="B41" s="15" t="str">
        <f>"801542820572"</f>
        <v>801542820572</v>
      </c>
      <c r="C41" s="15" t="s">
        <v>11385</v>
      </c>
      <c r="D41" s="15" t="str">
        <f t="shared" si="1"/>
        <v>Alfie Dining TableBlack Pine110.25</v>
      </c>
      <c r="E41" s="15" t="s">
        <v>1093</v>
      </c>
      <c r="F41" s="15" t="s">
        <v>397</v>
      </c>
      <c r="G41" s="15" t="s">
        <v>1095</v>
      </c>
      <c r="H41" s="15" t="s">
        <v>265</v>
      </c>
      <c r="I41" s="15" t="s">
        <v>1096</v>
      </c>
      <c r="J41" s="15" t="s">
        <v>1095</v>
      </c>
      <c r="M41" s="15" t="s">
        <v>1101</v>
      </c>
      <c r="N41" s="15" t="s">
        <v>548</v>
      </c>
      <c r="O41" s="15" t="s">
        <v>549</v>
      </c>
      <c r="P41" s="15" t="str">
        <f>"110.25"</f>
        <v>110.25</v>
      </c>
      <c r="Q41" s="15" t="str">
        <f t="shared" ref="Q41:Q44" si="112">"35.5"</f>
        <v>35.5</v>
      </c>
      <c r="R41" s="15" t="str">
        <f t="shared" ref="R41:R44" si="113">"30"</f>
        <v>30</v>
      </c>
      <c r="S41" s="15" t="str">
        <f>"138.89"</f>
        <v>138.89</v>
      </c>
      <c r="T41" s="15" t="s">
        <v>1099</v>
      </c>
      <c r="U41" s="15" t="s">
        <v>11386</v>
      </c>
      <c r="AA41" s="15" t="s">
        <v>413</v>
      </c>
      <c r="AB41" s="15" t="s">
        <v>413</v>
      </c>
      <c r="AC41" s="15" t="s">
        <v>1102</v>
      </c>
      <c r="AD41" s="15" t="s">
        <v>11387</v>
      </c>
      <c r="AE41" s="15" t="s">
        <v>1098</v>
      </c>
      <c r="AF41" s="15" t="s">
        <v>11388</v>
      </c>
      <c r="AG41" s="15" t="s">
        <v>11389</v>
      </c>
      <c r="AH41" s="15" t="s">
        <v>11390</v>
      </c>
      <c r="AI41" s="15" t="s">
        <v>11391</v>
      </c>
      <c r="AJ41" s="15" t="s">
        <v>11392</v>
      </c>
      <c r="AK41" s="15" t="s">
        <v>11393</v>
      </c>
      <c r="AL41" s="15" t="s">
        <v>11394</v>
      </c>
      <c r="AM41" s="15" t="s">
        <v>11395</v>
      </c>
      <c r="AN41" s="15" t="s">
        <v>11396</v>
      </c>
      <c r="BH41" s="15" t="s">
        <v>1094</v>
      </c>
      <c r="BI41" s="15" t="str">
        <f>"1799"</f>
        <v>1799</v>
      </c>
      <c r="BJ41" s="15" t="str">
        <f>"760"</f>
        <v>760</v>
      </c>
      <c r="BK41" s="15" t="s">
        <v>742</v>
      </c>
      <c r="BL41" s="15" t="str">
        <f t="shared" ref="BL41:BL44" si="114">"2"</f>
        <v>2</v>
      </c>
      <c r="BM41" s="15" t="s">
        <v>1103</v>
      </c>
      <c r="BN41" s="15" t="str">
        <f>"113.98"</f>
        <v>113.98</v>
      </c>
      <c r="BO41" s="15" t="str">
        <f t="shared" ref="BO41:BO44" si="115">"39.17"</f>
        <v>39.17</v>
      </c>
      <c r="BP41" s="15" t="str">
        <f t="shared" ref="BP41:BP44" si="116">"8.27"</f>
        <v>8.27</v>
      </c>
      <c r="BQ41" s="15" t="str">
        <f>"145.51"</f>
        <v>145.51</v>
      </c>
      <c r="BR41" s="15" t="s">
        <v>1108</v>
      </c>
      <c r="BS41" s="15" t="str">
        <f t="shared" ref="BS41:BS44" si="117">"34.25"</f>
        <v>34.25</v>
      </c>
      <c r="BT41" s="15" t="str">
        <f t="shared" ref="BT41:BT44" si="118">"33.46"</f>
        <v>33.46</v>
      </c>
      <c r="BU41" s="15" t="str">
        <f t="shared" ref="BU41:BU44" si="119">"10.63"</f>
        <v>10.63</v>
      </c>
      <c r="BV41" s="15" t="str">
        <f t="shared" ref="BV41:BV44" si="120">"38.58"</f>
        <v>38.58</v>
      </c>
      <c r="CG41" s="15" t="str">
        <f>"28.43"</f>
        <v>28.43</v>
      </c>
      <c r="CH41" s="15" t="str">
        <f>"0.805"</f>
        <v>0.805</v>
      </c>
      <c r="CI41" s="15" t="s">
        <v>417</v>
      </c>
      <c r="CZ41" s="15" t="s">
        <v>419</v>
      </c>
      <c r="DA41" s="15">
        <v>0.0</v>
      </c>
      <c r="DB41" s="15" t="s">
        <v>419</v>
      </c>
      <c r="DD41" s="15">
        <v>0.0</v>
      </c>
      <c r="DF41" s="15" t="s">
        <v>1111</v>
      </c>
      <c r="DG41" s="15" t="s">
        <v>419</v>
      </c>
      <c r="DI41" s="15">
        <v>0.0</v>
      </c>
      <c r="DJ41" s="15">
        <v>0.0</v>
      </c>
      <c r="DK41" s="15">
        <v>0.0</v>
      </c>
      <c r="DQ41" s="15">
        <v>12.0</v>
      </c>
      <c r="DR41" s="15" t="s">
        <v>1112</v>
      </c>
      <c r="DS41" s="15" t="s">
        <v>1114</v>
      </c>
      <c r="DU41" s="15" t="s">
        <v>424</v>
      </c>
      <c r="EF41" s="15" t="s">
        <v>1115</v>
      </c>
      <c r="EG41" s="15" t="s">
        <v>1116</v>
      </c>
      <c r="EH41" s="15" t="s">
        <v>1117</v>
      </c>
      <c r="EQ41" s="15" t="s">
        <v>1118</v>
      </c>
      <c r="ER41" s="15" t="s">
        <v>1119</v>
      </c>
      <c r="ES41" s="15" t="s">
        <v>1120</v>
      </c>
      <c r="ET41" s="15" t="s">
        <v>1121</v>
      </c>
      <c r="EU41" s="15" t="s">
        <v>426</v>
      </c>
      <c r="EV41" s="15">
        <v>0.0</v>
      </c>
      <c r="EW41" s="15">
        <v>0.0</v>
      </c>
      <c r="FD41" s="15" t="s">
        <v>1122</v>
      </c>
      <c r="FE41" s="15" t="s">
        <v>555</v>
      </c>
      <c r="FF41" s="15" t="s">
        <v>822</v>
      </c>
      <c r="FG41" s="15" t="s">
        <v>1123</v>
      </c>
    </row>
    <row r="42" ht="17.25" customHeight="1">
      <c r="A42" s="15" t="s">
        <v>1126</v>
      </c>
      <c r="B42" s="15" t="str">
        <f>"801542811570"</f>
        <v>801542811570</v>
      </c>
      <c r="C42" s="15" t="s">
        <v>11385</v>
      </c>
      <c r="D42" s="15" t="str">
        <f t="shared" si="1"/>
        <v>Alfie Dining TableBlack Pine86.5</v>
      </c>
      <c r="E42" s="15" t="s">
        <v>1093</v>
      </c>
      <c r="F42" s="15" t="s">
        <v>397</v>
      </c>
      <c r="G42" s="15" t="s">
        <v>1095</v>
      </c>
      <c r="H42" s="15" t="s">
        <v>265</v>
      </c>
      <c r="I42" s="15" t="s">
        <v>1125</v>
      </c>
      <c r="J42" s="15" t="s">
        <v>1095</v>
      </c>
      <c r="M42" s="15" t="s">
        <v>1101</v>
      </c>
      <c r="N42" s="15" t="s">
        <v>548</v>
      </c>
      <c r="O42" s="15" t="s">
        <v>549</v>
      </c>
      <c r="P42" s="15" t="str">
        <f>"86.5"</f>
        <v>86.5</v>
      </c>
      <c r="Q42" s="15" t="str">
        <f t="shared" si="112"/>
        <v>35.5</v>
      </c>
      <c r="R42" s="15" t="str">
        <f t="shared" si="113"/>
        <v>30</v>
      </c>
      <c r="S42" s="15" t="str">
        <f>"109.13"</f>
        <v>109.13</v>
      </c>
      <c r="T42" s="15" t="s">
        <v>1099</v>
      </c>
      <c r="U42" s="15" t="s">
        <v>11386</v>
      </c>
      <c r="AA42" s="15" t="s">
        <v>413</v>
      </c>
      <c r="AB42" s="15" t="s">
        <v>413</v>
      </c>
      <c r="AC42" s="15" t="s">
        <v>1102</v>
      </c>
      <c r="AD42" s="15" t="s">
        <v>11397</v>
      </c>
      <c r="AE42" s="15" t="s">
        <v>1128</v>
      </c>
      <c r="AF42" s="15" t="s">
        <v>11398</v>
      </c>
      <c r="AG42" s="15" t="s">
        <v>11399</v>
      </c>
      <c r="AH42" s="15" t="s">
        <v>11400</v>
      </c>
      <c r="AI42" s="15" t="s">
        <v>11401</v>
      </c>
      <c r="AJ42" s="15" t="s">
        <v>11402</v>
      </c>
      <c r="AK42" s="15" t="s">
        <v>11403</v>
      </c>
      <c r="AL42" s="15" t="s">
        <v>11404</v>
      </c>
      <c r="AM42" s="15" t="s">
        <v>11405</v>
      </c>
      <c r="BH42" s="15" t="s">
        <v>1124</v>
      </c>
      <c r="BI42" s="15" t="str">
        <f>"1599"</f>
        <v>1599</v>
      </c>
      <c r="BJ42" s="15" t="str">
        <f>"675"</f>
        <v>675</v>
      </c>
      <c r="BK42" s="15" t="s">
        <v>742</v>
      </c>
      <c r="BL42" s="15" t="str">
        <f t="shared" si="114"/>
        <v>2</v>
      </c>
      <c r="BM42" s="15" t="s">
        <v>1103</v>
      </c>
      <c r="BN42" s="15" t="str">
        <f>"90.94"</f>
        <v>90.94</v>
      </c>
      <c r="BO42" s="15" t="str">
        <f t="shared" si="115"/>
        <v>39.17</v>
      </c>
      <c r="BP42" s="15" t="str">
        <f t="shared" si="116"/>
        <v>8.27</v>
      </c>
      <c r="BQ42" s="15" t="str">
        <f>"110.23"</f>
        <v>110.23</v>
      </c>
      <c r="BR42" s="15" t="s">
        <v>1108</v>
      </c>
      <c r="BS42" s="15" t="str">
        <f t="shared" si="117"/>
        <v>34.25</v>
      </c>
      <c r="BT42" s="15" t="str">
        <f t="shared" si="118"/>
        <v>33.46</v>
      </c>
      <c r="BU42" s="15" t="str">
        <f t="shared" si="119"/>
        <v>10.63</v>
      </c>
      <c r="BV42" s="15" t="str">
        <f t="shared" si="120"/>
        <v>38.58</v>
      </c>
      <c r="CG42" s="15" t="str">
        <f>"24.12"</f>
        <v>24.12</v>
      </c>
      <c r="CH42" s="15" t="str">
        <f>"0.683"</f>
        <v>0.683</v>
      </c>
      <c r="CI42" s="15" t="s">
        <v>417</v>
      </c>
      <c r="CZ42" s="15" t="s">
        <v>419</v>
      </c>
      <c r="DA42" s="15">
        <v>0.0</v>
      </c>
      <c r="DB42" s="15" t="s">
        <v>419</v>
      </c>
      <c r="DD42" s="15">
        <v>0.0</v>
      </c>
      <c r="DF42" s="15" t="s">
        <v>1111</v>
      </c>
      <c r="DG42" s="15" t="s">
        <v>419</v>
      </c>
      <c r="DI42" s="15">
        <v>0.0</v>
      </c>
      <c r="DJ42" s="15">
        <v>0.0</v>
      </c>
      <c r="DK42" s="15">
        <v>0.0</v>
      </c>
      <c r="DQ42" s="15">
        <v>8.0</v>
      </c>
      <c r="DR42" s="15" t="s">
        <v>1112</v>
      </c>
      <c r="DS42" s="15" t="s">
        <v>1114</v>
      </c>
      <c r="DU42" s="15" t="s">
        <v>424</v>
      </c>
      <c r="EF42" s="15" t="s">
        <v>1132</v>
      </c>
      <c r="EG42" s="15" t="s">
        <v>1116</v>
      </c>
      <c r="EH42" s="15" t="s">
        <v>1133</v>
      </c>
      <c r="EQ42" s="15" t="s">
        <v>1118</v>
      </c>
      <c r="ER42" s="15" t="s">
        <v>1119</v>
      </c>
      <c r="ES42" s="15" t="s">
        <v>1134</v>
      </c>
      <c r="ET42" s="15" t="s">
        <v>1121</v>
      </c>
      <c r="EV42" s="15">
        <v>0.0</v>
      </c>
      <c r="EW42" s="15">
        <v>0.0</v>
      </c>
      <c r="FD42" s="15" t="s">
        <v>1122</v>
      </c>
      <c r="FE42" s="15" t="s">
        <v>555</v>
      </c>
      <c r="FF42" s="15" t="s">
        <v>822</v>
      </c>
      <c r="FG42" s="15" t="s">
        <v>559</v>
      </c>
    </row>
    <row r="43" ht="17.25" customHeight="1">
      <c r="A43" s="15" t="s">
        <v>1137</v>
      </c>
      <c r="B43" s="15" t="str">
        <f>"801542750640"</f>
        <v>801542750640</v>
      </c>
      <c r="C43" s="15" t="s">
        <v>11406</v>
      </c>
      <c r="D43" s="15" t="str">
        <f t="shared" si="1"/>
        <v>Alfie Dining TableWaxed Pine110.25</v>
      </c>
      <c r="E43" s="15" t="s">
        <v>1093</v>
      </c>
      <c r="F43" s="15" t="s">
        <v>397</v>
      </c>
      <c r="G43" s="15" t="s">
        <v>1136</v>
      </c>
      <c r="H43" s="15" t="s">
        <v>265</v>
      </c>
      <c r="I43" s="15" t="s">
        <v>1096</v>
      </c>
      <c r="J43" s="15" t="s">
        <v>1136</v>
      </c>
      <c r="K43" s="15" t="s">
        <v>1139</v>
      </c>
      <c r="M43" s="15" t="s">
        <v>1101</v>
      </c>
      <c r="N43" s="15" t="s">
        <v>548</v>
      </c>
      <c r="O43" s="15" t="s">
        <v>549</v>
      </c>
      <c r="P43" s="15" t="str">
        <f>"110.25"</f>
        <v>110.25</v>
      </c>
      <c r="Q43" s="15" t="str">
        <f t="shared" si="112"/>
        <v>35.5</v>
      </c>
      <c r="R43" s="15" t="str">
        <f t="shared" si="113"/>
        <v>30</v>
      </c>
      <c r="S43" s="15" t="str">
        <f>"138.89"</f>
        <v>138.89</v>
      </c>
      <c r="T43" s="15" t="s">
        <v>1099</v>
      </c>
      <c r="U43" s="15" t="s">
        <v>11386</v>
      </c>
      <c r="AA43" s="15" t="s">
        <v>413</v>
      </c>
      <c r="AB43" s="15" t="s">
        <v>413</v>
      </c>
      <c r="AC43" s="15" t="s">
        <v>1140</v>
      </c>
      <c r="AD43" s="15" t="s">
        <v>11407</v>
      </c>
      <c r="AE43" s="15" t="s">
        <v>1138</v>
      </c>
      <c r="AF43" s="15" t="s">
        <v>11408</v>
      </c>
      <c r="AG43" s="15" t="s">
        <v>11409</v>
      </c>
      <c r="AH43" s="15" t="s">
        <v>11410</v>
      </c>
      <c r="AI43" s="15" t="s">
        <v>11411</v>
      </c>
      <c r="AJ43" s="15" t="s">
        <v>11412</v>
      </c>
      <c r="AK43" s="15" t="s">
        <v>11413</v>
      </c>
      <c r="AL43" s="15" t="s">
        <v>11414</v>
      </c>
      <c r="AM43" s="15" t="s">
        <v>11415</v>
      </c>
      <c r="AN43" s="15" t="s">
        <v>11416</v>
      </c>
      <c r="BH43" s="15" t="s">
        <v>1135</v>
      </c>
      <c r="BI43" s="15" t="str">
        <f>"1699"</f>
        <v>1699</v>
      </c>
      <c r="BJ43" s="15" t="str">
        <f>"715"</f>
        <v>715</v>
      </c>
      <c r="BK43" s="15" t="s">
        <v>742</v>
      </c>
      <c r="BL43" s="15" t="str">
        <f t="shared" si="114"/>
        <v>2</v>
      </c>
      <c r="BM43" s="15" t="s">
        <v>1103</v>
      </c>
      <c r="BN43" s="15" t="str">
        <f>"113.98"</f>
        <v>113.98</v>
      </c>
      <c r="BO43" s="15" t="str">
        <f t="shared" si="115"/>
        <v>39.17</v>
      </c>
      <c r="BP43" s="15" t="str">
        <f t="shared" si="116"/>
        <v>8.27</v>
      </c>
      <c r="BQ43" s="15" t="str">
        <f>"145.51"</f>
        <v>145.51</v>
      </c>
      <c r="BR43" s="15" t="s">
        <v>1108</v>
      </c>
      <c r="BS43" s="15" t="str">
        <f t="shared" si="117"/>
        <v>34.25</v>
      </c>
      <c r="BT43" s="15" t="str">
        <f t="shared" si="118"/>
        <v>33.46</v>
      </c>
      <c r="BU43" s="15" t="str">
        <f t="shared" si="119"/>
        <v>10.63</v>
      </c>
      <c r="BV43" s="15" t="str">
        <f t="shared" si="120"/>
        <v>38.58</v>
      </c>
      <c r="CG43" s="15" t="str">
        <f>"28.43"</f>
        <v>28.43</v>
      </c>
      <c r="CH43" s="15" t="str">
        <f>"0.805"</f>
        <v>0.805</v>
      </c>
      <c r="CI43" s="15" t="s">
        <v>465</v>
      </c>
      <c r="CZ43" s="15" t="s">
        <v>419</v>
      </c>
      <c r="DA43" s="15">
        <v>0.0</v>
      </c>
      <c r="DB43" s="15" t="s">
        <v>419</v>
      </c>
      <c r="DD43" s="15">
        <v>0.0</v>
      </c>
      <c r="DF43" s="15" t="s">
        <v>1111</v>
      </c>
      <c r="DG43" s="15" t="s">
        <v>419</v>
      </c>
      <c r="DI43" s="15">
        <v>0.0</v>
      </c>
      <c r="DJ43" s="15">
        <v>0.0</v>
      </c>
      <c r="DK43" s="15">
        <v>0.0</v>
      </c>
      <c r="DQ43" s="15">
        <v>12.0</v>
      </c>
      <c r="DR43" s="15" t="s">
        <v>1112</v>
      </c>
      <c r="DS43" s="15" t="s">
        <v>1114</v>
      </c>
      <c r="DU43" s="15" t="s">
        <v>424</v>
      </c>
      <c r="EF43" s="15" t="s">
        <v>1115</v>
      </c>
      <c r="EG43" s="15" t="s">
        <v>1116</v>
      </c>
      <c r="EH43" s="15" t="s">
        <v>1117</v>
      </c>
      <c r="EQ43" s="15" t="s">
        <v>1118</v>
      </c>
      <c r="ER43" s="15" t="s">
        <v>1119</v>
      </c>
      <c r="ES43" s="15" t="s">
        <v>1120</v>
      </c>
      <c r="ET43" s="15" t="s">
        <v>1121</v>
      </c>
      <c r="EU43" s="15" t="s">
        <v>426</v>
      </c>
      <c r="EV43" s="15">
        <v>0.0</v>
      </c>
      <c r="EW43" s="15">
        <v>0.0</v>
      </c>
      <c r="FD43" s="15" t="s">
        <v>1122</v>
      </c>
      <c r="FE43" s="15" t="s">
        <v>555</v>
      </c>
      <c r="FF43" s="15" t="s">
        <v>822</v>
      </c>
      <c r="FG43" s="15" t="s">
        <v>1123</v>
      </c>
    </row>
    <row r="44" ht="17.25" customHeight="1">
      <c r="A44" s="15" t="s">
        <v>1142</v>
      </c>
      <c r="B44" s="15" t="str">
        <f>"801542751104"</f>
        <v>801542751104</v>
      </c>
      <c r="C44" s="15" t="s">
        <v>11406</v>
      </c>
      <c r="D44" s="15" t="str">
        <f t="shared" si="1"/>
        <v>Alfie Dining TableWaxed Pine86.5</v>
      </c>
      <c r="E44" s="15" t="s">
        <v>1093</v>
      </c>
      <c r="F44" s="15" t="s">
        <v>397</v>
      </c>
      <c r="G44" s="15" t="s">
        <v>1136</v>
      </c>
      <c r="H44" s="15" t="s">
        <v>265</v>
      </c>
      <c r="I44" s="15" t="s">
        <v>1125</v>
      </c>
      <c r="J44" s="15" t="s">
        <v>1136</v>
      </c>
      <c r="K44" s="15" t="s">
        <v>1139</v>
      </c>
      <c r="M44" s="15" t="s">
        <v>1101</v>
      </c>
      <c r="N44" s="15" t="s">
        <v>548</v>
      </c>
      <c r="O44" s="15" t="s">
        <v>549</v>
      </c>
      <c r="P44" s="15" t="str">
        <f>"86.5"</f>
        <v>86.5</v>
      </c>
      <c r="Q44" s="15" t="str">
        <f t="shared" si="112"/>
        <v>35.5</v>
      </c>
      <c r="R44" s="15" t="str">
        <f t="shared" si="113"/>
        <v>30</v>
      </c>
      <c r="S44" s="15" t="str">
        <f>"109.13"</f>
        <v>109.13</v>
      </c>
      <c r="T44" s="15" t="s">
        <v>1099</v>
      </c>
      <c r="U44" s="15" t="s">
        <v>11386</v>
      </c>
      <c r="AA44" s="15" t="s">
        <v>413</v>
      </c>
      <c r="AB44" s="15" t="s">
        <v>413</v>
      </c>
      <c r="AC44" s="15" t="s">
        <v>1144</v>
      </c>
      <c r="AD44" s="15" t="s">
        <v>11417</v>
      </c>
      <c r="AE44" s="15" t="s">
        <v>1143</v>
      </c>
      <c r="AF44" s="15" t="s">
        <v>11418</v>
      </c>
      <c r="AG44" s="15" t="s">
        <v>11419</v>
      </c>
      <c r="AH44" s="15" t="s">
        <v>11420</v>
      </c>
      <c r="AI44" s="15" t="s">
        <v>11421</v>
      </c>
      <c r="AJ44" s="15" t="s">
        <v>11422</v>
      </c>
      <c r="AK44" s="15" t="s">
        <v>11423</v>
      </c>
      <c r="AL44" s="15" t="s">
        <v>11424</v>
      </c>
      <c r="AM44" s="15" t="s">
        <v>11425</v>
      </c>
      <c r="AN44" s="15" t="s">
        <v>11426</v>
      </c>
      <c r="BH44" s="15" t="s">
        <v>1141</v>
      </c>
      <c r="BI44" s="15" t="str">
        <f>"1499"</f>
        <v>1499</v>
      </c>
      <c r="BJ44" s="15" t="str">
        <f>"630"</f>
        <v>630</v>
      </c>
      <c r="BK44" s="15" t="s">
        <v>742</v>
      </c>
      <c r="BL44" s="15" t="str">
        <f t="shared" si="114"/>
        <v>2</v>
      </c>
      <c r="BM44" s="15" t="s">
        <v>1103</v>
      </c>
      <c r="BN44" s="15" t="str">
        <f>"90.94"</f>
        <v>90.94</v>
      </c>
      <c r="BO44" s="15" t="str">
        <f t="shared" si="115"/>
        <v>39.17</v>
      </c>
      <c r="BP44" s="15" t="str">
        <f t="shared" si="116"/>
        <v>8.27</v>
      </c>
      <c r="BQ44" s="15" t="str">
        <f>"110.23"</f>
        <v>110.23</v>
      </c>
      <c r="BR44" s="15" t="s">
        <v>1108</v>
      </c>
      <c r="BS44" s="15" t="str">
        <f t="shared" si="117"/>
        <v>34.25</v>
      </c>
      <c r="BT44" s="15" t="str">
        <f t="shared" si="118"/>
        <v>33.46</v>
      </c>
      <c r="BU44" s="15" t="str">
        <f t="shared" si="119"/>
        <v>10.63</v>
      </c>
      <c r="BV44" s="15" t="str">
        <f t="shared" si="120"/>
        <v>38.58</v>
      </c>
      <c r="CG44" s="15" t="str">
        <f>"24.12"</f>
        <v>24.12</v>
      </c>
      <c r="CH44" s="15" t="str">
        <f>"0.683"</f>
        <v>0.683</v>
      </c>
      <c r="CI44" s="15" t="s">
        <v>497</v>
      </c>
      <c r="CZ44" s="15" t="s">
        <v>419</v>
      </c>
      <c r="DA44" s="15">
        <v>0.0</v>
      </c>
      <c r="DB44" s="15" t="s">
        <v>419</v>
      </c>
      <c r="DD44" s="15">
        <v>0.0</v>
      </c>
      <c r="DF44" s="15" t="s">
        <v>1111</v>
      </c>
      <c r="DG44" s="15" t="s">
        <v>419</v>
      </c>
      <c r="DI44" s="15">
        <v>0.0</v>
      </c>
      <c r="DJ44" s="15">
        <v>0.0</v>
      </c>
      <c r="DK44" s="15">
        <v>0.0</v>
      </c>
      <c r="DQ44" s="15">
        <v>8.0</v>
      </c>
      <c r="DR44" s="15" t="s">
        <v>1112</v>
      </c>
      <c r="DS44" s="15" t="s">
        <v>1114</v>
      </c>
      <c r="DU44" s="15" t="s">
        <v>424</v>
      </c>
      <c r="EF44" s="15" t="s">
        <v>1132</v>
      </c>
      <c r="EG44" s="15" t="s">
        <v>1116</v>
      </c>
      <c r="EH44" s="15" t="s">
        <v>1133</v>
      </c>
      <c r="EQ44" s="15" t="s">
        <v>1118</v>
      </c>
      <c r="ER44" s="15" t="s">
        <v>1119</v>
      </c>
      <c r="ES44" s="15" t="s">
        <v>1134</v>
      </c>
      <c r="ET44" s="15" t="s">
        <v>1121</v>
      </c>
      <c r="EV44" s="15">
        <v>0.0</v>
      </c>
      <c r="EW44" s="15">
        <v>0.0</v>
      </c>
      <c r="FD44" s="15" t="s">
        <v>1122</v>
      </c>
      <c r="FE44" s="15" t="s">
        <v>555</v>
      </c>
      <c r="FF44" s="15" t="s">
        <v>822</v>
      </c>
      <c r="FG44" s="15" t="s">
        <v>559</v>
      </c>
    </row>
    <row r="45" ht="17.25" customHeight="1">
      <c r="A45" s="15" t="s">
        <v>1147</v>
      </c>
      <c r="B45" s="15" t="str">
        <f>"801542725075"</f>
        <v>801542725075</v>
      </c>
      <c r="C45" s="15" t="s">
        <v>11427</v>
      </c>
      <c r="D45" s="15" t="str">
        <f t="shared" si="1"/>
        <v>Aliza End TableBlack Pine</v>
      </c>
      <c r="E45" s="15" t="s">
        <v>1145</v>
      </c>
      <c r="F45" s="15" t="s">
        <v>397</v>
      </c>
      <c r="G45" s="15" t="s">
        <v>1095</v>
      </c>
      <c r="J45" s="15" t="s">
        <v>1095</v>
      </c>
      <c r="M45" s="15" t="s">
        <v>813</v>
      </c>
      <c r="N45" s="15" t="s">
        <v>1154</v>
      </c>
      <c r="P45" s="15" t="str">
        <f t="shared" ref="P45:Q45" si="121">"15.5"</f>
        <v>15.5</v>
      </c>
      <c r="Q45" s="15" t="str">
        <f t="shared" si="121"/>
        <v>15.5</v>
      </c>
      <c r="R45" s="15" t="str">
        <f t="shared" ref="R45:R46" si="124">"17"</f>
        <v>17</v>
      </c>
      <c r="S45" s="15" t="str">
        <f t="shared" ref="S45:S46" si="125">"37.48"</f>
        <v>37.48</v>
      </c>
      <c r="T45" s="15" t="s">
        <v>1099</v>
      </c>
      <c r="U45" s="15" t="s">
        <v>11386</v>
      </c>
      <c r="AA45" s="15" t="s">
        <v>413</v>
      </c>
      <c r="AB45" s="15" t="s">
        <v>413</v>
      </c>
      <c r="AC45" s="15" t="s">
        <v>1155</v>
      </c>
      <c r="AD45" s="15" t="s">
        <v>11428</v>
      </c>
      <c r="AE45" s="15" t="s">
        <v>1149</v>
      </c>
      <c r="AF45" s="15" t="s">
        <v>11429</v>
      </c>
      <c r="AG45" s="15" t="s">
        <v>11430</v>
      </c>
      <c r="AH45" s="15" t="s">
        <v>11431</v>
      </c>
      <c r="AI45" s="15" t="s">
        <v>11432</v>
      </c>
      <c r="AJ45" s="15" t="s">
        <v>11433</v>
      </c>
      <c r="AK45" s="15" t="s">
        <v>11434</v>
      </c>
      <c r="AL45" s="15" t="s">
        <v>11435</v>
      </c>
      <c r="AM45" s="15" t="s">
        <v>11436</v>
      </c>
      <c r="BH45" s="15" t="s">
        <v>1146</v>
      </c>
      <c r="BI45" s="15" t="str">
        <f t="shared" ref="BI45:BI46" si="126">"699"</f>
        <v>699</v>
      </c>
      <c r="BJ45" s="15" t="str">
        <f t="shared" ref="BJ45:BJ46" si="127">"295"</f>
        <v>295</v>
      </c>
      <c r="BK45" s="15" t="s">
        <v>709</v>
      </c>
      <c r="BL45" s="15" t="str">
        <f t="shared" ref="BL45:BL71" si="128">"1"</f>
        <v>1</v>
      </c>
      <c r="BM45" s="15" t="s">
        <v>416</v>
      </c>
      <c r="BN45" s="15" t="str">
        <f t="shared" ref="BN45:BO45" si="122">"18.5"</f>
        <v>18.5</v>
      </c>
      <c r="BO45" s="15" t="str">
        <f t="shared" si="122"/>
        <v>18.5</v>
      </c>
      <c r="BP45" s="15" t="str">
        <f t="shared" ref="BP45:BP46" si="130">"22.44"</f>
        <v>22.44</v>
      </c>
      <c r="BQ45" s="15" t="str">
        <f t="shared" ref="BQ45:BQ46" si="131">"52.91"</f>
        <v>52.91</v>
      </c>
      <c r="CG45" s="15" t="str">
        <f t="shared" ref="CG45:CG46" si="132">"4.45"</f>
        <v>4.45</v>
      </c>
      <c r="CH45" s="15" t="str">
        <f t="shared" ref="CH45:CH46" si="133">"0.126"</f>
        <v>0.126</v>
      </c>
      <c r="CI45" s="15" t="s">
        <v>465</v>
      </c>
      <c r="CZ45" s="15" t="s">
        <v>419</v>
      </c>
      <c r="DA45" s="15">
        <v>0.0</v>
      </c>
      <c r="DB45" s="15" t="s">
        <v>419</v>
      </c>
      <c r="DD45" s="15">
        <v>0.0</v>
      </c>
      <c r="DG45" s="15" t="s">
        <v>419</v>
      </c>
      <c r="DK45" s="15">
        <v>0.0</v>
      </c>
      <c r="DR45" s="15" t="s">
        <v>1157</v>
      </c>
      <c r="DS45" s="15" t="s">
        <v>1159</v>
      </c>
      <c r="DU45" s="15" t="s">
        <v>500</v>
      </c>
      <c r="EQ45" s="15" t="s">
        <v>1160</v>
      </c>
      <c r="ER45" s="15" t="s">
        <v>1161</v>
      </c>
      <c r="ES45" s="15" t="s">
        <v>1160</v>
      </c>
      <c r="EU45" s="15" t="s">
        <v>426</v>
      </c>
      <c r="EV45" s="15">
        <v>0.0</v>
      </c>
      <c r="EW45" s="15">
        <v>0.0</v>
      </c>
    </row>
    <row r="46" ht="17.25" customHeight="1">
      <c r="A46" s="15" t="s">
        <v>1164</v>
      </c>
      <c r="B46" s="15" t="str">
        <f>"801542354916"</f>
        <v>801542354916</v>
      </c>
      <c r="C46" s="15" t="s">
        <v>11437</v>
      </c>
      <c r="D46" s="15" t="str">
        <f t="shared" si="1"/>
        <v>Aliza End TableNatural Pine</v>
      </c>
      <c r="E46" s="15" t="s">
        <v>1145</v>
      </c>
      <c r="F46" s="15" t="s">
        <v>397</v>
      </c>
      <c r="G46" s="15" t="s">
        <v>1163</v>
      </c>
      <c r="J46" s="15" t="s">
        <v>1163</v>
      </c>
      <c r="M46" s="15" t="s">
        <v>813</v>
      </c>
      <c r="N46" s="15" t="s">
        <v>1154</v>
      </c>
      <c r="P46" s="15" t="str">
        <f t="shared" ref="P46:Q46" si="123">"15.5"</f>
        <v>15.5</v>
      </c>
      <c r="Q46" s="15" t="str">
        <f t="shared" si="123"/>
        <v>15.5</v>
      </c>
      <c r="R46" s="15" t="str">
        <f t="shared" si="124"/>
        <v>17</v>
      </c>
      <c r="S46" s="15" t="str">
        <f t="shared" si="125"/>
        <v>37.48</v>
      </c>
      <c r="T46" s="15" t="s">
        <v>1099</v>
      </c>
      <c r="U46" s="15" t="s">
        <v>11386</v>
      </c>
      <c r="AA46" s="15" t="s">
        <v>413</v>
      </c>
      <c r="AB46" s="15" t="s">
        <v>413</v>
      </c>
      <c r="AC46" s="15" t="s">
        <v>1166</v>
      </c>
      <c r="AD46" s="15" t="s">
        <v>11438</v>
      </c>
      <c r="AE46" s="15" t="s">
        <v>1165</v>
      </c>
      <c r="AF46" s="15" t="s">
        <v>11439</v>
      </c>
      <c r="AG46" s="15" t="s">
        <v>11440</v>
      </c>
      <c r="AH46" s="15" t="s">
        <v>11441</v>
      </c>
      <c r="AI46" s="15" t="s">
        <v>11442</v>
      </c>
      <c r="AJ46" s="15" t="s">
        <v>11443</v>
      </c>
      <c r="AK46" s="15" t="s">
        <v>11444</v>
      </c>
      <c r="AL46" s="15" t="s">
        <v>11445</v>
      </c>
      <c r="AM46" s="15" t="s">
        <v>11446</v>
      </c>
      <c r="AN46" s="15" t="s">
        <v>11447</v>
      </c>
      <c r="AO46" s="15" t="s">
        <v>11448</v>
      </c>
      <c r="BH46" s="15" t="s">
        <v>1162</v>
      </c>
      <c r="BI46" s="15" t="str">
        <f t="shared" si="126"/>
        <v>699</v>
      </c>
      <c r="BJ46" s="15" t="str">
        <f t="shared" si="127"/>
        <v>295</v>
      </c>
      <c r="BK46" s="15" t="s">
        <v>709</v>
      </c>
      <c r="BL46" s="15" t="str">
        <f t="shared" si="128"/>
        <v>1</v>
      </c>
      <c r="BM46" s="15" t="s">
        <v>416</v>
      </c>
      <c r="BN46" s="15" t="str">
        <f t="shared" ref="BN46:BO46" si="129">"18.5"</f>
        <v>18.5</v>
      </c>
      <c r="BO46" s="15" t="str">
        <f t="shared" si="129"/>
        <v>18.5</v>
      </c>
      <c r="BP46" s="15" t="str">
        <f t="shared" si="130"/>
        <v>22.44</v>
      </c>
      <c r="BQ46" s="15" t="str">
        <f t="shared" si="131"/>
        <v>52.91</v>
      </c>
      <c r="CG46" s="15" t="str">
        <f t="shared" si="132"/>
        <v>4.45</v>
      </c>
      <c r="CH46" s="15" t="str">
        <f t="shared" si="133"/>
        <v>0.126</v>
      </c>
      <c r="CI46" s="15" t="s">
        <v>465</v>
      </c>
      <c r="CZ46" s="15" t="s">
        <v>419</v>
      </c>
      <c r="DA46" s="15">
        <v>0.0</v>
      </c>
      <c r="DB46" s="15" t="s">
        <v>419</v>
      </c>
      <c r="DD46" s="15">
        <v>0.0</v>
      </c>
      <c r="DG46" s="15" t="s">
        <v>419</v>
      </c>
      <c r="DK46" s="15">
        <v>0.0</v>
      </c>
      <c r="DR46" s="15" t="s">
        <v>1157</v>
      </c>
      <c r="DS46" s="15" t="s">
        <v>1159</v>
      </c>
      <c r="DU46" s="15" t="s">
        <v>500</v>
      </c>
      <c r="EQ46" s="15" t="s">
        <v>1160</v>
      </c>
      <c r="ER46" s="15" t="s">
        <v>1161</v>
      </c>
      <c r="ES46" s="15" t="s">
        <v>1160</v>
      </c>
      <c r="EU46" s="15" t="s">
        <v>426</v>
      </c>
      <c r="EV46" s="15">
        <v>0.0</v>
      </c>
      <c r="EW46" s="15">
        <v>0.0</v>
      </c>
    </row>
    <row r="47" ht="17.25" customHeight="1">
      <c r="A47" s="15" t="s">
        <v>1170</v>
      </c>
      <c r="B47" s="15" t="str">
        <f>"198394000932"</f>
        <v>198394000932</v>
      </c>
      <c r="C47" s="15" t="s">
        <v>11449</v>
      </c>
      <c r="D47" s="15" t="str">
        <f t="shared" si="1"/>
        <v>Amelia Oval NightstandBlack Linen</v>
      </c>
      <c r="E47" s="15" t="s">
        <v>1167</v>
      </c>
      <c r="F47" s="15" t="s">
        <v>397</v>
      </c>
      <c r="G47" s="15" t="s">
        <v>1169</v>
      </c>
      <c r="J47" s="15" t="s">
        <v>1169</v>
      </c>
      <c r="M47" s="15" t="s">
        <v>1179</v>
      </c>
      <c r="N47" s="15" t="s">
        <v>628</v>
      </c>
      <c r="P47" s="15" t="str">
        <f t="shared" ref="P47:P48" si="134">"26"</f>
        <v>26</v>
      </c>
      <c r="Q47" s="15" t="str">
        <f t="shared" ref="Q47:Q48" si="135">"20"</f>
        <v>20</v>
      </c>
      <c r="R47" s="15" t="str">
        <f t="shared" ref="R47:R48" si="136">"24"</f>
        <v>24</v>
      </c>
      <c r="S47" s="15" t="str">
        <f t="shared" ref="S47:S48" si="137">"87.08"</f>
        <v>87.08</v>
      </c>
      <c r="T47" s="15" t="s">
        <v>1174</v>
      </c>
      <c r="U47" s="15" t="s">
        <v>11450</v>
      </c>
      <c r="AA47" s="15" t="s">
        <v>413</v>
      </c>
      <c r="AB47" s="15" t="s">
        <v>413</v>
      </c>
      <c r="AC47" s="15" t="s">
        <v>1180</v>
      </c>
      <c r="AD47" s="15" t="s">
        <v>11451</v>
      </c>
      <c r="AE47" s="15" t="s">
        <v>1173</v>
      </c>
      <c r="AF47" s="15" t="s">
        <v>11452</v>
      </c>
      <c r="AG47" s="15" t="s">
        <v>11453</v>
      </c>
      <c r="AH47" s="15" t="s">
        <v>11454</v>
      </c>
      <c r="AI47" s="15" t="s">
        <v>11455</v>
      </c>
      <c r="AJ47" s="15" t="s">
        <v>11456</v>
      </c>
      <c r="AK47" s="15" t="s">
        <v>11457</v>
      </c>
      <c r="AL47" s="15" t="s">
        <v>11458</v>
      </c>
      <c r="AM47" s="15" t="s">
        <v>11459</v>
      </c>
      <c r="AN47" s="15" t="s">
        <v>11460</v>
      </c>
      <c r="BH47" s="15" t="s">
        <v>1168</v>
      </c>
      <c r="BI47" s="15" t="str">
        <f t="shared" ref="BI47:BI48" si="138">"1299"</f>
        <v>1299</v>
      </c>
      <c r="BJ47" s="15" t="str">
        <f t="shared" ref="BJ47:BJ48" si="139">"550"</f>
        <v>550</v>
      </c>
      <c r="BK47" s="15" t="s">
        <v>1181</v>
      </c>
      <c r="BL47" s="15" t="str">
        <f t="shared" si="128"/>
        <v>1</v>
      </c>
      <c r="BM47" s="15" t="s">
        <v>416</v>
      </c>
      <c r="BN47" s="15" t="str">
        <f t="shared" ref="BN47:BN48" si="140">"31.3"</f>
        <v>31.3</v>
      </c>
      <c r="BO47" s="15" t="str">
        <f t="shared" ref="BO47:BO48" si="141">"25.79"</f>
        <v>25.79</v>
      </c>
      <c r="BP47" s="15" t="str">
        <f t="shared" ref="BP47:BP48" si="142">"31.89"</f>
        <v>31.89</v>
      </c>
      <c r="BQ47" s="15" t="str">
        <f t="shared" ref="BQ47:BQ48" si="143">"112.21"</f>
        <v>112.21</v>
      </c>
      <c r="CG47" s="15" t="str">
        <f t="shared" ref="CG47:CG48" si="144">"14.9"</f>
        <v>14.9</v>
      </c>
      <c r="CH47" s="15" t="str">
        <f t="shared" ref="CH47:CH48" si="145">"0.422"</f>
        <v>0.422</v>
      </c>
      <c r="CI47" s="15" t="s">
        <v>497</v>
      </c>
      <c r="CZ47" s="15" t="s">
        <v>418</v>
      </c>
      <c r="DA47" s="15">
        <v>4.0</v>
      </c>
      <c r="DB47" s="15" t="s">
        <v>1185</v>
      </c>
      <c r="DD47" s="15">
        <v>0.0</v>
      </c>
      <c r="DF47" s="15" t="s">
        <v>1186</v>
      </c>
      <c r="DG47" s="15" t="s">
        <v>421</v>
      </c>
      <c r="DK47" s="15">
        <v>0.0</v>
      </c>
      <c r="DR47" s="15" t="s">
        <v>1112</v>
      </c>
      <c r="DS47" s="15" t="s">
        <v>1187</v>
      </c>
      <c r="DU47" s="15" t="s">
        <v>500</v>
      </c>
      <c r="EF47" s="15" t="s">
        <v>1188</v>
      </c>
      <c r="EU47" s="15" t="s">
        <v>426</v>
      </c>
      <c r="EV47" s="15">
        <v>0.0</v>
      </c>
      <c r="FQ47" s="15">
        <v>0.0</v>
      </c>
      <c r="FR47" s="15" t="s">
        <v>427</v>
      </c>
      <c r="FX47" s="15" t="s">
        <v>426</v>
      </c>
      <c r="FZ47" s="15" t="s">
        <v>428</v>
      </c>
      <c r="GB47" s="15" t="s">
        <v>940</v>
      </c>
      <c r="GD47" s="15" t="s">
        <v>1189</v>
      </c>
      <c r="GF47" s="15" t="s">
        <v>431</v>
      </c>
      <c r="GH47" s="15" t="s">
        <v>1190</v>
      </c>
      <c r="GI47" s="15" t="s">
        <v>426</v>
      </c>
    </row>
    <row r="48" ht="17.25" customHeight="1">
      <c r="A48" s="15" t="s">
        <v>1193</v>
      </c>
      <c r="B48" s="15" t="str">
        <f>"801542959326"</f>
        <v>801542959326</v>
      </c>
      <c r="C48" s="15" t="s">
        <v>11461</v>
      </c>
      <c r="D48" s="15" t="str">
        <f t="shared" si="1"/>
        <v>Amelia Oval NightstandIvory Painted Linen</v>
      </c>
      <c r="E48" s="15" t="s">
        <v>1167</v>
      </c>
      <c r="F48" s="15" t="s">
        <v>397</v>
      </c>
      <c r="G48" s="15" t="s">
        <v>1192</v>
      </c>
      <c r="J48" s="15" t="s">
        <v>1192</v>
      </c>
      <c r="M48" s="15" t="s">
        <v>1179</v>
      </c>
      <c r="N48" s="15" t="s">
        <v>628</v>
      </c>
      <c r="P48" s="15" t="str">
        <f t="shared" si="134"/>
        <v>26</v>
      </c>
      <c r="Q48" s="15" t="str">
        <f t="shared" si="135"/>
        <v>20</v>
      </c>
      <c r="R48" s="15" t="str">
        <f t="shared" si="136"/>
        <v>24</v>
      </c>
      <c r="S48" s="15" t="str">
        <f t="shared" si="137"/>
        <v>87.08</v>
      </c>
      <c r="T48" s="15" t="s">
        <v>1174</v>
      </c>
      <c r="U48" s="15" t="s">
        <v>11450</v>
      </c>
      <c r="AA48" s="15" t="s">
        <v>413</v>
      </c>
      <c r="AB48" s="15" t="s">
        <v>413</v>
      </c>
      <c r="AC48" s="15" t="s">
        <v>1195</v>
      </c>
      <c r="AD48" s="15" t="s">
        <v>11462</v>
      </c>
      <c r="AE48" s="15" t="s">
        <v>1194</v>
      </c>
      <c r="AF48" s="15" t="s">
        <v>11463</v>
      </c>
      <c r="AG48" s="15" t="s">
        <v>11464</v>
      </c>
      <c r="AH48" s="15" t="s">
        <v>11465</v>
      </c>
      <c r="AI48" s="15" t="s">
        <v>11466</v>
      </c>
      <c r="AJ48" s="15" t="s">
        <v>11467</v>
      </c>
      <c r="AK48" s="15" t="s">
        <v>11468</v>
      </c>
      <c r="AL48" s="15" t="s">
        <v>11469</v>
      </c>
      <c r="AM48" s="15" t="s">
        <v>11470</v>
      </c>
      <c r="AN48" s="15" t="s">
        <v>11471</v>
      </c>
      <c r="AO48" s="15" t="s">
        <v>11472</v>
      </c>
      <c r="AP48" s="15" t="s">
        <v>11473</v>
      </c>
      <c r="AQ48" s="15" t="s">
        <v>11474</v>
      </c>
      <c r="AR48" s="15" t="s">
        <v>11475</v>
      </c>
      <c r="AS48" s="15" t="s">
        <v>11476</v>
      </c>
      <c r="BH48" s="15" t="s">
        <v>1191</v>
      </c>
      <c r="BI48" s="15" t="str">
        <f t="shared" si="138"/>
        <v>1299</v>
      </c>
      <c r="BJ48" s="15" t="str">
        <f t="shared" si="139"/>
        <v>550</v>
      </c>
      <c r="BK48" s="15" t="s">
        <v>1181</v>
      </c>
      <c r="BL48" s="15" t="str">
        <f t="shared" si="128"/>
        <v>1</v>
      </c>
      <c r="BM48" s="15" t="s">
        <v>416</v>
      </c>
      <c r="BN48" s="15" t="str">
        <f t="shared" si="140"/>
        <v>31.3</v>
      </c>
      <c r="BO48" s="15" t="str">
        <f t="shared" si="141"/>
        <v>25.79</v>
      </c>
      <c r="BP48" s="15" t="str">
        <f t="shared" si="142"/>
        <v>31.89</v>
      </c>
      <c r="BQ48" s="15" t="str">
        <f t="shared" si="143"/>
        <v>112.21</v>
      </c>
      <c r="CG48" s="15" t="str">
        <f t="shared" si="144"/>
        <v>14.9</v>
      </c>
      <c r="CH48" s="15" t="str">
        <f t="shared" si="145"/>
        <v>0.422</v>
      </c>
      <c r="CI48" s="15" t="s">
        <v>497</v>
      </c>
      <c r="CZ48" s="15" t="s">
        <v>418</v>
      </c>
      <c r="DA48" s="15">
        <v>4.0</v>
      </c>
      <c r="DB48" s="15" t="s">
        <v>1185</v>
      </c>
      <c r="DD48" s="15">
        <v>0.0</v>
      </c>
      <c r="DF48" s="15" t="s">
        <v>1186</v>
      </c>
      <c r="DG48" s="15" t="s">
        <v>421</v>
      </c>
      <c r="DK48" s="15">
        <v>0.0</v>
      </c>
      <c r="DR48" s="15" t="s">
        <v>1112</v>
      </c>
      <c r="DS48" s="15" t="s">
        <v>1187</v>
      </c>
      <c r="DU48" s="15" t="s">
        <v>500</v>
      </c>
      <c r="EF48" s="15" t="s">
        <v>1188</v>
      </c>
      <c r="EU48" s="15" t="s">
        <v>426</v>
      </c>
      <c r="EV48" s="15">
        <v>0.0</v>
      </c>
      <c r="FQ48" s="15">
        <v>0.0</v>
      </c>
      <c r="FR48" s="15" t="s">
        <v>427</v>
      </c>
      <c r="FX48" s="15" t="s">
        <v>426</v>
      </c>
      <c r="FZ48" s="15" t="s">
        <v>428</v>
      </c>
      <c r="GB48" s="15" t="s">
        <v>940</v>
      </c>
      <c r="GD48" s="15" t="s">
        <v>1189</v>
      </c>
      <c r="GF48" s="15" t="s">
        <v>431</v>
      </c>
      <c r="GH48" s="15" t="s">
        <v>1190</v>
      </c>
      <c r="GI48" s="15" t="s">
        <v>426</v>
      </c>
    </row>
    <row r="49" ht="17.25" customHeight="1">
      <c r="A49" s="15" t="s">
        <v>1199</v>
      </c>
      <c r="B49" s="15" t="str">
        <f>"198394059855"</f>
        <v>198394059855</v>
      </c>
      <c r="C49" s="15" t="s">
        <v>11477</v>
      </c>
      <c r="D49" s="15" t="str">
        <f t="shared" si="1"/>
        <v>Amelie ChairBeige Shearling</v>
      </c>
      <c r="E49" s="15" t="s">
        <v>1196</v>
      </c>
      <c r="F49" s="15" t="s">
        <v>397</v>
      </c>
      <c r="G49" s="15" t="s">
        <v>1198</v>
      </c>
      <c r="J49" s="15" t="s">
        <v>1198</v>
      </c>
      <c r="M49" s="15" t="s">
        <v>915</v>
      </c>
      <c r="N49" s="15" t="s">
        <v>706</v>
      </c>
      <c r="O49" s="15" t="s">
        <v>707</v>
      </c>
      <c r="P49" s="15" t="str">
        <f>"33.75"</f>
        <v>33.75</v>
      </c>
      <c r="Q49" s="15" t="str">
        <f>"38.5"</f>
        <v>38.5</v>
      </c>
      <c r="R49" s="15" t="str">
        <f>"36.5"</f>
        <v>36.5</v>
      </c>
      <c r="S49" s="15" t="str">
        <f>"68.34"</f>
        <v>68.34</v>
      </c>
      <c r="T49" s="15" t="s">
        <v>1202</v>
      </c>
      <c r="U49" s="15" t="s">
        <v>11478</v>
      </c>
      <c r="AA49" s="15" t="s">
        <v>413</v>
      </c>
      <c r="AB49" s="15" t="s">
        <v>413</v>
      </c>
      <c r="AC49" s="15" t="s">
        <v>1207</v>
      </c>
      <c r="AD49" s="15" t="s">
        <v>11479</v>
      </c>
      <c r="AE49" s="15" t="s">
        <v>1201</v>
      </c>
      <c r="AF49" s="15" t="s">
        <v>11480</v>
      </c>
      <c r="AG49" s="15" t="s">
        <v>11481</v>
      </c>
      <c r="AH49" s="15" t="s">
        <v>11482</v>
      </c>
      <c r="AI49" s="15" t="s">
        <v>11483</v>
      </c>
      <c r="AJ49" s="15" t="s">
        <v>11484</v>
      </c>
      <c r="AK49" s="15" t="s">
        <v>11485</v>
      </c>
      <c r="AL49" s="15" t="s">
        <v>11486</v>
      </c>
      <c r="AM49" s="15" t="s">
        <v>11487</v>
      </c>
      <c r="AN49" s="15" t="s">
        <v>11488</v>
      </c>
      <c r="AO49" s="15" t="s">
        <v>11489</v>
      </c>
      <c r="AP49" s="15" t="s">
        <v>11490</v>
      </c>
      <c r="AQ49" s="15" t="s">
        <v>11491</v>
      </c>
      <c r="BH49" s="15" t="s">
        <v>1197</v>
      </c>
      <c r="BI49" s="15" t="str">
        <f>"3099"</f>
        <v>3099</v>
      </c>
      <c r="BJ49" s="15" t="str">
        <f>"1305"</f>
        <v>1305</v>
      </c>
      <c r="BK49" s="15" t="s">
        <v>709</v>
      </c>
      <c r="BL49" s="15" t="str">
        <f t="shared" si="128"/>
        <v>1</v>
      </c>
      <c r="BM49" s="15" t="s">
        <v>1208</v>
      </c>
      <c r="BN49" s="15" t="str">
        <f>"33.86"</f>
        <v>33.86</v>
      </c>
      <c r="BO49" s="15" t="str">
        <f t="shared" ref="BO49:BP49" si="146">"37.8"</f>
        <v>37.8</v>
      </c>
      <c r="BP49" s="15" t="str">
        <f t="shared" si="146"/>
        <v>37.8</v>
      </c>
      <c r="BQ49" s="15" t="str">
        <f>"85.98"</f>
        <v>85.98</v>
      </c>
      <c r="CG49" s="15" t="str">
        <f>"23.31"</f>
        <v>23.31</v>
      </c>
      <c r="CH49" s="15" t="str">
        <f>"0.66"</f>
        <v>0.66</v>
      </c>
      <c r="CI49" s="15" t="s">
        <v>465</v>
      </c>
      <c r="CS49" s="15" t="s">
        <v>525</v>
      </c>
      <c r="CT49" s="15" t="s">
        <v>1065</v>
      </c>
      <c r="CV49" s="15">
        <v>0.0</v>
      </c>
      <c r="CW49" s="15">
        <v>0.0</v>
      </c>
      <c r="CX49" s="15" t="s">
        <v>717</v>
      </c>
      <c r="CY49" s="15" t="s">
        <v>718</v>
      </c>
      <c r="DC49" s="15" t="s">
        <v>997</v>
      </c>
      <c r="DF49" s="15" t="s">
        <v>721</v>
      </c>
      <c r="DG49" s="15" t="s">
        <v>419</v>
      </c>
      <c r="DH49" s="15">
        <v>0.0</v>
      </c>
      <c r="DL49" s="15">
        <v>0.0</v>
      </c>
      <c r="DM49" s="15" t="s">
        <v>990</v>
      </c>
      <c r="DN49" s="15" t="s">
        <v>723</v>
      </c>
      <c r="DO49" s="15" t="s">
        <v>724</v>
      </c>
      <c r="DP49" s="15">
        <v>1.0</v>
      </c>
      <c r="DQ49" s="15">
        <v>1.0</v>
      </c>
      <c r="DS49" s="15" t="s">
        <v>1210</v>
      </c>
      <c r="DT49" s="15">
        <v>0.0</v>
      </c>
      <c r="DU49" s="15" t="s">
        <v>726</v>
      </c>
      <c r="DV49" s="15" t="s">
        <v>1211</v>
      </c>
      <c r="DW49" s="15" t="s">
        <v>505</v>
      </c>
      <c r="DX49" s="15" t="s">
        <v>1212</v>
      </c>
      <c r="EB49" s="15" t="s">
        <v>505</v>
      </c>
      <c r="EF49" s="15" t="s">
        <v>1188</v>
      </c>
      <c r="EG49" s="15" t="s">
        <v>1213</v>
      </c>
      <c r="EH49" s="15" t="s">
        <v>1214</v>
      </c>
      <c r="EI49" s="15" t="s">
        <v>824</v>
      </c>
      <c r="EO49" s="15" t="s">
        <v>997</v>
      </c>
      <c r="EX49" s="15" t="s">
        <v>1065</v>
      </c>
      <c r="EY49" s="15" t="s">
        <v>1072</v>
      </c>
      <c r="EZ49" s="15">
        <v>0.0</v>
      </c>
      <c r="FA49" s="15">
        <v>0.0</v>
      </c>
      <c r="FC49" s="15">
        <v>0.0</v>
      </c>
      <c r="HU49" s="15" t="s">
        <v>1215</v>
      </c>
    </row>
    <row r="50" ht="17.25" customHeight="1">
      <c r="A50" s="15" t="s">
        <v>1219</v>
      </c>
      <c r="B50" s="15" t="str">
        <f>"801542465353"</f>
        <v>801542465353</v>
      </c>
      <c r="C50" s="15" t="s">
        <v>11492</v>
      </c>
      <c r="D50" s="15" t="str">
        <f t="shared" si="1"/>
        <v>Aniston ChaiseAndes Natural</v>
      </c>
      <c r="E50" s="15" t="s">
        <v>1216</v>
      </c>
      <c r="F50" s="15" t="s">
        <v>397</v>
      </c>
      <c r="G50" s="15" t="s">
        <v>1218</v>
      </c>
      <c r="J50" s="15" t="s">
        <v>1218</v>
      </c>
      <c r="K50" s="15" t="s">
        <v>1087</v>
      </c>
      <c r="M50" s="15" t="s">
        <v>915</v>
      </c>
      <c r="N50" s="15" t="s">
        <v>1226</v>
      </c>
      <c r="P50" s="15" t="str">
        <f>"33.5"</f>
        <v>33.5</v>
      </c>
      <c r="Q50" s="15" t="str">
        <f>"65"</f>
        <v>65</v>
      </c>
      <c r="R50" s="15" t="str">
        <f>"32"</f>
        <v>32</v>
      </c>
      <c r="S50" s="15" t="str">
        <f>"72.75"</f>
        <v>72.75</v>
      </c>
      <c r="T50" s="15" t="s">
        <v>832</v>
      </c>
      <c r="U50" s="15" t="s">
        <v>11209</v>
      </c>
      <c r="V50" s="15" t="s">
        <v>11210</v>
      </c>
      <c r="AA50" s="15" t="s">
        <v>413</v>
      </c>
      <c r="AB50" s="15" t="s">
        <v>413</v>
      </c>
      <c r="AC50" s="15" t="s">
        <v>1227</v>
      </c>
      <c r="AD50" s="15" t="s">
        <v>11493</v>
      </c>
      <c r="AE50" s="15" t="s">
        <v>1221</v>
      </c>
      <c r="AF50" s="15" t="s">
        <v>11494</v>
      </c>
      <c r="AG50" s="15" t="s">
        <v>11495</v>
      </c>
      <c r="AH50" s="15" t="s">
        <v>11496</v>
      </c>
      <c r="AI50" s="15" t="s">
        <v>11497</v>
      </c>
      <c r="AJ50" s="15" t="s">
        <v>11498</v>
      </c>
      <c r="AK50" s="15" t="s">
        <v>11499</v>
      </c>
      <c r="AL50" s="15" t="s">
        <v>11500</v>
      </c>
      <c r="AM50" s="15" t="s">
        <v>11501</v>
      </c>
      <c r="AN50" s="15" t="s">
        <v>11502</v>
      </c>
      <c r="AO50" s="15" t="s">
        <v>11503</v>
      </c>
      <c r="BH50" s="15" t="s">
        <v>1217</v>
      </c>
      <c r="BI50" s="15" t="str">
        <f>"1549"</f>
        <v>1549</v>
      </c>
      <c r="BJ50" s="15" t="str">
        <f>"655"</f>
        <v>655</v>
      </c>
      <c r="BK50" s="15" t="s">
        <v>709</v>
      </c>
      <c r="BL50" s="15" t="str">
        <f t="shared" si="128"/>
        <v>1</v>
      </c>
      <c r="BM50" s="15" t="s">
        <v>1228</v>
      </c>
      <c r="BN50" s="15" t="str">
        <f>"34.65"</f>
        <v>34.65</v>
      </c>
      <c r="BO50" s="15" t="str">
        <f>"66.93"</f>
        <v>66.93</v>
      </c>
      <c r="BP50" s="15" t="str">
        <f>"32.28"</f>
        <v>32.28</v>
      </c>
      <c r="BQ50" s="15" t="str">
        <f>"94.8"</f>
        <v>94.8</v>
      </c>
      <c r="CG50" s="15" t="str">
        <f>"35.67"</f>
        <v>35.67</v>
      </c>
      <c r="CH50" s="15" t="str">
        <f>"1.01"</f>
        <v>1.01</v>
      </c>
      <c r="CI50" s="15" t="s">
        <v>497</v>
      </c>
      <c r="CS50" s="15" t="s">
        <v>1232</v>
      </c>
      <c r="CT50" s="15" t="s">
        <v>824</v>
      </c>
      <c r="CV50" s="15">
        <v>0.0</v>
      </c>
      <c r="CW50" s="15">
        <v>1.0</v>
      </c>
      <c r="CX50" s="15" t="s">
        <v>717</v>
      </c>
      <c r="CY50" s="15" t="s">
        <v>897</v>
      </c>
      <c r="DF50" s="15" t="s">
        <v>721</v>
      </c>
      <c r="DG50" s="15" t="s">
        <v>419</v>
      </c>
      <c r="DH50" s="15">
        <v>0.0</v>
      </c>
      <c r="DL50" s="15">
        <v>100000.0</v>
      </c>
      <c r="DM50" s="15" t="s">
        <v>990</v>
      </c>
      <c r="DN50" s="15" t="s">
        <v>1016</v>
      </c>
      <c r="DP50" s="15">
        <v>1.0</v>
      </c>
      <c r="DQ50" s="15">
        <v>1.0</v>
      </c>
      <c r="DS50" s="15" t="s">
        <v>1233</v>
      </c>
      <c r="DT50" s="15">
        <v>0.0</v>
      </c>
      <c r="DU50" s="15" t="s">
        <v>726</v>
      </c>
      <c r="DV50" s="15" t="s">
        <v>1234</v>
      </c>
      <c r="DW50" s="15" t="s">
        <v>1235</v>
      </c>
      <c r="DX50" s="15" t="s">
        <v>558</v>
      </c>
      <c r="EB50" s="15" t="s">
        <v>1236</v>
      </c>
      <c r="EF50" s="15" t="s">
        <v>1069</v>
      </c>
      <c r="EG50" s="15" t="s">
        <v>1211</v>
      </c>
      <c r="EH50" s="15" t="s">
        <v>1237</v>
      </c>
      <c r="EI50" s="15" t="s">
        <v>1238</v>
      </c>
      <c r="EL50" s="15" t="s">
        <v>1016</v>
      </c>
      <c r="EO50" s="15" t="s">
        <v>1239</v>
      </c>
      <c r="EU50" s="15" t="s">
        <v>426</v>
      </c>
      <c r="EX50" s="15" t="s">
        <v>1212</v>
      </c>
      <c r="EY50" s="15" t="s">
        <v>1240</v>
      </c>
    </row>
    <row r="51" ht="17.25" customHeight="1">
      <c r="A51" s="15" t="s">
        <v>1243</v>
      </c>
      <c r="B51" s="15" t="str">
        <f>"801542065676"</f>
        <v>801542065676</v>
      </c>
      <c r="C51" s="15" t="s">
        <v>11504</v>
      </c>
      <c r="D51" s="15" t="str">
        <f t="shared" si="1"/>
        <v>Aniston OttomanAndes Natural</v>
      </c>
      <c r="E51" s="15" t="s">
        <v>1241</v>
      </c>
      <c r="F51" s="15" t="s">
        <v>397</v>
      </c>
      <c r="G51" s="15" t="s">
        <v>1218</v>
      </c>
      <c r="J51" s="15" t="s">
        <v>1218</v>
      </c>
      <c r="K51" s="15" t="s">
        <v>1087</v>
      </c>
      <c r="M51" s="15" t="s">
        <v>915</v>
      </c>
      <c r="N51" s="15" t="s">
        <v>1009</v>
      </c>
      <c r="P51" s="15" t="str">
        <f t="shared" ref="P51:Q51" si="147">"22.5"</f>
        <v>22.5</v>
      </c>
      <c r="Q51" s="15" t="str">
        <f t="shared" si="147"/>
        <v>22.5</v>
      </c>
      <c r="R51" s="15" t="str">
        <f t="shared" ref="R51:R53" si="150">"20.5"</f>
        <v>20.5</v>
      </c>
      <c r="S51" s="15" t="str">
        <f t="shared" ref="S51:S53" si="151">"17.64"</f>
        <v>17.64</v>
      </c>
      <c r="T51" s="15" t="s">
        <v>832</v>
      </c>
      <c r="U51" s="15" t="s">
        <v>11209</v>
      </c>
      <c r="V51" s="15" t="s">
        <v>11210</v>
      </c>
      <c r="AA51" s="15" t="s">
        <v>413</v>
      </c>
      <c r="AB51" s="15" t="s">
        <v>413</v>
      </c>
      <c r="AC51" s="15" t="s">
        <v>1250</v>
      </c>
      <c r="AD51" s="15" t="s">
        <v>11505</v>
      </c>
      <c r="AE51" s="15" t="s">
        <v>1245</v>
      </c>
      <c r="AF51" s="15" t="s">
        <v>11506</v>
      </c>
      <c r="AG51" s="15" t="s">
        <v>11507</v>
      </c>
      <c r="AH51" s="15" t="s">
        <v>11508</v>
      </c>
      <c r="AI51" s="15" t="s">
        <v>11509</v>
      </c>
      <c r="AJ51" s="15" t="s">
        <v>11510</v>
      </c>
      <c r="AK51" s="15" t="s">
        <v>11511</v>
      </c>
      <c r="BH51" s="15" t="s">
        <v>1242</v>
      </c>
      <c r="BI51" s="15" t="str">
        <f t="shared" ref="BI51:BI52" si="152">"399"</f>
        <v>399</v>
      </c>
      <c r="BJ51" s="15" t="str">
        <f t="shared" ref="BJ51:BJ52" si="153">"170"</f>
        <v>170</v>
      </c>
      <c r="BK51" s="15" t="s">
        <v>709</v>
      </c>
      <c r="BL51" s="15" t="str">
        <f t="shared" si="128"/>
        <v>1</v>
      </c>
      <c r="BM51" s="15" t="s">
        <v>416</v>
      </c>
      <c r="BN51" s="15" t="str">
        <f t="shared" ref="BN51:BO51" si="148">"24.02"</f>
        <v>24.02</v>
      </c>
      <c r="BO51" s="15" t="str">
        <f t="shared" si="148"/>
        <v>24.02</v>
      </c>
      <c r="BP51" s="15" t="str">
        <f t="shared" ref="BP51:BP53" si="155">"16.14"</f>
        <v>16.14</v>
      </c>
      <c r="BQ51" s="15" t="str">
        <f t="shared" ref="BQ51:BQ53" si="156">"22.71"</f>
        <v>22.71</v>
      </c>
      <c r="CG51" s="15" t="str">
        <f t="shared" ref="CG51:CG53" si="157">"5.4"</f>
        <v>5.4</v>
      </c>
      <c r="CH51" s="15" t="str">
        <f t="shared" ref="CH51:CH53" si="158">"0.153"</f>
        <v>0.153</v>
      </c>
      <c r="CI51" s="15" t="s">
        <v>497</v>
      </c>
      <c r="CS51" s="15" t="s">
        <v>1253</v>
      </c>
      <c r="CT51" s="15" t="s">
        <v>1237</v>
      </c>
      <c r="CU51" s="15" t="s">
        <v>1253</v>
      </c>
      <c r="CW51" s="15">
        <v>0.0</v>
      </c>
      <c r="CY51" s="15" t="s">
        <v>897</v>
      </c>
      <c r="DF51" s="15" t="s">
        <v>721</v>
      </c>
      <c r="DG51" s="15" t="s">
        <v>419</v>
      </c>
      <c r="DH51" s="15">
        <v>0.0</v>
      </c>
      <c r="DL51" s="15">
        <v>100000.0</v>
      </c>
      <c r="DM51" s="15" t="s">
        <v>722</v>
      </c>
      <c r="DN51" s="15" t="s">
        <v>1016</v>
      </c>
      <c r="DP51" s="15">
        <v>1.0</v>
      </c>
      <c r="DQ51" s="15">
        <v>1.0</v>
      </c>
      <c r="DR51" s="15" t="s">
        <v>1157</v>
      </c>
      <c r="DS51" s="15" t="s">
        <v>1233</v>
      </c>
      <c r="DT51" s="15">
        <v>0.0</v>
      </c>
      <c r="DU51" s="15" t="s">
        <v>726</v>
      </c>
      <c r="EF51" s="15" t="s">
        <v>1069</v>
      </c>
      <c r="EG51" s="15" t="s">
        <v>1254</v>
      </c>
      <c r="EH51" s="15" t="s">
        <v>1254</v>
      </c>
      <c r="EO51" s="15" t="s">
        <v>1255</v>
      </c>
    </row>
    <row r="52" ht="17.25" customHeight="1">
      <c r="A52" s="15" t="s">
        <v>1258</v>
      </c>
      <c r="B52" s="15" t="str">
        <f>"801542135249"</f>
        <v>801542135249</v>
      </c>
      <c r="C52" s="15" t="s">
        <v>11512</v>
      </c>
      <c r="D52" s="15" t="str">
        <f t="shared" si="1"/>
        <v>Aniston OttomanAndes Toast</v>
      </c>
      <c r="E52" s="15" t="s">
        <v>1241</v>
      </c>
      <c r="F52" s="15" t="s">
        <v>397</v>
      </c>
      <c r="G52" s="15" t="s">
        <v>1257</v>
      </c>
      <c r="J52" s="15" t="s">
        <v>1257</v>
      </c>
      <c r="K52" s="15" t="s">
        <v>1059</v>
      </c>
      <c r="M52" s="15" t="s">
        <v>915</v>
      </c>
      <c r="N52" s="15" t="s">
        <v>1009</v>
      </c>
      <c r="P52" s="15" t="str">
        <f t="shared" ref="P52:Q52" si="149">"22.5"</f>
        <v>22.5</v>
      </c>
      <c r="Q52" s="15" t="str">
        <f t="shared" si="149"/>
        <v>22.5</v>
      </c>
      <c r="R52" s="15" t="str">
        <f t="shared" si="150"/>
        <v>20.5</v>
      </c>
      <c r="S52" s="15" t="str">
        <f t="shared" si="151"/>
        <v>17.64</v>
      </c>
      <c r="T52" s="15" t="s">
        <v>832</v>
      </c>
      <c r="U52" s="15" t="s">
        <v>11209</v>
      </c>
      <c r="V52" s="15" t="s">
        <v>11210</v>
      </c>
      <c r="AA52" s="15" t="s">
        <v>413</v>
      </c>
      <c r="AB52" s="15" t="s">
        <v>413</v>
      </c>
      <c r="AC52" s="15" t="s">
        <v>1260</v>
      </c>
      <c r="AD52" s="15" t="s">
        <v>11513</v>
      </c>
      <c r="AE52" s="15" t="s">
        <v>1259</v>
      </c>
      <c r="AF52" s="15" t="s">
        <v>11514</v>
      </c>
      <c r="AG52" s="15" t="s">
        <v>11515</v>
      </c>
      <c r="AH52" s="15" t="s">
        <v>11516</v>
      </c>
      <c r="AI52" s="15" t="s">
        <v>11517</v>
      </c>
      <c r="AJ52" s="15" t="s">
        <v>11518</v>
      </c>
      <c r="AK52" s="15" t="s">
        <v>11519</v>
      </c>
      <c r="AL52" s="15" t="s">
        <v>11520</v>
      </c>
      <c r="BH52" s="15" t="s">
        <v>1256</v>
      </c>
      <c r="BI52" s="15" t="str">
        <f t="shared" si="152"/>
        <v>399</v>
      </c>
      <c r="BJ52" s="15" t="str">
        <f t="shared" si="153"/>
        <v>170</v>
      </c>
      <c r="BK52" s="15" t="s">
        <v>709</v>
      </c>
      <c r="BL52" s="15" t="str">
        <f t="shared" si="128"/>
        <v>1</v>
      </c>
      <c r="BM52" s="15" t="s">
        <v>416</v>
      </c>
      <c r="BN52" s="15" t="str">
        <f t="shared" ref="BN52:BO52" si="154">"24.02"</f>
        <v>24.02</v>
      </c>
      <c r="BO52" s="15" t="str">
        <f t="shared" si="154"/>
        <v>24.02</v>
      </c>
      <c r="BP52" s="15" t="str">
        <f t="shared" si="155"/>
        <v>16.14</v>
      </c>
      <c r="BQ52" s="15" t="str">
        <f t="shared" si="156"/>
        <v>22.71</v>
      </c>
      <c r="CG52" s="15" t="str">
        <f t="shared" si="157"/>
        <v>5.4</v>
      </c>
      <c r="CH52" s="15" t="str">
        <f t="shared" si="158"/>
        <v>0.153</v>
      </c>
      <c r="CI52" s="15" t="s">
        <v>497</v>
      </c>
      <c r="CS52" s="15" t="s">
        <v>1253</v>
      </c>
      <c r="CT52" s="15" t="s">
        <v>1237</v>
      </c>
      <c r="CU52" s="15" t="s">
        <v>1253</v>
      </c>
      <c r="CW52" s="15">
        <v>0.0</v>
      </c>
      <c r="CY52" s="15" t="s">
        <v>897</v>
      </c>
      <c r="DF52" s="15" t="s">
        <v>721</v>
      </c>
      <c r="DG52" s="15" t="s">
        <v>419</v>
      </c>
      <c r="DH52" s="15">
        <v>0.0</v>
      </c>
      <c r="DL52" s="15">
        <v>100000.0</v>
      </c>
      <c r="DM52" s="15" t="s">
        <v>722</v>
      </c>
      <c r="DN52" s="15" t="s">
        <v>1016</v>
      </c>
      <c r="DP52" s="15">
        <v>1.0</v>
      </c>
      <c r="DQ52" s="15">
        <v>1.0</v>
      </c>
      <c r="DR52" s="15" t="s">
        <v>1157</v>
      </c>
      <c r="DS52" s="15" t="s">
        <v>1233</v>
      </c>
      <c r="DT52" s="15">
        <v>0.0</v>
      </c>
      <c r="DU52" s="15" t="s">
        <v>726</v>
      </c>
      <c r="EF52" s="15" t="s">
        <v>1069</v>
      </c>
      <c r="EG52" s="15" t="s">
        <v>1254</v>
      </c>
      <c r="EH52" s="15" t="s">
        <v>1254</v>
      </c>
      <c r="EO52" s="15" t="s">
        <v>1255</v>
      </c>
    </row>
    <row r="53" ht="17.25" customHeight="1">
      <c r="A53" s="15" t="s">
        <v>1263</v>
      </c>
      <c r="B53" s="15" t="str">
        <f>"801542284091"</f>
        <v>801542284091</v>
      </c>
      <c r="C53" s="15" t="s">
        <v>11521</v>
      </c>
      <c r="D53" s="15" t="str">
        <f t="shared" si="1"/>
        <v>Aniston OttomanSolema Cream</v>
      </c>
      <c r="E53" s="15" t="s">
        <v>1241</v>
      </c>
      <c r="F53" s="15" t="s">
        <v>397</v>
      </c>
      <c r="G53" s="15" t="s">
        <v>1262</v>
      </c>
      <c r="J53" s="15" t="s">
        <v>1262</v>
      </c>
      <c r="K53" s="15" t="s">
        <v>1087</v>
      </c>
      <c r="M53" s="15" t="s">
        <v>915</v>
      </c>
      <c r="N53" s="15" t="s">
        <v>1009</v>
      </c>
      <c r="P53" s="15" t="str">
        <f t="shared" ref="P53:Q53" si="159">"22.5"</f>
        <v>22.5</v>
      </c>
      <c r="Q53" s="15" t="str">
        <f t="shared" si="159"/>
        <v>22.5</v>
      </c>
      <c r="R53" s="15" t="str">
        <f t="shared" si="150"/>
        <v>20.5</v>
      </c>
      <c r="S53" s="15" t="str">
        <f t="shared" si="151"/>
        <v>17.64</v>
      </c>
      <c r="T53" s="15" t="s">
        <v>1265</v>
      </c>
      <c r="U53" s="15" t="s">
        <v>11522</v>
      </c>
      <c r="V53" s="15" t="s">
        <v>11523</v>
      </c>
      <c r="W53" s="15" t="s">
        <v>11524</v>
      </c>
      <c r="X53" s="15" t="s">
        <v>11525</v>
      </c>
      <c r="Y53" s="15" t="s">
        <v>11526</v>
      </c>
      <c r="Z53" s="15" t="s">
        <v>11210</v>
      </c>
      <c r="AA53" s="15" t="s">
        <v>413</v>
      </c>
      <c r="AB53" s="15" t="s">
        <v>413</v>
      </c>
      <c r="AC53" s="15" t="s">
        <v>1266</v>
      </c>
      <c r="AD53" s="15" t="s">
        <v>11527</v>
      </c>
      <c r="AE53" s="15" t="s">
        <v>1264</v>
      </c>
      <c r="AF53" s="15" t="s">
        <v>11528</v>
      </c>
      <c r="AG53" s="15" t="s">
        <v>11529</v>
      </c>
      <c r="AH53" s="15" t="s">
        <v>11530</v>
      </c>
      <c r="AI53" s="15" t="s">
        <v>11531</v>
      </c>
      <c r="AJ53" s="15" t="s">
        <v>11532</v>
      </c>
      <c r="AK53" s="15" t="s">
        <v>11533</v>
      </c>
      <c r="AL53" s="15" t="s">
        <v>11534</v>
      </c>
      <c r="AM53" s="15" t="s">
        <v>11535</v>
      </c>
      <c r="BH53" s="15" t="s">
        <v>1261</v>
      </c>
      <c r="BI53" s="15" t="str">
        <f>"449"</f>
        <v>449</v>
      </c>
      <c r="BJ53" s="15" t="str">
        <f>"190"</f>
        <v>190</v>
      </c>
      <c r="BK53" s="15" t="s">
        <v>709</v>
      </c>
      <c r="BL53" s="15" t="str">
        <f t="shared" si="128"/>
        <v>1</v>
      </c>
      <c r="BM53" s="15" t="s">
        <v>416</v>
      </c>
      <c r="BN53" s="15" t="str">
        <f t="shared" ref="BN53:BO53" si="160">"24.02"</f>
        <v>24.02</v>
      </c>
      <c r="BO53" s="15" t="str">
        <f t="shared" si="160"/>
        <v>24.02</v>
      </c>
      <c r="BP53" s="15" t="str">
        <f t="shared" si="155"/>
        <v>16.14</v>
      </c>
      <c r="BQ53" s="15" t="str">
        <f t="shared" si="156"/>
        <v>22.71</v>
      </c>
      <c r="CG53" s="15" t="str">
        <f t="shared" si="157"/>
        <v>5.4</v>
      </c>
      <c r="CH53" s="15" t="str">
        <f t="shared" si="158"/>
        <v>0.153</v>
      </c>
      <c r="CI53" s="15" t="s">
        <v>497</v>
      </c>
      <c r="CS53" s="15" t="s">
        <v>1253</v>
      </c>
      <c r="CT53" s="15" t="s">
        <v>1237</v>
      </c>
      <c r="CU53" s="15" t="s">
        <v>1253</v>
      </c>
      <c r="CW53" s="15">
        <v>0.0</v>
      </c>
      <c r="CY53" s="15" t="s">
        <v>897</v>
      </c>
      <c r="DF53" s="15" t="s">
        <v>721</v>
      </c>
      <c r="DG53" s="15" t="s">
        <v>419</v>
      </c>
      <c r="DH53" s="15">
        <v>0.0</v>
      </c>
      <c r="DL53" s="15">
        <v>30000.0</v>
      </c>
      <c r="DM53" s="15" t="s">
        <v>722</v>
      </c>
      <c r="DN53" s="15" t="s">
        <v>1016</v>
      </c>
      <c r="DP53" s="15">
        <v>1.0</v>
      </c>
      <c r="DQ53" s="15">
        <v>1.0</v>
      </c>
      <c r="DR53" s="15" t="s">
        <v>1157</v>
      </c>
      <c r="DS53" s="15" t="s">
        <v>1233</v>
      </c>
      <c r="DT53" s="15">
        <v>0.0</v>
      </c>
      <c r="DU53" s="15" t="s">
        <v>726</v>
      </c>
      <c r="EF53" s="15" t="s">
        <v>1069</v>
      </c>
      <c r="EG53" s="15" t="s">
        <v>1254</v>
      </c>
      <c r="EH53" s="15" t="s">
        <v>1254</v>
      </c>
      <c r="EO53" s="15" t="s">
        <v>1255</v>
      </c>
    </row>
    <row r="54" ht="17.25" customHeight="1">
      <c r="A54" s="15" t="s">
        <v>1270</v>
      </c>
      <c r="B54" s="15" t="str">
        <f>"801542538248"</f>
        <v>801542538248</v>
      </c>
      <c r="C54" s="15" t="s">
        <v>11536</v>
      </c>
      <c r="D54" s="15" t="str">
        <f t="shared" si="1"/>
        <v>Ariel ChairThames Coal</v>
      </c>
      <c r="E54" s="15" t="s">
        <v>1267</v>
      </c>
      <c r="F54" s="15" t="s">
        <v>397</v>
      </c>
      <c r="G54" s="15" t="s">
        <v>1269</v>
      </c>
      <c r="J54" s="15" t="s">
        <v>1269</v>
      </c>
      <c r="K54" s="15" t="s">
        <v>1278</v>
      </c>
      <c r="M54" s="15" t="s">
        <v>915</v>
      </c>
      <c r="N54" s="15" t="s">
        <v>706</v>
      </c>
      <c r="O54" s="15" t="s">
        <v>707</v>
      </c>
      <c r="P54" s="15" t="str">
        <f>"29"</f>
        <v>29</v>
      </c>
      <c r="Q54" s="15" t="str">
        <f>"35"</f>
        <v>35</v>
      </c>
      <c r="R54" s="15" t="str">
        <f>"31"</f>
        <v>31</v>
      </c>
      <c r="S54" s="15" t="str">
        <f>"33.07"</f>
        <v>33.07</v>
      </c>
      <c r="T54" s="15" t="s">
        <v>1273</v>
      </c>
      <c r="U54" s="15" t="s">
        <v>11537</v>
      </c>
      <c r="V54" s="15" t="s">
        <v>11538</v>
      </c>
      <c r="W54" s="15" t="s">
        <v>11539</v>
      </c>
      <c r="X54" s="15" t="s">
        <v>11210</v>
      </c>
      <c r="AA54" s="15" t="s">
        <v>413</v>
      </c>
      <c r="AB54" s="15" t="s">
        <v>426</v>
      </c>
      <c r="AC54" s="15" t="s">
        <v>1279</v>
      </c>
      <c r="AD54" s="15" t="s">
        <v>11540</v>
      </c>
      <c r="AE54" s="15" t="s">
        <v>1272</v>
      </c>
      <c r="AF54" s="15" t="s">
        <v>11541</v>
      </c>
      <c r="AG54" s="15" t="s">
        <v>11542</v>
      </c>
      <c r="AH54" s="15" t="s">
        <v>11543</v>
      </c>
      <c r="AI54" s="15" t="s">
        <v>11544</v>
      </c>
      <c r="AJ54" s="15" t="s">
        <v>11545</v>
      </c>
      <c r="AK54" s="15" t="s">
        <v>11546</v>
      </c>
      <c r="AL54" s="15" t="s">
        <v>11547</v>
      </c>
      <c r="AM54" s="15" t="s">
        <v>11548</v>
      </c>
      <c r="AN54" s="15" t="s">
        <v>11549</v>
      </c>
      <c r="AO54" s="15" t="s">
        <v>11550</v>
      </c>
      <c r="AP54" s="15" t="s">
        <v>11551</v>
      </c>
      <c r="BH54" s="15" t="s">
        <v>1268</v>
      </c>
      <c r="BI54" s="15" t="str">
        <f>"1349"</f>
        <v>1349</v>
      </c>
      <c r="BJ54" s="15" t="str">
        <f>"570"</f>
        <v>570</v>
      </c>
      <c r="BK54" s="15" t="s">
        <v>709</v>
      </c>
      <c r="BL54" s="15" t="str">
        <f t="shared" si="128"/>
        <v>1</v>
      </c>
      <c r="BM54" s="15" t="s">
        <v>416</v>
      </c>
      <c r="BN54" s="15" t="str">
        <f>"40.75"</f>
        <v>40.75</v>
      </c>
      <c r="BO54" s="15" t="str">
        <f>"33.07"</f>
        <v>33.07</v>
      </c>
      <c r="BP54" s="15" t="str">
        <f>"30.71"</f>
        <v>30.71</v>
      </c>
      <c r="BQ54" s="15" t="str">
        <f>"56.88"</f>
        <v>56.88</v>
      </c>
      <c r="CG54" s="15" t="str">
        <f>"23.94"</f>
        <v>23.94</v>
      </c>
      <c r="CH54" s="15" t="str">
        <f>"0.678"</f>
        <v>0.678</v>
      </c>
      <c r="CI54" s="15" t="s">
        <v>465</v>
      </c>
      <c r="CP54" s="15" t="s">
        <v>558</v>
      </c>
      <c r="CQ54" s="15" t="s">
        <v>505</v>
      </c>
      <c r="CR54" s="15" t="s">
        <v>1283</v>
      </c>
      <c r="CS54" s="15" t="s">
        <v>525</v>
      </c>
      <c r="CT54" s="15" t="s">
        <v>1065</v>
      </c>
      <c r="CV54" s="15">
        <v>0.0</v>
      </c>
      <c r="CW54" s="15">
        <v>1.0</v>
      </c>
      <c r="CX54" s="15" t="s">
        <v>717</v>
      </c>
      <c r="CY54" s="15" t="s">
        <v>855</v>
      </c>
      <c r="DC54" s="15" t="s">
        <v>1066</v>
      </c>
      <c r="DF54" s="15" t="s">
        <v>1284</v>
      </c>
      <c r="DG54" s="15" t="s">
        <v>419</v>
      </c>
      <c r="DH54" s="15">
        <v>0.0</v>
      </c>
      <c r="DL54" s="15">
        <v>25000.0</v>
      </c>
      <c r="DM54" s="15" t="s">
        <v>722</v>
      </c>
      <c r="DN54" s="15" t="s">
        <v>723</v>
      </c>
      <c r="DO54" s="15" t="s">
        <v>724</v>
      </c>
      <c r="DP54" s="15">
        <v>1.0</v>
      </c>
      <c r="DQ54" s="15">
        <v>1.0</v>
      </c>
      <c r="DS54" s="15" t="s">
        <v>1285</v>
      </c>
      <c r="DT54" s="15">
        <v>0.0</v>
      </c>
      <c r="DU54" s="15" t="s">
        <v>726</v>
      </c>
      <c r="DV54" s="15" t="s">
        <v>1286</v>
      </c>
      <c r="DW54" s="15" t="s">
        <v>1069</v>
      </c>
      <c r="DX54" s="15" t="s">
        <v>1283</v>
      </c>
      <c r="EB54" s="15" t="s">
        <v>425</v>
      </c>
      <c r="EC54" s="15" t="s">
        <v>505</v>
      </c>
      <c r="ED54" s="15" t="s">
        <v>1287</v>
      </c>
      <c r="EE54" s="15" t="s">
        <v>525</v>
      </c>
      <c r="EF54" s="15" t="s">
        <v>1069</v>
      </c>
      <c r="EG54" s="15" t="s">
        <v>525</v>
      </c>
      <c r="EH54" s="15" t="s">
        <v>1064</v>
      </c>
      <c r="EI54" s="15" t="s">
        <v>1288</v>
      </c>
      <c r="EL54" s="15" t="s">
        <v>723</v>
      </c>
      <c r="EM54" s="15" t="s">
        <v>724</v>
      </c>
      <c r="EN54" s="15" t="s">
        <v>1289</v>
      </c>
      <c r="EO54" s="15" t="s">
        <v>1290</v>
      </c>
      <c r="EX54" s="15" t="s">
        <v>1072</v>
      </c>
      <c r="EY54" s="15" t="s">
        <v>1283</v>
      </c>
      <c r="EZ54" s="15">
        <v>0.0</v>
      </c>
      <c r="FA54" s="15">
        <v>0.0</v>
      </c>
      <c r="FC54" s="15">
        <v>0.0</v>
      </c>
    </row>
    <row r="55" ht="17.25" customHeight="1">
      <c r="A55" s="15" t="s">
        <v>1294</v>
      </c>
      <c r="B55" s="15" t="str">
        <f>"801542363048"</f>
        <v>801542363048</v>
      </c>
      <c r="C55" s="15" t="s">
        <v>11552</v>
      </c>
      <c r="D55" s="15" t="str">
        <f t="shared" si="1"/>
        <v>Arlington 6 Door SideboardEspresso Oak Veneer</v>
      </c>
      <c r="E55" s="15" t="s">
        <v>1291</v>
      </c>
      <c r="F55" s="15" t="s">
        <v>397</v>
      </c>
      <c r="G55" s="15" t="s">
        <v>1293</v>
      </c>
      <c r="J55" s="15" t="s">
        <v>1293</v>
      </c>
      <c r="M55" s="15" t="s">
        <v>1301</v>
      </c>
      <c r="N55" s="15" t="s">
        <v>664</v>
      </c>
      <c r="P55" s="15" t="str">
        <f>"96"</f>
        <v>96</v>
      </c>
      <c r="Q55" s="15" t="str">
        <f>"20"</f>
        <v>20</v>
      </c>
      <c r="R55" s="15" t="str">
        <f>"33"</f>
        <v>33</v>
      </c>
      <c r="S55" s="15" t="str">
        <f>"224.45"</f>
        <v>224.45</v>
      </c>
      <c r="T55" s="15" t="s">
        <v>1298</v>
      </c>
      <c r="U55" s="15" t="s">
        <v>11553</v>
      </c>
      <c r="AA55" s="15" t="s">
        <v>413</v>
      </c>
      <c r="AB55" s="15" t="s">
        <v>413</v>
      </c>
      <c r="AC55" s="15" t="s">
        <v>1302</v>
      </c>
      <c r="AD55" s="15" t="s">
        <v>11554</v>
      </c>
      <c r="AE55" s="15" t="s">
        <v>1297</v>
      </c>
      <c r="AF55" s="15" t="s">
        <v>11555</v>
      </c>
      <c r="AG55" s="15" t="s">
        <v>11556</v>
      </c>
      <c r="AH55" s="15" t="s">
        <v>11557</v>
      </c>
      <c r="AI55" s="15" t="s">
        <v>11558</v>
      </c>
      <c r="AJ55" s="15" t="s">
        <v>11559</v>
      </c>
      <c r="AK55" s="15" t="s">
        <v>11560</v>
      </c>
      <c r="AL55" s="15" t="s">
        <v>11561</v>
      </c>
      <c r="AM55" s="15" t="s">
        <v>11562</v>
      </c>
      <c r="AN55" s="15" t="s">
        <v>11563</v>
      </c>
      <c r="AO55" s="15" t="s">
        <v>11564</v>
      </c>
      <c r="AP55" s="15" t="s">
        <v>11565</v>
      </c>
      <c r="AQ55" s="15" t="s">
        <v>11566</v>
      </c>
      <c r="AR55" s="15" t="s">
        <v>11567</v>
      </c>
      <c r="AS55" s="15" t="s">
        <v>11568</v>
      </c>
      <c r="AT55" s="15" t="s">
        <v>11569</v>
      </c>
      <c r="AU55" s="15" t="s">
        <v>11570</v>
      </c>
      <c r="AV55" s="15" t="s">
        <v>11571</v>
      </c>
      <c r="AW55" s="15" t="s">
        <v>11572</v>
      </c>
      <c r="BH55" s="15" t="s">
        <v>1292</v>
      </c>
      <c r="BI55" s="15" t="str">
        <f>"2299"</f>
        <v>2299</v>
      </c>
      <c r="BJ55" s="15" t="str">
        <f>"970"</f>
        <v>970</v>
      </c>
      <c r="BK55" s="15" t="s">
        <v>1303</v>
      </c>
      <c r="BL55" s="15" t="str">
        <f t="shared" si="128"/>
        <v>1</v>
      </c>
      <c r="BM55" s="15" t="s">
        <v>416</v>
      </c>
      <c r="BN55" s="15" t="str">
        <f>"99.5"</f>
        <v>99.5</v>
      </c>
      <c r="BO55" s="15" t="str">
        <f>"24"</f>
        <v>24</v>
      </c>
      <c r="BP55" s="15" t="str">
        <f>"38.5"</f>
        <v>38.5</v>
      </c>
      <c r="BQ55" s="15" t="str">
        <f>"321.76"</f>
        <v>321.76</v>
      </c>
      <c r="CG55" s="15" t="str">
        <f>"53.22"</f>
        <v>53.22</v>
      </c>
      <c r="CH55" s="15" t="str">
        <f>"1.507"</f>
        <v>1.507</v>
      </c>
      <c r="CI55" s="15" t="s">
        <v>497</v>
      </c>
      <c r="CM55" s="15" t="s">
        <v>1065</v>
      </c>
      <c r="CN55" s="15" t="s">
        <v>1306</v>
      </c>
      <c r="CO55" s="15" t="s">
        <v>1240</v>
      </c>
      <c r="CZ55" s="15" t="s">
        <v>419</v>
      </c>
      <c r="DA55" s="15">
        <v>0.0</v>
      </c>
      <c r="DB55" s="15" t="s">
        <v>419</v>
      </c>
      <c r="DD55" s="15">
        <v>0.0</v>
      </c>
      <c r="DF55" s="15" t="s">
        <v>1307</v>
      </c>
      <c r="DG55" s="15" t="s">
        <v>610</v>
      </c>
      <c r="DI55" s="15">
        <v>18.14</v>
      </c>
      <c r="DJ55" s="15">
        <v>40.0</v>
      </c>
      <c r="DK55" s="15">
        <v>3.0</v>
      </c>
      <c r="DS55" s="15" t="s">
        <v>1308</v>
      </c>
      <c r="DU55" s="15" t="s">
        <v>424</v>
      </c>
      <c r="EF55" s="15" t="s">
        <v>1236</v>
      </c>
      <c r="EU55" s="15" t="s">
        <v>426</v>
      </c>
      <c r="EV55" s="15">
        <v>3.0</v>
      </c>
      <c r="FH55" s="15" t="s">
        <v>1212</v>
      </c>
      <c r="FI55" s="15" t="s">
        <v>1309</v>
      </c>
      <c r="FJ55" s="15" t="s">
        <v>428</v>
      </c>
      <c r="FK55" s="15" t="s">
        <v>1161</v>
      </c>
      <c r="FL55" s="15" t="s">
        <v>1309</v>
      </c>
      <c r="FM55" s="15" t="s">
        <v>1240</v>
      </c>
      <c r="FN55" s="15">
        <v>0.0</v>
      </c>
      <c r="FO55" s="15" t="s">
        <v>426</v>
      </c>
      <c r="FQ55" s="15">
        <v>6.0</v>
      </c>
      <c r="FR55" s="15" t="s">
        <v>614</v>
      </c>
      <c r="FS55" s="15" t="s">
        <v>615</v>
      </c>
      <c r="FT55" s="15">
        <v>0.0</v>
      </c>
      <c r="FU55" s="15" t="s">
        <v>426</v>
      </c>
      <c r="FW55" s="15" t="s">
        <v>616</v>
      </c>
      <c r="GJ55" s="15" t="s">
        <v>1065</v>
      </c>
      <c r="GK55" s="15" t="s">
        <v>1306</v>
      </c>
      <c r="GL55" s="15" t="s">
        <v>1240</v>
      </c>
      <c r="GZ55" s="15" t="s">
        <v>1065</v>
      </c>
      <c r="HB55" s="15" t="s">
        <v>1306</v>
      </c>
      <c r="HD55" s="15" t="s">
        <v>1240</v>
      </c>
    </row>
    <row r="56" ht="17.25" customHeight="1">
      <c r="A56" s="15" t="s">
        <v>1313</v>
      </c>
      <c r="B56" s="15" t="str">
        <f>"801542073961"</f>
        <v>801542073961</v>
      </c>
      <c r="C56" s="15" t="s">
        <v>11573</v>
      </c>
      <c r="D56" s="15" t="str">
        <f t="shared" si="1"/>
        <v>Arnett ChairAlcala Fawn</v>
      </c>
      <c r="E56" s="15" t="s">
        <v>1310</v>
      </c>
      <c r="F56" s="15" t="s">
        <v>397</v>
      </c>
      <c r="G56" s="15" t="s">
        <v>1312</v>
      </c>
      <c r="J56" s="15" t="s">
        <v>1312</v>
      </c>
      <c r="K56" s="15" t="s">
        <v>1318</v>
      </c>
      <c r="L56" s="15" t="s">
        <v>1319</v>
      </c>
      <c r="M56" s="15" t="s">
        <v>1317</v>
      </c>
      <c r="N56" s="15" t="s">
        <v>706</v>
      </c>
      <c r="O56" s="15" t="s">
        <v>707</v>
      </c>
      <c r="P56" s="15" t="str">
        <f t="shared" ref="P56:P60" si="161">"29"</f>
        <v>29</v>
      </c>
      <c r="Q56" s="15" t="str">
        <f t="shared" ref="Q56:Q60" si="162">"30"</f>
        <v>30</v>
      </c>
      <c r="R56" s="15" t="str">
        <f t="shared" ref="R56:R60" si="163">"29"</f>
        <v>29</v>
      </c>
      <c r="S56" s="15" t="str">
        <f t="shared" ref="S56:S60" si="164">"32.41"</f>
        <v>32.41</v>
      </c>
      <c r="T56" s="15" t="s">
        <v>1316</v>
      </c>
      <c r="U56" s="15" t="s">
        <v>11356</v>
      </c>
      <c r="V56" s="15" t="s">
        <v>11574</v>
      </c>
      <c r="W56" s="15" t="s">
        <v>11575</v>
      </c>
      <c r="X56" s="15" t="s">
        <v>11210</v>
      </c>
      <c r="Y56" s="15" t="s">
        <v>11137</v>
      </c>
      <c r="AA56" s="15" t="s">
        <v>413</v>
      </c>
      <c r="AB56" s="15" t="s">
        <v>426</v>
      </c>
      <c r="AC56" s="15" t="s">
        <v>1320</v>
      </c>
      <c r="AD56" s="15" t="s">
        <v>11576</v>
      </c>
      <c r="AE56" s="15" t="s">
        <v>1315</v>
      </c>
      <c r="AF56" s="15" t="s">
        <v>11577</v>
      </c>
      <c r="AG56" s="15" t="s">
        <v>11578</v>
      </c>
      <c r="AH56" s="15" t="s">
        <v>11579</v>
      </c>
      <c r="AI56" s="15" t="s">
        <v>11580</v>
      </c>
      <c r="AJ56" s="15" t="s">
        <v>11581</v>
      </c>
      <c r="AK56" s="15" t="s">
        <v>11582</v>
      </c>
      <c r="AL56" s="15" t="s">
        <v>11583</v>
      </c>
      <c r="AM56" s="15" t="s">
        <v>11584</v>
      </c>
      <c r="AN56" s="15" t="s">
        <v>11585</v>
      </c>
      <c r="AO56" s="15" t="s">
        <v>11586</v>
      </c>
      <c r="BH56" s="15" t="s">
        <v>1311</v>
      </c>
      <c r="BI56" s="15" t="str">
        <f>"999"</f>
        <v>999</v>
      </c>
      <c r="BJ56" s="15" t="str">
        <f>"420"</f>
        <v>420</v>
      </c>
      <c r="BK56" s="15" t="s">
        <v>709</v>
      </c>
      <c r="BL56" s="15" t="str">
        <f t="shared" si="128"/>
        <v>1</v>
      </c>
      <c r="BM56" s="15" t="s">
        <v>416</v>
      </c>
      <c r="BN56" s="15" t="str">
        <f t="shared" ref="BN56:BN60" si="165">"37.8"</f>
        <v>37.8</v>
      </c>
      <c r="BO56" s="15" t="str">
        <f t="shared" ref="BO56:BO60" si="166">"29.92"</f>
        <v>29.92</v>
      </c>
      <c r="BP56" s="15" t="str">
        <f t="shared" ref="BP56:BP60" si="167">"31.5"</f>
        <v>31.5</v>
      </c>
      <c r="BQ56" s="15" t="str">
        <f t="shared" ref="BQ56:BQ60" si="168">"51.37"</f>
        <v>51.37</v>
      </c>
      <c r="CG56" s="15" t="str">
        <f t="shared" ref="CG56:CG60" si="169">"20.62"</f>
        <v>20.62</v>
      </c>
      <c r="CH56" s="15" t="str">
        <f t="shared" ref="CH56:CH60" si="170">"0.584"</f>
        <v>0.584</v>
      </c>
      <c r="CI56" s="15" t="s">
        <v>417</v>
      </c>
      <c r="CS56" s="15" t="s">
        <v>1324</v>
      </c>
      <c r="CT56" s="15" t="s">
        <v>1325</v>
      </c>
      <c r="CV56" s="15">
        <v>0.0</v>
      </c>
      <c r="CW56" s="15">
        <v>1.0</v>
      </c>
      <c r="CX56" s="15" t="s">
        <v>717</v>
      </c>
      <c r="CY56" s="15" t="s">
        <v>855</v>
      </c>
      <c r="DF56" s="15" t="s">
        <v>721</v>
      </c>
      <c r="DG56" s="15" t="s">
        <v>419</v>
      </c>
      <c r="DH56" s="15">
        <v>0.0</v>
      </c>
      <c r="DL56" s="15">
        <v>25000.0</v>
      </c>
      <c r="DM56" s="15" t="s">
        <v>990</v>
      </c>
      <c r="DN56" s="15" t="s">
        <v>1016</v>
      </c>
      <c r="DP56" s="15">
        <v>1.0</v>
      </c>
      <c r="DQ56" s="15">
        <v>1.0</v>
      </c>
      <c r="DS56" s="15" t="s">
        <v>1326</v>
      </c>
      <c r="DT56" s="15">
        <v>0.0</v>
      </c>
      <c r="DU56" s="15" t="s">
        <v>726</v>
      </c>
      <c r="DV56" s="15" t="s">
        <v>1286</v>
      </c>
      <c r="DW56" s="15" t="s">
        <v>1327</v>
      </c>
      <c r="DX56" s="15" t="s">
        <v>1328</v>
      </c>
      <c r="EB56" s="15" t="s">
        <v>477</v>
      </c>
      <c r="EF56" s="15" t="s">
        <v>1329</v>
      </c>
      <c r="EG56" s="15" t="s">
        <v>1330</v>
      </c>
      <c r="EH56" s="15" t="s">
        <v>1211</v>
      </c>
      <c r="EI56" s="15" t="s">
        <v>939</v>
      </c>
      <c r="EL56" s="15" t="s">
        <v>1016</v>
      </c>
      <c r="EO56" s="15" t="s">
        <v>860</v>
      </c>
      <c r="EX56" s="15" t="s">
        <v>1065</v>
      </c>
      <c r="EY56" s="15" t="s">
        <v>1331</v>
      </c>
      <c r="EZ56" s="15">
        <v>0.0</v>
      </c>
      <c r="FA56" s="15">
        <v>0.0</v>
      </c>
      <c r="FC56" s="15">
        <v>0.0</v>
      </c>
    </row>
    <row r="57" ht="17.25" customHeight="1">
      <c r="A57" s="15" t="s">
        <v>1334</v>
      </c>
      <c r="B57" s="15" t="str">
        <f>"801542672331"</f>
        <v>801542672331</v>
      </c>
      <c r="C57" s="15" t="s">
        <v>11587</v>
      </c>
      <c r="D57" s="15" t="str">
        <f t="shared" si="1"/>
        <v>Arnett ChairDakota Black</v>
      </c>
      <c r="E57" s="15" t="s">
        <v>1310</v>
      </c>
      <c r="F57" s="15" t="s">
        <v>397</v>
      </c>
      <c r="G57" s="15" t="s">
        <v>1333</v>
      </c>
      <c r="J57" s="15" t="s">
        <v>1333</v>
      </c>
      <c r="K57" s="15" t="s">
        <v>1087</v>
      </c>
      <c r="M57" s="15" t="s">
        <v>1317</v>
      </c>
      <c r="N57" s="15" t="s">
        <v>706</v>
      </c>
      <c r="O57" s="15" t="s">
        <v>707</v>
      </c>
      <c r="P57" s="15" t="str">
        <f t="shared" si="161"/>
        <v>29</v>
      </c>
      <c r="Q57" s="15" t="str">
        <f t="shared" si="162"/>
        <v>30</v>
      </c>
      <c r="R57" s="15" t="str">
        <f t="shared" si="163"/>
        <v>29</v>
      </c>
      <c r="S57" s="15" t="str">
        <f t="shared" si="164"/>
        <v>32.41</v>
      </c>
      <c r="T57" s="15" t="s">
        <v>975</v>
      </c>
      <c r="U57" s="15" t="s">
        <v>11137</v>
      </c>
      <c r="V57" s="15" t="s">
        <v>11210</v>
      </c>
      <c r="AA57" s="15" t="s">
        <v>413</v>
      </c>
      <c r="AB57" s="15" t="s">
        <v>413</v>
      </c>
      <c r="AC57" s="15" t="s">
        <v>1336</v>
      </c>
      <c r="AD57" s="15" t="s">
        <v>11588</v>
      </c>
      <c r="AE57" s="15" t="s">
        <v>1335</v>
      </c>
      <c r="AF57" s="15" t="s">
        <v>11589</v>
      </c>
      <c r="AG57" s="15" t="s">
        <v>11590</v>
      </c>
      <c r="AH57" s="15" t="s">
        <v>11591</v>
      </c>
      <c r="AI57" s="15" t="s">
        <v>11592</v>
      </c>
      <c r="AJ57" s="15" t="s">
        <v>11593</v>
      </c>
      <c r="AK57" s="15" t="s">
        <v>11594</v>
      </c>
      <c r="AL57" s="15" t="s">
        <v>11595</v>
      </c>
      <c r="AM57" s="15" t="s">
        <v>11596</v>
      </c>
      <c r="AN57" s="15" t="s">
        <v>11597</v>
      </c>
      <c r="AO57" s="15" t="s">
        <v>11598</v>
      </c>
      <c r="AP57" s="15" t="s">
        <v>11599</v>
      </c>
      <c r="BH57" s="15" t="s">
        <v>1332</v>
      </c>
      <c r="BI57" s="15" t="str">
        <f>"1449"</f>
        <v>1449</v>
      </c>
      <c r="BJ57" s="15" t="str">
        <f>"610"</f>
        <v>610</v>
      </c>
      <c r="BK57" s="15" t="s">
        <v>709</v>
      </c>
      <c r="BL57" s="15" t="str">
        <f t="shared" si="128"/>
        <v>1</v>
      </c>
      <c r="BM57" s="15" t="s">
        <v>416</v>
      </c>
      <c r="BN57" s="15" t="str">
        <f t="shared" si="165"/>
        <v>37.8</v>
      </c>
      <c r="BO57" s="15" t="str">
        <f t="shared" si="166"/>
        <v>29.92</v>
      </c>
      <c r="BP57" s="15" t="str">
        <f t="shared" si="167"/>
        <v>31.5</v>
      </c>
      <c r="BQ57" s="15" t="str">
        <f t="shared" si="168"/>
        <v>51.37</v>
      </c>
      <c r="CG57" s="15" t="str">
        <f t="shared" si="169"/>
        <v>20.62</v>
      </c>
      <c r="CH57" s="15" t="str">
        <f t="shared" si="170"/>
        <v>0.584</v>
      </c>
      <c r="CI57" s="15" t="s">
        <v>417</v>
      </c>
      <c r="CS57" s="15" t="s">
        <v>1324</v>
      </c>
      <c r="CT57" s="15" t="s">
        <v>1325</v>
      </c>
      <c r="CV57" s="15">
        <v>0.0</v>
      </c>
      <c r="CW57" s="15">
        <v>1.0</v>
      </c>
      <c r="CX57" s="15" t="s">
        <v>717</v>
      </c>
      <c r="CY57" s="15" t="s">
        <v>718</v>
      </c>
      <c r="DF57" s="15" t="s">
        <v>721</v>
      </c>
      <c r="DG57" s="15" t="s">
        <v>419</v>
      </c>
      <c r="DH57" s="15">
        <v>0.0</v>
      </c>
      <c r="DL57" s="15">
        <v>0.0</v>
      </c>
      <c r="DM57" s="15" t="s">
        <v>990</v>
      </c>
      <c r="DN57" s="15" t="s">
        <v>1016</v>
      </c>
      <c r="DP57" s="15">
        <v>1.0</v>
      </c>
      <c r="DQ57" s="15">
        <v>1.0</v>
      </c>
      <c r="DS57" s="15" t="s">
        <v>1326</v>
      </c>
      <c r="DT57" s="15">
        <v>0.0</v>
      </c>
      <c r="DU57" s="15" t="s">
        <v>726</v>
      </c>
      <c r="DV57" s="15" t="s">
        <v>1286</v>
      </c>
      <c r="DW57" s="15" t="s">
        <v>1327</v>
      </c>
      <c r="DX57" s="15" t="s">
        <v>1328</v>
      </c>
      <c r="EB57" s="15" t="s">
        <v>477</v>
      </c>
      <c r="EF57" s="15" t="s">
        <v>1329</v>
      </c>
      <c r="EG57" s="15" t="s">
        <v>1330</v>
      </c>
      <c r="EH57" s="15" t="s">
        <v>1211</v>
      </c>
      <c r="EI57" s="15" t="s">
        <v>939</v>
      </c>
      <c r="EL57" s="15" t="s">
        <v>1016</v>
      </c>
      <c r="EO57" s="15" t="s">
        <v>860</v>
      </c>
      <c r="EX57" s="15" t="s">
        <v>1065</v>
      </c>
      <c r="EY57" s="15" t="s">
        <v>1331</v>
      </c>
      <c r="EZ57" s="15">
        <v>0.0</v>
      </c>
      <c r="FA57" s="15">
        <v>0.0</v>
      </c>
      <c r="FC57" s="15">
        <v>0.0</v>
      </c>
    </row>
    <row r="58" ht="17.25" customHeight="1">
      <c r="A58" s="15" t="s">
        <v>1339</v>
      </c>
      <c r="B58" s="15" t="str">
        <f>"801542728670"</f>
        <v>801542728670</v>
      </c>
      <c r="C58" s="15" t="s">
        <v>11600</v>
      </c>
      <c r="D58" s="15" t="str">
        <f t="shared" si="1"/>
        <v>Arnett ChairHarness Burlap</v>
      </c>
      <c r="E58" s="15" t="s">
        <v>1310</v>
      </c>
      <c r="F58" s="15" t="s">
        <v>397</v>
      </c>
      <c r="G58" s="15" t="s">
        <v>1338</v>
      </c>
      <c r="J58" s="15" t="s">
        <v>1338</v>
      </c>
      <c r="K58" s="15" t="s">
        <v>1342</v>
      </c>
      <c r="M58" s="15" t="s">
        <v>1317</v>
      </c>
      <c r="N58" s="15" t="s">
        <v>706</v>
      </c>
      <c r="O58" s="15" t="s">
        <v>707</v>
      </c>
      <c r="P58" s="15" t="str">
        <f t="shared" si="161"/>
        <v>29</v>
      </c>
      <c r="Q58" s="15" t="str">
        <f t="shared" si="162"/>
        <v>30</v>
      </c>
      <c r="R58" s="15" t="str">
        <f t="shared" si="163"/>
        <v>29</v>
      </c>
      <c r="S58" s="15" t="str">
        <f t="shared" si="164"/>
        <v>32.41</v>
      </c>
      <c r="T58" s="15" t="s">
        <v>1341</v>
      </c>
      <c r="U58" s="15" t="s">
        <v>11137</v>
      </c>
      <c r="V58" s="15" t="s">
        <v>11138</v>
      </c>
      <c r="AA58" s="15" t="s">
        <v>413</v>
      </c>
      <c r="AB58" s="15" t="s">
        <v>413</v>
      </c>
      <c r="AC58" s="15" t="s">
        <v>1343</v>
      </c>
      <c r="AD58" s="15" t="s">
        <v>11601</v>
      </c>
      <c r="AE58" s="15" t="s">
        <v>1340</v>
      </c>
      <c r="AF58" s="15" t="s">
        <v>11602</v>
      </c>
      <c r="AG58" s="15" t="s">
        <v>11603</v>
      </c>
      <c r="AH58" s="15" t="s">
        <v>11604</v>
      </c>
      <c r="AI58" s="15" t="s">
        <v>11605</v>
      </c>
      <c r="AJ58" s="15" t="s">
        <v>11606</v>
      </c>
      <c r="AK58" s="15" t="s">
        <v>11607</v>
      </c>
      <c r="AL58" s="15" t="s">
        <v>11608</v>
      </c>
      <c r="AM58" s="15" t="s">
        <v>11609</v>
      </c>
      <c r="AN58" s="15" t="s">
        <v>11610</v>
      </c>
      <c r="AO58" s="15" t="s">
        <v>11611</v>
      </c>
      <c r="BH58" s="15" t="s">
        <v>1337</v>
      </c>
      <c r="BI58" s="15" t="str">
        <f>"1599"</f>
        <v>1599</v>
      </c>
      <c r="BJ58" s="15" t="str">
        <f>"675"</f>
        <v>675</v>
      </c>
      <c r="BK58" s="15" t="s">
        <v>709</v>
      </c>
      <c r="BL58" s="15" t="str">
        <f t="shared" si="128"/>
        <v>1</v>
      </c>
      <c r="BM58" s="15" t="s">
        <v>416</v>
      </c>
      <c r="BN58" s="15" t="str">
        <f t="shared" si="165"/>
        <v>37.8</v>
      </c>
      <c r="BO58" s="15" t="str">
        <f t="shared" si="166"/>
        <v>29.92</v>
      </c>
      <c r="BP58" s="15" t="str">
        <f t="shared" si="167"/>
        <v>31.5</v>
      </c>
      <c r="BQ58" s="15" t="str">
        <f t="shared" si="168"/>
        <v>51.37</v>
      </c>
      <c r="CG58" s="15" t="str">
        <f t="shared" si="169"/>
        <v>20.62</v>
      </c>
      <c r="CH58" s="15" t="str">
        <f t="shared" si="170"/>
        <v>0.584</v>
      </c>
      <c r="CI58" s="15" t="s">
        <v>417</v>
      </c>
      <c r="CS58" s="15" t="s">
        <v>1324</v>
      </c>
      <c r="CT58" s="15" t="s">
        <v>1325</v>
      </c>
      <c r="CV58" s="15">
        <v>0.0</v>
      </c>
      <c r="CW58" s="15">
        <v>1.0</v>
      </c>
      <c r="CX58" s="15" t="s">
        <v>717</v>
      </c>
      <c r="CY58" s="15" t="s">
        <v>718</v>
      </c>
      <c r="DF58" s="15" t="s">
        <v>721</v>
      </c>
      <c r="DG58" s="15" t="s">
        <v>419</v>
      </c>
      <c r="DH58" s="15">
        <v>0.0</v>
      </c>
      <c r="DL58" s="15">
        <v>0.0</v>
      </c>
      <c r="DM58" s="15" t="s">
        <v>990</v>
      </c>
      <c r="DN58" s="15" t="s">
        <v>1016</v>
      </c>
      <c r="DP58" s="15">
        <v>1.0</v>
      </c>
      <c r="DQ58" s="15">
        <v>1.0</v>
      </c>
      <c r="DS58" s="15" t="s">
        <v>1326</v>
      </c>
      <c r="DT58" s="15">
        <v>0.0</v>
      </c>
      <c r="DU58" s="15" t="s">
        <v>726</v>
      </c>
      <c r="DV58" s="15" t="s">
        <v>1286</v>
      </c>
      <c r="DW58" s="15" t="s">
        <v>1327</v>
      </c>
      <c r="DX58" s="15" t="s">
        <v>1328</v>
      </c>
      <c r="EB58" s="15" t="s">
        <v>477</v>
      </c>
      <c r="EF58" s="15" t="s">
        <v>1329</v>
      </c>
      <c r="EG58" s="15" t="s">
        <v>1330</v>
      </c>
      <c r="EH58" s="15" t="s">
        <v>1211</v>
      </c>
      <c r="EI58" s="15" t="s">
        <v>939</v>
      </c>
      <c r="EL58" s="15" t="s">
        <v>1016</v>
      </c>
      <c r="EO58" s="15" t="s">
        <v>860</v>
      </c>
      <c r="EX58" s="15" t="s">
        <v>1065</v>
      </c>
      <c r="EY58" s="15" t="s">
        <v>1331</v>
      </c>
      <c r="EZ58" s="15">
        <v>0.0</v>
      </c>
      <c r="FA58" s="15">
        <v>0.0</v>
      </c>
      <c r="FC58" s="15">
        <v>0.0</v>
      </c>
    </row>
    <row r="59" ht="17.25" customHeight="1">
      <c r="A59" s="15" t="s">
        <v>1345</v>
      </c>
      <c r="B59" s="15" t="str">
        <f>"801542672348"</f>
        <v>801542672348</v>
      </c>
      <c r="C59" s="15" t="s">
        <v>11612</v>
      </c>
      <c r="D59" s="15" t="str">
        <f t="shared" si="1"/>
        <v>Arnett ChairKnoll Natural</v>
      </c>
      <c r="E59" s="15" t="s">
        <v>1310</v>
      </c>
      <c r="F59" s="15" t="s">
        <v>397</v>
      </c>
      <c r="G59" s="15" t="s">
        <v>1081</v>
      </c>
      <c r="J59" s="15" t="s">
        <v>1081</v>
      </c>
      <c r="K59" s="15" t="s">
        <v>1087</v>
      </c>
      <c r="L59" s="15" t="s">
        <v>1319</v>
      </c>
      <c r="M59" s="15" t="s">
        <v>1317</v>
      </c>
      <c r="N59" s="15" t="s">
        <v>706</v>
      </c>
      <c r="O59" s="15" t="s">
        <v>707</v>
      </c>
      <c r="P59" s="15" t="str">
        <f t="shared" si="161"/>
        <v>29</v>
      </c>
      <c r="Q59" s="15" t="str">
        <f t="shared" si="162"/>
        <v>30</v>
      </c>
      <c r="R59" s="15" t="str">
        <f t="shared" si="163"/>
        <v>29</v>
      </c>
      <c r="S59" s="15" t="str">
        <f t="shared" si="164"/>
        <v>32.41</v>
      </c>
      <c r="T59" s="15" t="s">
        <v>1347</v>
      </c>
      <c r="U59" s="15" t="s">
        <v>11234</v>
      </c>
      <c r="V59" s="15" t="s">
        <v>11371</v>
      </c>
      <c r="W59" s="15" t="s">
        <v>11210</v>
      </c>
      <c r="X59" s="15" t="s">
        <v>11137</v>
      </c>
      <c r="AA59" s="15" t="s">
        <v>413</v>
      </c>
      <c r="AB59" s="15" t="s">
        <v>426</v>
      </c>
      <c r="AC59" s="15" t="s">
        <v>1348</v>
      </c>
      <c r="AD59" s="15" t="s">
        <v>11613</v>
      </c>
      <c r="AE59" s="15" t="s">
        <v>1346</v>
      </c>
      <c r="AF59" s="15" t="s">
        <v>11614</v>
      </c>
      <c r="AG59" s="15" t="s">
        <v>11615</v>
      </c>
      <c r="AH59" s="15" t="s">
        <v>11616</v>
      </c>
      <c r="AI59" s="15" t="s">
        <v>11617</v>
      </c>
      <c r="AJ59" s="15" t="s">
        <v>11618</v>
      </c>
      <c r="AK59" s="15" t="s">
        <v>11619</v>
      </c>
      <c r="AL59" s="15" t="s">
        <v>11620</v>
      </c>
      <c r="AM59" s="15" t="s">
        <v>11621</v>
      </c>
      <c r="AN59" s="15" t="s">
        <v>11622</v>
      </c>
      <c r="AO59" s="15" t="s">
        <v>11623</v>
      </c>
      <c r="AP59" s="15" t="s">
        <v>11624</v>
      </c>
      <c r="AQ59" s="15" t="s">
        <v>11625</v>
      </c>
      <c r="AR59" s="15" t="s">
        <v>11626</v>
      </c>
      <c r="AS59" s="15" t="s">
        <v>11627</v>
      </c>
      <c r="BH59" s="15" t="s">
        <v>1344</v>
      </c>
      <c r="BI59" s="15" t="str">
        <f t="shared" ref="BI59:BI60" si="171">"999"</f>
        <v>999</v>
      </c>
      <c r="BJ59" s="15" t="str">
        <f t="shared" ref="BJ59:BJ60" si="172">"420"</f>
        <v>420</v>
      </c>
      <c r="BK59" s="15" t="s">
        <v>709</v>
      </c>
      <c r="BL59" s="15" t="str">
        <f t="shared" si="128"/>
        <v>1</v>
      </c>
      <c r="BM59" s="15" t="s">
        <v>416</v>
      </c>
      <c r="BN59" s="15" t="str">
        <f t="shared" si="165"/>
        <v>37.8</v>
      </c>
      <c r="BO59" s="15" t="str">
        <f t="shared" si="166"/>
        <v>29.92</v>
      </c>
      <c r="BP59" s="15" t="str">
        <f t="shared" si="167"/>
        <v>31.5</v>
      </c>
      <c r="BQ59" s="15" t="str">
        <f t="shared" si="168"/>
        <v>51.37</v>
      </c>
      <c r="CG59" s="15" t="str">
        <f t="shared" si="169"/>
        <v>20.62</v>
      </c>
      <c r="CH59" s="15" t="str">
        <f t="shared" si="170"/>
        <v>0.584</v>
      </c>
      <c r="CI59" s="15" t="s">
        <v>465</v>
      </c>
      <c r="CS59" s="15" t="s">
        <v>1324</v>
      </c>
      <c r="CT59" s="15" t="s">
        <v>1325</v>
      </c>
      <c r="CV59" s="15">
        <v>0.0</v>
      </c>
      <c r="CW59" s="15">
        <v>1.0</v>
      </c>
      <c r="CX59" s="15" t="s">
        <v>717</v>
      </c>
      <c r="CY59" s="15" t="s">
        <v>855</v>
      </c>
      <c r="DF59" s="15" t="s">
        <v>721</v>
      </c>
      <c r="DG59" s="15" t="s">
        <v>419</v>
      </c>
      <c r="DH59" s="15">
        <v>0.0</v>
      </c>
      <c r="DL59" s="15">
        <v>25000.0</v>
      </c>
      <c r="DM59" s="15" t="s">
        <v>990</v>
      </c>
      <c r="DN59" s="15" t="s">
        <v>1016</v>
      </c>
      <c r="DP59" s="15">
        <v>1.0</v>
      </c>
      <c r="DQ59" s="15">
        <v>1.0</v>
      </c>
      <c r="DS59" s="15" t="s">
        <v>1326</v>
      </c>
      <c r="DT59" s="15">
        <v>0.0</v>
      </c>
      <c r="DU59" s="15" t="s">
        <v>726</v>
      </c>
      <c r="DV59" s="15" t="s">
        <v>1286</v>
      </c>
      <c r="DW59" s="15" t="s">
        <v>1327</v>
      </c>
      <c r="DX59" s="15" t="s">
        <v>1328</v>
      </c>
      <c r="EB59" s="15" t="s">
        <v>477</v>
      </c>
      <c r="EF59" s="15" t="s">
        <v>1329</v>
      </c>
      <c r="EG59" s="15" t="s">
        <v>1330</v>
      </c>
      <c r="EH59" s="15" t="s">
        <v>1211</v>
      </c>
      <c r="EI59" s="15" t="s">
        <v>939</v>
      </c>
      <c r="EL59" s="15" t="s">
        <v>1016</v>
      </c>
      <c r="EO59" s="15" t="s">
        <v>860</v>
      </c>
      <c r="EX59" s="15" t="s">
        <v>1065</v>
      </c>
      <c r="EY59" s="15" t="s">
        <v>1331</v>
      </c>
      <c r="EZ59" s="15">
        <v>0.0</v>
      </c>
      <c r="FA59" s="15">
        <v>0.0</v>
      </c>
      <c r="FC59" s="15">
        <v>0.0</v>
      </c>
    </row>
    <row r="60" ht="17.25" customHeight="1">
      <c r="A60" s="15" t="s">
        <v>1351</v>
      </c>
      <c r="B60" s="15" t="str">
        <f>"801542432096"</f>
        <v>801542432096</v>
      </c>
      <c r="C60" s="15" t="s">
        <v>11628</v>
      </c>
      <c r="D60" s="15" t="str">
        <f t="shared" si="1"/>
        <v>Arnett ChairSheffield Ivory</v>
      </c>
      <c r="E60" s="15" t="s">
        <v>1310</v>
      </c>
      <c r="F60" s="15" t="s">
        <v>397</v>
      </c>
      <c r="G60" s="15" t="s">
        <v>1350</v>
      </c>
      <c r="J60" s="15" t="s">
        <v>1350</v>
      </c>
      <c r="K60" s="15" t="s">
        <v>1318</v>
      </c>
      <c r="L60" s="15" t="s">
        <v>1319</v>
      </c>
      <c r="M60" s="15" t="s">
        <v>1317</v>
      </c>
      <c r="N60" s="15" t="s">
        <v>706</v>
      </c>
      <c r="O60" s="15" t="s">
        <v>707</v>
      </c>
      <c r="P60" s="15" t="str">
        <f t="shared" si="161"/>
        <v>29</v>
      </c>
      <c r="Q60" s="15" t="str">
        <f t="shared" si="162"/>
        <v>30</v>
      </c>
      <c r="R60" s="15" t="str">
        <f t="shared" si="163"/>
        <v>29</v>
      </c>
      <c r="S60" s="15" t="str">
        <f t="shared" si="164"/>
        <v>32.41</v>
      </c>
      <c r="T60" s="15" t="s">
        <v>1353</v>
      </c>
      <c r="U60" s="15" t="s">
        <v>11209</v>
      </c>
      <c r="V60" s="15" t="s">
        <v>11210</v>
      </c>
      <c r="W60" s="15" t="s">
        <v>11137</v>
      </c>
      <c r="AA60" s="15" t="s">
        <v>413</v>
      </c>
      <c r="AB60" s="15" t="s">
        <v>413</v>
      </c>
      <c r="AC60" s="15" t="s">
        <v>1354</v>
      </c>
      <c r="AD60" s="15" t="s">
        <v>11629</v>
      </c>
      <c r="AE60" s="15" t="s">
        <v>1352</v>
      </c>
      <c r="AF60" s="15" t="s">
        <v>11630</v>
      </c>
      <c r="AG60" s="15" t="s">
        <v>11631</v>
      </c>
      <c r="AH60" s="15" t="s">
        <v>11632</v>
      </c>
      <c r="AI60" s="15" t="s">
        <v>11633</v>
      </c>
      <c r="AJ60" s="15" t="s">
        <v>11634</v>
      </c>
      <c r="AK60" s="15" t="s">
        <v>11635</v>
      </c>
      <c r="AL60" s="15" t="s">
        <v>11636</v>
      </c>
      <c r="AM60" s="15" t="s">
        <v>11637</v>
      </c>
      <c r="BH60" s="15" t="s">
        <v>1349</v>
      </c>
      <c r="BI60" s="15" t="str">
        <f t="shared" si="171"/>
        <v>999</v>
      </c>
      <c r="BJ60" s="15" t="str">
        <f t="shared" si="172"/>
        <v>420</v>
      </c>
      <c r="BK60" s="15" t="s">
        <v>709</v>
      </c>
      <c r="BL60" s="15" t="str">
        <f t="shared" si="128"/>
        <v>1</v>
      </c>
      <c r="BM60" s="15" t="s">
        <v>416</v>
      </c>
      <c r="BN60" s="15" t="str">
        <f t="shared" si="165"/>
        <v>37.8</v>
      </c>
      <c r="BO60" s="15" t="str">
        <f t="shared" si="166"/>
        <v>29.92</v>
      </c>
      <c r="BP60" s="15" t="str">
        <f t="shared" si="167"/>
        <v>31.5</v>
      </c>
      <c r="BQ60" s="15" t="str">
        <f t="shared" si="168"/>
        <v>51.37</v>
      </c>
      <c r="CG60" s="15" t="str">
        <f t="shared" si="169"/>
        <v>20.62</v>
      </c>
      <c r="CH60" s="15" t="str">
        <f t="shared" si="170"/>
        <v>0.584</v>
      </c>
      <c r="CI60" s="15" t="s">
        <v>417</v>
      </c>
      <c r="CS60" s="15" t="s">
        <v>1324</v>
      </c>
      <c r="CT60" s="15" t="s">
        <v>1325</v>
      </c>
      <c r="CV60" s="15">
        <v>0.0</v>
      </c>
      <c r="CW60" s="15">
        <v>1.0</v>
      </c>
      <c r="CX60" s="15" t="s">
        <v>717</v>
      </c>
      <c r="CY60" s="15" t="s">
        <v>897</v>
      </c>
      <c r="DF60" s="15" t="s">
        <v>721</v>
      </c>
      <c r="DG60" s="15" t="s">
        <v>419</v>
      </c>
      <c r="DH60" s="15">
        <v>0.0</v>
      </c>
      <c r="DL60" s="15">
        <v>15000.0</v>
      </c>
      <c r="DM60" s="15" t="s">
        <v>990</v>
      </c>
      <c r="DN60" s="15" t="s">
        <v>1016</v>
      </c>
      <c r="DP60" s="15">
        <v>1.0</v>
      </c>
      <c r="DQ60" s="15">
        <v>1.0</v>
      </c>
      <c r="DS60" s="15" t="s">
        <v>1326</v>
      </c>
      <c r="DT60" s="15">
        <v>0.0</v>
      </c>
      <c r="DU60" s="15" t="s">
        <v>726</v>
      </c>
      <c r="DV60" s="15" t="s">
        <v>1286</v>
      </c>
      <c r="DW60" s="15" t="s">
        <v>1327</v>
      </c>
      <c r="DX60" s="15" t="s">
        <v>1328</v>
      </c>
      <c r="EB60" s="15" t="s">
        <v>477</v>
      </c>
      <c r="EF60" s="15" t="s">
        <v>1329</v>
      </c>
      <c r="EG60" s="15" t="s">
        <v>1330</v>
      </c>
      <c r="EH60" s="15" t="s">
        <v>1211</v>
      </c>
      <c r="EI60" s="15" t="s">
        <v>939</v>
      </c>
      <c r="EL60" s="15" t="s">
        <v>1016</v>
      </c>
      <c r="EO60" s="15" t="s">
        <v>860</v>
      </c>
      <c r="EX60" s="15" t="s">
        <v>1065</v>
      </c>
      <c r="EY60" s="15" t="s">
        <v>1331</v>
      </c>
      <c r="EZ60" s="15">
        <v>0.0</v>
      </c>
      <c r="FA60" s="15">
        <v>0.0</v>
      </c>
      <c r="FC60" s="15">
        <v>0.0</v>
      </c>
    </row>
    <row r="61" ht="17.25" customHeight="1">
      <c r="A61" s="15" t="s">
        <v>1358</v>
      </c>
      <c r="B61" s="15" t="str">
        <f>"801542091422"</f>
        <v>801542091422</v>
      </c>
      <c r="C61" s="15" t="s">
        <v>11638</v>
      </c>
      <c r="D61" s="15" t="str">
        <f t="shared" si="1"/>
        <v>Arturo 6 Drawer DresserNatural Walnut Veneer</v>
      </c>
      <c r="E61" s="15" t="s">
        <v>1355</v>
      </c>
      <c r="F61" s="15" t="s">
        <v>397</v>
      </c>
      <c r="G61" s="15" t="s">
        <v>1357</v>
      </c>
      <c r="J61" s="15" t="s">
        <v>1357</v>
      </c>
      <c r="M61" s="15" t="s">
        <v>1366</v>
      </c>
      <c r="N61" s="15" t="s">
        <v>412</v>
      </c>
      <c r="P61" s="15" t="str">
        <f>"70.5"</f>
        <v>70.5</v>
      </c>
      <c r="Q61" s="15" t="str">
        <f>"18.5"</f>
        <v>18.5</v>
      </c>
      <c r="R61" s="15" t="str">
        <f t="shared" ref="R61:R62" si="173">"34"</f>
        <v>34</v>
      </c>
      <c r="S61" s="15" t="str">
        <f>"231.48"</f>
        <v>231.48</v>
      </c>
      <c r="T61" s="15" t="s">
        <v>1361</v>
      </c>
      <c r="U61" s="15" t="s">
        <v>11639</v>
      </c>
      <c r="V61" s="15" t="s">
        <v>11640</v>
      </c>
      <c r="AA61" s="15" t="s">
        <v>413</v>
      </c>
      <c r="AB61" s="15" t="s">
        <v>413</v>
      </c>
      <c r="AC61" s="15" t="s">
        <v>1367</v>
      </c>
      <c r="AD61" s="15" t="s">
        <v>11641</v>
      </c>
      <c r="AE61" s="15" t="s">
        <v>1360</v>
      </c>
      <c r="AF61" s="15" t="s">
        <v>11642</v>
      </c>
      <c r="AG61" s="15" t="s">
        <v>11643</v>
      </c>
      <c r="AH61" s="15" t="s">
        <v>11644</v>
      </c>
      <c r="AI61" s="15" t="s">
        <v>11645</v>
      </c>
      <c r="AJ61" s="15" t="s">
        <v>11646</v>
      </c>
      <c r="AK61" s="15" t="s">
        <v>11647</v>
      </c>
      <c r="AL61" s="15" t="s">
        <v>11648</v>
      </c>
      <c r="AM61" s="15" t="s">
        <v>11649</v>
      </c>
      <c r="AN61" s="15" t="s">
        <v>11650</v>
      </c>
      <c r="AO61" s="15" t="s">
        <v>11651</v>
      </c>
      <c r="AP61" s="15" t="s">
        <v>11652</v>
      </c>
      <c r="AQ61" s="15" t="s">
        <v>11653</v>
      </c>
      <c r="AR61" s="15" t="s">
        <v>11654</v>
      </c>
      <c r="AS61" s="15" t="s">
        <v>11655</v>
      </c>
      <c r="AT61" s="15" t="s">
        <v>11656</v>
      </c>
      <c r="BH61" s="15" t="s">
        <v>1356</v>
      </c>
      <c r="BI61" s="15" t="str">
        <f>"1999"</f>
        <v>1999</v>
      </c>
      <c r="BJ61" s="15" t="str">
        <f>"840"</f>
        <v>840</v>
      </c>
      <c r="BK61" s="15" t="s">
        <v>742</v>
      </c>
      <c r="BL61" s="15" t="str">
        <f t="shared" si="128"/>
        <v>1</v>
      </c>
      <c r="BM61" s="15" t="s">
        <v>1368</v>
      </c>
      <c r="BN61" s="15" t="str">
        <f>"73.43"</f>
        <v>73.43</v>
      </c>
      <c r="BO61" s="15" t="str">
        <f>"21.26"</f>
        <v>21.26</v>
      </c>
      <c r="BP61" s="15" t="str">
        <f>"30.71"</f>
        <v>30.71</v>
      </c>
      <c r="BQ61" s="15" t="str">
        <f>"262.35"</f>
        <v>262.35</v>
      </c>
      <c r="CG61" s="15" t="str">
        <f>"27.76"</f>
        <v>27.76</v>
      </c>
      <c r="CH61" s="15" t="str">
        <f>"0.786"</f>
        <v>0.786</v>
      </c>
      <c r="CI61" s="15" t="s">
        <v>465</v>
      </c>
      <c r="CZ61" s="15" t="s">
        <v>1371</v>
      </c>
      <c r="DA61" s="15">
        <v>6.0</v>
      </c>
      <c r="DB61" s="15" t="s">
        <v>419</v>
      </c>
      <c r="DD61" s="15">
        <v>0.0</v>
      </c>
      <c r="DF61" s="15" t="s">
        <v>420</v>
      </c>
      <c r="DG61" s="15" t="s">
        <v>421</v>
      </c>
      <c r="DK61" s="15">
        <v>0.0</v>
      </c>
      <c r="DR61" s="15" t="s">
        <v>422</v>
      </c>
      <c r="DS61" s="15" t="s">
        <v>1372</v>
      </c>
      <c r="DU61" s="15" t="s">
        <v>424</v>
      </c>
      <c r="EF61" s="15" t="s">
        <v>1373</v>
      </c>
      <c r="EU61" s="15" t="s">
        <v>426</v>
      </c>
      <c r="EV61" s="15">
        <v>0.0</v>
      </c>
      <c r="FQ61" s="15">
        <v>0.0</v>
      </c>
      <c r="FR61" s="15" t="s">
        <v>427</v>
      </c>
      <c r="FZ61" s="15" t="s">
        <v>1374</v>
      </c>
      <c r="GB61" s="15" t="s">
        <v>761</v>
      </c>
      <c r="GD61" s="15" t="s">
        <v>1375</v>
      </c>
      <c r="GF61" s="15" t="s">
        <v>838</v>
      </c>
      <c r="GH61" s="15" t="s">
        <v>764</v>
      </c>
    </row>
    <row r="62" ht="17.25" customHeight="1">
      <c r="A62" s="15" t="s">
        <v>1378</v>
      </c>
      <c r="B62" s="15" t="str">
        <f>"801542091439"</f>
        <v>801542091439</v>
      </c>
      <c r="C62" s="15" t="s">
        <v>11657</v>
      </c>
      <c r="D62" s="15" t="str">
        <f t="shared" si="1"/>
        <v>Arturo 9 Drawer DresserNatural Walnut Veneer</v>
      </c>
      <c r="E62" s="15" t="s">
        <v>1376</v>
      </c>
      <c r="F62" s="15" t="s">
        <v>397</v>
      </c>
      <c r="G62" s="15" t="s">
        <v>1357</v>
      </c>
      <c r="J62" s="15" t="s">
        <v>1357</v>
      </c>
      <c r="M62" s="15" t="s">
        <v>1366</v>
      </c>
      <c r="N62" s="15" t="s">
        <v>412</v>
      </c>
      <c r="P62" s="15" t="str">
        <f>"85"</f>
        <v>85</v>
      </c>
      <c r="Q62" s="15" t="str">
        <f>"18"</f>
        <v>18</v>
      </c>
      <c r="R62" s="15" t="str">
        <f t="shared" si="173"/>
        <v>34</v>
      </c>
      <c r="S62" s="15" t="str">
        <f>"291.01"</f>
        <v>291.01</v>
      </c>
      <c r="T62" s="15" t="s">
        <v>1361</v>
      </c>
      <c r="U62" s="15" t="s">
        <v>11639</v>
      </c>
      <c r="V62" s="15" t="s">
        <v>11640</v>
      </c>
      <c r="AA62" s="15" t="s">
        <v>413</v>
      </c>
      <c r="AB62" s="15" t="s">
        <v>413</v>
      </c>
      <c r="AC62" s="15" t="s">
        <v>1367</v>
      </c>
      <c r="AD62" s="15" t="s">
        <v>11658</v>
      </c>
      <c r="AE62" s="15" t="s">
        <v>1380</v>
      </c>
      <c r="AF62" s="15" t="s">
        <v>11659</v>
      </c>
      <c r="AG62" s="15" t="s">
        <v>11660</v>
      </c>
      <c r="AH62" s="15" t="s">
        <v>11661</v>
      </c>
      <c r="AI62" s="15" t="s">
        <v>11662</v>
      </c>
      <c r="AJ62" s="15" t="s">
        <v>11663</v>
      </c>
      <c r="AK62" s="15" t="s">
        <v>11664</v>
      </c>
      <c r="AL62" s="15" t="s">
        <v>11665</v>
      </c>
      <c r="AM62" s="15" t="s">
        <v>11666</v>
      </c>
      <c r="AN62" s="15" t="s">
        <v>11667</v>
      </c>
      <c r="AO62" s="15" t="s">
        <v>11668</v>
      </c>
      <c r="AP62" s="15" t="s">
        <v>11669</v>
      </c>
      <c r="AQ62" s="15" t="s">
        <v>11670</v>
      </c>
      <c r="BH62" s="15" t="s">
        <v>1377</v>
      </c>
      <c r="BI62" s="15" t="str">
        <f>"2499"</f>
        <v>2499</v>
      </c>
      <c r="BJ62" s="15" t="str">
        <f>"1050"</f>
        <v>1050</v>
      </c>
      <c r="BK62" s="15" t="s">
        <v>742</v>
      </c>
      <c r="BL62" s="15" t="str">
        <f t="shared" si="128"/>
        <v>1</v>
      </c>
      <c r="BM62" s="15" t="s">
        <v>1383</v>
      </c>
      <c r="BN62" s="15" t="str">
        <f>"88.39"</f>
        <v>88.39</v>
      </c>
      <c r="BO62" s="15" t="str">
        <f>"21.46"</f>
        <v>21.46</v>
      </c>
      <c r="BP62" s="15" t="str">
        <f>"31.1"</f>
        <v>31.1</v>
      </c>
      <c r="BQ62" s="15" t="str">
        <f>"326.28"</f>
        <v>326.28</v>
      </c>
      <c r="CG62" s="15" t="str">
        <f>"34.15"</f>
        <v>34.15</v>
      </c>
      <c r="CH62" s="15" t="str">
        <f>"0.967"</f>
        <v>0.967</v>
      </c>
      <c r="CI62" s="15" t="s">
        <v>465</v>
      </c>
      <c r="CZ62" s="15" t="s">
        <v>1371</v>
      </c>
      <c r="DA62" s="15">
        <v>9.0</v>
      </c>
      <c r="DB62" s="15" t="s">
        <v>419</v>
      </c>
      <c r="DD62" s="15">
        <v>0.0</v>
      </c>
      <c r="DF62" s="15" t="s">
        <v>1388</v>
      </c>
      <c r="DG62" s="15" t="s">
        <v>421</v>
      </c>
      <c r="DK62" s="15">
        <v>0.0</v>
      </c>
      <c r="DR62" s="15" t="s">
        <v>422</v>
      </c>
      <c r="DS62" s="15" t="s">
        <v>1372</v>
      </c>
      <c r="DU62" s="15" t="s">
        <v>424</v>
      </c>
      <c r="EF62" s="15" t="s">
        <v>1389</v>
      </c>
      <c r="EU62" s="15" t="s">
        <v>426</v>
      </c>
      <c r="EV62" s="15">
        <v>0.0</v>
      </c>
      <c r="FQ62" s="15">
        <v>0.0</v>
      </c>
      <c r="FR62" s="15" t="s">
        <v>427</v>
      </c>
      <c r="FZ62" s="15" t="s">
        <v>1390</v>
      </c>
      <c r="GA62" s="15" t="s">
        <v>1390</v>
      </c>
      <c r="GB62" s="15" t="s">
        <v>1391</v>
      </c>
      <c r="GC62" s="15" t="s">
        <v>1391</v>
      </c>
      <c r="GD62" s="15" t="s">
        <v>1392</v>
      </c>
      <c r="GE62" s="15" t="s">
        <v>1393</v>
      </c>
      <c r="GF62" s="15" t="s">
        <v>838</v>
      </c>
      <c r="GH62" s="15" t="s">
        <v>764</v>
      </c>
    </row>
    <row r="63" ht="17.25" customHeight="1">
      <c r="A63" s="15" t="s">
        <v>1396</v>
      </c>
      <c r="B63" s="15" t="str">
        <f>"801542992361"</f>
        <v>801542992361</v>
      </c>
      <c r="C63" s="15" t="s">
        <v>11671</v>
      </c>
      <c r="D63" s="15" t="str">
        <f t="shared" si="1"/>
        <v>Arturo ChestNatural Walnut Veneer</v>
      </c>
      <c r="E63" s="15" t="s">
        <v>1394</v>
      </c>
      <c r="F63" s="15" t="s">
        <v>397</v>
      </c>
      <c r="G63" s="15" t="s">
        <v>1357</v>
      </c>
      <c r="J63" s="15" t="s">
        <v>1357</v>
      </c>
      <c r="M63" s="15" t="s">
        <v>1366</v>
      </c>
      <c r="N63" s="15" t="s">
        <v>412</v>
      </c>
      <c r="P63" s="15" t="str">
        <f>"31.75"</f>
        <v>31.75</v>
      </c>
      <c r="Q63" s="15" t="str">
        <f>"18.5"</f>
        <v>18.5</v>
      </c>
      <c r="R63" s="15" t="str">
        <f>"41.5"</f>
        <v>41.5</v>
      </c>
      <c r="S63" s="15" t="str">
        <f>"158.73"</f>
        <v>158.73</v>
      </c>
      <c r="T63" s="15" t="s">
        <v>1361</v>
      </c>
      <c r="U63" s="15" t="s">
        <v>11639</v>
      </c>
      <c r="V63" s="15" t="s">
        <v>11640</v>
      </c>
      <c r="AA63" s="15" t="s">
        <v>413</v>
      </c>
      <c r="AB63" s="15" t="s">
        <v>413</v>
      </c>
      <c r="AC63" s="15" t="s">
        <v>1403</v>
      </c>
      <c r="AD63" s="15" t="s">
        <v>11672</v>
      </c>
      <c r="AE63" s="15" t="s">
        <v>1398</v>
      </c>
      <c r="AF63" s="15" t="s">
        <v>11673</v>
      </c>
      <c r="AG63" s="15" t="s">
        <v>11674</v>
      </c>
      <c r="AH63" s="15" t="s">
        <v>11675</v>
      </c>
      <c r="AI63" s="15" t="s">
        <v>11676</v>
      </c>
      <c r="AJ63" s="15" t="s">
        <v>11677</v>
      </c>
      <c r="AK63" s="15" t="s">
        <v>11678</v>
      </c>
      <c r="AL63" s="15" t="s">
        <v>11679</v>
      </c>
      <c r="AM63" s="15" t="s">
        <v>11680</v>
      </c>
      <c r="AN63" s="15" t="s">
        <v>11681</v>
      </c>
      <c r="AO63" s="15" t="s">
        <v>11682</v>
      </c>
      <c r="BH63" s="15" t="s">
        <v>1395</v>
      </c>
      <c r="BI63" s="15" t="str">
        <f>"1399"</f>
        <v>1399</v>
      </c>
      <c r="BJ63" s="15" t="str">
        <f>"590"</f>
        <v>590</v>
      </c>
      <c r="BK63" s="15" t="s">
        <v>742</v>
      </c>
      <c r="BL63" s="15" t="str">
        <f t="shared" si="128"/>
        <v>1</v>
      </c>
      <c r="BM63" s="15" t="s">
        <v>416</v>
      </c>
      <c r="BN63" s="15" t="str">
        <f>"35.04"</f>
        <v>35.04</v>
      </c>
      <c r="BO63" s="15" t="str">
        <f>"21.85"</f>
        <v>21.85</v>
      </c>
      <c r="BP63" s="15" t="str">
        <f>"38.78"</f>
        <v>38.78</v>
      </c>
      <c r="BQ63" s="15" t="str">
        <f>"178.57"</f>
        <v>178.57</v>
      </c>
      <c r="CG63" s="15" t="str">
        <f>"17.2"</f>
        <v>17.2</v>
      </c>
      <c r="CH63" s="15" t="str">
        <f>"0.487"</f>
        <v>0.487</v>
      </c>
      <c r="CI63" s="15" t="s">
        <v>417</v>
      </c>
      <c r="CZ63" s="15" t="s">
        <v>1371</v>
      </c>
      <c r="DA63" s="15">
        <v>5.0</v>
      </c>
      <c r="DB63" s="15" t="s">
        <v>419</v>
      </c>
      <c r="DD63" s="15">
        <v>0.0</v>
      </c>
      <c r="DF63" s="15" t="s">
        <v>1388</v>
      </c>
      <c r="DG63" s="15" t="s">
        <v>421</v>
      </c>
      <c r="DK63" s="15">
        <v>0.0</v>
      </c>
      <c r="DR63" s="15" t="s">
        <v>1408</v>
      </c>
      <c r="DS63" s="15" t="s">
        <v>1372</v>
      </c>
      <c r="DU63" s="15" t="s">
        <v>500</v>
      </c>
      <c r="EF63" s="15" t="s">
        <v>1389</v>
      </c>
      <c r="EU63" s="15" t="s">
        <v>426</v>
      </c>
      <c r="EV63" s="15">
        <v>0.0</v>
      </c>
      <c r="FQ63" s="15">
        <v>0.0</v>
      </c>
      <c r="FR63" s="15" t="s">
        <v>427</v>
      </c>
      <c r="FZ63" s="15" t="s">
        <v>1374</v>
      </c>
      <c r="GB63" s="15" t="s">
        <v>1410</v>
      </c>
      <c r="GD63" s="15" t="s">
        <v>1411</v>
      </c>
      <c r="GF63" s="15" t="s">
        <v>838</v>
      </c>
      <c r="GH63" s="15" t="s">
        <v>764</v>
      </c>
    </row>
    <row r="64" ht="17.25" customHeight="1">
      <c r="A64" s="15" t="s">
        <v>1414</v>
      </c>
      <c r="B64" s="15" t="str">
        <f>"801542062590"</f>
        <v>801542062590</v>
      </c>
      <c r="C64" s="15" t="s">
        <v>11683</v>
      </c>
      <c r="D64" s="15" t="str">
        <f t="shared" si="1"/>
        <v>Arturo Media ConsoleNatural Walnut Veneer</v>
      </c>
      <c r="E64" s="15" t="s">
        <v>1412</v>
      </c>
      <c r="F64" s="15" t="s">
        <v>397</v>
      </c>
      <c r="G64" s="15" t="s">
        <v>1357</v>
      </c>
      <c r="J64" s="15" t="s">
        <v>1357</v>
      </c>
      <c r="M64" s="15" t="s">
        <v>1366</v>
      </c>
      <c r="N64" s="15" t="s">
        <v>602</v>
      </c>
      <c r="P64" s="15" t="str">
        <f>"77.75"</f>
        <v>77.75</v>
      </c>
      <c r="Q64" s="15" t="str">
        <f>"18"</f>
        <v>18</v>
      </c>
      <c r="R64" s="15" t="str">
        <f>"27"</f>
        <v>27</v>
      </c>
      <c r="S64" s="15" t="str">
        <f>"187.39"</f>
        <v>187.39</v>
      </c>
      <c r="T64" s="15" t="s">
        <v>1417</v>
      </c>
      <c r="U64" s="15" t="s">
        <v>11639</v>
      </c>
      <c r="AA64" s="15" t="s">
        <v>413</v>
      </c>
      <c r="AB64" s="15" t="s">
        <v>413</v>
      </c>
      <c r="AC64" s="15" t="s">
        <v>1420</v>
      </c>
      <c r="AD64" s="15" t="s">
        <v>11684</v>
      </c>
      <c r="AE64" s="15" t="s">
        <v>1416</v>
      </c>
      <c r="AF64" s="15" t="s">
        <v>11685</v>
      </c>
      <c r="AG64" s="15" t="s">
        <v>11686</v>
      </c>
      <c r="AH64" s="15" t="s">
        <v>11687</v>
      </c>
      <c r="AI64" s="15" t="s">
        <v>11688</v>
      </c>
      <c r="AJ64" s="15" t="s">
        <v>11689</v>
      </c>
      <c r="AK64" s="15" t="s">
        <v>11690</v>
      </c>
      <c r="AL64" s="15" t="s">
        <v>11691</v>
      </c>
      <c r="AM64" s="15" t="s">
        <v>11692</v>
      </c>
      <c r="AN64" s="15" t="s">
        <v>11693</v>
      </c>
      <c r="AO64" s="15" t="s">
        <v>11694</v>
      </c>
      <c r="AP64" s="15" t="s">
        <v>11695</v>
      </c>
      <c r="AQ64" s="15" t="s">
        <v>11696</v>
      </c>
      <c r="BH64" s="15" t="s">
        <v>1413</v>
      </c>
      <c r="BI64" s="15" t="str">
        <f>"1849"</f>
        <v>1849</v>
      </c>
      <c r="BJ64" s="15" t="str">
        <f>"780"</f>
        <v>780</v>
      </c>
      <c r="BK64" s="15" t="s">
        <v>742</v>
      </c>
      <c r="BL64" s="15" t="str">
        <f t="shared" si="128"/>
        <v>1</v>
      </c>
      <c r="BM64" s="15" t="s">
        <v>1421</v>
      </c>
      <c r="BN64" s="15" t="str">
        <f>"81.5"</f>
        <v>81.5</v>
      </c>
      <c r="BO64" s="15" t="str">
        <f>"25.2"</f>
        <v>25.2</v>
      </c>
      <c r="BP64" s="15" t="str">
        <f>"22.24"</f>
        <v>22.24</v>
      </c>
      <c r="BQ64" s="15" t="str">
        <f>"224.87"</f>
        <v>224.87</v>
      </c>
      <c r="CG64" s="15" t="str">
        <f>"26.45"</f>
        <v>26.45</v>
      </c>
      <c r="CH64" s="15" t="str">
        <f>"0.749"</f>
        <v>0.749</v>
      </c>
      <c r="CI64" s="15" t="s">
        <v>417</v>
      </c>
      <c r="CM64" s="15" t="s">
        <v>1425</v>
      </c>
      <c r="CN64" s="15" t="s">
        <v>1426</v>
      </c>
      <c r="CO64" s="15" t="s">
        <v>1427</v>
      </c>
      <c r="CZ64" s="15" t="s">
        <v>1371</v>
      </c>
      <c r="DA64" s="15">
        <v>4.0</v>
      </c>
      <c r="DB64" s="15" t="s">
        <v>419</v>
      </c>
      <c r="DD64" s="15">
        <v>0.0</v>
      </c>
      <c r="DF64" s="15" t="s">
        <v>764</v>
      </c>
      <c r="DG64" s="15" t="s">
        <v>610</v>
      </c>
      <c r="DI64" s="15">
        <v>18.14</v>
      </c>
      <c r="DJ64" s="15">
        <v>40.0</v>
      </c>
      <c r="DK64" s="15">
        <v>1.0</v>
      </c>
      <c r="DS64" s="15" t="s">
        <v>1372</v>
      </c>
      <c r="EF64" s="15" t="s">
        <v>1428</v>
      </c>
      <c r="EU64" s="15" t="s">
        <v>426</v>
      </c>
      <c r="EV64" s="15">
        <v>1.0</v>
      </c>
      <c r="FH64" s="15" t="s">
        <v>1429</v>
      </c>
      <c r="FI64" s="15" t="s">
        <v>782</v>
      </c>
      <c r="FJ64" s="15" t="s">
        <v>823</v>
      </c>
      <c r="FK64" s="15" t="s">
        <v>1425</v>
      </c>
      <c r="FL64" s="15" t="s">
        <v>782</v>
      </c>
      <c r="FM64" s="15" t="s">
        <v>1427</v>
      </c>
      <c r="FO64" s="15" t="s">
        <v>426</v>
      </c>
      <c r="FP64" s="15" t="s">
        <v>785</v>
      </c>
      <c r="FQ64" s="15">
        <v>2.0</v>
      </c>
      <c r="FR64" s="15" t="s">
        <v>614</v>
      </c>
      <c r="FS64" s="15" t="s">
        <v>615</v>
      </c>
      <c r="FU64" s="15" t="s">
        <v>426</v>
      </c>
      <c r="FW64" s="15" t="s">
        <v>616</v>
      </c>
      <c r="FZ64" s="15" t="s">
        <v>1430</v>
      </c>
      <c r="GB64" s="15" t="s">
        <v>1431</v>
      </c>
      <c r="GD64" s="15" t="s">
        <v>1432</v>
      </c>
      <c r="GF64" s="15" t="s">
        <v>838</v>
      </c>
      <c r="GH64" s="15" t="s">
        <v>764</v>
      </c>
      <c r="GM64" s="15">
        <v>0.0</v>
      </c>
      <c r="HF64" s="15" t="s">
        <v>789</v>
      </c>
      <c r="HQ64" s="15" t="s">
        <v>426</v>
      </c>
    </row>
    <row r="65" ht="17.25" customHeight="1">
      <c r="A65" s="15" t="s">
        <v>1435</v>
      </c>
      <c r="B65" s="15" t="str">
        <f>"801542091453"</f>
        <v>801542091453</v>
      </c>
      <c r="C65" s="15" t="s">
        <v>11697</v>
      </c>
      <c r="D65" s="15" t="str">
        <f t="shared" si="1"/>
        <v>Arturo NightstandNatural Walnut Veneer</v>
      </c>
      <c r="E65" s="15" t="s">
        <v>1433</v>
      </c>
      <c r="F65" s="15" t="s">
        <v>397</v>
      </c>
      <c r="G65" s="15" t="s">
        <v>1357</v>
      </c>
      <c r="J65" s="15" t="s">
        <v>1357</v>
      </c>
      <c r="M65" s="15" t="s">
        <v>1366</v>
      </c>
      <c r="N65" s="15" t="s">
        <v>628</v>
      </c>
      <c r="P65" s="15" t="str">
        <f>"32"</f>
        <v>32</v>
      </c>
      <c r="Q65" s="15" t="str">
        <f>"18.5"</f>
        <v>18.5</v>
      </c>
      <c r="R65" s="15" t="str">
        <f>"26"</f>
        <v>26</v>
      </c>
      <c r="S65" s="15" t="str">
        <f>"63.93"</f>
        <v>63.93</v>
      </c>
      <c r="T65" s="15" t="s">
        <v>1361</v>
      </c>
      <c r="U65" s="15" t="s">
        <v>11639</v>
      </c>
      <c r="V65" s="15" t="s">
        <v>11640</v>
      </c>
      <c r="AA65" s="15" t="s">
        <v>413</v>
      </c>
      <c r="AB65" s="15" t="s">
        <v>413</v>
      </c>
      <c r="AC65" s="15" t="s">
        <v>1438</v>
      </c>
      <c r="AD65" s="15" t="s">
        <v>11698</v>
      </c>
      <c r="AE65" s="15" t="s">
        <v>1437</v>
      </c>
      <c r="AF65" s="15" t="s">
        <v>11699</v>
      </c>
      <c r="AG65" s="15" t="s">
        <v>11700</v>
      </c>
      <c r="AH65" s="15" t="s">
        <v>11701</v>
      </c>
      <c r="AI65" s="15" t="s">
        <v>11702</v>
      </c>
      <c r="AJ65" s="15" t="s">
        <v>11703</v>
      </c>
      <c r="AK65" s="15" t="s">
        <v>11704</v>
      </c>
      <c r="AL65" s="15" t="s">
        <v>11705</v>
      </c>
      <c r="AM65" s="15" t="s">
        <v>11706</v>
      </c>
      <c r="AN65" s="15" t="s">
        <v>11707</v>
      </c>
      <c r="AO65" s="15" t="s">
        <v>11708</v>
      </c>
      <c r="AP65" s="15" t="s">
        <v>11709</v>
      </c>
      <c r="AQ65" s="15" t="s">
        <v>11710</v>
      </c>
      <c r="AR65" s="15" t="s">
        <v>11711</v>
      </c>
      <c r="AS65" s="15" t="s">
        <v>11712</v>
      </c>
      <c r="AT65" s="15" t="s">
        <v>11713</v>
      </c>
      <c r="BH65" s="15" t="s">
        <v>1434</v>
      </c>
      <c r="BI65" s="15" t="str">
        <f>"849"</f>
        <v>849</v>
      </c>
      <c r="BJ65" s="15" t="str">
        <f>"360"</f>
        <v>360</v>
      </c>
      <c r="BK65" s="15" t="s">
        <v>742</v>
      </c>
      <c r="BL65" s="15" t="str">
        <f t="shared" si="128"/>
        <v>1</v>
      </c>
      <c r="BM65" s="15" t="s">
        <v>1439</v>
      </c>
      <c r="BN65" s="15" t="str">
        <f>"35.43"</f>
        <v>35.43</v>
      </c>
      <c r="BO65" s="15" t="str">
        <f>"21.46"</f>
        <v>21.46</v>
      </c>
      <c r="BP65" s="15" t="str">
        <f>"19.09"</f>
        <v>19.09</v>
      </c>
      <c r="BQ65" s="15" t="str">
        <f>"79.37"</f>
        <v>79.37</v>
      </c>
      <c r="CG65" s="15" t="str">
        <f>"8.4"</f>
        <v>8.4</v>
      </c>
      <c r="CH65" s="15" t="str">
        <f>"0.238"</f>
        <v>0.238</v>
      </c>
      <c r="CI65" s="15" t="s">
        <v>465</v>
      </c>
      <c r="CZ65" s="15" t="s">
        <v>418</v>
      </c>
      <c r="DA65" s="15">
        <v>2.0</v>
      </c>
      <c r="DB65" s="15" t="s">
        <v>419</v>
      </c>
      <c r="DD65" s="15">
        <v>0.0</v>
      </c>
      <c r="DF65" s="15" t="s">
        <v>420</v>
      </c>
      <c r="DG65" s="15" t="s">
        <v>421</v>
      </c>
      <c r="DK65" s="15">
        <v>0.0</v>
      </c>
      <c r="DR65" s="15" t="s">
        <v>471</v>
      </c>
      <c r="DS65" s="15" t="s">
        <v>1372</v>
      </c>
      <c r="DU65" s="15" t="s">
        <v>500</v>
      </c>
      <c r="EF65" s="15" t="s">
        <v>1442</v>
      </c>
      <c r="EV65" s="15">
        <v>0.0</v>
      </c>
      <c r="FQ65" s="15">
        <v>0.0</v>
      </c>
      <c r="FR65" s="15" t="s">
        <v>427</v>
      </c>
      <c r="FX65" s="15" t="s">
        <v>426</v>
      </c>
      <c r="FZ65" s="15" t="s">
        <v>1443</v>
      </c>
      <c r="GB65" s="15" t="s">
        <v>1444</v>
      </c>
      <c r="GD65" s="15" t="s">
        <v>1445</v>
      </c>
      <c r="GF65" s="15" t="s">
        <v>838</v>
      </c>
      <c r="GH65" s="15" t="s">
        <v>764</v>
      </c>
    </row>
    <row r="66" ht="17.25" customHeight="1">
      <c r="A66" s="15" t="s">
        <v>1448</v>
      </c>
      <c r="B66" s="15" t="str">
        <f>"801542065706"</f>
        <v>801542065706</v>
      </c>
      <c r="C66" s="15" t="s">
        <v>11714</v>
      </c>
      <c r="D66" s="15" t="str">
        <f t="shared" si="1"/>
        <v>Arturo SideboardNatural Walnut Veneer</v>
      </c>
      <c r="E66" s="15" t="s">
        <v>1446</v>
      </c>
      <c r="F66" s="15" t="s">
        <v>397</v>
      </c>
      <c r="G66" s="15" t="s">
        <v>1357</v>
      </c>
      <c r="J66" s="15" t="s">
        <v>1357</v>
      </c>
      <c r="M66" s="15" t="s">
        <v>1366</v>
      </c>
      <c r="N66" s="15" t="s">
        <v>664</v>
      </c>
      <c r="P66" s="15" t="str">
        <f>"85.5"</f>
        <v>85.5</v>
      </c>
      <c r="Q66" s="15" t="str">
        <f>"17.5"</f>
        <v>17.5</v>
      </c>
      <c r="R66" s="15" t="str">
        <f>"31"</f>
        <v>31</v>
      </c>
      <c r="S66" s="15" t="str">
        <f>"187.39"</f>
        <v>187.39</v>
      </c>
      <c r="T66" s="15" t="s">
        <v>1361</v>
      </c>
      <c r="U66" s="15" t="s">
        <v>11639</v>
      </c>
      <c r="V66" s="15" t="s">
        <v>11640</v>
      </c>
      <c r="AA66" s="15" t="s">
        <v>413</v>
      </c>
      <c r="AB66" s="15" t="s">
        <v>413</v>
      </c>
      <c r="AC66" s="15" t="s">
        <v>1454</v>
      </c>
      <c r="AD66" s="15" t="s">
        <v>11715</v>
      </c>
      <c r="AE66" s="15" t="s">
        <v>1449</v>
      </c>
      <c r="AF66" s="15" t="s">
        <v>11716</v>
      </c>
      <c r="AG66" s="15" t="s">
        <v>11717</v>
      </c>
      <c r="AH66" s="15" t="s">
        <v>11718</v>
      </c>
      <c r="AI66" s="15" t="s">
        <v>11719</v>
      </c>
      <c r="AJ66" s="15" t="s">
        <v>11720</v>
      </c>
      <c r="AK66" s="15" t="s">
        <v>11721</v>
      </c>
      <c r="AL66" s="15" t="s">
        <v>11722</v>
      </c>
      <c r="AM66" s="15" t="s">
        <v>11723</v>
      </c>
      <c r="AN66" s="15" t="s">
        <v>11724</v>
      </c>
      <c r="AO66" s="15" t="s">
        <v>11725</v>
      </c>
      <c r="AP66" s="15" t="s">
        <v>11726</v>
      </c>
      <c r="AQ66" s="15" t="s">
        <v>11727</v>
      </c>
      <c r="AR66" s="15" t="s">
        <v>11728</v>
      </c>
      <c r="BH66" s="15" t="s">
        <v>1447</v>
      </c>
      <c r="BI66" s="15" t="str">
        <f>"1849"</f>
        <v>1849</v>
      </c>
      <c r="BJ66" s="15" t="str">
        <f>"780"</f>
        <v>780</v>
      </c>
      <c r="BK66" s="15" t="s">
        <v>742</v>
      </c>
      <c r="BL66" s="15" t="str">
        <f t="shared" si="128"/>
        <v>1</v>
      </c>
      <c r="BM66" s="15" t="s">
        <v>1455</v>
      </c>
      <c r="BN66" s="15" t="str">
        <f>"89.17"</f>
        <v>89.17</v>
      </c>
      <c r="BO66" s="15" t="str">
        <f>"21.85"</f>
        <v>21.85</v>
      </c>
      <c r="BP66" s="15" t="str">
        <f>"26.97"</f>
        <v>26.97</v>
      </c>
      <c r="BQ66" s="15" t="str">
        <f>"229.28"</f>
        <v>229.28</v>
      </c>
      <c r="CG66" s="15" t="str">
        <f>"30.41"</f>
        <v>30.41</v>
      </c>
      <c r="CH66" s="15" t="str">
        <f>"0.861"</f>
        <v>0.861</v>
      </c>
      <c r="CI66" s="15" t="s">
        <v>497</v>
      </c>
      <c r="CM66" s="15" t="s">
        <v>1459</v>
      </c>
      <c r="CN66" s="15" t="s">
        <v>1460</v>
      </c>
      <c r="CO66" s="15" t="s">
        <v>1461</v>
      </c>
      <c r="CZ66" s="15" t="s">
        <v>419</v>
      </c>
      <c r="DA66" s="15">
        <v>0.0</v>
      </c>
      <c r="DB66" s="15" t="s">
        <v>419</v>
      </c>
      <c r="DD66" s="15">
        <v>0.0</v>
      </c>
      <c r="DF66" s="15" t="s">
        <v>420</v>
      </c>
      <c r="DG66" s="15" t="s">
        <v>610</v>
      </c>
      <c r="DI66" s="15">
        <v>18.14</v>
      </c>
      <c r="DJ66" s="15">
        <v>40.0</v>
      </c>
      <c r="DK66" s="15">
        <v>3.0</v>
      </c>
      <c r="DS66" s="15" t="s">
        <v>1372</v>
      </c>
      <c r="DU66" s="15" t="s">
        <v>424</v>
      </c>
      <c r="EF66" s="15" t="s">
        <v>1373</v>
      </c>
      <c r="EU66" s="15" t="s">
        <v>426</v>
      </c>
      <c r="EV66" s="15">
        <v>3.0</v>
      </c>
      <c r="FH66" s="15" t="s">
        <v>1460</v>
      </c>
      <c r="FI66" s="15" t="s">
        <v>782</v>
      </c>
      <c r="FJ66" s="15" t="s">
        <v>1462</v>
      </c>
      <c r="FK66" s="15" t="s">
        <v>1459</v>
      </c>
      <c r="FL66" s="15" t="s">
        <v>782</v>
      </c>
      <c r="FM66" s="15" t="s">
        <v>1461</v>
      </c>
      <c r="FN66" s="15">
        <v>0.0</v>
      </c>
      <c r="FO66" s="15" t="s">
        <v>426</v>
      </c>
      <c r="FP66" s="15" t="s">
        <v>785</v>
      </c>
      <c r="FQ66" s="15">
        <v>6.0</v>
      </c>
      <c r="FR66" s="15" t="s">
        <v>614</v>
      </c>
      <c r="FS66" s="15" t="s">
        <v>1045</v>
      </c>
      <c r="FT66" s="15">
        <v>0.0</v>
      </c>
      <c r="FU66" s="15" t="s">
        <v>426</v>
      </c>
      <c r="FW66" s="15" t="s">
        <v>616</v>
      </c>
      <c r="GJ66" s="15" t="s">
        <v>1459</v>
      </c>
      <c r="GK66" s="15" t="s">
        <v>1460</v>
      </c>
      <c r="GL66" s="15" t="s">
        <v>1461</v>
      </c>
      <c r="GZ66" s="15" t="s">
        <v>1459</v>
      </c>
      <c r="HB66" s="15" t="s">
        <v>1460</v>
      </c>
      <c r="HD66" s="15" t="s">
        <v>1461</v>
      </c>
      <c r="HF66" s="15" t="s">
        <v>789</v>
      </c>
      <c r="HQ66" s="15" t="s">
        <v>426</v>
      </c>
    </row>
    <row r="67" ht="17.25" customHeight="1">
      <c r="A67" s="15" t="s">
        <v>1466</v>
      </c>
      <c r="B67" s="15" t="str">
        <f>"801542721381"</f>
        <v>801542721381</v>
      </c>
      <c r="C67" s="15" t="s">
        <v>11729</v>
      </c>
      <c r="D67" s="15" t="str">
        <f t="shared" si="1"/>
        <v>Ashland ArmchairDrifted Oak Solid</v>
      </c>
      <c r="E67" s="15" t="s">
        <v>1463</v>
      </c>
      <c r="F67" s="15" t="s">
        <v>397</v>
      </c>
      <c r="G67" s="15" t="s">
        <v>1465</v>
      </c>
      <c r="J67" s="15" t="s">
        <v>1475</v>
      </c>
      <c r="K67" s="15" t="s">
        <v>1465</v>
      </c>
      <c r="M67" s="15" t="s">
        <v>1474</v>
      </c>
      <c r="N67" s="15" t="s">
        <v>706</v>
      </c>
      <c r="O67" s="15" t="s">
        <v>707</v>
      </c>
      <c r="P67" s="15" t="str">
        <f t="shared" ref="P67:P68" si="174">"24.5"</f>
        <v>24.5</v>
      </c>
      <c r="Q67" s="15" t="str">
        <f t="shared" ref="Q67:Q68" si="175">"29.25"</f>
        <v>29.25</v>
      </c>
      <c r="R67" s="15" t="str">
        <f t="shared" ref="R67:R68" si="176">"32"</f>
        <v>32</v>
      </c>
      <c r="S67" s="15" t="str">
        <f t="shared" ref="S67:S68" si="177">"30.2"</f>
        <v>30.2</v>
      </c>
      <c r="T67" s="15" t="s">
        <v>1469</v>
      </c>
      <c r="U67" s="15" t="s">
        <v>11730</v>
      </c>
      <c r="V67" s="15" t="s">
        <v>11338</v>
      </c>
      <c r="AA67" s="15" t="s">
        <v>413</v>
      </c>
      <c r="AB67" s="15" t="s">
        <v>413</v>
      </c>
      <c r="AC67" s="15" t="s">
        <v>1476</v>
      </c>
      <c r="AD67" s="15" t="s">
        <v>11731</v>
      </c>
      <c r="AE67" s="15" t="s">
        <v>1468</v>
      </c>
      <c r="AF67" s="15" t="s">
        <v>11732</v>
      </c>
      <c r="AG67" s="15" t="s">
        <v>11733</v>
      </c>
      <c r="AH67" s="15" t="s">
        <v>11734</v>
      </c>
      <c r="AI67" s="15" t="s">
        <v>11735</v>
      </c>
      <c r="AJ67" s="15" t="s">
        <v>11736</v>
      </c>
      <c r="AK67" s="15" t="s">
        <v>11737</v>
      </c>
      <c r="AL67" s="15" t="s">
        <v>11738</v>
      </c>
      <c r="AM67" s="15" t="s">
        <v>11739</v>
      </c>
      <c r="AN67" s="15" t="s">
        <v>11740</v>
      </c>
      <c r="AO67" s="15" t="s">
        <v>11741</v>
      </c>
      <c r="BH67" s="15" t="s">
        <v>1464</v>
      </c>
      <c r="BI67" s="15" t="str">
        <f t="shared" ref="BI67:BI68" si="178">"1899"</f>
        <v>1899</v>
      </c>
      <c r="BJ67" s="15" t="str">
        <f t="shared" ref="BJ67:BJ68" si="179">"800"</f>
        <v>800</v>
      </c>
      <c r="BK67" s="15" t="s">
        <v>709</v>
      </c>
      <c r="BL67" s="15" t="str">
        <f t="shared" si="128"/>
        <v>1</v>
      </c>
      <c r="BM67" s="15" t="s">
        <v>1477</v>
      </c>
      <c r="BN67" s="15" t="str">
        <f t="shared" ref="BN67:BN68" si="180">"27.17"</f>
        <v>27.17</v>
      </c>
      <c r="BO67" s="15" t="str">
        <f t="shared" ref="BO67:BO68" si="181">"31.3"</f>
        <v>31.3</v>
      </c>
      <c r="BP67" s="15" t="str">
        <f t="shared" ref="BP67:BP68" si="182">"34.25"</f>
        <v>34.25</v>
      </c>
      <c r="BQ67" s="15" t="str">
        <f t="shared" ref="BQ67:BQ68" si="183">"44.53"</f>
        <v>44.53</v>
      </c>
      <c r="CG67" s="15" t="str">
        <f t="shared" ref="CG67:CG68" si="184">"14.83"</f>
        <v>14.83</v>
      </c>
      <c r="CH67" s="15" t="str">
        <f t="shared" ref="CH67:CH68" si="185">"0.42"</f>
        <v>0.42</v>
      </c>
      <c r="CI67" s="15" t="s">
        <v>465</v>
      </c>
      <c r="CS67" s="15" t="s">
        <v>1480</v>
      </c>
      <c r="CT67" s="15" t="s">
        <v>824</v>
      </c>
      <c r="CV67" s="15">
        <v>0.0</v>
      </c>
      <c r="CW67" s="15">
        <v>1.0</v>
      </c>
      <c r="CX67" s="15" t="s">
        <v>717</v>
      </c>
      <c r="CY67" s="15" t="s">
        <v>718</v>
      </c>
      <c r="DF67" s="15" t="s">
        <v>721</v>
      </c>
      <c r="DG67" s="15" t="s">
        <v>419</v>
      </c>
      <c r="DH67" s="15">
        <v>0.0</v>
      </c>
      <c r="DL67" s="15">
        <v>0.0</v>
      </c>
      <c r="DM67" s="15" t="s">
        <v>990</v>
      </c>
      <c r="DN67" s="15" t="s">
        <v>1016</v>
      </c>
      <c r="DP67" s="15">
        <v>1.0</v>
      </c>
      <c r="DQ67" s="15">
        <v>1.0</v>
      </c>
      <c r="DS67" s="15" t="s">
        <v>1481</v>
      </c>
      <c r="DT67" s="15">
        <v>0.0</v>
      </c>
      <c r="DU67" s="15" t="s">
        <v>726</v>
      </c>
      <c r="DV67" s="15" t="s">
        <v>1482</v>
      </c>
      <c r="DW67" s="15" t="s">
        <v>1483</v>
      </c>
      <c r="DX67" s="15" t="s">
        <v>1484</v>
      </c>
      <c r="EB67" s="15" t="s">
        <v>1485</v>
      </c>
      <c r="EF67" s="15" t="s">
        <v>670</v>
      </c>
      <c r="EG67" s="15" t="s">
        <v>1486</v>
      </c>
      <c r="EH67" s="15" t="s">
        <v>1487</v>
      </c>
      <c r="EI67" s="15" t="s">
        <v>1374</v>
      </c>
      <c r="EL67" s="15" t="s">
        <v>1016</v>
      </c>
      <c r="EO67" s="15" t="s">
        <v>1239</v>
      </c>
      <c r="EX67" s="15" t="s">
        <v>1484</v>
      </c>
      <c r="EY67" s="15" t="s">
        <v>1488</v>
      </c>
      <c r="EZ67" s="15">
        <v>0.0</v>
      </c>
      <c r="FA67" s="15">
        <v>0.0</v>
      </c>
      <c r="FC67" s="15">
        <v>0.0</v>
      </c>
    </row>
    <row r="68" ht="17.25" customHeight="1">
      <c r="A68" s="15" t="s">
        <v>1491</v>
      </c>
      <c r="B68" s="15" t="str">
        <f>"801542031121"</f>
        <v>801542031121</v>
      </c>
      <c r="C68" s="15" t="s">
        <v>11729</v>
      </c>
      <c r="D68" s="15" t="str">
        <f t="shared" si="1"/>
        <v>Ashland ArmchairDrifted Matte Black</v>
      </c>
      <c r="E68" s="15" t="s">
        <v>1463</v>
      </c>
      <c r="F68" s="15" t="s">
        <v>397</v>
      </c>
      <c r="G68" s="15" t="s">
        <v>1490</v>
      </c>
      <c r="J68" s="15" t="s">
        <v>1475</v>
      </c>
      <c r="K68" s="15" t="s">
        <v>1490</v>
      </c>
      <c r="M68" s="15" t="s">
        <v>1474</v>
      </c>
      <c r="N68" s="15" t="s">
        <v>706</v>
      </c>
      <c r="O68" s="15" t="s">
        <v>707</v>
      </c>
      <c r="P68" s="15" t="str">
        <f t="shared" si="174"/>
        <v>24.5</v>
      </c>
      <c r="Q68" s="15" t="str">
        <f t="shared" si="175"/>
        <v>29.25</v>
      </c>
      <c r="R68" s="15" t="str">
        <f t="shared" si="176"/>
        <v>32</v>
      </c>
      <c r="S68" s="15" t="str">
        <f t="shared" si="177"/>
        <v>30.2</v>
      </c>
      <c r="T68" s="15" t="s">
        <v>1469</v>
      </c>
      <c r="U68" s="15" t="s">
        <v>11730</v>
      </c>
      <c r="V68" s="15" t="s">
        <v>11338</v>
      </c>
      <c r="AA68" s="15" t="s">
        <v>413</v>
      </c>
      <c r="AB68" s="15" t="s">
        <v>413</v>
      </c>
      <c r="AC68" s="15" t="s">
        <v>1493</v>
      </c>
      <c r="AD68" s="15" t="s">
        <v>11742</v>
      </c>
      <c r="AE68" s="15" t="s">
        <v>1492</v>
      </c>
      <c r="AF68" s="15" t="s">
        <v>11743</v>
      </c>
      <c r="AG68" s="15" t="s">
        <v>11744</v>
      </c>
      <c r="AH68" s="15" t="s">
        <v>11745</v>
      </c>
      <c r="AI68" s="15" t="s">
        <v>11746</v>
      </c>
      <c r="AJ68" s="15" t="s">
        <v>11747</v>
      </c>
      <c r="AK68" s="15" t="s">
        <v>11748</v>
      </c>
      <c r="AL68" s="15" t="s">
        <v>11749</v>
      </c>
      <c r="AM68" s="15" t="s">
        <v>11750</v>
      </c>
      <c r="AN68" s="15" t="s">
        <v>11751</v>
      </c>
      <c r="AO68" s="15" t="s">
        <v>11752</v>
      </c>
      <c r="BH68" s="15" t="s">
        <v>1489</v>
      </c>
      <c r="BI68" s="15" t="str">
        <f t="shared" si="178"/>
        <v>1899</v>
      </c>
      <c r="BJ68" s="15" t="str">
        <f t="shared" si="179"/>
        <v>800</v>
      </c>
      <c r="BK68" s="15" t="s">
        <v>709</v>
      </c>
      <c r="BL68" s="15" t="str">
        <f t="shared" si="128"/>
        <v>1</v>
      </c>
      <c r="BM68" s="15" t="s">
        <v>1494</v>
      </c>
      <c r="BN68" s="15" t="str">
        <f t="shared" si="180"/>
        <v>27.17</v>
      </c>
      <c r="BO68" s="15" t="str">
        <f t="shared" si="181"/>
        <v>31.3</v>
      </c>
      <c r="BP68" s="15" t="str">
        <f t="shared" si="182"/>
        <v>34.25</v>
      </c>
      <c r="BQ68" s="15" t="str">
        <f t="shared" si="183"/>
        <v>44.53</v>
      </c>
      <c r="CG68" s="15" t="str">
        <f t="shared" si="184"/>
        <v>14.83</v>
      </c>
      <c r="CH68" s="15" t="str">
        <f t="shared" si="185"/>
        <v>0.42</v>
      </c>
      <c r="CI68" s="15" t="s">
        <v>417</v>
      </c>
      <c r="CS68" s="15" t="s">
        <v>1480</v>
      </c>
      <c r="CT68" s="15" t="s">
        <v>824</v>
      </c>
      <c r="CV68" s="15">
        <v>0.0</v>
      </c>
      <c r="CW68" s="15">
        <v>1.0</v>
      </c>
      <c r="CX68" s="15" t="s">
        <v>717</v>
      </c>
      <c r="CY68" s="15" t="s">
        <v>718</v>
      </c>
      <c r="DF68" s="15" t="s">
        <v>721</v>
      </c>
      <c r="DG68" s="15" t="s">
        <v>419</v>
      </c>
      <c r="DH68" s="15">
        <v>0.0</v>
      </c>
      <c r="DL68" s="15">
        <v>0.0</v>
      </c>
      <c r="DM68" s="15" t="s">
        <v>990</v>
      </c>
      <c r="DN68" s="15" t="s">
        <v>1016</v>
      </c>
      <c r="DP68" s="15">
        <v>1.0</v>
      </c>
      <c r="DQ68" s="15">
        <v>1.0</v>
      </c>
      <c r="DS68" s="15" t="s">
        <v>1481</v>
      </c>
      <c r="DT68" s="15">
        <v>0.0</v>
      </c>
      <c r="DU68" s="15" t="s">
        <v>726</v>
      </c>
      <c r="DV68" s="15" t="s">
        <v>1482</v>
      </c>
      <c r="DW68" s="15" t="s">
        <v>1483</v>
      </c>
      <c r="DX68" s="15" t="s">
        <v>1484</v>
      </c>
      <c r="EB68" s="15" t="s">
        <v>1485</v>
      </c>
      <c r="EF68" s="15" t="s">
        <v>670</v>
      </c>
      <c r="EG68" s="15" t="s">
        <v>1486</v>
      </c>
      <c r="EH68" s="15" t="s">
        <v>1487</v>
      </c>
      <c r="EI68" s="15" t="s">
        <v>1374</v>
      </c>
      <c r="EL68" s="15" t="s">
        <v>1016</v>
      </c>
      <c r="EO68" s="15" t="s">
        <v>1239</v>
      </c>
      <c r="EX68" s="15" t="s">
        <v>1484</v>
      </c>
      <c r="EY68" s="15" t="s">
        <v>1488</v>
      </c>
      <c r="EZ68" s="15">
        <v>0.0</v>
      </c>
      <c r="FA68" s="15">
        <v>0.0</v>
      </c>
      <c r="FC68" s="15">
        <v>0.0</v>
      </c>
    </row>
    <row r="69" ht="17.25" customHeight="1">
      <c r="A69" s="15" t="s">
        <v>1498</v>
      </c>
      <c r="B69" s="15" t="str">
        <f>"801542972554"</f>
        <v>801542972554</v>
      </c>
      <c r="C69" s="15" t="s">
        <v>11753</v>
      </c>
      <c r="D69" s="15" t="str">
        <f t="shared" si="1"/>
        <v>Ashton NightstandCream Marble</v>
      </c>
      <c r="E69" s="15" t="s">
        <v>1495</v>
      </c>
      <c r="F69" s="15" t="s">
        <v>397</v>
      </c>
      <c r="G69" s="15" t="s">
        <v>1497</v>
      </c>
      <c r="J69" s="15" t="s">
        <v>1497</v>
      </c>
      <c r="K69" s="15" t="s">
        <v>1503</v>
      </c>
      <c r="M69" s="15" t="s">
        <v>1502</v>
      </c>
      <c r="N69" s="15" t="s">
        <v>628</v>
      </c>
      <c r="P69" s="15" t="str">
        <f t="shared" ref="P69:P70" si="186">"30"</f>
        <v>30</v>
      </c>
      <c r="Q69" s="15" t="str">
        <f t="shared" ref="Q69:Q70" si="187">"17"</f>
        <v>17</v>
      </c>
      <c r="R69" s="15" t="str">
        <f t="shared" ref="R69:R70" si="188">"24"</f>
        <v>24</v>
      </c>
      <c r="S69" s="15" t="str">
        <f>"83.77"</f>
        <v>83.77</v>
      </c>
      <c r="T69" s="15" t="s">
        <v>1501</v>
      </c>
      <c r="U69" s="15" t="s">
        <v>11754</v>
      </c>
      <c r="V69" s="15" t="s">
        <v>11553</v>
      </c>
      <c r="AA69" s="15" t="s">
        <v>413</v>
      </c>
      <c r="AB69" s="15" t="s">
        <v>413</v>
      </c>
      <c r="AC69" s="15" t="s">
        <v>1504</v>
      </c>
      <c r="AD69" s="15" t="s">
        <v>11755</v>
      </c>
      <c r="AE69" s="15" t="s">
        <v>1500</v>
      </c>
      <c r="AF69" s="15" t="s">
        <v>11756</v>
      </c>
      <c r="AG69" s="15" t="s">
        <v>11757</v>
      </c>
      <c r="AH69" s="15" t="s">
        <v>11758</v>
      </c>
      <c r="AI69" s="15" t="s">
        <v>11759</v>
      </c>
      <c r="AJ69" s="15" t="s">
        <v>11760</v>
      </c>
      <c r="AK69" s="15" t="s">
        <v>11761</v>
      </c>
      <c r="AL69" s="15" t="s">
        <v>11762</v>
      </c>
      <c r="AM69" s="15" t="s">
        <v>11763</v>
      </c>
      <c r="AN69" s="15" t="s">
        <v>11764</v>
      </c>
      <c r="AO69" s="15" t="s">
        <v>11765</v>
      </c>
      <c r="AP69" s="15" t="s">
        <v>11766</v>
      </c>
      <c r="AQ69" s="15" t="s">
        <v>11767</v>
      </c>
      <c r="AR69" s="15" t="s">
        <v>11768</v>
      </c>
      <c r="AS69" s="15" t="s">
        <v>11769</v>
      </c>
      <c r="AT69" s="15" t="s">
        <v>11770</v>
      </c>
      <c r="BH69" s="15" t="s">
        <v>1496</v>
      </c>
      <c r="BI69" s="15" t="str">
        <f t="shared" ref="BI69:BI70" si="189">"1199"</f>
        <v>1199</v>
      </c>
      <c r="BJ69" s="15" t="str">
        <f t="shared" ref="BJ69:BJ70" si="190">"505"</f>
        <v>505</v>
      </c>
      <c r="BK69" s="15" t="s">
        <v>742</v>
      </c>
      <c r="BL69" s="15" t="str">
        <f t="shared" si="128"/>
        <v>1</v>
      </c>
      <c r="BM69" s="15" t="s">
        <v>416</v>
      </c>
      <c r="BN69" s="15" t="str">
        <f t="shared" ref="BN69:BN70" si="191">"35.83"</f>
        <v>35.83</v>
      </c>
      <c r="BO69" s="15" t="str">
        <f t="shared" ref="BO69:BO70" si="192">"21.65"</f>
        <v>21.65</v>
      </c>
      <c r="BP69" s="15" t="str">
        <f t="shared" ref="BP69:BP70" si="193">"29.53"</f>
        <v>29.53</v>
      </c>
      <c r="BQ69" s="15" t="str">
        <f>"99.21"</f>
        <v>99.21</v>
      </c>
      <c r="CG69" s="15" t="str">
        <f t="shared" ref="CG69:CG70" si="194">"13.24"</f>
        <v>13.24</v>
      </c>
      <c r="CH69" s="15" t="str">
        <f t="shared" ref="CH69:CH70" si="195">"0.375"</f>
        <v>0.375</v>
      </c>
      <c r="CI69" s="15" t="s">
        <v>497</v>
      </c>
      <c r="CM69" s="15" t="s">
        <v>1430</v>
      </c>
      <c r="CN69" s="15" t="s">
        <v>1508</v>
      </c>
      <c r="CO69" s="15" t="s">
        <v>1460</v>
      </c>
      <c r="CZ69" s="15" t="s">
        <v>418</v>
      </c>
      <c r="DA69" s="15">
        <v>1.0</v>
      </c>
      <c r="DB69" s="15" t="s">
        <v>419</v>
      </c>
      <c r="DD69" s="15">
        <v>0.0</v>
      </c>
      <c r="DF69" s="15" t="s">
        <v>1509</v>
      </c>
      <c r="DG69" s="15" t="s">
        <v>610</v>
      </c>
      <c r="DK69" s="15">
        <v>1.0</v>
      </c>
      <c r="DR69" s="15" t="s">
        <v>1112</v>
      </c>
      <c r="DS69" s="15" t="s">
        <v>1510</v>
      </c>
      <c r="DU69" s="15" t="s">
        <v>500</v>
      </c>
      <c r="EF69" s="15" t="s">
        <v>1042</v>
      </c>
      <c r="EU69" s="15" t="s">
        <v>426</v>
      </c>
      <c r="EV69" s="15">
        <v>1.0</v>
      </c>
      <c r="FH69" s="15" t="s">
        <v>1511</v>
      </c>
      <c r="FI69" s="15" t="s">
        <v>1512</v>
      </c>
      <c r="FJ69" s="15" t="s">
        <v>1513</v>
      </c>
      <c r="FK69" s="15" t="s">
        <v>1514</v>
      </c>
      <c r="FL69" s="15" t="s">
        <v>1512</v>
      </c>
      <c r="FM69" s="15" t="s">
        <v>1515</v>
      </c>
      <c r="FO69" s="15" t="s">
        <v>426</v>
      </c>
      <c r="FP69" s="15" t="s">
        <v>785</v>
      </c>
      <c r="FQ69" s="15">
        <v>2.0</v>
      </c>
      <c r="FR69" s="15" t="s">
        <v>614</v>
      </c>
      <c r="FS69" s="15" t="s">
        <v>615</v>
      </c>
      <c r="FU69" s="15" t="s">
        <v>426</v>
      </c>
      <c r="FW69" s="15" t="s">
        <v>616</v>
      </c>
      <c r="FX69" s="15" t="s">
        <v>426</v>
      </c>
      <c r="FZ69" s="15" t="s">
        <v>760</v>
      </c>
      <c r="GB69" s="15" t="s">
        <v>1516</v>
      </c>
      <c r="GD69" s="15" t="s">
        <v>1014</v>
      </c>
      <c r="GF69" s="15" t="s">
        <v>431</v>
      </c>
      <c r="GH69" s="15" t="s">
        <v>1190</v>
      </c>
      <c r="HF69" s="15" t="s">
        <v>1517</v>
      </c>
      <c r="HQ69" s="15" t="s">
        <v>426</v>
      </c>
    </row>
    <row r="70" ht="17.25" customHeight="1">
      <c r="A70" s="15" t="s">
        <v>1520</v>
      </c>
      <c r="B70" s="15" t="str">
        <f>"801542972561"</f>
        <v>801542972561</v>
      </c>
      <c r="C70" s="15" t="s">
        <v>11771</v>
      </c>
      <c r="D70" s="15" t="str">
        <f t="shared" si="1"/>
        <v>Ashton NightstandNatural Poplar Burl</v>
      </c>
      <c r="E70" s="15" t="s">
        <v>1495</v>
      </c>
      <c r="F70" s="15" t="s">
        <v>397</v>
      </c>
      <c r="G70" s="15" t="s">
        <v>1519</v>
      </c>
      <c r="J70" s="15" t="s">
        <v>1519</v>
      </c>
      <c r="M70" s="15" t="s">
        <v>1502</v>
      </c>
      <c r="N70" s="15" t="s">
        <v>628</v>
      </c>
      <c r="P70" s="15" t="str">
        <f t="shared" si="186"/>
        <v>30</v>
      </c>
      <c r="Q70" s="15" t="str">
        <f t="shared" si="187"/>
        <v>17</v>
      </c>
      <c r="R70" s="15" t="str">
        <f t="shared" si="188"/>
        <v>24</v>
      </c>
      <c r="S70" s="15" t="str">
        <f>"74.96"</f>
        <v>74.96</v>
      </c>
      <c r="T70" s="15" t="s">
        <v>1523</v>
      </c>
      <c r="U70" s="15" t="s">
        <v>11772</v>
      </c>
      <c r="AA70" s="15" t="s">
        <v>413</v>
      </c>
      <c r="AB70" s="15" t="s">
        <v>413</v>
      </c>
      <c r="AC70" s="15" t="s">
        <v>1524</v>
      </c>
      <c r="AD70" s="15" t="s">
        <v>11773</v>
      </c>
      <c r="AE70" s="15" t="s">
        <v>1522</v>
      </c>
      <c r="AF70" s="15" t="s">
        <v>11774</v>
      </c>
      <c r="AG70" s="15" t="s">
        <v>11775</v>
      </c>
      <c r="AH70" s="15" t="s">
        <v>11776</v>
      </c>
      <c r="AI70" s="15" t="s">
        <v>11777</v>
      </c>
      <c r="AJ70" s="15" t="s">
        <v>11778</v>
      </c>
      <c r="AK70" s="15" t="s">
        <v>11779</v>
      </c>
      <c r="BH70" s="15" t="s">
        <v>1518</v>
      </c>
      <c r="BI70" s="15" t="str">
        <f t="shared" si="189"/>
        <v>1199</v>
      </c>
      <c r="BJ70" s="15" t="str">
        <f t="shared" si="190"/>
        <v>505</v>
      </c>
      <c r="BK70" s="15" t="s">
        <v>742</v>
      </c>
      <c r="BL70" s="15" t="str">
        <f t="shared" si="128"/>
        <v>1</v>
      </c>
      <c r="BM70" s="15" t="s">
        <v>416</v>
      </c>
      <c r="BN70" s="15" t="str">
        <f t="shared" si="191"/>
        <v>35.83</v>
      </c>
      <c r="BO70" s="15" t="str">
        <f t="shared" si="192"/>
        <v>21.65</v>
      </c>
      <c r="BP70" s="15" t="str">
        <f t="shared" si="193"/>
        <v>29.53</v>
      </c>
      <c r="BQ70" s="15" t="str">
        <f>"90.39"</f>
        <v>90.39</v>
      </c>
      <c r="CG70" s="15" t="str">
        <f t="shared" si="194"/>
        <v>13.24</v>
      </c>
      <c r="CH70" s="15" t="str">
        <f t="shared" si="195"/>
        <v>0.375</v>
      </c>
      <c r="CI70" s="15" t="s">
        <v>497</v>
      </c>
      <c r="CM70" s="15" t="s">
        <v>1430</v>
      </c>
      <c r="CN70" s="15" t="s">
        <v>1508</v>
      </c>
      <c r="CO70" s="15" t="s">
        <v>1460</v>
      </c>
      <c r="CZ70" s="15" t="s">
        <v>418</v>
      </c>
      <c r="DA70" s="15">
        <v>1.0</v>
      </c>
      <c r="DB70" s="15" t="s">
        <v>419</v>
      </c>
      <c r="DD70" s="15">
        <v>0.0</v>
      </c>
      <c r="DF70" s="15" t="s">
        <v>1509</v>
      </c>
      <c r="DG70" s="15" t="s">
        <v>610</v>
      </c>
      <c r="DK70" s="15">
        <v>1.0</v>
      </c>
      <c r="DR70" s="15" t="s">
        <v>1112</v>
      </c>
      <c r="DS70" s="15" t="s">
        <v>1510</v>
      </c>
      <c r="DU70" s="15" t="s">
        <v>500</v>
      </c>
      <c r="EF70" s="15" t="s">
        <v>1042</v>
      </c>
      <c r="EU70" s="15" t="s">
        <v>426</v>
      </c>
      <c r="EV70" s="15">
        <v>1.0</v>
      </c>
      <c r="FH70" s="15" t="s">
        <v>1511</v>
      </c>
      <c r="FI70" s="15" t="s">
        <v>1512</v>
      </c>
      <c r="FJ70" s="15" t="s">
        <v>1513</v>
      </c>
      <c r="FK70" s="15" t="s">
        <v>1514</v>
      </c>
      <c r="FL70" s="15" t="s">
        <v>1512</v>
      </c>
      <c r="FM70" s="15" t="s">
        <v>1515</v>
      </c>
      <c r="FO70" s="15" t="s">
        <v>426</v>
      </c>
      <c r="FP70" s="15" t="s">
        <v>785</v>
      </c>
      <c r="FQ70" s="15">
        <v>2.0</v>
      </c>
      <c r="FR70" s="15" t="s">
        <v>614</v>
      </c>
      <c r="FS70" s="15" t="s">
        <v>615</v>
      </c>
      <c r="FU70" s="15" t="s">
        <v>426</v>
      </c>
      <c r="FW70" s="15" t="s">
        <v>616</v>
      </c>
      <c r="FX70" s="15" t="s">
        <v>426</v>
      </c>
      <c r="FZ70" s="15" t="s">
        <v>760</v>
      </c>
      <c r="GB70" s="15" t="s">
        <v>1516</v>
      </c>
      <c r="GD70" s="15" t="s">
        <v>1014</v>
      </c>
      <c r="GF70" s="15" t="s">
        <v>431</v>
      </c>
      <c r="GH70" s="15" t="s">
        <v>1190</v>
      </c>
      <c r="HF70" s="15" t="s">
        <v>1517</v>
      </c>
      <c r="HQ70" s="15" t="s">
        <v>426</v>
      </c>
    </row>
    <row r="71" ht="17.25" customHeight="1">
      <c r="A71" s="15" t="s">
        <v>1529</v>
      </c>
      <c r="B71" s="15" t="str">
        <f>"801542376949"</f>
        <v>801542376949</v>
      </c>
      <c r="C71" s="15" t="s">
        <v>11780</v>
      </c>
      <c r="D71" s="15" t="str">
        <f t="shared" si="1"/>
        <v>Aspen BenchSandy Oak</v>
      </c>
      <c r="E71" s="15" t="s">
        <v>1526</v>
      </c>
      <c r="F71" s="15" t="s">
        <v>397</v>
      </c>
      <c r="G71" s="15" t="s">
        <v>1528</v>
      </c>
      <c r="J71" s="15" t="s">
        <v>1528</v>
      </c>
      <c r="K71" s="15" t="s">
        <v>1540</v>
      </c>
      <c r="M71" s="15" t="s">
        <v>1539</v>
      </c>
      <c r="N71" s="15" t="s">
        <v>458</v>
      </c>
      <c r="O71" s="15" t="s">
        <v>459</v>
      </c>
      <c r="P71" s="15" t="str">
        <f>"53.25"</f>
        <v>53.25</v>
      </c>
      <c r="Q71" s="15" t="str">
        <f>"21.25"</f>
        <v>21.25</v>
      </c>
      <c r="R71" s="15" t="str">
        <f>"35.75"</f>
        <v>35.75</v>
      </c>
      <c r="S71" s="15" t="str">
        <f>"39.68"</f>
        <v>39.68</v>
      </c>
      <c r="T71" s="15" t="s">
        <v>1532</v>
      </c>
      <c r="U71" s="15" t="s">
        <v>11338</v>
      </c>
      <c r="V71" s="15" t="s">
        <v>11553</v>
      </c>
      <c r="AA71" s="15" t="s">
        <v>413</v>
      </c>
      <c r="AB71" s="15" t="s">
        <v>413</v>
      </c>
      <c r="AC71" s="15" t="s">
        <v>1541</v>
      </c>
      <c r="AD71" s="15" t="s">
        <v>11781</v>
      </c>
      <c r="AE71" s="15" t="s">
        <v>1531</v>
      </c>
      <c r="AF71" s="15" t="s">
        <v>11782</v>
      </c>
      <c r="AG71" s="15" t="s">
        <v>11783</v>
      </c>
      <c r="AH71" s="15" t="s">
        <v>11784</v>
      </c>
      <c r="AI71" s="15" t="s">
        <v>11785</v>
      </c>
      <c r="AJ71" s="15" t="s">
        <v>11786</v>
      </c>
      <c r="AK71" s="15" t="s">
        <v>11787</v>
      </c>
      <c r="AL71" s="15" t="s">
        <v>11788</v>
      </c>
      <c r="AM71" s="15" t="s">
        <v>11789</v>
      </c>
      <c r="AN71" s="15" t="s">
        <v>11790</v>
      </c>
      <c r="AO71" s="15" t="s">
        <v>11791</v>
      </c>
      <c r="BH71" s="15" t="s">
        <v>1527</v>
      </c>
      <c r="BI71" s="15" t="str">
        <f>"999"</f>
        <v>999</v>
      </c>
      <c r="BJ71" s="15" t="str">
        <f>"420"</f>
        <v>420</v>
      </c>
      <c r="BK71" s="15" t="s">
        <v>742</v>
      </c>
      <c r="BL71" s="15" t="str">
        <f t="shared" si="128"/>
        <v>1</v>
      </c>
      <c r="BM71" s="15" t="s">
        <v>416</v>
      </c>
      <c r="BN71" s="15" t="str">
        <f>"58.07"</f>
        <v>58.07</v>
      </c>
      <c r="BO71" s="15" t="str">
        <f>"24.02"</f>
        <v>24.02</v>
      </c>
      <c r="BP71" s="15" t="str">
        <f>"22.83"</f>
        <v>22.83</v>
      </c>
      <c r="BQ71" s="15" t="str">
        <f>"59.52"</f>
        <v>59.52</v>
      </c>
      <c r="CG71" s="15" t="str">
        <f>"18.43"</f>
        <v>18.43</v>
      </c>
      <c r="CH71" s="15" t="str">
        <f>"0.522"</f>
        <v>0.522</v>
      </c>
      <c r="CI71" s="15" t="s">
        <v>417</v>
      </c>
      <c r="CS71" s="15" t="s">
        <v>716</v>
      </c>
      <c r="CT71" s="15" t="s">
        <v>716</v>
      </c>
      <c r="CV71" s="15">
        <v>0.0</v>
      </c>
      <c r="CW71" s="15">
        <v>0.0</v>
      </c>
      <c r="CX71" s="15" t="s">
        <v>717</v>
      </c>
      <c r="CZ71" s="15" t="s">
        <v>419</v>
      </c>
      <c r="DA71" s="15">
        <v>0.0</v>
      </c>
      <c r="DB71" s="15" t="s">
        <v>419</v>
      </c>
      <c r="DD71" s="15">
        <v>0.0</v>
      </c>
      <c r="DF71" s="15" t="s">
        <v>721</v>
      </c>
      <c r="DG71" s="15" t="s">
        <v>419</v>
      </c>
      <c r="DH71" s="15">
        <v>0.0</v>
      </c>
      <c r="DI71" s="15">
        <v>0.0</v>
      </c>
      <c r="DJ71" s="15">
        <v>0.0</v>
      </c>
      <c r="DK71" s="15">
        <v>0.0</v>
      </c>
      <c r="DM71" s="15" t="s">
        <v>470</v>
      </c>
      <c r="DP71" s="15">
        <v>0.0</v>
      </c>
      <c r="DQ71" s="15">
        <v>2.0</v>
      </c>
      <c r="DR71" s="15" t="s">
        <v>471</v>
      </c>
      <c r="DS71" s="15" t="s">
        <v>1544</v>
      </c>
      <c r="DT71" s="15">
        <v>0.0</v>
      </c>
      <c r="DU71" s="15" t="s">
        <v>1545</v>
      </c>
      <c r="DV71" s="15" t="s">
        <v>1461</v>
      </c>
      <c r="DW71" s="15" t="s">
        <v>1547</v>
      </c>
      <c r="DX71" s="15" t="s">
        <v>1548</v>
      </c>
      <c r="EB71" s="15" t="s">
        <v>1042</v>
      </c>
      <c r="EF71" s="15" t="s">
        <v>1549</v>
      </c>
      <c r="EG71" s="15" t="s">
        <v>1550</v>
      </c>
      <c r="EH71" s="15" t="s">
        <v>1551</v>
      </c>
      <c r="EI71" s="15" t="s">
        <v>1070</v>
      </c>
      <c r="EX71" s="15" t="s">
        <v>1552</v>
      </c>
      <c r="EY71" s="15" t="s">
        <v>1553</v>
      </c>
    </row>
    <row r="72" ht="17.25" customHeight="1">
      <c r="A72" s="15" t="s">
        <v>1557</v>
      </c>
      <c r="B72" s="15" t="str">
        <f>"801542834258"</f>
        <v>801542834258</v>
      </c>
      <c r="C72" s="15" t="s">
        <v>11792</v>
      </c>
      <c r="D72" s="15" t="str">
        <f t="shared" si="1"/>
        <v>Atlas Console TableBleached Alder</v>
      </c>
      <c r="E72" s="15" t="s">
        <v>1554</v>
      </c>
      <c r="F72" s="15" t="s">
        <v>397</v>
      </c>
      <c r="G72" s="15" t="s">
        <v>1556</v>
      </c>
      <c r="J72" s="15" t="s">
        <v>1556</v>
      </c>
      <c r="M72" s="15" t="s">
        <v>411</v>
      </c>
      <c r="N72" s="15" t="s">
        <v>519</v>
      </c>
      <c r="P72" s="15" t="str">
        <f t="shared" ref="P72:P73" si="196">"94"</f>
        <v>94</v>
      </c>
      <c r="Q72" s="15" t="str">
        <f t="shared" ref="Q72:Q73" si="197">"22"</f>
        <v>22</v>
      </c>
      <c r="R72" s="15" t="str">
        <f t="shared" ref="R72:R74" si="198">"30"</f>
        <v>30</v>
      </c>
      <c r="S72" s="15" t="str">
        <f>"136.46"</f>
        <v>136.46</v>
      </c>
      <c r="T72" s="15" t="s">
        <v>1560</v>
      </c>
      <c r="U72" s="15" t="s">
        <v>11793</v>
      </c>
      <c r="AA72" s="15" t="s">
        <v>413</v>
      </c>
      <c r="AB72" s="15" t="s">
        <v>413</v>
      </c>
      <c r="AC72" s="15" t="s">
        <v>1563</v>
      </c>
      <c r="AD72" s="15" t="s">
        <v>11794</v>
      </c>
      <c r="AE72" s="15" t="s">
        <v>1559</v>
      </c>
      <c r="AF72" s="15" t="s">
        <v>11795</v>
      </c>
      <c r="AG72" s="15" t="s">
        <v>11796</v>
      </c>
      <c r="AH72" s="15" t="s">
        <v>11797</v>
      </c>
      <c r="AI72" s="15" t="s">
        <v>11798</v>
      </c>
      <c r="AJ72" s="15" t="s">
        <v>11799</v>
      </c>
      <c r="AK72" s="15" t="s">
        <v>11800</v>
      </c>
      <c r="AL72" s="15" t="s">
        <v>11801</v>
      </c>
      <c r="AM72" s="15" t="s">
        <v>11802</v>
      </c>
      <c r="AN72" s="15" t="s">
        <v>11803</v>
      </c>
      <c r="BH72" s="15" t="s">
        <v>1555</v>
      </c>
      <c r="BI72" s="15" t="str">
        <f t="shared" ref="BI72:BI73" si="199">"2599"</f>
        <v>2599</v>
      </c>
      <c r="BJ72" s="15" t="str">
        <f t="shared" ref="BJ72:BJ73" si="200">"1095"</f>
        <v>1095</v>
      </c>
      <c r="BK72" s="15" t="s">
        <v>415</v>
      </c>
      <c r="BL72" s="15" t="str">
        <f t="shared" ref="BL72:BL74" si="201">"2"</f>
        <v>2</v>
      </c>
      <c r="BM72" s="15" t="s">
        <v>1564</v>
      </c>
      <c r="BN72" s="15" t="str">
        <f t="shared" ref="BN72:BN73" si="202">"101.18"</f>
        <v>101.18</v>
      </c>
      <c r="BO72" s="15" t="str">
        <f t="shared" ref="BO72:BO74" si="203">"7.87"</f>
        <v>7.87</v>
      </c>
      <c r="BP72" s="15" t="str">
        <f t="shared" ref="BP72:BP73" si="204">"29.13"</f>
        <v>29.13</v>
      </c>
      <c r="BQ72" s="15" t="str">
        <f t="shared" ref="BQ72:BQ73" si="205">"109.13"</f>
        <v>109.13</v>
      </c>
      <c r="BR72" s="15" t="s">
        <v>1568</v>
      </c>
      <c r="BS72" s="15" t="str">
        <f t="shared" ref="BS72:BS73" si="206">"43.78"</f>
        <v>43.78</v>
      </c>
      <c r="BT72" s="15" t="str">
        <f t="shared" ref="BT72:BT73" si="207">"23.62"</f>
        <v>23.62</v>
      </c>
      <c r="BU72" s="15" t="str">
        <f t="shared" ref="BU72:BU73" si="208">"34.06"</f>
        <v>34.06</v>
      </c>
      <c r="BV72" s="15" t="str">
        <f t="shared" ref="BV72:BV73" si="209">"93.7"</f>
        <v>93.7</v>
      </c>
      <c r="CG72" s="15" t="str">
        <f t="shared" ref="CG72:CG73" si="210">"33.8"</f>
        <v>33.8</v>
      </c>
      <c r="CH72" s="15" t="str">
        <f t="shared" ref="CH72:CH73" si="211">"0.957"</f>
        <v>0.957</v>
      </c>
      <c r="CI72" s="15" t="s">
        <v>465</v>
      </c>
      <c r="CZ72" s="15" t="s">
        <v>419</v>
      </c>
      <c r="DA72" s="15">
        <v>0.0</v>
      </c>
      <c r="DB72" s="15" t="s">
        <v>419</v>
      </c>
      <c r="DD72" s="15">
        <v>0.0</v>
      </c>
      <c r="DF72" s="15" t="s">
        <v>420</v>
      </c>
      <c r="DG72" s="15" t="s">
        <v>419</v>
      </c>
      <c r="DK72" s="15">
        <v>0.0</v>
      </c>
      <c r="DR72" s="15" t="s">
        <v>471</v>
      </c>
      <c r="DS72" s="15" t="s">
        <v>1573</v>
      </c>
      <c r="DU72" s="15" t="s">
        <v>424</v>
      </c>
      <c r="EF72" s="15" t="s">
        <v>1574</v>
      </c>
      <c r="EH72" s="15" t="s">
        <v>1575</v>
      </c>
      <c r="EQ72" s="15" t="s">
        <v>1213</v>
      </c>
      <c r="ER72" s="15" t="s">
        <v>1574</v>
      </c>
      <c r="ES72" s="15" t="s">
        <v>1213</v>
      </c>
      <c r="ET72" s="15" t="s">
        <v>672</v>
      </c>
      <c r="EU72" s="15" t="s">
        <v>426</v>
      </c>
      <c r="EV72" s="15">
        <v>0.0</v>
      </c>
      <c r="EW72" s="15">
        <v>0.0</v>
      </c>
      <c r="FF72" s="15" t="s">
        <v>1576</v>
      </c>
      <c r="FQ72" s="15">
        <v>0.0</v>
      </c>
      <c r="FR72" s="15" t="s">
        <v>427</v>
      </c>
    </row>
    <row r="73" ht="17.25" customHeight="1">
      <c r="A73" s="15" t="s">
        <v>1579</v>
      </c>
      <c r="B73" s="15" t="str">
        <f>"801542236939"</f>
        <v>801542236939</v>
      </c>
      <c r="C73" s="15" t="s">
        <v>11804</v>
      </c>
      <c r="D73" s="15" t="str">
        <f t="shared" si="1"/>
        <v>Atlas Console TableSmoked Alder94</v>
      </c>
      <c r="E73" s="15" t="s">
        <v>1554</v>
      </c>
      <c r="F73" s="15" t="s">
        <v>397</v>
      </c>
      <c r="G73" s="15" t="s">
        <v>1578</v>
      </c>
      <c r="H73" s="15" t="s">
        <v>265</v>
      </c>
      <c r="I73" s="15" t="s">
        <v>770</v>
      </c>
      <c r="J73" s="15" t="s">
        <v>1578</v>
      </c>
      <c r="M73" s="15" t="s">
        <v>411</v>
      </c>
      <c r="N73" s="15" t="s">
        <v>519</v>
      </c>
      <c r="P73" s="15" t="str">
        <f t="shared" si="196"/>
        <v>94</v>
      </c>
      <c r="Q73" s="15" t="str">
        <f t="shared" si="197"/>
        <v>22</v>
      </c>
      <c r="R73" s="15" t="str">
        <f t="shared" si="198"/>
        <v>30</v>
      </c>
      <c r="S73" s="15" t="str">
        <f>"136.35"</f>
        <v>136.35</v>
      </c>
      <c r="T73" s="15" t="s">
        <v>1560</v>
      </c>
      <c r="U73" s="15" t="s">
        <v>11793</v>
      </c>
      <c r="AA73" s="15" t="s">
        <v>413</v>
      </c>
      <c r="AB73" s="15" t="s">
        <v>413</v>
      </c>
      <c r="AC73" s="15" t="s">
        <v>1582</v>
      </c>
      <c r="AD73" s="15" t="s">
        <v>11805</v>
      </c>
      <c r="AE73" s="15" t="s">
        <v>1581</v>
      </c>
      <c r="AF73" s="15" t="s">
        <v>11806</v>
      </c>
      <c r="AG73" s="15" t="s">
        <v>11807</v>
      </c>
      <c r="AH73" s="15" t="s">
        <v>11808</v>
      </c>
      <c r="AI73" s="15" t="s">
        <v>11809</v>
      </c>
      <c r="AJ73" s="15" t="s">
        <v>11810</v>
      </c>
      <c r="AK73" s="15" t="s">
        <v>11811</v>
      </c>
      <c r="AL73" s="15" t="s">
        <v>11812</v>
      </c>
      <c r="AM73" s="15" t="s">
        <v>11813</v>
      </c>
      <c r="AN73" s="15" t="s">
        <v>11814</v>
      </c>
      <c r="AO73" s="15" t="s">
        <v>11815</v>
      </c>
      <c r="AP73" s="15" t="s">
        <v>11816</v>
      </c>
      <c r="AQ73" s="15" t="s">
        <v>11817</v>
      </c>
      <c r="AR73" s="15" t="s">
        <v>11818</v>
      </c>
      <c r="AS73" s="15" t="s">
        <v>11819</v>
      </c>
      <c r="AT73" s="15" t="s">
        <v>11820</v>
      </c>
      <c r="BH73" s="15" t="s">
        <v>1577</v>
      </c>
      <c r="BI73" s="15" t="str">
        <f t="shared" si="199"/>
        <v>2599</v>
      </c>
      <c r="BJ73" s="15" t="str">
        <f t="shared" si="200"/>
        <v>1095</v>
      </c>
      <c r="BK73" s="15" t="s">
        <v>415</v>
      </c>
      <c r="BL73" s="15" t="str">
        <f t="shared" si="201"/>
        <v>2</v>
      </c>
      <c r="BM73" s="15" t="s">
        <v>1564</v>
      </c>
      <c r="BN73" s="15" t="str">
        <f t="shared" si="202"/>
        <v>101.18</v>
      </c>
      <c r="BO73" s="15" t="str">
        <f t="shared" si="203"/>
        <v>7.87</v>
      </c>
      <c r="BP73" s="15" t="str">
        <f t="shared" si="204"/>
        <v>29.13</v>
      </c>
      <c r="BQ73" s="15" t="str">
        <f t="shared" si="205"/>
        <v>109.13</v>
      </c>
      <c r="BR73" s="15" t="s">
        <v>1568</v>
      </c>
      <c r="BS73" s="15" t="str">
        <f t="shared" si="206"/>
        <v>43.78</v>
      </c>
      <c r="BT73" s="15" t="str">
        <f t="shared" si="207"/>
        <v>23.62</v>
      </c>
      <c r="BU73" s="15" t="str">
        <f t="shared" si="208"/>
        <v>34.06</v>
      </c>
      <c r="BV73" s="15" t="str">
        <f t="shared" si="209"/>
        <v>93.7</v>
      </c>
      <c r="CG73" s="15" t="str">
        <f t="shared" si="210"/>
        <v>33.8</v>
      </c>
      <c r="CH73" s="15" t="str">
        <f t="shared" si="211"/>
        <v>0.957</v>
      </c>
      <c r="CI73" s="15" t="s">
        <v>465</v>
      </c>
      <c r="CZ73" s="15" t="s">
        <v>419</v>
      </c>
      <c r="DA73" s="15">
        <v>0.0</v>
      </c>
      <c r="DB73" s="15" t="s">
        <v>419</v>
      </c>
      <c r="DD73" s="15">
        <v>0.0</v>
      </c>
      <c r="DF73" s="15" t="s">
        <v>420</v>
      </c>
      <c r="DG73" s="15" t="s">
        <v>419</v>
      </c>
      <c r="DK73" s="15">
        <v>0.0</v>
      </c>
      <c r="DR73" s="15" t="s">
        <v>471</v>
      </c>
      <c r="DS73" s="15" t="s">
        <v>1573</v>
      </c>
      <c r="DU73" s="15" t="s">
        <v>424</v>
      </c>
      <c r="EF73" s="15" t="s">
        <v>1574</v>
      </c>
      <c r="EH73" s="15" t="s">
        <v>1575</v>
      </c>
      <c r="EQ73" s="15" t="s">
        <v>1213</v>
      </c>
      <c r="ER73" s="15" t="s">
        <v>1574</v>
      </c>
      <c r="ES73" s="15" t="s">
        <v>1213</v>
      </c>
      <c r="ET73" s="15" t="s">
        <v>672</v>
      </c>
      <c r="EU73" s="15" t="s">
        <v>426</v>
      </c>
      <c r="EV73" s="15">
        <v>0.0</v>
      </c>
      <c r="EW73" s="15">
        <v>0.0</v>
      </c>
      <c r="FF73" s="15" t="s">
        <v>1576</v>
      </c>
      <c r="FQ73" s="15">
        <v>0.0</v>
      </c>
      <c r="FR73" s="15" t="s">
        <v>427</v>
      </c>
    </row>
    <row r="74" ht="17.25" customHeight="1">
      <c r="A74" s="15" t="s">
        <v>1584</v>
      </c>
      <c r="B74" s="15" t="str">
        <f>"198394000949"</f>
        <v>198394000949</v>
      </c>
      <c r="C74" s="15" t="s">
        <v>11804</v>
      </c>
      <c r="D74" s="15" t="str">
        <f t="shared" si="1"/>
        <v>Atlas Console TableSmoked Alder70</v>
      </c>
      <c r="E74" s="15" t="s">
        <v>1554</v>
      </c>
      <c r="F74" s="15" t="s">
        <v>397</v>
      </c>
      <c r="G74" s="15" t="s">
        <v>1578</v>
      </c>
      <c r="H74" s="15" t="s">
        <v>265</v>
      </c>
      <c r="I74" s="15" t="s">
        <v>452</v>
      </c>
      <c r="J74" s="15" t="s">
        <v>1578</v>
      </c>
      <c r="M74" s="15" t="s">
        <v>411</v>
      </c>
      <c r="N74" s="15" t="s">
        <v>519</v>
      </c>
      <c r="P74" s="15" t="str">
        <f>"70"</f>
        <v>70</v>
      </c>
      <c r="Q74" s="15" t="str">
        <f>"18"</f>
        <v>18</v>
      </c>
      <c r="R74" s="15" t="str">
        <f t="shared" si="198"/>
        <v>30</v>
      </c>
      <c r="S74" s="15" t="str">
        <f>"101.41"</f>
        <v>101.41</v>
      </c>
      <c r="T74" s="15" t="s">
        <v>1560</v>
      </c>
      <c r="U74" s="15" t="s">
        <v>11793</v>
      </c>
      <c r="AA74" s="15" t="s">
        <v>413</v>
      </c>
      <c r="AB74" s="15" t="s">
        <v>413</v>
      </c>
      <c r="AC74" s="15" t="s">
        <v>1587</v>
      </c>
      <c r="AD74" s="15" t="s">
        <v>11821</v>
      </c>
      <c r="AE74" s="15" t="s">
        <v>1586</v>
      </c>
      <c r="AF74" s="15" t="s">
        <v>11822</v>
      </c>
      <c r="AG74" s="15" t="s">
        <v>11823</v>
      </c>
      <c r="AH74" s="15" t="s">
        <v>11824</v>
      </c>
      <c r="AI74" s="15" t="s">
        <v>11825</v>
      </c>
      <c r="AJ74" s="15" t="s">
        <v>11826</v>
      </c>
      <c r="AK74" s="15" t="s">
        <v>11827</v>
      </c>
      <c r="AL74" s="15" t="s">
        <v>11828</v>
      </c>
      <c r="AM74" s="15" t="s">
        <v>11829</v>
      </c>
      <c r="AN74" s="15" t="s">
        <v>11830</v>
      </c>
      <c r="BH74" s="15" t="s">
        <v>1583</v>
      </c>
      <c r="BI74" s="15" t="str">
        <f>"2499"</f>
        <v>2499</v>
      </c>
      <c r="BJ74" s="15" t="str">
        <f>"1050"</f>
        <v>1050</v>
      </c>
      <c r="BK74" s="15" t="s">
        <v>415</v>
      </c>
      <c r="BL74" s="15" t="str">
        <f t="shared" si="201"/>
        <v>2</v>
      </c>
      <c r="BM74" s="15" t="s">
        <v>1564</v>
      </c>
      <c r="BN74" s="15" t="str">
        <f>"76.38"</f>
        <v>76.38</v>
      </c>
      <c r="BO74" s="15" t="str">
        <f t="shared" si="203"/>
        <v>7.87</v>
      </c>
      <c r="BP74" s="15" t="str">
        <f>"25.2"</f>
        <v>25.2</v>
      </c>
      <c r="BQ74" s="15" t="str">
        <f>"67.57"</f>
        <v>67.57</v>
      </c>
      <c r="BR74" s="15" t="s">
        <v>1590</v>
      </c>
      <c r="BS74" s="15" t="str">
        <f>"37.8"</f>
        <v>37.8</v>
      </c>
      <c r="BT74" s="15" t="str">
        <f>"20.87"</f>
        <v>20.87</v>
      </c>
      <c r="BU74" s="15" t="str">
        <f>"34.65"</f>
        <v>34.65</v>
      </c>
      <c r="BV74" s="15" t="str">
        <f>"84.99"</f>
        <v>84.99</v>
      </c>
      <c r="CG74" s="15" t="str">
        <f>"24.58"</f>
        <v>24.58</v>
      </c>
      <c r="CH74" s="15" t="str">
        <f>"0.696"</f>
        <v>0.696</v>
      </c>
      <c r="CI74" s="15" t="s">
        <v>465</v>
      </c>
      <c r="CZ74" s="15" t="s">
        <v>419</v>
      </c>
      <c r="DA74" s="15">
        <v>0.0</v>
      </c>
      <c r="DB74" s="15" t="s">
        <v>419</v>
      </c>
      <c r="DD74" s="15">
        <v>0.0</v>
      </c>
      <c r="DF74" s="15" t="s">
        <v>420</v>
      </c>
      <c r="DG74" s="15" t="s">
        <v>419</v>
      </c>
      <c r="DK74" s="15">
        <v>0.0</v>
      </c>
      <c r="DR74" s="15" t="s">
        <v>471</v>
      </c>
      <c r="DS74" s="15" t="s">
        <v>1573</v>
      </c>
      <c r="DU74" s="15" t="s">
        <v>500</v>
      </c>
      <c r="EF74" s="15" t="s">
        <v>1574</v>
      </c>
      <c r="EH74" s="15" t="s">
        <v>467</v>
      </c>
      <c r="EQ74" s="15" t="s">
        <v>1592</v>
      </c>
      <c r="ER74" s="15" t="s">
        <v>1574</v>
      </c>
      <c r="ES74" s="15" t="s">
        <v>1592</v>
      </c>
      <c r="ET74" s="15" t="s">
        <v>672</v>
      </c>
      <c r="EU74" s="15" t="s">
        <v>426</v>
      </c>
      <c r="EV74" s="15">
        <v>0.0</v>
      </c>
      <c r="EW74" s="15">
        <v>0.0</v>
      </c>
      <c r="FF74" s="15" t="s">
        <v>1593</v>
      </c>
      <c r="FQ74" s="15">
        <v>0.0</v>
      </c>
      <c r="FR74" s="15" t="s">
        <v>427</v>
      </c>
    </row>
    <row r="75" ht="17.25" customHeight="1">
      <c r="A75" s="15" t="s">
        <v>1597</v>
      </c>
      <c r="B75" s="15" t="str">
        <f>"801542744267"</f>
        <v>801542744267</v>
      </c>
      <c r="C75" s="15" t="s">
        <v>11831</v>
      </c>
      <c r="D75" s="15" t="str">
        <f t="shared" si="1"/>
        <v>Audie Swivel ChairHeirloom Sienna</v>
      </c>
      <c r="E75" s="15" t="s">
        <v>1594</v>
      </c>
      <c r="F75" s="15" t="s">
        <v>397</v>
      </c>
      <c r="G75" s="15" t="s">
        <v>1596</v>
      </c>
      <c r="J75" s="15" t="s">
        <v>1596</v>
      </c>
      <c r="M75" s="15" t="s">
        <v>1539</v>
      </c>
      <c r="N75" s="15" t="s">
        <v>706</v>
      </c>
      <c r="O75" s="15" t="s">
        <v>707</v>
      </c>
      <c r="P75" s="15" t="str">
        <f t="shared" ref="P75:P76" si="212">"35.5"</f>
        <v>35.5</v>
      </c>
      <c r="Q75" s="15" t="str">
        <f t="shared" ref="Q75:Q76" si="213">"35.75"</f>
        <v>35.75</v>
      </c>
      <c r="R75" s="15" t="str">
        <f t="shared" ref="R75:R76" si="214">"29"</f>
        <v>29</v>
      </c>
      <c r="S75" s="15" t="str">
        <f t="shared" ref="S75:S76" si="215">"66.14"</f>
        <v>66.14</v>
      </c>
      <c r="T75" s="15" t="s">
        <v>1600</v>
      </c>
      <c r="U75" s="15" t="s">
        <v>11137</v>
      </c>
      <c r="AA75" s="15" t="s">
        <v>413</v>
      </c>
      <c r="AB75" s="15" t="s">
        <v>413</v>
      </c>
      <c r="AC75" s="15" t="s">
        <v>1601</v>
      </c>
      <c r="AD75" s="15" t="s">
        <v>11832</v>
      </c>
      <c r="AE75" s="15" t="s">
        <v>1599</v>
      </c>
      <c r="AF75" s="15" t="s">
        <v>11833</v>
      </c>
      <c r="AG75" s="15" t="s">
        <v>11834</v>
      </c>
      <c r="AH75" s="15" t="s">
        <v>11835</v>
      </c>
      <c r="AI75" s="15" t="s">
        <v>11836</v>
      </c>
      <c r="AJ75" s="15" t="s">
        <v>11837</v>
      </c>
      <c r="AK75" s="15" t="s">
        <v>11838</v>
      </c>
      <c r="AL75" s="15" t="s">
        <v>11839</v>
      </c>
      <c r="AM75" s="15" t="s">
        <v>11840</v>
      </c>
      <c r="AN75" s="15" t="s">
        <v>11841</v>
      </c>
      <c r="AO75" s="15" t="s">
        <v>11842</v>
      </c>
      <c r="AP75" s="15" t="s">
        <v>11843</v>
      </c>
      <c r="BH75" s="15" t="s">
        <v>1595</v>
      </c>
      <c r="BI75" s="15" t="str">
        <f>"1799"</f>
        <v>1799</v>
      </c>
      <c r="BJ75" s="15" t="str">
        <f>"760"</f>
        <v>760</v>
      </c>
      <c r="BK75" s="15" t="s">
        <v>742</v>
      </c>
      <c r="BL75" s="15" t="str">
        <f t="shared" ref="BL75:BL76" si="216">"1"</f>
        <v>1</v>
      </c>
      <c r="BM75" s="15" t="s">
        <v>416</v>
      </c>
      <c r="BN75" s="15" t="str">
        <f t="shared" ref="BN75:BN76" si="217">"38.39"</f>
        <v>38.39</v>
      </c>
      <c r="BO75" s="15" t="str">
        <f t="shared" ref="BO75:BO76" si="218">"37.8"</f>
        <v>37.8</v>
      </c>
      <c r="BP75" s="15" t="str">
        <f t="shared" ref="BP75:BP76" si="219">"32.28"</f>
        <v>32.28</v>
      </c>
      <c r="BQ75" s="15" t="str">
        <f t="shared" ref="BQ75:BQ76" si="220">"85.98"</f>
        <v>85.98</v>
      </c>
      <c r="CG75" s="15" t="str">
        <f t="shared" ref="CG75:CG76" si="221">"27.12"</f>
        <v>27.12</v>
      </c>
      <c r="CH75" s="15" t="str">
        <f t="shared" ref="CH75:CH76" si="222">"0.768"</f>
        <v>0.768</v>
      </c>
      <c r="CI75" s="15" t="s">
        <v>417</v>
      </c>
      <c r="CS75" s="15" t="s">
        <v>1603</v>
      </c>
      <c r="CT75" s="15" t="s">
        <v>1604</v>
      </c>
      <c r="CU75" s="15" t="s">
        <v>1068</v>
      </c>
      <c r="CV75" s="15">
        <v>0.0</v>
      </c>
      <c r="CW75" s="15">
        <v>0.0</v>
      </c>
      <c r="CX75" s="15" t="s">
        <v>469</v>
      </c>
      <c r="CY75" s="15" t="s">
        <v>718</v>
      </c>
      <c r="DF75" s="15" t="s">
        <v>721</v>
      </c>
      <c r="DG75" s="15" t="s">
        <v>1605</v>
      </c>
      <c r="DH75" s="15">
        <v>0.0</v>
      </c>
      <c r="DL75" s="15">
        <v>0.0</v>
      </c>
      <c r="DM75" s="15" t="s">
        <v>990</v>
      </c>
      <c r="DP75" s="15">
        <v>0.0</v>
      </c>
      <c r="DQ75" s="15">
        <v>1.0</v>
      </c>
      <c r="DS75" s="15" t="s">
        <v>1606</v>
      </c>
      <c r="DT75" s="15">
        <v>0.0</v>
      </c>
      <c r="DU75" s="15" t="s">
        <v>726</v>
      </c>
      <c r="EF75" s="15" t="s">
        <v>1607</v>
      </c>
      <c r="EI75" s="15" t="s">
        <v>1608</v>
      </c>
      <c r="EO75" s="15" t="s">
        <v>860</v>
      </c>
      <c r="EZ75" s="15">
        <v>0.0</v>
      </c>
      <c r="FA75" s="15">
        <v>0.0</v>
      </c>
      <c r="FB75" s="15" t="s">
        <v>1609</v>
      </c>
      <c r="FC75" s="15">
        <v>0.0</v>
      </c>
      <c r="HU75" s="15" t="s">
        <v>1610</v>
      </c>
    </row>
    <row r="76" ht="17.25" customHeight="1">
      <c r="A76" s="15" t="s">
        <v>1613</v>
      </c>
      <c r="B76" s="15" t="str">
        <f>"801542044060"</f>
        <v>801542044060</v>
      </c>
      <c r="C76" s="15" t="s">
        <v>11844</v>
      </c>
      <c r="D76" s="15" t="str">
        <f t="shared" si="1"/>
        <v>Audie Swivel ChairSurrey Olive</v>
      </c>
      <c r="E76" s="15" t="s">
        <v>1594</v>
      </c>
      <c r="F76" s="15" t="s">
        <v>397</v>
      </c>
      <c r="G76" s="15" t="s">
        <v>1612</v>
      </c>
      <c r="J76" s="15" t="s">
        <v>1612</v>
      </c>
      <c r="M76" s="15" t="s">
        <v>1539</v>
      </c>
      <c r="N76" s="15" t="s">
        <v>706</v>
      </c>
      <c r="O76" s="15" t="s">
        <v>707</v>
      </c>
      <c r="P76" s="15" t="str">
        <f t="shared" si="212"/>
        <v>35.5</v>
      </c>
      <c r="Q76" s="15" t="str">
        <f t="shared" si="213"/>
        <v>35.75</v>
      </c>
      <c r="R76" s="15" t="str">
        <f t="shared" si="214"/>
        <v>29</v>
      </c>
      <c r="S76" s="15" t="str">
        <f t="shared" si="215"/>
        <v>66.14</v>
      </c>
      <c r="T76" s="15" t="s">
        <v>1615</v>
      </c>
      <c r="U76" s="15" t="s">
        <v>11845</v>
      </c>
      <c r="V76" s="15" t="s">
        <v>11846</v>
      </c>
      <c r="AA76" s="15" t="s">
        <v>413</v>
      </c>
      <c r="AB76" s="15" t="s">
        <v>413</v>
      </c>
      <c r="AC76" s="15" t="s">
        <v>1616</v>
      </c>
      <c r="AD76" s="15" t="s">
        <v>11847</v>
      </c>
      <c r="AE76" s="15" t="s">
        <v>1614</v>
      </c>
      <c r="AF76" s="15" t="s">
        <v>11848</v>
      </c>
      <c r="AG76" s="15" t="s">
        <v>11849</v>
      </c>
      <c r="AH76" s="15" t="s">
        <v>11850</v>
      </c>
      <c r="AI76" s="15" t="s">
        <v>11851</v>
      </c>
      <c r="AJ76" s="15" t="s">
        <v>11852</v>
      </c>
      <c r="AK76" s="15" t="s">
        <v>11853</v>
      </c>
      <c r="AL76" s="15" t="s">
        <v>11854</v>
      </c>
      <c r="AM76" s="15" t="s">
        <v>11855</v>
      </c>
      <c r="AN76" s="15" t="s">
        <v>11856</v>
      </c>
      <c r="BH76" s="15" t="s">
        <v>1611</v>
      </c>
      <c r="BI76" s="15" t="str">
        <f>"1299"</f>
        <v>1299</v>
      </c>
      <c r="BJ76" s="15" t="str">
        <f>"550"</f>
        <v>550</v>
      </c>
      <c r="BK76" s="15" t="s">
        <v>742</v>
      </c>
      <c r="BL76" s="15" t="str">
        <f t="shared" si="216"/>
        <v>1</v>
      </c>
      <c r="BM76" s="15" t="s">
        <v>416</v>
      </c>
      <c r="BN76" s="15" t="str">
        <f t="shared" si="217"/>
        <v>38.39</v>
      </c>
      <c r="BO76" s="15" t="str">
        <f t="shared" si="218"/>
        <v>37.8</v>
      </c>
      <c r="BP76" s="15" t="str">
        <f t="shared" si="219"/>
        <v>32.28</v>
      </c>
      <c r="BQ76" s="15" t="str">
        <f t="shared" si="220"/>
        <v>85.98</v>
      </c>
      <c r="CG76" s="15" t="str">
        <f t="shared" si="221"/>
        <v>27.12</v>
      </c>
      <c r="CH76" s="15" t="str">
        <f t="shared" si="222"/>
        <v>0.768</v>
      </c>
      <c r="CI76" s="15" t="s">
        <v>417</v>
      </c>
      <c r="CS76" s="15" t="s">
        <v>1603</v>
      </c>
      <c r="CT76" s="15" t="s">
        <v>1604</v>
      </c>
      <c r="CU76" s="15" t="s">
        <v>1068</v>
      </c>
      <c r="CV76" s="15">
        <v>0.0</v>
      </c>
      <c r="CW76" s="15">
        <v>0.0</v>
      </c>
      <c r="CX76" s="15" t="s">
        <v>469</v>
      </c>
      <c r="CY76" s="15" t="s">
        <v>718</v>
      </c>
      <c r="DF76" s="15" t="s">
        <v>721</v>
      </c>
      <c r="DG76" s="15" t="s">
        <v>1605</v>
      </c>
      <c r="DH76" s="15">
        <v>0.0</v>
      </c>
      <c r="DL76" s="15">
        <v>30000.0</v>
      </c>
      <c r="DM76" s="15" t="s">
        <v>990</v>
      </c>
      <c r="DP76" s="15">
        <v>0.0</v>
      </c>
      <c r="DQ76" s="15">
        <v>1.0</v>
      </c>
      <c r="DS76" s="15" t="s">
        <v>1606</v>
      </c>
      <c r="DT76" s="15">
        <v>0.0</v>
      </c>
      <c r="DU76" s="15" t="s">
        <v>726</v>
      </c>
      <c r="EF76" s="15" t="s">
        <v>1607</v>
      </c>
      <c r="EI76" s="15" t="s">
        <v>1608</v>
      </c>
      <c r="EO76" s="15" t="s">
        <v>860</v>
      </c>
      <c r="EZ76" s="15">
        <v>0.0</v>
      </c>
      <c r="FA76" s="15">
        <v>0.0</v>
      </c>
      <c r="FB76" s="15" t="s">
        <v>1609</v>
      </c>
      <c r="FC76" s="15">
        <v>0.0</v>
      </c>
      <c r="HU76" s="15" t="s">
        <v>1610</v>
      </c>
    </row>
    <row r="77" ht="17.25" customHeight="1">
      <c r="A77" s="15" t="s">
        <v>1620</v>
      </c>
      <c r="B77" s="15" t="str">
        <f>"198394086578"</f>
        <v>198394086578</v>
      </c>
      <c r="C77" s="15" t="s">
        <v>11857</v>
      </c>
      <c r="D77" s="15" t="str">
        <f t="shared" si="1"/>
        <v>Augustine 3-Piece SectionalCrypton Nomad Taupe</v>
      </c>
      <c r="E77" s="15" t="s">
        <v>1617</v>
      </c>
      <c r="F77" s="15" t="s">
        <v>397</v>
      </c>
      <c r="G77" s="15" t="s">
        <v>1619</v>
      </c>
      <c r="J77" s="15" t="s">
        <v>1619</v>
      </c>
      <c r="M77" s="15" t="s">
        <v>1628</v>
      </c>
      <c r="N77" s="15" t="s">
        <v>1629</v>
      </c>
      <c r="O77" s="15" t="s">
        <v>1630</v>
      </c>
      <c r="P77" s="15" t="str">
        <f t="shared" ref="P77:Q77" si="223">"105.5"</f>
        <v>105.5</v>
      </c>
      <c r="Q77" s="15" t="str">
        <f t="shared" si="223"/>
        <v>105.5</v>
      </c>
      <c r="R77" s="15" t="str">
        <f t="shared" ref="R77:R82" si="226">"26.5"</f>
        <v>26.5</v>
      </c>
      <c r="S77" s="15" t="str">
        <f t="shared" ref="S77:S82" si="227">"249.13"</f>
        <v>249.13</v>
      </c>
      <c r="T77" s="15" t="s">
        <v>1623</v>
      </c>
      <c r="U77" s="15" t="s">
        <v>11858</v>
      </c>
      <c r="V77" s="15" t="s">
        <v>11859</v>
      </c>
      <c r="AA77" s="15" t="s">
        <v>426</v>
      </c>
      <c r="AB77" s="15" t="s">
        <v>426</v>
      </c>
      <c r="AC77" s="15" t="s">
        <v>1631</v>
      </c>
      <c r="AD77" s="15" t="s">
        <v>11860</v>
      </c>
      <c r="AE77" s="15" t="s">
        <v>1622</v>
      </c>
      <c r="AF77" s="15" t="s">
        <v>11861</v>
      </c>
      <c r="AG77" s="15" t="s">
        <v>11862</v>
      </c>
      <c r="AH77" s="15" t="s">
        <v>11863</v>
      </c>
      <c r="AI77" s="15" t="s">
        <v>11864</v>
      </c>
      <c r="BH77" s="15" t="s">
        <v>1618</v>
      </c>
      <c r="BI77" s="15" t="str">
        <f>"4699"</f>
        <v>4699</v>
      </c>
      <c r="BJ77" s="15" t="str">
        <f>"1975"</f>
        <v>1975</v>
      </c>
      <c r="BK77" s="15" t="s">
        <v>709</v>
      </c>
      <c r="BL77" s="15" t="str">
        <f t="shared" ref="BL77:BL82" si="228">"3"</f>
        <v>3</v>
      </c>
      <c r="BM77" s="15" t="s">
        <v>416</v>
      </c>
      <c r="BN77" s="15" t="str">
        <f t="shared" ref="BN77:BN82" si="229">"72.05"</f>
        <v>72.05</v>
      </c>
      <c r="BO77" s="15" t="str">
        <f t="shared" ref="BO77:BO82" si="230">"35.04"</f>
        <v>35.04</v>
      </c>
      <c r="BP77" s="15" t="str">
        <f t="shared" ref="BP77:BP82" si="231">"27.17"</f>
        <v>27.17</v>
      </c>
      <c r="BQ77" s="15" t="str">
        <f t="shared" ref="BQ77:BQ82" si="232">"116.84"</f>
        <v>116.84</v>
      </c>
      <c r="BR77" s="15" t="s">
        <v>416</v>
      </c>
      <c r="BS77" s="15" t="str">
        <f t="shared" ref="BS77:BS82" si="233">"72.05"</f>
        <v>72.05</v>
      </c>
      <c r="BT77" s="15" t="str">
        <f t="shared" ref="BT77:BT82" si="234">"35.04"</f>
        <v>35.04</v>
      </c>
      <c r="BU77" s="15" t="str">
        <f t="shared" ref="BU77:BU82" si="235">"27.17"</f>
        <v>27.17</v>
      </c>
      <c r="BV77" s="15" t="str">
        <f t="shared" ref="BV77:BV82" si="236">"116.84"</f>
        <v>116.84</v>
      </c>
      <c r="BW77" s="15" t="s">
        <v>416</v>
      </c>
      <c r="BX77" s="15" t="str">
        <f t="shared" ref="BX77:BY77" si="224">"35.04"</f>
        <v>35.04</v>
      </c>
      <c r="BY77" s="15" t="str">
        <f t="shared" si="224"/>
        <v>35.04</v>
      </c>
      <c r="BZ77" s="15" t="str">
        <f t="shared" ref="BZ77:BZ82" si="238">"27.17"</f>
        <v>27.17</v>
      </c>
      <c r="CA77" s="15" t="str">
        <f t="shared" ref="CA77:CA82" si="239">"66.14"</f>
        <v>66.14</v>
      </c>
      <c r="CG77" s="15" t="str">
        <f t="shared" ref="CG77:CG82" si="240">"98.7"</f>
        <v>98.7</v>
      </c>
      <c r="CH77" s="15" t="str">
        <f t="shared" ref="CH77:CH82" si="241">"2.795"</f>
        <v>2.795</v>
      </c>
      <c r="CI77" s="15" t="s">
        <v>497</v>
      </c>
      <c r="CX77" s="15" t="s">
        <v>717</v>
      </c>
      <c r="CY77" s="15" t="s">
        <v>897</v>
      </c>
      <c r="DF77" s="15" t="s">
        <v>721</v>
      </c>
      <c r="DG77" s="15" t="s">
        <v>419</v>
      </c>
      <c r="DL77" s="15">
        <v>50000.0</v>
      </c>
      <c r="DM77" s="15" t="s">
        <v>990</v>
      </c>
      <c r="DN77" s="15" t="s">
        <v>1016</v>
      </c>
      <c r="DQ77" s="15">
        <v>5.0</v>
      </c>
      <c r="DR77" s="15" t="s">
        <v>1633</v>
      </c>
      <c r="DS77" s="15" t="s">
        <v>1635</v>
      </c>
      <c r="DU77" s="15" t="s">
        <v>1636</v>
      </c>
      <c r="EL77" s="15" t="s">
        <v>1016</v>
      </c>
      <c r="EO77" s="15" t="s">
        <v>997</v>
      </c>
      <c r="FB77" s="15" t="s">
        <v>1609</v>
      </c>
      <c r="GW77" s="15" t="s">
        <v>426</v>
      </c>
      <c r="GX77" s="15" t="s">
        <v>1638</v>
      </c>
      <c r="GY77" s="15" t="s">
        <v>1639</v>
      </c>
    </row>
    <row r="78" ht="17.25" customHeight="1">
      <c r="A78" s="15" t="s">
        <v>1642</v>
      </c>
      <c r="B78" s="15" t="str">
        <f>"801542051518"</f>
        <v>801542051518</v>
      </c>
      <c r="C78" s="15" t="s">
        <v>11865</v>
      </c>
      <c r="D78" s="15" t="str">
        <f t="shared" si="1"/>
        <v>Augustine 3-Piece SectionalDeacon Wolf</v>
      </c>
      <c r="E78" s="15" t="s">
        <v>1617</v>
      </c>
      <c r="F78" s="15" t="s">
        <v>397</v>
      </c>
      <c r="G78" s="15" t="s">
        <v>1641</v>
      </c>
      <c r="J78" s="15" t="s">
        <v>1641</v>
      </c>
      <c r="M78" s="15" t="s">
        <v>1628</v>
      </c>
      <c r="N78" s="15" t="s">
        <v>1629</v>
      </c>
      <c r="O78" s="15" t="s">
        <v>1630</v>
      </c>
      <c r="P78" s="15" t="str">
        <f t="shared" ref="P78:Q78" si="225">"105.5"</f>
        <v>105.5</v>
      </c>
      <c r="Q78" s="15" t="str">
        <f t="shared" si="225"/>
        <v>105.5</v>
      </c>
      <c r="R78" s="15" t="str">
        <f t="shared" si="226"/>
        <v>26.5</v>
      </c>
      <c r="S78" s="15" t="str">
        <f t="shared" si="227"/>
        <v>249.13</v>
      </c>
      <c r="T78" s="15" t="s">
        <v>1600</v>
      </c>
      <c r="U78" s="15" t="s">
        <v>11137</v>
      </c>
      <c r="AA78" s="15" t="s">
        <v>426</v>
      </c>
      <c r="AB78" s="15" t="s">
        <v>413</v>
      </c>
      <c r="AC78" s="15" t="s">
        <v>1644</v>
      </c>
      <c r="AD78" s="15" t="s">
        <v>11866</v>
      </c>
      <c r="AE78" s="15" t="s">
        <v>1643</v>
      </c>
      <c r="AF78" s="15" t="s">
        <v>11867</v>
      </c>
      <c r="AG78" s="15" t="s">
        <v>11868</v>
      </c>
      <c r="AH78" s="15" t="s">
        <v>11869</v>
      </c>
      <c r="AI78" s="15" t="s">
        <v>11870</v>
      </c>
      <c r="AJ78" s="15" t="s">
        <v>11871</v>
      </c>
      <c r="BH78" s="15" t="s">
        <v>1640</v>
      </c>
      <c r="BI78" s="15" t="str">
        <f>"8999"</f>
        <v>8999</v>
      </c>
      <c r="BJ78" s="15" t="str">
        <f>"3780"</f>
        <v>3780</v>
      </c>
      <c r="BK78" s="15" t="s">
        <v>709</v>
      </c>
      <c r="BL78" s="15" t="str">
        <f t="shared" si="228"/>
        <v>3</v>
      </c>
      <c r="BM78" s="15" t="s">
        <v>416</v>
      </c>
      <c r="BN78" s="15" t="str">
        <f t="shared" si="229"/>
        <v>72.05</v>
      </c>
      <c r="BO78" s="15" t="str">
        <f t="shared" si="230"/>
        <v>35.04</v>
      </c>
      <c r="BP78" s="15" t="str">
        <f t="shared" si="231"/>
        <v>27.17</v>
      </c>
      <c r="BQ78" s="15" t="str">
        <f t="shared" si="232"/>
        <v>116.84</v>
      </c>
      <c r="BR78" s="15" t="s">
        <v>416</v>
      </c>
      <c r="BS78" s="15" t="str">
        <f t="shared" si="233"/>
        <v>72.05</v>
      </c>
      <c r="BT78" s="15" t="str">
        <f t="shared" si="234"/>
        <v>35.04</v>
      </c>
      <c r="BU78" s="15" t="str">
        <f t="shared" si="235"/>
        <v>27.17</v>
      </c>
      <c r="BV78" s="15" t="str">
        <f t="shared" si="236"/>
        <v>116.84</v>
      </c>
      <c r="BW78" s="15" t="s">
        <v>416</v>
      </c>
      <c r="BX78" s="15" t="str">
        <f t="shared" ref="BX78:BY78" si="237">"35.04"</f>
        <v>35.04</v>
      </c>
      <c r="BY78" s="15" t="str">
        <f t="shared" si="237"/>
        <v>35.04</v>
      </c>
      <c r="BZ78" s="15" t="str">
        <f t="shared" si="238"/>
        <v>27.17</v>
      </c>
      <c r="CA78" s="15" t="str">
        <f t="shared" si="239"/>
        <v>66.14</v>
      </c>
      <c r="CG78" s="15" t="str">
        <f t="shared" si="240"/>
        <v>98.7</v>
      </c>
      <c r="CH78" s="15" t="str">
        <f t="shared" si="241"/>
        <v>2.795</v>
      </c>
      <c r="CI78" s="15" t="s">
        <v>497</v>
      </c>
      <c r="CX78" s="15" t="s">
        <v>717</v>
      </c>
      <c r="CY78" s="15" t="s">
        <v>718</v>
      </c>
      <c r="DF78" s="15" t="s">
        <v>721</v>
      </c>
      <c r="DG78" s="15" t="s">
        <v>419</v>
      </c>
      <c r="DL78" s="15">
        <v>0.0</v>
      </c>
      <c r="DM78" s="15" t="s">
        <v>990</v>
      </c>
      <c r="DN78" s="15" t="s">
        <v>1016</v>
      </c>
      <c r="DQ78" s="15">
        <v>5.0</v>
      </c>
      <c r="DR78" s="15" t="s">
        <v>1633</v>
      </c>
      <c r="DS78" s="15" t="s">
        <v>1635</v>
      </c>
      <c r="DU78" s="15" t="s">
        <v>1636</v>
      </c>
      <c r="EL78" s="15" t="s">
        <v>1016</v>
      </c>
      <c r="EO78" s="15" t="s">
        <v>997</v>
      </c>
      <c r="FB78" s="15" t="s">
        <v>1609</v>
      </c>
      <c r="GW78" s="15" t="s">
        <v>426</v>
      </c>
      <c r="GX78" s="15" t="s">
        <v>1638</v>
      </c>
      <c r="GY78" s="15" t="s">
        <v>1639</v>
      </c>
    </row>
    <row r="79" ht="17.25" customHeight="1">
      <c r="A79" s="15" t="s">
        <v>1647</v>
      </c>
      <c r="B79" s="15" t="str">
        <f>"801542017019"</f>
        <v>801542017019</v>
      </c>
      <c r="C79" s="15" t="s">
        <v>11872</v>
      </c>
      <c r="D79" s="15" t="str">
        <f t="shared" si="1"/>
        <v>Augustine 3-Piece SectionalDover Crescent</v>
      </c>
      <c r="E79" s="15" t="s">
        <v>1617</v>
      </c>
      <c r="F79" s="15" t="s">
        <v>397</v>
      </c>
      <c r="G79" s="15" t="s">
        <v>1646</v>
      </c>
      <c r="J79" s="15" t="s">
        <v>1646</v>
      </c>
      <c r="M79" s="15" t="s">
        <v>1628</v>
      </c>
      <c r="N79" s="15" t="s">
        <v>1629</v>
      </c>
      <c r="O79" s="15" t="s">
        <v>1630</v>
      </c>
      <c r="P79" s="15" t="str">
        <f t="shared" ref="P79:Q79" si="242">"105.5"</f>
        <v>105.5</v>
      </c>
      <c r="Q79" s="15" t="str">
        <f t="shared" si="242"/>
        <v>105.5</v>
      </c>
      <c r="R79" s="15" t="str">
        <f t="shared" si="226"/>
        <v>26.5</v>
      </c>
      <c r="S79" s="15" t="str">
        <f t="shared" si="227"/>
        <v>249.13</v>
      </c>
      <c r="T79" s="15" t="s">
        <v>1649</v>
      </c>
      <c r="U79" s="15" t="s">
        <v>11873</v>
      </c>
      <c r="V79" s="15" t="s">
        <v>11874</v>
      </c>
      <c r="W79" s="15" t="s">
        <v>11875</v>
      </c>
      <c r="AA79" s="15" t="s">
        <v>426</v>
      </c>
      <c r="AB79" s="15" t="s">
        <v>426</v>
      </c>
      <c r="AC79" s="15" t="s">
        <v>1650</v>
      </c>
      <c r="AD79" s="15" t="s">
        <v>11876</v>
      </c>
      <c r="AE79" s="15" t="s">
        <v>1648</v>
      </c>
      <c r="AF79" s="15" t="s">
        <v>11877</v>
      </c>
      <c r="AG79" s="15" t="s">
        <v>11878</v>
      </c>
      <c r="AH79" s="15" t="s">
        <v>11879</v>
      </c>
      <c r="AI79" s="15" t="s">
        <v>11880</v>
      </c>
      <c r="AJ79" s="15" t="s">
        <v>11881</v>
      </c>
      <c r="AK79" s="15" t="s">
        <v>11882</v>
      </c>
      <c r="BH79" s="15" t="s">
        <v>1645</v>
      </c>
      <c r="BI79" s="15" t="str">
        <f t="shared" ref="BI79:BI80" si="245">"4599"</f>
        <v>4599</v>
      </c>
      <c r="BJ79" s="15" t="str">
        <f t="shared" ref="BJ79:BJ80" si="246">"1935"</f>
        <v>1935</v>
      </c>
      <c r="BK79" s="15" t="s">
        <v>709</v>
      </c>
      <c r="BL79" s="15" t="str">
        <f t="shared" si="228"/>
        <v>3</v>
      </c>
      <c r="BM79" s="15" t="s">
        <v>416</v>
      </c>
      <c r="BN79" s="15" t="str">
        <f t="shared" si="229"/>
        <v>72.05</v>
      </c>
      <c r="BO79" s="15" t="str">
        <f t="shared" si="230"/>
        <v>35.04</v>
      </c>
      <c r="BP79" s="15" t="str">
        <f t="shared" si="231"/>
        <v>27.17</v>
      </c>
      <c r="BQ79" s="15" t="str">
        <f t="shared" si="232"/>
        <v>116.84</v>
      </c>
      <c r="BR79" s="15" t="s">
        <v>416</v>
      </c>
      <c r="BS79" s="15" t="str">
        <f t="shared" si="233"/>
        <v>72.05</v>
      </c>
      <c r="BT79" s="15" t="str">
        <f t="shared" si="234"/>
        <v>35.04</v>
      </c>
      <c r="BU79" s="15" t="str">
        <f t="shared" si="235"/>
        <v>27.17</v>
      </c>
      <c r="BV79" s="15" t="str">
        <f t="shared" si="236"/>
        <v>116.84</v>
      </c>
      <c r="BW79" s="15" t="s">
        <v>416</v>
      </c>
      <c r="BX79" s="15" t="str">
        <f t="shared" ref="BX79:BY79" si="243">"35.04"</f>
        <v>35.04</v>
      </c>
      <c r="BY79" s="15" t="str">
        <f t="shared" si="243"/>
        <v>35.04</v>
      </c>
      <c r="BZ79" s="15" t="str">
        <f t="shared" si="238"/>
        <v>27.17</v>
      </c>
      <c r="CA79" s="15" t="str">
        <f t="shared" si="239"/>
        <v>66.14</v>
      </c>
      <c r="CG79" s="15" t="str">
        <f t="shared" si="240"/>
        <v>98.7</v>
      </c>
      <c r="CH79" s="15" t="str">
        <f t="shared" si="241"/>
        <v>2.795</v>
      </c>
      <c r="CI79" s="15" t="s">
        <v>465</v>
      </c>
      <c r="CX79" s="15" t="s">
        <v>717</v>
      </c>
      <c r="CY79" s="15" t="s">
        <v>855</v>
      </c>
      <c r="DF79" s="15" t="s">
        <v>721</v>
      </c>
      <c r="DG79" s="15" t="s">
        <v>419</v>
      </c>
      <c r="DL79" s="15">
        <v>25000.0</v>
      </c>
      <c r="DM79" s="15" t="s">
        <v>990</v>
      </c>
      <c r="DN79" s="15" t="s">
        <v>1016</v>
      </c>
      <c r="DQ79" s="15">
        <v>5.0</v>
      </c>
      <c r="DR79" s="15" t="s">
        <v>1633</v>
      </c>
      <c r="DS79" s="15" t="s">
        <v>1635</v>
      </c>
      <c r="DU79" s="15" t="s">
        <v>1636</v>
      </c>
      <c r="EL79" s="15" t="s">
        <v>1016</v>
      </c>
      <c r="EO79" s="15" t="s">
        <v>997</v>
      </c>
      <c r="FB79" s="15" t="s">
        <v>1609</v>
      </c>
      <c r="GW79" s="15" t="s">
        <v>426</v>
      </c>
      <c r="GX79" s="15" t="s">
        <v>1638</v>
      </c>
      <c r="GY79" s="15" t="s">
        <v>1639</v>
      </c>
    </row>
    <row r="80" ht="17.25" customHeight="1">
      <c r="A80" s="15" t="s">
        <v>1653</v>
      </c>
      <c r="B80" s="15" t="str">
        <f>"801542017057"</f>
        <v>801542017057</v>
      </c>
      <c r="C80" s="15" t="s">
        <v>11883</v>
      </c>
      <c r="D80" s="15" t="str">
        <f t="shared" si="1"/>
        <v>Augustine 3-Piece SectionalOrly Natural</v>
      </c>
      <c r="E80" s="15" t="s">
        <v>1617</v>
      </c>
      <c r="F80" s="15" t="s">
        <v>397</v>
      </c>
      <c r="G80" s="15" t="s">
        <v>1652</v>
      </c>
      <c r="J80" s="15" t="s">
        <v>1652</v>
      </c>
      <c r="M80" s="15" t="s">
        <v>1628</v>
      </c>
      <c r="N80" s="15" t="s">
        <v>1629</v>
      </c>
      <c r="O80" s="15" t="s">
        <v>1630</v>
      </c>
      <c r="P80" s="15" t="str">
        <f t="shared" ref="P80:Q80" si="244">"105.5"</f>
        <v>105.5</v>
      </c>
      <c r="Q80" s="15" t="str">
        <f t="shared" si="244"/>
        <v>105.5</v>
      </c>
      <c r="R80" s="15" t="str">
        <f t="shared" si="226"/>
        <v>26.5</v>
      </c>
      <c r="S80" s="15" t="str">
        <f t="shared" si="227"/>
        <v>249.13</v>
      </c>
      <c r="T80" s="15" t="s">
        <v>1655</v>
      </c>
      <c r="U80" s="15" t="s">
        <v>11209</v>
      </c>
      <c r="AA80" s="15" t="s">
        <v>426</v>
      </c>
      <c r="AB80" s="15" t="s">
        <v>413</v>
      </c>
      <c r="AC80" s="15" t="s">
        <v>1656</v>
      </c>
      <c r="AD80" s="15" t="s">
        <v>11884</v>
      </c>
      <c r="AE80" s="15" t="s">
        <v>1654</v>
      </c>
      <c r="AF80" s="15" t="s">
        <v>11885</v>
      </c>
      <c r="AG80" s="15" t="s">
        <v>11886</v>
      </c>
      <c r="AH80" s="15" t="s">
        <v>11887</v>
      </c>
      <c r="AI80" s="15" t="s">
        <v>11888</v>
      </c>
      <c r="AJ80" s="15" t="s">
        <v>11889</v>
      </c>
      <c r="BH80" s="15" t="s">
        <v>1651</v>
      </c>
      <c r="BI80" s="15" t="str">
        <f t="shared" si="245"/>
        <v>4599</v>
      </c>
      <c r="BJ80" s="15" t="str">
        <f t="shared" si="246"/>
        <v>1935</v>
      </c>
      <c r="BK80" s="15" t="s">
        <v>709</v>
      </c>
      <c r="BL80" s="15" t="str">
        <f t="shared" si="228"/>
        <v>3</v>
      </c>
      <c r="BM80" s="15" t="s">
        <v>416</v>
      </c>
      <c r="BN80" s="15" t="str">
        <f t="shared" si="229"/>
        <v>72.05</v>
      </c>
      <c r="BO80" s="15" t="str">
        <f t="shared" si="230"/>
        <v>35.04</v>
      </c>
      <c r="BP80" s="15" t="str">
        <f t="shared" si="231"/>
        <v>27.17</v>
      </c>
      <c r="BQ80" s="15" t="str">
        <f t="shared" si="232"/>
        <v>116.84</v>
      </c>
      <c r="BR80" s="15" t="s">
        <v>416</v>
      </c>
      <c r="BS80" s="15" t="str">
        <f t="shared" si="233"/>
        <v>72.05</v>
      </c>
      <c r="BT80" s="15" t="str">
        <f t="shared" si="234"/>
        <v>35.04</v>
      </c>
      <c r="BU80" s="15" t="str">
        <f t="shared" si="235"/>
        <v>27.17</v>
      </c>
      <c r="BV80" s="15" t="str">
        <f t="shared" si="236"/>
        <v>116.84</v>
      </c>
      <c r="BW80" s="15" t="s">
        <v>416</v>
      </c>
      <c r="BX80" s="15" t="str">
        <f t="shared" ref="BX80:BY80" si="247">"35.04"</f>
        <v>35.04</v>
      </c>
      <c r="BY80" s="15" t="str">
        <f t="shared" si="247"/>
        <v>35.04</v>
      </c>
      <c r="BZ80" s="15" t="str">
        <f t="shared" si="238"/>
        <v>27.17</v>
      </c>
      <c r="CA80" s="15" t="str">
        <f t="shared" si="239"/>
        <v>66.14</v>
      </c>
      <c r="CG80" s="15" t="str">
        <f t="shared" si="240"/>
        <v>98.7</v>
      </c>
      <c r="CH80" s="15" t="str">
        <f t="shared" si="241"/>
        <v>2.795</v>
      </c>
      <c r="CI80" s="15" t="s">
        <v>465</v>
      </c>
      <c r="CX80" s="15" t="s">
        <v>717</v>
      </c>
      <c r="CY80" s="15" t="s">
        <v>855</v>
      </c>
      <c r="DF80" s="15" t="s">
        <v>721</v>
      </c>
      <c r="DG80" s="15" t="s">
        <v>419</v>
      </c>
      <c r="DL80" s="15">
        <v>25000.0</v>
      </c>
      <c r="DM80" s="15" t="s">
        <v>990</v>
      </c>
      <c r="DN80" s="15" t="s">
        <v>1016</v>
      </c>
      <c r="DQ80" s="15">
        <v>5.0</v>
      </c>
      <c r="DR80" s="15" t="s">
        <v>1633</v>
      </c>
      <c r="DS80" s="15" t="s">
        <v>1635</v>
      </c>
      <c r="DU80" s="15" t="s">
        <v>1636</v>
      </c>
      <c r="EL80" s="15" t="s">
        <v>1016</v>
      </c>
      <c r="EO80" s="15" t="s">
        <v>997</v>
      </c>
      <c r="FB80" s="15" t="s">
        <v>1609</v>
      </c>
      <c r="GW80" s="15" t="s">
        <v>426</v>
      </c>
      <c r="GX80" s="15" t="s">
        <v>1638</v>
      </c>
      <c r="GY80" s="15" t="s">
        <v>1639</v>
      </c>
    </row>
    <row r="81" ht="17.25" customHeight="1">
      <c r="A81" s="15" t="s">
        <v>1659</v>
      </c>
      <c r="B81" s="15" t="str">
        <f>"801542051525"</f>
        <v>801542051525</v>
      </c>
      <c r="C81" s="15" t="s">
        <v>11890</v>
      </c>
      <c r="D81" s="15" t="str">
        <f t="shared" si="1"/>
        <v>Augustine 3-Piece SectionalPalermo Drift</v>
      </c>
      <c r="E81" s="15" t="s">
        <v>1617</v>
      </c>
      <c r="F81" s="15" t="s">
        <v>397</v>
      </c>
      <c r="G81" s="15" t="s">
        <v>1658</v>
      </c>
      <c r="J81" s="15" t="s">
        <v>1658</v>
      </c>
      <c r="M81" s="15" t="s">
        <v>1628</v>
      </c>
      <c r="N81" s="15" t="s">
        <v>1629</v>
      </c>
      <c r="O81" s="15" t="s">
        <v>1630</v>
      </c>
      <c r="P81" s="15" t="str">
        <f t="shared" ref="P81:Q81" si="248">"105.5"</f>
        <v>105.5</v>
      </c>
      <c r="Q81" s="15" t="str">
        <f t="shared" si="248"/>
        <v>105.5</v>
      </c>
      <c r="R81" s="15" t="str">
        <f t="shared" si="226"/>
        <v>26.5</v>
      </c>
      <c r="S81" s="15" t="str">
        <f t="shared" si="227"/>
        <v>249.13</v>
      </c>
      <c r="T81" s="15" t="s">
        <v>1600</v>
      </c>
      <c r="U81" s="15" t="s">
        <v>11137</v>
      </c>
      <c r="AA81" s="15" t="s">
        <v>413</v>
      </c>
      <c r="AB81" s="15" t="s">
        <v>413</v>
      </c>
      <c r="AC81" s="15" t="s">
        <v>1661</v>
      </c>
      <c r="AD81" s="15" t="s">
        <v>11891</v>
      </c>
      <c r="AE81" s="15" t="s">
        <v>1660</v>
      </c>
      <c r="AF81" s="15" t="s">
        <v>11892</v>
      </c>
      <c r="AG81" s="15" t="s">
        <v>11893</v>
      </c>
      <c r="AH81" s="15" t="s">
        <v>11894</v>
      </c>
      <c r="AI81" s="15" t="s">
        <v>11895</v>
      </c>
      <c r="AJ81" s="15" t="s">
        <v>11896</v>
      </c>
      <c r="BH81" s="15" t="s">
        <v>1657</v>
      </c>
      <c r="BI81" s="15" t="str">
        <f>"8999"</f>
        <v>8999</v>
      </c>
      <c r="BJ81" s="15" t="str">
        <f>"3780"</f>
        <v>3780</v>
      </c>
      <c r="BK81" s="15" t="s">
        <v>709</v>
      </c>
      <c r="BL81" s="15" t="str">
        <f t="shared" si="228"/>
        <v>3</v>
      </c>
      <c r="BM81" s="15" t="s">
        <v>416</v>
      </c>
      <c r="BN81" s="15" t="str">
        <f t="shared" si="229"/>
        <v>72.05</v>
      </c>
      <c r="BO81" s="15" t="str">
        <f t="shared" si="230"/>
        <v>35.04</v>
      </c>
      <c r="BP81" s="15" t="str">
        <f t="shared" si="231"/>
        <v>27.17</v>
      </c>
      <c r="BQ81" s="15" t="str">
        <f t="shared" si="232"/>
        <v>116.84</v>
      </c>
      <c r="BR81" s="15" t="s">
        <v>416</v>
      </c>
      <c r="BS81" s="15" t="str">
        <f t="shared" si="233"/>
        <v>72.05</v>
      </c>
      <c r="BT81" s="15" t="str">
        <f t="shared" si="234"/>
        <v>35.04</v>
      </c>
      <c r="BU81" s="15" t="str">
        <f t="shared" si="235"/>
        <v>27.17</v>
      </c>
      <c r="BV81" s="15" t="str">
        <f t="shared" si="236"/>
        <v>116.84</v>
      </c>
      <c r="BW81" s="15" t="s">
        <v>416</v>
      </c>
      <c r="BX81" s="15" t="str">
        <f t="shared" ref="BX81:BY81" si="249">"35.04"</f>
        <v>35.04</v>
      </c>
      <c r="BY81" s="15" t="str">
        <f t="shared" si="249"/>
        <v>35.04</v>
      </c>
      <c r="BZ81" s="15" t="str">
        <f t="shared" si="238"/>
        <v>27.17</v>
      </c>
      <c r="CA81" s="15" t="str">
        <f t="shared" si="239"/>
        <v>66.14</v>
      </c>
      <c r="CG81" s="15" t="str">
        <f t="shared" si="240"/>
        <v>98.7</v>
      </c>
      <c r="CH81" s="15" t="str">
        <f t="shared" si="241"/>
        <v>2.795</v>
      </c>
      <c r="CI81" s="15" t="s">
        <v>465</v>
      </c>
      <c r="CX81" s="15" t="s">
        <v>717</v>
      </c>
      <c r="CY81" s="15" t="s">
        <v>718</v>
      </c>
      <c r="DF81" s="15" t="s">
        <v>721</v>
      </c>
      <c r="DG81" s="15" t="s">
        <v>419</v>
      </c>
      <c r="DL81" s="15">
        <v>0.0</v>
      </c>
      <c r="DM81" s="15" t="s">
        <v>990</v>
      </c>
      <c r="DN81" s="15" t="s">
        <v>1016</v>
      </c>
      <c r="DQ81" s="15">
        <v>5.0</v>
      </c>
      <c r="DR81" s="15" t="s">
        <v>1633</v>
      </c>
      <c r="DS81" s="15" t="s">
        <v>1635</v>
      </c>
      <c r="DU81" s="15" t="s">
        <v>1636</v>
      </c>
      <c r="EL81" s="15" t="s">
        <v>1016</v>
      </c>
      <c r="EO81" s="15" t="s">
        <v>997</v>
      </c>
      <c r="FB81" s="15" t="s">
        <v>1609</v>
      </c>
      <c r="GW81" s="15" t="s">
        <v>426</v>
      </c>
      <c r="GX81" s="15" t="s">
        <v>1638</v>
      </c>
      <c r="GY81" s="15" t="s">
        <v>1639</v>
      </c>
    </row>
    <row r="82" ht="17.25" customHeight="1">
      <c r="A82" s="15" t="s">
        <v>1664</v>
      </c>
      <c r="B82" s="15" t="str">
        <f>"801542051532"</f>
        <v>801542051532</v>
      </c>
      <c r="C82" s="15" t="s">
        <v>11897</v>
      </c>
      <c r="D82" s="15" t="str">
        <f t="shared" si="1"/>
        <v>Augustine 3-Piece SectionalSapphire Navy</v>
      </c>
      <c r="E82" s="15" t="s">
        <v>1617</v>
      </c>
      <c r="F82" s="15" t="s">
        <v>397</v>
      </c>
      <c r="G82" s="15" t="s">
        <v>1663</v>
      </c>
      <c r="J82" s="15" t="s">
        <v>1663</v>
      </c>
      <c r="M82" s="15" t="s">
        <v>1628</v>
      </c>
      <c r="N82" s="15" t="s">
        <v>1629</v>
      </c>
      <c r="O82" s="15" t="s">
        <v>1630</v>
      </c>
      <c r="P82" s="15" t="str">
        <f t="shared" ref="P82:Q82" si="250">"105.5"</f>
        <v>105.5</v>
      </c>
      <c r="Q82" s="15" t="str">
        <f t="shared" si="250"/>
        <v>105.5</v>
      </c>
      <c r="R82" s="15" t="str">
        <f t="shared" si="226"/>
        <v>26.5</v>
      </c>
      <c r="S82" s="15" t="str">
        <f t="shared" si="227"/>
        <v>249.13</v>
      </c>
      <c r="T82" s="15" t="s">
        <v>1666</v>
      </c>
      <c r="U82" s="15" t="s">
        <v>11234</v>
      </c>
      <c r="V82" s="15" t="s">
        <v>11898</v>
      </c>
      <c r="AA82" s="15" t="s">
        <v>426</v>
      </c>
      <c r="AB82" s="15" t="s">
        <v>413</v>
      </c>
      <c r="AC82" s="15" t="s">
        <v>1667</v>
      </c>
      <c r="AD82" s="15" t="s">
        <v>11899</v>
      </c>
      <c r="AE82" s="15" t="s">
        <v>1665</v>
      </c>
      <c r="AF82" s="15" t="s">
        <v>11900</v>
      </c>
      <c r="AG82" s="15" t="s">
        <v>11901</v>
      </c>
      <c r="AH82" s="15" t="s">
        <v>11902</v>
      </c>
      <c r="AI82" s="15" t="s">
        <v>11903</v>
      </c>
      <c r="AJ82" s="15" t="s">
        <v>11904</v>
      </c>
      <c r="AK82" s="15" t="s">
        <v>11905</v>
      </c>
      <c r="AL82" s="15" t="s">
        <v>11906</v>
      </c>
      <c r="AM82" s="15" t="s">
        <v>11907</v>
      </c>
      <c r="AN82" s="15" t="s">
        <v>11908</v>
      </c>
      <c r="AO82" s="15" t="s">
        <v>11909</v>
      </c>
      <c r="BH82" s="15" t="s">
        <v>1662</v>
      </c>
      <c r="BI82" s="15" t="str">
        <f>"4799"</f>
        <v>4799</v>
      </c>
      <c r="BJ82" s="15" t="str">
        <f>"2020"</f>
        <v>2020</v>
      </c>
      <c r="BK82" s="15" t="s">
        <v>709</v>
      </c>
      <c r="BL82" s="15" t="str">
        <f t="shared" si="228"/>
        <v>3</v>
      </c>
      <c r="BM82" s="15" t="s">
        <v>416</v>
      </c>
      <c r="BN82" s="15" t="str">
        <f t="shared" si="229"/>
        <v>72.05</v>
      </c>
      <c r="BO82" s="15" t="str">
        <f t="shared" si="230"/>
        <v>35.04</v>
      </c>
      <c r="BP82" s="15" t="str">
        <f t="shared" si="231"/>
        <v>27.17</v>
      </c>
      <c r="BQ82" s="15" t="str">
        <f t="shared" si="232"/>
        <v>116.84</v>
      </c>
      <c r="BR82" s="15" t="s">
        <v>416</v>
      </c>
      <c r="BS82" s="15" t="str">
        <f t="shared" si="233"/>
        <v>72.05</v>
      </c>
      <c r="BT82" s="15" t="str">
        <f t="shared" si="234"/>
        <v>35.04</v>
      </c>
      <c r="BU82" s="15" t="str">
        <f t="shared" si="235"/>
        <v>27.17</v>
      </c>
      <c r="BV82" s="15" t="str">
        <f t="shared" si="236"/>
        <v>116.84</v>
      </c>
      <c r="BW82" s="15" t="s">
        <v>416</v>
      </c>
      <c r="BX82" s="15" t="str">
        <f t="shared" ref="BX82:BY82" si="251">"35.04"</f>
        <v>35.04</v>
      </c>
      <c r="BY82" s="15" t="str">
        <f t="shared" si="251"/>
        <v>35.04</v>
      </c>
      <c r="BZ82" s="15" t="str">
        <f t="shared" si="238"/>
        <v>27.17</v>
      </c>
      <c r="CA82" s="15" t="str">
        <f t="shared" si="239"/>
        <v>66.14</v>
      </c>
      <c r="CG82" s="15" t="str">
        <f t="shared" si="240"/>
        <v>98.7</v>
      </c>
      <c r="CH82" s="15" t="str">
        <f t="shared" si="241"/>
        <v>2.795</v>
      </c>
      <c r="CI82" s="15" t="s">
        <v>497</v>
      </c>
      <c r="CX82" s="15" t="s">
        <v>717</v>
      </c>
      <c r="CY82" s="15" t="s">
        <v>897</v>
      </c>
      <c r="DF82" s="15" t="s">
        <v>721</v>
      </c>
      <c r="DG82" s="15" t="s">
        <v>419</v>
      </c>
      <c r="DL82" s="15">
        <v>100000.0</v>
      </c>
      <c r="DM82" s="15" t="s">
        <v>990</v>
      </c>
      <c r="DN82" s="15" t="s">
        <v>1016</v>
      </c>
      <c r="DQ82" s="15">
        <v>5.0</v>
      </c>
      <c r="DR82" s="15" t="s">
        <v>1633</v>
      </c>
      <c r="DS82" s="15" t="s">
        <v>1635</v>
      </c>
      <c r="DU82" s="15" t="s">
        <v>1636</v>
      </c>
      <c r="EL82" s="15" t="s">
        <v>1016</v>
      </c>
      <c r="EO82" s="15" t="s">
        <v>997</v>
      </c>
      <c r="FB82" s="15" t="s">
        <v>1609</v>
      </c>
      <c r="GW82" s="15" t="s">
        <v>426</v>
      </c>
      <c r="GX82" s="15" t="s">
        <v>1638</v>
      </c>
      <c r="GY82" s="15" t="s">
        <v>1639</v>
      </c>
    </row>
    <row r="83" ht="17.25" customHeight="1">
      <c r="A83" s="15" t="s">
        <v>1670</v>
      </c>
      <c r="B83" s="15" t="str">
        <f>"801542774240"</f>
        <v>801542774240</v>
      </c>
      <c r="C83" s="15" t="s">
        <v>11910</v>
      </c>
      <c r="D83" s="15" t="str">
        <f t="shared" si="1"/>
        <v>Augustine BenchDeacon Wolf</v>
      </c>
      <c r="E83" s="15" t="s">
        <v>1668</v>
      </c>
      <c r="F83" s="15" t="s">
        <v>397</v>
      </c>
      <c r="G83" s="15" t="s">
        <v>1641</v>
      </c>
      <c r="J83" s="15" t="s">
        <v>1641</v>
      </c>
      <c r="M83" s="15" t="s">
        <v>1628</v>
      </c>
      <c r="N83" s="15" t="s">
        <v>458</v>
      </c>
      <c r="O83" s="15" t="s">
        <v>459</v>
      </c>
      <c r="P83" s="15" t="str">
        <f t="shared" ref="P83:P85" si="252">"61"</f>
        <v>61</v>
      </c>
      <c r="Q83" s="15" t="str">
        <f t="shared" ref="Q83:Q92" si="253">"21"</f>
        <v>21</v>
      </c>
      <c r="R83" s="15" t="str">
        <f t="shared" ref="R83:R92" si="254">"18"</f>
        <v>18</v>
      </c>
      <c r="S83" s="15" t="str">
        <f t="shared" ref="S83:S85" si="255">"49.6"</f>
        <v>49.6</v>
      </c>
      <c r="T83" s="15" t="s">
        <v>1600</v>
      </c>
      <c r="U83" s="15" t="s">
        <v>11137</v>
      </c>
      <c r="AA83" s="15" t="s">
        <v>426</v>
      </c>
      <c r="AB83" s="15" t="s">
        <v>413</v>
      </c>
      <c r="AC83" s="15" t="s">
        <v>1677</v>
      </c>
      <c r="AD83" s="15" t="s">
        <v>11911</v>
      </c>
      <c r="AE83" s="15" t="s">
        <v>1672</v>
      </c>
      <c r="AF83" s="15" t="s">
        <v>11912</v>
      </c>
      <c r="AG83" s="15" t="s">
        <v>11913</v>
      </c>
      <c r="AH83" s="15" t="s">
        <v>11914</v>
      </c>
      <c r="AI83" s="15" t="s">
        <v>11915</v>
      </c>
      <c r="AJ83" s="15" t="s">
        <v>11916</v>
      </c>
      <c r="AK83" s="15" t="s">
        <v>11917</v>
      </c>
      <c r="AL83" s="15" t="s">
        <v>11918</v>
      </c>
      <c r="AM83" s="15" t="s">
        <v>11919</v>
      </c>
      <c r="AN83" s="15" t="s">
        <v>11920</v>
      </c>
      <c r="AO83" s="15" t="s">
        <v>11921</v>
      </c>
      <c r="BH83" s="15" t="s">
        <v>1669</v>
      </c>
      <c r="BI83" s="15" t="str">
        <f>"1649"</f>
        <v>1649</v>
      </c>
      <c r="BJ83" s="15" t="str">
        <f>"695"</f>
        <v>695</v>
      </c>
      <c r="BK83" s="15" t="s">
        <v>709</v>
      </c>
      <c r="BL83" s="15" t="str">
        <f t="shared" ref="BL83:BL109" si="256">"1"</f>
        <v>1</v>
      </c>
      <c r="BM83" s="15" t="s">
        <v>1678</v>
      </c>
      <c r="BN83" s="15" t="str">
        <f t="shared" ref="BN83:BN85" si="257">"62.6"</f>
        <v>62.6</v>
      </c>
      <c r="BO83" s="15" t="str">
        <f t="shared" ref="BO83:BO85" si="258">"21.65"</f>
        <v>21.65</v>
      </c>
      <c r="BP83" s="15" t="str">
        <f t="shared" ref="BP83:BP85" si="259">"19.69"</f>
        <v>19.69</v>
      </c>
      <c r="BQ83" s="15" t="str">
        <f t="shared" ref="BQ83:BQ85" si="260">"62.83"</f>
        <v>62.83</v>
      </c>
      <c r="CG83" s="15" t="str">
        <f t="shared" ref="CG83:CG85" si="261">"15.43"</f>
        <v>15.43</v>
      </c>
      <c r="CH83" s="15" t="str">
        <f t="shared" ref="CH83:CH85" si="262">"0.437"</f>
        <v>0.437</v>
      </c>
      <c r="CI83" s="15" t="s">
        <v>417</v>
      </c>
      <c r="CS83" s="15" t="s">
        <v>1331</v>
      </c>
      <c r="CT83" s="15" t="s">
        <v>1065</v>
      </c>
      <c r="CU83" s="15" t="s">
        <v>1682</v>
      </c>
      <c r="CV83" s="15">
        <v>0.0</v>
      </c>
      <c r="CW83" s="15">
        <v>0.0</v>
      </c>
      <c r="CX83" s="15" t="s">
        <v>469</v>
      </c>
      <c r="CY83" s="15" t="s">
        <v>718</v>
      </c>
      <c r="CZ83" s="15" t="s">
        <v>419</v>
      </c>
      <c r="DA83" s="15">
        <v>0.0</v>
      </c>
      <c r="DB83" s="15" t="s">
        <v>419</v>
      </c>
      <c r="DD83" s="15">
        <v>0.0</v>
      </c>
      <c r="DF83" s="15" t="s">
        <v>721</v>
      </c>
      <c r="DG83" s="15" t="s">
        <v>419</v>
      </c>
      <c r="DH83" s="15">
        <v>0.0</v>
      </c>
      <c r="DI83" s="15">
        <v>0.0</v>
      </c>
      <c r="DJ83" s="15">
        <v>0.0</v>
      </c>
      <c r="DK83" s="15">
        <v>0.0</v>
      </c>
      <c r="DL83" s="15">
        <v>0.0</v>
      </c>
      <c r="DM83" s="15" t="s">
        <v>470</v>
      </c>
      <c r="DP83" s="15">
        <v>0.0</v>
      </c>
      <c r="DQ83" s="15">
        <v>3.0</v>
      </c>
      <c r="DR83" s="15" t="s">
        <v>471</v>
      </c>
      <c r="DS83" s="15" t="s">
        <v>1635</v>
      </c>
      <c r="DT83" s="15">
        <v>0.0</v>
      </c>
      <c r="DU83" s="15" t="s">
        <v>473</v>
      </c>
      <c r="EF83" s="15" t="s">
        <v>1288</v>
      </c>
      <c r="EH83" s="15" t="s">
        <v>1683</v>
      </c>
      <c r="EO83" s="15" t="s">
        <v>997</v>
      </c>
      <c r="FB83" s="15" t="s">
        <v>1609</v>
      </c>
    </row>
    <row r="84" ht="17.25" customHeight="1">
      <c r="A84" s="15" t="s">
        <v>1685</v>
      </c>
      <c r="B84" s="15" t="str">
        <f>"801542061258"</f>
        <v>801542061258</v>
      </c>
      <c r="C84" s="15" t="s">
        <v>11922</v>
      </c>
      <c r="D84" s="15" t="str">
        <f t="shared" si="1"/>
        <v>Augustine BenchSapphire Navy</v>
      </c>
      <c r="E84" s="15" t="s">
        <v>1668</v>
      </c>
      <c r="F84" s="15" t="s">
        <v>397</v>
      </c>
      <c r="G84" s="15" t="s">
        <v>1663</v>
      </c>
      <c r="J84" s="15" t="s">
        <v>1663</v>
      </c>
      <c r="M84" s="15" t="s">
        <v>1628</v>
      </c>
      <c r="N84" s="15" t="s">
        <v>458</v>
      </c>
      <c r="O84" s="15" t="s">
        <v>459</v>
      </c>
      <c r="P84" s="15" t="str">
        <f t="shared" si="252"/>
        <v>61</v>
      </c>
      <c r="Q84" s="15" t="str">
        <f t="shared" si="253"/>
        <v>21</v>
      </c>
      <c r="R84" s="15" t="str">
        <f t="shared" si="254"/>
        <v>18</v>
      </c>
      <c r="S84" s="15" t="str">
        <f t="shared" si="255"/>
        <v>49.6</v>
      </c>
      <c r="T84" s="15" t="s">
        <v>1666</v>
      </c>
      <c r="U84" s="15" t="s">
        <v>11234</v>
      </c>
      <c r="V84" s="15" t="s">
        <v>11898</v>
      </c>
      <c r="AA84" s="15" t="s">
        <v>426</v>
      </c>
      <c r="AB84" s="15" t="s">
        <v>413</v>
      </c>
      <c r="AC84" s="15" t="s">
        <v>1687</v>
      </c>
      <c r="AD84" s="15" t="s">
        <v>11923</v>
      </c>
      <c r="AE84" s="15" t="s">
        <v>1686</v>
      </c>
      <c r="AF84" s="15" t="s">
        <v>11924</v>
      </c>
      <c r="AG84" s="15" t="s">
        <v>11925</v>
      </c>
      <c r="AH84" s="15" t="s">
        <v>11926</v>
      </c>
      <c r="AI84" s="15" t="s">
        <v>11927</v>
      </c>
      <c r="AJ84" s="15" t="s">
        <v>11928</v>
      </c>
      <c r="AK84" s="15" t="s">
        <v>11929</v>
      </c>
      <c r="AL84" s="15" t="s">
        <v>11930</v>
      </c>
      <c r="AM84" s="15" t="s">
        <v>11931</v>
      </c>
      <c r="BH84" s="15" t="s">
        <v>1684</v>
      </c>
      <c r="BI84" s="15" t="str">
        <f t="shared" ref="BI84:BI85" si="263">"949"</f>
        <v>949</v>
      </c>
      <c r="BJ84" s="15" t="str">
        <f t="shared" ref="BJ84:BJ85" si="264">"400"</f>
        <v>400</v>
      </c>
      <c r="BK84" s="15" t="s">
        <v>709</v>
      </c>
      <c r="BL84" s="15" t="str">
        <f t="shared" si="256"/>
        <v>1</v>
      </c>
      <c r="BM84" s="15" t="s">
        <v>416</v>
      </c>
      <c r="BN84" s="15" t="str">
        <f t="shared" si="257"/>
        <v>62.6</v>
      </c>
      <c r="BO84" s="15" t="str">
        <f t="shared" si="258"/>
        <v>21.65</v>
      </c>
      <c r="BP84" s="15" t="str">
        <f t="shared" si="259"/>
        <v>19.69</v>
      </c>
      <c r="BQ84" s="15" t="str">
        <f t="shared" si="260"/>
        <v>62.83</v>
      </c>
      <c r="CG84" s="15" t="str">
        <f t="shared" si="261"/>
        <v>15.43</v>
      </c>
      <c r="CH84" s="15" t="str">
        <f t="shared" si="262"/>
        <v>0.437</v>
      </c>
      <c r="CI84" s="15" t="s">
        <v>417</v>
      </c>
      <c r="CS84" s="15" t="s">
        <v>1331</v>
      </c>
      <c r="CT84" s="15" t="s">
        <v>1065</v>
      </c>
      <c r="CU84" s="15" t="s">
        <v>1682</v>
      </c>
      <c r="CV84" s="15">
        <v>0.0</v>
      </c>
      <c r="CW84" s="15">
        <v>0.0</v>
      </c>
      <c r="CX84" s="15" t="s">
        <v>469</v>
      </c>
      <c r="CY84" s="15" t="s">
        <v>897</v>
      </c>
      <c r="CZ84" s="15" t="s">
        <v>419</v>
      </c>
      <c r="DA84" s="15">
        <v>0.0</v>
      </c>
      <c r="DB84" s="15" t="s">
        <v>419</v>
      </c>
      <c r="DD84" s="15">
        <v>0.0</v>
      </c>
      <c r="DF84" s="15" t="s">
        <v>721</v>
      </c>
      <c r="DG84" s="15" t="s">
        <v>419</v>
      </c>
      <c r="DH84" s="15">
        <v>0.0</v>
      </c>
      <c r="DI84" s="15">
        <v>0.0</v>
      </c>
      <c r="DJ84" s="15">
        <v>0.0</v>
      </c>
      <c r="DK84" s="15">
        <v>0.0</v>
      </c>
      <c r="DL84" s="15">
        <v>100000.0</v>
      </c>
      <c r="DM84" s="15" t="s">
        <v>470</v>
      </c>
      <c r="DP84" s="15">
        <v>0.0</v>
      </c>
      <c r="DQ84" s="15">
        <v>3.0</v>
      </c>
      <c r="DR84" s="15" t="s">
        <v>471</v>
      </c>
      <c r="DS84" s="15" t="s">
        <v>1635</v>
      </c>
      <c r="DT84" s="15">
        <v>0.0</v>
      </c>
      <c r="DU84" s="15" t="s">
        <v>473</v>
      </c>
      <c r="EF84" s="15" t="s">
        <v>1288</v>
      </c>
      <c r="EH84" s="15" t="s">
        <v>1683</v>
      </c>
      <c r="EO84" s="15" t="s">
        <v>997</v>
      </c>
      <c r="FB84" s="15" t="s">
        <v>1609</v>
      </c>
    </row>
    <row r="85" ht="17.25" customHeight="1">
      <c r="A85" s="15" t="s">
        <v>1690</v>
      </c>
      <c r="B85" s="15" t="str">
        <f>"801542061265"</f>
        <v>801542061265</v>
      </c>
      <c r="C85" s="15" t="s">
        <v>11932</v>
      </c>
      <c r="D85" s="15" t="str">
        <f t="shared" si="1"/>
        <v>Augustine BenchSurrey Auburn</v>
      </c>
      <c r="E85" s="15" t="s">
        <v>1668</v>
      </c>
      <c r="F85" s="15" t="s">
        <v>397</v>
      </c>
      <c r="G85" s="15" t="s">
        <v>1689</v>
      </c>
      <c r="J85" s="15" t="s">
        <v>1689</v>
      </c>
      <c r="M85" s="15" t="s">
        <v>1628</v>
      </c>
      <c r="N85" s="15" t="s">
        <v>458</v>
      </c>
      <c r="O85" s="15" t="s">
        <v>459</v>
      </c>
      <c r="P85" s="15" t="str">
        <f t="shared" si="252"/>
        <v>61</v>
      </c>
      <c r="Q85" s="15" t="str">
        <f t="shared" si="253"/>
        <v>21</v>
      </c>
      <c r="R85" s="15" t="str">
        <f t="shared" si="254"/>
        <v>18</v>
      </c>
      <c r="S85" s="15" t="str">
        <f t="shared" si="255"/>
        <v>49.6</v>
      </c>
      <c r="T85" s="15" t="s">
        <v>1615</v>
      </c>
      <c r="U85" s="15" t="s">
        <v>11845</v>
      </c>
      <c r="V85" s="15" t="s">
        <v>11846</v>
      </c>
      <c r="AA85" s="15" t="s">
        <v>426</v>
      </c>
      <c r="AB85" s="15" t="s">
        <v>413</v>
      </c>
      <c r="AC85" s="15" t="s">
        <v>1692</v>
      </c>
      <c r="AD85" s="15" t="s">
        <v>11933</v>
      </c>
      <c r="AE85" s="15" t="s">
        <v>1691</v>
      </c>
      <c r="AF85" s="15" t="s">
        <v>11934</v>
      </c>
      <c r="AG85" s="15" t="s">
        <v>11935</v>
      </c>
      <c r="AH85" s="15" t="s">
        <v>11936</v>
      </c>
      <c r="AI85" s="15" t="s">
        <v>11937</v>
      </c>
      <c r="AJ85" s="15" t="s">
        <v>11938</v>
      </c>
      <c r="AK85" s="15" t="s">
        <v>11939</v>
      </c>
      <c r="AL85" s="15" t="s">
        <v>11940</v>
      </c>
      <c r="AM85" s="15" t="s">
        <v>11941</v>
      </c>
      <c r="AN85" s="15" t="s">
        <v>11942</v>
      </c>
      <c r="BH85" s="15" t="s">
        <v>1688</v>
      </c>
      <c r="BI85" s="15" t="str">
        <f t="shared" si="263"/>
        <v>949</v>
      </c>
      <c r="BJ85" s="15" t="str">
        <f t="shared" si="264"/>
        <v>400</v>
      </c>
      <c r="BK85" s="15" t="s">
        <v>709</v>
      </c>
      <c r="BL85" s="15" t="str">
        <f t="shared" si="256"/>
        <v>1</v>
      </c>
      <c r="BM85" s="15" t="s">
        <v>416</v>
      </c>
      <c r="BN85" s="15" t="str">
        <f t="shared" si="257"/>
        <v>62.6</v>
      </c>
      <c r="BO85" s="15" t="str">
        <f t="shared" si="258"/>
        <v>21.65</v>
      </c>
      <c r="BP85" s="15" t="str">
        <f t="shared" si="259"/>
        <v>19.69</v>
      </c>
      <c r="BQ85" s="15" t="str">
        <f t="shared" si="260"/>
        <v>62.83</v>
      </c>
      <c r="CG85" s="15" t="str">
        <f t="shared" si="261"/>
        <v>15.43</v>
      </c>
      <c r="CH85" s="15" t="str">
        <f t="shared" si="262"/>
        <v>0.437</v>
      </c>
      <c r="CI85" s="15" t="s">
        <v>465</v>
      </c>
      <c r="CS85" s="15" t="s">
        <v>1331</v>
      </c>
      <c r="CT85" s="15" t="s">
        <v>1065</v>
      </c>
      <c r="CU85" s="15" t="s">
        <v>1682</v>
      </c>
      <c r="CV85" s="15">
        <v>0.0</v>
      </c>
      <c r="CW85" s="15">
        <v>0.0</v>
      </c>
      <c r="CX85" s="15" t="s">
        <v>469</v>
      </c>
      <c r="CY85" s="15" t="s">
        <v>718</v>
      </c>
      <c r="CZ85" s="15" t="s">
        <v>419</v>
      </c>
      <c r="DA85" s="15">
        <v>0.0</v>
      </c>
      <c r="DB85" s="15" t="s">
        <v>419</v>
      </c>
      <c r="DD85" s="15">
        <v>0.0</v>
      </c>
      <c r="DF85" s="15" t="s">
        <v>721</v>
      </c>
      <c r="DG85" s="15" t="s">
        <v>419</v>
      </c>
      <c r="DH85" s="15">
        <v>0.0</v>
      </c>
      <c r="DI85" s="15">
        <v>0.0</v>
      </c>
      <c r="DJ85" s="15">
        <v>0.0</v>
      </c>
      <c r="DK85" s="15">
        <v>0.0</v>
      </c>
      <c r="DL85" s="15">
        <v>30000.0</v>
      </c>
      <c r="DM85" s="15" t="s">
        <v>470</v>
      </c>
      <c r="DP85" s="15">
        <v>0.0</v>
      </c>
      <c r="DQ85" s="15">
        <v>3.0</v>
      </c>
      <c r="DR85" s="15" t="s">
        <v>471</v>
      </c>
      <c r="DS85" s="15" t="s">
        <v>1635</v>
      </c>
      <c r="DT85" s="15">
        <v>0.0</v>
      </c>
      <c r="DU85" s="15" t="s">
        <v>473</v>
      </c>
      <c r="EF85" s="15" t="s">
        <v>1288</v>
      </c>
      <c r="EH85" s="15" t="s">
        <v>1683</v>
      </c>
      <c r="EO85" s="15" t="s">
        <v>997</v>
      </c>
      <c r="FB85" s="15" t="s">
        <v>1609</v>
      </c>
    </row>
    <row r="86" ht="17.25" customHeight="1">
      <c r="A86" s="15" t="s">
        <v>1695</v>
      </c>
      <c r="B86" s="15" t="str">
        <f>"198394062459"</f>
        <v>198394062459</v>
      </c>
      <c r="C86" s="15" t="s">
        <v>11943</v>
      </c>
      <c r="D86" s="15" t="str">
        <f t="shared" si="1"/>
        <v>Augustine Ottoman-21"Crypton Nomad Taupe</v>
      </c>
      <c r="E86" s="15" t="s">
        <v>1693</v>
      </c>
      <c r="F86" s="15" t="s">
        <v>397</v>
      </c>
      <c r="G86" s="15" t="s">
        <v>1619</v>
      </c>
      <c r="J86" s="15" t="s">
        <v>1619</v>
      </c>
      <c r="M86" s="15" t="s">
        <v>1628</v>
      </c>
      <c r="N86" s="15" t="s">
        <v>1009</v>
      </c>
      <c r="P86" s="15" t="str">
        <f t="shared" ref="P86:P92" si="265">"21.5"</f>
        <v>21.5</v>
      </c>
      <c r="Q86" s="15" t="str">
        <f t="shared" si="253"/>
        <v>21</v>
      </c>
      <c r="R86" s="15" t="str">
        <f t="shared" si="254"/>
        <v>18</v>
      </c>
      <c r="S86" s="15" t="str">
        <f t="shared" ref="S86:S92" si="266">"24.91"</f>
        <v>24.91</v>
      </c>
      <c r="T86" s="15" t="s">
        <v>1623</v>
      </c>
      <c r="U86" s="15" t="s">
        <v>11858</v>
      </c>
      <c r="V86" s="15" t="s">
        <v>11859</v>
      </c>
      <c r="AA86" s="15" t="s">
        <v>426</v>
      </c>
      <c r="AB86" s="15" t="s">
        <v>426</v>
      </c>
      <c r="AC86" s="15" t="s">
        <v>1698</v>
      </c>
      <c r="AD86" s="15" t="s">
        <v>11944</v>
      </c>
      <c r="AE86" s="15" t="s">
        <v>1697</v>
      </c>
      <c r="AF86" s="15" t="s">
        <v>11945</v>
      </c>
      <c r="AG86" s="15" t="s">
        <v>11946</v>
      </c>
      <c r="AH86" s="15" t="s">
        <v>11947</v>
      </c>
      <c r="AI86" s="15" t="s">
        <v>11948</v>
      </c>
      <c r="AJ86" s="15" t="s">
        <v>11949</v>
      </c>
      <c r="AK86" s="15" t="s">
        <v>11950</v>
      </c>
      <c r="AL86" s="15" t="s">
        <v>11951</v>
      </c>
      <c r="BH86" s="15" t="s">
        <v>1694</v>
      </c>
      <c r="BI86" s="15" t="str">
        <f>"399"</f>
        <v>399</v>
      </c>
      <c r="BJ86" s="15" t="str">
        <f>"170"</f>
        <v>170</v>
      </c>
      <c r="BK86" s="15" t="s">
        <v>709</v>
      </c>
      <c r="BL86" s="15" t="str">
        <f t="shared" si="256"/>
        <v>1</v>
      </c>
      <c r="BM86" s="15" t="s">
        <v>416</v>
      </c>
      <c r="BN86" s="15" t="str">
        <f t="shared" ref="BN86:BN92" si="267">"22.24"</f>
        <v>22.24</v>
      </c>
      <c r="BO86" s="15" t="str">
        <f t="shared" ref="BO86:BO92" si="268">"21.85"</f>
        <v>21.85</v>
      </c>
      <c r="BP86" s="15" t="str">
        <f t="shared" ref="BP86:BP92" si="269">"19.29"</f>
        <v>19.29</v>
      </c>
      <c r="BQ86" s="15" t="str">
        <f t="shared" ref="BQ86:BQ92" si="270">"30.86"</f>
        <v>30.86</v>
      </c>
      <c r="CG86" s="15" t="str">
        <f t="shared" ref="CG86:CG92" si="271">"5.44"</f>
        <v>5.44</v>
      </c>
      <c r="CH86" s="15" t="str">
        <f t="shared" ref="CH86:CH92" si="272">"0.154"</f>
        <v>0.154</v>
      </c>
      <c r="CI86" s="15" t="s">
        <v>497</v>
      </c>
      <c r="CS86" s="15" t="s">
        <v>1331</v>
      </c>
      <c r="CT86" s="15" t="s">
        <v>1065</v>
      </c>
      <c r="CU86" s="15" t="s">
        <v>1700</v>
      </c>
      <c r="CW86" s="15">
        <v>0.0</v>
      </c>
      <c r="CY86" s="15" t="s">
        <v>897</v>
      </c>
      <c r="DF86" s="15" t="s">
        <v>721</v>
      </c>
      <c r="DG86" s="15" t="s">
        <v>419</v>
      </c>
      <c r="DH86" s="15">
        <v>0.0</v>
      </c>
      <c r="DL86" s="15">
        <v>50000.0</v>
      </c>
      <c r="DM86" s="15" t="s">
        <v>470</v>
      </c>
      <c r="DN86" s="15" t="s">
        <v>1016</v>
      </c>
      <c r="DO86" s="15" t="s">
        <v>1701</v>
      </c>
      <c r="DP86" s="15">
        <v>1.0</v>
      </c>
      <c r="DQ86" s="15">
        <v>2.0</v>
      </c>
      <c r="DR86" s="15" t="s">
        <v>498</v>
      </c>
      <c r="DS86" s="15" t="s">
        <v>1635</v>
      </c>
      <c r="DT86" s="15">
        <v>0.0</v>
      </c>
      <c r="DU86" s="15" t="s">
        <v>1545</v>
      </c>
      <c r="EF86" s="15" t="s">
        <v>1288</v>
      </c>
      <c r="EH86" s="15" t="s">
        <v>1593</v>
      </c>
      <c r="EO86" s="15" t="s">
        <v>997</v>
      </c>
      <c r="FB86" s="15" t="s">
        <v>1609</v>
      </c>
    </row>
    <row r="87" ht="17.25" customHeight="1">
      <c r="A87" s="15" t="s">
        <v>1703</v>
      </c>
      <c r="B87" s="15" t="str">
        <f>"801542666675"</f>
        <v>801542666675</v>
      </c>
      <c r="C87" s="15" t="s">
        <v>11952</v>
      </c>
      <c r="D87" s="15" t="str">
        <f t="shared" si="1"/>
        <v>Augustine Ottoman-21"Deacon Wolf</v>
      </c>
      <c r="E87" s="15" t="s">
        <v>1693</v>
      </c>
      <c r="F87" s="15" t="s">
        <v>397</v>
      </c>
      <c r="G87" s="15" t="s">
        <v>1641</v>
      </c>
      <c r="J87" s="15" t="s">
        <v>1641</v>
      </c>
      <c r="M87" s="15" t="s">
        <v>1628</v>
      </c>
      <c r="N87" s="15" t="s">
        <v>1009</v>
      </c>
      <c r="P87" s="15" t="str">
        <f t="shared" si="265"/>
        <v>21.5</v>
      </c>
      <c r="Q87" s="15" t="str">
        <f t="shared" si="253"/>
        <v>21</v>
      </c>
      <c r="R87" s="15" t="str">
        <f t="shared" si="254"/>
        <v>18</v>
      </c>
      <c r="S87" s="15" t="str">
        <f t="shared" si="266"/>
        <v>24.91</v>
      </c>
      <c r="T87" s="15" t="s">
        <v>1600</v>
      </c>
      <c r="U87" s="15" t="s">
        <v>11137</v>
      </c>
      <c r="AA87" s="15" t="s">
        <v>426</v>
      </c>
      <c r="AB87" s="15" t="s">
        <v>413</v>
      </c>
      <c r="AC87" s="15" t="s">
        <v>1705</v>
      </c>
      <c r="AD87" s="15" t="s">
        <v>11953</v>
      </c>
      <c r="AE87" s="15" t="s">
        <v>1704</v>
      </c>
      <c r="AF87" s="15" t="s">
        <v>11954</v>
      </c>
      <c r="AG87" s="15" t="s">
        <v>11955</v>
      </c>
      <c r="AH87" s="15" t="s">
        <v>11956</v>
      </c>
      <c r="AI87" s="15" t="s">
        <v>11957</v>
      </c>
      <c r="AJ87" s="15" t="s">
        <v>11958</v>
      </c>
      <c r="BH87" s="15" t="s">
        <v>1702</v>
      </c>
      <c r="BI87" s="15" t="str">
        <f>"949"</f>
        <v>949</v>
      </c>
      <c r="BJ87" s="15" t="str">
        <f>"400"</f>
        <v>400</v>
      </c>
      <c r="BK87" s="15" t="s">
        <v>709</v>
      </c>
      <c r="BL87" s="15" t="str">
        <f t="shared" si="256"/>
        <v>1</v>
      </c>
      <c r="BM87" s="15" t="s">
        <v>416</v>
      </c>
      <c r="BN87" s="15" t="str">
        <f t="shared" si="267"/>
        <v>22.24</v>
      </c>
      <c r="BO87" s="15" t="str">
        <f t="shared" si="268"/>
        <v>21.85</v>
      </c>
      <c r="BP87" s="15" t="str">
        <f t="shared" si="269"/>
        <v>19.29</v>
      </c>
      <c r="BQ87" s="15" t="str">
        <f t="shared" si="270"/>
        <v>30.86</v>
      </c>
      <c r="CG87" s="15" t="str">
        <f t="shared" si="271"/>
        <v>5.44</v>
      </c>
      <c r="CH87" s="15" t="str">
        <f t="shared" si="272"/>
        <v>0.154</v>
      </c>
      <c r="CI87" s="15" t="s">
        <v>417</v>
      </c>
      <c r="CS87" s="15" t="s">
        <v>1331</v>
      </c>
      <c r="CT87" s="15" t="s">
        <v>1065</v>
      </c>
      <c r="CU87" s="15" t="s">
        <v>1700</v>
      </c>
      <c r="CW87" s="15">
        <v>0.0</v>
      </c>
      <c r="CY87" s="15" t="s">
        <v>718</v>
      </c>
      <c r="DF87" s="15" t="s">
        <v>721</v>
      </c>
      <c r="DG87" s="15" t="s">
        <v>419</v>
      </c>
      <c r="DH87" s="15">
        <v>0.0</v>
      </c>
      <c r="DL87" s="15">
        <v>0.0</v>
      </c>
      <c r="DM87" s="15" t="s">
        <v>470</v>
      </c>
      <c r="DN87" s="15" t="s">
        <v>1016</v>
      </c>
      <c r="DO87" s="15" t="s">
        <v>1701</v>
      </c>
      <c r="DP87" s="15">
        <v>1.0</v>
      </c>
      <c r="DQ87" s="15">
        <v>2.0</v>
      </c>
      <c r="DR87" s="15" t="s">
        <v>498</v>
      </c>
      <c r="DS87" s="15" t="s">
        <v>1635</v>
      </c>
      <c r="DT87" s="15">
        <v>0.0</v>
      </c>
      <c r="DU87" s="15" t="s">
        <v>1545</v>
      </c>
      <c r="EF87" s="15" t="s">
        <v>1288</v>
      </c>
      <c r="EH87" s="15" t="s">
        <v>1593</v>
      </c>
      <c r="EO87" s="15" t="s">
        <v>997</v>
      </c>
      <c r="FB87" s="15" t="s">
        <v>1609</v>
      </c>
    </row>
    <row r="88" ht="17.25" customHeight="1">
      <c r="A88" s="15" t="s">
        <v>1707</v>
      </c>
      <c r="B88" s="15" t="str">
        <f>"801542651756"</f>
        <v>801542651756</v>
      </c>
      <c r="C88" s="15" t="s">
        <v>11959</v>
      </c>
      <c r="D88" s="15" t="str">
        <f t="shared" si="1"/>
        <v>Augustine Ottoman-21"Dover Crescent</v>
      </c>
      <c r="E88" s="15" t="s">
        <v>1693</v>
      </c>
      <c r="F88" s="15" t="s">
        <v>397</v>
      </c>
      <c r="G88" s="15" t="s">
        <v>1646</v>
      </c>
      <c r="J88" s="15" t="s">
        <v>1646</v>
      </c>
      <c r="M88" s="15" t="s">
        <v>1628</v>
      </c>
      <c r="N88" s="15" t="s">
        <v>1009</v>
      </c>
      <c r="P88" s="15" t="str">
        <f t="shared" si="265"/>
        <v>21.5</v>
      </c>
      <c r="Q88" s="15" t="str">
        <f t="shared" si="253"/>
        <v>21</v>
      </c>
      <c r="R88" s="15" t="str">
        <f t="shared" si="254"/>
        <v>18</v>
      </c>
      <c r="S88" s="15" t="str">
        <f t="shared" si="266"/>
        <v>24.91</v>
      </c>
      <c r="T88" s="15" t="s">
        <v>1649</v>
      </c>
      <c r="U88" s="15" t="s">
        <v>11873</v>
      </c>
      <c r="V88" s="15" t="s">
        <v>11874</v>
      </c>
      <c r="W88" s="15" t="s">
        <v>11875</v>
      </c>
      <c r="AA88" s="15" t="s">
        <v>426</v>
      </c>
      <c r="AB88" s="15" t="s">
        <v>426</v>
      </c>
      <c r="AC88" s="15" t="s">
        <v>1709</v>
      </c>
      <c r="AD88" s="15" t="s">
        <v>11960</v>
      </c>
      <c r="AE88" s="15" t="s">
        <v>1708</v>
      </c>
      <c r="AF88" s="15" t="s">
        <v>11961</v>
      </c>
      <c r="AG88" s="15" t="s">
        <v>11962</v>
      </c>
      <c r="AH88" s="15" t="s">
        <v>11963</v>
      </c>
      <c r="AI88" s="15" t="s">
        <v>11964</v>
      </c>
      <c r="AJ88" s="15" t="s">
        <v>11965</v>
      </c>
      <c r="AK88" s="15" t="s">
        <v>11966</v>
      </c>
      <c r="BH88" s="15" t="s">
        <v>1706</v>
      </c>
      <c r="BI88" s="15" t="str">
        <f t="shared" ref="BI88:BI89" si="273">"399"</f>
        <v>399</v>
      </c>
      <c r="BJ88" s="15" t="str">
        <f t="shared" ref="BJ88:BJ89" si="274">"170"</f>
        <v>170</v>
      </c>
      <c r="BK88" s="15" t="s">
        <v>709</v>
      </c>
      <c r="BL88" s="15" t="str">
        <f t="shared" si="256"/>
        <v>1</v>
      </c>
      <c r="BM88" s="15" t="s">
        <v>416</v>
      </c>
      <c r="BN88" s="15" t="str">
        <f t="shared" si="267"/>
        <v>22.24</v>
      </c>
      <c r="BO88" s="15" t="str">
        <f t="shared" si="268"/>
        <v>21.85</v>
      </c>
      <c r="BP88" s="15" t="str">
        <f t="shared" si="269"/>
        <v>19.29</v>
      </c>
      <c r="BQ88" s="15" t="str">
        <f t="shared" si="270"/>
        <v>30.86</v>
      </c>
      <c r="CG88" s="15" t="str">
        <f t="shared" si="271"/>
        <v>5.44</v>
      </c>
      <c r="CH88" s="15" t="str">
        <f t="shared" si="272"/>
        <v>0.154</v>
      </c>
      <c r="CI88" s="15" t="s">
        <v>497</v>
      </c>
      <c r="CS88" s="15" t="s">
        <v>1331</v>
      </c>
      <c r="CT88" s="15" t="s">
        <v>1065</v>
      </c>
      <c r="CU88" s="15" t="s">
        <v>1700</v>
      </c>
      <c r="CW88" s="15">
        <v>0.0</v>
      </c>
      <c r="CY88" s="15" t="s">
        <v>855</v>
      </c>
      <c r="DF88" s="15" t="s">
        <v>721</v>
      </c>
      <c r="DG88" s="15" t="s">
        <v>419</v>
      </c>
      <c r="DH88" s="15">
        <v>0.0</v>
      </c>
      <c r="DL88" s="15">
        <v>25000.0</v>
      </c>
      <c r="DM88" s="15" t="s">
        <v>470</v>
      </c>
      <c r="DN88" s="15" t="s">
        <v>1016</v>
      </c>
      <c r="DO88" s="15" t="s">
        <v>1701</v>
      </c>
      <c r="DP88" s="15">
        <v>1.0</v>
      </c>
      <c r="DQ88" s="15">
        <v>2.0</v>
      </c>
      <c r="DR88" s="15" t="s">
        <v>498</v>
      </c>
      <c r="DS88" s="15" t="s">
        <v>1635</v>
      </c>
      <c r="DT88" s="15">
        <v>0.0</v>
      </c>
      <c r="DU88" s="15" t="s">
        <v>1545</v>
      </c>
      <c r="EF88" s="15" t="s">
        <v>1288</v>
      </c>
      <c r="EH88" s="15" t="s">
        <v>1593</v>
      </c>
      <c r="EO88" s="15" t="s">
        <v>997</v>
      </c>
      <c r="FB88" s="15" t="s">
        <v>1609</v>
      </c>
    </row>
    <row r="89" ht="17.25" customHeight="1">
      <c r="A89" s="15" t="s">
        <v>1711</v>
      </c>
      <c r="B89" s="15" t="str">
        <f>"801542623654"</f>
        <v>801542623654</v>
      </c>
      <c r="C89" s="15" t="s">
        <v>11967</v>
      </c>
      <c r="D89" s="15" t="str">
        <f t="shared" si="1"/>
        <v>Augustine Ottoman-21"Orly Natural</v>
      </c>
      <c r="E89" s="15" t="s">
        <v>1693</v>
      </c>
      <c r="F89" s="15" t="s">
        <v>397</v>
      </c>
      <c r="G89" s="15" t="s">
        <v>1652</v>
      </c>
      <c r="J89" s="15" t="s">
        <v>1652</v>
      </c>
      <c r="M89" s="15" t="s">
        <v>1628</v>
      </c>
      <c r="N89" s="15" t="s">
        <v>1009</v>
      </c>
      <c r="P89" s="15" t="str">
        <f t="shared" si="265"/>
        <v>21.5</v>
      </c>
      <c r="Q89" s="15" t="str">
        <f t="shared" si="253"/>
        <v>21</v>
      </c>
      <c r="R89" s="15" t="str">
        <f t="shared" si="254"/>
        <v>18</v>
      </c>
      <c r="S89" s="15" t="str">
        <f t="shared" si="266"/>
        <v>24.91</v>
      </c>
      <c r="T89" s="15" t="s">
        <v>1655</v>
      </c>
      <c r="U89" s="15" t="s">
        <v>11209</v>
      </c>
      <c r="AA89" s="15" t="s">
        <v>426</v>
      </c>
      <c r="AB89" s="15" t="s">
        <v>413</v>
      </c>
      <c r="AC89" s="15" t="s">
        <v>1713</v>
      </c>
      <c r="AD89" s="15" t="s">
        <v>11968</v>
      </c>
      <c r="AE89" s="15" t="s">
        <v>1712</v>
      </c>
      <c r="AF89" s="15" t="s">
        <v>11969</v>
      </c>
      <c r="AG89" s="15" t="s">
        <v>11970</v>
      </c>
      <c r="AH89" s="15" t="s">
        <v>11971</v>
      </c>
      <c r="AI89" s="15" t="s">
        <v>11972</v>
      </c>
      <c r="AJ89" s="15" t="s">
        <v>11973</v>
      </c>
      <c r="AK89" s="15" t="s">
        <v>11974</v>
      </c>
      <c r="AL89" s="15" t="s">
        <v>11975</v>
      </c>
      <c r="BH89" s="15" t="s">
        <v>1710</v>
      </c>
      <c r="BI89" s="15" t="str">
        <f t="shared" si="273"/>
        <v>399</v>
      </c>
      <c r="BJ89" s="15" t="str">
        <f t="shared" si="274"/>
        <v>170</v>
      </c>
      <c r="BK89" s="15" t="s">
        <v>709</v>
      </c>
      <c r="BL89" s="15" t="str">
        <f t="shared" si="256"/>
        <v>1</v>
      </c>
      <c r="BM89" s="15" t="s">
        <v>416</v>
      </c>
      <c r="BN89" s="15" t="str">
        <f t="shared" si="267"/>
        <v>22.24</v>
      </c>
      <c r="BO89" s="15" t="str">
        <f t="shared" si="268"/>
        <v>21.85</v>
      </c>
      <c r="BP89" s="15" t="str">
        <f t="shared" si="269"/>
        <v>19.29</v>
      </c>
      <c r="BQ89" s="15" t="str">
        <f t="shared" si="270"/>
        <v>30.86</v>
      </c>
      <c r="CG89" s="15" t="str">
        <f t="shared" si="271"/>
        <v>5.44</v>
      </c>
      <c r="CH89" s="15" t="str">
        <f t="shared" si="272"/>
        <v>0.154</v>
      </c>
      <c r="CI89" s="15" t="s">
        <v>465</v>
      </c>
      <c r="CS89" s="15" t="s">
        <v>1331</v>
      </c>
      <c r="CT89" s="15" t="s">
        <v>1065</v>
      </c>
      <c r="CU89" s="15" t="s">
        <v>1700</v>
      </c>
      <c r="CW89" s="15">
        <v>0.0</v>
      </c>
      <c r="CY89" s="15" t="s">
        <v>855</v>
      </c>
      <c r="DF89" s="15" t="s">
        <v>721</v>
      </c>
      <c r="DG89" s="15" t="s">
        <v>419</v>
      </c>
      <c r="DH89" s="15">
        <v>0.0</v>
      </c>
      <c r="DL89" s="15">
        <v>25000.0</v>
      </c>
      <c r="DM89" s="15" t="s">
        <v>470</v>
      </c>
      <c r="DN89" s="15" t="s">
        <v>1016</v>
      </c>
      <c r="DO89" s="15" t="s">
        <v>1701</v>
      </c>
      <c r="DP89" s="15">
        <v>1.0</v>
      </c>
      <c r="DQ89" s="15">
        <v>2.0</v>
      </c>
      <c r="DR89" s="15" t="s">
        <v>498</v>
      </c>
      <c r="DS89" s="15" t="s">
        <v>1635</v>
      </c>
      <c r="DT89" s="15">
        <v>0.0</v>
      </c>
      <c r="DU89" s="15" t="s">
        <v>1545</v>
      </c>
      <c r="EF89" s="15" t="s">
        <v>1288</v>
      </c>
      <c r="EH89" s="15" t="s">
        <v>1593</v>
      </c>
      <c r="EO89" s="15" t="s">
        <v>997</v>
      </c>
      <c r="FB89" s="15" t="s">
        <v>1609</v>
      </c>
    </row>
    <row r="90" ht="17.25" customHeight="1">
      <c r="A90" s="15" t="s">
        <v>1715</v>
      </c>
      <c r="B90" s="15" t="str">
        <f>"801542699031"</f>
        <v>801542699031</v>
      </c>
      <c r="C90" s="15" t="s">
        <v>11976</v>
      </c>
      <c r="D90" s="15" t="str">
        <f t="shared" si="1"/>
        <v>Augustine Ottoman-21"Palermo Drift</v>
      </c>
      <c r="E90" s="15" t="s">
        <v>1693</v>
      </c>
      <c r="F90" s="15" t="s">
        <v>397</v>
      </c>
      <c r="G90" s="15" t="s">
        <v>1658</v>
      </c>
      <c r="J90" s="15" t="s">
        <v>1658</v>
      </c>
      <c r="M90" s="15" t="s">
        <v>1628</v>
      </c>
      <c r="N90" s="15" t="s">
        <v>1009</v>
      </c>
      <c r="P90" s="15" t="str">
        <f t="shared" si="265"/>
        <v>21.5</v>
      </c>
      <c r="Q90" s="15" t="str">
        <f t="shared" si="253"/>
        <v>21</v>
      </c>
      <c r="R90" s="15" t="str">
        <f t="shared" si="254"/>
        <v>18</v>
      </c>
      <c r="S90" s="15" t="str">
        <f t="shared" si="266"/>
        <v>24.91</v>
      </c>
      <c r="T90" s="15" t="s">
        <v>1600</v>
      </c>
      <c r="U90" s="15" t="s">
        <v>11137</v>
      </c>
      <c r="AA90" s="15" t="s">
        <v>413</v>
      </c>
      <c r="AB90" s="15" t="s">
        <v>413</v>
      </c>
      <c r="AC90" s="15" t="s">
        <v>1717</v>
      </c>
      <c r="AD90" s="15" t="s">
        <v>11977</v>
      </c>
      <c r="AE90" s="15" t="s">
        <v>1716</v>
      </c>
      <c r="AF90" s="15" t="s">
        <v>11978</v>
      </c>
      <c r="AG90" s="15" t="s">
        <v>11979</v>
      </c>
      <c r="AH90" s="15" t="s">
        <v>11980</v>
      </c>
      <c r="AI90" s="15" t="s">
        <v>11981</v>
      </c>
      <c r="AJ90" s="15" t="s">
        <v>11982</v>
      </c>
      <c r="BH90" s="15" t="s">
        <v>1714</v>
      </c>
      <c r="BI90" s="15" t="str">
        <f>"949"</f>
        <v>949</v>
      </c>
      <c r="BJ90" s="15" t="str">
        <f>"400"</f>
        <v>400</v>
      </c>
      <c r="BK90" s="15" t="s">
        <v>709</v>
      </c>
      <c r="BL90" s="15" t="str">
        <f t="shared" si="256"/>
        <v>1</v>
      </c>
      <c r="BM90" s="15" t="s">
        <v>416</v>
      </c>
      <c r="BN90" s="15" t="str">
        <f t="shared" si="267"/>
        <v>22.24</v>
      </c>
      <c r="BO90" s="15" t="str">
        <f t="shared" si="268"/>
        <v>21.85</v>
      </c>
      <c r="BP90" s="15" t="str">
        <f t="shared" si="269"/>
        <v>19.29</v>
      </c>
      <c r="BQ90" s="15" t="str">
        <f t="shared" si="270"/>
        <v>30.86</v>
      </c>
      <c r="CG90" s="15" t="str">
        <f t="shared" si="271"/>
        <v>5.44</v>
      </c>
      <c r="CH90" s="15" t="str">
        <f t="shared" si="272"/>
        <v>0.154</v>
      </c>
      <c r="CI90" s="15" t="s">
        <v>497</v>
      </c>
      <c r="CS90" s="15" t="s">
        <v>1331</v>
      </c>
      <c r="CT90" s="15" t="s">
        <v>1065</v>
      </c>
      <c r="CU90" s="15" t="s">
        <v>1700</v>
      </c>
      <c r="CW90" s="15">
        <v>0.0</v>
      </c>
      <c r="CY90" s="15" t="s">
        <v>718</v>
      </c>
      <c r="DF90" s="15" t="s">
        <v>721</v>
      </c>
      <c r="DG90" s="15" t="s">
        <v>419</v>
      </c>
      <c r="DH90" s="15">
        <v>0.0</v>
      </c>
      <c r="DL90" s="15">
        <v>0.0</v>
      </c>
      <c r="DM90" s="15" t="s">
        <v>470</v>
      </c>
      <c r="DN90" s="15" t="s">
        <v>1016</v>
      </c>
      <c r="DO90" s="15" t="s">
        <v>1701</v>
      </c>
      <c r="DP90" s="15">
        <v>1.0</v>
      </c>
      <c r="DQ90" s="15">
        <v>2.0</v>
      </c>
      <c r="DR90" s="15" t="s">
        <v>498</v>
      </c>
      <c r="DS90" s="15" t="s">
        <v>1635</v>
      </c>
      <c r="DT90" s="15">
        <v>0.0</v>
      </c>
      <c r="DU90" s="15" t="s">
        <v>1545</v>
      </c>
      <c r="EF90" s="15" t="s">
        <v>1288</v>
      </c>
      <c r="EH90" s="15" t="s">
        <v>1593</v>
      </c>
      <c r="EO90" s="15" t="s">
        <v>997</v>
      </c>
      <c r="FB90" s="15" t="s">
        <v>1609</v>
      </c>
    </row>
    <row r="91" ht="17.25" customHeight="1">
      <c r="A91" s="15" t="s">
        <v>1719</v>
      </c>
      <c r="B91" s="15" t="str">
        <f>"801542623661"</f>
        <v>801542623661</v>
      </c>
      <c r="C91" s="15" t="s">
        <v>11983</v>
      </c>
      <c r="D91" s="15" t="str">
        <f t="shared" si="1"/>
        <v>Augustine Ottoman-21"Sapphire Navy</v>
      </c>
      <c r="E91" s="15" t="s">
        <v>1693</v>
      </c>
      <c r="F91" s="15" t="s">
        <v>397</v>
      </c>
      <c r="G91" s="15" t="s">
        <v>1663</v>
      </c>
      <c r="J91" s="15" t="s">
        <v>1663</v>
      </c>
      <c r="M91" s="15" t="s">
        <v>1628</v>
      </c>
      <c r="N91" s="15" t="s">
        <v>1009</v>
      </c>
      <c r="P91" s="15" t="str">
        <f t="shared" si="265"/>
        <v>21.5</v>
      </c>
      <c r="Q91" s="15" t="str">
        <f t="shared" si="253"/>
        <v>21</v>
      </c>
      <c r="R91" s="15" t="str">
        <f t="shared" si="254"/>
        <v>18</v>
      </c>
      <c r="S91" s="15" t="str">
        <f t="shared" si="266"/>
        <v>24.91</v>
      </c>
      <c r="T91" s="15" t="s">
        <v>1666</v>
      </c>
      <c r="U91" s="15" t="s">
        <v>11234</v>
      </c>
      <c r="V91" s="15" t="s">
        <v>11898</v>
      </c>
      <c r="AA91" s="15" t="s">
        <v>426</v>
      </c>
      <c r="AB91" s="15" t="s">
        <v>413</v>
      </c>
      <c r="AC91" s="15" t="s">
        <v>1721</v>
      </c>
      <c r="AD91" s="15" t="s">
        <v>11984</v>
      </c>
      <c r="AE91" s="15" t="s">
        <v>1720</v>
      </c>
      <c r="AF91" s="15" t="s">
        <v>11985</v>
      </c>
      <c r="AG91" s="15" t="s">
        <v>11986</v>
      </c>
      <c r="AH91" s="15" t="s">
        <v>11987</v>
      </c>
      <c r="AI91" s="15" t="s">
        <v>11988</v>
      </c>
      <c r="AJ91" s="15" t="s">
        <v>11989</v>
      </c>
      <c r="BH91" s="15" t="s">
        <v>1718</v>
      </c>
      <c r="BI91" s="15" t="str">
        <f t="shared" ref="BI91:BI92" si="275">"449"</f>
        <v>449</v>
      </c>
      <c r="BJ91" s="15" t="str">
        <f t="shared" ref="BJ91:BJ92" si="276">"190"</f>
        <v>190</v>
      </c>
      <c r="BK91" s="15" t="s">
        <v>709</v>
      </c>
      <c r="BL91" s="15" t="str">
        <f t="shared" si="256"/>
        <v>1</v>
      </c>
      <c r="BM91" s="15" t="s">
        <v>416</v>
      </c>
      <c r="BN91" s="15" t="str">
        <f t="shared" si="267"/>
        <v>22.24</v>
      </c>
      <c r="BO91" s="15" t="str">
        <f t="shared" si="268"/>
        <v>21.85</v>
      </c>
      <c r="BP91" s="15" t="str">
        <f t="shared" si="269"/>
        <v>19.29</v>
      </c>
      <c r="BQ91" s="15" t="str">
        <f t="shared" si="270"/>
        <v>30.86</v>
      </c>
      <c r="CG91" s="15" t="str">
        <f t="shared" si="271"/>
        <v>5.44</v>
      </c>
      <c r="CH91" s="15" t="str">
        <f t="shared" si="272"/>
        <v>0.154</v>
      </c>
      <c r="CI91" s="15" t="s">
        <v>465</v>
      </c>
      <c r="CS91" s="15" t="s">
        <v>1331</v>
      </c>
      <c r="CT91" s="15" t="s">
        <v>1065</v>
      </c>
      <c r="CU91" s="15" t="s">
        <v>1700</v>
      </c>
      <c r="CW91" s="15">
        <v>0.0</v>
      </c>
      <c r="CY91" s="15" t="s">
        <v>897</v>
      </c>
      <c r="DF91" s="15" t="s">
        <v>721</v>
      </c>
      <c r="DG91" s="15" t="s">
        <v>419</v>
      </c>
      <c r="DH91" s="15">
        <v>0.0</v>
      </c>
      <c r="DL91" s="15">
        <v>100000.0</v>
      </c>
      <c r="DM91" s="15" t="s">
        <v>470</v>
      </c>
      <c r="DN91" s="15" t="s">
        <v>1016</v>
      </c>
      <c r="DO91" s="15" t="s">
        <v>1701</v>
      </c>
      <c r="DP91" s="15">
        <v>1.0</v>
      </c>
      <c r="DQ91" s="15">
        <v>2.0</v>
      </c>
      <c r="DR91" s="15" t="s">
        <v>498</v>
      </c>
      <c r="DS91" s="15" t="s">
        <v>1635</v>
      </c>
      <c r="DT91" s="15">
        <v>0.0</v>
      </c>
      <c r="DU91" s="15" t="s">
        <v>1545</v>
      </c>
      <c r="EF91" s="15" t="s">
        <v>1288</v>
      </c>
      <c r="EH91" s="15" t="s">
        <v>1593</v>
      </c>
      <c r="EO91" s="15" t="s">
        <v>997</v>
      </c>
      <c r="FB91" s="15" t="s">
        <v>1609</v>
      </c>
    </row>
    <row r="92" ht="17.25" customHeight="1">
      <c r="A92" s="15" t="s">
        <v>1723</v>
      </c>
      <c r="B92" s="15" t="str">
        <f>"801542672355"</f>
        <v>801542672355</v>
      </c>
      <c r="C92" s="15" t="s">
        <v>11990</v>
      </c>
      <c r="D92" s="15" t="str">
        <f t="shared" si="1"/>
        <v>Augustine Ottoman-21"Surrey Auburn</v>
      </c>
      <c r="E92" s="15" t="s">
        <v>1693</v>
      </c>
      <c r="F92" s="15" t="s">
        <v>397</v>
      </c>
      <c r="G92" s="15" t="s">
        <v>1689</v>
      </c>
      <c r="J92" s="15" t="s">
        <v>1689</v>
      </c>
      <c r="M92" s="15" t="s">
        <v>1628</v>
      </c>
      <c r="N92" s="15" t="s">
        <v>1009</v>
      </c>
      <c r="P92" s="15" t="str">
        <f t="shared" si="265"/>
        <v>21.5</v>
      </c>
      <c r="Q92" s="15" t="str">
        <f t="shared" si="253"/>
        <v>21</v>
      </c>
      <c r="R92" s="15" t="str">
        <f t="shared" si="254"/>
        <v>18</v>
      </c>
      <c r="S92" s="15" t="str">
        <f t="shared" si="266"/>
        <v>24.91</v>
      </c>
      <c r="T92" s="15" t="s">
        <v>1615</v>
      </c>
      <c r="U92" s="15" t="s">
        <v>11845</v>
      </c>
      <c r="V92" s="15" t="s">
        <v>11846</v>
      </c>
      <c r="AA92" s="15" t="s">
        <v>426</v>
      </c>
      <c r="AB92" s="15" t="s">
        <v>413</v>
      </c>
      <c r="AC92" s="15" t="s">
        <v>1725</v>
      </c>
      <c r="AD92" s="15" t="s">
        <v>11991</v>
      </c>
      <c r="AE92" s="15" t="s">
        <v>1724</v>
      </c>
      <c r="AF92" s="15" t="s">
        <v>11992</v>
      </c>
      <c r="AG92" s="15" t="s">
        <v>11993</v>
      </c>
      <c r="AH92" s="15" t="s">
        <v>11994</v>
      </c>
      <c r="AI92" s="15" t="s">
        <v>11995</v>
      </c>
      <c r="AJ92" s="15" t="s">
        <v>11996</v>
      </c>
      <c r="AK92" s="15" t="s">
        <v>11997</v>
      </c>
      <c r="AL92" s="15" t="s">
        <v>11998</v>
      </c>
      <c r="BH92" s="15" t="s">
        <v>1722</v>
      </c>
      <c r="BI92" s="15" t="str">
        <f t="shared" si="275"/>
        <v>449</v>
      </c>
      <c r="BJ92" s="15" t="str">
        <f t="shared" si="276"/>
        <v>190</v>
      </c>
      <c r="BK92" s="15" t="s">
        <v>709</v>
      </c>
      <c r="BL92" s="15" t="str">
        <f t="shared" si="256"/>
        <v>1</v>
      </c>
      <c r="BM92" s="15" t="s">
        <v>416</v>
      </c>
      <c r="BN92" s="15" t="str">
        <f t="shared" si="267"/>
        <v>22.24</v>
      </c>
      <c r="BO92" s="15" t="str">
        <f t="shared" si="268"/>
        <v>21.85</v>
      </c>
      <c r="BP92" s="15" t="str">
        <f t="shared" si="269"/>
        <v>19.29</v>
      </c>
      <c r="BQ92" s="15" t="str">
        <f t="shared" si="270"/>
        <v>30.86</v>
      </c>
      <c r="CG92" s="15" t="str">
        <f t="shared" si="271"/>
        <v>5.44</v>
      </c>
      <c r="CH92" s="15" t="str">
        <f t="shared" si="272"/>
        <v>0.154</v>
      </c>
      <c r="CI92" s="15" t="s">
        <v>465</v>
      </c>
      <c r="CS92" s="15" t="s">
        <v>1331</v>
      </c>
      <c r="CT92" s="15" t="s">
        <v>1065</v>
      </c>
      <c r="CU92" s="15" t="s">
        <v>1700</v>
      </c>
      <c r="CW92" s="15">
        <v>0.0</v>
      </c>
      <c r="CY92" s="15" t="s">
        <v>718</v>
      </c>
      <c r="DF92" s="15" t="s">
        <v>721</v>
      </c>
      <c r="DG92" s="15" t="s">
        <v>419</v>
      </c>
      <c r="DH92" s="15">
        <v>0.0</v>
      </c>
      <c r="DL92" s="15">
        <v>30000.0</v>
      </c>
      <c r="DM92" s="15" t="s">
        <v>470</v>
      </c>
      <c r="DN92" s="15" t="s">
        <v>1016</v>
      </c>
      <c r="DO92" s="15" t="s">
        <v>1701</v>
      </c>
      <c r="DP92" s="15">
        <v>1.0</v>
      </c>
      <c r="DQ92" s="15">
        <v>2.0</v>
      </c>
      <c r="DR92" s="15" t="s">
        <v>498</v>
      </c>
      <c r="DS92" s="15" t="s">
        <v>1635</v>
      </c>
      <c r="DT92" s="15">
        <v>0.0</v>
      </c>
      <c r="DU92" s="15" t="s">
        <v>1545</v>
      </c>
      <c r="EF92" s="15" t="s">
        <v>1288</v>
      </c>
      <c r="EH92" s="15" t="s">
        <v>1593</v>
      </c>
      <c r="EO92" s="15" t="s">
        <v>997</v>
      </c>
      <c r="FB92" s="15" t="s">
        <v>1609</v>
      </c>
    </row>
    <row r="93" ht="17.25" customHeight="1">
      <c r="A93" s="15" t="s">
        <v>1728</v>
      </c>
      <c r="B93" s="15" t="str">
        <f>"198394062510"</f>
        <v>198394062510</v>
      </c>
      <c r="C93" s="15" t="s">
        <v>11999</v>
      </c>
      <c r="D93" s="15" t="str">
        <f t="shared" si="1"/>
        <v>Augustine SofaCrypton Nomad Taupe</v>
      </c>
      <c r="E93" s="15" t="s">
        <v>1726</v>
      </c>
      <c r="F93" s="15" t="s">
        <v>397</v>
      </c>
      <c r="G93" s="15" t="s">
        <v>1619</v>
      </c>
      <c r="J93" s="15" t="s">
        <v>1619</v>
      </c>
      <c r="M93" s="15" t="s">
        <v>1628</v>
      </c>
      <c r="N93" s="15" t="s">
        <v>1732</v>
      </c>
      <c r="P93" s="15" t="str">
        <f t="shared" ref="P93:P94" si="277">"97"</f>
        <v>97</v>
      </c>
      <c r="Q93" s="15" t="str">
        <f t="shared" ref="Q93:Q103" si="278">"35"</f>
        <v>35</v>
      </c>
      <c r="R93" s="15" t="str">
        <f t="shared" ref="R93:R103" si="279">"26.5"</f>
        <v>26.5</v>
      </c>
      <c r="S93" s="15" t="str">
        <f t="shared" ref="S93:S94" si="280">"123.02"</f>
        <v>123.02</v>
      </c>
      <c r="T93" s="15" t="s">
        <v>1623</v>
      </c>
      <c r="U93" s="15" t="s">
        <v>11858</v>
      </c>
      <c r="V93" s="15" t="s">
        <v>11859</v>
      </c>
      <c r="AA93" s="15" t="s">
        <v>426</v>
      </c>
      <c r="AB93" s="15" t="s">
        <v>426</v>
      </c>
      <c r="AC93" s="15" t="s">
        <v>1631</v>
      </c>
      <c r="AD93" s="15" t="s">
        <v>12000</v>
      </c>
      <c r="AE93" s="15" t="s">
        <v>1730</v>
      </c>
      <c r="AF93" s="15" t="s">
        <v>12001</v>
      </c>
      <c r="AG93" s="15" t="s">
        <v>12002</v>
      </c>
      <c r="AH93" s="15" t="s">
        <v>12003</v>
      </c>
      <c r="AI93" s="15" t="s">
        <v>12004</v>
      </c>
      <c r="AJ93" s="15" t="s">
        <v>12005</v>
      </c>
      <c r="AK93" s="15" t="s">
        <v>12006</v>
      </c>
      <c r="AL93" s="15" t="s">
        <v>12007</v>
      </c>
      <c r="AM93" s="15" t="s">
        <v>12008</v>
      </c>
      <c r="AN93" s="15" t="s">
        <v>12009</v>
      </c>
      <c r="AO93" s="15" t="s">
        <v>12010</v>
      </c>
      <c r="BH93" s="15" t="s">
        <v>1727</v>
      </c>
      <c r="BI93" s="15" t="str">
        <f>"2599"</f>
        <v>2599</v>
      </c>
      <c r="BJ93" s="15" t="str">
        <f>"1095"</f>
        <v>1095</v>
      </c>
      <c r="BK93" s="15" t="s">
        <v>709</v>
      </c>
      <c r="BL93" s="15" t="str">
        <f t="shared" si="256"/>
        <v>1</v>
      </c>
      <c r="BM93" s="15" t="s">
        <v>416</v>
      </c>
      <c r="BN93" s="15" t="str">
        <f t="shared" ref="BN93:BN94" si="281">"99.21"</f>
        <v>99.21</v>
      </c>
      <c r="BO93" s="15" t="str">
        <f t="shared" ref="BO93:BO99" si="282">"36.61"</f>
        <v>36.61</v>
      </c>
      <c r="BP93" s="15" t="str">
        <f t="shared" ref="BP93:BP99" si="283">"26.38"</f>
        <v>26.38</v>
      </c>
      <c r="BQ93" s="15" t="str">
        <f t="shared" ref="BQ93:BQ94" si="284">"149.47"</f>
        <v>149.47</v>
      </c>
      <c r="CG93" s="15" t="str">
        <f t="shared" ref="CG93:CG94" si="285">"55.44"</f>
        <v>55.44</v>
      </c>
      <c r="CH93" s="15" t="str">
        <f t="shared" ref="CH93:CH94" si="286">"1.57"</f>
        <v>1.57</v>
      </c>
      <c r="CI93" s="15" t="s">
        <v>465</v>
      </c>
      <c r="CS93" s="15" t="s">
        <v>1211</v>
      </c>
      <c r="CT93" s="15" t="s">
        <v>1161</v>
      </c>
      <c r="CU93" s="15" t="s">
        <v>1737</v>
      </c>
      <c r="CV93" s="15">
        <v>0.0</v>
      </c>
      <c r="CW93" s="15">
        <v>1.0</v>
      </c>
      <c r="CX93" s="15" t="s">
        <v>717</v>
      </c>
      <c r="CY93" s="15" t="s">
        <v>897</v>
      </c>
      <c r="DF93" s="15" t="s">
        <v>721</v>
      </c>
      <c r="DG93" s="15" t="s">
        <v>419</v>
      </c>
      <c r="DH93" s="15">
        <v>0.0</v>
      </c>
      <c r="DL93" s="15">
        <v>50000.0</v>
      </c>
      <c r="DM93" s="15" t="s">
        <v>990</v>
      </c>
      <c r="DN93" s="15" t="s">
        <v>1016</v>
      </c>
      <c r="DO93" s="15" t="s">
        <v>1701</v>
      </c>
      <c r="DP93" s="15">
        <v>1.0</v>
      </c>
      <c r="DQ93" s="15">
        <v>3.0</v>
      </c>
      <c r="DS93" s="15" t="s">
        <v>1635</v>
      </c>
      <c r="DT93" s="15">
        <v>0.0</v>
      </c>
      <c r="DU93" s="15" t="s">
        <v>473</v>
      </c>
      <c r="DV93" s="15" t="s">
        <v>1283</v>
      </c>
      <c r="DW93" s="15" t="s">
        <v>1738</v>
      </c>
      <c r="DX93" s="15" t="s">
        <v>1739</v>
      </c>
      <c r="EB93" s="15" t="s">
        <v>505</v>
      </c>
      <c r="EF93" s="15" t="s">
        <v>784</v>
      </c>
      <c r="EG93" s="15" t="s">
        <v>555</v>
      </c>
      <c r="EH93" s="15" t="s">
        <v>1740</v>
      </c>
      <c r="EI93" s="15" t="s">
        <v>1738</v>
      </c>
      <c r="EL93" s="15" t="s">
        <v>1016</v>
      </c>
      <c r="EM93" s="15" t="s">
        <v>1701</v>
      </c>
      <c r="EO93" s="15" t="s">
        <v>997</v>
      </c>
      <c r="FB93" s="15" t="s">
        <v>1609</v>
      </c>
    </row>
    <row r="94" ht="17.25" customHeight="1">
      <c r="A94" s="15" t="s">
        <v>1742</v>
      </c>
      <c r="B94" s="15" t="str">
        <f>"801542399047"</f>
        <v>801542399047</v>
      </c>
      <c r="C94" s="15" t="s">
        <v>12011</v>
      </c>
      <c r="D94" s="15" t="str">
        <f t="shared" si="1"/>
        <v>Augustine SofaDeacon Wolf</v>
      </c>
      <c r="E94" s="15" t="s">
        <v>1726</v>
      </c>
      <c r="F94" s="15" t="s">
        <v>397</v>
      </c>
      <c r="G94" s="15" t="s">
        <v>1641</v>
      </c>
      <c r="J94" s="15" t="s">
        <v>1641</v>
      </c>
      <c r="M94" s="15" t="s">
        <v>1628</v>
      </c>
      <c r="N94" s="15" t="s">
        <v>1732</v>
      </c>
      <c r="P94" s="15" t="str">
        <f t="shared" si="277"/>
        <v>97</v>
      </c>
      <c r="Q94" s="15" t="str">
        <f t="shared" si="278"/>
        <v>35</v>
      </c>
      <c r="R94" s="15" t="str">
        <f t="shared" si="279"/>
        <v>26.5</v>
      </c>
      <c r="S94" s="15" t="str">
        <f t="shared" si="280"/>
        <v>123.02</v>
      </c>
      <c r="T94" s="15" t="s">
        <v>1600</v>
      </c>
      <c r="U94" s="15" t="s">
        <v>11137</v>
      </c>
      <c r="AA94" s="15" t="s">
        <v>413</v>
      </c>
      <c r="AB94" s="15" t="s">
        <v>413</v>
      </c>
      <c r="AC94" s="15" t="s">
        <v>1744</v>
      </c>
      <c r="AD94" s="15" t="s">
        <v>12012</v>
      </c>
      <c r="AE94" s="15" t="s">
        <v>1743</v>
      </c>
      <c r="AF94" s="15" t="s">
        <v>12013</v>
      </c>
      <c r="AG94" s="15" t="s">
        <v>12014</v>
      </c>
      <c r="AH94" s="15" t="s">
        <v>12015</v>
      </c>
      <c r="AI94" s="15" t="s">
        <v>12016</v>
      </c>
      <c r="AJ94" s="15" t="s">
        <v>12017</v>
      </c>
      <c r="AK94" s="15" t="s">
        <v>12018</v>
      </c>
      <c r="BH94" s="15" t="s">
        <v>1741</v>
      </c>
      <c r="BI94" s="15" t="str">
        <f>"4899"</f>
        <v>4899</v>
      </c>
      <c r="BJ94" s="15" t="str">
        <f>"2060"</f>
        <v>2060</v>
      </c>
      <c r="BK94" s="15" t="s">
        <v>709</v>
      </c>
      <c r="BL94" s="15" t="str">
        <f t="shared" si="256"/>
        <v>1</v>
      </c>
      <c r="BM94" s="15" t="s">
        <v>416</v>
      </c>
      <c r="BN94" s="15" t="str">
        <f t="shared" si="281"/>
        <v>99.21</v>
      </c>
      <c r="BO94" s="15" t="str">
        <f t="shared" si="282"/>
        <v>36.61</v>
      </c>
      <c r="BP94" s="15" t="str">
        <f t="shared" si="283"/>
        <v>26.38</v>
      </c>
      <c r="BQ94" s="15" t="str">
        <f t="shared" si="284"/>
        <v>149.47</v>
      </c>
      <c r="CG94" s="15" t="str">
        <f t="shared" si="285"/>
        <v>55.44</v>
      </c>
      <c r="CH94" s="15" t="str">
        <f t="shared" si="286"/>
        <v>1.57</v>
      </c>
      <c r="CI94" s="15" t="s">
        <v>497</v>
      </c>
      <c r="CS94" s="15" t="s">
        <v>1211</v>
      </c>
      <c r="CT94" s="15" t="s">
        <v>1161</v>
      </c>
      <c r="CU94" s="15" t="s">
        <v>1737</v>
      </c>
      <c r="CV94" s="15">
        <v>0.0</v>
      </c>
      <c r="CW94" s="15">
        <v>1.0</v>
      </c>
      <c r="CX94" s="15" t="s">
        <v>717</v>
      </c>
      <c r="CY94" s="15" t="s">
        <v>718</v>
      </c>
      <c r="DF94" s="15" t="s">
        <v>721</v>
      </c>
      <c r="DG94" s="15" t="s">
        <v>419</v>
      </c>
      <c r="DH94" s="15">
        <v>0.0</v>
      </c>
      <c r="DL94" s="15">
        <v>0.0</v>
      </c>
      <c r="DM94" s="15" t="s">
        <v>990</v>
      </c>
      <c r="DN94" s="15" t="s">
        <v>1016</v>
      </c>
      <c r="DO94" s="15" t="s">
        <v>1701</v>
      </c>
      <c r="DP94" s="15">
        <v>1.0</v>
      </c>
      <c r="DQ94" s="15">
        <v>3.0</v>
      </c>
      <c r="DS94" s="15" t="s">
        <v>1635</v>
      </c>
      <c r="DT94" s="15">
        <v>0.0</v>
      </c>
      <c r="DU94" s="15" t="s">
        <v>473</v>
      </c>
      <c r="DV94" s="15" t="s">
        <v>1283</v>
      </c>
      <c r="DW94" s="15" t="s">
        <v>1738</v>
      </c>
      <c r="DX94" s="15" t="s">
        <v>1739</v>
      </c>
      <c r="EB94" s="15" t="s">
        <v>505</v>
      </c>
      <c r="EF94" s="15" t="s">
        <v>784</v>
      </c>
      <c r="EG94" s="15" t="s">
        <v>555</v>
      </c>
      <c r="EH94" s="15" t="s">
        <v>1740</v>
      </c>
      <c r="EI94" s="15" t="s">
        <v>1738</v>
      </c>
      <c r="EL94" s="15" t="s">
        <v>1016</v>
      </c>
      <c r="EM94" s="15" t="s">
        <v>1701</v>
      </c>
      <c r="EO94" s="15" t="s">
        <v>997</v>
      </c>
      <c r="FB94" s="15" t="s">
        <v>1609</v>
      </c>
    </row>
    <row r="95" ht="17.25" customHeight="1">
      <c r="A95" s="15" t="s">
        <v>1747</v>
      </c>
      <c r="B95" s="15" t="str">
        <f>"801542022112"</f>
        <v>801542022112</v>
      </c>
      <c r="C95" s="15" t="s">
        <v>12019</v>
      </c>
      <c r="D95" s="15" t="str">
        <f t="shared" si="1"/>
        <v>Augustine SofaDover Crescent88</v>
      </c>
      <c r="E95" s="15" t="s">
        <v>1726</v>
      </c>
      <c r="F95" s="15" t="s">
        <v>397</v>
      </c>
      <c r="G95" s="15" t="s">
        <v>1646</v>
      </c>
      <c r="H95" s="15" t="s">
        <v>265</v>
      </c>
      <c r="I95" s="15" t="s">
        <v>1746</v>
      </c>
      <c r="J95" s="15" t="s">
        <v>1646</v>
      </c>
      <c r="M95" s="15" t="s">
        <v>1628</v>
      </c>
      <c r="N95" s="15" t="s">
        <v>1732</v>
      </c>
      <c r="P95" s="15" t="str">
        <f>"88"</f>
        <v>88</v>
      </c>
      <c r="Q95" s="15" t="str">
        <f t="shared" si="278"/>
        <v>35</v>
      </c>
      <c r="R95" s="15" t="str">
        <f t="shared" si="279"/>
        <v>26.5</v>
      </c>
      <c r="S95" s="15" t="str">
        <f>"105.82"</f>
        <v>105.82</v>
      </c>
      <c r="T95" s="15" t="s">
        <v>1649</v>
      </c>
      <c r="U95" s="15" t="s">
        <v>11873</v>
      </c>
      <c r="V95" s="15" t="s">
        <v>11874</v>
      </c>
      <c r="W95" s="15" t="s">
        <v>11875</v>
      </c>
      <c r="AA95" s="15" t="s">
        <v>426</v>
      </c>
      <c r="AB95" s="15" t="s">
        <v>426</v>
      </c>
      <c r="AC95" s="15" t="s">
        <v>1751</v>
      </c>
      <c r="AD95" s="15" t="s">
        <v>12020</v>
      </c>
      <c r="AE95" s="15" t="s">
        <v>1749</v>
      </c>
      <c r="AF95" s="15" t="s">
        <v>12021</v>
      </c>
      <c r="AG95" s="15" t="s">
        <v>12022</v>
      </c>
      <c r="AH95" s="15" t="s">
        <v>12023</v>
      </c>
      <c r="AI95" s="15" t="s">
        <v>12024</v>
      </c>
      <c r="AJ95" s="15" t="s">
        <v>12025</v>
      </c>
      <c r="AK95" s="15" t="s">
        <v>12026</v>
      </c>
      <c r="BH95" s="15" t="s">
        <v>1745</v>
      </c>
      <c r="BI95" s="15" t="str">
        <f>"2399"</f>
        <v>2399</v>
      </c>
      <c r="BJ95" s="15" t="str">
        <f>"1010"</f>
        <v>1010</v>
      </c>
      <c r="BK95" s="15" t="s">
        <v>709</v>
      </c>
      <c r="BL95" s="15" t="str">
        <f t="shared" si="256"/>
        <v>1</v>
      </c>
      <c r="BM95" s="15" t="s">
        <v>416</v>
      </c>
      <c r="BN95" s="15" t="str">
        <f>"88.98"</f>
        <v>88.98</v>
      </c>
      <c r="BO95" s="15" t="str">
        <f t="shared" si="282"/>
        <v>36.61</v>
      </c>
      <c r="BP95" s="15" t="str">
        <f t="shared" si="283"/>
        <v>26.38</v>
      </c>
      <c r="BQ95" s="15" t="str">
        <f>"127.87"</f>
        <v>127.87</v>
      </c>
      <c r="CG95" s="15" t="str">
        <f>"49.72"</f>
        <v>49.72</v>
      </c>
      <c r="CH95" s="15" t="str">
        <f>"1.408"</f>
        <v>1.408</v>
      </c>
      <c r="CI95" s="15" t="s">
        <v>465</v>
      </c>
      <c r="CS95" s="15" t="s">
        <v>1211</v>
      </c>
      <c r="CT95" s="15" t="s">
        <v>1161</v>
      </c>
      <c r="CV95" s="15">
        <v>0.0</v>
      </c>
      <c r="CW95" s="15">
        <v>1.0</v>
      </c>
      <c r="CX95" s="15" t="s">
        <v>717</v>
      </c>
      <c r="CY95" s="15" t="s">
        <v>855</v>
      </c>
      <c r="DF95" s="15" t="s">
        <v>721</v>
      </c>
      <c r="DG95" s="15" t="s">
        <v>419</v>
      </c>
      <c r="DH95" s="15">
        <v>0.0</v>
      </c>
      <c r="DL95" s="15">
        <v>25000.0</v>
      </c>
      <c r="DM95" s="15" t="s">
        <v>990</v>
      </c>
      <c r="DN95" s="15" t="s">
        <v>1016</v>
      </c>
      <c r="DP95" s="15">
        <v>1.0</v>
      </c>
      <c r="DQ95" s="15">
        <v>3.0</v>
      </c>
      <c r="DS95" s="15" t="s">
        <v>1635</v>
      </c>
      <c r="DT95" s="15">
        <v>0.0</v>
      </c>
      <c r="DU95" s="15" t="s">
        <v>473</v>
      </c>
      <c r="DV95" s="15" t="s">
        <v>1283</v>
      </c>
      <c r="DW95" s="15" t="s">
        <v>531</v>
      </c>
      <c r="DX95" s="15" t="s">
        <v>1739</v>
      </c>
      <c r="EB95" s="15" t="s">
        <v>505</v>
      </c>
      <c r="EF95" s="15" t="s">
        <v>784</v>
      </c>
      <c r="EG95" s="15" t="s">
        <v>555</v>
      </c>
      <c r="EH95" s="15" t="s">
        <v>1754</v>
      </c>
      <c r="EI95" s="15" t="s">
        <v>1738</v>
      </c>
      <c r="EL95" s="15" t="s">
        <v>1016</v>
      </c>
      <c r="EO95" s="15" t="s">
        <v>997</v>
      </c>
      <c r="EX95" s="15" t="s">
        <v>1755</v>
      </c>
      <c r="EY95" s="15" t="s">
        <v>1755</v>
      </c>
      <c r="FB95" s="15" t="s">
        <v>1609</v>
      </c>
    </row>
    <row r="96" ht="17.25" customHeight="1">
      <c r="A96" s="15" t="s">
        <v>1757</v>
      </c>
      <c r="B96" s="15" t="str">
        <f>"801542396831"</f>
        <v>801542396831</v>
      </c>
      <c r="C96" s="15" t="s">
        <v>12019</v>
      </c>
      <c r="D96" s="15" t="str">
        <f t="shared" si="1"/>
        <v>Augustine SofaDover Crescent97</v>
      </c>
      <c r="E96" s="15" t="s">
        <v>1726</v>
      </c>
      <c r="F96" s="15" t="s">
        <v>397</v>
      </c>
      <c r="G96" s="15" t="s">
        <v>1646</v>
      </c>
      <c r="H96" s="15" t="s">
        <v>265</v>
      </c>
      <c r="I96" s="15" t="s">
        <v>1001</v>
      </c>
      <c r="J96" s="15" t="s">
        <v>1646</v>
      </c>
      <c r="M96" s="15" t="s">
        <v>1628</v>
      </c>
      <c r="N96" s="15" t="s">
        <v>1732</v>
      </c>
      <c r="P96" s="15" t="str">
        <f t="shared" ref="P96:P99" si="287">"97"</f>
        <v>97</v>
      </c>
      <c r="Q96" s="15" t="str">
        <f t="shared" si="278"/>
        <v>35</v>
      </c>
      <c r="R96" s="15" t="str">
        <f t="shared" si="279"/>
        <v>26.5</v>
      </c>
      <c r="S96" s="15" t="str">
        <f>"123.02"</f>
        <v>123.02</v>
      </c>
      <c r="T96" s="15" t="s">
        <v>1649</v>
      </c>
      <c r="U96" s="15" t="s">
        <v>11873</v>
      </c>
      <c r="V96" s="15" t="s">
        <v>11874</v>
      </c>
      <c r="W96" s="15" t="s">
        <v>11875</v>
      </c>
      <c r="AA96" s="15" t="s">
        <v>413</v>
      </c>
      <c r="AB96" s="15" t="s">
        <v>426</v>
      </c>
      <c r="AC96" s="15" t="s">
        <v>1759</v>
      </c>
      <c r="AD96" s="15" t="s">
        <v>12027</v>
      </c>
      <c r="AE96" s="15" t="s">
        <v>1758</v>
      </c>
      <c r="AF96" s="15" t="s">
        <v>12028</v>
      </c>
      <c r="AG96" s="15" t="s">
        <v>12029</v>
      </c>
      <c r="AH96" s="15" t="s">
        <v>12030</v>
      </c>
      <c r="AI96" s="15" t="s">
        <v>12031</v>
      </c>
      <c r="AJ96" s="15" t="s">
        <v>12032</v>
      </c>
      <c r="AK96" s="15" t="s">
        <v>12033</v>
      </c>
      <c r="AL96" s="15" t="s">
        <v>12034</v>
      </c>
      <c r="BH96" s="15" t="s">
        <v>1756</v>
      </c>
      <c r="BI96" s="15" t="str">
        <f t="shared" ref="BI96:BI97" si="288">"2599"</f>
        <v>2599</v>
      </c>
      <c r="BJ96" s="15" t="str">
        <f t="shared" ref="BJ96:BJ97" si="289">"1095"</f>
        <v>1095</v>
      </c>
      <c r="BK96" s="15" t="s">
        <v>709</v>
      </c>
      <c r="BL96" s="15" t="str">
        <f t="shared" si="256"/>
        <v>1</v>
      </c>
      <c r="BM96" s="15" t="s">
        <v>416</v>
      </c>
      <c r="BN96" s="15" t="str">
        <f t="shared" ref="BN96:BN99" si="290">"99.21"</f>
        <v>99.21</v>
      </c>
      <c r="BO96" s="15" t="str">
        <f t="shared" si="282"/>
        <v>36.61</v>
      </c>
      <c r="BP96" s="15" t="str">
        <f t="shared" si="283"/>
        <v>26.38</v>
      </c>
      <c r="BQ96" s="15" t="str">
        <f t="shared" ref="BQ96:BQ99" si="291">"149.47"</f>
        <v>149.47</v>
      </c>
      <c r="CG96" s="15" t="str">
        <f>"55.44"</f>
        <v>55.44</v>
      </c>
      <c r="CH96" s="15" t="str">
        <f>"1.57"</f>
        <v>1.57</v>
      </c>
      <c r="CI96" s="15" t="s">
        <v>465</v>
      </c>
      <c r="CS96" s="15" t="s">
        <v>1211</v>
      </c>
      <c r="CT96" s="15" t="s">
        <v>1161</v>
      </c>
      <c r="CU96" s="15" t="s">
        <v>1737</v>
      </c>
      <c r="CV96" s="15">
        <v>0.0</v>
      </c>
      <c r="CW96" s="15">
        <v>1.0</v>
      </c>
      <c r="CX96" s="15" t="s">
        <v>717</v>
      </c>
      <c r="CY96" s="15" t="s">
        <v>855</v>
      </c>
      <c r="DF96" s="15" t="s">
        <v>721</v>
      </c>
      <c r="DG96" s="15" t="s">
        <v>419</v>
      </c>
      <c r="DH96" s="15">
        <v>0.0</v>
      </c>
      <c r="DL96" s="15">
        <v>25000.0</v>
      </c>
      <c r="DM96" s="15" t="s">
        <v>990</v>
      </c>
      <c r="DN96" s="15" t="s">
        <v>1016</v>
      </c>
      <c r="DO96" s="15" t="s">
        <v>1701</v>
      </c>
      <c r="DP96" s="15">
        <v>1.0</v>
      </c>
      <c r="DQ96" s="15">
        <v>3.0</v>
      </c>
      <c r="DS96" s="15" t="s">
        <v>1635</v>
      </c>
      <c r="DT96" s="15">
        <v>0.0</v>
      </c>
      <c r="DU96" s="15" t="s">
        <v>473</v>
      </c>
      <c r="DV96" s="15" t="s">
        <v>1283</v>
      </c>
      <c r="DW96" s="15" t="s">
        <v>1738</v>
      </c>
      <c r="DX96" s="15" t="s">
        <v>1739</v>
      </c>
      <c r="EB96" s="15" t="s">
        <v>505</v>
      </c>
      <c r="EF96" s="15" t="s">
        <v>784</v>
      </c>
      <c r="EG96" s="15" t="s">
        <v>555</v>
      </c>
      <c r="EH96" s="15" t="s">
        <v>1740</v>
      </c>
      <c r="EI96" s="15" t="s">
        <v>1738</v>
      </c>
      <c r="EL96" s="15" t="s">
        <v>1016</v>
      </c>
      <c r="EM96" s="15" t="s">
        <v>1701</v>
      </c>
      <c r="EO96" s="15" t="s">
        <v>997</v>
      </c>
      <c r="FB96" s="15" t="s">
        <v>1609</v>
      </c>
    </row>
    <row r="97" ht="17.25" customHeight="1">
      <c r="A97" s="15" t="s">
        <v>1761</v>
      </c>
      <c r="B97" s="15" t="str">
        <f>"801542401238"</f>
        <v>801542401238</v>
      </c>
      <c r="C97" s="15" t="s">
        <v>12035</v>
      </c>
      <c r="D97" s="15" t="str">
        <f t="shared" si="1"/>
        <v>Augustine SofaOrly Natural</v>
      </c>
      <c r="E97" s="15" t="s">
        <v>1726</v>
      </c>
      <c r="F97" s="15" t="s">
        <v>397</v>
      </c>
      <c r="G97" s="15" t="s">
        <v>1652</v>
      </c>
      <c r="J97" s="15" t="s">
        <v>1652</v>
      </c>
      <c r="M97" s="15" t="s">
        <v>1628</v>
      </c>
      <c r="N97" s="15" t="s">
        <v>1732</v>
      </c>
      <c r="P97" s="15" t="str">
        <f t="shared" si="287"/>
        <v>97</v>
      </c>
      <c r="Q97" s="15" t="str">
        <f t="shared" si="278"/>
        <v>35</v>
      </c>
      <c r="R97" s="15" t="str">
        <f t="shared" si="279"/>
        <v>26.5</v>
      </c>
      <c r="S97" s="15" t="str">
        <f>"116.84"</f>
        <v>116.84</v>
      </c>
      <c r="T97" s="15" t="s">
        <v>1655</v>
      </c>
      <c r="U97" s="15" t="s">
        <v>11209</v>
      </c>
      <c r="AA97" s="15" t="s">
        <v>413</v>
      </c>
      <c r="AB97" s="15" t="s">
        <v>413</v>
      </c>
      <c r="AC97" s="15" t="s">
        <v>1764</v>
      </c>
      <c r="AD97" s="15" t="s">
        <v>12036</v>
      </c>
      <c r="AE97" s="15" t="s">
        <v>1763</v>
      </c>
      <c r="AF97" s="15" t="s">
        <v>12037</v>
      </c>
      <c r="AG97" s="15" t="s">
        <v>12038</v>
      </c>
      <c r="AH97" s="15" t="s">
        <v>12039</v>
      </c>
      <c r="AI97" s="15" t="s">
        <v>12040</v>
      </c>
      <c r="AJ97" s="15" t="s">
        <v>12041</v>
      </c>
      <c r="BH97" s="15" t="s">
        <v>1760</v>
      </c>
      <c r="BI97" s="15" t="str">
        <f t="shared" si="288"/>
        <v>2599</v>
      </c>
      <c r="BJ97" s="15" t="str">
        <f t="shared" si="289"/>
        <v>1095</v>
      </c>
      <c r="BK97" s="15" t="s">
        <v>709</v>
      </c>
      <c r="BL97" s="15" t="str">
        <f t="shared" si="256"/>
        <v>1</v>
      </c>
      <c r="BM97" s="15" t="s">
        <v>416</v>
      </c>
      <c r="BN97" s="15" t="str">
        <f t="shared" si="290"/>
        <v>99.21</v>
      </c>
      <c r="BO97" s="15" t="str">
        <f t="shared" si="282"/>
        <v>36.61</v>
      </c>
      <c r="BP97" s="15" t="str">
        <f t="shared" si="283"/>
        <v>26.38</v>
      </c>
      <c r="BQ97" s="15" t="str">
        <f t="shared" si="291"/>
        <v>149.47</v>
      </c>
      <c r="CG97" s="15" t="str">
        <f>"57.21"</f>
        <v>57.21</v>
      </c>
      <c r="CH97" s="15" t="str">
        <f>"1.62"</f>
        <v>1.62</v>
      </c>
      <c r="CI97" s="15" t="s">
        <v>465</v>
      </c>
      <c r="CS97" s="15" t="s">
        <v>1211</v>
      </c>
      <c r="CT97" s="15" t="s">
        <v>1161</v>
      </c>
      <c r="CU97" s="15" t="s">
        <v>1737</v>
      </c>
      <c r="CV97" s="15">
        <v>0.0</v>
      </c>
      <c r="CW97" s="15">
        <v>1.0</v>
      </c>
      <c r="CX97" s="15" t="s">
        <v>717</v>
      </c>
      <c r="CY97" s="15" t="s">
        <v>855</v>
      </c>
      <c r="DF97" s="15" t="s">
        <v>721</v>
      </c>
      <c r="DG97" s="15" t="s">
        <v>419</v>
      </c>
      <c r="DH97" s="15">
        <v>0.0</v>
      </c>
      <c r="DL97" s="15">
        <v>25000.0</v>
      </c>
      <c r="DM97" s="15" t="s">
        <v>990</v>
      </c>
      <c r="DN97" s="15" t="s">
        <v>1016</v>
      </c>
      <c r="DO97" s="15" t="s">
        <v>1701</v>
      </c>
      <c r="DP97" s="15">
        <v>1.0</v>
      </c>
      <c r="DQ97" s="15">
        <v>3.0</v>
      </c>
      <c r="DS97" s="15" t="s">
        <v>1635</v>
      </c>
      <c r="DT97" s="15">
        <v>0.0</v>
      </c>
      <c r="DU97" s="15" t="s">
        <v>473</v>
      </c>
      <c r="DV97" s="15" t="s">
        <v>1283</v>
      </c>
      <c r="DW97" s="15" t="s">
        <v>1738</v>
      </c>
      <c r="DX97" s="15" t="s">
        <v>1739</v>
      </c>
      <c r="EB97" s="15" t="s">
        <v>505</v>
      </c>
      <c r="EF97" s="15" t="s">
        <v>784</v>
      </c>
      <c r="EG97" s="15" t="s">
        <v>555</v>
      </c>
      <c r="EH97" s="15" t="s">
        <v>1740</v>
      </c>
      <c r="EI97" s="15" t="s">
        <v>1738</v>
      </c>
      <c r="EL97" s="15" t="s">
        <v>1016</v>
      </c>
      <c r="EM97" s="15" t="s">
        <v>1701</v>
      </c>
      <c r="EO97" s="15" t="s">
        <v>997</v>
      </c>
      <c r="FB97" s="15" t="s">
        <v>1609</v>
      </c>
    </row>
    <row r="98" ht="17.25" customHeight="1">
      <c r="A98" s="15" t="s">
        <v>1766</v>
      </c>
      <c r="B98" s="15" t="str">
        <f>"801542675714"</f>
        <v>801542675714</v>
      </c>
      <c r="C98" s="15" t="s">
        <v>12042</v>
      </c>
      <c r="D98" s="15" t="str">
        <f t="shared" si="1"/>
        <v>Augustine SofaPalermo Drift</v>
      </c>
      <c r="E98" s="15" t="s">
        <v>1726</v>
      </c>
      <c r="F98" s="15" t="s">
        <v>397</v>
      </c>
      <c r="G98" s="15" t="s">
        <v>1658</v>
      </c>
      <c r="J98" s="15" t="s">
        <v>1658</v>
      </c>
      <c r="M98" s="15" t="s">
        <v>1628</v>
      </c>
      <c r="N98" s="15" t="s">
        <v>1732</v>
      </c>
      <c r="P98" s="15" t="str">
        <f t="shared" si="287"/>
        <v>97</v>
      </c>
      <c r="Q98" s="15" t="str">
        <f t="shared" si="278"/>
        <v>35</v>
      </c>
      <c r="R98" s="15" t="str">
        <f t="shared" si="279"/>
        <v>26.5</v>
      </c>
      <c r="S98" s="15" t="str">
        <f t="shared" ref="S98:S99" si="292">"123.02"</f>
        <v>123.02</v>
      </c>
      <c r="T98" s="15" t="s">
        <v>1600</v>
      </c>
      <c r="U98" s="15" t="s">
        <v>11137</v>
      </c>
      <c r="AA98" s="15" t="s">
        <v>413</v>
      </c>
      <c r="AB98" s="15" t="s">
        <v>413</v>
      </c>
      <c r="AC98" s="15" t="s">
        <v>1768</v>
      </c>
      <c r="AD98" s="15" t="s">
        <v>12043</v>
      </c>
      <c r="AE98" s="15" t="s">
        <v>1767</v>
      </c>
      <c r="AF98" s="15" t="s">
        <v>12044</v>
      </c>
      <c r="AG98" s="15" t="s">
        <v>12045</v>
      </c>
      <c r="AH98" s="15" t="s">
        <v>12046</v>
      </c>
      <c r="AI98" s="15" t="s">
        <v>12047</v>
      </c>
      <c r="AJ98" s="15" t="s">
        <v>12048</v>
      </c>
      <c r="AK98" s="15" t="s">
        <v>12049</v>
      </c>
      <c r="BH98" s="15" t="s">
        <v>1765</v>
      </c>
      <c r="BI98" s="15" t="str">
        <f>"4899"</f>
        <v>4899</v>
      </c>
      <c r="BJ98" s="15" t="str">
        <f>"2060"</f>
        <v>2060</v>
      </c>
      <c r="BK98" s="15" t="s">
        <v>709</v>
      </c>
      <c r="BL98" s="15" t="str">
        <f t="shared" si="256"/>
        <v>1</v>
      </c>
      <c r="BM98" s="15" t="s">
        <v>416</v>
      </c>
      <c r="BN98" s="15" t="str">
        <f t="shared" si="290"/>
        <v>99.21</v>
      </c>
      <c r="BO98" s="15" t="str">
        <f t="shared" si="282"/>
        <v>36.61</v>
      </c>
      <c r="BP98" s="15" t="str">
        <f t="shared" si="283"/>
        <v>26.38</v>
      </c>
      <c r="BQ98" s="15" t="str">
        <f t="shared" si="291"/>
        <v>149.47</v>
      </c>
      <c r="CG98" s="15" t="str">
        <f t="shared" ref="CG98:CG99" si="293">"55.44"</f>
        <v>55.44</v>
      </c>
      <c r="CH98" s="15" t="str">
        <f t="shared" ref="CH98:CH99" si="294">"1.57"</f>
        <v>1.57</v>
      </c>
      <c r="CI98" s="15" t="s">
        <v>497</v>
      </c>
      <c r="CS98" s="15" t="s">
        <v>1211</v>
      </c>
      <c r="CT98" s="15" t="s">
        <v>1161</v>
      </c>
      <c r="CU98" s="15" t="s">
        <v>1737</v>
      </c>
      <c r="CV98" s="15">
        <v>0.0</v>
      </c>
      <c r="CW98" s="15">
        <v>1.0</v>
      </c>
      <c r="CX98" s="15" t="s">
        <v>717</v>
      </c>
      <c r="CY98" s="15" t="s">
        <v>718</v>
      </c>
      <c r="DF98" s="15" t="s">
        <v>721</v>
      </c>
      <c r="DG98" s="15" t="s">
        <v>419</v>
      </c>
      <c r="DH98" s="15">
        <v>0.0</v>
      </c>
      <c r="DL98" s="15">
        <v>0.0</v>
      </c>
      <c r="DM98" s="15" t="s">
        <v>990</v>
      </c>
      <c r="DN98" s="15" t="s">
        <v>1016</v>
      </c>
      <c r="DO98" s="15" t="s">
        <v>1701</v>
      </c>
      <c r="DP98" s="15">
        <v>1.0</v>
      </c>
      <c r="DQ98" s="15">
        <v>3.0</v>
      </c>
      <c r="DS98" s="15" t="s">
        <v>1635</v>
      </c>
      <c r="DT98" s="15">
        <v>0.0</v>
      </c>
      <c r="DU98" s="15" t="s">
        <v>473</v>
      </c>
      <c r="DV98" s="15" t="s">
        <v>1283</v>
      </c>
      <c r="DW98" s="15" t="s">
        <v>1738</v>
      </c>
      <c r="DX98" s="15" t="s">
        <v>1739</v>
      </c>
      <c r="EB98" s="15" t="s">
        <v>505</v>
      </c>
      <c r="EF98" s="15" t="s">
        <v>784</v>
      </c>
      <c r="EG98" s="15" t="s">
        <v>555</v>
      </c>
      <c r="EH98" s="15" t="s">
        <v>1740</v>
      </c>
      <c r="EI98" s="15" t="s">
        <v>1738</v>
      </c>
      <c r="EL98" s="15" t="s">
        <v>1016</v>
      </c>
      <c r="EM98" s="15" t="s">
        <v>1701</v>
      </c>
      <c r="EO98" s="15" t="s">
        <v>997</v>
      </c>
      <c r="FB98" s="15" t="s">
        <v>1609</v>
      </c>
    </row>
    <row r="99" ht="17.25" customHeight="1">
      <c r="A99" s="15" t="s">
        <v>1770</v>
      </c>
      <c r="B99" s="15" t="str">
        <f>"801542675707"</f>
        <v>801542675707</v>
      </c>
      <c r="C99" s="15" t="s">
        <v>12050</v>
      </c>
      <c r="D99" s="15" t="str">
        <f t="shared" si="1"/>
        <v>Augustine SofaSurrey Auburn</v>
      </c>
      <c r="E99" s="15" t="s">
        <v>1726</v>
      </c>
      <c r="F99" s="15" t="s">
        <v>397</v>
      </c>
      <c r="G99" s="15" t="s">
        <v>1689</v>
      </c>
      <c r="J99" s="15" t="s">
        <v>1689</v>
      </c>
      <c r="M99" s="15" t="s">
        <v>1628</v>
      </c>
      <c r="N99" s="15" t="s">
        <v>1732</v>
      </c>
      <c r="P99" s="15" t="str">
        <f t="shared" si="287"/>
        <v>97</v>
      </c>
      <c r="Q99" s="15" t="str">
        <f t="shared" si="278"/>
        <v>35</v>
      </c>
      <c r="R99" s="15" t="str">
        <f t="shared" si="279"/>
        <v>26.5</v>
      </c>
      <c r="S99" s="15" t="str">
        <f t="shared" si="292"/>
        <v>123.02</v>
      </c>
      <c r="T99" s="15" t="s">
        <v>1615</v>
      </c>
      <c r="U99" s="15" t="s">
        <v>11845</v>
      </c>
      <c r="V99" s="15" t="s">
        <v>11846</v>
      </c>
      <c r="AA99" s="15" t="s">
        <v>426</v>
      </c>
      <c r="AB99" s="15" t="s">
        <v>413</v>
      </c>
      <c r="AC99" s="15" t="s">
        <v>1772</v>
      </c>
      <c r="AD99" s="15" t="s">
        <v>12051</v>
      </c>
      <c r="AE99" s="15" t="s">
        <v>1771</v>
      </c>
      <c r="AF99" s="15" t="s">
        <v>12052</v>
      </c>
      <c r="AG99" s="15" t="s">
        <v>12053</v>
      </c>
      <c r="AH99" s="15" t="s">
        <v>12054</v>
      </c>
      <c r="AI99" s="15" t="s">
        <v>12055</v>
      </c>
      <c r="AJ99" s="15" t="s">
        <v>12056</v>
      </c>
      <c r="AK99" s="15" t="s">
        <v>12057</v>
      </c>
      <c r="AL99" s="15" t="s">
        <v>12058</v>
      </c>
      <c r="AM99" s="15" t="s">
        <v>12059</v>
      </c>
      <c r="AN99" s="15" t="s">
        <v>12060</v>
      </c>
      <c r="BH99" s="15" t="s">
        <v>1769</v>
      </c>
      <c r="BI99" s="15" t="str">
        <f>"2699"</f>
        <v>2699</v>
      </c>
      <c r="BJ99" s="15" t="str">
        <f>"1135"</f>
        <v>1135</v>
      </c>
      <c r="BK99" s="15" t="s">
        <v>709</v>
      </c>
      <c r="BL99" s="15" t="str">
        <f t="shared" si="256"/>
        <v>1</v>
      </c>
      <c r="BM99" s="15" t="s">
        <v>416</v>
      </c>
      <c r="BN99" s="15" t="str">
        <f t="shared" si="290"/>
        <v>99.21</v>
      </c>
      <c r="BO99" s="15" t="str">
        <f t="shared" si="282"/>
        <v>36.61</v>
      </c>
      <c r="BP99" s="15" t="str">
        <f t="shared" si="283"/>
        <v>26.38</v>
      </c>
      <c r="BQ99" s="15" t="str">
        <f t="shared" si="291"/>
        <v>149.47</v>
      </c>
      <c r="CG99" s="15" t="str">
        <f t="shared" si="293"/>
        <v>55.44</v>
      </c>
      <c r="CH99" s="15" t="str">
        <f t="shared" si="294"/>
        <v>1.57</v>
      </c>
      <c r="CI99" s="15" t="s">
        <v>417</v>
      </c>
      <c r="CS99" s="15" t="s">
        <v>1211</v>
      </c>
      <c r="CT99" s="15" t="s">
        <v>1161</v>
      </c>
      <c r="CU99" s="15" t="s">
        <v>1737</v>
      </c>
      <c r="CV99" s="15">
        <v>0.0</v>
      </c>
      <c r="CW99" s="15">
        <v>1.0</v>
      </c>
      <c r="CX99" s="15" t="s">
        <v>717</v>
      </c>
      <c r="CY99" s="15" t="s">
        <v>718</v>
      </c>
      <c r="DF99" s="15" t="s">
        <v>721</v>
      </c>
      <c r="DG99" s="15" t="s">
        <v>419</v>
      </c>
      <c r="DH99" s="15">
        <v>0.0</v>
      </c>
      <c r="DL99" s="15">
        <v>30000.0</v>
      </c>
      <c r="DM99" s="15" t="s">
        <v>990</v>
      </c>
      <c r="DN99" s="15" t="s">
        <v>1016</v>
      </c>
      <c r="DO99" s="15" t="s">
        <v>1701</v>
      </c>
      <c r="DP99" s="15">
        <v>1.0</v>
      </c>
      <c r="DQ99" s="15">
        <v>3.0</v>
      </c>
      <c r="DS99" s="15" t="s">
        <v>1635</v>
      </c>
      <c r="DT99" s="15">
        <v>0.0</v>
      </c>
      <c r="DU99" s="15" t="s">
        <v>473</v>
      </c>
      <c r="DV99" s="15" t="s">
        <v>1283</v>
      </c>
      <c r="DW99" s="15" t="s">
        <v>1738</v>
      </c>
      <c r="DX99" s="15" t="s">
        <v>1739</v>
      </c>
      <c r="EB99" s="15" t="s">
        <v>505</v>
      </c>
      <c r="EF99" s="15" t="s">
        <v>784</v>
      </c>
      <c r="EG99" s="15" t="s">
        <v>555</v>
      </c>
      <c r="EH99" s="15" t="s">
        <v>1740</v>
      </c>
      <c r="EI99" s="15" t="s">
        <v>1738</v>
      </c>
      <c r="EL99" s="15" t="s">
        <v>1016</v>
      </c>
      <c r="EM99" s="15" t="s">
        <v>1701</v>
      </c>
      <c r="EO99" s="15" t="s">
        <v>997</v>
      </c>
      <c r="FB99" s="15" t="s">
        <v>1609</v>
      </c>
    </row>
    <row r="100" ht="17.25" customHeight="1">
      <c r="A100" s="15" t="s">
        <v>1775</v>
      </c>
      <c r="B100" s="15" t="str">
        <f>"198394062527"</f>
        <v>198394062527</v>
      </c>
      <c r="C100" s="15" t="s">
        <v>12061</v>
      </c>
      <c r="D100" s="15" t="str">
        <f t="shared" si="1"/>
        <v>Augustine Swivel ChairCrypton Nomad Taupe</v>
      </c>
      <c r="E100" s="15" t="s">
        <v>1773</v>
      </c>
      <c r="F100" s="15" t="s">
        <v>397</v>
      </c>
      <c r="G100" s="15" t="s">
        <v>1619</v>
      </c>
      <c r="J100" s="15" t="s">
        <v>1619</v>
      </c>
      <c r="M100" s="15" t="s">
        <v>1628</v>
      </c>
      <c r="N100" s="15" t="s">
        <v>706</v>
      </c>
      <c r="O100" s="15" t="s">
        <v>707</v>
      </c>
      <c r="P100" s="15" t="str">
        <f t="shared" ref="P100:P103" si="295">"33"</f>
        <v>33</v>
      </c>
      <c r="Q100" s="15" t="str">
        <f t="shared" si="278"/>
        <v>35</v>
      </c>
      <c r="R100" s="15" t="str">
        <f t="shared" si="279"/>
        <v>26.5</v>
      </c>
      <c r="S100" s="15" t="str">
        <f t="shared" ref="S100:S103" si="296">"71.65"</f>
        <v>71.65</v>
      </c>
      <c r="T100" s="15" t="s">
        <v>1623</v>
      </c>
      <c r="U100" s="15" t="s">
        <v>11858</v>
      </c>
      <c r="V100" s="15" t="s">
        <v>11859</v>
      </c>
      <c r="AA100" s="15" t="s">
        <v>426</v>
      </c>
      <c r="AB100" s="15" t="s">
        <v>426</v>
      </c>
      <c r="AC100" s="15" t="s">
        <v>1778</v>
      </c>
      <c r="AD100" s="15" t="s">
        <v>12062</v>
      </c>
      <c r="AE100" s="15" t="s">
        <v>1777</v>
      </c>
      <c r="AF100" s="15" t="s">
        <v>12063</v>
      </c>
      <c r="AG100" s="15" t="s">
        <v>12064</v>
      </c>
      <c r="AH100" s="15" t="s">
        <v>12065</v>
      </c>
      <c r="AI100" s="15" t="s">
        <v>12066</v>
      </c>
      <c r="AJ100" s="15" t="s">
        <v>12067</v>
      </c>
      <c r="AK100" s="15" t="s">
        <v>12068</v>
      </c>
      <c r="AL100" s="15" t="s">
        <v>12069</v>
      </c>
      <c r="AM100" s="15" t="s">
        <v>12070</v>
      </c>
      <c r="AN100" s="15" t="s">
        <v>12071</v>
      </c>
      <c r="BH100" s="15" t="s">
        <v>1774</v>
      </c>
      <c r="BI100" s="15" t="str">
        <f>"1049"</f>
        <v>1049</v>
      </c>
      <c r="BJ100" s="15" t="str">
        <f>"445"</f>
        <v>445</v>
      </c>
      <c r="BK100" s="15" t="s">
        <v>709</v>
      </c>
      <c r="BL100" s="15" t="str">
        <f t="shared" si="256"/>
        <v>1</v>
      </c>
      <c r="BM100" s="15" t="s">
        <v>416</v>
      </c>
      <c r="BN100" s="15" t="str">
        <f>"33.86"</f>
        <v>33.86</v>
      </c>
      <c r="BO100" s="15" t="str">
        <f>"36.22"</f>
        <v>36.22</v>
      </c>
      <c r="BP100" s="15" t="str">
        <f t="shared" ref="BP100:BP103" si="297">"27.56"</f>
        <v>27.56</v>
      </c>
      <c r="BQ100" s="15" t="str">
        <f t="shared" ref="BQ100:BQ103" si="298">"82.67"</f>
        <v>82.67</v>
      </c>
      <c r="CG100" s="15" t="str">
        <f t="shared" ref="CG100:CG103" si="299">"19.56"</f>
        <v>19.56</v>
      </c>
      <c r="CH100" s="15" t="str">
        <f t="shared" ref="CH100:CH103" si="300">"0.554"</f>
        <v>0.554</v>
      </c>
      <c r="CI100" s="15" t="s">
        <v>497</v>
      </c>
      <c r="CS100" s="15" t="s">
        <v>1211</v>
      </c>
      <c r="CT100" s="15" t="s">
        <v>1161</v>
      </c>
      <c r="CU100" s="15" t="s">
        <v>1331</v>
      </c>
      <c r="CV100" s="15">
        <v>0.0</v>
      </c>
      <c r="CW100" s="15">
        <v>0.0</v>
      </c>
      <c r="CX100" s="15" t="s">
        <v>717</v>
      </c>
      <c r="CY100" s="15" t="s">
        <v>897</v>
      </c>
      <c r="DF100" s="15" t="s">
        <v>721</v>
      </c>
      <c r="DG100" s="15" t="s">
        <v>1605</v>
      </c>
      <c r="DH100" s="15">
        <v>0.0</v>
      </c>
      <c r="DL100" s="15">
        <v>50000.0</v>
      </c>
      <c r="DM100" s="15" t="s">
        <v>990</v>
      </c>
      <c r="DP100" s="15">
        <v>0.0</v>
      </c>
      <c r="DQ100" s="15">
        <v>1.0</v>
      </c>
      <c r="DS100" s="15" t="s">
        <v>1635</v>
      </c>
      <c r="DT100" s="15">
        <v>0.0</v>
      </c>
      <c r="DU100" s="15" t="s">
        <v>726</v>
      </c>
      <c r="DV100" s="15" t="s">
        <v>1283</v>
      </c>
      <c r="DW100" s="15" t="s">
        <v>1738</v>
      </c>
      <c r="DX100" s="15" t="s">
        <v>1739</v>
      </c>
      <c r="EB100" s="15" t="s">
        <v>505</v>
      </c>
      <c r="EF100" s="15" t="s">
        <v>784</v>
      </c>
      <c r="EI100" s="15" t="s">
        <v>1738</v>
      </c>
      <c r="EO100" s="15" t="s">
        <v>997</v>
      </c>
      <c r="EZ100" s="15">
        <v>0.0</v>
      </c>
      <c r="FA100" s="15">
        <v>0.0</v>
      </c>
      <c r="FB100" s="15" t="s">
        <v>1609</v>
      </c>
      <c r="FC100" s="15">
        <v>0.0</v>
      </c>
      <c r="HU100" s="15" t="s">
        <v>1610</v>
      </c>
    </row>
    <row r="101" ht="17.25" customHeight="1">
      <c r="A101" s="15" t="s">
        <v>1783</v>
      </c>
      <c r="B101" s="15" t="str">
        <f>"801542698409"</f>
        <v>801542698409</v>
      </c>
      <c r="C101" s="15" t="s">
        <v>12072</v>
      </c>
      <c r="D101" s="15" t="str">
        <f t="shared" si="1"/>
        <v>Augustine Swivel ChairDeacon Wolf</v>
      </c>
      <c r="E101" s="15" t="s">
        <v>1773</v>
      </c>
      <c r="F101" s="15" t="s">
        <v>397</v>
      </c>
      <c r="G101" s="15" t="s">
        <v>1641</v>
      </c>
      <c r="J101" s="15" t="s">
        <v>1641</v>
      </c>
      <c r="M101" s="15" t="s">
        <v>1628</v>
      </c>
      <c r="N101" s="15" t="s">
        <v>706</v>
      </c>
      <c r="O101" s="15" t="s">
        <v>707</v>
      </c>
      <c r="P101" s="15" t="str">
        <f t="shared" si="295"/>
        <v>33</v>
      </c>
      <c r="Q101" s="15" t="str">
        <f t="shared" si="278"/>
        <v>35</v>
      </c>
      <c r="R101" s="15" t="str">
        <f t="shared" si="279"/>
        <v>26.5</v>
      </c>
      <c r="S101" s="15" t="str">
        <f t="shared" si="296"/>
        <v>71.65</v>
      </c>
      <c r="T101" s="15" t="s">
        <v>1600</v>
      </c>
      <c r="U101" s="15" t="s">
        <v>11137</v>
      </c>
      <c r="AA101" s="15" t="s">
        <v>426</v>
      </c>
      <c r="AB101" s="15" t="s">
        <v>413</v>
      </c>
      <c r="AC101" s="15" t="s">
        <v>1785</v>
      </c>
      <c r="AD101" s="15" t="s">
        <v>12073</v>
      </c>
      <c r="AE101" s="15" t="s">
        <v>1784</v>
      </c>
      <c r="AF101" s="15" t="s">
        <v>12074</v>
      </c>
      <c r="AG101" s="15" t="s">
        <v>12075</v>
      </c>
      <c r="AH101" s="15" t="s">
        <v>12076</v>
      </c>
      <c r="AI101" s="15" t="s">
        <v>12077</v>
      </c>
      <c r="AJ101" s="15" t="s">
        <v>12078</v>
      </c>
      <c r="BH101" s="15" t="s">
        <v>1782</v>
      </c>
      <c r="BI101" s="15" t="str">
        <f>"2299"</f>
        <v>2299</v>
      </c>
      <c r="BJ101" s="15" t="str">
        <f>"970"</f>
        <v>970</v>
      </c>
      <c r="BK101" s="15" t="s">
        <v>709</v>
      </c>
      <c r="BL101" s="15" t="str">
        <f t="shared" si="256"/>
        <v>1</v>
      </c>
      <c r="BM101" s="15" t="s">
        <v>416</v>
      </c>
      <c r="BN101" s="15" t="str">
        <f t="shared" ref="BN101:BN103" si="301">"36.22"</f>
        <v>36.22</v>
      </c>
      <c r="BO101" s="15" t="str">
        <f t="shared" ref="BO101:BO103" si="302">"33.86"</f>
        <v>33.86</v>
      </c>
      <c r="BP101" s="15" t="str">
        <f t="shared" si="297"/>
        <v>27.56</v>
      </c>
      <c r="BQ101" s="15" t="str">
        <f t="shared" si="298"/>
        <v>82.67</v>
      </c>
      <c r="CG101" s="15" t="str">
        <f t="shared" si="299"/>
        <v>19.56</v>
      </c>
      <c r="CH101" s="15" t="str">
        <f t="shared" si="300"/>
        <v>0.554</v>
      </c>
      <c r="CI101" s="15" t="s">
        <v>497</v>
      </c>
      <c r="CS101" s="15" t="s">
        <v>1211</v>
      </c>
      <c r="CT101" s="15" t="s">
        <v>1161</v>
      </c>
      <c r="CU101" s="15" t="s">
        <v>1331</v>
      </c>
      <c r="CV101" s="15">
        <v>0.0</v>
      </c>
      <c r="CW101" s="15">
        <v>0.0</v>
      </c>
      <c r="CX101" s="15" t="s">
        <v>717</v>
      </c>
      <c r="CY101" s="15" t="s">
        <v>718</v>
      </c>
      <c r="DF101" s="15" t="s">
        <v>721</v>
      </c>
      <c r="DG101" s="15" t="s">
        <v>1605</v>
      </c>
      <c r="DH101" s="15">
        <v>0.0</v>
      </c>
      <c r="DL101" s="15">
        <v>0.0</v>
      </c>
      <c r="DM101" s="15" t="s">
        <v>990</v>
      </c>
      <c r="DP101" s="15">
        <v>0.0</v>
      </c>
      <c r="DQ101" s="15">
        <v>1.0</v>
      </c>
      <c r="DS101" s="15" t="s">
        <v>1635</v>
      </c>
      <c r="DT101" s="15">
        <v>0.0</v>
      </c>
      <c r="DU101" s="15" t="s">
        <v>726</v>
      </c>
      <c r="DV101" s="15" t="s">
        <v>1283</v>
      </c>
      <c r="DW101" s="15" t="s">
        <v>1738</v>
      </c>
      <c r="DX101" s="15" t="s">
        <v>1739</v>
      </c>
      <c r="EB101" s="15" t="s">
        <v>505</v>
      </c>
      <c r="EF101" s="15" t="s">
        <v>784</v>
      </c>
      <c r="EI101" s="15" t="s">
        <v>1738</v>
      </c>
      <c r="EO101" s="15" t="s">
        <v>997</v>
      </c>
      <c r="EZ101" s="15">
        <v>0.0</v>
      </c>
      <c r="FA101" s="15">
        <v>0.0</v>
      </c>
      <c r="FB101" s="15" t="s">
        <v>1609</v>
      </c>
      <c r="FC101" s="15">
        <v>0.0</v>
      </c>
      <c r="HU101" s="15" t="s">
        <v>1610</v>
      </c>
    </row>
    <row r="102" ht="17.25" customHeight="1">
      <c r="A102" s="15" t="s">
        <v>1787</v>
      </c>
      <c r="B102" s="15" t="str">
        <f>"801542698423"</f>
        <v>801542698423</v>
      </c>
      <c r="C102" s="15" t="s">
        <v>12079</v>
      </c>
      <c r="D102" s="15" t="str">
        <f t="shared" si="1"/>
        <v>Augustine Swivel ChairOrly Natural</v>
      </c>
      <c r="E102" s="15" t="s">
        <v>1773</v>
      </c>
      <c r="F102" s="15" t="s">
        <v>397</v>
      </c>
      <c r="G102" s="15" t="s">
        <v>1652</v>
      </c>
      <c r="J102" s="15" t="s">
        <v>1652</v>
      </c>
      <c r="M102" s="15" t="s">
        <v>1628</v>
      </c>
      <c r="N102" s="15" t="s">
        <v>706</v>
      </c>
      <c r="O102" s="15" t="s">
        <v>707</v>
      </c>
      <c r="P102" s="15" t="str">
        <f t="shared" si="295"/>
        <v>33</v>
      </c>
      <c r="Q102" s="15" t="str">
        <f t="shared" si="278"/>
        <v>35</v>
      </c>
      <c r="R102" s="15" t="str">
        <f t="shared" si="279"/>
        <v>26.5</v>
      </c>
      <c r="S102" s="15" t="str">
        <f t="shared" si="296"/>
        <v>71.65</v>
      </c>
      <c r="T102" s="15" t="s">
        <v>1655</v>
      </c>
      <c r="U102" s="15" t="s">
        <v>11209</v>
      </c>
      <c r="AA102" s="15" t="s">
        <v>426</v>
      </c>
      <c r="AB102" s="15" t="s">
        <v>413</v>
      </c>
      <c r="AC102" s="15" t="s">
        <v>1789</v>
      </c>
      <c r="AD102" s="15" t="s">
        <v>12080</v>
      </c>
      <c r="AE102" s="15" t="s">
        <v>1788</v>
      </c>
      <c r="AF102" s="15" t="s">
        <v>12081</v>
      </c>
      <c r="AG102" s="15" t="s">
        <v>12082</v>
      </c>
      <c r="AH102" s="15" t="s">
        <v>12083</v>
      </c>
      <c r="AI102" s="15" t="s">
        <v>12084</v>
      </c>
      <c r="AJ102" s="15" t="s">
        <v>12085</v>
      </c>
      <c r="BH102" s="15" t="s">
        <v>1786</v>
      </c>
      <c r="BI102" s="15" t="str">
        <f>"1049"</f>
        <v>1049</v>
      </c>
      <c r="BJ102" s="15" t="str">
        <f>"445"</f>
        <v>445</v>
      </c>
      <c r="BK102" s="15" t="s">
        <v>709</v>
      </c>
      <c r="BL102" s="15" t="str">
        <f t="shared" si="256"/>
        <v>1</v>
      </c>
      <c r="BM102" s="15" t="s">
        <v>416</v>
      </c>
      <c r="BN102" s="15" t="str">
        <f t="shared" si="301"/>
        <v>36.22</v>
      </c>
      <c r="BO102" s="15" t="str">
        <f t="shared" si="302"/>
        <v>33.86</v>
      </c>
      <c r="BP102" s="15" t="str">
        <f t="shared" si="297"/>
        <v>27.56</v>
      </c>
      <c r="BQ102" s="15" t="str">
        <f t="shared" si="298"/>
        <v>82.67</v>
      </c>
      <c r="CG102" s="15" t="str">
        <f t="shared" si="299"/>
        <v>19.56</v>
      </c>
      <c r="CH102" s="15" t="str">
        <f t="shared" si="300"/>
        <v>0.554</v>
      </c>
      <c r="CI102" s="15" t="s">
        <v>497</v>
      </c>
      <c r="CS102" s="15" t="s">
        <v>1211</v>
      </c>
      <c r="CT102" s="15" t="s">
        <v>1161</v>
      </c>
      <c r="CU102" s="15" t="s">
        <v>1331</v>
      </c>
      <c r="CV102" s="15">
        <v>0.0</v>
      </c>
      <c r="CW102" s="15">
        <v>0.0</v>
      </c>
      <c r="CX102" s="15" t="s">
        <v>717</v>
      </c>
      <c r="CY102" s="15" t="s">
        <v>855</v>
      </c>
      <c r="DF102" s="15" t="s">
        <v>721</v>
      </c>
      <c r="DG102" s="15" t="s">
        <v>1605</v>
      </c>
      <c r="DH102" s="15">
        <v>0.0</v>
      </c>
      <c r="DL102" s="15">
        <v>25000.0</v>
      </c>
      <c r="DM102" s="15" t="s">
        <v>990</v>
      </c>
      <c r="DP102" s="15">
        <v>0.0</v>
      </c>
      <c r="DQ102" s="15">
        <v>1.0</v>
      </c>
      <c r="DS102" s="15" t="s">
        <v>1635</v>
      </c>
      <c r="DT102" s="15">
        <v>0.0</v>
      </c>
      <c r="DU102" s="15" t="s">
        <v>726</v>
      </c>
      <c r="DV102" s="15" t="s">
        <v>1283</v>
      </c>
      <c r="DW102" s="15" t="s">
        <v>1738</v>
      </c>
      <c r="DX102" s="15" t="s">
        <v>1739</v>
      </c>
      <c r="EB102" s="15" t="s">
        <v>505</v>
      </c>
      <c r="EF102" s="15" t="s">
        <v>784</v>
      </c>
      <c r="EI102" s="15" t="s">
        <v>1738</v>
      </c>
      <c r="EO102" s="15" t="s">
        <v>997</v>
      </c>
      <c r="EZ102" s="15">
        <v>0.0</v>
      </c>
      <c r="FA102" s="15">
        <v>0.0</v>
      </c>
      <c r="FB102" s="15" t="s">
        <v>1609</v>
      </c>
      <c r="FC102" s="15">
        <v>0.0</v>
      </c>
      <c r="HU102" s="15" t="s">
        <v>1610</v>
      </c>
    </row>
    <row r="103" ht="17.25" customHeight="1">
      <c r="A103" s="15" t="s">
        <v>1791</v>
      </c>
      <c r="B103" s="15" t="str">
        <f>"801542696559"</f>
        <v>801542696559</v>
      </c>
      <c r="C103" s="15" t="s">
        <v>12086</v>
      </c>
      <c r="D103" s="15" t="str">
        <f t="shared" si="1"/>
        <v>Augustine Swivel ChairPalermo Drift</v>
      </c>
      <c r="E103" s="15" t="s">
        <v>1773</v>
      </c>
      <c r="F103" s="15" t="s">
        <v>397</v>
      </c>
      <c r="G103" s="15" t="s">
        <v>1658</v>
      </c>
      <c r="J103" s="15" t="s">
        <v>1658</v>
      </c>
      <c r="M103" s="15" t="s">
        <v>1628</v>
      </c>
      <c r="N103" s="15" t="s">
        <v>706</v>
      </c>
      <c r="O103" s="15" t="s">
        <v>707</v>
      </c>
      <c r="P103" s="15" t="str">
        <f t="shared" si="295"/>
        <v>33</v>
      </c>
      <c r="Q103" s="15" t="str">
        <f t="shared" si="278"/>
        <v>35</v>
      </c>
      <c r="R103" s="15" t="str">
        <f t="shared" si="279"/>
        <v>26.5</v>
      </c>
      <c r="S103" s="15" t="str">
        <f t="shared" si="296"/>
        <v>71.65</v>
      </c>
      <c r="T103" s="15" t="s">
        <v>1600</v>
      </c>
      <c r="U103" s="15" t="s">
        <v>11137</v>
      </c>
      <c r="AA103" s="15" t="s">
        <v>413</v>
      </c>
      <c r="AB103" s="15" t="s">
        <v>413</v>
      </c>
      <c r="AC103" s="15" t="s">
        <v>1785</v>
      </c>
      <c r="AD103" s="15" t="s">
        <v>12087</v>
      </c>
      <c r="AE103" s="15" t="s">
        <v>1792</v>
      </c>
      <c r="AF103" s="15" t="s">
        <v>12088</v>
      </c>
      <c r="AG103" s="15" t="s">
        <v>12089</v>
      </c>
      <c r="AH103" s="15" t="s">
        <v>12090</v>
      </c>
      <c r="AI103" s="15" t="s">
        <v>12091</v>
      </c>
      <c r="AJ103" s="15" t="s">
        <v>12092</v>
      </c>
      <c r="BH103" s="15" t="s">
        <v>1790</v>
      </c>
      <c r="BI103" s="15" t="str">
        <f>"2299"</f>
        <v>2299</v>
      </c>
      <c r="BJ103" s="15" t="str">
        <f>"970"</f>
        <v>970</v>
      </c>
      <c r="BK103" s="15" t="s">
        <v>709</v>
      </c>
      <c r="BL103" s="15" t="str">
        <f t="shared" si="256"/>
        <v>1</v>
      </c>
      <c r="BM103" s="15" t="s">
        <v>416</v>
      </c>
      <c r="BN103" s="15" t="str">
        <f t="shared" si="301"/>
        <v>36.22</v>
      </c>
      <c r="BO103" s="15" t="str">
        <f t="shared" si="302"/>
        <v>33.86</v>
      </c>
      <c r="BP103" s="15" t="str">
        <f t="shared" si="297"/>
        <v>27.56</v>
      </c>
      <c r="BQ103" s="15" t="str">
        <f t="shared" si="298"/>
        <v>82.67</v>
      </c>
      <c r="CG103" s="15" t="str">
        <f t="shared" si="299"/>
        <v>19.56</v>
      </c>
      <c r="CH103" s="15" t="str">
        <f t="shared" si="300"/>
        <v>0.554</v>
      </c>
      <c r="CI103" s="15" t="s">
        <v>1793</v>
      </c>
      <c r="CS103" s="15" t="s">
        <v>1211</v>
      </c>
      <c r="CT103" s="15" t="s">
        <v>1161</v>
      </c>
      <c r="CU103" s="15" t="s">
        <v>1331</v>
      </c>
      <c r="CV103" s="15">
        <v>0.0</v>
      </c>
      <c r="CW103" s="15">
        <v>0.0</v>
      </c>
      <c r="CX103" s="15" t="s">
        <v>717</v>
      </c>
      <c r="CY103" s="15" t="s">
        <v>718</v>
      </c>
      <c r="DF103" s="15" t="s">
        <v>721</v>
      </c>
      <c r="DG103" s="15" t="s">
        <v>1605</v>
      </c>
      <c r="DH103" s="15">
        <v>0.0</v>
      </c>
      <c r="DL103" s="15">
        <v>0.0</v>
      </c>
      <c r="DM103" s="15" t="s">
        <v>990</v>
      </c>
      <c r="DP103" s="15">
        <v>0.0</v>
      </c>
      <c r="DQ103" s="15">
        <v>1.0</v>
      </c>
      <c r="DS103" s="15" t="s">
        <v>1635</v>
      </c>
      <c r="DT103" s="15">
        <v>0.0</v>
      </c>
      <c r="DU103" s="15" t="s">
        <v>726</v>
      </c>
      <c r="DV103" s="15" t="s">
        <v>1283</v>
      </c>
      <c r="DW103" s="15" t="s">
        <v>1738</v>
      </c>
      <c r="DX103" s="15" t="s">
        <v>1739</v>
      </c>
      <c r="EB103" s="15" t="s">
        <v>505</v>
      </c>
      <c r="EF103" s="15" t="s">
        <v>784</v>
      </c>
      <c r="EI103" s="15" t="s">
        <v>1738</v>
      </c>
      <c r="EO103" s="15" t="s">
        <v>997</v>
      </c>
      <c r="EZ103" s="15">
        <v>0.0</v>
      </c>
      <c r="FA103" s="15">
        <v>0.0</v>
      </c>
      <c r="FB103" s="15" t="s">
        <v>1609</v>
      </c>
      <c r="FC103" s="15">
        <v>0.0</v>
      </c>
      <c r="HU103" s="15" t="s">
        <v>1610</v>
      </c>
    </row>
    <row r="104" ht="17.25" customHeight="1">
      <c r="A104" s="15" t="s">
        <v>1797</v>
      </c>
      <c r="B104" s="15" t="str">
        <f>"801542432102"</f>
        <v>801542432102</v>
      </c>
      <c r="C104" s="15" t="s">
        <v>12093</v>
      </c>
      <c r="D104" s="15" t="str">
        <f t="shared" si="1"/>
        <v>Aurora Swivel ChairBalkan Ochre</v>
      </c>
      <c r="E104" s="15" t="s">
        <v>1794</v>
      </c>
      <c r="F104" s="15" t="s">
        <v>397</v>
      </c>
      <c r="G104" s="15" t="s">
        <v>1796</v>
      </c>
      <c r="J104" s="15" t="s">
        <v>1796</v>
      </c>
      <c r="K104" s="15" t="s">
        <v>1087</v>
      </c>
      <c r="M104" s="15" t="s">
        <v>1317</v>
      </c>
      <c r="N104" s="15" t="s">
        <v>706</v>
      </c>
      <c r="O104" s="15" t="s">
        <v>707</v>
      </c>
      <c r="P104" s="15" t="str">
        <f t="shared" ref="P104:P109" si="303">"26"</f>
        <v>26</v>
      </c>
      <c r="Q104" s="15" t="str">
        <f t="shared" ref="Q104:Q109" si="304">"31.5"</f>
        <v>31.5</v>
      </c>
      <c r="R104" s="15" t="str">
        <f t="shared" ref="R104:R109" si="305">"31"</f>
        <v>31</v>
      </c>
      <c r="S104" s="15" t="str">
        <f t="shared" ref="S104:S109" si="306">"48.5"</f>
        <v>48.5</v>
      </c>
      <c r="T104" s="15" t="s">
        <v>1800</v>
      </c>
      <c r="U104" s="15" t="s">
        <v>12094</v>
      </c>
      <c r="V104" s="15" t="s">
        <v>12095</v>
      </c>
      <c r="W104" s="15" t="s">
        <v>11210</v>
      </c>
      <c r="AA104" s="15" t="s">
        <v>413</v>
      </c>
      <c r="AB104" s="15" t="s">
        <v>413</v>
      </c>
      <c r="AC104" s="15" t="s">
        <v>1802</v>
      </c>
      <c r="AD104" s="15" t="s">
        <v>12096</v>
      </c>
      <c r="AE104" s="15" t="s">
        <v>1799</v>
      </c>
      <c r="AF104" s="15" t="s">
        <v>12097</v>
      </c>
      <c r="AG104" s="15" t="s">
        <v>12098</v>
      </c>
      <c r="AH104" s="15" t="s">
        <v>12099</v>
      </c>
      <c r="AI104" s="15" t="s">
        <v>12100</v>
      </c>
      <c r="AJ104" s="15" t="s">
        <v>12101</v>
      </c>
      <c r="AK104" s="15" t="s">
        <v>12102</v>
      </c>
      <c r="AL104" s="15" t="s">
        <v>12103</v>
      </c>
      <c r="AM104" s="15" t="s">
        <v>12104</v>
      </c>
      <c r="AN104" s="15" t="s">
        <v>12105</v>
      </c>
      <c r="AO104" s="15" t="s">
        <v>12106</v>
      </c>
      <c r="BH104" s="15" t="s">
        <v>1795</v>
      </c>
      <c r="BI104" s="15" t="str">
        <f>"1099"</f>
        <v>1099</v>
      </c>
      <c r="BJ104" s="15" t="str">
        <f>"465"</f>
        <v>465</v>
      </c>
      <c r="BK104" s="15" t="s">
        <v>709</v>
      </c>
      <c r="BL104" s="15" t="str">
        <f t="shared" si="256"/>
        <v>1</v>
      </c>
      <c r="BM104" s="15" t="s">
        <v>1803</v>
      </c>
      <c r="BN104" s="15" t="str">
        <f t="shared" ref="BN104:BN109" si="307">"27.17"</f>
        <v>27.17</v>
      </c>
      <c r="BO104" s="15" t="str">
        <f t="shared" ref="BO104:BO109" si="308">"31.3"</f>
        <v>31.3</v>
      </c>
      <c r="BP104" s="15" t="str">
        <f t="shared" ref="BP104:BP109" si="309">"33.86"</f>
        <v>33.86</v>
      </c>
      <c r="BQ104" s="15" t="str">
        <f t="shared" ref="BQ104:BQ109" si="310">"56.88"</f>
        <v>56.88</v>
      </c>
      <c r="CG104" s="15" t="str">
        <f t="shared" ref="CG104:CG109" si="311">"15.29"</f>
        <v>15.29</v>
      </c>
      <c r="CH104" s="15" t="str">
        <f t="shared" ref="CH104:CH109" si="312">"0.433"</f>
        <v>0.433</v>
      </c>
      <c r="CI104" s="15" t="s">
        <v>465</v>
      </c>
      <c r="CS104" s="15" t="s">
        <v>1072</v>
      </c>
      <c r="CT104" s="15" t="s">
        <v>1804</v>
      </c>
      <c r="CV104" s="15">
        <v>0.0</v>
      </c>
      <c r="CW104" s="15">
        <v>0.0</v>
      </c>
      <c r="CX104" s="15" t="s">
        <v>717</v>
      </c>
      <c r="CY104" s="15" t="s">
        <v>855</v>
      </c>
      <c r="DF104" s="15" t="s">
        <v>721</v>
      </c>
      <c r="DG104" s="15" t="s">
        <v>1605</v>
      </c>
      <c r="DH104" s="15">
        <v>0.0</v>
      </c>
      <c r="DL104" s="15">
        <v>35000.0</v>
      </c>
      <c r="DM104" s="15" t="s">
        <v>722</v>
      </c>
      <c r="DP104" s="15">
        <v>0.0</v>
      </c>
      <c r="DQ104" s="15">
        <v>1.0</v>
      </c>
      <c r="DS104" s="15" t="s">
        <v>1805</v>
      </c>
      <c r="DT104" s="15">
        <v>0.0</v>
      </c>
      <c r="DU104" s="15" t="s">
        <v>726</v>
      </c>
      <c r="DV104" s="15" t="s">
        <v>1806</v>
      </c>
      <c r="DW104" s="15" t="s">
        <v>995</v>
      </c>
      <c r="DX104" s="15" t="s">
        <v>475</v>
      </c>
      <c r="EB104" s="15" t="s">
        <v>1807</v>
      </c>
      <c r="EF104" s="15" t="s">
        <v>672</v>
      </c>
      <c r="EG104" s="15" t="s">
        <v>1808</v>
      </c>
      <c r="EH104" s="15" t="s">
        <v>1808</v>
      </c>
      <c r="EI104" s="15" t="s">
        <v>1238</v>
      </c>
      <c r="EO104" s="15" t="s">
        <v>1255</v>
      </c>
      <c r="EX104" s="15" t="s">
        <v>1213</v>
      </c>
      <c r="EY104" s="15" t="s">
        <v>1324</v>
      </c>
      <c r="EZ104" s="15">
        <v>0.0</v>
      </c>
      <c r="FA104" s="15">
        <v>0.0</v>
      </c>
      <c r="FC104" s="15">
        <v>0.0</v>
      </c>
      <c r="HU104" s="15" t="s">
        <v>1610</v>
      </c>
    </row>
    <row r="105" ht="17.25" customHeight="1">
      <c r="A105" s="15" t="s">
        <v>1811</v>
      </c>
      <c r="B105" s="15" t="str">
        <f>"801542709426"</f>
        <v>801542709426</v>
      </c>
      <c r="C105" s="15" t="s">
        <v>12107</v>
      </c>
      <c r="D105" s="15" t="str">
        <f t="shared" si="1"/>
        <v>Aurora Swivel ChairCopenhagen Indigo</v>
      </c>
      <c r="E105" s="15" t="s">
        <v>1794</v>
      </c>
      <c r="F105" s="15" t="s">
        <v>397</v>
      </c>
      <c r="G105" s="15" t="s">
        <v>1810</v>
      </c>
      <c r="J105" s="15" t="s">
        <v>1810</v>
      </c>
      <c r="K105" s="15" t="s">
        <v>1087</v>
      </c>
      <c r="M105" s="15" t="s">
        <v>1317</v>
      </c>
      <c r="N105" s="15" t="s">
        <v>706</v>
      </c>
      <c r="O105" s="15" t="s">
        <v>707</v>
      </c>
      <c r="P105" s="15" t="str">
        <f t="shared" si="303"/>
        <v>26</v>
      </c>
      <c r="Q105" s="15" t="str">
        <f t="shared" si="304"/>
        <v>31.5</v>
      </c>
      <c r="R105" s="15" t="str">
        <f t="shared" si="305"/>
        <v>31</v>
      </c>
      <c r="S105" s="15" t="str">
        <f t="shared" si="306"/>
        <v>48.5</v>
      </c>
      <c r="T105" s="15" t="s">
        <v>832</v>
      </c>
      <c r="U105" s="15" t="s">
        <v>11209</v>
      </c>
      <c r="V105" s="15" t="s">
        <v>11210</v>
      </c>
      <c r="AA105" s="15" t="s">
        <v>426</v>
      </c>
      <c r="AB105" s="15" t="s">
        <v>413</v>
      </c>
      <c r="AC105" s="15" t="s">
        <v>1813</v>
      </c>
      <c r="AD105" s="15" t="s">
        <v>12108</v>
      </c>
      <c r="AE105" s="15" t="s">
        <v>1812</v>
      </c>
      <c r="AF105" s="15" t="s">
        <v>12109</v>
      </c>
      <c r="AG105" s="15" t="s">
        <v>12110</v>
      </c>
      <c r="AH105" s="15" t="s">
        <v>12111</v>
      </c>
      <c r="AI105" s="15" t="s">
        <v>12112</v>
      </c>
      <c r="AJ105" s="15" t="s">
        <v>12113</v>
      </c>
      <c r="AK105" s="15" t="s">
        <v>12114</v>
      </c>
      <c r="AL105" s="15" t="s">
        <v>12115</v>
      </c>
      <c r="AM105" s="15" t="s">
        <v>12116</v>
      </c>
      <c r="BH105" s="15" t="s">
        <v>1809</v>
      </c>
      <c r="BI105" s="15" t="str">
        <f>"1049"</f>
        <v>1049</v>
      </c>
      <c r="BJ105" s="15" t="str">
        <f>"445"</f>
        <v>445</v>
      </c>
      <c r="BK105" s="15" t="s">
        <v>709</v>
      </c>
      <c r="BL105" s="15" t="str">
        <f t="shared" si="256"/>
        <v>1</v>
      </c>
      <c r="BM105" s="15" t="s">
        <v>1814</v>
      </c>
      <c r="BN105" s="15" t="str">
        <f t="shared" si="307"/>
        <v>27.17</v>
      </c>
      <c r="BO105" s="15" t="str">
        <f t="shared" si="308"/>
        <v>31.3</v>
      </c>
      <c r="BP105" s="15" t="str">
        <f t="shared" si="309"/>
        <v>33.86</v>
      </c>
      <c r="BQ105" s="15" t="str">
        <f t="shared" si="310"/>
        <v>56.88</v>
      </c>
      <c r="CG105" s="15" t="str">
        <f t="shared" si="311"/>
        <v>15.29</v>
      </c>
      <c r="CH105" s="15" t="str">
        <f t="shared" si="312"/>
        <v>0.433</v>
      </c>
      <c r="CI105" s="15" t="s">
        <v>497</v>
      </c>
      <c r="CS105" s="15" t="s">
        <v>1072</v>
      </c>
      <c r="CT105" s="15" t="s">
        <v>1804</v>
      </c>
      <c r="CV105" s="15">
        <v>0.0</v>
      </c>
      <c r="CW105" s="15">
        <v>0.0</v>
      </c>
      <c r="CX105" s="15" t="s">
        <v>717</v>
      </c>
      <c r="CY105" s="15" t="s">
        <v>897</v>
      </c>
      <c r="DF105" s="15" t="s">
        <v>721</v>
      </c>
      <c r="DG105" s="15" t="s">
        <v>1605</v>
      </c>
      <c r="DH105" s="15">
        <v>0.0</v>
      </c>
      <c r="DL105" s="15">
        <v>100000.0</v>
      </c>
      <c r="DM105" s="15" t="s">
        <v>722</v>
      </c>
      <c r="DP105" s="15">
        <v>0.0</v>
      </c>
      <c r="DQ105" s="15">
        <v>1.0</v>
      </c>
      <c r="DS105" s="15" t="s">
        <v>1805</v>
      </c>
      <c r="DT105" s="15">
        <v>0.0</v>
      </c>
      <c r="DU105" s="15" t="s">
        <v>726</v>
      </c>
      <c r="DV105" s="15" t="s">
        <v>1806</v>
      </c>
      <c r="DW105" s="15" t="s">
        <v>995</v>
      </c>
      <c r="DX105" s="15" t="s">
        <v>475</v>
      </c>
      <c r="EB105" s="15" t="s">
        <v>1807</v>
      </c>
      <c r="EF105" s="15" t="s">
        <v>672</v>
      </c>
      <c r="EG105" s="15" t="s">
        <v>1808</v>
      </c>
      <c r="EH105" s="15" t="s">
        <v>1808</v>
      </c>
      <c r="EI105" s="15" t="s">
        <v>1238</v>
      </c>
      <c r="EO105" s="15" t="s">
        <v>1255</v>
      </c>
      <c r="EX105" s="15" t="s">
        <v>1213</v>
      </c>
      <c r="EY105" s="15" t="s">
        <v>1324</v>
      </c>
      <c r="EZ105" s="15">
        <v>0.0</v>
      </c>
      <c r="FA105" s="15">
        <v>0.0</v>
      </c>
      <c r="FC105" s="15">
        <v>0.0</v>
      </c>
      <c r="HU105" s="15" t="s">
        <v>1610</v>
      </c>
    </row>
    <row r="106" ht="17.25" customHeight="1">
      <c r="A106" s="15" t="s">
        <v>1817</v>
      </c>
      <c r="B106" s="15" t="str">
        <f>"801542128425"</f>
        <v>801542128425</v>
      </c>
      <c r="C106" s="15" t="s">
        <v>12117</v>
      </c>
      <c r="D106" s="15" t="str">
        <f t="shared" si="1"/>
        <v>Aurora Swivel ChairFIQA Boucle Olive</v>
      </c>
      <c r="E106" s="15" t="s">
        <v>1794</v>
      </c>
      <c r="F106" s="15" t="s">
        <v>397</v>
      </c>
      <c r="G106" s="15" t="s">
        <v>1816</v>
      </c>
      <c r="J106" s="15" t="s">
        <v>1816</v>
      </c>
      <c r="K106" s="15" t="s">
        <v>1087</v>
      </c>
      <c r="M106" s="15" t="s">
        <v>1317</v>
      </c>
      <c r="N106" s="15" t="s">
        <v>706</v>
      </c>
      <c r="O106" s="15" t="s">
        <v>707</v>
      </c>
      <c r="P106" s="15" t="str">
        <f t="shared" si="303"/>
        <v>26</v>
      </c>
      <c r="Q106" s="15" t="str">
        <f t="shared" si="304"/>
        <v>31.5</v>
      </c>
      <c r="R106" s="15" t="str">
        <f t="shared" si="305"/>
        <v>31</v>
      </c>
      <c r="S106" s="15" t="str">
        <f t="shared" si="306"/>
        <v>48.5</v>
      </c>
      <c r="T106" s="15" t="s">
        <v>832</v>
      </c>
      <c r="U106" s="15" t="s">
        <v>11209</v>
      </c>
      <c r="V106" s="15" t="s">
        <v>11210</v>
      </c>
      <c r="AA106" s="15" t="s">
        <v>413</v>
      </c>
      <c r="AB106" s="15" t="s">
        <v>426</v>
      </c>
      <c r="AC106" s="15" t="s">
        <v>1819</v>
      </c>
      <c r="AD106" s="15" t="s">
        <v>12118</v>
      </c>
      <c r="AE106" s="15" t="s">
        <v>1818</v>
      </c>
      <c r="AF106" s="15" t="s">
        <v>12119</v>
      </c>
      <c r="AG106" s="15" t="s">
        <v>12120</v>
      </c>
      <c r="AH106" s="15" t="s">
        <v>12121</v>
      </c>
      <c r="AI106" s="15" t="s">
        <v>12122</v>
      </c>
      <c r="AJ106" s="15" t="s">
        <v>12123</v>
      </c>
      <c r="AK106" s="15" t="s">
        <v>12124</v>
      </c>
      <c r="AL106" s="15" t="s">
        <v>12125</v>
      </c>
      <c r="AM106" s="15" t="s">
        <v>12126</v>
      </c>
      <c r="AN106" s="15" t="s">
        <v>12127</v>
      </c>
      <c r="AO106" s="15" t="s">
        <v>12128</v>
      </c>
      <c r="AP106" s="15" t="s">
        <v>12129</v>
      </c>
      <c r="BH106" s="15" t="s">
        <v>1815</v>
      </c>
      <c r="BI106" s="15" t="str">
        <f>"1149"</f>
        <v>1149</v>
      </c>
      <c r="BJ106" s="15" t="str">
        <f>"485"</f>
        <v>485</v>
      </c>
      <c r="BK106" s="15" t="s">
        <v>709</v>
      </c>
      <c r="BL106" s="15" t="str">
        <f t="shared" si="256"/>
        <v>1</v>
      </c>
      <c r="BM106" s="15" t="s">
        <v>1803</v>
      </c>
      <c r="BN106" s="15" t="str">
        <f t="shared" si="307"/>
        <v>27.17</v>
      </c>
      <c r="BO106" s="15" t="str">
        <f t="shared" si="308"/>
        <v>31.3</v>
      </c>
      <c r="BP106" s="15" t="str">
        <f t="shared" si="309"/>
        <v>33.86</v>
      </c>
      <c r="BQ106" s="15" t="str">
        <f t="shared" si="310"/>
        <v>56.88</v>
      </c>
      <c r="CG106" s="15" t="str">
        <f t="shared" si="311"/>
        <v>15.29</v>
      </c>
      <c r="CH106" s="15" t="str">
        <f t="shared" si="312"/>
        <v>0.433</v>
      </c>
      <c r="CI106" s="15" t="s">
        <v>497</v>
      </c>
      <c r="CS106" s="15" t="s">
        <v>1072</v>
      </c>
      <c r="CT106" s="15" t="s">
        <v>1804</v>
      </c>
      <c r="CV106" s="15">
        <v>0.0</v>
      </c>
      <c r="CW106" s="15">
        <v>0.0</v>
      </c>
      <c r="CX106" s="15" t="s">
        <v>717</v>
      </c>
      <c r="CY106" s="15" t="s">
        <v>897</v>
      </c>
      <c r="DF106" s="15" t="s">
        <v>721</v>
      </c>
      <c r="DG106" s="15" t="s">
        <v>1605</v>
      </c>
      <c r="DH106" s="15">
        <v>0.0</v>
      </c>
      <c r="DL106" s="15">
        <v>100000.0</v>
      </c>
      <c r="DM106" s="15" t="s">
        <v>722</v>
      </c>
      <c r="DP106" s="15">
        <v>0.0</v>
      </c>
      <c r="DQ106" s="15">
        <v>1.0</v>
      </c>
      <c r="DS106" s="15" t="s">
        <v>1805</v>
      </c>
      <c r="DT106" s="15">
        <v>0.0</v>
      </c>
      <c r="DU106" s="15" t="s">
        <v>726</v>
      </c>
      <c r="DV106" s="15" t="s">
        <v>1806</v>
      </c>
      <c r="DW106" s="15" t="s">
        <v>995</v>
      </c>
      <c r="DX106" s="15" t="s">
        <v>475</v>
      </c>
      <c r="EB106" s="15" t="s">
        <v>1807</v>
      </c>
      <c r="EF106" s="15" t="s">
        <v>672</v>
      </c>
      <c r="EG106" s="15" t="s">
        <v>1808</v>
      </c>
      <c r="EH106" s="15" t="s">
        <v>1808</v>
      </c>
      <c r="EI106" s="15" t="s">
        <v>1238</v>
      </c>
      <c r="EO106" s="15" t="s">
        <v>1255</v>
      </c>
      <c r="EX106" s="15" t="s">
        <v>1213</v>
      </c>
      <c r="EY106" s="15" t="s">
        <v>1324</v>
      </c>
      <c r="EZ106" s="15">
        <v>0.0</v>
      </c>
      <c r="FA106" s="15">
        <v>0.0</v>
      </c>
      <c r="FC106" s="15">
        <v>0.0</v>
      </c>
      <c r="HU106" s="15" t="s">
        <v>1610</v>
      </c>
    </row>
    <row r="107" ht="17.25" customHeight="1">
      <c r="A107" s="15" t="s">
        <v>1822</v>
      </c>
      <c r="B107" s="15" t="str">
        <f>"801542709433"</f>
        <v>801542709433</v>
      </c>
      <c r="C107" s="15" t="s">
        <v>12130</v>
      </c>
      <c r="D107" s="15" t="str">
        <f t="shared" si="1"/>
        <v>Aurora Swivel ChairGibson Silver</v>
      </c>
      <c r="E107" s="15" t="s">
        <v>1794</v>
      </c>
      <c r="F107" s="15" t="s">
        <v>397</v>
      </c>
      <c r="G107" s="15" t="s">
        <v>1821</v>
      </c>
      <c r="J107" s="15" t="s">
        <v>1821</v>
      </c>
      <c r="K107" s="15" t="s">
        <v>1087</v>
      </c>
      <c r="M107" s="15" t="s">
        <v>1317</v>
      </c>
      <c r="N107" s="15" t="s">
        <v>706</v>
      </c>
      <c r="O107" s="15" t="s">
        <v>707</v>
      </c>
      <c r="P107" s="15" t="str">
        <f t="shared" si="303"/>
        <v>26</v>
      </c>
      <c r="Q107" s="15" t="str">
        <f t="shared" si="304"/>
        <v>31.5</v>
      </c>
      <c r="R107" s="15" t="str">
        <f t="shared" si="305"/>
        <v>31</v>
      </c>
      <c r="S107" s="15" t="str">
        <f t="shared" si="306"/>
        <v>48.5</v>
      </c>
      <c r="T107" s="15" t="s">
        <v>1824</v>
      </c>
      <c r="U107" s="15" t="s">
        <v>12131</v>
      </c>
      <c r="V107" s="15" t="s">
        <v>12132</v>
      </c>
      <c r="W107" s="15" t="s">
        <v>11210</v>
      </c>
      <c r="AA107" s="15" t="s">
        <v>413</v>
      </c>
      <c r="AB107" s="15" t="s">
        <v>426</v>
      </c>
      <c r="AC107" s="15" t="s">
        <v>1825</v>
      </c>
      <c r="AD107" s="15" t="s">
        <v>12133</v>
      </c>
      <c r="AE107" s="15" t="s">
        <v>1823</v>
      </c>
      <c r="AF107" s="15" t="s">
        <v>12134</v>
      </c>
      <c r="AG107" s="15" t="s">
        <v>12135</v>
      </c>
      <c r="AH107" s="15" t="s">
        <v>12136</v>
      </c>
      <c r="AI107" s="15" t="s">
        <v>12137</v>
      </c>
      <c r="AJ107" s="15" t="s">
        <v>12138</v>
      </c>
      <c r="AK107" s="15" t="s">
        <v>12139</v>
      </c>
      <c r="AL107" s="15" t="s">
        <v>12140</v>
      </c>
      <c r="AM107" s="15" t="s">
        <v>12141</v>
      </c>
      <c r="AN107" s="15" t="s">
        <v>12142</v>
      </c>
      <c r="BH107" s="15" t="s">
        <v>1820</v>
      </c>
      <c r="BI107" s="15" t="str">
        <f t="shared" ref="BI107:BI108" si="313">"999"</f>
        <v>999</v>
      </c>
      <c r="BJ107" s="15" t="str">
        <f t="shared" ref="BJ107:BJ108" si="314">"420"</f>
        <v>420</v>
      </c>
      <c r="BK107" s="15" t="s">
        <v>709</v>
      </c>
      <c r="BL107" s="15" t="str">
        <f t="shared" si="256"/>
        <v>1</v>
      </c>
      <c r="BM107" s="15" t="s">
        <v>1826</v>
      </c>
      <c r="BN107" s="15" t="str">
        <f t="shared" si="307"/>
        <v>27.17</v>
      </c>
      <c r="BO107" s="15" t="str">
        <f t="shared" si="308"/>
        <v>31.3</v>
      </c>
      <c r="BP107" s="15" t="str">
        <f t="shared" si="309"/>
        <v>33.86</v>
      </c>
      <c r="BQ107" s="15" t="str">
        <f t="shared" si="310"/>
        <v>56.88</v>
      </c>
      <c r="CG107" s="15" t="str">
        <f t="shared" si="311"/>
        <v>15.29</v>
      </c>
      <c r="CH107" s="15" t="str">
        <f t="shared" si="312"/>
        <v>0.433</v>
      </c>
      <c r="CI107" s="15" t="s">
        <v>497</v>
      </c>
      <c r="CS107" s="15" t="s">
        <v>1072</v>
      </c>
      <c r="CT107" s="15" t="s">
        <v>1804</v>
      </c>
      <c r="CV107" s="15">
        <v>0.0</v>
      </c>
      <c r="CW107" s="15">
        <v>0.0</v>
      </c>
      <c r="CX107" s="15" t="s">
        <v>717</v>
      </c>
      <c r="CY107" s="15" t="s">
        <v>855</v>
      </c>
      <c r="DF107" s="15" t="s">
        <v>721</v>
      </c>
      <c r="DG107" s="15" t="s">
        <v>1605</v>
      </c>
      <c r="DH107" s="15">
        <v>0.0</v>
      </c>
      <c r="DL107" s="15">
        <v>25000.0</v>
      </c>
      <c r="DM107" s="15" t="s">
        <v>722</v>
      </c>
      <c r="DP107" s="15">
        <v>0.0</v>
      </c>
      <c r="DQ107" s="15">
        <v>1.0</v>
      </c>
      <c r="DS107" s="15" t="s">
        <v>1805</v>
      </c>
      <c r="DT107" s="15">
        <v>0.0</v>
      </c>
      <c r="DU107" s="15" t="s">
        <v>726</v>
      </c>
      <c r="DV107" s="15" t="s">
        <v>1806</v>
      </c>
      <c r="DW107" s="15" t="s">
        <v>995</v>
      </c>
      <c r="DX107" s="15" t="s">
        <v>475</v>
      </c>
      <c r="EB107" s="15" t="s">
        <v>1807</v>
      </c>
      <c r="EF107" s="15" t="s">
        <v>672</v>
      </c>
      <c r="EG107" s="15" t="s">
        <v>1808</v>
      </c>
      <c r="EH107" s="15" t="s">
        <v>1808</v>
      </c>
      <c r="EI107" s="15" t="s">
        <v>1238</v>
      </c>
      <c r="EO107" s="15" t="s">
        <v>1255</v>
      </c>
      <c r="EX107" s="15" t="s">
        <v>1213</v>
      </c>
      <c r="EY107" s="15" t="s">
        <v>1324</v>
      </c>
      <c r="EZ107" s="15">
        <v>0.0</v>
      </c>
      <c r="FA107" s="15">
        <v>0.0</v>
      </c>
      <c r="FC107" s="15">
        <v>0.0</v>
      </c>
      <c r="HU107" s="15" t="s">
        <v>1610</v>
      </c>
    </row>
    <row r="108" ht="17.25" customHeight="1">
      <c r="A108" s="15" t="s">
        <v>1828</v>
      </c>
      <c r="B108" s="15" t="str">
        <f>"801542709440"</f>
        <v>801542709440</v>
      </c>
      <c r="C108" s="15" t="s">
        <v>12143</v>
      </c>
      <c r="D108" s="15" t="str">
        <f t="shared" si="1"/>
        <v>Aurora Swivel ChairKnoll Natural</v>
      </c>
      <c r="E108" s="15" t="s">
        <v>1794</v>
      </c>
      <c r="F108" s="15" t="s">
        <v>397</v>
      </c>
      <c r="G108" s="15" t="s">
        <v>1081</v>
      </c>
      <c r="J108" s="15" t="s">
        <v>1081</v>
      </c>
      <c r="K108" s="15" t="s">
        <v>1087</v>
      </c>
      <c r="M108" s="15" t="s">
        <v>1317</v>
      </c>
      <c r="N108" s="15" t="s">
        <v>706</v>
      </c>
      <c r="O108" s="15" t="s">
        <v>707</v>
      </c>
      <c r="P108" s="15" t="str">
        <f t="shared" si="303"/>
        <v>26</v>
      </c>
      <c r="Q108" s="15" t="str">
        <f t="shared" si="304"/>
        <v>31.5</v>
      </c>
      <c r="R108" s="15" t="str">
        <f t="shared" si="305"/>
        <v>31</v>
      </c>
      <c r="S108" s="15" t="str">
        <f t="shared" si="306"/>
        <v>48.5</v>
      </c>
      <c r="T108" s="15" t="s">
        <v>1830</v>
      </c>
      <c r="U108" s="15" t="s">
        <v>11234</v>
      </c>
      <c r="V108" s="15" t="s">
        <v>11371</v>
      </c>
      <c r="W108" s="15" t="s">
        <v>11210</v>
      </c>
      <c r="AA108" s="15" t="s">
        <v>426</v>
      </c>
      <c r="AB108" s="15" t="s">
        <v>426</v>
      </c>
      <c r="AC108" s="15" t="s">
        <v>1831</v>
      </c>
      <c r="AD108" s="15" t="s">
        <v>12144</v>
      </c>
      <c r="AE108" s="15" t="s">
        <v>1829</v>
      </c>
      <c r="AF108" s="15" t="s">
        <v>12145</v>
      </c>
      <c r="AG108" s="15" t="s">
        <v>12146</v>
      </c>
      <c r="AH108" s="15" t="s">
        <v>12147</v>
      </c>
      <c r="AI108" s="15" t="s">
        <v>12148</v>
      </c>
      <c r="AJ108" s="15" t="s">
        <v>12149</v>
      </c>
      <c r="AK108" s="15" t="s">
        <v>12150</v>
      </c>
      <c r="AL108" s="15" t="s">
        <v>12151</v>
      </c>
      <c r="AM108" s="15" t="s">
        <v>12152</v>
      </c>
      <c r="AN108" s="15" t="s">
        <v>12153</v>
      </c>
      <c r="AO108" s="15" t="s">
        <v>12154</v>
      </c>
      <c r="AP108" s="15" t="s">
        <v>12155</v>
      </c>
      <c r="AQ108" s="15" t="s">
        <v>12156</v>
      </c>
      <c r="AR108" s="15" t="s">
        <v>12157</v>
      </c>
      <c r="BH108" s="15" t="s">
        <v>1827</v>
      </c>
      <c r="BI108" s="15" t="str">
        <f t="shared" si="313"/>
        <v>999</v>
      </c>
      <c r="BJ108" s="15" t="str">
        <f t="shared" si="314"/>
        <v>420</v>
      </c>
      <c r="BK108" s="15" t="s">
        <v>709</v>
      </c>
      <c r="BL108" s="15" t="str">
        <f t="shared" si="256"/>
        <v>1</v>
      </c>
      <c r="BM108" s="15" t="s">
        <v>416</v>
      </c>
      <c r="BN108" s="15" t="str">
        <f t="shared" si="307"/>
        <v>27.17</v>
      </c>
      <c r="BO108" s="15" t="str">
        <f t="shared" si="308"/>
        <v>31.3</v>
      </c>
      <c r="BP108" s="15" t="str">
        <f t="shared" si="309"/>
        <v>33.86</v>
      </c>
      <c r="BQ108" s="15" t="str">
        <f t="shared" si="310"/>
        <v>56.88</v>
      </c>
      <c r="CG108" s="15" t="str">
        <f t="shared" si="311"/>
        <v>15.29</v>
      </c>
      <c r="CH108" s="15" t="str">
        <f t="shared" si="312"/>
        <v>0.433</v>
      </c>
      <c r="CI108" s="15" t="s">
        <v>497</v>
      </c>
      <c r="CS108" s="15" t="s">
        <v>1072</v>
      </c>
      <c r="CT108" s="15" t="s">
        <v>1804</v>
      </c>
      <c r="CV108" s="15">
        <v>0.0</v>
      </c>
      <c r="CW108" s="15">
        <v>0.0</v>
      </c>
      <c r="CX108" s="15" t="s">
        <v>717</v>
      </c>
      <c r="CY108" s="15" t="s">
        <v>855</v>
      </c>
      <c r="DF108" s="15" t="s">
        <v>721</v>
      </c>
      <c r="DG108" s="15" t="s">
        <v>1605</v>
      </c>
      <c r="DH108" s="15">
        <v>0.0</v>
      </c>
      <c r="DL108" s="15">
        <v>25000.0</v>
      </c>
      <c r="DM108" s="15" t="s">
        <v>722</v>
      </c>
      <c r="DP108" s="15">
        <v>0.0</v>
      </c>
      <c r="DQ108" s="15">
        <v>1.0</v>
      </c>
      <c r="DS108" s="15" t="s">
        <v>1805</v>
      </c>
      <c r="DT108" s="15">
        <v>0.0</v>
      </c>
      <c r="DU108" s="15" t="s">
        <v>726</v>
      </c>
      <c r="DV108" s="15" t="s">
        <v>1806</v>
      </c>
      <c r="DW108" s="15" t="s">
        <v>995</v>
      </c>
      <c r="DX108" s="15" t="s">
        <v>475</v>
      </c>
      <c r="EB108" s="15" t="s">
        <v>1807</v>
      </c>
      <c r="EF108" s="15" t="s">
        <v>672</v>
      </c>
      <c r="EG108" s="15" t="s">
        <v>1808</v>
      </c>
      <c r="EH108" s="15" t="s">
        <v>1808</v>
      </c>
      <c r="EI108" s="15" t="s">
        <v>1238</v>
      </c>
      <c r="EO108" s="15" t="s">
        <v>1255</v>
      </c>
      <c r="EX108" s="15" t="s">
        <v>1213</v>
      </c>
      <c r="EY108" s="15" t="s">
        <v>1324</v>
      </c>
      <c r="EZ108" s="15">
        <v>0.0</v>
      </c>
      <c r="FA108" s="15">
        <v>0.0</v>
      </c>
      <c r="FC108" s="15">
        <v>0.0</v>
      </c>
      <c r="HU108" s="15" t="s">
        <v>1610</v>
      </c>
    </row>
    <row r="109" ht="17.25" customHeight="1">
      <c r="A109" s="15" t="s">
        <v>1834</v>
      </c>
      <c r="B109" s="15" t="str">
        <f>"801542022143"</f>
        <v>801542022143</v>
      </c>
      <c r="C109" s="15" t="s">
        <v>12158</v>
      </c>
      <c r="D109" s="15" t="str">
        <f t="shared" si="1"/>
        <v>Aurora Swivel ChairPatton Burnish</v>
      </c>
      <c r="E109" s="15" t="s">
        <v>1794</v>
      </c>
      <c r="F109" s="15" t="s">
        <v>397</v>
      </c>
      <c r="G109" s="15" t="s">
        <v>1833</v>
      </c>
      <c r="J109" s="15" t="s">
        <v>1833</v>
      </c>
      <c r="K109" s="15" t="s">
        <v>1087</v>
      </c>
      <c r="M109" s="15" t="s">
        <v>1317</v>
      </c>
      <c r="N109" s="15" t="s">
        <v>706</v>
      </c>
      <c r="O109" s="15" t="s">
        <v>707</v>
      </c>
      <c r="P109" s="15" t="str">
        <f t="shared" si="303"/>
        <v>26</v>
      </c>
      <c r="Q109" s="15" t="str">
        <f t="shared" si="304"/>
        <v>31.5</v>
      </c>
      <c r="R109" s="15" t="str">
        <f t="shared" si="305"/>
        <v>31</v>
      </c>
      <c r="S109" s="15" t="str">
        <f t="shared" si="306"/>
        <v>48.5</v>
      </c>
      <c r="T109" s="15" t="s">
        <v>832</v>
      </c>
      <c r="U109" s="15" t="s">
        <v>11209</v>
      </c>
      <c r="V109" s="15" t="s">
        <v>11210</v>
      </c>
      <c r="AA109" s="15" t="s">
        <v>413</v>
      </c>
      <c r="AB109" s="15" t="s">
        <v>413</v>
      </c>
      <c r="AC109" s="15" t="s">
        <v>1836</v>
      </c>
      <c r="AD109" s="15" t="s">
        <v>12159</v>
      </c>
      <c r="AE109" s="15" t="s">
        <v>1835</v>
      </c>
      <c r="AF109" s="15" t="s">
        <v>12160</v>
      </c>
      <c r="AG109" s="15" t="s">
        <v>12161</v>
      </c>
      <c r="AH109" s="15" t="s">
        <v>12162</v>
      </c>
      <c r="AI109" s="15" t="s">
        <v>12163</v>
      </c>
      <c r="AJ109" s="15" t="s">
        <v>12164</v>
      </c>
      <c r="AK109" s="15" t="s">
        <v>12165</v>
      </c>
      <c r="AL109" s="15" t="s">
        <v>12166</v>
      </c>
      <c r="AM109" s="15" t="s">
        <v>12167</v>
      </c>
      <c r="AN109" s="15" t="s">
        <v>12168</v>
      </c>
      <c r="BH109" s="15" t="s">
        <v>1832</v>
      </c>
      <c r="BI109" s="15" t="str">
        <f>"1049"</f>
        <v>1049</v>
      </c>
      <c r="BJ109" s="15" t="str">
        <f>"445"</f>
        <v>445</v>
      </c>
      <c r="BK109" s="15" t="s">
        <v>709</v>
      </c>
      <c r="BL109" s="15" t="str">
        <f t="shared" si="256"/>
        <v>1</v>
      </c>
      <c r="BM109" s="15" t="s">
        <v>1826</v>
      </c>
      <c r="BN109" s="15" t="str">
        <f t="shared" si="307"/>
        <v>27.17</v>
      </c>
      <c r="BO109" s="15" t="str">
        <f t="shared" si="308"/>
        <v>31.3</v>
      </c>
      <c r="BP109" s="15" t="str">
        <f t="shared" si="309"/>
        <v>33.86</v>
      </c>
      <c r="BQ109" s="15" t="str">
        <f t="shared" si="310"/>
        <v>56.88</v>
      </c>
      <c r="CG109" s="15" t="str">
        <f t="shared" si="311"/>
        <v>15.29</v>
      </c>
      <c r="CH109" s="15" t="str">
        <f t="shared" si="312"/>
        <v>0.433</v>
      </c>
      <c r="CI109" s="15" t="s">
        <v>497</v>
      </c>
      <c r="CS109" s="15" t="s">
        <v>1072</v>
      </c>
      <c r="CT109" s="15" t="s">
        <v>1804</v>
      </c>
      <c r="CV109" s="15">
        <v>0.0</v>
      </c>
      <c r="CW109" s="15">
        <v>0.0</v>
      </c>
      <c r="CX109" s="15" t="s">
        <v>717</v>
      </c>
      <c r="CY109" s="15" t="s">
        <v>1837</v>
      </c>
      <c r="DF109" s="15" t="s">
        <v>721</v>
      </c>
      <c r="DG109" s="15" t="s">
        <v>1605</v>
      </c>
      <c r="DH109" s="15">
        <v>0.0</v>
      </c>
      <c r="DL109" s="15">
        <v>100000.0</v>
      </c>
      <c r="DM109" s="15" t="s">
        <v>722</v>
      </c>
      <c r="DP109" s="15">
        <v>0.0</v>
      </c>
      <c r="DQ109" s="15">
        <v>1.0</v>
      </c>
      <c r="DS109" s="15" t="s">
        <v>1805</v>
      </c>
      <c r="DT109" s="15">
        <v>0.0</v>
      </c>
      <c r="DU109" s="15" t="s">
        <v>726</v>
      </c>
      <c r="DV109" s="15" t="s">
        <v>1806</v>
      </c>
      <c r="DW109" s="15" t="s">
        <v>995</v>
      </c>
      <c r="DX109" s="15" t="s">
        <v>475</v>
      </c>
      <c r="EB109" s="15" t="s">
        <v>1807</v>
      </c>
      <c r="EF109" s="15" t="s">
        <v>672</v>
      </c>
      <c r="EG109" s="15" t="s">
        <v>1808</v>
      </c>
      <c r="EH109" s="15" t="s">
        <v>1808</v>
      </c>
      <c r="EI109" s="15" t="s">
        <v>1238</v>
      </c>
      <c r="EO109" s="15" t="s">
        <v>1255</v>
      </c>
      <c r="EX109" s="15" t="s">
        <v>1213</v>
      </c>
      <c r="EY109" s="15" t="s">
        <v>1324</v>
      </c>
      <c r="EZ109" s="15">
        <v>0.0</v>
      </c>
      <c r="FA109" s="15">
        <v>0.0</v>
      </c>
      <c r="FC109" s="15">
        <v>0.0</v>
      </c>
      <c r="HU109" s="15" t="s">
        <v>1610</v>
      </c>
    </row>
    <row r="110" ht="17.25" customHeight="1">
      <c r="A110" s="15" t="s">
        <v>1842</v>
      </c>
      <c r="B110" s="15" t="str">
        <f>"801542622688"</f>
        <v>801542622688</v>
      </c>
      <c r="C110" s="15" t="s">
        <v>12169</v>
      </c>
      <c r="D110" s="15" t="str">
        <f t="shared" si="1"/>
        <v>Avett Coffee Table SetBleached Guanacaste Oyster</v>
      </c>
      <c r="E110" s="15" t="s">
        <v>1839</v>
      </c>
      <c r="F110" s="15" t="s">
        <v>397</v>
      </c>
      <c r="G110" s="15" t="s">
        <v>1841</v>
      </c>
      <c r="J110" s="15" t="s">
        <v>1841</v>
      </c>
      <c r="K110" s="15" t="s">
        <v>1850</v>
      </c>
      <c r="M110" s="15" t="s">
        <v>411</v>
      </c>
      <c r="N110" s="15" t="s">
        <v>491</v>
      </c>
      <c r="P110" s="15" t="str">
        <f t="shared" ref="P110:P111" si="315">"49.5"</f>
        <v>49.5</v>
      </c>
      <c r="Q110" s="15" t="str">
        <f t="shared" ref="Q110:Q111" si="316">"24"</f>
        <v>24</v>
      </c>
      <c r="R110" s="15" t="str">
        <f t="shared" ref="R110:R111" si="317">"15.75"</f>
        <v>15.75</v>
      </c>
      <c r="S110" s="15" t="str">
        <f t="shared" ref="S110:S111" si="318">"77.16"</f>
        <v>77.16</v>
      </c>
      <c r="T110" s="15" t="s">
        <v>1845</v>
      </c>
      <c r="U110" s="15" t="s">
        <v>12170</v>
      </c>
      <c r="V110" s="15" t="s">
        <v>11139</v>
      </c>
      <c r="W110" s="15" t="s">
        <v>12171</v>
      </c>
      <c r="AA110" s="15" t="s">
        <v>413</v>
      </c>
      <c r="AB110" s="15" t="s">
        <v>413</v>
      </c>
      <c r="AC110" s="15" t="s">
        <v>1851</v>
      </c>
      <c r="AD110" s="15" t="s">
        <v>12172</v>
      </c>
      <c r="AE110" s="15" t="s">
        <v>1844</v>
      </c>
      <c r="AF110" s="15" t="s">
        <v>12173</v>
      </c>
      <c r="AG110" s="15" t="s">
        <v>12174</v>
      </c>
      <c r="AH110" s="15" t="s">
        <v>12175</v>
      </c>
      <c r="AI110" s="15" t="s">
        <v>12176</v>
      </c>
      <c r="AJ110" s="15" t="s">
        <v>12177</v>
      </c>
      <c r="AK110" s="15" t="s">
        <v>12178</v>
      </c>
      <c r="AL110" s="15" t="s">
        <v>12179</v>
      </c>
      <c r="AM110" s="15" t="s">
        <v>12180</v>
      </c>
      <c r="AN110" s="15" t="s">
        <v>12181</v>
      </c>
      <c r="AO110" s="15" t="s">
        <v>12182</v>
      </c>
      <c r="AP110" s="15" t="s">
        <v>12183</v>
      </c>
      <c r="AQ110" s="15" t="s">
        <v>12184</v>
      </c>
      <c r="AR110" s="15" t="s">
        <v>12185</v>
      </c>
      <c r="AS110" s="15" t="s">
        <v>12186</v>
      </c>
      <c r="AT110" s="15" t="s">
        <v>12187</v>
      </c>
      <c r="AU110" s="15" t="s">
        <v>12188</v>
      </c>
      <c r="AV110" s="15" t="s">
        <v>12189</v>
      </c>
      <c r="AW110" s="15" t="s">
        <v>12190</v>
      </c>
      <c r="BH110" s="15" t="s">
        <v>1840</v>
      </c>
      <c r="BI110" s="15" t="str">
        <f t="shared" ref="BI110:BI111" si="319">"3299"</f>
        <v>3299</v>
      </c>
      <c r="BJ110" s="15" t="str">
        <f t="shared" ref="BJ110:BJ111" si="320">"1390"</f>
        <v>1390</v>
      </c>
      <c r="BK110" s="15" t="s">
        <v>415</v>
      </c>
      <c r="BL110" s="15" t="str">
        <f t="shared" ref="BL110:BL111" si="321">"2"</f>
        <v>2</v>
      </c>
      <c r="BM110" s="15" t="s">
        <v>1852</v>
      </c>
      <c r="BN110" s="15" t="str">
        <f t="shared" ref="BN110:BN111" si="322">"54.92"</f>
        <v>54.92</v>
      </c>
      <c r="BO110" s="15" t="str">
        <f t="shared" ref="BO110:BO111" si="323">"29.13"</f>
        <v>29.13</v>
      </c>
      <c r="BP110" s="15" t="str">
        <f t="shared" ref="BP110:BP111" si="324">"23.39"</f>
        <v>23.39</v>
      </c>
      <c r="BQ110" s="15" t="str">
        <f t="shared" ref="BQ110:BQ111" si="325">"84.22"</f>
        <v>84.22</v>
      </c>
      <c r="BR110" s="15" t="s">
        <v>1856</v>
      </c>
      <c r="BS110" s="15" t="str">
        <f t="shared" ref="BS110:BS111" si="326">"54.92"</f>
        <v>54.92</v>
      </c>
      <c r="BT110" s="15" t="str">
        <f t="shared" ref="BT110:BT111" si="327">"29.13"</f>
        <v>29.13</v>
      </c>
      <c r="BU110" s="15" t="str">
        <f t="shared" ref="BU110:BU111" si="328">"23.39"</f>
        <v>23.39</v>
      </c>
      <c r="BV110" s="15" t="str">
        <f t="shared" ref="BV110:BV111" si="329">"59.97"</f>
        <v>59.97</v>
      </c>
      <c r="CG110" s="15" t="str">
        <f t="shared" ref="CG110:CG111" si="330">"43.3"</f>
        <v>43.3</v>
      </c>
      <c r="CH110" s="15" t="str">
        <f t="shared" ref="CH110:CH111" si="331">"1.226"</f>
        <v>1.226</v>
      </c>
      <c r="CI110" s="15" t="s">
        <v>465</v>
      </c>
      <c r="CZ110" s="15" t="s">
        <v>419</v>
      </c>
      <c r="DA110" s="15">
        <v>0.0</v>
      </c>
      <c r="DB110" s="15" t="s">
        <v>419</v>
      </c>
      <c r="DD110" s="15">
        <v>0.0</v>
      </c>
      <c r="DF110" s="15" t="s">
        <v>1388</v>
      </c>
      <c r="DG110" s="15" t="s">
        <v>419</v>
      </c>
      <c r="DK110" s="15">
        <v>0.0</v>
      </c>
      <c r="DR110" s="15" t="s">
        <v>1857</v>
      </c>
      <c r="DS110" s="15" t="s">
        <v>1859</v>
      </c>
      <c r="DU110" s="15" t="s">
        <v>500</v>
      </c>
      <c r="EV110" s="15">
        <v>0.0</v>
      </c>
      <c r="EW110" s="15">
        <v>0.0</v>
      </c>
    </row>
    <row r="111" ht="17.25" customHeight="1">
      <c r="A111" s="15" t="s">
        <v>1862</v>
      </c>
      <c r="B111" s="15" t="str">
        <f>"801542725471"</f>
        <v>801542725471</v>
      </c>
      <c r="C111" s="15" t="s">
        <v>12191</v>
      </c>
      <c r="D111" s="15" t="str">
        <f t="shared" si="1"/>
        <v>Avett Coffee Table SetSmoked Guanacaste Oyster</v>
      </c>
      <c r="E111" s="15" t="s">
        <v>1839</v>
      </c>
      <c r="F111" s="15" t="s">
        <v>397</v>
      </c>
      <c r="G111" s="15" t="s">
        <v>1861</v>
      </c>
      <c r="J111" s="15" t="s">
        <v>1861</v>
      </c>
      <c r="K111" s="15" t="s">
        <v>1850</v>
      </c>
      <c r="M111" s="15" t="s">
        <v>411</v>
      </c>
      <c r="N111" s="15" t="s">
        <v>491</v>
      </c>
      <c r="P111" s="15" t="str">
        <f t="shared" si="315"/>
        <v>49.5</v>
      </c>
      <c r="Q111" s="15" t="str">
        <f t="shared" si="316"/>
        <v>24</v>
      </c>
      <c r="R111" s="15" t="str">
        <f t="shared" si="317"/>
        <v>15.75</v>
      </c>
      <c r="S111" s="15" t="str">
        <f t="shared" si="318"/>
        <v>77.16</v>
      </c>
      <c r="T111" s="15" t="s">
        <v>1845</v>
      </c>
      <c r="U111" s="15" t="s">
        <v>12170</v>
      </c>
      <c r="V111" s="15" t="s">
        <v>11139</v>
      </c>
      <c r="W111" s="15" t="s">
        <v>12171</v>
      </c>
      <c r="AA111" s="15" t="s">
        <v>413</v>
      </c>
      <c r="AB111" s="15" t="s">
        <v>413</v>
      </c>
      <c r="AC111" s="15" t="s">
        <v>1864</v>
      </c>
      <c r="AD111" s="15" t="s">
        <v>12192</v>
      </c>
      <c r="AE111" s="15" t="s">
        <v>1863</v>
      </c>
      <c r="AF111" s="15" t="s">
        <v>12193</v>
      </c>
      <c r="AG111" s="15" t="s">
        <v>12194</v>
      </c>
      <c r="AH111" s="15" t="s">
        <v>12195</v>
      </c>
      <c r="AI111" s="15" t="s">
        <v>12196</v>
      </c>
      <c r="AJ111" s="15" t="s">
        <v>12197</v>
      </c>
      <c r="AK111" s="15" t="s">
        <v>12198</v>
      </c>
      <c r="AL111" s="15" t="s">
        <v>12199</v>
      </c>
      <c r="AM111" s="15" t="s">
        <v>12200</v>
      </c>
      <c r="AN111" s="15" t="s">
        <v>12201</v>
      </c>
      <c r="AO111" s="15" t="s">
        <v>12202</v>
      </c>
      <c r="BH111" s="15" t="s">
        <v>1860</v>
      </c>
      <c r="BI111" s="15" t="str">
        <f t="shared" si="319"/>
        <v>3299</v>
      </c>
      <c r="BJ111" s="15" t="str">
        <f t="shared" si="320"/>
        <v>1390</v>
      </c>
      <c r="BK111" s="15" t="s">
        <v>415</v>
      </c>
      <c r="BL111" s="15" t="str">
        <f t="shared" si="321"/>
        <v>2</v>
      </c>
      <c r="BM111" s="15" t="s">
        <v>1852</v>
      </c>
      <c r="BN111" s="15" t="str">
        <f t="shared" si="322"/>
        <v>54.92</v>
      </c>
      <c r="BO111" s="15" t="str">
        <f t="shared" si="323"/>
        <v>29.13</v>
      </c>
      <c r="BP111" s="15" t="str">
        <f t="shared" si="324"/>
        <v>23.39</v>
      </c>
      <c r="BQ111" s="15" t="str">
        <f t="shared" si="325"/>
        <v>84.22</v>
      </c>
      <c r="BR111" s="15" t="s">
        <v>1856</v>
      </c>
      <c r="BS111" s="15" t="str">
        <f t="shared" si="326"/>
        <v>54.92</v>
      </c>
      <c r="BT111" s="15" t="str">
        <f t="shared" si="327"/>
        <v>29.13</v>
      </c>
      <c r="BU111" s="15" t="str">
        <f t="shared" si="328"/>
        <v>23.39</v>
      </c>
      <c r="BV111" s="15" t="str">
        <f t="shared" si="329"/>
        <v>59.97</v>
      </c>
      <c r="CG111" s="15" t="str">
        <f t="shared" si="330"/>
        <v>43.3</v>
      </c>
      <c r="CH111" s="15" t="str">
        <f t="shared" si="331"/>
        <v>1.226</v>
      </c>
      <c r="CI111" s="15" t="s">
        <v>465</v>
      </c>
      <c r="CZ111" s="15" t="s">
        <v>419</v>
      </c>
      <c r="DA111" s="15">
        <v>0.0</v>
      </c>
      <c r="DB111" s="15" t="s">
        <v>419</v>
      </c>
      <c r="DD111" s="15">
        <v>0.0</v>
      </c>
      <c r="DF111" s="15" t="s">
        <v>1388</v>
      </c>
      <c r="DG111" s="15" t="s">
        <v>419</v>
      </c>
      <c r="DK111" s="15">
        <v>0.0</v>
      </c>
      <c r="DR111" s="15" t="s">
        <v>1857</v>
      </c>
      <c r="DS111" s="15" t="s">
        <v>1859</v>
      </c>
      <c r="DU111" s="15" t="s">
        <v>500</v>
      </c>
      <c r="EV111" s="15">
        <v>0.0</v>
      </c>
      <c r="EW111" s="15">
        <v>0.0</v>
      </c>
    </row>
    <row r="112" ht="17.25" customHeight="1">
      <c r="A112" s="15" t="s">
        <v>1868</v>
      </c>
      <c r="B112" s="15" t="str">
        <f>"801542978914"</f>
        <v>801542978914</v>
      </c>
      <c r="C112" s="15" t="s">
        <v>12203</v>
      </c>
      <c r="D112" s="15" t="str">
        <f t="shared" si="1"/>
        <v>Bahari SideboardLight Warm Maple Veneer</v>
      </c>
      <c r="E112" s="15" t="s">
        <v>1865</v>
      </c>
      <c r="F112" s="15" t="s">
        <v>397</v>
      </c>
      <c r="G112" s="15" t="s">
        <v>1867</v>
      </c>
      <c r="J112" s="15" t="s">
        <v>1867</v>
      </c>
      <c r="M112" s="15" t="s">
        <v>411</v>
      </c>
      <c r="N112" s="15" t="s">
        <v>664</v>
      </c>
      <c r="P112" s="15" t="str">
        <f>"98"</f>
        <v>98</v>
      </c>
      <c r="Q112" s="15" t="str">
        <f>"17.75"</f>
        <v>17.75</v>
      </c>
      <c r="R112" s="15" t="str">
        <f>"32"</f>
        <v>32</v>
      </c>
      <c r="S112" s="15" t="str">
        <f>"247.91"</f>
        <v>247.91</v>
      </c>
      <c r="T112" s="15" t="s">
        <v>1871</v>
      </c>
      <c r="U112" s="15" t="s">
        <v>12204</v>
      </c>
      <c r="AA112" s="15" t="s">
        <v>413</v>
      </c>
      <c r="AB112" s="15" t="s">
        <v>413</v>
      </c>
      <c r="AC112" s="15" t="s">
        <v>1876</v>
      </c>
      <c r="AD112" s="15" t="s">
        <v>12205</v>
      </c>
      <c r="AE112" s="15" t="s">
        <v>1870</v>
      </c>
      <c r="AF112" s="15" t="s">
        <v>12206</v>
      </c>
      <c r="AG112" s="15" t="s">
        <v>12207</v>
      </c>
      <c r="AH112" s="15" t="s">
        <v>12208</v>
      </c>
      <c r="AI112" s="15" t="s">
        <v>12209</v>
      </c>
      <c r="AJ112" s="15" t="s">
        <v>12210</v>
      </c>
      <c r="AK112" s="15" t="s">
        <v>12211</v>
      </c>
      <c r="AL112" s="15" t="s">
        <v>12212</v>
      </c>
      <c r="AM112" s="15" t="s">
        <v>12213</v>
      </c>
      <c r="AN112" s="15" t="s">
        <v>12214</v>
      </c>
      <c r="AO112" s="15" t="s">
        <v>12215</v>
      </c>
      <c r="AP112" s="15" t="s">
        <v>12216</v>
      </c>
      <c r="AQ112" s="15" t="s">
        <v>12217</v>
      </c>
      <c r="AR112" s="15" t="s">
        <v>12218</v>
      </c>
      <c r="BH112" s="15" t="s">
        <v>1866</v>
      </c>
      <c r="BI112" s="15" t="str">
        <f>"4699"</f>
        <v>4699</v>
      </c>
      <c r="BJ112" s="15" t="str">
        <f>"1975"</f>
        <v>1975</v>
      </c>
      <c r="BK112" s="15" t="s">
        <v>415</v>
      </c>
      <c r="BL112" s="15" t="str">
        <f>"1"</f>
        <v>1</v>
      </c>
      <c r="BM112" s="15" t="s">
        <v>416</v>
      </c>
      <c r="BN112" s="15" t="str">
        <f>"102.76"</f>
        <v>102.76</v>
      </c>
      <c r="BO112" s="15" t="str">
        <f>"23.62"</f>
        <v>23.62</v>
      </c>
      <c r="BP112" s="15" t="str">
        <f>"38.58"</f>
        <v>38.58</v>
      </c>
      <c r="BQ112" s="15" t="str">
        <f>"346.12"</f>
        <v>346.12</v>
      </c>
      <c r="CG112" s="15" t="str">
        <f>"54.21"</f>
        <v>54.21</v>
      </c>
      <c r="CH112" s="15" t="str">
        <f>"1.535"</f>
        <v>1.535</v>
      </c>
      <c r="CI112" s="15" t="s">
        <v>417</v>
      </c>
      <c r="CM112" s="15" t="s">
        <v>1879</v>
      </c>
      <c r="CN112" s="15" t="s">
        <v>1212</v>
      </c>
      <c r="CO112" s="15" t="s">
        <v>1880</v>
      </c>
      <c r="CZ112" s="15" t="s">
        <v>419</v>
      </c>
      <c r="DA112" s="15">
        <v>0.0</v>
      </c>
      <c r="DB112" s="15" t="s">
        <v>419</v>
      </c>
      <c r="DD112" s="15">
        <v>0.0</v>
      </c>
      <c r="DF112" s="15" t="s">
        <v>420</v>
      </c>
      <c r="DG112" s="15" t="s">
        <v>610</v>
      </c>
      <c r="DI112" s="15">
        <v>18.14</v>
      </c>
      <c r="DJ112" s="15">
        <v>40.0</v>
      </c>
      <c r="DK112" s="15">
        <v>3.0</v>
      </c>
      <c r="DS112" s="15" t="s">
        <v>1881</v>
      </c>
      <c r="DU112" s="15" t="s">
        <v>424</v>
      </c>
      <c r="EF112" s="15" t="s">
        <v>1236</v>
      </c>
      <c r="EU112" s="15" t="s">
        <v>426</v>
      </c>
      <c r="EV112" s="15">
        <v>3.0</v>
      </c>
      <c r="FH112" s="15" t="s">
        <v>1882</v>
      </c>
      <c r="FI112" s="15" t="s">
        <v>1188</v>
      </c>
      <c r="FJ112" s="15" t="s">
        <v>504</v>
      </c>
      <c r="FK112" s="15" t="s">
        <v>504</v>
      </c>
      <c r="FL112" s="15" t="s">
        <v>612</v>
      </c>
      <c r="FM112" s="15" t="s">
        <v>1880</v>
      </c>
      <c r="FN112" s="15">
        <v>0.0</v>
      </c>
      <c r="FO112" s="15" t="s">
        <v>426</v>
      </c>
      <c r="FP112" s="15" t="s">
        <v>1883</v>
      </c>
      <c r="FQ112" s="15">
        <v>6.0</v>
      </c>
      <c r="FR112" s="15" t="s">
        <v>614</v>
      </c>
      <c r="FS112" s="15" t="s">
        <v>615</v>
      </c>
      <c r="FT112" s="15">
        <v>0.0</v>
      </c>
      <c r="FU112" s="15" t="s">
        <v>426</v>
      </c>
      <c r="FW112" s="15" t="s">
        <v>616</v>
      </c>
      <c r="GJ112" s="15" t="s">
        <v>1879</v>
      </c>
      <c r="GK112" s="15" t="s">
        <v>1212</v>
      </c>
      <c r="GL112" s="15" t="s">
        <v>1880</v>
      </c>
      <c r="GZ112" s="15" t="s">
        <v>1879</v>
      </c>
      <c r="HB112" s="15" t="s">
        <v>1212</v>
      </c>
      <c r="HD112" s="15" t="s">
        <v>1880</v>
      </c>
      <c r="HF112" s="15" t="s">
        <v>1807</v>
      </c>
      <c r="HQ112" s="15" t="s">
        <v>426</v>
      </c>
    </row>
    <row r="113" ht="17.25" customHeight="1">
      <c r="A113" s="15" t="s">
        <v>1888</v>
      </c>
      <c r="B113" s="15" t="str">
        <f>"801542561000"</f>
        <v>801542561000</v>
      </c>
      <c r="C113" s="15" t="s">
        <v>12219</v>
      </c>
      <c r="D113" s="15" t="str">
        <f t="shared" si="1"/>
        <v>Bane BookshelfBlack Iron with ladder35 with ladder</v>
      </c>
      <c r="E113" s="15" t="s">
        <v>1884</v>
      </c>
      <c r="F113" s="15" t="s">
        <v>397</v>
      </c>
      <c r="G113" s="15" t="s">
        <v>1886</v>
      </c>
      <c r="H113" s="15" t="s">
        <v>265</v>
      </c>
      <c r="I113" s="15" t="s">
        <v>1887</v>
      </c>
      <c r="J113" s="15" t="s">
        <v>1897</v>
      </c>
      <c r="K113" s="15" t="s">
        <v>1898</v>
      </c>
      <c r="M113" s="15" t="s">
        <v>1896</v>
      </c>
      <c r="N113" s="15" t="s">
        <v>1899</v>
      </c>
      <c r="P113" s="15" t="str">
        <f>"35"</f>
        <v>35</v>
      </c>
      <c r="Q113" s="15" t="str">
        <f t="shared" ref="Q113:Q115" si="332">"39.25"</f>
        <v>39.25</v>
      </c>
      <c r="R113" s="15" t="str">
        <f t="shared" ref="R113:R115" si="333">"101.25"</f>
        <v>101.25</v>
      </c>
      <c r="S113" s="15" t="str">
        <f>"169.75"</f>
        <v>169.75</v>
      </c>
      <c r="T113" s="15" t="s">
        <v>1891</v>
      </c>
      <c r="U113" s="15" t="s">
        <v>11386</v>
      </c>
      <c r="V113" s="15" t="s">
        <v>11139</v>
      </c>
      <c r="AA113" s="15" t="s">
        <v>413</v>
      </c>
      <c r="AB113" s="15" t="s">
        <v>413</v>
      </c>
      <c r="AC113" s="15" t="s">
        <v>1900</v>
      </c>
      <c r="AD113" s="15" t="s">
        <v>12220</v>
      </c>
      <c r="AE113" s="15" t="s">
        <v>1890</v>
      </c>
      <c r="AF113" s="15" t="s">
        <v>12221</v>
      </c>
      <c r="AG113" s="15" t="s">
        <v>12222</v>
      </c>
      <c r="AH113" s="15" t="s">
        <v>12223</v>
      </c>
      <c r="AI113" s="15" t="s">
        <v>12224</v>
      </c>
      <c r="AJ113" s="15" t="s">
        <v>12225</v>
      </c>
      <c r="AK113" s="15" t="s">
        <v>12226</v>
      </c>
      <c r="AL113" s="15" t="s">
        <v>12227</v>
      </c>
      <c r="AM113" s="15" t="s">
        <v>12228</v>
      </c>
      <c r="AN113" s="15" t="s">
        <v>12229</v>
      </c>
      <c r="AO113" s="15" t="s">
        <v>12230</v>
      </c>
      <c r="AP113" s="15" t="s">
        <v>12231</v>
      </c>
      <c r="AQ113" s="15" t="s">
        <v>12232</v>
      </c>
      <c r="AR113" s="15" t="s">
        <v>12233</v>
      </c>
      <c r="AS113" s="15" t="s">
        <v>12234</v>
      </c>
      <c r="BH113" s="15" t="s">
        <v>1885</v>
      </c>
      <c r="BI113" s="15" t="str">
        <f>"2399"</f>
        <v>2399</v>
      </c>
      <c r="BJ113" s="15" t="str">
        <f>"1010"</f>
        <v>1010</v>
      </c>
      <c r="BK113" s="15" t="s">
        <v>742</v>
      </c>
      <c r="BL113" s="15" t="str">
        <f t="shared" ref="BL113:BL115" si="334">"2"</f>
        <v>2</v>
      </c>
      <c r="BM113" s="15" t="s">
        <v>416</v>
      </c>
      <c r="BN113" s="15" t="str">
        <f t="shared" ref="BN113:BN116" si="335">"40.35"</f>
        <v>40.35</v>
      </c>
      <c r="BO113" s="15" t="str">
        <f t="shared" ref="BO113:BO116" si="336">"22.44"</f>
        <v>22.44</v>
      </c>
      <c r="BP113" s="15" t="str">
        <f t="shared" ref="BP113:BP116" si="337">"110.24"</f>
        <v>110.24</v>
      </c>
      <c r="BQ113" s="15" t="str">
        <f t="shared" ref="BQ113:BQ116" si="338">"189.6"</f>
        <v>189.6</v>
      </c>
      <c r="BR113" s="15" t="s">
        <v>416</v>
      </c>
      <c r="BS113" s="15" t="str">
        <f t="shared" ref="BS113:BS115" si="339">"100.98"</f>
        <v>100.98</v>
      </c>
      <c r="BT113" s="15" t="str">
        <f t="shared" ref="BT113:BT115" si="340">"21.85"</f>
        <v>21.85</v>
      </c>
      <c r="BU113" s="15" t="str">
        <f t="shared" ref="BU113:BU115" si="341">"4.92"</f>
        <v>4.92</v>
      </c>
      <c r="BV113" s="15" t="str">
        <f t="shared" ref="BV113:BV115" si="342">"28.66"</f>
        <v>28.66</v>
      </c>
      <c r="CG113" s="15" t="str">
        <f>"64.06"</f>
        <v>64.06</v>
      </c>
      <c r="CH113" s="15" t="str">
        <f>"1.814"</f>
        <v>1.814</v>
      </c>
      <c r="CI113" s="15" t="s">
        <v>417</v>
      </c>
      <c r="CZ113" s="15" t="s">
        <v>419</v>
      </c>
      <c r="DA113" s="15">
        <v>0.0</v>
      </c>
      <c r="DB113" s="15" t="s">
        <v>419</v>
      </c>
      <c r="DD113" s="15">
        <v>4.0</v>
      </c>
      <c r="DE113" s="15" t="s">
        <v>426</v>
      </c>
      <c r="DF113" s="15" t="s">
        <v>420</v>
      </c>
      <c r="DG113" s="15" t="s">
        <v>610</v>
      </c>
      <c r="DI113" s="15">
        <v>18.14</v>
      </c>
      <c r="DJ113" s="15">
        <v>40.0</v>
      </c>
      <c r="DK113" s="15">
        <v>0.0</v>
      </c>
      <c r="DR113" s="15" t="s">
        <v>1906</v>
      </c>
      <c r="DS113" s="15" t="s">
        <v>1908</v>
      </c>
      <c r="EU113" s="15" t="s">
        <v>426</v>
      </c>
      <c r="EV113" s="15">
        <v>6.0</v>
      </c>
      <c r="FP113" s="15" t="s">
        <v>785</v>
      </c>
      <c r="FQ113" s="15">
        <v>2.0</v>
      </c>
      <c r="FR113" s="15" t="s">
        <v>614</v>
      </c>
      <c r="FS113" s="15" t="s">
        <v>615</v>
      </c>
      <c r="FW113" s="15" t="s">
        <v>616</v>
      </c>
      <c r="KF113" s="15" t="s">
        <v>426</v>
      </c>
    </row>
    <row r="114" ht="17.25" customHeight="1">
      <c r="A114" s="15" t="s">
        <v>1910</v>
      </c>
      <c r="B114" s="15" t="str">
        <f>"801542568078"</f>
        <v>801542568078</v>
      </c>
      <c r="C114" s="15" t="s">
        <v>12219</v>
      </c>
      <c r="D114" s="15" t="str">
        <f t="shared" si="1"/>
        <v>Bane BookshelfSmoked Pine70</v>
      </c>
      <c r="E114" s="15" t="s">
        <v>1884</v>
      </c>
      <c r="F114" s="15" t="s">
        <v>397</v>
      </c>
      <c r="G114" s="15" t="s">
        <v>1897</v>
      </c>
      <c r="H114" s="15" t="s">
        <v>265</v>
      </c>
      <c r="I114" s="15">
        <v>70.0</v>
      </c>
      <c r="J114" s="15" t="s">
        <v>1897</v>
      </c>
      <c r="K114" s="15" t="s">
        <v>1898</v>
      </c>
      <c r="M114" s="15" t="s">
        <v>1896</v>
      </c>
      <c r="N114" s="15" t="s">
        <v>1899</v>
      </c>
      <c r="P114" s="15" t="str">
        <f>"70"</f>
        <v>70</v>
      </c>
      <c r="Q114" s="15" t="str">
        <f t="shared" si="332"/>
        <v>39.25</v>
      </c>
      <c r="R114" s="15" t="str">
        <f t="shared" si="333"/>
        <v>101.25</v>
      </c>
      <c r="S114" s="15" t="str">
        <f>"319.66"</f>
        <v>319.66</v>
      </c>
      <c r="T114" s="15" t="s">
        <v>1891</v>
      </c>
      <c r="U114" s="15" t="s">
        <v>11386</v>
      </c>
      <c r="V114" s="15" t="s">
        <v>11139</v>
      </c>
      <c r="AA114" s="15" t="s">
        <v>413</v>
      </c>
      <c r="AB114" s="15" t="s">
        <v>413</v>
      </c>
      <c r="AC114" s="15" t="s">
        <v>1913</v>
      </c>
      <c r="AD114" s="15" t="s">
        <v>12235</v>
      </c>
      <c r="AE114" s="15" t="s">
        <v>1912</v>
      </c>
      <c r="AF114" s="15" t="s">
        <v>12236</v>
      </c>
      <c r="AG114" s="15" t="s">
        <v>12237</v>
      </c>
      <c r="AH114" s="15" t="s">
        <v>12238</v>
      </c>
      <c r="AI114" s="15" t="s">
        <v>12239</v>
      </c>
      <c r="AJ114" s="15" t="s">
        <v>12240</v>
      </c>
      <c r="AK114" s="15" t="s">
        <v>12241</v>
      </c>
      <c r="AL114" s="15" t="s">
        <v>12242</v>
      </c>
      <c r="AM114" s="15" t="s">
        <v>12243</v>
      </c>
      <c r="AN114" s="15" t="s">
        <v>12244</v>
      </c>
      <c r="AO114" s="15" t="s">
        <v>12245</v>
      </c>
      <c r="AP114" s="15" t="s">
        <v>12246</v>
      </c>
      <c r="AQ114" s="15" t="s">
        <v>12247</v>
      </c>
      <c r="AR114" s="15" t="s">
        <v>12248</v>
      </c>
      <c r="AS114" s="15" t="s">
        <v>12249</v>
      </c>
      <c r="BH114" s="15" t="s">
        <v>1909</v>
      </c>
      <c r="BI114" s="15" t="str">
        <f>"4499"</f>
        <v>4499</v>
      </c>
      <c r="BJ114" s="15" t="str">
        <f>"1890"</f>
        <v>1890</v>
      </c>
      <c r="BK114" s="15" t="s">
        <v>742</v>
      </c>
      <c r="BL114" s="15" t="str">
        <f t="shared" si="334"/>
        <v>2</v>
      </c>
      <c r="BM114" s="15" t="s">
        <v>416</v>
      </c>
      <c r="BN114" s="15" t="str">
        <f t="shared" si="335"/>
        <v>40.35</v>
      </c>
      <c r="BO114" s="15" t="str">
        <f t="shared" si="336"/>
        <v>22.44</v>
      </c>
      <c r="BP114" s="15" t="str">
        <f t="shared" si="337"/>
        <v>110.24</v>
      </c>
      <c r="BQ114" s="15" t="str">
        <f t="shared" si="338"/>
        <v>189.6</v>
      </c>
      <c r="BR114" s="15" t="s">
        <v>416</v>
      </c>
      <c r="BS114" s="15" t="str">
        <f t="shared" si="339"/>
        <v>100.98</v>
      </c>
      <c r="BT114" s="15" t="str">
        <f t="shared" si="340"/>
        <v>21.85</v>
      </c>
      <c r="BU114" s="15" t="str">
        <f t="shared" si="341"/>
        <v>4.92</v>
      </c>
      <c r="BV114" s="15" t="str">
        <f t="shared" si="342"/>
        <v>28.66</v>
      </c>
      <c r="CG114" s="15" t="str">
        <f>"121.84"</f>
        <v>121.84</v>
      </c>
      <c r="CH114" s="15" t="str">
        <f>"3.45"</f>
        <v>3.45</v>
      </c>
      <c r="CI114" s="15" t="s">
        <v>417</v>
      </c>
      <c r="CZ114" s="15" t="s">
        <v>419</v>
      </c>
      <c r="DA114" s="15">
        <v>0.0</v>
      </c>
      <c r="DB114" s="15" t="s">
        <v>419</v>
      </c>
      <c r="DD114" s="15">
        <v>8.0</v>
      </c>
      <c r="DE114" s="15" t="s">
        <v>426</v>
      </c>
      <c r="DF114" s="15" t="s">
        <v>1186</v>
      </c>
      <c r="DG114" s="15" t="s">
        <v>1914</v>
      </c>
      <c r="DI114" s="15">
        <v>18.14</v>
      </c>
      <c r="DJ114" s="15">
        <v>40.0</v>
      </c>
      <c r="DK114" s="15">
        <v>0.0</v>
      </c>
      <c r="DR114" s="15" t="s">
        <v>1915</v>
      </c>
      <c r="DS114" s="15" t="s">
        <v>1908</v>
      </c>
      <c r="EU114" s="15" t="s">
        <v>426</v>
      </c>
      <c r="EV114" s="15">
        <v>12.0</v>
      </c>
      <c r="FP114" s="15" t="s">
        <v>785</v>
      </c>
      <c r="FQ114" s="15">
        <v>4.0</v>
      </c>
      <c r="FR114" s="15" t="s">
        <v>614</v>
      </c>
      <c r="FS114" s="15" t="s">
        <v>615</v>
      </c>
      <c r="FW114" s="15" t="s">
        <v>616</v>
      </c>
      <c r="KF114" s="15" t="s">
        <v>426</v>
      </c>
    </row>
    <row r="115" ht="17.25" customHeight="1">
      <c r="A115" s="15" t="s">
        <v>1918</v>
      </c>
      <c r="B115" s="15" t="str">
        <f>"801542568085"</f>
        <v>801542568085</v>
      </c>
      <c r="C115" s="15" t="s">
        <v>12219</v>
      </c>
      <c r="D115" s="15" t="str">
        <f t="shared" si="1"/>
        <v>Bane BookshelfSmoked Pine105</v>
      </c>
      <c r="E115" s="15" t="s">
        <v>1884</v>
      </c>
      <c r="F115" s="15" t="s">
        <v>397</v>
      </c>
      <c r="G115" s="15" t="s">
        <v>1897</v>
      </c>
      <c r="H115" s="15" t="s">
        <v>265</v>
      </c>
      <c r="I115" s="15">
        <v>105.0</v>
      </c>
      <c r="J115" s="15" t="s">
        <v>1897</v>
      </c>
      <c r="K115" s="15" t="s">
        <v>1898</v>
      </c>
      <c r="M115" s="15" t="s">
        <v>1896</v>
      </c>
      <c r="N115" s="15" t="s">
        <v>1899</v>
      </c>
      <c r="P115" s="15" t="str">
        <f>"105"</f>
        <v>105</v>
      </c>
      <c r="Q115" s="15" t="str">
        <f t="shared" si="332"/>
        <v>39.25</v>
      </c>
      <c r="R115" s="15" t="str">
        <f t="shared" si="333"/>
        <v>101.25</v>
      </c>
      <c r="S115" s="15" t="str">
        <f>"469.57"</f>
        <v>469.57</v>
      </c>
      <c r="T115" s="15" t="s">
        <v>1891</v>
      </c>
      <c r="U115" s="15" t="s">
        <v>11386</v>
      </c>
      <c r="V115" s="15" t="s">
        <v>11139</v>
      </c>
      <c r="AA115" s="15" t="s">
        <v>413</v>
      </c>
      <c r="AB115" s="15" t="s">
        <v>413</v>
      </c>
      <c r="AC115" s="15" t="s">
        <v>1923</v>
      </c>
      <c r="AD115" s="15" t="s">
        <v>12250</v>
      </c>
      <c r="AE115" s="15" t="s">
        <v>1920</v>
      </c>
      <c r="AF115" s="15" t="s">
        <v>12251</v>
      </c>
      <c r="AG115" s="15" t="s">
        <v>12252</v>
      </c>
      <c r="AH115" s="15" t="s">
        <v>12253</v>
      </c>
      <c r="AI115" s="15" t="s">
        <v>12254</v>
      </c>
      <c r="AJ115" s="15" t="s">
        <v>12255</v>
      </c>
      <c r="AK115" s="15" t="s">
        <v>12256</v>
      </c>
      <c r="AL115" s="15" t="s">
        <v>12257</v>
      </c>
      <c r="AM115" s="15" t="s">
        <v>12258</v>
      </c>
      <c r="AN115" s="15" t="s">
        <v>12259</v>
      </c>
      <c r="AO115" s="15" t="s">
        <v>12260</v>
      </c>
      <c r="AP115" s="15" t="s">
        <v>12261</v>
      </c>
      <c r="AQ115" s="15" t="s">
        <v>12262</v>
      </c>
      <c r="AR115" s="15" t="s">
        <v>12263</v>
      </c>
      <c r="AS115" s="15" t="s">
        <v>12264</v>
      </c>
      <c r="AT115" s="15" t="s">
        <v>12265</v>
      </c>
      <c r="AU115" s="15" t="s">
        <v>12266</v>
      </c>
      <c r="BH115" s="15" t="s">
        <v>1917</v>
      </c>
      <c r="BI115" s="15" t="str">
        <f>"6599"</f>
        <v>6599</v>
      </c>
      <c r="BJ115" s="15" t="str">
        <f>"2775"</f>
        <v>2775</v>
      </c>
      <c r="BK115" s="15" t="s">
        <v>742</v>
      </c>
      <c r="BL115" s="15" t="str">
        <f t="shared" si="334"/>
        <v>2</v>
      </c>
      <c r="BM115" s="15" t="s">
        <v>416</v>
      </c>
      <c r="BN115" s="15" t="str">
        <f t="shared" si="335"/>
        <v>40.35</v>
      </c>
      <c r="BO115" s="15" t="str">
        <f t="shared" si="336"/>
        <v>22.44</v>
      </c>
      <c r="BP115" s="15" t="str">
        <f t="shared" si="337"/>
        <v>110.24</v>
      </c>
      <c r="BQ115" s="15" t="str">
        <f t="shared" si="338"/>
        <v>189.6</v>
      </c>
      <c r="BR115" s="15" t="s">
        <v>416</v>
      </c>
      <c r="BS115" s="15" t="str">
        <f t="shared" si="339"/>
        <v>100.98</v>
      </c>
      <c r="BT115" s="15" t="str">
        <f t="shared" si="340"/>
        <v>21.85</v>
      </c>
      <c r="BU115" s="15" t="str">
        <f t="shared" si="341"/>
        <v>4.92</v>
      </c>
      <c r="BV115" s="15" t="str">
        <f t="shared" si="342"/>
        <v>28.66</v>
      </c>
      <c r="CG115" s="15" t="str">
        <f>"179.61"</f>
        <v>179.61</v>
      </c>
      <c r="CH115" s="15" t="str">
        <f>"5.086"</f>
        <v>5.086</v>
      </c>
      <c r="CI115" s="15" t="s">
        <v>417</v>
      </c>
      <c r="CZ115" s="15" t="s">
        <v>419</v>
      </c>
      <c r="DA115" s="15">
        <v>0.0</v>
      </c>
      <c r="DB115" s="15" t="s">
        <v>419</v>
      </c>
      <c r="DD115" s="15">
        <v>12.0</v>
      </c>
      <c r="DE115" s="15" t="s">
        <v>426</v>
      </c>
      <c r="DF115" s="15" t="s">
        <v>420</v>
      </c>
      <c r="DG115" s="15" t="s">
        <v>1914</v>
      </c>
      <c r="DI115" s="15">
        <v>18.14</v>
      </c>
      <c r="DJ115" s="15">
        <v>40.0</v>
      </c>
      <c r="DK115" s="15">
        <v>0.0</v>
      </c>
      <c r="DR115" s="15" t="s">
        <v>1915</v>
      </c>
      <c r="DS115" s="15" t="s">
        <v>1908</v>
      </c>
      <c r="EU115" s="15" t="s">
        <v>426</v>
      </c>
      <c r="EV115" s="15">
        <v>18.0</v>
      </c>
      <c r="FP115" s="15" t="s">
        <v>785</v>
      </c>
      <c r="FQ115" s="15">
        <v>6.0</v>
      </c>
      <c r="FR115" s="15" t="s">
        <v>614</v>
      </c>
      <c r="FS115" s="15" t="s">
        <v>615</v>
      </c>
      <c r="FW115" s="15" t="s">
        <v>616</v>
      </c>
      <c r="KF115" s="15" t="s">
        <v>426</v>
      </c>
    </row>
    <row r="116" ht="17.25" customHeight="1">
      <c r="A116" s="15" t="s">
        <v>1925</v>
      </c>
      <c r="B116" s="15" t="str">
        <f>"801542510305"</f>
        <v>801542510305</v>
      </c>
      <c r="C116" s="15" t="s">
        <v>12219</v>
      </c>
      <c r="D116" s="15" t="str">
        <f t="shared" si="1"/>
        <v>Bane BookshelfBlack Iron35</v>
      </c>
      <c r="E116" s="15" t="s">
        <v>1884</v>
      </c>
      <c r="F116" s="15" t="s">
        <v>397</v>
      </c>
      <c r="G116" s="15" t="s">
        <v>1898</v>
      </c>
      <c r="H116" s="15" t="s">
        <v>265</v>
      </c>
      <c r="I116" s="15">
        <v>35.0</v>
      </c>
      <c r="J116" s="15" t="s">
        <v>1897</v>
      </c>
      <c r="K116" s="15" t="s">
        <v>1898</v>
      </c>
      <c r="M116" s="15" t="s">
        <v>1896</v>
      </c>
      <c r="N116" s="15" t="s">
        <v>1899</v>
      </c>
      <c r="P116" s="15" t="str">
        <f>"35"</f>
        <v>35</v>
      </c>
      <c r="Q116" s="15" t="str">
        <f>"17.75"</f>
        <v>17.75</v>
      </c>
      <c r="R116" s="15" t="str">
        <f>"98.5"</f>
        <v>98.5</v>
      </c>
      <c r="S116" s="15" t="str">
        <f>"149.91"</f>
        <v>149.91</v>
      </c>
      <c r="T116" s="15" t="s">
        <v>1891</v>
      </c>
      <c r="U116" s="15" t="s">
        <v>11386</v>
      </c>
      <c r="V116" s="15" t="s">
        <v>11139</v>
      </c>
      <c r="AA116" s="15" t="s">
        <v>413</v>
      </c>
      <c r="AB116" s="15" t="s">
        <v>413</v>
      </c>
      <c r="AC116" s="15" t="s">
        <v>1930</v>
      </c>
      <c r="AD116" s="15" t="s">
        <v>12267</v>
      </c>
      <c r="AE116" s="15" t="s">
        <v>1927</v>
      </c>
      <c r="AF116" s="15" t="s">
        <v>12268</v>
      </c>
      <c r="AG116" s="15" t="s">
        <v>12269</v>
      </c>
      <c r="AH116" s="15" t="s">
        <v>12270</v>
      </c>
      <c r="AI116" s="15" t="s">
        <v>12271</v>
      </c>
      <c r="AJ116" s="15" t="s">
        <v>12272</v>
      </c>
      <c r="AK116" s="15" t="s">
        <v>12273</v>
      </c>
      <c r="AL116" s="15" t="s">
        <v>12274</v>
      </c>
      <c r="AM116" s="15" t="s">
        <v>12275</v>
      </c>
      <c r="AN116" s="15" t="s">
        <v>12276</v>
      </c>
      <c r="AO116" s="15" t="s">
        <v>12277</v>
      </c>
      <c r="AP116" s="15" t="s">
        <v>12278</v>
      </c>
      <c r="AQ116" s="15" t="s">
        <v>12279</v>
      </c>
      <c r="AR116" s="15" t="s">
        <v>12280</v>
      </c>
      <c r="AS116" s="15" t="s">
        <v>12281</v>
      </c>
      <c r="AT116" s="15" t="s">
        <v>12282</v>
      </c>
      <c r="AU116" s="15" t="s">
        <v>12283</v>
      </c>
      <c r="BH116" s="15" t="s">
        <v>1924</v>
      </c>
      <c r="BI116" s="15" t="str">
        <f>"2099"</f>
        <v>2099</v>
      </c>
      <c r="BJ116" s="15" t="str">
        <f>"885"</f>
        <v>885</v>
      </c>
      <c r="BK116" s="15" t="s">
        <v>742</v>
      </c>
      <c r="BL116" s="15" t="str">
        <f t="shared" ref="BL116:BL132" si="343">"1"</f>
        <v>1</v>
      </c>
      <c r="BM116" s="15" t="s">
        <v>416</v>
      </c>
      <c r="BN116" s="15" t="str">
        <f t="shared" si="335"/>
        <v>40.35</v>
      </c>
      <c r="BO116" s="15" t="str">
        <f t="shared" si="336"/>
        <v>22.44</v>
      </c>
      <c r="BP116" s="15" t="str">
        <f t="shared" si="337"/>
        <v>110.24</v>
      </c>
      <c r="BQ116" s="15" t="str">
        <f t="shared" si="338"/>
        <v>189.6</v>
      </c>
      <c r="CG116" s="15" t="str">
        <f>"57.77"</f>
        <v>57.77</v>
      </c>
      <c r="CH116" s="15" t="str">
        <f>"1.636"</f>
        <v>1.636</v>
      </c>
      <c r="CI116" s="15" t="s">
        <v>497</v>
      </c>
      <c r="CJ116" s="15" t="s">
        <v>1931</v>
      </c>
      <c r="CK116" s="15" t="s">
        <v>782</v>
      </c>
      <c r="CL116" s="15" t="s">
        <v>1932</v>
      </c>
      <c r="CM116" s="15" t="s">
        <v>1931</v>
      </c>
      <c r="CN116" s="15" t="s">
        <v>1933</v>
      </c>
      <c r="CO116" s="15" t="s">
        <v>1934</v>
      </c>
      <c r="CZ116" s="15" t="s">
        <v>419</v>
      </c>
      <c r="DA116" s="15">
        <v>0.0</v>
      </c>
      <c r="DB116" s="15" t="s">
        <v>419</v>
      </c>
      <c r="DD116" s="15">
        <v>4.0</v>
      </c>
      <c r="DE116" s="15" t="s">
        <v>426</v>
      </c>
      <c r="DF116" s="15" t="s">
        <v>420</v>
      </c>
      <c r="DG116" s="15" t="s">
        <v>610</v>
      </c>
      <c r="DI116" s="15">
        <v>18.14</v>
      </c>
      <c r="DJ116" s="15">
        <v>40.0</v>
      </c>
      <c r="DK116" s="15">
        <v>0.0</v>
      </c>
      <c r="DR116" s="15" t="s">
        <v>1906</v>
      </c>
      <c r="DS116" s="15" t="s">
        <v>1908</v>
      </c>
      <c r="EU116" s="15" t="s">
        <v>426</v>
      </c>
      <c r="EV116" s="15">
        <v>6.0</v>
      </c>
      <c r="FH116" s="15" t="s">
        <v>1935</v>
      </c>
      <c r="FI116" s="15" t="s">
        <v>782</v>
      </c>
      <c r="FJ116" s="15" t="s">
        <v>1936</v>
      </c>
      <c r="FP116" s="15" t="s">
        <v>1883</v>
      </c>
      <c r="FQ116" s="15">
        <v>2.0</v>
      </c>
      <c r="FR116" s="15" t="s">
        <v>614</v>
      </c>
      <c r="FS116" s="15" t="s">
        <v>1045</v>
      </c>
      <c r="FW116" s="15" t="s">
        <v>616</v>
      </c>
    </row>
    <row r="117" ht="17.25" customHeight="1">
      <c r="A117" s="15" t="s">
        <v>1940</v>
      </c>
      <c r="B117" s="15" t="str">
        <f>"801542035365"</f>
        <v>801542035365</v>
      </c>
      <c r="C117" s="15" t="s">
        <v>12284</v>
      </c>
      <c r="D117" s="15" t="str">
        <f t="shared" si="1"/>
        <v>Banks Slipcover Swivel ChairAlcala Taupe</v>
      </c>
      <c r="E117" s="15" t="s">
        <v>1937</v>
      </c>
      <c r="F117" s="15" t="s">
        <v>397</v>
      </c>
      <c r="G117" s="15" t="s">
        <v>1939</v>
      </c>
      <c r="J117" s="15" t="s">
        <v>1939</v>
      </c>
      <c r="M117" s="15" t="s">
        <v>837</v>
      </c>
      <c r="N117" s="15" t="s">
        <v>706</v>
      </c>
      <c r="O117" s="15" t="s">
        <v>707</v>
      </c>
      <c r="P117" s="15" t="str">
        <f t="shared" ref="P117:P119" si="344">"27"</f>
        <v>27</v>
      </c>
      <c r="Q117" s="15" t="str">
        <f t="shared" ref="Q117:Q119" si="345">"35.5"</f>
        <v>35.5</v>
      </c>
      <c r="R117" s="15" t="str">
        <f t="shared" ref="R117:R119" si="346">"32.75"</f>
        <v>32.75</v>
      </c>
      <c r="S117" s="15" t="str">
        <f t="shared" ref="S117:S119" si="347">"54.5"</f>
        <v>54.5</v>
      </c>
      <c r="T117" s="15" t="s">
        <v>1943</v>
      </c>
      <c r="U117" s="15" t="s">
        <v>11356</v>
      </c>
      <c r="V117" s="15" t="s">
        <v>11574</v>
      </c>
      <c r="W117" s="15" t="s">
        <v>11575</v>
      </c>
      <c r="AA117" s="15" t="s">
        <v>413</v>
      </c>
      <c r="AB117" s="15" t="s">
        <v>426</v>
      </c>
      <c r="AC117" s="15" t="s">
        <v>1946</v>
      </c>
      <c r="AD117" s="15" t="s">
        <v>12285</v>
      </c>
      <c r="AE117" s="15" t="s">
        <v>1942</v>
      </c>
      <c r="AF117" s="15" t="s">
        <v>12286</v>
      </c>
      <c r="AG117" s="15" t="s">
        <v>12287</v>
      </c>
      <c r="AH117" s="15" t="s">
        <v>12288</v>
      </c>
      <c r="AI117" s="15" t="s">
        <v>12289</v>
      </c>
      <c r="AJ117" s="15" t="s">
        <v>12290</v>
      </c>
      <c r="AK117" s="15" t="s">
        <v>12291</v>
      </c>
      <c r="AL117" s="15" t="s">
        <v>12292</v>
      </c>
      <c r="AM117" s="15" t="s">
        <v>12293</v>
      </c>
      <c r="AN117" s="15" t="s">
        <v>12294</v>
      </c>
      <c r="AO117" s="15" t="s">
        <v>12295</v>
      </c>
      <c r="AP117" s="15" t="s">
        <v>12296</v>
      </c>
      <c r="BH117" s="15" t="s">
        <v>1938</v>
      </c>
      <c r="BI117" s="15" t="str">
        <f>"949"</f>
        <v>949</v>
      </c>
      <c r="BJ117" s="15" t="str">
        <f>"400"</f>
        <v>400</v>
      </c>
      <c r="BK117" s="15" t="s">
        <v>742</v>
      </c>
      <c r="BL117" s="15" t="str">
        <f t="shared" si="343"/>
        <v>1</v>
      </c>
      <c r="BM117" s="15" t="s">
        <v>1947</v>
      </c>
      <c r="BN117" s="15" t="str">
        <f t="shared" ref="BN117:BN119" si="348">"27.17"</f>
        <v>27.17</v>
      </c>
      <c r="BO117" s="15" t="str">
        <f t="shared" ref="BO117:BO119" si="349">"35.63"</f>
        <v>35.63</v>
      </c>
      <c r="BP117" s="15" t="str">
        <f t="shared" ref="BP117:BP119" si="350">"32.28"</f>
        <v>32.28</v>
      </c>
      <c r="BQ117" s="15" t="str">
        <f t="shared" ref="BQ117:BQ119" si="351">"61.73"</f>
        <v>61.73</v>
      </c>
      <c r="CG117" s="15" t="str">
        <f t="shared" ref="CG117:CG119" si="352">"16.21"</f>
        <v>16.21</v>
      </c>
      <c r="CH117" s="15" t="str">
        <f t="shared" ref="CH117:CH119" si="353">"0.459"</f>
        <v>0.459</v>
      </c>
      <c r="CI117" s="15" t="s">
        <v>465</v>
      </c>
      <c r="CP117" s="15" t="s">
        <v>1949</v>
      </c>
      <c r="CQ117" s="15" t="s">
        <v>1950</v>
      </c>
      <c r="CR117" s="15" t="s">
        <v>1951</v>
      </c>
      <c r="CS117" s="15" t="s">
        <v>1324</v>
      </c>
      <c r="CT117" s="15" t="s">
        <v>1014</v>
      </c>
      <c r="CU117" s="15" t="s">
        <v>1324</v>
      </c>
      <c r="CV117" s="15">
        <v>0.0</v>
      </c>
      <c r="CW117" s="15">
        <v>1.0</v>
      </c>
      <c r="CX117" s="15" t="s">
        <v>717</v>
      </c>
      <c r="CY117" s="15" t="s">
        <v>855</v>
      </c>
      <c r="DC117" s="15" t="s">
        <v>1952</v>
      </c>
      <c r="DF117" s="15" t="s">
        <v>989</v>
      </c>
      <c r="DG117" s="15" t="s">
        <v>1605</v>
      </c>
      <c r="DH117" s="15">
        <v>0.0</v>
      </c>
      <c r="DL117" s="15">
        <v>25000.0</v>
      </c>
      <c r="DM117" s="15" t="s">
        <v>990</v>
      </c>
      <c r="DN117" s="15" t="s">
        <v>723</v>
      </c>
      <c r="DO117" s="15" t="s">
        <v>724</v>
      </c>
      <c r="DP117" s="15">
        <v>1.0</v>
      </c>
      <c r="DQ117" s="15">
        <v>1.0</v>
      </c>
      <c r="DS117" s="15" t="s">
        <v>1953</v>
      </c>
      <c r="DT117" s="15">
        <v>0.0</v>
      </c>
      <c r="DU117" s="15" t="s">
        <v>726</v>
      </c>
      <c r="DV117" s="15" t="s">
        <v>1954</v>
      </c>
      <c r="DW117" s="15" t="s">
        <v>1955</v>
      </c>
      <c r="DX117" s="15" t="s">
        <v>1445</v>
      </c>
      <c r="EB117" s="15" t="s">
        <v>635</v>
      </c>
      <c r="EC117" s="15" t="s">
        <v>995</v>
      </c>
      <c r="ED117" s="15" t="s">
        <v>1956</v>
      </c>
      <c r="EE117" s="15" t="s">
        <v>1954</v>
      </c>
      <c r="EF117" s="15" t="s">
        <v>1957</v>
      </c>
      <c r="EI117" s="15" t="s">
        <v>1958</v>
      </c>
      <c r="EL117" s="15" t="s">
        <v>723</v>
      </c>
      <c r="EM117" s="15" t="s">
        <v>1076</v>
      </c>
      <c r="EN117" s="15" t="s">
        <v>1959</v>
      </c>
      <c r="EO117" s="15" t="s">
        <v>1290</v>
      </c>
      <c r="EZ117" s="15">
        <v>0.0</v>
      </c>
      <c r="FA117" s="15">
        <v>0.0</v>
      </c>
      <c r="FB117" s="15" t="s">
        <v>938</v>
      </c>
      <c r="FC117" s="15">
        <v>0.0</v>
      </c>
      <c r="HU117" s="15" t="s">
        <v>1610</v>
      </c>
    </row>
    <row r="118" ht="17.25" customHeight="1">
      <c r="A118" s="15" t="s">
        <v>1962</v>
      </c>
      <c r="B118" s="15" t="str">
        <f>"801542658373"</f>
        <v>801542658373</v>
      </c>
      <c r="C118" s="15" t="s">
        <v>12297</v>
      </c>
      <c r="D118" s="15" t="str">
        <f t="shared" si="1"/>
        <v>Banks Slipcover Swivel ChairCambric Ivory</v>
      </c>
      <c r="E118" s="15" t="s">
        <v>1937</v>
      </c>
      <c r="F118" s="15" t="s">
        <v>397</v>
      </c>
      <c r="G118" s="15" t="s">
        <v>1961</v>
      </c>
      <c r="J118" s="15" t="s">
        <v>1961</v>
      </c>
      <c r="M118" s="15" t="s">
        <v>837</v>
      </c>
      <c r="N118" s="15" t="s">
        <v>706</v>
      </c>
      <c r="O118" s="15" t="s">
        <v>707</v>
      </c>
      <c r="P118" s="15" t="str">
        <f t="shared" si="344"/>
        <v>27</v>
      </c>
      <c r="Q118" s="15" t="str">
        <f t="shared" si="345"/>
        <v>35.5</v>
      </c>
      <c r="R118" s="15" t="str">
        <f t="shared" si="346"/>
        <v>32.75</v>
      </c>
      <c r="S118" s="15" t="str">
        <f t="shared" si="347"/>
        <v>54.5</v>
      </c>
      <c r="T118" s="15" t="s">
        <v>1964</v>
      </c>
      <c r="U118" s="15" t="s">
        <v>12298</v>
      </c>
      <c r="V118" s="15" t="s">
        <v>11575</v>
      </c>
      <c r="AA118" s="15" t="s">
        <v>413</v>
      </c>
      <c r="AB118" s="15" t="s">
        <v>426</v>
      </c>
      <c r="AC118" s="15" t="s">
        <v>1965</v>
      </c>
      <c r="AD118" s="15" t="s">
        <v>12299</v>
      </c>
      <c r="AE118" s="15" t="s">
        <v>1963</v>
      </c>
      <c r="AF118" s="15" t="s">
        <v>12300</v>
      </c>
      <c r="AG118" s="15" t="s">
        <v>12301</v>
      </c>
      <c r="AH118" s="15" t="s">
        <v>12302</v>
      </c>
      <c r="AI118" s="15" t="s">
        <v>12303</v>
      </c>
      <c r="AJ118" s="15" t="s">
        <v>12304</v>
      </c>
      <c r="AK118" s="15" t="s">
        <v>12305</v>
      </c>
      <c r="AL118" s="15" t="s">
        <v>12306</v>
      </c>
      <c r="AM118" s="15" t="s">
        <v>12307</v>
      </c>
      <c r="AN118" s="15" t="s">
        <v>12308</v>
      </c>
      <c r="AO118" s="15" t="s">
        <v>12309</v>
      </c>
      <c r="AP118" s="15" t="s">
        <v>12310</v>
      </c>
      <c r="AQ118" s="15" t="s">
        <v>12311</v>
      </c>
      <c r="AR118" s="15" t="s">
        <v>12312</v>
      </c>
      <c r="BH118" s="15" t="s">
        <v>1960</v>
      </c>
      <c r="BI118" s="15" t="str">
        <f>"849"</f>
        <v>849</v>
      </c>
      <c r="BJ118" s="15" t="str">
        <f>"360"</f>
        <v>360</v>
      </c>
      <c r="BK118" s="15" t="s">
        <v>742</v>
      </c>
      <c r="BL118" s="15" t="str">
        <f t="shared" si="343"/>
        <v>1</v>
      </c>
      <c r="BM118" s="15" t="s">
        <v>1966</v>
      </c>
      <c r="BN118" s="15" t="str">
        <f t="shared" si="348"/>
        <v>27.17</v>
      </c>
      <c r="BO118" s="15" t="str">
        <f t="shared" si="349"/>
        <v>35.63</v>
      </c>
      <c r="BP118" s="15" t="str">
        <f t="shared" si="350"/>
        <v>32.28</v>
      </c>
      <c r="BQ118" s="15" t="str">
        <f t="shared" si="351"/>
        <v>61.73</v>
      </c>
      <c r="CG118" s="15" t="str">
        <f t="shared" si="352"/>
        <v>16.21</v>
      </c>
      <c r="CH118" s="15" t="str">
        <f t="shared" si="353"/>
        <v>0.459</v>
      </c>
      <c r="CI118" s="15" t="s">
        <v>497</v>
      </c>
      <c r="CP118" s="15" t="s">
        <v>1949</v>
      </c>
      <c r="CQ118" s="15" t="s">
        <v>1950</v>
      </c>
      <c r="CR118" s="15" t="s">
        <v>1951</v>
      </c>
      <c r="CS118" s="15" t="s">
        <v>1324</v>
      </c>
      <c r="CT118" s="15" t="s">
        <v>1014</v>
      </c>
      <c r="CU118" s="15" t="s">
        <v>1324</v>
      </c>
      <c r="CV118" s="15">
        <v>0.0</v>
      </c>
      <c r="CW118" s="15">
        <v>1.0</v>
      </c>
      <c r="CX118" s="15" t="s">
        <v>717</v>
      </c>
      <c r="CY118" s="15" t="s">
        <v>855</v>
      </c>
      <c r="DC118" s="15" t="s">
        <v>1952</v>
      </c>
      <c r="DF118" s="15" t="s">
        <v>989</v>
      </c>
      <c r="DG118" s="15" t="s">
        <v>1605</v>
      </c>
      <c r="DH118" s="15">
        <v>0.0</v>
      </c>
      <c r="DL118" s="15">
        <v>90000.0</v>
      </c>
      <c r="DM118" s="15" t="s">
        <v>990</v>
      </c>
      <c r="DN118" s="15" t="s">
        <v>723</v>
      </c>
      <c r="DO118" s="15" t="s">
        <v>724</v>
      </c>
      <c r="DP118" s="15">
        <v>1.0</v>
      </c>
      <c r="DQ118" s="15">
        <v>1.0</v>
      </c>
      <c r="DS118" s="15" t="s">
        <v>1953</v>
      </c>
      <c r="DT118" s="15">
        <v>0.0</v>
      </c>
      <c r="DU118" s="15" t="s">
        <v>726</v>
      </c>
      <c r="DV118" s="15" t="s">
        <v>1954</v>
      </c>
      <c r="DW118" s="15" t="s">
        <v>1955</v>
      </c>
      <c r="DX118" s="15" t="s">
        <v>1445</v>
      </c>
      <c r="EB118" s="15" t="s">
        <v>635</v>
      </c>
      <c r="EC118" s="15" t="s">
        <v>995</v>
      </c>
      <c r="ED118" s="15" t="s">
        <v>1956</v>
      </c>
      <c r="EE118" s="15" t="s">
        <v>1954</v>
      </c>
      <c r="EF118" s="15" t="s">
        <v>1957</v>
      </c>
      <c r="EI118" s="15" t="s">
        <v>1958</v>
      </c>
      <c r="EL118" s="15" t="s">
        <v>723</v>
      </c>
      <c r="EM118" s="15" t="s">
        <v>1076</v>
      </c>
      <c r="EN118" s="15" t="s">
        <v>1959</v>
      </c>
      <c r="EO118" s="15" t="s">
        <v>1290</v>
      </c>
      <c r="EZ118" s="15">
        <v>0.0</v>
      </c>
      <c r="FA118" s="15">
        <v>0.0</v>
      </c>
      <c r="FB118" s="15" t="s">
        <v>938</v>
      </c>
      <c r="FC118" s="15">
        <v>0.0</v>
      </c>
      <c r="HU118" s="15" t="s">
        <v>1610</v>
      </c>
    </row>
    <row r="119" ht="17.25" customHeight="1">
      <c r="A119" s="15" t="s">
        <v>1968</v>
      </c>
      <c r="B119" s="15" t="str">
        <f>"801542690571"</f>
        <v>801542690571</v>
      </c>
      <c r="C119" s="15" t="s">
        <v>12313</v>
      </c>
      <c r="D119" s="15" t="str">
        <f t="shared" si="1"/>
        <v>Banks Slipcover Swivel ChairPalermo Drift</v>
      </c>
      <c r="E119" s="15" t="s">
        <v>1937</v>
      </c>
      <c r="F119" s="15" t="s">
        <v>397</v>
      </c>
      <c r="G119" s="15" t="s">
        <v>1658</v>
      </c>
      <c r="J119" s="15" t="s">
        <v>1658</v>
      </c>
      <c r="M119" s="15" t="s">
        <v>837</v>
      </c>
      <c r="N119" s="15" t="s">
        <v>706</v>
      </c>
      <c r="O119" s="15" t="s">
        <v>707</v>
      </c>
      <c r="P119" s="15" t="str">
        <f t="shared" si="344"/>
        <v>27</v>
      </c>
      <c r="Q119" s="15" t="str">
        <f t="shared" si="345"/>
        <v>35.5</v>
      </c>
      <c r="R119" s="15" t="str">
        <f t="shared" si="346"/>
        <v>32.75</v>
      </c>
      <c r="S119" s="15" t="str">
        <f t="shared" si="347"/>
        <v>54.5</v>
      </c>
      <c r="T119" s="15" t="s">
        <v>1600</v>
      </c>
      <c r="U119" s="15" t="s">
        <v>11137</v>
      </c>
      <c r="AA119" s="15" t="s">
        <v>413</v>
      </c>
      <c r="AB119" s="15" t="s">
        <v>413</v>
      </c>
      <c r="AC119" s="15" t="s">
        <v>1970</v>
      </c>
      <c r="AD119" s="15" t="s">
        <v>12314</v>
      </c>
      <c r="AE119" s="15" t="s">
        <v>1969</v>
      </c>
      <c r="AF119" s="15" t="s">
        <v>12315</v>
      </c>
      <c r="AG119" s="15" t="s">
        <v>12316</v>
      </c>
      <c r="AH119" s="15" t="s">
        <v>12317</v>
      </c>
      <c r="AI119" s="15" t="s">
        <v>12318</v>
      </c>
      <c r="AJ119" s="15" t="s">
        <v>12319</v>
      </c>
      <c r="AK119" s="15" t="s">
        <v>12320</v>
      </c>
      <c r="AL119" s="15" t="s">
        <v>12321</v>
      </c>
      <c r="AM119" s="15" t="s">
        <v>12322</v>
      </c>
      <c r="AN119" s="15" t="s">
        <v>12323</v>
      </c>
      <c r="AO119" s="15" t="s">
        <v>12324</v>
      </c>
      <c r="BH119" s="15" t="s">
        <v>1967</v>
      </c>
      <c r="BI119" s="15" t="str">
        <f>"1549"</f>
        <v>1549</v>
      </c>
      <c r="BJ119" s="15" t="str">
        <f>"655"</f>
        <v>655</v>
      </c>
      <c r="BK119" s="15" t="s">
        <v>742</v>
      </c>
      <c r="BL119" s="15" t="str">
        <f t="shared" si="343"/>
        <v>1</v>
      </c>
      <c r="BM119" s="15" t="s">
        <v>1966</v>
      </c>
      <c r="BN119" s="15" t="str">
        <f t="shared" si="348"/>
        <v>27.17</v>
      </c>
      <c r="BO119" s="15" t="str">
        <f t="shared" si="349"/>
        <v>35.63</v>
      </c>
      <c r="BP119" s="15" t="str">
        <f t="shared" si="350"/>
        <v>32.28</v>
      </c>
      <c r="BQ119" s="15" t="str">
        <f t="shared" si="351"/>
        <v>61.73</v>
      </c>
      <c r="CG119" s="15" t="str">
        <f t="shared" si="352"/>
        <v>16.21</v>
      </c>
      <c r="CH119" s="15" t="str">
        <f t="shared" si="353"/>
        <v>0.459</v>
      </c>
      <c r="CI119" s="15" t="s">
        <v>465</v>
      </c>
      <c r="CP119" s="15" t="s">
        <v>1949</v>
      </c>
      <c r="CQ119" s="15" t="s">
        <v>1950</v>
      </c>
      <c r="CR119" s="15" t="s">
        <v>1951</v>
      </c>
      <c r="CS119" s="15" t="s">
        <v>1324</v>
      </c>
      <c r="CT119" s="15" t="s">
        <v>1014</v>
      </c>
      <c r="CU119" s="15" t="s">
        <v>1324</v>
      </c>
      <c r="CV119" s="15">
        <v>0.0</v>
      </c>
      <c r="CW119" s="15">
        <v>1.0</v>
      </c>
      <c r="CX119" s="15" t="s">
        <v>717</v>
      </c>
      <c r="CY119" s="15" t="s">
        <v>718</v>
      </c>
      <c r="DC119" s="15" t="s">
        <v>1952</v>
      </c>
      <c r="DF119" s="15" t="s">
        <v>989</v>
      </c>
      <c r="DG119" s="15" t="s">
        <v>1605</v>
      </c>
      <c r="DH119" s="15">
        <v>0.0</v>
      </c>
      <c r="DL119" s="15">
        <v>0.0</v>
      </c>
      <c r="DM119" s="15" t="s">
        <v>990</v>
      </c>
      <c r="DN119" s="15" t="s">
        <v>723</v>
      </c>
      <c r="DO119" s="15" t="s">
        <v>724</v>
      </c>
      <c r="DP119" s="15">
        <v>1.0</v>
      </c>
      <c r="DQ119" s="15">
        <v>1.0</v>
      </c>
      <c r="DS119" s="15" t="s">
        <v>1953</v>
      </c>
      <c r="DT119" s="15">
        <v>0.0</v>
      </c>
      <c r="DU119" s="15" t="s">
        <v>726</v>
      </c>
      <c r="DV119" s="15" t="s">
        <v>1954</v>
      </c>
      <c r="DW119" s="15" t="s">
        <v>1955</v>
      </c>
      <c r="DX119" s="15" t="s">
        <v>1445</v>
      </c>
      <c r="EB119" s="15" t="s">
        <v>635</v>
      </c>
      <c r="EC119" s="15" t="s">
        <v>995</v>
      </c>
      <c r="ED119" s="15" t="s">
        <v>1956</v>
      </c>
      <c r="EE119" s="15" t="s">
        <v>1954</v>
      </c>
      <c r="EF119" s="15" t="s">
        <v>1957</v>
      </c>
      <c r="EI119" s="15" t="s">
        <v>1958</v>
      </c>
      <c r="EL119" s="15" t="s">
        <v>723</v>
      </c>
      <c r="EM119" s="15" t="s">
        <v>1076</v>
      </c>
      <c r="EN119" s="15" t="s">
        <v>1959</v>
      </c>
      <c r="EO119" s="15" t="s">
        <v>1290</v>
      </c>
      <c r="EZ119" s="15">
        <v>0.0</v>
      </c>
      <c r="FA119" s="15">
        <v>0.0</v>
      </c>
      <c r="FB119" s="15" t="s">
        <v>938</v>
      </c>
      <c r="FC119" s="15">
        <v>0.0</v>
      </c>
      <c r="HU119" s="15" t="s">
        <v>1610</v>
      </c>
    </row>
    <row r="120" ht="17.25" customHeight="1">
      <c r="A120" s="15" t="s">
        <v>1974</v>
      </c>
      <c r="B120" s="15" t="str">
        <f>"801542571276"</f>
        <v>801542571276</v>
      </c>
      <c r="C120" s="15" t="s">
        <v>12325</v>
      </c>
      <c r="D120" s="15" t="str">
        <f t="shared" si="1"/>
        <v>Bates Bunching TableCaramel Oak Veneer</v>
      </c>
      <c r="E120" s="15" t="s">
        <v>1971</v>
      </c>
      <c r="F120" s="15" t="s">
        <v>397</v>
      </c>
      <c r="G120" s="15" t="s">
        <v>1973</v>
      </c>
      <c r="J120" s="15" t="s">
        <v>1973</v>
      </c>
      <c r="K120" s="15" t="s">
        <v>1978</v>
      </c>
      <c r="M120" s="15" t="s">
        <v>411</v>
      </c>
      <c r="N120" s="15" t="s">
        <v>491</v>
      </c>
      <c r="P120" s="15" t="str">
        <f t="shared" ref="P120:Q120" si="354">"28"</f>
        <v>28</v>
      </c>
      <c r="Q120" s="15" t="str">
        <f t="shared" si="354"/>
        <v>28</v>
      </c>
      <c r="R120" s="15" t="str">
        <f>"15.75"</f>
        <v>15.75</v>
      </c>
      <c r="S120" s="15" t="str">
        <f>"23.04"</f>
        <v>23.04</v>
      </c>
      <c r="T120" s="15" t="s">
        <v>1977</v>
      </c>
      <c r="U120" s="15" t="s">
        <v>12326</v>
      </c>
      <c r="V120" s="15" t="s">
        <v>12327</v>
      </c>
      <c r="AA120" s="15" t="s">
        <v>413</v>
      </c>
      <c r="AB120" s="15" t="s">
        <v>413</v>
      </c>
      <c r="AC120" s="15" t="s">
        <v>1979</v>
      </c>
      <c r="AD120" s="15" t="s">
        <v>12328</v>
      </c>
      <c r="AE120" s="15" t="s">
        <v>1976</v>
      </c>
      <c r="AF120" s="15" t="s">
        <v>12329</v>
      </c>
      <c r="AG120" s="15" t="s">
        <v>12330</v>
      </c>
      <c r="AH120" s="15" t="s">
        <v>12331</v>
      </c>
      <c r="AI120" s="15" t="s">
        <v>12332</v>
      </c>
      <c r="AJ120" s="15" t="s">
        <v>12333</v>
      </c>
      <c r="AK120" s="15" t="s">
        <v>12334</v>
      </c>
      <c r="AL120" s="15" t="s">
        <v>12335</v>
      </c>
      <c r="AM120" s="15" t="s">
        <v>12336</v>
      </c>
      <c r="AN120" s="15" t="s">
        <v>12337</v>
      </c>
      <c r="AO120" s="15" t="s">
        <v>12338</v>
      </c>
      <c r="AP120" s="15" t="s">
        <v>12339</v>
      </c>
      <c r="BH120" s="15" t="s">
        <v>1972</v>
      </c>
      <c r="BI120" s="15" t="str">
        <f>"1499"</f>
        <v>1499</v>
      </c>
      <c r="BJ120" s="15" t="str">
        <f>"630"</f>
        <v>630</v>
      </c>
      <c r="BK120" s="15" t="s">
        <v>415</v>
      </c>
      <c r="BL120" s="15" t="str">
        <f t="shared" si="343"/>
        <v>1</v>
      </c>
      <c r="BM120" s="15" t="s">
        <v>416</v>
      </c>
      <c r="BN120" s="15" t="str">
        <f>"36.61"</f>
        <v>36.61</v>
      </c>
      <c r="BO120" s="15" t="str">
        <f>"36.22"</f>
        <v>36.22</v>
      </c>
      <c r="BP120" s="15" t="str">
        <f>"22.44"</f>
        <v>22.44</v>
      </c>
      <c r="BQ120" s="15" t="str">
        <f>"47.51"</f>
        <v>47.51</v>
      </c>
      <c r="CG120" s="15" t="str">
        <f>"17.23"</f>
        <v>17.23</v>
      </c>
      <c r="CH120" s="15" t="str">
        <f>"0.488"</f>
        <v>0.488</v>
      </c>
      <c r="CI120" s="15" t="s">
        <v>465</v>
      </c>
      <c r="CZ120" s="15" t="s">
        <v>419</v>
      </c>
      <c r="DA120" s="15">
        <v>0.0</v>
      </c>
      <c r="DB120" s="15" t="s">
        <v>419</v>
      </c>
      <c r="DD120" s="15">
        <v>0.0</v>
      </c>
      <c r="DF120" s="15" t="s">
        <v>420</v>
      </c>
      <c r="DG120" s="15" t="s">
        <v>419</v>
      </c>
      <c r="DK120" s="15">
        <v>0.0</v>
      </c>
      <c r="DR120" s="15" t="s">
        <v>1157</v>
      </c>
      <c r="DS120" s="15" t="s">
        <v>1981</v>
      </c>
      <c r="DU120" s="15" t="s">
        <v>500</v>
      </c>
      <c r="EG120" s="15" t="s">
        <v>1574</v>
      </c>
      <c r="EH120" s="15" t="s">
        <v>1574</v>
      </c>
      <c r="EQ120" s="15" t="s">
        <v>1574</v>
      </c>
      <c r="ER120" s="15" t="s">
        <v>1982</v>
      </c>
      <c r="ES120" s="15" t="s">
        <v>1574</v>
      </c>
      <c r="ET120" s="15" t="s">
        <v>1982</v>
      </c>
      <c r="EU120" s="15" t="s">
        <v>426</v>
      </c>
      <c r="EV120" s="15">
        <v>0.0</v>
      </c>
      <c r="EW120" s="15">
        <v>0.0</v>
      </c>
    </row>
    <row r="121" ht="17.25" customHeight="1">
      <c r="A121" s="15" t="s">
        <v>1986</v>
      </c>
      <c r="B121" s="15" t="str">
        <f>"801542025090"</f>
        <v>801542025090</v>
      </c>
      <c r="C121" s="15" t="s">
        <v>12340</v>
      </c>
      <c r="D121" s="15" t="str">
        <f t="shared" si="1"/>
        <v>Bauer ChairDakota Warm Taupe</v>
      </c>
      <c r="E121" s="15" t="s">
        <v>1983</v>
      </c>
      <c r="F121" s="15" t="s">
        <v>397</v>
      </c>
      <c r="G121" s="15" t="s">
        <v>1985</v>
      </c>
      <c r="J121" s="15" t="s">
        <v>1985</v>
      </c>
      <c r="K121" s="15" t="s">
        <v>978</v>
      </c>
      <c r="M121" s="15" t="s">
        <v>725</v>
      </c>
      <c r="N121" s="15" t="s">
        <v>706</v>
      </c>
      <c r="O121" s="15" t="s">
        <v>707</v>
      </c>
      <c r="P121" s="15" t="str">
        <f t="shared" ref="P121:P122" si="355">"27"</f>
        <v>27</v>
      </c>
      <c r="Q121" s="15" t="str">
        <f t="shared" ref="Q121:Q122" si="356">"35"</f>
        <v>35</v>
      </c>
      <c r="R121" s="15" t="str">
        <f t="shared" ref="R121:R122" si="357">"29"</f>
        <v>29</v>
      </c>
      <c r="S121" s="15" t="str">
        <f t="shared" ref="S121:S122" si="358">"39.46"</f>
        <v>39.46</v>
      </c>
      <c r="T121" s="15" t="s">
        <v>975</v>
      </c>
      <c r="U121" s="15" t="s">
        <v>11137</v>
      </c>
      <c r="V121" s="15" t="s">
        <v>11210</v>
      </c>
      <c r="AA121" s="15" t="s">
        <v>413</v>
      </c>
      <c r="AB121" s="15" t="s">
        <v>413</v>
      </c>
      <c r="AC121" s="15" t="s">
        <v>1989</v>
      </c>
      <c r="AD121" s="15" t="s">
        <v>12341</v>
      </c>
      <c r="AE121" s="15" t="s">
        <v>1988</v>
      </c>
      <c r="AF121" s="15" t="s">
        <v>12342</v>
      </c>
      <c r="AG121" s="15" t="s">
        <v>12343</v>
      </c>
      <c r="AH121" s="15" t="s">
        <v>12344</v>
      </c>
      <c r="AI121" s="15" t="s">
        <v>12345</v>
      </c>
      <c r="AJ121" s="15" t="s">
        <v>12346</v>
      </c>
      <c r="AK121" s="15" t="s">
        <v>12347</v>
      </c>
      <c r="AL121" s="15" t="s">
        <v>12348</v>
      </c>
      <c r="AM121" s="15" t="s">
        <v>12349</v>
      </c>
      <c r="BH121" s="15" t="s">
        <v>1984</v>
      </c>
      <c r="BI121" s="15" t="str">
        <f>"2199"</f>
        <v>2199</v>
      </c>
      <c r="BJ121" s="15" t="str">
        <f>"925"</f>
        <v>925</v>
      </c>
      <c r="BK121" s="15" t="s">
        <v>709</v>
      </c>
      <c r="BL121" s="15" t="str">
        <f t="shared" si="343"/>
        <v>1</v>
      </c>
      <c r="BM121" s="15" t="s">
        <v>416</v>
      </c>
      <c r="BN121" s="15" t="str">
        <f t="shared" ref="BN121:BN122" si="359">"37.01"</f>
        <v>37.01</v>
      </c>
      <c r="BO121" s="15" t="str">
        <f t="shared" ref="BO121:BO122" si="360">"29.92"</f>
        <v>29.92</v>
      </c>
      <c r="BP121" s="15" t="str">
        <f t="shared" ref="BP121:BP122" si="361">"31.5"</f>
        <v>31.5</v>
      </c>
      <c r="BQ121" s="15" t="str">
        <f t="shared" ref="BQ121:BQ122" si="362">"57.32"</f>
        <v>57.32</v>
      </c>
      <c r="CG121" s="15" t="str">
        <f t="shared" ref="CG121:CG122" si="363">"20.2"</f>
        <v>20.2</v>
      </c>
      <c r="CH121" s="15" t="str">
        <f t="shared" ref="CH121:CH122" si="364">"0.572"</f>
        <v>0.572</v>
      </c>
      <c r="CI121" s="15" t="s">
        <v>465</v>
      </c>
      <c r="CS121" s="15" t="s">
        <v>1331</v>
      </c>
      <c r="CT121" s="15" t="s">
        <v>1161</v>
      </c>
      <c r="CV121" s="15">
        <v>0.0</v>
      </c>
      <c r="CW121" s="15">
        <v>1.0</v>
      </c>
      <c r="CX121" s="15" t="s">
        <v>717</v>
      </c>
      <c r="CY121" s="15" t="s">
        <v>718</v>
      </c>
      <c r="DF121" s="15" t="s">
        <v>721</v>
      </c>
      <c r="DG121" s="15" t="s">
        <v>419</v>
      </c>
      <c r="DH121" s="15">
        <v>0.0</v>
      </c>
      <c r="DL121" s="15">
        <v>0.0</v>
      </c>
      <c r="DM121" s="15" t="s">
        <v>990</v>
      </c>
      <c r="DN121" s="15" t="s">
        <v>1016</v>
      </c>
      <c r="DP121" s="15">
        <v>1.0</v>
      </c>
      <c r="DQ121" s="15">
        <v>1.0</v>
      </c>
      <c r="DS121" s="15" t="s">
        <v>1992</v>
      </c>
      <c r="DT121" s="15">
        <v>0.0</v>
      </c>
      <c r="DU121" s="15" t="s">
        <v>726</v>
      </c>
      <c r="DV121" s="15" t="s">
        <v>525</v>
      </c>
      <c r="DW121" s="15" t="s">
        <v>505</v>
      </c>
      <c r="DX121" s="15" t="s">
        <v>1993</v>
      </c>
      <c r="EB121" s="15" t="s">
        <v>672</v>
      </c>
      <c r="EF121" s="15" t="s">
        <v>943</v>
      </c>
      <c r="EG121" s="15" t="s">
        <v>1994</v>
      </c>
      <c r="EH121" s="15" t="s">
        <v>1995</v>
      </c>
      <c r="EI121" s="15" t="s">
        <v>1996</v>
      </c>
      <c r="EL121" s="15" t="s">
        <v>1016</v>
      </c>
      <c r="EO121" s="15" t="s">
        <v>860</v>
      </c>
      <c r="EX121" s="15" t="s">
        <v>1997</v>
      </c>
      <c r="EY121" s="15" t="s">
        <v>1998</v>
      </c>
      <c r="EZ121" s="15">
        <v>0.0</v>
      </c>
      <c r="FA121" s="15">
        <v>0.0</v>
      </c>
      <c r="FC121" s="15">
        <v>0.0</v>
      </c>
    </row>
    <row r="122" ht="17.25" customHeight="1">
      <c r="A122" s="15" t="s">
        <v>2001</v>
      </c>
      <c r="B122" s="15" t="str">
        <f>"801542563479"</f>
        <v>801542563479</v>
      </c>
      <c r="C122" s="15" t="s">
        <v>12350</v>
      </c>
      <c r="D122" s="15" t="str">
        <f t="shared" si="1"/>
        <v>Bauer ChairThames Cream</v>
      </c>
      <c r="E122" s="15" t="s">
        <v>1983</v>
      </c>
      <c r="F122" s="15" t="s">
        <v>397</v>
      </c>
      <c r="G122" s="15" t="s">
        <v>2000</v>
      </c>
      <c r="J122" s="15" t="s">
        <v>2000</v>
      </c>
      <c r="K122" s="15" t="s">
        <v>1087</v>
      </c>
      <c r="L122" s="15" t="s">
        <v>2004</v>
      </c>
      <c r="M122" s="15" t="s">
        <v>725</v>
      </c>
      <c r="N122" s="15" t="s">
        <v>706</v>
      </c>
      <c r="O122" s="15" t="s">
        <v>707</v>
      </c>
      <c r="P122" s="15" t="str">
        <f t="shared" si="355"/>
        <v>27</v>
      </c>
      <c r="Q122" s="15" t="str">
        <f t="shared" si="356"/>
        <v>35</v>
      </c>
      <c r="R122" s="15" t="str">
        <f t="shared" si="357"/>
        <v>29</v>
      </c>
      <c r="S122" s="15" t="str">
        <f t="shared" si="358"/>
        <v>39.46</v>
      </c>
      <c r="T122" s="15" t="s">
        <v>2003</v>
      </c>
      <c r="U122" s="15" t="s">
        <v>11537</v>
      </c>
      <c r="V122" s="15" t="s">
        <v>11538</v>
      </c>
      <c r="W122" s="15" t="s">
        <v>11539</v>
      </c>
      <c r="X122" s="15" t="s">
        <v>11210</v>
      </c>
      <c r="Y122" s="15" t="s">
        <v>11137</v>
      </c>
      <c r="AA122" s="15" t="s">
        <v>413</v>
      </c>
      <c r="AB122" s="15" t="s">
        <v>426</v>
      </c>
      <c r="AC122" s="15" t="s">
        <v>2005</v>
      </c>
      <c r="AD122" s="15" t="s">
        <v>12351</v>
      </c>
      <c r="AE122" s="15" t="s">
        <v>2002</v>
      </c>
      <c r="AF122" s="15" t="s">
        <v>12352</v>
      </c>
      <c r="AG122" s="15" t="s">
        <v>12353</v>
      </c>
      <c r="AH122" s="15" t="s">
        <v>12354</v>
      </c>
      <c r="AI122" s="15" t="s">
        <v>12355</v>
      </c>
      <c r="AJ122" s="15" t="s">
        <v>12356</v>
      </c>
      <c r="AK122" s="15" t="s">
        <v>12357</v>
      </c>
      <c r="AL122" s="15" t="s">
        <v>12358</v>
      </c>
      <c r="AM122" s="15" t="s">
        <v>12359</v>
      </c>
      <c r="AN122" s="15" t="s">
        <v>12360</v>
      </c>
      <c r="BH122" s="15" t="s">
        <v>1999</v>
      </c>
      <c r="BI122" s="15" t="str">
        <f>"1199"</f>
        <v>1199</v>
      </c>
      <c r="BJ122" s="15" t="str">
        <f>"505"</f>
        <v>505</v>
      </c>
      <c r="BK122" s="15" t="s">
        <v>709</v>
      </c>
      <c r="BL122" s="15" t="str">
        <f t="shared" si="343"/>
        <v>1</v>
      </c>
      <c r="BM122" s="15" t="s">
        <v>416</v>
      </c>
      <c r="BN122" s="15" t="str">
        <f t="shared" si="359"/>
        <v>37.01</v>
      </c>
      <c r="BO122" s="15" t="str">
        <f t="shared" si="360"/>
        <v>29.92</v>
      </c>
      <c r="BP122" s="15" t="str">
        <f t="shared" si="361"/>
        <v>31.5</v>
      </c>
      <c r="BQ122" s="15" t="str">
        <f t="shared" si="362"/>
        <v>57.32</v>
      </c>
      <c r="CG122" s="15" t="str">
        <f t="shared" si="363"/>
        <v>20.2</v>
      </c>
      <c r="CH122" s="15" t="str">
        <f t="shared" si="364"/>
        <v>0.572</v>
      </c>
      <c r="CI122" s="15" t="s">
        <v>497</v>
      </c>
      <c r="CS122" s="15" t="s">
        <v>1331</v>
      </c>
      <c r="CT122" s="15" t="s">
        <v>1161</v>
      </c>
      <c r="CV122" s="15">
        <v>0.0</v>
      </c>
      <c r="CW122" s="15">
        <v>1.0</v>
      </c>
      <c r="CX122" s="15" t="s">
        <v>717</v>
      </c>
      <c r="CY122" s="15" t="s">
        <v>855</v>
      </c>
      <c r="DF122" s="15" t="s">
        <v>721</v>
      </c>
      <c r="DG122" s="15" t="s">
        <v>419</v>
      </c>
      <c r="DH122" s="15">
        <v>0.0</v>
      </c>
      <c r="DL122" s="15">
        <v>25000.0</v>
      </c>
      <c r="DM122" s="15" t="s">
        <v>990</v>
      </c>
      <c r="DN122" s="15" t="s">
        <v>1016</v>
      </c>
      <c r="DP122" s="15">
        <v>1.0</v>
      </c>
      <c r="DQ122" s="15">
        <v>1.0</v>
      </c>
      <c r="DS122" s="15" t="s">
        <v>1992</v>
      </c>
      <c r="DT122" s="15">
        <v>0.0</v>
      </c>
      <c r="DU122" s="15" t="s">
        <v>726</v>
      </c>
      <c r="DV122" s="15" t="s">
        <v>525</v>
      </c>
      <c r="DW122" s="15" t="s">
        <v>505</v>
      </c>
      <c r="DX122" s="15" t="s">
        <v>1993</v>
      </c>
      <c r="EB122" s="15" t="s">
        <v>672</v>
      </c>
      <c r="EF122" s="15" t="s">
        <v>943</v>
      </c>
      <c r="EG122" s="15" t="s">
        <v>1994</v>
      </c>
      <c r="EH122" s="15" t="s">
        <v>1995</v>
      </c>
      <c r="EI122" s="15" t="s">
        <v>1996</v>
      </c>
      <c r="EL122" s="15" t="s">
        <v>1016</v>
      </c>
      <c r="EO122" s="15" t="s">
        <v>860</v>
      </c>
      <c r="EX122" s="15" t="s">
        <v>1997</v>
      </c>
      <c r="EY122" s="15" t="s">
        <v>1998</v>
      </c>
      <c r="EZ122" s="15">
        <v>0.0</v>
      </c>
      <c r="FA122" s="15">
        <v>0.0</v>
      </c>
      <c r="FC122" s="15">
        <v>0.0</v>
      </c>
    </row>
    <row r="123" ht="17.25" customHeight="1">
      <c r="A123" s="15" t="s">
        <v>2009</v>
      </c>
      <c r="B123" s="15" t="str">
        <f>"801542691714"</f>
        <v>801542691714</v>
      </c>
      <c r="C123" s="15" t="s">
        <v>12361</v>
      </c>
      <c r="D123" s="15" t="str">
        <f t="shared" si="1"/>
        <v>Beckwith SofaNatural Washed Camel</v>
      </c>
      <c r="E123" s="15" t="s">
        <v>2006</v>
      </c>
      <c r="F123" s="15" t="s">
        <v>397</v>
      </c>
      <c r="G123" s="15" t="s">
        <v>2008</v>
      </c>
      <c r="J123" s="15" t="s">
        <v>2008</v>
      </c>
      <c r="K123" s="15" t="s">
        <v>2014</v>
      </c>
      <c r="M123" s="15" t="s">
        <v>703</v>
      </c>
      <c r="N123" s="15" t="s">
        <v>1732</v>
      </c>
      <c r="P123" s="15" t="str">
        <f>"94"</f>
        <v>94</v>
      </c>
      <c r="Q123" s="15" t="str">
        <f>"33.5"</f>
        <v>33.5</v>
      </c>
      <c r="R123" s="15" t="str">
        <f>"28.5"</f>
        <v>28.5</v>
      </c>
      <c r="S123" s="15" t="str">
        <f>"148.5"</f>
        <v>148.5</v>
      </c>
      <c r="T123" s="15" t="s">
        <v>1341</v>
      </c>
      <c r="U123" s="15" t="s">
        <v>11137</v>
      </c>
      <c r="V123" s="15" t="s">
        <v>11138</v>
      </c>
      <c r="AA123" s="15" t="s">
        <v>413</v>
      </c>
      <c r="AB123" s="15" t="s">
        <v>413</v>
      </c>
      <c r="AC123" s="15" t="s">
        <v>2015</v>
      </c>
      <c r="AD123" s="15" t="s">
        <v>12362</v>
      </c>
      <c r="AE123" s="15" t="s">
        <v>2011</v>
      </c>
      <c r="AF123" s="15" t="s">
        <v>12363</v>
      </c>
      <c r="AG123" s="15" t="s">
        <v>12364</v>
      </c>
      <c r="AH123" s="15" t="s">
        <v>12365</v>
      </c>
      <c r="AI123" s="15" t="s">
        <v>12366</v>
      </c>
      <c r="AJ123" s="15" t="s">
        <v>12367</v>
      </c>
      <c r="AK123" s="15" t="s">
        <v>12368</v>
      </c>
      <c r="AL123" s="15" t="s">
        <v>12369</v>
      </c>
      <c r="AM123" s="15" t="s">
        <v>12370</v>
      </c>
      <c r="AN123" s="15" t="s">
        <v>12371</v>
      </c>
      <c r="AO123" s="15" t="s">
        <v>12372</v>
      </c>
      <c r="AP123" s="15" t="s">
        <v>12373</v>
      </c>
      <c r="AQ123" s="15" t="s">
        <v>12374</v>
      </c>
      <c r="AR123" s="15" t="s">
        <v>12375</v>
      </c>
      <c r="BH123" s="15" t="s">
        <v>2007</v>
      </c>
      <c r="BI123" s="15" t="str">
        <f>"6299"</f>
        <v>6299</v>
      </c>
      <c r="BJ123" s="15" t="str">
        <f>"2650"</f>
        <v>2650</v>
      </c>
      <c r="BK123" s="15" t="s">
        <v>709</v>
      </c>
      <c r="BL123" s="15" t="str">
        <f t="shared" si="343"/>
        <v>1</v>
      </c>
      <c r="BM123" s="15" t="s">
        <v>416</v>
      </c>
      <c r="BN123" s="15" t="str">
        <f>"97"</f>
        <v>97</v>
      </c>
      <c r="BO123" s="15" t="str">
        <f>"36"</f>
        <v>36</v>
      </c>
      <c r="BP123" s="15" t="str">
        <f>"33.5"</f>
        <v>33.5</v>
      </c>
      <c r="BQ123" s="15" t="str">
        <f>"194"</f>
        <v>194</v>
      </c>
      <c r="CG123" s="15" t="str">
        <f>"67.7"</f>
        <v>67.7</v>
      </c>
      <c r="CH123" s="15" t="str">
        <f>"1.917"</f>
        <v>1.917</v>
      </c>
      <c r="CI123" s="15" t="s">
        <v>497</v>
      </c>
      <c r="CP123" s="15" t="s">
        <v>2017</v>
      </c>
      <c r="CQ123" s="15" t="s">
        <v>732</v>
      </c>
      <c r="CR123" s="15" t="s">
        <v>2018</v>
      </c>
      <c r="CS123" s="15" t="s">
        <v>2019</v>
      </c>
      <c r="CT123" s="15" t="s">
        <v>2020</v>
      </c>
      <c r="CU123" s="15" t="s">
        <v>2021</v>
      </c>
      <c r="CV123" s="15">
        <v>2.0</v>
      </c>
      <c r="CW123" s="15">
        <v>2.0</v>
      </c>
      <c r="CX123" s="15" t="s">
        <v>717</v>
      </c>
      <c r="CY123" s="15" t="s">
        <v>718</v>
      </c>
      <c r="DC123" s="15" t="s">
        <v>2022</v>
      </c>
      <c r="DF123" s="15" t="s">
        <v>721</v>
      </c>
      <c r="DG123" s="15" t="s">
        <v>419</v>
      </c>
      <c r="DH123" s="15">
        <v>0.0</v>
      </c>
      <c r="DL123" s="15">
        <v>0.0</v>
      </c>
      <c r="DM123" s="15" t="s">
        <v>990</v>
      </c>
      <c r="DN123" s="15" t="s">
        <v>723</v>
      </c>
      <c r="DO123" s="15" t="s">
        <v>724</v>
      </c>
      <c r="DP123" s="15">
        <v>2.0</v>
      </c>
      <c r="DQ123" s="15">
        <v>2.0</v>
      </c>
      <c r="DS123" s="15" t="s">
        <v>2023</v>
      </c>
      <c r="DT123" s="15">
        <v>0.0</v>
      </c>
      <c r="DU123" s="15" t="s">
        <v>1545</v>
      </c>
      <c r="DV123" s="15" t="s">
        <v>2017</v>
      </c>
      <c r="DW123" s="15" t="s">
        <v>822</v>
      </c>
      <c r="DX123" s="15" t="s">
        <v>2024</v>
      </c>
      <c r="DY123" s="15" t="s">
        <v>1374</v>
      </c>
      <c r="DZ123" s="15" t="s">
        <v>714</v>
      </c>
      <c r="EA123" s="15" t="s">
        <v>2017</v>
      </c>
      <c r="EB123" s="15" t="s">
        <v>732</v>
      </c>
      <c r="EC123" s="15" t="s">
        <v>1374</v>
      </c>
      <c r="ED123" s="15" t="s">
        <v>714</v>
      </c>
      <c r="EE123" s="15" t="s">
        <v>2025</v>
      </c>
      <c r="EF123" s="15" t="s">
        <v>2026</v>
      </c>
      <c r="EG123" s="15" t="s">
        <v>2017</v>
      </c>
      <c r="EH123" s="15" t="s">
        <v>2027</v>
      </c>
      <c r="EI123" s="15" t="s">
        <v>822</v>
      </c>
      <c r="EJ123" s="15" t="s">
        <v>724</v>
      </c>
      <c r="EK123" s="15" t="s">
        <v>426</v>
      </c>
      <c r="EL123" s="15" t="s">
        <v>723</v>
      </c>
      <c r="EM123" s="15" t="s">
        <v>724</v>
      </c>
      <c r="EN123" s="15" t="s">
        <v>2028</v>
      </c>
      <c r="EO123" s="15" t="s">
        <v>2029</v>
      </c>
      <c r="EU123" s="15" t="s">
        <v>426</v>
      </c>
    </row>
    <row r="124" ht="17.25" customHeight="1">
      <c r="A124" s="15" t="s">
        <v>2033</v>
      </c>
      <c r="B124" s="15" t="str">
        <f>"801542640606"</f>
        <v>801542640606</v>
      </c>
      <c r="C124" s="15" t="s">
        <v>12376</v>
      </c>
      <c r="D124" s="15" t="str">
        <f t="shared" si="1"/>
        <v>Beckwourth Coffee Table-60"Sierra Rustic Natural</v>
      </c>
      <c r="E124" s="15" t="s">
        <v>2030</v>
      </c>
      <c r="F124" s="15" t="s">
        <v>397</v>
      </c>
      <c r="G124" s="15" t="s">
        <v>2032</v>
      </c>
      <c r="J124" s="15" t="s">
        <v>2032</v>
      </c>
      <c r="M124" s="15" t="s">
        <v>2041</v>
      </c>
      <c r="N124" s="15" t="s">
        <v>491</v>
      </c>
      <c r="P124" s="15" t="str">
        <f>"60"</f>
        <v>60</v>
      </c>
      <c r="Q124" s="15" t="str">
        <f>"26"</f>
        <v>26</v>
      </c>
      <c r="R124" s="15" t="str">
        <f>"16"</f>
        <v>16</v>
      </c>
      <c r="S124" s="15" t="str">
        <f>"73.85"</f>
        <v>73.85</v>
      </c>
      <c r="T124" s="15" t="s">
        <v>2036</v>
      </c>
      <c r="U124" s="15" t="s">
        <v>12377</v>
      </c>
      <c r="AA124" s="15" t="s">
        <v>413</v>
      </c>
      <c r="AB124" s="15" t="s">
        <v>413</v>
      </c>
      <c r="AC124" s="15" t="s">
        <v>2042</v>
      </c>
      <c r="AD124" s="15" t="s">
        <v>12378</v>
      </c>
      <c r="AE124" s="15" t="s">
        <v>2035</v>
      </c>
      <c r="AF124" s="15" t="s">
        <v>12379</v>
      </c>
      <c r="AG124" s="15" t="s">
        <v>12380</v>
      </c>
      <c r="AH124" s="15" t="s">
        <v>12381</v>
      </c>
      <c r="AI124" s="15" t="s">
        <v>12382</v>
      </c>
      <c r="AJ124" s="15" t="s">
        <v>12383</v>
      </c>
      <c r="AK124" s="15" t="s">
        <v>12384</v>
      </c>
      <c r="AL124" s="15" t="s">
        <v>12385</v>
      </c>
      <c r="AM124" s="15" t="s">
        <v>12386</v>
      </c>
      <c r="AN124" s="15" t="s">
        <v>12387</v>
      </c>
      <c r="BH124" s="15" t="s">
        <v>2031</v>
      </c>
      <c r="BI124" s="15" t="str">
        <f>"999"</f>
        <v>999</v>
      </c>
      <c r="BJ124" s="15" t="str">
        <f>"420"</f>
        <v>420</v>
      </c>
      <c r="BK124" s="15" t="s">
        <v>742</v>
      </c>
      <c r="BL124" s="15" t="str">
        <f t="shared" si="343"/>
        <v>1</v>
      </c>
      <c r="BM124" s="15" t="s">
        <v>2043</v>
      </c>
      <c r="BN124" s="15" t="str">
        <f>"64.17"</f>
        <v>64.17</v>
      </c>
      <c r="BO124" s="15" t="str">
        <f>"29.53"</f>
        <v>29.53</v>
      </c>
      <c r="BP124" s="15" t="str">
        <f>"21.85"</f>
        <v>21.85</v>
      </c>
      <c r="BQ124" s="15" t="str">
        <f t="shared" ref="BQ124:BQ125" si="365">"103.62"</f>
        <v>103.62</v>
      </c>
      <c r="CG124" s="15" t="str">
        <f>"23.94"</f>
        <v>23.94</v>
      </c>
      <c r="CH124" s="15" t="str">
        <f>"0.678"</f>
        <v>0.678</v>
      </c>
      <c r="CI124" s="15" t="s">
        <v>497</v>
      </c>
      <c r="CJ124" s="15" t="s">
        <v>1116</v>
      </c>
      <c r="CK124" s="15" t="s">
        <v>2046</v>
      </c>
      <c r="CL124" s="15" t="s">
        <v>2047</v>
      </c>
      <c r="CM124" s="15" t="s">
        <v>1116</v>
      </c>
      <c r="CN124" s="15" t="s">
        <v>995</v>
      </c>
      <c r="CO124" s="15" t="s">
        <v>2047</v>
      </c>
      <c r="CZ124" s="15" t="s">
        <v>419</v>
      </c>
      <c r="DA124" s="15">
        <v>0.0</v>
      </c>
      <c r="DB124" s="15" t="s">
        <v>419</v>
      </c>
      <c r="DD124" s="15">
        <v>1.0</v>
      </c>
      <c r="DE124" s="15" t="s">
        <v>426</v>
      </c>
      <c r="DF124" s="15" t="s">
        <v>2048</v>
      </c>
      <c r="DG124" s="15" t="s">
        <v>1914</v>
      </c>
      <c r="DK124" s="15">
        <v>0.0</v>
      </c>
      <c r="DR124" s="15" t="s">
        <v>471</v>
      </c>
      <c r="DS124" s="15" t="s">
        <v>2049</v>
      </c>
      <c r="DU124" s="15" t="s">
        <v>500</v>
      </c>
      <c r="EF124" s="15" t="s">
        <v>2050</v>
      </c>
      <c r="EH124" s="15" t="s">
        <v>2047</v>
      </c>
      <c r="EQ124" s="15" t="s">
        <v>1116</v>
      </c>
      <c r="ER124" s="15" t="s">
        <v>2051</v>
      </c>
      <c r="ES124" s="15" t="s">
        <v>2052</v>
      </c>
      <c r="ET124" s="15" t="s">
        <v>759</v>
      </c>
      <c r="EU124" s="15" t="s">
        <v>426</v>
      </c>
      <c r="EV124" s="15">
        <v>0.0</v>
      </c>
      <c r="EW124" s="15">
        <v>0.0</v>
      </c>
    </row>
    <row r="125" ht="17.25" customHeight="1">
      <c r="A125" s="15" t="s">
        <v>2055</v>
      </c>
      <c r="B125" s="15" t="str">
        <f>"801542702830"</f>
        <v>801542702830</v>
      </c>
      <c r="C125" s="15" t="s">
        <v>12388</v>
      </c>
      <c r="D125" s="15" t="str">
        <f t="shared" si="1"/>
        <v>Belmont 2 Drawer NightstandBlack</v>
      </c>
      <c r="E125" s="15" t="s">
        <v>2053</v>
      </c>
      <c r="F125" s="15" t="s">
        <v>397</v>
      </c>
      <c r="G125" s="15" t="s">
        <v>838</v>
      </c>
      <c r="J125" s="15" t="s">
        <v>838</v>
      </c>
      <c r="K125" s="15" t="s">
        <v>2064</v>
      </c>
      <c r="M125" s="15" t="s">
        <v>2063</v>
      </c>
      <c r="N125" s="15" t="s">
        <v>628</v>
      </c>
      <c r="P125" s="15" t="str">
        <f>"23.5"</f>
        <v>23.5</v>
      </c>
      <c r="Q125" s="15" t="str">
        <f>"17.75"</f>
        <v>17.75</v>
      </c>
      <c r="R125" s="15" t="str">
        <f>"25.5"</f>
        <v>25.5</v>
      </c>
      <c r="S125" s="15" t="str">
        <f>"79.37"</f>
        <v>79.37</v>
      </c>
      <c r="T125" s="15" t="s">
        <v>2058</v>
      </c>
      <c r="U125" s="15" t="s">
        <v>11139</v>
      </c>
      <c r="AA125" s="15" t="s">
        <v>413</v>
      </c>
      <c r="AB125" s="15" t="s">
        <v>413</v>
      </c>
      <c r="AD125" s="15" t="s">
        <v>12389</v>
      </c>
      <c r="AE125" s="15" t="s">
        <v>2057</v>
      </c>
      <c r="AF125" s="15" t="s">
        <v>12390</v>
      </c>
      <c r="AG125" s="15" t="s">
        <v>12391</v>
      </c>
      <c r="AH125" s="15" t="s">
        <v>12392</v>
      </c>
      <c r="AI125" s="15" t="s">
        <v>12393</v>
      </c>
      <c r="AJ125" s="15" t="s">
        <v>12394</v>
      </c>
      <c r="AK125" s="15" t="s">
        <v>12395</v>
      </c>
      <c r="AL125" s="15" t="s">
        <v>12396</v>
      </c>
      <c r="AM125" s="15" t="s">
        <v>12397</v>
      </c>
      <c r="AN125" s="15" t="s">
        <v>12398</v>
      </c>
      <c r="BH125" s="15" t="s">
        <v>2054</v>
      </c>
      <c r="BI125" s="15" t="str">
        <f>"849"</f>
        <v>849</v>
      </c>
      <c r="BJ125" s="15" t="str">
        <f>"360"</f>
        <v>360</v>
      </c>
      <c r="BK125" s="15" t="s">
        <v>742</v>
      </c>
      <c r="BL125" s="15" t="str">
        <f t="shared" si="343"/>
        <v>1</v>
      </c>
      <c r="BM125" s="15" t="s">
        <v>2043</v>
      </c>
      <c r="BN125" s="15" t="str">
        <f>"27.36"</f>
        <v>27.36</v>
      </c>
      <c r="BO125" s="15" t="str">
        <f>"21.65"</f>
        <v>21.65</v>
      </c>
      <c r="BP125" s="15" t="str">
        <f>"32.68"</f>
        <v>32.68</v>
      </c>
      <c r="BQ125" s="15" t="str">
        <f t="shared" si="365"/>
        <v>103.62</v>
      </c>
      <c r="CG125" s="15" t="str">
        <f>"11.19"</f>
        <v>11.19</v>
      </c>
      <c r="CH125" s="15" t="str">
        <f>"0.317"</f>
        <v>0.317</v>
      </c>
      <c r="CI125" s="15" t="s">
        <v>465</v>
      </c>
      <c r="CM125" s="15" t="s">
        <v>2067</v>
      </c>
      <c r="CN125" s="15" t="s">
        <v>2050</v>
      </c>
      <c r="CO125" s="15" t="s">
        <v>1074</v>
      </c>
      <c r="CZ125" s="15" t="s">
        <v>1371</v>
      </c>
      <c r="DA125" s="15">
        <v>2.0</v>
      </c>
      <c r="DB125" s="15" t="s">
        <v>419</v>
      </c>
      <c r="DD125" s="15">
        <v>0.0</v>
      </c>
      <c r="DG125" s="15" t="s">
        <v>421</v>
      </c>
      <c r="DK125" s="15">
        <v>0.0</v>
      </c>
      <c r="DR125" s="15" t="s">
        <v>471</v>
      </c>
      <c r="DS125" s="15" t="s">
        <v>2068</v>
      </c>
      <c r="DU125" s="15" t="s">
        <v>500</v>
      </c>
      <c r="EF125" s="15" t="s">
        <v>1444</v>
      </c>
      <c r="EV125" s="15">
        <v>1.0</v>
      </c>
      <c r="FQ125" s="15">
        <v>0.0</v>
      </c>
      <c r="FR125" s="15" t="s">
        <v>427</v>
      </c>
      <c r="FZ125" s="15" t="s">
        <v>2069</v>
      </c>
      <c r="GB125" s="15" t="s">
        <v>2070</v>
      </c>
      <c r="GD125" s="15" t="s">
        <v>2071</v>
      </c>
      <c r="GF125" s="15" t="s">
        <v>838</v>
      </c>
    </row>
    <row r="126" ht="17.25" customHeight="1">
      <c r="A126" s="15" t="s">
        <v>2074</v>
      </c>
      <c r="B126" s="15" t="str">
        <f>"801542616236"</f>
        <v>801542616236</v>
      </c>
      <c r="C126" s="15" t="s">
        <v>12399</v>
      </c>
      <c r="D126" s="15" t="str">
        <f t="shared" si="1"/>
        <v>Belmont 8 Drawer Metal DresserBlack</v>
      </c>
      <c r="E126" s="15" t="s">
        <v>2072</v>
      </c>
      <c r="F126" s="15" t="s">
        <v>397</v>
      </c>
      <c r="G126" s="15" t="s">
        <v>838</v>
      </c>
      <c r="J126" s="15" t="s">
        <v>838</v>
      </c>
      <c r="K126" s="15" t="s">
        <v>2064</v>
      </c>
      <c r="M126" s="15" t="s">
        <v>2068</v>
      </c>
      <c r="N126" s="15" t="s">
        <v>412</v>
      </c>
      <c r="P126" s="15" t="str">
        <f>"70"</f>
        <v>70</v>
      </c>
      <c r="Q126" s="15" t="str">
        <f>"18.5"</f>
        <v>18.5</v>
      </c>
      <c r="R126" s="15" t="str">
        <f>"38.5"</f>
        <v>38.5</v>
      </c>
      <c r="S126" s="15" t="str">
        <f>"321.87"</f>
        <v>321.87</v>
      </c>
      <c r="T126" s="15" t="s">
        <v>2058</v>
      </c>
      <c r="U126" s="15" t="s">
        <v>11139</v>
      </c>
      <c r="AA126" s="15" t="s">
        <v>426</v>
      </c>
      <c r="AB126" s="15" t="s">
        <v>413</v>
      </c>
      <c r="AC126" s="15" t="s">
        <v>2077</v>
      </c>
      <c r="AD126" s="15" t="s">
        <v>12400</v>
      </c>
      <c r="AE126" s="15" t="s">
        <v>2076</v>
      </c>
      <c r="AF126" s="15" t="s">
        <v>12401</v>
      </c>
      <c r="AG126" s="15" t="s">
        <v>12402</v>
      </c>
      <c r="AH126" s="15" t="s">
        <v>12403</v>
      </c>
      <c r="AI126" s="15" t="s">
        <v>12404</v>
      </c>
      <c r="AJ126" s="15" t="s">
        <v>12405</v>
      </c>
      <c r="AK126" s="15" t="s">
        <v>12406</v>
      </c>
      <c r="AL126" s="15" t="s">
        <v>12407</v>
      </c>
      <c r="AM126" s="15" t="s">
        <v>12408</v>
      </c>
      <c r="AN126" s="15" t="s">
        <v>12409</v>
      </c>
      <c r="AO126" s="15" t="s">
        <v>12410</v>
      </c>
      <c r="AP126" s="15" t="s">
        <v>12411</v>
      </c>
      <c r="BH126" s="15" t="s">
        <v>2073</v>
      </c>
      <c r="BI126" s="15" t="str">
        <f>"2899"</f>
        <v>2899</v>
      </c>
      <c r="BJ126" s="15" t="str">
        <f>"1220"</f>
        <v>1220</v>
      </c>
      <c r="BK126" s="15" t="s">
        <v>742</v>
      </c>
      <c r="BL126" s="15" t="str">
        <f t="shared" si="343"/>
        <v>1</v>
      </c>
      <c r="BM126" s="15" t="s">
        <v>2043</v>
      </c>
      <c r="BN126" s="15" t="str">
        <f>"73.62"</f>
        <v>73.62</v>
      </c>
      <c r="BO126" s="15" t="str">
        <f>"22.44"</f>
        <v>22.44</v>
      </c>
      <c r="BP126" s="15" t="str">
        <f>"45.28"</f>
        <v>45.28</v>
      </c>
      <c r="BQ126" s="15" t="str">
        <f>"368.17"</f>
        <v>368.17</v>
      </c>
      <c r="CG126" s="15" t="str">
        <f>"43.3"</f>
        <v>43.3</v>
      </c>
      <c r="CH126" s="15" t="str">
        <f>"1.226"</f>
        <v>1.226</v>
      </c>
      <c r="CI126" s="15" t="s">
        <v>465</v>
      </c>
      <c r="CZ126" s="15" t="s">
        <v>1371</v>
      </c>
      <c r="DA126" s="15">
        <v>8.0</v>
      </c>
      <c r="DB126" s="15" t="s">
        <v>1185</v>
      </c>
      <c r="DD126" s="15">
        <v>0.0</v>
      </c>
      <c r="DG126" s="15" t="s">
        <v>421</v>
      </c>
      <c r="DK126" s="15">
        <v>0.0</v>
      </c>
      <c r="DR126" s="15" t="s">
        <v>422</v>
      </c>
      <c r="DS126" s="15" t="s">
        <v>2068</v>
      </c>
      <c r="DU126" s="15" t="s">
        <v>500</v>
      </c>
      <c r="EF126" s="15" t="s">
        <v>1444</v>
      </c>
      <c r="EU126" s="15" t="s">
        <v>426</v>
      </c>
      <c r="EV126" s="15">
        <v>0.0</v>
      </c>
      <c r="FQ126" s="15">
        <v>0.0</v>
      </c>
      <c r="FR126" s="15" t="s">
        <v>427</v>
      </c>
      <c r="FZ126" s="15" t="s">
        <v>2080</v>
      </c>
      <c r="GB126" s="15" t="s">
        <v>2081</v>
      </c>
      <c r="GD126" s="15" t="s">
        <v>2082</v>
      </c>
      <c r="GF126" s="15" t="s">
        <v>838</v>
      </c>
    </row>
    <row r="127" ht="17.25" customHeight="1">
      <c r="A127" s="15" t="s">
        <v>2085</v>
      </c>
      <c r="B127" s="15" t="str">
        <f>"801542618049"</f>
        <v>801542618049</v>
      </c>
      <c r="C127" s="15" t="s">
        <v>12412</v>
      </c>
      <c r="D127" s="15" t="str">
        <f t="shared" si="1"/>
        <v>Belmont 8 Drawer Tall DresserBlack</v>
      </c>
      <c r="E127" s="15" t="s">
        <v>2083</v>
      </c>
      <c r="F127" s="15" t="s">
        <v>397</v>
      </c>
      <c r="G127" s="15" t="s">
        <v>838</v>
      </c>
      <c r="J127" s="15" t="s">
        <v>838</v>
      </c>
      <c r="M127" s="15" t="s">
        <v>2068</v>
      </c>
      <c r="N127" s="15" t="s">
        <v>412</v>
      </c>
      <c r="P127" s="15" t="str">
        <f>"35.5"</f>
        <v>35.5</v>
      </c>
      <c r="Q127" s="15" t="str">
        <f>"19.75"</f>
        <v>19.75</v>
      </c>
      <c r="R127" s="15" t="str">
        <f>"48"</f>
        <v>48</v>
      </c>
      <c r="S127" s="15" t="str">
        <f>"249.12"</f>
        <v>249.12</v>
      </c>
      <c r="T127" s="15" t="s">
        <v>2058</v>
      </c>
      <c r="U127" s="15" t="s">
        <v>11139</v>
      </c>
      <c r="AA127" s="15" t="s">
        <v>413</v>
      </c>
      <c r="AB127" s="15" t="s">
        <v>413</v>
      </c>
      <c r="AC127" s="15" t="s">
        <v>2090</v>
      </c>
      <c r="AD127" s="15" t="s">
        <v>12413</v>
      </c>
      <c r="AE127" s="15" t="s">
        <v>2087</v>
      </c>
      <c r="AF127" s="15" t="s">
        <v>12414</v>
      </c>
      <c r="AG127" s="15" t="s">
        <v>12415</v>
      </c>
      <c r="AH127" s="15" t="s">
        <v>12416</v>
      </c>
      <c r="AI127" s="15" t="s">
        <v>12417</v>
      </c>
      <c r="AJ127" s="15" t="s">
        <v>12418</v>
      </c>
      <c r="AK127" s="15" t="s">
        <v>12419</v>
      </c>
      <c r="AL127" s="15" t="s">
        <v>12420</v>
      </c>
      <c r="AM127" s="15" t="s">
        <v>12421</v>
      </c>
      <c r="AN127" s="15" t="s">
        <v>12422</v>
      </c>
      <c r="AO127" s="15" t="s">
        <v>12423</v>
      </c>
      <c r="AP127" s="15" t="s">
        <v>12424</v>
      </c>
      <c r="AQ127" s="15" t="s">
        <v>12425</v>
      </c>
      <c r="AR127" s="15" t="s">
        <v>12426</v>
      </c>
      <c r="BH127" s="15" t="s">
        <v>2084</v>
      </c>
      <c r="BI127" s="15" t="str">
        <f>"2099"</f>
        <v>2099</v>
      </c>
      <c r="BJ127" s="15" t="str">
        <f>"885"</f>
        <v>885</v>
      </c>
      <c r="BK127" s="15" t="s">
        <v>742</v>
      </c>
      <c r="BL127" s="15" t="str">
        <f t="shared" si="343"/>
        <v>1</v>
      </c>
      <c r="BM127" s="15" t="s">
        <v>2043</v>
      </c>
      <c r="BN127" s="15" t="str">
        <f>"39.37"</f>
        <v>39.37</v>
      </c>
      <c r="BO127" s="15" t="str">
        <f>"23.43"</f>
        <v>23.43</v>
      </c>
      <c r="BP127" s="15" t="str">
        <f>"54.13"</f>
        <v>54.13</v>
      </c>
      <c r="BQ127" s="15" t="str">
        <f>"273.37"</f>
        <v>273.37</v>
      </c>
      <c r="CG127" s="15" t="str">
        <f>"28.89"</f>
        <v>28.89</v>
      </c>
      <c r="CH127" s="15" t="str">
        <f>"0.818"</f>
        <v>0.818</v>
      </c>
      <c r="CI127" s="15" t="s">
        <v>497</v>
      </c>
      <c r="CZ127" s="15" t="s">
        <v>1371</v>
      </c>
      <c r="DA127" s="15">
        <v>8.0</v>
      </c>
      <c r="DB127" s="15" t="s">
        <v>419</v>
      </c>
      <c r="DD127" s="15">
        <v>0.0</v>
      </c>
      <c r="DG127" s="15" t="s">
        <v>421</v>
      </c>
      <c r="DK127" s="15">
        <v>0.0</v>
      </c>
      <c r="DR127" s="15" t="s">
        <v>2094</v>
      </c>
      <c r="DS127" s="15" t="s">
        <v>2068</v>
      </c>
      <c r="DU127" s="15" t="s">
        <v>500</v>
      </c>
      <c r="EF127" s="15" t="s">
        <v>2096</v>
      </c>
      <c r="EU127" s="15" t="s">
        <v>426</v>
      </c>
      <c r="EV127" s="15">
        <v>0.0</v>
      </c>
      <c r="FQ127" s="15">
        <v>0.0</v>
      </c>
      <c r="FR127" s="15" t="s">
        <v>427</v>
      </c>
      <c r="FZ127" s="15" t="s">
        <v>2097</v>
      </c>
      <c r="GA127" s="15" t="s">
        <v>2097</v>
      </c>
      <c r="GB127" s="15" t="s">
        <v>2098</v>
      </c>
      <c r="GC127" s="15" t="s">
        <v>2099</v>
      </c>
      <c r="GD127" s="15" t="s">
        <v>2100</v>
      </c>
      <c r="GE127" s="15" t="s">
        <v>2101</v>
      </c>
      <c r="GF127" s="15" t="s">
        <v>838</v>
      </c>
    </row>
    <row r="128" ht="17.25" customHeight="1">
      <c r="A128" s="15" t="s">
        <v>2104</v>
      </c>
      <c r="B128" s="15" t="str">
        <f>"801542587253"</f>
        <v>801542587253</v>
      </c>
      <c r="C128" s="15" t="s">
        <v>12427</v>
      </c>
      <c r="D128" s="15" t="str">
        <f t="shared" si="1"/>
        <v>Benito SofaPlushtone Linen</v>
      </c>
      <c r="E128" s="15" t="s">
        <v>2102</v>
      </c>
      <c r="F128" s="15" t="s">
        <v>397</v>
      </c>
      <c r="G128" s="15" t="s">
        <v>827</v>
      </c>
      <c r="J128" s="15" t="s">
        <v>827</v>
      </c>
      <c r="K128" s="15" t="s">
        <v>2109</v>
      </c>
      <c r="M128" s="15" t="s">
        <v>2108</v>
      </c>
      <c r="N128" s="15" t="s">
        <v>1732</v>
      </c>
      <c r="P128" s="15" t="str">
        <f t="shared" ref="P128:P130" si="366">"90"</f>
        <v>90</v>
      </c>
      <c r="Q128" s="15" t="str">
        <f t="shared" ref="Q128:Q130" si="367">"40"</f>
        <v>40</v>
      </c>
      <c r="R128" s="15" t="str">
        <f t="shared" ref="R128:R130" si="368">"33"</f>
        <v>33</v>
      </c>
      <c r="S128" s="15" t="str">
        <f t="shared" ref="S128:S130" si="369">"184.08"</f>
        <v>184.08</v>
      </c>
      <c r="T128" s="15" t="s">
        <v>2107</v>
      </c>
      <c r="U128" s="15" t="s">
        <v>11209</v>
      </c>
      <c r="V128" s="15" t="s">
        <v>12428</v>
      </c>
      <c r="AA128" s="15" t="s">
        <v>413</v>
      </c>
      <c r="AB128" s="15" t="s">
        <v>426</v>
      </c>
      <c r="AC128" s="15" t="s">
        <v>2110</v>
      </c>
      <c r="AD128" s="15" t="s">
        <v>12429</v>
      </c>
      <c r="AE128" s="15" t="s">
        <v>2106</v>
      </c>
      <c r="AF128" s="15" t="s">
        <v>12430</v>
      </c>
      <c r="AG128" s="15" t="s">
        <v>12431</v>
      </c>
      <c r="AH128" s="15" t="s">
        <v>12432</v>
      </c>
      <c r="AI128" s="15" t="s">
        <v>12433</v>
      </c>
      <c r="AJ128" s="15" t="s">
        <v>12434</v>
      </c>
      <c r="AK128" s="15" t="s">
        <v>12435</v>
      </c>
      <c r="AL128" s="15" t="s">
        <v>12436</v>
      </c>
      <c r="AM128" s="15" t="s">
        <v>12437</v>
      </c>
      <c r="AN128" s="15" t="s">
        <v>12438</v>
      </c>
      <c r="AO128" s="15" t="s">
        <v>12439</v>
      </c>
      <c r="AP128" s="15" t="s">
        <v>12440</v>
      </c>
      <c r="BH128" s="15" t="s">
        <v>2103</v>
      </c>
      <c r="BI128" s="15" t="str">
        <f>"2399"</f>
        <v>2399</v>
      </c>
      <c r="BJ128" s="15" t="str">
        <f>"1010"</f>
        <v>1010</v>
      </c>
      <c r="BK128" s="15" t="s">
        <v>415</v>
      </c>
      <c r="BL128" s="15" t="str">
        <f t="shared" si="343"/>
        <v>1</v>
      </c>
      <c r="BM128" s="15" t="s">
        <v>416</v>
      </c>
      <c r="BN128" s="15" t="str">
        <f t="shared" ref="BN128:BN130" si="370">"91.97"</f>
        <v>91.97</v>
      </c>
      <c r="BO128" s="15" t="str">
        <f t="shared" ref="BO128:BO130" si="371">"44.09"</f>
        <v>44.09</v>
      </c>
      <c r="BP128" s="15" t="str">
        <f t="shared" ref="BP128:BP130" si="372">"28.74"</f>
        <v>28.74</v>
      </c>
      <c r="BQ128" s="15" t="str">
        <f t="shared" ref="BQ128:BQ130" si="373">"208.33"</f>
        <v>208.33</v>
      </c>
      <c r="CG128" s="15" t="str">
        <f t="shared" ref="CG128:CG130" si="374">"67.45"</f>
        <v>67.45</v>
      </c>
      <c r="CH128" s="15" t="str">
        <f t="shared" ref="CH128:CH130" si="375">"1.91"</f>
        <v>1.91</v>
      </c>
      <c r="CI128" s="15" t="s">
        <v>465</v>
      </c>
      <c r="CP128" s="15" t="s">
        <v>1808</v>
      </c>
      <c r="CQ128" s="15" t="s">
        <v>1808</v>
      </c>
      <c r="CR128" s="15" t="s">
        <v>1808</v>
      </c>
      <c r="CS128" s="15" t="s">
        <v>1211</v>
      </c>
      <c r="CT128" s="15" t="s">
        <v>1804</v>
      </c>
      <c r="CU128" s="15" t="s">
        <v>960</v>
      </c>
      <c r="CV128" s="15">
        <v>0.0</v>
      </c>
      <c r="CW128" s="15">
        <v>2.0</v>
      </c>
      <c r="CX128" s="15" t="s">
        <v>717</v>
      </c>
      <c r="CY128" s="15" t="s">
        <v>855</v>
      </c>
      <c r="DF128" s="15" t="s">
        <v>721</v>
      </c>
      <c r="DG128" s="15" t="s">
        <v>419</v>
      </c>
      <c r="DH128" s="15">
        <v>0.0</v>
      </c>
      <c r="DL128" s="15">
        <v>15000.0</v>
      </c>
      <c r="DM128" s="15" t="s">
        <v>990</v>
      </c>
      <c r="DN128" s="15" t="s">
        <v>1016</v>
      </c>
      <c r="DO128" s="15" t="s">
        <v>1701</v>
      </c>
      <c r="DP128" s="15">
        <v>1.0</v>
      </c>
      <c r="DQ128" s="15">
        <v>3.0</v>
      </c>
      <c r="DS128" s="15" t="s">
        <v>2115</v>
      </c>
      <c r="DT128" s="15">
        <v>0.0</v>
      </c>
      <c r="DU128" s="15" t="s">
        <v>473</v>
      </c>
      <c r="DV128" s="15" t="s">
        <v>1212</v>
      </c>
      <c r="DW128" s="15" t="s">
        <v>475</v>
      </c>
      <c r="DX128" s="15" t="s">
        <v>558</v>
      </c>
      <c r="EB128" s="15" t="s">
        <v>1576</v>
      </c>
      <c r="EC128" s="15" t="s">
        <v>2116</v>
      </c>
      <c r="ED128" s="15" t="s">
        <v>1213</v>
      </c>
      <c r="EE128" s="15" t="s">
        <v>1994</v>
      </c>
      <c r="EF128" s="15" t="s">
        <v>1807</v>
      </c>
      <c r="EG128" s="15" t="s">
        <v>824</v>
      </c>
      <c r="EH128" s="15" t="s">
        <v>960</v>
      </c>
      <c r="EI128" s="15" t="s">
        <v>504</v>
      </c>
      <c r="EL128" s="15" t="s">
        <v>723</v>
      </c>
      <c r="EM128" s="15" t="s">
        <v>724</v>
      </c>
      <c r="EN128" s="15" t="s">
        <v>2117</v>
      </c>
      <c r="EO128" s="15" t="s">
        <v>2118</v>
      </c>
      <c r="EP128" s="15" t="s">
        <v>735</v>
      </c>
      <c r="EV128" s="15" t="s">
        <v>426</v>
      </c>
      <c r="EY128" s="15" t="s">
        <v>960</v>
      </c>
      <c r="EZ128" s="15" t="s">
        <v>587</v>
      </c>
    </row>
    <row r="129" ht="17.25" customHeight="1">
      <c r="A129" s="15" t="s">
        <v>2121</v>
      </c>
      <c r="B129" s="15" t="str">
        <f>"198394102889"</f>
        <v>198394102889</v>
      </c>
      <c r="C129" s="15" t="s">
        <v>12441</v>
      </c>
      <c r="D129" s="15" t="str">
        <f t="shared" si="1"/>
        <v>Benito SofaSurrey Cocoa</v>
      </c>
      <c r="E129" s="15" t="s">
        <v>2102</v>
      </c>
      <c r="F129" s="15" t="s">
        <v>397</v>
      </c>
      <c r="G129" s="15" t="s">
        <v>2120</v>
      </c>
      <c r="J129" s="15" t="s">
        <v>2120</v>
      </c>
      <c r="K129" s="15" t="s">
        <v>2109</v>
      </c>
      <c r="M129" s="15" t="s">
        <v>2108</v>
      </c>
      <c r="N129" s="15" t="s">
        <v>1732</v>
      </c>
      <c r="P129" s="15" t="str">
        <f t="shared" si="366"/>
        <v>90</v>
      </c>
      <c r="Q129" s="15" t="str">
        <f t="shared" si="367"/>
        <v>40</v>
      </c>
      <c r="R129" s="15" t="str">
        <f t="shared" si="368"/>
        <v>33</v>
      </c>
      <c r="S129" s="15" t="str">
        <f t="shared" si="369"/>
        <v>184.08</v>
      </c>
      <c r="T129" s="15" t="s">
        <v>2123</v>
      </c>
      <c r="U129" s="15" t="s">
        <v>11845</v>
      </c>
      <c r="V129" s="15" t="s">
        <v>11846</v>
      </c>
      <c r="W129" s="15" t="s">
        <v>12428</v>
      </c>
      <c r="AA129" s="15" t="s">
        <v>413</v>
      </c>
      <c r="AB129" s="15" t="s">
        <v>413</v>
      </c>
      <c r="AC129" s="15" t="s">
        <v>2124</v>
      </c>
      <c r="AD129" s="15" t="s">
        <v>12442</v>
      </c>
      <c r="AE129" s="15" t="s">
        <v>2122</v>
      </c>
      <c r="AF129" s="15" t="s">
        <v>12443</v>
      </c>
      <c r="AG129" s="15" t="s">
        <v>12444</v>
      </c>
      <c r="AH129" s="15" t="s">
        <v>12445</v>
      </c>
      <c r="AI129" s="15" t="s">
        <v>12446</v>
      </c>
      <c r="AJ129" s="15" t="s">
        <v>12447</v>
      </c>
      <c r="AK129" s="15" t="s">
        <v>12448</v>
      </c>
      <c r="AL129" s="15" t="s">
        <v>12449</v>
      </c>
      <c r="AM129" s="15" t="s">
        <v>12450</v>
      </c>
      <c r="AN129" s="15" t="s">
        <v>12451</v>
      </c>
      <c r="BH129" s="15" t="s">
        <v>2119</v>
      </c>
      <c r="BI129" s="15" t="str">
        <f t="shared" ref="BI129:BI130" si="376">"2599"</f>
        <v>2599</v>
      </c>
      <c r="BJ129" s="15" t="str">
        <f t="shared" ref="BJ129:BJ130" si="377">"1095"</f>
        <v>1095</v>
      </c>
      <c r="BK129" s="15" t="s">
        <v>415</v>
      </c>
      <c r="BL129" s="15" t="str">
        <f t="shared" si="343"/>
        <v>1</v>
      </c>
      <c r="BM129" s="15" t="s">
        <v>416</v>
      </c>
      <c r="BN129" s="15" t="str">
        <f t="shared" si="370"/>
        <v>91.97</v>
      </c>
      <c r="BO129" s="15" t="str">
        <f t="shared" si="371"/>
        <v>44.09</v>
      </c>
      <c r="BP129" s="15" t="str">
        <f t="shared" si="372"/>
        <v>28.74</v>
      </c>
      <c r="BQ129" s="15" t="str">
        <f t="shared" si="373"/>
        <v>208.33</v>
      </c>
      <c r="CG129" s="15" t="str">
        <f t="shared" si="374"/>
        <v>67.45</v>
      </c>
      <c r="CH129" s="15" t="str">
        <f t="shared" si="375"/>
        <v>1.91</v>
      </c>
      <c r="CI129" s="15" t="s">
        <v>497</v>
      </c>
      <c r="CP129" s="15" t="s">
        <v>1808</v>
      </c>
      <c r="CQ129" s="15" t="s">
        <v>1808</v>
      </c>
      <c r="CR129" s="15" t="s">
        <v>1808</v>
      </c>
      <c r="CS129" s="15" t="s">
        <v>1211</v>
      </c>
      <c r="CT129" s="15" t="s">
        <v>1804</v>
      </c>
      <c r="CU129" s="15" t="s">
        <v>960</v>
      </c>
      <c r="CV129" s="15">
        <v>0.0</v>
      </c>
      <c r="CW129" s="15">
        <v>2.0</v>
      </c>
      <c r="CX129" s="15" t="s">
        <v>717</v>
      </c>
      <c r="CY129" s="15" t="s">
        <v>718</v>
      </c>
      <c r="DF129" s="15" t="s">
        <v>721</v>
      </c>
      <c r="DG129" s="15" t="s">
        <v>419</v>
      </c>
      <c r="DH129" s="15">
        <v>0.0</v>
      </c>
      <c r="DL129" s="15">
        <v>30000.0</v>
      </c>
      <c r="DM129" s="15" t="s">
        <v>990</v>
      </c>
      <c r="DN129" s="15" t="s">
        <v>1016</v>
      </c>
      <c r="DO129" s="15" t="s">
        <v>1701</v>
      </c>
      <c r="DP129" s="15">
        <v>1.0</v>
      </c>
      <c r="DQ129" s="15">
        <v>3.0</v>
      </c>
      <c r="DS129" s="15" t="s">
        <v>2115</v>
      </c>
      <c r="DT129" s="15">
        <v>0.0</v>
      </c>
      <c r="DU129" s="15" t="s">
        <v>473</v>
      </c>
      <c r="DV129" s="15" t="s">
        <v>1212</v>
      </c>
      <c r="DW129" s="15" t="s">
        <v>475</v>
      </c>
      <c r="DX129" s="15" t="s">
        <v>558</v>
      </c>
      <c r="EB129" s="15" t="s">
        <v>1576</v>
      </c>
      <c r="EC129" s="15" t="s">
        <v>2116</v>
      </c>
      <c r="ED129" s="15" t="s">
        <v>1213</v>
      </c>
      <c r="EE129" s="15" t="s">
        <v>1994</v>
      </c>
      <c r="EF129" s="15" t="s">
        <v>1807</v>
      </c>
      <c r="EG129" s="15" t="s">
        <v>824</v>
      </c>
      <c r="EH129" s="15" t="s">
        <v>960</v>
      </c>
      <c r="EI129" s="15" t="s">
        <v>504</v>
      </c>
      <c r="EL129" s="15" t="s">
        <v>723</v>
      </c>
      <c r="EM129" s="15" t="s">
        <v>724</v>
      </c>
      <c r="EN129" s="15" t="s">
        <v>2117</v>
      </c>
      <c r="EO129" s="15" t="s">
        <v>2118</v>
      </c>
      <c r="EP129" s="15" t="s">
        <v>735</v>
      </c>
      <c r="EV129" s="15" t="s">
        <v>426</v>
      </c>
      <c r="EY129" s="15" t="s">
        <v>960</v>
      </c>
      <c r="EZ129" s="15" t="s">
        <v>587</v>
      </c>
    </row>
    <row r="130" ht="17.25" customHeight="1">
      <c r="A130" s="15" t="s">
        <v>2126</v>
      </c>
      <c r="B130" s="15" t="str">
        <f>"801542133313"</f>
        <v>801542133313</v>
      </c>
      <c r="C130" s="15" t="s">
        <v>12452</v>
      </c>
      <c r="D130" s="15" t="str">
        <f t="shared" si="1"/>
        <v>Benito SofaSurrey Olive</v>
      </c>
      <c r="E130" s="15" t="s">
        <v>2102</v>
      </c>
      <c r="F130" s="15" t="s">
        <v>397</v>
      </c>
      <c r="G130" s="15" t="s">
        <v>1612</v>
      </c>
      <c r="J130" s="15" t="s">
        <v>1612</v>
      </c>
      <c r="K130" s="15" t="s">
        <v>2109</v>
      </c>
      <c r="M130" s="15" t="s">
        <v>2108</v>
      </c>
      <c r="N130" s="15" t="s">
        <v>1732</v>
      </c>
      <c r="P130" s="15" t="str">
        <f t="shared" si="366"/>
        <v>90</v>
      </c>
      <c r="Q130" s="15" t="str">
        <f t="shared" si="367"/>
        <v>40</v>
      </c>
      <c r="R130" s="15" t="str">
        <f t="shared" si="368"/>
        <v>33</v>
      </c>
      <c r="S130" s="15" t="str">
        <f t="shared" si="369"/>
        <v>184.08</v>
      </c>
      <c r="T130" s="15" t="s">
        <v>2123</v>
      </c>
      <c r="U130" s="15" t="s">
        <v>11845</v>
      </c>
      <c r="V130" s="15" t="s">
        <v>11846</v>
      </c>
      <c r="W130" s="15" t="s">
        <v>12428</v>
      </c>
      <c r="AA130" s="15" t="s">
        <v>413</v>
      </c>
      <c r="AB130" s="15" t="s">
        <v>413</v>
      </c>
      <c r="AC130" s="15" t="s">
        <v>2124</v>
      </c>
      <c r="AD130" s="15" t="s">
        <v>12453</v>
      </c>
      <c r="AE130" s="15" t="s">
        <v>2127</v>
      </c>
      <c r="AF130" s="15" t="s">
        <v>12454</v>
      </c>
      <c r="AG130" s="15" t="s">
        <v>12455</v>
      </c>
      <c r="AH130" s="15" t="s">
        <v>12456</v>
      </c>
      <c r="AI130" s="15" t="s">
        <v>12457</v>
      </c>
      <c r="AJ130" s="15" t="s">
        <v>12458</v>
      </c>
      <c r="AK130" s="15" t="s">
        <v>12459</v>
      </c>
      <c r="AL130" s="15" t="s">
        <v>12460</v>
      </c>
      <c r="AM130" s="15" t="s">
        <v>12461</v>
      </c>
      <c r="AN130" s="15" t="s">
        <v>12462</v>
      </c>
      <c r="AO130" s="15" t="s">
        <v>12463</v>
      </c>
      <c r="AP130" s="15" t="s">
        <v>12464</v>
      </c>
      <c r="BH130" s="15" t="s">
        <v>2125</v>
      </c>
      <c r="BI130" s="15" t="str">
        <f t="shared" si="376"/>
        <v>2599</v>
      </c>
      <c r="BJ130" s="15" t="str">
        <f t="shared" si="377"/>
        <v>1095</v>
      </c>
      <c r="BK130" s="15" t="s">
        <v>415</v>
      </c>
      <c r="BL130" s="15" t="str">
        <f t="shared" si="343"/>
        <v>1</v>
      </c>
      <c r="BM130" s="15" t="s">
        <v>416</v>
      </c>
      <c r="BN130" s="15" t="str">
        <f t="shared" si="370"/>
        <v>91.97</v>
      </c>
      <c r="BO130" s="15" t="str">
        <f t="shared" si="371"/>
        <v>44.09</v>
      </c>
      <c r="BP130" s="15" t="str">
        <f t="shared" si="372"/>
        <v>28.74</v>
      </c>
      <c r="BQ130" s="15" t="str">
        <f t="shared" si="373"/>
        <v>208.33</v>
      </c>
      <c r="CG130" s="15" t="str">
        <f t="shared" si="374"/>
        <v>67.45</v>
      </c>
      <c r="CH130" s="15" t="str">
        <f t="shared" si="375"/>
        <v>1.91</v>
      </c>
      <c r="CI130" s="15" t="s">
        <v>497</v>
      </c>
      <c r="CP130" s="15" t="s">
        <v>1808</v>
      </c>
      <c r="CQ130" s="15" t="s">
        <v>1808</v>
      </c>
      <c r="CR130" s="15" t="s">
        <v>1808</v>
      </c>
      <c r="CS130" s="15" t="s">
        <v>1211</v>
      </c>
      <c r="CT130" s="15" t="s">
        <v>1804</v>
      </c>
      <c r="CU130" s="15" t="s">
        <v>960</v>
      </c>
      <c r="CV130" s="15">
        <v>0.0</v>
      </c>
      <c r="CW130" s="15">
        <v>2.0</v>
      </c>
      <c r="CX130" s="15" t="s">
        <v>717</v>
      </c>
      <c r="CY130" s="15" t="s">
        <v>718</v>
      </c>
      <c r="DF130" s="15" t="s">
        <v>721</v>
      </c>
      <c r="DG130" s="15" t="s">
        <v>419</v>
      </c>
      <c r="DH130" s="15">
        <v>0.0</v>
      </c>
      <c r="DL130" s="15">
        <v>30000.0</v>
      </c>
      <c r="DM130" s="15" t="s">
        <v>990</v>
      </c>
      <c r="DN130" s="15" t="s">
        <v>1016</v>
      </c>
      <c r="DO130" s="15" t="s">
        <v>1701</v>
      </c>
      <c r="DP130" s="15">
        <v>1.0</v>
      </c>
      <c r="DQ130" s="15">
        <v>3.0</v>
      </c>
      <c r="DS130" s="15" t="s">
        <v>2115</v>
      </c>
      <c r="DT130" s="15">
        <v>0.0</v>
      </c>
      <c r="DU130" s="15" t="s">
        <v>473</v>
      </c>
      <c r="DV130" s="15" t="s">
        <v>1212</v>
      </c>
      <c r="DW130" s="15" t="s">
        <v>475</v>
      </c>
      <c r="DX130" s="15" t="s">
        <v>558</v>
      </c>
      <c r="EB130" s="15" t="s">
        <v>1576</v>
      </c>
      <c r="EC130" s="15" t="s">
        <v>2116</v>
      </c>
      <c r="ED130" s="15" t="s">
        <v>1213</v>
      </c>
      <c r="EE130" s="15" t="s">
        <v>1994</v>
      </c>
      <c r="EF130" s="15" t="s">
        <v>1807</v>
      </c>
      <c r="EG130" s="15" t="s">
        <v>824</v>
      </c>
      <c r="EH130" s="15" t="s">
        <v>960</v>
      </c>
      <c r="EI130" s="15" t="s">
        <v>504</v>
      </c>
      <c r="EL130" s="15" t="s">
        <v>723</v>
      </c>
      <c r="EM130" s="15" t="s">
        <v>724</v>
      </c>
      <c r="EN130" s="15" t="s">
        <v>2117</v>
      </c>
      <c r="EO130" s="15" t="s">
        <v>2118</v>
      </c>
      <c r="EP130" s="15" t="s">
        <v>735</v>
      </c>
      <c r="EV130" s="15" t="s">
        <v>426</v>
      </c>
      <c r="EY130" s="15" t="s">
        <v>960</v>
      </c>
      <c r="EZ130" s="15" t="s">
        <v>587</v>
      </c>
    </row>
    <row r="131" ht="17.25" customHeight="1">
      <c r="A131" s="15" t="s">
        <v>2131</v>
      </c>
      <c r="B131" s="15" t="str">
        <f>"801542991159"</f>
        <v>801542991159</v>
      </c>
      <c r="C131" s="15" t="s">
        <v>12465</v>
      </c>
      <c r="D131" s="15" t="str">
        <f t="shared" si="1"/>
        <v>Bergstrom DeskWarm Natural Oak Veneer</v>
      </c>
      <c r="E131" s="15" t="s">
        <v>2128</v>
      </c>
      <c r="F131" s="15" t="s">
        <v>397</v>
      </c>
      <c r="G131" s="15" t="s">
        <v>2130</v>
      </c>
      <c r="J131" s="15" t="s">
        <v>2130</v>
      </c>
      <c r="M131" s="15" t="s">
        <v>1030</v>
      </c>
      <c r="N131" s="15" t="s">
        <v>2134</v>
      </c>
      <c r="O131" s="15" t="s">
        <v>2135</v>
      </c>
      <c r="P131" s="15" t="str">
        <f>"70"</f>
        <v>70</v>
      </c>
      <c r="Q131" s="15" t="str">
        <f>"30"</f>
        <v>30</v>
      </c>
      <c r="R131" s="15" t="str">
        <f>"31"</f>
        <v>31</v>
      </c>
      <c r="S131" s="15" t="str">
        <f>"180.78"</f>
        <v>180.78</v>
      </c>
      <c r="T131" s="15" t="s">
        <v>1025</v>
      </c>
      <c r="U131" s="15" t="s">
        <v>10881</v>
      </c>
      <c r="V131" s="15" t="s">
        <v>11338</v>
      </c>
      <c r="AA131" s="15" t="s">
        <v>413</v>
      </c>
      <c r="AB131" s="15" t="s">
        <v>413</v>
      </c>
      <c r="AC131" s="15" t="s">
        <v>2136</v>
      </c>
      <c r="AD131" s="15" t="s">
        <v>12466</v>
      </c>
      <c r="AE131" s="15" t="s">
        <v>2133</v>
      </c>
      <c r="AF131" s="15" t="s">
        <v>12467</v>
      </c>
      <c r="AG131" s="15" t="s">
        <v>12468</v>
      </c>
      <c r="AH131" s="15" t="s">
        <v>12469</v>
      </c>
      <c r="AI131" s="15" t="s">
        <v>12470</v>
      </c>
      <c r="AJ131" s="15" t="s">
        <v>12471</v>
      </c>
      <c r="AK131" s="15" t="s">
        <v>12472</v>
      </c>
      <c r="AL131" s="15" t="s">
        <v>12473</v>
      </c>
      <c r="AM131" s="15" t="s">
        <v>12474</v>
      </c>
      <c r="AN131" s="15" t="s">
        <v>12475</v>
      </c>
      <c r="AO131" s="15" t="s">
        <v>12476</v>
      </c>
      <c r="AP131" s="15" t="s">
        <v>12477</v>
      </c>
      <c r="AQ131" s="15" t="s">
        <v>12478</v>
      </c>
      <c r="AR131" s="15" t="s">
        <v>12479</v>
      </c>
      <c r="AS131" s="15" t="s">
        <v>12480</v>
      </c>
      <c r="AT131" s="15" t="s">
        <v>12481</v>
      </c>
      <c r="BH131" s="15" t="s">
        <v>2129</v>
      </c>
      <c r="BI131" s="15" t="str">
        <f t="shared" ref="BI131:BI132" si="378">"2499"</f>
        <v>2499</v>
      </c>
      <c r="BJ131" s="15" t="str">
        <f t="shared" ref="BJ131:BJ132" si="379">"1050"</f>
        <v>1050</v>
      </c>
      <c r="BK131" s="15" t="s">
        <v>742</v>
      </c>
      <c r="BL131" s="15" t="str">
        <f t="shared" si="343"/>
        <v>1</v>
      </c>
      <c r="BM131" s="15" t="s">
        <v>980</v>
      </c>
      <c r="BN131" s="15" t="str">
        <f>"77.76"</f>
        <v>77.76</v>
      </c>
      <c r="BO131" s="15" t="str">
        <f>"18.9"</f>
        <v>18.9</v>
      </c>
      <c r="BP131" s="15" t="str">
        <f>"37.01"</f>
        <v>37.01</v>
      </c>
      <c r="BQ131" s="15" t="str">
        <f>"224.87"</f>
        <v>224.87</v>
      </c>
      <c r="CG131" s="15" t="str">
        <f>"31.47"</f>
        <v>31.47</v>
      </c>
      <c r="CH131" s="15" t="str">
        <f>"0.891"</f>
        <v>0.891</v>
      </c>
      <c r="CI131" s="15" t="s">
        <v>465</v>
      </c>
      <c r="CZ131" s="15" t="s">
        <v>1371</v>
      </c>
      <c r="DA131" s="15">
        <v>4.0</v>
      </c>
      <c r="DB131" s="15" t="s">
        <v>1185</v>
      </c>
      <c r="DD131" s="15">
        <v>0.0</v>
      </c>
      <c r="DF131" s="15" t="s">
        <v>1186</v>
      </c>
      <c r="DG131" s="15" t="s">
        <v>421</v>
      </c>
      <c r="DK131" s="15">
        <v>0.0</v>
      </c>
      <c r="DR131" s="15" t="s">
        <v>2137</v>
      </c>
      <c r="DS131" s="15" t="s">
        <v>2139</v>
      </c>
      <c r="DU131" s="15" t="s">
        <v>500</v>
      </c>
      <c r="EF131" s="15" t="s">
        <v>2140</v>
      </c>
      <c r="EG131" s="15" t="s">
        <v>2141</v>
      </c>
      <c r="EH131" s="15" t="s">
        <v>2142</v>
      </c>
      <c r="ET131" s="15" t="s">
        <v>784</v>
      </c>
      <c r="EU131" s="15" t="s">
        <v>426</v>
      </c>
      <c r="EV131" s="15">
        <v>0.0</v>
      </c>
      <c r="FE131" s="15" t="s">
        <v>2140</v>
      </c>
      <c r="FQ131" s="15">
        <v>0.0</v>
      </c>
      <c r="FR131" s="15" t="s">
        <v>427</v>
      </c>
      <c r="FX131" s="15" t="s">
        <v>426</v>
      </c>
      <c r="FZ131" s="15" t="s">
        <v>2143</v>
      </c>
      <c r="GB131" s="15" t="s">
        <v>2144</v>
      </c>
      <c r="GD131" s="15" t="s">
        <v>2145</v>
      </c>
      <c r="GF131" s="15" t="s">
        <v>838</v>
      </c>
      <c r="GH131" s="15" t="s">
        <v>1190</v>
      </c>
      <c r="GI131" s="15" t="s">
        <v>426</v>
      </c>
      <c r="GM131" s="15">
        <v>0.0</v>
      </c>
    </row>
    <row r="132" ht="17.25" customHeight="1">
      <c r="A132" s="15" t="s">
        <v>2148</v>
      </c>
      <c r="B132" s="15" t="str">
        <f>"801542988296"</f>
        <v>801542988296</v>
      </c>
      <c r="C132" s="15" t="s">
        <v>12482</v>
      </c>
      <c r="D132" s="15" t="str">
        <f t="shared" si="1"/>
        <v>Bergstrom Media ConsoleWarm Natural Oak Veneer</v>
      </c>
      <c r="E132" s="15" t="s">
        <v>2146</v>
      </c>
      <c r="F132" s="15" t="s">
        <v>397</v>
      </c>
      <c r="G132" s="15" t="s">
        <v>2130</v>
      </c>
      <c r="J132" s="15" t="s">
        <v>2130</v>
      </c>
      <c r="M132" s="15" t="s">
        <v>1030</v>
      </c>
      <c r="N132" s="15" t="s">
        <v>602</v>
      </c>
      <c r="P132" s="15" t="str">
        <f>"84"</f>
        <v>84</v>
      </c>
      <c r="Q132" s="15" t="str">
        <f t="shared" ref="Q132:Q133" si="380">"18"</f>
        <v>18</v>
      </c>
      <c r="R132" s="15" t="str">
        <f>"28"</f>
        <v>28</v>
      </c>
      <c r="S132" s="15" t="str">
        <f>"213.85"</f>
        <v>213.85</v>
      </c>
      <c r="T132" s="15" t="s">
        <v>1025</v>
      </c>
      <c r="U132" s="15" t="s">
        <v>10881</v>
      </c>
      <c r="V132" s="15" t="s">
        <v>11338</v>
      </c>
      <c r="AA132" s="15" t="s">
        <v>413</v>
      </c>
      <c r="AB132" s="15" t="s">
        <v>413</v>
      </c>
      <c r="AC132" s="15" t="s">
        <v>2153</v>
      </c>
      <c r="AD132" s="15" t="s">
        <v>12483</v>
      </c>
      <c r="AE132" s="15" t="s">
        <v>2150</v>
      </c>
      <c r="AF132" s="15" t="s">
        <v>12484</v>
      </c>
      <c r="AG132" s="15" t="s">
        <v>12485</v>
      </c>
      <c r="AH132" s="15" t="s">
        <v>12486</v>
      </c>
      <c r="AI132" s="15" t="s">
        <v>12487</v>
      </c>
      <c r="AJ132" s="15" t="s">
        <v>12488</v>
      </c>
      <c r="AK132" s="15" t="s">
        <v>12489</v>
      </c>
      <c r="AL132" s="15" t="s">
        <v>12490</v>
      </c>
      <c r="AM132" s="15" t="s">
        <v>12491</v>
      </c>
      <c r="AN132" s="15" t="s">
        <v>12492</v>
      </c>
      <c r="AO132" s="15" t="s">
        <v>12493</v>
      </c>
      <c r="AP132" s="15" t="s">
        <v>12494</v>
      </c>
      <c r="AQ132" s="15" t="s">
        <v>12495</v>
      </c>
      <c r="AR132" s="15" t="s">
        <v>12496</v>
      </c>
      <c r="AS132" s="15" t="s">
        <v>12497</v>
      </c>
      <c r="AT132" s="15" t="s">
        <v>12498</v>
      </c>
      <c r="BH132" s="15" t="s">
        <v>2147</v>
      </c>
      <c r="BI132" s="15" t="str">
        <f t="shared" si="378"/>
        <v>2499</v>
      </c>
      <c r="BJ132" s="15" t="str">
        <f t="shared" si="379"/>
        <v>1050</v>
      </c>
      <c r="BK132" s="15" t="s">
        <v>742</v>
      </c>
      <c r="BL132" s="15" t="str">
        <f t="shared" si="343"/>
        <v>1</v>
      </c>
      <c r="BM132" s="15" t="s">
        <v>980</v>
      </c>
      <c r="BN132" s="15" t="str">
        <f>"89.17"</f>
        <v>89.17</v>
      </c>
      <c r="BO132" s="15" t="str">
        <f>"23.03"</f>
        <v>23.03</v>
      </c>
      <c r="BP132" s="15" t="str">
        <f>"24.21"</f>
        <v>24.21</v>
      </c>
      <c r="BQ132" s="15" t="str">
        <f>"255.74"</f>
        <v>255.74</v>
      </c>
      <c r="CG132" s="15" t="str">
        <f>"28.78"</f>
        <v>28.78</v>
      </c>
      <c r="CH132" s="15" t="str">
        <f>"0.815"</f>
        <v>0.815</v>
      </c>
      <c r="CI132" s="15" t="s">
        <v>465</v>
      </c>
      <c r="CM132" s="15" t="s">
        <v>2156</v>
      </c>
      <c r="CN132" s="15" t="s">
        <v>1430</v>
      </c>
      <c r="CO132" s="15" t="s">
        <v>2157</v>
      </c>
      <c r="CZ132" s="15" t="s">
        <v>1371</v>
      </c>
      <c r="DA132" s="15">
        <v>8.0</v>
      </c>
      <c r="DB132" s="15" t="s">
        <v>1185</v>
      </c>
      <c r="DD132" s="15">
        <v>0.0</v>
      </c>
      <c r="DF132" s="15" t="s">
        <v>1186</v>
      </c>
      <c r="DG132" s="15" t="s">
        <v>610</v>
      </c>
      <c r="DI132" s="15">
        <v>18.14</v>
      </c>
      <c r="DJ132" s="15">
        <v>40.0</v>
      </c>
      <c r="DK132" s="15">
        <v>1.0</v>
      </c>
      <c r="DS132" s="15" t="s">
        <v>2139</v>
      </c>
      <c r="EF132" s="15" t="s">
        <v>2158</v>
      </c>
      <c r="EU132" s="15" t="s">
        <v>426</v>
      </c>
      <c r="EV132" s="15">
        <v>1.0</v>
      </c>
      <c r="FH132" s="15" t="s">
        <v>2159</v>
      </c>
      <c r="FI132" s="15" t="s">
        <v>2046</v>
      </c>
      <c r="FJ132" s="15" t="s">
        <v>2160</v>
      </c>
      <c r="FK132" s="15" t="s">
        <v>2156</v>
      </c>
      <c r="FL132" s="15" t="s">
        <v>612</v>
      </c>
      <c r="FM132" s="15" t="s">
        <v>2157</v>
      </c>
      <c r="FO132" s="15" t="s">
        <v>426</v>
      </c>
      <c r="FP132" s="15" t="s">
        <v>1044</v>
      </c>
      <c r="FQ132" s="15">
        <v>2.0</v>
      </c>
      <c r="FR132" s="15" t="s">
        <v>614</v>
      </c>
      <c r="FS132" s="15" t="s">
        <v>1045</v>
      </c>
      <c r="FU132" s="15" t="s">
        <v>426</v>
      </c>
      <c r="FX132" s="15" t="s">
        <v>426</v>
      </c>
      <c r="FZ132" s="15" t="s">
        <v>2161</v>
      </c>
      <c r="GA132" s="15" t="s">
        <v>2161</v>
      </c>
      <c r="GB132" s="15" t="s">
        <v>2162</v>
      </c>
      <c r="GC132" s="15" t="s">
        <v>2163</v>
      </c>
      <c r="GD132" s="15" t="s">
        <v>2164</v>
      </c>
      <c r="GE132" s="15" t="s">
        <v>2165</v>
      </c>
      <c r="GF132" s="15" t="s">
        <v>838</v>
      </c>
      <c r="GH132" s="15" t="s">
        <v>1190</v>
      </c>
      <c r="GI132" s="15" t="s">
        <v>426</v>
      </c>
      <c r="GM132" s="15">
        <v>0.0</v>
      </c>
      <c r="HF132" s="15" t="s">
        <v>1957</v>
      </c>
      <c r="HQ132" s="15" t="s">
        <v>426</v>
      </c>
    </row>
    <row r="133" ht="17.25" customHeight="1">
      <c r="A133" s="15" t="s">
        <v>2168</v>
      </c>
      <c r="B133" s="15" t="str">
        <f>"801542988302"</f>
        <v>801542988302</v>
      </c>
      <c r="C133" s="15" t="s">
        <v>12499</v>
      </c>
      <c r="D133" s="15" t="str">
        <f t="shared" si="1"/>
        <v>Bergstrom Secretary DeskWarm Natural Oak Veneer</v>
      </c>
      <c r="E133" s="15" t="s">
        <v>2166</v>
      </c>
      <c r="F133" s="15" t="s">
        <v>397</v>
      </c>
      <c r="G133" s="15" t="s">
        <v>2130</v>
      </c>
      <c r="J133" s="15" t="s">
        <v>2130</v>
      </c>
      <c r="M133" s="15" t="s">
        <v>1030</v>
      </c>
      <c r="N133" s="15" t="s">
        <v>2134</v>
      </c>
      <c r="O133" s="15" t="s">
        <v>2171</v>
      </c>
      <c r="P133" s="15" t="str">
        <f>"35"</f>
        <v>35</v>
      </c>
      <c r="Q133" s="15" t="str">
        <f t="shared" si="380"/>
        <v>18</v>
      </c>
      <c r="R133" s="15" t="str">
        <f>"48"</f>
        <v>48</v>
      </c>
      <c r="S133" s="15" t="str">
        <f>"120.15"</f>
        <v>120.15</v>
      </c>
      <c r="T133" s="15" t="s">
        <v>1025</v>
      </c>
      <c r="U133" s="15" t="s">
        <v>10881</v>
      </c>
      <c r="V133" s="15" t="s">
        <v>11338</v>
      </c>
      <c r="AA133" s="15" t="s">
        <v>413</v>
      </c>
      <c r="AB133" s="15" t="s">
        <v>413</v>
      </c>
      <c r="AC133" s="15" t="s">
        <v>2172</v>
      </c>
      <c r="AD133" s="15" t="s">
        <v>12500</v>
      </c>
      <c r="AE133" s="15" t="s">
        <v>2170</v>
      </c>
      <c r="AF133" s="15" t="s">
        <v>12501</v>
      </c>
      <c r="AG133" s="15" t="s">
        <v>12502</v>
      </c>
      <c r="AH133" s="15" t="s">
        <v>12503</v>
      </c>
      <c r="AI133" s="15" t="s">
        <v>12504</v>
      </c>
      <c r="AJ133" s="15" t="s">
        <v>12505</v>
      </c>
      <c r="AK133" s="15" t="s">
        <v>12506</v>
      </c>
      <c r="AL133" s="15" t="s">
        <v>12507</v>
      </c>
      <c r="AM133" s="15" t="s">
        <v>12508</v>
      </c>
      <c r="AN133" s="15" t="s">
        <v>12509</v>
      </c>
      <c r="AO133" s="15" t="s">
        <v>12510</v>
      </c>
      <c r="AP133" s="15" t="s">
        <v>12511</v>
      </c>
      <c r="AQ133" s="15" t="s">
        <v>12512</v>
      </c>
      <c r="AR133" s="15" t="s">
        <v>12513</v>
      </c>
      <c r="AS133" s="15" t="s">
        <v>12514</v>
      </c>
      <c r="AT133" s="15" t="s">
        <v>12515</v>
      </c>
      <c r="BH133" s="15" t="s">
        <v>2167</v>
      </c>
      <c r="BI133" s="15" t="str">
        <f>"1799"</f>
        <v>1799</v>
      </c>
      <c r="BJ133" s="15" t="str">
        <f>"760"</f>
        <v>760</v>
      </c>
      <c r="BK133" s="15" t="s">
        <v>742</v>
      </c>
      <c r="BL133" s="15" t="str">
        <f>"2"</f>
        <v>2</v>
      </c>
      <c r="BM133" s="15" t="s">
        <v>2173</v>
      </c>
      <c r="BN133" s="15" t="str">
        <f>"39.37"</f>
        <v>39.37</v>
      </c>
      <c r="BO133" s="15" t="str">
        <f>"22.83"</f>
        <v>22.83</v>
      </c>
      <c r="BP133" s="15" t="str">
        <f>"32.09"</f>
        <v>32.09</v>
      </c>
      <c r="BQ133" s="15" t="str">
        <f>"132.28"</f>
        <v>132.28</v>
      </c>
      <c r="BR133" s="15" t="s">
        <v>2176</v>
      </c>
      <c r="BS133" s="15" t="str">
        <f>"40.16"</f>
        <v>40.16</v>
      </c>
      <c r="BT133" s="15" t="str">
        <f>"23.03"</f>
        <v>23.03</v>
      </c>
      <c r="BU133" s="15" t="str">
        <f>"28.35"</f>
        <v>28.35</v>
      </c>
      <c r="BV133" s="15" t="str">
        <f>"42.99"</f>
        <v>42.99</v>
      </c>
      <c r="CG133" s="15" t="str">
        <f>"31.89"</f>
        <v>31.89</v>
      </c>
      <c r="CH133" s="15" t="str">
        <f>"0.903"</f>
        <v>0.903</v>
      </c>
      <c r="CI133" s="15" t="s">
        <v>417</v>
      </c>
      <c r="CM133" s="15" t="s">
        <v>2178</v>
      </c>
      <c r="CN133" s="15" t="s">
        <v>2179</v>
      </c>
      <c r="CO133" s="15" t="s">
        <v>2180</v>
      </c>
      <c r="CZ133" s="15" t="s">
        <v>1371</v>
      </c>
      <c r="DA133" s="15">
        <v>4.0</v>
      </c>
      <c r="DB133" s="15" t="s">
        <v>1185</v>
      </c>
      <c r="DD133" s="15">
        <v>0.0</v>
      </c>
      <c r="DF133" s="15" t="s">
        <v>1186</v>
      </c>
      <c r="DG133" s="15" t="s">
        <v>610</v>
      </c>
      <c r="DK133" s="15">
        <v>0.0</v>
      </c>
      <c r="DR133" s="15" t="s">
        <v>2181</v>
      </c>
      <c r="DS133" s="15" t="s">
        <v>2139</v>
      </c>
      <c r="DU133" s="15" t="s">
        <v>500</v>
      </c>
      <c r="EF133" s="15" t="s">
        <v>429</v>
      </c>
      <c r="EG133" s="15" t="s">
        <v>2183</v>
      </c>
      <c r="EH133" s="15" t="s">
        <v>2184</v>
      </c>
      <c r="ET133" s="15" t="s">
        <v>1042</v>
      </c>
      <c r="EU133" s="15" t="s">
        <v>426</v>
      </c>
      <c r="EV133" s="15">
        <v>1.0</v>
      </c>
      <c r="FO133" s="15" t="s">
        <v>426</v>
      </c>
      <c r="FQ133" s="15">
        <v>1.0</v>
      </c>
      <c r="FR133" s="15" t="s">
        <v>614</v>
      </c>
      <c r="FS133" s="15" t="s">
        <v>1045</v>
      </c>
      <c r="FX133" s="15" t="s">
        <v>426</v>
      </c>
      <c r="FZ133" s="15" t="s">
        <v>2161</v>
      </c>
      <c r="GB133" s="15" t="s">
        <v>1607</v>
      </c>
      <c r="GD133" s="15" t="s">
        <v>2185</v>
      </c>
      <c r="GF133" s="15" t="s">
        <v>838</v>
      </c>
      <c r="GH133" s="15" t="s">
        <v>1190</v>
      </c>
      <c r="GI133" s="15" t="s">
        <v>426</v>
      </c>
      <c r="GM133" s="15">
        <v>0.0</v>
      </c>
    </row>
    <row r="134" ht="17.25" customHeight="1">
      <c r="A134" s="15" t="s">
        <v>2189</v>
      </c>
      <c r="B134" s="15" t="str">
        <f>"198394057707"</f>
        <v>198394057707</v>
      </c>
      <c r="C134" s="15" t="s">
        <v>12516</v>
      </c>
      <c r="D134" s="15" t="str">
        <f t="shared" si="1"/>
        <v>Bethan ChairAntwerp Taupe</v>
      </c>
      <c r="E134" s="15" t="s">
        <v>2186</v>
      </c>
      <c r="F134" s="15" t="s">
        <v>397</v>
      </c>
      <c r="G134" s="15" t="s">
        <v>2188</v>
      </c>
      <c r="J134" s="15" t="s">
        <v>2188</v>
      </c>
      <c r="K134" s="15" t="s">
        <v>2194</v>
      </c>
      <c r="L134" s="15" t="s">
        <v>2195</v>
      </c>
      <c r="M134" s="15" t="s">
        <v>2193</v>
      </c>
      <c r="N134" s="15" t="s">
        <v>706</v>
      </c>
      <c r="O134" s="15" t="s">
        <v>707</v>
      </c>
      <c r="P134" s="15" t="str">
        <f>"28.5"</f>
        <v>28.5</v>
      </c>
      <c r="Q134" s="15" t="str">
        <f>"30"</f>
        <v>30</v>
      </c>
      <c r="R134" s="15" t="str">
        <f>"31"</f>
        <v>31</v>
      </c>
      <c r="S134" s="15" t="str">
        <f>"39.24"</f>
        <v>39.24</v>
      </c>
      <c r="T134" s="15" t="s">
        <v>2192</v>
      </c>
      <c r="U134" s="15" t="s">
        <v>12517</v>
      </c>
      <c r="V134" s="15" t="s">
        <v>12518</v>
      </c>
      <c r="W134" s="15" t="s">
        <v>12519</v>
      </c>
      <c r="X134" s="15" t="s">
        <v>11138</v>
      </c>
      <c r="Y134" s="15" t="s">
        <v>12520</v>
      </c>
      <c r="AA134" s="15" t="s">
        <v>413</v>
      </c>
      <c r="AB134" s="15" t="s">
        <v>426</v>
      </c>
      <c r="AC134" s="15" t="s">
        <v>2196</v>
      </c>
      <c r="AD134" s="15" t="s">
        <v>12521</v>
      </c>
      <c r="AE134" s="15" t="s">
        <v>2191</v>
      </c>
      <c r="AF134" s="15" t="s">
        <v>12522</v>
      </c>
      <c r="AG134" s="15" t="s">
        <v>12523</v>
      </c>
      <c r="AH134" s="15" t="s">
        <v>12524</v>
      </c>
      <c r="AI134" s="15" t="s">
        <v>12525</v>
      </c>
      <c r="AJ134" s="15" t="s">
        <v>12526</v>
      </c>
      <c r="AK134" s="15" t="s">
        <v>12527</v>
      </c>
      <c r="AL134" s="15" t="s">
        <v>12528</v>
      </c>
      <c r="AM134" s="15" t="s">
        <v>12529</v>
      </c>
      <c r="AN134" s="15" t="s">
        <v>12530</v>
      </c>
      <c r="AO134" s="15" t="s">
        <v>12531</v>
      </c>
      <c r="AP134" s="15" t="s">
        <v>12532</v>
      </c>
      <c r="BH134" s="15" t="s">
        <v>2187</v>
      </c>
      <c r="BI134" s="15" t="str">
        <f>"1149"</f>
        <v>1149</v>
      </c>
      <c r="BJ134" s="15" t="str">
        <f>"485"</f>
        <v>485</v>
      </c>
      <c r="BK134" s="15" t="s">
        <v>709</v>
      </c>
      <c r="BL134" s="15" t="str">
        <f t="shared" ref="BL134:BL135" si="382">"1"</f>
        <v>1</v>
      </c>
      <c r="BM134" s="15" t="s">
        <v>416</v>
      </c>
      <c r="BN134" s="15" t="str">
        <f>"32.68"</f>
        <v>32.68</v>
      </c>
      <c r="BO134" s="15" t="str">
        <f>"31.1"</f>
        <v>31.1</v>
      </c>
      <c r="BP134" s="15" t="str">
        <f>"32.28"</f>
        <v>32.28</v>
      </c>
      <c r="BQ134" s="15" t="str">
        <f>"58.42"</f>
        <v>58.42</v>
      </c>
      <c r="CG134" s="15" t="str">
        <f>"19"</f>
        <v>19</v>
      </c>
      <c r="CH134" s="15" t="str">
        <f>"0.538"</f>
        <v>0.538</v>
      </c>
      <c r="CI134" s="15" t="s">
        <v>465</v>
      </c>
      <c r="CP134" s="15" t="s">
        <v>525</v>
      </c>
      <c r="CQ134" s="15" t="s">
        <v>429</v>
      </c>
      <c r="CR134" s="15" t="s">
        <v>525</v>
      </c>
      <c r="CS134" s="15" t="s">
        <v>2198</v>
      </c>
      <c r="CT134" s="15" t="s">
        <v>1804</v>
      </c>
      <c r="CV134" s="15">
        <v>0.0</v>
      </c>
      <c r="CW134" s="15">
        <v>1.0</v>
      </c>
      <c r="CX134" s="15" t="s">
        <v>717</v>
      </c>
      <c r="CY134" s="15" t="s">
        <v>855</v>
      </c>
      <c r="DC134" s="15" t="s">
        <v>2199</v>
      </c>
      <c r="DF134" s="15" t="s">
        <v>1111</v>
      </c>
      <c r="DG134" s="15" t="s">
        <v>419</v>
      </c>
      <c r="DH134" s="15">
        <v>0.0</v>
      </c>
      <c r="DL134" s="15">
        <v>25000.0</v>
      </c>
      <c r="DM134" s="15" t="s">
        <v>470</v>
      </c>
      <c r="DN134" s="15" t="s">
        <v>723</v>
      </c>
      <c r="DO134" s="15" t="s">
        <v>2200</v>
      </c>
      <c r="DP134" s="15">
        <v>1.0</v>
      </c>
      <c r="DQ134" s="15">
        <v>1.0</v>
      </c>
      <c r="DS134" s="15" t="s">
        <v>2201</v>
      </c>
      <c r="DT134" s="15">
        <v>0.0</v>
      </c>
      <c r="DU134" s="15" t="s">
        <v>726</v>
      </c>
      <c r="DV134" s="15" t="s">
        <v>1211</v>
      </c>
      <c r="DW134" s="15" t="s">
        <v>762</v>
      </c>
      <c r="DX134" s="15" t="s">
        <v>2202</v>
      </c>
      <c r="EB134" s="15" t="s">
        <v>477</v>
      </c>
      <c r="EC134" s="15" t="s">
        <v>1069</v>
      </c>
      <c r="ED134" s="15" t="s">
        <v>504</v>
      </c>
      <c r="EE134" s="15" t="s">
        <v>1331</v>
      </c>
      <c r="EF134" s="15" t="s">
        <v>635</v>
      </c>
      <c r="EG134" s="15" t="s">
        <v>1283</v>
      </c>
      <c r="EH134" s="15" t="s">
        <v>1998</v>
      </c>
      <c r="EI134" s="15" t="s">
        <v>1996</v>
      </c>
      <c r="EL134" s="15" t="s">
        <v>723</v>
      </c>
      <c r="EM134" s="15" t="s">
        <v>724</v>
      </c>
      <c r="EN134" s="15" t="s">
        <v>2203</v>
      </c>
      <c r="EX134" s="15" t="s">
        <v>1998</v>
      </c>
      <c r="EY134" s="15" t="s">
        <v>525</v>
      </c>
      <c r="EZ134" s="15">
        <v>0.0</v>
      </c>
      <c r="FA134" s="15">
        <v>0.0</v>
      </c>
      <c r="FC134" s="15">
        <v>0.0</v>
      </c>
      <c r="HU134" s="15" t="s">
        <v>1215</v>
      </c>
    </row>
    <row r="135" ht="17.25" customHeight="1">
      <c r="A135" s="15" t="s">
        <v>2207</v>
      </c>
      <c r="B135" s="15" t="str">
        <f>"801542723316"</f>
        <v>801542723316</v>
      </c>
      <c r="C135" s="15" t="s">
        <v>12533</v>
      </c>
      <c r="D135" s="15" t="str">
        <f t="shared" si="1"/>
        <v>Bevin End TableDark Petrified Wood</v>
      </c>
      <c r="E135" s="15" t="s">
        <v>2204</v>
      </c>
      <c r="F135" s="15" t="s">
        <v>397</v>
      </c>
      <c r="G135" s="15" t="s">
        <v>2206</v>
      </c>
      <c r="J135" s="15" t="s">
        <v>2206</v>
      </c>
      <c r="K135" s="15" t="s">
        <v>2216</v>
      </c>
      <c r="M135" s="15" t="s">
        <v>2215</v>
      </c>
      <c r="N135" s="15" t="s">
        <v>1154</v>
      </c>
      <c r="P135" s="15" t="str">
        <f t="shared" ref="P135:Q135" si="381">"8.25"</f>
        <v>8.25</v>
      </c>
      <c r="Q135" s="15" t="str">
        <f t="shared" si="381"/>
        <v>8.25</v>
      </c>
      <c r="R135" s="15" t="str">
        <f>"25"</f>
        <v>25</v>
      </c>
      <c r="S135" s="15" t="str">
        <f>"26.46"</f>
        <v>26.46</v>
      </c>
      <c r="T135" s="15" t="s">
        <v>2210</v>
      </c>
      <c r="U135" s="15" t="s">
        <v>12534</v>
      </c>
      <c r="V135" s="15" t="s">
        <v>12535</v>
      </c>
      <c r="AA135" s="15" t="s">
        <v>413</v>
      </c>
      <c r="AB135" s="15" t="s">
        <v>413</v>
      </c>
      <c r="AC135" s="15" t="s">
        <v>2217</v>
      </c>
      <c r="AD135" s="15" t="s">
        <v>12536</v>
      </c>
      <c r="AE135" s="15" t="s">
        <v>2209</v>
      </c>
      <c r="AF135" s="15" t="s">
        <v>12537</v>
      </c>
      <c r="AG135" s="15" t="s">
        <v>12538</v>
      </c>
      <c r="AH135" s="15" t="s">
        <v>12539</v>
      </c>
      <c r="AI135" s="15" t="s">
        <v>12540</v>
      </c>
      <c r="AJ135" s="15" t="s">
        <v>12541</v>
      </c>
      <c r="AK135" s="15" t="s">
        <v>12542</v>
      </c>
      <c r="AL135" s="15" t="s">
        <v>12543</v>
      </c>
      <c r="AM135" s="15" t="s">
        <v>12544</v>
      </c>
      <c r="AN135" s="15" t="s">
        <v>12545</v>
      </c>
      <c r="BH135" s="15" t="s">
        <v>2205</v>
      </c>
      <c r="BI135" s="15" t="str">
        <f>"399"</f>
        <v>399</v>
      </c>
      <c r="BJ135" s="15" t="str">
        <f>"170"</f>
        <v>170</v>
      </c>
      <c r="BK135" s="15" t="s">
        <v>1181</v>
      </c>
      <c r="BL135" s="15" t="str">
        <f t="shared" si="382"/>
        <v>1</v>
      </c>
      <c r="BM135" s="15" t="s">
        <v>416</v>
      </c>
      <c r="BN135" s="15" t="str">
        <f t="shared" ref="BN135:BO135" si="383">"11.81"</f>
        <v>11.81</v>
      </c>
      <c r="BO135" s="15" t="str">
        <f t="shared" si="383"/>
        <v>11.81</v>
      </c>
      <c r="BP135" s="15" t="str">
        <f>"29.92"</f>
        <v>29.92</v>
      </c>
      <c r="BQ135" s="15" t="str">
        <f>"30.86"</f>
        <v>30.86</v>
      </c>
      <c r="CG135" s="15" t="str">
        <f>"2.4"</f>
        <v>2.4</v>
      </c>
      <c r="CH135" s="15" t="str">
        <f>"0.068"</f>
        <v>0.068</v>
      </c>
      <c r="CI135" s="15" t="s">
        <v>497</v>
      </c>
      <c r="CZ135" s="15" t="s">
        <v>419</v>
      </c>
      <c r="DA135" s="15">
        <v>0.0</v>
      </c>
      <c r="DB135" s="15" t="s">
        <v>419</v>
      </c>
      <c r="DD135" s="15">
        <v>0.0</v>
      </c>
      <c r="DG135" s="15" t="s">
        <v>419</v>
      </c>
      <c r="DK135" s="15">
        <v>0.0</v>
      </c>
      <c r="DR135" s="15" t="s">
        <v>1157</v>
      </c>
      <c r="DS135" s="15" t="s">
        <v>2219</v>
      </c>
      <c r="DU135" s="15" t="s">
        <v>500</v>
      </c>
      <c r="EF135" s="15" t="s">
        <v>2220</v>
      </c>
      <c r="EQ135" s="15" t="s">
        <v>2221</v>
      </c>
      <c r="ER135" s="15" t="s">
        <v>714</v>
      </c>
      <c r="ES135" s="15" t="s">
        <v>2221</v>
      </c>
      <c r="ET135" s="15" t="s">
        <v>1607</v>
      </c>
      <c r="EV135" s="15">
        <v>0.0</v>
      </c>
      <c r="EW135" s="15">
        <v>0.0</v>
      </c>
      <c r="FF135" s="15" t="s">
        <v>787</v>
      </c>
    </row>
    <row r="136" ht="17.25" customHeight="1">
      <c r="A136" s="15" t="s">
        <v>2225</v>
      </c>
      <c r="B136" s="15" t="str">
        <f>"801542689865"</f>
        <v>801542689865</v>
      </c>
      <c r="C136" s="15" t="s">
        <v>12546</v>
      </c>
      <c r="D136" s="15" t="str">
        <f t="shared" si="1"/>
        <v>Bibianna Dining TableBlush Marble</v>
      </c>
      <c r="E136" s="15" t="s">
        <v>2222</v>
      </c>
      <c r="F136" s="15" t="s">
        <v>397</v>
      </c>
      <c r="G136" s="15" t="s">
        <v>2224</v>
      </c>
      <c r="J136" s="15" t="s">
        <v>2232</v>
      </c>
      <c r="K136" s="15" t="s">
        <v>2224</v>
      </c>
      <c r="M136" s="15" t="s">
        <v>2231</v>
      </c>
      <c r="N136" s="15" t="s">
        <v>548</v>
      </c>
      <c r="O136" s="15" t="s">
        <v>549</v>
      </c>
      <c r="P136" s="15" t="str">
        <f t="shared" ref="P136:Q136" si="384">"60"</f>
        <v>60</v>
      </c>
      <c r="Q136" s="15" t="str">
        <f t="shared" si="384"/>
        <v>60</v>
      </c>
      <c r="R136" s="15" t="str">
        <f t="shared" ref="R136:R138" si="387">"30.5"</f>
        <v>30.5</v>
      </c>
      <c r="S136" s="15" t="str">
        <f t="shared" ref="S136:S138" si="388">"285.81"</f>
        <v>285.81</v>
      </c>
      <c r="T136" s="15" t="s">
        <v>2228</v>
      </c>
      <c r="U136" s="15" t="s">
        <v>11210</v>
      </c>
      <c r="V136" s="15" t="s">
        <v>11754</v>
      </c>
      <c r="AA136" s="15" t="s">
        <v>413</v>
      </c>
      <c r="AB136" s="15" t="s">
        <v>413</v>
      </c>
      <c r="AC136" s="15" t="s">
        <v>2233</v>
      </c>
      <c r="AD136" s="15" t="s">
        <v>12547</v>
      </c>
      <c r="AE136" s="15" t="s">
        <v>2227</v>
      </c>
      <c r="AF136" s="15" t="s">
        <v>12548</v>
      </c>
      <c r="AG136" s="15" t="s">
        <v>12549</v>
      </c>
      <c r="AH136" s="15" t="s">
        <v>12550</v>
      </c>
      <c r="AI136" s="15" t="s">
        <v>12551</v>
      </c>
      <c r="AJ136" s="15" t="s">
        <v>12552</v>
      </c>
      <c r="AK136" s="15" t="s">
        <v>12553</v>
      </c>
      <c r="AL136" s="15" t="s">
        <v>12554</v>
      </c>
      <c r="AM136" s="15" t="s">
        <v>12555</v>
      </c>
      <c r="AN136" s="15" t="s">
        <v>12556</v>
      </c>
      <c r="AO136" s="15" t="s">
        <v>12557</v>
      </c>
      <c r="AP136" s="15" t="s">
        <v>12558</v>
      </c>
      <c r="AQ136" s="15" t="s">
        <v>12559</v>
      </c>
      <c r="AR136" s="15" t="s">
        <v>12560</v>
      </c>
      <c r="BH136" s="15" t="s">
        <v>2223</v>
      </c>
      <c r="BI136" s="15" t="str">
        <f t="shared" ref="BI136:BI138" si="389">"2299"</f>
        <v>2299</v>
      </c>
      <c r="BJ136" s="15" t="str">
        <f t="shared" ref="BJ136:BJ138" si="390">"970"</f>
        <v>970</v>
      </c>
      <c r="BK136" s="15" t="s">
        <v>1303</v>
      </c>
      <c r="BL136" s="15" t="str">
        <f t="shared" ref="BL136:BL138" si="391">"3"</f>
        <v>3</v>
      </c>
      <c r="BM136" s="15" t="s">
        <v>1564</v>
      </c>
      <c r="BN136" s="15" t="str">
        <f t="shared" ref="BN136:BN138" si="392">"63.5"</f>
        <v>63.5</v>
      </c>
      <c r="BO136" s="15" t="str">
        <f t="shared" ref="BO136:BO138" si="393">"64"</f>
        <v>64</v>
      </c>
      <c r="BP136" s="15" t="str">
        <f t="shared" ref="BP136:BP138" si="394">"5"</f>
        <v>5</v>
      </c>
      <c r="BQ136" s="15" t="str">
        <f t="shared" ref="BQ136:BQ137" si="395">"135.36"</f>
        <v>135.36</v>
      </c>
      <c r="BR136" s="15" t="s">
        <v>2238</v>
      </c>
      <c r="BS136" s="15" t="str">
        <f t="shared" ref="BS136:BS138" si="396">"34"</f>
        <v>34</v>
      </c>
      <c r="BT136" s="15" t="str">
        <f t="shared" ref="BT136:BT138" si="397">"35.25"</f>
        <v>35.25</v>
      </c>
      <c r="BU136" s="15" t="str">
        <f t="shared" ref="BU136:BU138" si="398">"34.5"</f>
        <v>34.5</v>
      </c>
      <c r="BV136" s="15" t="str">
        <f t="shared" ref="BV136:BV138" si="399">"134.48"</f>
        <v>134.48</v>
      </c>
      <c r="BW136" s="15" t="s">
        <v>2240</v>
      </c>
      <c r="BX136" s="15" t="str">
        <f t="shared" ref="BX136:BY136" si="385">"17.25"</f>
        <v>17.25</v>
      </c>
      <c r="BY136" s="15" t="str">
        <f t="shared" si="385"/>
        <v>17.25</v>
      </c>
      <c r="BZ136" s="15" t="str">
        <f t="shared" ref="BZ136:BZ138" si="401">"15"</f>
        <v>15</v>
      </c>
      <c r="CA136" s="15" t="str">
        <f t="shared" ref="CA136:CA138" si="402">"66.13"</f>
        <v>66.13</v>
      </c>
      <c r="CG136" s="15" t="str">
        <f t="shared" ref="CG136:CG138" si="403">"38.28"</f>
        <v>38.28</v>
      </c>
      <c r="CH136" s="15" t="str">
        <f t="shared" ref="CH136:CH138" si="404">"1.084"</f>
        <v>1.084</v>
      </c>
      <c r="CI136" s="15" t="s">
        <v>497</v>
      </c>
      <c r="CZ136" s="15" t="s">
        <v>419</v>
      </c>
      <c r="DA136" s="15">
        <v>0.0</v>
      </c>
      <c r="DB136" s="15" t="s">
        <v>419</v>
      </c>
      <c r="DD136" s="15">
        <v>0.0</v>
      </c>
      <c r="DG136" s="15" t="s">
        <v>419</v>
      </c>
      <c r="DI136" s="15">
        <v>0.0</v>
      </c>
      <c r="DJ136" s="15">
        <v>0.0</v>
      </c>
      <c r="DK136" s="15">
        <v>0.0</v>
      </c>
      <c r="DQ136" s="15">
        <v>6.0</v>
      </c>
      <c r="DR136" s="15" t="s">
        <v>1157</v>
      </c>
      <c r="DS136" s="15" t="s">
        <v>2243</v>
      </c>
      <c r="DU136" s="15" t="s">
        <v>500</v>
      </c>
      <c r="EF136" s="15" t="s">
        <v>1574</v>
      </c>
      <c r="EQ136" s="15" t="s">
        <v>558</v>
      </c>
      <c r="ER136" s="15" t="s">
        <v>1574</v>
      </c>
      <c r="ES136" s="15" t="s">
        <v>558</v>
      </c>
      <c r="ET136" s="15" t="s">
        <v>1807</v>
      </c>
      <c r="EU136" s="15" t="s">
        <v>426</v>
      </c>
      <c r="EV136" s="15">
        <v>0.0</v>
      </c>
      <c r="EW136" s="15">
        <v>0.0</v>
      </c>
      <c r="FE136" s="15" t="s">
        <v>1574</v>
      </c>
      <c r="FF136" s="15" t="s">
        <v>504</v>
      </c>
      <c r="FG136" s="15" t="s">
        <v>2244</v>
      </c>
    </row>
    <row r="137" ht="17.25" customHeight="1">
      <c r="A137" s="15" t="s">
        <v>2247</v>
      </c>
      <c r="B137" s="15" t="str">
        <f>"801542753528"</f>
        <v>801542753528</v>
      </c>
      <c r="C137" s="15" t="s">
        <v>12546</v>
      </c>
      <c r="D137" s="15" t="str">
        <f t="shared" si="1"/>
        <v>Bibianna Dining TableHoned White Marble</v>
      </c>
      <c r="E137" s="15" t="s">
        <v>2222</v>
      </c>
      <c r="F137" s="15" t="s">
        <v>397</v>
      </c>
      <c r="G137" s="15" t="s">
        <v>2246</v>
      </c>
      <c r="J137" s="15" t="s">
        <v>2232</v>
      </c>
      <c r="K137" s="15" t="s">
        <v>2246</v>
      </c>
      <c r="M137" s="15" t="s">
        <v>2231</v>
      </c>
      <c r="N137" s="15" t="s">
        <v>548</v>
      </c>
      <c r="O137" s="15" t="s">
        <v>549</v>
      </c>
      <c r="P137" s="15" t="str">
        <f t="shared" ref="P137:Q137" si="386">"60"</f>
        <v>60</v>
      </c>
      <c r="Q137" s="15" t="str">
        <f t="shared" si="386"/>
        <v>60</v>
      </c>
      <c r="R137" s="15" t="str">
        <f t="shared" si="387"/>
        <v>30.5</v>
      </c>
      <c r="S137" s="15" t="str">
        <f t="shared" si="388"/>
        <v>285.81</v>
      </c>
      <c r="T137" s="15" t="s">
        <v>2228</v>
      </c>
      <c r="U137" s="15" t="s">
        <v>11210</v>
      </c>
      <c r="V137" s="15" t="s">
        <v>11754</v>
      </c>
      <c r="AA137" s="15" t="s">
        <v>413</v>
      </c>
      <c r="AB137" s="15" t="s">
        <v>413</v>
      </c>
      <c r="AC137" s="15" t="s">
        <v>2249</v>
      </c>
      <c r="AD137" s="15" t="s">
        <v>12561</v>
      </c>
      <c r="AE137" s="15" t="s">
        <v>2248</v>
      </c>
      <c r="AF137" s="15" t="s">
        <v>12562</v>
      </c>
      <c r="AG137" s="15" t="s">
        <v>12563</v>
      </c>
      <c r="AH137" s="15" t="s">
        <v>12564</v>
      </c>
      <c r="AI137" s="15" t="s">
        <v>12565</v>
      </c>
      <c r="BH137" s="15" t="s">
        <v>2245</v>
      </c>
      <c r="BI137" s="15" t="str">
        <f t="shared" si="389"/>
        <v>2299</v>
      </c>
      <c r="BJ137" s="15" t="str">
        <f t="shared" si="390"/>
        <v>970</v>
      </c>
      <c r="BK137" s="15" t="s">
        <v>1303</v>
      </c>
      <c r="BL137" s="15" t="str">
        <f t="shared" si="391"/>
        <v>3</v>
      </c>
      <c r="BM137" s="15" t="s">
        <v>1564</v>
      </c>
      <c r="BN137" s="15" t="str">
        <f t="shared" si="392"/>
        <v>63.5</v>
      </c>
      <c r="BO137" s="15" t="str">
        <f t="shared" si="393"/>
        <v>64</v>
      </c>
      <c r="BP137" s="15" t="str">
        <f t="shared" si="394"/>
        <v>5</v>
      </c>
      <c r="BQ137" s="15" t="str">
        <f t="shared" si="395"/>
        <v>135.36</v>
      </c>
      <c r="BR137" s="15" t="s">
        <v>2238</v>
      </c>
      <c r="BS137" s="15" t="str">
        <f t="shared" si="396"/>
        <v>34</v>
      </c>
      <c r="BT137" s="15" t="str">
        <f t="shared" si="397"/>
        <v>35.25</v>
      </c>
      <c r="BU137" s="15" t="str">
        <f t="shared" si="398"/>
        <v>34.5</v>
      </c>
      <c r="BV137" s="15" t="str">
        <f t="shared" si="399"/>
        <v>134.48</v>
      </c>
      <c r="BW137" s="15" t="s">
        <v>2240</v>
      </c>
      <c r="BX137" s="15" t="str">
        <f t="shared" ref="BX137:BY137" si="400">"17.25"</f>
        <v>17.25</v>
      </c>
      <c r="BY137" s="15" t="str">
        <f t="shared" si="400"/>
        <v>17.25</v>
      </c>
      <c r="BZ137" s="15" t="str">
        <f t="shared" si="401"/>
        <v>15</v>
      </c>
      <c r="CA137" s="15" t="str">
        <f t="shared" si="402"/>
        <v>66.13</v>
      </c>
      <c r="CG137" s="15" t="str">
        <f t="shared" si="403"/>
        <v>38.28</v>
      </c>
      <c r="CH137" s="15" t="str">
        <f t="shared" si="404"/>
        <v>1.084</v>
      </c>
      <c r="CI137" s="15" t="s">
        <v>497</v>
      </c>
      <c r="CZ137" s="15" t="s">
        <v>419</v>
      </c>
      <c r="DA137" s="15">
        <v>0.0</v>
      </c>
      <c r="DB137" s="15" t="s">
        <v>419</v>
      </c>
      <c r="DD137" s="15">
        <v>0.0</v>
      </c>
      <c r="DG137" s="15" t="s">
        <v>419</v>
      </c>
      <c r="DI137" s="15">
        <v>0.0</v>
      </c>
      <c r="DJ137" s="15">
        <v>0.0</v>
      </c>
      <c r="DK137" s="15">
        <v>0.0</v>
      </c>
      <c r="DQ137" s="15">
        <v>6.0</v>
      </c>
      <c r="DR137" s="15" t="s">
        <v>1157</v>
      </c>
      <c r="DS137" s="15" t="s">
        <v>2243</v>
      </c>
      <c r="DU137" s="15" t="s">
        <v>500</v>
      </c>
      <c r="EF137" s="15" t="s">
        <v>1574</v>
      </c>
      <c r="EQ137" s="15" t="s">
        <v>558</v>
      </c>
      <c r="ER137" s="15" t="s">
        <v>1574</v>
      </c>
      <c r="ES137" s="15" t="s">
        <v>558</v>
      </c>
      <c r="ET137" s="15" t="s">
        <v>1807</v>
      </c>
      <c r="EU137" s="15" t="s">
        <v>426</v>
      </c>
      <c r="EV137" s="15">
        <v>0.0</v>
      </c>
      <c r="EW137" s="15">
        <v>0.0</v>
      </c>
      <c r="FE137" s="15" t="s">
        <v>1574</v>
      </c>
      <c r="FF137" s="15" t="s">
        <v>504</v>
      </c>
      <c r="FG137" s="15" t="s">
        <v>2244</v>
      </c>
    </row>
    <row r="138" ht="17.25" customHeight="1">
      <c r="A138" s="15" t="s">
        <v>2252</v>
      </c>
      <c r="B138" s="15" t="str">
        <f>"801542165475"</f>
        <v>801542165475</v>
      </c>
      <c r="C138" s="15" t="s">
        <v>12566</v>
      </c>
      <c r="D138" s="15" t="str">
        <f t="shared" si="1"/>
        <v>Bibianna Dining TableWorn Black Parawood</v>
      </c>
      <c r="E138" s="15" t="s">
        <v>2222</v>
      </c>
      <c r="F138" s="15" t="s">
        <v>397</v>
      </c>
      <c r="G138" s="15" t="s">
        <v>2251</v>
      </c>
      <c r="J138" s="15" t="s">
        <v>2251</v>
      </c>
      <c r="K138" s="15" t="s">
        <v>2254</v>
      </c>
      <c r="M138" s="15" t="s">
        <v>2231</v>
      </c>
      <c r="N138" s="15" t="s">
        <v>548</v>
      </c>
      <c r="O138" s="15" t="s">
        <v>549</v>
      </c>
      <c r="P138" s="15" t="str">
        <f t="shared" ref="P138:Q138" si="405">"60"</f>
        <v>60</v>
      </c>
      <c r="Q138" s="15" t="str">
        <f t="shared" si="405"/>
        <v>60</v>
      </c>
      <c r="R138" s="15" t="str">
        <f t="shared" si="387"/>
        <v>30.5</v>
      </c>
      <c r="S138" s="15" t="str">
        <f t="shared" si="388"/>
        <v>285.81</v>
      </c>
      <c r="T138" s="15" t="s">
        <v>2228</v>
      </c>
      <c r="U138" s="15" t="s">
        <v>11210</v>
      </c>
      <c r="V138" s="15" t="s">
        <v>11754</v>
      </c>
      <c r="AA138" s="15" t="s">
        <v>413</v>
      </c>
      <c r="AB138" s="15" t="s">
        <v>413</v>
      </c>
      <c r="AC138" s="15" t="s">
        <v>2255</v>
      </c>
      <c r="AD138" s="15" t="s">
        <v>12567</v>
      </c>
      <c r="AE138" s="15" t="s">
        <v>2253</v>
      </c>
      <c r="AF138" s="15" t="s">
        <v>12568</v>
      </c>
      <c r="AG138" s="15" t="s">
        <v>12569</v>
      </c>
      <c r="AH138" s="15" t="s">
        <v>12570</v>
      </c>
      <c r="AI138" s="15" t="s">
        <v>12571</v>
      </c>
      <c r="AJ138" s="15" t="s">
        <v>12572</v>
      </c>
      <c r="AK138" s="15" t="s">
        <v>12573</v>
      </c>
      <c r="AL138" s="15" t="s">
        <v>12574</v>
      </c>
      <c r="AM138" s="15" t="s">
        <v>12575</v>
      </c>
      <c r="BH138" s="15" t="s">
        <v>2250</v>
      </c>
      <c r="BI138" s="15" t="str">
        <f t="shared" si="389"/>
        <v>2299</v>
      </c>
      <c r="BJ138" s="15" t="str">
        <f t="shared" si="390"/>
        <v>970</v>
      </c>
      <c r="BK138" s="15" t="s">
        <v>1303</v>
      </c>
      <c r="BL138" s="15" t="str">
        <f t="shared" si="391"/>
        <v>3</v>
      </c>
      <c r="BM138" s="15" t="s">
        <v>1564</v>
      </c>
      <c r="BN138" s="15" t="str">
        <f t="shared" si="392"/>
        <v>63.5</v>
      </c>
      <c r="BO138" s="15" t="str">
        <f t="shared" si="393"/>
        <v>64</v>
      </c>
      <c r="BP138" s="15" t="str">
        <f t="shared" si="394"/>
        <v>5</v>
      </c>
      <c r="BQ138" s="15" t="str">
        <f>"135.47"</f>
        <v>135.47</v>
      </c>
      <c r="BR138" s="15" t="s">
        <v>2238</v>
      </c>
      <c r="BS138" s="15" t="str">
        <f t="shared" si="396"/>
        <v>34</v>
      </c>
      <c r="BT138" s="15" t="str">
        <f t="shared" si="397"/>
        <v>35.25</v>
      </c>
      <c r="BU138" s="15" t="str">
        <f t="shared" si="398"/>
        <v>34.5</v>
      </c>
      <c r="BV138" s="15" t="str">
        <f t="shared" si="399"/>
        <v>134.48</v>
      </c>
      <c r="BW138" s="15" t="s">
        <v>2240</v>
      </c>
      <c r="BX138" s="15" t="str">
        <f t="shared" ref="BX138:BY138" si="406">"17.25"</f>
        <v>17.25</v>
      </c>
      <c r="BY138" s="15" t="str">
        <f t="shared" si="406"/>
        <v>17.25</v>
      </c>
      <c r="BZ138" s="15" t="str">
        <f t="shared" si="401"/>
        <v>15</v>
      </c>
      <c r="CA138" s="15" t="str">
        <f t="shared" si="402"/>
        <v>66.13</v>
      </c>
      <c r="CG138" s="15" t="str">
        <f t="shared" si="403"/>
        <v>38.28</v>
      </c>
      <c r="CH138" s="15" t="str">
        <f t="shared" si="404"/>
        <v>1.084</v>
      </c>
      <c r="CI138" s="15" t="s">
        <v>497</v>
      </c>
      <c r="CZ138" s="15" t="s">
        <v>419</v>
      </c>
      <c r="DA138" s="15">
        <v>0.0</v>
      </c>
      <c r="DB138" s="15" t="s">
        <v>419</v>
      </c>
      <c r="DD138" s="15">
        <v>0.0</v>
      </c>
      <c r="DG138" s="15" t="s">
        <v>419</v>
      </c>
      <c r="DI138" s="15">
        <v>0.0</v>
      </c>
      <c r="DJ138" s="15">
        <v>0.0</v>
      </c>
      <c r="DK138" s="15">
        <v>0.0</v>
      </c>
      <c r="DQ138" s="15">
        <v>6.0</v>
      </c>
      <c r="DR138" s="15" t="s">
        <v>1157</v>
      </c>
      <c r="DS138" s="15" t="s">
        <v>2243</v>
      </c>
      <c r="DU138" s="15" t="s">
        <v>500</v>
      </c>
      <c r="EF138" s="15" t="s">
        <v>1574</v>
      </c>
      <c r="EQ138" s="15" t="s">
        <v>558</v>
      </c>
      <c r="ER138" s="15" t="s">
        <v>1574</v>
      </c>
      <c r="ES138" s="15" t="s">
        <v>558</v>
      </c>
      <c r="ET138" s="15" t="s">
        <v>1807</v>
      </c>
      <c r="EU138" s="15" t="s">
        <v>426</v>
      </c>
      <c r="EV138" s="15">
        <v>0.0</v>
      </c>
      <c r="EW138" s="15">
        <v>0.0</v>
      </c>
      <c r="FE138" s="15" t="s">
        <v>1574</v>
      </c>
      <c r="FF138" s="15" t="s">
        <v>504</v>
      </c>
      <c r="FG138" s="15" t="s">
        <v>2244</v>
      </c>
    </row>
    <row r="139" ht="17.25" customHeight="1">
      <c r="A139" s="15" t="s">
        <v>2260</v>
      </c>
      <c r="B139" s="15" t="str">
        <f>"801542970765"</f>
        <v>801542970765</v>
      </c>
      <c r="C139" s="15" t="s">
        <v>12576</v>
      </c>
      <c r="D139" s="15" t="str">
        <f t="shared" si="1"/>
        <v>Bindi SideboardUmber Brown Veneer</v>
      </c>
      <c r="E139" s="15" t="s">
        <v>2257</v>
      </c>
      <c r="F139" s="15" t="s">
        <v>397</v>
      </c>
      <c r="G139" s="15" t="s">
        <v>2259</v>
      </c>
      <c r="J139" s="15" t="s">
        <v>2259</v>
      </c>
      <c r="K139" s="15" t="s">
        <v>2264</v>
      </c>
      <c r="M139" s="15" t="s">
        <v>1502</v>
      </c>
      <c r="N139" s="15" t="s">
        <v>664</v>
      </c>
      <c r="P139" s="15" t="str">
        <f>"82"</f>
        <v>82</v>
      </c>
      <c r="Q139" s="15" t="str">
        <f>"19"</f>
        <v>19</v>
      </c>
      <c r="R139" s="15" t="str">
        <f>"34.75"</f>
        <v>34.75</v>
      </c>
      <c r="S139" s="15" t="str">
        <f>"268.96"</f>
        <v>268.96</v>
      </c>
      <c r="T139" s="15" t="s">
        <v>2263</v>
      </c>
      <c r="U139" s="15" t="s">
        <v>10881</v>
      </c>
      <c r="V139" s="15" t="s">
        <v>11338</v>
      </c>
      <c r="W139" s="15" t="s">
        <v>12535</v>
      </c>
      <c r="AA139" s="15" t="s">
        <v>413</v>
      </c>
      <c r="AB139" s="15" t="s">
        <v>413</v>
      </c>
      <c r="AC139" s="15" t="s">
        <v>2265</v>
      </c>
      <c r="AD139" s="15" t="s">
        <v>12577</v>
      </c>
      <c r="AE139" s="15" t="s">
        <v>2262</v>
      </c>
      <c r="AF139" s="15" t="s">
        <v>12578</v>
      </c>
      <c r="AG139" s="15" t="s">
        <v>12579</v>
      </c>
      <c r="AH139" s="15" t="s">
        <v>12580</v>
      </c>
      <c r="AI139" s="15" t="s">
        <v>12581</v>
      </c>
      <c r="AJ139" s="15" t="s">
        <v>12582</v>
      </c>
      <c r="AK139" s="15" t="s">
        <v>12583</v>
      </c>
      <c r="AL139" s="15" t="s">
        <v>12584</v>
      </c>
      <c r="AM139" s="15" t="s">
        <v>12585</v>
      </c>
      <c r="AN139" s="15" t="s">
        <v>12586</v>
      </c>
      <c r="AO139" s="15" t="s">
        <v>12587</v>
      </c>
      <c r="AP139" s="15" t="s">
        <v>12588</v>
      </c>
      <c r="AQ139" s="15" t="s">
        <v>12589</v>
      </c>
      <c r="AR139" s="15" t="s">
        <v>12590</v>
      </c>
      <c r="AS139" s="15" t="s">
        <v>12591</v>
      </c>
      <c r="BH139" s="15" t="s">
        <v>2258</v>
      </c>
      <c r="BI139" s="15" t="str">
        <f>"2499"</f>
        <v>2499</v>
      </c>
      <c r="BJ139" s="15" t="str">
        <f>"1050"</f>
        <v>1050</v>
      </c>
      <c r="BK139" s="15" t="s">
        <v>742</v>
      </c>
      <c r="BL139" s="15" t="str">
        <f t="shared" ref="BL139:BL153" si="408">"1"</f>
        <v>1</v>
      </c>
      <c r="BM139" s="15" t="s">
        <v>416</v>
      </c>
      <c r="BN139" s="15" t="str">
        <f>"87.99"</f>
        <v>87.99</v>
      </c>
      <c r="BO139" s="15" t="str">
        <f>"25"</f>
        <v>25</v>
      </c>
      <c r="BP139" s="15" t="str">
        <f>"40.94"</f>
        <v>40.94</v>
      </c>
      <c r="BQ139" s="15" t="str">
        <f>"297.62"</f>
        <v>297.62</v>
      </c>
      <c r="CG139" s="15" t="str">
        <f>"52.12"</f>
        <v>52.12</v>
      </c>
      <c r="CH139" s="15" t="str">
        <f>"1.476"</f>
        <v>1.476</v>
      </c>
      <c r="CI139" s="15" t="s">
        <v>465</v>
      </c>
      <c r="CM139" s="15" t="s">
        <v>2268</v>
      </c>
      <c r="CN139" s="15" t="s">
        <v>2269</v>
      </c>
      <c r="CO139" s="15" t="s">
        <v>2270</v>
      </c>
      <c r="CZ139" s="15" t="s">
        <v>418</v>
      </c>
      <c r="DA139" s="15">
        <v>4.0</v>
      </c>
      <c r="DB139" s="15" t="s">
        <v>419</v>
      </c>
      <c r="DD139" s="15">
        <v>0.0</v>
      </c>
      <c r="DF139" s="15" t="s">
        <v>1284</v>
      </c>
      <c r="DG139" s="15" t="s">
        <v>610</v>
      </c>
      <c r="DI139" s="15">
        <v>18.14</v>
      </c>
      <c r="DJ139" s="15">
        <v>40.0</v>
      </c>
      <c r="DK139" s="15">
        <v>2.0</v>
      </c>
      <c r="DS139" s="15" t="s">
        <v>2271</v>
      </c>
      <c r="DU139" s="15" t="s">
        <v>424</v>
      </c>
      <c r="EF139" s="15" t="s">
        <v>2272</v>
      </c>
      <c r="EU139" s="15" t="s">
        <v>426</v>
      </c>
      <c r="EV139" s="15">
        <v>2.0</v>
      </c>
      <c r="FH139" s="15" t="s">
        <v>2273</v>
      </c>
      <c r="FI139" s="15" t="s">
        <v>612</v>
      </c>
      <c r="FJ139" s="15" t="s">
        <v>2274</v>
      </c>
      <c r="FK139" s="15" t="s">
        <v>2268</v>
      </c>
      <c r="FL139" s="15" t="s">
        <v>612</v>
      </c>
      <c r="FM139" s="15" t="s">
        <v>2270</v>
      </c>
      <c r="FN139" s="15">
        <v>0.0</v>
      </c>
      <c r="FO139" s="15" t="s">
        <v>426</v>
      </c>
      <c r="FP139" s="15" t="s">
        <v>785</v>
      </c>
      <c r="FQ139" s="15">
        <v>4.0</v>
      </c>
      <c r="FR139" s="15" t="s">
        <v>614</v>
      </c>
      <c r="FS139" s="15" t="s">
        <v>615</v>
      </c>
      <c r="FT139" s="15">
        <v>0.0</v>
      </c>
      <c r="FU139" s="15" t="s">
        <v>426</v>
      </c>
      <c r="FW139" s="15" t="s">
        <v>616</v>
      </c>
      <c r="FX139" s="15" t="s">
        <v>426</v>
      </c>
      <c r="FZ139" s="15" t="s">
        <v>2156</v>
      </c>
      <c r="GB139" s="15" t="s">
        <v>2275</v>
      </c>
      <c r="GD139" s="15" t="s">
        <v>2276</v>
      </c>
      <c r="GF139" s="15" t="s">
        <v>431</v>
      </c>
      <c r="GH139" s="15" t="s">
        <v>420</v>
      </c>
      <c r="GJ139" s="15" t="s">
        <v>2268</v>
      </c>
      <c r="GK139" s="15" t="s">
        <v>2269</v>
      </c>
      <c r="GL139" s="15" t="s">
        <v>2270</v>
      </c>
      <c r="HF139" s="15" t="s">
        <v>1957</v>
      </c>
      <c r="HQ139" s="15" t="s">
        <v>426</v>
      </c>
    </row>
    <row r="140" ht="17.25" customHeight="1">
      <c r="A140" s="15" t="s">
        <v>2280</v>
      </c>
      <c r="B140" s="15" t="str">
        <f>"801542572969"</f>
        <v>801542572969</v>
      </c>
      <c r="C140" s="15" t="s">
        <v>12592</v>
      </c>
      <c r="D140" s="15" t="str">
        <f t="shared" si="1"/>
        <v>Bingham Coffee TableDistressed Iron</v>
      </c>
      <c r="E140" s="15" t="s">
        <v>2277</v>
      </c>
      <c r="F140" s="15" t="s">
        <v>397</v>
      </c>
      <c r="G140" s="15" t="s">
        <v>2279</v>
      </c>
      <c r="J140" s="15" t="s">
        <v>2284</v>
      </c>
      <c r="K140" s="15" t="s">
        <v>2279</v>
      </c>
      <c r="M140" s="15" t="s">
        <v>411</v>
      </c>
      <c r="N140" s="15" t="s">
        <v>491</v>
      </c>
      <c r="P140" s="15" t="str">
        <f t="shared" ref="P140:Q140" si="407">"41.5"</f>
        <v>41.5</v>
      </c>
      <c r="Q140" s="15" t="str">
        <f t="shared" si="407"/>
        <v>41.5</v>
      </c>
      <c r="R140" s="15" t="str">
        <f t="shared" ref="R140:R141" si="410">"17.75"</f>
        <v>17.75</v>
      </c>
      <c r="S140" s="15" t="str">
        <f t="shared" ref="S140:S141" si="411">"102.51"</f>
        <v>102.51</v>
      </c>
      <c r="T140" s="15" t="s">
        <v>2283</v>
      </c>
      <c r="U140" s="15" t="s">
        <v>10881</v>
      </c>
      <c r="V140" s="15" t="s">
        <v>11139</v>
      </c>
      <c r="AA140" s="15" t="s">
        <v>426</v>
      </c>
      <c r="AB140" s="15" t="s">
        <v>413</v>
      </c>
      <c r="AC140" s="15" t="s">
        <v>2285</v>
      </c>
      <c r="AD140" s="15" t="s">
        <v>12593</v>
      </c>
      <c r="AE140" s="15" t="s">
        <v>2282</v>
      </c>
      <c r="AF140" s="15" t="s">
        <v>12594</v>
      </c>
      <c r="AG140" s="15" t="s">
        <v>12595</v>
      </c>
      <c r="AH140" s="15" t="s">
        <v>12596</v>
      </c>
      <c r="AI140" s="15" t="s">
        <v>12597</v>
      </c>
      <c r="AJ140" s="15" t="s">
        <v>12598</v>
      </c>
      <c r="AK140" s="15" t="s">
        <v>12599</v>
      </c>
      <c r="AL140" s="15" t="s">
        <v>12600</v>
      </c>
      <c r="AM140" s="15" t="s">
        <v>12601</v>
      </c>
      <c r="AN140" s="15" t="s">
        <v>12602</v>
      </c>
      <c r="AO140" s="15" t="s">
        <v>12603</v>
      </c>
      <c r="AP140" s="15" t="s">
        <v>12604</v>
      </c>
      <c r="BH140" s="15" t="s">
        <v>2278</v>
      </c>
      <c r="BI140" s="15" t="str">
        <f t="shared" ref="BI140:BI141" si="412">"2199"</f>
        <v>2199</v>
      </c>
      <c r="BJ140" s="15" t="str">
        <f t="shared" ref="BJ140:BJ141" si="413">"925"</f>
        <v>925</v>
      </c>
      <c r="BK140" s="15" t="s">
        <v>415</v>
      </c>
      <c r="BL140" s="15" t="str">
        <f t="shared" si="408"/>
        <v>1</v>
      </c>
      <c r="BM140" s="15" t="s">
        <v>416</v>
      </c>
      <c r="BN140" s="15" t="str">
        <f t="shared" ref="BN140:BN141" si="414">"46.85"</f>
        <v>46.85</v>
      </c>
      <c r="BO140" s="15" t="str">
        <f t="shared" ref="BO140:BO141" si="415">"47.24"</f>
        <v>47.24</v>
      </c>
      <c r="BP140" s="15" t="str">
        <f t="shared" ref="BP140:BP141" si="416">"24.41"</f>
        <v>24.41</v>
      </c>
      <c r="BQ140" s="15" t="str">
        <f t="shared" ref="BQ140:BQ141" si="417">"147.05"</f>
        <v>147.05</v>
      </c>
      <c r="CG140" s="15" t="str">
        <f t="shared" ref="CG140:CG141" si="418">"31.25"</f>
        <v>31.25</v>
      </c>
      <c r="CH140" s="15" t="str">
        <f t="shared" ref="CH140:CH141" si="419">"0.885"</f>
        <v>0.885</v>
      </c>
      <c r="CI140" s="15" t="s">
        <v>1793</v>
      </c>
      <c r="CZ140" s="15" t="s">
        <v>419</v>
      </c>
      <c r="DA140" s="15">
        <v>0.0</v>
      </c>
      <c r="DB140" s="15" t="s">
        <v>419</v>
      </c>
      <c r="DD140" s="15">
        <v>0.0</v>
      </c>
      <c r="DF140" s="15" t="s">
        <v>420</v>
      </c>
      <c r="DG140" s="15" t="s">
        <v>419</v>
      </c>
      <c r="DK140" s="15">
        <v>0.0</v>
      </c>
      <c r="DR140" s="15" t="s">
        <v>1157</v>
      </c>
      <c r="DS140" s="15" t="s">
        <v>2289</v>
      </c>
      <c r="DU140" s="15" t="s">
        <v>500</v>
      </c>
      <c r="EF140" s="15" t="s">
        <v>2290</v>
      </c>
      <c r="EG140" s="15" t="s">
        <v>2291</v>
      </c>
      <c r="EH140" s="15" t="s">
        <v>2291</v>
      </c>
      <c r="EQ140" s="15" t="s">
        <v>2291</v>
      </c>
      <c r="ER140" s="15" t="s">
        <v>2292</v>
      </c>
      <c r="ES140" s="15" t="s">
        <v>2293</v>
      </c>
      <c r="ET140" s="15" t="s">
        <v>2294</v>
      </c>
      <c r="EU140" s="15" t="s">
        <v>426</v>
      </c>
      <c r="EV140" s="15">
        <v>0.0</v>
      </c>
      <c r="EW140" s="15">
        <v>0.0</v>
      </c>
    </row>
    <row r="141" ht="17.25" customHeight="1">
      <c r="A141" s="15" t="s">
        <v>2296</v>
      </c>
      <c r="B141" s="15" t="str">
        <f>"801542688011"</f>
        <v>801542688011</v>
      </c>
      <c r="C141" s="15" t="s">
        <v>12592</v>
      </c>
      <c r="D141" s="15" t="str">
        <f t="shared" si="1"/>
        <v>Bingham Coffee TableRustic Oak Veneer</v>
      </c>
      <c r="E141" s="15" t="s">
        <v>2277</v>
      </c>
      <c r="F141" s="15" t="s">
        <v>397</v>
      </c>
      <c r="G141" s="15" t="s">
        <v>2284</v>
      </c>
      <c r="J141" s="15" t="s">
        <v>2284</v>
      </c>
      <c r="M141" s="15" t="s">
        <v>411</v>
      </c>
      <c r="N141" s="15" t="s">
        <v>491</v>
      </c>
      <c r="P141" s="15" t="str">
        <f t="shared" ref="P141:Q141" si="409">"41.5"</f>
        <v>41.5</v>
      </c>
      <c r="Q141" s="15" t="str">
        <f t="shared" si="409"/>
        <v>41.5</v>
      </c>
      <c r="R141" s="15" t="str">
        <f t="shared" si="410"/>
        <v>17.75</v>
      </c>
      <c r="S141" s="15" t="str">
        <f t="shared" si="411"/>
        <v>102.51</v>
      </c>
      <c r="T141" s="15" t="s">
        <v>407</v>
      </c>
      <c r="U141" s="15" t="s">
        <v>10881</v>
      </c>
      <c r="AA141" s="15" t="s">
        <v>426</v>
      </c>
      <c r="AB141" s="15" t="s">
        <v>413</v>
      </c>
      <c r="AC141" s="15" t="s">
        <v>2298</v>
      </c>
      <c r="AD141" s="15" t="s">
        <v>12605</v>
      </c>
      <c r="AE141" s="15" t="s">
        <v>2297</v>
      </c>
      <c r="AF141" s="15" t="s">
        <v>12606</v>
      </c>
      <c r="AG141" s="15" t="s">
        <v>12607</v>
      </c>
      <c r="AH141" s="15" t="s">
        <v>12608</v>
      </c>
      <c r="AI141" s="15" t="s">
        <v>12609</v>
      </c>
      <c r="AJ141" s="15" t="s">
        <v>12610</v>
      </c>
      <c r="AK141" s="15" t="s">
        <v>12611</v>
      </c>
      <c r="AL141" s="15" t="s">
        <v>12612</v>
      </c>
      <c r="AM141" s="15" t="s">
        <v>12613</v>
      </c>
      <c r="BH141" s="15" t="s">
        <v>2295</v>
      </c>
      <c r="BI141" s="15" t="str">
        <f t="shared" si="412"/>
        <v>2199</v>
      </c>
      <c r="BJ141" s="15" t="str">
        <f t="shared" si="413"/>
        <v>925</v>
      </c>
      <c r="BK141" s="15" t="s">
        <v>415</v>
      </c>
      <c r="BL141" s="15" t="str">
        <f t="shared" si="408"/>
        <v>1</v>
      </c>
      <c r="BM141" s="15" t="s">
        <v>416</v>
      </c>
      <c r="BN141" s="15" t="str">
        <f t="shared" si="414"/>
        <v>46.85</v>
      </c>
      <c r="BO141" s="15" t="str">
        <f t="shared" si="415"/>
        <v>47.24</v>
      </c>
      <c r="BP141" s="15" t="str">
        <f t="shared" si="416"/>
        <v>24.41</v>
      </c>
      <c r="BQ141" s="15" t="str">
        <f t="shared" si="417"/>
        <v>147.05</v>
      </c>
      <c r="CG141" s="15" t="str">
        <f t="shared" si="418"/>
        <v>31.25</v>
      </c>
      <c r="CH141" s="15" t="str">
        <f t="shared" si="419"/>
        <v>0.885</v>
      </c>
      <c r="CI141" s="15" t="s">
        <v>497</v>
      </c>
      <c r="CZ141" s="15" t="s">
        <v>419</v>
      </c>
      <c r="DA141" s="15">
        <v>0.0</v>
      </c>
      <c r="DB141" s="15" t="s">
        <v>419</v>
      </c>
      <c r="DD141" s="15">
        <v>0.0</v>
      </c>
      <c r="DF141" s="15" t="s">
        <v>420</v>
      </c>
      <c r="DG141" s="15" t="s">
        <v>419</v>
      </c>
      <c r="DK141" s="15">
        <v>0.0</v>
      </c>
      <c r="DR141" s="15" t="s">
        <v>1157</v>
      </c>
      <c r="DS141" s="15" t="s">
        <v>2289</v>
      </c>
      <c r="DU141" s="15" t="s">
        <v>500</v>
      </c>
      <c r="EF141" s="15" t="s">
        <v>2290</v>
      </c>
      <c r="EG141" s="15" t="s">
        <v>2291</v>
      </c>
      <c r="EH141" s="15" t="s">
        <v>2291</v>
      </c>
      <c r="EQ141" s="15" t="s">
        <v>2291</v>
      </c>
      <c r="ER141" s="15" t="s">
        <v>2292</v>
      </c>
      <c r="ES141" s="15" t="s">
        <v>2293</v>
      </c>
      <c r="ET141" s="15" t="s">
        <v>2294</v>
      </c>
      <c r="EU141" s="15" t="s">
        <v>426</v>
      </c>
      <c r="EV141" s="15">
        <v>0.0</v>
      </c>
      <c r="EW141" s="15">
        <v>0.0</v>
      </c>
    </row>
    <row r="142" ht="17.25" customHeight="1">
      <c r="A142" s="15" t="s">
        <v>2301</v>
      </c>
      <c r="B142" s="15" t="str">
        <f>"801542570514"</f>
        <v>801542570514</v>
      </c>
      <c r="C142" s="15" t="s">
        <v>12614</v>
      </c>
      <c r="D142" s="15" t="str">
        <f t="shared" si="1"/>
        <v>Bingham Console TableRustic Oak Veneer</v>
      </c>
      <c r="E142" s="15" t="s">
        <v>2299</v>
      </c>
      <c r="F142" s="15" t="s">
        <v>397</v>
      </c>
      <c r="G142" s="15" t="s">
        <v>2284</v>
      </c>
      <c r="J142" s="15" t="s">
        <v>2284</v>
      </c>
      <c r="K142" s="15" t="s">
        <v>2279</v>
      </c>
      <c r="M142" s="15" t="s">
        <v>411</v>
      </c>
      <c r="N142" s="15" t="s">
        <v>519</v>
      </c>
      <c r="P142" s="15" t="str">
        <f>"78.75"</f>
        <v>78.75</v>
      </c>
      <c r="Q142" s="15" t="str">
        <f>"15.75"</f>
        <v>15.75</v>
      </c>
      <c r="R142" s="15" t="str">
        <f>"29.5"</f>
        <v>29.5</v>
      </c>
      <c r="S142" s="15" t="str">
        <f>"157.19"</f>
        <v>157.19</v>
      </c>
      <c r="T142" s="15" t="s">
        <v>2283</v>
      </c>
      <c r="U142" s="15" t="s">
        <v>10881</v>
      </c>
      <c r="V142" s="15" t="s">
        <v>11139</v>
      </c>
      <c r="AA142" s="15" t="s">
        <v>413</v>
      </c>
      <c r="AB142" s="15" t="s">
        <v>413</v>
      </c>
      <c r="AC142" s="15" t="s">
        <v>2308</v>
      </c>
      <c r="AD142" s="15" t="s">
        <v>12615</v>
      </c>
      <c r="AE142" s="15" t="s">
        <v>2303</v>
      </c>
      <c r="AF142" s="15" t="s">
        <v>12616</v>
      </c>
      <c r="AG142" s="15" t="s">
        <v>12617</v>
      </c>
      <c r="AH142" s="15" t="s">
        <v>12618</v>
      </c>
      <c r="AI142" s="15" t="s">
        <v>12619</v>
      </c>
      <c r="AJ142" s="15" t="s">
        <v>12620</v>
      </c>
      <c r="AK142" s="15" t="s">
        <v>12621</v>
      </c>
      <c r="AL142" s="15" t="s">
        <v>12622</v>
      </c>
      <c r="AM142" s="15" t="s">
        <v>12623</v>
      </c>
      <c r="AN142" s="15" t="s">
        <v>12624</v>
      </c>
      <c r="AO142" s="15" t="s">
        <v>12625</v>
      </c>
      <c r="AP142" s="15" t="s">
        <v>12626</v>
      </c>
      <c r="AQ142" s="15" t="s">
        <v>12627</v>
      </c>
      <c r="AR142" s="15" t="s">
        <v>12628</v>
      </c>
      <c r="BH142" s="15" t="s">
        <v>2300</v>
      </c>
      <c r="BI142" s="15" t="str">
        <f>"2399"</f>
        <v>2399</v>
      </c>
      <c r="BJ142" s="15" t="str">
        <f>"1010"</f>
        <v>1010</v>
      </c>
      <c r="BK142" s="15" t="s">
        <v>415</v>
      </c>
      <c r="BL142" s="15" t="str">
        <f t="shared" si="408"/>
        <v>1</v>
      </c>
      <c r="BM142" s="15" t="s">
        <v>416</v>
      </c>
      <c r="BN142" s="15" t="str">
        <f>"86.61"</f>
        <v>86.61</v>
      </c>
      <c r="BO142" s="15" t="str">
        <f>"22.05"</f>
        <v>22.05</v>
      </c>
      <c r="BP142" s="15" t="str">
        <f>"36.22"</f>
        <v>36.22</v>
      </c>
      <c r="BQ142" s="15" t="str">
        <f>"227.74"</f>
        <v>227.74</v>
      </c>
      <c r="CG142" s="15" t="str">
        <f>"40.01"</f>
        <v>40.01</v>
      </c>
      <c r="CH142" s="15" t="str">
        <f>"1.133"</f>
        <v>1.133</v>
      </c>
      <c r="CI142" s="15" t="s">
        <v>497</v>
      </c>
      <c r="CZ142" s="15" t="s">
        <v>419</v>
      </c>
      <c r="DA142" s="15">
        <v>0.0</v>
      </c>
      <c r="DB142" s="15" t="s">
        <v>419</v>
      </c>
      <c r="DD142" s="15">
        <v>0.0</v>
      </c>
      <c r="DF142" s="15" t="s">
        <v>420</v>
      </c>
      <c r="DG142" s="15" t="s">
        <v>419</v>
      </c>
      <c r="DK142" s="15">
        <v>0.0</v>
      </c>
      <c r="DR142" s="15" t="s">
        <v>471</v>
      </c>
      <c r="DS142" s="15" t="s">
        <v>2289</v>
      </c>
      <c r="DU142" s="15" t="s">
        <v>424</v>
      </c>
      <c r="EF142" s="15" t="s">
        <v>2312</v>
      </c>
      <c r="EG142" s="15" t="s">
        <v>943</v>
      </c>
      <c r="EH142" s="15" t="s">
        <v>2313</v>
      </c>
      <c r="EQ142" s="15" t="s">
        <v>2020</v>
      </c>
      <c r="ER142" s="15" t="s">
        <v>2314</v>
      </c>
      <c r="ES142" s="15" t="s">
        <v>2315</v>
      </c>
      <c r="ET142" s="15" t="s">
        <v>2294</v>
      </c>
      <c r="EU142" s="15" t="s">
        <v>426</v>
      </c>
      <c r="EV142" s="15">
        <v>0.0</v>
      </c>
      <c r="EW142" s="15">
        <v>0.0</v>
      </c>
      <c r="FF142" s="15" t="s">
        <v>939</v>
      </c>
      <c r="FQ142" s="15">
        <v>0.0</v>
      </c>
      <c r="FR142" s="15" t="s">
        <v>427</v>
      </c>
    </row>
    <row r="143" ht="17.25" customHeight="1">
      <c r="A143" s="15" t="s">
        <v>2318</v>
      </c>
      <c r="B143" s="15" t="str">
        <f>"801542572976"</f>
        <v>801542572976</v>
      </c>
      <c r="C143" s="15" t="s">
        <v>12629</v>
      </c>
      <c r="D143" s="15" t="str">
        <f t="shared" si="1"/>
        <v>Bingham End TableDistressed Iron</v>
      </c>
      <c r="E143" s="15" t="s">
        <v>2316</v>
      </c>
      <c r="F143" s="15" t="s">
        <v>397</v>
      </c>
      <c r="G143" s="15" t="s">
        <v>2279</v>
      </c>
      <c r="J143" s="15" t="s">
        <v>2284</v>
      </c>
      <c r="K143" s="15" t="s">
        <v>2279</v>
      </c>
      <c r="M143" s="15" t="s">
        <v>411</v>
      </c>
      <c r="N143" s="15" t="s">
        <v>1154</v>
      </c>
      <c r="P143" s="15" t="str">
        <f t="shared" ref="P143:Q143" si="420">"26"</f>
        <v>26</v>
      </c>
      <c r="Q143" s="15" t="str">
        <f t="shared" si="420"/>
        <v>26</v>
      </c>
      <c r="R143" s="15" t="str">
        <f t="shared" ref="R143:R145" si="422">"17.75"</f>
        <v>17.75</v>
      </c>
      <c r="S143" s="15" t="str">
        <f t="shared" ref="S143:S144" si="423">"49.56"</f>
        <v>49.56</v>
      </c>
      <c r="T143" s="15" t="s">
        <v>2283</v>
      </c>
      <c r="U143" s="15" t="s">
        <v>10881</v>
      </c>
      <c r="V143" s="15" t="s">
        <v>11139</v>
      </c>
      <c r="AA143" s="15" t="s">
        <v>413</v>
      </c>
      <c r="AB143" s="15" t="s">
        <v>413</v>
      </c>
      <c r="AC143" s="15" t="s">
        <v>2321</v>
      </c>
      <c r="AD143" s="15" t="s">
        <v>12630</v>
      </c>
      <c r="AE143" s="15" t="s">
        <v>2320</v>
      </c>
      <c r="AF143" s="15" t="s">
        <v>12631</v>
      </c>
      <c r="AG143" s="15" t="s">
        <v>12632</v>
      </c>
      <c r="AH143" s="15" t="s">
        <v>12633</v>
      </c>
      <c r="AI143" s="15" t="s">
        <v>12634</v>
      </c>
      <c r="AJ143" s="15" t="s">
        <v>12635</v>
      </c>
      <c r="AK143" s="15" t="s">
        <v>12636</v>
      </c>
      <c r="AL143" s="15" t="s">
        <v>12637</v>
      </c>
      <c r="AM143" s="15" t="s">
        <v>12638</v>
      </c>
      <c r="AN143" s="15" t="s">
        <v>12639</v>
      </c>
      <c r="BH143" s="15" t="s">
        <v>2317</v>
      </c>
      <c r="BI143" s="15" t="str">
        <f t="shared" ref="BI143:BI144" si="424">"1449"</f>
        <v>1449</v>
      </c>
      <c r="BJ143" s="15" t="str">
        <f t="shared" ref="BJ143:BJ144" si="425">"610"</f>
        <v>610</v>
      </c>
      <c r="BK143" s="15" t="s">
        <v>415</v>
      </c>
      <c r="BL143" s="15" t="str">
        <f t="shared" si="408"/>
        <v>1</v>
      </c>
      <c r="BM143" s="15" t="s">
        <v>416</v>
      </c>
      <c r="BN143" s="15" t="str">
        <f t="shared" ref="BN143:BN144" si="426">"32.28"</f>
        <v>32.28</v>
      </c>
      <c r="BO143" s="15" t="str">
        <f t="shared" ref="BO143:BO144" si="427">"31.89"</f>
        <v>31.89</v>
      </c>
      <c r="BP143" s="15" t="str">
        <f t="shared" ref="BP143:BP144" si="428">"26.77"</f>
        <v>26.77</v>
      </c>
      <c r="BQ143" s="15" t="str">
        <f t="shared" ref="BQ143:BQ144" si="429">"74.56"</f>
        <v>74.56</v>
      </c>
      <c r="CG143" s="15" t="str">
        <f t="shared" ref="CG143:CG144" si="430">"15.96"</f>
        <v>15.96</v>
      </c>
      <c r="CH143" s="15" t="str">
        <f t="shared" ref="CH143:CH144" si="431">"0.452"</f>
        <v>0.452</v>
      </c>
      <c r="CI143" s="15" t="s">
        <v>497</v>
      </c>
      <c r="CZ143" s="15" t="s">
        <v>419</v>
      </c>
      <c r="DA143" s="15">
        <v>0.0</v>
      </c>
      <c r="DB143" s="15" t="s">
        <v>419</v>
      </c>
      <c r="DD143" s="15">
        <v>0.0</v>
      </c>
      <c r="DF143" s="15" t="s">
        <v>420</v>
      </c>
      <c r="DG143" s="15" t="s">
        <v>419</v>
      </c>
      <c r="DK143" s="15">
        <v>0.0</v>
      </c>
      <c r="DR143" s="15" t="s">
        <v>1157</v>
      </c>
      <c r="DS143" s="15" t="s">
        <v>2289</v>
      </c>
      <c r="DU143" s="15" t="s">
        <v>500</v>
      </c>
      <c r="EF143" s="15" t="s">
        <v>428</v>
      </c>
      <c r="EG143" s="15" t="s">
        <v>2324</v>
      </c>
      <c r="EH143" s="15" t="s">
        <v>2324</v>
      </c>
      <c r="EQ143" s="15" t="s">
        <v>1806</v>
      </c>
      <c r="ER143" s="15" t="s">
        <v>2292</v>
      </c>
      <c r="ES143" s="15" t="s">
        <v>1806</v>
      </c>
      <c r="ET143" s="15" t="s">
        <v>1236</v>
      </c>
      <c r="EU143" s="15" t="s">
        <v>426</v>
      </c>
      <c r="EV143" s="15">
        <v>0.0</v>
      </c>
      <c r="EW143" s="15">
        <v>0.0</v>
      </c>
    </row>
    <row r="144" ht="17.25" customHeight="1">
      <c r="A144" s="15" t="s">
        <v>2326</v>
      </c>
      <c r="B144" s="15" t="str">
        <f>"801542688035"</f>
        <v>801542688035</v>
      </c>
      <c r="C144" s="15" t="s">
        <v>12629</v>
      </c>
      <c r="D144" s="15" t="str">
        <f t="shared" si="1"/>
        <v>Bingham End TableRustic Oak Veneer</v>
      </c>
      <c r="E144" s="15" t="s">
        <v>2316</v>
      </c>
      <c r="F144" s="15" t="s">
        <v>397</v>
      </c>
      <c r="G144" s="15" t="s">
        <v>2284</v>
      </c>
      <c r="J144" s="15" t="s">
        <v>2284</v>
      </c>
      <c r="M144" s="15" t="s">
        <v>411</v>
      </c>
      <c r="N144" s="15" t="s">
        <v>1154</v>
      </c>
      <c r="P144" s="15" t="str">
        <f t="shared" ref="P144:Q144" si="421">"26"</f>
        <v>26</v>
      </c>
      <c r="Q144" s="15" t="str">
        <f t="shared" si="421"/>
        <v>26</v>
      </c>
      <c r="R144" s="15" t="str">
        <f t="shared" si="422"/>
        <v>17.75</v>
      </c>
      <c r="S144" s="15" t="str">
        <f t="shared" si="423"/>
        <v>49.56</v>
      </c>
      <c r="T144" s="15" t="s">
        <v>407</v>
      </c>
      <c r="U144" s="15" t="s">
        <v>10881</v>
      </c>
      <c r="AA144" s="15" t="s">
        <v>413</v>
      </c>
      <c r="AB144" s="15" t="s">
        <v>413</v>
      </c>
      <c r="AD144" s="15" t="s">
        <v>12640</v>
      </c>
      <c r="AE144" s="15" t="s">
        <v>2320</v>
      </c>
      <c r="AF144" s="15" t="s">
        <v>12641</v>
      </c>
      <c r="AG144" s="15" t="s">
        <v>12642</v>
      </c>
      <c r="AH144" s="15" t="s">
        <v>12643</v>
      </c>
      <c r="AI144" s="15" t="s">
        <v>12644</v>
      </c>
      <c r="AJ144" s="15" t="s">
        <v>12645</v>
      </c>
      <c r="AK144" s="15" t="s">
        <v>12646</v>
      </c>
      <c r="AL144" s="15" t="s">
        <v>12647</v>
      </c>
      <c r="AM144" s="15" t="s">
        <v>12648</v>
      </c>
      <c r="BH144" s="15" t="s">
        <v>2325</v>
      </c>
      <c r="BI144" s="15" t="str">
        <f t="shared" si="424"/>
        <v>1449</v>
      </c>
      <c r="BJ144" s="15" t="str">
        <f t="shared" si="425"/>
        <v>610</v>
      </c>
      <c r="BK144" s="15" t="s">
        <v>415</v>
      </c>
      <c r="BL144" s="15" t="str">
        <f t="shared" si="408"/>
        <v>1</v>
      </c>
      <c r="BM144" s="15" t="s">
        <v>416</v>
      </c>
      <c r="BN144" s="15" t="str">
        <f t="shared" si="426"/>
        <v>32.28</v>
      </c>
      <c r="BO144" s="15" t="str">
        <f t="shared" si="427"/>
        <v>31.89</v>
      </c>
      <c r="BP144" s="15" t="str">
        <f t="shared" si="428"/>
        <v>26.77</v>
      </c>
      <c r="BQ144" s="15" t="str">
        <f t="shared" si="429"/>
        <v>74.56</v>
      </c>
      <c r="CG144" s="15" t="str">
        <f t="shared" si="430"/>
        <v>15.96</v>
      </c>
      <c r="CH144" s="15" t="str">
        <f t="shared" si="431"/>
        <v>0.452</v>
      </c>
      <c r="CI144" s="15" t="s">
        <v>417</v>
      </c>
      <c r="CZ144" s="15" t="s">
        <v>419</v>
      </c>
      <c r="DA144" s="15">
        <v>0.0</v>
      </c>
      <c r="DB144" s="15" t="s">
        <v>419</v>
      </c>
      <c r="DD144" s="15">
        <v>0.0</v>
      </c>
      <c r="DF144" s="15" t="s">
        <v>420</v>
      </c>
      <c r="DG144" s="15" t="s">
        <v>419</v>
      </c>
      <c r="DK144" s="15">
        <v>0.0</v>
      </c>
      <c r="DR144" s="15" t="s">
        <v>1157</v>
      </c>
      <c r="DS144" s="15" t="s">
        <v>2289</v>
      </c>
      <c r="DU144" s="15" t="s">
        <v>500</v>
      </c>
      <c r="EF144" s="15" t="s">
        <v>428</v>
      </c>
      <c r="EG144" s="15" t="s">
        <v>2324</v>
      </c>
      <c r="EH144" s="15" t="s">
        <v>2324</v>
      </c>
      <c r="EQ144" s="15" t="s">
        <v>1806</v>
      </c>
      <c r="ER144" s="15" t="s">
        <v>2292</v>
      </c>
      <c r="ES144" s="15" t="s">
        <v>1806</v>
      </c>
      <c r="ET144" s="15" t="s">
        <v>1236</v>
      </c>
      <c r="EU144" s="15" t="s">
        <v>426</v>
      </c>
      <c r="EV144" s="15">
        <v>0.0</v>
      </c>
      <c r="EW144" s="15">
        <v>0.0</v>
      </c>
    </row>
    <row r="145" ht="17.25" customHeight="1">
      <c r="A145" s="15" t="s">
        <v>2329</v>
      </c>
      <c r="B145" s="15" t="str">
        <f>"801542236953"</f>
        <v>801542236953</v>
      </c>
      <c r="C145" s="15" t="s">
        <v>12649</v>
      </c>
      <c r="D145" s="15" t="str">
        <f t="shared" si="1"/>
        <v>Bingham Large Coffee TableDistressed Iron</v>
      </c>
      <c r="E145" s="15" t="s">
        <v>2327</v>
      </c>
      <c r="F145" s="15" t="s">
        <v>397</v>
      </c>
      <c r="G145" s="15" t="s">
        <v>2279</v>
      </c>
      <c r="J145" s="15" t="s">
        <v>2279</v>
      </c>
      <c r="K145" s="15" t="s">
        <v>2284</v>
      </c>
      <c r="M145" s="15" t="s">
        <v>411</v>
      </c>
      <c r="N145" s="15" t="s">
        <v>491</v>
      </c>
      <c r="P145" s="15" t="str">
        <f t="shared" ref="P145:Q145" si="432">"55"</f>
        <v>55</v>
      </c>
      <c r="Q145" s="15" t="str">
        <f t="shared" si="432"/>
        <v>55</v>
      </c>
      <c r="R145" s="15" t="str">
        <f t="shared" si="422"/>
        <v>17.75</v>
      </c>
      <c r="S145" s="15" t="str">
        <f>"146.61"</f>
        <v>146.61</v>
      </c>
      <c r="T145" s="15" t="s">
        <v>2332</v>
      </c>
      <c r="U145" s="15" t="s">
        <v>11139</v>
      </c>
      <c r="V145" s="15" t="s">
        <v>10881</v>
      </c>
      <c r="AA145" s="15" t="s">
        <v>413</v>
      </c>
      <c r="AB145" s="15" t="s">
        <v>413</v>
      </c>
      <c r="AC145" s="15" t="s">
        <v>2333</v>
      </c>
      <c r="AD145" s="15" t="s">
        <v>12650</v>
      </c>
      <c r="AE145" s="15" t="s">
        <v>2331</v>
      </c>
      <c r="AF145" s="15" t="s">
        <v>12651</v>
      </c>
      <c r="AG145" s="15" t="s">
        <v>12652</v>
      </c>
      <c r="AH145" s="15" t="s">
        <v>12653</v>
      </c>
      <c r="AI145" s="15" t="s">
        <v>12654</v>
      </c>
      <c r="AJ145" s="15" t="s">
        <v>12655</v>
      </c>
      <c r="AK145" s="15" t="s">
        <v>12656</v>
      </c>
      <c r="AL145" s="15" t="s">
        <v>12657</v>
      </c>
      <c r="AM145" s="15" t="s">
        <v>12658</v>
      </c>
      <c r="AN145" s="15" t="s">
        <v>12659</v>
      </c>
      <c r="AO145" s="15" t="s">
        <v>12660</v>
      </c>
      <c r="AP145" s="15" t="s">
        <v>12661</v>
      </c>
      <c r="AQ145" s="15" t="s">
        <v>12662</v>
      </c>
      <c r="BH145" s="15" t="s">
        <v>2328</v>
      </c>
      <c r="BI145" s="15" t="str">
        <f>"2599"</f>
        <v>2599</v>
      </c>
      <c r="BJ145" s="15" t="str">
        <f>"1095"</f>
        <v>1095</v>
      </c>
      <c r="BK145" s="15" t="s">
        <v>415</v>
      </c>
      <c r="BL145" s="15" t="str">
        <f t="shared" si="408"/>
        <v>1</v>
      </c>
      <c r="BM145" s="15" t="s">
        <v>416</v>
      </c>
      <c r="BN145" s="15" t="str">
        <f>"62.99"</f>
        <v>62.99</v>
      </c>
      <c r="BO145" s="15" t="str">
        <f>"63.39"</f>
        <v>63.39</v>
      </c>
      <c r="BP145" s="15" t="str">
        <f>"23.62"</f>
        <v>23.62</v>
      </c>
      <c r="BQ145" s="15" t="str">
        <f>"214.18"</f>
        <v>214.18</v>
      </c>
      <c r="CG145" s="15" t="str">
        <f>"54.6"</f>
        <v>54.6</v>
      </c>
      <c r="CH145" s="15" t="str">
        <f>"1.546"</f>
        <v>1.546</v>
      </c>
      <c r="CI145" s="15" t="s">
        <v>497</v>
      </c>
      <c r="CZ145" s="15" t="s">
        <v>419</v>
      </c>
      <c r="DA145" s="15">
        <v>0.0</v>
      </c>
      <c r="DB145" s="15" t="s">
        <v>419</v>
      </c>
      <c r="DD145" s="15">
        <v>0.0</v>
      </c>
      <c r="DF145" s="15" t="s">
        <v>420</v>
      </c>
      <c r="DG145" s="15" t="s">
        <v>419</v>
      </c>
      <c r="DK145" s="15">
        <v>0.0</v>
      </c>
      <c r="DR145" s="15" t="s">
        <v>1157</v>
      </c>
      <c r="DS145" s="15" t="s">
        <v>2289</v>
      </c>
      <c r="DU145" s="15" t="s">
        <v>500</v>
      </c>
      <c r="EF145" s="15" t="s">
        <v>2290</v>
      </c>
      <c r="EQ145" s="15" t="s">
        <v>2293</v>
      </c>
      <c r="ER145" s="15" t="s">
        <v>2292</v>
      </c>
      <c r="ES145" s="15" t="s">
        <v>2337</v>
      </c>
      <c r="ET145" s="15" t="s">
        <v>2294</v>
      </c>
      <c r="EU145" s="15" t="s">
        <v>426</v>
      </c>
      <c r="EV145" s="15">
        <v>0.0</v>
      </c>
      <c r="EW145" s="15">
        <v>0.0</v>
      </c>
    </row>
    <row r="146" ht="17.25" customHeight="1">
      <c r="A146" s="15" t="s">
        <v>2340</v>
      </c>
      <c r="B146" s="15" t="str">
        <f>"801542769635"</f>
        <v>801542769635</v>
      </c>
      <c r="C146" s="15" t="s">
        <v>12663</v>
      </c>
      <c r="D146" s="15" t="str">
        <f t="shared" si="1"/>
        <v>Binx Swivel ChairHeirloom Sienna</v>
      </c>
      <c r="E146" s="15" t="s">
        <v>2338</v>
      </c>
      <c r="F146" s="15" t="s">
        <v>397</v>
      </c>
      <c r="G146" s="15" t="s">
        <v>1596</v>
      </c>
      <c r="J146" s="15" t="s">
        <v>1596</v>
      </c>
      <c r="K146" s="15" t="s">
        <v>978</v>
      </c>
      <c r="M146" s="15" t="s">
        <v>2343</v>
      </c>
      <c r="N146" s="15" t="s">
        <v>706</v>
      </c>
      <c r="O146" s="15" t="s">
        <v>707</v>
      </c>
      <c r="P146" s="15" t="str">
        <f>"34"</f>
        <v>34</v>
      </c>
      <c r="Q146" s="15" t="str">
        <f>"37"</f>
        <v>37</v>
      </c>
      <c r="R146" s="15" t="str">
        <f>"31.5"</f>
        <v>31.5</v>
      </c>
      <c r="S146" s="15" t="str">
        <f>"73.63"</f>
        <v>73.63</v>
      </c>
      <c r="T146" s="15" t="s">
        <v>975</v>
      </c>
      <c r="U146" s="15" t="s">
        <v>11137</v>
      </c>
      <c r="V146" s="15" t="s">
        <v>11210</v>
      </c>
      <c r="AA146" s="15" t="s">
        <v>413</v>
      </c>
      <c r="AB146" s="15" t="s">
        <v>413</v>
      </c>
      <c r="AC146" s="15" t="s">
        <v>2344</v>
      </c>
      <c r="AD146" s="15" t="s">
        <v>12664</v>
      </c>
      <c r="AE146" s="15" t="s">
        <v>2342</v>
      </c>
      <c r="AF146" s="15" t="s">
        <v>12665</v>
      </c>
      <c r="AG146" s="15" t="s">
        <v>12666</v>
      </c>
      <c r="AH146" s="15" t="s">
        <v>12667</v>
      </c>
      <c r="AI146" s="15" t="s">
        <v>12668</v>
      </c>
      <c r="AJ146" s="15" t="s">
        <v>12669</v>
      </c>
      <c r="AK146" s="15" t="s">
        <v>11838</v>
      </c>
      <c r="AL146" s="15" t="s">
        <v>12670</v>
      </c>
      <c r="AM146" s="15" t="s">
        <v>12671</v>
      </c>
      <c r="AN146" s="15" t="s">
        <v>12672</v>
      </c>
      <c r="AO146" s="15" t="s">
        <v>12673</v>
      </c>
      <c r="AP146" s="15" t="s">
        <v>12674</v>
      </c>
      <c r="AQ146" s="15" t="s">
        <v>12675</v>
      </c>
      <c r="BH146" s="15" t="s">
        <v>2339</v>
      </c>
      <c r="BI146" s="15" t="str">
        <f>"1899"</f>
        <v>1899</v>
      </c>
      <c r="BJ146" s="15" t="str">
        <f>"800"</f>
        <v>800</v>
      </c>
      <c r="BK146" s="15" t="s">
        <v>709</v>
      </c>
      <c r="BL146" s="15" t="str">
        <f t="shared" si="408"/>
        <v>1</v>
      </c>
      <c r="BM146" s="15" t="s">
        <v>1477</v>
      </c>
      <c r="BN146" s="15" t="str">
        <f>"35.04"</f>
        <v>35.04</v>
      </c>
      <c r="BO146" s="15" t="str">
        <f>"38.39"</f>
        <v>38.39</v>
      </c>
      <c r="BP146" s="15" t="str">
        <f>"32.68"</f>
        <v>32.68</v>
      </c>
      <c r="BQ146" s="15" t="str">
        <f>"94.8"</f>
        <v>94.8</v>
      </c>
      <c r="CG146" s="15" t="str">
        <f>"21.44"</f>
        <v>21.44</v>
      </c>
      <c r="CH146" s="15" t="str">
        <f>"0.607"</f>
        <v>0.607</v>
      </c>
      <c r="CI146" s="15" t="s">
        <v>465</v>
      </c>
      <c r="CS146" s="15" t="s">
        <v>2019</v>
      </c>
      <c r="CT146" s="15" t="s">
        <v>716</v>
      </c>
      <c r="CV146" s="15">
        <v>0.0</v>
      </c>
      <c r="CW146" s="15">
        <v>0.0</v>
      </c>
      <c r="CX146" s="15" t="s">
        <v>469</v>
      </c>
      <c r="CY146" s="15" t="s">
        <v>718</v>
      </c>
      <c r="DF146" s="15" t="s">
        <v>721</v>
      </c>
      <c r="DG146" s="15" t="s">
        <v>1605</v>
      </c>
      <c r="DH146" s="15">
        <v>0.0</v>
      </c>
      <c r="DL146" s="15">
        <v>0.0</v>
      </c>
      <c r="DM146" s="15" t="s">
        <v>990</v>
      </c>
      <c r="DP146" s="15">
        <v>0.0</v>
      </c>
      <c r="DQ146" s="15">
        <v>1.0</v>
      </c>
      <c r="DS146" s="15" t="s">
        <v>2345</v>
      </c>
      <c r="DT146" s="15">
        <v>0.0</v>
      </c>
      <c r="DU146" s="15" t="s">
        <v>726</v>
      </c>
      <c r="DV146" s="15" t="s">
        <v>779</v>
      </c>
      <c r="DW146" s="15" t="s">
        <v>1444</v>
      </c>
      <c r="DX146" s="15" t="s">
        <v>2346</v>
      </c>
      <c r="EB146" s="15" t="s">
        <v>2347</v>
      </c>
      <c r="EF146" s="15" t="s">
        <v>1957</v>
      </c>
      <c r="EI146" s="15" t="s">
        <v>2156</v>
      </c>
      <c r="EO146" s="15" t="s">
        <v>860</v>
      </c>
      <c r="EX146" s="15" t="s">
        <v>2348</v>
      </c>
      <c r="EY146" s="15" t="s">
        <v>1604</v>
      </c>
      <c r="EZ146" s="15">
        <v>0.0</v>
      </c>
      <c r="FA146" s="15">
        <v>0.0</v>
      </c>
      <c r="FB146" s="15" t="s">
        <v>1609</v>
      </c>
      <c r="FC146" s="15">
        <v>0.0</v>
      </c>
      <c r="HU146" s="15" t="s">
        <v>1610</v>
      </c>
    </row>
    <row r="147" ht="17.25" customHeight="1">
      <c r="A147" s="15" t="s">
        <v>2352</v>
      </c>
      <c r="B147" s="15" t="str">
        <f>"198394052641"</f>
        <v>198394052641</v>
      </c>
      <c r="C147" s="15" t="s">
        <v>12676</v>
      </c>
      <c r="D147" s="15" t="str">
        <f t="shared" si="1"/>
        <v>Bloomfield Media ConsoleWorn Oak Veneer</v>
      </c>
      <c r="E147" s="15" t="s">
        <v>2349</v>
      </c>
      <c r="F147" s="15" t="s">
        <v>397</v>
      </c>
      <c r="G147" s="15" t="s">
        <v>2351</v>
      </c>
      <c r="J147" s="15" t="s">
        <v>2351</v>
      </c>
      <c r="M147" s="15" t="s">
        <v>2063</v>
      </c>
      <c r="N147" s="15" t="s">
        <v>602</v>
      </c>
      <c r="P147" s="15" t="str">
        <f>"78"</f>
        <v>78</v>
      </c>
      <c r="Q147" s="15" t="str">
        <f>"20"</f>
        <v>20</v>
      </c>
      <c r="R147" s="15" t="str">
        <f>"28"</f>
        <v>28</v>
      </c>
      <c r="S147" s="15" t="str">
        <f>"184.08"</f>
        <v>184.08</v>
      </c>
      <c r="T147" s="15" t="s">
        <v>2354</v>
      </c>
      <c r="U147" s="15" t="s">
        <v>11553</v>
      </c>
      <c r="V147" s="15" t="s">
        <v>11338</v>
      </c>
      <c r="AA147" s="15" t="s">
        <v>413</v>
      </c>
      <c r="AB147" s="15" t="s">
        <v>413</v>
      </c>
      <c r="AC147" s="15" t="s">
        <v>2357</v>
      </c>
      <c r="AD147" s="15" t="s">
        <v>12677</v>
      </c>
      <c r="AE147" s="15" t="s">
        <v>2353</v>
      </c>
      <c r="AF147" s="15" t="s">
        <v>12678</v>
      </c>
      <c r="AG147" s="15" t="s">
        <v>12679</v>
      </c>
      <c r="AH147" s="15" t="s">
        <v>12680</v>
      </c>
      <c r="AI147" s="15" t="s">
        <v>12681</v>
      </c>
      <c r="AJ147" s="15" t="s">
        <v>12682</v>
      </c>
      <c r="AK147" s="15" t="s">
        <v>12683</v>
      </c>
      <c r="AL147" s="15" t="s">
        <v>12684</v>
      </c>
      <c r="AM147" s="15" t="s">
        <v>12685</v>
      </c>
      <c r="AN147" s="15" t="s">
        <v>12686</v>
      </c>
      <c r="AO147" s="15" t="s">
        <v>12687</v>
      </c>
      <c r="AP147" s="15" t="s">
        <v>12688</v>
      </c>
      <c r="AQ147" s="15" t="s">
        <v>12689</v>
      </c>
      <c r="AR147" s="15" t="s">
        <v>12690</v>
      </c>
      <c r="AS147" s="15" t="s">
        <v>12691</v>
      </c>
      <c r="BH147" s="15" t="s">
        <v>2350</v>
      </c>
      <c r="BI147" s="15" t="str">
        <f>"2199"</f>
        <v>2199</v>
      </c>
      <c r="BJ147" s="15" t="str">
        <f>"925"</f>
        <v>925</v>
      </c>
      <c r="BK147" s="15" t="s">
        <v>742</v>
      </c>
      <c r="BL147" s="15" t="str">
        <f t="shared" si="408"/>
        <v>1</v>
      </c>
      <c r="BM147" s="15" t="s">
        <v>416</v>
      </c>
      <c r="BN147" s="15" t="str">
        <f>"81.89"</f>
        <v>81.89</v>
      </c>
      <c r="BO147" s="15" t="str">
        <f>"24.41"</f>
        <v>24.41</v>
      </c>
      <c r="BP147" s="15" t="str">
        <f>"35.63"</f>
        <v>35.63</v>
      </c>
      <c r="BQ147" s="15" t="str">
        <f>"250.22"</f>
        <v>250.22</v>
      </c>
      <c r="CG147" s="15" t="str">
        <f>"41.21"</f>
        <v>41.21</v>
      </c>
      <c r="CH147" s="15" t="str">
        <f>"1.167"</f>
        <v>1.167</v>
      </c>
      <c r="CI147" s="15" t="s">
        <v>497</v>
      </c>
      <c r="CM147" s="15" t="s">
        <v>1429</v>
      </c>
      <c r="CN147" s="15" t="s">
        <v>824</v>
      </c>
      <c r="CO147" s="15" t="s">
        <v>2360</v>
      </c>
      <c r="CZ147" s="15" t="s">
        <v>419</v>
      </c>
      <c r="DA147" s="15">
        <v>0.0</v>
      </c>
      <c r="DB147" s="15" t="s">
        <v>419</v>
      </c>
      <c r="DD147" s="15">
        <v>0.0</v>
      </c>
      <c r="DF147" s="15" t="s">
        <v>420</v>
      </c>
      <c r="DG147" s="15" t="s">
        <v>610</v>
      </c>
      <c r="DI147" s="15">
        <v>18.14</v>
      </c>
      <c r="DJ147" s="15">
        <v>40.0</v>
      </c>
      <c r="DK147" s="15">
        <v>2.0</v>
      </c>
      <c r="DS147" s="15" t="s">
        <v>2361</v>
      </c>
      <c r="EF147" s="15" t="s">
        <v>1955</v>
      </c>
      <c r="EU147" s="15" t="s">
        <v>426</v>
      </c>
      <c r="EV147" s="15">
        <v>2.0</v>
      </c>
      <c r="FH147" s="15" t="s">
        <v>1324</v>
      </c>
      <c r="FI147" s="15" t="s">
        <v>1042</v>
      </c>
      <c r="FJ147" s="15" t="s">
        <v>2362</v>
      </c>
      <c r="FK147" s="15" t="s">
        <v>1429</v>
      </c>
      <c r="FL147" s="15" t="s">
        <v>782</v>
      </c>
      <c r="FM147" s="15" t="s">
        <v>2360</v>
      </c>
      <c r="FO147" s="15" t="s">
        <v>426</v>
      </c>
      <c r="FP147" s="15" t="s">
        <v>1044</v>
      </c>
      <c r="FQ147" s="15">
        <v>4.0</v>
      </c>
      <c r="FR147" s="15" t="s">
        <v>614</v>
      </c>
      <c r="FS147" s="15" t="s">
        <v>1045</v>
      </c>
      <c r="FU147" s="15" t="s">
        <v>426</v>
      </c>
      <c r="FW147" s="15" t="s">
        <v>616</v>
      </c>
      <c r="GJ147" s="15" t="s">
        <v>1429</v>
      </c>
      <c r="GK147" s="15" t="s">
        <v>824</v>
      </c>
      <c r="GL147" s="15" t="s">
        <v>2360</v>
      </c>
      <c r="GM147" s="15">
        <v>0.0</v>
      </c>
      <c r="HF147" s="15" t="s">
        <v>1957</v>
      </c>
      <c r="HQ147" s="15" t="s">
        <v>426</v>
      </c>
    </row>
    <row r="148" ht="17.25" customHeight="1">
      <c r="A148" s="15" t="s">
        <v>2366</v>
      </c>
      <c r="B148" s="15" t="str">
        <f>"801542702861"</f>
        <v>801542702861</v>
      </c>
      <c r="C148" s="15" t="s">
        <v>12692</v>
      </c>
      <c r="D148" s="15" t="str">
        <f t="shared" si="1"/>
        <v>Bloor Sleeper Sofa-95''Essence Natural</v>
      </c>
      <c r="E148" s="15" t="s">
        <v>2363</v>
      </c>
      <c r="F148" s="15" t="s">
        <v>397</v>
      </c>
      <c r="G148" s="15" t="s">
        <v>2365</v>
      </c>
      <c r="J148" s="15" t="s">
        <v>2365</v>
      </c>
      <c r="M148" s="15" t="s">
        <v>2374</v>
      </c>
      <c r="N148" s="15" t="s">
        <v>1732</v>
      </c>
      <c r="P148" s="15" t="str">
        <f>"95"</f>
        <v>95</v>
      </c>
      <c r="Q148" s="15" t="str">
        <f>"38"</f>
        <v>38</v>
      </c>
      <c r="R148" s="15" t="str">
        <f>"33.5"</f>
        <v>33.5</v>
      </c>
      <c r="S148" s="15" t="str">
        <f>"205.03"</f>
        <v>205.03</v>
      </c>
      <c r="T148" s="15" t="s">
        <v>2369</v>
      </c>
      <c r="U148" s="15" t="s">
        <v>12693</v>
      </c>
      <c r="V148" s="15" t="s">
        <v>12694</v>
      </c>
      <c r="W148" s="15" t="s">
        <v>12695</v>
      </c>
      <c r="X148" s="15" t="s">
        <v>12696</v>
      </c>
      <c r="AA148" s="15" t="s">
        <v>413</v>
      </c>
      <c r="AB148" s="15" t="s">
        <v>413</v>
      </c>
      <c r="AC148" s="15" t="s">
        <v>2375</v>
      </c>
      <c r="AD148" s="15" t="s">
        <v>12697</v>
      </c>
      <c r="AE148" s="15" t="s">
        <v>2368</v>
      </c>
      <c r="AF148" s="15" t="s">
        <v>12698</v>
      </c>
      <c r="AG148" s="15" t="s">
        <v>12699</v>
      </c>
      <c r="AH148" s="15" t="s">
        <v>12700</v>
      </c>
      <c r="AI148" s="15" t="s">
        <v>12701</v>
      </c>
      <c r="AJ148" s="15" t="s">
        <v>12702</v>
      </c>
      <c r="AK148" s="15" t="s">
        <v>12703</v>
      </c>
      <c r="AL148" s="15" t="s">
        <v>12704</v>
      </c>
      <c r="AM148" s="15" t="s">
        <v>12705</v>
      </c>
      <c r="BH148" s="15" t="s">
        <v>2364</v>
      </c>
      <c r="BI148" s="15" t="str">
        <f>"3199"</f>
        <v>3199</v>
      </c>
      <c r="BJ148" s="15" t="str">
        <f>"1345"</f>
        <v>1345</v>
      </c>
      <c r="BK148" s="15" t="s">
        <v>415</v>
      </c>
      <c r="BL148" s="15" t="str">
        <f t="shared" si="408"/>
        <v>1</v>
      </c>
      <c r="BM148" s="15" t="s">
        <v>416</v>
      </c>
      <c r="BN148" s="15" t="str">
        <f t="shared" ref="BN148:BN150" si="433">"101"</f>
        <v>101</v>
      </c>
      <c r="BO148" s="15" t="str">
        <f>"41"</f>
        <v>41</v>
      </c>
      <c r="BP148" s="15" t="str">
        <f>"26.97"</f>
        <v>26.97</v>
      </c>
      <c r="BQ148" s="15" t="str">
        <f>"213.85"</f>
        <v>213.85</v>
      </c>
      <c r="CG148" s="15" t="str">
        <f>"64.63"</f>
        <v>64.63</v>
      </c>
      <c r="CH148" s="15" t="str">
        <f>"1.83"</f>
        <v>1.83</v>
      </c>
      <c r="CI148" s="15" t="s">
        <v>465</v>
      </c>
      <c r="CP148" s="15" t="s">
        <v>1064</v>
      </c>
      <c r="CQ148" s="15" t="s">
        <v>2116</v>
      </c>
      <c r="CR148" s="15" t="s">
        <v>1575</v>
      </c>
      <c r="CS148" s="15" t="s">
        <v>525</v>
      </c>
      <c r="CT148" s="15" t="s">
        <v>650</v>
      </c>
      <c r="CU148" s="15" t="s">
        <v>2379</v>
      </c>
      <c r="CV148" s="15">
        <v>0.0</v>
      </c>
      <c r="CW148" s="15">
        <v>2.0</v>
      </c>
      <c r="CX148" s="15" t="s">
        <v>717</v>
      </c>
      <c r="CY148" s="15" t="s">
        <v>897</v>
      </c>
      <c r="DC148" s="15" t="s">
        <v>2380</v>
      </c>
      <c r="DF148" s="15" t="s">
        <v>721</v>
      </c>
      <c r="DG148" s="15" t="s">
        <v>2381</v>
      </c>
      <c r="DH148" s="15">
        <v>2.0</v>
      </c>
      <c r="DL148" s="15">
        <v>27000.0</v>
      </c>
      <c r="DM148" s="15" t="s">
        <v>2382</v>
      </c>
      <c r="DN148" s="15" t="s">
        <v>723</v>
      </c>
      <c r="DO148" s="15" t="s">
        <v>724</v>
      </c>
      <c r="DP148" s="15">
        <v>2.0</v>
      </c>
      <c r="DQ148" s="15">
        <v>3.0</v>
      </c>
      <c r="DS148" s="15" t="s">
        <v>2383</v>
      </c>
      <c r="DT148" s="15">
        <v>0.0</v>
      </c>
      <c r="DU148" s="15" t="s">
        <v>473</v>
      </c>
      <c r="DV148" s="15" t="s">
        <v>2384</v>
      </c>
      <c r="DW148" s="15" t="s">
        <v>429</v>
      </c>
      <c r="DX148" s="15" t="s">
        <v>2385</v>
      </c>
      <c r="EB148" s="15" t="s">
        <v>995</v>
      </c>
      <c r="EC148" s="15" t="s">
        <v>2116</v>
      </c>
      <c r="ED148" s="15" t="s">
        <v>1161</v>
      </c>
      <c r="EE148" s="15" t="s">
        <v>1575</v>
      </c>
      <c r="EF148" s="15" t="s">
        <v>1188</v>
      </c>
      <c r="EG148" s="15" t="s">
        <v>1330</v>
      </c>
      <c r="EH148" s="15" t="s">
        <v>2386</v>
      </c>
      <c r="EI148" s="15" t="s">
        <v>429</v>
      </c>
      <c r="EL148" s="15" t="s">
        <v>723</v>
      </c>
      <c r="EM148" s="15" t="s">
        <v>724</v>
      </c>
      <c r="EN148" s="15" t="s">
        <v>1289</v>
      </c>
      <c r="EO148" s="15" t="s">
        <v>2387</v>
      </c>
      <c r="EX148" s="15" t="s">
        <v>2379</v>
      </c>
      <c r="EY148" s="15" t="s">
        <v>2379</v>
      </c>
      <c r="IO148" s="15" t="s">
        <v>877</v>
      </c>
      <c r="IS148" s="15" t="s">
        <v>724</v>
      </c>
      <c r="IT148" s="15" t="s">
        <v>426</v>
      </c>
      <c r="JL148" s="15" t="s">
        <v>1065</v>
      </c>
      <c r="JM148" s="15" t="s">
        <v>468</v>
      </c>
      <c r="JN148" s="15" t="s">
        <v>2388</v>
      </c>
      <c r="JX148" s="15" t="s">
        <v>2389</v>
      </c>
    </row>
    <row r="149" ht="17.25" customHeight="1">
      <c r="A149" s="15" t="s">
        <v>2392</v>
      </c>
      <c r="B149" s="15" t="str">
        <f>"801542450427"</f>
        <v>801542450427</v>
      </c>
      <c r="C149" s="15" t="s">
        <v>12706</v>
      </c>
      <c r="D149" s="15" t="str">
        <f t="shared" si="1"/>
        <v>Bloor SofaEssence Natural</v>
      </c>
      <c r="E149" s="15" t="s">
        <v>2390</v>
      </c>
      <c r="F149" s="15" t="s">
        <v>397</v>
      </c>
      <c r="G149" s="15" t="s">
        <v>2365</v>
      </c>
      <c r="J149" s="15" t="s">
        <v>2365</v>
      </c>
      <c r="M149" s="15" t="s">
        <v>2374</v>
      </c>
      <c r="N149" s="15" t="s">
        <v>1732</v>
      </c>
      <c r="P149" s="15" t="str">
        <f t="shared" ref="P149:P150" si="434">"98"</f>
        <v>98</v>
      </c>
      <c r="Q149" s="15" t="str">
        <f t="shared" ref="Q149:Q150" si="435">"46"</f>
        <v>46</v>
      </c>
      <c r="R149" s="15" t="str">
        <f t="shared" ref="R149:R150" si="436">"31"</f>
        <v>31</v>
      </c>
      <c r="S149" s="15" t="str">
        <f t="shared" ref="S149:S150" si="437">"154.32"</f>
        <v>154.32</v>
      </c>
      <c r="T149" s="15" t="s">
        <v>2369</v>
      </c>
      <c r="U149" s="15" t="s">
        <v>12693</v>
      </c>
      <c r="V149" s="15" t="s">
        <v>12694</v>
      </c>
      <c r="W149" s="15" t="s">
        <v>12695</v>
      </c>
      <c r="X149" s="15" t="s">
        <v>12696</v>
      </c>
      <c r="AA149" s="15" t="s">
        <v>413</v>
      </c>
      <c r="AB149" s="15" t="s">
        <v>413</v>
      </c>
      <c r="AC149" s="15" t="s">
        <v>2396</v>
      </c>
      <c r="AD149" s="15" t="s">
        <v>12707</v>
      </c>
      <c r="AE149" s="15" t="s">
        <v>2393</v>
      </c>
      <c r="AF149" s="15" t="s">
        <v>12708</v>
      </c>
      <c r="AG149" s="15" t="s">
        <v>12709</v>
      </c>
      <c r="AH149" s="15" t="s">
        <v>12710</v>
      </c>
      <c r="AI149" s="15" t="s">
        <v>12711</v>
      </c>
      <c r="AJ149" s="15" t="s">
        <v>12712</v>
      </c>
      <c r="AK149" s="15" t="s">
        <v>12713</v>
      </c>
      <c r="AL149" s="15" t="s">
        <v>12714</v>
      </c>
      <c r="AM149" s="15" t="s">
        <v>12715</v>
      </c>
      <c r="AN149" s="15" t="s">
        <v>12716</v>
      </c>
      <c r="BH149" s="15" t="s">
        <v>2391</v>
      </c>
      <c r="BI149" s="15" t="str">
        <f>"2499"</f>
        <v>2499</v>
      </c>
      <c r="BJ149" s="15" t="str">
        <f>"1050"</f>
        <v>1050</v>
      </c>
      <c r="BK149" s="15" t="s">
        <v>415</v>
      </c>
      <c r="BL149" s="15" t="str">
        <f t="shared" si="408"/>
        <v>1</v>
      </c>
      <c r="BM149" s="15" t="s">
        <v>416</v>
      </c>
      <c r="BN149" s="15" t="str">
        <f t="shared" si="433"/>
        <v>101</v>
      </c>
      <c r="BO149" s="15" t="str">
        <f t="shared" ref="BO149:BO150" si="438">"49"</f>
        <v>49</v>
      </c>
      <c r="BP149" s="15" t="str">
        <f t="shared" ref="BP149:BP150" si="439">"25.5"</f>
        <v>25.5</v>
      </c>
      <c r="BQ149" s="15" t="str">
        <f t="shared" ref="BQ149:BQ150" si="440">"165.35"</f>
        <v>165.35</v>
      </c>
      <c r="CG149" s="15" t="str">
        <f t="shared" ref="CG149:CG150" si="441">"73.03"</f>
        <v>73.03</v>
      </c>
      <c r="CH149" s="15" t="str">
        <f t="shared" ref="CH149:CH150" si="442">"2.068"</f>
        <v>2.068</v>
      </c>
      <c r="CI149" s="15" t="s">
        <v>497</v>
      </c>
      <c r="CP149" s="15" t="s">
        <v>2385</v>
      </c>
      <c r="CQ149" s="15" t="s">
        <v>2116</v>
      </c>
      <c r="CR149" s="15" t="s">
        <v>2399</v>
      </c>
      <c r="CS149" s="15" t="s">
        <v>525</v>
      </c>
      <c r="CT149" s="15" t="s">
        <v>1213</v>
      </c>
      <c r="CU149" s="15" t="s">
        <v>2400</v>
      </c>
      <c r="CV149" s="15">
        <v>0.0</v>
      </c>
      <c r="CW149" s="15">
        <v>2.0</v>
      </c>
      <c r="CX149" s="15" t="s">
        <v>717</v>
      </c>
      <c r="CY149" s="15" t="s">
        <v>897</v>
      </c>
      <c r="DC149" s="15" t="s">
        <v>2380</v>
      </c>
      <c r="DF149" s="15" t="s">
        <v>721</v>
      </c>
      <c r="DG149" s="15" t="s">
        <v>419</v>
      </c>
      <c r="DH149" s="15">
        <v>2.0</v>
      </c>
      <c r="DL149" s="15">
        <v>27000.0</v>
      </c>
      <c r="DM149" s="15" t="s">
        <v>990</v>
      </c>
      <c r="DN149" s="15" t="s">
        <v>723</v>
      </c>
      <c r="DO149" s="15" t="s">
        <v>724</v>
      </c>
      <c r="DP149" s="15">
        <v>2.0</v>
      </c>
      <c r="DQ149" s="15">
        <v>3.0</v>
      </c>
      <c r="DS149" s="15" t="s">
        <v>2383</v>
      </c>
      <c r="DT149" s="15">
        <v>0.0</v>
      </c>
      <c r="DU149" s="15" t="s">
        <v>473</v>
      </c>
      <c r="DV149" s="15" t="s">
        <v>1324</v>
      </c>
      <c r="DW149" s="15" t="s">
        <v>429</v>
      </c>
      <c r="DX149" s="15" t="s">
        <v>2401</v>
      </c>
      <c r="EB149" s="15" t="s">
        <v>2402</v>
      </c>
      <c r="EC149" s="15" t="s">
        <v>475</v>
      </c>
      <c r="ED149" s="15" t="s">
        <v>1161</v>
      </c>
      <c r="EE149" s="15" t="s">
        <v>2399</v>
      </c>
      <c r="EF149" s="15" t="s">
        <v>612</v>
      </c>
      <c r="EG149" s="15" t="s">
        <v>2403</v>
      </c>
      <c r="EH149" s="15" t="s">
        <v>2404</v>
      </c>
      <c r="EI149" s="15" t="s">
        <v>429</v>
      </c>
      <c r="EL149" s="15" t="s">
        <v>723</v>
      </c>
      <c r="EM149" s="15" t="s">
        <v>724</v>
      </c>
      <c r="EN149" s="15" t="s">
        <v>1289</v>
      </c>
      <c r="EO149" s="15" t="s">
        <v>2387</v>
      </c>
      <c r="EX149" s="15" t="s">
        <v>2400</v>
      </c>
      <c r="EY149" s="15" t="s">
        <v>2400</v>
      </c>
      <c r="IP149" s="15" t="s">
        <v>505</v>
      </c>
      <c r="IQ149" s="15" t="s">
        <v>504</v>
      </c>
      <c r="IR149" s="15" t="s">
        <v>529</v>
      </c>
      <c r="IS149" s="15" t="s">
        <v>724</v>
      </c>
      <c r="IT149" s="15" t="s">
        <v>426</v>
      </c>
    </row>
    <row r="150" ht="17.25" customHeight="1">
      <c r="A150" s="15" t="s">
        <v>2407</v>
      </c>
      <c r="B150" s="15" t="str">
        <f>"198394059916"</f>
        <v>198394059916</v>
      </c>
      <c r="C150" s="15" t="s">
        <v>12717</v>
      </c>
      <c r="D150" s="15" t="str">
        <f t="shared" si="1"/>
        <v>Bloor SofaLandale Charcoal</v>
      </c>
      <c r="E150" s="15" t="s">
        <v>2390</v>
      </c>
      <c r="F150" s="15" t="s">
        <v>397</v>
      </c>
      <c r="G150" s="15" t="s">
        <v>2406</v>
      </c>
      <c r="J150" s="15" t="s">
        <v>2406</v>
      </c>
      <c r="M150" s="15" t="s">
        <v>2374</v>
      </c>
      <c r="N150" s="15" t="s">
        <v>1732</v>
      </c>
      <c r="P150" s="15" t="str">
        <f t="shared" si="434"/>
        <v>98</v>
      </c>
      <c r="Q150" s="15" t="str">
        <f t="shared" si="435"/>
        <v>46</v>
      </c>
      <c r="R150" s="15" t="str">
        <f t="shared" si="436"/>
        <v>31</v>
      </c>
      <c r="S150" s="15" t="str">
        <f t="shared" si="437"/>
        <v>154.32</v>
      </c>
      <c r="T150" s="15" t="s">
        <v>1655</v>
      </c>
      <c r="U150" s="15" t="s">
        <v>11209</v>
      </c>
      <c r="AA150" s="15" t="s">
        <v>413</v>
      </c>
      <c r="AB150" s="15" t="s">
        <v>413</v>
      </c>
      <c r="AC150" s="15" t="s">
        <v>2409</v>
      </c>
      <c r="AD150" s="15" t="s">
        <v>12718</v>
      </c>
      <c r="AE150" s="15" t="s">
        <v>2408</v>
      </c>
      <c r="AF150" s="15" t="s">
        <v>12719</v>
      </c>
      <c r="AG150" s="15" t="s">
        <v>12720</v>
      </c>
      <c r="AH150" s="15" t="s">
        <v>12721</v>
      </c>
      <c r="AI150" s="15" t="s">
        <v>12722</v>
      </c>
      <c r="BH150" s="15" t="s">
        <v>2405</v>
      </c>
      <c r="BI150" s="15" t="str">
        <f>"2799"</f>
        <v>2799</v>
      </c>
      <c r="BJ150" s="15" t="str">
        <f>"1180"</f>
        <v>1180</v>
      </c>
      <c r="BK150" s="15" t="s">
        <v>415</v>
      </c>
      <c r="BL150" s="15" t="str">
        <f t="shared" si="408"/>
        <v>1</v>
      </c>
      <c r="BM150" s="15" t="s">
        <v>416</v>
      </c>
      <c r="BN150" s="15" t="str">
        <f t="shared" si="433"/>
        <v>101</v>
      </c>
      <c r="BO150" s="15" t="str">
        <f t="shared" si="438"/>
        <v>49</v>
      </c>
      <c r="BP150" s="15" t="str">
        <f t="shared" si="439"/>
        <v>25.5</v>
      </c>
      <c r="BQ150" s="15" t="str">
        <f t="shared" si="440"/>
        <v>165.35</v>
      </c>
      <c r="CG150" s="15" t="str">
        <f t="shared" si="441"/>
        <v>73.03</v>
      </c>
      <c r="CH150" s="15" t="str">
        <f t="shared" si="442"/>
        <v>2.068</v>
      </c>
      <c r="CI150" s="15" t="s">
        <v>465</v>
      </c>
      <c r="CP150" s="15" t="s">
        <v>2385</v>
      </c>
      <c r="CQ150" s="15" t="s">
        <v>2116</v>
      </c>
      <c r="CR150" s="15" t="s">
        <v>2399</v>
      </c>
      <c r="CS150" s="15" t="s">
        <v>525</v>
      </c>
      <c r="CT150" s="15" t="s">
        <v>1213</v>
      </c>
      <c r="CU150" s="15" t="s">
        <v>2400</v>
      </c>
      <c r="CV150" s="15">
        <v>0.0</v>
      </c>
      <c r="CW150" s="15">
        <v>2.0</v>
      </c>
      <c r="CX150" s="15" t="s">
        <v>717</v>
      </c>
      <c r="CY150" s="15" t="s">
        <v>934</v>
      </c>
      <c r="DC150" s="15" t="s">
        <v>2380</v>
      </c>
      <c r="DF150" s="15" t="s">
        <v>721</v>
      </c>
      <c r="DG150" s="15" t="s">
        <v>419</v>
      </c>
      <c r="DH150" s="15">
        <v>2.0</v>
      </c>
      <c r="DL150" s="15">
        <v>50000.0</v>
      </c>
      <c r="DM150" s="15" t="s">
        <v>990</v>
      </c>
      <c r="DN150" s="15" t="s">
        <v>723</v>
      </c>
      <c r="DO150" s="15" t="s">
        <v>724</v>
      </c>
      <c r="DP150" s="15">
        <v>2.0</v>
      </c>
      <c r="DQ150" s="15">
        <v>3.0</v>
      </c>
      <c r="DS150" s="15" t="s">
        <v>2383</v>
      </c>
      <c r="DT150" s="15">
        <v>0.0</v>
      </c>
      <c r="DU150" s="15" t="s">
        <v>473</v>
      </c>
      <c r="DV150" s="15" t="s">
        <v>1324</v>
      </c>
      <c r="DW150" s="15" t="s">
        <v>429</v>
      </c>
      <c r="DX150" s="15" t="s">
        <v>2401</v>
      </c>
      <c r="EB150" s="15" t="s">
        <v>2402</v>
      </c>
      <c r="EC150" s="15" t="s">
        <v>475</v>
      </c>
      <c r="ED150" s="15" t="s">
        <v>1161</v>
      </c>
      <c r="EE150" s="15" t="s">
        <v>2399</v>
      </c>
      <c r="EF150" s="15" t="s">
        <v>612</v>
      </c>
      <c r="EG150" s="15" t="s">
        <v>2403</v>
      </c>
      <c r="EH150" s="15" t="s">
        <v>2404</v>
      </c>
      <c r="EI150" s="15" t="s">
        <v>429</v>
      </c>
      <c r="EL150" s="15" t="s">
        <v>723</v>
      </c>
      <c r="EM150" s="15" t="s">
        <v>724</v>
      </c>
      <c r="EN150" s="15" t="s">
        <v>1289</v>
      </c>
      <c r="EO150" s="15" t="s">
        <v>2387</v>
      </c>
      <c r="EX150" s="15" t="s">
        <v>2400</v>
      </c>
      <c r="EY150" s="15" t="s">
        <v>2400</v>
      </c>
      <c r="IP150" s="15" t="s">
        <v>505</v>
      </c>
      <c r="IQ150" s="15" t="s">
        <v>504</v>
      </c>
      <c r="IR150" s="15" t="s">
        <v>529</v>
      </c>
      <c r="IS150" s="15" t="s">
        <v>724</v>
      </c>
      <c r="IT150" s="15" t="s">
        <v>426</v>
      </c>
    </row>
    <row r="151" ht="17.25" customHeight="1">
      <c r="A151" s="15" t="s">
        <v>2413</v>
      </c>
      <c r="B151" s="15" t="str">
        <f>"801542293512"</f>
        <v>801542293512</v>
      </c>
      <c r="C151" s="15" t="s">
        <v>12723</v>
      </c>
      <c r="D151" s="15" t="str">
        <f t="shared" si="1"/>
        <v>Boden ChairPalermo Cigar</v>
      </c>
      <c r="E151" s="15" t="s">
        <v>2410</v>
      </c>
      <c r="F151" s="15" t="s">
        <v>397</v>
      </c>
      <c r="G151" s="15" t="s">
        <v>2412</v>
      </c>
      <c r="J151" s="15" t="s">
        <v>2412</v>
      </c>
      <c r="K151" s="15" t="s">
        <v>2418</v>
      </c>
      <c r="M151" s="15" t="s">
        <v>915</v>
      </c>
      <c r="N151" s="15" t="s">
        <v>706</v>
      </c>
      <c r="O151" s="15" t="s">
        <v>707</v>
      </c>
      <c r="P151" s="15" t="str">
        <f>"36"</f>
        <v>36</v>
      </c>
      <c r="Q151" s="15" t="str">
        <f>"40.5"</f>
        <v>40.5</v>
      </c>
      <c r="R151" s="15" t="str">
        <f>"30"</f>
        <v>30</v>
      </c>
      <c r="S151" s="15" t="str">
        <f>"76.06"</f>
        <v>76.06</v>
      </c>
      <c r="T151" s="15" t="s">
        <v>975</v>
      </c>
      <c r="U151" s="15" t="s">
        <v>11137</v>
      </c>
      <c r="V151" s="15" t="s">
        <v>11210</v>
      </c>
      <c r="AA151" s="15" t="s">
        <v>413</v>
      </c>
      <c r="AB151" s="15" t="s">
        <v>413</v>
      </c>
      <c r="AC151" s="15" t="s">
        <v>2419</v>
      </c>
      <c r="AD151" s="15" t="s">
        <v>12724</v>
      </c>
      <c r="AE151" s="15" t="s">
        <v>2415</v>
      </c>
      <c r="AF151" s="15" t="s">
        <v>12725</v>
      </c>
      <c r="AG151" s="15" t="s">
        <v>12726</v>
      </c>
      <c r="AH151" s="15" t="s">
        <v>12727</v>
      </c>
      <c r="AI151" s="15" t="s">
        <v>12728</v>
      </c>
      <c r="AJ151" s="15" t="s">
        <v>12729</v>
      </c>
      <c r="AK151" s="15" t="s">
        <v>12730</v>
      </c>
      <c r="AL151" s="15" t="s">
        <v>12731</v>
      </c>
      <c r="AM151" s="15" t="s">
        <v>12732</v>
      </c>
      <c r="AN151" s="15" t="s">
        <v>12733</v>
      </c>
      <c r="AO151" s="15" t="s">
        <v>12734</v>
      </c>
      <c r="BH151" s="15" t="s">
        <v>2411</v>
      </c>
      <c r="BI151" s="15" t="str">
        <f t="shared" ref="BI151:BI153" si="443">"2199"</f>
        <v>2199</v>
      </c>
      <c r="BJ151" s="15" t="str">
        <f t="shared" ref="BJ151:BJ153" si="444">"925"</f>
        <v>925</v>
      </c>
      <c r="BK151" s="15" t="s">
        <v>709</v>
      </c>
      <c r="BL151" s="15" t="str">
        <f t="shared" si="408"/>
        <v>1</v>
      </c>
      <c r="BM151" s="15" t="s">
        <v>416</v>
      </c>
      <c r="BN151" s="15" t="str">
        <f>"40.94"</f>
        <v>40.94</v>
      </c>
      <c r="BO151" s="15" t="str">
        <f>"40.16"</f>
        <v>40.16</v>
      </c>
      <c r="BP151" s="15" t="str">
        <f>"32.28"</f>
        <v>32.28</v>
      </c>
      <c r="BQ151" s="15" t="str">
        <f>"100.31"</f>
        <v>100.31</v>
      </c>
      <c r="CG151" s="15" t="str">
        <f>"30.72"</f>
        <v>30.72</v>
      </c>
      <c r="CH151" s="15" t="str">
        <f>"0.87"</f>
        <v>0.87</v>
      </c>
      <c r="CI151" s="15" t="s">
        <v>417</v>
      </c>
      <c r="CS151" s="15" t="s">
        <v>555</v>
      </c>
      <c r="CT151" s="15" t="s">
        <v>824</v>
      </c>
      <c r="CV151" s="15">
        <v>0.0</v>
      </c>
      <c r="CW151" s="15">
        <v>1.0</v>
      </c>
      <c r="CX151" s="15" t="s">
        <v>717</v>
      </c>
      <c r="CY151" s="15" t="s">
        <v>718</v>
      </c>
      <c r="DF151" s="15" t="s">
        <v>721</v>
      </c>
      <c r="DG151" s="15" t="s">
        <v>419</v>
      </c>
      <c r="DH151" s="15">
        <v>0.0</v>
      </c>
      <c r="DL151" s="15">
        <v>0.0</v>
      </c>
      <c r="DM151" s="15" t="s">
        <v>990</v>
      </c>
      <c r="DN151" s="15" t="s">
        <v>1016</v>
      </c>
      <c r="DP151" s="15">
        <v>1.0</v>
      </c>
      <c r="DQ151" s="15">
        <v>1.0</v>
      </c>
      <c r="DS151" s="15" t="s">
        <v>2421</v>
      </c>
      <c r="DT151" s="15">
        <v>0.0</v>
      </c>
      <c r="DU151" s="15" t="s">
        <v>726</v>
      </c>
      <c r="DV151" s="15" t="s">
        <v>1211</v>
      </c>
      <c r="DW151" s="15" t="s">
        <v>2116</v>
      </c>
      <c r="DX151" s="15" t="s">
        <v>558</v>
      </c>
      <c r="EB151" s="15" t="s">
        <v>1069</v>
      </c>
      <c r="EF151" s="15" t="s">
        <v>762</v>
      </c>
      <c r="EG151" s="15" t="s">
        <v>2422</v>
      </c>
      <c r="EH151" s="15" t="s">
        <v>1806</v>
      </c>
      <c r="EI151" s="15" t="s">
        <v>1593</v>
      </c>
      <c r="EL151" s="15" t="s">
        <v>1016</v>
      </c>
      <c r="EO151" s="15" t="s">
        <v>860</v>
      </c>
      <c r="EX151" s="15" t="s">
        <v>525</v>
      </c>
      <c r="EY151" s="15" t="s">
        <v>1806</v>
      </c>
      <c r="EZ151" s="15">
        <v>0.0</v>
      </c>
      <c r="FA151" s="15">
        <v>0.0</v>
      </c>
      <c r="FC151" s="15">
        <v>0.0</v>
      </c>
    </row>
    <row r="152" ht="17.25" customHeight="1">
      <c r="A152" s="15" t="s">
        <v>2425</v>
      </c>
      <c r="B152" s="15" t="str">
        <f>"801542460433"</f>
        <v>801542460433</v>
      </c>
      <c r="C152" s="15" t="s">
        <v>12735</v>
      </c>
      <c r="D152" s="15" t="str">
        <f t="shared" si="1"/>
        <v>Boone SofaThames Coal</v>
      </c>
      <c r="E152" s="15" t="s">
        <v>2423</v>
      </c>
      <c r="F152" s="15" t="s">
        <v>397</v>
      </c>
      <c r="G152" s="15" t="s">
        <v>1269</v>
      </c>
      <c r="J152" s="15" t="s">
        <v>1269</v>
      </c>
      <c r="K152" s="15" t="s">
        <v>2428</v>
      </c>
      <c r="M152" s="15" t="s">
        <v>915</v>
      </c>
      <c r="N152" s="15" t="s">
        <v>1732</v>
      </c>
      <c r="P152" s="15" t="str">
        <f t="shared" ref="P152:P153" si="445">"86"</f>
        <v>86</v>
      </c>
      <c r="Q152" s="15" t="str">
        <f t="shared" ref="Q152:Q153" si="446">"40"</f>
        <v>40</v>
      </c>
      <c r="R152" s="15" t="str">
        <f t="shared" ref="R152:R153" si="447">"32"</f>
        <v>32</v>
      </c>
      <c r="S152" s="15" t="str">
        <f t="shared" ref="S152:S153" si="448">"132.28"</f>
        <v>132.28</v>
      </c>
      <c r="T152" s="15" t="s">
        <v>1273</v>
      </c>
      <c r="U152" s="15" t="s">
        <v>11537</v>
      </c>
      <c r="V152" s="15" t="s">
        <v>11538</v>
      </c>
      <c r="W152" s="15" t="s">
        <v>11539</v>
      </c>
      <c r="X152" s="15" t="s">
        <v>11210</v>
      </c>
      <c r="AA152" s="15" t="s">
        <v>413</v>
      </c>
      <c r="AB152" s="15" t="s">
        <v>426</v>
      </c>
      <c r="AC152" s="15" t="s">
        <v>2429</v>
      </c>
      <c r="AD152" s="15" t="s">
        <v>12736</v>
      </c>
      <c r="AE152" s="15" t="s">
        <v>2427</v>
      </c>
      <c r="AF152" s="15" t="s">
        <v>12737</v>
      </c>
      <c r="AG152" s="15" t="s">
        <v>12738</v>
      </c>
      <c r="AH152" s="15" t="s">
        <v>12739</v>
      </c>
      <c r="AI152" s="15" t="s">
        <v>12740</v>
      </c>
      <c r="AJ152" s="15" t="s">
        <v>12741</v>
      </c>
      <c r="AK152" s="15" t="s">
        <v>12742</v>
      </c>
      <c r="AL152" s="15" t="s">
        <v>12743</v>
      </c>
      <c r="AM152" s="15" t="s">
        <v>12744</v>
      </c>
      <c r="AN152" s="15" t="s">
        <v>12745</v>
      </c>
      <c r="AO152" s="15" t="s">
        <v>12746</v>
      </c>
      <c r="AP152" s="15" t="s">
        <v>12747</v>
      </c>
      <c r="BH152" s="15" t="s">
        <v>2424</v>
      </c>
      <c r="BI152" s="15" t="str">
        <f t="shared" si="443"/>
        <v>2199</v>
      </c>
      <c r="BJ152" s="15" t="str">
        <f t="shared" si="444"/>
        <v>925</v>
      </c>
      <c r="BK152" s="15" t="s">
        <v>709</v>
      </c>
      <c r="BL152" s="15" t="str">
        <f t="shared" si="408"/>
        <v>1</v>
      </c>
      <c r="BM152" s="15" t="s">
        <v>416</v>
      </c>
      <c r="BN152" s="15" t="str">
        <f t="shared" ref="BN152:BN153" si="449">"86.61"</f>
        <v>86.61</v>
      </c>
      <c r="BO152" s="15" t="str">
        <f t="shared" ref="BO152:BO153" si="450">"41.34"</f>
        <v>41.34</v>
      </c>
      <c r="BP152" s="15" t="str">
        <f t="shared" ref="BP152:BP153" si="451">"29.92"</f>
        <v>29.92</v>
      </c>
      <c r="BQ152" s="15" t="str">
        <f t="shared" ref="BQ152:BQ153" si="452">"158.95"</f>
        <v>158.95</v>
      </c>
      <c r="CG152" s="15" t="str">
        <f t="shared" ref="CG152:CG153" si="453">"62.01"</f>
        <v>62.01</v>
      </c>
      <c r="CH152" s="15" t="str">
        <f t="shared" ref="CH152:CH153" si="454">"1.756"</f>
        <v>1.756</v>
      </c>
      <c r="CI152" s="15" t="s">
        <v>497</v>
      </c>
      <c r="CP152" s="15" t="s">
        <v>1994</v>
      </c>
      <c r="CQ152" s="15" t="s">
        <v>2116</v>
      </c>
      <c r="CR152" s="15" t="s">
        <v>468</v>
      </c>
      <c r="CS152" s="15" t="s">
        <v>1211</v>
      </c>
      <c r="CT152" s="15" t="s">
        <v>467</v>
      </c>
      <c r="CU152" s="15" t="s">
        <v>468</v>
      </c>
      <c r="CV152" s="15">
        <v>0.0</v>
      </c>
      <c r="CW152" s="15">
        <v>2.0</v>
      </c>
      <c r="CX152" s="15" t="s">
        <v>717</v>
      </c>
      <c r="CY152" s="15" t="s">
        <v>855</v>
      </c>
      <c r="DC152" s="15" t="s">
        <v>2431</v>
      </c>
      <c r="DF152" s="15" t="s">
        <v>721</v>
      </c>
      <c r="DG152" s="15" t="s">
        <v>419</v>
      </c>
      <c r="DH152" s="15">
        <v>0.0</v>
      </c>
      <c r="DL152" s="15">
        <v>25000.0</v>
      </c>
      <c r="DM152" s="15" t="s">
        <v>722</v>
      </c>
      <c r="DN152" s="15" t="s">
        <v>723</v>
      </c>
      <c r="DO152" s="15" t="s">
        <v>724</v>
      </c>
      <c r="DP152" s="15">
        <v>1.0</v>
      </c>
      <c r="DQ152" s="15">
        <v>4.0</v>
      </c>
      <c r="DS152" s="15" t="s">
        <v>2432</v>
      </c>
      <c r="DT152" s="15">
        <v>0.0</v>
      </c>
      <c r="DU152" s="15" t="s">
        <v>588</v>
      </c>
      <c r="DV152" s="15" t="s">
        <v>1211</v>
      </c>
      <c r="DW152" s="15" t="s">
        <v>429</v>
      </c>
      <c r="DX152" s="15" t="s">
        <v>2433</v>
      </c>
      <c r="EB152" s="15" t="s">
        <v>2402</v>
      </c>
      <c r="EC152" s="15" t="s">
        <v>2402</v>
      </c>
      <c r="ED152" s="15" t="s">
        <v>1213</v>
      </c>
      <c r="EE152" s="15" t="s">
        <v>2434</v>
      </c>
      <c r="EF152" s="15" t="s">
        <v>672</v>
      </c>
      <c r="EG152" s="15" t="s">
        <v>1995</v>
      </c>
      <c r="EH152" s="15" t="s">
        <v>2435</v>
      </c>
      <c r="EI152" s="15" t="s">
        <v>475</v>
      </c>
      <c r="EL152" s="15" t="s">
        <v>723</v>
      </c>
      <c r="EM152" s="15" t="s">
        <v>724</v>
      </c>
      <c r="EN152" s="15" t="s">
        <v>1289</v>
      </c>
      <c r="EO152" s="15" t="s">
        <v>997</v>
      </c>
      <c r="FB152" s="15" t="s">
        <v>2436</v>
      </c>
    </row>
    <row r="153" ht="17.25" customHeight="1">
      <c r="A153" s="15" t="s">
        <v>2438</v>
      </c>
      <c r="B153" s="15" t="str">
        <f>"801542759636"</f>
        <v>801542759636</v>
      </c>
      <c r="C153" s="15" t="s">
        <v>12748</v>
      </c>
      <c r="D153" s="15" t="str">
        <f t="shared" si="1"/>
        <v>Boone SofaThames Cream</v>
      </c>
      <c r="E153" s="15" t="s">
        <v>2423</v>
      </c>
      <c r="F153" s="15" t="s">
        <v>397</v>
      </c>
      <c r="G153" s="15" t="s">
        <v>2000</v>
      </c>
      <c r="J153" s="15" t="s">
        <v>2000</v>
      </c>
      <c r="K153" s="15" t="s">
        <v>2428</v>
      </c>
      <c r="M153" s="15" t="s">
        <v>915</v>
      </c>
      <c r="N153" s="15" t="s">
        <v>1732</v>
      </c>
      <c r="P153" s="15" t="str">
        <f t="shared" si="445"/>
        <v>86</v>
      </c>
      <c r="Q153" s="15" t="str">
        <f t="shared" si="446"/>
        <v>40</v>
      </c>
      <c r="R153" s="15" t="str">
        <f t="shared" si="447"/>
        <v>32</v>
      </c>
      <c r="S153" s="15" t="str">
        <f t="shared" si="448"/>
        <v>132.28</v>
      </c>
      <c r="T153" s="15" t="s">
        <v>1273</v>
      </c>
      <c r="U153" s="15" t="s">
        <v>11537</v>
      </c>
      <c r="V153" s="15" t="s">
        <v>11538</v>
      </c>
      <c r="W153" s="15" t="s">
        <v>11539</v>
      </c>
      <c r="X153" s="15" t="s">
        <v>11210</v>
      </c>
      <c r="AA153" s="15" t="s">
        <v>413</v>
      </c>
      <c r="AB153" s="15" t="s">
        <v>426</v>
      </c>
      <c r="AC153" s="15" t="s">
        <v>2440</v>
      </c>
      <c r="AD153" s="15" t="s">
        <v>12749</v>
      </c>
      <c r="AE153" s="15" t="s">
        <v>2439</v>
      </c>
      <c r="AF153" s="15" t="s">
        <v>12750</v>
      </c>
      <c r="AG153" s="15" t="s">
        <v>12751</v>
      </c>
      <c r="AH153" s="15" t="s">
        <v>12752</v>
      </c>
      <c r="AI153" s="15" t="s">
        <v>12753</v>
      </c>
      <c r="AJ153" s="15" t="s">
        <v>12754</v>
      </c>
      <c r="AK153" s="15" t="s">
        <v>12755</v>
      </c>
      <c r="AL153" s="15" t="s">
        <v>12756</v>
      </c>
      <c r="AM153" s="15" t="s">
        <v>12757</v>
      </c>
      <c r="BH153" s="15" t="s">
        <v>2437</v>
      </c>
      <c r="BI153" s="15" t="str">
        <f t="shared" si="443"/>
        <v>2199</v>
      </c>
      <c r="BJ153" s="15" t="str">
        <f t="shared" si="444"/>
        <v>925</v>
      </c>
      <c r="BK153" s="15" t="s">
        <v>709</v>
      </c>
      <c r="BL153" s="15" t="str">
        <f t="shared" si="408"/>
        <v>1</v>
      </c>
      <c r="BM153" s="15" t="s">
        <v>416</v>
      </c>
      <c r="BN153" s="15" t="str">
        <f t="shared" si="449"/>
        <v>86.61</v>
      </c>
      <c r="BO153" s="15" t="str">
        <f t="shared" si="450"/>
        <v>41.34</v>
      </c>
      <c r="BP153" s="15" t="str">
        <f t="shared" si="451"/>
        <v>29.92</v>
      </c>
      <c r="BQ153" s="15" t="str">
        <f t="shared" si="452"/>
        <v>158.95</v>
      </c>
      <c r="CG153" s="15" t="str">
        <f t="shared" si="453"/>
        <v>62.01</v>
      </c>
      <c r="CH153" s="15" t="str">
        <f t="shared" si="454"/>
        <v>1.756</v>
      </c>
      <c r="CI153" s="15" t="s">
        <v>497</v>
      </c>
      <c r="CP153" s="15" t="s">
        <v>1994</v>
      </c>
      <c r="CQ153" s="15" t="s">
        <v>2116</v>
      </c>
      <c r="CR153" s="15" t="s">
        <v>468</v>
      </c>
      <c r="CS153" s="15" t="s">
        <v>1211</v>
      </c>
      <c r="CT153" s="15" t="s">
        <v>467</v>
      </c>
      <c r="CU153" s="15" t="s">
        <v>468</v>
      </c>
      <c r="CV153" s="15">
        <v>0.0</v>
      </c>
      <c r="CW153" s="15">
        <v>2.0</v>
      </c>
      <c r="CX153" s="15" t="s">
        <v>717</v>
      </c>
      <c r="CY153" s="15" t="s">
        <v>855</v>
      </c>
      <c r="DC153" s="15" t="s">
        <v>2431</v>
      </c>
      <c r="DF153" s="15" t="s">
        <v>721</v>
      </c>
      <c r="DG153" s="15" t="s">
        <v>419</v>
      </c>
      <c r="DH153" s="15">
        <v>0.0</v>
      </c>
      <c r="DL153" s="15">
        <v>25000.0</v>
      </c>
      <c r="DM153" s="15" t="s">
        <v>722</v>
      </c>
      <c r="DN153" s="15" t="s">
        <v>723</v>
      </c>
      <c r="DO153" s="15" t="s">
        <v>724</v>
      </c>
      <c r="DP153" s="15">
        <v>1.0</v>
      </c>
      <c r="DQ153" s="15">
        <v>4.0</v>
      </c>
      <c r="DS153" s="15" t="s">
        <v>2432</v>
      </c>
      <c r="DT153" s="15">
        <v>0.0</v>
      </c>
      <c r="DU153" s="15" t="s">
        <v>588</v>
      </c>
      <c r="DV153" s="15" t="s">
        <v>1211</v>
      </c>
      <c r="DW153" s="15" t="s">
        <v>429</v>
      </c>
      <c r="DX153" s="15" t="s">
        <v>2433</v>
      </c>
      <c r="EB153" s="15" t="s">
        <v>2402</v>
      </c>
      <c r="EC153" s="15" t="s">
        <v>2402</v>
      </c>
      <c r="ED153" s="15" t="s">
        <v>1213</v>
      </c>
      <c r="EE153" s="15" t="s">
        <v>2434</v>
      </c>
      <c r="EF153" s="15" t="s">
        <v>672</v>
      </c>
      <c r="EG153" s="15" t="s">
        <v>1995</v>
      </c>
      <c r="EH153" s="15" t="s">
        <v>2435</v>
      </c>
      <c r="EI153" s="15" t="s">
        <v>475</v>
      </c>
      <c r="EL153" s="15" t="s">
        <v>723</v>
      </c>
      <c r="EM153" s="15" t="s">
        <v>724</v>
      </c>
      <c r="EN153" s="15" t="s">
        <v>1289</v>
      </c>
      <c r="EO153" s="15" t="s">
        <v>997</v>
      </c>
      <c r="FB153" s="15" t="s">
        <v>2436</v>
      </c>
    </row>
    <row r="154" ht="17.25" customHeight="1">
      <c r="A154" s="15" t="s">
        <v>2444</v>
      </c>
      <c r="B154" s="15" t="str">
        <f>"801542126711"</f>
        <v>801542126711</v>
      </c>
      <c r="C154" s="15" t="s">
        <v>12758</v>
      </c>
      <c r="D154" s="15" t="str">
        <f t="shared" si="1"/>
        <v>Bowen BedSheepskin NaturalKing</v>
      </c>
      <c r="E154" s="15" t="s">
        <v>2441</v>
      </c>
      <c r="F154" s="15" t="s">
        <v>397</v>
      </c>
      <c r="G154" s="15" t="s">
        <v>2443</v>
      </c>
      <c r="H154" s="15" t="s">
        <v>265</v>
      </c>
      <c r="I154" s="15" t="s">
        <v>828</v>
      </c>
      <c r="J154" s="15" t="s">
        <v>2443</v>
      </c>
      <c r="K154" s="15" t="s">
        <v>2452</v>
      </c>
      <c r="L154" s="15" t="s">
        <v>2453</v>
      </c>
      <c r="M154" s="15" t="s">
        <v>1030</v>
      </c>
      <c r="N154" s="15" t="s">
        <v>839</v>
      </c>
      <c r="O154" s="15" t="s">
        <v>828</v>
      </c>
      <c r="P154" s="15" t="str">
        <f>"80.25"</f>
        <v>80.25</v>
      </c>
      <c r="Q154" s="15" t="str">
        <f t="shared" ref="Q154:Q155" si="455">"87.25"</f>
        <v>87.25</v>
      </c>
      <c r="R154" s="15" t="str">
        <f t="shared" ref="R154:R155" si="456">"48"</f>
        <v>48</v>
      </c>
      <c r="S154" s="15" t="str">
        <f>"238.1"</f>
        <v>238.1</v>
      </c>
      <c r="T154" s="15" t="s">
        <v>2447</v>
      </c>
      <c r="U154" s="15" t="s">
        <v>11209</v>
      </c>
      <c r="V154" s="15" t="s">
        <v>11338</v>
      </c>
      <c r="W154" s="15" t="s">
        <v>11553</v>
      </c>
      <c r="AA154" s="15" t="s">
        <v>413</v>
      </c>
      <c r="AB154" s="15" t="s">
        <v>413</v>
      </c>
      <c r="AC154" s="15" t="s">
        <v>2454</v>
      </c>
      <c r="AD154" s="15" t="s">
        <v>12759</v>
      </c>
      <c r="AE154" s="15" t="s">
        <v>2446</v>
      </c>
      <c r="AF154" s="15" t="s">
        <v>12760</v>
      </c>
      <c r="AG154" s="15" t="s">
        <v>12761</v>
      </c>
      <c r="AH154" s="15" t="s">
        <v>12762</v>
      </c>
      <c r="AI154" s="15" t="s">
        <v>12763</v>
      </c>
      <c r="AJ154" s="15" t="s">
        <v>12764</v>
      </c>
      <c r="AK154" s="15" t="s">
        <v>12765</v>
      </c>
      <c r="AL154" s="15" t="s">
        <v>12766</v>
      </c>
      <c r="AM154" s="15" t="s">
        <v>12767</v>
      </c>
      <c r="AN154" s="15" t="s">
        <v>12768</v>
      </c>
      <c r="AO154" s="15" t="s">
        <v>12769</v>
      </c>
      <c r="AP154" s="15" t="s">
        <v>12770</v>
      </c>
      <c r="AQ154" s="15" t="s">
        <v>12771</v>
      </c>
      <c r="AR154" s="15" t="s">
        <v>12772</v>
      </c>
      <c r="AS154" s="15" t="s">
        <v>12773</v>
      </c>
      <c r="AT154" s="15" t="s">
        <v>12774</v>
      </c>
      <c r="BH154" s="15" t="s">
        <v>2442</v>
      </c>
      <c r="BI154" s="15" t="str">
        <f>"2299"</f>
        <v>2299</v>
      </c>
      <c r="BJ154" s="15" t="str">
        <f>"970"</f>
        <v>970</v>
      </c>
      <c r="BK154" s="15" t="s">
        <v>742</v>
      </c>
      <c r="BL154" s="15" t="str">
        <f t="shared" ref="BL154:BL155" si="457">"2"</f>
        <v>2</v>
      </c>
      <c r="BM154" s="15" t="s">
        <v>2455</v>
      </c>
      <c r="BN154" s="15" t="str">
        <f>"83.46"</f>
        <v>83.46</v>
      </c>
      <c r="BO154" s="15" t="str">
        <f>"9.25"</f>
        <v>9.25</v>
      </c>
      <c r="BP154" s="15" t="str">
        <f>"51.38"</f>
        <v>51.38</v>
      </c>
      <c r="BQ154" s="15" t="str">
        <f>"154.32"</f>
        <v>154.32</v>
      </c>
      <c r="BR154" s="15" t="s">
        <v>2460</v>
      </c>
      <c r="BS154" s="15" t="str">
        <f t="shared" ref="BS154:BS155" si="458">"86.61"</f>
        <v>86.61</v>
      </c>
      <c r="BT154" s="15" t="str">
        <f t="shared" ref="BT154:BT155" si="459">"6.69"</f>
        <v>6.69</v>
      </c>
      <c r="BU154" s="15" t="str">
        <f t="shared" ref="BU154:BU155" si="460">"18.5"</f>
        <v>18.5</v>
      </c>
      <c r="BV154" s="15" t="str">
        <f>"112.44"</f>
        <v>112.44</v>
      </c>
      <c r="CG154" s="15" t="str">
        <f>"29.17"</f>
        <v>29.17</v>
      </c>
      <c r="CH154" s="15" t="str">
        <f>"0.826"</f>
        <v>0.826</v>
      </c>
      <c r="CI154" s="15" t="s">
        <v>465</v>
      </c>
      <c r="CY154" s="15" t="s">
        <v>897</v>
      </c>
      <c r="CZ154" s="15" t="s">
        <v>419</v>
      </c>
      <c r="DA154" s="15">
        <v>0.0</v>
      </c>
      <c r="DB154" s="15" t="s">
        <v>419</v>
      </c>
      <c r="DD154" s="15">
        <v>0.0</v>
      </c>
      <c r="DF154" s="15" t="s">
        <v>721</v>
      </c>
      <c r="DG154" s="15" t="s">
        <v>419</v>
      </c>
      <c r="DI154" s="15">
        <v>0.0</v>
      </c>
      <c r="DJ154" s="15">
        <v>0.0</v>
      </c>
      <c r="DK154" s="15">
        <v>0.0</v>
      </c>
      <c r="DL154" s="15">
        <v>100000.0</v>
      </c>
      <c r="DS154" s="15" t="s">
        <v>2463</v>
      </c>
      <c r="DU154" s="15" t="s">
        <v>858</v>
      </c>
      <c r="EO154" s="15" t="s">
        <v>1255</v>
      </c>
      <c r="EV154" s="15">
        <v>0.0</v>
      </c>
      <c r="HV154" s="15" t="s">
        <v>2464</v>
      </c>
      <c r="HW154" s="15" t="s">
        <v>2464</v>
      </c>
      <c r="HX154" s="15" t="s">
        <v>2464</v>
      </c>
      <c r="HY154" s="15" t="s">
        <v>2017</v>
      </c>
      <c r="HZ154" s="15" t="s">
        <v>2465</v>
      </c>
      <c r="IA154" s="15" t="s">
        <v>2466</v>
      </c>
      <c r="IB154" s="15" t="s">
        <v>2467</v>
      </c>
      <c r="IC154" s="15" t="s">
        <v>2468</v>
      </c>
      <c r="ID154" s="15" t="s">
        <v>2466</v>
      </c>
      <c r="IE154" s="15" t="s">
        <v>2469</v>
      </c>
      <c r="IF154" s="15" t="s">
        <v>1957</v>
      </c>
      <c r="IG154" s="15" t="s">
        <v>869</v>
      </c>
      <c r="IH154" s="15" t="s">
        <v>762</v>
      </c>
      <c r="II154" s="15" t="s">
        <v>2470</v>
      </c>
      <c r="IJ154" s="15" t="s">
        <v>1121</v>
      </c>
      <c r="IK154" s="15" t="s">
        <v>426</v>
      </c>
      <c r="IL154" s="15" t="s">
        <v>2471</v>
      </c>
      <c r="IM154" s="15" t="s">
        <v>872</v>
      </c>
      <c r="IN154" s="15" t="s">
        <v>873</v>
      </c>
      <c r="IO154" s="15" t="s">
        <v>828</v>
      </c>
      <c r="IU154" s="15" t="s">
        <v>2472</v>
      </c>
      <c r="IV154" s="15" t="s">
        <v>2473</v>
      </c>
      <c r="IW154" s="15" t="s">
        <v>759</v>
      </c>
      <c r="IX154" s="15" t="s">
        <v>426</v>
      </c>
      <c r="IY154" s="15" t="s">
        <v>2474</v>
      </c>
    </row>
    <row r="155" ht="17.25" customHeight="1">
      <c r="A155" s="15" t="s">
        <v>2476</v>
      </c>
      <c r="B155" s="15" t="str">
        <f>"801542126728"</f>
        <v>801542126728</v>
      </c>
      <c r="C155" s="15" t="s">
        <v>12758</v>
      </c>
      <c r="D155" s="15" t="str">
        <f t="shared" si="1"/>
        <v>Bowen BedSheepskin NaturalQueen</v>
      </c>
      <c r="E155" s="15" t="s">
        <v>2441</v>
      </c>
      <c r="F155" s="15" t="s">
        <v>397</v>
      </c>
      <c r="G155" s="15" t="s">
        <v>2443</v>
      </c>
      <c r="H155" s="15" t="s">
        <v>265</v>
      </c>
      <c r="I155" s="15" t="s">
        <v>877</v>
      </c>
      <c r="J155" s="15" t="s">
        <v>2443</v>
      </c>
      <c r="K155" s="15" t="s">
        <v>2452</v>
      </c>
      <c r="L155" s="15" t="s">
        <v>2453</v>
      </c>
      <c r="M155" s="15" t="s">
        <v>1030</v>
      </c>
      <c r="N155" s="15" t="s">
        <v>839</v>
      </c>
      <c r="O155" s="15" t="s">
        <v>877</v>
      </c>
      <c r="P155" s="15" t="str">
        <f>"64.25"</f>
        <v>64.25</v>
      </c>
      <c r="Q155" s="15" t="str">
        <f t="shared" si="455"/>
        <v>87.25</v>
      </c>
      <c r="R155" s="15" t="str">
        <f t="shared" si="456"/>
        <v>48</v>
      </c>
      <c r="S155" s="15" t="str">
        <f>"189.62"</f>
        <v>189.62</v>
      </c>
      <c r="T155" s="15" t="s">
        <v>2447</v>
      </c>
      <c r="U155" s="15" t="s">
        <v>11209</v>
      </c>
      <c r="V155" s="15" t="s">
        <v>11338</v>
      </c>
      <c r="W155" s="15" t="s">
        <v>11553</v>
      </c>
      <c r="AA155" s="15" t="s">
        <v>413</v>
      </c>
      <c r="AB155" s="15" t="s">
        <v>413</v>
      </c>
      <c r="AC155" s="15" t="s">
        <v>2454</v>
      </c>
      <c r="AD155" s="15" t="s">
        <v>12775</v>
      </c>
      <c r="AE155" s="15" t="s">
        <v>2478</v>
      </c>
      <c r="AF155" s="15" t="s">
        <v>12776</v>
      </c>
      <c r="AG155" s="15" t="s">
        <v>12777</v>
      </c>
      <c r="AH155" s="15" t="s">
        <v>12778</v>
      </c>
      <c r="AI155" s="15" t="s">
        <v>12779</v>
      </c>
      <c r="AJ155" s="15" t="s">
        <v>12780</v>
      </c>
      <c r="AK155" s="15" t="s">
        <v>12781</v>
      </c>
      <c r="AL155" s="15" t="s">
        <v>12782</v>
      </c>
      <c r="AM155" s="15" t="s">
        <v>12783</v>
      </c>
      <c r="AN155" s="15" t="s">
        <v>12784</v>
      </c>
      <c r="AO155" s="15" t="s">
        <v>12785</v>
      </c>
      <c r="AP155" s="15" t="s">
        <v>12786</v>
      </c>
      <c r="AQ155" s="15" t="s">
        <v>12787</v>
      </c>
      <c r="AR155" s="15" t="s">
        <v>12788</v>
      </c>
      <c r="AS155" s="15" t="s">
        <v>12789</v>
      </c>
      <c r="AT155" s="15" t="s">
        <v>12790</v>
      </c>
      <c r="BH155" s="15" t="s">
        <v>2475</v>
      </c>
      <c r="BI155" s="15" t="str">
        <f>"1999"</f>
        <v>1999</v>
      </c>
      <c r="BJ155" s="15" t="str">
        <f>"840"</f>
        <v>840</v>
      </c>
      <c r="BK155" s="15" t="s">
        <v>742</v>
      </c>
      <c r="BL155" s="15" t="str">
        <f t="shared" si="457"/>
        <v>2</v>
      </c>
      <c r="BM155" s="15" t="s">
        <v>2455</v>
      </c>
      <c r="BN155" s="15" t="str">
        <f>"66.93"</f>
        <v>66.93</v>
      </c>
      <c r="BO155" s="15" t="str">
        <f>"9.06"</f>
        <v>9.06</v>
      </c>
      <c r="BP155" s="15" t="str">
        <f>"51.57"</f>
        <v>51.57</v>
      </c>
      <c r="BQ155" s="15" t="str">
        <f>"124.34"</f>
        <v>124.34</v>
      </c>
      <c r="BR155" s="15" t="s">
        <v>2460</v>
      </c>
      <c r="BS155" s="15" t="str">
        <f t="shared" si="458"/>
        <v>86.61</v>
      </c>
      <c r="BT155" s="15" t="str">
        <f t="shared" si="459"/>
        <v>6.69</v>
      </c>
      <c r="BU155" s="15" t="str">
        <f t="shared" si="460"/>
        <v>18.5</v>
      </c>
      <c r="BV155" s="15" t="str">
        <f>"94.58"</f>
        <v>94.58</v>
      </c>
      <c r="CG155" s="15" t="str">
        <f>"24.3"</f>
        <v>24.3</v>
      </c>
      <c r="CH155" s="15" t="str">
        <f>"0.688"</f>
        <v>0.688</v>
      </c>
      <c r="CI155" s="15" t="s">
        <v>465</v>
      </c>
      <c r="CY155" s="15" t="s">
        <v>897</v>
      </c>
      <c r="CZ155" s="15" t="s">
        <v>419</v>
      </c>
      <c r="DA155" s="15">
        <v>0.0</v>
      </c>
      <c r="DB155" s="15" t="s">
        <v>419</v>
      </c>
      <c r="DD155" s="15">
        <v>0.0</v>
      </c>
      <c r="DF155" s="15" t="s">
        <v>721</v>
      </c>
      <c r="DG155" s="15" t="s">
        <v>419</v>
      </c>
      <c r="DI155" s="15">
        <v>0.0</v>
      </c>
      <c r="DJ155" s="15">
        <v>0.0</v>
      </c>
      <c r="DK155" s="15">
        <v>0.0</v>
      </c>
      <c r="DL155" s="15">
        <v>100000.0</v>
      </c>
      <c r="DS155" s="15" t="s">
        <v>2463</v>
      </c>
      <c r="DU155" s="15" t="s">
        <v>858</v>
      </c>
      <c r="EO155" s="15" t="s">
        <v>1255</v>
      </c>
      <c r="EV155" s="15">
        <v>0.0</v>
      </c>
      <c r="HV155" s="15" t="s">
        <v>2464</v>
      </c>
      <c r="HW155" s="15" t="s">
        <v>2464</v>
      </c>
      <c r="HX155" s="15" t="s">
        <v>2464</v>
      </c>
      <c r="HY155" s="15" t="s">
        <v>2017</v>
      </c>
      <c r="HZ155" s="15" t="s">
        <v>2465</v>
      </c>
      <c r="IA155" s="15" t="s">
        <v>2484</v>
      </c>
      <c r="IB155" s="15" t="s">
        <v>2467</v>
      </c>
      <c r="IC155" s="15" t="s">
        <v>2468</v>
      </c>
      <c r="ID155" s="15" t="s">
        <v>2484</v>
      </c>
      <c r="IE155" s="15" t="s">
        <v>2469</v>
      </c>
      <c r="IF155" s="15" t="s">
        <v>1957</v>
      </c>
      <c r="IG155" s="15" t="s">
        <v>890</v>
      </c>
      <c r="IH155" s="15" t="s">
        <v>762</v>
      </c>
      <c r="II155" s="15" t="s">
        <v>2470</v>
      </c>
      <c r="IJ155" s="15" t="s">
        <v>1121</v>
      </c>
      <c r="IK155" s="15" t="s">
        <v>426</v>
      </c>
      <c r="IL155" s="15" t="s">
        <v>2471</v>
      </c>
      <c r="IM155" s="15" t="s">
        <v>872</v>
      </c>
      <c r="IN155" s="15" t="s">
        <v>873</v>
      </c>
      <c r="IO155" s="15" t="s">
        <v>877</v>
      </c>
      <c r="IU155" s="15" t="s">
        <v>2472</v>
      </c>
      <c r="IV155" s="15" t="s">
        <v>2473</v>
      </c>
      <c r="IW155" s="15" t="s">
        <v>759</v>
      </c>
      <c r="IX155" s="15" t="s">
        <v>426</v>
      </c>
      <c r="IY155" s="15" t="s">
        <v>2474</v>
      </c>
    </row>
    <row r="156" ht="17.25" customHeight="1">
      <c r="A156" s="15" t="s">
        <v>2488</v>
      </c>
      <c r="B156" s="15" t="str">
        <f>"801542132187"</f>
        <v>801542132187</v>
      </c>
      <c r="C156" s="15" t="s">
        <v>12791</v>
      </c>
      <c r="D156" s="15" t="str">
        <f t="shared" si="1"/>
        <v>Braden ChairBrandy</v>
      </c>
      <c r="E156" s="15" t="s">
        <v>2485</v>
      </c>
      <c r="F156" s="15" t="s">
        <v>397</v>
      </c>
      <c r="G156" s="15" t="s">
        <v>2487</v>
      </c>
      <c r="J156" s="15" t="s">
        <v>2487</v>
      </c>
      <c r="K156" s="15" t="s">
        <v>2493</v>
      </c>
      <c r="M156" s="15" t="s">
        <v>2492</v>
      </c>
      <c r="N156" s="15" t="s">
        <v>706</v>
      </c>
      <c r="O156" s="15" t="s">
        <v>707</v>
      </c>
      <c r="P156" s="15" t="str">
        <f t="shared" ref="P156:P160" si="461">"27.25"</f>
        <v>27.25</v>
      </c>
      <c r="Q156" s="15" t="str">
        <f t="shared" ref="Q156:Q160" si="462">"30.25"</f>
        <v>30.25</v>
      </c>
      <c r="R156" s="15" t="str">
        <f t="shared" ref="R156:R160" si="463">"32.25"</f>
        <v>32.25</v>
      </c>
      <c r="S156" s="15" t="str">
        <f>"30.42"</f>
        <v>30.42</v>
      </c>
      <c r="T156" s="15" t="s">
        <v>2491</v>
      </c>
      <c r="U156" s="15" t="s">
        <v>11137</v>
      </c>
      <c r="V156" s="15" t="s">
        <v>11338</v>
      </c>
      <c r="AA156" s="15" t="s">
        <v>413</v>
      </c>
      <c r="AB156" s="15" t="s">
        <v>413</v>
      </c>
      <c r="AC156" s="15" t="s">
        <v>2494</v>
      </c>
      <c r="AD156" s="15" t="s">
        <v>12792</v>
      </c>
      <c r="AE156" s="15" t="s">
        <v>2490</v>
      </c>
      <c r="AF156" s="15" t="s">
        <v>12793</v>
      </c>
      <c r="AG156" s="15" t="s">
        <v>12794</v>
      </c>
      <c r="AH156" s="15" t="s">
        <v>12795</v>
      </c>
      <c r="AI156" s="15" t="s">
        <v>12796</v>
      </c>
      <c r="AJ156" s="15" t="s">
        <v>12797</v>
      </c>
      <c r="AK156" s="15" t="s">
        <v>12798</v>
      </c>
      <c r="AL156" s="15" t="s">
        <v>12799</v>
      </c>
      <c r="AM156" s="15" t="s">
        <v>12800</v>
      </c>
      <c r="AN156" s="15" t="s">
        <v>12801</v>
      </c>
      <c r="AO156" s="15" t="s">
        <v>12802</v>
      </c>
      <c r="AP156" s="15" t="s">
        <v>12803</v>
      </c>
      <c r="AQ156" s="15" t="s">
        <v>12804</v>
      </c>
      <c r="BH156" s="15" t="s">
        <v>2486</v>
      </c>
      <c r="BI156" s="15" t="str">
        <f t="shared" ref="BI156:BI158" si="464">"1349"</f>
        <v>1349</v>
      </c>
      <c r="BJ156" s="15" t="str">
        <f t="shared" ref="BJ156:BJ158" si="465">"570"</f>
        <v>570</v>
      </c>
      <c r="BK156" s="15" t="s">
        <v>709</v>
      </c>
      <c r="BL156" s="15" t="str">
        <f t="shared" ref="BL156:BL161" si="466">"1"</f>
        <v>1</v>
      </c>
      <c r="BM156" s="15" t="s">
        <v>2495</v>
      </c>
      <c r="BN156" s="15" t="str">
        <f>"28.94"</f>
        <v>28.94</v>
      </c>
      <c r="BO156" s="15" t="str">
        <f>"31.5"</f>
        <v>31.5</v>
      </c>
      <c r="BP156" s="15" t="str">
        <f>"35.43"</f>
        <v>35.43</v>
      </c>
      <c r="BQ156" s="15" t="str">
        <f>"47.84"</f>
        <v>47.84</v>
      </c>
      <c r="CG156" s="15" t="str">
        <f>"16.7"</f>
        <v>16.7</v>
      </c>
      <c r="CH156" s="15" t="str">
        <f>"0.473"</f>
        <v>0.473</v>
      </c>
      <c r="CI156" s="15" t="s">
        <v>465</v>
      </c>
      <c r="CP156" s="15" t="s">
        <v>2497</v>
      </c>
      <c r="CQ156" s="15" t="s">
        <v>2498</v>
      </c>
      <c r="CR156" s="15" t="s">
        <v>2499</v>
      </c>
      <c r="CS156" s="15" t="s">
        <v>2500</v>
      </c>
      <c r="CT156" s="15" t="s">
        <v>2501</v>
      </c>
      <c r="CV156" s="15">
        <v>0.0</v>
      </c>
      <c r="CW156" s="15">
        <v>0.0</v>
      </c>
      <c r="CX156" s="15" t="s">
        <v>717</v>
      </c>
      <c r="CY156" s="15" t="s">
        <v>718</v>
      </c>
      <c r="DC156" s="15" t="s">
        <v>2502</v>
      </c>
      <c r="DF156" s="15" t="s">
        <v>721</v>
      </c>
      <c r="DG156" s="15" t="s">
        <v>419</v>
      </c>
      <c r="DH156" s="15">
        <v>0.0</v>
      </c>
      <c r="DL156" s="15">
        <v>0.0</v>
      </c>
      <c r="DM156" s="15" t="s">
        <v>470</v>
      </c>
      <c r="DN156" s="15" t="s">
        <v>723</v>
      </c>
      <c r="DO156" s="15" t="s">
        <v>724</v>
      </c>
      <c r="DP156" s="15">
        <v>1.0</v>
      </c>
      <c r="DQ156" s="15">
        <v>1.0</v>
      </c>
      <c r="DS156" s="15" t="s">
        <v>2503</v>
      </c>
      <c r="DT156" s="15">
        <v>0.0</v>
      </c>
      <c r="DU156" s="15" t="s">
        <v>726</v>
      </c>
      <c r="DV156" s="15" t="s">
        <v>1482</v>
      </c>
      <c r="DW156" s="15" t="s">
        <v>2272</v>
      </c>
      <c r="DX156" s="15" t="s">
        <v>2504</v>
      </c>
      <c r="EB156" s="15" t="s">
        <v>2505</v>
      </c>
      <c r="EF156" s="15" t="s">
        <v>2158</v>
      </c>
      <c r="EG156" s="15" t="s">
        <v>1283</v>
      </c>
      <c r="EH156" s="15" t="s">
        <v>1286</v>
      </c>
      <c r="EI156" s="15" t="s">
        <v>2506</v>
      </c>
      <c r="EO156" s="15" t="s">
        <v>2502</v>
      </c>
      <c r="EX156" s="15" t="s">
        <v>2507</v>
      </c>
      <c r="EY156" s="15" t="s">
        <v>2508</v>
      </c>
      <c r="EZ156" s="15">
        <v>0.0</v>
      </c>
      <c r="FA156" s="15">
        <v>0.0</v>
      </c>
      <c r="FC156" s="15">
        <v>0.0</v>
      </c>
    </row>
    <row r="157" ht="17.25" customHeight="1">
      <c r="A157" s="15" t="s">
        <v>2511</v>
      </c>
      <c r="B157" s="15" t="str">
        <f>"801542132200"</f>
        <v>801542132200</v>
      </c>
      <c r="C157" s="15" t="s">
        <v>12805</v>
      </c>
      <c r="D157" s="15" t="str">
        <f t="shared" si="1"/>
        <v>Braden ChairDurango Smoke</v>
      </c>
      <c r="E157" s="15" t="s">
        <v>2485</v>
      </c>
      <c r="F157" s="15" t="s">
        <v>397</v>
      </c>
      <c r="G157" s="15" t="s">
        <v>2510</v>
      </c>
      <c r="J157" s="15" t="s">
        <v>2510</v>
      </c>
      <c r="K157" s="15" t="s">
        <v>2493</v>
      </c>
      <c r="M157" s="15" t="s">
        <v>2492</v>
      </c>
      <c r="N157" s="15" t="s">
        <v>706</v>
      </c>
      <c r="O157" s="15" t="s">
        <v>707</v>
      </c>
      <c r="P157" s="15" t="str">
        <f t="shared" si="461"/>
        <v>27.25</v>
      </c>
      <c r="Q157" s="15" t="str">
        <f t="shared" si="462"/>
        <v>30.25</v>
      </c>
      <c r="R157" s="15" t="str">
        <f t="shared" si="463"/>
        <v>32.25</v>
      </c>
      <c r="S157" s="15" t="str">
        <f t="shared" ref="S157:S160" si="467">"29.32"</f>
        <v>29.32</v>
      </c>
      <c r="T157" s="15" t="s">
        <v>2491</v>
      </c>
      <c r="U157" s="15" t="s">
        <v>11137</v>
      </c>
      <c r="V157" s="15" t="s">
        <v>11338</v>
      </c>
      <c r="AA157" s="15" t="s">
        <v>413</v>
      </c>
      <c r="AB157" s="15" t="s">
        <v>413</v>
      </c>
      <c r="AC157" s="15" t="s">
        <v>2514</v>
      </c>
      <c r="AD157" s="15" t="s">
        <v>12806</v>
      </c>
      <c r="AE157" s="15" t="s">
        <v>2513</v>
      </c>
      <c r="AF157" s="15" t="s">
        <v>12807</v>
      </c>
      <c r="AG157" s="15" t="s">
        <v>12808</v>
      </c>
      <c r="AH157" s="15" t="s">
        <v>12809</v>
      </c>
      <c r="AI157" s="15" t="s">
        <v>12810</v>
      </c>
      <c r="AJ157" s="15" t="s">
        <v>12811</v>
      </c>
      <c r="AK157" s="15" t="s">
        <v>12812</v>
      </c>
      <c r="AL157" s="15" t="s">
        <v>12813</v>
      </c>
      <c r="AM157" s="15" t="s">
        <v>12814</v>
      </c>
      <c r="AN157" s="15" t="s">
        <v>12815</v>
      </c>
      <c r="BH157" s="15" t="s">
        <v>2509</v>
      </c>
      <c r="BI157" s="15" t="str">
        <f t="shared" si="464"/>
        <v>1349</v>
      </c>
      <c r="BJ157" s="15" t="str">
        <f t="shared" si="465"/>
        <v>570</v>
      </c>
      <c r="BK157" s="15" t="s">
        <v>709</v>
      </c>
      <c r="BL157" s="15" t="str">
        <f t="shared" si="466"/>
        <v>1</v>
      </c>
      <c r="BM157" s="15" t="s">
        <v>1208</v>
      </c>
      <c r="BN157" s="15" t="str">
        <f t="shared" ref="BN157:BN160" si="468">"28.74"</f>
        <v>28.74</v>
      </c>
      <c r="BO157" s="15" t="str">
        <f t="shared" ref="BO157:BO160" si="469">"32.09"</f>
        <v>32.09</v>
      </c>
      <c r="BP157" s="15" t="str">
        <f t="shared" ref="BP157:BP160" si="470">"35.83"</f>
        <v>35.83</v>
      </c>
      <c r="BQ157" s="15" t="str">
        <f t="shared" ref="BQ157:BQ160" si="471">"42.11"</f>
        <v>42.11</v>
      </c>
      <c r="CG157" s="15" t="str">
        <f t="shared" ref="CG157:CG160" si="472">"17.02"</f>
        <v>17.02</v>
      </c>
      <c r="CH157" s="15" t="str">
        <f t="shared" ref="CH157:CH160" si="473">"0.482"</f>
        <v>0.482</v>
      </c>
      <c r="CI157" s="15" t="s">
        <v>497</v>
      </c>
      <c r="CP157" s="15" t="s">
        <v>2497</v>
      </c>
      <c r="CQ157" s="15" t="s">
        <v>2498</v>
      </c>
      <c r="CR157" s="15" t="s">
        <v>2499</v>
      </c>
      <c r="CS157" s="15" t="s">
        <v>2500</v>
      </c>
      <c r="CT157" s="15" t="s">
        <v>2501</v>
      </c>
      <c r="CV157" s="15">
        <v>0.0</v>
      </c>
      <c r="CW157" s="15">
        <v>0.0</v>
      </c>
      <c r="CX157" s="15" t="s">
        <v>717</v>
      </c>
      <c r="CY157" s="15" t="s">
        <v>718</v>
      </c>
      <c r="DC157" s="15" t="s">
        <v>2502</v>
      </c>
      <c r="DF157" s="15" t="s">
        <v>721</v>
      </c>
      <c r="DG157" s="15" t="s">
        <v>419</v>
      </c>
      <c r="DH157" s="15">
        <v>0.0</v>
      </c>
      <c r="DL157" s="15">
        <v>0.0</v>
      </c>
      <c r="DM157" s="15" t="s">
        <v>470</v>
      </c>
      <c r="DN157" s="15" t="s">
        <v>723</v>
      </c>
      <c r="DO157" s="15" t="s">
        <v>724</v>
      </c>
      <c r="DP157" s="15">
        <v>1.0</v>
      </c>
      <c r="DQ157" s="15">
        <v>1.0</v>
      </c>
      <c r="DS157" s="15" t="s">
        <v>2503</v>
      </c>
      <c r="DT157" s="15">
        <v>0.0</v>
      </c>
      <c r="DU157" s="15" t="s">
        <v>726</v>
      </c>
      <c r="DV157" s="15" t="s">
        <v>1482</v>
      </c>
      <c r="DW157" s="15" t="s">
        <v>2272</v>
      </c>
      <c r="DX157" s="15" t="s">
        <v>2504</v>
      </c>
      <c r="EB157" s="15" t="s">
        <v>2505</v>
      </c>
      <c r="EF157" s="15" t="s">
        <v>2158</v>
      </c>
      <c r="EG157" s="15" t="s">
        <v>1283</v>
      </c>
      <c r="EH157" s="15" t="s">
        <v>1286</v>
      </c>
      <c r="EI157" s="15" t="s">
        <v>2506</v>
      </c>
      <c r="EO157" s="15" t="s">
        <v>2502</v>
      </c>
      <c r="EX157" s="15" t="s">
        <v>2507</v>
      </c>
      <c r="EY157" s="15" t="s">
        <v>2508</v>
      </c>
      <c r="EZ157" s="15">
        <v>0.0</v>
      </c>
      <c r="FA157" s="15">
        <v>0.0</v>
      </c>
      <c r="FC157" s="15">
        <v>0.0</v>
      </c>
    </row>
    <row r="158" ht="17.25" customHeight="1">
      <c r="A158" s="15" t="s">
        <v>2518</v>
      </c>
      <c r="B158" s="15" t="str">
        <f>"801542479749"</f>
        <v>801542479749</v>
      </c>
      <c r="C158" s="15" t="s">
        <v>12816</v>
      </c>
      <c r="D158" s="15" t="str">
        <f t="shared" si="1"/>
        <v>Braden ChairEden Sage</v>
      </c>
      <c r="E158" s="15" t="s">
        <v>2485</v>
      </c>
      <c r="F158" s="15" t="s">
        <v>397</v>
      </c>
      <c r="G158" s="15" t="s">
        <v>2517</v>
      </c>
      <c r="J158" s="15" t="s">
        <v>2517</v>
      </c>
      <c r="K158" s="15" t="s">
        <v>2520</v>
      </c>
      <c r="M158" s="15" t="s">
        <v>2492</v>
      </c>
      <c r="N158" s="15" t="s">
        <v>706</v>
      </c>
      <c r="O158" s="15" t="s">
        <v>707</v>
      </c>
      <c r="P158" s="15" t="str">
        <f t="shared" si="461"/>
        <v>27.25</v>
      </c>
      <c r="Q158" s="15" t="str">
        <f t="shared" si="462"/>
        <v>30.25</v>
      </c>
      <c r="R158" s="15" t="str">
        <f t="shared" si="463"/>
        <v>32.25</v>
      </c>
      <c r="S158" s="15" t="str">
        <f t="shared" si="467"/>
        <v>29.32</v>
      </c>
      <c r="T158" s="15" t="s">
        <v>2491</v>
      </c>
      <c r="U158" s="15" t="s">
        <v>11137</v>
      </c>
      <c r="V158" s="15" t="s">
        <v>11338</v>
      </c>
      <c r="AA158" s="15" t="s">
        <v>413</v>
      </c>
      <c r="AB158" s="15" t="s">
        <v>413</v>
      </c>
      <c r="AC158" s="15" t="s">
        <v>2521</v>
      </c>
      <c r="AD158" s="15" t="s">
        <v>12817</v>
      </c>
      <c r="AE158" s="15" t="s">
        <v>2519</v>
      </c>
      <c r="AF158" s="15" t="s">
        <v>12818</v>
      </c>
      <c r="AG158" s="15" t="s">
        <v>12819</v>
      </c>
      <c r="AH158" s="15" t="s">
        <v>12820</v>
      </c>
      <c r="AI158" s="15" t="s">
        <v>12821</v>
      </c>
      <c r="AJ158" s="15" t="s">
        <v>12822</v>
      </c>
      <c r="AK158" s="15" t="s">
        <v>12823</v>
      </c>
      <c r="AL158" s="15" t="s">
        <v>12824</v>
      </c>
      <c r="AM158" s="15" t="s">
        <v>12825</v>
      </c>
      <c r="AN158" s="15" t="s">
        <v>12826</v>
      </c>
      <c r="AO158" s="15" t="s">
        <v>12827</v>
      </c>
      <c r="AP158" s="15" t="s">
        <v>12828</v>
      </c>
      <c r="BH158" s="15" t="s">
        <v>2516</v>
      </c>
      <c r="BI158" s="15" t="str">
        <f t="shared" si="464"/>
        <v>1349</v>
      </c>
      <c r="BJ158" s="15" t="str">
        <f t="shared" si="465"/>
        <v>570</v>
      </c>
      <c r="BK158" s="15" t="s">
        <v>709</v>
      </c>
      <c r="BL158" s="15" t="str">
        <f t="shared" si="466"/>
        <v>1</v>
      </c>
      <c r="BM158" s="15" t="s">
        <v>2522</v>
      </c>
      <c r="BN158" s="15" t="str">
        <f t="shared" si="468"/>
        <v>28.74</v>
      </c>
      <c r="BO158" s="15" t="str">
        <f t="shared" si="469"/>
        <v>32.09</v>
      </c>
      <c r="BP158" s="15" t="str">
        <f t="shared" si="470"/>
        <v>35.83</v>
      </c>
      <c r="BQ158" s="15" t="str">
        <f t="shared" si="471"/>
        <v>42.11</v>
      </c>
      <c r="CG158" s="15" t="str">
        <f t="shared" si="472"/>
        <v>17.02</v>
      </c>
      <c r="CH158" s="15" t="str">
        <f t="shared" si="473"/>
        <v>0.482</v>
      </c>
      <c r="CI158" s="15" t="s">
        <v>465</v>
      </c>
      <c r="CP158" s="15" t="s">
        <v>2497</v>
      </c>
      <c r="CQ158" s="15" t="s">
        <v>2498</v>
      </c>
      <c r="CR158" s="15" t="s">
        <v>2499</v>
      </c>
      <c r="CS158" s="15" t="s">
        <v>2500</v>
      </c>
      <c r="CT158" s="15" t="s">
        <v>2501</v>
      </c>
      <c r="CV158" s="15">
        <v>0.0</v>
      </c>
      <c r="CW158" s="15">
        <v>0.0</v>
      </c>
      <c r="CX158" s="15" t="s">
        <v>717</v>
      </c>
      <c r="CY158" s="15" t="s">
        <v>718</v>
      </c>
      <c r="DC158" s="15" t="s">
        <v>2502</v>
      </c>
      <c r="DF158" s="15" t="s">
        <v>721</v>
      </c>
      <c r="DG158" s="15" t="s">
        <v>419</v>
      </c>
      <c r="DH158" s="15">
        <v>0.0</v>
      </c>
      <c r="DL158" s="15">
        <v>0.0</v>
      </c>
      <c r="DM158" s="15" t="s">
        <v>470</v>
      </c>
      <c r="DN158" s="15" t="s">
        <v>723</v>
      </c>
      <c r="DO158" s="15" t="s">
        <v>724</v>
      </c>
      <c r="DP158" s="15">
        <v>1.0</v>
      </c>
      <c r="DQ158" s="15">
        <v>1.0</v>
      </c>
      <c r="DS158" s="15" t="s">
        <v>2503</v>
      </c>
      <c r="DT158" s="15">
        <v>0.0</v>
      </c>
      <c r="DU158" s="15" t="s">
        <v>726</v>
      </c>
      <c r="DV158" s="15" t="s">
        <v>1482</v>
      </c>
      <c r="DW158" s="15" t="s">
        <v>2272</v>
      </c>
      <c r="DX158" s="15" t="s">
        <v>2504</v>
      </c>
      <c r="EB158" s="15" t="s">
        <v>2505</v>
      </c>
      <c r="EF158" s="15" t="s">
        <v>2158</v>
      </c>
      <c r="EG158" s="15" t="s">
        <v>1283</v>
      </c>
      <c r="EH158" s="15" t="s">
        <v>1286</v>
      </c>
      <c r="EI158" s="15" t="s">
        <v>2506</v>
      </c>
      <c r="EO158" s="15" t="s">
        <v>2502</v>
      </c>
      <c r="EX158" s="15" t="s">
        <v>2507</v>
      </c>
      <c r="EY158" s="15" t="s">
        <v>2508</v>
      </c>
      <c r="EZ158" s="15">
        <v>0.0</v>
      </c>
      <c r="FA158" s="15">
        <v>0.0</v>
      </c>
      <c r="FC158" s="15">
        <v>0.0</v>
      </c>
    </row>
    <row r="159" ht="17.25" customHeight="1">
      <c r="A159" s="15" t="s">
        <v>2525</v>
      </c>
      <c r="B159" s="15" t="str">
        <f>"801542132217"</f>
        <v>801542132217</v>
      </c>
      <c r="C159" s="15" t="s">
        <v>12829</v>
      </c>
      <c r="D159" s="15" t="str">
        <f t="shared" si="1"/>
        <v>Braden ChairLight Camel</v>
      </c>
      <c r="E159" s="15" t="s">
        <v>2485</v>
      </c>
      <c r="F159" s="15" t="s">
        <v>397</v>
      </c>
      <c r="G159" s="15" t="s">
        <v>2524</v>
      </c>
      <c r="J159" s="15" t="s">
        <v>2524</v>
      </c>
      <c r="K159" s="15" t="s">
        <v>2493</v>
      </c>
      <c r="M159" s="15" t="s">
        <v>2492</v>
      </c>
      <c r="N159" s="15" t="s">
        <v>706</v>
      </c>
      <c r="O159" s="15" t="s">
        <v>707</v>
      </c>
      <c r="P159" s="15" t="str">
        <f t="shared" si="461"/>
        <v>27.25</v>
      </c>
      <c r="Q159" s="15" t="str">
        <f t="shared" si="462"/>
        <v>30.25</v>
      </c>
      <c r="R159" s="15" t="str">
        <f t="shared" si="463"/>
        <v>32.25</v>
      </c>
      <c r="S159" s="15" t="str">
        <f t="shared" si="467"/>
        <v>29.32</v>
      </c>
      <c r="T159" s="15" t="s">
        <v>2527</v>
      </c>
      <c r="U159" s="15" t="s">
        <v>11209</v>
      </c>
      <c r="V159" s="15" t="s">
        <v>11338</v>
      </c>
      <c r="AA159" s="15" t="s">
        <v>413</v>
      </c>
      <c r="AB159" s="15" t="s">
        <v>413</v>
      </c>
      <c r="AC159" s="15" t="s">
        <v>2528</v>
      </c>
      <c r="AD159" s="15" t="s">
        <v>12830</v>
      </c>
      <c r="AE159" s="15" t="s">
        <v>2526</v>
      </c>
      <c r="AF159" s="15" t="s">
        <v>12831</v>
      </c>
      <c r="AG159" s="15" t="s">
        <v>12832</v>
      </c>
      <c r="AH159" s="15" t="s">
        <v>12833</v>
      </c>
      <c r="AI159" s="15" t="s">
        <v>12834</v>
      </c>
      <c r="AJ159" s="15" t="s">
        <v>12835</v>
      </c>
      <c r="AK159" s="15" t="s">
        <v>12836</v>
      </c>
      <c r="AL159" s="15" t="s">
        <v>12837</v>
      </c>
      <c r="AM159" s="15" t="s">
        <v>12838</v>
      </c>
      <c r="AN159" s="15" t="s">
        <v>12839</v>
      </c>
      <c r="AO159" s="15" t="s">
        <v>12840</v>
      </c>
      <c r="AP159" s="15" t="s">
        <v>12841</v>
      </c>
      <c r="BH159" s="15" t="s">
        <v>2523</v>
      </c>
      <c r="BI159" s="15" t="str">
        <f>"849"</f>
        <v>849</v>
      </c>
      <c r="BJ159" s="15" t="str">
        <f>"360"</f>
        <v>360</v>
      </c>
      <c r="BK159" s="15" t="s">
        <v>709</v>
      </c>
      <c r="BL159" s="15" t="str">
        <f t="shared" si="466"/>
        <v>1</v>
      </c>
      <c r="BM159" s="15" t="s">
        <v>1208</v>
      </c>
      <c r="BN159" s="15" t="str">
        <f t="shared" si="468"/>
        <v>28.74</v>
      </c>
      <c r="BO159" s="15" t="str">
        <f t="shared" si="469"/>
        <v>32.09</v>
      </c>
      <c r="BP159" s="15" t="str">
        <f t="shared" si="470"/>
        <v>35.83</v>
      </c>
      <c r="BQ159" s="15" t="str">
        <f t="shared" si="471"/>
        <v>42.11</v>
      </c>
      <c r="CG159" s="15" t="str">
        <f t="shared" si="472"/>
        <v>17.02</v>
      </c>
      <c r="CH159" s="15" t="str">
        <f t="shared" si="473"/>
        <v>0.482</v>
      </c>
      <c r="CI159" s="15" t="s">
        <v>497</v>
      </c>
      <c r="CP159" s="15" t="s">
        <v>2497</v>
      </c>
      <c r="CQ159" s="15" t="s">
        <v>2498</v>
      </c>
      <c r="CR159" s="15" t="s">
        <v>2499</v>
      </c>
      <c r="CS159" s="15" t="s">
        <v>2500</v>
      </c>
      <c r="CT159" s="15" t="s">
        <v>2501</v>
      </c>
      <c r="CV159" s="15">
        <v>0.0</v>
      </c>
      <c r="CW159" s="15">
        <v>0.0</v>
      </c>
      <c r="CX159" s="15" t="s">
        <v>717</v>
      </c>
      <c r="CY159" s="15" t="s">
        <v>897</v>
      </c>
      <c r="DC159" s="15" t="s">
        <v>2502</v>
      </c>
      <c r="DF159" s="15" t="s">
        <v>721</v>
      </c>
      <c r="DG159" s="15" t="s">
        <v>419</v>
      </c>
      <c r="DH159" s="15">
        <v>0.0</v>
      </c>
      <c r="DL159" s="15">
        <v>15000.0</v>
      </c>
      <c r="DM159" s="15" t="s">
        <v>470</v>
      </c>
      <c r="DN159" s="15" t="s">
        <v>723</v>
      </c>
      <c r="DO159" s="15" t="s">
        <v>724</v>
      </c>
      <c r="DP159" s="15">
        <v>1.0</v>
      </c>
      <c r="DQ159" s="15">
        <v>1.0</v>
      </c>
      <c r="DS159" s="15" t="s">
        <v>2503</v>
      </c>
      <c r="DT159" s="15">
        <v>0.0</v>
      </c>
      <c r="DU159" s="15" t="s">
        <v>726</v>
      </c>
      <c r="DV159" s="15" t="s">
        <v>1482</v>
      </c>
      <c r="DW159" s="15" t="s">
        <v>2272</v>
      </c>
      <c r="DX159" s="15" t="s">
        <v>2504</v>
      </c>
      <c r="EB159" s="15" t="s">
        <v>2505</v>
      </c>
      <c r="EF159" s="15" t="s">
        <v>2158</v>
      </c>
      <c r="EG159" s="15" t="s">
        <v>1283</v>
      </c>
      <c r="EH159" s="15" t="s">
        <v>1286</v>
      </c>
      <c r="EI159" s="15" t="s">
        <v>2506</v>
      </c>
      <c r="EO159" s="15" t="s">
        <v>2502</v>
      </c>
      <c r="EX159" s="15" t="s">
        <v>2507</v>
      </c>
      <c r="EY159" s="15" t="s">
        <v>2508</v>
      </c>
      <c r="EZ159" s="15">
        <v>0.0</v>
      </c>
      <c r="FA159" s="15">
        <v>0.0</v>
      </c>
      <c r="FC159" s="15">
        <v>0.0</v>
      </c>
    </row>
    <row r="160" ht="17.25" customHeight="1">
      <c r="A160" s="15" t="s">
        <v>2531</v>
      </c>
      <c r="B160" s="15" t="str">
        <f>"801542132231"</f>
        <v>801542132231</v>
      </c>
      <c r="C160" s="15" t="s">
        <v>12842</v>
      </c>
      <c r="D160" s="15" t="str">
        <f t="shared" si="1"/>
        <v>Braden ChairModern Velvet Shadow</v>
      </c>
      <c r="E160" s="15" t="s">
        <v>2485</v>
      </c>
      <c r="F160" s="15" t="s">
        <v>397</v>
      </c>
      <c r="G160" s="15" t="s">
        <v>2530</v>
      </c>
      <c r="J160" s="15" t="s">
        <v>2530</v>
      </c>
      <c r="K160" s="15" t="s">
        <v>2493</v>
      </c>
      <c r="M160" s="15" t="s">
        <v>2492</v>
      </c>
      <c r="N160" s="15" t="s">
        <v>706</v>
      </c>
      <c r="O160" s="15" t="s">
        <v>707</v>
      </c>
      <c r="P160" s="15" t="str">
        <f t="shared" si="461"/>
        <v>27.25</v>
      </c>
      <c r="Q160" s="15" t="str">
        <f t="shared" si="462"/>
        <v>30.25</v>
      </c>
      <c r="R160" s="15" t="str">
        <f t="shared" si="463"/>
        <v>32.25</v>
      </c>
      <c r="S160" s="15" t="str">
        <f t="shared" si="467"/>
        <v>29.32</v>
      </c>
      <c r="T160" s="15" t="s">
        <v>2527</v>
      </c>
      <c r="U160" s="15" t="s">
        <v>11209</v>
      </c>
      <c r="V160" s="15" t="s">
        <v>11338</v>
      </c>
      <c r="AA160" s="15" t="s">
        <v>413</v>
      </c>
      <c r="AB160" s="15" t="s">
        <v>413</v>
      </c>
      <c r="AC160" s="15" t="s">
        <v>2533</v>
      </c>
      <c r="AD160" s="15" t="s">
        <v>12843</v>
      </c>
      <c r="AE160" s="15" t="s">
        <v>2532</v>
      </c>
      <c r="AF160" s="15" t="s">
        <v>12844</v>
      </c>
      <c r="AG160" s="15" t="s">
        <v>12845</v>
      </c>
      <c r="AH160" s="15" t="s">
        <v>12846</v>
      </c>
      <c r="AI160" s="15" t="s">
        <v>12847</v>
      </c>
      <c r="AJ160" s="15" t="s">
        <v>12848</v>
      </c>
      <c r="AK160" s="15" t="s">
        <v>12849</v>
      </c>
      <c r="AL160" s="15" t="s">
        <v>12850</v>
      </c>
      <c r="AM160" s="15" t="s">
        <v>12851</v>
      </c>
      <c r="AN160" s="15" t="s">
        <v>12852</v>
      </c>
      <c r="AO160" s="15" t="s">
        <v>12853</v>
      </c>
      <c r="AP160" s="15" t="s">
        <v>12854</v>
      </c>
      <c r="BH160" s="15" t="s">
        <v>2529</v>
      </c>
      <c r="BI160" s="15" t="str">
        <f>"799"</f>
        <v>799</v>
      </c>
      <c r="BJ160" s="15" t="str">
        <f>"340"</f>
        <v>340</v>
      </c>
      <c r="BK160" s="15" t="s">
        <v>709</v>
      </c>
      <c r="BL160" s="15" t="str">
        <f t="shared" si="466"/>
        <v>1</v>
      </c>
      <c r="BM160" s="15" t="s">
        <v>1208</v>
      </c>
      <c r="BN160" s="15" t="str">
        <f t="shared" si="468"/>
        <v>28.74</v>
      </c>
      <c r="BO160" s="15" t="str">
        <f t="shared" si="469"/>
        <v>32.09</v>
      </c>
      <c r="BP160" s="15" t="str">
        <f t="shared" si="470"/>
        <v>35.83</v>
      </c>
      <c r="BQ160" s="15" t="str">
        <f t="shared" si="471"/>
        <v>42.11</v>
      </c>
      <c r="CG160" s="15" t="str">
        <f t="shared" si="472"/>
        <v>17.02</v>
      </c>
      <c r="CH160" s="15" t="str">
        <f t="shared" si="473"/>
        <v>0.482</v>
      </c>
      <c r="CI160" s="15" t="s">
        <v>465</v>
      </c>
      <c r="CP160" s="15" t="s">
        <v>2497</v>
      </c>
      <c r="CQ160" s="15" t="s">
        <v>2498</v>
      </c>
      <c r="CR160" s="15" t="s">
        <v>2499</v>
      </c>
      <c r="CS160" s="15" t="s">
        <v>2500</v>
      </c>
      <c r="CT160" s="15" t="s">
        <v>2501</v>
      </c>
      <c r="CV160" s="15">
        <v>0.0</v>
      </c>
      <c r="CW160" s="15">
        <v>0.0</v>
      </c>
      <c r="CX160" s="15" t="s">
        <v>717</v>
      </c>
      <c r="CY160" s="15" t="s">
        <v>897</v>
      </c>
      <c r="DC160" s="15" t="s">
        <v>2502</v>
      </c>
      <c r="DF160" s="15" t="s">
        <v>721</v>
      </c>
      <c r="DG160" s="15" t="s">
        <v>419</v>
      </c>
      <c r="DH160" s="15">
        <v>0.0</v>
      </c>
      <c r="DL160" s="15">
        <v>100000.0</v>
      </c>
      <c r="DM160" s="15" t="s">
        <v>470</v>
      </c>
      <c r="DN160" s="15" t="s">
        <v>723</v>
      </c>
      <c r="DO160" s="15" t="s">
        <v>724</v>
      </c>
      <c r="DP160" s="15">
        <v>1.0</v>
      </c>
      <c r="DQ160" s="15">
        <v>1.0</v>
      </c>
      <c r="DS160" s="15" t="s">
        <v>2503</v>
      </c>
      <c r="DT160" s="15">
        <v>0.0</v>
      </c>
      <c r="DU160" s="15" t="s">
        <v>726</v>
      </c>
      <c r="DV160" s="15" t="s">
        <v>1482</v>
      </c>
      <c r="DW160" s="15" t="s">
        <v>2272</v>
      </c>
      <c r="DX160" s="15" t="s">
        <v>2504</v>
      </c>
      <c r="EB160" s="15" t="s">
        <v>2505</v>
      </c>
      <c r="EF160" s="15" t="s">
        <v>2158</v>
      </c>
      <c r="EG160" s="15" t="s">
        <v>1283</v>
      </c>
      <c r="EH160" s="15" t="s">
        <v>1286</v>
      </c>
      <c r="EI160" s="15" t="s">
        <v>2506</v>
      </c>
      <c r="EO160" s="15" t="s">
        <v>2502</v>
      </c>
      <c r="EX160" s="15" t="s">
        <v>2507</v>
      </c>
      <c r="EY160" s="15" t="s">
        <v>2508</v>
      </c>
      <c r="EZ160" s="15">
        <v>0.0</v>
      </c>
      <c r="FA160" s="15">
        <v>0.0</v>
      </c>
      <c r="FC160" s="15">
        <v>0.0</v>
      </c>
    </row>
    <row r="161" ht="17.25" customHeight="1">
      <c r="A161" s="15" t="s">
        <v>2537</v>
      </c>
      <c r="B161" s="15" t="str">
        <f>"801542248970"</f>
        <v>801542248970</v>
      </c>
      <c r="C161" s="15" t="s">
        <v>12855</v>
      </c>
      <c r="D161" s="15" t="str">
        <f t="shared" si="1"/>
        <v>Braden ReclinerSattley Fog</v>
      </c>
      <c r="E161" s="15" t="s">
        <v>2534</v>
      </c>
      <c r="F161" s="15" t="s">
        <v>397</v>
      </c>
      <c r="G161" s="15" t="s">
        <v>2536</v>
      </c>
      <c r="J161" s="15" t="s">
        <v>2536</v>
      </c>
      <c r="K161" s="15" t="s">
        <v>2541</v>
      </c>
      <c r="M161" s="15" t="s">
        <v>915</v>
      </c>
      <c r="N161" s="15" t="s">
        <v>706</v>
      </c>
      <c r="O161" s="15" t="s">
        <v>707</v>
      </c>
      <c r="P161" s="15" t="str">
        <f>"29"</f>
        <v>29</v>
      </c>
      <c r="Q161" s="15" t="str">
        <f>"37"</f>
        <v>37</v>
      </c>
      <c r="R161" s="15" t="str">
        <f>"36.5"</f>
        <v>36.5</v>
      </c>
      <c r="S161" s="15" t="str">
        <f>"55.1"</f>
        <v>55.1</v>
      </c>
      <c r="T161" s="15" t="s">
        <v>2540</v>
      </c>
      <c r="U161" s="15" t="s">
        <v>12856</v>
      </c>
      <c r="V161" s="15" t="s">
        <v>12857</v>
      </c>
      <c r="W161" s="15" t="s">
        <v>11210</v>
      </c>
      <c r="AA161" s="15" t="s">
        <v>413</v>
      </c>
      <c r="AB161" s="15" t="s">
        <v>426</v>
      </c>
      <c r="AD161" s="15" t="s">
        <v>12858</v>
      </c>
      <c r="AE161" s="15" t="s">
        <v>2539</v>
      </c>
      <c r="AF161" s="15" t="s">
        <v>12859</v>
      </c>
      <c r="AG161" s="15" t="s">
        <v>12860</v>
      </c>
      <c r="AH161" s="15" t="s">
        <v>12861</v>
      </c>
      <c r="AI161" s="15" t="s">
        <v>12862</v>
      </c>
      <c r="AJ161" s="15" t="s">
        <v>12863</v>
      </c>
      <c r="AK161" s="15" t="s">
        <v>12864</v>
      </c>
      <c r="AL161" s="15" t="s">
        <v>12865</v>
      </c>
      <c r="AM161" s="15" t="s">
        <v>12866</v>
      </c>
      <c r="AN161" s="15" t="s">
        <v>12867</v>
      </c>
      <c r="AO161" s="15" t="s">
        <v>12868</v>
      </c>
      <c r="AP161" s="15" t="s">
        <v>12869</v>
      </c>
      <c r="AQ161" s="15" t="s">
        <v>12870</v>
      </c>
      <c r="AR161" s="15" t="s">
        <v>12871</v>
      </c>
      <c r="AS161" s="15" t="s">
        <v>12872</v>
      </c>
      <c r="AT161" s="15" t="s">
        <v>12873</v>
      </c>
      <c r="AU161" s="15" t="s">
        <v>12874</v>
      </c>
      <c r="AV161" s="15" t="s">
        <v>12875</v>
      </c>
      <c r="AW161" s="15" t="s">
        <v>12876</v>
      </c>
      <c r="AX161" s="15" t="s">
        <v>12877</v>
      </c>
      <c r="BH161" s="15" t="s">
        <v>2535</v>
      </c>
      <c r="BI161" s="15" t="str">
        <f>"1249"</f>
        <v>1249</v>
      </c>
      <c r="BJ161" s="15" t="str">
        <f>"525"</f>
        <v>525</v>
      </c>
      <c r="BK161" s="15" t="s">
        <v>709</v>
      </c>
      <c r="BL161" s="15" t="str">
        <f t="shared" si="466"/>
        <v>1</v>
      </c>
      <c r="BM161" s="15" t="s">
        <v>2542</v>
      </c>
      <c r="BN161" s="15" t="str">
        <f>"40.5"</f>
        <v>40.5</v>
      </c>
      <c r="BO161" s="15" t="str">
        <f>"31.13"</f>
        <v>31.13</v>
      </c>
      <c r="BP161" s="15" t="str">
        <f>"38.25"</f>
        <v>38.25</v>
      </c>
      <c r="BQ161" s="15" t="str">
        <f>"73.9"</f>
        <v>73.9</v>
      </c>
      <c r="CG161" s="15" t="str">
        <f>"23.98"</f>
        <v>23.98</v>
      </c>
      <c r="CH161" s="15" t="str">
        <f>"0.679"</f>
        <v>0.679</v>
      </c>
      <c r="CI161" s="15" t="s">
        <v>465</v>
      </c>
      <c r="CS161" s="15" t="s">
        <v>1072</v>
      </c>
      <c r="CT161" s="15" t="s">
        <v>1804</v>
      </c>
      <c r="CV161" s="15">
        <v>0.0</v>
      </c>
      <c r="CW161" s="15">
        <v>1.0</v>
      </c>
      <c r="CX161" s="15" t="s">
        <v>717</v>
      </c>
      <c r="CY161" s="15" t="s">
        <v>855</v>
      </c>
      <c r="DF161" s="15" t="s">
        <v>721</v>
      </c>
      <c r="DG161" s="15" t="s">
        <v>2546</v>
      </c>
      <c r="DH161" s="15">
        <v>0.0</v>
      </c>
      <c r="DL161" s="15">
        <v>25000.0</v>
      </c>
      <c r="DM161" s="15" t="s">
        <v>990</v>
      </c>
      <c r="DN161" s="15" t="s">
        <v>1016</v>
      </c>
      <c r="DO161" s="15" t="s">
        <v>1701</v>
      </c>
      <c r="DP161" s="15">
        <v>1.0</v>
      </c>
      <c r="DQ161" s="15">
        <v>1.0</v>
      </c>
      <c r="DS161" s="15" t="s">
        <v>2503</v>
      </c>
      <c r="DT161" s="15">
        <v>0.0</v>
      </c>
      <c r="DU161" s="15" t="s">
        <v>726</v>
      </c>
      <c r="DV161" s="15" t="s">
        <v>555</v>
      </c>
      <c r="DW161" s="15" t="s">
        <v>2547</v>
      </c>
      <c r="DX161" s="15" t="s">
        <v>555</v>
      </c>
      <c r="EB161" s="15" t="s">
        <v>1807</v>
      </c>
      <c r="EF161" s="15" t="s">
        <v>2548</v>
      </c>
      <c r="EG161" s="15" t="s">
        <v>2314</v>
      </c>
      <c r="EH161" s="15" t="s">
        <v>1211</v>
      </c>
      <c r="EI161" s="15" t="s">
        <v>467</v>
      </c>
      <c r="EL161" s="15" t="s">
        <v>1016</v>
      </c>
      <c r="EM161" s="15" t="s">
        <v>1701</v>
      </c>
      <c r="EO161" s="15" t="s">
        <v>1239</v>
      </c>
      <c r="EX161" s="15" t="s">
        <v>525</v>
      </c>
      <c r="EY161" s="15" t="s">
        <v>1211</v>
      </c>
      <c r="EZ161" s="15">
        <v>0.0</v>
      </c>
      <c r="FA161" s="15">
        <v>0.0</v>
      </c>
      <c r="FC161" s="15" t="s">
        <v>1213</v>
      </c>
      <c r="IZ161" s="15" t="s">
        <v>2549</v>
      </c>
      <c r="JA161" s="15" t="s">
        <v>1994</v>
      </c>
    </row>
    <row r="162" ht="17.25" customHeight="1">
      <c r="A162" s="15" t="s">
        <v>2553</v>
      </c>
      <c r="B162" s="15" t="str">
        <f>"801542777265"</f>
        <v>801542777265</v>
      </c>
      <c r="C162" s="15" t="s">
        <v>12878</v>
      </c>
      <c r="D162" s="15" t="str">
        <f t="shared" si="1"/>
        <v>Brennan Dining TableDove Oak</v>
      </c>
      <c r="E162" s="15" t="s">
        <v>2550</v>
      </c>
      <c r="F162" s="15" t="s">
        <v>397</v>
      </c>
      <c r="G162" s="15" t="s">
        <v>2552</v>
      </c>
      <c r="J162" s="15" t="s">
        <v>2552</v>
      </c>
      <c r="K162" s="15" t="s">
        <v>2559</v>
      </c>
      <c r="M162" s="15" t="s">
        <v>2231</v>
      </c>
      <c r="N162" s="15" t="s">
        <v>548</v>
      </c>
      <c r="O162" s="15" t="s">
        <v>549</v>
      </c>
      <c r="P162" s="15" t="str">
        <f>"94"</f>
        <v>94</v>
      </c>
      <c r="Q162" s="15" t="str">
        <f>"42"</f>
        <v>42</v>
      </c>
      <c r="R162" s="15" t="str">
        <f>"30"</f>
        <v>30</v>
      </c>
      <c r="S162" s="15" t="str">
        <f>"231.24"</f>
        <v>231.24</v>
      </c>
      <c r="T162" s="15" t="s">
        <v>2556</v>
      </c>
      <c r="U162" s="15" t="s">
        <v>11338</v>
      </c>
      <c r="V162" s="15" t="s">
        <v>11139</v>
      </c>
      <c r="AA162" s="15" t="s">
        <v>413</v>
      </c>
      <c r="AB162" s="15" t="s">
        <v>413</v>
      </c>
      <c r="AC162" s="15" t="s">
        <v>2560</v>
      </c>
      <c r="AD162" s="15" t="s">
        <v>12879</v>
      </c>
      <c r="AE162" s="15" t="s">
        <v>2555</v>
      </c>
      <c r="AF162" s="15" t="s">
        <v>12880</v>
      </c>
      <c r="AG162" s="15" t="s">
        <v>12881</v>
      </c>
      <c r="AH162" s="15" t="s">
        <v>12882</v>
      </c>
      <c r="AI162" s="15" t="s">
        <v>12883</v>
      </c>
      <c r="AJ162" s="15" t="s">
        <v>12884</v>
      </c>
      <c r="AK162" s="15" t="s">
        <v>12885</v>
      </c>
      <c r="AL162" s="15" t="s">
        <v>12886</v>
      </c>
      <c r="AM162" s="15" t="s">
        <v>12887</v>
      </c>
      <c r="AN162" s="15" t="s">
        <v>12888</v>
      </c>
      <c r="AO162" s="15" t="s">
        <v>12889</v>
      </c>
      <c r="AP162" s="15" t="s">
        <v>12890</v>
      </c>
      <c r="BH162" s="15" t="s">
        <v>2551</v>
      </c>
      <c r="BI162" s="15" t="str">
        <f>"2399"</f>
        <v>2399</v>
      </c>
      <c r="BJ162" s="15" t="str">
        <f>"1010"</f>
        <v>1010</v>
      </c>
      <c r="BK162" s="15" t="s">
        <v>1303</v>
      </c>
      <c r="BL162" s="15" t="str">
        <f>"3"</f>
        <v>3</v>
      </c>
      <c r="BM162" s="15" t="s">
        <v>1564</v>
      </c>
      <c r="BN162" s="15" t="str">
        <f>"97"</f>
        <v>97</v>
      </c>
      <c r="BO162" s="15" t="str">
        <f>"5.5"</f>
        <v>5.5</v>
      </c>
      <c r="BP162" s="15" t="str">
        <f>"45.75"</f>
        <v>45.75</v>
      </c>
      <c r="BQ162" s="15" t="str">
        <f>"166.77"</f>
        <v>166.77</v>
      </c>
      <c r="BR162" s="15" t="s">
        <v>2564</v>
      </c>
      <c r="BS162" s="15" t="str">
        <f>"80"</f>
        <v>80</v>
      </c>
      <c r="BT162" s="15" t="str">
        <f>"7"</f>
        <v>7</v>
      </c>
      <c r="BU162" s="15" t="str">
        <f>"7.5"</f>
        <v>7.5</v>
      </c>
      <c r="BV162" s="15" t="str">
        <f>"32.4"</f>
        <v>32.4</v>
      </c>
      <c r="BW162" s="15" t="s">
        <v>2238</v>
      </c>
      <c r="BX162" s="15" t="str">
        <f>"28"</f>
        <v>28</v>
      </c>
      <c r="BY162" s="15" t="str">
        <f>"17.5"</f>
        <v>17.5</v>
      </c>
      <c r="BZ162" s="15" t="str">
        <f>"35"</f>
        <v>35</v>
      </c>
      <c r="CA162" s="15" t="str">
        <f>"83.2"</f>
        <v>83.2</v>
      </c>
      <c r="CG162" s="15" t="str">
        <f>"26.49"</f>
        <v>26.49</v>
      </c>
      <c r="CH162" s="15" t="str">
        <f>"0.75"</f>
        <v>0.75</v>
      </c>
      <c r="CI162" s="15" t="s">
        <v>417</v>
      </c>
      <c r="CZ162" s="15" t="s">
        <v>419</v>
      </c>
      <c r="DA162" s="15">
        <v>0.0</v>
      </c>
      <c r="DB162" s="15" t="s">
        <v>419</v>
      </c>
      <c r="DD162" s="15">
        <v>0.0</v>
      </c>
      <c r="DG162" s="15" t="s">
        <v>419</v>
      </c>
      <c r="DI162" s="15">
        <v>0.0</v>
      </c>
      <c r="DJ162" s="15">
        <v>0.0</v>
      </c>
      <c r="DK162" s="15">
        <v>0.0</v>
      </c>
      <c r="DQ162" s="15">
        <v>10.0</v>
      </c>
      <c r="DR162" s="15" t="s">
        <v>471</v>
      </c>
      <c r="DS162" s="15" t="s">
        <v>2569</v>
      </c>
      <c r="DU162" s="15" t="s">
        <v>424</v>
      </c>
      <c r="EF162" s="15" t="s">
        <v>1065</v>
      </c>
      <c r="EH162" s="15" t="s">
        <v>2570</v>
      </c>
      <c r="EQ162" s="15" t="s">
        <v>1072</v>
      </c>
      <c r="ER162" s="15" t="s">
        <v>2571</v>
      </c>
      <c r="ES162" s="15" t="s">
        <v>505</v>
      </c>
      <c r="ET162" s="15" t="s">
        <v>425</v>
      </c>
      <c r="EU162" s="15" t="s">
        <v>426</v>
      </c>
      <c r="EV162" s="15">
        <v>0.0</v>
      </c>
      <c r="EW162" s="15">
        <v>0.0</v>
      </c>
      <c r="FE162" s="15" t="s">
        <v>2572</v>
      </c>
      <c r="FF162" s="15" t="s">
        <v>1996</v>
      </c>
      <c r="FG162" s="15" t="s">
        <v>1123</v>
      </c>
    </row>
    <row r="163" ht="17.25" customHeight="1">
      <c r="A163" s="15" t="s">
        <v>2576</v>
      </c>
      <c r="B163" s="15" t="str">
        <f>"801542094034"</f>
        <v>801542094034</v>
      </c>
      <c r="C163" s="15" t="s">
        <v>12891</v>
      </c>
      <c r="D163" s="15" t="str">
        <f t="shared" si="1"/>
        <v>Bria ChairHeirloom Black</v>
      </c>
      <c r="E163" s="15" t="s">
        <v>2573</v>
      </c>
      <c r="F163" s="15" t="s">
        <v>397</v>
      </c>
      <c r="G163" s="15" t="s">
        <v>2575</v>
      </c>
      <c r="J163" s="15" t="s">
        <v>2575</v>
      </c>
      <c r="K163" s="15" t="s">
        <v>1318</v>
      </c>
      <c r="L163" s="15" t="s">
        <v>2579</v>
      </c>
      <c r="M163" s="15" t="s">
        <v>1317</v>
      </c>
      <c r="N163" s="15" t="s">
        <v>706</v>
      </c>
      <c r="O163" s="15" t="s">
        <v>707</v>
      </c>
      <c r="P163" s="15" t="str">
        <f t="shared" ref="P163:P164" si="474">"25.5"</f>
        <v>25.5</v>
      </c>
      <c r="Q163" s="15" t="str">
        <f t="shared" ref="Q163:Q164" si="475">"30"</f>
        <v>30</v>
      </c>
      <c r="R163" s="15" t="str">
        <f t="shared" ref="R163:R164" si="476">"31"</f>
        <v>31</v>
      </c>
      <c r="S163" s="15" t="str">
        <f t="shared" ref="S163:S164" si="477">"26.46"</f>
        <v>26.46</v>
      </c>
      <c r="T163" s="15" t="s">
        <v>2578</v>
      </c>
      <c r="U163" s="15" t="s">
        <v>11137</v>
      </c>
      <c r="V163" s="15" t="s">
        <v>11210</v>
      </c>
      <c r="W163" s="15" t="s">
        <v>11139</v>
      </c>
      <c r="AA163" s="15" t="s">
        <v>413</v>
      </c>
      <c r="AB163" s="15" t="s">
        <v>413</v>
      </c>
      <c r="AC163" s="15" t="s">
        <v>2580</v>
      </c>
      <c r="AD163" s="15" t="s">
        <v>12892</v>
      </c>
      <c r="AE163" s="15" t="s">
        <v>2577</v>
      </c>
      <c r="AF163" s="15" t="s">
        <v>12893</v>
      </c>
      <c r="AG163" s="15" t="s">
        <v>12894</v>
      </c>
      <c r="AH163" s="15" t="s">
        <v>12895</v>
      </c>
      <c r="AI163" s="15" t="s">
        <v>12896</v>
      </c>
      <c r="AJ163" s="15" t="s">
        <v>12897</v>
      </c>
      <c r="AK163" s="15" t="s">
        <v>12898</v>
      </c>
      <c r="AL163" s="15" t="s">
        <v>12899</v>
      </c>
      <c r="AM163" s="15" t="s">
        <v>12900</v>
      </c>
      <c r="AN163" s="15" t="s">
        <v>12901</v>
      </c>
      <c r="AO163" s="15" t="s">
        <v>12902</v>
      </c>
      <c r="BH163" s="15" t="s">
        <v>2574</v>
      </c>
      <c r="BI163" s="15" t="str">
        <f>"849"</f>
        <v>849</v>
      </c>
      <c r="BJ163" s="15" t="str">
        <f>"360"</f>
        <v>360</v>
      </c>
      <c r="BK163" s="15" t="s">
        <v>709</v>
      </c>
      <c r="BL163" s="15" t="str">
        <f t="shared" ref="BL163:BL166" si="478">"1"</f>
        <v>1</v>
      </c>
      <c r="BM163" s="15" t="s">
        <v>1208</v>
      </c>
      <c r="BN163" s="15" t="str">
        <f t="shared" ref="BN163:BN164" si="479">"30.71"</f>
        <v>30.71</v>
      </c>
      <c r="BO163" s="15" t="str">
        <f t="shared" ref="BO163:BO164" si="480">"34.65"</f>
        <v>34.65</v>
      </c>
      <c r="BP163" s="15" t="str">
        <f t="shared" ref="BP163:BP164" si="481">"36.61"</f>
        <v>36.61</v>
      </c>
      <c r="BQ163" s="15" t="str">
        <f t="shared" ref="BQ163:BQ164" si="482">"46.08"</f>
        <v>46.08</v>
      </c>
      <c r="CG163" s="15" t="str">
        <f t="shared" ref="CG163:CG164" si="483">"19.63"</f>
        <v>19.63</v>
      </c>
      <c r="CH163" s="15" t="str">
        <f t="shared" ref="CH163:CH164" si="484">"0.556"</f>
        <v>0.556</v>
      </c>
      <c r="CI163" s="15" t="s">
        <v>465</v>
      </c>
      <c r="CS163" s="15" t="s">
        <v>1331</v>
      </c>
      <c r="CT163" s="15" t="s">
        <v>1161</v>
      </c>
      <c r="CU163" s="15" t="s">
        <v>1072</v>
      </c>
      <c r="CV163" s="15">
        <v>0.0</v>
      </c>
      <c r="CW163" s="15">
        <v>1.0</v>
      </c>
      <c r="CX163" s="15" t="s">
        <v>717</v>
      </c>
      <c r="CY163" s="15" t="s">
        <v>718</v>
      </c>
      <c r="DF163" s="15" t="s">
        <v>1111</v>
      </c>
      <c r="DG163" s="15" t="s">
        <v>419</v>
      </c>
      <c r="DH163" s="15">
        <v>0.0</v>
      </c>
      <c r="DL163" s="15">
        <v>0.0</v>
      </c>
      <c r="DM163" s="15" t="s">
        <v>470</v>
      </c>
      <c r="DN163" s="15" t="s">
        <v>1016</v>
      </c>
      <c r="DO163" s="15" t="s">
        <v>1701</v>
      </c>
      <c r="DP163" s="15">
        <v>1.0</v>
      </c>
      <c r="DQ163" s="15">
        <v>1.0</v>
      </c>
      <c r="DS163" s="15" t="s">
        <v>2582</v>
      </c>
      <c r="DT163" s="15">
        <v>0.0</v>
      </c>
      <c r="DU163" s="15" t="s">
        <v>726</v>
      </c>
      <c r="DV163" s="15" t="s">
        <v>1211</v>
      </c>
      <c r="DW163" s="15" t="s">
        <v>2116</v>
      </c>
      <c r="DX163" s="15" t="s">
        <v>1211</v>
      </c>
      <c r="EB163" s="15" t="s">
        <v>672</v>
      </c>
      <c r="EF163" s="15" t="s">
        <v>1593</v>
      </c>
      <c r="EG163" s="15" t="s">
        <v>1212</v>
      </c>
      <c r="EH163" s="15" t="s">
        <v>1700</v>
      </c>
      <c r="EI163" s="15" t="s">
        <v>1592</v>
      </c>
      <c r="EL163" s="15" t="s">
        <v>1016</v>
      </c>
      <c r="EM163" s="15" t="s">
        <v>1701</v>
      </c>
      <c r="EO163" s="15" t="s">
        <v>1255</v>
      </c>
      <c r="EZ163" s="15">
        <v>0.0</v>
      </c>
      <c r="FA163" s="15">
        <v>0.0</v>
      </c>
      <c r="FC163" s="15">
        <v>0.0</v>
      </c>
    </row>
    <row r="164" ht="17.25" customHeight="1">
      <c r="A164" s="15" t="s">
        <v>2584</v>
      </c>
      <c r="B164" s="15" t="str">
        <f>"801542094041"</f>
        <v>801542094041</v>
      </c>
      <c r="C164" s="15" t="s">
        <v>12903</v>
      </c>
      <c r="D164" s="15" t="str">
        <f t="shared" si="1"/>
        <v>Bria ChairSurrey Olive</v>
      </c>
      <c r="E164" s="15" t="s">
        <v>2573</v>
      </c>
      <c r="F164" s="15" t="s">
        <v>397</v>
      </c>
      <c r="G164" s="15" t="s">
        <v>1612</v>
      </c>
      <c r="J164" s="15" t="s">
        <v>1612</v>
      </c>
      <c r="K164" s="15" t="s">
        <v>1318</v>
      </c>
      <c r="L164" s="15" t="s">
        <v>2579</v>
      </c>
      <c r="M164" s="15" t="s">
        <v>1317</v>
      </c>
      <c r="N164" s="15" t="s">
        <v>706</v>
      </c>
      <c r="O164" s="15" t="s">
        <v>707</v>
      </c>
      <c r="P164" s="15" t="str">
        <f t="shared" si="474"/>
        <v>25.5</v>
      </c>
      <c r="Q164" s="15" t="str">
        <f t="shared" si="475"/>
        <v>30</v>
      </c>
      <c r="R164" s="15" t="str">
        <f t="shared" si="476"/>
        <v>31</v>
      </c>
      <c r="S164" s="15" t="str">
        <f t="shared" si="477"/>
        <v>26.46</v>
      </c>
      <c r="T164" s="15" t="s">
        <v>2586</v>
      </c>
      <c r="U164" s="15" t="s">
        <v>11845</v>
      </c>
      <c r="V164" s="15" t="s">
        <v>11846</v>
      </c>
      <c r="W164" s="15" t="s">
        <v>11210</v>
      </c>
      <c r="X164" s="15" t="s">
        <v>11139</v>
      </c>
      <c r="AA164" s="15" t="s">
        <v>413</v>
      </c>
      <c r="AB164" s="15" t="s">
        <v>413</v>
      </c>
      <c r="AC164" s="15" t="s">
        <v>2587</v>
      </c>
      <c r="AD164" s="15" t="s">
        <v>12904</v>
      </c>
      <c r="AE164" s="15" t="s">
        <v>2585</v>
      </c>
      <c r="AF164" s="15" t="s">
        <v>12905</v>
      </c>
      <c r="AG164" s="15" t="s">
        <v>12906</v>
      </c>
      <c r="AH164" s="15" t="s">
        <v>12907</v>
      </c>
      <c r="AI164" s="15" t="s">
        <v>12908</v>
      </c>
      <c r="AJ164" s="15" t="s">
        <v>12909</v>
      </c>
      <c r="AK164" s="15" t="s">
        <v>12910</v>
      </c>
      <c r="AL164" s="15" t="s">
        <v>12911</v>
      </c>
      <c r="AM164" s="15" t="s">
        <v>12912</v>
      </c>
      <c r="AN164" s="15" t="s">
        <v>12913</v>
      </c>
      <c r="AO164" s="15" t="s">
        <v>12914</v>
      </c>
      <c r="BH164" s="15" t="s">
        <v>2583</v>
      </c>
      <c r="BI164" s="15" t="str">
        <f>"749"</f>
        <v>749</v>
      </c>
      <c r="BJ164" s="15" t="str">
        <f>"315"</f>
        <v>315</v>
      </c>
      <c r="BK164" s="15" t="s">
        <v>709</v>
      </c>
      <c r="BL164" s="15" t="str">
        <f t="shared" si="478"/>
        <v>1</v>
      </c>
      <c r="BM164" s="15" t="s">
        <v>1208</v>
      </c>
      <c r="BN164" s="15" t="str">
        <f t="shared" si="479"/>
        <v>30.71</v>
      </c>
      <c r="BO164" s="15" t="str">
        <f t="shared" si="480"/>
        <v>34.65</v>
      </c>
      <c r="BP164" s="15" t="str">
        <f t="shared" si="481"/>
        <v>36.61</v>
      </c>
      <c r="BQ164" s="15" t="str">
        <f t="shared" si="482"/>
        <v>46.08</v>
      </c>
      <c r="CG164" s="15" t="str">
        <f t="shared" si="483"/>
        <v>19.63</v>
      </c>
      <c r="CH164" s="15" t="str">
        <f t="shared" si="484"/>
        <v>0.556</v>
      </c>
      <c r="CI164" s="15" t="s">
        <v>497</v>
      </c>
      <c r="CS164" s="15" t="s">
        <v>1331</v>
      </c>
      <c r="CT164" s="15" t="s">
        <v>1161</v>
      </c>
      <c r="CU164" s="15" t="s">
        <v>1072</v>
      </c>
      <c r="CV164" s="15">
        <v>0.0</v>
      </c>
      <c r="CW164" s="15">
        <v>1.0</v>
      </c>
      <c r="CX164" s="15" t="s">
        <v>717</v>
      </c>
      <c r="CY164" s="15" t="s">
        <v>718</v>
      </c>
      <c r="DF164" s="15" t="s">
        <v>1111</v>
      </c>
      <c r="DG164" s="15" t="s">
        <v>419</v>
      </c>
      <c r="DH164" s="15">
        <v>0.0</v>
      </c>
      <c r="DL164" s="15">
        <v>30000.0</v>
      </c>
      <c r="DM164" s="15" t="s">
        <v>470</v>
      </c>
      <c r="DN164" s="15" t="s">
        <v>1016</v>
      </c>
      <c r="DO164" s="15" t="s">
        <v>1701</v>
      </c>
      <c r="DP164" s="15">
        <v>1.0</v>
      </c>
      <c r="DQ164" s="15">
        <v>1.0</v>
      </c>
      <c r="DS164" s="15" t="s">
        <v>2582</v>
      </c>
      <c r="DT164" s="15">
        <v>0.0</v>
      </c>
      <c r="DU164" s="15" t="s">
        <v>726</v>
      </c>
      <c r="DV164" s="15" t="s">
        <v>1211</v>
      </c>
      <c r="DW164" s="15" t="s">
        <v>2116</v>
      </c>
      <c r="DX164" s="15" t="s">
        <v>1211</v>
      </c>
      <c r="EB164" s="15" t="s">
        <v>672</v>
      </c>
      <c r="EF164" s="15" t="s">
        <v>1593</v>
      </c>
      <c r="EG164" s="15" t="s">
        <v>1212</v>
      </c>
      <c r="EH164" s="15" t="s">
        <v>1700</v>
      </c>
      <c r="EI164" s="15" t="s">
        <v>1592</v>
      </c>
      <c r="EL164" s="15" t="s">
        <v>1016</v>
      </c>
      <c r="EM164" s="15" t="s">
        <v>1701</v>
      </c>
      <c r="EO164" s="15" t="s">
        <v>1255</v>
      </c>
      <c r="EZ164" s="15">
        <v>0.0</v>
      </c>
      <c r="FA164" s="15">
        <v>0.0</v>
      </c>
      <c r="FC164" s="15">
        <v>0.0</v>
      </c>
    </row>
    <row r="165" ht="17.25" customHeight="1">
      <c r="A165" s="15" t="s">
        <v>2591</v>
      </c>
      <c r="B165" s="15" t="str">
        <f>"801542126766"</f>
        <v>801542126766</v>
      </c>
      <c r="C165" s="15" t="s">
        <v>12915</v>
      </c>
      <c r="D165" s="15" t="str">
        <f t="shared" si="1"/>
        <v>Briarbrook SideboardDistressed Light Pine</v>
      </c>
      <c r="E165" s="15" t="s">
        <v>2588</v>
      </c>
      <c r="F165" s="15" t="s">
        <v>397</v>
      </c>
      <c r="G165" s="15" t="s">
        <v>2590</v>
      </c>
      <c r="J165" s="15" t="s">
        <v>2590</v>
      </c>
      <c r="M165" s="15" t="s">
        <v>2594</v>
      </c>
      <c r="N165" s="15" t="s">
        <v>664</v>
      </c>
      <c r="P165" s="15" t="str">
        <f>"94"</f>
        <v>94</v>
      </c>
      <c r="Q165" s="15" t="str">
        <f>"18"</f>
        <v>18</v>
      </c>
      <c r="R165" s="15" t="str">
        <f>"30"</f>
        <v>30</v>
      </c>
      <c r="S165" s="15" t="str">
        <f>"235.01"</f>
        <v>235.01</v>
      </c>
      <c r="T165" s="15" t="s">
        <v>2036</v>
      </c>
      <c r="U165" s="15" t="s">
        <v>12377</v>
      </c>
      <c r="AA165" s="15" t="s">
        <v>413</v>
      </c>
      <c r="AB165" s="15" t="s">
        <v>413</v>
      </c>
      <c r="AC165" s="15" t="s">
        <v>2595</v>
      </c>
      <c r="AD165" s="15" t="s">
        <v>12916</v>
      </c>
      <c r="AE165" s="15" t="s">
        <v>2593</v>
      </c>
      <c r="AF165" s="15" t="s">
        <v>12917</v>
      </c>
      <c r="AG165" s="15" t="s">
        <v>12918</v>
      </c>
      <c r="AH165" s="15" t="s">
        <v>12919</v>
      </c>
      <c r="AI165" s="15" t="s">
        <v>12920</v>
      </c>
      <c r="AJ165" s="15" t="s">
        <v>12921</v>
      </c>
      <c r="AK165" s="15" t="s">
        <v>12922</v>
      </c>
      <c r="AL165" s="15" t="s">
        <v>12923</v>
      </c>
      <c r="AM165" s="15" t="s">
        <v>12924</v>
      </c>
      <c r="AN165" s="15" t="s">
        <v>12925</v>
      </c>
      <c r="AO165" s="15" t="s">
        <v>12926</v>
      </c>
      <c r="AP165" s="15" t="s">
        <v>12927</v>
      </c>
      <c r="AQ165" s="15" t="s">
        <v>12928</v>
      </c>
      <c r="BH165" s="15" t="s">
        <v>2589</v>
      </c>
      <c r="BI165" s="15" t="str">
        <f>"2499"</f>
        <v>2499</v>
      </c>
      <c r="BJ165" s="15" t="str">
        <f>"1050"</f>
        <v>1050</v>
      </c>
      <c r="BK165" s="15" t="s">
        <v>709</v>
      </c>
      <c r="BL165" s="15" t="str">
        <f t="shared" si="478"/>
        <v>1</v>
      </c>
      <c r="BM165" s="15" t="s">
        <v>416</v>
      </c>
      <c r="BN165" s="15" t="str">
        <f>"96.85"</f>
        <v>96.85</v>
      </c>
      <c r="BO165" s="15" t="str">
        <f>"22.05"</f>
        <v>22.05</v>
      </c>
      <c r="BP165" s="15" t="str">
        <f>"33.86"</f>
        <v>33.86</v>
      </c>
      <c r="BQ165" s="15" t="str">
        <f>"270.95"</f>
        <v>270.95</v>
      </c>
      <c r="CG165" s="15" t="str">
        <f>"41.85"</f>
        <v>41.85</v>
      </c>
      <c r="CH165" s="15" t="str">
        <f>"1.185"</f>
        <v>1.185</v>
      </c>
      <c r="CI165" s="15" t="s">
        <v>497</v>
      </c>
      <c r="CM165" s="15" t="s">
        <v>2598</v>
      </c>
      <c r="CN165" s="15" t="s">
        <v>1074</v>
      </c>
      <c r="CO165" s="15" t="s">
        <v>2599</v>
      </c>
      <c r="CZ165" s="15" t="s">
        <v>2600</v>
      </c>
      <c r="DA165" s="15">
        <v>3.0</v>
      </c>
      <c r="DB165" s="15" t="s">
        <v>2601</v>
      </c>
      <c r="DD165" s="15">
        <v>0.0</v>
      </c>
      <c r="DF165" s="15" t="s">
        <v>1388</v>
      </c>
      <c r="DG165" s="15" t="s">
        <v>610</v>
      </c>
      <c r="DI165" s="15">
        <v>18.14</v>
      </c>
      <c r="DJ165" s="15">
        <v>40.0</v>
      </c>
      <c r="DK165" s="15">
        <v>2.0</v>
      </c>
      <c r="DS165" s="15" t="s">
        <v>2602</v>
      </c>
      <c r="DU165" s="15" t="s">
        <v>424</v>
      </c>
      <c r="EF165" s="15" t="s">
        <v>2603</v>
      </c>
      <c r="EU165" s="15" t="s">
        <v>426</v>
      </c>
      <c r="EV165" s="15">
        <v>2.0</v>
      </c>
      <c r="FH165" s="15" t="s">
        <v>1072</v>
      </c>
      <c r="FI165" s="15" t="s">
        <v>1042</v>
      </c>
      <c r="FJ165" s="15" t="s">
        <v>1287</v>
      </c>
      <c r="FK165" s="15" t="s">
        <v>2598</v>
      </c>
      <c r="FL165" s="15" t="s">
        <v>782</v>
      </c>
      <c r="FM165" s="15" t="s">
        <v>2599</v>
      </c>
      <c r="FN165" s="15">
        <v>0.0</v>
      </c>
      <c r="FO165" s="15" t="s">
        <v>426</v>
      </c>
      <c r="FP165" s="15" t="s">
        <v>785</v>
      </c>
      <c r="FQ165" s="15">
        <v>4.0</v>
      </c>
      <c r="FR165" s="15" t="s">
        <v>614</v>
      </c>
      <c r="FS165" s="15" t="s">
        <v>615</v>
      </c>
      <c r="FT165" s="15">
        <v>0.0</v>
      </c>
      <c r="FU165" s="15" t="s">
        <v>426</v>
      </c>
      <c r="FW165" s="15" t="s">
        <v>616</v>
      </c>
      <c r="FZ165" s="15" t="s">
        <v>1238</v>
      </c>
      <c r="GB165" s="15" t="s">
        <v>1069</v>
      </c>
      <c r="GD165" s="15" t="s">
        <v>467</v>
      </c>
      <c r="GF165" s="15" t="s">
        <v>2604</v>
      </c>
      <c r="GH165" s="15" t="s">
        <v>764</v>
      </c>
      <c r="GI165" s="15" t="s">
        <v>426</v>
      </c>
      <c r="HF165" s="15" t="s">
        <v>789</v>
      </c>
      <c r="HQ165" s="15" t="s">
        <v>426</v>
      </c>
    </row>
    <row r="166" ht="17.25" customHeight="1">
      <c r="A166" s="15" t="s">
        <v>2608</v>
      </c>
      <c r="B166" s="15" t="str">
        <f>"801542980290"</f>
        <v>801542980290</v>
      </c>
      <c r="C166" s="15" t="s">
        <v>12929</v>
      </c>
      <c r="D166" s="15" t="str">
        <f t="shared" si="1"/>
        <v>Brimley SideboardAged Light Pine</v>
      </c>
      <c r="E166" s="15" t="s">
        <v>2605</v>
      </c>
      <c r="F166" s="15" t="s">
        <v>397</v>
      </c>
      <c r="G166" s="15" t="s">
        <v>2607</v>
      </c>
      <c r="J166" s="15" t="s">
        <v>2607</v>
      </c>
      <c r="K166" s="15" t="s">
        <v>2613</v>
      </c>
      <c r="M166" s="15" t="s">
        <v>2612</v>
      </c>
      <c r="N166" s="15" t="s">
        <v>664</v>
      </c>
      <c r="P166" s="15" t="str">
        <f>"84"</f>
        <v>84</v>
      </c>
      <c r="Q166" s="15" t="str">
        <f>"19"</f>
        <v>19</v>
      </c>
      <c r="R166" s="15" t="str">
        <f>"35"</f>
        <v>35</v>
      </c>
      <c r="S166" s="15" t="str">
        <f>"120.4"</f>
        <v>120.4</v>
      </c>
      <c r="T166" s="15" t="s">
        <v>2611</v>
      </c>
      <c r="U166" s="15" t="s">
        <v>11386</v>
      </c>
      <c r="V166" s="15" t="s">
        <v>12930</v>
      </c>
      <c r="AA166" s="15" t="s">
        <v>413</v>
      </c>
      <c r="AB166" s="15" t="s">
        <v>413</v>
      </c>
      <c r="AC166" s="15" t="s">
        <v>2614</v>
      </c>
      <c r="AD166" s="15" t="s">
        <v>12931</v>
      </c>
      <c r="AE166" s="15" t="s">
        <v>2610</v>
      </c>
      <c r="AF166" s="15" t="s">
        <v>12932</v>
      </c>
      <c r="AG166" s="15" t="s">
        <v>12933</v>
      </c>
      <c r="AH166" s="15" t="s">
        <v>12934</v>
      </c>
      <c r="AI166" s="15" t="s">
        <v>12935</v>
      </c>
      <c r="AJ166" s="15" t="s">
        <v>12936</v>
      </c>
      <c r="AK166" s="15" t="s">
        <v>12937</v>
      </c>
      <c r="AL166" s="15" t="s">
        <v>12938</v>
      </c>
      <c r="AM166" s="15" t="s">
        <v>12939</v>
      </c>
      <c r="AN166" s="15" t="s">
        <v>12940</v>
      </c>
      <c r="AO166" s="15" t="s">
        <v>12941</v>
      </c>
      <c r="AP166" s="15" t="s">
        <v>12942</v>
      </c>
      <c r="AQ166" s="15" t="s">
        <v>12943</v>
      </c>
      <c r="AR166" s="15" t="s">
        <v>12944</v>
      </c>
      <c r="AS166" s="15" t="s">
        <v>12945</v>
      </c>
      <c r="BH166" s="15" t="s">
        <v>2606</v>
      </c>
      <c r="BI166" s="15" t="str">
        <f>"3099"</f>
        <v>3099</v>
      </c>
      <c r="BJ166" s="15" t="str">
        <f>"1305"</f>
        <v>1305</v>
      </c>
      <c r="BK166" s="15" t="s">
        <v>709</v>
      </c>
      <c r="BL166" s="15" t="str">
        <f t="shared" si="478"/>
        <v>1</v>
      </c>
      <c r="BM166" s="15" t="s">
        <v>416</v>
      </c>
      <c r="BN166" s="15" t="str">
        <f>"87.8"</f>
        <v>87.8</v>
      </c>
      <c r="BO166" s="15" t="str">
        <f>"23.23"</f>
        <v>23.23</v>
      </c>
      <c r="BP166" s="15" t="str">
        <f>"39.37"</f>
        <v>39.37</v>
      </c>
      <c r="BQ166" s="15" t="str">
        <f>"157.41"</f>
        <v>157.41</v>
      </c>
      <c r="CG166" s="15" t="str">
        <f>"46.47"</f>
        <v>46.47</v>
      </c>
      <c r="CH166" s="15" t="str">
        <f>"1.316"</f>
        <v>1.316</v>
      </c>
      <c r="CI166" s="15" t="s">
        <v>465</v>
      </c>
      <c r="CJ166" s="15" t="s">
        <v>1036</v>
      </c>
      <c r="CK166" s="15" t="s">
        <v>612</v>
      </c>
      <c r="CL166" s="15" t="s">
        <v>867</v>
      </c>
      <c r="CM166" s="15" t="s">
        <v>2618</v>
      </c>
      <c r="CN166" s="15" t="s">
        <v>823</v>
      </c>
      <c r="CO166" s="15" t="s">
        <v>2619</v>
      </c>
      <c r="CZ166" s="15" t="s">
        <v>419</v>
      </c>
      <c r="DA166" s="15">
        <v>0.0</v>
      </c>
      <c r="DB166" s="15" t="s">
        <v>419</v>
      </c>
      <c r="DD166" s="15">
        <v>1.0</v>
      </c>
      <c r="DE166" s="15" t="s">
        <v>426</v>
      </c>
      <c r="DF166" s="15" t="s">
        <v>721</v>
      </c>
      <c r="DG166" s="15" t="s">
        <v>610</v>
      </c>
      <c r="DI166" s="15">
        <v>18.14</v>
      </c>
      <c r="DJ166" s="15">
        <v>40.0</v>
      </c>
      <c r="DK166" s="15">
        <v>2.0</v>
      </c>
      <c r="DS166" s="15" t="s">
        <v>2620</v>
      </c>
      <c r="DU166" s="15" t="s">
        <v>424</v>
      </c>
      <c r="EF166" s="15" t="s">
        <v>2162</v>
      </c>
      <c r="EU166" s="15" t="s">
        <v>426</v>
      </c>
      <c r="EV166" s="15">
        <v>3.0</v>
      </c>
      <c r="FH166" s="15" t="s">
        <v>823</v>
      </c>
      <c r="FI166" s="15" t="s">
        <v>612</v>
      </c>
      <c r="FJ166" s="15" t="s">
        <v>2621</v>
      </c>
      <c r="FK166" s="15" t="s">
        <v>2618</v>
      </c>
      <c r="FL166" s="15" t="s">
        <v>1188</v>
      </c>
      <c r="FM166" s="15" t="s">
        <v>2622</v>
      </c>
      <c r="FN166" s="15">
        <v>0.0</v>
      </c>
      <c r="FO166" s="15" t="s">
        <v>426</v>
      </c>
      <c r="FQ166" s="15">
        <v>4.0</v>
      </c>
      <c r="FR166" s="15" t="s">
        <v>614</v>
      </c>
      <c r="FS166" s="15" t="s">
        <v>615</v>
      </c>
      <c r="FT166" s="15">
        <v>0.0</v>
      </c>
      <c r="FU166" s="15" t="s">
        <v>426</v>
      </c>
      <c r="FW166" s="15" t="s">
        <v>616</v>
      </c>
      <c r="GJ166" s="15" t="s">
        <v>2618</v>
      </c>
      <c r="GK166" s="15" t="s">
        <v>823</v>
      </c>
      <c r="GL166" s="15" t="s">
        <v>2619</v>
      </c>
      <c r="GZ166" s="15" t="s">
        <v>1036</v>
      </c>
      <c r="HB166" s="15" t="s">
        <v>1950</v>
      </c>
      <c r="HD166" s="15" t="s">
        <v>867</v>
      </c>
      <c r="HF166" s="15" t="s">
        <v>2505</v>
      </c>
      <c r="HQ166" s="15" t="s">
        <v>426</v>
      </c>
    </row>
    <row r="167" ht="17.25" customHeight="1">
      <c r="A167" s="15" t="s">
        <v>2626</v>
      </c>
      <c r="B167" s="15" t="str">
        <f>"801542139025"</f>
        <v>801542139025</v>
      </c>
      <c r="C167" s="15" t="s">
        <v>12946</v>
      </c>
      <c r="D167" s="15" t="str">
        <f t="shared" si="1"/>
        <v>Brisa Round Dining Table 55"Dune Onyx</v>
      </c>
      <c r="E167" s="15" t="s">
        <v>2623</v>
      </c>
      <c r="F167" s="15" t="s">
        <v>397</v>
      </c>
      <c r="G167" s="15" t="s">
        <v>2625</v>
      </c>
      <c r="J167" s="15" t="s">
        <v>2625</v>
      </c>
      <c r="K167" s="15" t="s">
        <v>2631</v>
      </c>
      <c r="M167" s="15" t="s">
        <v>2630</v>
      </c>
      <c r="N167" s="15" t="s">
        <v>548</v>
      </c>
      <c r="O167" s="15" t="s">
        <v>549</v>
      </c>
      <c r="P167" s="15" t="str">
        <f t="shared" ref="P167:Q167" si="485">"55"</f>
        <v>55</v>
      </c>
      <c r="Q167" s="15" t="str">
        <f t="shared" si="485"/>
        <v>55</v>
      </c>
      <c r="R167" s="15" t="str">
        <f t="shared" ref="R167:R172" si="486">"30"</f>
        <v>30</v>
      </c>
      <c r="S167" s="15" t="str">
        <f>"265.64"</f>
        <v>265.64</v>
      </c>
      <c r="T167" s="15" t="s">
        <v>2629</v>
      </c>
      <c r="U167" s="15" t="s">
        <v>12947</v>
      </c>
      <c r="V167" s="15" t="s">
        <v>11338</v>
      </c>
      <c r="AA167" s="15" t="s">
        <v>413</v>
      </c>
      <c r="AB167" s="15" t="s">
        <v>413</v>
      </c>
      <c r="AC167" s="15" t="s">
        <v>2632</v>
      </c>
      <c r="AD167" s="15" t="s">
        <v>12948</v>
      </c>
      <c r="AE167" s="15" t="s">
        <v>2628</v>
      </c>
      <c r="AF167" s="15" t="s">
        <v>12949</v>
      </c>
      <c r="AG167" s="15" t="s">
        <v>12950</v>
      </c>
      <c r="AH167" s="15" t="s">
        <v>12951</v>
      </c>
      <c r="AI167" s="15" t="s">
        <v>12952</v>
      </c>
      <c r="AJ167" s="15" t="s">
        <v>12953</v>
      </c>
      <c r="AK167" s="15" t="s">
        <v>12954</v>
      </c>
      <c r="AL167" s="15" t="s">
        <v>12955</v>
      </c>
      <c r="AM167" s="15" t="s">
        <v>12956</v>
      </c>
      <c r="AN167" s="15" t="s">
        <v>12957</v>
      </c>
      <c r="AO167" s="15" t="s">
        <v>12958</v>
      </c>
      <c r="AP167" s="15" t="s">
        <v>12959</v>
      </c>
      <c r="AQ167" s="15" t="s">
        <v>12960</v>
      </c>
      <c r="BH167" s="15" t="s">
        <v>2624</v>
      </c>
      <c r="BI167" s="15" t="str">
        <f>"3499"</f>
        <v>3499</v>
      </c>
      <c r="BJ167" s="15" t="str">
        <f>"1470"</f>
        <v>1470</v>
      </c>
      <c r="BK167" s="15" t="s">
        <v>1303</v>
      </c>
      <c r="BL167" s="15" t="str">
        <f>"2"</f>
        <v>2</v>
      </c>
      <c r="BM167" s="15" t="s">
        <v>1564</v>
      </c>
      <c r="BN167" s="15" t="str">
        <f>"63.5"</f>
        <v>63.5</v>
      </c>
      <c r="BO167" s="15" t="str">
        <f>"11"</f>
        <v>11</v>
      </c>
      <c r="BP167" s="15" t="str">
        <f>"63.5"</f>
        <v>63.5</v>
      </c>
      <c r="BQ167" s="15" t="str">
        <f>"341.05"</f>
        <v>341.05</v>
      </c>
      <c r="BR167" s="15" t="s">
        <v>2238</v>
      </c>
      <c r="BS167" s="15" t="str">
        <f>"25"</f>
        <v>25</v>
      </c>
      <c r="BT167" s="15" t="str">
        <f>"25.5"</f>
        <v>25.5</v>
      </c>
      <c r="BU167" s="15" t="str">
        <f>"32"</f>
        <v>32</v>
      </c>
      <c r="BV167" s="15" t="str">
        <f>"78.81"</f>
        <v>78.81</v>
      </c>
      <c r="CG167" s="15" t="str">
        <f>"37.47"</f>
        <v>37.47</v>
      </c>
      <c r="CH167" s="15" t="str">
        <f>"1.061"</f>
        <v>1.061</v>
      </c>
      <c r="CI167" s="15" t="s">
        <v>465</v>
      </c>
      <c r="CZ167" s="15" t="s">
        <v>419</v>
      </c>
      <c r="DA167" s="15">
        <v>0.0</v>
      </c>
      <c r="DB167" s="15" t="s">
        <v>419</v>
      </c>
      <c r="DD167" s="15">
        <v>0.0</v>
      </c>
      <c r="DG167" s="15" t="s">
        <v>419</v>
      </c>
      <c r="DI167" s="15">
        <v>0.0</v>
      </c>
      <c r="DJ167" s="15">
        <v>0.0</v>
      </c>
      <c r="DK167" s="15">
        <v>0.0</v>
      </c>
      <c r="DQ167" s="15">
        <v>6.0</v>
      </c>
      <c r="DR167" s="15" t="s">
        <v>1157</v>
      </c>
      <c r="DS167" s="15" t="s">
        <v>2636</v>
      </c>
      <c r="DU167" s="15" t="s">
        <v>500</v>
      </c>
      <c r="EF167" s="15" t="s">
        <v>2637</v>
      </c>
      <c r="EQ167" s="15" t="s">
        <v>1072</v>
      </c>
      <c r="ER167" s="15" t="s">
        <v>2637</v>
      </c>
      <c r="ES167" s="15" t="s">
        <v>1072</v>
      </c>
      <c r="ET167" s="15" t="s">
        <v>2638</v>
      </c>
      <c r="EU167" s="15" t="s">
        <v>426</v>
      </c>
      <c r="EV167" s="15">
        <v>0.0</v>
      </c>
      <c r="EW167" s="15">
        <v>0.0</v>
      </c>
      <c r="FE167" s="15" t="s">
        <v>2637</v>
      </c>
      <c r="FF167" s="15" t="s">
        <v>1237</v>
      </c>
      <c r="FG167" s="15" t="s">
        <v>2244</v>
      </c>
    </row>
    <row r="168" ht="17.25" customHeight="1">
      <c r="A168" s="15" t="s">
        <v>2641</v>
      </c>
      <c r="B168" s="15" t="str">
        <f>"801542064112"</f>
        <v>801542064112</v>
      </c>
      <c r="C168" s="15" t="s">
        <v>12961</v>
      </c>
      <c r="D168" s="15" t="str">
        <f t="shared" si="1"/>
        <v>Brodie ChairAndes Toast</v>
      </c>
      <c r="E168" s="15" t="s">
        <v>2639</v>
      </c>
      <c r="F168" s="15" t="s">
        <v>397</v>
      </c>
      <c r="G168" s="15" t="s">
        <v>1257</v>
      </c>
      <c r="J168" s="15" t="s">
        <v>1257</v>
      </c>
      <c r="K168" s="15" t="s">
        <v>2644</v>
      </c>
      <c r="M168" s="15" t="s">
        <v>2492</v>
      </c>
      <c r="N168" s="15" t="s">
        <v>706</v>
      </c>
      <c r="O168" s="15" t="s">
        <v>707</v>
      </c>
      <c r="P168" s="15" t="str">
        <f t="shared" ref="P168:P170" si="487">"29.25"</f>
        <v>29.25</v>
      </c>
      <c r="Q168" s="15" t="str">
        <f t="shared" ref="Q168:Q170" si="488">"32.75"</f>
        <v>32.75</v>
      </c>
      <c r="R168" s="15" t="str">
        <f t="shared" si="486"/>
        <v>30</v>
      </c>
      <c r="S168" s="15" t="str">
        <f t="shared" ref="S168:S170" si="489">"35.49"</f>
        <v>35.49</v>
      </c>
      <c r="T168" s="15" t="s">
        <v>2527</v>
      </c>
      <c r="U168" s="15" t="s">
        <v>11209</v>
      </c>
      <c r="V168" s="15" t="s">
        <v>11338</v>
      </c>
      <c r="AA168" s="15" t="s">
        <v>413</v>
      </c>
      <c r="AB168" s="15" t="s">
        <v>413</v>
      </c>
      <c r="AC168" s="15" t="s">
        <v>2645</v>
      </c>
      <c r="AD168" s="15" t="s">
        <v>12962</v>
      </c>
      <c r="AE168" s="15" t="s">
        <v>2643</v>
      </c>
      <c r="AF168" s="15" t="s">
        <v>12963</v>
      </c>
      <c r="AG168" s="15" t="s">
        <v>12964</v>
      </c>
      <c r="AH168" s="15" t="s">
        <v>12965</v>
      </c>
      <c r="AI168" s="15" t="s">
        <v>12966</v>
      </c>
      <c r="AJ168" s="15" t="s">
        <v>12967</v>
      </c>
      <c r="AK168" s="15" t="s">
        <v>12968</v>
      </c>
      <c r="AL168" s="15" t="s">
        <v>12969</v>
      </c>
      <c r="AM168" s="15" t="s">
        <v>12970</v>
      </c>
      <c r="AN168" s="15" t="s">
        <v>12971</v>
      </c>
      <c r="AO168" s="15" t="s">
        <v>12972</v>
      </c>
      <c r="BH168" s="15" t="s">
        <v>2640</v>
      </c>
      <c r="BI168" s="15" t="str">
        <f>"1099"</f>
        <v>1099</v>
      </c>
      <c r="BJ168" s="15" t="str">
        <f>"465"</f>
        <v>465</v>
      </c>
      <c r="BK168" s="15" t="s">
        <v>709</v>
      </c>
      <c r="BL168" s="15" t="str">
        <f t="shared" ref="BL168:BL170" si="490">"1"</f>
        <v>1</v>
      </c>
      <c r="BM168" s="15" t="s">
        <v>416</v>
      </c>
      <c r="BN168" s="15" t="str">
        <f t="shared" ref="BN168:BN170" si="491">"34.25"</f>
        <v>34.25</v>
      </c>
      <c r="BO168" s="15" t="str">
        <f t="shared" ref="BO168:BO170" si="492">"30.71"</f>
        <v>30.71</v>
      </c>
      <c r="BP168" s="15" t="str">
        <f t="shared" ref="BP168:BP170" si="493">"31.89"</f>
        <v>31.89</v>
      </c>
      <c r="BQ168" s="15" t="str">
        <f t="shared" ref="BQ168:BQ170" si="494">"45.86"</f>
        <v>45.86</v>
      </c>
      <c r="CG168" s="15" t="str">
        <f t="shared" ref="CG168:CG170" si="495">"19.42"</f>
        <v>19.42</v>
      </c>
      <c r="CH168" s="15" t="str">
        <f t="shared" ref="CH168:CH170" si="496">"0.55"</f>
        <v>0.55</v>
      </c>
      <c r="CI168" s="15" t="s">
        <v>497</v>
      </c>
      <c r="CS168" s="15" t="s">
        <v>2647</v>
      </c>
      <c r="CT168" s="15" t="s">
        <v>2648</v>
      </c>
      <c r="CV168" s="15">
        <v>0.0</v>
      </c>
      <c r="CW168" s="15">
        <v>1.0</v>
      </c>
      <c r="CX168" s="15" t="s">
        <v>717</v>
      </c>
      <c r="CY168" s="15" t="s">
        <v>897</v>
      </c>
      <c r="DF168" s="15" t="s">
        <v>420</v>
      </c>
      <c r="DG168" s="15" t="s">
        <v>419</v>
      </c>
      <c r="DH168" s="15">
        <v>0.0</v>
      </c>
      <c r="DL168" s="15">
        <v>100000.0</v>
      </c>
      <c r="DM168" s="15" t="s">
        <v>990</v>
      </c>
      <c r="DN168" s="15" t="s">
        <v>1016</v>
      </c>
      <c r="DP168" s="15">
        <v>1.0</v>
      </c>
      <c r="DQ168" s="15">
        <v>1.0</v>
      </c>
      <c r="DS168" s="15" t="s">
        <v>2649</v>
      </c>
      <c r="DT168" s="15">
        <v>0.0</v>
      </c>
      <c r="DU168" s="15" t="s">
        <v>726</v>
      </c>
      <c r="DV168" s="15" t="s">
        <v>2650</v>
      </c>
      <c r="DW168" s="15" t="s">
        <v>2347</v>
      </c>
      <c r="DX168" s="15" t="s">
        <v>2651</v>
      </c>
      <c r="EB168" s="15" t="s">
        <v>2144</v>
      </c>
      <c r="EF168" s="15" t="s">
        <v>714</v>
      </c>
      <c r="EG168" s="15" t="s">
        <v>1603</v>
      </c>
      <c r="EH168" s="15" t="s">
        <v>2652</v>
      </c>
      <c r="EI168" s="15" t="s">
        <v>2653</v>
      </c>
      <c r="EL168" s="15" t="s">
        <v>1016</v>
      </c>
      <c r="EO168" s="15" t="s">
        <v>2502</v>
      </c>
      <c r="EX168" s="15" t="s">
        <v>2654</v>
      </c>
      <c r="EY168" s="15" t="s">
        <v>2655</v>
      </c>
      <c r="EZ168" s="15">
        <v>0.0</v>
      </c>
      <c r="FA168" s="15">
        <v>0.0</v>
      </c>
      <c r="FC168" s="15">
        <v>0.0</v>
      </c>
    </row>
    <row r="169" ht="17.25" customHeight="1">
      <c r="A169" s="15" t="s">
        <v>2658</v>
      </c>
      <c r="B169" s="15" t="str">
        <f>"198394064675"</f>
        <v>198394064675</v>
      </c>
      <c r="C169" s="15" t="s">
        <v>12973</v>
      </c>
      <c r="D169" s="15" t="str">
        <f t="shared" si="1"/>
        <v>Brodie ChairIvan Granite</v>
      </c>
      <c r="E169" s="15" t="s">
        <v>2639</v>
      </c>
      <c r="F169" s="15" t="s">
        <v>397</v>
      </c>
      <c r="G169" s="15" t="s">
        <v>2657</v>
      </c>
      <c r="J169" s="15" t="s">
        <v>2657</v>
      </c>
      <c r="K169" s="15" t="s">
        <v>2661</v>
      </c>
      <c r="M169" s="15" t="s">
        <v>2492</v>
      </c>
      <c r="N169" s="15" t="s">
        <v>706</v>
      </c>
      <c r="O169" s="15" t="s">
        <v>707</v>
      </c>
      <c r="P169" s="15" t="str">
        <f t="shared" si="487"/>
        <v>29.25</v>
      </c>
      <c r="Q169" s="15" t="str">
        <f t="shared" si="488"/>
        <v>32.75</v>
      </c>
      <c r="R169" s="15" t="str">
        <f t="shared" si="486"/>
        <v>30</v>
      </c>
      <c r="S169" s="15" t="str">
        <f t="shared" si="489"/>
        <v>35.49</v>
      </c>
      <c r="T169" s="15" t="s">
        <v>2660</v>
      </c>
      <c r="U169" s="15" t="s">
        <v>12974</v>
      </c>
      <c r="V169" s="15" t="s">
        <v>12975</v>
      </c>
      <c r="W169" s="15" t="s">
        <v>12976</v>
      </c>
      <c r="X169" s="15" t="s">
        <v>11338</v>
      </c>
      <c r="AA169" s="15" t="s">
        <v>413</v>
      </c>
      <c r="AB169" s="15" t="s">
        <v>413</v>
      </c>
      <c r="AC169" s="15" t="s">
        <v>2645</v>
      </c>
      <c r="AD169" s="15" t="s">
        <v>12977</v>
      </c>
      <c r="AE169" s="15" t="s">
        <v>2659</v>
      </c>
      <c r="AF169" s="15" t="s">
        <v>12978</v>
      </c>
      <c r="AG169" s="15" t="s">
        <v>12979</v>
      </c>
      <c r="AH169" s="15" t="s">
        <v>12980</v>
      </c>
      <c r="AI169" s="15" t="s">
        <v>12981</v>
      </c>
      <c r="AJ169" s="15" t="s">
        <v>12982</v>
      </c>
      <c r="AK169" s="15" t="s">
        <v>12983</v>
      </c>
      <c r="AL169" s="15" t="s">
        <v>12984</v>
      </c>
      <c r="AM169" s="15" t="s">
        <v>12985</v>
      </c>
      <c r="AN169" s="15" t="s">
        <v>12986</v>
      </c>
      <c r="BH169" s="15" t="s">
        <v>2656</v>
      </c>
      <c r="BI169" s="15" t="str">
        <f>"1349"</f>
        <v>1349</v>
      </c>
      <c r="BJ169" s="15" t="str">
        <f>"570"</f>
        <v>570</v>
      </c>
      <c r="BK169" s="15" t="s">
        <v>709</v>
      </c>
      <c r="BL169" s="15" t="str">
        <f t="shared" si="490"/>
        <v>1</v>
      </c>
      <c r="BM169" s="15" t="s">
        <v>416</v>
      </c>
      <c r="BN169" s="15" t="str">
        <f t="shared" si="491"/>
        <v>34.25</v>
      </c>
      <c r="BO169" s="15" t="str">
        <f t="shared" si="492"/>
        <v>30.71</v>
      </c>
      <c r="BP169" s="15" t="str">
        <f t="shared" si="493"/>
        <v>31.89</v>
      </c>
      <c r="BQ169" s="15" t="str">
        <f t="shared" si="494"/>
        <v>45.86</v>
      </c>
      <c r="CG169" s="15" t="str">
        <f t="shared" si="495"/>
        <v>19.42</v>
      </c>
      <c r="CH169" s="15" t="str">
        <f t="shared" si="496"/>
        <v>0.55</v>
      </c>
      <c r="CI169" s="15" t="s">
        <v>465</v>
      </c>
      <c r="CS169" s="15" t="s">
        <v>2647</v>
      </c>
      <c r="CT169" s="15" t="s">
        <v>2648</v>
      </c>
      <c r="CV169" s="15">
        <v>0.0</v>
      </c>
      <c r="CW169" s="15">
        <v>1.0</v>
      </c>
      <c r="CX169" s="15" t="s">
        <v>717</v>
      </c>
      <c r="CY169" s="15" t="s">
        <v>934</v>
      </c>
      <c r="DF169" s="15" t="s">
        <v>420</v>
      </c>
      <c r="DG169" s="15" t="s">
        <v>419</v>
      </c>
      <c r="DH169" s="15">
        <v>0.0</v>
      </c>
      <c r="DL169" s="15">
        <v>50000.0</v>
      </c>
      <c r="DM169" s="15" t="s">
        <v>990</v>
      </c>
      <c r="DN169" s="15" t="s">
        <v>1016</v>
      </c>
      <c r="DP169" s="15">
        <v>1.0</v>
      </c>
      <c r="DQ169" s="15">
        <v>1.0</v>
      </c>
      <c r="DS169" s="15" t="s">
        <v>2649</v>
      </c>
      <c r="DT169" s="15">
        <v>0.0</v>
      </c>
      <c r="DU169" s="15" t="s">
        <v>726</v>
      </c>
      <c r="DV169" s="15" t="s">
        <v>2650</v>
      </c>
      <c r="DW169" s="15" t="s">
        <v>2347</v>
      </c>
      <c r="DX169" s="15" t="s">
        <v>2651</v>
      </c>
      <c r="EB169" s="15" t="s">
        <v>2144</v>
      </c>
      <c r="EF169" s="15" t="s">
        <v>714</v>
      </c>
      <c r="EG169" s="15" t="s">
        <v>1603</v>
      </c>
      <c r="EH169" s="15" t="s">
        <v>2652</v>
      </c>
      <c r="EI169" s="15" t="s">
        <v>2653</v>
      </c>
      <c r="EL169" s="15" t="s">
        <v>1016</v>
      </c>
      <c r="EO169" s="15" t="s">
        <v>2502</v>
      </c>
      <c r="EX169" s="15" t="s">
        <v>2654</v>
      </c>
      <c r="EY169" s="15" t="s">
        <v>2655</v>
      </c>
      <c r="EZ169" s="15">
        <v>0.0</v>
      </c>
      <c r="FA169" s="15">
        <v>0.0</v>
      </c>
      <c r="FC169" s="15">
        <v>0.0</v>
      </c>
    </row>
    <row r="170" ht="17.25" customHeight="1">
      <c r="A170" s="15" t="s">
        <v>2664</v>
      </c>
      <c r="B170" s="15" t="str">
        <f>"801542064129"</f>
        <v>801542064129</v>
      </c>
      <c r="C170" s="15" t="s">
        <v>12987</v>
      </c>
      <c r="D170" s="15" t="str">
        <f t="shared" si="1"/>
        <v>Brodie ChairSheldon Ivory</v>
      </c>
      <c r="E170" s="15" t="s">
        <v>2639</v>
      </c>
      <c r="F170" s="15" t="s">
        <v>397</v>
      </c>
      <c r="G170" s="15" t="s">
        <v>2663</v>
      </c>
      <c r="J170" s="15" t="s">
        <v>2663</v>
      </c>
      <c r="K170" s="15" t="s">
        <v>2644</v>
      </c>
      <c r="M170" s="15" t="s">
        <v>2492</v>
      </c>
      <c r="N170" s="15" t="s">
        <v>706</v>
      </c>
      <c r="O170" s="15" t="s">
        <v>707</v>
      </c>
      <c r="P170" s="15" t="str">
        <f t="shared" si="487"/>
        <v>29.25</v>
      </c>
      <c r="Q170" s="15" t="str">
        <f t="shared" si="488"/>
        <v>32.75</v>
      </c>
      <c r="R170" s="15" t="str">
        <f t="shared" si="486"/>
        <v>30</v>
      </c>
      <c r="S170" s="15" t="str">
        <f t="shared" si="489"/>
        <v>35.49</v>
      </c>
      <c r="T170" s="15" t="s">
        <v>2666</v>
      </c>
      <c r="U170" s="15" t="s">
        <v>11234</v>
      </c>
      <c r="V170" s="15" t="s">
        <v>11898</v>
      </c>
      <c r="W170" s="15" t="s">
        <v>11338</v>
      </c>
      <c r="AA170" s="15" t="s">
        <v>413</v>
      </c>
      <c r="AB170" s="15" t="s">
        <v>413</v>
      </c>
      <c r="AC170" s="15" t="s">
        <v>2667</v>
      </c>
      <c r="AD170" s="15" t="s">
        <v>12988</v>
      </c>
      <c r="AE170" s="15" t="s">
        <v>2665</v>
      </c>
      <c r="AF170" s="15" t="s">
        <v>12989</v>
      </c>
      <c r="AG170" s="15" t="s">
        <v>12990</v>
      </c>
      <c r="AH170" s="15" t="s">
        <v>12991</v>
      </c>
      <c r="AI170" s="15" t="s">
        <v>12992</v>
      </c>
      <c r="AJ170" s="15" t="s">
        <v>12993</v>
      </c>
      <c r="AK170" s="15" t="s">
        <v>12994</v>
      </c>
      <c r="AL170" s="15" t="s">
        <v>12995</v>
      </c>
      <c r="AM170" s="15" t="s">
        <v>12996</v>
      </c>
      <c r="AN170" s="15" t="s">
        <v>12997</v>
      </c>
      <c r="AO170" s="15" t="s">
        <v>12998</v>
      </c>
      <c r="BH170" s="15" t="s">
        <v>2662</v>
      </c>
      <c r="BI170" s="15" t="str">
        <f>"1099"</f>
        <v>1099</v>
      </c>
      <c r="BJ170" s="15" t="str">
        <f>"465"</f>
        <v>465</v>
      </c>
      <c r="BK170" s="15" t="s">
        <v>709</v>
      </c>
      <c r="BL170" s="15" t="str">
        <f t="shared" si="490"/>
        <v>1</v>
      </c>
      <c r="BM170" s="15" t="s">
        <v>416</v>
      </c>
      <c r="BN170" s="15" t="str">
        <f t="shared" si="491"/>
        <v>34.25</v>
      </c>
      <c r="BO170" s="15" t="str">
        <f t="shared" si="492"/>
        <v>30.71</v>
      </c>
      <c r="BP170" s="15" t="str">
        <f t="shared" si="493"/>
        <v>31.89</v>
      </c>
      <c r="BQ170" s="15" t="str">
        <f t="shared" si="494"/>
        <v>45.86</v>
      </c>
      <c r="CG170" s="15" t="str">
        <f t="shared" si="495"/>
        <v>19.42</v>
      </c>
      <c r="CH170" s="15" t="str">
        <f t="shared" si="496"/>
        <v>0.55</v>
      </c>
      <c r="CI170" s="15" t="s">
        <v>465</v>
      </c>
      <c r="CS170" s="15" t="s">
        <v>2647</v>
      </c>
      <c r="CT170" s="15" t="s">
        <v>2648</v>
      </c>
      <c r="CV170" s="15">
        <v>0.0</v>
      </c>
      <c r="CW170" s="15">
        <v>1.0</v>
      </c>
      <c r="CX170" s="15" t="s">
        <v>717</v>
      </c>
      <c r="CY170" s="15" t="s">
        <v>855</v>
      </c>
      <c r="DF170" s="15" t="s">
        <v>420</v>
      </c>
      <c r="DG170" s="15" t="s">
        <v>419</v>
      </c>
      <c r="DH170" s="15">
        <v>0.0</v>
      </c>
      <c r="DL170" s="15">
        <v>30000.0</v>
      </c>
      <c r="DM170" s="15" t="s">
        <v>990</v>
      </c>
      <c r="DN170" s="15" t="s">
        <v>1016</v>
      </c>
      <c r="DP170" s="15">
        <v>1.0</v>
      </c>
      <c r="DQ170" s="15">
        <v>1.0</v>
      </c>
      <c r="DS170" s="15" t="s">
        <v>2649</v>
      </c>
      <c r="DT170" s="15">
        <v>0.0</v>
      </c>
      <c r="DU170" s="15" t="s">
        <v>726</v>
      </c>
      <c r="DV170" s="15" t="s">
        <v>2650</v>
      </c>
      <c r="DW170" s="15" t="s">
        <v>2347</v>
      </c>
      <c r="DX170" s="15" t="s">
        <v>2651</v>
      </c>
      <c r="EB170" s="15" t="s">
        <v>2144</v>
      </c>
      <c r="EF170" s="15" t="s">
        <v>714</v>
      </c>
      <c r="EG170" s="15" t="s">
        <v>1603</v>
      </c>
      <c r="EH170" s="15" t="s">
        <v>2652</v>
      </c>
      <c r="EI170" s="15" t="s">
        <v>2653</v>
      </c>
      <c r="EL170" s="15" t="s">
        <v>1016</v>
      </c>
      <c r="EO170" s="15" t="s">
        <v>2502</v>
      </c>
      <c r="EX170" s="15" t="s">
        <v>2654</v>
      </c>
      <c r="EY170" s="15" t="s">
        <v>2655</v>
      </c>
      <c r="EZ170" s="15">
        <v>0.0</v>
      </c>
      <c r="FA170" s="15">
        <v>0.0</v>
      </c>
      <c r="FC170" s="15">
        <v>0.0</v>
      </c>
    </row>
    <row r="171" ht="17.25" customHeight="1">
      <c r="A171" s="15" t="s">
        <v>2671</v>
      </c>
      <c r="B171" s="15" t="str">
        <f>"801542579869"</f>
        <v>801542579869</v>
      </c>
      <c r="C171" s="15" t="s">
        <v>12999</v>
      </c>
      <c r="D171" s="15" t="str">
        <f t="shared" si="1"/>
        <v>Bronx Dining TableLight Brushed Parawood</v>
      </c>
      <c r="E171" s="15" t="s">
        <v>2668</v>
      </c>
      <c r="F171" s="15" t="s">
        <v>397</v>
      </c>
      <c r="G171" s="15" t="s">
        <v>2670</v>
      </c>
      <c r="J171" s="15" t="s">
        <v>2670</v>
      </c>
      <c r="K171" s="15" t="s">
        <v>2678</v>
      </c>
      <c r="M171" s="15" t="s">
        <v>2677</v>
      </c>
      <c r="N171" s="15" t="s">
        <v>548</v>
      </c>
      <c r="O171" s="15" t="s">
        <v>549</v>
      </c>
      <c r="P171" s="15" t="str">
        <f t="shared" ref="P171:Q171" si="497">"54"</f>
        <v>54</v>
      </c>
      <c r="Q171" s="15" t="str">
        <f t="shared" si="497"/>
        <v>54</v>
      </c>
      <c r="R171" s="15" t="str">
        <f t="shared" si="486"/>
        <v>30</v>
      </c>
      <c r="S171" s="15" t="str">
        <f>"117.06"</f>
        <v>117.06</v>
      </c>
      <c r="T171" s="15" t="s">
        <v>2674</v>
      </c>
      <c r="U171" s="15" t="s">
        <v>11210</v>
      </c>
      <c r="V171" s="15" t="s">
        <v>13000</v>
      </c>
      <c r="AA171" s="15" t="s">
        <v>413</v>
      </c>
      <c r="AB171" s="15" t="s">
        <v>413</v>
      </c>
      <c r="AC171" s="15" t="s">
        <v>2679</v>
      </c>
      <c r="AD171" s="15" t="s">
        <v>13001</v>
      </c>
      <c r="AE171" s="15" t="s">
        <v>2673</v>
      </c>
      <c r="AF171" s="15" t="s">
        <v>13002</v>
      </c>
      <c r="AG171" s="15" t="s">
        <v>13003</v>
      </c>
      <c r="AH171" s="15" t="s">
        <v>13004</v>
      </c>
      <c r="AI171" s="15" t="s">
        <v>13005</v>
      </c>
      <c r="AJ171" s="15" t="s">
        <v>13006</v>
      </c>
      <c r="AK171" s="15" t="s">
        <v>13007</v>
      </c>
      <c r="AL171" s="15" t="s">
        <v>13008</v>
      </c>
      <c r="AM171" s="15" t="s">
        <v>13009</v>
      </c>
      <c r="AN171" s="15" t="s">
        <v>13010</v>
      </c>
      <c r="BH171" s="15" t="s">
        <v>2669</v>
      </c>
      <c r="BI171" s="15" t="str">
        <f t="shared" ref="BI171:BI172" si="500">"1499"</f>
        <v>1499</v>
      </c>
      <c r="BJ171" s="15" t="str">
        <f t="shared" ref="BJ171:BJ172" si="501">"630"</f>
        <v>630</v>
      </c>
      <c r="BK171" s="15" t="s">
        <v>1303</v>
      </c>
      <c r="BL171" s="15" t="str">
        <f t="shared" ref="BL171:BL174" si="502">"2"</f>
        <v>2</v>
      </c>
      <c r="BM171" s="15" t="s">
        <v>2238</v>
      </c>
      <c r="BN171" s="15" t="str">
        <f t="shared" ref="BN171:BO171" si="498">"27.5"</f>
        <v>27.5</v>
      </c>
      <c r="BO171" s="15" t="str">
        <f t="shared" si="498"/>
        <v>27.5</v>
      </c>
      <c r="BP171" s="15" t="str">
        <f>"29"</f>
        <v>29</v>
      </c>
      <c r="BQ171" s="15" t="str">
        <f>"47.62"</f>
        <v>47.62</v>
      </c>
      <c r="BR171" s="15" t="s">
        <v>1564</v>
      </c>
      <c r="BS171" s="15" t="str">
        <f>"57.5"</f>
        <v>57.5</v>
      </c>
      <c r="BT171" s="15" t="str">
        <f>"7.5"</f>
        <v>7.5</v>
      </c>
      <c r="BU171" s="15" t="str">
        <f t="shared" ref="BU171:BU172" si="504">"57.5"</f>
        <v>57.5</v>
      </c>
      <c r="BV171" s="15" t="str">
        <f>"118.72"</f>
        <v>118.72</v>
      </c>
      <c r="CG171" s="15" t="str">
        <f>"27.02"</f>
        <v>27.02</v>
      </c>
      <c r="CH171" s="15" t="str">
        <f>"0.765"</f>
        <v>0.765</v>
      </c>
      <c r="CI171" s="15" t="s">
        <v>465</v>
      </c>
      <c r="CZ171" s="15" t="s">
        <v>419</v>
      </c>
      <c r="DA171" s="15">
        <v>0.0</v>
      </c>
      <c r="DB171" s="15" t="s">
        <v>419</v>
      </c>
      <c r="DD171" s="15">
        <v>0.0</v>
      </c>
      <c r="DG171" s="15" t="s">
        <v>419</v>
      </c>
      <c r="DI171" s="15">
        <v>0.0</v>
      </c>
      <c r="DJ171" s="15">
        <v>0.0</v>
      </c>
      <c r="DK171" s="15">
        <v>0.0</v>
      </c>
      <c r="DQ171" s="15">
        <v>6.0</v>
      </c>
      <c r="DR171" s="15" t="s">
        <v>1157</v>
      </c>
      <c r="DS171" s="15" t="s">
        <v>2683</v>
      </c>
      <c r="DU171" s="15" t="s">
        <v>500</v>
      </c>
      <c r="EF171" s="15" t="s">
        <v>555</v>
      </c>
      <c r="EQ171" s="15" t="s">
        <v>1211</v>
      </c>
      <c r="ER171" s="15" t="s">
        <v>555</v>
      </c>
      <c r="ES171" s="15" t="s">
        <v>1211</v>
      </c>
      <c r="ET171" s="15" t="s">
        <v>1188</v>
      </c>
      <c r="EV171" s="15">
        <v>0.0</v>
      </c>
      <c r="EW171" s="15">
        <v>0.0</v>
      </c>
      <c r="FE171" s="15" t="s">
        <v>555</v>
      </c>
      <c r="FF171" s="15" t="s">
        <v>1287</v>
      </c>
      <c r="FG171" s="15" t="s">
        <v>2244</v>
      </c>
    </row>
    <row r="172" ht="17.25" customHeight="1">
      <c r="A172" s="15" t="s">
        <v>2686</v>
      </c>
      <c r="B172" s="15" t="str">
        <f>"801542296889"</f>
        <v>801542296889</v>
      </c>
      <c r="C172" s="15" t="s">
        <v>13011</v>
      </c>
      <c r="D172" s="15" t="str">
        <f t="shared" si="1"/>
        <v>Bronx Dining TableTanner Brown</v>
      </c>
      <c r="E172" s="15" t="s">
        <v>2668</v>
      </c>
      <c r="F172" s="15" t="s">
        <v>397</v>
      </c>
      <c r="G172" s="15" t="s">
        <v>2685</v>
      </c>
      <c r="J172" s="15" t="s">
        <v>2685</v>
      </c>
      <c r="M172" s="15" t="s">
        <v>2677</v>
      </c>
      <c r="N172" s="15" t="s">
        <v>548</v>
      </c>
      <c r="O172" s="15" t="s">
        <v>549</v>
      </c>
      <c r="P172" s="15" t="str">
        <f t="shared" ref="P172:Q172" si="499">"54"</f>
        <v>54</v>
      </c>
      <c r="Q172" s="15" t="str">
        <f t="shared" si="499"/>
        <v>54</v>
      </c>
      <c r="R172" s="15" t="str">
        <f t="shared" si="486"/>
        <v>30</v>
      </c>
      <c r="S172" s="15" t="str">
        <f>"151.24"</f>
        <v>151.24</v>
      </c>
      <c r="T172" s="15" t="s">
        <v>2689</v>
      </c>
      <c r="U172" s="15" t="s">
        <v>13000</v>
      </c>
      <c r="AA172" s="15" t="s">
        <v>413</v>
      </c>
      <c r="AB172" s="15" t="s">
        <v>413</v>
      </c>
      <c r="AC172" s="15" t="s">
        <v>2690</v>
      </c>
      <c r="AD172" s="15" t="s">
        <v>13012</v>
      </c>
      <c r="AE172" s="15" t="s">
        <v>2688</v>
      </c>
      <c r="AF172" s="15" t="s">
        <v>13013</v>
      </c>
      <c r="AG172" s="15" t="s">
        <v>13014</v>
      </c>
      <c r="AH172" s="15" t="s">
        <v>13015</v>
      </c>
      <c r="AI172" s="15" t="s">
        <v>13016</v>
      </c>
      <c r="AJ172" s="15" t="s">
        <v>13017</v>
      </c>
      <c r="AK172" s="15" t="s">
        <v>13018</v>
      </c>
      <c r="AL172" s="15" t="s">
        <v>13019</v>
      </c>
      <c r="AM172" s="15" t="s">
        <v>13020</v>
      </c>
      <c r="AN172" s="15" t="s">
        <v>13021</v>
      </c>
      <c r="BH172" s="15" t="s">
        <v>2684</v>
      </c>
      <c r="BI172" s="15" t="str">
        <f t="shared" si="500"/>
        <v>1499</v>
      </c>
      <c r="BJ172" s="15" t="str">
        <f t="shared" si="501"/>
        <v>630</v>
      </c>
      <c r="BK172" s="15" t="s">
        <v>1303</v>
      </c>
      <c r="BL172" s="15" t="str">
        <f t="shared" si="502"/>
        <v>2</v>
      </c>
      <c r="BM172" s="15" t="s">
        <v>2238</v>
      </c>
      <c r="BN172" s="15" t="str">
        <f t="shared" ref="BN172:BO172" si="503">"27.5"</f>
        <v>27.5</v>
      </c>
      <c r="BO172" s="15" t="str">
        <f t="shared" si="503"/>
        <v>27.5</v>
      </c>
      <c r="BP172" s="15" t="str">
        <f>"28.5"</f>
        <v>28.5</v>
      </c>
      <c r="BQ172" s="15" t="str">
        <f>"47.18"</f>
        <v>47.18</v>
      </c>
      <c r="BR172" s="15" t="s">
        <v>1564</v>
      </c>
      <c r="BS172" s="15" t="str">
        <f>"57.25"</f>
        <v>57.25</v>
      </c>
      <c r="BT172" s="15" t="str">
        <f>"7.25"</f>
        <v>7.25</v>
      </c>
      <c r="BU172" s="15" t="str">
        <f t="shared" si="504"/>
        <v>57.5</v>
      </c>
      <c r="BV172" s="15" t="str">
        <f>"133.82"</f>
        <v>133.82</v>
      </c>
      <c r="CG172" s="15" t="str">
        <f>"26.27"</f>
        <v>26.27</v>
      </c>
      <c r="CH172" s="15" t="str">
        <f>"0.744"</f>
        <v>0.744</v>
      </c>
      <c r="CI172" s="15" t="s">
        <v>465</v>
      </c>
      <c r="CZ172" s="15" t="s">
        <v>419</v>
      </c>
      <c r="DA172" s="15">
        <v>0.0</v>
      </c>
      <c r="DB172" s="15" t="s">
        <v>419</v>
      </c>
      <c r="DD172" s="15">
        <v>0.0</v>
      </c>
      <c r="DG172" s="15" t="s">
        <v>419</v>
      </c>
      <c r="DI172" s="15">
        <v>0.0</v>
      </c>
      <c r="DJ172" s="15">
        <v>0.0</v>
      </c>
      <c r="DK172" s="15">
        <v>0.0</v>
      </c>
      <c r="DQ172" s="15">
        <v>6.0</v>
      </c>
      <c r="DR172" s="15" t="s">
        <v>1157</v>
      </c>
      <c r="DS172" s="15" t="s">
        <v>2683</v>
      </c>
      <c r="DU172" s="15" t="s">
        <v>500</v>
      </c>
      <c r="EF172" s="15" t="s">
        <v>555</v>
      </c>
      <c r="EQ172" s="15" t="s">
        <v>1211</v>
      </c>
      <c r="ER172" s="15" t="s">
        <v>555</v>
      </c>
      <c r="ES172" s="15" t="s">
        <v>1211</v>
      </c>
      <c r="ET172" s="15" t="s">
        <v>1188</v>
      </c>
      <c r="EV172" s="15">
        <v>0.0</v>
      </c>
      <c r="EW172" s="15">
        <v>0.0</v>
      </c>
      <c r="FE172" s="15" t="s">
        <v>555</v>
      </c>
      <c r="FF172" s="15" t="s">
        <v>1287</v>
      </c>
      <c r="FG172" s="15" t="s">
        <v>2244</v>
      </c>
    </row>
    <row r="173" ht="17.25" customHeight="1">
      <c r="A173" s="15" t="s">
        <v>2698</v>
      </c>
      <c r="B173" s="15" t="str">
        <f>"801542605476"</f>
        <v>801542605476</v>
      </c>
      <c r="C173" s="15" t="s">
        <v>13022</v>
      </c>
      <c r="D173" s="15" t="str">
        <f t="shared" si="1"/>
        <v>Brooklyn Coffee TableAshen Walnut</v>
      </c>
      <c r="E173" s="15" t="s">
        <v>2695</v>
      </c>
      <c r="F173" s="15" t="s">
        <v>397</v>
      </c>
      <c r="G173" s="15" t="s">
        <v>2697</v>
      </c>
      <c r="J173" s="15" t="s">
        <v>2697</v>
      </c>
      <c r="M173" s="15" t="s">
        <v>411</v>
      </c>
      <c r="N173" s="15" t="s">
        <v>491</v>
      </c>
      <c r="P173" s="15" t="str">
        <f t="shared" ref="P173:P174" si="505">"53.25"</f>
        <v>53.25</v>
      </c>
      <c r="Q173" s="15" t="str">
        <f t="shared" ref="Q173:Q174" si="506">"50.75"</f>
        <v>50.75</v>
      </c>
      <c r="R173" s="15" t="str">
        <f t="shared" ref="R173:R174" si="507">"16.5"</f>
        <v>16.5</v>
      </c>
      <c r="S173" s="15" t="str">
        <f t="shared" ref="S173:S174" si="508">"101.41"</f>
        <v>101.41</v>
      </c>
      <c r="T173" s="15" t="s">
        <v>2700</v>
      </c>
      <c r="U173" s="15" t="s">
        <v>13023</v>
      </c>
      <c r="AA173" s="15" t="s">
        <v>413</v>
      </c>
      <c r="AB173" s="15" t="s">
        <v>413</v>
      </c>
      <c r="AC173" s="15" t="s">
        <v>2705</v>
      </c>
      <c r="AD173" s="15" t="s">
        <v>13024</v>
      </c>
      <c r="AE173" s="15" t="s">
        <v>2699</v>
      </c>
      <c r="AF173" s="15" t="s">
        <v>13025</v>
      </c>
      <c r="AG173" s="15" t="s">
        <v>13026</v>
      </c>
      <c r="AH173" s="15" t="s">
        <v>13027</v>
      </c>
      <c r="AI173" s="15" t="s">
        <v>13028</v>
      </c>
      <c r="AJ173" s="15" t="s">
        <v>13029</v>
      </c>
      <c r="AK173" s="15" t="s">
        <v>13030</v>
      </c>
      <c r="AL173" s="15" t="s">
        <v>13031</v>
      </c>
      <c r="AM173" s="15" t="s">
        <v>13032</v>
      </c>
      <c r="AN173" s="15" t="s">
        <v>13033</v>
      </c>
      <c r="AO173" s="15" t="s">
        <v>13034</v>
      </c>
      <c r="AP173" s="15" t="s">
        <v>13035</v>
      </c>
      <c r="BH173" s="15" t="s">
        <v>2696</v>
      </c>
      <c r="BI173" s="15" t="str">
        <f>"2199"</f>
        <v>2199</v>
      </c>
      <c r="BJ173" s="15" t="str">
        <f>"925"</f>
        <v>925</v>
      </c>
      <c r="BK173" s="15" t="s">
        <v>415</v>
      </c>
      <c r="BL173" s="15" t="str">
        <f t="shared" si="502"/>
        <v>2</v>
      </c>
      <c r="BM173" s="15" t="s">
        <v>1564</v>
      </c>
      <c r="BN173" s="15" t="str">
        <f t="shared" ref="BN173:BN174" si="509">"59.45"</f>
        <v>59.45</v>
      </c>
      <c r="BO173" s="15" t="str">
        <f t="shared" ref="BO173:BO174" si="510">"57.87"</f>
        <v>57.87</v>
      </c>
      <c r="BP173" s="15" t="str">
        <f t="shared" ref="BP173:BP174" si="511">"9.06"</f>
        <v>9.06</v>
      </c>
      <c r="BQ173" s="15" t="str">
        <f t="shared" ref="BQ173:BQ174" si="512">"101.85"</f>
        <v>101.85</v>
      </c>
      <c r="BR173" s="15" t="s">
        <v>2709</v>
      </c>
      <c r="BS173" s="15" t="str">
        <f t="shared" ref="BS173:BS174" si="513">"33.46"</f>
        <v>33.46</v>
      </c>
      <c r="BT173" s="15" t="str">
        <f t="shared" ref="BT173:BT174" si="514">"37.8"</f>
        <v>37.8</v>
      </c>
      <c r="BU173" s="15" t="str">
        <f t="shared" ref="BU173:BU174" si="515">"20.87"</f>
        <v>20.87</v>
      </c>
      <c r="BV173" s="15" t="str">
        <f t="shared" ref="BV173:BV174" si="516">"43.47"</f>
        <v>43.47</v>
      </c>
      <c r="CG173" s="15" t="str">
        <f t="shared" ref="CG173:CG174" si="517">"33.3"</f>
        <v>33.3</v>
      </c>
      <c r="CH173" s="15" t="str">
        <f t="shared" ref="CH173:CH174" si="518">"0.943"</f>
        <v>0.943</v>
      </c>
      <c r="CI173" s="15" t="s">
        <v>417</v>
      </c>
      <c r="CZ173" s="15" t="s">
        <v>419</v>
      </c>
      <c r="DA173" s="15">
        <v>0.0</v>
      </c>
      <c r="DB173" s="15" t="s">
        <v>419</v>
      </c>
      <c r="DD173" s="15">
        <v>0.0</v>
      </c>
      <c r="DF173" s="15" t="s">
        <v>420</v>
      </c>
      <c r="DG173" s="15" t="s">
        <v>419</v>
      </c>
      <c r="DK173" s="15">
        <v>0.0</v>
      </c>
      <c r="DR173" s="15" t="s">
        <v>1857</v>
      </c>
      <c r="DS173" s="15" t="s">
        <v>2711</v>
      </c>
      <c r="DU173" s="15" t="s">
        <v>500</v>
      </c>
      <c r="EF173" s="15" t="s">
        <v>1592</v>
      </c>
      <c r="EQ173" s="15" t="s">
        <v>734</v>
      </c>
      <c r="ER173" s="15" t="s">
        <v>1592</v>
      </c>
      <c r="ES173" s="15" t="s">
        <v>2712</v>
      </c>
      <c r="ET173" s="15" t="s">
        <v>2713</v>
      </c>
      <c r="EU173" s="15" t="s">
        <v>426</v>
      </c>
      <c r="EV173" s="15">
        <v>0.0</v>
      </c>
      <c r="EW173" s="15">
        <v>0.0</v>
      </c>
      <c r="FF173" s="15" t="s">
        <v>2714</v>
      </c>
    </row>
    <row r="174" ht="17.25" customHeight="1">
      <c r="A174" s="15" t="s">
        <v>2717</v>
      </c>
      <c r="B174" s="15" t="str">
        <f>"801542335014"</f>
        <v>801542335014</v>
      </c>
      <c r="C174" s="15" t="s">
        <v>13036</v>
      </c>
      <c r="D174" s="15" t="str">
        <f t="shared" si="1"/>
        <v>Brooklyn Coffee TableBlonde Yukas</v>
      </c>
      <c r="E174" s="15" t="s">
        <v>2695</v>
      </c>
      <c r="F174" s="15" t="s">
        <v>397</v>
      </c>
      <c r="G174" s="15" t="s">
        <v>2716</v>
      </c>
      <c r="J174" s="15" t="s">
        <v>2716</v>
      </c>
      <c r="M174" s="15" t="s">
        <v>411</v>
      </c>
      <c r="N174" s="15" t="s">
        <v>491</v>
      </c>
      <c r="P174" s="15" t="str">
        <f t="shared" si="505"/>
        <v>53.25</v>
      </c>
      <c r="Q174" s="15" t="str">
        <f t="shared" si="506"/>
        <v>50.75</v>
      </c>
      <c r="R174" s="15" t="str">
        <f t="shared" si="507"/>
        <v>16.5</v>
      </c>
      <c r="S174" s="15" t="str">
        <f t="shared" si="508"/>
        <v>101.41</v>
      </c>
      <c r="T174" s="15" t="s">
        <v>2719</v>
      </c>
      <c r="U174" s="15" t="s">
        <v>12327</v>
      </c>
      <c r="AA174" s="15" t="s">
        <v>413</v>
      </c>
      <c r="AB174" s="15" t="s">
        <v>413</v>
      </c>
      <c r="AC174" s="15" t="s">
        <v>2720</v>
      </c>
      <c r="AD174" s="15" t="s">
        <v>13037</v>
      </c>
      <c r="AE174" s="15" t="s">
        <v>2718</v>
      </c>
      <c r="AF174" s="15" t="s">
        <v>13038</v>
      </c>
      <c r="AG174" s="15" t="s">
        <v>13039</v>
      </c>
      <c r="AH174" s="15" t="s">
        <v>13040</v>
      </c>
      <c r="AI174" s="15" t="s">
        <v>13041</v>
      </c>
      <c r="AJ174" s="15" t="s">
        <v>13042</v>
      </c>
      <c r="AK174" s="15" t="s">
        <v>13043</v>
      </c>
      <c r="AL174" s="15" t="s">
        <v>13044</v>
      </c>
      <c r="AM174" s="15" t="s">
        <v>13045</v>
      </c>
      <c r="BH174" s="15" t="s">
        <v>2715</v>
      </c>
      <c r="BI174" s="15" t="str">
        <f>"2099"</f>
        <v>2099</v>
      </c>
      <c r="BJ174" s="15" t="str">
        <f>"885"</f>
        <v>885</v>
      </c>
      <c r="BK174" s="15" t="s">
        <v>415</v>
      </c>
      <c r="BL174" s="15" t="str">
        <f t="shared" si="502"/>
        <v>2</v>
      </c>
      <c r="BM174" s="15" t="s">
        <v>1564</v>
      </c>
      <c r="BN174" s="15" t="str">
        <f t="shared" si="509"/>
        <v>59.45</v>
      </c>
      <c r="BO174" s="15" t="str">
        <f t="shared" si="510"/>
        <v>57.87</v>
      </c>
      <c r="BP174" s="15" t="str">
        <f t="shared" si="511"/>
        <v>9.06</v>
      </c>
      <c r="BQ174" s="15" t="str">
        <f t="shared" si="512"/>
        <v>101.85</v>
      </c>
      <c r="BR174" s="15" t="s">
        <v>2709</v>
      </c>
      <c r="BS174" s="15" t="str">
        <f t="shared" si="513"/>
        <v>33.46</v>
      </c>
      <c r="BT174" s="15" t="str">
        <f t="shared" si="514"/>
        <v>37.8</v>
      </c>
      <c r="BU174" s="15" t="str">
        <f t="shared" si="515"/>
        <v>20.87</v>
      </c>
      <c r="BV174" s="15" t="str">
        <f t="shared" si="516"/>
        <v>43.47</v>
      </c>
      <c r="CG174" s="15" t="str">
        <f t="shared" si="517"/>
        <v>33.3</v>
      </c>
      <c r="CH174" s="15" t="str">
        <f t="shared" si="518"/>
        <v>0.943</v>
      </c>
      <c r="CI174" s="15" t="s">
        <v>497</v>
      </c>
      <c r="CZ174" s="15" t="s">
        <v>419</v>
      </c>
      <c r="DA174" s="15">
        <v>0.0</v>
      </c>
      <c r="DB174" s="15" t="s">
        <v>419</v>
      </c>
      <c r="DD174" s="15">
        <v>0.0</v>
      </c>
      <c r="DF174" s="15" t="s">
        <v>420</v>
      </c>
      <c r="DG174" s="15" t="s">
        <v>419</v>
      </c>
      <c r="DK174" s="15">
        <v>0.0</v>
      </c>
      <c r="DR174" s="15" t="s">
        <v>1857</v>
      </c>
      <c r="DS174" s="15" t="s">
        <v>2711</v>
      </c>
      <c r="DU174" s="15" t="s">
        <v>500</v>
      </c>
      <c r="EF174" s="15" t="s">
        <v>1592</v>
      </c>
      <c r="EQ174" s="15" t="s">
        <v>734</v>
      </c>
      <c r="ER174" s="15" t="s">
        <v>1592</v>
      </c>
      <c r="ES174" s="15" t="s">
        <v>2712</v>
      </c>
      <c r="ET174" s="15" t="s">
        <v>2713</v>
      </c>
      <c r="EU174" s="15" t="s">
        <v>426</v>
      </c>
      <c r="EV174" s="15">
        <v>0.0</v>
      </c>
      <c r="EW174" s="15">
        <v>0.0</v>
      </c>
      <c r="FF174" s="15" t="s">
        <v>2714</v>
      </c>
    </row>
    <row r="175" ht="17.25" customHeight="1">
      <c r="A175" s="15" t="s">
        <v>2724</v>
      </c>
      <c r="B175" s="15" t="str">
        <f>"801542686741"</f>
        <v>801542686741</v>
      </c>
      <c r="C175" s="15" t="s">
        <v>13046</v>
      </c>
      <c r="D175" s="15" t="str">
        <f t="shared" si="1"/>
        <v>Brooks Lounge ChairAvant Natural</v>
      </c>
      <c r="E175" s="15" t="s">
        <v>2721</v>
      </c>
      <c r="F175" s="15" t="s">
        <v>397</v>
      </c>
      <c r="G175" s="15" t="s">
        <v>2723</v>
      </c>
      <c r="J175" s="15" t="s">
        <v>2723</v>
      </c>
      <c r="K175" s="15" t="s">
        <v>2728</v>
      </c>
      <c r="L175" s="15" t="s">
        <v>2729</v>
      </c>
      <c r="M175" s="15" t="s">
        <v>1474</v>
      </c>
      <c r="N175" s="15" t="s">
        <v>706</v>
      </c>
      <c r="O175" s="15" t="s">
        <v>707</v>
      </c>
      <c r="P175" s="15" t="str">
        <f t="shared" ref="P175:P176" si="519">"28.25"</f>
        <v>28.25</v>
      </c>
      <c r="Q175" s="15" t="str">
        <f t="shared" ref="Q175:Q176" si="520">"35.5"</f>
        <v>35.5</v>
      </c>
      <c r="R175" s="15" t="str">
        <f t="shared" ref="R175:R176" si="521">"28.5"</f>
        <v>28.5</v>
      </c>
      <c r="S175" s="15" t="str">
        <f>"34.17"</f>
        <v>34.17</v>
      </c>
      <c r="T175" s="15" t="s">
        <v>2727</v>
      </c>
      <c r="U175" s="15" t="s">
        <v>13047</v>
      </c>
      <c r="V175" s="15" t="s">
        <v>13048</v>
      </c>
      <c r="W175" s="15" t="s">
        <v>11338</v>
      </c>
      <c r="X175" s="15" t="s">
        <v>13049</v>
      </c>
      <c r="Y175" s="15" t="s">
        <v>13050</v>
      </c>
      <c r="AA175" s="15" t="s">
        <v>413</v>
      </c>
      <c r="AB175" s="15" t="s">
        <v>413</v>
      </c>
      <c r="AC175" s="15" t="s">
        <v>2730</v>
      </c>
      <c r="AD175" s="15" t="s">
        <v>13051</v>
      </c>
      <c r="AE175" s="15" t="s">
        <v>2726</v>
      </c>
      <c r="AF175" s="15" t="s">
        <v>13052</v>
      </c>
      <c r="AG175" s="15" t="s">
        <v>13053</v>
      </c>
      <c r="AH175" s="15" t="s">
        <v>13054</v>
      </c>
      <c r="AI175" s="15" t="s">
        <v>13055</v>
      </c>
      <c r="AJ175" s="15" t="s">
        <v>13056</v>
      </c>
      <c r="AK175" s="15" t="s">
        <v>13057</v>
      </c>
      <c r="AL175" s="15" t="s">
        <v>13058</v>
      </c>
      <c r="AM175" s="15" t="s">
        <v>13059</v>
      </c>
      <c r="AN175" s="15" t="s">
        <v>13060</v>
      </c>
      <c r="AO175" s="15" t="s">
        <v>13061</v>
      </c>
      <c r="AP175" s="15" t="s">
        <v>13062</v>
      </c>
      <c r="BH175" s="15" t="s">
        <v>2722</v>
      </c>
      <c r="BI175" s="15" t="str">
        <f>"1099"</f>
        <v>1099</v>
      </c>
      <c r="BJ175" s="15" t="str">
        <f>"465"</f>
        <v>465</v>
      </c>
      <c r="BK175" s="15" t="s">
        <v>709</v>
      </c>
      <c r="BL175" s="15" t="str">
        <f t="shared" ref="BL175:BL195" si="522">"1"</f>
        <v>1</v>
      </c>
      <c r="BM175" s="15" t="s">
        <v>1208</v>
      </c>
      <c r="BN175" s="15" t="str">
        <f>"28.5"</f>
        <v>28.5</v>
      </c>
      <c r="BO175" s="15" t="str">
        <f>"35.5"</f>
        <v>35.5</v>
      </c>
      <c r="BP175" s="15" t="str">
        <f>"33"</f>
        <v>33</v>
      </c>
      <c r="BQ175" s="15" t="str">
        <f>"59.8"</f>
        <v>59.8</v>
      </c>
      <c r="CG175" s="15" t="str">
        <f>"17.41"</f>
        <v>17.41</v>
      </c>
      <c r="CH175" s="15" t="str">
        <f>"0.493"</f>
        <v>0.493</v>
      </c>
      <c r="CI175" s="15" t="s">
        <v>417</v>
      </c>
      <c r="CP175" s="15" t="s">
        <v>2652</v>
      </c>
      <c r="CQ175" s="15" t="s">
        <v>761</v>
      </c>
      <c r="CR175" s="15" t="s">
        <v>1488</v>
      </c>
      <c r="CS175" s="15" t="s">
        <v>1331</v>
      </c>
      <c r="CT175" s="15" t="s">
        <v>788</v>
      </c>
      <c r="CU175" s="15" t="s">
        <v>2732</v>
      </c>
      <c r="CV175" s="15">
        <v>0.0</v>
      </c>
      <c r="CW175" s="15">
        <v>1.0</v>
      </c>
      <c r="CX175" s="15" t="s">
        <v>717</v>
      </c>
      <c r="CY175" s="15" t="s">
        <v>855</v>
      </c>
      <c r="DC175" s="15" t="s">
        <v>1239</v>
      </c>
      <c r="DF175" s="15" t="s">
        <v>1111</v>
      </c>
      <c r="DG175" s="15" t="s">
        <v>419</v>
      </c>
      <c r="DH175" s="15">
        <v>0.0</v>
      </c>
      <c r="DL175" s="15">
        <v>25000.0</v>
      </c>
      <c r="DM175" s="15" t="s">
        <v>2733</v>
      </c>
      <c r="DN175" s="15" t="s">
        <v>723</v>
      </c>
      <c r="DO175" s="15" t="s">
        <v>724</v>
      </c>
      <c r="DP175" s="15">
        <v>1.0</v>
      </c>
      <c r="DQ175" s="15">
        <v>1.0</v>
      </c>
      <c r="DS175" s="15" t="s">
        <v>2734</v>
      </c>
      <c r="DT175" s="15">
        <v>0.0</v>
      </c>
      <c r="DU175" s="15" t="s">
        <v>726</v>
      </c>
      <c r="DV175" s="15" t="s">
        <v>2735</v>
      </c>
      <c r="DW175" s="15" t="s">
        <v>2736</v>
      </c>
      <c r="DX175" s="15" t="s">
        <v>1328</v>
      </c>
      <c r="EB175" s="15" t="s">
        <v>2737</v>
      </c>
      <c r="EC175" s="15" t="s">
        <v>2468</v>
      </c>
      <c r="ED175" s="15" t="s">
        <v>2738</v>
      </c>
      <c r="EE175" s="15" t="s">
        <v>1488</v>
      </c>
      <c r="EF175" s="15" t="s">
        <v>2739</v>
      </c>
      <c r="EG175" s="15" t="s">
        <v>1212</v>
      </c>
      <c r="EH175" s="15" t="s">
        <v>1998</v>
      </c>
      <c r="EI175" s="15" t="s">
        <v>1996</v>
      </c>
      <c r="EL175" s="15" t="s">
        <v>723</v>
      </c>
      <c r="EM175" s="15" t="s">
        <v>724</v>
      </c>
      <c r="EN175" s="15" t="s">
        <v>1077</v>
      </c>
      <c r="EO175" s="15" t="s">
        <v>1078</v>
      </c>
      <c r="FA175" s="15">
        <v>0.0</v>
      </c>
      <c r="FB175" s="15">
        <v>0.0</v>
      </c>
      <c r="FD175" s="15">
        <v>0.0</v>
      </c>
    </row>
    <row r="176" ht="17.25" customHeight="1">
      <c r="A176" s="15" t="s">
        <v>2742</v>
      </c>
      <c r="B176" s="15" t="str">
        <f>"801542686765"</f>
        <v>801542686765</v>
      </c>
      <c r="C176" s="15" t="s">
        <v>13063</v>
      </c>
      <c r="D176" s="15" t="str">
        <f t="shared" si="1"/>
        <v>Brooks Lounge ChairRialto Ebony</v>
      </c>
      <c r="E176" s="15" t="s">
        <v>2721</v>
      </c>
      <c r="F176" s="15" t="s">
        <v>397</v>
      </c>
      <c r="G176" s="15" t="s">
        <v>2741</v>
      </c>
      <c r="J176" s="15" t="s">
        <v>2741</v>
      </c>
      <c r="K176" s="15" t="s">
        <v>2746</v>
      </c>
      <c r="L176" s="15" t="s">
        <v>2729</v>
      </c>
      <c r="M176" s="15" t="s">
        <v>1474</v>
      </c>
      <c r="N176" s="15" t="s">
        <v>706</v>
      </c>
      <c r="O176" s="15" t="s">
        <v>707</v>
      </c>
      <c r="P176" s="15" t="str">
        <f t="shared" si="519"/>
        <v>28.25</v>
      </c>
      <c r="Q176" s="15" t="str">
        <f t="shared" si="520"/>
        <v>35.5</v>
      </c>
      <c r="R176" s="15" t="str">
        <f t="shared" si="521"/>
        <v>28.5</v>
      </c>
      <c r="S176" s="15" t="str">
        <f>"37.17"</f>
        <v>37.17</v>
      </c>
      <c r="T176" s="15" t="s">
        <v>2745</v>
      </c>
      <c r="U176" s="15" t="s">
        <v>11137</v>
      </c>
      <c r="V176" s="15" t="s">
        <v>11338</v>
      </c>
      <c r="W176" s="15" t="s">
        <v>13049</v>
      </c>
      <c r="X176" s="15" t="s">
        <v>13050</v>
      </c>
      <c r="AA176" s="15" t="s">
        <v>413</v>
      </c>
      <c r="AB176" s="15" t="s">
        <v>413</v>
      </c>
      <c r="AC176" s="15" t="s">
        <v>2747</v>
      </c>
      <c r="AD176" s="15" t="s">
        <v>13064</v>
      </c>
      <c r="AE176" s="15" t="s">
        <v>2744</v>
      </c>
      <c r="AF176" s="15" t="s">
        <v>13065</v>
      </c>
      <c r="AG176" s="15" t="s">
        <v>13066</v>
      </c>
      <c r="AH176" s="15" t="s">
        <v>13067</v>
      </c>
      <c r="AI176" s="15" t="s">
        <v>13068</v>
      </c>
      <c r="AJ176" s="15" t="s">
        <v>13069</v>
      </c>
      <c r="AK176" s="15" t="s">
        <v>13070</v>
      </c>
      <c r="AL176" s="15" t="s">
        <v>13071</v>
      </c>
      <c r="AM176" s="15" t="s">
        <v>13072</v>
      </c>
      <c r="AN176" s="15" t="s">
        <v>13073</v>
      </c>
      <c r="AO176" s="15" t="s">
        <v>13074</v>
      </c>
      <c r="AP176" s="15" t="s">
        <v>13075</v>
      </c>
      <c r="BH176" s="15" t="s">
        <v>2740</v>
      </c>
      <c r="BI176" s="15" t="str">
        <f>"1749"</f>
        <v>1749</v>
      </c>
      <c r="BJ176" s="15" t="str">
        <f>"735"</f>
        <v>735</v>
      </c>
      <c r="BK176" s="15" t="s">
        <v>709</v>
      </c>
      <c r="BL176" s="15" t="str">
        <f t="shared" si="522"/>
        <v>1</v>
      </c>
      <c r="BM176" s="15" t="s">
        <v>1208</v>
      </c>
      <c r="BN176" s="15" t="str">
        <f>"28.35"</f>
        <v>28.35</v>
      </c>
      <c r="BO176" s="15" t="str">
        <f>"36.22"</f>
        <v>36.22</v>
      </c>
      <c r="BP176" s="15" t="str">
        <f>"33.46"</f>
        <v>33.46</v>
      </c>
      <c r="BQ176" s="15" t="str">
        <f>"55.51"</f>
        <v>55.51</v>
      </c>
      <c r="CG176" s="15" t="str">
        <f>"18.01"</f>
        <v>18.01</v>
      </c>
      <c r="CH176" s="15" t="str">
        <f>"0.51"</f>
        <v>0.51</v>
      </c>
      <c r="CI176" s="15" t="s">
        <v>417</v>
      </c>
      <c r="CP176" s="15" t="s">
        <v>2652</v>
      </c>
      <c r="CQ176" s="15" t="s">
        <v>761</v>
      </c>
      <c r="CR176" s="15" t="s">
        <v>1488</v>
      </c>
      <c r="CS176" s="15" t="s">
        <v>1331</v>
      </c>
      <c r="CT176" s="15" t="s">
        <v>788</v>
      </c>
      <c r="CU176" s="15" t="s">
        <v>2732</v>
      </c>
      <c r="CV176" s="15">
        <v>0.0</v>
      </c>
      <c r="CW176" s="15">
        <v>1.0</v>
      </c>
      <c r="CX176" s="15" t="s">
        <v>717</v>
      </c>
      <c r="CY176" s="15" t="s">
        <v>718</v>
      </c>
      <c r="DC176" s="15" t="s">
        <v>2749</v>
      </c>
      <c r="DF176" s="15" t="s">
        <v>1111</v>
      </c>
      <c r="DG176" s="15" t="s">
        <v>419</v>
      </c>
      <c r="DH176" s="15">
        <v>0.0</v>
      </c>
      <c r="DL176" s="15">
        <v>0.0</v>
      </c>
      <c r="DM176" s="15" t="s">
        <v>2733</v>
      </c>
      <c r="DN176" s="15" t="s">
        <v>723</v>
      </c>
      <c r="DO176" s="15" t="s">
        <v>724</v>
      </c>
      <c r="DP176" s="15">
        <v>1.0</v>
      </c>
      <c r="DQ176" s="15">
        <v>1.0</v>
      </c>
      <c r="DS176" s="15" t="s">
        <v>2734</v>
      </c>
      <c r="DT176" s="15">
        <v>0.0</v>
      </c>
      <c r="DU176" s="15" t="s">
        <v>726</v>
      </c>
      <c r="DV176" s="15" t="s">
        <v>2735</v>
      </c>
      <c r="DW176" s="15" t="s">
        <v>2736</v>
      </c>
      <c r="DX176" s="15" t="s">
        <v>1328</v>
      </c>
      <c r="EB176" s="15" t="s">
        <v>2737</v>
      </c>
      <c r="EC176" s="15" t="s">
        <v>2468</v>
      </c>
      <c r="ED176" s="15" t="s">
        <v>2738</v>
      </c>
      <c r="EE176" s="15" t="s">
        <v>1488</v>
      </c>
      <c r="EF176" s="15" t="s">
        <v>2739</v>
      </c>
      <c r="EG176" s="15" t="s">
        <v>1212</v>
      </c>
      <c r="EH176" s="15" t="s">
        <v>1998</v>
      </c>
      <c r="EI176" s="15" t="s">
        <v>1996</v>
      </c>
      <c r="EL176" s="15" t="s">
        <v>723</v>
      </c>
      <c r="EM176" s="15" t="s">
        <v>724</v>
      </c>
      <c r="EN176" s="15" t="s">
        <v>1077</v>
      </c>
      <c r="EO176" s="15" t="s">
        <v>1078</v>
      </c>
      <c r="FA176" s="15">
        <v>0.0</v>
      </c>
      <c r="FB176" s="15">
        <v>0.0</v>
      </c>
      <c r="FD176" s="15">
        <v>0.0</v>
      </c>
    </row>
    <row r="177" ht="17.25" customHeight="1">
      <c r="A177" s="15" t="s">
        <v>2753</v>
      </c>
      <c r="B177" s="15" t="str">
        <f>"801542805142"</f>
        <v>801542805142</v>
      </c>
      <c r="C177" s="15" t="s">
        <v>13076</v>
      </c>
      <c r="D177" s="15" t="str">
        <f t="shared" si="1"/>
        <v>Brynn DresserDark Walnut Veneer</v>
      </c>
      <c r="E177" s="15" t="s">
        <v>2750</v>
      </c>
      <c r="F177" s="15" t="s">
        <v>397</v>
      </c>
      <c r="G177" s="15" t="s">
        <v>2752</v>
      </c>
      <c r="J177" s="15" t="s">
        <v>2752</v>
      </c>
      <c r="K177" s="15" t="s">
        <v>2760</v>
      </c>
      <c r="M177" s="15" t="s">
        <v>2759</v>
      </c>
      <c r="N177" s="15" t="s">
        <v>412</v>
      </c>
      <c r="P177" s="15" t="str">
        <f>"74"</f>
        <v>74</v>
      </c>
      <c r="Q177" s="15" t="str">
        <f>"19.75"</f>
        <v>19.75</v>
      </c>
      <c r="R177" s="15" t="str">
        <f>"30"</f>
        <v>30</v>
      </c>
      <c r="S177" s="15" t="str">
        <f>"293.65"</f>
        <v>293.65</v>
      </c>
      <c r="T177" s="15" t="s">
        <v>2756</v>
      </c>
      <c r="U177" s="15" t="s">
        <v>11639</v>
      </c>
      <c r="V177" s="15" t="s">
        <v>11338</v>
      </c>
      <c r="AA177" s="15" t="s">
        <v>413</v>
      </c>
      <c r="AB177" s="15" t="s">
        <v>413</v>
      </c>
      <c r="AC177" s="15" t="s">
        <v>2761</v>
      </c>
      <c r="AD177" s="15" t="s">
        <v>13077</v>
      </c>
      <c r="AE177" s="15" t="s">
        <v>2755</v>
      </c>
      <c r="AF177" s="15" t="s">
        <v>13078</v>
      </c>
      <c r="AG177" s="15" t="s">
        <v>13079</v>
      </c>
      <c r="AH177" s="15" t="s">
        <v>13080</v>
      </c>
      <c r="AI177" s="15" t="s">
        <v>13081</v>
      </c>
      <c r="AJ177" s="15" t="s">
        <v>13082</v>
      </c>
      <c r="AK177" s="15" t="s">
        <v>13083</v>
      </c>
      <c r="AL177" s="15" t="s">
        <v>13084</v>
      </c>
      <c r="AM177" s="15" t="s">
        <v>13085</v>
      </c>
      <c r="AN177" s="15" t="s">
        <v>13086</v>
      </c>
      <c r="AO177" s="15" t="s">
        <v>13087</v>
      </c>
      <c r="AP177" s="15" t="s">
        <v>13088</v>
      </c>
      <c r="AQ177" s="15" t="s">
        <v>13089</v>
      </c>
      <c r="BH177" s="15" t="s">
        <v>2751</v>
      </c>
      <c r="BI177" s="15" t="str">
        <f>"3599"</f>
        <v>3599</v>
      </c>
      <c r="BJ177" s="15" t="str">
        <f>"1515"</f>
        <v>1515</v>
      </c>
      <c r="BK177" s="15" t="s">
        <v>742</v>
      </c>
      <c r="BL177" s="15" t="str">
        <f t="shared" si="522"/>
        <v>1</v>
      </c>
      <c r="BM177" s="15" t="s">
        <v>416</v>
      </c>
      <c r="BN177" s="15" t="str">
        <f>"76.97"</f>
        <v>76.97</v>
      </c>
      <c r="BO177" s="15" t="str">
        <f>"22.83"</f>
        <v>22.83</v>
      </c>
      <c r="BP177" s="15" t="str">
        <f>"37.99"</f>
        <v>37.99</v>
      </c>
      <c r="BQ177" s="15" t="str">
        <f>"343.04"</f>
        <v>343.04</v>
      </c>
      <c r="CG177" s="15" t="str">
        <f>"38.63"</f>
        <v>38.63</v>
      </c>
      <c r="CH177" s="15" t="str">
        <f>"1.094"</f>
        <v>1.094</v>
      </c>
      <c r="CI177" s="15" t="s">
        <v>417</v>
      </c>
      <c r="CZ177" s="15" t="s">
        <v>418</v>
      </c>
      <c r="DA177" s="15">
        <v>6.0</v>
      </c>
      <c r="DB177" s="15" t="s">
        <v>1185</v>
      </c>
      <c r="DD177" s="15">
        <v>0.0</v>
      </c>
      <c r="DF177" s="15" t="s">
        <v>420</v>
      </c>
      <c r="DG177" s="15" t="s">
        <v>421</v>
      </c>
      <c r="DK177" s="15">
        <v>0.0</v>
      </c>
      <c r="DR177" s="15" t="s">
        <v>422</v>
      </c>
      <c r="DS177" s="15" t="s">
        <v>2765</v>
      </c>
      <c r="DU177" s="15" t="s">
        <v>424</v>
      </c>
      <c r="EF177" s="15" t="s">
        <v>1042</v>
      </c>
      <c r="EU177" s="15" t="s">
        <v>426</v>
      </c>
      <c r="EV177" s="15">
        <v>0.0</v>
      </c>
      <c r="FQ177" s="15">
        <v>0.0</v>
      </c>
      <c r="FR177" s="15" t="s">
        <v>427</v>
      </c>
      <c r="FX177" s="15" t="s">
        <v>426</v>
      </c>
      <c r="FZ177" s="15" t="s">
        <v>2766</v>
      </c>
      <c r="GB177" s="15" t="s">
        <v>2767</v>
      </c>
      <c r="GD177" s="15" t="s">
        <v>2768</v>
      </c>
      <c r="GF177" s="15" t="s">
        <v>431</v>
      </c>
      <c r="GH177" s="15" t="s">
        <v>1190</v>
      </c>
      <c r="GI177" s="15" t="s">
        <v>426</v>
      </c>
    </row>
    <row r="178" ht="17.25" customHeight="1">
      <c r="A178" s="15" t="s">
        <v>2771</v>
      </c>
      <c r="B178" s="15" t="str">
        <f>"801542723323"</f>
        <v>801542723323</v>
      </c>
      <c r="C178" s="15" t="s">
        <v>13090</v>
      </c>
      <c r="D178" s="15" t="str">
        <f t="shared" si="1"/>
        <v>Buck End TableDark Petrified Wood</v>
      </c>
      <c r="E178" s="15" t="s">
        <v>2769</v>
      </c>
      <c r="F178" s="15" t="s">
        <v>397</v>
      </c>
      <c r="G178" s="15" t="s">
        <v>2206</v>
      </c>
      <c r="J178" s="15" t="s">
        <v>2206</v>
      </c>
      <c r="M178" s="15" t="s">
        <v>2215</v>
      </c>
      <c r="N178" s="15" t="s">
        <v>1154</v>
      </c>
      <c r="P178" s="15" t="str">
        <f t="shared" ref="P178:Q178" si="523">"11.75"</f>
        <v>11.75</v>
      </c>
      <c r="Q178" s="15" t="str">
        <f t="shared" si="523"/>
        <v>11.75</v>
      </c>
      <c r="R178" s="15" t="str">
        <f>"15.75"</f>
        <v>15.75</v>
      </c>
      <c r="S178" s="15" t="str">
        <f>"198.41"</f>
        <v>198.41</v>
      </c>
      <c r="T178" s="15" t="s">
        <v>2774</v>
      </c>
      <c r="U178" s="15" t="s">
        <v>12534</v>
      </c>
      <c r="AA178" s="15" t="s">
        <v>413</v>
      </c>
      <c r="AB178" s="15" t="s">
        <v>413</v>
      </c>
      <c r="AC178" s="15" t="s">
        <v>2775</v>
      </c>
      <c r="AD178" s="15" t="s">
        <v>13091</v>
      </c>
      <c r="AE178" s="15" t="s">
        <v>2773</v>
      </c>
      <c r="AF178" s="15" t="s">
        <v>13092</v>
      </c>
      <c r="AG178" s="15" t="s">
        <v>13093</v>
      </c>
      <c r="AH178" s="15" t="s">
        <v>13094</v>
      </c>
      <c r="AI178" s="15" t="s">
        <v>13095</v>
      </c>
      <c r="AJ178" s="15" t="s">
        <v>13096</v>
      </c>
      <c r="AK178" s="15" t="s">
        <v>13097</v>
      </c>
      <c r="AL178" s="15" t="s">
        <v>13098</v>
      </c>
      <c r="AM178" s="15" t="s">
        <v>13099</v>
      </c>
      <c r="AN178" s="15" t="s">
        <v>13100</v>
      </c>
      <c r="AO178" s="15" t="s">
        <v>13101</v>
      </c>
      <c r="AP178" s="15" t="s">
        <v>13102</v>
      </c>
      <c r="BH178" s="15" t="s">
        <v>2770</v>
      </c>
      <c r="BI178" s="15" t="str">
        <f>"849"</f>
        <v>849</v>
      </c>
      <c r="BJ178" s="15" t="str">
        <f>"360"</f>
        <v>360</v>
      </c>
      <c r="BK178" s="15" t="s">
        <v>1181</v>
      </c>
      <c r="BL178" s="15" t="str">
        <f t="shared" si="522"/>
        <v>1</v>
      </c>
      <c r="BM178" s="15" t="s">
        <v>416</v>
      </c>
      <c r="BN178" s="15" t="str">
        <f>"18.9"</f>
        <v>18.9</v>
      </c>
      <c r="BO178" s="15" t="str">
        <f>"17.32"</f>
        <v>17.32</v>
      </c>
      <c r="BP178" s="15" t="str">
        <f>"22.83"</f>
        <v>22.83</v>
      </c>
      <c r="BQ178" s="15" t="str">
        <f>"220.46"</f>
        <v>220.46</v>
      </c>
      <c r="CG178" s="15" t="str">
        <f>"4.31"</f>
        <v>4.31</v>
      </c>
      <c r="CH178" s="15" t="str">
        <f>"0.122"</f>
        <v>0.122</v>
      </c>
      <c r="CI178" s="15" t="s">
        <v>497</v>
      </c>
      <c r="CZ178" s="15" t="s">
        <v>419</v>
      </c>
      <c r="DA178" s="15">
        <v>0.0</v>
      </c>
      <c r="DB178" s="15" t="s">
        <v>419</v>
      </c>
      <c r="DD178" s="15">
        <v>0.0</v>
      </c>
      <c r="DG178" s="15" t="s">
        <v>419</v>
      </c>
      <c r="DK178" s="15">
        <v>0.0</v>
      </c>
      <c r="DR178" s="15" t="s">
        <v>498</v>
      </c>
      <c r="DS178" s="15" t="s">
        <v>2778</v>
      </c>
      <c r="DU178" s="15" t="s">
        <v>500</v>
      </c>
      <c r="EQ178" s="15" t="s">
        <v>822</v>
      </c>
      <c r="ER178" s="15" t="s">
        <v>2020</v>
      </c>
      <c r="ES178" s="15" t="s">
        <v>822</v>
      </c>
      <c r="EV178" s="15">
        <v>0.0</v>
      </c>
      <c r="EW178" s="15">
        <v>0.0</v>
      </c>
    </row>
    <row r="179" ht="17.25" customHeight="1">
      <c r="A179" s="15" t="s">
        <v>2782</v>
      </c>
      <c r="B179" s="15" t="str">
        <f>"801542686338"</f>
        <v>801542686338</v>
      </c>
      <c r="C179" s="15" t="s">
        <v>13103</v>
      </c>
      <c r="D179" s="15" t="str">
        <f t="shared" si="1"/>
        <v>Cain Floating ShelfGold Guanacaste</v>
      </c>
      <c r="E179" s="15" t="s">
        <v>2779</v>
      </c>
      <c r="F179" s="15" t="s">
        <v>397</v>
      </c>
      <c r="G179" s="15" t="s">
        <v>2781</v>
      </c>
      <c r="J179" s="15" t="s">
        <v>2781</v>
      </c>
      <c r="M179" s="15" t="s">
        <v>411</v>
      </c>
      <c r="N179" s="15" t="s">
        <v>1914</v>
      </c>
      <c r="P179" s="15" t="str">
        <f>"48"</f>
        <v>48</v>
      </c>
      <c r="Q179" s="15" t="str">
        <f>"8"</f>
        <v>8</v>
      </c>
      <c r="R179" s="15" t="str">
        <f>"3"</f>
        <v>3</v>
      </c>
      <c r="S179" s="15" t="str">
        <f>"15.43"</f>
        <v>15.43</v>
      </c>
      <c r="T179" s="15" t="s">
        <v>2785</v>
      </c>
      <c r="U179" s="15" t="s">
        <v>12171</v>
      </c>
      <c r="AA179" s="15" t="s">
        <v>413</v>
      </c>
      <c r="AB179" s="15" t="s">
        <v>413</v>
      </c>
      <c r="AD179" s="15" t="s">
        <v>13104</v>
      </c>
      <c r="AE179" s="15" t="s">
        <v>2784</v>
      </c>
      <c r="AF179" s="15" t="s">
        <v>13105</v>
      </c>
      <c r="AG179" s="15" t="s">
        <v>13106</v>
      </c>
      <c r="AH179" s="15" t="s">
        <v>13107</v>
      </c>
      <c r="AI179" s="15" t="s">
        <v>13108</v>
      </c>
      <c r="AJ179" s="15" t="s">
        <v>13109</v>
      </c>
      <c r="AK179" s="15" t="s">
        <v>13110</v>
      </c>
      <c r="BH179" s="15" t="s">
        <v>2780</v>
      </c>
      <c r="BI179" s="15" t="str">
        <f>"229"</f>
        <v>229</v>
      </c>
      <c r="BJ179" s="15" t="str">
        <f>"100"</f>
        <v>100</v>
      </c>
      <c r="BK179" s="15" t="s">
        <v>415</v>
      </c>
      <c r="BL179" s="15" t="str">
        <f t="shared" si="522"/>
        <v>1</v>
      </c>
      <c r="BM179" s="15" t="s">
        <v>416</v>
      </c>
      <c r="BN179" s="15" t="str">
        <f>"51.18"</f>
        <v>51.18</v>
      </c>
      <c r="BO179" s="15" t="str">
        <f>"11.02"</f>
        <v>11.02</v>
      </c>
      <c r="BP179" s="15" t="str">
        <f>"6.69"</f>
        <v>6.69</v>
      </c>
      <c r="BQ179" s="15" t="str">
        <f>"22.05"</f>
        <v>22.05</v>
      </c>
      <c r="CG179" s="15" t="str">
        <f>"2.19"</f>
        <v>2.19</v>
      </c>
      <c r="CH179" s="15" t="str">
        <f>"0.062"</f>
        <v>0.062</v>
      </c>
      <c r="CI179" s="15" t="s">
        <v>465</v>
      </c>
      <c r="DS179" s="15" t="s">
        <v>2791</v>
      </c>
      <c r="KJ179" s="15" t="s">
        <v>2402</v>
      </c>
      <c r="KK179" s="15" t="s">
        <v>1236</v>
      </c>
      <c r="KL179" s="15" t="s">
        <v>2792</v>
      </c>
      <c r="KM179" s="15">
        <v>1.0</v>
      </c>
    </row>
    <row r="180" ht="17.25" customHeight="1">
      <c r="A180" s="15" t="s">
        <v>2796</v>
      </c>
      <c r="B180" s="15" t="str">
        <f>"801542111823"</f>
        <v>801542111823</v>
      </c>
      <c r="C180" s="15" t="s">
        <v>13111</v>
      </c>
      <c r="D180" s="15" t="str">
        <f t="shared" si="1"/>
        <v>Cairo ChairHarrison Black</v>
      </c>
      <c r="E180" s="15" t="s">
        <v>2793</v>
      </c>
      <c r="F180" s="15" t="s">
        <v>397</v>
      </c>
      <c r="G180" s="15" t="s">
        <v>2795</v>
      </c>
      <c r="J180" s="15" t="s">
        <v>2795</v>
      </c>
      <c r="K180" s="15" t="s">
        <v>2801</v>
      </c>
      <c r="M180" s="15" t="s">
        <v>2800</v>
      </c>
      <c r="N180" s="15" t="s">
        <v>706</v>
      </c>
      <c r="O180" s="15" t="s">
        <v>707</v>
      </c>
      <c r="P180" s="15" t="str">
        <f t="shared" ref="P180:P183" si="524">"34.75"</f>
        <v>34.75</v>
      </c>
      <c r="Q180" s="15" t="str">
        <f t="shared" ref="Q180:Q183" si="525">"33.75"</f>
        <v>33.75</v>
      </c>
      <c r="R180" s="15" t="str">
        <f t="shared" ref="R180:R183" si="526">"29"</f>
        <v>29</v>
      </c>
      <c r="S180" s="15" t="str">
        <f t="shared" ref="S180:S183" si="527">"77.6"</f>
        <v>77.6</v>
      </c>
      <c r="T180" s="15" t="s">
        <v>2799</v>
      </c>
      <c r="U180" s="15" t="s">
        <v>11137</v>
      </c>
      <c r="V180" s="15" t="s">
        <v>13112</v>
      </c>
      <c r="AA180" s="15" t="s">
        <v>413</v>
      </c>
      <c r="AB180" s="15" t="s">
        <v>413</v>
      </c>
      <c r="AC180" s="15" t="s">
        <v>2802</v>
      </c>
      <c r="AD180" s="15" t="s">
        <v>13113</v>
      </c>
      <c r="AE180" s="15" t="s">
        <v>2798</v>
      </c>
      <c r="AF180" s="15" t="s">
        <v>13114</v>
      </c>
      <c r="AG180" s="15" t="s">
        <v>13115</v>
      </c>
      <c r="AH180" s="15" t="s">
        <v>13116</v>
      </c>
      <c r="AI180" s="15" t="s">
        <v>13117</v>
      </c>
      <c r="AJ180" s="15" t="s">
        <v>13118</v>
      </c>
      <c r="AK180" s="15" t="s">
        <v>13119</v>
      </c>
      <c r="AL180" s="15" t="s">
        <v>13120</v>
      </c>
      <c r="AM180" s="15" t="s">
        <v>13121</v>
      </c>
      <c r="BH180" s="15" t="s">
        <v>2794</v>
      </c>
      <c r="BI180" s="15" t="str">
        <f>"2799"</f>
        <v>2799</v>
      </c>
      <c r="BJ180" s="15" t="str">
        <f>"1180"</f>
        <v>1180</v>
      </c>
      <c r="BK180" s="15" t="s">
        <v>709</v>
      </c>
      <c r="BL180" s="15" t="str">
        <f t="shared" si="522"/>
        <v>1</v>
      </c>
      <c r="BM180" s="15" t="s">
        <v>2803</v>
      </c>
      <c r="BN180" s="15" t="str">
        <f t="shared" ref="BN180:BN183" si="528">"35.04"</f>
        <v>35.04</v>
      </c>
      <c r="BO180" s="15" t="str">
        <f t="shared" ref="BO180:BO186" si="529">"35.43"</f>
        <v>35.43</v>
      </c>
      <c r="BP180" s="15" t="str">
        <f t="shared" ref="BP180:BP186" si="530">"31.1"</f>
        <v>31.1</v>
      </c>
      <c r="BQ180" s="15" t="str">
        <f>"98.11"</f>
        <v>98.11</v>
      </c>
      <c r="CG180" s="15" t="str">
        <f t="shared" ref="CG180:CG183" si="531">"22.35"</f>
        <v>22.35</v>
      </c>
      <c r="CH180" s="15" t="str">
        <f t="shared" ref="CH180:CH183" si="532">"0.633"</f>
        <v>0.633</v>
      </c>
      <c r="CI180" s="15" t="s">
        <v>465</v>
      </c>
      <c r="CP180" s="15" t="s">
        <v>2384</v>
      </c>
      <c r="CQ180" s="15" t="s">
        <v>2805</v>
      </c>
      <c r="CR180" s="15" t="s">
        <v>2384</v>
      </c>
      <c r="CS180" s="15" t="s">
        <v>2652</v>
      </c>
      <c r="CT180" s="15" t="s">
        <v>824</v>
      </c>
      <c r="CV180" s="15">
        <v>0.0</v>
      </c>
      <c r="CW180" s="15">
        <v>1.0</v>
      </c>
      <c r="CX180" s="15" t="s">
        <v>717</v>
      </c>
      <c r="CY180" s="15" t="s">
        <v>718</v>
      </c>
      <c r="DC180" s="15" t="s">
        <v>1066</v>
      </c>
      <c r="DF180" s="15" t="s">
        <v>721</v>
      </c>
      <c r="DG180" s="15" t="s">
        <v>419</v>
      </c>
      <c r="DH180" s="15">
        <v>0.0</v>
      </c>
      <c r="DL180" s="15">
        <v>0.0</v>
      </c>
      <c r="DM180" s="15" t="s">
        <v>722</v>
      </c>
      <c r="DN180" s="15" t="s">
        <v>723</v>
      </c>
      <c r="DO180" s="15" t="s">
        <v>724</v>
      </c>
      <c r="DP180" s="15">
        <v>1.0</v>
      </c>
      <c r="DQ180" s="15">
        <v>1.0</v>
      </c>
      <c r="DS180" s="15" t="s">
        <v>2806</v>
      </c>
      <c r="DT180" s="15">
        <v>0.0</v>
      </c>
      <c r="DU180" s="15" t="s">
        <v>726</v>
      </c>
      <c r="DV180" s="15" t="s">
        <v>2807</v>
      </c>
      <c r="DW180" s="15" t="s">
        <v>2402</v>
      </c>
      <c r="DX180" s="15" t="s">
        <v>1994</v>
      </c>
      <c r="EB180" s="15" t="s">
        <v>1069</v>
      </c>
      <c r="EF180" s="15" t="s">
        <v>475</v>
      </c>
      <c r="EG180" s="15" t="s">
        <v>2140</v>
      </c>
      <c r="EH180" s="15" t="s">
        <v>1119</v>
      </c>
      <c r="EI180" s="15" t="s">
        <v>2808</v>
      </c>
      <c r="EL180" s="15" t="s">
        <v>1016</v>
      </c>
      <c r="EM180" s="15" t="s">
        <v>1076</v>
      </c>
      <c r="EO180" s="15" t="s">
        <v>1290</v>
      </c>
      <c r="EX180" s="15" t="s">
        <v>713</v>
      </c>
      <c r="EY180" s="15" t="s">
        <v>2652</v>
      </c>
      <c r="EZ180" s="15">
        <v>0.0</v>
      </c>
      <c r="FA180" s="15">
        <v>0.0</v>
      </c>
      <c r="FC180" s="15">
        <v>0.0</v>
      </c>
    </row>
    <row r="181" ht="17.25" customHeight="1">
      <c r="A181" s="15" t="s">
        <v>2811</v>
      </c>
      <c r="B181" s="15" t="str">
        <f>"801542750015"</f>
        <v>801542750015</v>
      </c>
      <c r="C181" s="15" t="s">
        <v>13122</v>
      </c>
      <c r="D181" s="15" t="str">
        <f t="shared" si="1"/>
        <v>Cairo ChairModern Velvet Smoke</v>
      </c>
      <c r="E181" s="15" t="s">
        <v>2793</v>
      </c>
      <c r="F181" s="15" t="s">
        <v>397</v>
      </c>
      <c r="G181" s="15" t="s">
        <v>2810</v>
      </c>
      <c r="J181" s="15" t="s">
        <v>2810</v>
      </c>
      <c r="K181" s="15" t="s">
        <v>2801</v>
      </c>
      <c r="M181" s="15" t="s">
        <v>2800</v>
      </c>
      <c r="N181" s="15" t="s">
        <v>706</v>
      </c>
      <c r="O181" s="15" t="s">
        <v>707</v>
      </c>
      <c r="P181" s="15" t="str">
        <f t="shared" si="524"/>
        <v>34.75</v>
      </c>
      <c r="Q181" s="15" t="str">
        <f t="shared" si="525"/>
        <v>33.75</v>
      </c>
      <c r="R181" s="15" t="str">
        <f t="shared" si="526"/>
        <v>29</v>
      </c>
      <c r="S181" s="15" t="str">
        <f t="shared" si="527"/>
        <v>77.6</v>
      </c>
      <c r="T181" s="15" t="s">
        <v>2813</v>
      </c>
      <c r="U181" s="15" t="s">
        <v>11209</v>
      </c>
      <c r="V181" s="15" t="s">
        <v>13112</v>
      </c>
      <c r="AA181" s="15" t="s">
        <v>426</v>
      </c>
      <c r="AB181" s="15" t="s">
        <v>413</v>
      </c>
      <c r="AC181" s="15" t="s">
        <v>2814</v>
      </c>
      <c r="AD181" s="15" t="s">
        <v>13123</v>
      </c>
      <c r="AE181" s="15" t="s">
        <v>2812</v>
      </c>
      <c r="AF181" s="15" t="s">
        <v>13124</v>
      </c>
      <c r="AG181" s="15" t="s">
        <v>13125</v>
      </c>
      <c r="AH181" s="15" t="s">
        <v>13126</v>
      </c>
      <c r="AI181" s="15" t="s">
        <v>13127</v>
      </c>
      <c r="AJ181" s="15" t="s">
        <v>13128</v>
      </c>
      <c r="AK181" s="15" t="s">
        <v>13129</v>
      </c>
      <c r="AL181" s="15" t="s">
        <v>13130</v>
      </c>
      <c r="AM181" s="15" t="s">
        <v>13131</v>
      </c>
      <c r="AN181" s="15" t="s">
        <v>13132</v>
      </c>
      <c r="AO181" s="15" t="s">
        <v>13133</v>
      </c>
      <c r="AP181" s="15" t="s">
        <v>13134</v>
      </c>
      <c r="BH181" s="15" t="s">
        <v>2809</v>
      </c>
      <c r="BI181" s="15" t="str">
        <f>"1349"</f>
        <v>1349</v>
      </c>
      <c r="BJ181" s="15" t="str">
        <f>"570"</f>
        <v>570</v>
      </c>
      <c r="BK181" s="15" t="s">
        <v>709</v>
      </c>
      <c r="BL181" s="15" t="str">
        <f t="shared" si="522"/>
        <v>1</v>
      </c>
      <c r="BM181" s="15" t="s">
        <v>2815</v>
      </c>
      <c r="BN181" s="15" t="str">
        <f t="shared" si="528"/>
        <v>35.04</v>
      </c>
      <c r="BO181" s="15" t="str">
        <f t="shared" si="529"/>
        <v>35.43</v>
      </c>
      <c r="BP181" s="15" t="str">
        <f t="shared" si="530"/>
        <v>31.1</v>
      </c>
      <c r="BQ181" s="15" t="str">
        <f t="shared" ref="BQ181:BQ183" si="533">"98.1"</f>
        <v>98.1</v>
      </c>
      <c r="CG181" s="15" t="str">
        <f t="shared" si="531"/>
        <v>22.35</v>
      </c>
      <c r="CH181" s="15" t="str">
        <f t="shared" si="532"/>
        <v>0.633</v>
      </c>
      <c r="CI181" s="15" t="s">
        <v>497</v>
      </c>
      <c r="CP181" s="15" t="s">
        <v>2384</v>
      </c>
      <c r="CQ181" s="15" t="s">
        <v>2805</v>
      </c>
      <c r="CR181" s="15" t="s">
        <v>2384</v>
      </c>
      <c r="CS181" s="15" t="s">
        <v>2652</v>
      </c>
      <c r="CT181" s="15" t="s">
        <v>824</v>
      </c>
      <c r="CV181" s="15">
        <v>0.0</v>
      </c>
      <c r="CW181" s="15">
        <v>1.0</v>
      </c>
      <c r="CX181" s="15" t="s">
        <v>717</v>
      </c>
      <c r="CY181" s="15" t="s">
        <v>897</v>
      </c>
      <c r="DC181" s="15" t="s">
        <v>1066</v>
      </c>
      <c r="DF181" s="15" t="s">
        <v>721</v>
      </c>
      <c r="DG181" s="15" t="s">
        <v>419</v>
      </c>
      <c r="DH181" s="15">
        <v>0.0</v>
      </c>
      <c r="DL181" s="15">
        <v>100000.0</v>
      </c>
      <c r="DM181" s="15" t="s">
        <v>722</v>
      </c>
      <c r="DN181" s="15" t="s">
        <v>723</v>
      </c>
      <c r="DO181" s="15" t="s">
        <v>724</v>
      </c>
      <c r="DP181" s="15">
        <v>1.0</v>
      </c>
      <c r="DQ181" s="15">
        <v>1.0</v>
      </c>
      <c r="DS181" s="15" t="s">
        <v>2806</v>
      </c>
      <c r="DT181" s="15">
        <v>0.0</v>
      </c>
      <c r="DU181" s="15" t="s">
        <v>726</v>
      </c>
      <c r="DV181" s="15" t="s">
        <v>2807</v>
      </c>
      <c r="DW181" s="15" t="s">
        <v>2402</v>
      </c>
      <c r="DX181" s="15" t="s">
        <v>1994</v>
      </c>
      <c r="EB181" s="15" t="s">
        <v>1069</v>
      </c>
      <c r="EF181" s="15" t="s">
        <v>475</v>
      </c>
      <c r="EG181" s="15" t="s">
        <v>2140</v>
      </c>
      <c r="EH181" s="15" t="s">
        <v>1119</v>
      </c>
      <c r="EI181" s="15" t="s">
        <v>2808</v>
      </c>
      <c r="EL181" s="15" t="s">
        <v>1016</v>
      </c>
      <c r="EM181" s="15" t="s">
        <v>1076</v>
      </c>
      <c r="EO181" s="15" t="s">
        <v>1290</v>
      </c>
      <c r="EX181" s="15" t="s">
        <v>713</v>
      </c>
      <c r="EY181" s="15" t="s">
        <v>2652</v>
      </c>
      <c r="EZ181" s="15">
        <v>0.0</v>
      </c>
      <c r="FA181" s="15">
        <v>0.0</v>
      </c>
      <c r="FC181" s="15">
        <v>0.0</v>
      </c>
    </row>
    <row r="182" ht="17.25" customHeight="1">
      <c r="A182" s="15" t="s">
        <v>2819</v>
      </c>
      <c r="B182" s="15" t="str">
        <f>"801542745080"</f>
        <v>801542745080</v>
      </c>
      <c r="C182" s="15" t="s">
        <v>13135</v>
      </c>
      <c r="D182" s="15" t="str">
        <f t="shared" si="1"/>
        <v>Cairo ChairPalermo Cognac</v>
      </c>
      <c r="E182" s="15" t="s">
        <v>2793</v>
      </c>
      <c r="F182" s="15" t="s">
        <v>397</v>
      </c>
      <c r="G182" s="15" t="s">
        <v>2818</v>
      </c>
      <c r="J182" s="15" t="s">
        <v>2818</v>
      </c>
      <c r="K182" s="15" t="s">
        <v>2801</v>
      </c>
      <c r="M182" s="15" t="s">
        <v>2800</v>
      </c>
      <c r="N182" s="15" t="s">
        <v>706</v>
      </c>
      <c r="O182" s="15" t="s">
        <v>707</v>
      </c>
      <c r="P182" s="15" t="str">
        <f t="shared" si="524"/>
        <v>34.75</v>
      </c>
      <c r="Q182" s="15" t="str">
        <f t="shared" si="525"/>
        <v>33.75</v>
      </c>
      <c r="R182" s="15" t="str">
        <f t="shared" si="526"/>
        <v>29</v>
      </c>
      <c r="S182" s="15" t="str">
        <f t="shared" si="527"/>
        <v>77.6</v>
      </c>
      <c r="T182" s="15" t="s">
        <v>2799</v>
      </c>
      <c r="U182" s="15" t="s">
        <v>11137</v>
      </c>
      <c r="V182" s="15" t="s">
        <v>13112</v>
      </c>
      <c r="AA182" s="15" t="s">
        <v>413</v>
      </c>
      <c r="AB182" s="15" t="s">
        <v>413</v>
      </c>
      <c r="AC182" s="15" t="s">
        <v>2821</v>
      </c>
      <c r="AD182" s="15" t="s">
        <v>13136</v>
      </c>
      <c r="AE182" s="15" t="s">
        <v>2820</v>
      </c>
      <c r="AF182" s="15" t="s">
        <v>13137</v>
      </c>
      <c r="AG182" s="15" t="s">
        <v>13138</v>
      </c>
      <c r="AH182" s="15" t="s">
        <v>13139</v>
      </c>
      <c r="AI182" s="15" t="s">
        <v>13140</v>
      </c>
      <c r="AJ182" s="15" t="s">
        <v>13141</v>
      </c>
      <c r="AK182" s="15" t="s">
        <v>13142</v>
      </c>
      <c r="AL182" s="15" t="s">
        <v>13143</v>
      </c>
      <c r="AM182" s="15" t="s">
        <v>13144</v>
      </c>
      <c r="AN182" s="15" t="s">
        <v>13145</v>
      </c>
      <c r="AO182" s="15" t="s">
        <v>13146</v>
      </c>
      <c r="AP182" s="15" t="s">
        <v>13147</v>
      </c>
      <c r="AQ182" s="15" t="s">
        <v>13148</v>
      </c>
      <c r="BH182" s="15" t="s">
        <v>2817</v>
      </c>
      <c r="BI182" s="15" t="str">
        <f>"2399"</f>
        <v>2399</v>
      </c>
      <c r="BJ182" s="15" t="str">
        <f>"1010"</f>
        <v>1010</v>
      </c>
      <c r="BK182" s="15" t="s">
        <v>709</v>
      </c>
      <c r="BL182" s="15" t="str">
        <f t="shared" si="522"/>
        <v>1</v>
      </c>
      <c r="BM182" s="15" t="s">
        <v>2815</v>
      </c>
      <c r="BN182" s="15" t="str">
        <f t="shared" si="528"/>
        <v>35.04</v>
      </c>
      <c r="BO182" s="15" t="str">
        <f t="shared" si="529"/>
        <v>35.43</v>
      </c>
      <c r="BP182" s="15" t="str">
        <f t="shared" si="530"/>
        <v>31.1</v>
      </c>
      <c r="BQ182" s="15" t="str">
        <f t="shared" si="533"/>
        <v>98.1</v>
      </c>
      <c r="CG182" s="15" t="str">
        <f t="shared" si="531"/>
        <v>22.35</v>
      </c>
      <c r="CH182" s="15" t="str">
        <f t="shared" si="532"/>
        <v>0.633</v>
      </c>
      <c r="CI182" s="15" t="s">
        <v>497</v>
      </c>
      <c r="CP182" s="15" t="s">
        <v>2384</v>
      </c>
      <c r="CQ182" s="15" t="s">
        <v>2805</v>
      </c>
      <c r="CR182" s="15" t="s">
        <v>2384</v>
      </c>
      <c r="CS182" s="15" t="s">
        <v>2652</v>
      </c>
      <c r="CT182" s="15" t="s">
        <v>824</v>
      </c>
      <c r="CV182" s="15">
        <v>0.0</v>
      </c>
      <c r="CW182" s="15">
        <v>1.0</v>
      </c>
      <c r="CX182" s="15" t="s">
        <v>717</v>
      </c>
      <c r="CY182" s="15" t="s">
        <v>718</v>
      </c>
      <c r="DC182" s="15" t="s">
        <v>1066</v>
      </c>
      <c r="DF182" s="15" t="s">
        <v>721</v>
      </c>
      <c r="DG182" s="15" t="s">
        <v>419</v>
      </c>
      <c r="DH182" s="15">
        <v>0.0</v>
      </c>
      <c r="DL182" s="15">
        <v>0.0</v>
      </c>
      <c r="DM182" s="15" t="s">
        <v>722</v>
      </c>
      <c r="DN182" s="15" t="s">
        <v>723</v>
      </c>
      <c r="DO182" s="15" t="s">
        <v>724</v>
      </c>
      <c r="DP182" s="15">
        <v>1.0</v>
      </c>
      <c r="DQ182" s="15">
        <v>1.0</v>
      </c>
      <c r="DS182" s="15" t="s">
        <v>2806</v>
      </c>
      <c r="DT182" s="15">
        <v>0.0</v>
      </c>
      <c r="DU182" s="15" t="s">
        <v>726</v>
      </c>
      <c r="DV182" s="15" t="s">
        <v>2807</v>
      </c>
      <c r="DW182" s="15" t="s">
        <v>2402</v>
      </c>
      <c r="DX182" s="15" t="s">
        <v>1994</v>
      </c>
      <c r="EB182" s="15" t="s">
        <v>1069</v>
      </c>
      <c r="EF182" s="15" t="s">
        <v>475</v>
      </c>
      <c r="EG182" s="15" t="s">
        <v>2140</v>
      </c>
      <c r="EH182" s="15" t="s">
        <v>1119</v>
      </c>
      <c r="EI182" s="15" t="s">
        <v>2808</v>
      </c>
      <c r="EL182" s="15" t="s">
        <v>1016</v>
      </c>
      <c r="EM182" s="15" t="s">
        <v>1076</v>
      </c>
      <c r="EO182" s="15" t="s">
        <v>1290</v>
      </c>
      <c r="EX182" s="15" t="s">
        <v>713</v>
      </c>
      <c r="EY182" s="15" t="s">
        <v>2652</v>
      </c>
      <c r="EZ182" s="15">
        <v>0.0</v>
      </c>
      <c r="FA182" s="15">
        <v>0.0</v>
      </c>
      <c r="FC182" s="15">
        <v>0.0</v>
      </c>
    </row>
    <row r="183" ht="17.25" customHeight="1">
      <c r="A183" s="15" t="s">
        <v>2823</v>
      </c>
      <c r="B183" s="15" t="str">
        <f>"801542035105"</f>
        <v>801542035105</v>
      </c>
      <c r="C183" s="15" t="s">
        <v>13149</v>
      </c>
      <c r="D183" s="15" t="str">
        <f t="shared" si="1"/>
        <v>Cairo ChairThames Cream</v>
      </c>
      <c r="E183" s="15" t="s">
        <v>2793</v>
      </c>
      <c r="F183" s="15" t="s">
        <v>397</v>
      </c>
      <c r="G183" s="15" t="s">
        <v>2000</v>
      </c>
      <c r="J183" s="15" t="s">
        <v>2000</v>
      </c>
      <c r="K183" s="15" t="s">
        <v>2801</v>
      </c>
      <c r="M183" s="15" t="s">
        <v>2800</v>
      </c>
      <c r="N183" s="15" t="s">
        <v>706</v>
      </c>
      <c r="O183" s="15" t="s">
        <v>707</v>
      </c>
      <c r="P183" s="15" t="str">
        <f t="shared" si="524"/>
        <v>34.75</v>
      </c>
      <c r="Q183" s="15" t="str">
        <f t="shared" si="525"/>
        <v>33.75</v>
      </c>
      <c r="R183" s="15" t="str">
        <f t="shared" si="526"/>
        <v>29</v>
      </c>
      <c r="S183" s="15" t="str">
        <f t="shared" si="527"/>
        <v>77.6</v>
      </c>
      <c r="T183" s="15" t="s">
        <v>2825</v>
      </c>
      <c r="U183" s="15" t="s">
        <v>11537</v>
      </c>
      <c r="V183" s="15" t="s">
        <v>11538</v>
      </c>
      <c r="W183" s="15" t="s">
        <v>11539</v>
      </c>
      <c r="X183" s="15" t="s">
        <v>13112</v>
      </c>
      <c r="AA183" s="15" t="s">
        <v>426</v>
      </c>
      <c r="AB183" s="15" t="s">
        <v>426</v>
      </c>
      <c r="AC183" s="15" t="s">
        <v>2826</v>
      </c>
      <c r="AD183" s="15" t="s">
        <v>13150</v>
      </c>
      <c r="AE183" s="15" t="s">
        <v>2824</v>
      </c>
      <c r="AF183" s="15" t="s">
        <v>13151</v>
      </c>
      <c r="AG183" s="15" t="s">
        <v>13152</v>
      </c>
      <c r="AH183" s="15" t="s">
        <v>13153</v>
      </c>
      <c r="AI183" s="15" t="s">
        <v>13154</v>
      </c>
      <c r="AJ183" s="15" t="s">
        <v>13155</v>
      </c>
      <c r="AK183" s="15" t="s">
        <v>13156</v>
      </c>
      <c r="AL183" s="15" t="s">
        <v>13157</v>
      </c>
      <c r="AM183" s="15" t="s">
        <v>13158</v>
      </c>
      <c r="BH183" s="15" t="s">
        <v>2822</v>
      </c>
      <c r="BI183" s="15" t="str">
        <f>"1449"</f>
        <v>1449</v>
      </c>
      <c r="BJ183" s="15" t="str">
        <f>"610"</f>
        <v>610</v>
      </c>
      <c r="BK183" s="15" t="s">
        <v>709</v>
      </c>
      <c r="BL183" s="15" t="str">
        <f t="shared" si="522"/>
        <v>1</v>
      </c>
      <c r="BM183" s="15" t="s">
        <v>2803</v>
      </c>
      <c r="BN183" s="15" t="str">
        <f t="shared" si="528"/>
        <v>35.04</v>
      </c>
      <c r="BO183" s="15" t="str">
        <f t="shared" si="529"/>
        <v>35.43</v>
      </c>
      <c r="BP183" s="15" t="str">
        <f t="shared" si="530"/>
        <v>31.1</v>
      </c>
      <c r="BQ183" s="15" t="str">
        <f t="shared" si="533"/>
        <v>98.1</v>
      </c>
      <c r="CG183" s="15" t="str">
        <f t="shared" si="531"/>
        <v>22.35</v>
      </c>
      <c r="CH183" s="15" t="str">
        <f t="shared" si="532"/>
        <v>0.633</v>
      </c>
      <c r="CI183" s="15" t="s">
        <v>417</v>
      </c>
      <c r="CP183" s="15" t="s">
        <v>2384</v>
      </c>
      <c r="CQ183" s="15" t="s">
        <v>2805</v>
      </c>
      <c r="CR183" s="15" t="s">
        <v>2384</v>
      </c>
      <c r="CS183" s="15" t="s">
        <v>2652</v>
      </c>
      <c r="CT183" s="15" t="s">
        <v>824</v>
      </c>
      <c r="CV183" s="15">
        <v>0.0</v>
      </c>
      <c r="CW183" s="15">
        <v>1.0</v>
      </c>
      <c r="CX183" s="15" t="s">
        <v>717</v>
      </c>
      <c r="CY183" s="15" t="s">
        <v>855</v>
      </c>
      <c r="DC183" s="15" t="s">
        <v>1066</v>
      </c>
      <c r="DF183" s="15" t="s">
        <v>721</v>
      </c>
      <c r="DG183" s="15" t="s">
        <v>419</v>
      </c>
      <c r="DH183" s="15">
        <v>0.0</v>
      </c>
      <c r="DL183" s="15">
        <v>25000.0</v>
      </c>
      <c r="DM183" s="15" t="s">
        <v>722</v>
      </c>
      <c r="DN183" s="15" t="s">
        <v>723</v>
      </c>
      <c r="DO183" s="15" t="s">
        <v>724</v>
      </c>
      <c r="DP183" s="15">
        <v>1.0</v>
      </c>
      <c r="DQ183" s="15">
        <v>1.0</v>
      </c>
      <c r="DS183" s="15" t="s">
        <v>2806</v>
      </c>
      <c r="DT183" s="15">
        <v>0.0</v>
      </c>
      <c r="DU183" s="15" t="s">
        <v>726</v>
      </c>
      <c r="DV183" s="15" t="s">
        <v>2807</v>
      </c>
      <c r="DW183" s="15" t="s">
        <v>2402</v>
      </c>
      <c r="DX183" s="15" t="s">
        <v>1994</v>
      </c>
      <c r="EB183" s="15" t="s">
        <v>1069</v>
      </c>
      <c r="EF183" s="15" t="s">
        <v>475</v>
      </c>
      <c r="EG183" s="15" t="s">
        <v>2140</v>
      </c>
      <c r="EH183" s="15" t="s">
        <v>1119</v>
      </c>
      <c r="EI183" s="15" t="s">
        <v>2808</v>
      </c>
      <c r="EL183" s="15" t="s">
        <v>1016</v>
      </c>
      <c r="EM183" s="15" t="s">
        <v>1076</v>
      </c>
      <c r="EO183" s="15" t="s">
        <v>1290</v>
      </c>
      <c r="EX183" s="15" t="s">
        <v>713</v>
      </c>
      <c r="EY183" s="15" t="s">
        <v>2652</v>
      </c>
      <c r="EZ183" s="15">
        <v>0.0</v>
      </c>
      <c r="FA183" s="15">
        <v>0.0</v>
      </c>
      <c r="FC183" s="15">
        <v>0.0</v>
      </c>
    </row>
    <row r="184" ht="17.25" customHeight="1">
      <c r="A184" s="15" t="s">
        <v>2829</v>
      </c>
      <c r="B184" s="15" t="str">
        <f>"801542100711"</f>
        <v>801542100711</v>
      </c>
      <c r="C184" s="15" t="s">
        <v>13159</v>
      </c>
      <c r="D184" s="15" t="str">
        <f t="shared" si="1"/>
        <v>Cairo SofaModern Velvet Smoke</v>
      </c>
      <c r="E184" s="15" t="s">
        <v>2827</v>
      </c>
      <c r="F184" s="15" t="s">
        <v>397</v>
      </c>
      <c r="G184" s="15" t="s">
        <v>2810</v>
      </c>
      <c r="J184" s="15" t="s">
        <v>2810</v>
      </c>
      <c r="K184" s="15" t="s">
        <v>2801</v>
      </c>
      <c r="M184" s="15" t="s">
        <v>2800</v>
      </c>
      <c r="N184" s="15" t="s">
        <v>1732</v>
      </c>
      <c r="P184" s="15" t="str">
        <f t="shared" ref="P184:P186" si="534">"90.5"</f>
        <v>90.5</v>
      </c>
      <c r="Q184" s="15" t="str">
        <f t="shared" ref="Q184:Q186" si="535">"34.5"</f>
        <v>34.5</v>
      </c>
      <c r="R184" s="15" t="str">
        <f t="shared" ref="R184:R186" si="536">"29.5"</f>
        <v>29.5</v>
      </c>
      <c r="S184" s="15" t="str">
        <f t="shared" ref="S184:S186" si="537">"134.04"</f>
        <v>134.04</v>
      </c>
      <c r="T184" s="15" t="s">
        <v>2813</v>
      </c>
      <c r="U184" s="15" t="s">
        <v>11209</v>
      </c>
      <c r="V184" s="15" t="s">
        <v>13112</v>
      </c>
      <c r="AA184" s="15" t="s">
        <v>413</v>
      </c>
      <c r="AB184" s="15" t="s">
        <v>413</v>
      </c>
      <c r="AC184" s="15" t="s">
        <v>2835</v>
      </c>
      <c r="AD184" s="15" t="s">
        <v>13160</v>
      </c>
      <c r="AE184" s="15" t="s">
        <v>2831</v>
      </c>
      <c r="AF184" s="15" t="s">
        <v>13161</v>
      </c>
      <c r="AG184" s="15" t="s">
        <v>13162</v>
      </c>
      <c r="AH184" s="15" t="s">
        <v>13163</v>
      </c>
      <c r="AI184" s="15" t="s">
        <v>13164</v>
      </c>
      <c r="AJ184" s="15" t="s">
        <v>13165</v>
      </c>
      <c r="AK184" s="15" t="s">
        <v>13166</v>
      </c>
      <c r="AL184" s="15" t="s">
        <v>13167</v>
      </c>
      <c r="AM184" s="15" t="s">
        <v>13168</v>
      </c>
      <c r="AN184" s="15" t="s">
        <v>13169</v>
      </c>
      <c r="AO184" s="15" t="s">
        <v>13170</v>
      </c>
      <c r="BH184" s="15" t="s">
        <v>2828</v>
      </c>
      <c r="BI184" s="15" t="str">
        <f>"2599"</f>
        <v>2599</v>
      </c>
      <c r="BJ184" s="15" t="str">
        <f>"1095"</f>
        <v>1095</v>
      </c>
      <c r="BK184" s="15" t="s">
        <v>709</v>
      </c>
      <c r="BL184" s="15" t="str">
        <f t="shared" si="522"/>
        <v>1</v>
      </c>
      <c r="BM184" s="15" t="s">
        <v>416</v>
      </c>
      <c r="BN184" s="15" t="str">
        <f t="shared" ref="BN184:BN186" si="538">"90.94"</f>
        <v>90.94</v>
      </c>
      <c r="BO184" s="15" t="str">
        <f t="shared" si="529"/>
        <v>35.43</v>
      </c>
      <c r="BP184" s="15" t="str">
        <f t="shared" si="530"/>
        <v>31.1</v>
      </c>
      <c r="BQ184" s="15" t="str">
        <f t="shared" ref="BQ184:BQ186" si="539">"173.5"</f>
        <v>173.5</v>
      </c>
      <c r="CG184" s="15" t="str">
        <f t="shared" ref="CG184:CG186" si="540">"57.99"</f>
        <v>57.99</v>
      </c>
      <c r="CH184" s="15" t="str">
        <f t="shared" ref="CH184:CH186" si="541">"1.642"</f>
        <v>1.642</v>
      </c>
      <c r="CI184" s="15" t="s">
        <v>465</v>
      </c>
      <c r="CP184" s="15" t="s">
        <v>713</v>
      </c>
      <c r="CQ184" s="15" t="s">
        <v>475</v>
      </c>
      <c r="CR184" s="15" t="s">
        <v>2399</v>
      </c>
      <c r="CS184" s="15" t="s">
        <v>2837</v>
      </c>
      <c r="CT184" s="15" t="s">
        <v>1460</v>
      </c>
      <c r="CU184" s="15" t="s">
        <v>2838</v>
      </c>
      <c r="CV184" s="15">
        <v>0.0</v>
      </c>
      <c r="CW184" s="15">
        <v>1.0</v>
      </c>
      <c r="CX184" s="15" t="s">
        <v>717</v>
      </c>
      <c r="CY184" s="15" t="s">
        <v>897</v>
      </c>
      <c r="DC184" s="15" t="s">
        <v>1066</v>
      </c>
      <c r="DF184" s="15" t="s">
        <v>721</v>
      </c>
      <c r="DG184" s="15" t="s">
        <v>419</v>
      </c>
      <c r="DH184" s="15">
        <v>0.0</v>
      </c>
      <c r="DL184" s="15">
        <v>100000.0</v>
      </c>
      <c r="DM184" s="15" t="s">
        <v>990</v>
      </c>
      <c r="DN184" s="15" t="s">
        <v>723</v>
      </c>
      <c r="DO184" s="15" t="s">
        <v>724</v>
      </c>
      <c r="DP184" s="15">
        <v>2.0</v>
      </c>
      <c r="DQ184" s="15">
        <v>4.0</v>
      </c>
      <c r="DS184" s="15" t="s">
        <v>2806</v>
      </c>
      <c r="DT184" s="15">
        <v>0.0</v>
      </c>
      <c r="DU184" s="15" t="s">
        <v>588</v>
      </c>
      <c r="DV184" s="15" t="s">
        <v>2839</v>
      </c>
      <c r="DW184" s="15" t="s">
        <v>1738</v>
      </c>
      <c r="DX184" s="15" t="s">
        <v>2840</v>
      </c>
      <c r="EB184" s="15" t="s">
        <v>1069</v>
      </c>
      <c r="EF184" s="15" t="s">
        <v>2841</v>
      </c>
      <c r="EG184" s="15" t="s">
        <v>2842</v>
      </c>
      <c r="EH184" s="15" t="s">
        <v>2843</v>
      </c>
      <c r="EI184" s="15" t="s">
        <v>729</v>
      </c>
      <c r="EL184" s="15" t="s">
        <v>1016</v>
      </c>
      <c r="EM184" s="15" t="s">
        <v>1076</v>
      </c>
      <c r="EO184" s="15" t="s">
        <v>1290</v>
      </c>
      <c r="EU184" s="15" t="s">
        <v>426</v>
      </c>
      <c r="FB184" s="15" t="s">
        <v>2436</v>
      </c>
    </row>
    <row r="185" ht="17.25" customHeight="1">
      <c r="A185" s="15" t="s">
        <v>2845</v>
      </c>
      <c r="B185" s="15" t="str">
        <f>"801542100728"</f>
        <v>801542100728</v>
      </c>
      <c r="C185" s="15" t="s">
        <v>13171</v>
      </c>
      <c r="D185" s="15" t="str">
        <f t="shared" si="1"/>
        <v>Cairo SofaPalermo Cognac</v>
      </c>
      <c r="E185" s="15" t="s">
        <v>2827</v>
      </c>
      <c r="F185" s="15" t="s">
        <v>397</v>
      </c>
      <c r="G185" s="15" t="s">
        <v>2818</v>
      </c>
      <c r="J185" s="15" t="s">
        <v>2818</v>
      </c>
      <c r="K185" s="15" t="s">
        <v>2801</v>
      </c>
      <c r="M185" s="15" t="s">
        <v>2800</v>
      </c>
      <c r="N185" s="15" t="s">
        <v>1732</v>
      </c>
      <c r="P185" s="15" t="str">
        <f t="shared" si="534"/>
        <v>90.5</v>
      </c>
      <c r="Q185" s="15" t="str">
        <f t="shared" si="535"/>
        <v>34.5</v>
      </c>
      <c r="R185" s="15" t="str">
        <f t="shared" si="536"/>
        <v>29.5</v>
      </c>
      <c r="S185" s="15" t="str">
        <f t="shared" si="537"/>
        <v>134.04</v>
      </c>
      <c r="T185" s="15" t="s">
        <v>2799</v>
      </c>
      <c r="U185" s="15" t="s">
        <v>11137</v>
      </c>
      <c r="V185" s="15" t="s">
        <v>13112</v>
      </c>
      <c r="AA185" s="15" t="s">
        <v>413</v>
      </c>
      <c r="AB185" s="15" t="s">
        <v>413</v>
      </c>
      <c r="AC185" s="15" t="s">
        <v>2835</v>
      </c>
      <c r="AD185" s="15" t="s">
        <v>13172</v>
      </c>
      <c r="AE185" s="15" t="s">
        <v>2846</v>
      </c>
      <c r="AF185" s="15" t="s">
        <v>13173</v>
      </c>
      <c r="AG185" s="15" t="s">
        <v>13174</v>
      </c>
      <c r="AH185" s="15" t="s">
        <v>13175</v>
      </c>
      <c r="AI185" s="15" t="s">
        <v>13176</v>
      </c>
      <c r="AJ185" s="15" t="s">
        <v>13177</v>
      </c>
      <c r="AK185" s="15" t="s">
        <v>13178</v>
      </c>
      <c r="AL185" s="15" t="s">
        <v>13179</v>
      </c>
      <c r="AM185" s="15" t="s">
        <v>13180</v>
      </c>
      <c r="AN185" s="15" t="s">
        <v>13181</v>
      </c>
      <c r="AO185" s="15" t="s">
        <v>13182</v>
      </c>
      <c r="BH185" s="15" t="s">
        <v>2844</v>
      </c>
      <c r="BI185" s="15" t="str">
        <f>"5199"</f>
        <v>5199</v>
      </c>
      <c r="BJ185" s="15" t="str">
        <f>"2185"</f>
        <v>2185</v>
      </c>
      <c r="BK185" s="15" t="s">
        <v>709</v>
      </c>
      <c r="BL185" s="15" t="str">
        <f t="shared" si="522"/>
        <v>1</v>
      </c>
      <c r="BM185" s="15" t="s">
        <v>416</v>
      </c>
      <c r="BN185" s="15" t="str">
        <f t="shared" si="538"/>
        <v>90.94</v>
      </c>
      <c r="BO185" s="15" t="str">
        <f t="shared" si="529"/>
        <v>35.43</v>
      </c>
      <c r="BP185" s="15" t="str">
        <f t="shared" si="530"/>
        <v>31.1</v>
      </c>
      <c r="BQ185" s="15" t="str">
        <f t="shared" si="539"/>
        <v>173.5</v>
      </c>
      <c r="CG185" s="15" t="str">
        <f t="shared" si="540"/>
        <v>57.99</v>
      </c>
      <c r="CH185" s="15" t="str">
        <f t="shared" si="541"/>
        <v>1.642</v>
      </c>
      <c r="CI185" s="15" t="s">
        <v>465</v>
      </c>
      <c r="CP185" s="15" t="s">
        <v>713</v>
      </c>
      <c r="CQ185" s="15" t="s">
        <v>475</v>
      </c>
      <c r="CR185" s="15" t="s">
        <v>2399</v>
      </c>
      <c r="CS185" s="15" t="s">
        <v>2837</v>
      </c>
      <c r="CT185" s="15" t="s">
        <v>1460</v>
      </c>
      <c r="CU185" s="15" t="s">
        <v>2838</v>
      </c>
      <c r="CV185" s="15">
        <v>0.0</v>
      </c>
      <c r="CW185" s="15">
        <v>1.0</v>
      </c>
      <c r="CX185" s="15" t="s">
        <v>717</v>
      </c>
      <c r="CY185" s="15" t="s">
        <v>718</v>
      </c>
      <c r="DC185" s="15" t="s">
        <v>1066</v>
      </c>
      <c r="DF185" s="15" t="s">
        <v>721</v>
      </c>
      <c r="DG185" s="15" t="s">
        <v>419</v>
      </c>
      <c r="DH185" s="15">
        <v>0.0</v>
      </c>
      <c r="DL185" s="15">
        <v>0.0</v>
      </c>
      <c r="DM185" s="15" t="s">
        <v>990</v>
      </c>
      <c r="DN185" s="15" t="s">
        <v>723</v>
      </c>
      <c r="DO185" s="15" t="s">
        <v>724</v>
      </c>
      <c r="DP185" s="15">
        <v>2.0</v>
      </c>
      <c r="DQ185" s="15">
        <v>4.0</v>
      </c>
      <c r="DS185" s="15" t="s">
        <v>2806</v>
      </c>
      <c r="DT185" s="15">
        <v>0.0</v>
      </c>
      <c r="DU185" s="15" t="s">
        <v>588</v>
      </c>
      <c r="DV185" s="15" t="s">
        <v>2839</v>
      </c>
      <c r="DW185" s="15" t="s">
        <v>1738</v>
      </c>
      <c r="DX185" s="15" t="s">
        <v>2840</v>
      </c>
      <c r="EB185" s="15" t="s">
        <v>1069</v>
      </c>
      <c r="EF185" s="15" t="s">
        <v>2841</v>
      </c>
      <c r="EG185" s="15" t="s">
        <v>2842</v>
      </c>
      <c r="EH185" s="15" t="s">
        <v>2843</v>
      </c>
      <c r="EI185" s="15" t="s">
        <v>729</v>
      </c>
      <c r="EL185" s="15" t="s">
        <v>1016</v>
      </c>
      <c r="EM185" s="15" t="s">
        <v>1076</v>
      </c>
      <c r="EO185" s="15" t="s">
        <v>1290</v>
      </c>
      <c r="EU185" s="15" t="s">
        <v>426</v>
      </c>
      <c r="FB185" s="15" t="s">
        <v>2436</v>
      </c>
    </row>
    <row r="186" ht="17.25" customHeight="1">
      <c r="A186" s="15" t="s">
        <v>2848</v>
      </c>
      <c r="B186" s="15" t="str">
        <f>"801542156268"</f>
        <v>801542156268</v>
      </c>
      <c r="C186" s="15" t="s">
        <v>13183</v>
      </c>
      <c r="D186" s="15" t="str">
        <f t="shared" si="1"/>
        <v>Cairo SofaThames Cream</v>
      </c>
      <c r="E186" s="15" t="s">
        <v>2827</v>
      </c>
      <c r="F186" s="15" t="s">
        <v>397</v>
      </c>
      <c r="G186" s="15" t="s">
        <v>2000</v>
      </c>
      <c r="J186" s="15" t="s">
        <v>2000</v>
      </c>
      <c r="K186" s="15" t="s">
        <v>2801</v>
      </c>
      <c r="M186" s="15" t="s">
        <v>2800</v>
      </c>
      <c r="N186" s="15" t="s">
        <v>1732</v>
      </c>
      <c r="P186" s="15" t="str">
        <f t="shared" si="534"/>
        <v>90.5</v>
      </c>
      <c r="Q186" s="15" t="str">
        <f t="shared" si="535"/>
        <v>34.5</v>
      </c>
      <c r="R186" s="15" t="str">
        <f t="shared" si="536"/>
        <v>29.5</v>
      </c>
      <c r="S186" s="15" t="str">
        <f t="shared" si="537"/>
        <v>134.04</v>
      </c>
      <c r="T186" s="15" t="s">
        <v>2825</v>
      </c>
      <c r="U186" s="15" t="s">
        <v>11537</v>
      </c>
      <c r="V186" s="15" t="s">
        <v>11538</v>
      </c>
      <c r="W186" s="15" t="s">
        <v>11539</v>
      </c>
      <c r="X186" s="15" t="s">
        <v>13112</v>
      </c>
      <c r="AA186" s="15" t="s">
        <v>413</v>
      </c>
      <c r="AB186" s="15" t="s">
        <v>426</v>
      </c>
      <c r="AC186" s="15" t="s">
        <v>2850</v>
      </c>
      <c r="AD186" s="15" t="s">
        <v>13184</v>
      </c>
      <c r="AE186" s="15" t="s">
        <v>2849</v>
      </c>
      <c r="AF186" s="15" t="s">
        <v>13185</v>
      </c>
      <c r="AG186" s="15" t="s">
        <v>13186</v>
      </c>
      <c r="AH186" s="15" t="s">
        <v>13187</v>
      </c>
      <c r="AI186" s="15" t="s">
        <v>13188</v>
      </c>
      <c r="AJ186" s="15" t="s">
        <v>13189</v>
      </c>
      <c r="AK186" s="15" t="s">
        <v>13190</v>
      </c>
      <c r="AL186" s="15" t="s">
        <v>13191</v>
      </c>
      <c r="AM186" s="15" t="s">
        <v>13192</v>
      </c>
      <c r="AN186" s="15" t="s">
        <v>13193</v>
      </c>
      <c r="AO186" s="15" t="s">
        <v>13194</v>
      </c>
      <c r="BH186" s="15" t="s">
        <v>2847</v>
      </c>
      <c r="BI186" s="15" t="str">
        <f>"2799"</f>
        <v>2799</v>
      </c>
      <c r="BJ186" s="15" t="str">
        <f>"1180"</f>
        <v>1180</v>
      </c>
      <c r="BK186" s="15" t="s">
        <v>709</v>
      </c>
      <c r="BL186" s="15" t="str">
        <f t="shared" si="522"/>
        <v>1</v>
      </c>
      <c r="BM186" s="15" t="s">
        <v>416</v>
      </c>
      <c r="BN186" s="15" t="str">
        <f t="shared" si="538"/>
        <v>90.94</v>
      </c>
      <c r="BO186" s="15" t="str">
        <f t="shared" si="529"/>
        <v>35.43</v>
      </c>
      <c r="BP186" s="15" t="str">
        <f t="shared" si="530"/>
        <v>31.1</v>
      </c>
      <c r="BQ186" s="15" t="str">
        <f t="shared" si="539"/>
        <v>173.5</v>
      </c>
      <c r="CG186" s="15" t="str">
        <f t="shared" si="540"/>
        <v>57.99</v>
      </c>
      <c r="CH186" s="15" t="str">
        <f t="shared" si="541"/>
        <v>1.642</v>
      </c>
      <c r="CI186" s="15" t="s">
        <v>417</v>
      </c>
      <c r="CP186" s="15" t="s">
        <v>713</v>
      </c>
      <c r="CQ186" s="15" t="s">
        <v>475</v>
      </c>
      <c r="CR186" s="15" t="s">
        <v>2399</v>
      </c>
      <c r="CS186" s="15" t="s">
        <v>2837</v>
      </c>
      <c r="CT186" s="15" t="s">
        <v>1460</v>
      </c>
      <c r="CU186" s="15" t="s">
        <v>2838</v>
      </c>
      <c r="CV186" s="15">
        <v>0.0</v>
      </c>
      <c r="CW186" s="15">
        <v>1.0</v>
      </c>
      <c r="CX186" s="15" t="s">
        <v>717</v>
      </c>
      <c r="CY186" s="15" t="s">
        <v>855</v>
      </c>
      <c r="DC186" s="15" t="s">
        <v>1066</v>
      </c>
      <c r="DF186" s="15" t="s">
        <v>721</v>
      </c>
      <c r="DG186" s="15" t="s">
        <v>419</v>
      </c>
      <c r="DH186" s="15">
        <v>0.0</v>
      </c>
      <c r="DL186" s="15">
        <v>25000.0</v>
      </c>
      <c r="DM186" s="15" t="s">
        <v>990</v>
      </c>
      <c r="DN186" s="15" t="s">
        <v>723</v>
      </c>
      <c r="DO186" s="15" t="s">
        <v>724</v>
      </c>
      <c r="DP186" s="15">
        <v>2.0</v>
      </c>
      <c r="DQ186" s="15">
        <v>4.0</v>
      </c>
      <c r="DS186" s="15" t="s">
        <v>2806</v>
      </c>
      <c r="DT186" s="15">
        <v>0.0</v>
      </c>
      <c r="DU186" s="15" t="s">
        <v>588</v>
      </c>
      <c r="DV186" s="15" t="s">
        <v>2839</v>
      </c>
      <c r="DW186" s="15" t="s">
        <v>1738</v>
      </c>
      <c r="DX186" s="15" t="s">
        <v>2840</v>
      </c>
      <c r="EB186" s="15" t="s">
        <v>1069</v>
      </c>
      <c r="EF186" s="15" t="s">
        <v>2841</v>
      </c>
      <c r="EG186" s="15" t="s">
        <v>2842</v>
      </c>
      <c r="EH186" s="15" t="s">
        <v>2843</v>
      </c>
      <c r="EI186" s="15" t="s">
        <v>729</v>
      </c>
      <c r="EL186" s="15" t="s">
        <v>1016</v>
      </c>
      <c r="EM186" s="15" t="s">
        <v>1076</v>
      </c>
      <c r="EO186" s="15" t="s">
        <v>1290</v>
      </c>
      <c r="EU186" s="15" t="s">
        <v>426</v>
      </c>
      <c r="FB186" s="15" t="s">
        <v>2436</v>
      </c>
    </row>
    <row r="187" ht="17.25" customHeight="1">
      <c r="A187" s="15" t="s">
        <v>2854</v>
      </c>
      <c r="B187" s="15" t="str">
        <f>"801542685898"</f>
        <v>801542685898</v>
      </c>
      <c r="C187" s="15" t="s">
        <v>13195</v>
      </c>
      <c r="D187" s="15" t="str">
        <f t="shared" si="1"/>
        <v>Cameron End TableOmbre Antique Brass</v>
      </c>
      <c r="E187" s="15" t="s">
        <v>2851</v>
      </c>
      <c r="F187" s="15" t="s">
        <v>397</v>
      </c>
      <c r="G187" s="15" t="s">
        <v>2853</v>
      </c>
      <c r="J187" s="15" t="s">
        <v>2853</v>
      </c>
      <c r="M187" s="15" t="s">
        <v>2857</v>
      </c>
      <c r="N187" s="15" t="s">
        <v>1154</v>
      </c>
      <c r="P187" s="15" t="str">
        <f t="shared" ref="P187:Q187" si="542">"18"</f>
        <v>18</v>
      </c>
      <c r="Q187" s="15" t="str">
        <f t="shared" si="542"/>
        <v>18</v>
      </c>
      <c r="R187" s="15" t="str">
        <f t="shared" ref="R187:R188" si="544">"20"</f>
        <v>20</v>
      </c>
      <c r="S187" s="15" t="str">
        <f t="shared" ref="S187:S188" si="545">"19.4"</f>
        <v>19.4</v>
      </c>
      <c r="T187" s="15" t="s">
        <v>2058</v>
      </c>
      <c r="U187" s="15" t="s">
        <v>11139</v>
      </c>
      <c r="AA187" s="15" t="s">
        <v>426</v>
      </c>
      <c r="AB187" s="15" t="s">
        <v>413</v>
      </c>
      <c r="AC187" s="15" t="s">
        <v>2858</v>
      </c>
      <c r="AD187" s="15" t="s">
        <v>13196</v>
      </c>
      <c r="AE187" s="15" t="s">
        <v>2856</v>
      </c>
      <c r="AF187" s="15" t="s">
        <v>13197</v>
      </c>
      <c r="AG187" s="15" t="s">
        <v>13198</v>
      </c>
      <c r="AH187" s="15" t="s">
        <v>13199</v>
      </c>
      <c r="AI187" s="15" t="s">
        <v>13200</v>
      </c>
      <c r="BH187" s="15" t="s">
        <v>2852</v>
      </c>
      <c r="BI187" s="15" t="str">
        <f t="shared" ref="BI187:BI188" si="546">"449"</f>
        <v>449</v>
      </c>
      <c r="BJ187" s="15" t="str">
        <f t="shared" ref="BJ187:BJ188" si="547">"190"</f>
        <v>190</v>
      </c>
      <c r="BK187" s="15" t="s">
        <v>1303</v>
      </c>
      <c r="BL187" s="15" t="str">
        <f t="shared" si="522"/>
        <v>1</v>
      </c>
      <c r="BM187" s="15" t="s">
        <v>416</v>
      </c>
      <c r="BN187" s="15" t="str">
        <f t="shared" ref="BN187:BN188" si="548">"22.75"</f>
        <v>22.75</v>
      </c>
      <c r="BO187" s="15" t="str">
        <f t="shared" ref="BO187:BO188" si="549">"23.25"</f>
        <v>23.25</v>
      </c>
      <c r="BP187" s="15" t="str">
        <f t="shared" ref="BP187:BP188" si="550">"26.75"</f>
        <v>26.75</v>
      </c>
      <c r="BQ187" s="15" t="str">
        <f t="shared" ref="BQ187:BQ188" si="551">"36.38"</f>
        <v>36.38</v>
      </c>
      <c r="CG187" s="15" t="str">
        <f t="shared" ref="CG187:CG188" si="552">"8.19"</f>
        <v>8.19</v>
      </c>
      <c r="CH187" s="15" t="str">
        <f t="shared" ref="CH187:CH188" si="553">"0.232"</f>
        <v>0.232</v>
      </c>
      <c r="CI187" s="15" t="s">
        <v>497</v>
      </c>
      <c r="CZ187" s="15" t="s">
        <v>419</v>
      </c>
      <c r="DA187" s="15">
        <v>0.0</v>
      </c>
      <c r="DB187" s="15" t="s">
        <v>419</v>
      </c>
      <c r="DD187" s="15">
        <v>0.0</v>
      </c>
      <c r="DG187" s="15" t="s">
        <v>419</v>
      </c>
      <c r="DK187" s="15">
        <v>0.0</v>
      </c>
      <c r="DR187" s="15" t="s">
        <v>1157</v>
      </c>
      <c r="DS187" s="15" t="s">
        <v>2861</v>
      </c>
      <c r="DU187" s="15" t="s">
        <v>500</v>
      </c>
      <c r="EQ187" s="15" t="s">
        <v>1065</v>
      </c>
      <c r="ER187" s="15" t="s">
        <v>1324</v>
      </c>
      <c r="ES187" s="15" t="s">
        <v>1065</v>
      </c>
      <c r="ET187" s="15" t="s">
        <v>2046</v>
      </c>
      <c r="EU187" s="15" t="s">
        <v>426</v>
      </c>
      <c r="EV187" s="15">
        <v>0.0</v>
      </c>
      <c r="EW187" s="15">
        <v>0.0</v>
      </c>
    </row>
    <row r="188" ht="17.25" customHeight="1">
      <c r="A188" s="15" t="s">
        <v>2863</v>
      </c>
      <c r="B188" s="15" t="str">
        <f>"801542509125"</f>
        <v>801542509125</v>
      </c>
      <c r="C188" s="15" t="s">
        <v>13201</v>
      </c>
      <c r="D188" s="15" t="str">
        <f t="shared" si="1"/>
        <v>Cameron End TableOmbre Antique Pewter</v>
      </c>
      <c r="E188" s="15" t="s">
        <v>2851</v>
      </c>
      <c r="F188" s="15" t="s">
        <v>397</v>
      </c>
      <c r="G188" s="15" t="s">
        <v>2559</v>
      </c>
      <c r="J188" s="15" t="s">
        <v>2559</v>
      </c>
      <c r="M188" s="15" t="s">
        <v>2857</v>
      </c>
      <c r="N188" s="15" t="s">
        <v>1154</v>
      </c>
      <c r="P188" s="15" t="str">
        <f t="shared" ref="P188:Q188" si="543">"18"</f>
        <v>18</v>
      </c>
      <c r="Q188" s="15" t="str">
        <f t="shared" si="543"/>
        <v>18</v>
      </c>
      <c r="R188" s="15" t="str">
        <f t="shared" si="544"/>
        <v>20</v>
      </c>
      <c r="S188" s="15" t="str">
        <f t="shared" si="545"/>
        <v>19.4</v>
      </c>
      <c r="T188" s="15" t="s">
        <v>2058</v>
      </c>
      <c r="U188" s="15" t="s">
        <v>11139</v>
      </c>
      <c r="AA188" s="15" t="s">
        <v>413</v>
      </c>
      <c r="AB188" s="15" t="s">
        <v>413</v>
      </c>
      <c r="AC188" s="15" t="s">
        <v>2865</v>
      </c>
      <c r="AD188" s="15" t="s">
        <v>13202</v>
      </c>
      <c r="AE188" s="15" t="s">
        <v>2864</v>
      </c>
      <c r="AF188" s="15" t="s">
        <v>13203</v>
      </c>
      <c r="AG188" s="15" t="s">
        <v>13204</v>
      </c>
      <c r="AH188" s="15" t="s">
        <v>13205</v>
      </c>
      <c r="AI188" s="15" t="s">
        <v>13206</v>
      </c>
      <c r="AJ188" s="15" t="s">
        <v>13207</v>
      </c>
      <c r="AK188" s="15" t="s">
        <v>13208</v>
      </c>
      <c r="AL188" s="15" t="s">
        <v>13209</v>
      </c>
      <c r="AM188" s="15" t="s">
        <v>13210</v>
      </c>
      <c r="BH188" s="15" t="s">
        <v>2862</v>
      </c>
      <c r="BI188" s="15" t="str">
        <f t="shared" si="546"/>
        <v>449</v>
      </c>
      <c r="BJ188" s="15" t="str">
        <f t="shared" si="547"/>
        <v>190</v>
      </c>
      <c r="BK188" s="15" t="s">
        <v>1303</v>
      </c>
      <c r="BL188" s="15" t="str">
        <f t="shared" si="522"/>
        <v>1</v>
      </c>
      <c r="BM188" s="15" t="s">
        <v>416</v>
      </c>
      <c r="BN188" s="15" t="str">
        <f t="shared" si="548"/>
        <v>22.75</v>
      </c>
      <c r="BO188" s="15" t="str">
        <f t="shared" si="549"/>
        <v>23.25</v>
      </c>
      <c r="BP188" s="15" t="str">
        <f t="shared" si="550"/>
        <v>26.75</v>
      </c>
      <c r="BQ188" s="15" t="str">
        <f t="shared" si="551"/>
        <v>36.38</v>
      </c>
      <c r="CG188" s="15" t="str">
        <f t="shared" si="552"/>
        <v>8.19</v>
      </c>
      <c r="CH188" s="15" t="str">
        <f t="shared" si="553"/>
        <v>0.232</v>
      </c>
      <c r="CI188" s="15" t="s">
        <v>465</v>
      </c>
      <c r="CZ188" s="15" t="s">
        <v>419</v>
      </c>
      <c r="DA188" s="15">
        <v>0.0</v>
      </c>
      <c r="DB188" s="15" t="s">
        <v>419</v>
      </c>
      <c r="DD188" s="15">
        <v>0.0</v>
      </c>
      <c r="DG188" s="15" t="s">
        <v>419</v>
      </c>
      <c r="DK188" s="15">
        <v>0.0</v>
      </c>
      <c r="DR188" s="15" t="s">
        <v>1157</v>
      </c>
      <c r="DS188" s="15" t="s">
        <v>2861</v>
      </c>
      <c r="DU188" s="15" t="s">
        <v>500</v>
      </c>
      <c r="EQ188" s="15" t="s">
        <v>1065</v>
      </c>
      <c r="ER188" s="15" t="s">
        <v>1324</v>
      </c>
      <c r="ES188" s="15" t="s">
        <v>1065</v>
      </c>
      <c r="ET188" s="15" t="s">
        <v>2046</v>
      </c>
      <c r="EU188" s="15" t="s">
        <v>426</v>
      </c>
      <c r="EV188" s="15">
        <v>0.0</v>
      </c>
      <c r="EW188" s="15">
        <v>0.0</v>
      </c>
    </row>
    <row r="189" ht="17.25" customHeight="1">
      <c r="A189" s="15" t="s">
        <v>2869</v>
      </c>
      <c r="B189" s="15" t="str">
        <f>"801542954888"</f>
        <v>801542954888</v>
      </c>
      <c r="C189" s="15" t="s">
        <v>13211</v>
      </c>
      <c r="D189" s="15" t="str">
        <f t="shared" si="1"/>
        <v>Carlisle 6 Drawer DresserNatural Oak</v>
      </c>
      <c r="E189" s="15" t="s">
        <v>2866</v>
      </c>
      <c r="F189" s="15" t="s">
        <v>397</v>
      </c>
      <c r="G189" s="15" t="s">
        <v>2868</v>
      </c>
      <c r="J189" s="15" t="s">
        <v>2868</v>
      </c>
      <c r="M189" s="15" t="s">
        <v>2875</v>
      </c>
      <c r="N189" s="15" t="s">
        <v>412</v>
      </c>
      <c r="P189" s="15" t="str">
        <f>"62"</f>
        <v>62</v>
      </c>
      <c r="Q189" s="15" t="str">
        <f t="shared" ref="Q189:Q192" si="554">"18"</f>
        <v>18</v>
      </c>
      <c r="R189" s="15" t="str">
        <f>"30"</f>
        <v>30</v>
      </c>
      <c r="S189" s="15" t="str">
        <f>"187.83"</f>
        <v>187.83</v>
      </c>
      <c r="T189" s="15" t="s">
        <v>2872</v>
      </c>
      <c r="U189" s="15" t="s">
        <v>11338</v>
      </c>
      <c r="AA189" s="15" t="s">
        <v>413</v>
      </c>
      <c r="AB189" s="15" t="s">
        <v>413</v>
      </c>
      <c r="AC189" s="15" t="s">
        <v>2876</v>
      </c>
      <c r="AD189" s="15" t="s">
        <v>13212</v>
      </c>
      <c r="AE189" s="15" t="s">
        <v>2871</v>
      </c>
      <c r="AF189" s="15" t="s">
        <v>13213</v>
      </c>
      <c r="AG189" s="15" t="s">
        <v>13214</v>
      </c>
      <c r="AH189" s="15" t="s">
        <v>13215</v>
      </c>
      <c r="AI189" s="15" t="s">
        <v>13216</v>
      </c>
      <c r="AJ189" s="15" t="s">
        <v>13217</v>
      </c>
      <c r="AK189" s="15" t="s">
        <v>13218</v>
      </c>
      <c r="AL189" s="15" t="s">
        <v>13219</v>
      </c>
      <c r="AM189" s="15" t="s">
        <v>13220</v>
      </c>
      <c r="AN189" s="15" t="s">
        <v>13221</v>
      </c>
      <c r="AO189" s="15" t="s">
        <v>13222</v>
      </c>
      <c r="AP189" s="15" t="s">
        <v>13223</v>
      </c>
      <c r="AQ189" s="15" t="s">
        <v>13224</v>
      </c>
      <c r="AR189" s="15" t="s">
        <v>13225</v>
      </c>
      <c r="AS189" s="15" t="s">
        <v>13226</v>
      </c>
      <c r="BH189" s="15" t="s">
        <v>2867</v>
      </c>
      <c r="BI189" s="15" t="str">
        <f>"1999"</f>
        <v>1999</v>
      </c>
      <c r="BJ189" s="15" t="str">
        <f>"840"</f>
        <v>840</v>
      </c>
      <c r="BK189" s="15" t="s">
        <v>1303</v>
      </c>
      <c r="BL189" s="15" t="str">
        <f t="shared" si="522"/>
        <v>1</v>
      </c>
      <c r="BM189" s="15" t="s">
        <v>416</v>
      </c>
      <c r="BN189" s="15" t="str">
        <f>"65.25"</f>
        <v>65.25</v>
      </c>
      <c r="BO189" s="15" t="str">
        <f>"21.75"</f>
        <v>21.75</v>
      </c>
      <c r="BP189" s="15" t="str">
        <f>"24.5"</f>
        <v>24.5</v>
      </c>
      <c r="BQ189" s="15" t="str">
        <f>"207.45"</f>
        <v>207.45</v>
      </c>
      <c r="CG189" s="15" t="str">
        <f>"20.13"</f>
        <v>20.13</v>
      </c>
      <c r="CH189" s="15" t="str">
        <f>"0.57"</f>
        <v>0.57</v>
      </c>
      <c r="CI189" s="15" t="s">
        <v>417</v>
      </c>
      <c r="CZ189" s="15" t="s">
        <v>1371</v>
      </c>
      <c r="DA189" s="15">
        <v>6.0</v>
      </c>
      <c r="DB189" s="15" t="s">
        <v>2604</v>
      </c>
      <c r="DD189" s="15">
        <v>0.0</v>
      </c>
      <c r="DF189" s="15" t="s">
        <v>1111</v>
      </c>
      <c r="DG189" s="15" t="s">
        <v>421</v>
      </c>
      <c r="DK189" s="15">
        <v>0.0</v>
      </c>
      <c r="DR189" s="15" t="s">
        <v>422</v>
      </c>
      <c r="DS189" s="15" t="s">
        <v>2880</v>
      </c>
      <c r="DU189" s="15" t="s">
        <v>500</v>
      </c>
      <c r="EF189" s="15" t="s">
        <v>475</v>
      </c>
      <c r="EU189" s="15" t="s">
        <v>426</v>
      </c>
      <c r="EV189" s="15">
        <v>0.0</v>
      </c>
      <c r="FQ189" s="15">
        <v>0.0</v>
      </c>
      <c r="FR189" s="15" t="s">
        <v>427</v>
      </c>
      <c r="FX189" s="15" t="s">
        <v>426</v>
      </c>
      <c r="FZ189" s="15" t="s">
        <v>1459</v>
      </c>
      <c r="GA189" s="15" t="s">
        <v>1459</v>
      </c>
      <c r="GB189" s="15" t="s">
        <v>2881</v>
      </c>
      <c r="GC189" s="15" t="s">
        <v>1132</v>
      </c>
      <c r="GD189" s="15" t="s">
        <v>2017</v>
      </c>
      <c r="GE189" s="15" t="s">
        <v>2017</v>
      </c>
      <c r="GF189" s="15" t="s">
        <v>838</v>
      </c>
      <c r="GG189" s="15" t="s">
        <v>426</v>
      </c>
      <c r="GH189" s="15" t="s">
        <v>764</v>
      </c>
      <c r="GI189" s="15" t="s">
        <v>426</v>
      </c>
    </row>
    <row r="190" ht="17.25" customHeight="1">
      <c r="A190" s="15" t="s">
        <v>2884</v>
      </c>
      <c r="B190" s="15" t="str">
        <f>"801542811969"</f>
        <v>801542811969</v>
      </c>
      <c r="C190" s="15" t="s">
        <v>13227</v>
      </c>
      <c r="D190" s="15" t="str">
        <f t="shared" si="1"/>
        <v>Carmel Small CabinetBlack Wash</v>
      </c>
      <c r="E190" s="15" t="s">
        <v>2882</v>
      </c>
      <c r="F190" s="15" t="s">
        <v>397</v>
      </c>
      <c r="G190" s="15" t="s">
        <v>2746</v>
      </c>
      <c r="J190" s="15" t="s">
        <v>2746</v>
      </c>
      <c r="K190" s="15" t="s">
        <v>2889</v>
      </c>
      <c r="L190" s="15" t="s">
        <v>2890</v>
      </c>
      <c r="M190" s="15" t="s">
        <v>2888</v>
      </c>
      <c r="N190" s="15" t="s">
        <v>2891</v>
      </c>
      <c r="P190" s="15" t="str">
        <f t="shared" ref="P190:P192" si="555">"35"</f>
        <v>35</v>
      </c>
      <c r="Q190" s="15" t="str">
        <f t="shared" si="554"/>
        <v>18</v>
      </c>
      <c r="R190" s="15" t="str">
        <f t="shared" ref="R190:R192" si="556">"32"</f>
        <v>32</v>
      </c>
      <c r="S190" s="15" t="str">
        <f t="shared" ref="S190:S192" si="557">"85.76"</f>
        <v>85.76</v>
      </c>
      <c r="T190" s="15" t="s">
        <v>2887</v>
      </c>
      <c r="U190" s="15" t="s">
        <v>13228</v>
      </c>
      <c r="V190" s="15" t="s">
        <v>11358</v>
      </c>
      <c r="W190" s="15" t="s">
        <v>11139</v>
      </c>
      <c r="AA190" s="15" t="s">
        <v>413</v>
      </c>
      <c r="AB190" s="15" t="s">
        <v>413</v>
      </c>
      <c r="AC190" s="15" t="s">
        <v>2892</v>
      </c>
      <c r="AD190" s="15" t="s">
        <v>13229</v>
      </c>
      <c r="AE190" s="15" t="s">
        <v>2886</v>
      </c>
      <c r="AF190" s="15" t="s">
        <v>13230</v>
      </c>
      <c r="AG190" s="15" t="s">
        <v>13231</v>
      </c>
      <c r="AH190" s="15" t="s">
        <v>13232</v>
      </c>
      <c r="AI190" s="15" t="s">
        <v>13233</v>
      </c>
      <c r="AJ190" s="15" t="s">
        <v>13234</v>
      </c>
      <c r="AK190" s="15" t="s">
        <v>13235</v>
      </c>
      <c r="AL190" s="15" t="s">
        <v>13236</v>
      </c>
      <c r="AM190" s="15" t="s">
        <v>13237</v>
      </c>
      <c r="AN190" s="15" t="s">
        <v>13238</v>
      </c>
      <c r="AO190" s="15" t="s">
        <v>13239</v>
      </c>
      <c r="AP190" s="15" t="s">
        <v>13240</v>
      </c>
      <c r="AQ190" s="15" t="s">
        <v>13241</v>
      </c>
      <c r="BH190" s="15" t="s">
        <v>2883</v>
      </c>
      <c r="BI190" s="15" t="str">
        <f t="shared" ref="BI190:BI192" si="558">"1199"</f>
        <v>1199</v>
      </c>
      <c r="BJ190" s="15" t="str">
        <f t="shared" ref="BJ190:BJ192" si="559">"505"</f>
        <v>505</v>
      </c>
      <c r="BK190" s="15" t="s">
        <v>1303</v>
      </c>
      <c r="BL190" s="15" t="str">
        <f t="shared" si="522"/>
        <v>1</v>
      </c>
      <c r="BM190" s="15" t="s">
        <v>416</v>
      </c>
      <c r="BN190" s="15" t="str">
        <f t="shared" ref="BN190:BN192" si="560">"38.5"</f>
        <v>38.5</v>
      </c>
      <c r="BO190" s="15" t="str">
        <f t="shared" ref="BO190:BO192" si="561">"21.5"</f>
        <v>21.5</v>
      </c>
      <c r="BP190" s="15" t="str">
        <f t="shared" ref="BP190:BP192" si="562">"32.5"</f>
        <v>32.5</v>
      </c>
      <c r="BQ190" s="15" t="str">
        <f t="shared" ref="BQ190:BQ192" si="563">"98.9"</f>
        <v>98.9</v>
      </c>
      <c r="CG190" s="15" t="str">
        <f t="shared" ref="CG190:CG192" si="564">"15.57"</f>
        <v>15.57</v>
      </c>
      <c r="CH190" s="15" t="str">
        <f t="shared" ref="CH190:CH192" si="565">"0.441"</f>
        <v>0.441</v>
      </c>
      <c r="CI190" s="15" t="s">
        <v>465</v>
      </c>
      <c r="CM190" s="15" t="s">
        <v>1161</v>
      </c>
      <c r="CN190" s="15" t="s">
        <v>2895</v>
      </c>
      <c r="CO190" s="15" t="s">
        <v>2896</v>
      </c>
      <c r="CZ190" s="15" t="s">
        <v>419</v>
      </c>
      <c r="DA190" s="15">
        <v>0.0</v>
      </c>
      <c r="DB190" s="15" t="s">
        <v>419</v>
      </c>
      <c r="DD190" s="15">
        <v>0.0</v>
      </c>
      <c r="DF190" s="15" t="s">
        <v>1111</v>
      </c>
      <c r="DG190" s="15" t="s">
        <v>610</v>
      </c>
      <c r="DI190" s="15">
        <v>18.14</v>
      </c>
      <c r="DJ190" s="15">
        <v>40.0</v>
      </c>
      <c r="DK190" s="15">
        <v>2.0</v>
      </c>
      <c r="DR190" s="15" t="s">
        <v>1906</v>
      </c>
      <c r="DS190" s="15" t="s">
        <v>2897</v>
      </c>
      <c r="EF190" s="15" t="s">
        <v>762</v>
      </c>
      <c r="EU190" s="15" t="s">
        <v>426</v>
      </c>
      <c r="EV190" s="15">
        <v>2.0</v>
      </c>
      <c r="FH190" s="15" t="s">
        <v>1234</v>
      </c>
      <c r="FI190" s="15" t="s">
        <v>1188</v>
      </c>
      <c r="FJ190" s="15" t="s">
        <v>2896</v>
      </c>
      <c r="FK190" s="15" t="s">
        <v>504</v>
      </c>
      <c r="FL190" s="15" t="s">
        <v>1512</v>
      </c>
      <c r="FM190" s="15" t="s">
        <v>669</v>
      </c>
      <c r="FN190" s="15">
        <v>0.0</v>
      </c>
      <c r="FO190" s="15" t="s">
        <v>426</v>
      </c>
      <c r="FP190" s="15" t="s">
        <v>785</v>
      </c>
      <c r="FQ190" s="15">
        <v>2.0</v>
      </c>
      <c r="FR190" s="15" t="s">
        <v>614</v>
      </c>
      <c r="FS190" s="15" t="s">
        <v>1045</v>
      </c>
      <c r="FT190" s="15">
        <v>0.0</v>
      </c>
      <c r="FU190" s="15" t="s">
        <v>426</v>
      </c>
      <c r="FV190" s="15" t="s">
        <v>2898</v>
      </c>
      <c r="FW190" s="15" t="s">
        <v>616</v>
      </c>
      <c r="FY190" s="15">
        <v>0.0</v>
      </c>
      <c r="GJ190" s="15" t="s">
        <v>1161</v>
      </c>
      <c r="GK190" s="15" t="s">
        <v>2895</v>
      </c>
      <c r="GL190" s="15" t="s">
        <v>2896</v>
      </c>
      <c r="HF190" s="15" t="s">
        <v>2899</v>
      </c>
      <c r="HQ190" s="15" t="s">
        <v>426</v>
      </c>
    </row>
    <row r="191" ht="17.25" customHeight="1">
      <c r="A191" s="15" t="s">
        <v>2902</v>
      </c>
      <c r="B191" s="15" t="str">
        <f>"801542024284"</f>
        <v>801542024284</v>
      </c>
      <c r="C191" s="15" t="s">
        <v>13242</v>
      </c>
      <c r="D191" s="15" t="str">
        <f t="shared" si="1"/>
        <v>Carmel Small CabinetBrown Wash</v>
      </c>
      <c r="E191" s="15" t="s">
        <v>2882</v>
      </c>
      <c r="F191" s="15" t="s">
        <v>397</v>
      </c>
      <c r="G191" s="15" t="s">
        <v>2901</v>
      </c>
      <c r="J191" s="15" t="s">
        <v>2901</v>
      </c>
      <c r="K191" s="15" t="s">
        <v>2904</v>
      </c>
      <c r="L191" s="15" t="s">
        <v>2890</v>
      </c>
      <c r="M191" s="15" t="s">
        <v>2888</v>
      </c>
      <c r="N191" s="15" t="s">
        <v>2891</v>
      </c>
      <c r="P191" s="15" t="str">
        <f t="shared" si="555"/>
        <v>35</v>
      </c>
      <c r="Q191" s="15" t="str">
        <f t="shared" si="554"/>
        <v>18</v>
      </c>
      <c r="R191" s="15" t="str">
        <f t="shared" si="556"/>
        <v>32</v>
      </c>
      <c r="S191" s="15" t="str">
        <f t="shared" si="557"/>
        <v>85.76</v>
      </c>
      <c r="T191" s="15" t="s">
        <v>2887</v>
      </c>
      <c r="U191" s="15" t="s">
        <v>13228</v>
      </c>
      <c r="V191" s="15" t="s">
        <v>11358</v>
      </c>
      <c r="W191" s="15" t="s">
        <v>11139</v>
      </c>
      <c r="AA191" s="15" t="s">
        <v>413</v>
      </c>
      <c r="AB191" s="15" t="s">
        <v>413</v>
      </c>
      <c r="AC191" s="15" t="s">
        <v>2905</v>
      </c>
      <c r="AD191" s="15" t="s">
        <v>13243</v>
      </c>
      <c r="AE191" s="15" t="s">
        <v>2903</v>
      </c>
      <c r="AF191" s="15" t="s">
        <v>13244</v>
      </c>
      <c r="AG191" s="15" t="s">
        <v>13245</v>
      </c>
      <c r="AH191" s="15" t="s">
        <v>13246</v>
      </c>
      <c r="AI191" s="15" t="s">
        <v>13247</v>
      </c>
      <c r="AJ191" s="15" t="s">
        <v>13248</v>
      </c>
      <c r="AK191" s="15" t="s">
        <v>13249</v>
      </c>
      <c r="AL191" s="15" t="s">
        <v>13250</v>
      </c>
      <c r="AM191" s="15" t="s">
        <v>13251</v>
      </c>
      <c r="AN191" s="15" t="s">
        <v>13252</v>
      </c>
      <c r="AO191" s="15" t="s">
        <v>13253</v>
      </c>
      <c r="AP191" s="15" t="s">
        <v>13254</v>
      </c>
      <c r="AQ191" s="15" t="s">
        <v>13255</v>
      </c>
      <c r="AR191" s="15" t="s">
        <v>13256</v>
      </c>
      <c r="BH191" s="15" t="s">
        <v>2900</v>
      </c>
      <c r="BI191" s="15" t="str">
        <f t="shared" si="558"/>
        <v>1199</v>
      </c>
      <c r="BJ191" s="15" t="str">
        <f t="shared" si="559"/>
        <v>505</v>
      </c>
      <c r="BK191" s="15" t="s">
        <v>1303</v>
      </c>
      <c r="BL191" s="15" t="str">
        <f t="shared" si="522"/>
        <v>1</v>
      </c>
      <c r="BM191" s="15" t="s">
        <v>416</v>
      </c>
      <c r="BN191" s="15" t="str">
        <f t="shared" si="560"/>
        <v>38.5</v>
      </c>
      <c r="BO191" s="15" t="str">
        <f t="shared" si="561"/>
        <v>21.5</v>
      </c>
      <c r="BP191" s="15" t="str">
        <f t="shared" si="562"/>
        <v>32.5</v>
      </c>
      <c r="BQ191" s="15" t="str">
        <f t="shared" si="563"/>
        <v>98.9</v>
      </c>
      <c r="CG191" s="15" t="str">
        <f t="shared" si="564"/>
        <v>15.57</v>
      </c>
      <c r="CH191" s="15" t="str">
        <f t="shared" si="565"/>
        <v>0.441</v>
      </c>
      <c r="CI191" s="15" t="s">
        <v>465</v>
      </c>
      <c r="CM191" s="15" t="s">
        <v>1161</v>
      </c>
      <c r="CN191" s="15" t="s">
        <v>2895</v>
      </c>
      <c r="CO191" s="15" t="s">
        <v>2896</v>
      </c>
      <c r="CZ191" s="15" t="s">
        <v>419</v>
      </c>
      <c r="DA191" s="15">
        <v>0.0</v>
      </c>
      <c r="DB191" s="15" t="s">
        <v>419</v>
      </c>
      <c r="DD191" s="15">
        <v>0.0</v>
      </c>
      <c r="DF191" s="15" t="s">
        <v>1111</v>
      </c>
      <c r="DG191" s="15" t="s">
        <v>610</v>
      </c>
      <c r="DI191" s="15">
        <v>18.14</v>
      </c>
      <c r="DJ191" s="15">
        <v>40.0</v>
      </c>
      <c r="DK191" s="15">
        <v>2.0</v>
      </c>
      <c r="DR191" s="15" t="s">
        <v>1906</v>
      </c>
      <c r="DS191" s="15" t="s">
        <v>2897</v>
      </c>
      <c r="EF191" s="15" t="s">
        <v>762</v>
      </c>
      <c r="EU191" s="15" t="s">
        <v>426</v>
      </c>
      <c r="EV191" s="15">
        <v>2.0</v>
      </c>
      <c r="FH191" s="15" t="s">
        <v>1234</v>
      </c>
      <c r="FI191" s="15" t="s">
        <v>1188</v>
      </c>
      <c r="FJ191" s="15" t="s">
        <v>2896</v>
      </c>
      <c r="FK191" s="15" t="s">
        <v>504</v>
      </c>
      <c r="FL191" s="15" t="s">
        <v>1512</v>
      </c>
      <c r="FM191" s="15" t="s">
        <v>669</v>
      </c>
      <c r="FN191" s="15">
        <v>0.0</v>
      </c>
      <c r="FO191" s="15" t="s">
        <v>426</v>
      </c>
      <c r="FP191" s="15" t="s">
        <v>785</v>
      </c>
      <c r="FQ191" s="15">
        <v>2.0</v>
      </c>
      <c r="FR191" s="15" t="s">
        <v>614</v>
      </c>
      <c r="FS191" s="15" t="s">
        <v>1045</v>
      </c>
      <c r="FT191" s="15">
        <v>0.0</v>
      </c>
      <c r="FU191" s="15" t="s">
        <v>426</v>
      </c>
      <c r="FV191" s="15" t="s">
        <v>2898</v>
      </c>
      <c r="FW191" s="15" t="s">
        <v>616</v>
      </c>
      <c r="FY191" s="15">
        <v>0.0</v>
      </c>
      <c r="GJ191" s="15" t="s">
        <v>1161</v>
      </c>
      <c r="GK191" s="15" t="s">
        <v>2895</v>
      </c>
      <c r="GL191" s="15" t="s">
        <v>2896</v>
      </c>
      <c r="HF191" s="15" t="s">
        <v>2899</v>
      </c>
      <c r="HQ191" s="15" t="s">
        <v>426</v>
      </c>
    </row>
    <row r="192" ht="17.25" customHeight="1">
      <c r="A192" s="15" t="s">
        <v>2908</v>
      </c>
      <c r="B192" s="15" t="str">
        <f>"801542441845"</f>
        <v>801542441845</v>
      </c>
      <c r="C192" s="15" t="s">
        <v>13257</v>
      </c>
      <c r="D192" s="15" t="str">
        <f t="shared" si="1"/>
        <v>Carmel Small CabinetNatural Mango</v>
      </c>
      <c r="E192" s="15" t="s">
        <v>2882</v>
      </c>
      <c r="F192" s="15" t="s">
        <v>397</v>
      </c>
      <c r="G192" s="15" t="s">
        <v>2907</v>
      </c>
      <c r="J192" s="15" t="s">
        <v>2907</v>
      </c>
      <c r="K192" s="15" t="s">
        <v>2910</v>
      </c>
      <c r="L192" s="15" t="s">
        <v>2890</v>
      </c>
      <c r="M192" s="15" t="s">
        <v>2888</v>
      </c>
      <c r="N192" s="15" t="s">
        <v>2891</v>
      </c>
      <c r="P192" s="15" t="str">
        <f t="shared" si="555"/>
        <v>35</v>
      </c>
      <c r="Q192" s="15" t="str">
        <f t="shared" si="554"/>
        <v>18</v>
      </c>
      <c r="R192" s="15" t="str">
        <f t="shared" si="556"/>
        <v>32</v>
      </c>
      <c r="S192" s="15" t="str">
        <f t="shared" si="557"/>
        <v>85.76</v>
      </c>
      <c r="T192" s="15" t="s">
        <v>2887</v>
      </c>
      <c r="U192" s="15" t="s">
        <v>13228</v>
      </c>
      <c r="V192" s="15" t="s">
        <v>11358</v>
      </c>
      <c r="W192" s="15" t="s">
        <v>11139</v>
      </c>
      <c r="AA192" s="15" t="s">
        <v>413</v>
      </c>
      <c r="AB192" s="15" t="s">
        <v>413</v>
      </c>
      <c r="AC192" s="15" t="s">
        <v>2911</v>
      </c>
      <c r="AD192" s="15" t="s">
        <v>13258</v>
      </c>
      <c r="AE192" s="15" t="s">
        <v>2909</v>
      </c>
      <c r="AF192" s="15" t="s">
        <v>13259</v>
      </c>
      <c r="AG192" s="15" t="s">
        <v>13260</v>
      </c>
      <c r="AH192" s="15" t="s">
        <v>13261</v>
      </c>
      <c r="AI192" s="15" t="s">
        <v>13262</v>
      </c>
      <c r="AJ192" s="15" t="s">
        <v>13263</v>
      </c>
      <c r="AK192" s="15" t="s">
        <v>13264</v>
      </c>
      <c r="AL192" s="15" t="s">
        <v>13265</v>
      </c>
      <c r="AM192" s="15" t="s">
        <v>13266</v>
      </c>
      <c r="AN192" s="15" t="s">
        <v>13267</v>
      </c>
      <c r="AO192" s="15" t="s">
        <v>13268</v>
      </c>
      <c r="AP192" s="15" t="s">
        <v>13269</v>
      </c>
      <c r="AQ192" s="15" t="s">
        <v>13270</v>
      </c>
      <c r="BH192" s="15" t="s">
        <v>2906</v>
      </c>
      <c r="BI192" s="15" t="str">
        <f t="shared" si="558"/>
        <v>1199</v>
      </c>
      <c r="BJ192" s="15" t="str">
        <f t="shared" si="559"/>
        <v>505</v>
      </c>
      <c r="BK192" s="15" t="s">
        <v>1303</v>
      </c>
      <c r="BL192" s="15" t="str">
        <f t="shared" si="522"/>
        <v>1</v>
      </c>
      <c r="BM192" s="15" t="s">
        <v>416</v>
      </c>
      <c r="BN192" s="15" t="str">
        <f t="shared" si="560"/>
        <v>38.5</v>
      </c>
      <c r="BO192" s="15" t="str">
        <f t="shared" si="561"/>
        <v>21.5</v>
      </c>
      <c r="BP192" s="15" t="str">
        <f t="shared" si="562"/>
        <v>32.5</v>
      </c>
      <c r="BQ192" s="15" t="str">
        <f t="shared" si="563"/>
        <v>98.9</v>
      </c>
      <c r="CG192" s="15" t="str">
        <f t="shared" si="564"/>
        <v>15.57</v>
      </c>
      <c r="CH192" s="15" t="str">
        <f t="shared" si="565"/>
        <v>0.441</v>
      </c>
      <c r="CI192" s="15" t="s">
        <v>465</v>
      </c>
      <c r="CM192" s="15" t="s">
        <v>1161</v>
      </c>
      <c r="CN192" s="15" t="s">
        <v>2895</v>
      </c>
      <c r="CO192" s="15" t="s">
        <v>2896</v>
      </c>
      <c r="CZ192" s="15" t="s">
        <v>419</v>
      </c>
      <c r="DA192" s="15">
        <v>0.0</v>
      </c>
      <c r="DB192" s="15" t="s">
        <v>419</v>
      </c>
      <c r="DD192" s="15">
        <v>0.0</v>
      </c>
      <c r="DF192" s="15" t="s">
        <v>1111</v>
      </c>
      <c r="DG192" s="15" t="s">
        <v>610</v>
      </c>
      <c r="DI192" s="15">
        <v>18.14</v>
      </c>
      <c r="DJ192" s="15">
        <v>40.0</v>
      </c>
      <c r="DK192" s="15">
        <v>2.0</v>
      </c>
      <c r="DR192" s="15" t="s">
        <v>1906</v>
      </c>
      <c r="DS192" s="15" t="s">
        <v>2897</v>
      </c>
      <c r="EF192" s="15" t="s">
        <v>762</v>
      </c>
      <c r="EU192" s="15" t="s">
        <v>426</v>
      </c>
      <c r="EV192" s="15">
        <v>2.0</v>
      </c>
      <c r="FH192" s="15" t="s">
        <v>1234</v>
      </c>
      <c r="FI192" s="15" t="s">
        <v>1188</v>
      </c>
      <c r="FJ192" s="15" t="s">
        <v>2896</v>
      </c>
      <c r="FK192" s="15" t="s">
        <v>504</v>
      </c>
      <c r="FL192" s="15" t="s">
        <v>1512</v>
      </c>
      <c r="FM192" s="15" t="s">
        <v>669</v>
      </c>
      <c r="FN192" s="15">
        <v>0.0</v>
      </c>
      <c r="FO192" s="15" t="s">
        <v>426</v>
      </c>
      <c r="FP192" s="15" t="s">
        <v>785</v>
      </c>
      <c r="FQ192" s="15">
        <v>2.0</v>
      </c>
      <c r="FR192" s="15" t="s">
        <v>614</v>
      </c>
      <c r="FS192" s="15" t="s">
        <v>1045</v>
      </c>
      <c r="FT192" s="15">
        <v>0.0</v>
      </c>
      <c r="FU192" s="15" t="s">
        <v>426</v>
      </c>
      <c r="FV192" s="15" t="s">
        <v>2898</v>
      </c>
      <c r="FW192" s="15" t="s">
        <v>616</v>
      </c>
      <c r="FY192" s="15">
        <v>0.0</v>
      </c>
      <c r="GJ192" s="15" t="s">
        <v>1161</v>
      </c>
      <c r="GK192" s="15" t="s">
        <v>2895</v>
      </c>
      <c r="GL192" s="15" t="s">
        <v>2896</v>
      </c>
      <c r="HF192" s="15" t="s">
        <v>2899</v>
      </c>
      <c r="HQ192" s="15" t="s">
        <v>426</v>
      </c>
    </row>
    <row r="193" ht="17.25" customHeight="1">
      <c r="A193" s="15" t="s">
        <v>2917</v>
      </c>
      <c r="B193" s="15" t="str">
        <f>"801542736668"</f>
        <v>801542736668</v>
      </c>
      <c r="C193" s="15" t="s">
        <v>13271</v>
      </c>
      <c r="D193" s="15" t="str">
        <f t="shared" si="1"/>
        <v>Carmela ChaiseCarbon BlackLeft Chaise</v>
      </c>
      <c r="E193" s="15" t="s">
        <v>2912</v>
      </c>
      <c r="F193" s="15" t="s">
        <v>397</v>
      </c>
      <c r="G193" s="15" t="s">
        <v>2914</v>
      </c>
      <c r="H193" s="15" t="s">
        <v>2915</v>
      </c>
      <c r="I193" s="15" t="s">
        <v>2916</v>
      </c>
      <c r="J193" s="15" t="s">
        <v>2923</v>
      </c>
      <c r="K193" s="15" t="s">
        <v>2914</v>
      </c>
      <c r="M193" s="15" t="s">
        <v>1628</v>
      </c>
      <c r="N193" s="15" t="s">
        <v>1226</v>
      </c>
      <c r="P193" s="15" t="str">
        <f t="shared" ref="P193:P194" si="566">"77"</f>
        <v>77</v>
      </c>
      <c r="Q193" s="15" t="str">
        <f t="shared" ref="Q193:Q194" si="567">"34"</f>
        <v>34</v>
      </c>
      <c r="R193" s="15" t="str">
        <f t="shared" ref="R193:R194" si="568">"27"</f>
        <v>27</v>
      </c>
      <c r="S193" s="15" t="str">
        <f t="shared" ref="S193:S194" si="569">"88.18"</f>
        <v>88.18</v>
      </c>
      <c r="T193" s="15" t="s">
        <v>2920</v>
      </c>
      <c r="U193" s="15" t="s">
        <v>13272</v>
      </c>
      <c r="V193" s="15" t="s">
        <v>13273</v>
      </c>
      <c r="W193" s="15" t="s">
        <v>12535</v>
      </c>
      <c r="AA193" s="15" t="s">
        <v>413</v>
      </c>
      <c r="AB193" s="15" t="s">
        <v>426</v>
      </c>
      <c r="AC193" s="15" t="s">
        <v>2924</v>
      </c>
      <c r="AD193" s="15" t="s">
        <v>13274</v>
      </c>
      <c r="AE193" s="15" t="s">
        <v>2919</v>
      </c>
      <c r="AF193" s="15" t="s">
        <v>13275</v>
      </c>
      <c r="AG193" s="15" t="s">
        <v>13276</v>
      </c>
      <c r="AH193" s="15" t="s">
        <v>13277</v>
      </c>
      <c r="AI193" s="15" t="s">
        <v>13278</v>
      </c>
      <c r="AJ193" s="15" t="s">
        <v>13279</v>
      </c>
      <c r="AK193" s="15" t="s">
        <v>13280</v>
      </c>
      <c r="AL193" s="15" t="s">
        <v>13281</v>
      </c>
      <c r="AM193" s="15" t="s">
        <v>13282</v>
      </c>
      <c r="AN193" s="15" t="s">
        <v>13283</v>
      </c>
      <c r="AO193" s="15" t="s">
        <v>13284</v>
      </c>
      <c r="AP193" s="15" t="s">
        <v>13285</v>
      </c>
      <c r="AQ193" s="15" t="s">
        <v>13286</v>
      </c>
      <c r="AR193" s="15" t="s">
        <v>13287</v>
      </c>
      <c r="BH193" s="15" t="s">
        <v>2913</v>
      </c>
      <c r="BI193" s="15" t="str">
        <f t="shared" ref="BI193:BI194" si="570">"1999"</f>
        <v>1999</v>
      </c>
      <c r="BJ193" s="15" t="str">
        <f t="shared" ref="BJ193:BJ194" si="571">"840"</f>
        <v>840</v>
      </c>
      <c r="BK193" s="15" t="s">
        <v>709</v>
      </c>
      <c r="BL193" s="15" t="str">
        <f t="shared" si="522"/>
        <v>1</v>
      </c>
      <c r="BM193" s="15" t="s">
        <v>416</v>
      </c>
      <c r="BN193" s="15" t="str">
        <f t="shared" ref="BN193:BN194" si="572">"77.17"</f>
        <v>77.17</v>
      </c>
      <c r="BO193" s="15" t="str">
        <f t="shared" ref="BO193:BO194" si="573">"33.86"</f>
        <v>33.86</v>
      </c>
      <c r="BP193" s="15" t="str">
        <f t="shared" ref="BP193:BP194" si="574">"29.13"</f>
        <v>29.13</v>
      </c>
      <c r="BQ193" s="15" t="str">
        <f t="shared" ref="BQ193:BQ194" si="575">"127.43"</f>
        <v>127.43</v>
      </c>
      <c r="CG193" s="15" t="str">
        <f t="shared" ref="CG193:CG194" si="576">"44.04"</f>
        <v>44.04</v>
      </c>
      <c r="CH193" s="15" t="str">
        <f t="shared" ref="CH193:CH194" si="577">"1.247"</f>
        <v>1.247</v>
      </c>
      <c r="CI193" s="15" t="s">
        <v>465</v>
      </c>
      <c r="CP193" s="15" t="s">
        <v>2384</v>
      </c>
      <c r="CQ193" s="15" t="s">
        <v>2116</v>
      </c>
      <c r="CR193" s="15" t="s">
        <v>2570</v>
      </c>
      <c r="CS193" s="15" t="s">
        <v>2384</v>
      </c>
      <c r="CT193" s="15" t="s">
        <v>824</v>
      </c>
      <c r="CV193" s="15">
        <v>0.0</v>
      </c>
      <c r="CW193" s="15">
        <v>0.0</v>
      </c>
      <c r="CX193" s="15" t="s">
        <v>717</v>
      </c>
      <c r="CY193" s="15" t="s">
        <v>855</v>
      </c>
      <c r="DF193" s="15" t="s">
        <v>721</v>
      </c>
      <c r="DG193" s="15" t="s">
        <v>419</v>
      </c>
      <c r="DH193" s="15">
        <v>0.0</v>
      </c>
      <c r="DL193" s="15">
        <v>25000.0</v>
      </c>
      <c r="DM193" s="15" t="s">
        <v>990</v>
      </c>
      <c r="DN193" s="15" t="s">
        <v>2927</v>
      </c>
      <c r="DP193" s="15">
        <v>1.0</v>
      </c>
      <c r="DQ193" s="15">
        <v>3.0</v>
      </c>
      <c r="DS193" s="15" t="s">
        <v>2928</v>
      </c>
      <c r="DT193" s="15">
        <v>0.0</v>
      </c>
      <c r="DU193" s="15" t="s">
        <v>473</v>
      </c>
      <c r="DV193" s="15" t="s">
        <v>1064</v>
      </c>
      <c r="DW193" s="15" t="s">
        <v>995</v>
      </c>
      <c r="DX193" s="15" t="s">
        <v>1574</v>
      </c>
      <c r="EB193" s="15" t="s">
        <v>505</v>
      </c>
      <c r="EF193" s="15" t="s">
        <v>2402</v>
      </c>
      <c r="EG193" s="15" t="s">
        <v>1212</v>
      </c>
      <c r="EH193" s="15" t="s">
        <v>2929</v>
      </c>
      <c r="EI193" s="15" t="s">
        <v>995</v>
      </c>
      <c r="EO193" s="15" t="s">
        <v>1079</v>
      </c>
      <c r="EX193" s="15" t="s">
        <v>2930</v>
      </c>
      <c r="EY193" s="15" t="s">
        <v>2931</v>
      </c>
    </row>
    <row r="194" ht="17.25" customHeight="1">
      <c r="A194" s="15" t="s">
        <v>2934</v>
      </c>
      <c r="B194" s="15" t="str">
        <f>"801542770945"</f>
        <v>801542770945</v>
      </c>
      <c r="C194" s="15" t="s">
        <v>13271</v>
      </c>
      <c r="D194" s="15" t="str">
        <f t="shared" si="1"/>
        <v>Carmela ChaiseCarbon BlackRight Chaise</v>
      </c>
      <c r="E194" s="15" t="s">
        <v>2912</v>
      </c>
      <c r="F194" s="15" t="s">
        <v>397</v>
      </c>
      <c r="G194" s="15" t="s">
        <v>2914</v>
      </c>
      <c r="H194" s="15" t="s">
        <v>2915</v>
      </c>
      <c r="I194" s="15" t="s">
        <v>2933</v>
      </c>
      <c r="J194" s="15" t="s">
        <v>2923</v>
      </c>
      <c r="K194" s="15" t="s">
        <v>2914</v>
      </c>
      <c r="M194" s="15" t="s">
        <v>1628</v>
      </c>
      <c r="N194" s="15" t="s">
        <v>1226</v>
      </c>
      <c r="P194" s="15" t="str">
        <f t="shared" si="566"/>
        <v>77</v>
      </c>
      <c r="Q194" s="15" t="str">
        <f t="shared" si="567"/>
        <v>34</v>
      </c>
      <c r="R194" s="15" t="str">
        <f t="shared" si="568"/>
        <v>27</v>
      </c>
      <c r="S194" s="15" t="str">
        <f t="shared" si="569"/>
        <v>88.18</v>
      </c>
      <c r="T194" s="15" t="s">
        <v>2920</v>
      </c>
      <c r="U194" s="15" t="s">
        <v>13272</v>
      </c>
      <c r="V194" s="15" t="s">
        <v>13273</v>
      </c>
      <c r="W194" s="15" t="s">
        <v>12535</v>
      </c>
      <c r="AA194" s="15" t="s">
        <v>413</v>
      </c>
      <c r="AB194" s="15" t="s">
        <v>426</v>
      </c>
      <c r="AC194" s="15" t="s">
        <v>2924</v>
      </c>
      <c r="AD194" s="15" t="s">
        <v>13288</v>
      </c>
      <c r="AE194" s="15" t="s">
        <v>2935</v>
      </c>
      <c r="AF194" s="15" t="s">
        <v>13289</v>
      </c>
      <c r="AG194" s="15" t="s">
        <v>13290</v>
      </c>
      <c r="AH194" s="15" t="s">
        <v>13291</v>
      </c>
      <c r="AI194" s="15" t="s">
        <v>13292</v>
      </c>
      <c r="AJ194" s="15" t="s">
        <v>13293</v>
      </c>
      <c r="AK194" s="15" t="s">
        <v>13294</v>
      </c>
      <c r="AL194" s="15" t="s">
        <v>13295</v>
      </c>
      <c r="AM194" s="15" t="s">
        <v>13296</v>
      </c>
      <c r="AN194" s="15" t="s">
        <v>13297</v>
      </c>
      <c r="AO194" s="15" t="s">
        <v>13298</v>
      </c>
      <c r="BH194" s="15" t="s">
        <v>2932</v>
      </c>
      <c r="BI194" s="15" t="str">
        <f t="shared" si="570"/>
        <v>1999</v>
      </c>
      <c r="BJ194" s="15" t="str">
        <f t="shared" si="571"/>
        <v>840</v>
      </c>
      <c r="BK194" s="15" t="s">
        <v>709</v>
      </c>
      <c r="BL194" s="15" t="str">
        <f t="shared" si="522"/>
        <v>1</v>
      </c>
      <c r="BM194" s="15" t="s">
        <v>416</v>
      </c>
      <c r="BN194" s="15" t="str">
        <f t="shared" si="572"/>
        <v>77.17</v>
      </c>
      <c r="BO194" s="15" t="str">
        <f t="shared" si="573"/>
        <v>33.86</v>
      </c>
      <c r="BP194" s="15" t="str">
        <f t="shared" si="574"/>
        <v>29.13</v>
      </c>
      <c r="BQ194" s="15" t="str">
        <f t="shared" si="575"/>
        <v>127.43</v>
      </c>
      <c r="CG194" s="15" t="str">
        <f t="shared" si="576"/>
        <v>44.04</v>
      </c>
      <c r="CH194" s="15" t="str">
        <f t="shared" si="577"/>
        <v>1.247</v>
      </c>
      <c r="CI194" s="15" t="s">
        <v>465</v>
      </c>
      <c r="CP194" s="15" t="s">
        <v>2384</v>
      </c>
      <c r="CQ194" s="15" t="s">
        <v>2116</v>
      </c>
      <c r="CR194" s="15" t="s">
        <v>2570</v>
      </c>
      <c r="CS194" s="15" t="s">
        <v>2384</v>
      </c>
      <c r="CT194" s="15" t="s">
        <v>824</v>
      </c>
      <c r="CV194" s="15">
        <v>0.0</v>
      </c>
      <c r="CW194" s="15">
        <v>0.0</v>
      </c>
      <c r="CX194" s="15" t="s">
        <v>717</v>
      </c>
      <c r="CY194" s="15" t="s">
        <v>855</v>
      </c>
      <c r="DF194" s="15" t="s">
        <v>721</v>
      </c>
      <c r="DG194" s="15" t="s">
        <v>419</v>
      </c>
      <c r="DH194" s="15">
        <v>0.0</v>
      </c>
      <c r="DL194" s="15">
        <v>25000.0</v>
      </c>
      <c r="DM194" s="15" t="s">
        <v>990</v>
      </c>
      <c r="DN194" s="15" t="s">
        <v>2927</v>
      </c>
      <c r="DP194" s="15">
        <v>1.0</v>
      </c>
      <c r="DQ194" s="15">
        <v>1.0</v>
      </c>
      <c r="DS194" s="15" t="s">
        <v>2928</v>
      </c>
      <c r="DT194" s="15">
        <v>0.0</v>
      </c>
      <c r="DU194" s="15" t="s">
        <v>726</v>
      </c>
      <c r="DV194" s="15" t="s">
        <v>1064</v>
      </c>
      <c r="DW194" s="15" t="s">
        <v>995</v>
      </c>
      <c r="DX194" s="15" t="s">
        <v>1574</v>
      </c>
      <c r="EB194" s="15" t="s">
        <v>505</v>
      </c>
      <c r="EF194" s="15" t="s">
        <v>2402</v>
      </c>
      <c r="EG194" s="15" t="s">
        <v>1212</v>
      </c>
      <c r="EH194" s="15" t="s">
        <v>2929</v>
      </c>
      <c r="EI194" s="15" t="s">
        <v>995</v>
      </c>
      <c r="EO194" s="15" t="s">
        <v>1079</v>
      </c>
      <c r="EX194" s="15" t="s">
        <v>2930</v>
      </c>
      <c r="EY194" s="15" t="s">
        <v>2931</v>
      </c>
    </row>
    <row r="195" ht="17.25" customHeight="1">
      <c r="A195" s="15" t="s">
        <v>2939</v>
      </c>
      <c r="B195" s="15" t="str">
        <f>"801542037185"</f>
        <v>801542037185</v>
      </c>
      <c r="C195" s="15" t="s">
        <v>13299</v>
      </c>
      <c r="D195" s="15" t="str">
        <f t="shared" si="1"/>
        <v>Caroline 6 Drawer DresserSmoked Oak Veneer</v>
      </c>
      <c r="E195" s="15" t="s">
        <v>2936</v>
      </c>
      <c r="F195" s="15" t="s">
        <v>397</v>
      </c>
      <c r="G195" s="15" t="s">
        <v>2938</v>
      </c>
      <c r="J195" s="15" t="s">
        <v>2938</v>
      </c>
      <c r="M195" s="15" t="s">
        <v>2063</v>
      </c>
      <c r="N195" s="15" t="s">
        <v>412</v>
      </c>
      <c r="P195" s="15" t="str">
        <f>"72"</f>
        <v>72</v>
      </c>
      <c r="Q195" s="15" t="str">
        <f>"20"</f>
        <v>20</v>
      </c>
      <c r="R195" s="15" t="str">
        <f>"33.5"</f>
        <v>33.5</v>
      </c>
      <c r="S195" s="15" t="str">
        <f>"228.18"</f>
        <v>228.18</v>
      </c>
      <c r="T195" s="15" t="s">
        <v>2354</v>
      </c>
      <c r="U195" s="15" t="s">
        <v>11553</v>
      </c>
      <c r="V195" s="15" t="s">
        <v>11338</v>
      </c>
      <c r="AA195" s="15" t="s">
        <v>413</v>
      </c>
      <c r="AB195" s="15" t="s">
        <v>413</v>
      </c>
      <c r="AC195" s="15" t="s">
        <v>2942</v>
      </c>
      <c r="AD195" s="15" t="s">
        <v>13300</v>
      </c>
      <c r="AE195" s="15" t="s">
        <v>2941</v>
      </c>
      <c r="AF195" s="15" t="s">
        <v>13301</v>
      </c>
      <c r="AG195" s="15" t="s">
        <v>13302</v>
      </c>
      <c r="AH195" s="15" t="s">
        <v>13303</v>
      </c>
      <c r="AI195" s="15" t="s">
        <v>13304</v>
      </c>
      <c r="AJ195" s="15" t="s">
        <v>13305</v>
      </c>
      <c r="AK195" s="15" t="s">
        <v>13306</v>
      </c>
      <c r="AL195" s="15" t="s">
        <v>13307</v>
      </c>
      <c r="AM195" s="15" t="s">
        <v>13308</v>
      </c>
      <c r="AN195" s="15" t="s">
        <v>13309</v>
      </c>
      <c r="AO195" s="15" t="s">
        <v>13310</v>
      </c>
      <c r="BH195" s="15" t="s">
        <v>2937</v>
      </c>
      <c r="BI195" s="15" t="str">
        <f>"2399"</f>
        <v>2399</v>
      </c>
      <c r="BJ195" s="15" t="str">
        <f>"1010"</f>
        <v>1010</v>
      </c>
      <c r="BK195" s="15" t="s">
        <v>742</v>
      </c>
      <c r="BL195" s="15" t="str">
        <f t="shared" si="522"/>
        <v>1</v>
      </c>
      <c r="BM195" s="15" t="s">
        <v>2943</v>
      </c>
      <c r="BN195" s="15" t="str">
        <f>"75.79"</f>
        <v>75.79</v>
      </c>
      <c r="BO195" s="15" t="str">
        <f>"23.62"</f>
        <v>23.62</v>
      </c>
      <c r="BP195" s="15" t="str">
        <f>"40.16"</f>
        <v>40.16</v>
      </c>
      <c r="BQ195" s="15" t="str">
        <f>"276.68"</f>
        <v>276.68</v>
      </c>
      <c r="CG195" s="15" t="str">
        <f>"41.6"</f>
        <v>41.6</v>
      </c>
      <c r="CH195" s="15" t="str">
        <f>"1.178"</f>
        <v>1.178</v>
      </c>
      <c r="CI195" s="15" t="s">
        <v>417</v>
      </c>
      <c r="CZ195" s="15" t="s">
        <v>1371</v>
      </c>
      <c r="DA195" s="15">
        <v>6.0</v>
      </c>
      <c r="DB195" s="15" t="s">
        <v>419</v>
      </c>
      <c r="DD195" s="15">
        <v>0.0</v>
      </c>
      <c r="DF195" s="15" t="s">
        <v>1186</v>
      </c>
      <c r="DG195" s="15" t="s">
        <v>421</v>
      </c>
      <c r="DK195" s="15">
        <v>0.0</v>
      </c>
      <c r="DR195" s="15" t="s">
        <v>422</v>
      </c>
      <c r="DS195" s="15" t="s">
        <v>2946</v>
      </c>
      <c r="DU195" s="15" t="s">
        <v>424</v>
      </c>
      <c r="EF195" s="15" t="s">
        <v>2050</v>
      </c>
      <c r="EV195" s="15">
        <v>0.0</v>
      </c>
      <c r="FQ195" s="15">
        <v>0.0</v>
      </c>
      <c r="FR195" s="15" t="s">
        <v>427</v>
      </c>
      <c r="FZ195" s="15" t="s">
        <v>2348</v>
      </c>
      <c r="GB195" s="15" t="s">
        <v>2947</v>
      </c>
      <c r="GD195" s="15" t="s">
        <v>2948</v>
      </c>
      <c r="GF195" s="15" t="s">
        <v>838</v>
      </c>
      <c r="GH195" s="15" t="s">
        <v>764</v>
      </c>
    </row>
    <row r="196" ht="17.25" customHeight="1">
      <c r="A196" s="15" t="s">
        <v>2952</v>
      </c>
      <c r="B196" s="15" t="str">
        <f>"801542056230"</f>
        <v>801542056230</v>
      </c>
      <c r="C196" s="15" t="s">
        <v>13311</v>
      </c>
      <c r="D196" s="15" t="str">
        <f t="shared" si="1"/>
        <v>Caroline BedKerbey IvoryKing</v>
      </c>
      <c r="E196" s="15" t="s">
        <v>2949</v>
      </c>
      <c r="F196" s="15" t="s">
        <v>397</v>
      </c>
      <c r="G196" s="15" t="s">
        <v>2951</v>
      </c>
      <c r="H196" s="15" t="s">
        <v>265</v>
      </c>
      <c r="I196" s="15" t="s">
        <v>828</v>
      </c>
      <c r="J196" s="15" t="s">
        <v>2951</v>
      </c>
      <c r="K196" s="15" t="s">
        <v>2958</v>
      </c>
      <c r="L196" s="15" t="s">
        <v>2938</v>
      </c>
      <c r="M196" s="15" t="s">
        <v>2063</v>
      </c>
      <c r="N196" s="15" t="s">
        <v>839</v>
      </c>
      <c r="O196" s="15" t="s">
        <v>828</v>
      </c>
      <c r="P196" s="15" t="str">
        <f>"80"</f>
        <v>80</v>
      </c>
      <c r="Q196" s="15" t="str">
        <f t="shared" ref="Q196:Q197" si="578">"86"</f>
        <v>86</v>
      </c>
      <c r="R196" s="15" t="str">
        <f t="shared" ref="R196:R197" si="579">"47.25"</f>
        <v>47.25</v>
      </c>
      <c r="S196" s="15" t="str">
        <f>"171.96"</f>
        <v>171.96</v>
      </c>
      <c r="T196" s="15" t="s">
        <v>2955</v>
      </c>
      <c r="U196" s="15" t="s">
        <v>12856</v>
      </c>
      <c r="V196" s="15" t="s">
        <v>12857</v>
      </c>
      <c r="W196" s="15" t="s">
        <v>11338</v>
      </c>
      <c r="X196" s="15" t="s">
        <v>11553</v>
      </c>
      <c r="AA196" s="15" t="s">
        <v>413</v>
      </c>
      <c r="AB196" s="15" t="s">
        <v>426</v>
      </c>
      <c r="AC196" s="15" t="s">
        <v>2959</v>
      </c>
      <c r="AD196" s="15" t="s">
        <v>13312</v>
      </c>
      <c r="AE196" s="15" t="s">
        <v>2954</v>
      </c>
      <c r="AF196" s="15" t="s">
        <v>13313</v>
      </c>
      <c r="AG196" s="15" t="s">
        <v>13314</v>
      </c>
      <c r="AH196" s="15" t="s">
        <v>13315</v>
      </c>
      <c r="AI196" s="15" t="s">
        <v>13316</v>
      </c>
      <c r="AJ196" s="15" t="s">
        <v>13317</v>
      </c>
      <c r="AK196" s="15" t="s">
        <v>13318</v>
      </c>
      <c r="AL196" s="15" t="s">
        <v>13319</v>
      </c>
      <c r="AM196" s="15" t="s">
        <v>13320</v>
      </c>
      <c r="AN196" s="15" t="s">
        <v>13321</v>
      </c>
      <c r="AO196" s="15" t="s">
        <v>13322</v>
      </c>
      <c r="AP196" s="15" t="s">
        <v>13323</v>
      </c>
      <c r="AQ196" s="15" t="s">
        <v>13324</v>
      </c>
      <c r="AR196" s="15" t="s">
        <v>13325</v>
      </c>
      <c r="AS196" s="15" t="s">
        <v>13326</v>
      </c>
      <c r="AT196" s="15" t="s">
        <v>13327</v>
      </c>
      <c r="AU196" s="15" t="s">
        <v>13328</v>
      </c>
      <c r="AV196" s="15" t="s">
        <v>13329</v>
      </c>
      <c r="AW196" s="15" t="s">
        <v>13330</v>
      </c>
      <c r="AX196" s="15" t="s">
        <v>13331</v>
      </c>
      <c r="BH196" s="15" t="s">
        <v>2950</v>
      </c>
      <c r="BI196" s="15" t="str">
        <f>"2099"</f>
        <v>2099</v>
      </c>
      <c r="BJ196" s="15" t="str">
        <f>"885"</f>
        <v>885</v>
      </c>
      <c r="BK196" s="15" t="s">
        <v>742</v>
      </c>
      <c r="BL196" s="15" t="str">
        <f t="shared" ref="BL196:BL197" si="580">"3"</f>
        <v>3</v>
      </c>
      <c r="BM196" s="15" t="s">
        <v>841</v>
      </c>
      <c r="BN196" s="15" t="str">
        <f>"84.65"</f>
        <v>84.65</v>
      </c>
      <c r="BO196" s="15" t="str">
        <f t="shared" ref="BO196:BO197" si="581">"51.57"</f>
        <v>51.57</v>
      </c>
      <c r="BP196" s="15" t="str">
        <f t="shared" ref="BP196:BP197" si="582">"7.36"</f>
        <v>7.36</v>
      </c>
      <c r="BQ196" s="15" t="str">
        <f>"105.82"</f>
        <v>105.82</v>
      </c>
      <c r="BR196" s="15" t="s">
        <v>2962</v>
      </c>
      <c r="BS196" s="15" t="str">
        <f>"84.65"</f>
        <v>84.65</v>
      </c>
      <c r="BT196" s="15" t="str">
        <f t="shared" ref="BT196:BT197" si="583">"16.34"</f>
        <v>16.34</v>
      </c>
      <c r="BU196" s="15" t="str">
        <f t="shared" ref="BU196:BU197" si="584">"9.84"</f>
        <v>9.84</v>
      </c>
      <c r="BV196" s="15" t="str">
        <f>"63.93"</f>
        <v>63.93</v>
      </c>
      <c r="BW196" s="15" t="s">
        <v>2966</v>
      </c>
      <c r="BX196" s="15" t="str">
        <f t="shared" ref="BX196:BX197" si="585">"86.02"</f>
        <v>86.02</v>
      </c>
      <c r="BY196" s="15" t="str">
        <f t="shared" ref="BY196:BY197" si="586">"9.06"</f>
        <v>9.06</v>
      </c>
      <c r="BZ196" s="15" t="str">
        <f t="shared" ref="BZ196:BZ197" si="587">"7.87"</f>
        <v>7.87</v>
      </c>
      <c r="CA196" s="15" t="str">
        <f>"38.58"</f>
        <v>38.58</v>
      </c>
      <c r="CG196" s="15" t="str">
        <f>"30.05"</f>
        <v>30.05</v>
      </c>
      <c r="CH196" s="15" t="str">
        <f>"0.851"</f>
        <v>0.851</v>
      </c>
      <c r="CI196" s="15" t="s">
        <v>417</v>
      </c>
      <c r="CY196" s="15" t="s">
        <v>855</v>
      </c>
      <c r="CZ196" s="15" t="s">
        <v>419</v>
      </c>
      <c r="DA196" s="15">
        <v>0.0</v>
      </c>
      <c r="DB196" s="15" t="s">
        <v>419</v>
      </c>
      <c r="DD196" s="15">
        <v>0.0</v>
      </c>
      <c r="DF196" s="15" t="s">
        <v>1186</v>
      </c>
      <c r="DG196" s="15" t="s">
        <v>419</v>
      </c>
      <c r="DI196" s="15">
        <v>0.0</v>
      </c>
      <c r="DJ196" s="15">
        <v>0.0</v>
      </c>
      <c r="DK196" s="15">
        <v>0.0</v>
      </c>
      <c r="DL196" s="15">
        <v>25000.0</v>
      </c>
      <c r="DS196" s="15" t="s">
        <v>2946</v>
      </c>
      <c r="DU196" s="15" t="s">
        <v>858</v>
      </c>
      <c r="EV196" s="15">
        <v>0.0</v>
      </c>
      <c r="HV196" s="15" t="s">
        <v>2026</v>
      </c>
      <c r="HW196" s="15" t="s">
        <v>2026</v>
      </c>
      <c r="HX196" s="15" t="s">
        <v>2026</v>
      </c>
      <c r="HY196" s="15" t="s">
        <v>2968</v>
      </c>
      <c r="HZ196" s="15" t="s">
        <v>2969</v>
      </c>
      <c r="IA196" s="15" t="s">
        <v>2970</v>
      </c>
      <c r="IB196" s="15" t="s">
        <v>1552</v>
      </c>
      <c r="IC196" s="15" t="s">
        <v>787</v>
      </c>
      <c r="ID196" s="15" t="s">
        <v>2970</v>
      </c>
      <c r="IE196" s="15" t="s">
        <v>2971</v>
      </c>
      <c r="IF196" s="15" t="s">
        <v>1957</v>
      </c>
      <c r="IG196" s="15" t="s">
        <v>869</v>
      </c>
      <c r="IH196" s="15" t="s">
        <v>761</v>
      </c>
      <c r="II196" s="15" t="s">
        <v>2972</v>
      </c>
      <c r="IJ196" s="15" t="s">
        <v>1042</v>
      </c>
      <c r="IK196" s="15" t="s">
        <v>426</v>
      </c>
      <c r="IL196" s="15" t="s">
        <v>2973</v>
      </c>
      <c r="IM196" s="15" t="s">
        <v>872</v>
      </c>
      <c r="IN196" s="15" t="s">
        <v>873</v>
      </c>
      <c r="IO196" s="15" t="s">
        <v>828</v>
      </c>
      <c r="IU196" s="15" t="s">
        <v>759</v>
      </c>
      <c r="IV196" s="15" t="s">
        <v>2974</v>
      </c>
      <c r="IW196" s="15" t="s">
        <v>759</v>
      </c>
      <c r="IX196" s="15" t="s">
        <v>426</v>
      </c>
      <c r="IY196" s="15" t="s">
        <v>2474</v>
      </c>
    </row>
    <row r="197" ht="17.25" customHeight="1">
      <c r="A197" s="15" t="s">
        <v>2976</v>
      </c>
      <c r="B197" s="15" t="str">
        <f>"801542056247"</f>
        <v>801542056247</v>
      </c>
      <c r="C197" s="15" t="s">
        <v>13311</v>
      </c>
      <c r="D197" s="15" t="str">
        <f t="shared" si="1"/>
        <v>Caroline BedKerbey IvoryQueen</v>
      </c>
      <c r="E197" s="15" t="s">
        <v>2949</v>
      </c>
      <c r="F197" s="15" t="s">
        <v>397</v>
      </c>
      <c r="G197" s="15" t="s">
        <v>2951</v>
      </c>
      <c r="H197" s="15" t="s">
        <v>265</v>
      </c>
      <c r="I197" s="15" t="s">
        <v>877</v>
      </c>
      <c r="J197" s="15" t="s">
        <v>2951</v>
      </c>
      <c r="K197" s="15" t="s">
        <v>2958</v>
      </c>
      <c r="L197" s="15" t="s">
        <v>2938</v>
      </c>
      <c r="M197" s="15" t="s">
        <v>2063</v>
      </c>
      <c r="N197" s="15" t="s">
        <v>839</v>
      </c>
      <c r="O197" s="15" t="s">
        <v>877</v>
      </c>
      <c r="P197" s="15" t="str">
        <f>"64"</f>
        <v>64</v>
      </c>
      <c r="Q197" s="15" t="str">
        <f t="shared" si="578"/>
        <v>86</v>
      </c>
      <c r="R197" s="15" t="str">
        <f t="shared" si="579"/>
        <v>47.25</v>
      </c>
      <c r="S197" s="15" t="str">
        <f>"142.2"</f>
        <v>142.2</v>
      </c>
      <c r="T197" s="15" t="s">
        <v>2955</v>
      </c>
      <c r="U197" s="15" t="s">
        <v>12856</v>
      </c>
      <c r="V197" s="15" t="s">
        <v>12857</v>
      </c>
      <c r="W197" s="15" t="s">
        <v>11338</v>
      </c>
      <c r="X197" s="15" t="s">
        <v>11553</v>
      </c>
      <c r="AA197" s="15" t="s">
        <v>413</v>
      </c>
      <c r="AB197" s="15" t="s">
        <v>426</v>
      </c>
      <c r="AC197" s="15" t="s">
        <v>2959</v>
      </c>
      <c r="AD197" s="15" t="s">
        <v>13332</v>
      </c>
      <c r="AE197" s="15" t="s">
        <v>2978</v>
      </c>
      <c r="AF197" s="15" t="s">
        <v>13333</v>
      </c>
      <c r="AG197" s="15" t="s">
        <v>13334</v>
      </c>
      <c r="AH197" s="15" t="s">
        <v>13335</v>
      </c>
      <c r="AI197" s="15" t="s">
        <v>13336</v>
      </c>
      <c r="AJ197" s="15" t="s">
        <v>13337</v>
      </c>
      <c r="AK197" s="15" t="s">
        <v>13338</v>
      </c>
      <c r="AL197" s="15" t="s">
        <v>13339</v>
      </c>
      <c r="AM197" s="15" t="s">
        <v>13340</v>
      </c>
      <c r="AN197" s="15" t="s">
        <v>13341</v>
      </c>
      <c r="AO197" s="15" t="s">
        <v>13342</v>
      </c>
      <c r="AP197" s="15" t="s">
        <v>13343</v>
      </c>
      <c r="AQ197" s="15" t="s">
        <v>13344</v>
      </c>
      <c r="AR197" s="15" t="s">
        <v>13345</v>
      </c>
      <c r="AS197" s="15" t="s">
        <v>13346</v>
      </c>
      <c r="AT197" s="15" t="s">
        <v>13347</v>
      </c>
      <c r="AU197" s="15" t="s">
        <v>13348</v>
      </c>
      <c r="AV197" s="15" t="s">
        <v>13349</v>
      </c>
      <c r="AW197" s="15" t="s">
        <v>13350</v>
      </c>
      <c r="AX197" s="15" t="s">
        <v>13351</v>
      </c>
      <c r="BH197" s="15" t="s">
        <v>2975</v>
      </c>
      <c r="BI197" s="15" t="str">
        <f>"1799"</f>
        <v>1799</v>
      </c>
      <c r="BJ197" s="15" t="str">
        <f>"760"</f>
        <v>760</v>
      </c>
      <c r="BK197" s="15" t="s">
        <v>742</v>
      </c>
      <c r="BL197" s="15" t="str">
        <f t="shared" si="580"/>
        <v>3</v>
      </c>
      <c r="BM197" s="15" t="s">
        <v>841</v>
      </c>
      <c r="BN197" s="15" t="str">
        <f>"68.11"</f>
        <v>68.11</v>
      </c>
      <c r="BO197" s="15" t="str">
        <f t="shared" si="581"/>
        <v>51.57</v>
      </c>
      <c r="BP197" s="15" t="str">
        <f t="shared" si="582"/>
        <v>7.36</v>
      </c>
      <c r="BQ197" s="15" t="str">
        <f>"84.88"</f>
        <v>84.88</v>
      </c>
      <c r="BR197" s="15" t="s">
        <v>2962</v>
      </c>
      <c r="BS197" s="15" t="str">
        <f>"68.11"</f>
        <v>68.11</v>
      </c>
      <c r="BT197" s="15" t="str">
        <f t="shared" si="583"/>
        <v>16.34</v>
      </c>
      <c r="BU197" s="15" t="str">
        <f t="shared" si="584"/>
        <v>9.84</v>
      </c>
      <c r="BV197" s="15" t="str">
        <f>"54.01"</f>
        <v>54.01</v>
      </c>
      <c r="BW197" s="15" t="s">
        <v>2966</v>
      </c>
      <c r="BX197" s="15" t="str">
        <f t="shared" si="585"/>
        <v>86.02</v>
      </c>
      <c r="BY197" s="15" t="str">
        <f t="shared" si="586"/>
        <v>9.06</v>
      </c>
      <c r="BZ197" s="15" t="str">
        <f t="shared" si="587"/>
        <v>7.87</v>
      </c>
      <c r="CA197" s="15" t="str">
        <f>"31.97"</f>
        <v>31.97</v>
      </c>
      <c r="CG197" s="15" t="str">
        <f>"24.86"</f>
        <v>24.86</v>
      </c>
      <c r="CH197" s="15" t="str">
        <f>"0.704"</f>
        <v>0.704</v>
      </c>
      <c r="CI197" s="15" t="s">
        <v>465</v>
      </c>
      <c r="CY197" s="15" t="s">
        <v>855</v>
      </c>
      <c r="CZ197" s="15" t="s">
        <v>419</v>
      </c>
      <c r="DA197" s="15">
        <v>0.0</v>
      </c>
      <c r="DB197" s="15" t="s">
        <v>419</v>
      </c>
      <c r="DD197" s="15">
        <v>0.0</v>
      </c>
      <c r="DF197" s="15" t="s">
        <v>1186</v>
      </c>
      <c r="DG197" s="15" t="s">
        <v>419</v>
      </c>
      <c r="DI197" s="15">
        <v>0.0</v>
      </c>
      <c r="DJ197" s="15">
        <v>0.0</v>
      </c>
      <c r="DK197" s="15">
        <v>0.0</v>
      </c>
      <c r="DL197" s="15">
        <v>25000.0</v>
      </c>
      <c r="DS197" s="15" t="s">
        <v>2946</v>
      </c>
      <c r="DU197" s="15" t="s">
        <v>858</v>
      </c>
      <c r="EV197" s="15">
        <v>0.0</v>
      </c>
      <c r="HV197" s="15" t="s">
        <v>2026</v>
      </c>
      <c r="HW197" s="15" t="s">
        <v>2026</v>
      </c>
      <c r="HX197" s="15" t="s">
        <v>2026</v>
      </c>
      <c r="HY197" s="15" t="s">
        <v>2968</v>
      </c>
      <c r="HZ197" s="15" t="s">
        <v>2969</v>
      </c>
      <c r="IA197" s="15" t="s">
        <v>2983</v>
      </c>
      <c r="IB197" s="15" t="s">
        <v>1552</v>
      </c>
      <c r="IC197" s="15" t="s">
        <v>787</v>
      </c>
      <c r="ID197" s="15" t="s">
        <v>2983</v>
      </c>
      <c r="IE197" s="15" t="s">
        <v>2971</v>
      </c>
      <c r="IF197" s="15" t="s">
        <v>1957</v>
      </c>
      <c r="IG197" s="15" t="s">
        <v>890</v>
      </c>
      <c r="IH197" s="15" t="s">
        <v>761</v>
      </c>
      <c r="II197" s="15" t="s">
        <v>2972</v>
      </c>
      <c r="IJ197" s="15" t="s">
        <v>1042</v>
      </c>
      <c r="IK197" s="15" t="s">
        <v>426</v>
      </c>
      <c r="IL197" s="15" t="s">
        <v>2973</v>
      </c>
      <c r="IM197" s="15" t="s">
        <v>872</v>
      </c>
      <c r="IN197" s="15" t="s">
        <v>873</v>
      </c>
      <c r="IO197" s="15" t="s">
        <v>877</v>
      </c>
      <c r="IU197" s="15" t="s">
        <v>759</v>
      </c>
      <c r="IV197" s="15" t="s">
        <v>2974</v>
      </c>
      <c r="IW197" s="15" t="s">
        <v>759</v>
      </c>
      <c r="IX197" s="15" t="s">
        <v>426</v>
      </c>
      <c r="IY197" s="15" t="s">
        <v>2474</v>
      </c>
    </row>
    <row r="198" ht="17.25" customHeight="1">
      <c r="A198" s="15" t="s">
        <v>2987</v>
      </c>
      <c r="B198" s="15" t="str">
        <f>"801542260408"</f>
        <v>801542260408</v>
      </c>
      <c r="C198" s="15" t="s">
        <v>13352</v>
      </c>
      <c r="D198" s="15" t="str">
        <f t="shared" si="1"/>
        <v>Casey BedSandblasted Vintage BlackKing</v>
      </c>
      <c r="E198" s="15" t="s">
        <v>2984</v>
      </c>
      <c r="F198" s="15" t="s">
        <v>397</v>
      </c>
      <c r="G198" s="15" t="s">
        <v>2986</v>
      </c>
      <c r="H198" s="15" t="s">
        <v>265</v>
      </c>
      <c r="I198" s="15" t="s">
        <v>828</v>
      </c>
      <c r="J198" s="15" t="s">
        <v>2986</v>
      </c>
      <c r="M198" s="15" t="s">
        <v>1301</v>
      </c>
      <c r="N198" s="15" t="s">
        <v>839</v>
      </c>
      <c r="O198" s="15" t="s">
        <v>828</v>
      </c>
      <c r="P198" s="15" t="str">
        <f>"77.5"</f>
        <v>77.5</v>
      </c>
      <c r="Q198" s="15" t="str">
        <f t="shared" ref="Q198:Q199" si="588">"83.5"</f>
        <v>83.5</v>
      </c>
      <c r="R198" s="15" t="str">
        <f t="shared" ref="R198:R200" si="589">"51.5"</f>
        <v>51.5</v>
      </c>
      <c r="S198" s="15" t="str">
        <f>"149.77"</f>
        <v>149.77</v>
      </c>
      <c r="T198" s="15" t="s">
        <v>2058</v>
      </c>
      <c r="U198" s="15" t="s">
        <v>11139</v>
      </c>
      <c r="AA198" s="15" t="s">
        <v>413</v>
      </c>
      <c r="AB198" s="15" t="s">
        <v>413</v>
      </c>
      <c r="AC198" s="15" t="s">
        <v>2996</v>
      </c>
      <c r="AD198" s="15" t="s">
        <v>13353</v>
      </c>
      <c r="AE198" s="15" t="s">
        <v>2989</v>
      </c>
      <c r="AF198" s="15" t="s">
        <v>13354</v>
      </c>
      <c r="AG198" s="15" t="s">
        <v>13355</v>
      </c>
      <c r="AH198" s="15" t="s">
        <v>13356</v>
      </c>
      <c r="AI198" s="15" t="s">
        <v>13357</v>
      </c>
      <c r="AJ198" s="15" t="s">
        <v>13358</v>
      </c>
      <c r="AK198" s="15" t="s">
        <v>13359</v>
      </c>
      <c r="AL198" s="15" t="s">
        <v>13360</v>
      </c>
      <c r="AM198" s="15" t="s">
        <v>13361</v>
      </c>
      <c r="BH198" s="15" t="s">
        <v>2985</v>
      </c>
      <c r="BI198" s="15" t="str">
        <f>"1199"</f>
        <v>1199</v>
      </c>
      <c r="BJ198" s="15" t="str">
        <f>"505"</f>
        <v>505</v>
      </c>
      <c r="BK198" s="15" t="s">
        <v>1303</v>
      </c>
      <c r="BL198" s="15" t="str">
        <f t="shared" ref="BL198:BL200" si="590">"2"</f>
        <v>2</v>
      </c>
      <c r="BM198" s="15" t="s">
        <v>2997</v>
      </c>
      <c r="BN198" s="15" t="str">
        <f>"81"</f>
        <v>81</v>
      </c>
      <c r="BO198" s="15" t="str">
        <f t="shared" ref="BO198:BO200" si="591">"6"</f>
        <v>6</v>
      </c>
      <c r="BP198" s="15" t="str">
        <f>"52"</f>
        <v>52</v>
      </c>
      <c r="BQ198" s="15" t="str">
        <f>"77.16"</f>
        <v>77.16</v>
      </c>
      <c r="BR198" s="15" t="s">
        <v>3002</v>
      </c>
      <c r="BS198" s="15" t="str">
        <f t="shared" ref="BS198:BS199" si="592">"83.25"</f>
        <v>83.25</v>
      </c>
      <c r="BT198" s="15" t="str">
        <f t="shared" ref="BT198:BT199" si="593">"5.25"</f>
        <v>5.25</v>
      </c>
      <c r="BU198" s="15" t="str">
        <f t="shared" ref="BU198:BU199" si="594">"16.5"</f>
        <v>16.5</v>
      </c>
      <c r="BV198" s="15" t="str">
        <f>"104.5"</f>
        <v>104.5</v>
      </c>
      <c r="CG198" s="15" t="str">
        <f>"18.79"</f>
        <v>18.79</v>
      </c>
      <c r="CH198" s="15" t="str">
        <f>"0.532"</f>
        <v>0.532</v>
      </c>
      <c r="CI198" s="15" t="s">
        <v>465</v>
      </c>
      <c r="CZ198" s="15" t="s">
        <v>419</v>
      </c>
      <c r="DA198" s="15">
        <v>0.0</v>
      </c>
      <c r="DB198" s="15" t="s">
        <v>419</v>
      </c>
      <c r="DD198" s="15">
        <v>0.0</v>
      </c>
      <c r="DG198" s="15" t="s">
        <v>419</v>
      </c>
      <c r="DI198" s="15">
        <v>0.0</v>
      </c>
      <c r="DJ198" s="15">
        <v>0.0</v>
      </c>
      <c r="DK198" s="15">
        <v>0.0</v>
      </c>
      <c r="DS198" s="15" t="s">
        <v>3006</v>
      </c>
      <c r="DU198" s="15" t="s">
        <v>858</v>
      </c>
      <c r="EV198" s="15">
        <v>0.0</v>
      </c>
      <c r="HV198" s="15" t="s">
        <v>475</v>
      </c>
      <c r="HW198" s="15" t="s">
        <v>475</v>
      </c>
      <c r="HX198" s="15" t="s">
        <v>475</v>
      </c>
      <c r="HY198" s="15" t="s">
        <v>942</v>
      </c>
      <c r="HZ198" s="15" t="s">
        <v>2638</v>
      </c>
      <c r="IA198" s="15" t="s">
        <v>3007</v>
      </c>
      <c r="IB198" s="15" t="s">
        <v>2313</v>
      </c>
      <c r="IC198" s="15" t="s">
        <v>2638</v>
      </c>
      <c r="ID198" s="15" t="s">
        <v>3007</v>
      </c>
      <c r="IE198" s="15" t="s">
        <v>945</v>
      </c>
      <c r="IF198" s="15" t="s">
        <v>3008</v>
      </c>
      <c r="IG198" s="15" t="s">
        <v>1754</v>
      </c>
      <c r="IH198" s="15" t="s">
        <v>784</v>
      </c>
      <c r="II198" s="15" t="s">
        <v>945</v>
      </c>
      <c r="IJ198" s="15" t="s">
        <v>784</v>
      </c>
      <c r="IK198" s="15" t="s">
        <v>426</v>
      </c>
      <c r="IL198" s="15" t="s">
        <v>871</v>
      </c>
      <c r="IM198" s="15" t="s">
        <v>1185</v>
      </c>
      <c r="IN198" s="15" t="s">
        <v>3009</v>
      </c>
      <c r="IO198" s="15" t="s">
        <v>828</v>
      </c>
      <c r="IU198" s="15" t="s">
        <v>3010</v>
      </c>
      <c r="IV198" s="15" t="s">
        <v>3011</v>
      </c>
      <c r="IW198" s="15" t="s">
        <v>672</v>
      </c>
      <c r="IX198" s="15" t="s">
        <v>426</v>
      </c>
    </row>
    <row r="199" ht="17.25" customHeight="1">
      <c r="A199" s="15" t="s">
        <v>3013</v>
      </c>
      <c r="B199" s="15" t="str">
        <f>"801542248994"</f>
        <v>801542248994</v>
      </c>
      <c r="C199" s="15" t="s">
        <v>13352</v>
      </c>
      <c r="D199" s="15" t="str">
        <f t="shared" si="1"/>
        <v>Casey BedSandblasted Vintage BlackQueen</v>
      </c>
      <c r="E199" s="15" t="s">
        <v>2984</v>
      </c>
      <c r="F199" s="15" t="s">
        <v>397</v>
      </c>
      <c r="G199" s="15" t="s">
        <v>2986</v>
      </c>
      <c r="H199" s="15" t="s">
        <v>265</v>
      </c>
      <c r="I199" s="15" t="s">
        <v>877</v>
      </c>
      <c r="J199" s="15" t="s">
        <v>2986</v>
      </c>
      <c r="M199" s="15" t="s">
        <v>1301</v>
      </c>
      <c r="N199" s="15" t="s">
        <v>839</v>
      </c>
      <c r="O199" s="15" t="s">
        <v>877</v>
      </c>
      <c r="P199" s="15" t="str">
        <f>"61.5"</f>
        <v>61.5</v>
      </c>
      <c r="Q199" s="15" t="str">
        <f t="shared" si="588"/>
        <v>83.5</v>
      </c>
      <c r="R199" s="15" t="str">
        <f t="shared" si="589"/>
        <v>51.5</v>
      </c>
      <c r="S199" s="15" t="str">
        <f>"118.94"</f>
        <v>118.94</v>
      </c>
      <c r="T199" s="15" t="s">
        <v>2058</v>
      </c>
      <c r="U199" s="15" t="s">
        <v>11139</v>
      </c>
      <c r="AA199" s="15" t="s">
        <v>413</v>
      </c>
      <c r="AB199" s="15" t="s">
        <v>413</v>
      </c>
      <c r="AC199" s="15" t="s">
        <v>2996</v>
      </c>
      <c r="AD199" s="15" t="s">
        <v>13362</v>
      </c>
      <c r="AE199" s="15" t="s">
        <v>3015</v>
      </c>
      <c r="AF199" s="15" t="s">
        <v>13363</v>
      </c>
      <c r="AG199" s="15" t="s">
        <v>13364</v>
      </c>
      <c r="AH199" s="15" t="s">
        <v>13365</v>
      </c>
      <c r="AI199" s="15" t="s">
        <v>13366</v>
      </c>
      <c r="AJ199" s="15" t="s">
        <v>13367</v>
      </c>
      <c r="AK199" s="15" t="s">
        <v>13368</v>
      </c>
      <c r="AL199" s="15" t="s">
        <v>13369</v>
      </c>
      <c r="AM199" s="15" t="s">
        <v>13370</v>
      </c>
      <c r="BH199" s="15" t="s">
        <v>3012</v>
      </c>
      <c r="BI199" s="15" t="str">
        <f>"999"</f>
        <v>999</v>
      </c>
      <c r="BJ199" s="15" t="str">
        <f>"420"</f>
        <v>420</v>
      </c>
      <c r="BK199" s="15" t="s">
        <v>1303</v>
      </c>
      <c r="BL199" s="15" t="str">
        <f t="shared" si="590"/>
        <v>2</v>
      </c>
      <c r="BM199" s="15" t="s">
        <v>3018</v>
      </c>
      <c r="BN199" s="15" t="str">
        <f>"64"</f>
        <v>64</v>
      </c>
      <c r="BO199" s="15" t="str">
        <f t="shared" si="591"/>
        <v>6</v>
      </c>
      <c r="BP199" s="15" t="str">
        <f t="shared" ref="BP199:BP200" si="595">"53"</f>
        <v>53</v>
      </c>
      <c r="BQ199" s="15" t="str">
        <f>"66.58"</f>
        <v>66.58</v>
      </c>
      <c r="BR199" s="15" t="s">
        <v>3021</v>
      </c>
      <c r="BS199" s="15" t="str">
        <f t="shared" si="592"/>
        <v>83.25</v>
      </c>
      <c r="BT199" s="15" t="str">
        <f t="shared" si="593"/>
        <v>5.25</v>
      </c>
      <c r="BU199" s="15" t="str">
        <f t="shared" si="594"/>
        <v>16.5</v>
      </c>
      <c r="BV199" s="15" t="str">
        <f>"72.75"</f>
        <v>72.75</v>
      </c>
      <c r="CG199" s="15" t="str">
        <f>"15.96"</f>
        <v>15.96</v>
      </c>
      <c r="CH199" s="15" t="str">
        <f>"0.452"</f>
        <v>0.452</v>
      </c>
      <c r="CI199" s="15" t="s">
        <v>497</v>
      </c>
      <c r="CZ199" s="15" t="s">
        <v>419</v>
      </c>
      <c r="DA199" s="15">
        <v>0.0</v>
      </c>
      <c r="DB199" s="15" t="s">
        <v>419</v>
      </c>
      <c r="DD199" s="15">
        <v>0.0</v>
      </c>
      <c r="DG199" s="15" t="s">
        <v>419</v>
      </c>
      <c r="DI199" s="15">
        <v>0.0</v>
      </c>
      <c r="DJ199" s="15">
        <v>0.0</v>
      </c>
      <c r="DK199" s="15">
        <v>0.0</v>
      </c>
      <c r="DS199" s="15" t="s">
        <v>3006</v>
      </c>
      <c r="DU199" s="15" t="s">
        <v>858</v>
      </c>
      <c r="EV199" s="15">
        <v>0.0</v>
      </c>
      <c r="HV199" s="15" t="s">
        <v>475</v>
      </c>
      <c r="HW199" s="15" t="s">
        <v>475</v>
      </c>
      <c r="HX199" s="15" t="s">
        <v>475</v>
      </c>
      <c r="HY199" s="15" t="s">
        <v>942</v>
      </c>
      <c r="HZ199" s="15" t="s">
        <v>2638</v>
      </c>
      <c r="IA199" s="15" t="s">
        <v>3023</v>
      </c>
      <c r="IB199" s="15" t="s">
        <v>2313</v>
      </c>
      <c r="IC199" s="15" t="s">
        <v>2638</v>
      </c>
      <c r="ID199" s="15" t="s">
        <v>3023</v>
      </c>
      <c r="IE199" s="15" t="s">
        <v>945</v>
      </c>
      <c r="IF199" s="15" t="s">
        <v>3008</v>
      </c>
      <c r="IG199" s="15" t="s">
        <v>1682</v>
      </c>
      <c r="IH199" s="15" t="s">
        <v>784</v>
      </c>
      <c r="II199" s="15" t="s">
        <v>945</v>
      </c>
      <c r="IJ199" s="15" t="s">
        <v>784</v>
      </c>
      <c r="IK199" s="15" t="s">
        <v>426</v>
      </c>
      <c r="IL199" s="15" t="s">
        <v>871</v>
      </c>
      <c r="IM199" s="15" t="s">
        <v>1185</v>
      </c>
      <c r="IN199" s="15" t="s">
        <v>3009</v>
      </c>
      <c r="IO199" s="15" t="s">
        <v>877</v>
      </c>
      <c r="IU199" s="15" t="s">
        <v>3010</v>
      </c>
      <c r="IV199" s="15" t="s">
        <v>3011</v>
      </c>
      <c r="IW199" s="15" t="s">
        <v>672</v>
      </c>
      <c r="IX199" s="15" t="s">
        <v>426</v>
      </c>
    </row>
    <row r="200" ht="17.25" customHeight="1">
      <c r="A200" s="15" t="s">
        <v>3026</v>
      </c>
      <c r="B200" s="15" t="str">
        <f>"801542266677"</f>
        <v>801542266677</v>
      </c>
      <c r="C200" s="15" t="s">
        <v>13352</v>
      </c>
      <c r="D200" s="15" t="str">
        <f t="shared" si="1"/>
        <v>Casey BedSandblasted Vintage BlackTwin</v>
      </c>
      <c r="E200" s="15" t="s">
        <v>2984</v>
      </c>
      <c r="F200" s="15" t="s">
        <v>397</v>
      </c>
      <c r="G200" s="15" t="s">
        <v>2986</v>
      </c>
      <c r="H200" s="15" t="s">
        <v>265</v>
      </c>
      <c r="I200" s="15" t="s">
        <v>3025</v>
      </c>
      <c r="J200" s="15" t="s">
        <v>2986</v>
      </c>
      <c r="M200" s="15" t="s">
        <v>1301</v>
      </c>
      <c r="N200" s="15" t="s">
        <v>839</v>
      </c>
      <c r="O200" s="15" t="s">
        <v>3025</v>
      </c>
      <c r="P200" s="15" t="str">
        <f>"40.5"</f>
        <v>40.5</v>
      </c>
      <c r="Q200" s="15" t="str">
        <f>"78.5"</f>
        <v>78.5</v>
      </c>
      <c r="R200" s="15" t="str">
        <f t="shared" si="589"/>
        <v>51.5</v>
      </c>
      <c r="S200" s="15" t="str">
        <f>"90.3"</f>
        <v>90.3</v>
      </c>
      <c r="T200" s="15" t="s">
        <v>2058</v>
      </c>
      <c r="U200" s="15" t="s">
        <v>11139</v>
      </c>
      <c r="AA200" s="15" t="s">
        <v>413</v>
      </c>
      <c r="AB200" s="15" t="s">
        <v>413</v>
      </c>
      <c r="AC200" s="15" t="s">
        <v>3031</v>
      </c>
      <c r="AD200" s="15" t="s">
        <v>13371</v>
      </c>
      <c r="AE200" s="15" t="s">
        <v>3028</v>
      </c>
      <c r="AF200" s="15" t="s">
        <v>13372</v>
      </c>
      <c r="AG200" s="15" t="s">
        <v>13373</v>
      </c>
      <c r="AH200" s="15" t="s">
        <v>13374</v>
      </c>
      <c r="AI200" s="15" t="s">
        <v>13375</v>
      </c>
      <c r="AJ200" s="15" t="s">
        <v>13376</v>
      </c>
      <c r="AK200" s="15" t="s">
        <v>13377</v>
      </c>
      <c r="AL200" s="15" t="s">
        <v>13378</v>
      </c>
      <c r="AM200" s="15" t="s">
        <v>13379</v>
      </c>
      <c r="BH200" s="15" t="s">
        <v>3024</v>
      </c>
      <c r="BI200" s="15" t="str">
        <f>"799"</f>
        <v>799</v>
      </c>
      <c r="BJ200" s="15" t="str">
        <f>"340"</f>
        <v>340</v>
      </c>
      <c r="BK200" s="15" t="s">
        <v>1303</v>
      </c>
      <c r="BL200" s="15" t="str">
        <f t="shared" si="590"/>
        <v>2</v>
      </c>
      <c r="BM200" s="15" t="s">
        <v>3018</v>
      </c>
      <c r="BN200" s="15" t="str">
        <f>"43.5"</f>
        <v>43.5</v>
      </c>
      <c r="BO200" s="15" t="str">
        <f t="shared" si="591"/>
        <v>6</v>
      </c>
      <c r="BP200" s="15" t="str">
        <f t="shared" si="595"/>
        <v>53</v>
      </c>
      <c r="BQ200" s="15" t="str">
        <f>"51.15"</f>
        <v>51.15</v>
      </c>
      <c r="BR200" s="15" t="s">
        <v>3034</v>
      </c>
      <c r="BS200" s="15" t="str">
        <f>"78.5"</f>
        <v>78.5</v>
      </c>
      <c r="BT200" s="15" t="str">
        <f>"5.5"</f>
        <v>5.5</v>
      </c>
      <c r="BU200" s="15" t="str">
        <f>"16"</f>
        <v>16</v>
      </c>
      <c r="BV200" s="15" t="str">
        <f>"67.02"</f>
        <v>67.02</v>
      </c>
      <c r="CG200" s="15" t="str">
        <f>"12.01"</f>
        <v>12.01</v>
      </c>
      <c r="CH200" s="15" t="str">
        <f>"0.34"</f>
        <v>0.34</v>
      </c>
      <c r="CI200" s="15" t="s">
        <v>465</v>
      </c>
      <c r="CZ200" s="15" t="s">
        <v>419</v>
      </c>
      <c r="DA200" s="15">
        <v>0.0</v>
      </c>
      <c r="DB200" s="15" t="s">
        <v>419</v>
      </c>
      <c r="DD200" s="15">
        <v>0.0</v>
      </c>
      <c r="DG200" s="15" t="s">
        <v>419</v>
      </c>
      <c r="DI200" s="15">
        <v>0.0</v>
      </c>
      <c r="DJ200" s="15">
        <v>0.0</v>
      </c>
      <c r="DK200" s="15">
        <v>0.0</v>
      </c>
      <c r="DS200" s="15" t="s">
        <v>3006</v>
      </c>
      <c r="DU200" s="15" t="s">
        <v>858</v>
      </c>
      <c r="EV200" s="15">
        <v>0.0</v>
      </c>
      <c r="HV200" s="15" t="s">
        <v>475</v>
      </c>
      <c r="HW200" s="15" t="s">
        <v>475</v>
      </c>
      <c r="HX200" s="15" t="s">
        <v>475</v>
      </c>
      <c r="HY200" s="15" t="s">
        <v>942</v>
      </c>
      <c r="HZ200" s="15" t="s">
        <v>2638</v>
      </c>
      <c r="IA200" s="15" t="s">
        <v>3036</v>
      </c>
      <c r="IB200" s="15" t="s">
        <v>2313</v>
      </c>
      <c r="IC200" s="15" t="s">
        <v>2638</v>
      </c>
      <c r="ID200" s="15" t="s">
        <v>3036</v>
      </c>
      <c r="IE200" s="15" t="s">
        <v>1755</v>
      </c>
      <c r="IF200" s="15" t="s">
        <v>3008</v>
      </c>
      <c r="IG200" s="15" t="s">
        <v>1575</v>
      </c>
      <c r="IH200" s="15" t="s">
        <v>784</v>
      </c>
      <c r="II200" s="15" t="s">
        <v>1755</v>
      </c>
      <c r="IJ200" s="15" t="s">
        <v>784</v>
      </c>
      <c r="IK200" s="15" t="s">
        <v>426</v>
      </c>
      <c r="IL200" s="15" t="s">
        <v>871</v>
      </c>
      <c r="IM200" s="15" t="s">
        <v>1185</v>
      </c>
      <c r="IN200" s="15" t="s">
        <v>3009</v>
      </c>
      <c r="IO200" s="15" t="s">
        <v>3025</v>
      </c>
      <c r="IU200" s="15" t="s">
        <v>2737</v>
      </c>
      <c r="IV200" s="15" t="s">
        <v>3011</v>
      </c>
      <c r="IW200" s="15" t="s">
        <v>672</v>
      </c>
      <c r="IX200" s="15" t="s">
        <v>426</v>
      </c>
    </row>
    <row r="201" ht="17.25" customHeight="1">
      <c r="A201" s="15" t="s">
        <v>3040</v>
      </c>
      <c r="B201" s="15" t="str">
        <f>"801542761295"</f>
        <v>801542761295</v>
      </c>
      <c r="C201" s="15" t="s">
        <v>13380</v>
      </c>
      <c r="D201" s="15" t="str">
        <f t="shared" si="1"/>
        <v>Caspian 6 Drawer DresserBlack Ash</v>
      </c>
      <c r="E201" s="15" t="s">
        <v>3037</v>
      </c>
      <c r="F201" s="15" t="s">
        <v>397</v>
      </c>
      <c r="G201" s="15" t="s">
        <v>3039</v>
      </c>
      <c r="J201" s="15" t="s">
        <v>3039</v>
      </c>
      <c r="K201" s="15" t="s">
        <v>3043</v>
      </c>
      <c r="L201" s="15" t="s">
        <v>3044</v>
      </c>
      <c r="M201" s="15" t="s">
        <v>2063</v>
      </c>
      <c r="N201" s="15" t="s">
        <v>412</v>
      </c>
      <c r="P201" s="15" t="str">
        <f t="shared" ref="P201:P202" si="596">"60"</f>
        <v>60</v>
      </c>
      <c r="Q201" s="15" t="str">
        <f t="shared" ref="Q201:Q202" si="597">"18"</f>
        <v>18</v>
      </c>
      <c r="R201" s="15" t="str">
        <f t="shared" ref="R201:R202" si="598">"30"</f>
        <v>30</v>
      </c>
      <c r="S201" s="15" t="str">
        <f t="shared" ref="S201:S202" si="599">"184.08"</f>
        <v>184.08</v>
      </c>
      <c r="T201" s="15" t="s">
        <v>3042</v>
      </c>
      <c r="U201" s="15" t="s">
        <v>13381</v>
      </c>
      <c r="V201" s="15" t="s">
        <v>11139</v>
      </c>
      <c r="AA201" s="15" t="s">
        <v>413</v>
      </c>
      <c r="AB201" s="15" t="s">
        <v>413</v>
      </c>
      <c r="AC201" s="15" t="s">
        <v>3045</v>
      </c>
      <c r="AD201" s="15" t="s">
        <v>13382</v>
      </c>
      <c r="AE201" s="15" t="s">
        <v>3041</v>
      </c>
      <c r="AF201" s="15" t="s">
        <v>13383</v>
      </c>
      <c r="AG201" s="15" t="s">
        <v>13384</v>
      </c>
      <c r="AH201" s="15" t="s">
        <v>13385</v>
      </c>
      <c r="AI201" s="15" t="s">
        <v>13386</v>
      </c>
      <c r="AJ201" s="15" t="s">
        <v>13387</v>
      </c>
      <c r="AK201" s="15" t="s">
        <v>13388</v>
      </c>
      <c r="AL201" s="15" t="s">
        <v>13389</v>
      </c>
      <c r="AM201" s="15" t="s">
        <v>13390</v>
      </c>
      <c r="AN201" s="15" t="s">
        <v>13391</v>
      </c>
      <c r="AO201" s="15" t="s">
        <v>13392</v>
      </c>
      <c r="AP201" s="15" t="s">
        <v>13393</v>
      </c>
      <c r="AQ201" s="15" t="s">
        <v>13394</v>
      </c>
      <c r="AR201" s="15" t="s">
        <v>13395</v>
      </c>
      <c r="BH201" s="15" t="s">
        <v>3038</v>
      </c>
      <c r="BI201" s="15" t="str">
        <f t="shared" ref="BI201:BI202" si="600">"2099"</f>
        <v>2099</v>
      </c>
      <c r="BJ201" s="15" t="str">
        <f t="shared" ref="BJ201:BJ202" si="601">"885"</f>
        <v>885</v>
      </c>
      <c r="BK201" s="15" t="s">
        <v>742</v>
      </c>
      <c r="BL201" s="15" t="str">
        <f t="shared" ref="BL201:BL231" si="602">"1"</f>
        <v>1</v>
      </c>
      <c r="BM201" s="15" t="s">
        <v>2043</v>
      </c>
      <c r="BN201" s="15" t="str">
        <f t="shared" ref="BN201:BN202" si="603">"64.17"</f>
        <v>64.17</v>
      </c>
      <c r="BO201" s="15" t="str">
        <f t="shared" ref="BO201:BO202" si="604">"22.44"</f>
        <v>22.44</v>
      </c>
      <c r="BP201" s="15" t="str">
        <f t="shared" ref="BP201:BP202" si="605">"36.42"</f>
        <v>36.42</v>
      </c>
      <c r="BQ201" s="15" t="str">
        <f t="shared" ref="BQ201:BQ202" si="606">"221.56"</f>
        <v>221.56</v>
      </c>
      <c r="CG201" s="15" t="str">
        <f t="shared" ref="CG201:CG202" si="607">"30.34"</f>
        <v>30.34</v>
      </c>
      <c r="CH201" s="15" t="str">
        <f t="shared" ref="CH201:CH202" si="608">"0.859"</f>
        <v>0.859</v>
      </c>
      <c r="CI201" s="15" t="s">
        <v>497</v>
      </c>
      <c r="CM201" s="15" t="s">
        <v>716</v>
      </c>
      <c r="CN201" s="15" t="s">
        <v>3048</v>
      </c>
      <c r="CO201" s="15" t="s">
        <v>3049</v>
      </c>
      <c r="CZ201" s="15" t="s">
        <v>418</v>
      </c>
      <c r="DA201" s="15">
        <v>6.0</v>
      </c>
      <c r="DB201" s="15" t="s">
        <v>419</v>
      </c>
      <c r="DD201" s="15">
        <v>0.0</v>
      </c>
      <c r="DF201" s="15" t="s">
        <v>1186</v>
      </c>
      <c r="DG201" s="15" t="s">
        <v>421</v>
      </c>
      <c r="DK201" s="15">
        <v>0.0</v>
      </c>
      <c r="DR201" s="15" t="s">
        <v>422</v>
      </c>
      <c r="DS201" s="15" t="s">
        <v>3050</v>
      </c>
      <c r="DU201" s="15" t="s">
        <v>500</v>
      </c>
      <c r="EV201" s="15">
        <v>1.0</v>
      </c>
      <c r="FQ201" s="15">
        <v>0.0</v>
      </c>
      <c r="FR201" s="15" t="s">
        <v>427</v>
      </c>
      <c r="FX201" s="15" t="s">
        <v>426</v>
      </c>
      <c r="FZ201" s="15" t="s">
        <v>3051</v>
      </c>
      <c r="GB201" s="15" t="s">
        <v>3052</v>
      </c>
      <c r="GD201" s="15" t="s">
        <v>3053</v>
      </c>
      <c r="GF201" s="15" t="s">
        <v>431</v>
      </c>
      <c r="GH201" s="15" t="s">
        <v>764</v>
      </c>
    </row>
    <row r="202" ht="17.25" customHeight="1">
      <c r="A202" s="15" t="s">
        <v>3056</v>
      </c>
      <c r="B202" s="15" t="str">
        <f>"801542745127"</f>
        <v>801542745127</v>
      </c>
      <c r="C202" s="15" t="s">
        <v>13396</v>
      </c>
      <c r="D202" s="15" t="str">
        <f t="shared" si="1"/>
        <v>Caspian 6 Drawer DresserNatural Ash</v>
      </c>
      <c r="E202" s="15" t="s">
        <v>3037</v>
      </c>
      <c r="F202" s="15" t="s">
        <v>397</v>
      </c>
      <c r="G202" s="15" t="s">
        <v>3055</v>
      </c>
      <c r="J202" s="15" t="s">
        <v>3055</v>
      </c>
      <c r="K202" s="15" t="s">
        <v>3058</v>
      </c>
      <c r="L202" s="15" t="s">
        <v>3044</v>
      </c>
      <c r="M202" s="15" t="s">
        <v>2063</v>
      </c>
      <c r="N202" s="15" t="s">
        <v>412</v>
      </c>
      <c r="P202" s="15" t="str">
        <f t="shared" si="596"/>
        <v>60</v>
      </c>
      <c r="Q202" s="15" t="str">
        <f t="shared" si="597"/>
        <v>18</v>
      </c>
      <c r="R202" s="15" t="str">
        <f t="shared" si="598"/>
        <v>30</v>
      </c>
      <c r="S202" s="15" t="str">
        <f t="shared" si="599"/>
        <v>184.08</v>
      </c>
      <c r="T202" s="15" t="s">
        <v>3042</v>
      </c>
      <c r="U202" s="15" t="s">
        <v>13381</v>
      </c>
      <c r="V202" s="15" t="s">
        <v>11139</v>
      </c>
      <c r="AA202" s="15" t="s">
        <v>413</v>
      </c>
      <c r="AB202" s="15" t="s">
        <v>413</v>
      </c>
      <c r="AC202" s="15" t="s">
        <v>3059</v>
      </c>
      <c r="AD202" s="15" t="s">
        <v>13397</v>
      </c>
      <c r="AE202" s="15" t="s">
        <v>3057</v>
      </c>
      <c r="AF202" s="15" t="s">
        <v>13398</v>
      </c>
      <c r="AG202" s="15" t="s">
        <v>13399</v>
      </c>
      <c r="AH202" s="15" t="s">
        <v>13400</v>
      </c>
      <c r="AI202" s="15" t="s">
        <v>13401</v>
      </c>
      <c r="AJ202" s="15" t="s">
        <v>13402</v>
      </c>
      <c r="AK202" s="15" t="s">
        <v>13403</v>
      </c>
      <c r="AL202" s="15" t="s">
        <v>13404</v>
      </c>
      <c r="AM202" s="15" t="s">
        <v>13405</v>
      </c>
      <c r="AN202" s="15" t="s">
        <v>13406</v>
      </c>
      <c r="AO202" s="15" t="s">
        <v>13407</v>
      </c>
      <c r="AP202" s="15" t="s">
        <v>13408</v>
      </c>
      <c r="AQ202" s="15" t="s">
        <v>13409</v>
      </c>
      <c r="AR202" s="15" t="s">
        <v>13410</v>
      </c>
      <c r="BH202" s="15" t="s">
        <v>3054</v>
      </c>
      <c r="BI202" s="15" t="str">
        <f t="shared" si="600"/>
        <v>2099</v>
      </c>
      <c r="BJ202" s="15" t="str">
        <f t="shared" si="601"/>
        <v>885</v>
      </c>
      <c r="BK202" s="15" t="s">
        <v>742</v>
      </c>
      <c r="BL202" s="15" t="str">
        <f t="shared" si="602"/>
        <v>1</v>
      </c>
      <c r="BM202" s="15" t="s">
        <v>2043</v>
      </c>
      <c r="BN202" s="15" t="str">
        <f t="shared" si="603"/>
        <v>64.17</v>
      </c>
      <c r="BO202" s="15" t="str">
        <f t="shared" si="604"/>
        <v>22.44</v>
      </c>
      <c r="BP202" s="15" t="str">
        <f t="shared" si="605"/>
        <v>36.42</v>
      </c>
      <c r="BQ202" s="15" t="str">
        <f t="shared" si="606"/>
        <v>221.56</v>
      </c>
      <c r="CG202" s="15" t="str">
        <f t="shared" si="607"/>
        <v>30.34</v>
      </c>
      <c r="CH202" s="15" t="str">
        <f t="shared" si="608"/>
        <v>0.859</v>
      </c>
      <c r="CI202" s="15" t="s">
        <v>497</v>
      </c>
      <c r="CM202" s="15" t="s">
        <v>716</v>
      </c>
      <c r="CN202" s="15" t="s">
        <v>3048</v>
      </c>
      <c r="CO202" s="15" t="s">
        <v>3049</v>
      </c>
      <c r="CZ202" s="15" t="s">
        <v>418</v>
      </c>
      <c r="DA202" s="15">
        <v>6.0</v>
      </c>
      <c r="DB202" s="15" t="s">
        <v>419</v>
      </c>
      <c r="DD202" s="15">
        <v>0.0</v>
      </c>
      <c r="DF202" s="15" t="s">
        <v>1186</v>
      </c>
      <c r="DG202" s="15" t="s">
        <v>421</v>
      </c>
      <c r="DK202" s="15">
        <v>0.0</v>
      </c>
      <c r="DR202" s="15" t="s">
        <v>422</v>
      </c>
      <c r="DS202" s="15" t="s">
        <v>3050</v>
      </c>
      <c r="DU202" s="15" t="s">
        <v>500</v>
      </c>
      <c r="EV202" s="15">
        <v>1.0</v>
      </c>
      <c r="FQ202" s="15">
        <v>0.0</v>
      </c>
      <c r="FR202" s="15" t="s">
        <v>427</v>
      </c>
      <c r="FX202" s="15" t="s">
        <v>426</v>
      </c>
      <c r="FZ202" s="15" t="s">
        <v>3051</v>
      </c>
      <c r="GB202" s="15" t="s">
        <v>3052</v>
      </c>
      <c r="GD202" s="15" t="s">
        <v>3053</v>
      </c>
      <c r="GF202" s="15" t="s">
        <v>431</v>
      </c>
      <c r="GH202" s="15" t="s">
        <v>764</v>
      </c>
    </row>
    <row r="203" ht="17.25" customHeight="1">
      <c r="A203" s="15" t="s">
        <v>3062</v>
      </c>
      <c r="B203" s="15" t="str">
        <f>"801542856540"</f>
        <v>801542856540</v>
      </c>
      <c r="C203" s="15" t="s">
        <v>13411</v>
      </c>
      <c r="D203" s="15" t="str">
        <f t="shared" si="1"/>
        <v>Caspian Coffee TableBlack Ash</v>
      </c>
      <c r="E203" s="15" t="s">
        <v>3060</v>
      </c>
      <c r="F203" s="15" t="s">
        <v>397</v>
      </c>
      <c r="G203" s="15" t="s">
        <v>3039</v>
      </c>
      <c r="J203" s="15" t="s">
        <v>3039</v>
      </c>
      <c r="K203" s="15" t="s">
        <v>3043</v>
      </c>
      <c r="M203" s="15" t="s">
        <v>2063</v>
      </c>
      <c r="N203" s="15" t="s">
        <v>491</v>
      </c>
      <c r="P203" s="15" t="str">
        <f t="shared" ref="P203:P204" si="609">"55"</f>
        <v>55</v>
      </c>
      <c r="Q203" s="15" t="str">
        <f t="shared" ref="Q203:Q204" si="610">"35"</f>
        <v>35</v>
      </c>
      <c r="R203" s="15" t="str">
        <f t="shared" ref="R203:R204" si="611">"15"</f>
        <v>15</v>
      </c>
      <c r="S203" s="15" t="str">
        <f t="shared" ref="S203:S204" si="612">"119.05"</f>
        <v>119.05</v>
      </c>
      <c r="T203" s="15" t="s">
        <v>3065</v>
      </c>
      <c r="U203" s="15" t="s">
        <v>13381</v>
      </c>
      <c r="AA203" s="15" t="s">
        <v>413</v>
      </c>
      <c r="AB203" s="15" t="s">
        <v>413</v>
      </c>
      <c r="AC203" s="15" t="s">
        <v>3066</v>
      </c>
      <c r="AD203" s="15" t="s">
        <v>13412</v>
      </c>
      <c r="AE203" s="15" t="s">
        <v>3064</v>
      </c>
      <c r="AF203" s="15" t="s">
        <v>13413</v>
      </c>
      <c r="AG203" s="15" t="s">
        <v>13414</v>
      </c>
      <c r="AH203" s="15" t="s">
        <v>13415</v>
      </c>
      <c r="AI203" s="15" t="s">
        <v>13416</v>
      </c>
      <c r="AJ203" s="15" t="s">
        <v>13417</v>
      </c>
      <c r="AK203" s="15" t="s">
        <v>13418</v>
      </c>
      <c r="AL203" s="15" t="s">
        <v>13419</v>
      </c>
      <c r="AM203" s="15" t="s">
        <v>13420</v>
      </c>
      <c r="AN203" s="15" t="s">
        <v>13421</v>
      </c>
      <c r="BH203" s="15" t="s">
        <v>3061</v>
      </c>
      <c r="BI203" s="15" t="str">
        <f t="shared" ref="BI203:BI204" si="613">"1499"</f>
        <v>1499</v>
      </c>
      <c r="BJ203" s="15" t="str">
        <f t="shared" ref="BJ203:BJ204" si="614">"630"</f>
        <v>630</v>
      </c>
      <c r="BK203" s="15" t="s">
        <v>742</v>
      </c>
      <c r="BL203" s="15" t="str">
        <f t="shared" si="602"/>
        <v>1</v>
      </c>
      <c r="BM203" s="15" t="s">
        <v>416</v>
      </c>
      <c r="BN203" s="15" t="str">
        <f t="shared" ref="BN203:BN204" si="615">"59.25"</f>
        <v>59.25</v>
      </c>
      <c r="BO203" s="15" t="str">
        <f t="shared" ref="BO203:BO204" si="616">"39.37"</f>
        <v>39.37</v>
      </c>
      <c r="BP203" s="15" t="str">
        <f t="shared" ref="BP203:BP204" si="617">"22.05"</f>
        <v>22.05</v>
      </c>
      <c r="BQ203" s="15" t="str">
        <f t="shared" ref="BQ203:BQ204" si="618">"157.63"</f>
        <v>157.63</v>
      </c>
      <c r="CG203" s="15" t="str">
        <f t="shared" ref="CG203:CG204" si="619">"29.77"</f>
        <v>29.77</v>
      </c>
      <c r="CH203" s="15" t="str">
        <f t="shared" ref="CH203:CH204" si="620">"0.843"</f>
        <v>0.843</v>
      </c>
      <c r="CI203" s="15" t="s">
        <v>497</v>
      </c>
      <c r="CM203" s="15" t="s">
        <v>2434</v>
      </c>
      <c r="CN203" s="15" t="s">
        <v>3068</v>
      </c>
      <c r="CO203" s="15" t="s">
        <v>3069</v>
      </c>
      <c r="CZ203" s="15" t="s">
        <v>419</v>
      </c>
      <c r="DA203" s="15">
        <v>0.0</v>
      </c>
      <c r="DB203" s="15" t="s">
        <v>419</v>
      </c>
      <c r="DD203" s="15">
        <v>0.0</v>
      </c>
      <c r="DF203" s="15" t="s">
        <v>1186</v>
      </c>
      <c r="DG203" s="15" t="s">
        <v>1914</v>
      </c>
      <c r="DK203" s="15">
        <v>0.0</v>
      </c>
      <c r="DR203" s="15" t="s">
        <v>471</v>
      </c>
      <c r="DS203" s="15" t="s">
        <v>3050</v>
      </c>
      <c r="DU203" s="15" t="s">
        <v>500</v>
      </c>
      <c r="EQ203" s="15" t="s">
        <v>2434</v>
      </c>
      <c r="ER203" s="15" t="s">
        <v>504</v>
      </c>
      <c r="ES203" s="15" t="s">
        <v>2337</v>
      </c>
      <c r="ET203" s="15" t="s">
        <v>1121</v>
      </c>
      <c r="EU203" s="15" t="s">
        <v>426</v>
      </c>
      <c r="EV203" s="15">
        <v>1.0</v>
      </c>
      <c r="EW203" s="15">
        <v>0.0</v>
      </c>
    </row>
    <row r="204" ht="17.25" customHeight="1">
      <c r="A204" s="15" t="s">
        <v>3071</v>
      </c>
      <c r="B204" s="15" t="str">
        <f>"801542921996"</f>
        <v>801542921996</v>
      </c>
      <c r="C204" s="15" t="s">
        <v>13422</v>
      </c>
      <c r="D204" s="15" t="str">
        <f t="shared" si="1"/>
        <v>Caspian Coffee TableNatural Ash</v>
      </c>
      <c r="E204" s="15" t="s">
        <v>3060</v>
      </c>
      <c r="F204" s="15" t="s">
        <v>397</v>
      </c>
      <c r="G204" s="15" t="s">
        <v>3055</v>
      </c>
      <c r="J204" s="15" t="s">
        <v>3055</v>
      </c>
      <c r="K204" s="15" t="s">
        <v>3058</v>
      </c>
      <c r="M204" s="15" t="s">
        <v>2063</v>
      </c>
      <c r="N204" s="15" t="s">
        <v>491</v>
      </c>
      <c r="P204" s="15" t="str">
        <f t="shared" si="609"/>
        <v>55</v>
      </c>
      <c r="Q204" s="15" t="str">
        <f t="shared" si="610"/>
        <v>35</v>
      </c>
      <c r="R204" s="15" t="str">
        <f t="shared" si="611"/>
        <v>15</v>
      </c>
      <c r="S204" s="15" t="str">
        <f t="shared" si="612"/>
        <v>119.05</v>
      </c>
      <c r="T204" s="15" t="s">
        <v>3065</v>
      </c>
      <c r="U204" s="15" t="s">
        <v>13381</v>
      </c>
      <c r="AA204" s="15" t="s">
        <v>413</v>
      </c>
      <c r="AB204" s="15" t="s">
        <v>413</v>
      </c>
      <c r="AC204" s="15" t="s">
        <v>3073</v>
      </c>
      <c r="AD204" s="15" t="s">
        <v>13423</v>
      </c>
      <c r="AE204" s="15" t="s">
        <v>3072</v>
      </c>
      <c r="AF204" s="15" t="s">
        <v>13424</v>
      </c>
      <c r="AG204" s="15" t="s">
        <v>13425</v>
      </c>
      <c r="AH204" s="15" t="s">
        <v>13426</v>
      </c>
      <c r="AI204" s="15" t="s">
        <v>13427</v>
      </c>
      <c r="AJ204" s="15" t="s">
        <v>13428</v>
      </c>
      <c r="AK204" s="15" t="s">
        <v>13429</v>
      </c>
      <c r="AL204" s="15" t="s">
        <v>13430</v>
      </c>
      <c r="AM204" s="15" t="s">
        <v>13431</v>
      </c>
      <c r="AN204" s="15" t="s">
        <v>13432</v>
      </c>
      <c r="AO204" s="15" t="s">
        <v>13433</v>
      </c>
      <c r="AP204" s="15" t="s">
        <v>13434</v>
      </c>
      <c r="AQ204" s="15" t="s">
        <v>13435</v>
      </c>
      <c r="BH204" s="15" t="s">
        <v>3070</v>
      </c>
      <c r="BI204" s="15" t="str">
        <f t="shared" si="613"/>
        <v>1499</v>
      </c>
      <c r="BJ204" s="15" t="str">
        <f t="shared" si="614"/>
        <v>630</v>
      </c>
      <c r="BK204" s="15" t="s">
        <v>742</v>
      </c>
      <c r="BL204" s="15" t="str">
        <f t="shared" si="602"/>
        <v>1</v>
      </c>
      <c r="BM204" s="15" t="s">
        <v>416</v>
      </c>
      <c r="BN204" s="15" t="str">
        <f t="shared" si="615"/>
        <v>59.25</v>
      </c>
      <c r="BO204" s="15" t="str">
        <f t="shared" si="616"/>
        <v>39.37</v>
      </c>
      <c r="BP204" s="15" t="str">
        <f t="shared" si="617"/>
        <v>22.05</v>
      </c>
      <c r="BQ204" s="15" t="str">
        <f t="shared" si="618"/>
        <v>157.63</v>
      </c>
      <c r="CG204" s="15" t="str">
        <f t="shared" si="619"/>
        <v>29.77</v>
      </c>
      <c r="CH204" s="15" t="str">
        <f t="shared" si="620"/>
        <v>0.843</v>
      </c>
      <c r="CI204" s="15" t="s">
        <v>497</v>
      </c>
      <c r="CM204" s="15" t="s">
        <v>2434</v>
      </c>
      <c r="CN204" s="15" t="s">
        <v>3068</v>
      </c>
      <c r="CO204" s="15" t="s">
        <v>3069</v>
      </c>
      <c r="CZ204" s="15" t="s">
        <v>419</v>
      </c>
      <c r="DA204" s="15">
        <v>0.0</v>
      </c>
      <c r="DB204" s="15" t="s">
        <v>419</v>
      </c>
      <c r="DD204" s="15">
        <v>0.0</v>
      </c>
      <c r="DF204" s="15" t="s">
        <v>1186</v>
      </c>
      <c r="DG204" s="15" t="s">
        <v>1914</v>
      </c>
      <c r="DK204" s="15">
        <v>0.0</v>
      </c>
      <c r="DR204" s="15" t="s">
        <v>471</v>
      </c>
      <c r="DS204" s="15" t="s">
        <v>3050</v>
      </c>
      <c r="DU204" s="15" t="s">
        <v>500</v>
      </c>
      <c r="EQ204" s="15" t="s">
        <v>2434</v>
      </c>
      <c r="ER204" s="15" t="s">
        <v>504</v>
      </c>
      <c r="ES204" s="15" t="s">
        <v>2337</v>
      </c>
      <c r="ET204" s="15" t="s">
        <v>1121</v>
      </c>
      <c r="EU204" s="15" t="s">
        <v>426</v>
      </c>
      <c r="EV204" s="15">
        <v>1.0</v>
      </c>
      <c r="EW204" s="15">
        <v>0.0</v>
      </c>
    </row>
    <row r="205" ht="17.25" customHeight="1">
      <c r="A205" s="15" t="s">
        <v>3076</v>
      </c>
      <c r="B205" s="15" t="str">
        <f>"801542907433"</f>
        <v>801542907433</v>
      </c>
      <c r="C205" s="15" t="s">
        <v>13436</v>
      </c>
      <c r="D205" s="15" t="str">
        <f t="shared" si="1"/>
        <v>Caspian Console TableBlack Ash Veneer</v>
      </c>
      <c r="E205" s="15" t="s">
        <v>3074</v>
      </c>
      <c r="F205" s="15" t="s">
        <v>397</v>
      </c>
      <c r="G205" s="15" t="s">
        <v>3043</v>
      </c>
      <c r="J205" s="15" t="s">
        <v>3043</v>
      </c>
      <c r="K205" s="15" t="s">
        <v>3044</v>
      </c>
      <c r="M205" s="15" t="s">
        <v>2063</v>
      </c>
      <c r="N205" s="15" t="s">
        <v>519</v>
      </c>
      <c r="P205" s="15" t="str">
        <f t="shared" ref="P205:P206" si="621">"60"</f>
        <v>60</v>
      </c>
      <c r="Q205" s="15" t="str">
        <f t="shared" ref="Q205:Q207" si="622">"19"</f>
        <v>19</v>
      </c>
      <c r="R205" s="15" t="str">
        <f t="shared" ref="R205:R207" si="623">"26.75"</f>
        <v>26.75</v>
      </c>
      <c r="S205" s="15" t="str">
        <f t="shared" ref="S205:S206" si="624">"116.84"</f>
        <v>116.84</v>
      </c>
      <c r="T205" s="15" t="s">
        <v>3078</v>
      </c>
      <c r="U205" s="15" t="s">
        <v>11149</v>
      </c>
      <c r="V205" s="15" t="s">
        <v>13381</v>
      </c>
      <c r="W205" s="15" t="s">
        <v>11139</v>
      </c>
      <c r="AA205" s="15" t="s">
        <v>413</v>
      </c>
      <c r="AB205" s="15" t="s">
        <v>413</v>
      </c>
      <c r="AD205" s="15" t="s">
        <v>13437</v>
      </c>
      <c r="AE205" s="15" t="s">
        <v>3077</v>
      </c>
      <c r="AF205" s="15" t="s">
        <v>13438</v>
      </c>
      <c r="AG205" s="15" t="s">
        <v>13439</v>
      </c>
      <c r="AH205" s="15" t="s">
        <v>13440</v>
      </c>
      <c r="AI205" s="15" t="s">
        <v>13441</v>
      </c>
      <c r="AJ205" s="15" t="s">
        <v>13442</v>
      </c>
      <c r="AK205" s="15" t="s">
        <v>13443</v>
      </c>
      <c r="AL205" s="15" t="s">
        <v>13444</v>
      </c>
      <c r="AM205" s="15" t="s">
        <v>13445</v>
      </c>
      <c r="AN205" s="15" t="s">
        <v>13446</v>
      </c>
      <c r="AO205" s="15" t="s">
        <v>13447</v>
      </c>
      <c r="AP205" s="15" t="s">
        <v>13448</v>
      </c>
      <c r="BH205" s="15" t="s">
        <v>3075</v>
      </c>
      <c r="BI205" s="15" t="str">
        <f t="shared" ref="BI205:BI206" si="625">"1599"</f>
        <v>1599</v>
      </c>
      <c r="BJ205" s="15" t="str">
        <f t="shared" ref="BJ205:BJ206" si="626">"675"</f>
        <v>675</v>
      </c>
      <c r="BK205" s="15" t="s">
        <v>742</v>
      </c>
      <c r="BL205" s="15" t="str">
        <f t="shared" si="602"/>
        <v>1</v>
      </c>
      <c r="BM205" s="15" t="s">
        <v>2043</v>
      </c>
      <c r="BN205" s="15" t="str">
        <f t="shared" ref="BN205:BN206" si="627">"64.37"</f>
        <v>64.37</v>
      </c>
      <c r="BO205" s="15" t="str">
        <f t="shared" ref="BO205:BO206" si="628">"22.83"</f>
        <v>22.83</v>
      </c>
      <c r="BP205" s="15" t="str">
        <f t="shared" ref="BP205:BP207" si="629">"33.86"</f>
        <v>33.86</v>
      </c>
      <c r="BQ205" s="15" t="str">
        <f t="shared" ref="BQ205:BQ206" si="630">"147.71"</f>
        <v>147.71</v>
      </c>
      <c r="CG205" s="15" t="str">
        <f t="shared" ref="CG205:CG206" si="631">"28.82"</f>
        <v>28.82</v>
      </c>
      <c r="CH205" s="15" t="str">
        <f t="shared" ref="CH205:CH206" si="632">"0.816"</f>
        <v>0.816</v>
      </c>
      <c r="CI205" s="15" t="s">
        <v>465</v>
      </c>
      <c r="CM205" s="15" t="s">
        <v>823</v>
      </c>
      <c r="CN205" s="15" t="s">
        <v>779</v>
      </c>
      <c r="CO205" s="15" t="s">
        <v>3081</v>
      </c>
      <c r="CZ205" s="15" t="s">
        <v>418</v>
      </c>
      <c r="DA205" s="15">
        <v>2.0</v>
      </c>
      <c r="DB205" s="15" t="s">
        <v>419</v>
      </c>
      <c r="DD205" s="15">
        <v>0.0</v>
      </c>
      <c r="DF205" s="15" t="s">
        <v>1186</v>
      </c>
      <c r="DG205" s="15" t="s">
        <v>421</v>
      </c>
      <c r="DK205" s="15">
        <v>0.0</v>
      </c>
      <c r="DR205" s="15" t="s">
        <v>471</v>
      </c>
      <c r="DS205" s="15" t="s">
        <v>3050</v>
      </c>
      <c r="DU205" s="15" t="s">
        <v>500</v>
      </c>
      <c r="ET205" s="15" t="s">
        <v>612</v>
      </c>
      <c r="EU205" s="15" t="s">
        <v>426</v>
      </c>
      <c r="EV205" s="15">
        <v>1.0</v>
      </c>
      <c r="EW205" s="15">
        <v>0.0</v>
      </c>
      <c r="FQ205" s="15">
        <v>0.0</v>
      </c>
      <c r="FR205" s="15" t="s">
        <v>427</v>
      </c>
      <c r="FX205" s="15" t="s">
        <v>426</v>
      </c>
      <c r="FZ205" s="15" t="s">
        <v>3082</v>
      </c>
      <c r="GB205" s="15" t="s">
        <v>3083</v>
      </c>
      <c r="GD205" s="15" t="s">
        <v>2650</v>
      </c>
      <c r="GF205" s="15" t="s">
        <v>838</v>
      </c>
      <c r="GH205" s="15" t="s">
        <v>764</v>
      </c>
    </row>
    <row r="206" ht="17.25" customHeight="1">
      <c r="A206" s="15" t="s">
        <v>3085</v>
      </c>
      <c r="B206" s="15" t="str">
        <f>"801542874551"</f>
        <v>801542874551</v>
      </c>
      <c r="C206" s="15" t="s">
        <v>13449</v>
      </c>
      <c r="D206" s="15" t="str">
        <f t="shared" si="1"/>
        <v>Caspian Console TableNatural Ash Veneer</v>
      </c>
      <c r="E206" s="15" t="s">
        <v>3074</v>
      </c>
      <c r="F206" s="15" t="s">
        <v>397</v>
      </c>
      <c r="G206" s="15" t="s">
        <v>3058</v>
      </c>
      <c r="J206" s="15" t="s">
        <v>3058</v>
      </c>
      <c r="K206" s="15" t="s">
        <v>3044</v>
      </c>
      <c r="M206" s="15" t="s">
        <v>2063</v>
      </c>
      <c r="N206" s="15" t="s">
        <v>519</v>
      </c>
      <c r="P206" s="15" t="str">
        <f t="shared" si="621"/>
        <v>60</v>
      </c>
      <c r="Q206" s="15" t="str">
        <f t="shared" si="622"/>
        <v>19</v>
      </c>
      <c r="R206" s="15" t="str">
        <f t="shared" si="623"/>
        <v>26.75</v>
      </c>
      <c r="S206" s="15" t="str">
        <f t="shared" si="624"/>
        <v>116.84</v>
      </c>
      <c r="T206" s="15" t="s">
        <v>3078</v>
      </c>
      <c r="U206" s="15" t="s">
        <v>11149</v>
      </c>
      <c r="V206" s="15" t="s">
        <v>13381</v>
      </c>
      <c r="W206" s="15" t="s">
        <v>11139</v>
      </c>
      <c r="AA206" s="15" t="s">
        <v>413</v>
      </c>
      <c r="AB206" s="15" t="s">
        <v>413</v>
      </c>
      <c r="AD206" s="15" t="s">
        <v>13450</v>
      </c>
      <c r="AE206" s="15" t="s">
        <v>3086</v>
      </c>
      <c r="AF206" s="15" t="s">
        <v>13451</v>
      </c>
      <c r="AG206" s="15" t="s">
        <v>13452</v>
      </c>
      <c r="AH206" s="15" t="s">
        <v>13453</v>
      </c>
      <c r="AI206" s="15" t="s">
        <v>13454</v>
      </c>
      <c r="AJ206" s="15" t="s">
        <v>13455</v>
      </c>
      <c r="AK206" s="15" t="s">
        <v>13456</v>
      </c>
      <c r="AL206" s="15" t="s">
        <v>13457</v>
      </c>
      <c r="AM206" s="15" t="s">
        <v>13458</v>
      </c>
      <c r="AN206" s="15" t="s">
        <v>13459</v>
      </c>
      <c r="AO206" s="15" t="s">
        <v>13460</v>
      </c>
      <c r="AP206" s="15" t="s">
        <v>13461</v>
      </c>
      <c r="AQ206" s="15" t="s">
        <v>13462</v>
      </c>
      <c r="AR206" s="15" t="s">
        <v>13463</v>
      </c>
      <c r="BH206" s="15" t="s">
        <v>3084</v>
      </c>
      <c r="BI206" s="15" t="str">
        <f t="shared" si="625"/>
        <v>1599</v>
      </c>
      <c r="BJ206" s="15" t="str">
        <f t="shared" si="626"/>
        <v>675</v>
      </c>
      <c r="BK206" s="15" t="s">
        <v>742</v>
      </c>
      <c r="BL206" s="15" t="str">
        <f t="shared" si="602"/>
        <v>1</v>
      </c>
      <c r="BM206" s="15" t="s">
        <v>2043</v>
      </c>
      <c r="BN206" s="15" t="str">
        <f t="shared" si="627"/>
        <v>64.37</v>
      </c>
      <c r="BO206" s="15" t="str">
        <f t="shared" si="628"/>
        <v>22.83</v>
      </c>
      <c r="BP206" s="15" t="str">
        <f t="shared" si="629"/>
        <v>33.86</v>
      </c>
      <c r="BQ206" s="15" t="str">
        <f t="shared" si="630"/>
        <v>147.71</v>
      </c>
      <c r="CG206" s="15" t="str">
        <f t="shared" si="631"/>
        <v>28.82</v>
      </c>
      <c r="CH206" s="15" t="str">
        <f t="shared" si="632"/>
        <v>0.816</v>
      </c>
      <c r="CI206" s="15" t="s">
        <v>417</v>
      </c>
      <c r="CM206" s="15" t="s">
        <v>823</v>
      </c>
      <c r="CN206" s="15" t="s">
        <v>779</v>
      </c>
      <c r="CO206" s="15" t="s">
        <v>3081</v>
      </c>
      <c r="CZ206" s="15" t="s">
        <v>418</v>
      </c>
      <c r="DA206" s="15">
        <v>2.0</v>
      </c>
      <c r="DB206" s="15" t="s">
        <v>419</v>
      </c>
      <c r="DD206" s="15">
        <v>0.0</v>
      </c>
      <c r="DF206" s="15" t="s">
        <v>1186</v>
      </c>
      <c r="DG206" s="15" t="s">
        <v>421</v>
      </c>
      <c r="DK206" s="15">
        <v>0.0</v>
      </c>
      <c r="DR206" s="15" t="s">
        <v>471</v>
      </c>
      <c r="DS206" s="15" t="s">
        <v>3050</v>
      </c>
      <c r="DU206" s="15" t="s">
        <v>500</v>
      </c>
      <c r="ET206" s="15" t="s">
        <v>612</v>
      </c>
      <c r="EU206" s="15" t="s">
        <v>426</v>
      </c>
      <c r="EV206" s="15">
        <v>1.0</v>
      </c>
      <c r="EW206" s="15">
        <v>0.0</v>
      </c>
      <c r="FQ206" s="15">
        <v>0.0</v>
      </c>
      <c r="FR206" s="15" t="s">
        <v>427</v>
      </c>
      <c r="FX206" s="15" t="s">
        <v>426</v>
      </c>
      <c r="FZ206" s="15" t="s">
        <v>3082</v>
      </c>
      <c r="GB206" s="15" t="s">
        <v>3083</v>
      </c>
      <c r="GD206" s="15" t="s">
        <v>2650</v>
      </c>
      <c r="GF206" s="15" t="s">
        <v>838</v>
      </c>
      <c r="GH206" s="15" t="s">
        <v>764</v>
      </c>
    </row>
    <row r="207" ht="17.25" customHeight="1">
      <c r="A207" s="15" t="s">
        <v>3089</v>
      </c>
      <c r="B207" s="15" t="str">
        <f>"801542745882"</f>
        <v>801542745882</v>
      </c>
      <c r="C207" s="15" t="s">
        <v>13464</v>
      </c>
      <c r="D207" s="15" t="str">
        <f t="shared" si="1"/>
        <v>Caspian Media ConsoleNatural Ash</v>
      </c>
      <c r="E207" s="15" t="s">
        <v>3087</v>
      </c>
      <c r="F207" s="15" t="s">
        <v>397</v>
      </c>
      <c r="G207" s="15" t="s">
        <v>3055</v>
      </c>
      <c r="J207" s="15" t="s">
        <v>3055</v>
      </c>
      <c r="K207" s="15" t="s">
        <v>3058</v>
      </c>
      <c r="L207" s="15" t="s">
        <v>3044</v>
      </c>
      <c r="M207" s="15" t="s">
        <v>2063</v>
      </c>
      <c r="N207" s="15" t="s">
        <v>602</v>
      </c>
      <c r="P207" s="15" t="str">
        <f>"85.75"</f>
        <v>85.75</v>
      </c>
      <c r="Q207" s="15" t="str">
        <f t="shared" si="622"/>
        <v>19</v>
      </c>
      <c r="R207" s="15" t="str">
        <f t="shared" si="623"/>
        <v>26.75</v>
      </c>
      <c r="S207" s="15" t="str">
        <f>"221.56"</f>
        <v>221.56</v>
      </c>
      <c r="T207" s="15" t="s">
        <v>3042</v>
      </c>
      <c r="U207" s="15" t="s">
        <v>13381</v>
      </c>
      <c r="V207" s="15" t="s">
        <v>11139</v>
      </c>
      <c r="AA207" s="15" t="s">
        <v>413</v>
      </c>
      <c r="AB207" s="15" t="s">
        <v>413</v>
      </c>
      <c r="AC207" s="15" t="s">
        <v>3094</v>
      </c>
      <c r="AD207" s="15" t="s">
        <v>13465</v>
      </c>
      <c r="AE207" s="15" t="s">
        <v>3091</v>
      </c>
      <c r="AF207" s="15" t="s">
        <v>13466</v>
      </c>
      <c r="AG207" s="15" t="s">
        <v>13467</v>
      </c>
      <c r="AH207" s="15" t="s">
        <v>13468</v>
      </c>
      <c r="AI207" s="15" t="s">
        <v>13469</v>
      </c>
      <c r="AJ207" s="15" t="s">
        <v>13470</v>
      </c>
      <c r="AK207" s="15" t="s">
        <v>13471</v>
      </c>
      <c r="AL207" s="15" t="s">
        <v>13472</v>
      </c>
      <c r="AM207" s="15" t="s">
        <v>13473</v>
      </c>
      <c r="AN207" s="15" t="s">
        <v>13474</v>
      </c>
      <c r="AO207" s="15" t="s">
        <v>13475</v>
      </c>
      <c r="AP207" s="15" t="s">
        <v>13476</v>
      </c>
      <c r="AQ207" s="15" t="s">
        <v>13477</v>
      </c>
      <c r="AR207" s="15" t="s">
        <v>13478</v>
      </c>
      <c r="BH207" s="15" t="s">
        <v>3088</v>
      </c>
      <c r="BI207" s="15" t="str">
        <f>"2499"</f>
        <v>2499</v>
      </c>
      <c r="BJ207" s="15" t="str">
        <f>"1050"</f>
        <v>1050</v>
      </c>
      <c r="BK207" s="15" t="s">
        <v>742</v>
      </c>
      <c r="BL207" s="15" t="str">
        <f t="shared" si="602"/>
        <v>1</v>
      </c>
      <c r="BM207" s="15" t="s">
        <v>416</v>
      </c>
      <c r="BN207" s="15" t="str">
        <f>"90.16"</f>
        <v>90.16</v>
      </c>
      <c r="BO207" s="15" t="str">
        <f>"23.23"</f>
        <v>23.23</v>
      </c>
      <c r="BP207" s="15" t="str">
        <f t="shared" si="629"/>
        <v>33.86</v>
      </c>
      <c r="BQ207" s="15" t="str">
        <f>"265.66"</f>
        <v>265.66</v>
      </c>
      <c r="CG207" s="15" t="str">
        <f>"41.04"</f>
        <v>41.04</v>
      </c>
      <c r="CH207" s="15" t="str">
        <f>"1.162"</f>
        <v>1.162</v>
      </c>
      <c r="CI207" s="15" t="s">
        <v>465</v>
      </c>
      <c r="CM207" s="15" t="s">
        <v>778</v>
      </c>
      <c r="CN207" s="15" t="s">
        <v>3097</v>
      </c>
      <c r="CO207" s="15" t="s">
        <v>2141</v>
      </c>
      <c r="CZ207" s="15" t="s">
        <v>418</v>
      </c>
      <c r="DA207" s="15">
        <v>2.0</v>
      </c>
      <c r="DB207" s="15" t="s">
        <v>419</v>
      </c>
      <c r="DD207" s="15">
        <v>0.0</v>
      </c>
      <c r="DF207" s="15" t="s">
        <v>1186</v>
      </c>
      <c r="DG207" s="15" t="s">
        <v>610</v>
      </c>
      <c r="DI207" s="15">
        <v>0.0</v>
      </c>
      <c r="DJ207" s="15">
        <v>0.0</v>
      </c>
      <c r="DK207" s="15">
        <v>2.0</v>
      </c>
      <c r="DS207" s="15" t="s">
        <v>3050</v>
      </c>
      <c r="EU207" s="15" t="s">
        <v>426</v>
      </c>
      <c r="EV207" s="15">
        <v>5.0</v>
      </c>
      <c r="FH207" s="15" t="s">
        <v>3098</v>
      </c>
      <c r="FI207" s="15" t="s">
        <v>3099</v>
      </c>
      <c r="FJ207" s="15" t="s">
        <v>3100</v>
      </c>
      <c r="FK207" s="15" t="s">
        <v>778</v>
      </c>
      <c r="FL207" s="15" t="s">
        <v>612</v>
      </c>
      <c r="FM207" s="15" t="s">
        <v>2141</v>
      </c>
      <c r="FO207" s="15" t="s">
        <v>426</v>
      </c>
      <c r="FP207" s="15" t="s">
        <v>785</v>
      </c>
      <c r="FQ207" s="15">
        <v>2.0</v>
      </c>
      <c r="FR207" s="15" t="s">
        <v>614</v>
      </c>
      <c r="FS207" s="15" t="s">
        <v>1045</v>
      </c>
      <c r="FU207" s="15" t="s">
        <v>426</v>
      </c>
      <c r="FW207" s="15" t="s">
        <v>616</v>
      </c>
      <c r="FX207" s="15" t="s">
        <v>426</v>
      </c>
      <c r="FZ207" s="15" t="s">
        <v>3082</v>
      </c>
      <c r="GB207" s="15" t="s">
        <v>3101</v>
      </c>
      <c r="GD207" s="15" t="s">
        <v>3102</v>
      </c>
      <c r="GF207" s="15" t="s">
        <v>431</v>
      </c>
      <c r="GH207" s="15" t="s">
        <v>764</v>
      </c>
      <c r="GJ207" s="15" t="s">
        <v>778</v>
      </c>
      <c r="GK207" s="15" t="s">
        <v>3097</v>
      </c>
      <c r="GL207" s="15" t="s">
        <v>2141</v>
      </c>
      <c r="GM207" s="15">
        <v>0.0</v>
      </c>
      <c r="GZ207" s="15" t="s">
        <v>823</v>
      </c>
      <c r="HA207" s="15" t="s">
        <v>823</v>
      </c>
      <c r="HB207" s="15" t="s">
        <v>3048</v>
      </c>
      <c r="HC207" s="15" t="s">
        <v>3048</v>
      </c>
      <c r="HD207" s="15" t="s">
        <v>3103</v>
      </c>
      <c r="HE207" s="15" t="s">
        <v>3104</v>
      </c>
      <c r="HF207" s="15" t="s">
        <v>1957</v>
      </c>
      <c r="HQ207" s="15" t="s">
        <v>426</v>
      </c>
      <c r="KG207" s="15" t="s">
        <v>823</v>
      </c>
      <c r="KH207" s="15" t="s">
        <v>3048</v>
      </c>
      <c r="KI207" s="15" t="s">
        <v>3103</v>
      </c>
    </row>
    <row r="208" ht="17.25" customHeight="1">
      <c r="A208" s="15" t="s">
        <v>3107</v>
      </c>
      <c r="B208" s="15" t="str">
        <f>"801542761318"</f>
        <v>801542761318</v>
      </c>
      <c r="C208" s="15" t="s">
        <v>13479</v>
      </c>
      <c r="D208" s="15" t="str">
        <f t="shared" si="1"/>
        <v>Caspian NightstandBlack Ash Veneer</v>
      </c>
      <c r="E208" s="15" t="s">
        <v>3105</v>
      </c>
      <c r="F208" s="15" t="s">
        <v>397</v>
      </c>
      <c r="G208" s="15" t="s">
        <v>3043</v>
      </c>
      <c r="J208" s="15" t="s">
        <v>3043</v>
      </c>
      <c r="K208" s="15" t="s">
        <v>3044</v>
      </c>
      <c r="M208" s="15" t="s">
        <v>2063</v>
      </c>
      <c r="N208" s="15" t="s">
        <v>628</v>
      </c>
      <c r="P208" s="15" t="str">
        <f t="shared" ref="P208:P209" si="633">"20.5"</f>
        <v>20.5</v>
      </c>
      <c r="Q208" s="15" t="str">
        <f t="shared" ref="Q208:Q209" si="634">"19.25"</f>
        <v>19.25</v>
      </c>
      <c r="R208" s="15" t="str">
        <f t="shared" ref="R208:R209" si="635">"25"</f>
        <v>25</v>
      </c>
      <c r="S208" s="15" t="str">
        <f t="shared" ref="S208:S209" si="636">"62.83"</f>
        <v>62.83</v>
      </c>
      <c r="T208" s="15" t="s">
        <v>3078</v>
      </c>
      <c r="U208" s="15" t="s">
        <v>11149</v>
      </c>
      <c r="V208" s="15" t="s">
        <v>13381</v>
      </c>
      <c r="W208" s="15" t="s">
        <v>11139</v>
      </c>
      <c r="AA208" s="15" t="s">
        <v>413</v>
      </c>
      <c r="AB208" s="15" t="s">
        <v>413</v>
      </c>
      <c r="AD208" s="15" t="s">
        <v>13480</v>
      </c>
      <c r="AE208" s="15" t="s">
        <v>3109</v>
      </c>
      <c r="AF208" s="15" t="s">
        <v>13481</v>
      </c>
      <c r="AG208" s="15" t="s">
        <v>13482</v>
      </c>
      <c r="AH208" s="15" t="s">
        <v>13483</v>
      </c>
      <c r="AI208" s="15" t="s">
        <v>13484</v>
      </c>
      <c r="AJ208" s="15" t="s">
        <v>13485</v>
      </c>
      <c r="AK208" s="15" t="s">
        <v>13486</v>
      </c>
      <c r="AL208" s="15" t="s">
        <v>13487</v>
      </c>
      <c r="AM208" s="15" t="s">
        <v>13488</v>
      </c>
      <c r="AN208" s="15" t="s">
        <v>13489</v>
      </c>
      <c r="AO208" s="15" t="s">
        <v>13490</v>
      </c>
      <c r="AP208" s="15" t="s">
        <v>13491</v>
      </c>
      <c r="BH208" s="15" t="s">
        <v>3106</v>
      </c>
      <c r="BI208" s="15" t="str">
        <f t="shared" ref="BI208:BI209" si="637">"649"</f>
        <v>649</v>
      </c>
      <c r="BJ208" s="15" t="str">
        <f t="shared" ref="BJ208:BJ209" si="638">"275"</f>
        <v>275</v>
      </c>
      <c r="BK208" s="15" t="s">
        <v>742</v>
      </c>
      <c r="BL208" s="15" t="str">
        <f t="shared" si="602"/>
        <v>1</v>
      </c>
      <c r="BM208" s="15" t="s">
        <v>416</v>
      </c>
      <c r="BN208" s="15" t="str">
        <f t="shared" ref="BN208:BN209" si="639">"24.61"</f>
        <v>24.61</v>
      </c>
      <c r="BO208" s="15" t="str">
        <f t="shared" ref="BO208:BO209" si="640">"23.62"</f>
        <v>23.62</v>
      </c>
      <c r="BP208" s="15" t="str">
        <f t="shared" ref="BP208:BP209" si="641">"31.69"</f>
        <v>31.69</v>
      </c>
      <c r="BQ208" s="15" t="str">
        <f t="shared" ref="BQ208:BQ209" si="642">"79.37"</f>
        <v>79.37</v>
      </c>
      <c r="CG208" s="15" t="str">
        <f t="shared" ref="CG208:CG209" si="643">"10.67"</f>
        <v>10.67</v>
      </c>
      <c r="CH208" s="15" t="str">
        <f t="shared" ref="CH208:CH209" si="644">"0.302"</f>
        <v>0.302</v>
      </c>
      <c r="CI208" s="15" t="s">
        <v>497</v>
      </c>
      <c r="CM208" s="15" t="s">
        <v>2738</v>
      </c>
      <c r="CN208" s="15" t="s">
        <v>3098</v>
      </c>
      <c r="CO208" s="15" t="s">
        <v>3111</v>
      </c>
      <c r="CZ208" s="15" t="s">
        <v>418</v>
      </c>
      <c r="DA208" s="15">
        <v>1.0</v>
      </c>
      <c r="DB208" s="15" t="s">
        <v>419</v>
      </c>
      <c r="DD208" s="15">
        <v>0.0</v>
      </c>
      <c r="DF208" s="15" t="s">
        <v>1186</v>
      </c>
      <c r="DG208" s="15" t="s">
        <v>421</v>
      </c>
      <c r="DK208" s="15">
        <v>0.0</v>
      </c>
      <c r="DR208" s="15" t="s">
        <v>471</v>
      </c>
      <c r="DS208" s="15" t="s">
        <v>3050</v>
      </c>
      <c r="DU208" s="15" t="s">
        <v>500</v>
      </c>
      <c r="EU208" s="15" t="s">
        <v>426</v>
      </c>
      <c r="EV208" s="15">
        <v>1.0</v>
      </c>
      <c r="FQ208" s="15">
        <v>0.0</v>
      </c>
      <c r="FR208" s="15" t="s">
        <v>427</v>
      </c>
      <c r="FX208" s="15" t="s">
        <v>426</v>
      </c>
      <c r="FZ208" s="15" t="s">
        <v>2348</v>
      </c>
      <c r="GB208" s="15" t="s">
        <v>2468</v>
      </c>
      <c r="GD208" s="15" t="s">
        <v>3112</v>
      </c>
      <c r="GF208" s="15" t="s">
        <v>431</v>
      </c>
      <c r="GH208" s="15" t="s">
        <v>764</v>
      </c>
    </row>
    <row r="209" ht="17.25" customHeight="1">
      <c r="A209" s="15" t="s">
        <v>3114</v>
      </c>
      <c r="B209" s="15" t="str">
        <f>"801542745134"</f>
        <v>801542745134</v>
      </c>
      <c r="C209" s="15" t="s">
        <v>13492</v>
      </c>
      <c r="D209" s="15" t="str">
        <f t="shared" si="1"/>
        <v>Caspian NightstandNatural Ash Veneer</v>
      </c>
      <c r="E209" s="15" t="s">
        <v>3105</v>
      </c>
      <c r="F209" s="15" t="s">
        <v>397</v>
      </c>
      <c r="G209" s="15" t="s">
        <v>3058</v>
      </c>
      <c r="J209" s="15" t="s">
        <v>3058</v>
      </c>
      <c r="K209" s="15" t="s">
        <v>3044</v>
      </c>
      <c r="M209" s="15" t="s">
        <v>2063</v>
      </c>
      <c r="N209" s="15" t="s">
        <v>628</v>
      </c>
      <c r="P209" s="15" t="str">
        <f t="shared" si="633"/>
        <v>20.5</v>
      </c>
      <c r="Q209" s="15" t="str">
        <f t="shared" si="634"/>
        <v>19.25</v>
      </c>
      <c r="R209" s="15" t="str">
        <f t="shared" si="635"/>
        <v>25</v>
      </c>
      <c r="S209" s="15" t="str">
        <f t="shared" si="636"/>
        <v>62.83</v>
      </c>
      <c r="T209" s="15" t="s">
        <v>3078</v>
      </c>
      <c r="U209" s="15" t="s">
        <v>11149</v>
      </c>
      <c r="V209" s="15" t="s">
        <v>13381</v>
      </c>
      <c r="W209" s="15" t="s">
        <v>11139</v>
      </c>
      <c r="AA209" s="15" t="s">
        <v>413</v>
      </c>
      <c r="AB209" s="15" t="s">
        <v>413</v>
      </c>
      <c r="AD209" s="15" t="s">
        <v>13493</v>
      </c>
      <c r="AE209" s="15" t="s">
        <v>3115</v>
      </c>
      <c r="AF209" s="15" t="s">
        <v>13494</v>
      </c>
      <c r="AG209" s="15" t="s">
        <v>13495</v>
      </c>
      <c r="AH209" s="15" t="s">
        <v>13496</v>
      </c>
      <c r="AI209" s="15" t="s">
        <v>13497</v>
      </c>
      <c r="AJ209" s="15" t="s">
        <v>13498</v>
      </c>
      <c r="AK209" s="15" t="s">
        <v>13499</v>
      </c>
      <c r="AL209" s="15" t="s">
        <v>13500</v>
      </c>
      <c r="AM209" s="15" t="s">
        <v>13501</v>
      </c>
      <c r="AN209" s="15" t="s">
        <v>13502</v>
      </c>
      <c r="BH209" s="15" t="s">
        <v>3113</v>
      </c>
      <c r="BI209" s="15" t="str">
        <f t="shared" si="637"/>
        <v>649</v>
      </c>
      <c r="BJ209" s="15" t="str">
        <f t="shared" si="638"/>
        <v>275</v>
      </c>
      <c r="BK209" s="15" t="s">
        <v>742</v>
      </c>
      <c r="BL209" s="15" t="str">
        <f t="shared" si="602"/>
        <v>1</v>
      </c>
      <c r="BM209" s="15" t="s">
        <v>416</v>
      </c>
      <c r="BN209" s="15" t="str">
        <f t="shared" si="639"/>
        <v>24.61</v>
      </c>
      <c r="BO209" s="15" t="str">
        <f t="shared" si="640"/>
        <v>23.62</v>
      </c>
      <c r="BP209" s="15" t="str">
        <f t="shared" si="641"/>
        <v>31.69</v>
      </c>
      <c r="BQ209" s="15" t="str">
        <f t="shared" si="642"/>
        <v>79.37</v>
      </c>
      <c r="CG209" s="15" t="str">
        <f t="shared" si="643"/>
        <v>10.67</v>
      </c>
      <c r="CH209" s="15" t="str">
        <f t="shared" si="644"/>
        <v>0.302</v>
      </c>
      <c r="CI209" s="15" t="s">
        <v>497</v>
      </c>
      <c r="CM209" s="15" t="s">
        <v>2738</v>
      </c>
      <c r="CN209" s="15" t="s">
        <v>3098</v>
      </c>
      <c r="CO209" s="15" t="s">
        <v>3111</v>
      </c>
      <c r="CZ209" s="15" t="s">
        <v>418</v>
      </c>
      <c r="DA209" s="15">
        <v>1.0</v>
      </c>
      <c r="DB209" s="15" t="s">
        <v>419</v>
      </c>
      <c r="DD209" s="15">
        <v>0.0</v>
      </c>
      <c r="DF209" s="15" t="s">
        <v>1186</v>
      </c>
      <c r="DG209" s="15" t="s">
        <v>421</v>
      </c>
      <c r="DK209" s="15">
        <v>0.0</v>
      </c>
      <c r="DR209" s="15" t="s">
        <v>471</v>
      </c>
      <c r="DS209" s="15" t="s">
        <v>3050</v>
      </c>
      <c r="DU209" s="15" t="s">
        <v>500</v>
      </c>
      <c r="EU209" s="15" t="s">
        <v>426</v>
      </c>
      <c r="EV209" s="15">
        <v>1.0</v>
      </c>
      <c r="FQ209" s="15">
        <v>0.0</v>
      </c>
      <c r="FR209" s="15" t="s">
        <v>427</v>
      </c>
      <c r="FX209" s="15" t="s">
        <v>426</v>
      </c>
      <c r="FZ209" s="15" t="s">
        <v>2348</v>
      </c>
      <c r="GB209" s="15" t="s">
        <v>2468</v>
      </c>
      <c r="GD209" s="15" t="s">
        <v>3112</v>
      </c>
      <c r="GF209" s="15" t="s">
        <v>431</v>
      </c>
      <c r="GH209" s="15" t="s">
        <v>764</v>
      </c>
    </row>
    <row r="210" ht="17.25" customHeight="1">
      <c r="A210" s="15" t="s">
        <v>3118</v>
      </c>
      <c r="B210" s="15" t="str">
        <f>"801542761325"</f>
        <v>801542761325</v>
      </c>
      <c r="C210" s="15" t="s">
        <v>13503</v>
      </c>
      <c r="D210" s="15" t="str">
        <f t="shared" si="1"/>
        <v>Caspian SideboardBlack Ash Veneer</v>
      </c>
      <c r="E210" s="15" t="s">
        <v>3116</v>
      </c>
      <c r="F210" s="15" t="s">
        <v>397</v>
      </c>
      <c r="G210" s="15" t="s">
        <v>3043</v>
      </c>
      <c r="J210" s="15" t="s">
        <v>3043</v>
      </c>
      <c r="K210" s="15" t="s">
        <v>3044</v>
      </c>
      <c r="M210" s="15" t="s">
        <v>2063</v>
      </c>
      <c r="N210" s="15" t="s">
        <v>664</v>
      </c>
      <c r="P210" s="15" t="str">
        <f t="shared" ref="P210:P211" si="645">"68.5"</f>
        <v>68.5</v>
      </c>
      <c r="Q210" s="15" t="str">
        <f t="shared" ref="Q210:Q211" si="646">"19"</f>
        <v>19</v>
      </c>
      <c r="R210" s="15" t="str">
        <f t="shared" ref="R210:R211" si="647">"30"</f>
        <v>30</v>
      </c>
      <c r="S210" s="15" t="str">
        <f t="shared" ref="S210:S211" si="648">"180.78"</f>
        <v>180.78</v>
      </c>
      <c r="T210" s="15" t="s">
        <v>3078</v>
      </c>
      <c r="U210" s="15" t="s">
        <v>11149</v>
      </c>
      <c r="V210" s="15" t="s">
        <v>13381</v>
      </c>
      <c r="W210" s="15" t="s">
        <v>11139</v>
      </c>
      <c r="AA210" s="15" t="s">
        <v>413</v>
      </c>
      <c r="AB210" s="15" t="s">
        <v>413</v>
      </c>
      <c r="AC210" s="15" t="s">
        <v>3122</v>
      </c>
      <c r="AD210" s="15" t="s">
        <v>13504</v>
      </c>
      <c r="AE210" s="15" t="s">
        <v>3119</v>
      </c>
      <c r="AF210" s="15" t="s">
        <v>13505</v>
      </c>
      <c r="AG210" s="15" t="s">
        <v>13506</v>
      </c>
      <c r="AH210" s="15" t="s">
        <v>13507</v>
      </c>
      <c r="AI210" s="15" t="s">
        <v>13508</v>
      </c>
      <c r="AJ210" s="15" t="s">
        <v>13509</v>
      </c>
      <c r="AK210" s="15" t="s">
        <v>13510</v>
      </c>
      <c r="AL210" s="15" t="s">
        <v>13511</v>
      </c>
      <c r="AM210" s="15" t="s">
        <v>13512</v>
      </c>
      <c r="AN210" s="15" t="s">
        <v>13513</v>
      </c>
      <c r="AO210" s="15" t="s">
        <v>13514</v>
      </c>
      <c r="AP210" s="15" t="s">
        <v>13515</v>
      </c>
      <c r="AQ210" s="15" t="s">
        <v>13516</v>
      </c>
      <c r="BH210" s="15" t="s">
        <v>3117</v>
      </c>
      <c r="BI210" s="15" t="str">
        <f t="shared" ref="BI210:BI211" si="649">"2199"</f>
        <v>2199</v>
      </c>
      <c r="BJ210" s="15" t="str">
        <f t="shared" ref="BJ210:BJ211" si="650">"925"</f>
        <v>925</v>
      </c>
      <c r="BK210" s="15" t="s">
        <v>742</v>
      </c>
      <c r="BL210" s="15" t="str">
        <f t="shared" si="602"/>
        <v>1</v>
      </c>
      <c r="BM210" s="15" t="s">
        <v>2043</v>
      </c>
      <c r="BN210" s="15" t="str">
        <f t="shared" ref="BN210:BN211" si="651">"72.24"</f>
        <v>72.24</v>
      </c>
      <c r="BO210" s="15" t="str">
        <f t="shared" ref="BO210:BO211" si="652">"22.76"</f>
        <v>22.76</v>
      </c>
      <c r="BP210" s="15" t="str">
        <f t="shared" ref="BP210:BP211" si="653">"36.3"</f>
        <v>36.3</v>
      </c>
      <c r="BQ210" s="15" t="str">
        <f t="shared" ref="BQ210:BQ211" si="654">"218.26"</f>
        <v>218.26</v>
      </c>
      <c r="CG210" s="15" t="str">
        <f t="shared" ref="CG210:CG211" si="655">"34.54"</f>
        <v>34.54</v>
      </c>
      <c r="CH210" s="15" t="str">
        <f t="shared" ref="CH210:CH211" si="656">"0.978"</f>
        <v>0.978</v>
      </c>
      <c r="CI210" s="15" t="s">
        <v>497</v>
      </c>
      <c r="CM210" s="15" t="s">
        <v>607</v>
      </c>
      <c r="CN210" s="15" t="s">
        <v>3127</v>
      </c>
      <c r="CO210" s="15" t="s">
        <v>3128</v>
      </c>
      <c r="CZ210" s="15" t="s">
        <v>419</v>
      </c>
      <c r="DA210" s="15">
        <v>0.0</v>
      </c>
      <c r="DB210" s="15" t="s">
        <v>419</v>
      </c>
      <c r="DD210" s="15">
        <v>0.0</v>
      </c>
      <c r="DF210" s="15" t="s">
        <v>1186</v>
      </c>
      <c r="DG210" s="15" t="s">
        <v>610</v>
      </c>
      <c r="DI210" s="15">
        <v>18.14</v>
      </c>
      <c r="DJ210" s="15">
        <v>40.0</v>
      </c>
      <c r="DK210" s="15">
        <v>2.0</v>
      </c>
      <c r="DS210" s="15" t="s">
        <v>3050</v>
      </c>
      <c r="DU210" s="15" t="s">
        <v>500</v>
      </c>
      <c r="EU210" s="15" t="s">
        <v>426</v>
      </c>
      <c r="EV210" s="15">
        <v>3.0</v>
      </c>
      <c r="FH210" s="15" t="s">
        <v>3129</v>
      </c>
      <c r="FI210" s="15" t="s">
        <v>3130</v>
      </c>
      <c r="FJ210" s="15" t="s">
        <v>3131</v>
      </c>
      <c r="FK210" s="15" t="s">
        <v>607</v>
      </c>
      <c r="FL210" s="15" t="s">
        <v>3132</v>
      </c>
      <c r="FM210" s="15" t="s">
        <v>3128</v>
      </c>
      <c r="FN210" s="15">
        <v>0.0</v>
      </c>
      <c r="FP210" s="15" t="s">
        <v>785</v>
      </c>
      <c r="FQ210" s="15">
        <v>4.0</v>
      </c>
      <c r="FR210" s="15" t="s">
        <v>3133</v>
      </c>
      <c r="FS210" s="15" t="s">
        <v>786</v>
      </c>
      <c r="FT210" s="15">
        <v>0.0</v>
      </c>
      <c r="FU210" s="15" t="s">
        <v>426</v>
      </c>
      <c r="FW210" s="15" t="s">
        <v>616</v>
      </c>
      <c r="GJ210" s="15" t="s">
        <v>607</v>
      </c>
      <c r="GK210" s="15" t="s">
        <v>3127</v>
      </c>
      <c r="GL210" s="15" t="s">
        <v>3128</v>
      </c>
      <c r="GZ210" s="15" t="s">
        <v>823</v>
      </c>
      <c r="HB210" s="15" t="s">
        <v>3134</v>
      </c>
      <c r="HD210" s="15" t="s">
        <v>3135</v>
      </c>
      <c r="HF210" s="15" t="s">
        <v>1957</v>
      </c>
      <c r="HQ210" s="15" t="s">
        <v>426</v>
      </c>
    </row>
    <row r="211" ht="17.25" customHeight="1">
      <c r="A211" s="15" t="s">
        <v>3137</v>
      </c>
      <c r="B211" s="15" t="str">
        <f>"801542745875"</f>
        <v>801542745875</v>
      </c>
      <c r="C211" s="15" t="s">
        <v>13517</v>
      </c>
      <c r="D211" s="15" t="str">
        <f t="shared" si="1"/>
        <v>Caspian SideboardNatural Ash Veneer</v>
      </c>
      <c r="E211" s="15" t="s">
        <v>3116</v>
      </c>
      <c r="F211" s="15" t="s">
        <v>397</v>
      </c>
      <c r="G211" s="15" t="s">
        <v>3058</v>
      </c>
      <c r="J211" s="15" t="s">
        <v>3058</v>
      </c>
      <c r="K211" s="15" t="s">
        <v>3044</v>
      </c>
      <c r="M211" s="15" t="s">
        <v>2063</v>
      </c>
      <c r="N211" s="15" t="s">
        <v>664</v>
      </c>
      <c r="P211" s="15" t="str">
        <f t="shared" si="645"/>
        <v>68.5</v>
      </c>
      <c r="Q211" s="15" t="str">
        <f t="shared" si="646"/>
        <v>19</v>
      </c>
      <c r="R211" s="15" t="str">
        <f t="shared" si="647"/>
        <v>30</v>
      </c>
      <c r="S211" s="15" t="str">
        <f t="shared" si="648"/>
        <v>180.78</v>
      </c>
      <c r="T211" s="15" t="s">
        <v>3078</v>
      </c>
      <c r="U211" s="15" t="s">
        <v>11149</v>
      </c>
      <c r="V211" s="15" t="s">
        <v>13381</v>
      </c>
      <c r="W211" s="15" t="s">
        <v>11139</v>
      </c>
      <c r="AA211" s="15" t="s">
        <v>413</v>
      </c>
      <c r="AB211" s="15" t="s">
        <v>413</v>
      </c>
      <c r="AC211" s="15" t="s">
        <v>3139</v>
      </c>
      <c r="AD211" s="15" t="s">
        <v>13518</v>
      </c>
      <c r="AE211" s="15" t="s">
        <v>3138</v>
      </c>
      <c r="AF211" s="15" t="s">
        <v>13519</v>
      </c>
      <c r="AG211" s="15" t="s">
        <v>13520</v>
      </c>
      <c r="AH211" s="15" t="s">
        <v>13521</v>
      </c>
      <c r="AI211" s="15" t="s">
        <v>13522</v>
      </c>
      <c r="AJ211" s="15" t="s">
        <v>13523</v>
      </c>
      <c r="AK211" s="15" t="s">
        <v>13524</v>
      </c>
      <c r="AL211" s="15" t="s">
        <v>13525</v>
      </c>
      <c r="AM211" s="15" t="s">
        <v>13526</v>
      </c>
      <c r="AN211" s="15" t="s">
        <v>13527</v>
      </c>
      <c r="AO211" s="15" t="s">
        <v>13528</v>
      </c>
      <c r="AP211" s="15" t="s">
        <v>13529</v>
      </c>
      <c r="AQ211" s="15" t="s">
        <v>13530</v>
      </c>
      <c r="AR211" s="15" t="s">
        <v>13531</v>
      </c>
      <c r="AS211" s="15" t="s">
        <v>13532</v>
      </c>
      <c r="BH211" s="15" t="s">
        <v>3136</v>
      </c>
      <c r="BI211" s="15" t="str">
        <f t="shared" si="649"/>
        <v>2199</v>
      </c>
      <c r="BJ211" s="15" t="str">
        <f t="shared" si="650"/>
        <v>925</v>
      </c>
      <c r="BK211" s="15" t="s">
        <v>742</v>
      </c>
      <c r="BL211" s="15" t="str">
        <f t="shared" si="602"/>
        <v>1</v>
      </c>
      <c r="BM211" s="15" t="s">
        <v>2043</v>
      </c>
      <c r="BN211" s="15" t="str">
        <f t="shared" si="651"/>
        <v>72.24</v>
      </c>
      <c r="BO211" s="15" t="str">
        <f t="shared" si="652"/>
        <v>22.76</v>
      </c>
      <c r="BP211" s="15" t="str">
        <f t="shared" si="653"/>
        <v>36.3</v>
      </c>
      <c r="BQ211" s="15" t="str">
        <f t="shared" si="654"/>
        <v>218.26</v>
      </c>
      <c r="CG211" s="15" t="str">
        <f t="shared" si="655"/>
        <v>34.54</v>
      </c>
      <c r="CH211" s="15" t="str">
        <f t="shared" si="656"/>
        <v>0.978</v>
      </c>
      <c r="CI211" s="15" t="s">
        <v>465</v>
      </c>
      <c r="CM211" s="15" t="s">
        <v>607</v>
      </c>
      <c r="CN211" s="15" t="s">
        <v>3127</v>
      </c>
      <c r="CO211" s="15" t="s">
        <v>3128</v>
      </c>
      <c r="CZ211" s="15" t="s">
        <v>419</v>
      </c>
      <c r="DA211" s="15">
        <v>0.0</v>
      </c>
      <c r="DB211" s="15" t="s">
        <v>419</v>
      </c>
      <c r="DD211" s="15">
        <v>0.0</v>
      </c>
      <c r="DF211" s="15" t="s">
        <v>1186</v>
      </c>
      <c r="DG211" s="15" t="s">
        <v>610</v>
      </c>
      <c r="DI211" s="15">
        <v>18.14</v>
      </c>
      <c r="DJ211" s="15">
        <v>40.0</v>
      </c>
      <c r="DK211" s="15">
        <v>2.0</v>
      </c>
      <c r="DS211" s="15" t="s">
        <v>3050</v>
      </c>
      <c r="DU211" s="15" t="s">
        <v>500</v>
      </c>
      <c r="EU211" s="15" t="s">
        <v>426</v>
      </c>
      <c r="EV211" s="15">
        <v>3.0</v>
      </c>
      <c r="FH211" s="15" t="s">
        <v>3129</v>
      </c>
      <c r="FI211" s="15" t="s">
        <v>3130</v>
      </c>
      <c r="FJ211" s="15" t="s">
        <v>3131</v>
      </c>
      <c r="FK211" s="15" t="s">
        <v>607</v>
      </c>
      <c r="FL211" s="15" t="s">
        <v>3132</v>
      </c>
      <c r="FM211" s="15" t="s">
        <v>3128</v>
      </c>
      <c r="FN211" s="15">
        <v>0.0</v>
      </c>
      <c r="FP211" s="15" t="s">
        <v>785</v>
      </c>
      <c r="FQ211" s="15">
        <v>4.0</v>
      </c>
      <c r="FR211" s="15" t="s">
        <v>3133</v>
      </c>
      <c r="FS211" s="15" t="s">
        <v>786</v>
      </c>
      <c r="FT211" s="15">
        <v>0.0</v>
      </c>
      <c r="FU211" s="15" t="s">
        <v>426</v>
      </c>
      <c r="FW211" s="15" t="s">
        <v>616</v>
      </c>
      <c r="GJ211" s="15" t="s">
        <v>607</v>
      </c>
      <c r="GK211" s="15" t="s">
        <v>3127</v>
      </c>
      <c r="GL211" s="15" t="s">
        <v>3128</v>
      </c>
      <c r="GZ211" s="15" t="s">
        <v>823</v>
      </c>
      <c r="HB211" s="15" t="s">
        <v>3134</v>
      </c>
      <c r="HD211" s="15" t="s">
        <v>3135</v>
      </c>
      <c r="HF211" s="15" t="s">
        <v>1957</v>
      </c>
      <c r="HQ211" s="15" t="s">
        <v>426</v>
      </c>
    </row>
    <row r="212" ht="17.25" customHeight="1">
      <c r="A212" s="15" t="s">
        <v>3143</v>
      </c>
      <c r="B212" s="15" t="str">
        <f>"801542805203"</f>
        <v>801542805203</v>
      </c>
      <c r="C212" s="15" t="s">
        <v>13533</v>
      </c>
      <c r="D212" s="15" t="str">
        <f t="shared" si="1"/>
        <v>Cassio DresserNatural Reclaimed French Oak</v>
      </c>
      <c r="E212" s="15" t="s">
        <v>3140</v>
      </c>
      <c r="F212" s="15" t="s">
        <v>397</v>
      </c>
      <c r="G212" s="15" t="s">
        <v>3142</v>
      </c>
      <c r="J212" s="15" t="s">
        <v>3142</v>
      </c>
      <c r="K212" s="15" t="s">
        <v>3149</v>
      </c>
      <c r="M212" s="15" t="s">
        <v>2759</v>
      </c>
      <c r="N212" s="15" t="s">
        <v>412</v>
      </c>
      <c r="P212" s="15" t="str">
        <f>"88.5"</f>
        <v>88.5</v>
      </c>
      <c r="Q212" s="15" t="str">
        <f>"21.5"</f>
        <v>21.5</v>
      </c>
      <c r="R212" s="15" t="str">
        <f>"31.5"</f>
        <v>31.5</v>
      </c>
      <c r="S212" s="15" t="str">
        <f>"281.97"</f>
        <v>281.97</v>
      </c>
      <c r="T212" s="15" t="s">
        <v>3146</v>
      </c>
      <c r="U212" s="15" t="s">
        <v>13534</v>
      </c>
      <c r="V212" s="15" t="s">
        <v>13535</v>
      </c>
      <c r="AA212" s="15" t="s">
        <v>413</v>
      </c>
      <c r="AB212" s="15" t="s">
        <v>413</v>
      </c>
      <c r="AC212" s="15" t="s">
        <v>3150</v>
      </c>
      <c r="AD212" s="15" t="s">
        <v>13536</v>
      </c>
      <c r="AE212" s="15" t="s">
        <v>3145</v>
      </c>
      <c r="AF212" s="15" t="s">
        <v>13537</v>
      </c>
      <c r="AG212" s="15" t="s">
        <v>13538</v>
      </c>
      <c r="AH212" s="15" t="s">
        <v>13539</v>
      </c>
      <c r="AI212" s="15" t="s">
        <v>13540</v>
      </c>
      <c r="AJ212" s="15" t="s">
        <v>13541</v>
      </c>
      <c r="AK212" s="15" t="s">
        <v>13542</v>
      </c>
      <c r="AL212" s="15" t="s">
        <v>13543</v>
      </c>
      <c r="AM212" s="15" t="s">
        <v>13544</v>
      </c>
      <c r="AN212" s="15" t="s">
        <v>13545</v>
      </c>
      <c r="AO212" s="15" t="s">
        <v>13546</v>
      </c>
      <c r="AP212" s="15" t="s">
        <v>13547</v>
      </c>
      <c r="AQ212" s="15" t="s">
        <v>13548</v>
      </c>
      <c r="AR212" s="15" t="s">
        <v>13549</v>
      </c>
      <c r="AS212" s="15" t="s">
        <v>13550</v>
      </c>
      <c r="BH212" s="15" t="s">
        <v>3141</v>
      </c>
      <c r="BI212" s="15" t="str">
        <f>"4499"</f>
        <v>4499</v>
      </c>
      <c r="BJ212" s="15" t="str">
        <f>"1890"</f>
        <v>1890</v>
      </c>
      <c r="BK212" s="15" t="s">
        <v>742</v>
      </c>
      <c r="BL212" s="15" t="str">
        <f t="shared" si="602"/>
        <v>1</v>
      </c>
      <c r="BM212" s="15" t="s">
        <v>416</v>
      </c>
      <c r="BN212" s="15" t="str">
        <f>"91.34"</f>
        <v>91.34</v>
      </c>
      <c r="BO212" s="15" t="str">
        <f>"24.61"</f>
        <v>24.61</v>
      </c>
      <c r="BP212" s="15" t="str">
        <f>"40.16"</f>
        <v>40.16</v>
      </c>
      <c r="BQ212" s="15" t="str">
        <f>"341.28"</f>
        <v>341.28</v>
      </c>
      <c r="CG212" s="15" t="str">
        <f>"52.23"</f>
        <v>52.23</v>
      </c>
      <c r="CH212" s="15" t="str">
        <f>"1.479"</f>
        <v>1.479</v>
      </c>
      <c r="CI212" s="15" t="s">
        <v>465</v>
      </c>
      <c r="CZ212" s="15" t="s">
        <v>1371</v>
      </c>
      <c r="DA212" s="15">
        <v>6.0</v>
      </c>
      <c r="DB212" s="15" t="s">
        <v>1185</v>
      </c>
      <c r="DD212" s="15">
        <v>0.0</v>
      </c>
      <c r="DF212" s="15" t="s">
        <v>420</v>
      </c>
      <c r="DG212" s="15" t="s">
        <v>421</v>
      </c>
      <c r="DK212" s="15">
        <v>0.0</v>
      </c>
      <c r="DR212" s="15" t="s">
        <v>422</v>
      </c>
      <c r="DS212" s="15" t="s">
        <v>3153</v>
      </c>
      <c r="DU212" s="15" t="s">
        <v>424</v>
      </c>
      <c r="EF212" s="15" t="s">
        <v>2162</v>
      </c>
      <c r="EU212" s="15" t="s">
        <v>426</v>
      </c>
      <c r="EV212" s="15">
        <v>0.0</v>
      </c>
      <c r="FQ212" s="15">
        <v>0.0</v>
      </c>
      <c r="FR212" s="15" t="s">
        <v>427</v>
      </c>
      <c r="FX212" s="15" t="s">
        <v>426</v>
      </c>
      <c r="FZ212" s="15" t="s">
        <v>3154</v>
      </c>
      <c r="GB212" s="15" t="s">
        <v>3155</v>
      </c>
      <c r="GD212" s="15" t="s">
        <v>3156</v>
      </c>
      <c r="GF212" s="15" t="s">
        <v>431</v>
      </c>
      <c r="GH212" s="15" t="s">
        <v>1190</v>
      </c>
      <c r="GI212" s="15" t="s">
        <v>426</v>
      </c>
    </row>
    <row r="213" ht="17.25" customHeight="1">
      <c r="A213" s="15" t="s">
        <v>3159</v>
      </c>
      <c r="B213" s="15" t="str">
        <f>"801542805210"</f>
        <v>801542805210</v>
      </c>
      <c r="C213" s="15" t="s">
        <v>13551</v>
      </c>
      <c r="D213" s="15" t="str">
        <f t="shared" si="1"/>
        <v>Cassio NightstandNatural Reclaimed French Oak</v>
      </c>
      <c r="E213" s="15" t="s">
        <v>3157</v>
      </c>
      <c r="F213" s="15" t="s">
        <v>397</v>
      </c>
      <c r="G213" s="15" t="s">
        <v>3142</v>
      </c>
      <c r="J213" s="15" t="s">
        <v>3142</v>
      </c>
      <c r="K213" s="15" t="s">
        <v>3149</v>
      </c>
      <c r="M213" s="15" t="s">
        <v>2759</v>
      </c>
      <c r="N213" s="15" t="s">
        <v>628</v>
      </c>
      <c r="P213" s="15" t="str">
        <f>"29.5"</f>
        <v>29.5</v>
      </c>
      <c r="Q213" s="15" t="str">
        <f>"18"</f>
        <v>18</v>
      </c>
      <c r="R213" s="15" t="str">
        <f>"22.75"</f>
        <v>22.75</v>
      </c>
      <c r="S213" s="15" t="str">
        <f>"73.63"</f>
        <v>73.63</v>
      </c>
      <c r="T213" s="15" t="s">
        <v>3146</v>
      </c>
      <c r="U213" s="15" t="s">
        <v>13534</v>
      </c>
      <c r="V213" s="15" t="s">
        <v>13535</v>
      </c>
      <c r="AA213" s="15" t="s">
        <v>413</v>
      </c>
      <c r="AB213" s="15" t="s">
        <v>413</v>
      </c>
      <c r="AC213" s="15" t="s">
        <v>3161</v>
      </c>
      <c r="AD213" s="15" t="s">
        <v>13552</v>
      </c>
      <c r="AE213" s="15" t="s">
        <v>3160</v>
      </c>
      <c r="AF213" s="15" t="s">
        <v>13553</v>
      </c>
      <c r="AG213" s="15" t="s">
        <v>13554</v>
      </c>
      <c r="AH213" s="15" t="s">
        <v>13555</v>
      </c>
      <c r="AI213" s="15" t="s">
        <v>13556</v>
      </c>
      <c r="AJ213" s="15" t="s">
        <v>13557</v>
      </c>
      <c r="AK213" s="15" t="s">
        <v>13558</v>
      </c>
      <c r="AL213" s="15" t="s">
        <v>13559</v>
      </c>
      <c r="AM213" s="15" t="s">
        <v>13560</v>
      </c>
      <c r="AN213" s="15" t="s">
        <v>13561</v>
      </c>
      <c r="AO213" s="15" t="s">
        <v>13562</v>
      </c>
      <c r="AP213" s="15" t="s">
        <v>13563</v>
      </c>
      <c r="AQ213" s="15" t="s">
        <v>13564</v>
      </c>
      <c r="AR213" s="15" t="s">
        <v>13565</v>
      </c>
      <c r="BH213" s="15" t="s">
        <v>3158</v>
      </c>
      <c r="BI213" s="15" t="str">
        <f>"1799"</f>
        <v>1799</v>
      </c>
      <c r="BJ213" s="15" t="str">
        <f>"760"</f>
        <v>760</v>
      </c>
      <c r="BK213" s="15" t="s">
        <v>742</v>
      </c>
      <c r="BL213" s="15" t="str">
        <f t="shared" si="602"/>
        <v>1</v>
      </c>
      <c r="BM213" s="15" t="s">
        <v>416</v>
      </c>
      <c r="BN213" s="15" t="str">
        <f>"32.28"</f>
        <v>32.28</v>
      </c>
      <c r="BO213" s="15" t="str">
        <f>"21.46"</f>
        <v>21.46</v>
      </c>
      <c r="BP213" s="15" t="str">
        <f>"28.35"</f>
        <v>28.35</v>
      </c>
      <c r="BQ213" s="15" t="str">
        <f>"93.26"</f>
        <v>93.26</v>
      </c>
      <c r="CG213" s="15" t="str">
        <f>"11.37"</f>
        <v>11.37</v>
      </c>
      <c r="CH213" s="15" t="str">
        <f>"0.322"</f>
        <v>0.322</v>
      </c>
      <c r="CI213" s="15" t="s">
        <v>465</v>
      </c>
      <c r="CZ213" s="15" t="s">
        <v>418</v>
      </c>
      <c r="DA213" s="15">
        <v>3.0</v>
      </c>
      <c r="DB213" s="15" t="s">
        <v>1185</v>
      </c>
      <c r="DD213" s="15">
        <v>0.0</v>
      </c>
      <c r="DF213" s="15" t="s">
        <v>420</v>
      </c>
      <c r="DG213" s="15" t="s">
        <v>421</v>
      </c>
      <c r="DK213" s="15">
        <v>0.0</v>
      </c>
      <c r="DR213" s="15" t="s">
        <v>471</v>
      </c>
      <c r="DS213" s="15" t="s">
        <v>3153</v>
      </c>
      <c r="DU213" s="15" t="s">
        <v>500</v>
      </c>
      <c r="EF213" s="15" t="s">
        <v>2969</v>
      </c>
      <c r="EU213" s="15" t="s">
        <v>426</v>
      </c>
      <c r="EV213" s="15">
        <v>0.0</v>
      </c>
      <c r="FQ213" s="15">
        <v>0.0</v>
      </c>
      <c r="FR213" s="15" t="s">
        <v>427</v>
      </c>
      <c r="FX213" s="15" t="s">
        <v>426</v>
      </c>
      <c r="FZ213" s="15" t="s">
        <v>3163</v>
      </c>
      <c r="GB213" s="15" t="s">
        <v>3164</v>
      </c>
      <c r="GD213" s="15" t="s">
        <v>3165</v>
      </c>
      <c r="GF213" s="15" t="s">
        <v>431</v>
      </c>
      <c r="GH213" s="15" t="s">
        <v>1190</v>
      </c>
      <c r="GI213" s="15" t="s">
        <v>426</v>
      </c>
    </row>
    <row r="214" ht="17.25" customHeight="1">
      <c r="A214" s="15" t="s">
        <v>3169</v>
      </c>
      <c r="B214" s="15" t="str">
        <f>"801542032456"</f>
        <v>801542032456</v>
      </c>
      <c r="C214" s="15" t="s">
        <v>13566</v>
      </c>
      <c r="D214" s="15" t="str">
        <f t="shared" si="1"/>
        <v>Cassius ChairTorrance Silver</v>
      </c>
      <c r="E214" s="15" t="s">
        <v>3166</v>
      </c>
      <c r="F214" s="15" t="s">
        <v>397</v>
      </c>
      <c r="G214" s="15" t="s">
        <v>3168</v>
      </c>
      <c r="J214" s="15" t="s">
        <v>3168</v>
      </c>
      <c r="K214" s="15" t="s">
        <v>3173</v>
      </c>
      <c r="L214" s="15" t="s">
        <v>978</v>
      </c>
      <c r="M214" s="15" t="s">
        <v>2343</v>
      </c>
      <c r="N214" s="15" t="s">
        <v>706</v>
      </c>
      <c r="O214" s="15" t="s">
        <v>707</v>
      </c>
      <c r="P214" s="15" t="str">
        <f>"25.5"</f>
        <v>25.5</v>
      </c>
      <c r="Q214" s="15" t="str">
        <f>"34.5"</f>
        <v>34.5</v>
      </c>
      <c r="R214" s="15" t="str">
        <f>"30"</f>
        <v>30</v>
      </c>
      <c r="S214" s="15" t="str">
        <f>"79.81"</f>
        <v>79.81</v>
      </c>
      <c r="T214" s="15" t="s">
        <v>3172</v>
      </c>
      <c r="U214" s="15" t="s">
        <v>13567</v>
      </c>
      <c r="V214" s="15" t="s">
        <v>13568</v>
      </c>
      <c r="W214" s="15" t="s">
        <v>11210</v>
      </c>
      <c r="AA214" s="15" t="s">
        <v>413</v>
      </c>
      <c r="AB214" s="15" t="s">
        <v>426</v>
      </c>
      <c r="AC214" s="15" t="s">
        <v>3174</v>
      </c>
      <c r="AD214" s="15" t="s">
        <v>13569</v>
      </c>
      <c r="AE214" s="15" t="s">
        <v>3171</v>
      </c>
      <c r="AF214" s="15" t="s">
        <v>13570</v>
      </c>
      <c r="AG214" s="15" t="s">
        <v>13571</v>
      </c>
      <c r="AH214" s="15" t="s">
        <v>13572</v>
      </c>
      <c r="AI214" s="15" t="s">
        <v>13573</v>
      </c>
      <c r="AJ214" s="15" t="s">
        <v>13574</v>
      </c>
      <c r="AK214" s="15" t="s">
        <v>13575</v>
      </c>
      <c r="AL214" s="15" t="s">
        <v>13576</v>
      </c>
      <c r="AM214" s="15" t="s">
        <v>13577</v>
      </c>
      <c r="AN214" s="15" t="s">
        <v>13578</v>
      </c>
      <c r="AO214" s="15" t="s">
        <v>13579</v>
      </c>
      <c r="BH214" s="15" t="s">
        <v>3167</v>
      </c>
      <c r="BI214" s="15" t="str">
        <f>"2099"</f>
        <v>2099</v>
      </c>
      <c r="BJ214" s="15" t="str">
        <f>"885"</f>
        <v>885</v>
      </c>
      <c r="BK214" s="15" t="s">
        <v>709</v>
      </c>
      <c r="BL214" s="15" t="str">
        <f t="shared" si="602"/>
        <v>1</v>
      </c>
      <c r="BM214" s="15" t="s">
        <v>1477</v>
      </c>
      <c r="BN214" s="15" t="str">
        <f>"28.74"</f>
        <v>28.74</v>
      </c>
      <c r="BO214" s="15" t="str">
        <f>"37.4"</f>
        <v>37.4</v>
      </c>
      <c r="BP214" s="15" t="str">
        <f>"32.68"</f>
        <v>32.68</v>
      </c>
      <c r="BQ214" s="15" t="str">
        <f>"100.09"</f>
        <v>100.09</v>
      </c>
      <c r="CG214" s="15" t="str">
        <f>"18.5"</f>
        <v>18.5</v>
      </c>
      <c r="CH214" s="15" t="str">
        <f>"0.524"</f>
        <v>0.524</v>
      </c>
      <c r="CI214" s="15" t="s">
        <v>417</v>
      </c>
      <c r="CP214" s="15" t="s">
        <v>525</v>
      </c>
      <c r="CQ214" s="15" t="s">
        <v>477</v>
      </c>
      <c r="CR214" s="15" t="s">
        <v>525</v>
      </c>
      <c r="CS214" s="15" t="s">
        <v>525</v>
      </c>
      <c r="CT214" s="15" t="s">
        <v>467</v>
      </c>
      <c r="CU214" s="15" t="s">
        <v>525</v>
      </c>
      <c r="CV214" s="15">
        <v>0.0</v>
      </c>
      <c r="CW214" s="15">
        <v>1.0</v>
      </c>
      <c r="CX214" s="15" t="s">
        <v>717</v>
      </c>
      <c r="CY214" s="15" t="s">
        <v>934</v>
      </c>
      <c r="DF214" s="15" t="s">
        <v>721</v>
      </c>
      <c r="DG214" s="15" t="s">
        <v>419</v>
      </c>
      <c r="DH214" s="15">
        <v>0.0</v>
      </c>
      <c r="DL214" s="15">
        <v>200000.0</v>
      </c>
      <c r="DM214" s="15" t="s">
        <v>2733</v>
      </c>
      <c r="DN214" s="15" t="s">
        <v>723</v>
      </c>
      <c r="DO214" s="15" t="s">
        <v>1076</v>
      </c>
      <c r="DP214" s="15">
        <v>1.0</v>
      </c>
      <c r="DQ214" s="15">
        <v>1.0</v>
      </c>
      <c r="DS214" s="15" t="s">
        <v>3177</v>
      </c>
      <c r="DT214" s="15">
        <v>0.0</v>
      </c>
      <c r="DU214" s="15" t="s">
        <v>726</v>
      </c>
      <c r="DV214" s="15" t="s">
        <v>1211</v>
      </c>
      <c r="DW214" s="15" t="s">
        <v>477</v>
      </c>
      <c r="DX214" s="15" t="s">
        <v>1993</v>
      </c>
      <c r="EB214" s="15" t="s">
        <v>1188</v>
      </c>
      <c r="EC214" s="15" t="s">
        <v>429</v>
      </c>
      <c r="ED214" s="15" t="s">
        <v>1576</v>
      </c>
      <c r="EE214" s="15" t="s">
        <v>525</v>
      </c>
      <c r="EF214" s="15" t="s">
        <v>1592</v>
      </c>
      <c r="EH214" s="15" t="s">
        <v>525</v>
      </c>
      <c r="EI214" s="15" t="s">
        <v>1576</v>
      </c>
      <c r="EL214" s="15" t="s">
        <v>723</v>
      </c>
      <c r="EM214" s="15" t="s">
        <v>1076</v>
      </c>
      <c r="EO214" s="15" t="s">
        <v>1255</v>
      </c>
      <c r="EZ214" s="15">
        <v>0.0</v>
      </c>
      <c r="FA214" s="15">
        <v>0.0</v>
      </c>
      <c r="FC214" s="15">
        <v>0.0</v>
      </c>
    </row>
    <row r="215" ht="17.25" customHeight="1">
      <c r="A215" s="15" t="s">
        <v>3181</v>
      </c>
      <c r="B215" s="15" t="str">
        <f>"801542811792"</f>
        <v>801542811792</v>
      </c>
      <c r="C215" s="15" t="s">
        <v>13580</v>
      </c>
      <c r="D215" s="15" t="str">
        <f t="shared" si="1"/>
        <v>Caya End TableCaramel Burl</v>
      </c>
      <c r="E215" s="15" t="s">
        <v>3178</v>
      </c>
      <c r="F215" s="15" t="s">
        <v>397</v>
      </c>
      <c r="G215" s="15" t="s">
        <v>3180</v>
      </c>
      <c r="J215" s="15" t="s">
        <v>3180</v>
      </c>
      <c r="M215" s="15" t="s">
        <v>3185</v>
      </c>
      <c r="N215" s="15" t="s">
        <v>1154</v>
      </c>
      <c r="P215" s="15" t="str">
        <f t="shared" ref="P215:Q215" si="657">"17.75"</f>
        <v>17.75</v>
      </c>
      <c r="Q215" s="15" t="str">
        <f t="shared" si="657"/>
        <v>17.75</v>
      </c>
      <c r="R215" s="15" t="str">
        <f>"21.75"</f>
        <v>21.75</v>
      </c>
      <c r="S215" s="15" t="str">
        <f>"22.05"</f>
        <v>22.05</v>
      </c>
      <c r="T215" s="15" t="s">
        <v>1523</v>
      </c>
      <c r="U215" s="15" t="s">
        <v>11772</v>
      </c>
      <c r="AA215" s="15" t="s">
        <v>413</v>
      </c>
      <c r="AB215" s="15" t="s">
        <v>413</v>
      </c>
      <c r="AC215" s="15" t="s">
        <v>3186</v>
      </c>
      <c r="AD215" s="15" t="s">
        <v>13581</v>
      </c>
      <c r="AE215" s="15" t="s">
        <v>3183</v>
      </c>
      <c r="AF215" s="15" t="s">
        <v>13582</v>
      </c>
      <c r="AG215" s="15" t="s">
        <v>13583</v>
      </c>
      <c r="AH215" s="15" t="s">
        <v>13584</v>
      </c>
      <c r="AI215" s="15" t="s">
        <v>13585</v>
      </c>
      <c r="AJ215" s="15" t="s">
        <v>13586</v>
      </c>
      <c r="AK215" s="15" t="s">
        <v>13587</v>
      </c>
      <c r="AL215" s="15" t="s">
        <v>13588</v>
      </c>
      <c r="AM215" s="15" t="s">
        <v>13589</v>
      </c>
      <c r="AN215" s="15" t="s">
        <v>13590</v>
      </c>
      <c r="AO215" s="15" t="s">
        <v>13591</v>
      </c>
      <c r="BH215" s="15" t="s">
        <v>3179</v>
      </c>
      <c r="BI215" s="15" t="str">
        <f>"949"</f>
        <v>949</v>
      </c>
      <c r="BJ215" s="15" t="str">
        <f>"400"</f>
        <v>400</v>
      </c>
      <c r="BK215" s="15" t="s">
        <v>709</v>
      </c>
      <c r="BL215" s="15" t="str">
        <f t="shared" si="602"/>
        <v>1</v>
      </c>
      <c r="BM215" s="15" t="s">
        <v>416</v>
      </c>
      <c r="BN215" s="15" t="str">
        <f t="shared" ref="BN215:BO215" si="658">"21.06"</f>
        <v>21.06</v>
      </c>
      <c r="BO215" s="15" t="str">
        <f t="shared" si="658"/>
        <v>21.06</v>
      </c>
      <c r="BP215" s="15" t="str">
        <f>"26.38"</f>
        <v>26.38</v>
      </c>
      <c r="BQ215" s="15" t="str">
        <f>"33.07"</f>
        <v>33.07</v>
      </c>
      <c r="CG215" s="15" t="str">
        <f>"6.78"</f>
        <v>6.78</v>
      </c>
      <c r="CH215" s="15" t="str">
        <f>"0.192"</f>
        <v>0.192</v>
      </c>
      <c r="CI215" s="15" t="s">
        <v>497</v>
      </c>
      <c r="CZ215" s="15" t="s">
        <v>419</v>
      </c>
      <c r="DA215" s="15">
        <v>0.0</v>
      </c>
      <c r="DB215" s="15" t="s">
        <v>419</v>
      </c>
      <c r="DD215" s="15">
        <v>0.0</v>
      </c>
      <c r="DF215" s="15" t="s">
        <v>1186</v>
      </c>
      <c r="DG215" s="15" t="s">
        <v>419</v>
      </c>
      <c r="DK215" s="15">
        <v>0.0</v>
      </c>
      <c r="DR215" s="15" t="s">
        <v>1157</v>
      </c>
      <c r="DS215" s="15" t="s">
        <v>3189</v>
      </c>
      <c r="DU215" s="15" t="s">
        <v>500</v>
      </c>
      <c r="EF215" s="15" t="s">
        <v>2046</v>
      </c>
      <c r="EQ215" s="15" t="s">
        <v>2159</v>
      </c>
      <c r="ER215" s="15" t="s">
        <v>2046</v>
      </c>
      <c r="ES215" s="15" t="s">
        <v>2159</v>
      </c>
      <c r="ET215" s="15" t="s">
        <v>1488</v>
      </c>
      <c r="EU215" s="15" t="s">
        <v>426</v>
      </c>
      <c r="EV215" s="15">
        <v>0.0</v>
      </c>
      <c r="EW215" s="15">
        <v>0.0</v>
      </c>
      <c r="FF215" s="15" t="s">
        <v>1957</v>
      </c>
    </row>
    <row r="216" ht="17.25" customHeight="1">
      <c r="A216" s="15" t="s">
        <v>3193</v>
      </c>
      <c r="B216" s="15" t="str">
        <f>"198394053754"</f>
        <v>198394053754</v>
      </c>
      <c r="C216" s="15" t="s">
        <v>13592</v>
      </c>
      <c r="D216" s="15" t="str">
        <f t="shared" si="1"/>
        <v>Celeste Accent BenchAltair Mushroom</v>
      </c>
      <c r="E216" s="15" t="s">
        <v>3190</v>
      </c>
      <c r="F216" s="15" t="s">
        <v>397</v>
      </c>
      <c r="G216" s="15" t="s">
        <v>3192</v>
      </c>
      <c r="J216" s="15" t="s">
        <v>3192</v>
      </c>
      <c r="K216" s="15" t="s">
        <v>3199</v>
      </c>
      <c r="M216" s="15" t="s">
        <v>2193</v>
      </c>
      <c r="N216" s="15" t="s">
        <v>458</v>
      </c>
      <c r="O216" s="15" t="s">
        <v>459</v>
      </c>
      <c r="P216" s="15" t="str">
        <f>"73"</f>
        <v>73</v>
      </c>
      <c r="Q216" s="15" t="str">
        <f>"31.5"</f>
        <v>31.5</v>
      </c>
      <c r="R216" s="15" t="str">
        <f>"20.25"</f>
        <v>20.25</v>
      </c>
      <c r="S216" s="15" t="str">
        <f>"78.7"</f>
        <v>78.7</v>
      </c>
      <c r="T216" s="15" t="s">
        <v>3196</v>
      </c>
      <c r="U216" s="15" t="s">
        <v>11209</v>
      </c>
      <c r="V216" s="15" t="s">
        <v>13593</v>
      </c>
      <c r="AA216" s="15" t="s">
        <v>413</v>
      </c>
      <c r="AB216" s="15" t="s">
        <v>413</v>
      </c>
      <c r="AC216" s="15" t="s">
        <v>3200</v>
      </c>
      <c r="AD216" s="15" t="s">
        <v>13594</v>
      </c>
      <c r="AE216" s="15" t="s">
        <v>3195</v>
      </c>
      <c r="AF216" s="15" t="s">
        <v>13595</v>
      </c>
      <c r="AG216" s="15" t="s">
        <v>13596</v>
      </c>
      <c r="AH216" s="15" t="s">
        <v>13597</v>
      </c>
      <c r="AI216" s="15" t="s">
        <v>13598</v>
      </c>
      <c r="AJ216" s="15" t="s">
        <v>13599</v>
      </c>
      <c r="AK216" s="15" t="s">
        <v>13600</v>
      </c>
      <c r="AL216" s="15" t="s">
        <v>13601</v>
      </c>
      <c r="AM216" s="15" t="s">
        <v>13602</v>
      </c>
      <c r="AN216" s="15" t="s">
        <v>13603</v>
      </c>
      <c r="AO216" s="15" t="s">
        <v>13604</v>
      </c>
      <c r="AP216" s="15" t="s">
        <v>13605</v>
      </c>
      <c r="BH216" s="15" t="s">
        <v>3191</v>
      </c>
      <c r="BI216" s="15" t="str">
        <f t="shared" ref="BI216:BI217" si="659">"1299"</f>
        <v>1299</v>
      </c>
      <c r="BJ216" s="15" t="str">
        <f t="shared" ref="BJ216:BJ217" si="660">"550"</f>
        <v>550</v>
      </c>
      <c r="BK216" s="15" t="s">
        <v>709</v>
      </c>
      <c r="BL216" s="15" t="str">
        <f t="shared" si="602"/>
        <v>1</v>
      </c>
      <c r="BM216" s="15" t="s">
        <v>416</v>
      </c>
      <c r="BN216" s="15" t="str">
        <f>"74.02"</f>
        <v>74.02</v>
      </c>
      <c r="BO216" s="15" t="str">
        <f>"33.07"</f>
        <v>33.07</v>
      </c>
      <c r="BP216" s="15" t="str">
        <f>"21.65"</f>
        <v>21.65</v>
      </c>
      <c r="BQ216" s="15" t="str">
        <f>"109.35"</f>
        <v>109.35</v>
      </c>
      <c r="CG216" s="15" t="str">
        <f>"30.65"</f>
        <v>30.65</v>
      </c>
      <c r="CH216" s="15" t="str">
        <f>"0.868"</f>
        <v>0.868</v>
      </c>
      <c r="CI216" s="15" t="s">
        <v>497</v>
      </c>
      <c r="CS216" s="15" t="s">
        <v>2735</v>
      </c>
      <c r="CT216" s="15" t="s">
        <v>3203</v>
      </c>
      <c r="CU216" s="15" t="s">
        <v>3204</v>
      </c>
      <c r="CV216" s="15">
        <v>0.0</v>
      </c>
      <c r="CW216" s="15">
        <v>0.0</v>
      </c>
      <c r="CX216" s="15" t="s">
        <v>469</v>
      </c>
      <c r="CY216" s="15" t="s">
        <v>934</v>
      </c>
      <c r="CZ216" s="15" t="s">
        <v>419</v>
      </c>
      <c r="DA216" s="15">
        <v>0.0</v>
      </c>
      <c r="DB216" s="15" t="s">
        <v>419</v>
      </c>
      <c r="DD216" s="15">
        <v>0.0</v>
      </c>
      <c r="DG216" s="15" t="s">
        <v>419</v>
      </c>
      <c r="DH216" s="15">
        <v>0.0</v>
      </c>
      <c r="DI216" s="15">
        <v>0.0</v>
      </c>
      <c r="DJ216" s="15">
        <v>0.0</v>
      </c>
      <c r="DK216" s="15">
        <v>0.0</v>
      </c>
      <c r="DL216" s="15">
        <v>50000.0</v>
      </c>
      <c r="DM216" s="15" t="s">
        <v>470</v>
      </c>
      <c r="DP216" s="15">
        <v>0.0</v>
      </c>
      <c r="DQ216" s="15">
        <v>3.0</v>
      </c>
      <c r="DR216" s="15" t="s">
        <v>1112</v>
      </c>
      <c r="DS216" s="15" t="s">
        <v>3205</v>
      </c>
      <c r="DT216" s="15">
        <v>0.0</v>
      </c>
      <c r="DU216" s="15" t="s">
        <v>473</v>
      </c>
      <c r="EO216" s="15" t="s">
        <v>1290</v>
      </c>
      <c r="EU216" s="15" t="s">
        <v>426</v>
      </c>
    </row>
    <row r="217" ht="17.25" customHeight="1">
      <c r="A217" s="15" t="s">
        <v>3209</v>
      </c>
      <c r="B217" s="15" t="str">
        <f>"801542432140"</f>
        <v>801542432140</v>
      </c>
      <c r="C217" s="15" t="s">
        <v>13606</v>
      </c>
      <c r="D217" s="15" t="str">
        <f t="shared" si="1"/>
        <v>Celine ChairMonte Olive</v>
      </c>
      <c r="E217" s="15" t="s">
        <v>3206</v>
      </c>
      <c r="F217" s="15" t="s">
        <v>397</v>
      </c>
      <c r="G217" s="15" t="s">
        <v>3208</v>
      </c>
      <c r="J217" s="15" t="s">
        <v>3208</v>
      </c>
      <c r="K217" s="15" t="s">
        <v>2801</v>
      </c>
      <c r="M217" s="15" t="s">
        <v>1628</v>
      </c>
      <c r="N217" s="15" t="s">
        <v>706</v>
      </c>
      <c r="O217" s="15" t="s">
        <v>707</v>
      </c>
      <c r="P217" s="15" t="str">
        <f>"29"</f>
        <v>29</v>
      </c>
      <c r="Q217" s="15" t="str">
        <f>"33.5"</f>
        <v>33.5</v>
      </c>
      <c r="R217" s="15" t="str">
        <f>"29"</f>
        <v>29</v>
      </c>
      <c r="S217" s="15" t="str">
        <f>"32.41"</f>
        <v>32.41</v>
      </c>
      <c r="T217" s="15" t="s">
        <v>3211</v>
      </c>
      <c r="U217" s="15" t="s">
        <v>13607</v>
      </c>
      <c r="V217" s="15" t="s">
        <v>13608</v>
      </c>
      <c r="W217" s="15" t="s">
        <v>11338</v>
      </c>
      <c r="AA217" s="15" t="s">
        <v>413</v>
      </c>
      <c r="AB217" s="15" t="s">
        <v>413</v>
      </c>
      <c r="AC217" s="15" t="s">
        <v>3212</v>
      </c>
      <c r="AD217" s="15" t="s">
        <v>13609</v>
      </c>
      <c r="AE217" s="15" t="s">
        <v>3210</v>
      </c>
      <c r="AF217" s="15" t="s">
        <v>13610</v>
      </c>
      <c r="AG217" s="15" t="s">
        <v>13611</v>
      </c>
      <c r="AH217" s="15" t="s">
        <v>13612</v>
      </c>
      <c r="AI217" s="15" t="s">
        <v>13613</v>
      </c>
      <c r="AJ217" s="15" t="s">
        <v>13614</v>
      </c>
      <c r="AK217" s="15" t="s">
        <v>13615</v>
      </c>
      <c r="AL217" s="15" t="s">
        <v>13616</v>
      </c>
      <c r="AM217" s="15" t="s">
        <v>13617</v>
      </c>
      <c r="AN217" s="15" t="s">
        <v>13618</v>
      </c>
      <c r="AO217" s="15" t="s">
        <v>13619</v>
      </c>
      <c r="AP217" s="15" t="s">
        <v>13620</v>
      </c>
      <c r="AQ217" s="15" t="s">
        <v>13621</v>
      </c>
      <c r="BH217" s="15" t="s">
        <v>3207</v>
      </c>
      <c r="BI217" s="15" t="str">
        <f t="shared" si="659"/>
        <v>1299</v>
      </c>
      <c r="BJ217" s="15" t="str">
        <f t="shared" si="660"/>
        <v>550</v>
      </c>
      <c r="BK217" s="15" t="s">
        <v>709</v>
      </c>
      <c r="BL217" s="15" t="str">
        <f t="shared" si="602"/>
        <v>1</v>
      </c>
      <c r="BM217" s="15" t="s">
        <v>1208</v>
      </c>
      <c r="BN217" s="15" t="str">
        <f>"29.92"</f>
        <v>29.92</v>
      </c>
      <c r="BO217" s="15" t="str">
        <f>"34.65"</f>
        <v>34.65</v>
      </c>
      <c r="BP217" s="15" t="str">
        <f>"31.1"</f>
        <v>31.1</v>
      </c>
      <c r="BQ217" s="15" t="str">
        <f>"48.72"</f>
        <v>48.72</v>
      </c>
      <c r="CG217" s="15" t="str">
        <f>"15.82"</f>
        <v>15.82</v>
      </c>
      <c r="CH217" s="15" t="str">
        <f>"0.448"</f>
        <v>0.448</v>
      </c>
      <c r="CI217" s="15" t="s">
        <v>465</v>
      </c>
      <c r="CP217" s="15" t="s">
        <v>555</v>
      </c>
      <c r="CQ217" s="15" t="s">
        <v>1069</v>
      </c>
      <c r="CR217" s="15" t="s">
        <v>2839</v>
      </c>
      <c r="CS217" s="15" t="s">
        <v>2384</v>
      </c>
      <c r="CT217" s="15" t="s">
        <v>788</v>
      </c>
      <c r="CV217" s="15">
        <v>0.0</v>
      </c>
      <c r="CW217" s="15">
        <v>1.0</v>
      </c>
      <c r="CX217" s="15" t="s">
        <v>469</v>
      </c>
      <c r="CY217" s="15" t="s">
        <v>855</v>
      </c>
      <c r="DF217" s="15" t="s">
        <v>721</v>
      </c>
      <c r="DG217" s="15" t="s">
        <v>419</v>
      </c>
      <c r="DH217" s="15">
        <v>0.0</v>
      </c>
      <c r="DL217" s="15">
        <v>25000.0</v>
      </c>
      <c r="DM217" s="15" t="s">
        <v>470</v>
      </c>
      <c r="DN217" s="15" t="s">
        <v>1016</v>
      </c>
      <c r="DO217" s="15" t="s">
        <v>1701</v>
      </c>
      <c r="DP217" s="15">
        <v>1.0</v>
      </c>
      <c r="DQ217" s="15">
        <v>1.0</v>
      </c>
      <c r="DS217" s="15" t="s">
        <v>3214</v>
      </c>
      <c r="DT217" s="15">
        <v>0.0</v>
      </c>
      <c r="DU217" s="15" t="s">
        <v>726</v>
      </c>
      <c r="EC217" s="15" t="s">
        <v>429</v>
      </c>
      <c r="ED217" s="15" t="s">
        <v>1213</v>
      </c>
      <c r="EE217" s="15" t="s">
        <v>1283</v>
      </c>
      <c r="EF217" s="15" t="s">
        <v>2402</v>
      </c>
      <c r="EG217" s="15" t="s">
        <v>1211</v>
      </c>
      <c r="EH217" s="15" t="s">
        <v>1212</v>
      </c>
      <c r="EI217" s="15" t="s">
        <v>1329</v>
      </c>
      <c r="EL217" s="15" t="s">
        <v>1016</v>
      </c>
      <c r="EM217" s="15" t="s">
        <v>1701</v>
      </c>
      <c r="EO217" s="15" t="s">
        <v>997</v>
      </c>
      <c r="EX217" s="15" t="s">
        <v>1806</v>
      </c>
      <c r="EY217" s="15" t="s">
        <v>2839</v>
      </c>
      <c r="EZ217" s="15">
        <v>0.0</v>
      </c>
      <c r="FA217" s="15">
        <v>0.0</v>
      </c>
      <c r="FC217" s="15">
        <v>0.0</v>
      </c>
    </row>
    <row r="218" ht="17.25" customHeight="1">
      <c r="A218" s="15" t="s">
        <v>3218</v>
      </c>
      <c r="B218" s="15" t="str">
        <f>"801542332655"</f>
        <v>801542332655</v>
      </c>
      <c r="C218" s="15" t="s">
        <v>13622</v>
      </c>
      <c r="D218" s="15" t="str">
        <f t="shared" si="1"/>
        <v>Chalmers Media ConsoleWeathered Oak Veneer</v>
      </c>
      <c r="E218" s="15" t="s">
        <v>3215</v>
      </c>
      <c r="F218" s="15" t="s">
        <v>397</v>
      </c>
      <c r="G218" s="15" t="s">
        <v>3217</v>
      </c>
      <c r="J218" s="15" t="s">
        <v>3217</v>
      </c>
      <c r="M218" s="15" t="s">
        <v>2063</v>
      </c>
      <c r="N218" s="15" t="s">
        <v>602</v>
      </c>
      <c r="P218" s="15" t="str">
        <f>"84"</f>
        <v>84</v>
      </c>
      <c r="Q218" s="15" t="str">
        <f>"19"</f>
        <v>19</v>
      </c>
      <c r="R218" s="15" t="str">
        <f>"26"</f>
        <v>26</v>
      </c>
      <c r="S218" s="15" t="str">
        <f>"194"</f>
        <v>194</v>
      </c>
      <c r="T218" s="15" t="s">
        <v>1025</v>
      </c>
      <c r="U218" s="15" t="s">
        <v>10881</v>
      </c>
      <c r="V218" s="15" t="s">
        <v>11338</v>
      </c>
      <c r="AA218" s="15" t="s">
        <v>413</v>
      </c>
      <c r="AB218" s="15" t="s">
        <v>413</v>
      </c>
      <c r="AC218" s="15" t="s">
        <v>3221</v>
      </c>
      <c r="AD218" s="15" t="s">
        <v>13623</v>
      </c>
      <c r="AE218" s="15" t="s">
        <v>3220</v>
      </c>
      <c r="AF218" s="15" t="s">
        <v>13624</v>
      </c>
      <c r="AG218" s="15" t="s">
        <v>13625</v>
      </c>
      <c r="AH218" s="15" t="s">
        <v>13626</v>
      </c>
      <c r="AI218" s="15" t="s">
        <v>13627</v>
      </c>
      <c r="AJ218" s="15" t="s">
        <v>13628</v>
      </c>
      <c r="AK218" s="15" t="s">
        <v>13629</v>
      </c>
      <c r="AL218" s="15" t="s">
        <v>13630</v>
      </c>
      <c r="AM218" s="15" t="s">
        <v>13631</v>
      </c>
      <c r="AN218" s="15" t="s">
        <v>13632</v>
      </c>
      <c r="AO218" s="15" t="s">
        <v>13633</v>
      </c>
      <c r="AP218" s="15" t="s">
        <v>13634</v>
      </c>
      <c r="AQ218" s="15" t="s">
        <v>13635</v>
      </c>
      <c r="BH218" s="15" t="s">
        <v>3216</v>
      </c>
      <c r="BI218" s="15" t="str">
        <f>"1899"</f>
        <v>1899</v>
      </c>
      <c r="BJ218" s="15" t="str">
        <f>"800"</f>
        <v>800</v>
      </c>
      <c r="BK218" s="15" t="s">
        <v>742</v>
      </c>
      <c r="BL218" s="15" t="str">
        <f t="shared" si="602"/>
        <v>1</v>
      </c>
      <c r="BM218" s="15" t="s">
        <v>3215</v>
      </c>
      <c r="BN218" s="15" t="str">
        <f>"88.19"</f>
        <v>88.19</v>
      </c>
      <c r="BO218" s="15" t="str">
        <f>"22.83"</f>
        <v>22.83</v>
      </c>
      <c r="BP218" s="15" t="str">
        <f>"33.27"</f>
        <v>33.27</v>
      </c>
      <c r="BQ218" s="15" t="str">
        <f>"248.02"</f>
        <v>248.02</v>
      </c>
      <c r="CG218" s="15" t="str">
        <f>"38.78"</f>
        <v>38.78</v>
      </c>
      <c r="CH218" s="15" t="str">
        <f>"1.098"</f>
        <v>1.098</v>
      </c>
      <c r="CI218" s="15" t="s">
        <v>497</v>
      </c>
      <c r="CM218" s="15" t="s">
        <v>3053</v>
      </c>
      <c r="CN218" s="15" t="s">
        <v>3225</v>
      </c>
      <c r="CO218" s="15" t="s">
        <v>3226</v>
      </c>
      <c r="CZ218" s="15" t="s">
        <v>419</v>
      </c>
      <c r="DA218" s="15">
        <v>0.0</v>
      </c>
      <c r="DB218" s="15" t="s">
        <v>419</v>
      </c>
      <c r="DD218" s="15">
        <v>0.0</v>
      </c>
      <c r="DF218" s="15" t="s">
        <v>1186</v>
      </c>
      <c r="DG218" s="15" t="s">
        <v>610</v>
      </c>
      <c r="DI218" s="15">
        <v>18.14</v>
      </c>
      <c r="DJ218" s="15">
        <v>40.0</v>
      </c>
      <c r="DK218" s="15">
        <v>2.0</v>
      </c>
      <c r="DS218" s="15" t="s">
        <v>3227</v>
      </c>
      <c r="EF218" s="15" t="s">
        <v>2050</v>
      </c>
      <c r="EU218" s="15" t="s">
        <v>426</v>
      </c>
      <c r="EV218" s="15">
        <v>2.0</v>
      </c>
      <c r="FH218" s="15" t="s">
        <v>3111</v>
      </c>
      <c r="FI218" s="15" t="s">
        <v>612</v>
      </c>
      <c r="FJ218" s="15" t="s">
        <v>3228</v>
      </c>
      <c r="FK218" s="15" t="s">
        <v>3053</v>
      </c>
      <c r="FL218" s="15" t="s">
        <v>612</v>
      </c>
      <c r="FM218" s="15" t="s">
        <v>3226</v>
      </c>
      <c r="FO218" s="15" t="s">
        <v>426</v>
      </c>
      <c r="FP218" s="15" t="s">
        <v>1883</v>
      </c>
      <c r="FQ218" s="15">
        <v>4.0</v>
      </c>
      <c r="FR218" s="15" t="s">
        <v>614</v>
      </c>
      <c r="FS218" s="15" t="s">
        <v>615</v>
      </c>
      <c r="FU218" s="15" t="s">
        <v>426</v>
      </c>
      <c r="FW218" s="15" t="s">
        <v>616</v>
      </c>
      <c r="GM218" s="15">
        <v>0.0</v>
      </c>
      <c r="HF218" s="15" t="s">
        <v>1957</v>
      </c>
      <c r="HQ218" s="15" t="s">
        <v>426</v>
      </c>
    </row>
    <row r="219" ht="17.25" customHeight="1">
      <c r="A219" s="15" t="s">
        <v>3231</v>
      </c>
      <c r="B219" s="15" t="str">
        <f>"801542279271"</f>
        <v>801542279271</v>
      </c>
      <c r="C219" s="15" t="s">
        <v>13636</v>
      </c>
      <c r="D219" s="15" t="str">
        <f t="shared" si="1"/>
        <v>Chance ChairDakota Warm Taupe</v>
      </c>
      <c r="E219" s="15" t="s">
        <v>3229</v>
      </c>
      <c r="F219" s="15" t="s">
        <v>397</v>
      </c>
      <c r="G219" s="15" t="s">
        <v>1985</v>
      </c>
      <c r="J219" s="15" t="s">
        <v>1985</v>
      </c>
      <c r="K219" s="15" t="s">
        <v>2541</v>
      </c>
      <c r="M219" s="15" t="s">
        <v>915</v>
      </c>
      <c r="N219" s="15" t="s">
        <v>706</v>
      </c>
      <c r="O219" s="15" t="s">
        <v>707</v>
      </c>
      <c r="P219" s="15" t="str">
        <f>"27.25"</f>
        <v>27.25</v>
      </c>
      <c r="Q219" s="15" t="str">
        <f>"36.25"</f>
        <v>36.25</v>
      </c>
      <c r="R219" s="15" t="str">
        <f>"35.75"</f>
        <v>35.75</v>
      </c>
      <c r="S219" s="15" t="str">
        <f>"36.38"</f>
        <v>36.38</v>
      </c>
      <c r="T219" s="15" t="s">
        <v>975</v>
      </c>
      <c r="U219" s="15" t="s">
        <v>11137</v>
      </c>
      <c r="V219" s="15" t="s">
        <v>11210</v>
      </c>
      <c r="AA219" s="15" t="s">
        <v>413</v>
      </c>
      <c r="AB219" s="15" t="s">
        <v>413</v>
      </c>
      <c r="AC219" s="15" t="s">
        <v>3236</v>
      </c>
      <c r="AD219" s="15" t="s">
        <v>13637</v>
      </c>
      <c r="AE219" s="15" t="s">
        <v>3233</v>
      </c>
      <c r="AF219" s="15" t="s">
        <v>13638</v>
      </c>
      <c r="AG219" s="15" t="s">
        <v>13639</v>
      </c>
      <c r="AH219" s="15" t="s">
        <v>13640</v>
      </c>
      <c r="AI219" s="15" t="s">
        <v>13641</v>
      </c>
      <c r="AJ219" s="15" t="s">
        <v>13642</v>
      </c>
      <c r="AK219" s="15" t="s">
        <v>13643</v>
      </c>
      <c r="AL219" s="15" t="s">
        <v>13644</v>
      </c>
      <c r="AM219" s="15" t="s">
        <v>13645</v>
      </c>
      <c r="AN219" s="15" t="s">
        <v>13646</v>
      </c>
      <c r="AO219" s="15" t="s">
        <v>13647</v>
      </c>
      <c r="AP219" s="15" t="s">
        <v>13648</v>
      </c>
      <c r="AQ219" s="15" t="s">
        <v>13649</v>
      </c>
      <c r="AR219" s="15" t="s">
        <v>13650</v>
      </c>
      <c r="BH219" s="15" t="s">
        <v>3230</v>
      </c>
      <c r="BI219" s="15" t="str">
        <f>"1749"</f>
        <v>1749</v>
      </c>
      <c r="BJ219" s="15" t="str">
        <f>"735"</f>
        <v>735</v>
      </c>
      <c r="BK219" s="15" t="s">
        <v>709</v>
      </c>
      <c r="BL219" s="15" t="str">
        <f t="shared" si="602"/>
        <v>1</v>
      </c>
      <c r="BM219" s="15" t="s">
        <v>3237</v>
      </c>
      <c r="BN219" s="15" t="str">
        <f>"29.13"</f>
        <v>29.13</v>
      </c>
      <c r="BO219" s="15" t="str">
        <f>"36.61"</f>
        <v>36.61</v>
      </c>
      <c r="BP219" s="15" t="str">
        <f>"37.8"</f>
        <v>37.8</v>
      </c>
      <c r="BQ219" s="15" t="str">
        <f>"52.91"</f>
        <v>52.91</v>
      </c>
      <c r="CG219" s="15" t="str">
        <f>"19.92"</f>
        <v>19.92</v>
      </c>
      <c r="CH219" s="15" t="str">
        <f>"0.564"</f>
        <v>0.564</v>
      </c>
      <c r="CI219" s="15" t="s">
        <v>417</v>
      </c>
      <c r="CS219" s="15" t="s">
        <v>2198</v>
      </c>
      <c r="CT219" s="15" t="s">
        <v>3238</v>
      </c>
      <c r="CU219" s="15" t="s">
        <v>1211</v>
      </c>
      <c r="CV219" s="15">
        <v>0.0</v>
      </c>
      <c r="CW219" s="15">
        <v>0.0</v>
      </c>
      <c r="CX219" s="15" t="s">
        <v>717</v>
      </c>
      <c r="CY219" s="15" t="s">
        <v>718</v>
      </c>
      <c r="DF219" s="15" t="s">
        <v>721</v>
      </c>
      <c r="DG219" s="15" t="s">
        <v>419</v>
      </c>
      <c r="DH219" s="15">
        <v>0.0</v>
      </c>
      <c r="DL219" s="15">
        <v>0.0</v>
      </c>
      <c r="DM219" s="15" t="s">
        <v>990</v>
      </c>
      <c r="DP219" s="15">
        <v>0.0</v>
      </c>
      <c r="DQ219" s="15">
        <v>1.0</v>
      </c>
      <c r="DS219" s="15" t="s">
        <v>3239</v>
      </c>
      <c r="DT219" s="15">
        <v>0.0</v>
      </c>
      <c r="DU219" s="15" t="s">
        <v>726</v>
      </c>
      <c r="DV219" s="15" t="s">
        <v>1211</v>
      </c>
      <c r="DW219" s="15" t="s">
        <v>3240</v>
      </c>
      <c r="DX219" s="15" t="s">
        <v>1072</v>
      </c>
      <c r="EB219" s="15" t="s">
        <v>784</v>
      </c>
      <c r="EF219" s="15" t="s">
        <v>3241</v>
      </c>
      <c r="EG219" s="15" t="s">
        <v>1064</v>
      </c>
      <c r="EH219" s="15" t="s">
        <v>1234</v>
      </c>
      <c r="EI219" s="15" t="s">
        <v>467</v>
      </c>
      <c r="EO219" s="15" t="s">
        <v>937</v>
      </c>
      <c r="EZ219" s="15">
        <v>0.0</v>
      </c>
      <c r="FA219" s="15">
        <v>0.0</v>
      </c>
      <c r="FB219" s="15" t="s">
        <v>1609</v>
      </c>
      <c r="FC219" s="15">
        <v>0.0</v>
      </c>
    </row>
    <row r="220" ht="17.25" customHeight="1">
      <c r="A220" s="15" t="s">
        <v>3244</v>
      </c>
      <c r="B220" s="15" t="str">
        <f>"801542454449"</f>
        <v>801542454449</v>
      </c>
      <c r="C220" s="15" t="s">
        <v>13651</v>
      </c>
      <c r="D220" s="15" t="str">
        <f t="shared" si="1"/>
        <v>Chance ReclinerDakota Black</v>
      </c>
      <c r="E220" s="15" t="s">
        <v>3242</v>
      </c>
      <c r="F220" s="15" t="s">
        <v>397</v>
      </c>
      <c r="G220" s="15" t="s">
        <v>1333</v>
      </c>
      <c r="J220" s="15" t="s">
        <v>1333</v>
      </c>
      <c r="K220" s="15" t="s">
        <v>1087</v>
      </c>
      <c r="M220" s="15" t="s">
        <v>915</v>
      </c>
      <c r="N220" s="15" t="s">
        <v>706</v>
      </c>
      <c r="O220" s="15" t="s">
        <v>707</v>
      </c>
      <c r="P220" s="15" t="str">
        <f t="shared" ref="P220:P223" si="662">"27.5"</f>
        <v>27.5</v>
      </c>
      <c r="Q220" s="15" t="str">
        <f t="shared" ref="Q220:R220" si="661">"36"</f>
        <v>36</v>
      </c>
      <c r="R220" s="15" t="str">
        <f t="shared" si="661"/>
        <v>36</v>
      </c>
      <c r="S220" s="15" t="str">
        <f t="shared" ref="S220:S223" si="664">"57.32"</f>
        <v>57.32</v>
      </c>
      <c r="T220" s="15" t="s">
        <v>975</v>
      </c>
      <c r="U220" s="15" t="s">
        <v>11137</v>
      </c>
      <c r="V220" s="15" t="s">
        <v>11210</v>
      </c>
      <c r="AA220" s="15" t="s">
        <v>413</v>
      </c>
      <c r="AB220" s="15" t="s">
        <v>413</v>
      </c>
      <c r="AC220" s="15" t="s">
        <v>3247</v>
      </c>
      <c r="AD220" s="15" t="s">
        <v>13652</v>
      </c>
      <c r="AE220" s="15" t="s">
        <v>3246</v>
      </c>
      <c r="AF220" s="15" t="s">
        <v>13653</v>
      </c>
      <c r="AG220" s="15" t="s">
        <v>13654</v>
      </c>
      <c r="AH220" s="15" t="s">
        <v>13655</v>
      </c>
      <c r="AI220" s="15" t="s">
        <v>13656</v>
      </c>
      <c r="AJ220" s="15" t="s">
        <v>13657</v>
      </c>
      <c r="AK220" s="15" t="s">
        <v>13658</v>
      </c>
      <c r="AL220" s="15" t="s">
        <v>13659</v>
      </c>
      <c r="AM220" s="15" t="s">
        <v>13660</v>
      </c>
      <c r="AN220" s="15" t="s">
        <v>13661</v>
      </c>
      <c r="AO220" s="15" t="s">
        <v>13662</v>
      </c>
      <c r="AP220" s="15" t="s">
        <v>13663</v>
      </c>
      <c r="AQ220" s="15" t="s">
        <v>13664</v>
      </c>
      <c r="AR220" s="15" t="s">
        <v>13665</v>
      </c>
      <c r="AS220" s="15" t="s">
        <v>13666</v>
      </c>
      <c r="AT220" s="15" t="s">
        <v>13667</v>
      </c>
      <c r="BH220" s="15" t="s">
        <v>3243</v>
      </c>
      <c r="BI220" s="15" t="str">
        <f t="shared" ref="BI220:BI221" si="665">"1999"</f>
        <v>1999</v>
      </c>
      <c r="BJ220" s="15" t="str">
        <f t="shared" ref="BJ220:BJ221" si="666">"840"</f>
        <v>840</v>
      </c>
      <c r="BK220" s="15" t="s">
        <v>709</v>
      </c>
      <c r="BL220" s="15" t="str">
        <f t="shared" si="602"/>
        <v>1</v>
      </c>
      <c r="BM220" s="15" t="s">
        <v>3248</v>
      </c>
      <c r="BN220" s="15" t="str">
        <f t="shared" ref="BN220:BN223" si="667">"29.92"</f>
        <v>29.92</v>
      </c>
      <c r="BO220" s="15" t="str">
        <f t="shared" ref="BO220:BO223" si="668">"38.98"</f>
        <v>38.98</v>
      </c>
      <c r="BP220" s="15" t="str">
        <f t="shared" ref="BP220:BP223" si="669">"37.4"</f>
        <v>37.4</v>
      </c>
      <c r="BQ220" s="15" t="str">
        <f t="shared" ref="BQ220:BQ223" si="670">"80.47"</f>
        <v>80.47</v>
      </c>
      <c r="CG220" s="15" t="str">
        <f t="shared" ref="CG220:CG223" si="671">"21.4"</f>
        <v>21.4</v>
      </c>
      <c r="CH220" s="15" t="str">
        <f t="shared" ref="CH220:CH223" si="672">"0.606"</f>
        <v>0.606</v>
      </c>
      <c r="CI220" s="15" t="s">
        <v>497</v>
      </c>
      <c r="CS220" s="15" t="s">
        <v>2198</v>
      </c>
      <c r="CT220" s="15" t="s">
        <v>1065</v>
      </c>
      <c r="CV220" s="15">
        <v>0.0</v>
      </c>
      <c r="CW220" s="15">
        <v>1.0</v>
      </c>
      <c r="CX220" s="15" t="s">
        <v>717</v>
      </c>
      <c r="CY220" s="15" t="s">
        <v>718</v>
      </c>
      <c r="DF220" s="15" t="s">
        <v>721</v>
      </c>
      <c r="DG220" s="15" t="s">
        <v>2546</v>
      </c>
      <c r="DH220" s="15">
        <v>0.0</v>
      </c>
      <c r="DL220" s="15">
        <v>0.0</v>
      </c>
      <c r="DM220" s="15" t="s">
        <v>990</v>
      </c>
      <c r="DN220" s="15" t="s">
        <v>1016</v>
      </c>
      <c r="DP220" s="15">
        <v>1.0</v>
      </c>
      <c r="DQ220" s="15">
        <v>1.0</v>
      </c>
      <c r="DS220" s="15" t="s">
        <v>3239</v>
      </c>
      <c r="DT220" s="15">
        <v>0.0</v>
      </c>
      <c r="DU220" s="15" t="s">
        <v>726</v>
      </c>
      <c r="DV220" s="15" t="s">
        <v>1211</v>
      </c>
      <c r="DW220" s="15" t="s">
        <v>505</v>
      </c>
      <c r="DX220" s="15" t="s">
        <v>1306</v>
      </c>
      <c r="EB220" s="15" t="s">
        <v>425</v>
      </c>
      <c r="EF220" s="15" t="s">
        <v>2548</v>
      </c>
      <c r="EG220" s="15" t="s">
        <v>1330</v>
      </c>
      <c r="EH220" s="15" t="s">
        <v>1995</v>
      </c>
      <c r="EI220" s="15" t="s">
        <v>1065</v>
      </c>
      <c r="EL220" s="15" t="s">
        <v>1016</v>
      </c>
      <c r="EO220" s="15" t="s">
        <v>937</v>
      </c>
      <c r="EX220" s="15" t="s">
        <v>1286</v>
      </c>
      <c r="EY220" s="15" t="s">
        <v>1211</v>
      </c>
      <c r="EZ220" s="15">
        <v>0.0</v>
      </c>
      <c r="FA220" s="15">
        <v>0.0</v>
      </c>
      <c r="FB220" s="15" t="s">
        <v>1609</v>
      </c>
      <c r="FC220" s="15" t="s">
        <v>1213</v>
      </c>
      <c r="IZ220" s="15" t="s">
        <v>3250</v>
      </c>
      <c r="JA220" s="15" t="s">
        <v>734</v>
      </c>
    </row>
    <row r="221" ht="17.25" customHeight="1">
      <c r="A221" s="15" t="s">
        <v>3252</v>
      </c>
      <c r="B221" s="15" t="str">
        <f>"801542405083"</f>
        <v>801542405083</v>
      </c>
      <c r="C221" s="15" t="s">
        <v>13668</v>
      </c>
      <c r="D221" s="15" t="str">
        <f t="shared" si="1"/>
        <v>Chance ReclinerDakota Warm Taupe</v>
      </c>
      <c r="E221" s="15" t="s">
        <v>3242</v>
      </c>
      <c r="F221" s="15" t="s">
        <v>397</v>
      </c>
      <c r="G221" s="15" t="s">
        <v>1985</v>
      </c>
      <c r="J221" s="15" t="s">
        <v>1985</v>
      </c>
      <c r="K221" s="15" t="s">
        <v>2541</v>
      </c>
      <c r="M221" s="15" t="s">
        <v>915</v>
      </c>
      <c r="N221" s="15" t="s">
        <v>706</v>
      </c>
      <c r="O221" s="15" t="s">
        <v>707</v>
      </c>
      <c r="P221" s="15" t="str">
        <f t="shared" si="662"/>
        <v>27.5</v>
      </c>
      <c r="Q221" s="15" t="str">
        <f t="shared" ref="Q221:R221" si="663">"36"</f>
        <v>36</v>
      </c>
      <c r="R221" s="15" t="str">
        <f t="shared" si="663"/>
        <v>36</v>
      </c>
      <c r="S221" s="15" t="str">
        <f t="shared" si="664"/>
        <v>57.32</v>
      </c>
      <c r="T221" s="15" t="s">
        <v>975</v>
      </c>
      <c r="U221" s="15" t="s">
        <v>11137</v>
      </c>
      <c r="V221" s="15" t="s">
        <v>11210</v>
      </c>
      <c r="AA221" s="15" t="s">
        <v>413</v>
      </c>
      <c r="AB221" s="15" t="s">
        <v>413</v>
      </c>
      <c r="AC221" s="15" t="s">
        <v>3254</v>
      </c>
      <c r="AD221" s="15" t="s">
        <v>13669</v>
      </c>
      <c r="AE221" s="15" t="s">
        <v>3253</v>
      </c>
      <c r="AF221" s="15" t="s">
        <v>13670</v>
      </c>
      <c r="AG221" s="15" t="s">
        <v>13671</v>
      </c>
      <c r="AH221" s="15" t="s">
        <v>13672</v>
      </c>
      <c r="AI221" s="15" t="s">
        <v>13673</v>
      </c>
      <c r="AJ221" s="15" t="s">
        <v>13674</v>
      </c>
      <c r="AK221" s="15" t="s">
        <v>13675</v>
      </c>
      <c r="AL221" s="15" t="s">
        <v>13676</v>
      </c>
      <c r="AM221" s="15" t="s">
        <v>13677</v>
      </c>
      <c r="AN221" s="15" t="s">
        <v>13678</v>
      </c>
      <c r="AO221" s="15" t="s">
        <v>13679</v>
      </c>
      <c r="AP221" s="15" t="s">
        <v>13680</v>
      </c>
      <c r="AQ221" s="15" t="s">
        <v>13681</v>
      </c>
      <c r="AR221" s="15" t="s">
        <v>13682</v>
      </c>
      <c r="AS221" s="15" t="s">
        <v>13683</v>
      </c>
      <c r="AT221" s="15" t="s">
        <v>13684</v>
      </c>
      <c r="BH221" s="15" t="s">
        <v>3251</v>
      </c>
      <c r="BI221" s="15" t="str">
        <f t="shared" si="665"/>
        <v>1999</v>
      </c>
      <c r="BJ221" s="15" t="str">
        <f t="shared" si="666"/>
        <v>840</v>
      </c>
      <c r="BK221" s="15" t="s">
        <v>709</v>
      </c>
      <c r="BL221" s="15" t="str">
        <f t="shared" si="602"/>
        <v>1</v>
      </c>
      <c r="BM221" s="15" t="s">
        <v>3248</v>
      </c>
      <c r="BN221" s="15" t="str">
        <f t="shared" si="667"/>
        <v>29.92</v>
      </c>
      <c r="BO221" s="15" t="str">
        <f t="shared" si="668"/>
        <v>38.98</v>
      </c>
      <c r="BP221" s="15" t="str">
        <f t="shared" si="669"/>
        <v>37.4</v>
      </c>
      <c r="BQ221" s="15" t="str">
        <f t="shared" si="670"/>
        <v>80.47</v>
      </c>
      <c r="CG221" s="15" t="str">
        <f t="shared" si="671"/>
        <v>21.4</v>
      </c>
      <c r="CH221" s="15" t="str">
        <f t="shared" si="672"/>
        <v>0.606</v>
      </c>
      <c r="CI221" s="15" t="s">
        <v>497</v>
      </c>
      <c r="CS221" s="15" t="s">
        <v>2198</v>
      </c>
      <c r="CT221" s="15" t="s">
        <v>1065</v>
      </c>
      <c r="CV221" s="15">
        <v>0.0</v>
      </c>
      <c r="CW221" s="15">
        <v>1.0</v>
      </c>
      <c r="CX221" s="15" t="s">
        <v>717</v>
      </c>
      <c r="CY221" s="15" t="s">
        <v>718</v>
      </c>
      <c r="DF221" s="15" t="s">
        <v>721</v>
      </c>
      <c r="DG221" s="15" t="s">
        <v>2546</v>
      </c>
      <c r="DH221" s="15">
        <v>0.0</v>
      </c>
      <c r="DL221" s="15">
        <v>0.0</v>
      </c>
      <c r="DM221" s="15" t="s">
        <v>990</v>
      </c>
      <c r="DN221" s="15" t="s">
        <v>1016</v>
      </c>
      <c r="DP221" s="15">
        <v>1.0</v>
      </c>
      <c r="DQ221" s="15">
        <v>1.0</v>
      </c>
      <c r="DS221" s="15" t="s">
        <v>3239</v>
      </c>
      <c r="DT221" s="15">
        <v>0.0</v>
      </c>
      <c r="DU221" s="15" t="s">
        <v>726</v>
      </c>
      <c r="DV221" s="15" t="s">
        <v>1211</v>
      </c>
      <c r="DW221" s="15" t="s">
        <v>505</v>
      </c>
      <c r="DX221" s="15" t="s">
        <v>1306</v>
      </c>
      <c r="EB221" s="15" t="s">
        <v>425</v>
      </c>
      <c r="EF221" s="15" t="s">
        <v>2548</v>
      </c>
      <c r="EG221" s="15" t="s">
        <v>1330</v>
      </c>
      <c r="EH221" s="15" t="s">
        <v>1995</v>
      </c>
      <c r="EI221" s="15" t="s">
        <v>1065</v>
      </c>
      <c r="EL221" s="15" t="s">
        <v>1016</v>
      </c>
      <c r="EO221" s="15" t="s">
        <v>937</v>
      </c>
      <c r="EX221" s="15" t="s">
        <v>1286</v>
      </c>
      <c r="EY221" s="15" t="s">
        <v>1211</v>
      </c>
      <c r="EZ221" s="15">
        <v>0.0</v>
      </c>
      <c r="FA221" s="15">
        <v>0.0</v>
      </c>
      <c r="FB221" s="15" t="s">
        <v>1609</v>
      </c>
      <c r="FC221" s="15" t="s">
        <v>1213</v>
      </c>
      <c r="IZ221" s="15" t="s">
        <v>3250</v>
      </c>
      <c r="JA221" s="15" t="s">
        <v>734</v>
      </c>
    </row>
    <row r="222" ht="17.25" customHeight="1">
      <c r="A222" s="15" t="s">
        <v>3257</v>
      </c>
      <c r="B222" s="15" t="str">
        <f>"801542392246"</f>
        <v>801542392246</v>
      </c>
      <c r="C222" s="15" t="s">
        <v>13685</v>
      </c>
      <c r="D222" s="15" t="str">
        <f t="shared" si="1"/>
        <v>Chance ReclinerLinen Natural</v>
      </c>
      <c r="E222" s="15" t="s">
        <v>3242</v>
      </c>
      <c r="F222" s="15" t="s">
        <v>397</v>
      </c>
      <c r="G222" s="15" t="s">
        <v>3256</v>
      </c>
      <c r="J222" s="15" t="s">
        <v>3256</v>
      </c>
      <c r="K222" s="15" t="s">
        <v>2541</v>
      </c>
      <c r="M222" s="15" t="s">
        <v>915</v>
      </c>
      <c r="N222" s="15" t="s">
        <v>706</v>
      </c>
      <c r="O222" s="15" t="s">
        <v>707</v>
      </c>
      <c r="P222" s="15" t="str">
        <f t="shared" si="662"/>
        <v>27.5</v>
      </c>
      <c r="Q222" s="15" t="str">
        <f t="shared" ref="Q222:R222" si="673">"36"</f>
        <v>36</v>
      </c>
      <c r="R222" s="15" t="str">
        <f t="shared" si="673"/>
        <v>36</v>
      </c>
      <c r="S222" s="15" t="str">
        <f t="shared" si="664"/>
        <v>57.32</v>
      </c>
      <c r="T222" s="15" t="s">
        <v>3259</v>
      </c>
      <c r="U222" s="15" t="s">
        <v>13686</v>
      </c>
      <c r="V222" s="15" t="s">
        <v>13687</v>
      </c>
      <c r="W222" s="15" t="s">
        <v>13688</v>
      </c>
      <c r="X222" s="15" t="s">
        <v>11210</v>
      </c>
      <c r="AA222" s="15" t="s">
        <v>413</v>
      </c>
      <c r="AB222" s="15" t="s">
        <v>413</v>
      </c>
      <c r="AC222" s="15" t="s">
        <v>3260</v>
      </c>
      <c r="AD222" s="15" t="s">
        <v>13689</v>
      </c>
      <c r="AE222" s="15" t="s">
        <v>3258</v>
      </c>
      <c r="AF222" s="15" t="s">
        <v>13690</v>
      </c>
      <c r="AG222" s="15" t="s">
        <v>13691</v>
      </c>
      <c r="AH222" s="15" t="s">
        <v>13692</v>
      </c>
      <c r="AI222" s="15" t="s">
        <v>13693</v>
      </c>
      <c r="AJ222" s="15" t="s">
        <v>13694</v>
      </c>
      <c r="AK222" s="15" t="s">
        <v>13695</v>
      </c>
      <c r="AL222" s="15" t="s">
        <v>13696</v>
      </c>
      <c r="AM222" s="15" t="s">
        <v>13697</v>
      </c>
      <c r="AN222" s="15" t="s">
        <v>13698</v>
      </c>
      <c r="AO222" s="15" t="s">
        <v>13699</v>
      </c>
      <c r="AP222" s="15" t="s">
        <v>13700</v>
      </c>
      <c r="AQ222" s="15" t="s">
        <v>13701</v>
      </c>
      <c r="AR222" s="15" t="s">
        <v>13702</v>
      </c>
      <c r="BH222" s="15" t="s">
        <v>3255</v>
      </c>
      <c r="BI222" s="15" t="str">
        <f>"1249"</f>
        <v>1249</v>
      </c>
      <c r="BJ222" s="15" t="str">
        <f>"525"</f>
        <v>525</v>
      </c>
      <c r="BK222" s="15" t="s">
        <v>709</v>
      </c>
      <c r="BL222" s="15" t="str">
        <f t="shared" si="602"/>
        <v>1</v>
      </c>
      <c r="BM222" s="15" t="s">
        <v>3248</v>
      </c>
      <c r="BN222" s="15" t="str">
        <f t="shared" si="667"/>
        <v>29.92</v>
      </c>
      <c r="BO222" s="15" t="str">
        <f t="shared" si="668"/>
        <v>38.98</v>
      </c>
      <c r="BP222" s="15" t="str">
        <f t="shared" si="669"/>
        <v>37.4</v>
      </c>
      <c r="BQ222" s="15" t="str">
        <f t="shared" si="670"/>
        <v>80.47</v>
      </c>
      <c r="CG222" s="15" t="str">
        <f t="shared" si="671"/>
        <v>21.4</v>
      </c>
      <c r="CH222" s="15" t="str">
        <f t="shared" si="672"/>
        <v>0.606</v>
      </c>
      <c r="CI222" s="15" t="s">
        <v>465</v>
      </c>
      <c r="CS222" s="15" t="s">
        <v>2198</v>
      </c>
      <c r="CT222" s="15" t="s">
        <v>1065</v>
      </c>
      <c r="CV222" s="15">
        <v>0.0</v>
      </c>
      <c r="CW222" s="15">
        <v>1.0</v>
      </c>
      <c r="CX222" s="15" t="s">
        <v>717</v>
      </c>
      <c r="CY222" s="15" t="s">
        <v>855</v>
      </c>
      <c r="DF222" s="15" t="s">
        <v>721</v>
      </c>
      <c r="DG222" s="15" t="s">
        <v>2546</v>
      </c>
      <c r="DH222" s="15">
        <v>0.0</v>
      </c>
      <c r="DL222" s="15">
        <v>25000.0</v>
      </c>
      <c r="DM222" s="15" t="s">
        <v>990</v>
      </c>
      <c r="DN222" s="15" t="s">
        <v>1016</v>
      </c>
      <c r="DP222" s="15">
        <v>1.0</v>
      </c>
      <c r="DQ222" s="15">
        <v>1.0</v>
      </c>
      <c r="DS222" s="15" t="s">
        <v>3239</v>
      </c>
      <c r="DT222" s="15">
        <v>0.0</v>
      </c>
      <c r="DU222" s="15" t="s">
        <v>726</v>
      </c>
      <c r="DV222" s="15" t="s">
        <v>1211</v>
      </c>
      <c r="DW222" s="15" t="s">
        <v>505</v>
      </c>
      <c r="DX222" s="15" t="s">
        <v>1306</v>
      </c>
      <c r="EB222" s="15" t="s">
        <v>425</v>
      </c>
      <c r="EF222" s="15" t="s">
        <v>2548</v>
      </c>
      <c r="EG222" s="15" t="s">
        <v>1330</v>
      </c>
      <c r="EH222" s="15" t="s">
        <v>1995</v>
      </c>
      <c r="EI222" s="15" t="s">
        <v>1065</v>
      </c>
      <c r="EL222" s="15" t="s">
        <v>1016</v>
      </c>
      <c r="EO222" s="15" t="s">
        <v>937</v>
      </c>
      <c r="EX222" s="15" t="s">
        <v>1286</v>
      </c>
      <c r="EY222" s="15" t="s">
        <v>1211</v>
      </c>
      <c r="EZ222" s="15">
        <v>0.0</v>
      </c>
      <c r="FA222" s="15">
        <v>0.0</v>
      </c>
      <c r="FB222" s="15" t="s">
        <v>1609</v>
      </c>
      <c r="FC222" s="15" t="s">
        <v>1213</v>
      </c>
      <c r="IZ222" s="15" t="s">
        <v>3250</v>
      </c>
      <c r="JA222" s="15" t="s">
        <v>734</v>
      </c>
    </row>
    <row r="223" ht="17.25" customHeight="1">
      <c r="A223" s="15" t="s">
        <v>3263</v>
      </c>
      <c r="B223" s="15" t="str">
        <f>"801542870171"</f>
        <v>801542870171</v>
      </c>
      <c r="C223" s="15" t="s">
        <v>13703</v>
      </c>
      <c r="D223" s="15" t="str">
        <f t="shared" si="1"/>
        <v>Chance ReclinerPalermo Nude</v>
      </c>
      <c r="E223" s="15" t="s">
        <v>3242</v>
      </c>
      <c r="F223" s="15" t="s">
        <v>397</v>
      </c>
      <c r="G223" s="15" t="s">
        <v>3262</v>
      </c>
      <c r="J223" s="15" t="s">
        <v>3262</v>
      </c>
      <c r="K223" s="15" t="s">
        <v>1342</v>
      </c>
      <c r="M223" s="15" t="s">
        <v>915</v>
      </c>
      <c r="N223" s="15" t="s">
        <v>706</v>
      </c>
      <c r="O223" s="15" t="s">
        <v>707</v>
      </c>
      <c r="P223" s="15" t="str">
        <f t="shared" si="662"/>
        <v>27.5</v>
      </c>
      <c r="Q223" s="15" t="str">
        <f t="shared" ref="Q223:R223" si="674">"36"</f>
        <v>36</v>
      </c>
      <c r="R223" s="15" t="str">
        <f t="shared" si="674"/>
        <v>36</v>
      </c>
      <c r="S223" s="15" t="str">
        <f t="shared" si="664"/>
        <v>57.32</v>
      </c>
      <c r="T223" s="15" t="s">
        <v>1341</v>
      </c>
      <c r="U223" s="15" t="s">
        <v>11137</v>
      </c>
      <c r="V223" s="15" t="s">
        <v>11138</v>
      </c>
      <c r="AA223" s="15" t="s">
        <v>413</v>
      </c>
      <c r="AB223" s="15" t="s">
        <v>413</v>
      </c>
      <c r="AC223" s="15" t="s">
        <v>3265</v>
      </c>
      <c r="AD223" s="15" t="s">
        <v>13704</v>
      </c>
      <c r="AE223" s="15" t="s">
        <v>3264</v>
      </c>
      <c r="AF223" s="15" t="s">
        <v>13705</v>
      </c>
      <c r="AG223" s="15" t="s">
        <v>13706</v>
      </c>
      <c r="AH223" s="15" t="s">
        <v>13707</v>
      </c>
      <c r="AI223" s="15" t="s">
        <v>13708</v>
      </c>
      <c r="AJ223" s="15" t="s">
        <v>13709</v>
      </c>
      <c r="AK223" s="15" t="s">
        <v>13710</v>
      </c>
      <c r="AL223" s="15" t="s">
        <v>13711</v>
      </c>
      <c r="AM223" s="15" t="s">
        <v>13712</v>
      </c>
      <c r="AN223" s="15" t="s">
        <v>13713</v>
      </c>
      <c r="AO223" s="15" t="s">
        <v>13714</v>
      </c>
      <c r="AP223" s="15" t="s">
        <v>13715</v>
      </c>
      <c r="AQ223" s="15" t="s">
        <v>13716</v>
      </c>
      <c r="AR223" s="15" t="s">
        <v>13717</v>
      </c>
      <c r="BH223" s="15" t="s">
        <v>3261</v>
      </c>
      <c r="BI223" s="15" t="str">
        <f>"1899"</f>
        <v>1899</v>
      </c>
      <c r="BJ223" s="15" t="str">
        <f>"800"</f>
        <v>800</v>
      </c>
      <c r="BK223" s="15" t="s">
        <v>709</v>
      </c>
      <c r="BL223" s="15" t="str">
        <f t="shared" si="602"/>
        <v>1</v>
      </c>
      <c r="BM223" s="15" t="s">
        <v>1803</v>
      </c>
      <c r="BN223" s="15" t="str">
        <f t="shared" si="667"/>
        <v>29.92</v>
      </c>
      <c r="BO223" s="15" t="str">
        <f t="shared" si="668"/>
        <v>38.98</v>
      </c>
      <c r="BP223" s="15" t="str">
        <f t="shared" si="669"/>
        <v>37.4</v>
      </c>
      <c r="BQ223" s="15" t="str">
        <f t="shared" si="670"/>
        <v>80.47</v>
      </c>
      <c r="CG223" s="15" t="str">
        <f t="shared" si="671"/>
        <v>21.4</v>
      </c>
      <c r="CH223" s="15" t="str">
        <f t="shared" si="672"/>
        <v>0.606</v>
      </c>
      <c r="CI223" s="15" t="s">
        <v>465</v>
      </c>
      <c r="CS223" s="15" t="s">
        <v>2198</v>
      </c>
      <c r="CT223" s="15" t="s">
        <v>1065</v>
      </c>
      <c r="CV223" s="15">
        <v>0.0</v>
      </c>
      <c r="CW223" s="15">
        <v>1.0</v>
      </c>
      <c r="CX223" s="15" t="s">
        <v>717</v>
      </c>
      <c r="CY223" s="15" t="s">
        <v>718</v>
      </c>
      <c r="DF223" s="15" t="s">
        <v>721</v>
      </c>
      <c r="DG223" s="15" t="s">
        <v>2546</v>
      </c>
      <c r="DH223" s="15">
        <v>0.0</v>
      </c>
      <c r="DL223" s="15">
        <v>0.0</v>
      </c>
      <c r="DM223" s="15" t="s">
        <v>990</v>
      </c>
      <c r="DN223" s="15" t="s">
        <v>1016</v>
      </c>
      <c r="DP223" s="15">
        <v>1.0</v>
      </c>
      <c r="DQ223" s="15">
        <v>1.0</v>
      </c>
      <c r="DS223" s="15" t="s">
        <v>3239</v>
      </c>
      <c r="DT223" s="15">
        <v>0.0</v>
      </c>
      <c r="DU223" s="15" t="s">
        <v>726</v>
      </c>
      <c r="DV223" s="15" t="s">
        <v>1211</v>
      </c>
      <c r="DW223" s="15" t="s">
        <v>505</v>
      </c>
      <c r="DX223" s="15" t="s">
        <v>1306</v>
      </c>
      <c r="EB223" s="15" t="s">
        <v>425</v>
      </c>
      <c r="EF223" s="15" t="s">
        <v>2548</v>
      </c>
      <c r="EG223" s="15" t="s">
        <v>1330</v>
      </c>
      <c r="EH223" s="15" t="s">
        <v>1995</v>
      </c>
      <c r="EI223" s="15" t="s">
        <v>1065</v>
      </c>
      <c r="EL223" s="15" t="s">
        <v>1016</v>
      </c>
      <c r="EO223" s="15" t="s">
        <v>937</v>
      </c>
      <c r="EX223" s="15" t="s">
        <v>1286</v>
      </c>
      <c r="EY223" s="15" t="s">
        <v>1211</v>
      </c>
      <c r="EZ223" s="15">
        <v>0.0</v>
      </c>
      <c r="FA223" s="15">
        <v>0.0</v>
      </c>
      <c r="FB223" s="15" t="s">
        <v>1609</v>
      </c>
      <c r="FC223" s="15" t="s">
        <v>1213</v>
      </c>
      <c r="IZ223" s="15" t="s">
        <v>3250</v>
      </c>
      <c r="JA223" s="15" t="s">
        <v>734</v>
      </c>
    </row>
    <row r="224" ht="17.25" customHeight="1">
      <c r="A224" s="15" t="s">
        <v>3269</v>
      </c>
      <c r="B224" s="15" t="str">
        <f>"198394124409"</f>
        <v>198394124409</v>
      </c>
      <c r="C224" s="15" t="s">
        <v>13718</v>
      </c>
      <c r="D224" s="15" t="str">
        <f t="shared" si="1"/>
        <v>Channing ChaiseCrypton Nomad Mushroom</v>
      </c>
      <c r="E224" s="15" t="s">
        <v>3266</v>
      </c>
      <c r="F224" s="15" t="s">
        <v>397</v>
      </c>
      <c r="G224" s="15" t="s">
        <v>3268</v>
      </c>
      <c r="J224" s="15" t="s">
        <v>3268</v>
      </c>
      <c r="K224" s="15" t="s">
        <v>3278</v>
      </c>
      <c r="M224" s="15" t="s">
        <v>3277</v>
      </c>
      <c r="N224" s="15" t="s">
        <v>1226</v>
      </c>
      <c r="P224" s="15" t="str">
        <f>"53.25"</f>
        <v>53.25</v>
      </c>
      <c r="Q224" s="15" t="str">
        <f>"76.5"</f>
        <v>76.5</v>
      </c>
      <c r="R224" s="15" t="str">
        <f>"30.75"</f>
        <v>30.75</v>
      </c>
      <c r="S224" s="15" t="str">
        <f>"153.22"</f>
        <v>153.22</v>
      </c>
      <c r="T224" s="15" t="s">
        <v>3272</v>
      </c>
      <c r="U224" s="15" t="s">
        <v>11858</v>
      </c>
      <c r="V224" s="15" t="s">
        <v>11859</v>
      </c>
      <c r="W224" s="15" t="s">
        <v>11210</v>
      </c>
      <c r="AA224" s="15" t="s">
        <v>413</v>
      </c>
      <c r="AB224" s="15" t="s">
        <v>426</v>
      </c>
      <c r="AC224" s="15" t="s">
        <v>3279</v>
      </c>
      <c r="AD224" s="15" t="s">
        <v>13719</v>
      </c>
      <c r="AE224" s="15" t="s">
        <v>3271</v>
      </c>
      <c r="AF224" s="15" t="s">
        <v>13720</v>
      </c>
      <c r="AG224" s="15" t="s">
        <v>13721</v>
      </c>
      <c r="AH224" s="15" t="s">
        <v>13722</v>
      </c>
      <c r="AI224" s="15" t="s">
        <v>13723</v>
      </c>
      <c r="AJ224" s="15" t="s">
        <v>13724</v>
      </c>
      <c r="AK224" s="15" t="s">
        <v>13725</v>
      </c>
      <c r="AL224" s="15" t="s">
        <v>13726</v>
      </c>
      <c r="AM224" s="15" t="s">
        <v>13727</v>
      </c>
      <c r="AN224" s="15" t="s">
        <v>13728</v>
      </c>
      <c r="AO224" s="15" t="s">
        <v>13729</v>
      </c>
      <c r="AP224" s="15" t="s">
        <v>13730</v>
      </c>
      <c r="BH224" s="15" t="s">
        <v>3267</v>
      </c>
      <c r="BI224" s="15" t="str">
        <f>"2649"</f>
        <v>2649</v>
      </c>
      <c r="BJ224" s="15" t="str">
        <f>"1115"</f>
        <v>1115</v>
      </c>
      <c r="BK224" s="15" t="s">
        <v>742</v>
      </c>
      <c r="BL224" s="15" t="str">
        <f t="shared" si="602"/>
        <v>1</v>
      </c>
      <c r="BM224" s="15" t="s">
        <v>416</v>
      </c>
      <c r="BN224" s="15" t="str">
        <f>"54.53"</f>
        <v>54.53</v>
      </c>
      <c r="BO224" s="15" t="str">
        <f>"77.36"</f>
        <v>77.36</v>
      </c>
      <c r="BP224" s="15" t="str">
        <f>"31.38"</f>
        <v>31.38</v>
      </c>
      <c r="BQ224" s="15" t="str">
        <f>"205.03"</f>
        <v>205.03</v>
      </c>
      <c r="CG224" s="15" t="str">
        <f>"76.6"</f>
        <v>76.6</v>
      </c>
      <c r="CH224" s="15" t="str">
        <f>"2.169"</f>
        <v>2.169</v>
      </c>
      <c r="CI224" s="15" t="s">
        <v>465</v>
      </c>
      <c r="CS224" s="15" t="s">
        <v>3284</v>
      </c>
      <c r="CT224" s="15" t="s">
        <v>1070</v>
      </c>
      <c r="CU224" s="15" t="s">
        <v>3285</v>
      </c>
      <c r="CV224" s="15">
        <v>0.0</v>
      </c>
      <c r="CW224" s="15">
        <v>0.0</v>
      </c>
      <c r="CX224" s="15" t="s">
        <v>717</v>
      </c>
      <c r="CY224" s="15" t="s">
        <v>897</v>
      </c>
      <c r="DF224" s="15" t="s">
        <v>1388</v>
      </c>
      <c r="DG224" s="15" t="s">
        <v>419</v>
      </c>
      <c r="DH224" s="15">
        <v>0.0</v>
      </c>
      <c r="DL224" s="15">
        <v>50000.0</v>
      </c>
      <c r="DM224" s="15" t="s">
        <v>990</v>
      </c>
      <c r="DN224" s="15" t="s">
        <v>1016</v>
      </c>
      <c r="DP224" s="15">
        <v>1.0</v>
      </c>
      <c r="DQ224" s="15">
        <v>1.0</v>
      </c>
      <c r="DS224" s="15" t="s">
        <v>3286</v>
      </c>
      <c r="DT224" s="15">
        <v>0.0</v>
      </c>
      <c r="DU224" s="15" t="s">
        <v>726</v>
      </c>
      <c r="DV224" s="15" t="s">
        <v>3287</v>
      </c>
      <c r="DW224" s="15" t="s">
        <v>2156</v>
      </c>
      <c r="DX224" s="15" t="s">
        <v>3288</v>
      </c>
      <c r="EB224" s="15" t="s">
        <v>2841</v>
      </c>
      <c r="EF224" s="15" t="s">
        <v>3289</v>
      </c>
      <c r="EG224" s="15" t="s">
        <v>3290</v>
      </c>
      <c r="EH224" s="15" t="s">
        <v>3291</v>
      </c>
      <c r="EI224" s="15" t="s">
        <v>2156</v>
      </c>
      <c r="EO224" s="15" t="s">
        <v>3292</v>
      </c>
      <c r="EU224" s="15" t="s">
        <v>426</v>
      </c>
      <c r="EX224" s="15" t="s">
        <v>3293</v>
      </c>
      <c r="EY224" s="15" t="s">
        <v>3285</v>
      </c>
    </row>
    <row r="225" ht="17.25" customHeight="1">
      <c r="A225" s="15" t="s">
        <v>3297</v>
      </c>
      <c r="B225" s="15" t="str">
        <f>"801542708979"</f>
        <v>801542708979</v>
      </c>
      <c r="C225" s="15" t="s">
        <v>13731</v>
      </c>
      <c r="D225" s="15" t="str">
        <f t="shared" si="1"/>
        <v>Charlotte BenchMongolian Cream Fur</v>
      </c>
      <c r="E225" s="15" t="s">
        <v>3294</v>
      </c>
      <c r="F225" s="15" t="s">
        <v>397</v>
      </c>
      <c r="G225" s="15" t="s">
        <v>3296</v>
      </c>
      <c r="J225" s="15" t="s">
        <v>3296</v>
      </c>
      <c r="K225" s="15" t="s">
        <v>2914</v>
      </c>
      <c r="L225" s="15" t="s">
        <v>2520</v>
      </c>
      <c r="M225" s="15" t="s">
        <v>1628</v>
      </c>
      <c r="N225" s="15" t="s">
        <v>458</v>
      </c>
      <c r="O225" s="15" t="s">
        <v>459</v>
      </c>
      <c r="P225" s="15" t="str">
        <f t="shared" ref="P225:P227" si="675">"59"</f>
        <v>59</v>
      </c>
      <c r="Q225" s="15" t="str">
        <f t="shared" ref="Q225:Q227" si="676">"19"</f>
        <v>19</v>
      </c>
      <c r="R225" s="15" t="str">
        <f t="shared" ref="R225:R227" si="677">"22"</f>
        <v>22</v>
      </c>
      <c r="S225" s="15" t="str">
        <f t="shared" ref="S225:S226" si="678">"35.3"</f>
        <v>35.3</v>
      </c>
      <c r="T225" s="15" t="s">
        <v>3300</v>
      </c>
      <c r="U225" s="15" t="s">
        <v>11209</v>
      </c>
      <c r="V225" s="15" t="s">
        <v>12535</v>
      </c>
      <c r="W225" s="15" t="s">
        <v>11338</v>
      </c>
      <c r="AA225" s="15" t="s">
        <v>413</v>
      </c>
      <c r="AB225" s="15" t="s">
        <v>413</v>
      </c>
      <c r="AC225" s="15" t="s">
        <v>3303</v>
      </c>
      <c r="AD225" s="15" t="s">
        <v>13732</v>
      </c>
      <c r="AE225" s="15" t="s">
        <v>3299</v>
      </c>
      <c r="AF225" s="15" t="s">
        <v>13733</v>
      </c>
      <c r="AG225" s="15" t="s">
        <v>13734</v>
      </c>
      <c r="AH225" s="15" t="s">
        <v>13735</v>
      </c>
      <c r="AI225" s="15" t="s">
        <v>13736</v>
      </c>
      <c r="AJ225" s="15" t="s">
        <v>13737</v>
      </c>
      <c r="AK225" s="15" t="s">
        <v>13738</v>
      </c>
      <c r="BH225" s="15" t="s">
        <v>3295</v>
      </c>
      <c r="BI225" s="15" t="str">
        <f>"1199"</f>
        <v>1199</v>
      </c>
      <c r="BJ225" s="15" t="str">
        <f>"505"</f>
        <v>505</v>
      </c>
      <c r="BK225" s="15" t="s">
        <v>709</v>
      </c>
      <c r="BL225" s="15" t="str">
        <f t="shared" si="602"/>
        <v>1</v>
      </c>
      <c r="BM225" s="15" t="s">
        <v>416</v>
      </c>
      <c r="BN225" s="15" t="str">
        <f t="shared" ref="BN225:BN227" si="679">"61.42"</f>
        <v>61.42</v>
      </c>
      <c r="BO225" s="15" t="str">
        <f t="shared" ref="BO225:BO227" si="680">"21.46"</f>
        <v>21.46</v>
      </c>
      <c r="BP225" s="15" t="str">
        <f t="shared" ref="BP225:BP227" si="681">"24.8"</f>
        <v>24.8</v>
      </c>
      <c r="BQ225" s="15" t="str">
        <f t="shared" ref="BQ225:BQ227" si="682">"57.32"</f>
        <v>57.32</v>
      </c>
      <c r="CG225" s="15" t="str">
        <f t="shared" ref="CG225:CG227" si="683">"18.93"</f>
        <v>18.93</v>
      </c>
      <c r="CH225" s="15" t="str">
        <f t="shared" ref="CH225:CH227" si="684">"0.536"</f>
        <v>0.536</v>
      </c>
      <c r="CI225" s="15" t="s">
        <v>465</v>
      </c>
      <c r="CP225" s="15" t="s">
        <v>467</v>
      </c>
      <c r="CQ225" s="15" t="s">
        <v>3305</v>
      </c>
      <c r="CR225" s="15" t="s">
        <v>2337</v>
      </c>
      <c r="CS225" s="15" t="s">
        <v>467</v>
      </c>
      <c r="CT225" s="15" t="s">
        <v>1324</v>
      </c>
      <c r="CU225" s="15" t="s">
        <v>2337</v>
      </c>
      <c r="CV225" s="15">
        <v>0.0</v>
      </c>
      <c r="CW225" s="15">
        <v>0.0</v>
      </c>
      <c r="CX225" s="15" t="s">
        <v>469</v>
      </c>
      <c r="CY225" s="15" t="s">
        <v>897</v>
      </c>
      <c r="CZ225" s="15" t="s">
        <v>419</v>
      </c>
      <c r="DA225" s="15">
        <v>0.0</v>
      </c>
      <c r="DB225" s="15" t="s">
        <v>419</v>
      </c>
      <c r="DD225" s="15">
        <v>0.0</v>
      </c>
      <c r="DF225" s="15" t="s">
        <v>721</v>
      </c>
      <c r="DG225" s="15" t="s">
        <v>419</v>
      </c>
      <c r="DH225" s="15">
        <v>0.0</v>
      </c>
      <c r="DI225" s="15">
        <v>0.0</v>
      </c>
      <c r="DJ225" s="15">
        <v>0.0</v>
      </c>
      <c r="DK225" s="15">
        <v>0.0</v>
      </c>
      <c r="DL225" s="15">
        <v>10000.0</v>
      </c>
      <c r="DM225" s="15" t="s">
        <v>470</v>
      </c>
      <c r="DN225" s="15" t="s">
        <v>1016</v>
      </c>
      <c r="DO225" s="15" t="s">
        <v>3306</v>
      </c>
      <c r="DP225" s="15">
        <v>1.0</v>
      </c>
      <c r="DQ225" s="15">
        <v>2.0</v>
      </c>
      <c r="DR225" s="15" t="s">
        <v>471</v>
      </c>
      <c r="DS225" s="15" t="s">
        <v>3307</v>
      </c>
      <c r="DT225" s="15">
        <v>0.0</v>
      </c>
      <c r="DU225" s="15" t="s">
        <v>1545</v>
      </c>
      <c r="DV225" s="15" t="s">
        <v>1072</v>
      </c>
      <c r="DW225" s="15" t="s">
        <v>672</v>
      </c>
      <c r="DX225" s="15" t="s">
        <v>1804</v>
      </c>
      <c r="EB225" s="15" t="s">
        <v>1188</v>
      </c>
      <c r="EF225" s="15" t="s">
        <v>1238</v>
      </c>
      <c r="EG225" s="15" t="s">
        <v>3308</v>
      </c>
      <c r="EH225" s="15" t="s">
        <v>2930</v>
      </c>
      <c r="EO225" s="15" t="s">
        <v>997</v>
      </c>
      <c r="EX225" s="15" t="s">
        <v>2337</v>
      </c>
      <c r="EY225" s="15" t="s">
        <v>2337</v>
      </c>
    </row>
    <row r="226" ht="17.25" customHeight="1">
      <c r="A226" s="15" t="s">
        <v>3310</v>
      </c>
      <c r="B226" s="15" t="str">
        <f>"801542643317"</f>
        <v>801542643317</v>
      </c>
      <c r="C226" s="15" t="s">
        <v>13739</v>
      </c>
      <c r="D226" s="15" t="str">
        <f t="shared" si="1"/>
        <v>Charlotte BenchPalermo Drift</v>
      </c>
      <c r="E226" s="15" t="s">
        <v>3294</v>
      </c>
      <c r="F226" s="15" t="s">
        <v>397</v>
      </c>
      <c r="G226" s="15" t="s">
        <v>1658</v>
      </c>
      <c r="J226" s="15" t="s">
        <v>1658</v>
      </c>
      <c r="K226" s="15" t="s">
        <v>2914</v>
      </c>
      <c r="L226" s="15" t="s">
        <v>1342</v>
      </c>
      <c r="M226" s="15" t="s">
        <v>1628</v>
      </c>
      <c r="N226" s="15" t="s">
        <v>458</v>
      </c>
      <c r="O226" s="15" t="s">
        <v>459</v>
      </c>
      <c r="P226" s="15" t="str">
        <f t="shared" si="675"/>
        <v>59</v>
      </c>
      <c r="Q226" s="15" t="str">
        <f t="shared" si="676"/>
        <v>19</v>
      </c>
      <c r="R226" s="15" t="str">
        <f t="shared" si="677"/>
        <v>22</v>
      </c>
      <c r="S226" s="15" t="str">
        <f t="shared" si="678"/>
        <v>35.3</v>
      </c>
      <c r="T226" s="15" t="s">
        <v>3312</v>
      </c>
      <c r="U226" s="15" t="s">
        <v>11137</v>
      </c>
      <c r="V226" s="15" t="s">
        <v>12535</v>
      </c>
      <c r="W226" s="15" t="s">
        <v>11138</v>
      </c>
      <c r="AA226" s="15" t="s">
        <v>413</v>
      </c>
      <c r="AB226" s="15" t="s">
        <v>413</v>
      </c>
      <c r="AC226" s="15" t="s">
        <v>3313</v>
      </c>
      <c r="AD226" s="15" t="s">
        <v>13740</v>
      </c>
      <c r="AE226" s="15" t="s">
        <v>3311</v>
      </c>
      <c r="AF226" s="15" t="s">
        <v>13741</v>
      </c>
      <c r="AG226" s="15" t="s">
        <v>13742</v>
      </c>
      <c r="AH226" s="15" t="s">
        <v>13743</v>
      </c>
      <c r="AI226" s="15" t="s">
        <v>13744</v>
      </c>
      <c r="AJ226" s="15" t="s">
        <v>13745</v>
      </c>
      <c r="AK226" s="15" t="s">
        <v>13746</v>
      </c>
      <c r="BH226" s="15" t="s">
        <v>3309</v>
      </c>
      <c r="BI226" s="15" t="str">
        <f>"1649"</f>
        <v>1649</v>
      </c>
      <c r="BJ226" s="15" t="str">
        <f>"695"</f>
        <v>695</v>
      </c>
      <c r="BK226" s="15" t="s">
        <v>709</v>
      </c>
      <c r="BL226" s="15" t="str">
        <f t="shared" si="602"/>
        <v>1</v>
      </c>
      <c r="BM226" s="15" t="s">
        <v>416</v>
      </c>
      <c r="BN226" s="15" t="str">
        <f t="shared" si="679"/>
        <v>61.42</v>
      </c>
      <c r="BO226" s="15" t="str">
        <f t="shared" si="680"/>
        <v>21.46</v>
      </c>
      <c r="BP226" s="15" t="str">
        <f t="shared" si="681"/>
        <v>24.8</v>
      </c>
      <c r="BQ226" s="15" t="str">
        <f t="shared" si="682"/>
        <v>57.32</v>
      </c>
      <c r="CG226" s="15" t="str">
        <f t="shared" si="683"/>
        <v>18.93</v>
      </c>
      <c r="CH226" s="15" t="str">
        <f t="shared" si="684"/>
        <v>0.536</v>
      </c>
      <c r="CI226" s="15" t="s">
        <v>465</v>
      </c>
      <c r="CP226" s="15" t="s">
        <v>467</v>
      </c>
      <c r="CQ226" s="15" t="s">
        <v>3305</v>
      </c>
      <c r="CR226" s="15" t="s">
        <v>2337</v>
      </c>
      <c r="CS226" s="15" t="s">
        <v>467</v>
      </c>
      <c r="CT226" s="15" t="s">
        <v>1324</v>
      </c>
      <c r="CU226" s="15" t="s">
        <v>2337</v>
      </c>
      <c r="CV226" s="15">
        <v>0.0</v>
      </c>
      <c r="CW226" s="15">
        <v>0.0</v>
      </c>
      <c r="CX226" s="15" t="s">
        <v>469</v>
      </c>
      <c r="CY226" s="15" t="s">
        <v>718</v>
      </c>
      <c r="CZ226" s="15" t="s">
        <v>419</v>
      </c>
      <c r="DA226" s="15">
        <v>0.0</v>
      </c>
      <c r="DB226" s="15" t="s">
        <v>419</v>
      </c>
      <c r="DD226" s="15">
        <v>0.0</v>
      </c>
      <c r="DF226" s="15" t="s">
        <v>721</v>
      </c>
      <c r="DG226" s="15" t="s">
        <v>419</v>
      </c>
      <c r="DH226" s="15">
        <v>0.0</v>
      </c>
      <c r="DI226" s="15">
        <v>0.0</v>
      </c>
      <c r="DJ226" s="15">
        <v>0.0</v>
      </c>
      <c r="DK226" s="15">
        <v>0.0</v>
      </c>
      <c r="DL226" s="15">
        <v>0.0</v>
      </c>
      <c r="DM226" s="15" t="s">
        <v>470</v>
      </c>
      <c r="DN226" s="15" t="s">
        <v>1016</v>
      </c>
      <c r="DO226" s="15" t="s">
        <v>3306</v>
      </c>
      <c r="DP226" s="15">
        <v>1.0</v>
      </c>
      <c r="DQ226" s="15">
        <v>2.0</v>
      </c>
      <c r="DR226" s="15" t="s">
        <v>471</v>
      </c>
      <c r="DS226" s="15" t="s">
        <v>3307</v>
      </c>
      <c r="DT226" s="15">
        <v>0.0</v>
      </c>
      <c r="DU226" s="15" t="s">
        <v>1545</v>
      </c>
      <c r="DV226" s="15" t="s">
        <v>1072</v>
      </c>
      <c r="DW226" s="15" t="s">
        <v>672</v>
      </c>
      <c r="DX226" s="15" t="s">
        <v>1804</v>
      </c>
      <c r="EB226" s="15" t="s">
        <v>1188</v>
      </c>
      <c r="EF226" s="15" t="s">
        <v>1238</v>
      </c>
      <c r="EG226" s="15" t="s">
        <v>3308</v>
      </c>
      <c r="EH226" s="15" t="s">
        <v>2930</v>
      </c>
      <c r="EO226" s="15" t="s">
        <v>997</v>
      </c>
      <c r="EX226" s="15" t="s">
        <v>2337</v>
      </c>
      <c r="EY226" s="15" t="s">
        <v>2337</v>
      </c>
    </row>
    <row r="227" ht="17.25" customHeight="1">
      <c r="A227" s="15" t="s">
        <v>3316</v>
      </c>
      <c r="B227" s="15" t="str">
        <f>"801542765644"</f>
        <v>801542765644</v>
      </c>
      <c r="C227" s="15" t="s">
        <v>13747</v>
      </c>
      <c r="D227" s="15" t="str">
        <f t="shared" si="1"/>
        <v>Charlotte BenchThames Raven</v>
      </c>
      <c r="E227" s="15" t="s">
        <v>3294</v>
      </c>
      <c r="F227" s="15" t="s">
        <v>397</v>
      </c>
      <c r="G227" s="15" t="s">
        <v>3315</v>
      </c>
      <c r="J227" s="15" t="s">
        <v>3315</v>
      </c>
      <c r="K227" s="15" t="s">
        <v>2914</v>
      </c>
      <c r="L227" s="15" t="s">
        <v>2520</v>
      </c>
      <c r="M227" s="15" t="s">
        <v>1628</v>
      </c>
      <c r="N227" s="15" t="s">
        <v>458</v>
      </c>
      <c r="O227" s="15" t="s">
        <v>459</v>
      </c>
      <c r="P227" s="15" t="str">
        <f t="shared" si="675"/>
        <v>59</v>
      </c>
      <c r="Q227" s="15" t="str">
        <f t="shared" si="676"/>
        <v>19</v>
      </c>
      <c r="R227" s="15" t="str">
        <f t="shared" si="677"/>
        <v>22</v>
      </c>
      <c r="S227" s="15" t="str">
        <f>"35.27"</f>
        <v>35.27</v>
      </c>
      <c r="T227" s="15" t="s">
        <v>3319</v>
      </c>
      <c r="U227" s="15" t="s">
        <v>11537</v>
      </c>
      <c r="V227" s="15" t="s">
        <v>11538</v>
      </c>
      <c r="W227" s="15" t="s">
        <v>11539</v>
      </c>
      <c r="X227" s="15" t="s">
        <v>12535</v>
      </c>
      <c r="Y227" s="15" t="s">
        <v>11338</v>
      </c>
      <c r="AA227" s="15" t="s">
        <v>413</v>
      </c>
      <c r="AB227" s="15" t="s">
        <v>426</v>
      </c>
      <c r="AC227" s="15" t="s">
        <v>3320</v>
      </c>
      <c r="AD227" s="15" t="s">
        <v>13748</v>
      </c>
      <c r="AE227" s="15" t="s">
        <v>3318</v>
      </c>
      <c r="AF227" s="15" t="s">
        <v>13749</v>
      </c>
      <c r="AG227" s="15" t="s">
        <v>13750</v>
      </c>
      <c r="AH227" s="15" t="s">
        <v>13751</v>
      </c>
      <c r="AI227" s="15" t="s">
        <v>13752</v>
      </c>
      <c r="AJ227" s="15" t="s">
        <v>13753</v>
      </c>
      <c r="AK227" s="15" t="s">
        <v>13754</v>
      </c>
      <c r="AL227" s="15" t="s">
        <v>13755</v>
      </c>
      <c r="AM227" s="15" t="s">
        <v>13756</v>
      </c>
      <c r="AN227" s="15" t="s">
        <v>13757</v>
      </c>
      <c r="BH227" s="15" t="s">
        <v>3314</v>
      </c>
      <c r="BI227" s="15" t="str">
        <f>"1199"</f>
        <v>1199</v>
      </c>
      <c r="BJ227" s="15" t="str">
        <f>"505"</f>
        <v>505</v>
      </c>
      <c r="BK227" s="15" t="s">
        <v>709</v>
      </c>
      <c r="BL227" s="15" t="str">
        <f t="shared" si="602"/>
        <v>1</v>
      </c>
      <c r="BM227" s="15" t="s">
        <v>416</v>
      </c>
      <c r="BN227" s="15" t="str">
        <f t="shared" si="679"/>
        <v>61.42</v>
      </c>
      <c r="BO227" s="15" t="str">
        <f t="shared" si="680"/>
        <v>21.46</v>
      </c>
      <c r="BP227" s="15" t="str">
        <f t="shared" si="681"/>
        <v>24.8</v>
      </c>
      <c r="BQ227" s="15" t="str">
        <f t="shared" si="682"/>
        <v>57.32</v>
      </c>
      <c r="CG227" s="15" t="str">
        <f t="shared" si="683"/>
        <v>18.93</v>
      </c>
      <c r="CH227" s="15" t="str">
        <f t="shared" si="684"/>
        <v>0.536</v>
      </c>
      <c r="CI227" s="15" t="s">
        <v>465</v>
      </c>
      <c r="CP227" s="15" t="s">
        <v>467</v>
      </c>
      <c r="CQ227" s="15" t="s">
        <v>3305</v>
      </c>
      <c r="CR227" s="15" t="s">
        <v>2337</v>
      </c>
      <c r="CS227" s="15" t="s">
        <v>467</v>
      </c>
      <c r="CT227" s="15" t="s">
        <v>1324</v>
      </c>
      <c r="CU227" s="15" t="s">
        <v>2337</v>
      </c>
      <c r="CV227" s="15">
        <v>0.0</v>
      </c>
      <c r="CW227" s="15">
        <v>0.0</v>
      </c>
      <c r="CX227" s="15" t="s">
        <v>469</v>
      </c>
      <c r="CY227" s="15" t="s">
        <v>855</v>
      </c>
      <c r="CZ227" s="15" t="s">
        <v>419</v>
      </c>
      <c r="DA227" s="15">
        <v>0.0</v>
      </c>
      <c r="DB227" s="15" t="s">
        <v>419</v>
      </c>
      <c r="DD227" s="15">
        <v>0.0</v>
      </c>
      <c r="DF227" s="15" t="s">
        <v>721</v>
      </c>
      <c r="DG227" s="15" t="s">
        <v>419</v>
      </c>
      <c r="DH227" s="15">
        <v>0.0</v>
      </c>
      <c r="DI227" s="15">
        <v>0.0</v>
      </c>
      <c r="DJ227" s="15">
        <v>0.0</v>
      </c>
      <c r="DK227" s="15">
        <v>0.0</v>
      </c>
      <c r="DL227" s="15">
        <v>25000.0</v>
      </c>
      <c r="DM227" s="15" t="s">
        <v>470</v>
      </c>
      <c r="DN227" s="15" t="s">
        <v>1016</v>
      </c>
      <c r="DO227" s="15" t="s">
        <v>3306</v>
      </c>
      <c r="DP227" s="15">
        <v>1.0</v>
      </c>
      <c r="DQ227" s="15">
        <v>2.0</v>
      </c>
      <c r="DR227" s="15" t="s">
        <v>471</v>
      </c>
      <c r="DS227" s="15" t="s">
        <v>3307</v>
      </c>
      <c r="DT227" s="15">
        <v>0.0</v>
      </c>
      <c r="DU227" s="15" t="s">
        <v>1545</v>
      </c>
      <c r="DV227" s="15" t="s">
        <v>1072</v>
      </c>
      <c r="DW227" s="15" t="s">
        <v>672</v>
      </c>
      <c r="DX227" s="15" t="s">
        <v>1804</v>
      </c>
      <c r="EB227" s="15" t="s">
        <v>1188</v>
      </c>
      <c r="EF227" s="15" t="s">
        <v>1238</v>
      </c>
      <c r="EG227" s="15" t="s">
        <v>3308</v>
      </c>
      <c r="EH227" s="15" t="s">
        <v>2930</v>
      </c>
      <c r="EO227" s="15" t="s">
        <v>997</v>
      </c>
      <c r="EX227" s="15" t="s">
        <v>2337</v>
      </c>
      <c r="EY227" s="15" t="s">
        <v>2337</v>
      </c>
    </row>
    <row r="228" ht="17.25" customHeight="1">
      <c r="A228" s="15" t="s">
        <v>3324</v>
      </c>
      <c r="B228" s="15" t="str">
        <f>"198394123686"</f>
        <v>198394123686</v>
      </c>
      <c r="C228" s="15" t="s">
        <v>13758</v>
      </c>
      <c r="D228" s="15" t="str">
        <f t="shared" si="1"/>
        <v>Chloe Media LoungerCrypton Henry Coffee</v>
      </c>
      <c r="E228" s="15" t="s">
        <v>3321</v>
      </c>
      <c r="F228" s="15" t="s">
        <v>397</v>
      </c>
      <c r="G228" s="15" t="s">
        <v>3323</v>
      </c>
      <c r="J228" s="15" t="s">
        <v>3323</v>
      </c>
      <c r="M228" s="15" t="s">
        <v>2374</v>
      </c>
      <c r="N228" s="15" t="s">
        <v>1732</v>
      </c>
      <c r="P228" s="15" t="str">
        <f>"62"</f>
        <v>62</v>
      </c>
      <c r="Q228" s="15" t="str">
        <f>"66"</f>
        <v>66</v>
      </c>
      <c r="R228" s="15" t="str">
        <f>"40.5"</f>
        <v>40.5</v>
      </c>
      <c r="S228" s="15" t="str">
        <f>"119.05"</f>
        <v>119.05</v>
      </c>
      <c r="T228" s="15" t="s">
        <v>1655</v>
      </c>
      <c r="U228" s="15" t="s">
        <v>11209</v>
      </c>
      <c r="AA228" s="15" t="s">
        <v>413</v>
      </c>
      <c r="AB228" s="15" t="s">
        <v>426</v>
      </c>
      <c r="AC228" s="15" t="s">
        <v>3328</v>
      </c>
      <c r="AD228" s="15" t="s">
        <v>13759</v>
      </c>
      <c r="AE228" s="15" t="s">
        <v>3325</v>
      </c>
      <c r="AF228" s="15" t="s">
        <v>13760</v>
      </c>
      <c r="AG228" s="15" t="s">
        <v>13761</v>
      </c>
      <c r="AH228" s="15" t="s">
        <v>13762</v>
      </c>
      <c r="AI228" s="15" t="s">
        <v>13763</v>
      </c>
      <c r="AJ228" s="15" t="s">
        <v>13764</v>
      </c>
      <c r="BH228" s="15" t="s">
        <v>3322</v>
      </c>
      <c r="BI228" s="15" t="str">
        <f>"2499"</f>
        <v>2499</v>
      </c>
      <c r="BJ228" s="15" t="str">
        <f>"1050"</f>
        <v>1050</v>
      </c>
      <c r="BK228" s="15" t="s">
        <v>415</v>
      </c>
      <c r="BL228" s="15" t="str">
        <f t="shared" si="602"/>
        <v>1</v>
      </c>
      <c r="BM228" s="15" t="s">
        <v>416</v>
      </c>
      <c r="BN228" s="15" t="str">
        <f>"63"</f>
        <v>63</v>
      </c>
      <c r="BO228" s="15" t="str">
        <f>"67.5"</f>
        <v>67.5</v>
      </c>
      <c r="BP228" s="15" t="str">
        <f>"33.5"</f>
        <v>33.5</v>
      </c>
      <c r="BQ228" s="15" t="str">
        <f>"130.07"</f>
        <v>130.07</v>
      </c>
      <c r="CG228" s="15" t="str">
        <f>"82.42"</f>
        <v>82.42</v>
      </c>
      <c r="CH228" s="15" t="str">
        <f>"2.334"</f>
        <v>2.334</v>
      </c>
      <c r="CI228" s="15" t="s">
        <v>497</v>
      </c>
      <c r="CS228" s="15" t="s">
        <v>3332</v>
      </c>
      <c r="CT228" s="15" t="s">
        <v>1331</v>
      </c>
      <c r="CV228" s="15">
        <v>0.0</v>
      </c>
      <c r="CW228" s="15">
        <v>5.0</v>
      </c>
      <c r="CX228" s="15" t="s">
        <v>717</v>
      </c>
      <c r="CY228" s="15" t="s">
        <v>934</v>
      </c>
      <c r="DC228" s="15" t="s">
        <v>3333</v>
      </c>
      <c r="DF228" s="15" t="s">
        <v>721</v>
      </c>
      <c r="DH228" s="15">
        <v>0.0</v>
      </c>
      <c r="DL228" s="15">
        <v>100000.0</v>
      </c>
      <c r="DM228" s="15" t="s">
        <v>990</v>
      </c>
      <c r="DN228" s="15" t="s">
        <v>1016</v>
      </c>
      <c r="DO228" s="15" t="s">
        <v>724</v>
      </c>
      <c r="DP228" s="15">
        <v>1.0</v>
      </c>
      <c r="DQ228" s="15">
        <v>3.0</v>
      </c>
      <c r="DS228" s="15" t="s">
        <v>3334</v>
      </c>
      <c r="DT228" s="15">
        <v>0.0</v>
      </c>
      <c r="DU228" s="15" t="s">
        <v>473</v>
      </c>
      <c r="DV228" s="15" t="s">
        <v>1806</v>
      </c>
      <c r="DW228" s="15" t="s">
        <v>429</v>
      </c>
      <c r="DX228" s="15" t="s">
        <v>3335</v>
      </c>
      <c r="EB228" s="15" t="s">
        <v>635</v>
      </c>
      <c r="EC228" s="15" t="s">
        <v>2402</v>
      </c>
      <c r="ED228" s="15" t="s">
        <v>1211</v>
      </c>
      <c r="EE228" s="15" t="s">
        <v>1211</v>
      </c>
      <c r="EF228" s="15" t="s">
        <v>1188</v>
      </c>
      <c r="EG228" s="15" t="s">
        <v>3336</v>
      </c>
      <c r="EH228" s="15" t="s">
        <v>996</v>
      </c>
      <c r="EI228" s="15" t="s">
        <v>2739</v>
      </c>
      <c r="EL228" s="15" t="s">
        <v>723</v>
      </c>
      <c r="EM228" s="15" t="s">
        <v>1076</v>
      </c>
      <c r="EN228" s="15" t="s">
        <v>1289</v>
      </c>
      <c r="EO228" s="15" t="s">
        <v>3337</v>
      </c>
      <c r="EX228" s="15" t="s">
        <v>3338</v>
      </c>
      <c r="EY228" s="15" t="s">
        <v>2931</v>
      </c>
      <c r="GT228" s="15" t="s">
        <v>2402</v>
      </c>
      <c r="GU228" s="15" t="s">
        <v>467</v>
      </c>
      <c r="GV228" s="15" t="s">
        <v>467</v>
      </c>
    </row>
    <row r="229" ht="17.25" customHeight="1">
      <c r="A229" s="15" t="s">
        <v>3342</v>
      </c>
      <c r="B229" s="15" t="str">
        <f>"801542003432"</f>
        <v>801542003432</v>
      </c>
      <c r="C229" s="15" t="s">
        <v>13765</v>
      </c>
      <c r="D229" s="15" t="str">
        <f t="shared" si="1"/>
        <v>Chloe Swivel ChairDelta Bisque</v>
      </c>
      <c r="E229" s="15" t="s">
        <v>3339</v>
      </c>
      <c r="F229" s="15" t="s">
        <v>397</v>
      </c>
      <c r="G229" s="15" t="s">
        <v>3341</v>
      </c>
      <c r="J229" s="15" t="s">
        <v>3341</v>
      </c>
      <c r="M229" s="15" t="s">
        <v>2374</v>
      </c>
      <c r="N229" s="15" t="s">
        <v>706</v>
      </c>
      <c r="O229" s="15" t="s">
        <v>707</v>
      </c>
      <c r="P229" s="15" t="str">
        <f t="shared" ref="P229:P230" si="685">"42"</f>
        <v>42</v>
      </c>
      <c r="Q229" s="15" t="str">
        <f t="shared" ref="Q229:Q230" si="686">"42.5"</f>
        <v>42.5</v>
      </c>
      <c r="R229" s="15" t="str">
        <f t="shared" ref="R229:R230" si="687">"34.5"</f>
        <v>34.5</v>
      </c>
      <c r="S229" s="15" t="str">
        <f t="shared" ref="S229:S230" si="688">"83.77"</f>
        <v>83.77</v>
      </c>
      <c r="T229" s="15" t="s">
        <v>3344</v>
      </c>
      <c r="U229" s="15" t="s">
        <v>13766</v>
      </c>
      <c r="V229" s="15" t="s">
        <v>13767</v>
      </c>
      <c r="AA229" s="15" t="s">
        <v>426</v>
      </c>
      <c r="AB229" s="15" t="s">
        <v>426</v>
      </c>
      <c r="AC229" s="15" t="s">
        <v>3347</v>
      </c>
      <c r="AD229" s="15" t="s">
        <v>13768</v>
      </c>
      <c r="AE229" s="15" t="s">
        <v>3343</v>
      </c>
      <c r="AF229" s="15" t="s">
        <v>13769</v>
      </c>
      <c r="AG229" s="15" t="s">
        <v>13770</v>
      </c>
      <c r="AH229" s="15" t="s">
        <v>13771</v>
      </c>
      <c r="AI229" s="15" t="s">
        <v>13772</v>
      </c>
      <c r="AJ229" s="15" t="s">
        <v>13773</v>
      </c>
      <c r="AK229" s="15" t="s">
        <v>13774</v>
      </c>
      <c r="AL229" s="15" t="s">
        <v>13775</v>
      </c>
      <c r="AM229" s="15" t="s">
        <v>13776</v>
      </c>
      <c r="AN229" s="15" t="s">
        <v>13777</v>
      </c>
      <c r="AO229" s="15" t="s">
        <v>13778</v>
      </c>
      <c r="AP229" s="15" t="s">
        <v>13779</v>
      </c>
      <c r="AQ229" s="15" t="s">
        <v>13780</v>
      </c>
      <c r="BH229" s="15" t="s">
        <v>3340</v>
      </c>
      <c r="BI229" s="15" t="str">
        <f>"1899"</f>
        <v>1899</v>
      </c>
      <c r="BJ229" s="15" t="str">
        <f>"800"</f>
        <v>800</v>
      </c>
      <c r="BK229" s="15" t="s">
        <v>415</v>
      </c>
      <c r="BL229" s="15" t="str">
        <f t="shared" si="602"/>
        <v>1</v>
      </c>
      <c r="BM229" s="15" t="s">
        <v>416</v>
      </c>
      <c r="BN229" s="15" t="str">
        <f t="shared" ref="BN229:BN230" si="689">"43.5"</f>
        <v>43.5</v>
      </c>
      <c r="BO229" s="15" t="str">
        <f t="shared" ref="BO229:BO230" si="690">"43"</f>
        <v>43</v>
      </c>
      <c r="BP229" s="15" t="str">
        <f t="shared" ref="BP229:BP230" si="691">"29"</f>
        <v>29</v>
      </c>
      <c r="BQ229" s="15" t="str">
        <f t="shared" ref="BQ229:BQ230" si="692">"92.59"</f>
        <v>92.59</v>
      </c>
      <c r="CG229" s="15" t="str">
        <f t="shared" ref="CG229:CG230" si="693">"31.39"</f>
        <v>31.39</v>
      </c>
      <c r="CH229" s="15" t="str">
        <f t="shared" ref="CH229:CH230" si="694">"0.889"</f>
        <v>0.889</v>
      </c>
      <c r="CI229" s="15" t="s">
        <v>465</v>
      </c>
      <c r="CS229" s="15" t="s">
        <v>942</v>
      </c>
      <c r="CT229" s="15" t="s">
        <v>467</v>
      </c>
      <c r="CU229" s="15" t="s">
        <v>734</v>
      </c>
      <c r="CV229" s="15">
        <v>0.0</v>
      </c>
      <c r="CW229" s="15">
        <v>2.0</v>
      </c>
      <c r="CX229" s="15" t="s">
        <v>717</v>
      </c>
      <c r="CY229" s="15" t="s">
        <v>934</v>
      </c>
      <c r="DC229" s="15" t="s">
        <v>3333</v>
      </c>
      <c r="DF229" s="15" t="s">
        <v>721</v>
      </c>
      <c r="DG229" s="15" t="s">
        <v>1605</v>
      </c>
      <c r="DH229" s="15">
        <v>0.0</v>
      </c>
      <c r="DL229" s="15">
        <v>33000.0</v>
      </c>
      <c r="DM229" s="15" t="s">
        <v>990</v>
      </c>
      <c r="DP229" s="15">
        <v>0.0</v>
      </c>
      <c r="DQ229" s="15">
        <v>1.0</v>
      </c>
      <c r="DS229" s="15" t="s">
        <v>3334</v>
      </c>
      <c r="DT229" s="15">
        <v>0.0</v>
      </c>
      <c r="DU229" s="15" t="s">
        <v>726</v>
      </c>
      <c r="DV229" s="15" t="s">
        <v>1253</v>
      </c>
      <c r="DW229" s="15" t="s">
        <v>2116</v>
      </c>
      <c r="DX229" s="15" t="s">
        <v>2385</v>
      </c>
      <c r="EB229" s="15" t="s">
        <v>635</v>
      </c>
      <c r="EC229" s="15" t="s">
        <v>2402</v>
      </c>
      <c r="ED229" s="15" t="s">
        <v>1286</v>
      </c>
      <c r="EE229" s="15" t="s">
        <v>1286</v>
      </c>
      <c r="EF229" s="15" t="s">
        <v>672</v>
      </c>
      <c r="EI229" s="15" t="s">
        <v>1738</v>
      </c>
      <c r="EL229" s="15" t="s">
        <v>723</v>
      </c>
      <c r="EM229" s="15" t="s">
        <v>1076</v>
      </c>
      <c r="EN229" s="15" t="s">
        <v>1289</v>
      </c>
      <c r="EO229" s="15" t="s">
        <v>3337</v>
      </c>
      <c r="EZ229" s="15">
        <v>0.0</v>
      </c>
      <c r="FA229" s="15">
        <v>0.0</v>
      </c>
      <c r="FB229" s="15" t="s">
        <v>2436</v>
      </c>
      <c r="FC229" s="15">
        <v>0.0</v>
      </c>
      <c r="HU229" s="15" t="s">
        <v>1610</v>
      </c>
    </row>
    <row r="230" ht="17.25" customHeight="1">
      <c r="A230" s="15" t="s">
        <v>3350</v>
      </c>
      <c r="B230" s="15" t="str">
        <f>"801542204792"</f>
        <v>801542204792</v>
      </c>
      <c r="C230" s="15" t="s">
        <v>13781</v>
      </c>
      <c r="D230" s="15" t="str">
        <f t="shared" si="1"/>
        <v>Chloe Swivel ChairIvan Granite</v>
      </c>
      <c r="E230" s="15" t="s">
        <v>3339</v>
      </c>
      <c r="F230" s="15" t="s">
        <v>397</v>
      </c>
      <c r="G230" s="15" t="s">
        <v>2657</v>
      </c>
      <c r="J230" s="15" t="s">
        <v>2657</v>
      </c>
      <c r="M230" s="15" t="s">
        <v>2374</v>
      </c>
      <c r="N230" s="15" t="s">
        <v>706</v>
      </c>
      <c r="O230" s="15" t="s">
        <v>707</v>
      </c>
      <c r="P230" s="15" t="str">
        <f t="shared" si="685"/>
        <v>42</v>
      </c>
      <c r="Q230" s="15" t="str">
        <f t="shared" si="686"/>
        <v>42.5</v>
      </c>
      <c r="R230" s="15" t="str">
        <f t="shared" si="687"/>
        <v>34.5</v>
      </c>
      <c r="S230" s="15" t="str">
        <f t="shared" si="688"/>
        <v>83.77</v>
      </c>
      <c r="T230" s="15" t="s">
        <v>3352</v>
      </c>
      <c r="U230" s="15" t="s">
        <v>12974</v>
      </c>
      <c r="V230" s="15" t="s">
        <v>12975</v>
      </c>
      <c r="W230" s="15" t="s">
        <v>12976</v>
      </c>
      <c r="AA230" s="15" t="s">
        <v>413</v>
      </c>
      <c r="AB230" s="15" t="s">
        <v>413</v>
      </c>
      <c r="AC230" s="15" t="s">
        <v>3353</v>
      </c>
      <c r="AD230" s="15" t="s">
        <v>13782</v>
      </c>
      <c r="AE230" s="15" t="s">
        <v>3351</v>
      </c>
      <c r="AF230" s="15" t="s">
        <v>13783</v>
      </c>
      <c r="AG230" s="15" t="s">
        <v>13784</v>
      </c>
      <c r="AH230" s="15" t="s">
        <v>13785</v>
      </c>
      <c r="AI230" s="15" t="s">
        <v>13786</v>
      </c>
      <c r="AJ230" s="15" t="s">
        <v>13787</v>
      </c>
      <c r="AK230" s="15" t="s">
        <v>13788</v>
      </c>
      <c r="AL230" s="15" t="s">
        <v>13789</v>
      </c>
      <c r="AM230" s="15" t="s">
        <v>13790</v>
      </c>
      <c r="AN230" s="15" t="s">
        <v>13791</v>
      </c>
      <c r="AO230" s="15" t="s">
        <v>13792</v>
      </c>
      <c r="AP230" s="15" t="s">
        <v>13793</v>
      </c>
      <c r="AQ230" s="15" t="s">
        <v>13794</v>
      </c>
      <c r="BH230" s="15" t="s">
        <v>3349</v>
      </c>
      <c r="BI230" s="15" t="str">
        <f>"2399"</f>
        <v>2399</v>
      </c>
      <c r="BJ230" s="15" t="str">
        <f>"1010"</f>
        <v>1010</v>
      </c>
      <c r="BK230" s="15" t="s">
        <v>415</v>
      </c>
      <c r="BL230" s="15" t="str">
        <f t="shared" si="602"/>
        <v>1</v>
      </c>
      <c r="BM230" s="15" t="s">
        <v>416</v>
      </c>
      <c r="BN230" s="15" t="str">
        <f t="shared" si="689"/>
        <v>43.5</v>
      </c>
      <c r="BO230" s="15" t="str">
        <f t="shared" si="690"/>
        <v>43</v>
      </c>
      <c r="BP230" s="15" t="str">
        <f t="shared" si="691"/>
        <v>29</v>
      </c>
      <c r="BQ230" s="15" t="str">
        <f t="shared" si="692"/>
        <v>92.59</v>
      </c>
      <c r="CG230" s="15" t="str">
        <f t="shared" si="693"/>
        <v>31.39</v>
      </c>
      <c r="CH230" s="15" t="str">
        <f t="shared" si="694"/>
        <v>0.889</v>
      </c>
      <c r="CI230" s="15" t="s">
        <v>465</v>
      </c>
      <c r="CS230" s="15" t="s">
        <v>942</v>
      </c>
      <c r="CT230" s="15" t="s">
        <v>467</v>
      </c>
      <c r="CU230" s="15" t="s">
        <v>734</v>
      </c>
      <c r="CV230" s="15">
        <v>0.0</v>
      </c>
      <c r="CW230" s="15">
        <v>2.0</v>
      </c>
      <c r="CX230" s="15" t="s">
        <v>717</v>
      </c>
      <c r="CY230" s="15" t="s">
        <v>934</v>
      </c>
      <c r="DC230" s="15" t="s">
        <v>3333</v>
      </c>
      <c r="DF230" s="15" t="s">
        <v>721</v>
      </c>
      <c r="DG230" s="15" t="s">
        <v>1605</v>
      </c>
      <c r="DH230" s="15">
        <v>0.0</v>
      </c>
      <c r="DL230" s="15">
        <v>50000.0</v>
      </c>
      <c r="DM230" s="15" t="s">
        <v>990</v>
      </c>
      <c r="DP230" s="15">
        <v>0.0</v>
      </c>
      <c r="DQ230" s="15">
        <v>1.0</v>
      </c>
      <c r="DS230" s="15" t="s">
        <v>3334</v>
      </c>
      <c r="DT230" s="15">
        <v>0.0</v>
      </c>
      <c r="DU230" s="15" t="s">
        <v>726</v>
      </c>
      <c r="DV230" s="15" t="s">
        <v>1253</v>
      </c>
      <c r="DW230" s="15" t="s">
        <v>2116</v>
      </c>
      <c r="DX230" s="15" t="s">
        <v>2385</v>
      </c>
      <c r="EB230" s="15" t="s">
        <v>635</v>
      </c>
      <c r="EC230" s="15" t="s">
        <v>2402</v>
      </c>
      <c r="ED230" s="15" t="s">
        <v>1286</v>
      </c>
      <c r="EE230" s="15" t="s">
        <v>1286</v>
      </c>
      <c r="EF230" s="15" t="s">
        <v>672</v>
      </c>
      <c r="EI230" s="15" t="s">
        <v>1738</v>
      </c>
      <c r="EL230" s="15" t="s">
        <v>723</v>
      </c>
      <c r="EM230" s="15" t="s">
        <v>1076</v>
      </c>
      <c r="EN230" s="15" t="s">
        <v>1289</v>
      </c>
      <c r="EO230" s="15" t="s">
        <v>3337</v>
      </c>
      <c r="EZ230" s="15">
        <v>0.0</v>
      </c>
      <c r="FA230" s="15">
        <v>0.0</v>
      </c>
      <c r="FB230" s="15" t="s">
        <v>2436</v>
      </c>
      <c r="FC230" s="15">
        <v>0.0</v>
      </c>
      <c r="HU230" s="15" t="s">
        <v>1610</v>
      </c>
    </row>
    <row r="231" ht="17.25" customHeight="1">
      <c r="A231" s="15" t="s">
        <v>3357</v>
      </c>
      <c r="B231" s="15" t="str">
        <f>"801542295851"</f>
        <v>801542295851</v>
      </c>
      <c r="C231" s="15" t="s">
        <v>13795</v>
      </c>
      <c r="D231" s="15" t="str">
        <f t="shared" si="1"/>
        <v>Clermont ChairCharcoal Worn Velvet</v>
      </c>
      <c r="E231" s="15" t="s">
        <v>3354</v>
      </c>
      <c r="F231" s="15" t="s">
        <v>397</v>
      </c>
      <c r="G231" s="15" t="s">
        <v>3356</v>
      </c>
      <c r="J231" s="15" t="s">
        <v>3356</v>
      </c>
      <c r="K231" s="15" t="s">
        <v>978</v>
      </c>
      <c r="M231" s="15" t="s">
        <v>915</v>
      </c>
      <c r="N231" s="15" t="s">
        <v>706</v>
      </c>
      <c r="O231" s="15" t="s">
        <v>707</v>
      </c>
      <c r="P231" s="15" t="str">
        <f>"30.75"</f>
        <v>30.75</v>
      </c>
      <c r="Q231" s="15" t="str">
        <f>"33.75"</f>
        <v>33.75</v>
      </c>
      <c r="R231" s="15" t="str">
        <f>"35"</f>
        <v>35</v>
      </c>
      <c r="S231" s="15" t="str">
        <f>"39.68"</f>
        <v>39.68</v>
      </c>
      <c r="T231" s="15" t="s">
        <v>832</v>
      </c>
      <c r="U231" s="15" t="s">
        <v>11209</v>
      </c>
      <c r="V231" s="15" t="s">
        <v>11210</v>
      </c>
      <c r="AA231" s="15" t="s">
        <v>413</v>
      </c>
      <c r="AB231" s="15" t="s">
        <v>426</v>
      </c>
      <c r="AC231" s="15" t="s">
        <v>3359</v>
      </c>
      <c r="AD231" s="15" t="s">
        <v>13796</v>
      </c>
      <c r="AE231" s="15" t="s">
        <v>3358</v>
      </c>
      <c r="AF231" s="15" t="s">
        <v>13797</v>
      </c>
      <c r="AG231" s="15" t="s">
        <v>13798</v>
      </c>
      <c r="AH231" s="15" t="s">
        <v>13799</v>
      </c>
      <c r="AI231" s="15" t="s">
        <v>13800</v>
      </c>
      <c r="AJ231" s="15" t="s">
        <v>13801</v>
      </c>
      <c r="AK231" s="15" t="s">
        <v>13802</v>
      </c>
      <c r="AL231" s="15" t="s">
        <v>13803</v>
      </c>
      <c r="AM231" s="15" t="s">
        <v>13804</v>
      </c>
      <c r="AN231" s="15" t="s">
        <v>13805</v>
      </c>
      <c r="AO231" s="15" t="s">
        <v>13806</v>
      </c>
      <c r="BH231" s="15" t="s">
        <v>3355</v>
      </c>
      <c r="BI231" s="15" t="str">
        <f>"899"</f>
        <v>899</v>
      </c>
      <c r="BJ231" s="15" t="str">
        <f>"380"</f>
        <v>380</v>
      </c>
      <c r="BK231" s="15" t="s">
        <v>709</v>
      </c>
      <c r="BL231" s="15" t="str">
        <f t="shared" si="602"/>
        <v>1</v>
      </c>
      <c r="BM231" s="15" t="s">
        <v>1477</v>
      </c>
      <c r="BN231" s="15" t="str">
        <f>"31.1"</f>
        <v>31.1</v>
      </c>
      <c r="BO231" s="15" t="str">
        <f>"35.04"</f>
        <v>35.04</v>
      </c>
      <c r="BP231" s="15" t="str">
        <f>"36.61"</f>
        <v>36.61</v>
      </c>
      <c r="BQ231" s="15" t="str">
        <f>"52.91"</f>
        <v>52.91</v>
      </c>
      <c r="CG231" s="15" t="str">
        <f>"18.5"</f>
        <v>18.5</v>
      </c>
      <c r="CH231" s="15" t="str">
        <f>"0.524"</f>
        <v>0.524</v>
      </c>
      <c r="CI231" s="15" t="s">
        <v>497</v>
      </c>
      <c r="CS231" s="15" t="s">
        <v>1700</v>
      </c>
      <c r="CT231" s="15" t="s">
        <v>1161</v>
      </c>
      <c r="CV231" s="15">
        <v>0.0</v>
      </c>
      <c r="CW231" s="15">
        <v>1.0</v>
      </c>
      <c r="CX231" s="15" t="s">
        <v>717</v>
      </c>
      <c r="CY231" s="15" t="s">
        <v>855</v>
      </c>
      <c r="DF231" s="15" t="s">
        <v>721</v>
      </c>
      <c r="DG231" s="15" t="s">
        <v>419</v>
      </c>
      <c r="DH231" s="15">
        <v>0.0</v>
      </c>
      <c r="DL231" s="15">
        <v>25000.0</v>
      </c>
      <c r="DM231" s="15" t="s">
        <v>990</v>
      </c>
      <c r="DN231" s="15" t="s">
        <v>1016</v>
      </c>
      <c r="DO231" s="15" t="s">
        <v>1701</v>
      </c>
      <c r="DP231" s="15">
        <v>1.0</v>
      </c>
      <c r="DQ231" s="15">
        <v>1.0</v>
      </c>
      <c r="DS231" s="15" t="s">
        <v>3360</v>
      </c>
      <c r="DT231" s="15">
        <v>0.0</v>
      </c>
      <c r="DU231" s="15" t="s">
        <v>726</v>
      </c>
      <c r="DV231" s="15" t="s">
        <v>1237</v>
      </c>
      <c r="DW231" s="15" t="s">
        <v>635</v>
      </c>
      <c r="DX231" s="15" t="s">
        <v>2292</v>
      </c>
      <c r="EB231" s="15" t="s">
        <v>2465</v>
      </c>
      <c r="EF231" s="15" t="s">
        <v>2547</v>
      </c>
      <c r="EG231" s="15" t="s">
        <v>1482</v>
      </c>
      <c r="EH231" s="15" t="s">
        <v>3361</v>
      </c>
      <c r="EI231" s="15" t="s">
        <v>1065</v>
      </c>
      <c r="EL231" s="15" t="s">
        <v>1016</v>
      </c>
      <c r="EO231" s="15" t="s">
        <v>1239</v>
      </c>
      <c r="EX231" s="15" t="s">
        <v>2738</v>
      </c>
      <c r="EY231" s="15" t="s">
        <v>2732</v>
      </c>
      <c r="EZ231" s="15">
        <v>0.0</v>
      </c>
      <c r="FA231" s="15">
        <v>0.0</v>
      </c>
      <c r="FB231" s="15" t="s">
        <v>3362</v>
      </c>
      <c r="FC231" s="15">
        <v>0.0</v>
      </c>
      <c r="KP231" s="15" t="s">
        <v>426</v>
      </c>
    </row>
    <row r="232" ht="17.25" customHeight="1">
      <c r="A232" s="15" t="s">
        <v>3366</v>
      </c>
      <c r="B232" s="15" t="str">
        <f>"801542268596"</f>
        <v>801542268596</v>
      </c>
      <c r="C232" s="15" t="s">
        <v>13807</v>
      </c>
      <c r="D232" s="15" t="str">
        <f t="shared" si="1"/>
        <v>Cobain Dining TableFlint Black</v>
      </c>
      <c r="E232" s="15" t="s">
        <v>3363</v>
      </c>
      <c r="F232" s="15" t="s">
        <v>397</v>
      </c>
      <c r="G232" s="15" t="s">
        <v>3365</v>
      </c>
      <c r="J232" s="15" t="s">
        <v>3365</v>
      </c>
      <c r="M232" s="15" t="s">
        <v>2677</v>
      </c>
      <c r="N232" s="15" t="s">
        <v>548</v>
      </c>
      <c r="O232" s="15" t="s">
        <v>549</v>
      </c>
      <c r="P232" s="15" t="str">
        <f t="shared" ref="P232:Q232" si="695">"72"</f>
        <v>72</v>
      </c>
      <c r="Q232" s="15" t="str">
        <f t="shared" si="695"/>
        <v>72</v>
      </c>
      <c r="R232" s="15" t="str">
        <f>"30"</f>
        <v>30</v>
      </c>
      <c r="S232" s="15" t="str">
        <f>"209.65"</f>
        <v>209.65</v>
      </c>
      <c r="T232" s="15" t="s">
        <v>3369</v>
      </c>
      <c r="U232" s="15" t="s">
        <v>13228</v>
      </c>
      <c r="AA232" s="15" t="s">
        <v>413</v>
      </c>
      <c r="AB232" s="15" t="s">
        <v>413</v>
      </c>
      <c r="AC232" s="15" t="s">
        <v>3370</v>
      </c>
      <c r="AD232" s="15" t="s">
        <v>13808</v>
      </c>
      <c r="AE232" s="15" t="s">
        <v>3368</v>
      </c>
      <c r="AF232" s="15" t="s">
        <v>13809</v>
      </c>
      <c r="AG232" s="15" t="s">
        <v>13810</v>
      </c>
      <c r="AH232" s="15" t="s">
        <v>13811</v>
      </c>
      <c r="AI232" s="15" t="s">
        <v>13812</v>
      </c>
      <c r="AJ232" s="15" t="s">
        <v>13813</v>
      </c>
      <c r="AK232" s="15" t="s">
        <v>13814</v>
      </c>
      <c r="AL232" s="15" t="s">
        <v>13815</v>
      </c>
      <c r="AM232" s="15" t="s">
        <v>13816</v>
      </c>
      <c r="AN232" s="15" t="s">
        <v>13817</v>
      </c>
      <c r="AO232" s="15" t="s">
        <v>13818</v>
      </c>
      <c r="BH232" s="15" t="s">
        <v>3364</v>
      </c>
      <c r="BI232" s="15" t="str">
        <f t="shared" ref="BI232:BI233" si="697">"1899"</f>
        <v>1899</v>
      </c>
      <c r="BJ232" s="15" t="str">
        <f t="shared" ref="BJ232:BJ233" si="698">"800"</f>
        <v>800</v>
      </c>
      <c r="BK232" s="15" t="s">
        <v>1303</v>
      </c>
      <c r="BL232" s="15" t="str">
        <f>"3"</f>
        <v>3</v>
      </c>
      <c r="BM232" s="15" t="s">
        <v>1564</v>
      </c>
      <c r="BN232" s="15" t="str">
        <f>"75.5"</f>
        <v>75.5</v>
      </c>
      <c r="BO232" s="15" t="str">
        <f>"5"</f>
        <v>5</v>
      </c>
      <c r="BP232" s="15" t="str">
        <f>"75.5"</f>
        <v>75.5</v>
      </c>
      <c r="BQ232" s="15" t="str">
        <f>"199.07"</f>
        <v>199.07</v>
      </c>
      <c r="BR232" s="15" t="s">
        <v>2238</v>
      </c>
      <c r="BS232" s="15" t="str">
        <f>"40"</f>
        <v>40</v>
      </c>
      <c r="BT232" s="15" t="str">
        <f>"5"</f>
        <v>5</v>
      </c>
      <c r="BU232" s="15" t="str">
        <f>"40"</f>
        <v>40</v>
      </c>
      <c r="BV232" s="15" t="str">
        <f>"30.64"</f>
        <v>30.64</v>
      </c>
      <c r="BW232" s="15" t="s">
        <v>3374</v>
      </c>
      <c r="BX232" s="15" t="str">
        <f t="shared" ref="BX232:BY232" si="696">"25.5"</f>
        <v>25.5</v>
      </c>
      <c r="BY232" s="15" t="str">
        <f t="shared" si="696"/>
        <v>25.5</v>
      </c>
      <c r="BZ232" s="15" t="str">
        <f>"27.5"</f>
        <v>27.5</v>
      </c>
      <c r="CA232" s="15" t="str">
        <f>"45.19"</f>
        <v>45.19</v>
      </c>
      <c r="CG232" s="15" t="str">
        <f>"31.47"</f>
        <v>31.47</v>
      </c>
      <c r="CH232" s="15" t="str">
        <f>"0.891"</f>
        <v>0.891</v>
      </c>
      <c r="CI232" s="15" t="s">
        <v>417</v>
      </c>
      <c r="CZ232" s="15" t="s">
        <v>419</v>
      </c>
      <c r="DA232" s="15">
        <v>0.0</v>
      </c>
      <c r="DB232" s="15" t="s">
        <v>419</v>
      </c>
      <c r="DD232" s="15">
        <v>0.0</v>
      </c>
      <c r="DG232" s="15" t="s">
        <v>419</v>
      </c>
      <c r="DI232" s="15">
        <v>0.0</v>
      </c>
      <c r="DJ232" s="15">
        <v>0.0</v>
      </c>
      <c r="DK232" s="15">
        <v>0.0</v>
      </c>
      <c r="DQ232" s="15">
        <v>8.0</v>
      </c>
      <c r="DR232" s="15" t="s">
        <v>1157</v>
      </c>
      <c r="DS232" s="15" t="s">
        <v>3376</v>
      </c>
      <c r="DU232" s="15" t="s">
        <v>424</v>
      </c>
      <c r="EF232" s="15" t="s">
        <v>1330</v>
      </c>
      <c r="EQ232" s="15" t="s">
        <v>2792</v>
      </c>
      <c r="ER232" s="15" t="s">
        <v>1807</v>
      </c>
      <c r="ES232" s="15" t="s">
        <v>2792</v>
      </c>
      <c r="ET232" s="15" t="s">
        <v>784</v>
      </c>
      <c r="EU232" s="15" t="s">
        <v>426</v>
      </c>
      <c r="EV232" s="15">
        <v>0.0</v>
      </c>
      <c r="EW232" s="15">
        <v>0.0</v>
      </c>
      <c r="FE232" s="15" t="s">
        <v>1330</v>
      </c>
      <c r="FF232" s="15" t="s">
        <v>1996</v>
      </c>
      <c r="FG232" s="15" t="s">
        <v>1123</v>
      </c>
    </row>
    <row r="233" ht="17.25" customHeight="1">
      <c r="A233" s="15" t="s">
        <v>3380</v>
      </c>
      <c r="B233" s="15" t="str">
        <f>"801542034030"</f>
        <v>801542034030</v>
      </c>
      <c r="C233" s="15" t="s">
        <v>13819</v>
      </c>
      <c r="D233" s="15" t="str">
        <f t="shared" si="1"/>
        <v>Colson ChairRaleigh Chestnut</v>
      </c>
      <c r="E233" s="15" t="s">
        <v>3377</v>
      </c>
      <c r="F233" s="15" t="s">
        <v>397</v>
      </c>
      <c r="G233" s="15" t="s">
        <v>3379</v>
      </c>
      <c r="J233" s="15" t="s">
        <v>3379</v>
      </c>
      <c r="K233" s="15" t="s">
        <v>1318</v>
      </c>
      <c r="M233" s="15" t="s">
        <v>1317</v>
      </c>
      <c r="N233" s="15" t="s">
        <v>706</v>
      </c>
      <c r="O233" s="15" t="s">
        <v>707</v>
      </c>
      <c r="P233" s="15" t="str">
        <f>"29"</f>
        <v>29</v>
      </c>
      <c r="Q233" s="15" t="str">
        <f>"35.5"</f>
        <v>35.5</v>
      </c>
      <c r="R233" s="15" t="str">
        <f>"31"</f>
        <v>31</v>
      </c>
      <c r="S233" s="15" t="str">
        <f>"54.01"</f>
        <v>54.01</v>
      </c>
      <c r="T233" s="15" t="s">
        <v>975</v>
      </c>
      <c r="U233" s="15" t="s">
        <v>11137</v>
      </c>
      <c r="V233" s="15" t="s">
        <v>11210</v>
      </c>
      <c r="AA233" s="15" t="s">
        <v>413</v>
      </c>
      <c r="AB233" s="15" t="s">
        <v>413</v>
      </c>
      <c r="AC233" s="15" t="s">
        <v>3383</v>
      </c>
      <c r="AD233" s="15" t="s">
        <v>13820</v>
      </c>
      <c r="AE233" s="15" t="s">
        <v>3382</v>
      </c>
      <c r="AF233" s="15" t="s">
        <v>13821</v>
      </c>
      <c r="AG233" s="15" t="s">
        <v>13822</v>
      </c>
      <c r="AH233" s="15" t="s">
        <v>13823</v>
      </c>
      <c r="AI233" s="15" t="s">
        <v>13824</v>
      </c>
      <c r="AJ233" s="15" t="s">
        <v>13825</v>
      </c>
      <c r="AK233" s="15" t="s">
        <v>13826</v>
      </c>
      <c r="AL233" s="15" t="s">
        <v>13827</v>
      </c>
      <c r="AM233" s="15" t="s">
        <v>13828</v>
      </c>
      <c r="AN233" s="15" t="s">
        <v>13829</v>
      </c>
      <c r="AO233" s="15" t="s">
        <v>13830</v>
      </c>
      <c r="BH233" s="15" t="s">
        <v>3378</v>
      </c>
      <c r="BI233" s="15" t="str">
        <f t="shared" si="697"/>
        <v>1899</v>
      </c>
      <c r="BJ233" s="15" t="str">
        <f t="shared" si="698"/>
        <v>800</v>
      </c>
      <c r="BK233" s="15" t="s">
        <v>709</v>
      </c>
      <c r="BL233" s="15" t="str">
        <f>"1"</f>
        <v>1</v>
      </c>
      <c r="BM233" s="15" t="s">
        <v>416</v>
      </c>
      <c r="BN233" s="15" t="str">
        <f>"35.83"</f>
        <v>35.83</v>
      </c>
      <c r="BO233" s="15" t="str">
        <f>"31.89"</f>
        <v>31.89</v>
      </c>
      <c r="BP233" s="15" t="str">
        <f>"31.1"</f>
        <v>31.1</v>
      </c>
      <c r="BQ233" s="15" t="str">
        <f>"70.55"</f>
        <v>70.55</v>
      </c>
      <c r="CG233" s="15" t="str">
        <f>"20.55"</f>
        <v>20.55</v>
      </c>
      <c r="CH233" s="15" t="str">
        <f>"0.582"</f>
        <v>0.582</v>
      </c>
      <c r="CI233" s="15" t="s">
        <v>417</v>
      </c>
      <c r="CP233" s="15" t="s">
        <v>2314</v>
      </c>
      <c r="CQ233" s="15" t="s">
        <v>2547</v>
      </c>
      <c r="CR233" s="15" t="s">
        <v>1700</v>
      </c>
      <c r="CS233" s="15" t="s">
        <v>1072</v>
      </c>
      <c r="CT233" s="15" t="s">
        <v>824</v>
      </c>
      <c r="CU233" s="15" t="s">
        <v>1331</v>
      </c>
      <c r="CV233" s="15">
        <v>0.0</v>
      </c>
      <c r="CW233" s="15">
        <v>1.0</v>
      </c>
      <c r="CX233" s="15" t="s">
        <v>717</v>
      </c>
      <c r="CY233" s="15" t="s">
        <v>718</v>
      </c>
      <c r="DC233" s="15" t="s">
        <v>1066</v>
      </c>
      <c r="DF233" s="15" t="s">
        <v>1284</v>
      </c>
      <c r="DG233" s="15" t="s">
        <v>419</v>
      </c>
      <c r="DH233" s="15">
        <v>0.0</v>
      </c>
      <c r="DL233" s="15">
        <v>0.0</v>
      </c>
      <c r="DM233" s="15" t="s">
        <v>3384</v>
      </c>
      <c r="DN233" s="15" t="s">
        <v>723</v>
      </c>
      <c r="DO233" s="15" t="s">
        <v>2200</v>
      </c>
      <c r="DP233" s="15">
        <v>1.0</v>
      </c>
      <c r="DQ233" s="15">
        <v>1.0</v>
      </c>
      <c r="DS233" s="15" t="s">
        <v>3385</v>
      </c>
      <c r="DT233" s="15">
        <v>0.0</v>
      </c>
      <c r="DU233" s="15" t="s">
        <v>726</v>
      </c>
      <c r="DV233" s="15" t="s">
        <v>1234</v>
      </c>
      <c r="DW233" s="15" t="s">
        <v>1235</v>
      </c>
      <c r="DX233" s="15" t="s">
        <v>1739</v>
      </c>
      <c r="EB233" s="15" t="s">
        <v>477</v>
      </c>
      <c r="EC233" s="15" t="s">
        <v>995</v>
      </c>
      <c r="ED233" s="15" t="s">
        <v>504</v>
      </c>
      <c r="EE233" s="15" t="s">
        <v>1700</v>
      </c>
      <c r="EF233" s="15" t="s">
        <v>2498</v>
      </c>
      <c r="EG233" s="15" t="s">
        <v>558</v>
      </c>
      <c r="EH233" s="15" t="s">
        <v>1331</v>
      </c>
      <c r="EI233" s="15" t="s">
        <v>1329</v>
      </c>
      <c r="EL233" s="15" t="s">
        <v>723</v>
      </c>
      <c r="EM233" s="15" t="s">
        <v>2200</v>
      </c>
      <c r="EN233" s="15" t="s">
        <v>3386</v>
      </c>
      <c r="EZ233" s="15">
        <v>0.0</v>
      </c>
      <c r="FA233" s="15">
        <v>0.0</v>
      </c>
      <c r="FC233" s="15">
        <v>0.0</v>
      </c>
    </row>
    <row r="234" ht="17.25" customHeight="1">
      <c r="A234" s="15" t="s">
        <v>3390</v>
      </c>
      <c r="B234" s="15" t="str">
        <f>"801542555986"</f>
        <v>801542555986</v>
      </c>
      <c r="C234" s="15" t="s">
        <v>13831</v>
      </c>
      <c r="D234" s="15" t="str">
        <f t="shared" si="1"/>
        <v>Colt 2-Piece SectionalAldred SilverLeft Chaise</v>
      </c>
      <c r="E234" s="15" t="s">
        <v>3387</v>
      </c>
      <c r="F234" s="15" t="s">
        <v>397</v>
      </c>
      <c r="G234" s="15" t="s">
        <v>3389</v>
      </c>
      <c r="H234" s="15" t="s">
        <v>265</v>
      </c>
      <c r="I234" s="15" t="s">
        <v>2916</v>
      </c>
      <c r="J234" s="15" t="s">
        <v>3389</v>
      </c>
      <c r="K234" s="15" t="s">
        <v>3397</v>
      </c>
      <c r="M234" s="15" t="s">
        <v>2108</v>
      </c>
      <c r="N234" s="15" t="s">
        <v>1629</v>
      </c>
      <c r="O234" s="15" t="s">
        <v>2916</v>
      </c>
      <c r="P234" s="15" t="str">
        <f t="shared" ref="P234:P239" si="699">"129"</f>
        <v>129</v>
      </c>
      <c r="Q234" s="15" t="str">
        <f t="shared" ref="Q234:Q239" si="700">"68"</f>
        <v>68</v>
      </c>
      <c r="R234" s="15" t="str">
        <f t="shared" ref="R234:R246" si="701">"32.5"</f>
        <v>32.5</v>
      </c>
      <c r="S234" s="15" t="str">
        <f t="shared" ref="S234:S239" si="702">"281.53"</f>
        <v>281.53</v>
      </c>
      <c r="T234" s="15" t="s">
        <v>3393</v>
      </c>
      <c r="U234" s="15" t="s">
        <v>11234</v>
      </c>
      <c r="V234" s="15" t="s">
        <v>13832</v>
      </c>
      <c r="W234" s="15" t="s">
        <v>12428</v>
      </c>
      <c r="AA234" s="15" t="s">
        <v>426</v>
      </c>
      <c r="AB234" s="15" t="s">
        <v>413</v>
      </c>
      <c r="AC234" s="15" t="s">
        <v>3398</v>
      </c>
      <c r="AD234" s="15" t="s">
        <v>13833</v>
      </c>
      <c r="AE234" s="15" t="s">
        <v>3392</v>
      </c>
      <c r="AF234" s="15" t="s">
        <v>13834</v>
      </c>
      <c r="AG234" s="15" t="s">
        <v>13835</v>
      </c>
      <c r="AH234" s="15" t="s">
        <v>13836</v>
      </c>
      <c r="AI234" s="15" t="s">
        <v>13837</v>
      </c>
      <c r="AJ234" s="15" t="s">
        <v>13838</v>
      </c>
      <c r="AK234" s="15" t="s">
        <v>13839</v>
      </c>
      <c r="AL234" s="15" t="s">
        <v>13840</v>
      </c>
      <c r="AM234" s="15" t="s">
        <v>13841</v>
      </c>
      <c r="AN234" s="15" t="s">
        <v>13842</v>
      </c>
      <c r="AO234" s="15" t="s">
        <v>13843</v>
      </c>
      <c r="BH234" s="15" t="s">
        <v>3388</v>
      </c>
      <c r="BI234" s="15" t="str">
        <f t="shared" ref="BI234:BI235" si="703">"3999"</f>
        <v>3999</v>
      </c>
      <c r="BJ234" s="15" t="str">
        <f t="shared" ref="BJ234:BJ235" si="704">"1680"</f>
        <v>1680</v>
      </c>
      <c r="BK234" s="15" t="s">
        <v>415</v>
      </c>
      <c r="BL234" s="15" t="str">
        <f t="shared" ref="BL234:BL239" si="705">"2"</f>
        <v>2</v>
      </c>
      <c r="BM234" s="15" t="s">
        <v>3399</v>
      </c>
      <c r="BN234" s="15" t="str">
        <f>"56.3"</f>
        <v>56.3</v>
      </c>
      <c r="BO234" s="15" t="str">
        <f>"75.59"</f>
        <v>75.59</v>
      </c>
      <c r="BP234" s="15" t="str">
        <f>"30.31"</f>
        <v>30.31</v>
      </c>
      <c r="BQ234" s="15" t="str">
        <f>"149.91"</f>
        <v>149.91</v>
      </c>
      <c r="BR234" s="15" t="s">
        <v>416</v>
      </c>
      <c r="BS234" s="15" t="str">
        <f>"85.04"</f>
        <v>85.04</v>
      </c>
      <c r="BT234" s="15" t="str">
        <f>"47.24"</f>
        <v>47.24</v>
      </c>
      <c r="BU234" s="15" t="str">
        <f>"28.35"</f>
        <v>28.35</v>
      </c>
      <c r="BV234" s="15" t="str">
        <f>"152.12"</f>
        <v>152.12</v>
      </c>
      <c r="CG234" s="15" t="str">
        <f t="shared" ref="CG234:CG239" si="706">"140.55"</f>
        <v>140.55</v>
      </c>
      <c r="CH234" s="15" t="str">
        <f t="shared" ref="CH234:CH239" si="707">"3.98"</f>
        <v>3.98</v>
      </c>
      <c r="CI234" s="15" t="s">
        <v>465</v>
      </c>
      <c r="CX234" s="15" t="s">
        <v>717</v>
      </c>
      <c r="CY234" s="15" t="s">
        <v>934</v>
      </c>
      <c r="DC234" s="15" t="s">
        <v>3404</v>
      </c>
      <c r="DG234" s="15" t="s">
        <v>419</v>
      </c>
      <c r="DL234" s="15">
        <v>30000.0</v>
      </c>
      <c r="DM234" s="15" t="s">
        <v>990</v>
      </c>
      <c r="DN234" s="15" t="s">
        <v>723</v>
      </c>
      <c r="DO234" s="15" t="s">
        <v>724</v>
      </c>
      <c r="DQ234" s="15">
        <v>3.0</v>
      </c>
      <c r="DR234" s="15" t="s">
        <v>3405</v>
      </c>
      <c r="DS234" s="15" t="s">
        <v>3407</v>
      </c>
      <c r="DU234" s="15" t="s">
        <v>473</v>
      </c>
      <c r="EL234" s="15" t="s">
        <v>723</v>
      </c>
      <c r="EM234" s="15" t="s">
        <v>724</v>
      </c>
      <c r="EN234" s="15" t="s">
        <v>3408</v>
      </c>
      <c r="EO234" s="15" t="s">
        <v>1239</v>
      </c>
      <c r="GW234" s="15" t="s">
        <v>426</v>
      </c>
      <c r="GX234" s="15" t="s">
        <v>3409</v>
      </c>
      <c r="GY234" s="15" t="s">
        <v>3410</v>
      </c>
    </row>
    <row r="235" ht="17.25" customHeight="1">
      <c r="A235" s="15" t="s">
        <v>3412</v>
      </c>
      <c r="B235" s="15" t="str">
        <f>"801542535049"</f>
        <v>801542535049</v>
      </c>
      <c r="C235" s="15" t="s">
        <v>13831</v>
      </c>
      <c r="D235" s="15" t="str">
        <f t="shared" si="1"/>
        <v>Colt 2-Piece SectionalAldred SilverRight Chaise</v>
      </c>
      <c r="E235" s="15" t="s">
        <v>3387</v>
      </c>
      <c r="F235" s="15" t="s">
        <v>397</v>
      </c>
      <c r="G235" s="15" t="s">
        <v>3389</v>
      </c>
      <c r="H235" s="15" t="s">
        <v>265</v>
      </c>
      <c r="I235" s="15" t="s">
        <v>2933</v>
      </c>
      <c r="J235" s="15" t="s">
        <v>3389</v>
      </c>
      <c r="K235" s="15" t="s">
        <v>3397</v>
      </c>
      <c r="M235" s="15" t="s">
        <v>2108</v>
      </c>
      <c r="N235" s="15" t="s">
        <v>1629</v>
      </c>
      <c r="O235" s="15" t="s">
        <v>2933</v>
      </c>
      <c r="P235" s="15" t="str">
        <f t="shared" si="699"/>
        <v>129</v>
      </c>
      <c r="Q235" s="15" t="str">
        <f t="shared" si="700"/>
        <v>68</v>
      </c>
      <c r="R235" s="15" t="str">
        <f t="shared" si="701"/>
        <v>32.5</v>
      </c>
      <c r="S235" s="15" t="str">
        <f t="shared" si="702"/>
        <v>281.53</v>
      </c>
      <c r="T235" s="15" t="s">
        <v>3393</v>
      </c>
      <c r="U235" s="15" t="s">
        <v>11234</v>
      </c>
      <c r="V235" s="15" t="s">
        <v>13832</v>
      </c>
      <c r="W235" s="15" t="s">
        <v>12428</v>
      </c>
      <c r="AA235" s="15" t="s">
        <v>413</v>
      </c>
      <c r="AB235" s="15" t="s">
        <v>413</v>
      </c>
      <c r="AC235" s="15" t="s">
        <v>3414</v>
      </c>
      <c r="AD235" s="15" t="s">
        <v>13844</v>
      </c>
      <c r="AE235" s="15" t="s">
        <v>3413</v>
      </c>
      <c r="AF235" s="15" t="s">
        <v>13845</v>
      </c>
      <c r="AG235" s="15" t="s">
        <v>13846</v>
      </c>
      <c r="AH235" s="15" t="s">
        <v>13847</v>
      </c>
      <c r="AI235" s="15" t="s">
        <v>13848</v>
      </c>
      <c r="AJ235" s="15" t="s">
        <v>13849</v>
      </c>
      <c r="AK235" s="15" t="s">
        <v>13850</v>
      </c>
      <c r="AL235" s="15" t="s">
        <v>13851</v>
      </c>
      <c r="AM235" s="15" t="s">
        <v>13852</v>
      </c>
      <c r="AN235" s="15" t="s">
        <v>13853</v>
      </c>
      <c r="AO235" s="15" t="s">
        <v>13854</v>
      </c>
      <c r="BH235" s="15" t="s">
        <v>3411</v>
      </c>
      <c r="BI235" s="15" t="str">
        <f t="shared" si="703"/>
        <v>3999</v>
      </c>
      <c r="BJ235" s="15" t="str">
        <f t="shared" si="704"/>
        <v>1680</v>
      </c>
      <c r="BK235" s="15" t="s">
        <v>415</v>
      </c>
      <c r="BL235" s="15" t="str">
        <f t="shared" si="705"/>
        <v>2</v>
      </c>
      <c r="BM235" s="15" t="s">
        <v>416</v>
      </c>
      <c r="BN235" s="15" t="str">
        <f>"85.04"</f>
        <v>85.04</v>
      </c>
      <c r="BO235" s="15" t="str">
        <f>"47.24"</f>
        <v>47.24</v>
      </c>
      <c r="BP235" s="15" t="str">
        <f>"28.35"</f>
        <v>28.35</v>
      </c>
      <c r="BQ235" s="15" t="str">
        <f>"152.12"</f>
        <v>152.12</v>
      </c>
      <c r="BR235" s="15" t="s">
        <v>3399</v>
      </c>
      <c r="BS235" s="15" t="str">
        <f>"56.3"</f>
        <v>56.3</v>
      </c>
      <c r="BT235" s="15" t="str">
        <f>"75.59"</f>
        <v>75.59</v>
      </c>
      <c r="BU235" s="15" t="str">
        <f>"30.31"</f>
        <v>30.31</v>
      </c>
      <c r="BV235" s="15" t="str">
        <f>"149.91"</f>
        <v>149.91</v>
      </c>
      <c r="CG235" s="15" t="str">
        <f t="shared" si="706"/>
        <v>140.55</v>
      </c>
      <c r="CH235" s="15" t="str">
        <f t="shared" si="707"/>
        <v>3.98</v>
      </c>
      <c r="CI235" s="15" t="s">
        <v>497</v>
      </c>
      <c r="CX235" s="15" t="s">
        <v>717</v>
      </c>
      <c r="CY235" s="15" t="s">
        <v>934</v>
      </c>
      <c r="DC235" s="15" t="s">
        <v>3404</v>
      </c>
      <c r="DG235" s="15" t="s">
        <v>419</v>
      </c>
      <c r="DL235" s="15">
        <v>30000.0</v>
      </c>
      <c r="DM235" s="15" t="s">
        <v>990</v>
      </c>
      <c r="DN235" s="15" t="s">
        <v>723</v>
      </c>
      <c r="DO235" s="15" t="s">
        <v>724</v>
      </c>
      <c r="DQ235" s="15">
        <v>3.0</v>
      </c>
      <c r="DR235" s="15" t="s">
        <v>3405</v>
      </c>
      <c r="DS235" s="15" t="s">
        <v>3407</v>
      </c>
      <c r="DU235" s="15" t="s">
        <v>473</v>
      </c>
      <c r="EL235" s="15" t="s">
        <v>723</v>
      </c>
      <c r="EM235" s="15" t="s">
        <v>724</v>
      </c>
      <c r="EN235" s="15" t="s">
        <v>3408</v>
      </c>
      <c r="EO235" s="15" t="s">
        <v>1239</v>
      </c>
      <c r="GW235" s="15" t="s">
        <v>426</v>
      </c>
      <c r="GX235" s="15" t="s">
        <v>3409</v>
      </c>
      <c r="GY235" s="15" t="s">
        <v>3415</v>
      </c>
    </row>
    <row r="236" ht="17.25" customHeight="1">
      <c r="A236" s="15" t="s">
        <v>3418</v>
      </c>
      <c r="B236" s="15" t="str">
        <f>"801542031350"</f>
        <v>801542031350</v>
      </c>
      <c r="C236" s="15" t="s">
        <v>13855</v>
      </c>
      <c r="D236" s="15" t="str">
        <f t="shared" si="1"/>
        <v>Colt 2-Piece SectionalHeirloom CigarLeft Chaise</v>
      </c>
      <c r="E236" s="15" t="s">
        <v>3387</v>
      </c>
      <c r="F236" s="15" t="s">
        <v>397</v>
      </c>
      <c r="G236" s="15" t="s">
        <v>3417</v>
      </c>
      <c r="H236" s="15" t="s">
        <v>265</v>
      </c>
      <c r="I236" s="15" t="s">
        <v>2916</v>
      </c>
      <c r="J236" s="15" t="s">
        <v>3417</v>
      </c>
      <c r="K236" s="15" t="s">
        <v>3397</v>
      </c>
      <c r="M236" s="15" t="s">
        <v>2108</v>
      </c>
      <c r="N236" s="15" t="s">
        <v>1629</v>
      </c>
      <c r="O236" s="15" t="s">
        <v>2916</v>
      </c>
      <c r="P236" s="15" t="str">
        <f t="shared" si="699"/>
        <v>129</v>
      </c>
      <c r="Q236" s="15" t="str">
        <f t="shared" si="700"/>
        <v>68</v>
      </c>
      <c r="R236" s="15" t="str">
        <f t="shared" si="701"/>
        <v>32.5</v>
      </c>
      <c r="S236" s="15" t="str">
        <f t="shared" si="702"/>
        <v>281.53</v>
      </c>
      <c r="T236" s="15" t="s">
        <v>3420</v>
      </c>
      <c r="U236" s="15" t="s">
        <v>11137</v>
      </c>
      <c r="V236" s="15" t="s">
        <v>12428</v>
      </c>
      <c r="AA236" s="15" t="s">
        <v>413</v>
      </c>
      <c r="AB236" s="15" t="s">
        <v>413</v>
      </c>
      <c r="AC236" s="15" t="s">
        <v>3421</v>
      </c>
      <c r="AD236" s="15" t="s">
        <v>13856</v>
      </c>
      <c r="AE236" s="15" t="s">
        <v>3419</v>
      </c>
      <c r="AF236" s="15" t="s">
        <v>13857</v>
      </c>
      <c r="AG236" s="15" t="s">
        <v>13858</v>
      </c>
      <c r="AH236" s="15" t="s">
        <v>13859</v>
      </c>
      <c r="AI236" s="15" t="s">
        <v>13860</v>
      </c>
      <c r="AJ236" s="15" t="s">
        <v>13861</v>
      </c>
      <c r="AK236" s="15" t="s">
        <v>13862</v>
      </c>
      <c r="AL236" s="15" t="s">
        <v>13863</v>
      </c>
      <c r="AM236" s="15" t="s">
        <v>13864</v>
      </c>
      <c r="AN236" s="15" t="s">
        <v>13865</v>
      </c>
      <c r="AO236" s="15" t="s">
        <v>13866</v>
      </c>
      <c r="AP236" s="15" t="s">
        <v>13867</v>
      </c>
      <c r="AQ236" s="15" t="s">
        <v>13868</v>
      </c>
      <c r="BH236" s="15" t="s">
        <v>3416</v>
      </c>
      <c r="BI236" s="15" t="str">
        <f t="shared" ref="BI236:BI237" si="708">"5999"</f>
        <v>5999</v>
      </c>
      <c r="BJ236" s="15" t="str">
        <f t="shared" ref="BJ236:BJ237" si="709">"2520"</f>
        <v>2520</v>
      </c>
      <c r="BK236" s="15" t="s">
        <v>415</v>
      </c>
      <c r="BL236" s="15" t="str">
        <f t="shared" si="705"/>
        <v>2</v>
      </c>
      <c r="BM236" s="15" t="s">
        <v>416</v>
      </c>
      <c r="BN236" s="15" t="str">
        <f>"56.3"</f>
        <v>56.3</v>
      </c>
      <c r="BO236" s="15" t="str">
        <f>"75.59"</f>
        <v>75.59</v>
      </c>
      <c r="BP236" s="15" t="str">
        <f>"30.31"</f>
        <v>30.31</v>
      </c>
      <c r="BQ236" s="15" t="str">
        <f>"149.91"</f>
        <v>149.91</v>
      </c>
      <c r="BR236" s="15" t="s">
        <v>416</v>
      </c>
      <c r="BS236" s="15" t="str">
        <f>"85.04"</f>
        <v>85.04</v>
      </c>
      <c r="BT236" s="15" t="str">
        <f>"47.24"</f>
        <v>47.24</v>
      </c>
      <c r="BU236" s="15" t="str">
        <f>"28.35"</f>
        <v>28.35</v>
      </c>
      <c r="BV236" s="15" t="str">
        <f>"152.12"</f>
        <v>152.12</v>
      </c>
      <c r="CG236" s="15" t="str">
        <f t="shared" si="706"/>
        <v>140.55</v>
      </c>
      <c r="CH236" s="15" t="str">
        <f t="shared" si="707"/>
        <v>3.98</v>
      </c>
      <c r="CI236" s="15" t="s">
        <v>417</v>
      </c>
      <c r="CX236" s="15" t="s">
        <v>717</v>
      </c>
      <c r="CY236" s="15" t="s">
        <v>718</v>
      </c>
      <c r="DC236" s="15" t="s">
        <v>3404</v>
      </c>
      <c r="DG236" s="15" t="s">
        <v>419</v>
      </c>
      <c r="DL236" s="15">
        <v>0.0</v>
      </c>
      <c r="DM236" s="15" t="s">
        <v>990</v>
      </c>
      <c r="DN236" s="15" t="s">
        <v>723</v>
      </c>
      <c r="DO236" s="15" t="s">
        <v>724</v>
      </c>
      <c r="DQ236" s="15">
        <v>3.0</v>
      </c>
      <c r="DR236" s="15" t="s">
        <v>3405</v>
      </c>
      <c r="DS236" s="15" t="s">
        <v>3407</v>
      </c>
      <c r="DU236" s="15" t="s">
        <v>473</v>
      </c>
      <c r="EL236" s="15" t="s">
        <v>723</v>
      </c>
      <c r="EM236" s="15" t="s">
        <v>724</v>
      </c>
      <c r="EN236" s="15" t="s">
        <v>3408</v>
      </c>
      <c r="EO236" s="15" t="s">
        <v>1239</v>
      </c>
      <c r="GW236" s="15" t="s">
        <v>426</v>
      </c>
      <c r="GX236" s="15" t="s">
        <v>3409</v>
      </c>
      <c r="GY236" s="15" t="s">
        <v>3410</v>
      </c>
    </row>
    <row r="237" ht="17.25" customHeight="1">
      <c r="A237" s="15" t="s">
        <v>3423</v>
      </c>
      <c r="B237" s="15" t="str">
        <f>"801542031367"</f>
        <v>801542031367</v>
      </c>
      <c r="C237" s="15" t="s">
        <v>13855</v>
      </c>
      <c r="D237" s="15" t="str">
        <f t="shared" si="1"/>
        <v>Colt 2-Piece SectionalHeirloom CigarRight Chaise</v>
      </c>
      <c r="E237" s="15" t="s">
        <v>3387</v>
      </c>
      <c r="F237" s="15" t="s">
        <v>397</v>
      </c>
      <c r="G237" s="15" t="s">
        <v>3417</v>
      </c>
      <c r="H237" s="15" t="s">
        <v>265</v>
      </c>
      <c r="I237" s="15" t="s">
        <v>2933</v>
      </c>
      <c r="J237" s="15" t="s">
        <v>3417</v>
      </c>
      <c r="K237" s="15" t="s">
        <v>3397</v>
      </c>
      <c r="M237" s="15" t="s">
        <v>2108</v>
      </c>
      <c r="N237" s="15" t="s">
        <v>1629</v>
      </c>
      <c r="O237" s="15" t="s">
        <v>2933</v>
      </c>
      <c r="P237" s="15" t="str">
        <f t="shared" si="699"/>
        <v>129</v>
      </c>
      <c r="Q237" s="15" t="str">
        <f t="shared" si="700"/>
        <v>68</v>
      </c>
      <c r="R237" s="15" t="str">
        <f t="shared" si="701"/>
        <v>32.5</v>
      </c>
      <c r="S237" s="15" t="str">
        <f t="shared" si="702"/>
        <v>281.53</v>
      </c>
      <c r="T237" s="15" t="s">
        <v>3420</v>
      </c>
      <c r="U237" s="15" t="s">
        <v>11137</v>
      </c>
      <c r="V237" s="15" t="s">
        <v>12428</v>
      </c>
      <c r="AA237" s="15" t="s">
        <v>413</v>
      </c>
      <c r="AB237" s="15" t="s">
        <v>413</v>
      </c>
      <c r="AC237" s="15" t="s">
        <v>3425</v>
      </c>
      <c r="AD237" s="15" t="s">
        <v>13869</v>
      </c>
      <c r="AE237" s="15" t="s">
        <v>3424</v>
      </c>
      <c r="AF237" s="15" t="s">
        <v>13870</v>
      </c>
      <c r="AG237" s="15" t="s">
        <v>13871</v>
      </c>
      <c r="AH237" s="15" t="s">
        <v>13872</v>
      </c>
      <c r="AI237" s="15" t="s">
        <v>13873</v>
      </c>
      <c r="AJ237" s="15" t="s">
        <v>13874</v>
      </c>
      <c r="AK237" s="15" t="s">
        <v>13875</v>
      </c>
      <c r="AL237" s="15" t="s">
        <v>13876</v>
      </c>
      <c r="AM237" s="15" t="s">
        <v>13877</v>
      </c>
      <c r="AN237" s="15" t="s">
        <v>13878</v>
      </c>
      <c r="AO237" s="15" t="s">
        <v>13879</v>
      </c>
      <c r="BH237" s="15" t="s">
        <v>3422</v>
      </c>
      <c r="BI237" s="15" t="str">
        <f t="shared" si="708"/>
        <v>5999</v>
      </c>
      <c r="BJ237" s="15" t="str">
        <f t="shared" si="709"/>
        <v>2520</v>
      </c>
      <c r="BK237" s="15" t="s">
        <v>415</v>
      </c>
      <c r="BL237" s="15" t="str">
        <f t="shared" si="705"/>
        <v>2</v>
      </c>
      <c r="BM237" s="15" t="s">
        <v>416</v>
      </c>
      <c r="BN237" s="15" t="str">
        <f>"85.04"</f>
        <v>85.04</v>
      </c>
      <c r="BO237" s="15" t="str">
        <f>"47.24"</f>
        <v>47.24</v>
      </c>
      <c r="BP237" s="15" t="str">
        <f>"28.35"</f>
        <v>28.35</v>
      </c>
      <c r="BQ237" s="15" t="str">
        <f>"152.12"</f>
        <v>152.12</v>
      </c>
      <c r="BR237" s="15" t="s">
        <v>416</v>
      </c>
      <c r="BS237" s="15" t="str">
        <f>"56.3"</f>
        <v>56.3</v>
      </c>
      <c r="BT237" s="15" t="str">
        <f>"75.59"</f>
        <v>75.59</v>
      </c>
      <c r="BU237" s="15" t="str">
        <f>"30.31"</f>
        <v>30.31</v>
      </c>
      <c r="BV237" s="15" t="str">
        <f>"149.91"</f>
        <v>149.91</v>
      </c>
      <c r="CG237" s="15" t="str">
        <f t="shared" si="706"/>
        <v>140.55</v>
      </c>
      <c r="CH237" s="15" t="str">
        <f t="shared" si="707"/>
        <v>3.98</v>
      </c>
      <c r="CI237" s="15" t="s">
        <v>465</v>
      </c>
      <c r="CX237" s="15" t="s">
        <v>717</v>
      </c>
      <c r="CY237" s="15" t="s">
        <v>718</v>
      </c>
      <c r="DC237" s="15" t="s">
        <v>3404</v>
      </c>
      <c r="DG237" s="15" t="s">
        <v>419</v>
      </c>
      <c r="DL237" s="15">
        <v>0.0</v>
      </c>
      <c r="DM237" s="15" t="s">
        <v>990</v>
      </c>
      <c r="DN237" s="15" t="s">
        <v>723</v>
      </c>
      <c r="DO237" s="15" t="s">
        <v>724</v>
      </c>
      <c r="DQ237" s="15">
        <v>3.0</v>
      </c>
      <c r="DR237" s="15" t="s">
        <v>3405</v>
      </c>
      <c r="DS237" s="15" t="s">
        <v>3407</v>
      </c>
      <c r="DU237" s="15" t="s">
        <v>473</v>
      </c>
      <c r="EL237" s="15" t="s">
        <v>723</v>
      </c>
      <c r="EM237" s="15" t="s">
        <v>724</v>
      </c>
      <c r="EN237" s="15" t="s">
        <v>3408</v>
      </c>
      <c r="EO237" s="15" t="s">
        <v>1239</v>
      </c>
      <c r="GW237" s="15" t="s">
        <v>426</v>
      </c>
      <c r="GX237" s="15" t="s">
        <v>3409</v>
      </c>
      <c r="GY237" s="15" t="s">
        <v>3415</v>
      </c>
    </row>
    <row r="238" ht="17.25" customHeight="1">
      <c r="A238" s="15" t="s">
        <v>3428</v>
      </c>
      <c r="B238" s="15" t="str">
        <f>"801542699925"</f>
        <v>801542699925</v>
      </c>
      <c r="C238" s="15" t="s">
        <v>13880</v>
      </c>
      <c r="D238" s="15" t="str">
        <f t="shared" si="1"/>
        <v>Colt 2-Piece SectionalMerino CottonLeft Chaise</v>
      </c>
      <c r="E238" s="15" t="s">
        <v>3387</v>
      </c>
      <c r="F238" s="15" t="s">
        <v>397</v>
      </c>
      <c r="G238" s="15" t="s">
        <v>3427</v>
      </c>
      <c r="H238" s="15" t="s">
        <v>265</v>
      </c>
      <c r="I238" s="15" t="s">
        <v>2916</v>
      </c>
      <c r="J238" s="15" t="s">
        <v>3427</v>
      </c>
      <c r="K238" s="15" t="s">
        <v>3397</v>
      </c>
      <c r="M238" s="15" t="s">
        <v>2108</v>
      </c>
      <c r="N238" s="15" t="s">
        <v>1629</v>
      </c>
      <c r="O238" s="15" t="s">
        <v>2916</v>
      </c>
      <c r="P238" s="15" t="str">
        <f t="shared" si="699"/>
        <v>129</v>
      </c>
      <c r="Q238" s="15" t="str">
        <f t="shared" si="700"/>
        <v>68</v>
      </c>
      <c r="R238" s="15" t="str">
        <f t="shared" si="701"/>
        <v>32.5</v>
      </c>
      <c r="S238" s="15" t="str">
        <f t="shared" si="702"/>
        <v>281.53</v>
      </c>
      <c r="T238" s="15" t="s">
        <v>2107</v>
      </c>
      <c r="U238" s="15" t="s">
        <v>11209</v>
      </c>
      <c r="V238" s="15" t="s">
        <v>12428</v>
      </c>
      <c r="AA238" s="15" t="s">
        <v>413</v>
      </c>
      <c r="AB238" s="15" t="s">
        <v>426</v>
      </c>
      <c r="AC238" s="15" t="s">
        <v>3430</v>
      </c>
      <c r="AD238" s="15" t="s">
        <v>13881</v>
      </c>
      <c r="AE238" s="15" t="s">
        <v>3429</v>
      </c>
      <c r="AF238" s="15" t="s">
        <v>13882</v>
      </c>
      <c r="AG238" s="15" t="s">
        <v>13883</v>
      </c>
      <c r="AH238" s="15" t="s">
        <v>13884</v>
      </c>
      <c r="AI238" s="15" t="s">
        <v>13885</v>
      </c>
      <c r="AJ238" s="15" t="s">
        <v>13886</v>
      </c>
      <c r="BH238" s="15" t="s">
        <v>3426</v>
      </c>
      <c r="BI238" s="15" t="str">
        <f t="shared" ref="BI238:BI239" si="710">"4199"</f>
        <v>4199</v>
      </c>
      <c r="BJ238" s="15" t="str">
        <f t="shared" ref="BJ238:BJ239" si="711">"1765"</f>
        <v>1765</v>
      </c>
      <c r="BK238" s="15" t="s">
        <v>415</v>
      </c>
      <c r="BL238" s="15" t="str">
        <f t="shared" si="705"/>
        <v>2</v>
      </c>
      <c r="BM238" s="15" t="s">
        <v>416</v>
      </c>
      <c r="BN238" s="15" t="str">
        <f>"56.3"</f>
        <v>56.3</v>
      </c>
      <c r="BO238" s="15" t="str">
        <f>"75.59"</f>
        <v>75.59</v>
      </c>
      <c r="BP238" s="15" t="str">
        <f>"30.31"</f>
        <v>30.31</v>
      </c>
      <c r="BQ238" s="15" t="str">
        <f>"149.91"</f>
        <v>149.91</v>
      </c>
      <c r="BR238" s="15" t="s">
        <v>416</v>
      </c>
      <c r="BS238" s="15" t="str">
        <f>"85.04"</f>
        <v>85.04</v>
      </c>
      <c r="BT238" s="15" t="str">
        <f>"47.24"</f>
        <v>47.24</v>
      </c>
      <c r="BU238" s="15" t="str">
        <f>"28.35"</f>
        <v>28.35</v>
      </c>
      <c r="BV238" s="15" t="str">
        <f>"152.12"</f>
        <v>152.12</v>
      </c>
      <c r="CG238" s="15" t="str">
        <f t="shared" si="706"/>
        <v>140.55</v>
      </c>
      <c r="CH238" s="15" t="str">
        <f t="shared" si="707"/>
        <v>3.98</v>
      </c>
      <c r="CI238" s="15" t="s">
        <v>465</v>
      </c>
      <c r="CX238" s="15" t="s">
        <v>717</v>
      </c>
      <c r="CY238" s="15" t="s">
        <v>934</v>
      </c>
      <c r="DC238" s="15" t="s">
        <v>3404</v>
      </c>
      <c r="DG238" s="15" t="s">
        <v>419</v>
      </c>
      <c r="DL238" s="15">
        <v>15000.0</v>
      </c>
      <c r="DM238" s="15" t="s">
        <v>990</v>
      </c>
      <c r="DN238" s="15" t="s">
        <v>723</v>
      </c>
      <c r="DO238" s="15" t="s">
        <v>724</v>
      </c>
      <c r="DQ238" s="15">
        <v>3.0</v>
      </c>
      <c r="DR238" s="15" t="s">
        <v>3405</v>
      </c>
      <c r="DS238" s="15" t="s">
        <v>3407</v>
      </c>
      <c r="DU238" s="15" t="s">
        <v>473</v>
      </c>
      <c r="EL238" s="15" t="s">
        <v>723</v>
      </c>
      <c r="EM238" s="15" t="s">
        <v>724</v>
      </c>
      <c r="EN238" s="15" t="s">
        <v>3408</v>
      </c>
      <c r="EO238" s="15" t="s">
        <v>1239</v>
      </c>
      <c r="GW238" s="15" t="s">
        <v>426</v>
      </c>
      <c r="GX238" s="15" t="s">
        <v>3409</v>
      </c>
      <c r="GY238" s="15" t="s">
        <v>3410</v>
      </c>
    </row>
    <row r="239" ht="17.25" customHeight="1">
      <c r="A239" s="15" t="s">
        <v>3432</v>
      </c>
      <c r="B239" s="15" t="str">
        <f>"801542699932"</f>
        <v>801542699932</v>
      </c>
      <c r="C239" s="15" t="s">
        <v>13880</v>
      </c>
      <c r="D239" s="15" t="str">
        <f t="shared" si="1"/>
        <v>Colt 2-Piece SectionalMerino CottonRight Chaise</v>
      </c>
      <c r="E239" s="15" t="s">
        <v>3387</v>
      </c>
      <c r="F239" s="15" t="s">
        <v>397</v>
      </c>
      <c r="G239" s="15" t="s">
        <v>3427</v>
      </c>
      <c r="H239" s="15" t="s">
        <v>265</v>
      </c>
      <c r="I239" s="15" t="s">
        <v>2933</v>
      </c>
      <c r="J239" s="15" t="s">
        <v>3427</v>
      </c>
      <c r="K239" s="15" t="s">
        <v>3397</v>
      </c>
      <c r="M239" s="15" t="s">
        <v>2108</v>
      </c>
      <c r="N239" s="15" t="s">
        <v>1629</v>
      </c>
      <c r="O239" s="15" t="s">
        <v>2933</v>
      </c>
      <c r="P239" s="15" t="str">
        <f t="shared" si="699"/>
        <v>129</v>
      </c>
      <c r="Q239" s="15" t="str">
        <f t="shared" si="700"/>
        <v>68</v>
      </c>
      <c r="R239" s="15" t="str">
        <f t="shared" si="701"/>
        <v>32.5</v>
      </c>
      <c r="S239" s="15" t="str">
        <f t="shared" si="702"/>
        <v>281.53</v>
      </c>
      <c r="T239" s="15" t="s">
        <v>2107</v>
      </c>
      <c r="U239" s="15" t="s">
        <v>11209</v>
      </c>
      <c r="V239" s="15" t="s">
        <v>12428</v>
      </c>
      <c r="AA239" s="15" t="s">
        <v>413</v>
      </c>
      <c r="AB239" s="15" t="s">
        <v>426</v>
      </c>
      <c r="AC239" s="15" t="s">
        <v>3434</v>
      </c>
      <c r="AD239" s="15" t="s">
        <v>13887</v>
      </c>
      <c r="AE239" s="15" t="s">
        <v>3433</v>
      </c>
      <c r="AF239" s="15" t="s">
        <v>13888</v>
      </c>
      <c r="AG239" s="15" t="s">
        <v>13889</v>
      </c>
      <c r="AH239" s="15" t="s">
        <v>13890</v>
      </c>
      <c r="AI239" s="15" t="s">
        <v>13891</v>
      </c>
      <c r="BH239" s="15" t="s">
        <v>3431</v>
      </c>
      <c r="BI239" s="15" t="str">
        <f t="shared" si="710"/>
        <v>4199</v>
      </c>
      <c r="BJ239" s="15" t="str">
        <f t="shared" si="711"/>
        <v>1765</v>
      </c>
      <c r="BK239" s="15" t="s">
        <v>415</v>
      </c>
      <c r="BL239" s="15" t="str">
        <f t="shared" si="705"/>
        <v>2</v>
      </c>
      <c r="BM239" s="15" t="s">
        <v>416</v>
      </c>
      <c r="BN239" s="15" t="str">
        <f>"85.04"</f>
        <v>85.04</v>
      </c>
      <c r="BO239" s="15" t="str">
        <f>"47.24"</f>
        <v>47.24</v>
      </c>
      <c r="BP239" s="15" t="str">
        <f t="shared" ref="BP239:BP242" si="712">"28.35"</f>
        <v>28.35</v>
      </c>
      <c r="BQ239" s="15" t="str">
        <f>"152.12"</f>
        <v>152.12</v>
      </c>
      <c r="BR239" s="15" t="s">
        <v>416</v>
      </c>
      <c r="BS239" s="15" t="str">
        <f>"56.3"</f>
        <v>56.3</v>
      </c>
      <c r="BT239" s="15" t="str">
        <f>"75.59"</f>
        <v>75.59</v>
      </c>
      <c r="BU239" s="15" t="str">
        <f>"30.31"</f>
        <v>30.31</v>
      </c>
      <c r="BV239" s="15" t="str">
        <f>"149.91"</f>
        <v>149.91</v>
      </c>
      <c r="CG239" s="15" t="str">
        <f t="shared" si="706"/>
        <v>140.55</v>
      </c>
      <c r="CH239" s="15" t="str">
        <f t="shared" si="707"/>
        <v>3.98</v>
      </c>
      <c r="CI239" s="15" t="s">
        <v>497</v>
      </c>
      <c r="CX239" s="15" t="s">
        <v>717</v>
      </c>
      <c r="CY239" s="15" t="s">
        <v>934</v>
      </c>
      <c r="DC239" s="15" t="s">
        <v>3404</v>
      </c>
      <c r="DG239" s="15" t="s">
        <v>419</v>
      </c>
      <c r="DL239" s="15">
        <v>15000.0</v>
      </c>
      <c r="DM239" s="15" t="s">
        <v>990</v>
      </c>
      <c r="DN239" s="15" t="s">
        <v>723</v>
      </c>
      <c r="DO239" s="15" t="s">
        <v>724</v>
      </c>
      <c r="DQ239" s="15">
        <v>3.0</v>
      </c>
      <c r="DR239" s="15" t="s">
        <v>3405</v>
      </c>
      <c r="DS239" s="15" t="s">
        <v>3407</v>
      </c>
      <c r="DU239" s="15" t="s">
        <v>473</v>
      </c>
      <c r="EL239" s="15" t="s">
        <v>723</v>
      </c>
      <c r="EM239" s="15" t="s">
        <v>724</v>
      </c>
      <c r="EN239" s="15" t="s">
        <v>3408</v>
      </c>
      <c r="EO239" s="15" t="s">
        <v>1239</v>
      </c>
      <c r="GW239" s="15" t="s">
        <v>426</v>
      </c>
      <c r="GX239" s="15" t="s">
        <v>3409</v>
      </c>
      <c r="GY239" s="15" t="s">
        <v>3415</v>
      </c>
    </row>
    <row r="240" ht="17.25" customHeight="1">
      <c r="A240" s="15" t="s">
        <v>3437</v>
      </c>
      <c r="B240" s="15" t="str">
        <f>"801542437282"</f>
        <v>801542437282</v>
      </c>
      <c r="C240" s="15" t="s">
        <v>13892</v>
      </c>
      <c r="D240" s="15" t="str">
        <f t="shared" si="1"/>
        <v>Colt 3-Piece SectionalAldred Silver</v>
      </c>
      <c r="E240" s="15" t="s">
        <v>3435</v>
      </c>
      <c r="F240" s="15" t="s">
        <v>397</v>
      </c>
      <c r="G240" s="15" t="s">
        <v>3389</v>
      </c>
      <c r="J240" s="15" t="s">
        <v>3389</v>
      </c>
      <c r="K240" s="15" t="s">
        <v>3397</v>
      </c>
      <c r="M240" s="15" t="s">
        <v>2108</v>
      </c>
      <c r="N240" s="15" t="s">
        <v>1629</v>
      </c>
      <c r="O240" s="15" t="s">
        <v>1630</v>
      </c>
      <c r="P240" s="15" t="str">
        <f t="shared" ref="P240:P242" si="713">"120"</f>
        <v>120</v>
      </c>
      <c r="Q240" s="15" t="str">
        <f t="shared" ref="Q240:Q246" si="714">"39"</f>
        <v>39</v>
      </c>
      <c r="R240" s="15" t="str">
        <f t="shared" si="701"/>
        <v>32.5</v>
      </c>
      <c r="S240" s="15" t="str">
        <f>"367.9"</f>
        <v>367.9</v>
      </c>
      <c r="T240" s="15" t="s">
        <v>3393</v>
      </c>
      <c r="U240" s="15" t="s">
        <v>11234</v>
      </c>
      <c r="V240" s="15" t="s">
        <v>13832</v>
      </c>
      <c r="W240" s="15" t="s">
        <v>12428</v>
      </c>
      <c r="AA240" s="15" t="s">
        <v>413</v>
      </c>
      <c r="AB240" s="15" t="s">
        <v>413</v>
      </c>
      <c r="AC240" s="15" t="s">
        <v>3444</v>
      </c>
      <c r="AD240" s="15" t="s">
        <v>13893</v>
      </c>
      <c r="AE240" s="15" t="s">
        <v>3439</v>
      </c>
      <c r="AF240" s="15" t="s">
        <v>13894</v>
      </c>
      <c r="AG240" s="15" t="s">
        <v>13895</v>
      </c>
      <c r="AH240" s="15" t="s">
        <v>13896</v>
      </c>
      <c r="AI240" s="15" t="s">
        <v>13897</v>
      </c>
      <c r="AJ240" s="15" t="s">
        <v>13898</v>
      </c>
      <c r="AK240" s="15" t="s">
        <v>13899</v>
      </c>
      <c r="AL240" s="15" t="s">
        <v>13900</v>
      </c>
      <c r="AM240" s="15" t="s">
        <v>13901</v>
      </c>
      <c r="AN240" s="15" t="s">
        <v>13902</v>
      </c>
      <c r="BH240" s="15" t="s">
        <v>3436</v>
      </c>
      <c r="BI240" s="15" t="str">
        <f>"5099"</f>
        <v>5099</v>
      </c>
      <c r="BJ240" s="15" t="str">
        <f>"2145"</f>
        <v>2145</v>
      </c>
      <c r="BK240" s="15" t="s">
        <v>415</v>
      </c>
      <c r="BL240" s="15" t="str">
        <f t="shared" ref="BL240:BL242" si="715">"3"</f>
        <v>3</v>
      </c>
      <c r="BM240" s="15" t="s">
        <v>416</v>
      </c>
      <c r="BN240" s="15" t="str">
        <f t="shared" ref="BN240:BN242" si="716">"44.88"</f>
        <v>44.88</v>
      </c>
      <c r="BO240" s="15" t="str">
        <f t="shared" ref="BO240:BO244" si="717">"43.31"</f>
        <v>43.31</v>
      </c>
      <c r="BP240" s="15" t="str">
        <f t="shared" si="712"/>
        <v>28.35</v>
      </c>
      <c r="BQ240" s="15" t="str">
        <f t="shared" ref="BQ240:BQ242" si="718">"87.52"</f>
        <v>87.52</v>
      </c>
      <c r="BR240" s="15" t="s">
        <v>416</v>
      </c>
      <c r="BS240" s="15" t="str">
        <f t="shared" ref="BS240:BS242" si="719">"85.04"</f>
        <v>85.04</v>
      </c>
      <c r="BT240" s="15" t="str">
        <f t="shared" ref="BT240:BT242" si="720">"47.24"</f>
        <v>47.24</v>
      </c>
      <c r="BU240" s="15" t="str">
        <f t="shared" ref="BU240:BU242" si="721">"28.35"</f>
        <v>28.35</v>
      </c>
      <c r="BV240" s="15" t="str">
        <f t="shared" ref="BV240:BV242" si="722">"152.12"</f>
        <v>152.12</v>
      </c>
      <c r="BW240" s="15" t="s">
        <v>416</v>
      </c>
      <c r="BX240" s="15" t="str">
        <f t="shared" ref="BX240:BX242" si="723">"85.04"</f>
        <v>85.04</v>
      </c>
      <c r="BY240" s="15" t="str">
        <f t="shared" ref="BY240:BY242" si="724">"47.24"</f>
        <v>47.24</v>
      </c>
      <c r="BZ240" s="15" t="str">
        <f t="shared" ref="BZ240:BZ242" si="725">"28.35"</f>
        <v>28.35</v>
      </c>
      <c r="CA240" s="15" t="str">
        <f t="shared" ref="CA240:CA242" si="726">"152.12"</f>
        <v>152.12</v>
      </c>
      <c r="CG240" s="15" t="str">
        <f t="shared" ref="CG240:CG242" si="727">"163.68"</f>
        <v>163.68</v>
      </c>
      <c r="CH240" s="15" t="str">
        <f t="shared" ref="CH240:CH242" si="728">"4.635"</f>
        <v>4.635</v>
      </c>
      <c r="CI240" s="15" t="s">
        <v>497</v>
      </c>
      <c r="CX240" s="15" t="s">
        <v>717</v>
      </c>
      <c r="CY240" s="15" t="s">
        <v>934</v>
      </c>
      <c r="DC240" s="15" t="s">
        <v>3404</v>
      </c>
      <c r="DG240" s="15" t="s">
        <v>419</v>
      </c>
      <c r="DL240" s="15">
        <v>30000.0</v>
      </c>
      <c r="DM240" s="15" t="s">
        <v>990</v>
      </c>
      <c r="DN240" s="15" t="s">
        <v>723</v>
      </c>
      <c r="DO240" s="15" t="s">
        <v>724</v>
      </c>
      <c r="DQ240" s="15">
        <v>5.0</v>
      </c>
      <c r="DR240" s="15" t="s">
        <v>1633</v>
      </c>
      <c r="DS240" s="15" t="s">
        <v>3407</v>
      </c>
      <c r="DU240" s="15" t="s">
        <v>1636</v>
      </c>
      <c r="EL240" s="15" t="s">
        <v>723</v>
      </c>
      <c r="EM240" s="15" t="s">
        <v>724</v>
      </c>
      <c r="EN240" s="15" t="s">
        <v>3408</v>
      </c>
      <c r="EO240" s="15" t="s">
        <v>1239</v>
      </c>
      <c r="EU240" s="15" t="s">
        <v>426</v>
      </c>
      <c r="GW240" s="15" t="s">
        <v>426</v>
      </c>
      <c r="GX240" s="15" t="s">
        <v>3409</v>
      </c>
      <c r="GY240" s="15" t="s">
        <v>1639</v>
      </c>
    </row>
    <row r="241" ht="17.25" customHeight="1">
      <c r="A241" s="15" t="s">
        <v>3449</v>
      </c>
      <c r="B241" s="15" t="str">
        <f>"801542031374"</f>
        <v>801542031374</v>
      </c>
      <c r="C241" s="15" t="s">
        <v>13903</v>
      </c>
      <c r="D241" s="15" t="str">
        <f t="shared" si="1"/>
        <v>Colt 3-Piece SectionalHeirloom Cigar</v>
      </c>
      <c r="E241" s="15" t="s">
        <v>3435</v>
      </c>
      <c r="F241" s="15" t="s">
        <v>397</v>
      </c>
      <c r="G241" s="15" t="s">
        <v>3417</v>
      </c>
      <c r="J241" s="15" t="s">
        <v>3417</v>
      </c>
      <c r="K241" s="15" t="s">
        <v>3397</v>
      </c>
      <c r="M241" s="15" t="s">
        <v>2108</v>
      </c>
      <c r="N241" s="15" t="s">
        <v>1629</v>
      </c>
      <c r="O241" s="15" t="s">
        <v>1630</v>
      </c>
      <c r="P241" s="15" t="str">
        <f t="shared" si="713"/>
        <v>120</v>
      </c>
      <c r="Q241" s="15" t="str">
        <f t="shared" si="714"/>
        <v>39</v>
      </c>
      <c r="R241" s="15" t="str">
        <f t="shared" si="701"/>
        <v>32.5</v>
      </c>
      <c r="S241" s="15" t="str">
        <f>"367.95"</f>
        <v>367.95</v>
      </c>
      <c r="T241" s="15" t="s">
        <v>3420</v>
      </c>
      <c r="U241" s="15" t="s">
        <v>11137</v>
      </c>
      <c r="V241" s="15" t="s">
        <v>12428</v>
      </c>
      <c r="AA241" s="15" t="s">
        <v>413</v>
      </c>
      <c r="AB241" s="15" t="s">
        <v>413</v>
      </c>
      <c r="AC241" s="15" t="s">
        <v>3452</v>
      </c>
      <c r="AD241" s="15" t="s">
        <v>13904</v>
      </c>
      <c r="AE241" s="15" t="s">
        <v>3451</v>
      </c>
      <c r="AF241" s="15" t="s">
        <v>13905</v>
      </c>
      <c r="AG241" s="15" t="s">
        <v>13906</v>
      </c>
      <c r="AH241" s="15" t="s">
        <v>13907</v>
      </c>
      <c r="AI241" s="15" t="s">
        <v>13908</v>
      </c>
      <c r="AJ241" s="15" t="s">
        <v>13909</v>
      </c>
      <c r="AK241" s="15" t="s">
        <v>13910</v>
      </c>
      <c r="AL241" s="15" t="s">
        <v>13911</v>
      </c>
      <c r="AM241" s="15" t="s">
        <v>13912</v>
      </c>
      <c r="AN241" s="15" t="s">
        <v>13913</v>
      </c>
      <c r="AO241" s="15" t="s">
        <v>13914</v>
      </c>
      <c r="AP241" s="15" t="s">
        <v>13915</v>
      </c>
      <c r="AQ241" s="15" t="s">
        <v>13916</v>
      </c>
      <c r="BH241" s="15" t="s">
        <v>3448</v>
      </c>
      <c r="BI241" s="15" t="str">
        <f>"7799"</f>
        <v>7799</v>
      </c>
      <c r="BJ241" s="15" t="str">
        <f>"3280"</f>
        <v>3280</v>
      </c>
      <c r="BK241" s="15" t="s">
        <v>415</v>
      </c>
      <c r="BL241" s="15" t="str">
        <f t="shared" si="715"/>
        <v>3</v>
      </c>
      <c r="BM241" s="15" t="s">
        <v>416</v>
      </c>
      <c r="BN241" s="15" t="str">
        <f t="shared" si="716"/>
        <v>44.88</v>
      </c>
      <c r="BO241" s="15" t="str">
        <f t="shared" si="717"/>
        <v>43.31</v>
      </c>
      <c r="BP241" s="15" t="str">
        <f t="shared" si="712"/>
        <v>28.35</v>
      </c>
      <c r="BQ241" s="15" t="str">
        <f t="shared" si="718"/>
        <v>87.52</v>
      </c>
      <c r="BR241" s="15" t="s">
        <v>416</v>
      </c>
      <c r="BS241" s="15" t="str">
        <f t="shared" si="719"/>
        <v>85.04</v>
      </c>
      <c r="BT241" s="15" t="str">
        <f t="shared" si="720"/>
        <v>47.24</v>
      </c>
      <c r="BU241" s="15" t="str">
        <f t="shared" si="721"/>
        <v>28.35</v>
      </c>
      <c r="BV241" s="15" t="str">
        <f t="shared" si="722"/>
        <v>152.12</v>
      </c>
      <c r="BW241" s="15" t="s">
        <v>416</v>
      </c>
      <c r="BX241" s="15" t="str">
        <f t="shared" si="723"/>
        <v>85.04</v>
      </c>
      <c r="BY241" s="15" t="str">
        <f t="shared" si="724"/>
        <v>47.24</v>
      </c>
      <c r="BZ241" s="15" t="str">
        <f t="shared" si="725"/>
        <v>28.35</v>
      </c>
      <c r="CA241" s="15" t="str">
        <f t="shared" si="726"/>
        <v>152.12</v>
      </c>
      <c r="CG241" s="15" t="str">
        <f t="shared" si="727"/>
        <v>163.68</v>
      </c>
      <c r="CH241" s="15" t="str">
        <f t="shared" si="728"/>
        <v>4.635</v>
      </c>
      <c r="CI241" s="15" t="s">
        <v>497</v>
      </c>
      <c r="CX241" s="15" t="s">
        <v>717</v>
      </c>
      <c r="CY241" s="15" t="s">
        <v>718</v>
      </c>
      <c r="DC241" s="15" t="s">
        <v>3404</v>
      </c>
      <c r="DG241" s="15" t="s">
        <v>419</v>
      </c>
      <c r="DL241" s="15">
        <v>0.0</v>
      </c>
      <c r="DM241" s="15" t="s">
        <v>990</v>
      </c>
      <c r="DN241" s="15" t="s">
        <v>723</v>
      </c>
      <c r="DO241" s="15" t="s">
        <v>724</v>
      </c>
      <c r="DQ241" s="15">
        <v>5.0</v>
      </c>
      <c r="DR241" s="15" t="s">
        <v>1633</v>
      </c>
      <c r="DS241" s="15" t="s">
        <v>3407</v>
      </c>
      <c r="DU241" s="15" t="s">
        <v>1636</v>
      </c>
      <c r="EL241" s="15" t="s">
        <v>723</v>
      </c>
      <c r="EM241" s="15" t="s">
        <v>724</v>
      </c>
      <c r="EN241" s="15" t="s">
        <v>3408</v>
      </c>
      <c r="EO241" s="15" t="s">
        <v>1239</v>
      </c>
      <c r="EU241" s="15" t="s">
        <v>426</v>
      </c>
      <c r="GW241" s="15" t="s">
        <v>426</v>
      </c>
      <c r="GX241" s="15" t="s">
        <v>3409</v>
      </c>
      <c r="GY241" s="15" t="s">
        <v>1639</v>
      </c>
    </row>
    <row r="242" ht="17.25" customHeight="1">
      <c r="A242" s="15" t="s">
        <v>3454</v>
      </c>
      <c r="B242" s="15" t="str">
        <f>"801542699956"</f>
        <v>801542699956</v>
      </c>
      <c r="C242" s="15" t="s">
        <v>13917</v>
      </c>
      <c r="D242" s="15" t="str">
        <f t="shared" si="1"/>
        <v>Colt 3-Piece SectionalMerino Cotton</v>
      </c>
      <c r="E242" s="15" t="s">
        <v>3435</v>
      </c>
      <c r="F242" s="15" t="s">
        <v>397</v>
      </c>
      <c r="G242" s="15" t="s">
        <v>3427</v>
      </c>
      <c r="J242" s="15" t="s">
        <v>3427</v>
      </c>
      <c r="K242" s="15" t="s">
        <v>3397</v>
      </c>
      <c r="M242" s="15" t="s">
        <v>2108</v>
      </c>
      <c r="N242" s="15" t="s">
        <v>1629</v>
      </c>
      <c r="O242" s="15" t="s">
        <v>1630</v>
      </c>
      <c r="P242" s="15" t="str">
        <f t="shared" si="713"/>
        <v>120</v>
      </c>
      <c r="Q242" s="15" t="str">
        <f t="shared" si="714"/>
        <v>39</v>
      </c>
      <c r="R242" s="15" t="str">
        <f t="shared" si="701"/>
        <v>32.5</v>
      </c>
      <c r="S242" s="15" t="str">
        <f>"367.9"</f>
        <v>367.9</v>
      </c>
      <c r="T242" s="15" t="s">
        <v>2107</v>
      </c>
      <c r="U242" s="15" t="s">
        <v>11209</v>
      </c>
      <c r="V242" s="15" t="s">
        <v>12428</v>
      </c>
      <c r="AA242" s="15" t="s">
        <v>426</v>
      </c>
      <c r="AB242" s="15" t="s">
        <v>426</v>
      </c>
      <c r="AC242" s="15" t="s">
        <v>3456</v>
      </c>
      <c r="AD242" s="15" t="s">
        <v>13918</v>
      </c>
      <c r="AE242" s="15" t="s">
        <v>3455</v>
      </c>
      <c r="AF242" s="15" t="s">
        <v>13919</v>
      </c>
      <c r="AG242" s="15" t="s">
        <v>13920</v>
      </c>
      <c r="AH242" s="15" t="s">
        <v>13921</v>
      </c>
      <c r="AI242" s="15" t="s">
        <v>13922</v>
      </c>
      <c r="BH242" s="15" t="s">
        <v>3453</v>
      </c>
      <c r="BI242" s="15" t="str">
        <f>"5399"</f>
        <v>5399</v>
      </c>
      <c r="BJ242" s="15" t="str">
        <f>"2270"</f>
        <v>2270</v>
      </c>
      <c r="BK242" s="15" t="s">
        <v>415</v>
      </c>
      <c r="BL242" s="15" t="str">
        <f t="shared" si="715"/>
        <v>3</v>
      </c>
      <c r="BM242" s="15" t="s">
        <v>416</v>
      </c>
      <c r="BN242" s="15" t="str">
        <f t="shared" si="716"/>
        <v>44.88</v>
      </c>
      <c r="BO242" s="15" t="str">
        <f t="shared" si="717"/>
        <v>43.31</v>
      </c>
      <c r="BP242" s="15" t="str">
        <f t="shared" si="712"/>
        <v>28.35</v>
      </c>
      <c r="BQ242" s="15" t="str">
        <f t="shared" si="718"/>
        <v>87.52</v>
      </c>
      <c r="BR242" s="15" t="s">
        <v>416</v>
      </c>
      <c r="BS242" s="15" t="str">
        <f t="shared" si="719"/>
        <v>85.04</v>
      </c>
      <c r="BT242" s="15" t="str">
        <f t="shared" si="720"/>
        <v>47.24</v>
      </c>
      <c r="BU242" s="15" t="str">
        <f t="shared" si="721"/>
        <v>28.35</v>
      </c>
      <c r="BV242" s="15" t="str">
        <f t="shared" si="722"/>
        <v>152.12</v>
      </c>
      <c r="BW242" s="15" t="s">
        <v>416</v>
      </c>
      <c r="BX242" s="15" t="str">
        <f t="shared" si="723"/>
        <v>85.04</v>
      </c>
      <c r="BY242" s="15" t="str">
        <f t="shared" si="724"/>
        <v>47.24</v>
      </c>
      <c r="BZ242" s="15" t="str">
        <f t="shared" si="725"/>
        <v>28.35</v>
      </c>
      <c r="CA242" s="15" t="str">
        <f t="shared" si="726"/>
        <v>152.12</v>
      </c>
      <c r="CG242" s="15" t="str">
        <f t="shared" si="727"/>
        <v>163.68</v>
      </c>
      <c r="CH242" s="15" t="str">
        <f t="shared" si="728"/>
        <v>4.635</v>
      </c>
      <c r="CI242" s="15" t="s">
        <v>497</v>
      </c>
      <c r="CX242" s="15" t="s">
        <v>717</v>
      </c>
      <c r="CY242" s="15" t="s">
        <v>934</v>
      </c>
      <c r="DC242" s="15" t="s">
        <v>3404</v>
      </c>
      <c r="DG242" s="15" t="s">
        <v>419</v>
      </c>
      <c r="DL242" s="15">
        <v>15000.0</v>
      </c>
      <c r="DM242" s="15" t="s">
        <v>990</v>
      </c>
      <c r="DN242" s="15" t="s">
        <v>723</v>
      </c>
      <c r="DO242" s="15" t="s">
        <v>724</v>
      </c>
      <c r="DQ242" s="15">
        <v>5.0</v>
      </c>
      <c r="DR242" s="15" t="s">
        <v>1633</v>
      </c>
      <c r="DS242" s="15" t="s">
        <v>3407</v>
      </c>
      <c r="DU242" s="15" t="s">
        <v>1636</v>
      </c>
      <c r="EL242" s="15" t="s">
        <v>723</v>
      </c>
      <c r="EM242" s="15" t="s">
        <v>724</v>
      </c>
      <c r="EN242" s="15" t="s">
        <v>3408</v>
      </c>
      <c r="EO242" s="15" t="s">
        <v>1239</v>
      </c>
      <c r="EU242" s="15" t="s">
        <v>426</v>
      </c>
      <c r="GW242" s="15" t="s">
        <v>426</v>
      </c>
      <c r="GX242" s="15" t="s">
        <v>3409</v>
      </c>
      <c r="GY242" s="15" t="s">
        <v>1639</v>
      </c>
    </row>
    <row r="243" ht="17.25" customHeight="1">
      <c r="A243" s="15" t="s">
        <v>3459</v>
      </c>
      <c r="B243" s="15" t="str">
        <f>"801542871963"</f>
        <v>801542871963</v>
      </c>
      <c r="C243" s="15" t="s">
        <v>13923</v>
      </c>
      <c r="D243" s="15" t="str">
        <f t="shared" si="1"/>
        <v>Colt Sleeper SofaAldred Silver</v>
      </c>
      <c r="E243" s="15" t="s">
        <v>3457</v>
      </c>
      <c r="F243" s="15" t="s">
        <v>397</v>
      </c>
      <c r="G243" s="15" t="s">
        <v>3389</v>
      </c>
      <c r="J243" s="15" t="s">
        <v>3389</v>
      </c>
      <c r="K243" s="15" t="s">
        <v>3397</v>
      </c>
      <c r="M243" s="15" t="s">
        <v>2108</v>
      </c>
      <c r="N243" s="15" t="s">
        <v>1732</v>
      </c>
      <c r="P243" s="15" t="str">
        <f t="shared" ref="P243:P244" si="729">"88.5"</f>
        <v>88.5</v>
      </c>
      <c r="Q243" s="15" t="str">
        <f t="shared" si="714"/>
        <v>39</v>
      </c>
      <c r="R243" s="15" t="str">
        <f t="shared" si="701"/>
        <v>32.5</v>
      </c>
      <c r="S243" s="15" t="str">
        <f t="shared" ref="S243:S244" si="730">"227.07"</f>
        <v>227.07</v>
      </c>
      <c r="T243" s="15" t="s">
        <v>3393</v>
      </c>
      <c r="U243" s="15" t="s">
        <v>11234</v>
      </c>
      <c r="V243" s="15" t="s">
        <v>13832</v>
      </c>
      <c r="W243" s="15" t="s">
        <v>12428</v>
      </c>
      <c r="AA243" s="15" t="s">
        <v>413</v>
      </c>
      <c r="AB243" s="15" t="s">
        <v>413</v>
      </c>
      <c r="AC243" s="15" t="s">
        <v>3462</v>
      </c>
      <c r="AD243" s="15" t="s">
        <v>13924</v>
      </c>
      <c r="AE243" s="15" t="s">
        <v>3461</v>
      </c>
      <c r="AF243" s="15" t="s">
        <v>13925</v>
      </c>
      <c r="AG243" s="15" t="s">
        <v>13926</v>
      </c>
      <c r="AH243" s="15" t="s">
        <v>13927</v>
      </c>
      <c r="AI243" s="15" t="s">
        <v>13928</v>
      </c>
      <c r="AJ243" s="15" t="s">
        <v>13929</v>
      </c>
      <c r="AK243" s="15" t="s">
        <v>13930</v>
      </c>
      <c r="AL243" s="15" t="s">
        <v>13931</v>
      </c>
      <c r="AM243" s="15" t="s">
        <v>13932</v>
      </c>
      <c r="AN243" s="15" t="s">
        <v>13933</v>
      </c>
      <c r="AO243" s="15" t="s">
        <v>13934</v>
      </c>
      <c r="AP243" s="15" t="s">
        <v>13935</v>
      </c>
      <c r="AQ243" s="15" t="s">
        <v>13936</v>
      </c>
      <c r="AR243" s="15" t="s">
        <v>13937</v>
      </c>
      <c r="AS243" s="15" t="s">
        <v>13938</v>
      </c>
      <c r="AT243" s="15" t="s">
        <v>13939</v>
      </c>
      <c r="BH243" s="15" t="s">
        <v>3458</v>
      </c>
      <c r="BI243" s="15" t="str">
        <f>"3399"</f>
        <v>3399</v>
      </c>
      <c r="BJ243" s="15" t="str">
        <f>"1430"</f>
        <v>1430</v>
      </c>
      <c r="BK243" s="15" t="s">
        <v>415</v>
      </c>
      <c r="BL243" s="15" t="str">
        <f t="shared" ref="BL243:BL254" si="731">"1"</f>
        <v>1</v>
      </c>
      <c r="BM243" s="15" t="s">
        <v>416</v>
      </c>
      <c r="BN243" s="15" t="str">
        <f t="shared" ref="BN243:BN244" si="732">"94.09"</f>
        <v>94.09</v>
      </c>
      <c r="BO243" s="15" t="str">
        <f t="shared" si="717"/>
        <v>43.31</v>
      </c>
      <c r="BP243" s="15" t="str">
        <f t="shared" ref="BP243:BP244" si="733">"27.56"</f>
        <v>27.56</v>
      </c>
      <c r="BQ243" s="15" t="str">
        <f>"248.15"</f>
        <v>248.15</v>
      </c>
      <c r="CG243" s="15" t="str">
        <f t="shared" ref="CG243:CG244" si="734">"64.98"</f>
        <v>64.98</v>
      </c>
      <c r="CH243" s="15" t="str">
        <f t="shared" ref="CH243:CH244" si="735">"1.84"</f>
        <v>1.84</v>
      </c>
      <c r="CI243" s="15" t="s">
        <v>497</v>
      </c>
      <c r="CP243" s="15" t="s">
        <v>2637</v>
      </c>
      <c r="CQ243" s="15" t="s">
        <v>652</v>
      </c>
      <c r="CR243" s="15" t="s">
        <v>3465</v>
      </c>
      <c r="CS243" s="15" t="s">
        <v>525</v>
      </c>
      <c r="CT243" s="15" t="s">
        <v>467</v>
      </c>
      <c r="CU243" s="15" t="s">
        <v>3466</v>
      </c>
      <c r="CV243" s="15">
        <v>0.0</v>
      </c>
      <c r="CW243" s="15">
        <v>2.0</v>
      </c>
      <c r="CX243" s="15" t="s">
        <v>717</v>
      </c>
      <c r="CY243" s="15" t="s">
        <v>934</v>
      </c>
      <c r="DC243" s="15" t="s">
        <v>3404</v>
      </c>
      <c r="DF243" s="15" t="s">
        <v>721</v>
      </c>
      <c r="DG243" s="15" t="s">
        <v>2381</v>
      </c>
      <c r="DH243" s="15">
        <v>0.0</v>
      </c>
      <c r="DL243" s="15">
        <v>30000.0</v>
      </c>
      <c r="DM243" s="15" t="s">
        <v>2382</v>
      </c>
      <c r="DN243" s="15" t="s">
        <v>723</v>
      </c>
      <c r="DO243" s="15" t="s">
        <v>724</v>
      </c>
      <c r="DP243" s="15">
        <v>2.0</v>
      </c>
      <c r="DQ243" s="15">
        <v>4.0</v>
      </c>
      <c r="DS243" s="15" t="s">
        <v>3407</v>
      </c>
      <c r="DT243" s="15">
        <v>0.0</v>
      </c>
      <c r="DU243" s="15" t="s">
        <v>588</v>
      </c>
      <c r="DV243" s="15" t="s">
        <v>1211</v>
      </c>
      <c r="DW243" s="15" t="s">
        <v>429</v>
      </c>
      <c r="DX243" s="15" t="s">
        <v>671</v>
      </c>
      <c r="EB243" s="15" t="s">
        <v>1069</v>
      </c>
      <c r="EC243" s="15" t="s">
        <v>3241</v>
      </c>
      <c r="ED243" s="15" t="s">
        <v>1065</v>
      </c>
      <c r="EE243" s="15" t="s">
        <v>3465</v>
      </c>
      <c r="EF243" s="15" t="s">
        <v>672</v>
      </c>
      <c r="EG243" s="15" t="s">
        <v>734</v>
      </c>
      <c r="EH243" s="15" t="s">
        <v>867</v>
      </c>
      <c r="EI243" s="15" t="s">
        <v>429</v>
      </c>
      <c r="EL243" s="15" t="s">
        <v>723</v>
      </c>
      <c r="EM243" s="15" t="s">
        <v>724</v>
      </c>
      <c r="EN243" s="15" t="s">
        <v>3408</v>
      </c>
      <c r="EO243" s="15" t="s">
        <v>1239</v>
      </c>
      <c r="FB243" s="15" t="s">
        <v>2436</v>
      </c>
      <c r="IO243" s="15" t="s">
        <v>877</v>
      </c>
      <c r="JL243" s="15" t="s">
        <v>1237</v>
      </c>
      <c r="JM243" s="15" t="s">
        <v>3204</v>
      </c>
      <c r="JN243" s="15" t="s">
        <v>3023</v>
      </c>
    </row>
    <row r="244" ht="17.25" customHeight="1">
      <c r="A244" s="15" t="s">
        <v>3468</v>
      </c>
      <c r="B244" s="15" t="str">
        <f>"801542908218"</f>
        <v>801542908218</v>
      </c>
      <c r="C244" s="15" t="s">
        <v>13940</v>
      </c>
      <c r="D244" s="15" t="str">
        <f t="shared" si="1"/>
        <v>Colt Sleeper SofaMerino Cotton</v>
      </c>
      <c r="E244" s="15" t="s">
        <v>3457</v>
      </c>
      <c r="F244" s="15" t="s">
        <v>397</v>
      </c>
      <c r="G244" s="15" t="s">
        <v>3427</v>
      </c>
      <c r="J244" s="15" t="s">
        <v>3427</v>
      </c>
      <c r="K244" s="15" t="s">
        <v>3397</v>
      </c>
      <c r="M244" s="15" t="s">
        <v>2108</v>
      </c>
      <c r="N244" s="15" t="s">
        <v>1732</v>
      </c>
      <c r="P244" s="15" t="str">
        <f t="shared" si="729"/>
        <v>88.5</v>
      </c>
      <c r="Q244" s="15" t="str">
        <f t="shared" si="714"/>
        <v>39</v>
      </c>
      <c r="R244" s="15" t="str">
        <f t="shared" si="701"/>
        <v>32.5</v>
      </c>
      <c r="S244" s="15" t="str">
        <f t="shared" si="730"/>
        <v>227.07</v>
      </c>
      <c r="T244" s="15" t="s">
        <v>2107</v>
      </c>
      <c r="U244" s="15" t="s">
        <v>11209</v>
      </c>
      <c r="V244" s="15" t="s">
        <v>12428</v>
      </c>
      <c r="AA244" s="15" t="s">
        <v>413</v>
      </c>
      <c r="AB244" s="15" t="s">
        <v>426</v>
      </c>
      <c r="AC244" s="15" t="s">
        <v>3470</v>
      </c>
      <c r="AD244" s="15" t="s">
        <v>13941</v>
      </c>
      <c r="AE244" s="15" t="s">
        <v>3469</v>
      </c>
      <c r="AF244" s="15" t="s">
        <v>13942</v>
      </c>
      <c r="AG244" s="15" t="s">
        <v>13943</v>
      </c>
      <c r="AH244" s="15" t="s">
        <v>13944</v>
      </c>
      <c r="AI244" s="15" t="s">
        <v>13945</v>
      </c>
      <c r="AJ244" s="15" t="s">
        <v>13946</v>
      </c>
      <c r="AK244" s="15" t="s">
        <v>13947</v>
      </c>
      <c r="AL244" s="15" t="s">
        <v>13948</v>
      </c>
      <c r="AM244" s="15" t="s">
        <v>13949</v>
      </c>
      <c r="AN244" s="15" t="s">
        <v>13950</v>
      </c>
      <c r="AO244" s="15" t="s">
        <v>13951</v>
      </c>
      <c r="AP244" s="15" t="s">
        <v>13952</v>
      </c>
      <c r="AQ244" s="15" t="s">
        <v>13953</v>
      </c>
      <c r="AR244" s="15" t="s">
        <v>13954</v>
      </c>
      <c r="AS244" s="15" t="s">
        <v>13955</v>
      </c>
      <c r="AT244" s="15" t="s">
        <v>13956</v>
      </c>
      <c r="AU244" s="15" t="s">
        <v>13957</v>
      </c>
      <c r="BH244" s="15" t="s">
        <v>3467</v>
      </c>
      <c r="BI244" s="15" t="str">
        <f>"3499"</f>
        <v>3499</v>
      </c>
      <c r="BJ244" s="15" t="str">
        <f>"1470"</f>
        <v>1470</v>
      </c>
      <c r="BK244" s="15" t="s">
        <v>415</v>
      </c>
      <c r="BL244" s="15" t="str">
        <f t="shared" si="731"/>
        <v>1</v>
      </c>
      <c r="BM244" s="15" t="s">
        <v>416</v>
      </c>
      <c r="BN244" s="15" t="str">
        <f t="shared" si="732"/>
        <v>94.09</v>
      </c>
      <c r="BO244" s="15" t="str">
        <f t="shared" si="717"/>
        <v>43.31</v>
      </c>
      <c r="BP244" s="15" t="str">
        <f t="shared" si="733"/>
        <v>27.56</v>
      </c>
      <c r="BQ244" s="15" t="str">
        <f>"248.24"</f>
        <v>248.24</v>
      </c>
      <c r="CG244" s="15" t="str">
        <f t="shared" si="734"/>
        <v>64.98</v>
      </c>
      <c r="CH244" s="15" t="str">
        <f t="shared" si="735"/>
        <v>1.84</v>
      </c>
      <c r="CI244" s="15" t="s">
        <v>497</v>
      </c>
      <c r="CP244" s="15" t="s">
        <v>2637</v>
      </c>
      <c r="CQ244" s="15" t="s">
        <v>652</v>
      </c>
      <c r="CR244" s="15" t="s">
        <v>3465</v>
      </c>
      <c r="CS244" s="15" t="s">
        <v>525</v>
      </c>
      <c r="CT244" s="15" t="s">
        <v>467</v>
      </c>
      <c r="CU244" s="15" t="s">
        <v>3466</v>
      </c>
      <c r="CV244" s="15">
        <v>0.0</v>
      </c>
      <c r="CW244" s="15">
        <v>2.0</v>
      </c>
      <c r="CX244" s="15" t="s">
        <v>717</v>
      </c>
      <c r="CY244" s="15" t="s">
        <v>934</v>
      </c>
      <c r="DC244" s="15" t="s">
        <v>3404</v>
      </c>
      <c r="DF244" s="15" t="s">
        <v>721</v>
      </c>
      <c r="DG244" s="15" t="s">
        <v>2381</v>
      </c>
      <c r="DH244" s="15">
        <v>0.0</v>
      </c>
      <c r="DL244" s="15">
        <v>15000.0</v>
      </c>
      <c r="DM244" s="15" t="s">
        <v>2382</v>
      </c>
      <c r="DN244" s="15" t="s">
        <v>723</v>
      </c>
      <c r="DO244" s="15" t="s">
        <v>724</v>
      </c>
      <c r="DP244" s="15">
        <v>2.0</v>
      </c>
      <c r="DQ244" s="15">
        <v>4.0</v>
      </c>
      <c r="DS244" s="15" t="s">
        <v>3407</v>
      </c>
      <c r="DT244" s="15">
        <v>0.0</v>
      </c>
      <c r="DU244" s="15" t="s">
        <v>588</v>
      </c>
      <c r="DV244" s="15" t="s">
        <v>1211</v>
      </c>
      <c r="DW244" s="15" t="s">
        <v>429</v>
      </c>
      <c r="DX244" s="15" t="s">
        <v>671</v>
      </c>
      <c r="EB244" s="15" t="s">
        <v>1069</v>
      </c>
      <c r="EC244" s="15" t="s">
        <v>3241</v>
      </c>
      <c r="ED244" s="15" t="s">
        <v>1065</v>
      </c>
      <c r="EE244" s="15" t="s">
        <v>3465</v>
      </c>
      <c r="EF244" s="15" t="s">
        <v>672</v>
      </c>
      <c r="EG244" s="15" t="s">
        <v>734</v>
      </c>
      <c r="EH244" s="15" t="s">
        <v>867</v>
      </c>
      <c r="EI244" s="15" t="s">
        <v>429</v>
      </c>
      <c r="EL244" s="15" t="s">
        <v>723</v>
      </c>
      <c r="EM244" s="15" t="s">
        <v>724</v>
      </c>
      <c r="EN244" s="15" t="s">
        <v>3408</v>
      </c>
      <c r="EO244" s="15" t="s">
        <v>1239</v>
      </c>
      <c r="FB244" s="15" t="s">
        <v>2436</v>
      </c>
      <c r="IO244" s="15" t="s">
        <v>877</v>
      </c>
      <c r="JL244" s="15" t="s">
        <v>1237</v>
      </c>
      <c r="JM244" s="15" t="s">
        <v>3204</v>
      </c>
      <c r="JN244" s="15" t="s">
        <v>3023</v>
      </c>
    </row>
    <row r="245" ht="17.25" customHeight="1">
      <c r="A245" s="15" t="s">
        <v>3475</v>
      </c>
      <c r="B245" s="15" t="str">
        <f>"801542919498"</f>
        <v>801542919498</v>
      </c>
      <c r="C245" s="15" t="s">
        <v>13958</v>
      </c>
      <c r="D245" s="15" t="str">
        <f t="shared" si="1"/>
        <v>Colt SofaCanton Dove</v>
      </c>
      <c r="E245" s="15" t="s">
        <v>3472</v>
      </c>
      <c r="F245" s="15" t="s">
        <v>397</v>
      </c>
      <c r="G245" s="15" t="s">
        <v>3474</v>
      </c>
      <c r="J245" s="15" t="s">
        <v>3474</v>
      </c>
      <c r="K245" s="15" t="s">
        <v>3397</v>
      </c>
      <c r="M245" s="15" t="s">
        <v>2108</v>
      </c>
      <c r="N245" s="15" t="s">
        <v>1732</v>
      </c>
      <c r="P245" s="15" t="str">
        <f t="shared" ref="P245:P246" si="736">"98"</f>
        <v>98</v>
      </c>
      <c r="Q245" s="15" t="str">
        <f t="shared" si="714"/>
        <v>39</v>
      </c>
      <c r="R245" s="15" t="str">
        <f t="shared" si="701"/>
        <v>32.5</v>
      </c>
      <c r="S245" s="15" t="str">
        <f t="shared" ref="S245:S246" si="737">"175.3"</f>
        <v>175.3</v>
      </c>
      <c r="T245" s="15" t="s">
        <v>2107</v>
      </c>
      <c r="U245" s="15" t="s">
        <v>11209</v>
      </c>
      <c r="V245" s="15" t="s">
        <v>12428</v>
      </c>
      <c r="AA245" s="15" t="s">
        <v>413</v>
      </c>
      <c r="AB245" s="15" t="s">
        <v>426</v>
      </c>
      <c r="AD245" s="15" t="s">
        <v>13959</v>
      </c>
      <c r="AE245" s="15" t="s">
        <v>3477</v>
      </c>
      <c r="AF245" s="15" t="s">
        <v>13960</v>
      </c>
      <c r="AG245" s="15" t="s">
        <v>13961</v>
      </c>
      <c r="AH245" s="15" t="s">
        <v>13962</v>
      </c>
      <c r="AI245" s="15" t="s">
        <v>13963</v>
      </c>
      <c r="AJ245" s="15" t="s">
        <v>13964</v>
      </c>
      <c r="AK245" s="15" t="s">
        <v>13965</v>
      </c>
      <c r="AL245" s="15" t="s">
        <v>13966</v>
      </c>
      <c r="AM245" s="15" t="s">
        <v>13967</v>
      </c>
      <c r="AN245" s="15" t="s">
        <v>13968</v>
      </c>
      <c r="BH245" s="15" t="s">
        <v>3473</v>
      </c>
      <c r="BI245" s="15" t="str">
        <f>"2699"</f>
        <v>2699</v>
      </c>
      <c r="BJ245" s="15" t="str">
        <f>"1135"</f>
        <v>1135</v>
      </c>
      <c r="BK245" s="15" t="s">
        <v>415</v>
      </c>
      <c r="BL245" s="15" t="str">
        <f t="shared" si="731"/>
        <v>1</v>
      </c>
      <c r="BM245" s="15" t="s">
        <v>416</v>
      </c>
      <c r="BN245" s="15" t="str">
        <f t="shared" ref="BN245:BN246" si="738">"101.97"</f>
        <v>101.97</v>
      </c>
      <c r="BO245" s="15" t="str">
        <f t="shared" ref="BO245:BO246" si="739">"43.3"</f>
        <v>43.3</v>
      </c>
      <c r="BP245" s="15" t="str">
        <f t="shared" ref="BP245:BP246" si="740">"26.38"</f>
        <v>26.38</v>
      </c>
      <c r="BQ245" s="15" t="str">
        <f t="shared" ref="BQ245:BQ246" si="741">"182.54"</f>
        <v>182.54</v>
      </c>
      <c r="CG245" s="15" t="str">
        <f t="shared" ref="CG245:CG246" si="742">"67.42"</f>
        <v>67.42</v>
      </c>
      <c r="CH245" s="15" t="str">
        <f t="shared" ref="CH245:CH246" si="743">"1.909"</f>
        <v>1.909</v>
      </c>
      <c r="CI245" s="15" t="s">
        <v>465</v>
      </c>
      <c r="CP245" s="15" t="s">
        <v>2839</v>
      </c>
      <c r="CQ245" s="15" t="s">
        <v>505</v>
      </c>
      <c r="CR245" s="15" t="s">
        <v>671</v>
      </c>
      <c r="CS245" s="15" t="s">
        <v>525</v>
      </c>
      <c r="CT245" s="15" t="s">
        <v>1065</v>
      </c>
      <c r="CU245" s="15" t="s">
        <v>3481</v>
      </c>
      <c r="CV245" s="15">
        <v>0.0</v>
      </c>
      <c r="CW245" s="15">
        <v>2.0</v>
      </c>
      <c r="CX245" s="15" t="s">
        <v>717</v>
      </c>
      <c r="CY245" s="15" t="s">
        <v>855</v>
      </c>
      <c r="DC245" s="15" t="s">
        <v>3404</v>
      </c>
      <c r="DF245" s="15" t="s">
        <v>721</v>
      </c>
      <c r="DG245" s="15" t="s">
        <v>419</v>
      </c>
      <c r="DH245" s="15">
        <v>0.0</v>
      </c>
      <c r="DL245" s="15">
        <v>15000.0</v>
      </c>
      <c r="DM245" s="15" t="s">
        <v>990</v>
      </c>
      <c r="DN245" s="15" t="s">
        <v>723</v>
      </c>
      <c r="DO245" s="15" t="s">
        <v>724</v>
      </c>
      <c r="DP245" s="15">
        <v>2.0</v>
      </c>
      <c r="DQ245" s="15">
        <v>3.0</v>
      </c>
      <c r="DS245" s="15" t="s">
        <v>3407</v>
      </c>
      <c r="DT245" s="15">
        <v>0.0</v>
      </c>
      <c r="DU245" s="15" t="s">
        <v>473</v>
      </c>
      <c r="DV245" s="15" t="s">
        <v>3482</v>
      </c>
      <c r="DW245" s="15" t="s">
        <v>2116</v>
      </c>
      <c r="DX245" s="15" t="s">
        <v>671</v>
      </c>
      <c r="EB245" s="15" t="s">
        <v>1069</v>
      </c>
      <c r="EC245" s="15" t="s">
        <v>2402</v>
      </c>
      <c r="ED245" s="15" t="s">
        <v>1804</v>
      </c>
      <c r="EE245" s="15" t="s">
        <v>1575</v>
      </c>
      <c r="EF245" s="15" t="s">
        <v>1309</v>
      </c>
      <c r="EG245" s="15" t="s">
        <v>734</v>
      </c>
      <c r="EH245" s="15" t="s">
        <v>3483</v>
      </c>
      <c r="EI245" s="15" t="s">
        <v>762</v>
      </c>
      <c r="EL245" s="15" t="s">
        <v>723</v>
      </c>
      <c r="EM245" s="15" t="s">
        <v>724</v>
      </c>
      <c r="EN245" s="15" t="s">
        <v>3408</v>
      </c>
      <c r="EO245" s="15" t="s">
        <v>1239</v>
      </c>
    </row>
    <row r="246" ht="17.25" customHeight="1">
      <c r="A246" s="15" t="s">
        <v>3485</v>
      </c>
      <c r="B246" s="15" t="str">
        <f>"801542689346"</f>
        <v>801542689346</v>
      </c>
      <c r="C246" s="15" t="s">
        <v>13969</v>
      </c>
      <c r="D246" s="15" t="str">
        <f t="shared" si="1"/>
        <v>Colt SofaMerino Cotton</v>
      </c>
      <c r="E246" s="15" t="s">
        <v>3472</v>
      </c>
      <c r="F246" s="15" t="s">
        <v>397</v>
      </c>
      <c r="G246" s="15" t="s">
        <v>3427</v>
      </c>
      <c r="J246" s="15" t="s">
        <v>3427</v>
      </c>
      <c r="K246" s="15" t="s">
        <v>3397</v>
      </c>
      <c r="M246" s="15" t="s">
        <v>2108</v>
      </c>
      <c r="N246" s="15" t="s">
        <v>1732</v>
      </c>
      <c r="P246" s="15" t="str">
        <f t="shared" si="736"/>
        <v>98</v>
      </c>
      <c r="Q246" s="15" t="str">
        <f t="shared" si="714"/>
        <v>39</v>
      </c>
      <c r="R246" s="15" t="str">
        <f t="shared" si="701"/>
        <v>32.5</v>
      </c>
      <c r="S246" s="15" t="str">
        <f t="shared" si="737"/>
        <v>175.3</v>
      </c>
      <c r="T246" s="15" t="s">
        <v>2107</v>
      </c>
      <c r="U246" s="15" t="s">
        <v>11209</v>
      </c>
      <c r="V246" s="15" t="s">
        <v>12428</v>
      </c>
      <c r="AA246" s="15" t="s">
        <v>426</v>
      </c>
      <c r="AB246" s="15" t="s">
        <v>426</v>
      </c>
      <c r="AC246" s="15" t="s">
        <v>3456</v>
      </c>
      <c r="AD246" s="15" t="s">
        <v>13970</v>
      </c>
      <c r="AE246" s="15" t="s">
        <v>3486</v>
      </c>
      <c r="AF246" s="15" t="s">
        <v>13971</v>
      </c>
      <c r="AG246" s="15" t="s">
        <v>13972</v>
      </c>
      <c r="AH246" s="15" t="s">
        <v>13973</v>
      </c>
      <c r="AI246" s="15" t="s">
        <v>13974</v>
      </c>
      <c r="BH246" s="15" t="s">
        <v>3484</v>
      </c>
      <c r="BI246" s="15" t="str">
        <f>"2499"</f>
        <v>2499</v>
      </c>
      <c r="BJ246" s="15" t="str">
        <f>"1050"</f>
        <v>1050</v>
      </c>
      <c r="BK246" s="15" t="s">
        <v>415</v>
      </c>
      <c r="BL246" s="15" t="str">
        <f t="shared" si="731"/>
        <v>1</v>
      </c>
      <c r="BM246" s="15" t="s">
        <v>416</v>
      </c>
      <c r="BN246" s="15" t="str">
        <f t="shared" si="738"/>
        <v>101.97</v>
      </c>
      <c r="BO246" s="15" t="str">
        <f t="shared" si="739"/>
        <v>43.3</v>
      </c>
      <c r="BP246" s="15" t="str">
        <f t="shared" si="740"/>
        <v>26.38</v>
      </c>
      <c r="BQ246" s="15" t="str">
        <f t="shared" si="741"/>
        <v>182.54</v>
      </c>
      <c r="CG246" s="15" t="str">
        <f t="shared" si="742"/>
        <v>67.42</v>
      </c>
      <c r="CH246" s="15" t="str">
        <f t="shared" si="743"/>
        <v>1.909</v>
      </c>
      <c r="CI246" s="15" t="s">
        <v>465</v>
      </c>
      <c r="CP246" s="15" t="s">
        <v>2839</v>
      </c>
      <c r="CQ246" s="15" t="s">
        <v>505</v>
      </c>
      <c r="CR246" s="15" t="s">
        <v>671</v>
      </c>
      <c r="CS246" s="15" t="s">
        <v>525</v>
      </c>
      <c r="CT246" s="15" t="s">
        <v>1065</v>
      </c>
      <c r="CU246" s="15" t="s">
        <v>3481</v>
      </c>
      <c r="CV246" s="15">
        <v>0.0</v>
      </c>
      <c r="CW246" s="15">
        <v>2.0</v>
      </c>
      <c r="CX246" s="15" t="s">
        <v>717</v>
      </c>
      <c r="CY246" s="15" t="s">
        <v>934</v>
      </c>
      <c r="DC246" s="15" t="s">
        <v>3404</v>
      </c>
      <c r="DF246" s="15" t="s">
        <v>721</v>
      </c>
      <c r="DG246" s="15" t="s">
        <v>419</v>
      </c>
      <c r="DH246" s="15">
        <v>0.0</v>
      </c>
      <c r="DL246" s="15">
        <v>15000.0</v>
      </c>
      <c r="DM246" s="15" t="s">
        <v>990</v>
      </c>
      <c r="DN246" s="15" t="s">
        <v>723</v>
      </c>
      <c r="DO246" s="15" t="s">
        <v>724</v>
      </c>
      <c r="DP246" s="15">
        <v>2.0</v>
      </c>
      <c r="DQ246" s="15">
        <v>3.0</v>
      </c>
      <c r="DS246" s="15" t="s">
        <v>3407</v>
      </c>
      <c r="DT246" s="15">
        <v>0.0</v>
      </c>
      <c r="DU246" s="15" t="s">
        <v>473</v>
      </c>
      <c r="DV246" s="15" t="s">
        <v>3482</v>
      </c>
      <c r="DW246" s="15" t="s">
        <v>2116</v>
      </c>
      <c r="DX246" s="15" t="s">
        <v>671</v>
      </c>
      <c r="EB246" s="15" t="s">
        <v>1069</v>
      </c>
      <c r="EC246" s="15" t="s">
        <v>2402</v>
      </c>
      <c r="ED246" s="15" t="s">
        <v>1804</v>
      </c>
      <c r="EE246" s="15" t="s">
        <v>1575</v>
      </c>
      <c r="EF246" s="15" t="s">
        <v>1309</v>
      </c>
      <c r="EG246" s="15" t="s">
        <v>734</v>
      </c>
      <c r="EH246" s="15" t="s">
        <v>3483</v>
      </c>
      <c r="EI246" s="15" t="s">
        <v>762</v>
      </c>
      <c r="EL246" s="15" t="s">
        <v>723</v>
      </c>
      <c r="EM246" s="15" t="s">
        <v>724</v>
      </c>
      <c r="EN246" s="15" t="s">
        <v>3408</v>
      </c>
      <c r="EO246" s="15" t="s">
        <v>1239</v>
      </c>
    </row>
    <row r="247" ht="17.25" customHeight="1">
      <c r="A247" s="15" t="s">
        <v>3490</v>
      </c>
      <c r="B247" s="15" t="str">
        <f>"801542306588"</f>
        <v>801542306588</v>
      </c>
      <c r="C247" s="15" t="s">
        <v>13975</v>
      </c>
      <c r="D247" s="15" t="str">
        <f t="shared" si="1"/>
        <v>Columbus Trunk ConsoleDark Totem</v>
      </c>
      <c r="E247" s="15" t="s">
        <v>3487</v>
      </c>
      <c r="F247" s="15" t="s">
        <v>397</v>
      </c>
      <c r="G247" s="15" t="s">
        <v>3489</v>
      </c>
      <c r="J247" s="15" t="s">
        <v>3489</v>
      </c>
      <c r="M247" s="15" t="s">
        <v>3494</v>
      </c>
      <c r="N247" s="15" t="s">
        <v>519</v>
      </c>
      <c r="P247" s="15" t="str">
        <f>"49"</f>
        <v>49</v>
      </c>
      <c r="Q247" s="15" t="str">
        <f>"15"</f>
        <v>15</v>
      </c>
      <c r="R247" s="15" t="str">
        <f>"31"</f>
        <v>31</v>
      </c>
      <c r="S247" s="15" t="str">
        <f>"106.26"</f>
        <v>106.26</v>
      </c>
      <c r="T247" s="15" t="s">
        <v>2689</v>
      </c>
      <c r="U247" s="15" t="s">
        <v>13000</v>
      </c>
      <c r="AA247" s="15" t="s">
        <v>413</v>
      </c>
      <c r="AB247" s="15" t="s">
        <v>413</v>
      </c>
      <c r="AC247" s="15" t="s">
        <v>3495</v>
      </c>
      <c r="AD247" s="15" t="s">
        <v>13976</v>
      </c>
      <c r="AE247" s="15" t="s">
        <v>3492</v>
      </c>
      <c r="AF247" s="15" t="s">
        <v>13977</v>
      </c>
      <c r="AG247" s="15" t="s">
        <v>13978</v>
      </c>
      <c r="AH247" s="15" t="s">
        <v>13979</v>
      </c>
      <c r="AI247" s="15" t="s">
        <v>13980</v>
      </c>
      <c r="AJ247" s="15" t="s">
        <v>13981</v>
      </c>
      <c r="AK247" s="15" t="s">
        <v>13982</v>
      </c>
      <c r="AL247" s="15" t="s">
        <v>13983</v>
      </c>
      <c r="AM247" s="15" t="s">
        <v>13984</v>
      </c>
      <c r="AN247" s="15" t="s">
        <v>13985</v>
      </c>
      <c r="BH247" s="15" t="s">
        <v>3488</v>
      </c>
      <c r="BI247" s="15" t="str">
        <f>"999"</f>
        <v>999</v>
      </c>
      <c r="BJ247" s="15" t="str">
        <f>"420"</f>
        <v>420</v>
      </c>
      <c r="BK247" s="15" t="s">
        <v>1303</v>
      </c>
      <c r="BL247" s="15" t="str">
        <f t="shared" si="731"/>
        <v>1</v>
      </c>
      <c r="BM247" s="15" t="s">
        <v>416</v>
      </c>
      <c r="BN247" s="15" t="str">
        <f>"57.25"</f>
        <v>57.25</v>
      </c>
      <c r="BO247" s="15" t="str">
        <f>"18.75"</f>
        <v>18.75</v>
      </c>
      <c r="BP247" s="15" t="str">
        <f>"34.5"</f>
        <v>34.5</v>
      </c>
      <c r="BQ247" s="15" t="str">
        <f>"144.51"</f>
        <v>144.51</v>
      </c>
      <c r="CG247" s="15" t="str">
        <f>"21.44"</f>
        <v>21.44</v>
      </c>
      <c r="CH247" s="15" t="str">
        <f>"0.607"</f>
        <v>0.607</v>
      </c>
      <c r="CI247" s="15" t="s">
        <v>417</v>
      </c>
      <c r="CM247" s="15" t="s">
        <v>3498</v>
      </c>
      <c r="CN247" s="15" t="s">
        <v>1324</v>
      </c>
      <c r="CO247" s="15" t="s">
        <v>1575</v>
      </c>
      <c r="CZ247" s="15" t="s">
        <v>419</v>
      </c>
      <c r="DA247" s="15">
        <v>0.0</v>
      </c>
      <c r="DB247" s="15" t="s">
        <v>419</v>
      </c>
      <c r="DD247" s="15">
        <v>0.0</v>
      </c>
      <c r="DF247" s="15" t="s">
        <v>1111</v>
      </c>
      <c r="DG247" s="15" t="s">
        <v>419</v>
      </c>
      <c r="DK247" s="15">
        <v>0.0</v>
      </c>
      <c r="DR247" s="15" t="s">
        <v>471</v>
      </c>
      <c r="DS247" s="15" t="s">
        <v>3499</v>
      </c>
      <c r="DU247" s="15" t="s">
        <v>500</v>
      </c>
      <c r="EF247" s="15" t="s">
        <v>429</v>
      </c>
      <c r="EH247" s="15" t="s">
        <v>996</v>
      </c>
      <c r="EQ247" s="15" t="s">
        <v>504</v>
      </c>
      <c r="ER247" s="15" t="s">
        <v>3500</v>
      </c>
      <c r="ES247" s="15" t="s">
        <v>672</v>
      </c>
      <c r="ET247" s="15" t="s">
        <v>1188</v>
      </c>
      <c r="EV247" s="15">
        <v>1.0</v>
      </c>
      <c r="EW247" s="15">
        <v>0.0</v>
      </c>
      <c r="FH247" s="15" t="s">
        <v>1188</v>
      </c>
      <c r="FI247" s="15" t="s">
        <v>1329</v>
      </c>
      <c r="FJ247" s="15" t="s">
        <v>996</v>
      </c>
      <c r="FP247" s="15" t="s">
        <v>1883</v>
      </c>
      <c r="FQ247" s="15">
        <v>1.0</v>
      </c>
      <c r="FR247" s="15" t="s">
        <v>3501</v>
      </c>
      <c r="FW247" s="15" t="s">
        <v>616</v>
      </c>
    </row>
    <row r="248" ht="17.25" customHeight="1">
      <c r="A248" s="15" t="s">
        <v>3504</v>
      </c>
      <c r="B248" s="15" t="str">
        <f>"801542870089"</f>
        <v>801542870089</v>
      </c>
      <c r="C248" s="15" t="s">
        <v>13986</v>
      </c>
      <c r="D248" s="15" t="str">
        <f t="shared" si="1"/>
        <v>Conrad SofaCigar</v>
      </c>
      <c r="E248" s="15" t="s">
        <v>3502</v>
      </c>
      <c r="F248" s="15" t="s">
        <v>397</v>
      </c>
      <c r="G248" s="15" t="s">
        <v>692</v>
      </c>
      <c r="J248" s="15" t="s">
        <v>692</v>
      </c>
      <c r="K248" s="15" t="s">
        <v>704</v>
      </c>
      <c r="L248" s="15" t="s">
        <v>705</v>
      </c>
      <c r="M248" s="15" t="s">
        <v>703</v>
      </c>
      <c r="N248" s="15" t="s">
        <v>1732</v>
      </c>
      <c r="P248" s="15" t="str">
        <f t="shared" ref="P248:P249" si="744">"94.5"</f>
        <v>94.5</v>
      </c>
      <c r="Q248" s="15" t="str">
        <f t="shared" ref="Q248:Q249" si="745">"38.5"</f>
        <v>38.5</v>
      </c>
      <c r="R248" s="15" t="str">
        <f t="shared" ref="R248:R249" si="746">"30.75"</f>
        <v>30.75</v>
      </c>
      <c r="S248" s="15" t="str">
        <f t="shared" ref="S248:S249" si="747">"137.13"</f>
        <v>137.13</v>
      </c>
      <c r="T248" s="15" t="s">
        <v>697</v>
      </c>
      <c r="U248" s="15" t="s">
        <v>11137</v>
      </c>
      <c r="V248" s="15" t="s">
        <v>11138</v>
      </c>
      <c r="W248" s="15" t="s">
        <v>11139</v>
      </c>
      <c r="AA248" s="15" t="s">
        <v>413</v>
      </c>
      <c r="AB248" s="15" t="s">
        <v>413</v>
      </c>
      <c r="AC248" s="15" t="s">
        <v>3507</v>
      </c>
      <c r="AD248" s="15" t="s">
        <v>13987</v>
      </c>
      <c r="AE248" s="15" t="s">
        <v>3506</v>
      </c>
      <c r="AF248" s="15" t="s">
        <v>13988</v>
      </c>
      <c r="AG248" s="15" t="s">
        <v>13989</v>
      </c>
      <c r="AH248" s="15" t="s">
        <v>13990</v>
      </c>
      <c r="AI248" s="15" t="s">
        <v>13991</v>
      </c>
      <c r="AJ248" s="15" t="s">
        <v>13992</v>
      </c>
      <c r="AK248" s="15" t="s">
        <v>13993</v>
      </c>
      <c r="BH248" s="15" t="s">
        <v>3503</v>
      </c>
      <c r="BI248" s="15" t="str">
        <f t="shared" ref="BI248:BI249" si="748">"6499"</f>
        <v>6499</v>
      </c>
      <c r="BJ248" s="15" t="str">
        <f t="shared" ref="BJ248:BJ249" si="749">"2730"</f>
        <v>2730</v>
      </c>
      <c r="BK248" s="15" t="s">
        <v>709</v>
      </c>
      <c r="BL248" s="15" t="str">
        <f t="shared" si="731"/>
        <v>1</v>
      </c>
      <c r="BM248" s="15" t="s">
        <v>416</v>
      </c>
      <c r="BN248" s="15" t="str">
        <f t="shared" ref="BN248:BN249" si="750">"97"</f>
        <v>97</v>
      </c>
      <c r="BO248" s="15" t="str">
        <f t="shared" ref="BO248:BO249" si="751">"40"</f>
        <v>40</v>
      </c>
      <c r="BP248" s="15" t="str">
        <f t="shared" ref="BP248:BP249" si="752">"28"</f>
        <v>28</v>
      </c>
      <c r="BQ248" s="15" t="str">
        <f t="shared" ref="BQ248:BQ249" si="753">"204"</f>
        <v>204</v>
      </c>
      <c r="CG248" s="15" t="str">
        <f t="shared" ref="CG248:CG249" si="754">"62.86"</f>
        <v>62.86</v>
      </c>
      <c r="CH248" s="15" t="str">
        <f t="shared" ref="CH248:CH249" si="755">"1.78"</f>
        <v>1.78</v>
      </c>
      <c r="CI248" s="15" t="s">
        <v>465</v>
      </c>
      <c r="CP248" s="15" t="s">
        <v>1482</v>
      </c>
      <c r="CQ248" s="15" t="s">
        <v>714</v>
      </c>
      <c r="CR248" s="15" t="s">
        <v>730</v>
      </c>
      <c r="CS248" s="15" t="s">
        <v>1482</v>
      </c>
      <c r="CT248" s="15" t="s">
        <v>2160</v>
      </c>
      <c r="CU248" s="15" t="s">
        <v>3466</v>
      </c>
      <c r="CV248" s="15">
        <v>0.0</v>
      </c>
      <c r="CW248" s="15">
        <v>1.0</v>
      </c>
      <c r="CX248" s="15" t="s">
        <v>717</v>
      </c>
      <c r="CY248" s="15" t="s">
        <v>718</v>
      </c>
      <c r="DC248" s="15" t="s">
        <v>3509</v>
      </c>
      <c r="DF248" s="15" t="s">
        <v>721</v>
      </c>
      <c r="DG248" s="15" t="s">
        <v>419</v>
      </c>
      <c r="DH248" s="15">
        <v>0.0</v>
      </c>
      <c r="DL248" s="15">
        <v>0.0</v>
      </c>
      <c r="DM248" s="15" t="s">
        <v>722</v>
      </c>
      <c r="DN248" s="15" t="s">
        <v>723</v>
      </c>
      <c r="DO248" s="15" t="s">
        <v>724</v>
      </c>
      <c r="DP248" s="15">
        <v>2.0</v>
      </c>
      <c r="DQ248" s="15">
        <v>3.0</v>
      </c>
      <c r="DS248" s="15" t="s">
        <v>3510</v>
      </c>
      <c r="DT248" s="15">
        <v>0.0</v>
      </c>
      <c r="DU248" s="15" t="s">
        <v>473</v>
      </c>
      <c r="DV248" s="15" t="s">
        <v>3287</v>
      </c>
      <c r="DW248" s="15" t="s">
        <v>670</v>
      </c>
      <c r="DX248" s="15" t="s">
        <v>3511</v>
      </c>
      <c r="EB248" s="15" t="s">
        <v>2156</v>
      </c>
      <c r="EF248" s="15" t="s">
        <v>2468</v>
      </c>
      <c r="EG248" s="15" t="s">
        <v>3512</v>
      </c>
      <c r="EH248" s="15" t="s">
        <v>3513</v>
      </c>
      <c r="EI248" s="15" t="s">
        <v>670</v>
      </c>
      <c r="EL248" s="15" t="s">
        <v>1016</v>
      </c>
      <c r="EM248" s="15" t="s">
        <v>3514</v>
      </c>
      <c r="EO248" s="15" t="s">
        <v>3515</v>
      </c>
      <c r="FB248" s="15" t="s">
        <v>736</v>
      </c>
      <c r="JX248" s="15" t="s">
        <v>3516</v>
      </c>
    </row>
    <row r="249" ht="17.25" customHeight="1">
      <c r="A249" s="15" t="s">
        <v>3519</v>
      </c>
      <c r="B249" s="15" t="str">
        <f>"801542041229"</f>
        <v>801542041229</v>
      </c>
      <c r="C249" s="15" t="s">
        <v>13994</v>
      </c>
      <c r="D249" s="15" t="str">
        <f t="shared" si="1"/>
        <v>Conrad SofaRider Black</v>
      </c>
      <c r="E249" s="15" t="s">
        <v>3502</v>
      </c>
      <c r="F249" s="15" t="s">
        <v>397</v>
      </c>
      <c r="G249" s="15" t="s">
        <v>3518</v>
      </c>
      <c r="J249" s="15" t="s">
        <v>3518</v>
      </c>
      <c r="K249" s="15" t="s">
        <v>704</v>
      </c>
      <c r="L249" s="15" t="s">
        <v>705</v>
      </c>
      <c r="M249" s="15" t="s">
        <v>703</v>
      </c>
      <c r="N249" s="15" t="s">
        <v>1732</v>
      </c>
      <c r="P249" s="15" t="str">
        <f t="shared" si="744"/>
        <v>94.5</v>
      </c>
      <c r="Q249" s="15" t="str">
        <f t="shared" si="745"/>
        <v>38.5</v>
      </c>
      <c r="R249" s="15" t="str">
        <f t="shared" si="746"/>
        <v>30.75</v>
      </c>
      <c r="S249" s="15" t="str">
        <f t="shared" si="747"/>
        <v>137.13</v>
      </c>
      <c r="T249" s="15" t="s">
        <v>697</v>
      </c>
      <c r="U249" s="15" t="s">
        <v>11137</v>
      </c>
      <c r="V249" s="15" t="s">
        <v>11138</v>
      </c>
      <c r="W249" s="15" t="s">
        <v>11139</v>
      </c>
      <c r="AA249" s="15" t="s">
        <v>413</v>
      </c>
      <c r="AB249" s="15" t="s">
        <v>413</v>
      </c>
      <c r="AC249" s="15" t="s">
        <v>3521</v>
      </c>
      <c r="AD249" s="15" t="s">
        <v>13995</v>
      </c>
      <c r="AE249" s="15" t="s">
        <v>3520</v>
      </c>
      <c r="AF249" s="15" t="s">
        <v>13996</v>
      </c>
      <c r="AG249" s="15" t="s">
        <v>13997</v>
      </c>
      <c r="AH249" s="15" t="s">
        <v>13998</v>
      </c>
      <c r="AI249" s="15" t="s">
        <v>13999</v>
      </c>
      <c r="AJ249" s="15" t="s">
        <v>14000</v>
      </c>
      <c r="AK249" s="15" t="s">
        <v>14001</v>
      </c>
      <c r="BH249" s="15" t="s">
        <v>3517</v>
      </c>
      <c r="BI249" s="15" t="str">
        <f t="shared" si="748"/>
        <v>6499</v>
      </c>
      <c r="BJ249" s="15" t="str">
        <f t="shared" si="749"/>
        <v>2730</v>
      </c>
      <c r="BK249" s="15" t="s">
        <v>709</v>
      </c>
      <c r="BL249" s="15" t="str">
        <f t="shared" si="731"/>
        <v>1</v>
      </c>
      <c r="BM249" s="15" t="s">
        <v>416</v>
      </c>
      <c r="BN249" s="15" t="str">
        <f t="shared" si="750"/>
        <v>97</v>
      </c>
      <c r="BO249" s="15" t="str">
        <f t="shared" si="751"/>
        <v>40</v>
      </c>
      <c r="BP249" s="15" t="str">
        <f t="shared" si="752"/>
        <v>28</v>
      </c>
      <c r="BQ249" s="15" t="str">
        <f t="shared" si="753"/>
        <v>204</v>
      </c>
      <c r="CG249" s="15" t="str">
        <f t="shared" si="754"/>
        <v>62.86</v>
      </c>
      <c r="CH249" s="15" t="str">
        <f t="shared" si="755"/>
        <v>1.78</v>
      </c>
      <c r="CI249" s="15" t="s">
        <v>417</v>
      </c>
      <c r="CP249" s="15" t="s">
        <v>1482</v>
      </c>
      <c r="CQ249" s="15" t="s">
        <v>714</v>
      </c>
      <c r="CR249" s="15" t="s">
        <v>730</v>
      </c>
      <c r="CS249" s="15" t="s">
        <v>1482</v>
      </c>
      <c r="CT249" s="15" t="s">
        <v>2160</v>
      </c>
      <c r="CU249" s="15" t="s">
        <v>3466</v>
      </c>
      <c r="CV249" s="15">
        <v>0.0</v>
      </c>
      <c r="CW249" s="15">
        <v>1.0</v>
      </c>
      <c r="CX249" s="15" t="s">
        <v>717</v>
      </c>
      <c r="CY249" s="15" t="s">
        <v>718</v>
      </c>
      <c r="DC249" s="15" t="s">
        <v>3509</v>
      </c>
      <c r="DF249" s="15" t="s">
        <v>721</v>
      </c>
      <c r="DG249" s="15" t="s">
        <v>419</v>
      </c>
      <c r="DH249" s="15">
        <v>0.0</v>
      </c>
      <c r="DL249" s="15">
        <v>0.0</v>
      </c>
      <c r="DM249" s="15" t="s">
        <v>722</v>
      </c>
      <c r="DN249" s="15" t="s">
        <v>723</v>
      </c>
      <c r="DO249" s="15" t="s">
        <v>724</v>
      </c>
      <c r="DP249" s="15">
        <v>2.0</v>
      </c>
      <c r="DQ249" s="15">
        <v>3.0</v>
      </c>
      <c r="DS249" s="15" t="s">
        <v>3510</v>
      </c>
      <c r="DT249" s="15">
        <v>0.0</v>
      </c>
      <c r="DU249" s="15" t="s">
        <v>473</v>
      </c>
      <c r="DV249" s="15" t="s">
        <v>3287</v>
      </c>
      <c r="DW249" s="15" t="s">
        <v>670</v>
      </c>
      <c r="DX249" s="15" t="s">
        <v>3511</v>
      </c>
      <c r="EB249" s="15" t="s">
        <v>2156</v>
      </c>
      <c r="EF249" s="15" t="s">
        <v>2468</v>
      </c>
      <c r="EG249" s="15" t="s">
        <v>3512</v>
      </c>
      <c r="EH249" s="15" t="s">
        <v>3513</v>
      </c>
      <c r="EI249" s="15" t="s">
        <v>670</v>
      </c>
      <c r="EL249" s="15" t="s">
        <v>1016</v>
      </c>
      <c r="EM249" s="15" t="s">
        <v>3514</v>
      </c>
      <c r="EO249" s="15" t="s">
        <v>3515</v>
      </c>
      <c r="FB249" s="15" t="s">
        <v>736</v>
      </c>
      <c r="JX249" s="15" t="s">
        <v>3516</v>
      </c>
    </row>
    <row r="250" ht="17.25" customHeight="1">
      <c r="A250" s="15" t="s">
        <v>3524</v>
      </c>
      <c r="B250" s="15" t="str">
        <f>"198394001175"</f>
        <v>198394001175</v>
      </c>
      <c r="C250" s="15" t="s">
        <v>14002</v>
      </c>
      <c r="D250" s="15" t="str">
        <f t="shared" si="1"/>
        <v>Contessa Console TableSmoked Alder</v>
      </c>
      <c r="E250" s="15" t="s">
        <v>3522</v>
      </c>
      <c r="F250" s="15" t="s">
        <v>397</v>
      </c>
      <c r="G250" s="15" t="s">
        <v>1578</v>
      </c>
      <c r="J250" s="15" t="s">
        <v>1578</v>
      </c>
      <c r="K250" s="15" t="s">
        <v>3528</v>
      </c>
      <c r="M250" s="15" t="s">
        <v>411</v>
      </c>
      <c r="N250" s="15" t="s">
        <v>519</v>
      </c>
      <c r="P250" s="15" t="str">
        <f>"78"</f>
        <v>78</v>
      </c>
      <c r="Q250" s="15" t="str">
        <f>"17.75"</f>
        <v>17.75</v>
      </c>
      <c r="R250" s="15" t="str">
        <f>"31.5"</f>
        <v>31.5</v>
      </c>
      <c r="S250" s="15" t="str">
        <f>"105.38"</f>
        <v>105.38</v>
      </c>
      <c r="T250" s="15" t="s">
        <v>3527</v>
      </c>
      <c r="U250" s="15" t="s">
        <v>11793</v>
      </c>
      <c r="V250" s="15" t="s">
        <v>14003</v>
      </c>
      <c r="AA250" s="15" t="s">
        <v>413</v>
      </c>
      <c r="AB250" s="15" t="s">
        <v>413</v>
      </c>
      <c r="AC250" s="15" t="s">
        <v>3529</v>
      </c>
      <c r="AD250" s="15" t="s">
        <v>14004</v>
      </c>
      <c r="AE250" s="15" t="s">
        <v>3526</v>
      </c>
      <c r="AF250" s="15" t="s">
        <v>14005</v>
      </c>
      <c r="AG250" s="15" t="s">
        <v>14006</v>
      </c>
      <c r="AH250" s="15" t="s">
        <v>14007</v>
      </c>
      <c r="AI250" s="15" t="s">
        <v>14008</v>
      </c>
      <c r="AJ250" s="15" t="s">
        <v>14009</v>
      </c>
      <c r="AK250" s="15" t="s">
        <v>14010</v>
      </c>
      <c r="AL250" s="15" t="s">
        <v>14011</v>
      </c>
      <c r="AM250" s="15" t="s">
        <v>14012</v>
      </c>
      <c r="AN250" s="15" t="s">
        <v>14013</v>
      </c>
      <c r="AO250" s="15" t="s">
        <v>14014</v>
      </c>
      <c r="AP250" s="15" t="s">
        <v>14015</v>
      </c>
      <c r="AQ250" s="15" t="s">
        <v>14016</v>
      </c>
      <c r="AR250" s="15" t="s">
        <v>14017</v>
      </c>
      <c r="AS250" s="15" t="s">
        <v>14018</v>
      </c>
      <c r="BH250" s="15" t="s">
        <v>3523</v>
      </c>
      <c r="BI250" s="15" t="str">
        <f>"2699"</f>
        <v>2699</v>
      </c>
      <c r="BJ250" s="15" t="str">
        <f>"1135"</f>
        <v>1135</v>
      </c>
      <c r="BK250" s="15" t="s">
        <v>415</v>
      </c>
      <c r="BL250" s="15" t="str">
        <f t="shared" si="731"/>
        <v>1</v>
      </c>
      <c r="BM250" s="15" t="s">
        <v>3530</v>
      </c>
      <c r="BN250" s="15" t="str">
        <f>"88.39"</f>
        <v>88.39</v>
      </c>
      <c r="BO250" s="15" t="str">
        <f>"28.35"</f>
        <v>28.35</v>
      </c>
      <c r="BP250" s="15" t="str">
        <f>"38.19"</f>
        <v>38.19</v>
      </c>
      <c r="BQ250" s="15" t="str">
        <f>"201.06"</f>
        <v>201.06</v>
      </c>
      <c r="CG250" s="15" t="str">
        <f>"55.37"</f>
        <v>55.37</v>
      </c>
      <c r="CH250" s="15" t="str">
        <f>"1.568"</f>
        <v>1.568</v>
      </c>
      <c r="CI250" s="15" t="s">
        <v>465</v>
      </c>
      <c r="CJ250" s="15" t="s">
        <v>2402</v>
      </c>
      <c r="CK250" s="15" t="s">
        <v>635</v>
      </c>
      <c r="CL250" s="15" t="s">
        <v>3533</v>
      </c>
      <c r="CM250" s="15" t="s">
        <v>2402</v>
      </c>
      <c r="CN250" s="15" t="s">
        <v>2547</v>
      </c>
      <c r="CO250" s="15" t="s">
        <v>3533</v>
      </c>
      <c r="CZ250" s="15" t="s">
        <v>419</v>
      </c>
      <c r="DA250" s="15">
        <v>0.0</v>
      </c>
      <c r="DB250" s="15" t="s">
        <v>419</v>
      </c>
      <c r="DD250" s="15">
        <v>1.0</v>
      </c>
      <c r="DE250" s="15" t="s">
        <v>426</v>
      </c>
      <c r="DF250" s="15" t="s">
        <v>420</v>
      </c>
      <c r="DG250" s="15" t="s">
        <v>419</v>
      </c>
      <c r="DK250" s="15">
        <v>0.0</v>
      </c>
      <c r="DR250" s="15" t="s">
        <v>471</v>
      </c>
      <c r="DS250" s="15" t="s">
        <v>3534</v>
      </c>
      <c r="DU250" s="15" t="s">
        <v>424</v>
      </c>
      <c r="EF250" s="15" t="s">
        <v>3535</v>
      </c>
      <c r="EG250" s="15" t="s">
        <v>762</v>
      </c>
      <c r="EH250" s="15" t="s">
        <v>1211</v>
      </c>
      <c r="EQ250" s="15" t="s">
        <v>1238</v>
      </c>
      <c r="ER250" s="15" t="s">
        <v>2839</v>
      </c>
      <c r="ES250" s="15" t="s">
        <v>3049</v>
      </c>
      <c r="ET250" s="15" t="s">
        <v>1807</v>
      </c>
      <c r="EU250" s="15" t="s">
        <v>426</v>
      </c>
      <c r="EV250" s="15">
        <v>1.0</v>
      </c>
      <c r="EW250" s="15">
        <v>0.0</v>
      </c>
      <c r="FF250" s="15" t="s">
        <v>3011</v>
      </c>
      <c r="FQ250" s="15">
        <v>0.0</v>
      </c>
      <c r="FR250" s="15" t="s">
        <v>427</v>
      </c>
    </row>
    <row r="251" ht="17.25" customHeight="1">
      <c r="A251" s="15" t="s">
        <v>3538</v>
      </c>
      <c r="B251" s="15" t="str">
        <f>"801542328184"</f>
        <v>801542328184</v>
      </c>
      <c r="C251" s="15" t="s">
        <v>14019</v>
      </c>
      <c r="D251" s="15" t="str">
        <f t="shared" si="1"/>
        <v>Copeland ChairOrly Natural</v>
      </c>
      <c r="E251" s="15" t="s">
        <v>3536</v>
      </c>
      <c r="F251" s="15" t="s">
        <v>397</v>
      </c>
      <c r="G251" s="15" t="s">
        <v>1652</v>
      </c>
      <c r="J251" s="15" t="s">
        <v>1652</v>
      </c>
      <c r="K251" s="15" t="s">
        <v>3541</v>
      </c>
      <c r="M251" s="15" t="s">
        <v>725</v>
      </c>
      <c r="N251" s="15" t="s">
        <v>706</v>
      </c>
      <c r="O251" s="15" t="s">
        <v>707</v>
      </c>
      <c r="P251" s="15" t="str">
        <f t="shared" ref="P251:P252" si="756">"32"</f>
        <v>32</v>
      </c>
      <c r="Q251" s="15" t="str">
        <f t="shared" ref="Q251:Q252" si="757">"33.5"</f>
        <v>33.5</v>
      </c>
      <c r="R251" s="15" t="str">
        <f t="shared" ref="R251:R252" si="758">"35.5"</f>
        <v>35.5</v>
      </c>
      <c r="S251" s="15" t="str">
        <f t="shared" ref="S251:S254" si="759">"50.71"</f>
        <v>50.71</v>
      </c>
      <c r="T251" s="15" t="s">
        <v>2527</v>
      </c>
      <c r="U251" s="15" t="s">
        <v>11209</v>
      </c>
      <c r="V251" s="15" t="s">
        <v>11338</v>
      </c>
      <c r="AA251" s="15" t="s">
        <v>413</v>
      </c>
      <c r="AB251" s="15" t="s">
        <v>413</v>
      </c>
      <c r="AC251" s="15" t="s">
        <v>3542</v>
      </c>
      <c r="AD251" s="15" t="s">
        <v>14020</v>
      </c>
      <c r="AE251" s="15" t="s">
        <v>3540</v>
      </c>
      <c r="AF251" s="15" t="s">
        <v>14021</v>
      </c>
      <c r="AG251" s="15" t="s">
        <v>14022</v>
      </c>
      <c r="AH251" s="15" t="s">
        <v>14023</v>
      </c>
      <c r="AI251" s="15" t="s">
        <v>14024</v>
      </c>
      <c r="AJ251" s="15" t="s">
        <v>14025</v>
      </c>
      <c r="AK251" s="15" t="s">
        <v>14026</v>
      </c>
      <c r="AL251" s="15" t="s">
        <v>14027</v>
      </c>
      <c r="AM251" s="15" t="s">
        <v>14028</v>
      </c>
      <c r="AN251" s="15" t="s">
        <v>14029</v>
      </c>
      <c r="BH251" s="15" t="s">
        <v>3537</v>
      </c>
      <c r="BI251" s="15" t="str">
        <f>"1249"</f>
        <v>1249</v>
      </c>
      <c r="BJ251" s="15" t="str">
        <f>"525"</f>
        <v>525</v>
      </c>
      <c r="BK251" s="15" t="s">
        <v>709</v>
      </c>
      <c r="BL251" s="15" t="str">
        <f t="shared" si="731"/>
        <v>1</v>
      </c>
      <c r="BM251" s="15" t="s">
        <v>416</v>
      </c>
      <c r="BN251" s="15" t="str">
        <f t="shared" ref="BN251:BN252" si="760">"34.25"</f>
        <v>34.25</v>
      </c>
      <c r="BO251" s="15" t="str">
        <f t="shared" ref="BO251:BO252" si="761">"33.07"</f>
        <v>33.07</v>
      </c>
      <c r="BP251" s="15" t="str">
        <f t="shared" ref="BP251:BP252" si="762">"32.68"</f>
        <v>32.68</v>
      </c>
      <c r="BQ251" s="15" t="str">
        <f t="shared" ref="BQ251:BQ252" si="763">"63.93"</f>
        <v>63.93</v>
      </c>
      <c r="CG251" s="15" t="str">
        <f t="shared" ref="CG251:CG252" si="764">"21.44"</f>
        <v>21.44</v>
      </c>
      <c r="CH251" s="15" t="str">
        <f t="shared" ref="CH251:CH252" si="765">"0.607"</f>
        <v>0.607</v>
      </c>
      <c r="CI251" s="15" t="s">
        <v>465</v>
      </c>
      <c r="CP251" s="15" t="s">
        <v>1806</v>
      </c>
      <c r="CQ251" s="15" t="s">
        <v>505</v>
      </c>
      <c r="CR251" s="15" t="s">
        <v>555</v>
      </c>
      <c r="CS251" s="15" t="s">
        <v>1324</v>
      </c>
      <c r="CT251" s="15" t="s">
        <v>1237</v>
      </c>
      <c r="CV251" s="15">
        <v>0.0</v>
      </c>
      <c r="CW251" s="15">
        <v>1.0</v>
      </c>
      <c r="CX251" s="15" t="s">
        <v>717</v>
      </c>
      <c r="CY251" s="15" t="s">
        <v>855</v>
      </c>
      <c r="DC251" s="15" t="s">
        <v>3543</v>
      </c>
      <c r="DF251" s="15" t="s">
        <v>721</v>
      </c>
      <c r="DG251" s="15" t="s">
        <v>419</v>
      </c>
      <c r="DH251" s="15">
        <v>0.0</v>
      </c>
      <c r="DL251" s="15">
        <v>25000.0</v>
      </c>
      <c r="DM251" s="15" t="s">
        <v>990</v>
      </c>
      <c r="DN251" s="15" t="s">
        <v>723</v>
      </c>
      <c r="DO251" s="15" t="s">
        <v>724</v>
      </c>
      <c r="DP251" s="15">
        <v>1.0</v>
      </c>
      <c r="DQ251" s="15">
        <v>1.0</v>
      </c>
      <c r="DS251" s="15" t="s">
        <v>3544</v>
      </c>
      <c r="DT251" s="15">
        <v>0.0</v>
      </c>
      <c r="DU251" s="15" t="s">
        <v>726</v>
      </c>
      <c r="DV251" s="15" t="s">
        <v>1882</v>
      </c>
      <c r="DW251" s="15" t="s">
        <v>1327</v>
      </c>
      <c r="DX251" s="15" t="s">
        <v>555</v>
      </c>
      <c r="EB251" s="15" t="s">
        <v>3545</v>
      </c>
      <c r="EC251" s="15" t="s">
        <v>505</v>
      </c>
      <c r="ED251" s="15" t="s">
        <v>467</v>
      </c>
      <c r="EE251" s="15" t="s">
        <v>1072</v>
      </c>
      <c r="EF251" s="15" t="s">
        <v>1738</v>
      </c>
      <c r="EG251" s="15" t="s">
        <v>1700</v>
      </c>
      <c r="EH251" s="15" t="s">
        <v>3546</v>
      </c>
      <c r="EI251" s="15" t="s">
        <v>467</v>
      </c>
      <c r="EL251" s="15" t="s">
        <v>723</v>
      </c>
      <c r="EM251" s="15" t="s">
        <v>1076</v>
      </c>
      <c r="EN251" s="15" t="s">
        <v>2028</v>
      </c>
      <c r="EO251" s="15" t="s">
        <v>1290</v>
      </c>
      <c r="EX251" s="15" t="s">
        <v>1331</v>
      </c>
      <c r="EY251" s="15" t="s">
        <v>1234</v>
      </c>
      <c r="EZ251" s="15">
        <v>0.0</v>
      </c>
      <c r="FA251" s="15">
        <v>0.0</v>
      </c>
      <c r="FB251" s="15" t="s">
        <v>2436</v>
      </c>
      <c r="FC251" s="15">
        <v>0.0</v>
      </c>
    </row>
    <row r="252" ht="17.25" customHeight="1">
      <c r="A252" s="15" t="s">
        <v>3548</v>
      </c>
      <c r="B252" s="15" t="str">
        <f>"801542670696"</f>
        <v>801542670696</v>
      </c>
      <c r="C252" s="15" t="s">
        <v>14030</v>
      </c>
      <c r="D252" s="15" t="str">
        <f t="shared" si="1"/>
        <v>Copeland ChairThames Cream</v>
      </c>
      <c r="E252" s="15" t="s">
        <v>3536</v>
      </c>
      <c r="F252" s="15" t="s">
        <v>397</v>
      </c>
      <c r="G252" s="15" t="s">
        <v>2000</v>
      </c>
      <c r="J252" s="15" t="s">
        <v>2000</v>
      </c>
      <c r="K252" s="15" t="s">
        <v>2520</v>
      </c>
      <c r="M252" s="15" t="s">
        <v>725</v>
      </c>
      <c r="N252" s="15" t="s">
        <v>706</v>
      </c>
      <c r="O252" s="15" t="s">
        <v>707</v>
      </c>
      <c r="P252" s="15" t="str">
        <f t="shared" si="756"/>
        <v>32</v>
      </c>
      <c r="Q252" s="15" t="str">
        <f t="shared" si="757"/>
        <v>33.5</v>
      </c>
      <c r="R252" s="15" t="str">
        <f t="shared" si="758"/>
        <v>35.5</v>
      </c>
      <c r="S252" s="15" t="str">
        <f t="shared" si="759"/>
        <v>50.71</v>
      </c>
      <c r="T252" s="15" t="s">
        <v>3550</v>
      </c>
      <c r="U252" s="15" t="s">
        <v>11537</v>
      </c>
      <c r="V252" s="15" t="s">
        <v>11538</v>
      </c>
      <c r="W252" s="15" t="s">
        <v>11539</v>
      </c>
      <c r="X252" s="15" t="s">
        <v>11338</v>
      </c>
      <c r="AA252" s="15" t="s">
        <v>413</v>
      </c>
      <c r="AB252" s="15" t="s">
        <v>426</v>
      </c>
      <c r="AC252" s="15" t="s">
        <v>3551</v>
      </c>
      <c r="AD252" s="15" t="s">
        <v>14031</v>
      </c>
      <c r="AE252" s="15" t="s">
        <v>3549</v>
      </c>
      <c r="AF252" s="15" t="s">
        <v>14032</v>
      </c>
      <c r="AG252" s="15" t="s">
        <v>14033</v>
      </c>
      <c r="AH252" s="15" t="s">
        <v>14034</v>
      </c>
      <c r="AI252" s="15" t="s">
        <v>14035</v>
      </c>
      <c r="AJ252" s="15" t="s">
        <v>14036</v>
      </c>
      <c r="AK252" s="15" t="s">
        <v>14037</v>
      </c>
      <c r="AL252" s="15" t="s">
        <v>14038</v>
      </c>
      <c r="BH252" s="15" t="s">
        <v>3547</v>
      </c>
      <c r="BI252" s="15" t="str">
        <f>"1349"</f>
        <v>1349</v>
      </c>
      <c r="BJ252" s="15" t="str">
        <f>"570"</f>
        <v>570</v>
      </c>
      <c r="BK252" s="15" t="s">
        <v>709</v>
      </c>
      <c r="BL252" s="15" t="str">
        <f t="shared" si="731"/>
        <v>1</v>
      </c>
      <c r="BM252" s="15" t="s">
        <v>416</v>
      </c>
      <c r="BN252" s="15" t="str">
        <f t="shared" si="760"/>
        <v>34.25</v>
      </c>
      <c r="BO252" s="15" t="str">
        <f t="shared" si="761"/>
        <v>33.07</v>
      </c>
      <c r="BP252" s="15" t="str">
        <f t="shared" si="762"/>
        <v>32.68</v>
      </c>
      <c r="BQ252" s="15" t="str">
        <f t="shared" si="763"/>
        <v>63.93</v>
      </c>
      <c r="CG252" s="15" t="str">
        <f t="shared" si="764"/>
        <v>21.44</v>
      </c>
      <c r="CH252" s="15" t="str">
        <f t="shared" si="765"/>
        <v>0.607</v>
      </c>
      <c r="CI252" s="15" t="s">
        <v>417</v>
      </c>
      <c r="CP252" s="15" t="s">
        <v>1806</v>
      </c>
      <c r="CQ252" s="15" t="s">
        <v>505</v>
      </c>
      <c r="CR252" s="15" t="s">
        <v>555</v>
      </c>
      <c r="CS252" s="15" t="s">
        <v>1324</v>
      </c>
      <c r="CT252" s="15" t="s">
        <v>1237</v>
      </c>
      <c r="CV252" s="15">
        <v>0.0</v>
      </c>
      <c r="CW252" s="15">
        <v>1.0</v>
      </c>
      <c r="CX252" s="15" t="s">
        <v>717</v>
      </c>
      <c r="CY252" s="15" t="s">
        <v>855</v>
      </c>
      <c r="DC252" s="15" t="s">
        <v>3543</v>
      </c>
      <c r="DF252" s="15" t="s">
        <v>721</v>
      </c>
      <c r="DG252" s="15" t="s">
        <v>419</v>
      </c>
      <c r="DH252" s="15">
        <v>0.0</v>
      </c>
      <c r="DL252" s="15">
        <v>25000.0</v>
      </c>
      <c r="DM252" s="15" t="s">
        <v>990</v>
      </c>
      <c r="DN252" s="15" t="s">
        <v>723</v>
      </c>
      <c r="DO252" s="15" t="s">
        <v>724</v>
      </c>
      <c r="DP252" s="15">
        <v>1.0</v>
      </c>
      <c r="DQ252" s="15">
        <v>1.0</v>
      </c>
      <c r="DS252" s="15" t="s">
        <v>3544</v>
      </c>
      <c r="DT252" s="15">
        <v>0.0</v>
      </c>
      <c r="DU252" s="15" t="s">
        <v>726</v>
      </c>
      <c r="DV252" s="15" t="s">
        <v>1882</v>
      </c>
      <c r="DW252" s="15" t="s">
        <v>1327</v>
      </c>
      <c r="DX252" s="15" t="s">
        <v>555</v>
      </c>
      <c r="EB252" s="15" t="s">
        <v>3545</v>
      </c>
      <c r="EC252" s="15" t="s">
        <v>505</v>
      </c>
      <c r="ED252" s="15" t="s">
        <v>467</v>
      </c>
      <c r="EE252" s="15" t="s">
        <v>1072</v>
      </c>
      <c r="EF252" s="15" t="s">
        <v>1738</v>
      </c>
      <c r="EG252" s="15" t="s">
        <v>1700</v>
      </c>
      <c r="EH252" s="15" t="s">
        <v>3546</v>
      </c>
      <c r="EI252" s="15" t="s">
        <v>467</v>
      </c>
      <c r="EL252" s="15" t="s">
        <v>723</v>
      </c>
      <c r="EM252" s="15" t="s">
        <v>1076</v>
      </c>
      <c r="EN252" s="15" t="s">
        <v>2028</v>
      </c>
      <c r="EO252" s="15" t="s">
        <v>1290</v>
      </c>
      <c r="EX252" s="15" t="s">
        <v>1331</v>
      </c>
      <c r="EY252" s="15" t="s">
        <v>1234</v>
      </c>
      <c r="EZ252" s="15">
        <v>0.0</v>
      </c>
      <c r="FA252" s="15">
        <v>0.0</v>
      </c>
      <c r="FB252" s="15" t="s">
        <v>2436</v>
      </c>
      <c r="FC252" s="15">
        <v>0.0</v>
      </c>
    </row>
    <row r="253" ht="17.25" customHeight="1">
      <c r="A253" s="15" t="s">
        <v>3555</v>
      </c>
      <c r="B253" s="15" t="str">
        <f>"801542187750"</f>
        <v>801542187750</v>
      </c>
      <c r="C253" s="15" t="s">
        <v>14039</v>
      </c>
      <c r="D253" s="15" t="str">
        <f t="shared" si="1"/>
        <v>Cora ChairConroe Cigar</v>
      </c>
      <c r="E253" s="15" t="s">
        <v>3552</v>
      </c>
      <c r="F253" s="15" t="s">
        <v>397</v>
      </c>
      <c r="G253" s="15" t="s">
        <v>3554</v>
      </c>
      <c r="J253" s="15" t="s">
        <v>3554</v>
      </c>
      <c r="K253" s="15" t="s">
        <v>3557</v>
      </c>
      <c r="M253" s="15" t="s">
        <v>915</v>
      </c>
      <c r="N253" s="15" t="s">
        <v>706</v>
      </c>
      <c r="O253" s="15" t="s">
        <v>707</v>
      </c>
      <c r="P253" s="15" t="str">
        <f t="shared" ref="P253:P254" si="766">"34.5"</f>
        <v>34.5</v>
      </c>
      <c r="Q253" s="15" t="str">
        <f t="shared" ref="Q253:Q254" si="767">"35.5"</f>
        <v>35.5</v>
      </c>
      <c r="R253" s="15" t="str">
        <f t="shared" ref="R253:R254" si="768">"30.5"</f>
        <v>30.5</v>
      </c>
      <c r="S253" s="15" t="str">
        <f t="shared" si="759"/>
        <v>50.71</v>
      </c>
      <c r="T253" s="15" t="s">
        <v>1341</v>
      </c>
      <c r="U253" s="15" t="s">
        <v>11137</v>
      </c>
      <c r="V253" s="15" t="s">
        <v>11138</v>
      </c>
      <c r="AA253" s="15" t="s">
        <v>413</v>
      </c>
      <c r="AB253" s="15" t="s">
        <v>413</v>
      </c>
      <c r="AC253" s="15" t="s">
        <v>3558</v>
      </c>
      <c r="AD253" s="15" t="s">
        <v>14040</v>
      </c>
      <c r="AE253" s="15" t="s">
        <v>3556</v>
      </c>
      <c r="AF253" s="15" t="s">
        <v>14041</v>
      </c>
      <c r="AG253" s="15" t="s">
        <v>14042</v>
      </c>
      <c r="AH253" s="15" t="s">
        <v>14043</v>
      </c>
      <c r="AI253" s="15" t="s">
        <v>14044</v>
      </c>
      <c r="AJ253" s="15" t="s">
        <v>14045</v>
      </c>
      <c r="AK253" s="15" t="s">
        <v>14046</v>
      </c>
      <c r="AL253" s="15" t="s">
        <v>14047</v>
      </c>
      <c r="AM253" s="15" t="s">
        <v>14048</v>
      </c>
      <c r="AN253" s="15" t="s">
        <v>14049</v>
      </c>
      <c r="AO253" s="15" t="s">
        <v>14050</v>
      </c>
      <c r="BH253" s="15" t="s">
        <v>3553</v>
      </c>
      <c r="BI253" s="15" t="str">
        <f>"1549"</f>
        <v>1549</v>
      </c>
      <c r="BJ253" s="15" t="str">
        <f>"655"</f>
        <v>655</v>
      </c>
      <c r="BK253" s="15" t="s">
        <v>709</v>
      </c>
      <c r="BL253" s="15" t="str">
        <f t="shared" si="731"/>
        <v>1</v>
      </c>
      <c r="BM253" s="15" t="s">
        <v>1477</v>
      </c>
      <c r="BN253" s="15" t="str">
        <f t="shared" ref="BN253:BN254" si="769">"34.65"</f>
        <v>34.65</v>
      </c>
      <c r="BO253" s="15" t="str">
        <f t="shared" ref="BO253:BO254" si="770">"37.4"</f>
        <v>37.4</v>
      </c>
      <c r="BP253" s="15" t="str">
        <f t="shared" ref="BP253:BP254" si="771">"33.46"</f>
        <v>33.46</v>
      </c>
      <c r="BQ253" s="15" t="str">
        <f t="shared" ref="BQ253:BQ254" si="772">"74.96"</f>
        <v>74.96</v>
      </c>
      <c r="CG253" s="15" t="str">
        <f t="shared" ref="CG253:CG254" si="773">"22.6"</f>
        <v>22.6</v>
      </c>
      <c r="CH253" s="15" t="str">
        <f t="shared" ref="CH253:CH254" si="774">"0.64"</f>
        <v>0.64</v>
      </c>
      <c r="CI253" s="15" t="s">
        <v>465</v>
      </c>
      <c r="CS253" s="15" t="s">
        <v>1253</v>
      </c>
      <c r="CT253" s="15" t="s">
        <v>824</v>
      </c>
      <c r="CU253" s="15" t="s">
        <v>525</v>
      </c>
      <c r="CV253" s="15">
        <v>2.0</v>
      </c>
      <c r="CW253" s="15">
        <v>1.0</v>
      </c>
      <c r="CX253" s="15" t="s">
        <v>717</v>
      </c>
      <c r="CY253" s="15" t="s">
        <v>718</v>
      </c>
      <c r="DF253" s="15" t="s">
        <v>721</v>
      </c>
      <c r="DG253" s="15" t="s">
        <v>419</v>
      </c>
      <c r="DH253" s="15">
        <v>0.0</v>
      </c>
      <c r="DL253" s="15">
        <v>0.0</v>
      </c>
      <c r="DM253" s="15" t="s">
        <v>990</v>
      </c>
      <c r="DN253" s="15" t="s">
        <v>1016</v>
      </c>
      <c r="DP253" s="15">
        <v>1.0</v>
      </c>
      <c r="DQ253" s="15">
        <v>1.0</v>
      </c>
      <c r="DS253" s="15" t="s">
        <v>3560</v>
      </c>
      <c r="DT253" s="15">
        <v>0.0</v>
      </c>
      <c r="DU253" s="15" t="s">
        <v>726</v>
      </c>
      <c r="DV253" s="15" t="s">
        <v>525</v>
      </c>
      <c r="DW253" s="15" t="s">
        <v>3305</v>
      </c>
      <c r="DX253" s="15" t="s">
        <v>1237</v>
      </c>
      <c r="EB253" s="15" t="s">
        <v>505</v>
      </c>
      <c r="EF253" s="15" t="s">
        <v>2547</v>
      </c>
      <c r="EG253" s="15" t="s">
        <v>1211</v>
      </c>
      <c r="EH253" s="15" t="s">
        <v>2712</v>
      </c>
      <c r="EI253" s="15" t="s">
        <v>1996</v>
      </c>
      <c r="EJ253" s="15" t="s">
        <v>1076</v>
      </c>
      <c r="EK253" s="15" t="s">
        <v>426</v>
      </c>
      <c r="EL253" s="15" t="s">
        <v>1016</v>
      </c>
      <c r="EO253" s="15" t="s">
        <v>860</v>
      </c>
      <c r="EZ253" s="15">
        <v>0.0</v>
      </c>
      <c r="FA253" s="15">
        <v>0.0</v>
      </c>
      <c r="FB253" s="15" t="s">
        <v>3561</v>
      </c>
      <c r="FC253" s="15">
        <v>0.0</v>
      </c>
    </row>
    <row r="254" ht="17.25" customHeight="1">
      <c r="A254" s="15" t="s">
        <v>3564</v>
      </c>
      <c r="B254" s="15" t="str">
        <f>"801542187767"</f>
        <v>801542187767</v>
      </c>
      <c r="C254" s="15" t="s">
        <v>14051</v>
      </c>
      <c r="D254" s="15" t="str">
        <f t="shared" si="1"/>
        <v>Cora ChairHasselt Taupe</v>
      </c>
      <c r="E254" s="15" t="s">
        <v>3552</v>
      </c>
      <c r="F254" s="15" t="s">
        <v>397</v>
      </c>
      <c r="G254" s="15" t="s">
        <v>3563</v>
      </c>
      <c r="J254" s="15" t="s">
        <v>3563</v>
      </c>
      <c r="K254" s="15" t="s">
        <v>3557</v>
      </c>
      <c r="M254" s="15" t="s">
        <v>915</v>
      </c>
      <c r="N254" s="15" t="s">
        <v>706</v>
      </c>
      <c r="O254" s="15" t="s">
        <v>707</v>
      </c>
      <c r="P254" s="15" t="str">
        <f t="shared" si="766"/>
        <v>34.5</v>
      </c>
      <c r="Q254" s="15" t="str">
        <f t="shared" si="767"/>
        <v>35.5</v>
      </c>
      <c r="R254" s="15" t="str">
        <f t="shared" si="768"/>
        <v>30.5</v>
      </c>
      <c r="S254" s="15" t="str">
        <f t="shared" si="759"/>
        <v>50.71</v>
      </c>
      <c r="T254" s="15" t="s">
        <v>3566</v>
      </c>
      <c r="U254" s="15" t="s">
        <v>14052</v>
      </c>
      <c r="V254" s="15" t="s">
        <v>14053</v>
      </c>
      <c r="W254" s="15" t="s">
        <v>11138</v>
      </c>
      <c r="AA254" s="15" t="s">
        <v>413</v>
      </c>
      <c r="AB254" s="15" t="s">
        <v>413</v>
      </c>
      <c r="AC254" s="15" t="s">
        <v>3558</v>
      </c>
      <c r="AD254" s="15" t="s">
        <v>14054</v>
      </c>
      <c r="AE254" s="15" t="s">
        <v>3565</v>
      </c>
      <c r="AF254" s="15" t="s">
        <v>14055</v>
      </c>
      <c r="AG254" s="15" t="s">
        <v>14056</v>
      </c>
      <c r="AH254" s="15" t="s">
        <v>14057</v>
      </c>
      <c r="AI254" s="15" t="s">
        <v>14058</v>
      </c>
      <c r="AJ254" s="15" t="s">
        <v>14059</v>
      </c>
      <c r="AK254" s="15" t="s">
        <v>14060</v>
      </c>
      <c r="AL254" s="15" t="s">
        <v>14061</v>
      </c>
      <c r="AM254" s="15" t="s">
        <v>14062</v>
      </c>
      <c r="AN254" s="15" t="s">
        <v>14063</v>
      </c>
      <c r="AO254" s="15" t="s">
        <v>14064</v>
      </c>
      <c r="BH254" s="15" t="s">
        <v>3562</v>
      </c>
      <c r="BI254" s="15" t="str">
        <f>"2199"</f>
        <v>2199</v>
      </c>
      <c r="BJ254" s="15" t="str">
        <f>"925"</f>
        <v>925</v>
      </c>
      <c r="BK254" s="15" t="s">
        <v>709</v>
      </c>
      <c r="BL254" s="15" t="str">
        <f t="shared" si="731"/>
        <v>1</v>
      </c>
      <c r="BM254" s="15" t="s">
        <v>1477</v>
      </c>
      <c r="BN254" s="15" t="str">
        <f t="shared" si="769"/>
        <v>34.65</v>
      </c>
      <c r="BO254" s="15" t="str">
        <f t="shared" si="770"/>
        <v>37.4</v>
      </c>
      <c r="BP254" s="15" t="str">
        <f t="shared" si="771"/>
        <v>33.46</v>
      </c>
      <c r="BQ254" s="15" t="str">
        <f t="shared" si="772"/>
        <v>74.96</v>
      </c>
      <c r="CG254" s="15" t="str">
        <f t="shared" si="773"/>
        <v>22.6</v>
      </c>
      <c r="CH254" s="15" t="str">
        <f t="shared" si="774"/>
        <v>0.64</v>
      </c>
      <c r="CI254" s="15" t="s">
        <v>417</v>
      </c>
      <c r="CS254" s="15" t="s">
        <v>1253</v>
      </c>
      <c r="CT254" s="15" t="s">
        <v>824</v>
      </c>
      <c r="CU254" s="15" t="s">
        <v>525</v>
      </c>
      <c r="CV254" s="15">
        <v>2.0</v>
      </c>
      <c r="CW254" s="15">
        <v>1.0</v>
      </c>
      <c r="CX254" s="15" t="s">
        <v>717</v>
      </c>
      <c r="CY254" s="15" t="s">
        <v>855</v>
      </c>
      <c r="DF254" s="15" t="s">
        <v>721</v>
      </c>
      <c r="DG254" s="15" t="s">
        <v>419</v>
      </c>
      <c r="DH254" s="15">
        <v>0.0</v>
      </c>
      <c r="DL254" s="15">
        <v>50000.0</v>
      </c>
      <c r="DM254" s="15" t="s">
        <v>990</v>
      </c>
      <c r="DN254" s="15" t="s">
        <v>1016</v>
      </c>
      <c r="DP254" s="15">
        <v>1.0</v>
      </c>
      <c r="DQ254" s="15">
        <v>1.0</v>
      </c>
      <c r="DS254" s="15" t="s">
        <v>3560</v>
      </c>
      <c r="DT254" s="15">
        <v>0.0</v>
      </c>
      <c r="DU254" s="15" t="s">
        <v>726</v>
      </c>
      <c r="DV254" s="15" t="s">
        <v>525</v>
      </c>
      <c r="DW254" s="15" t="s">
        <v>3305</v>
      </c>
      <c r="DX254" s="15" t="s">
        <v>1237</v>
      </c>
      <c r="EB254" s="15" t="s">
        <v>505</v>
      </c>
      <c r="EF254" s="15" t="s">
        <v>2547</v>
      </c>
      <c r="EG254" s="15" t="s">
        <v>1211</v>
      </c>
      <c r="EH254" s="15" t="s">
        <v>2712</v>
      </c>
      <c r="EI254" s="15" t="s">
        <v>1996</v>
      </c>
      <c r="EJ254" s="15" t="s">
        <v>1076</v>
      </c>
      <c r="EK254" s="15" t="s">
        <v>426</v>
      </c>
      <c r="EL254" s="15" t="s">
        <v>1016</v>
      </c>
      <c r="EO254" s="15" t="s">
        <v>860</v>
      </c>
      <c r="EZ254" s="15">
        <v>0.0</v>
      </c>
      <c r="FA254" s="15">
        <v>0.0</v>
      </c>
      <c r="FB254" s="15" t="s">
        <v>3561</v>
      </c>
      <c r="FC254" s="15">
        <v>0.0</v>
      </c>
    </row>
    <row r="255" ht="17.25" customHeight="1">
      <c r="A255" s="15" t="s">
        <v>3570</v>
      </c>
      <c r="B255" s="15" t="str">
        <f>"198394053815"</f>
        <v>198394053815</v>
      </c>
      <c r="C255" s="15" t="s">
        <v>14065</v>
      </c>
      <c r="D255" s="15" t="str">
        <f t="shared" si="1"/>
        <v>Cora Nesting End TablesTextured Sandy Grey</v>
      </c>
      <c r="E255" s="15" t="s">
        <v>3567</v>
      </c>
      <c r="F255" s="15" t="s">
        <v>397</v>
      </c>
      <c r="G255" s="15" t="s">
        <v>3569</v>
      </c>
      <c r="J255" s="15" t="s">
        <v>3569</v>
      </c>
      <c r="M255" s="15" t="s">
        <v>3576</v>
      </c>
      <c r="N255" s="15" t="s">
        <v>1154</v>
      </c>
      <c r="P255" s="15" t="str">
        <f t="shared" ref="P255:Q255" si="775">"12.75"</f>
        <v>12.75</v>
      </c>
      <c r="Q255" s="15" t="str">
        <f t="shared" si="775"/>
        <v>12.75</v>
      </c>
      <c r="R255" s="15" t="str">
        <f>"20"</f>
        <v>20</v>
      </c>
      <c r="S255" s="15" t="str">
        <f>"74.95"</f>
        <v>74.95</v>
      </c>
      <c r="T255" s="15" t="s">
        <v>3573</v>
      </c>
      <c r="U255" s="15" t="s">
        <v>14066</v>
      </c>
      <c r="AA255" s="15" t="s">
        <v>413</v>
      </c>
      <c r="AB255" s="15" t="s">
        <v>413</v>
      </c>
      <c r="AC255" s="15" t="s">
        <v>3577</v>
      </c>
      <c r="AD255" s="15" t="s">
        <v>14067</v>
      </c>
      <c r="AE255" s="15" t="s">
        <v>3572</v>
      </c>
      <c r="AF255" s="15" t="s">
        <v>14068</v>
      </c>
      <c r="AG255" s="15" t="s">
        <v>14069</v>
      </c>
      <c r="AH255" s="15" t="s">
        <v>14070</v>
      </c>
      <c r="AI255" s="15" t="s">
        <v>14071</v>
      </c>
      <c r="AJ255" s="15" t="s">
        <v>14072</v>
      </c>
      <c r="AK255" s="15" t="s">
        <v>14073</v>
      </c>
      <c r="AL255" s="15" t="s">
        <v>14074</v>
      </c>
      <c r="AM255" s="15" t="s">
        <v>14075</v>
      </c>
      <c r="AN255" s="15" t="s">
        <v>14076</v>
      </c>
      <c r="BH255" s="15" t="s">
        <v>3568</v>
      </c>
      <c r="BI255" s="15" t="str">
        <f>"649"</f>
        <v>649</v>
      </c>
      <c r="BJ255" s="15" t="str">
        <f>"275"</f>
        <v>275</v>
      </c>
      <c r="BK255" s="15" t="s">
        <v>742</v>
      </c>
      <c r="BL255" s="15" t="str">
        <f t="shared" ref="BL255:BL260" si="779">"2"</f>
        <v>2</v>
      </c>
      <c r="BM255" s="15" t="s">
        <v>416</v>
      </c>
      <c r="BN255" s="15" t="str">
        <f t="shared" ref="BN255:BO255" si="776">"16.14"</f>
        <v>16.14</v>
      </c>
      <c r="BO255" s="15" t="str">
        <f t="shared" si="776"/>
        <v>16.14</v>
      </c>
      <c r="BP255" s="15" t="str">
        <f>"25.79"</f>
        <v>25.79</v>
      </c>
      <c r="BQ255" s="15" t="str">
        <f>"48.5"</f>
        <v>48.5</v>
      </c>
      <c r="BR255" s="15" t="s">
        <v>416</v>
      </c>
      <c r="BS255" s="15" t="str">
        <f t="shared" ref="BS255:BT255" si="777">"19.29"</f>
        <v>19.29</v>
      </c>
      <c r="BT255" s="15" t="str">
        <f t="shared" si="777"/>
        <v>19.29</v>
      </c>
      <c r="BU255" s="15" t="str">
        <f>"24.61"</f>
        <v>24.61</v>
      </c>
      <c r="BV255" s="15" t="str">
        <f>"63.93"</f>
        <v>63.93</v>
      </c>
      <c r="CG255" s="15" t="str">
        <f>"9.18"</f>
        <v>9.18</v>
      </c>
      <c r="CH255" s="15" t="str">
        <f>"0.26"</f>
        <v>0.26</v>
      </c>
      <c r="CI255" s="15" t="s">
        <v>497</v>
      </c>
      <c r="CZ255" s="15" t="s">
        <v>419</v>
      </c>
      <c r="DB255" s="15" t="s">
        <v>419</v>
      </c>
      <c r="DG255" s="15" t="s">
        <v>419</v>
      </c>
      <c r="DR255" s="15" t="s">
        <v>1157</v>
      </c>
      <c r="DS255" s="15" t="s">
        <v>3560</v>
      </c>
      <c r="DU255" s="15" t="s">
        <v>500</v>
      </c>
    </row>
    <row r="256" ht="17.25" customHeight="1">
      <c r="A256" s="15" t="s">
        <v>3582</v>
      </c>
      <c r="B256" s="15" t="str">
        <f>"801542579388"</f>
        <v>801542579388</v>
      </c>
      <c r="C256" s="15" t="s">
        <v>14077</v>
      </c>
      <c r="D256" s="15" t="str">
        <f t="shared" si="1"/>
        <v>Corbett Coffee TableHammered Grey</v>
      </c>
      <c r="E256" s="15" t="s">
        <v>3579</v>
      </c>
      <c r="F256" s="15" t="s">
        <v>397</v>
      </c>
      <c r="G256" s="15" t="s">
        <v>3581</v>
      </c>
      <c r="J256" s="15" t="s">
        <v>3587</v>
      </c>
      <c r="K256" s="15" t="s">
        <v>3581</v>
      </c>
      <c r="M256" s="15" t="s">
        <v>3586</v>
      </c>
      <c r="N256" s="15" t="s">
        <v>491</v>
      </c>
      <c r="P256" s="15" t="str">
        <f t="shared" ref="P256:Q256" si="778">"35.25"</f>
        <v>35.25</v>
      </c>
      <c r="Q256" s="15" t="str">
        <f t="shared" si="778"/>
        <v>35.25</v>
      </c>
      <c r="R256" s="15" t="str">
        <f t="shared" ref="R256:R259" si="782">"15.75"</f>
        <v>15.75</v>
      </c>
      <c r="S256" s="15" t="str">
        <f t="shared" ref="S256:S259" si="783">"110.23"</f>
        <v>110.23</v>
      </c>
      <c r="T256" s="15" t="s">
        <v>3585</v>
      </c>
      <c r="U256" s="15" t="s">
        <v>11754</v>
      </c>
      <c r="V256" s="15" t="s">
        <v>14078</v>
      </c>
      <c r="AA256" s="15" t="s">
        <v>413</v>
      </c>
      <c r="AB256" s="15" t="s">
        <v>413</v>
      </c>
      <c r="AC256" s="15" t="s">
        <v>3588</v>
      </c>
      <c r="AD256" s="15" t="s">
        <v>14079</v>
      </c>
      <c r="AE256" s="15" t="s">
        <v>3584</v>
      </c>
      <c r="AF256" s="15" t="s">
        <v>14080</v>
      </c>
      <c r="AG256" s="15" t="s">
        <v>14081</v>
      </c>
      <c r="AH256" s="15" t="s">
        <v>14082</v>
      </c>
      <c r="AI256" s="15" t="s">
        <v>14083</v>
      </c>
      <c r="AJ256" s="15" t="s">
        <v>14084</v>
      </c>
      <c r="AK256" s="15" t="s">
        <v>14085</v>
      </c>
      <c r="AL256" s="15" t="s">
        <v>14086</v>
      </c>
      <c r="AM256" s="15" t="s">
        <v>14087</v>
      </c>
      <c r="AN256" s="15" t="s">
        <v>14088</v>
      </c>
      <c r="BH256" s="15" t="s">
        <v>3580</v>
      </c>
      <c r="BI256" s="15" t="str">
        <f t="shared" ref="BI256:BI259" si="784">"1099"</f>
        <v>1099</v>
      </c>
      <c r="BJ256" s="15" t="str">
        <f t="shared" ref="BJ256:BJ259" si="785">"465"</f>
        <v>465</v>
      </c>
      <c r="BK256" s="15" t="s">
        <v>1303</v>
      </c>
      <c r="BL256" s="15" t="str">
        <f t="shared" si="779"/>
        <v>2</v>
      </c>
      <c r="BM256" s="15" t="s">
        <v>2238</v>
      </c>
      <c r="BN256" s="15" t="str">
        <f t="shared" ref="BN256:BO256" si="780">"41"</f>
        <v>41</v>
      </c>
      <c r="BO256" s="15" t="str">
        <f t="shared" si="780"/>
        <v>41</v>
      </c>
      <c r="BP256" s="15" t="str">
        <f t="shared" ref="BP256:BP259" si="787">"20.5"</f>
        <v>20.5</v>
      </c>
      <c r="BQ256" s="15" t="str">
        <f t="shared" ref="BQ256:BQ259" si="788">"67.24"</f>
        <v>67.24</v>
      </c>
      <c r="BR256" s="15" t="s">
        <v>1564</v>
      </c>
      <c r="BS256" s="15" t="str">
        <f t="shared" ref="BS256:BS259" si="789">"42.25"</f>
        <v>42.25</v>
      </c>
      <c r="BT256" s="15" t="str">
        <f t="shared" ref="BT256:BT259" si="790">"6"</f>
        <v>6</v>
      </c>
      <c r="BU256" s="15" t="str">
        <f t="shared" ref="BU256:BU259" si="791">"41.75"</f>
        <v>41.75</v>
      </c>
      <c r="BV256" s="15" t="str">
        <f t="shared" ref="BV256:BV259" si="792">"97.66"</f>
        <v>97.66</v>
      </c>
      <c r="CG256" s="15" t="str">
        <f t="shared" ref="CG256:CG259" si="793">"26.06"</f>
        <v>26.06</v>
      </c>
      <c r="CH256" s="15" t="str">
        <f t="shared" ref="CH256:CH259" si="794">"0.738"</f>
        <v>0.738</v>
      </c>
      <c r="CI256" s="15" t="s">
        <v>497</v>
      </c>
      <c r="CZ256" s="15" t="s">
        <v>419</v>
      </c>
      <c r="DA256" s="15">
        <v>0.0</v>
      </c>
      <c r="DB256" s="15" t="s">
        <v>419</v>
      </c>
      <c r="DD256" s="15">
        <v>0.0</v>
      </c>
      <c r="DG256" s="15" t="s">
        <v>419</v>
      </c>
      <c r="DK256" s="15">
        <v>0.0</v>
      </c>
      <c r="DR256" s="15" t="s">
        <v>1157</v>
      </c>
      <c r="DS256" s="15" t="s">
        <v>3593</v>
      </c>
      <c r="DU256" s="15" t="s">
        <v>500</v>
      </c>
      <c r="EF256" s="15" t="s">
        <v>428</v>
      </c>
      <c r="EG256" s="15" t="s">
        <v>1808</v>
      </c>
      <c r="EH256" s="15" t="s">
        <v>1808</v>
      </c>
      <c r="EQ256" s="15" t="s">
        <v>1065</v>
      </c>
      <c r="ER256" s="15" t="s">
        <v>2739</v>
      </c>
      <c r="ES256" s="15" t="s">
        <v>1065</v>
      </c>
      <c r="ET256" s="15" t="s">
        <v>1188</v>
      </c>
      <c r="EU256" s="15" t="s">
        <v>426</v>
      </c>
      <c r="EV256" s="15">
        <v>0.0</v>
      </c>
      <c r="EW256" s="15">
        <v>0.0</v>
      </c>
      <c r="FF256" s="15" t="s">
        <v>1808</v>
      </c>
    </row>
    <row r="257" ht="17.25" customHeight="1">
      <c r="A257" s="15" t="s">
        <v>3596</v>
      </c>
      <c r="B257" s="15" t="str">
        <f>"801542048297"</f>
        <v>801542048297</v>
      </c>
      <c r="C257" s="15" t="s">
        <v>14077</v>
      </c>
      <c r="D257" s="15" t="str">
        <f t="shared" si="1"/>
        <v>Corbett Coffee TableTextured Matte White</v>
      </c>
      <c r="E257" s="15" t="s">
        <v>3579</v>
      </c>
      <c r="F257" s="15" t="s">
        <v>397</v>
      </c>
      <c r="G257" s="15" t="s">
        <v>3595</v>
      </c>
      <c r="J257" s="15" t="s">
        <v>3587</v>
      </c>
      <c r="K257" s="15" t="s">
        <v>3595</v>
      </c>
      <c r="M257" s="15" t="s">
        <v>3586</v>
      </c>
      <c r="N257" s="15" t="s">
        <v>491</v>
      </c>
      <c r="P257" s="15" t="str">
        <f t="shared" ref="P257:Q257" si="781">"35.25"</f>
        <v>35.25</v>
      </c>
      <c r="Q257" s="15" t="str">
        <f t="shared" si="781"/>
        <v>35.25</v>
      </c>
      <c r="R257" s="15" t="str">
        <f t="shared" si="782"/>
        <v>15.75</v>
      </c>
      <c r="S257" s="15" t="str">
        <f t="shared" si="783"/>
        <v>110.23</v>
      </c>
      <c r="T257" s="15" t="s">
        <v>3585</v>
      </c>
      <c r="U257" s="15" t="s">
        <v>11754</v>
      </c>
      <c r="V257" s="15" t="s">
        <v>14078</v>
      </c>
      <c r="AA257" s="15" t="s">
        <v>413</v>
      </c>
      <c r="AB257" s="15" t="s">
        <v>413</v>
      </c>
      <c r="AC257" s="15" t="s">
        <v>3598</v>
      </c>
      <c r="AD257" s="15" t="s">
        <v>14089</v>
      </c>
      <c r="AE257" s="15" t="s">
        <v>3597</v>
      </c>
      <c r="AF257" s="15" t="s">
        <v>14090</v>
      </c>
      <c r="AG257" s="15" t="s">
        <v>14091</v>
      </c>
      <c r="AH257" s="15" t="s">
        <v>14092</v>
      </c>
      <c r="AI257" s="15" t="s">
        <v>14093</v>
      </c>
      <c r="AJ257" s="15" t="s">
        <v>14094</v>
      </c>
      <c r="AK257" s="15" t="s">
        <v>14095</v>
      </c>
      <c r="AL257" s="15" t="s">
        <v>14096</v>
      </c>
      <c r="BH257" s="15" t="s">
        <v>3594</v>
      </c>
      <c r="BI257" s="15" t="str">
        <f t="shared" si="784"/>
        <v>1099</v>
      </c>
      <c r="BJ257" s="15" t="str">
        <f t="shared" si="785"/>
        <v>465</v>
      </c>
      <c r="BK257" s="15" t="s">
        <v>1303</v>
      </c>
      <c r="BL257" s="15" t="str">
        <f t="shared" si="779"/>
        <v>2</v>
      </c>
      <c r="BM257" s="15" t="s">
        <v>2238</v>
      </c>
      <c r="BN257" s="15" t="str">
        <f t="shared" ref="BN257:BO257" si="786">"41"</f>
        <v>41</v>
      </c>
      <c r="BO257" s="15" t="str">
        <f t="shared" si="786"/>
        <v>41</v>
      </c>
      <c r="BP257" s="15" t="str">
        <f t="shared" si="787"/>
        <v>20.5</v>
      </c>
      <c r="BQ257" s="15" t="str">
        <f t="shared" si="788"/>
        <v>67.24</v>
      </c>
      <c r="BR257" s="15" t="s">
        <v>1564</v>
      </c>
      <c r="BS257" s="15" t="str">
        <f t="shared" si="789"/>
        <v>42.25</v>
      </c>
      <c r="BT257" s="15" t="str">
        <f t="shared" si="790"/>
        <v>6</v>
      </c>
      <c r="BU257" s="15" t="str">
        <f t="shared" si="791"/>
        <v>41.75</v>
      </c>
      <c r="BV257" s="15" t="str">
        <f t="shared" si="792"/>
        <v>97.66</v>
      </c>
      <c r="CG257" s="15" t="str">
        <f t="shared" si="793"/>
        <v>26.06</v>
      </c>
      <c r="CH257" s="15" t="str">
        <f t="shared" si="794"/>
        <v>0.738</v>
      </c>
      <c r="CI257" s="15" t="s">
        <v>497</v>
      </c>
      <c r="CZ257" s="15" t="s">
        <v>419</v>
      </c>
      <c r="DA257" s="15">
        <v>0.0</v>
      </c>
      <c r="DB257" s="15" t="s">
        <v>419</v>
      </c>
      <c r="DD257" s="15">
        <v>0.0</v>
      </c>
      <c r="DG257" s="15" t="s">
        <v>419</v>
      </c>
      <c r="DK257" s="15">
        <v>0.0</v>
      </c>
      <c r="DR257" s="15" t="s">
        <v>1157</v>
      </c>
      <c r="DS257" s="15" t="s">
        <v>3593</v>
      </c>
      <c r="DU257" s="15" t="s">
        <v>500</v>
      </c>
      <c r="EF257" s="15" t="s">
        <v>428</v>
      </c>
      <c r="EG257" s="15" t="s">
        <v>1808</v>
      </c>
      <c r="EH257" s="15" t="s">
        <v>1808</v>
      </c>
      <c r="EQ257" s="15" t="s">
        <v>1065</v>
      </c>
      <c r="ER257" s="15" t="s">
        <v>2739</v>
      </c>
      <c r="ES257" s="15" t="s">
        <v>1065</v>
      </c>
      <c r="ET257" s="15" t="s">
        <v>1188</v>
      </c>
      <c r="EU257" s="15" t="s">
        <v>426</v>
      </c>
      <c r="EV257" s="15">
        <v>0.0</v>
      </c>
      <c r="EW257" s="15">
        <v>0.0</v>
      </c>
      <c r="FF257" s="15" t="s">
        <v>1808</v>
      </c>
    </row>
    <row r="258" ht="17.25" customHeight="1">
      <c r="A258" s="15" t="s">
        <v>3601</v>
      </c>
      <c r="B258" s="15" t="str">
        <f>"198394055444"</f>
        <v>198394055444</v>
      </c>
      <c r="C258" s="15" t="s">
        <v>14097</v>
      </c>
      <c r="D258" s="15" t="str">
        <f t="shared" si="1"/>
        <v>Corbett Coffee TablePolished Black Marble</v>
      </c>
      <c r="E258" s="15" t="s">
        <v>3579</v>
      </c>
      <c r="F258" s="15" t="s">
        <v>397</v>
      </c>
      <c r="G258" s="15" t="s">
        <v>3600</v>
      </c>
      <c r="J258" s="15" t="s">
        <v>3600</v>
      </c>
      <c r="K258" s="15" t="s">
        <v>3581</v>
      </c>
      <c r="M258" s="15" t="s">
        <v>3586</v>
      </c>
      <c r="N258" s="15" t="s">
        <v>491</v>
      </c>
      <c r="P258" s="15" t="str">
        <f t="shared" ref="P258:Q258" si="795">"35.25"</f>
        <v>35.25</v>
      </c>
      <c r="Q258" s="15" t="str">
        <f t="shared" si="795"/>
        <v>35.25</v>
      </c>
      <c r="R258" s="15" t="str">
        <f t="shared" si="782"/>
        <v>15.75</v>
      </c>
      <c r="S258" s="15" t="str">
        <f t="shared" si="783"/>
        <v>110.23</v>
      </c>
      <c r="T258" s="15" t="s">
        <v>3585</v>
      </c>
      <c r="U258" s="15" t="s">
        <v>11754</v>
      </c>
      <c r="V258" s="15" t="s">
        <v>14078</v>
      </c>
      <c r="AA258" s="15" t="s">
        <v>413</v>
      </c>
      <c r="AB258" s="15" t="s">
        <v>413</v>
      </c>
      <c r="AC258" s="15" t="s">
        <v>3603</v>
      </c>
      <c r="AD258" s="15" t="s">
        <v>14098</v>
      </c>
      <c r="AE258" s="15" t="s">
        <v>3602</v>
      </c>
      <c r="AF258" s="15" t="s">
        <v>14099</v>
      </c>
      <c r="AG258" s="15" t="s">
        <v>14100</v>
      </c>
      <c r="AH258" s="15" t="s">
        <v>14101</v>
      </c>
      <c r="AI258" s="15" t="s">
        <v>14102</v>
      </c>
      <c r="AJ258" s="15" t="s">
        <v>14103</v>
      </c>
      <c r="AK258" s="15" t="s">
        <v>14104</v>
      </c>
      <c r="AL258" s="15" t="s">
        <v>14105</v>
      </c>
      <c r="BH258" s="15" t="s">
        <v>3599</v>
      </c>
      <c r="BI258" s="15" t="str">
        <f t="shared" si="784"/>
        <v>1099</v>
      </c>
      <c r="BJ258" s="15" t="str">
        <f t="shared" si="785"/>
        <v>465</v>
      </c>
      <c r="BK258" s="15" t="s">
        <v>1303</v>
      </c>
      <c r="BL258" s="15" t="str">
        <f t="shared" si="779"/>
        <v>2</v>
      </c>
      <c r="BM258" s="15" t="s">
        <v>2238</v>
      </c>
      <c r="BN258" s="15" t="str">
        <f t="shared" ref="BN258:BO258" si="796">"41"</f>
        <v>41</v>
      </c>
      <c r="BO258" s="15" t="str">
        <f t="shared" si="796"/>
        <v>41</v>
      </c>
      <c r="BP258" s="15" t="str">
        <f t="shared" si="787"/>
        <v>20.5</v>
      </c>
      <c r="BQ258" s="15" t="str">
        <f t="shared" si="788"/>
        <v>67.24</v>
      </c>
      <c r="BR258" s="15" t="s">
        <v>1564</v>
      </c>
      <c r="BS258" s="15" t="str">
        <f t="shared" si="789"/>
        <v>42.25</v>
      </c>
      <c r="BT258" s="15" t="str">
        <f t="shared" si="790"/>
        <v>6</v>
      </c>
      <c r="BU258" s="15" t="str">
        <f t="shared" si="791"/>
        <v>41.75</v>
      </c>
      <c r="BV258" s="15" t="str">
        <f t="shared" si="792"/>
        <v>97.66</v>
      </c>
      <c r="CG258" s="15" t="str">
        <f t="shared" si="793"/>
        <v>26.06</v>
      </c>
      <c r="CH258" s="15" t="str">
        <f t="shared" si="794"/>
        <v>0.738</v>
      </c>
      <c r="CI258" s="15" t="s">
        <v>497</v>
      </c>
      <c r="CZ258" s="15" t="s">
        <v>419</v>
      </c>
      <c r="DA258" s="15">
        <v>0.0</v>
      </c>
      <c r="DB258" s="15" t="s">
        <v>419</v>
      </c>
      <c r="DD258" s="15">
        <v>0.0</v>
      </c>
      <c r="DG258" s="15" t="s">
        <v>419</v>
      </c>
      <c r="DK258" s="15">
        <v>0.0</v>
      </c>
      <c r="DR258" s="15" t="s">
        <v>1157</v>
      </c>
      <c r="DS258" s="15" t="s">
        <v>3593</v>
      </c>
      <c r="DU258" s="15" t="s">
        <v>500</v>
      </c>
      <c r="EF258" s="15" t="s">
        <v>428</v>
      </c>
      <c r="EG258" s="15" t="s">
        <v>1808</v>
      </c>
      <c r="EH258" s="15" t="s">
        <v>1808</v>
      </c>
      <c r="EQ258" s="15" t="s">
        <v>1065</v>
      </c>
      <c r="ER258" s="15" t="s">
        <v>2739</v>
      </c>
      <c r="ES258" s="15" t="s">
        <v>1065</v>
      </c>
      <c r="ET258" s="15" t="s">
        <v>1188</v>
      </c>
      <c r="EU258" s="15" t="s">
        <v>426</v>
      </c>
      <c r="EV258" s="15">
        <v>0.0</v>
      </c>
      <c r="EW258" s="15">
        <v>0.0</v>
      </c>
      <c r="FF258" s="15" t="s">
        <v>1808</v>
      </c>
    </row>
    <row r="259" ht="17.25" customHeight="1">
      <c r="A259" s="15" t="s">
        <v>3606</v>
      </c>
      <c r="B259" s="15" t="str">
        <f>"801542048303"</f>
        <v>801542048303</v>
      </c>
      <c r="C259" s="15" t="s">
        <v>14106</v>
      </c>
      <c r="D259" s="15" t="str">
        <f t="shared" si="1"/>
        <v>Corbett Coffee TableRiver Grey Marble</v>
      </c>
      <c r="E259" s="15" t="s">
        <v>3579</v>
      </c>
      <c r="F259" s="15" t="s">
        <v>397</v>
      </c>
      <c r="G259" s="15" t="s">
        <v>3605</v>
      </c>
      <c r="J259" s="15" t="s">
        <v>3605</v>
      </c>
      <c r="K259" s="15" t="s">
        <v>3581</v>
      </c>
      <c r="M259" s="15" t="s">
        <v>3586</v>
      </c>
      <c r="N259" s="15" t="s">
        <v>491</v>
      </c>
      <c r="P259" s="15" t="str">
        <f t="shared" ref="P259:Q259" si="797">"35.25"</f>
        <v>35.25</v>
      </c>
      <c r="Q259" s="15" t="str">
        <f t="shared" si="797"/>
        <v>35.25</v>
      </c>
      <c r="R259" s="15" t="str">
        <f t="shared" si="782"/>
        <v>15.75</v>
      </c>
      <c r="S259" s="15" t="str">
        <f t="shared" si="783"/>
        <v>110.23</v>
      </c>
      <c r="T259" s="15" t="s">
        <v>3585</v>
      </c>
      <c r="U259" s="15" t="s">
        <v>11754</v>
      </c>
      <c r="V259" s="15" t="s">
        <v>14078</v>
      </c>
      <c r="AA259" s="15" t="s">
        <v>413</v>
      </c>
      <c r="AB259" s="15" t="s">
        <v>413</v>
      </c>
      <c r="AC259" s="15" t="s">
        <v>3608</v>
      </c>
      <c r="AD259" s="15" t="s">
        <v>14107</v>
      </c>
      <c r="AE259" s="15" t="s">
        <v>3607</v>
      </c>
      <c r="AF259" s="15" t="s">
        <v>14108</v>
      </c>
      <c r="AG259" s="15" t="s">
        <v>14109</v>
      </c>
      <c r="AH259" s="15" t="s">
        <v>14110</v>
      </c>
      <c r="AI259" s="15" t="s">
        <v>14111</v>
      </c>
      <c r="AJ259" s="15" t="s">
        <v>14112</v>
      </c>
      <c r="AK259" s="15" t="s">
        <v>14113</v>
      </c>
      <c r="AL259" s="15" t="s">
        <v>14114</v>
      </c>
      <c r="BH259" s="15" t="s">
        <v>3604</v>
      </c>
      <c r="BI259" s="15" t="str">
        <f t="shared" si="784"/>
        <v>1099</v>
      </c>
      <c r="BJ259" s="15" t="str">
        <f t="shared" si="785"/>
        <v>465</v>
      </c>
      <c r="BK259" s="15" t="s">
        <v>1303</v>
      </c>
      <c r="BL259" s="15" t="str">
        <f t="shared" si="779"/>
        <v>2</v>
      </c>
      <c r="BM259" s="15" t="s">
        <v>2238</v>
      </c>
      <c r="BN259" s="15" t="str">
        <f t="shared" ref="BN259:BO259" si="798">"41"</f>
        <v>41</v>
      </c>
      <c r="BO259" s="15" t="str">
        <f t="shared" si="798"/>
        <v>41</v>
      </c>
      <c r="BP259" s="15" t="str">
        <f t="shared" si="787"/>
        <v>20.5</v>
      </c>
      <c r="BQ259" s="15" t="str">
        <f t="shared" si="788"/>
        <v>67.24</v>
      </c>
      <c r="BR259" s="15" t="s">
        <v>1564</v>
      </c>
      <c r="BS259" s="15" t="str">
        <f t="shared" si="789"/>
        <v>42.25</v>
      </c>
      <c r="BT259" s="15" t="str">
        <f t="shared" si="790"/>
        <v>6</v>
      </c>
      <c r="BU259" s="15" t="str">
        <f t="shared" si="791"/>
        <v>41.75</v>
      </c>
      <c r="BV259" s="15" t="str">
        <f t="shared" si="792"/>
        <v>97.66</v>
      </c>
      <c r="CG259" s="15" t="str">
        <f t="shared" si="793"/>
        <v>26.06</v>
      </c>
      <c r="CH259" s="15" t="str">
        <f t="shared" si="794"/>
        <v>0.738</v>
      </c>
      <c r="CI259" s="15" t="s">
        <v>497</v>
      </c>
      <c r="CZ259" s="15" t="s">
        <v>419</v>
      </c>
      <c r="DA259" s="15">
        <v>0.0</v>
      </c>
      <c r="DB259" s="15" t="s">
        <v>419</v>
      </c>
      <c r="DD259" s="15">
        <v>0.0</v>
      </c>
      <c r="DG259" s="15" t="s">
        <v>419</v>
      </c>
      <c r="DK259" s="15">
        <v>0.0</v>
      </c>
      <c r="DR259" s="15" t="s">
        <v>1157</v>
      </c>
      <c r="DS259" s="15" t="s">
        <v>3593</v>
      </c>
      <c r="DU259" s="15" t="s">
        <v>500</v>
      </c>
      <c r="EF259" s="15" t="s">
        <v>428</v>
      </c>
      <c r="EG259" s="15" t="s">
        <v>1808</v>
      </c>
      <c r="EH259" s="15" t="s">
        <v>1808</v>
      </c>
      <c r="EQ259" s="15" t="s">
        <v>1065</v>
      </c>
      <c r="ER259" s="15" t="s">
        <v>2739</v>
      </c>
      <c r="ES259" s="15" t="s">
        <v>1065</v>
      </c>
      <c r="ET259" s="15" t="s">
        <v>1188</v>
      </c>
      <c r="EU259" s="15" t="s">
        <v>426</v>
      </c>
      <c r="EV259" s="15">
        <v>0.0</v>
      </c>
      <c r="EW259" s="15">
        <v>0.0</v>
      </c>
      <c r="FF259" s="15" t="s">
        <v>1808</v>
      </c>
    </row>
    <row r="260" ht="17.25" customHeight="1">
      <c r="A260" s="15" t="s">
        <v>3611</v>
      </c>
      <c r="B260" s="15" t="str">
        <f>"801542123611"</f>
        <v>801542123611</v>
      </c>
      <c r="C260" s="15" t="s">
        <v>14115</v>
      </c>
      <c r="D260" s="15" t="str">
        <f t="shared" si="1"/>
        <v>Corbett Large Coffee TableCreamy Taupe Marble</v>
      </c>
      <c r="E260" s="15" t="s">
        <v>3609</v>
      </c>
      <c r="F260" s="15" t="s">
        <v>397</v>
      </c>
      <c r="G260" s="15" t="s">
        <v>3587</v>
      </c>
      <c r="J260" s="15" t="s">
        <v>3587</v>
      </c>
      <c r="K260" s="15" t="s">
        <v>3581</v>
      </c>
      <c r="M260" s="15" t="s">
        <v>3586</v>
      </c>
      <c r="N260" s="15" t="s">
        <v>491</v>
      </c>
      <c r="P260" s="15" t="str">
        <f t="shared" ref="P260:Q260" si="799">"47"</f>
        <v>47</v>
      </c>
      <c r="Q260" s="15" t="str">
        <f t="shared" si="799"/>
        <v>47</v>
      </c>
      <c r="R260" s="15" t="str">
        <f>"17"</f>
        <v>17</v>
      </c>
      <c r="S260" s="15" t="str">
        <f>"191.58"</f>
        <v>191.58</v>
      </c>
      <c r="T260" s="15" t="s">
        <v>3585</v>
      </c>
      <c r="U260" s="15" t="s">
        <v>11754</v>
      </c>
      <c r="V260" s="15" t="s">
        <v>14078</v>
      </c>
      <c r="AA260" s="15" t="s">
        <v>413</v>
      </c>
      <c r="AB260" s="15" t="s">
        <v>413</v>
      </c>
      <c r="AC260" s="15" t="s">
        <v>3616</v>
      </c>
      <c r="AD260" s="15" t="s">
        <v>14116</v>
      </c>
      <c r="AE260" s="15" t="s">
        <v>3613</v>
      </c>
      <c r="AF260" s="15" t="s">
        <v>14117</v>
      </c>
      <c r="AG260" s="15" t="s">
        <v>14118</v>
      </c>
      <c r="AH260" s="15" t="s">
        <v>14119</v>
      </c>
      <c r="AI260" s="15" t="s">
        <v>14120</v>
      </c>
      <c r="AJ260" s="15" t="s">
        <v>14121</v>
      </c>
      <c r="AK260" s="15" t="s">
        <v>14122</v>
      </c>
      <c r="BH260" s="15" t="s">
        <v>3610</v>
      </c>
      <c r="BI260" s="15" t="str">
        <f>"2299"</f>
        <v>2299</v>
      </c>
      <c r="BJ260" s="15" t="str">
        <f>"970"</f>
        <v>970</v>
      </c>
      <c r="BK260" s="15" t="s">
        <v>1303</v>
      </c>
      <c r="BL260" s="15" t="str">
        <f t="shared" si="779"/>
        <v>2</v>
      </c>
      <c r="BM260" s="15" t="s">
        <v>1564</v>
      </c>
      <c r="BN260" s="15" t="str">
        <f>"55.25"</f>
        <v>55.25</v>
      </c>
      <c r="BO260" s="15" t="str">
        <f>"9"</f>
        <v>9</v>
      </c>
      <c r="BP260" s="15" t="str">
        <f>"56"</f>
        <v>56</v>
      </c>
      <c r="BQ260" s="15" t="str">
        <f>"182.94"</f>
        <v>182.94</v>
      </c>
      <c r="BR260" s="15" t="s">
        <v>2238</v>
      </c>
      <c r="BS260" s="15" t="str">
        <f>"50.75"</f>
        <v>50.75</v>
      </c>
      <c r="BT260" s="15" t="str">
        <f>"51"</f>
        <v>51</v>
      </c>
      <c r="BU260" s="15" t="str">
        <f>"20.5"</f>
        <v>20.5</v>
      </c>
      <c r="BV260" s="15" t="str">
        <f>"125.27"</f>
        <v>125.27</v>
      </c>
      <c r="CG260" s="15" t="str">
        <f>"46.79"</f>
        <v>46.79</v>
      </c>
      <c r="CH260" s="15" t="str">
        <f>"1.325"</f>
        <v>1.325</v>
      </c>
      <c r="CI260" s="15" t="s">
        <v>497</v>
      </c>
      <c r="CZ260" s="15" t="s">
        <v>419</v>
      </c>
      <c r="DA260" s="15">
        <v>0.0</v>
      </c>
      <c r="DB260" s="15" t="s">
        <v>419</v>
      </c>
      <c r="DD260" s="15">
        <v>0.0</v>
      </c>
      <c r="DG260" s="15" t="s">
        <v>419</v>
      </c>
      <c r="DK260" s="15">
        <v>0.0</v>
      </c>
      <c r="DR260" s="15" t="s">
        <v>1157</v>
      </c>
      <c r="DS260" s="15" t="s">
        <v>3593</v>
      </c>
      <c r="DU260" s="15" t="s">
        <v>500</v>
      </c>
      <c r="EF260" s="15" t="s">
        <v>788</v>
      </c>
      <c r="EQ260" s="15" t="s">
        <v>2732</v>
      </c>
      <c r="ER260" s="15" t="s">
        <v>1996</v>
      </c>
      <c r="ES260" s="15" t="s">
        <v>2732</v>
      </c>
      <c r="ET260" s="15" t="s">
        <v>1309</v>
      </c>
      <c r="EU260" s="15" t="s">
        <v>426</v>
      </c>
      <c r="EV260" s="15">
        <v>0.0</v>
      </c>
      <c r="EW260" s="15">
        <v>0.0</v>
      </c>
      <c r="FF260" s="15" t="s">
        <v>3622</v>
      </c>
    </row>
    <row r="261" ht="17.25" customHeight="1">
      <c r="A261" s="15" t="s">
        <v>3626</v>
      </c>
      <c r="B261" s="15" t="str">
        <f>"801542321666"</f>
        <v>801542321666</v>
      </c>
      <c r="C261" s="15" t="s">
        <v>14123</v>
      </c>
      <c r="D261" s="15" t="str">
        <f t="shared" si="1"/>
        <v>Corin End TableBluestone</v>
      </c>
      <c r="E261" s="15" t="s">
        <v>3623</v>
      </c>
      <c r="F261" s="15" t="s">
        <v>397</v>
      </c>
      <c r="G261" s="15" t="s">
        <v>3625</v>
      </c>
      <c r="J261" s="15" t="s">
        <v>3625</v>
      </c>
      <c r="K261" s="15" t="s">
        <v>3631</v>
      </c>
      <c r="M261" s="15" t="s">
        <v>3185</v>
      </c>
      <c r="N261" s="15" t="s">
        <v>1154</v>
      </c>
      <c r="P261" s="15" t="str">
        <f t="shared" ref="P261:Q261" si="800">"13.75"</f>
        <v>13.75</v>
      </c>
      <c r="Q261" s="15" t="str">
        <f t="shared" si="800"/>
        <v>13.75</v>
      </c>
      <c r="R261" s="15" t="str">
        <f>"21.75"</f>
        <v>21.75</v>
      </c>
      <c r="S261" s="15" t="str">
        <f>"15.43"</f>
        <v>15.43</v>
      </c>
      <c r="T261" s="15" t="s">
        <v>3628</v>
      </c>
      <c r="U261" s="15" t="s">
        <v>14124</v>
      </c>
      <c r="V261" s="15" t="s">
        <v>11139</v>
      </c>
      <c r="AA261" s="15" t="s">
        <v>413</v>
      </c>
      <c r="AB261" s="15" t="s">
        <v>413</v>
      </c>
      <c r="AC261" s="15" t="s">
        <v>3632</v>
      </c>
      <c r="AD261" s="15" t="s">
        <v>14125</v>
      </c>
      <c r="AE261" s="15" t="s">
        <v>3627</v>
      </c>
      <c r="AF261" s="15" t="s">
        <v>14126</v>
      </c>
      <c r="AG261" s="15" t="s">
        <v>14127</v>
      </c>
      <c r="AH261" s="15" t="s">
        <v>14128</v>
      </c>
      <c r="AI261" s="15" t="s">
        <v>14129</v>
      </c>
      <c r="AJ261" s="15" t="s">
        <v>14130</v>
      </c>
      <c r="AK261" s="15" t="s">
        <v>14131</v>
      </c>
      <c r="BH261" s="15" t="s">
        <v>3624</v>
      </c>
      <c r="BI261" s="15" t="str">
        <f>"349"</f>
        <v>349</v>
      </c>
      <c r="BJ261" s="15" t="str">
        <f>"150"</f>
        <v>150</v>
      </c>
      <c r="BK261" s="15" t="s">
        <v>709</v>
      </c>
      <c r="BL261" s="15" t="str">
        <f t="shared" ref="BL261:BL265" si="802">"1"</f>
        <v>1</v>
      </c>
      <c r="BM261" s="15" t="s">
        <v>416</v>
      </c>
      <c r="BN261" s="15" t="str">
        <f t="shared" ref="BN261:BO261" si="801">"17.72"</f>
        <v>17.72</v>
      </c>
      <c r="BO261" s="15" t="str">
        <f t="shared" si="801"/>
        <v>17.72</v>
      </c>
      <c r="BP261" s="15" t="str">
        <f>"25.59"</f>
        <v>25.59</v>
      </c>
      <c r="BQ261" s="15" t="str">
        <f>"22.05"</f>
        <v>22.05</v>
      </c>
      <c r="CG261" s="15" t="str">
        <f>"4.66"</f>
        <v>4.66</v>
      </c>
      <c r="CH261" s="15" t="str">
        <f>"0.132"</f>
        <v>0.132</v>
      </c>
      <c r="CI261" s="15" t="s">
        <v>497</v>
      </c>
      <c r="CZ261" s="15" t="s">
        <v>419</v>
      </c>
      <c r="DA261" s="15">
        <v>0.0</v>
      </c>
      <c r="DB261" s="15" t="s">
        <v>419</v>
      </c>
      <c r="DD261" s="15">
        <v>0.0</v>
      </c>
      <c r="DF261" s="15" t="s">
        <v>989</v>
      </c>
      <c r="DG261" s="15" t="s">
        <v>419</v>
      </c>
      <c r="DK261" s="15">
        <v>0.0</v>
      </c>
      <c r="DR261" s="15" t="s">
        <v>1157</v>
      </c>
      <c r="DS261" s="15" t="s">
        <v>3634</v>
      </c>
      <c r="DU261" s="15" t="s">
        <v>500</v>
      </c>
      <c r="EF261" s="15" t="s">
        <v>1608</v>
      </c>
      <c r="EG261" s="15" t="s">
        <v>2547</v>
      </c>
      <c r="EH261" s="15" t="s">
        <v>3241</v>
      </c>
      <c r="EQ261" s="15" t="s">
        <v>475</v>
      </c>
      <c r="ER261" s="15" t="s">
        <v>2312</v>
      </c>
      <c r="ES261" s="15" t="s">
        <v>3635</v>
      </c>
      <c r="ET261" s="15" t="s">
        <v>1188</v>
      </c>
      <c r="EV261" s="15">
        <v>0.0</v>
      </c>
      <c r="EW261" s="15">
        <v>0.0</v>
      </c>
      <c r="FF261" s="15" t="s">
        <v>425</v>
      </c>
    </row>
    <row r="262" ht="17.25" customHeight="1">
      <c r="A262" s="15" t="s">
        <v>3639</v>
      </c>
      <c r="B262" s="15" t="str">
        <f>"801542207038"</f>
        <v>801542207038</v>
      </c>
      <c r="C262" s="15" t="s">
        <v>14132</v>
      </c>
      <c r="D262" s="15" t="str">
        <f t="shared" si="1"/>
        <v>Cristopher SideboardRubbed Light Oak Veneer</v>
      </c>
      <c r="E262" s="15" t="s">
        <v>3636</v>
      </c>
      <c r="F262" s="15" t="s">
        <v>397</v>
      </c>
      <c r="G262" s="15" t="s">
        <v>3638</v>
      </c>
      <c r="J262" s="15" t="s">
        <v>3638</v>
      </c>
      <c r="K262" s="15" t="s">
        <v>3641</v>
      </c>
      <c r="M262" s="15" t="s">
        <v>1896</v>
      </c>
      <c r="N262" s="15" t="s">
        <v>664</v>
      </c>
      <c r="P262" s="15" t="str">
        <f>"84"</f>
        <v>84</v>
      </c>
      <c r="Q262" s="15" t="str">
        <f>"18"</f>
        <v>18</v>
      </c>
      <c r="R262" s="15" t="str">
        <f>"32.25"</f>
        <v>32.25</v>
      </c>
      <c r="S262" s="15" t="str">
        <f>"198.41"</f>
        <v>198.41</v>
      </c>
      <c r="T262" s="15" t="s">
        <v>2283</v>
      </c>
      <c r="U262" s="15" t="s">
        <v>10881</v>
      </c>
      <c r="V262" s="15" t="s">
        <v>11139</v>
      </c>
      <c r="AA262" s="15" t="s">
        <v>413</v>
      </c>
      <c r="AB262" s="15" t="s">
        <v>413</v>
      </c>
      <c r="AC262" s="15" t="s">
        <v>3642</v>
      </c>
      <c r="AD262" s="15" t="s">
        <v>14133</v>
      </c>
      <c r="AE262" s="15" t="s">
        <v>3640</v>
      </c>
      <c r="AF262" s="15" t="s">
        <v>14134</v>
      </c>
      <c r="AG262" s="15" t="s">
        <v>14135</v>
      </c>
      <c r="AH262" s="15" t="s">
        <v>14136</v>
      </c>
      <c r="AI262" s="15" t="s">
        <v>14137</v>
      </c>
      <c r="AJ262" s="15" t="s">
        <v>14138</v>
      </c>
      <c r="AK262" s="15" t="s">
        <v>14139</v>
      </c>
      <c r="AL262" s="15" t="s">
        <v>14140</v>
      </c>
      <c r="AM262" s="15" t="s">
        <v>14141</v>
      </c>
      <c r="AN262" s="15" t="s">
        <v>14142</v>
      </c>
      <c r="AO262" s="15" t="s">
        <v>14143</v>
      </c>
      <c r="AP262" s="15" t="s">
        <v>14144</v>
      </c>
      <c r="AQ262" s="15" t="s">
        <v>14145</v>
      </c>
      <c r="BH262" s="15" t="s">
        <v>3637</v>
      </c>
      <c r="BI262" s="15" t="str">
        <f>"2799"</f>
        <v>2799</v>
      </c>
      <c r="BJ262" s="15" t="str">
        <f>"1180"</f>
        <v>1180</v>
      </c>
      <c r="BK262" s="15" t="s">
        <v>742</v>
      </c>
      <c r="BL262" s="15" t="str">
        <f t="shared" si="802"/>
        <v>1</v>
      </c>
      <c r="BM262" s="15" t="s">
        <v>1455</v>
      </c>
      <c r="BN262" s="15" t="str">
        <f>"87.8"</f>
        <v>87.8</v>
      </c>
      <c r="BO262" s="15" t="str">
        <f>"22.05"</f>
        <v>22.05</v>
      </c>
      <c r="BP262" s="15" t="str">
        <f>"37.8"</f>
        <v>37.8</v>
      </c>
      <c r="BQ262" s="15" t="str">
        <f>"235.89"</f>
        <v>235.89</v>
      </c>
      <c r="CG262" s="15" t="str">
        <f>"42.34"</f>
        <v>42.34</v>
      </c>
      <c r="CH262" s="15" t="str">
        <f>"1.199"</f>
        <v>1.199</v>
      </c>
      <c r="CI262" s="15" t="s">
        <v>417</v>
      </c>
      <c r="CM262" s="15" t="s">
        <v>2178</v>
      </c>
      <c r="CN262" s="15" t="s">
        <v>984</v>
      </c>
      <c r="CO262" s="15" t="s">
        <v>3644</v>
      </c>
      <c r="CZ262" s="15" t="s">
        <v>419</v>
      </c>
      <c r="DA262" s="15">
        <v>0.0</v>
      </c>
      <c r="DB262" s="15" t="s">
        <v>419</v>
      </c>
      <c r="DD262" s="15">
        <v>0.0</v>
      </c>
      <c r="DF262" s="15" t="s">
        <v>1388</v>
      </c>
      <c r="DG262" s="15" t="s">
        <v>610</v>
      </c>
      <c r="DI262" s="15">
        <v>18.14</v>
      </c>
      <c r="DJ262" s="15">
        <v>40.0</v>
      </c>
      <c r="DK262" s="15">
        <v>2.0</v>
      </c>
      <c r="DS262" s="15" t="s">
        <v>3645</v>
      </c>
      <c r="DU262" s="15" t="s">
        <v>424</v>
      </c>
      <c r="EF262" s="15" t="s">
        <v>732</v>
      </c>
      <c r="EU262" s="15" t="s">
        <v>426</v>
      </c>
      <c r="EV262" s="15">
        <v>2.0</v>
      </c>
      <c r="FH262" s="15" t="s">
        <v>3646</v>
      </c>
      <c r="FI262" s="15" t="s">
        <v>782</v>
      </c>
      <c r="FJ262" s="15" t="s">
        <v>2179</v>
      </c>
      <c r="FK262" s="15" t="s">
        <v>2178</v>
      </c>
      <c r="FL262" s="15" t="s">
        <v>782</v>
      </c>
      <c r="FM262" s="15" t="s">
        <v>3644</v>
      </c>
      <c r="FN262" s="15">
        <v>0.0</v>
      </c>
      <c r="FO262" s="15" t="s">
        <v>426</v>
      </c>
      <c r="FP262" s="15" t="s">
        <v>1044</v>
      </c>
      <c r="FQ262" s="15">
        <v>4.0</v>
      </c>
      <c r="FR262" s="15" t="s">
        <v>614</v>
      </c>
      <c r="FS262" s="15" t="s">
        <v>1045</v>
      </c>
      <c r="FT262" s="15">
        <v>0.0</v>
      </c>
      <c r="FU262" s="15" t="s">
        <v>426</v>
      </c>
      <c r="FW262" s="15" t="s">
        <v>616</v>
      </c>
      <c r="GJ262" s="15" t="s">
        <v>2178</v>
      </c>
      <c r="GK262" s="15" t="s">
        <v>984</v>
      </c>
      <c r="GL262" s="15" t="s">
        <v>3644</v>
      </c>
      <c r="HF262" s="15" t="s">
        <v>1957</v>
      </c>
      <c r="HQ262" s="15" t="s">
        <v>426</v>
      </c>
    </row>
    <row r="263" ht="17.25" customHeight="1">
      <c r="A263" s="15" t="s">
        <v>3650</v>
      </c>
      <c r="B263" s="15" t="str">
        <f>"801542090654"</f>
        <v>801542090654</v>
      </c>
      <c r="C263" s="15" t="s">
        <v>14146</v>
      </c>
      <c r="D263" s="15" t="str">
        <f t="shared" si="1"/>
        <v>Crosby Round Coffee TableNatural Peroba</v>
      </c>
      <c r="E263" s="15" t="s">
        <v>3647</v>
      </c>
      <c r="F263" s="15" t="s">
        <v>397</v>
      </c>
      <c r="G263" s="15" t="s">
        <v>3649</v>
      </c>
      <c r="J263" s="15" t="s">
        <v>3649</v>
      </c>
      <c r="K263" s="15" t="s">
        <v>3653</v>
      </c>
      <c r="L263" s="15" t="s">
        <v>3654</v>
      </c>
      <c r="M263" s="15" t="s">
        <v>2759</v>
      </c>
      <c r="N263" s="15" t="s">
        <v>491</v>
      </c>
      <c r="P263" s="15" t="str">
        <f t="shared" ref="P263:Q263" si="803">"38"</f>
        <v>38</v>
      </c>
      <c r="Q263" s="15" t="str">
        <f t="shared" si="803"/>
        <v>38</v>
      </c>
      <c r="R263" s="15" t="str">
        <f>"17.75"</f>
        <v>17.75</v>
      </c>
      <c r="S263" s="15" t="str">
        <f>"110.23"</f>
        <v>110.23</v>
      </c>
      <c r="T263" s="15" t="s">
        <v>3652</v>
      </c>
      <c r="U263" s="15" t="s">
        <v>14147</v>
      </c>
      <c r="V263" s="15" t="s">
        <v>14148</v>
      </c>
      <c r="W263" s="15" t="s">
        <v>14149</v>
      </c>
      <c r="AA263" s="15" t="s">
        <v>413</v>
      </c>
      <c r="AB263" s="15" t="s">
        <v>413</v>
      </c>
      <c r="AC263" s="15" t="s">
        <v>3655</v>
      </c>
      <c r="AD263" s="15" t="s">
        <v>14150</v>
      </c>
      <c r="AE263" s="15" t="s">
        <v>3651</v>
      </c>
      <c r="AF263" s="15" t="s">
        <v>14151</v>
      </c>
      <c r="AG263" s="15" t="s">
        <v>14152</v>
      </c>
      <c r="AH263" s="15" t="s">
        <v>14153</v>
      </c>
      <c r="AI263" s="15" t="s">
        <v>14154</v>
      </c>
      <c r="AJ263" s="15" t="s">
        <v>14155</v>
      </c>
      <c r="AK263" s="15" t="s">
        <v>14156</v>
      </c>
      <c r="AL263" s="15" t="s">
        <v>14157</v>
      </c>
      <c r="BH263" s="15" t="s">
        <v>3648</v>
      </c>
      <c r="BI263" s="15" t="str">
        <f>"1799"</f>
        <v>1799</v>
      </c>
      <c r="BJ263" s="15" t="str">
        <f>"760"</f>
        <v>760</v>
      </c>
      <c r="BK263" s="15" t="s">
        <v>742</v>
      </c>
      <c r="BL263" s="15" t="str">
        <f t="shared" si="802"/>
        <v>1</v>
      </c>
      <c r="BM263" s="15" t="s">
        <v>416</v>
      </c>
      <c r="BN263" s="15" t="str">
        <f t="shared" ref="BN263:BO263" si="804">"41.5"</f>
        <v>41.5</v>
      </c>
      <c r="BO263" s="15" t="str">
        <f t="shared" si="804"/>
        <v>41.5</v>
      </c>
      <c r="BP263" s="15" t="str">
        <f>"22.99"</f>
        <v>22.99</v>
      </c>
      <c r="BQ263" s="15" t="str">
        <f>"132.28"</f>
        <v>132.28</v>
      </c>
      <c r="CG263" s="15" t="str">
        <f>"22.92"</f>
        <v>22.92</v>
      </c>
      <c r="CH263" s="15" t="str">
        <f>"0.649"</f>
        <v>0.649</v>
      </c>
      <c r="CI263" s="15" t="s">
        <v>465</v>
      </c>
      <c r="CZ263" s="15" t="s">
        <v>419</v>
      </c>
      <c r="DA263" s="15">
        <v>0.0</v>
      </c>
      <c r="DB263" s="15" t="s">
        <v>419</v>
      </c>
      <c r="DD263" s="15">
        <v>0.0</v>
      </c>
      <c r="DF263" s="15" t="s">
        <v>420</v>
      </c>
      <c r="DG263" s="15" t="s">
        <v>419</v>
      </c>
      <c r="DK263" s="15">
        <v>0.0</v>
      </c>
      <c r="DR263" s="15" t="s">
        <v>1157</v>
      </c>
      <c r="DS263" s="15" t="s">
        <v>3657</v>
      </c>
      <c r="DU263" s="15" t="s">
        <v>500</v>
      </c>
      <c r="EF263" s="15" t="s">
        <v>3658</v>
      </c>
      <c r="EQ263" s="15" t="s">
        <v>3659</v>
      </c>
      <c r="ER263" s="15" t="s">
        <v>3658</v>
      </c>
      <c r="ES263" s="15" t="s">
        <v>3659</v>
      </c>
      <c r="ET263" s="15" t="s">
        <v>3660</v>
      </c>
      <c r="EV263" s="15">
        <v>0.0</v>
      </c>
      <c r="EW263" s="15">
        <v>0.0</v>
      </c>
      <c r="FF263" s="15" t="s">
        <v>1483</v>
      </c>
    </row>
    <row r="264" ht="17.25" customHeight="1">
      <c r="A264" s="15" t="s">
        <v>3663</v>
      </c>
      <c r="B264" s="15" t="str">
        <f>"801542151249"</f>
        <v>801542151249</v>
      </c>
      <c r="C264" s="15" t="s">
        <v>14158</v>
      </c>
      <c r="D264" s="15" t="str">
        <f t="shared" si="1"/>
        <v>Crosby Side TableNatural Peroba</v>
      </c>
      <c r="E264" s="15" t="s">
        <v>3661</v>
      </c>
      <c r="F264" s="15" t="s">
        <v>397</v>
      </c>
      <c r="G264" s="15" t="s">
        <v>3649</v>
      </c>
      <c r="J264" s="15" t="s">
        <v>3649</v>
      </c>
      <c r="K264" s="15" t="s">
        <v>3653</v>
      </c>
      <c r="L264" s="15" t="s">
        <v>3654</v>
      </c>
      <c r="M264" s="15" t="s">
        <v>2759</v>
      </c>
      <c r="N264" s="15" t="s">
        <v>1154</v>
      </c>
      <c r="P264" s="15" t="str">
        <f t="shared" ref="P264:Q264" si="805">"17"</f>
        <v>17</v>
      </c>
      <c r="Q264" s="15" t="str">
        <f t="shared" si="805"/>
        <v>17</v>
      </c>
      <c r="R264" s="15" t="str">
        <f t="shared" ref="R264:R265" si="807">"24.25"</f>
        <v>24.25</v>
      </c>
      <c r="S264" s="15" t="str">
        <f t="shared" ref="S264:S265" si="808">"37.48"</f>
        <v>37.48</v>
      </c>
      <c r="T264" s="15" t="s">
        <v>3652</v>
      </c>
      <c r="U264" s="15" t="s">
        <v>14147</v>
      </c>
      <c r="V264" s="15" t="s">
        <v>14148</v>
      </c>
      <c r="W264" s="15" t="s">
        <v>14149</v>
      </c>
      <c r="AA264" s="15" t="s">
        <v>413</v>
      </c>
      <c r="AB264" s="15" t="s">
        <v>413</v>
      </c>
      <c r="AC264" s="15" t="s">
        <v>3666</v>
      </c>
      <c r="AD264" s="15" t="s">
        <v>14159</v>
      </c>
      <c r="AE264" s="15" t="s">
        <v>3664</v>
      </c>
      <c r="AF264" s="15" t="s">
        <v>14160</v>
      </c>
      <c r="AG264" s="15" t="s">
        <v>14161</v>
      </c>
      <c r="AH264" s="15" t="s">
        <v>14162</v>
      </c>
      <c r="AI264" s="15" t="s">
        <v>14163</v>
      </c>
      <c r="AJ264" s="15" t="s">
        <v>14164</v>
      </c>
      <c r="AK264" s="15" t="s">
        <v>14165</v>
      </c>
      <c r="BH264" s="15" t="s">
        <v>3662</v>
      </c>
      <c r="BI264" s="15" t="str">
        <f>"949"</f>
        <v>949</v>
      </c>
      <c r="BJ264" s="15" t="str">
        <f>"400"</f>
        <v>400</v>
      </c>
      <c r="BK264" s="15" t="s">
        <v>742</v>
      </c>
      <c r="BL264" s="15" t="str">
        <f t="shared" si="802"/>
        <v>1</v>
      </c>
      <c r="BM264" s="15" t="s">
        <v>416</v>
      </c>
      <c r="BN264" s="15" t="str">
        <f t="shared" ref="BN264:BN265" si="809">"20.28"</f>
        <v>20.28</v>
      </c>
      <c r="BO264" s="15" t="str">
        <f t="shared" ref="BO264:BO265" si="810">"20.47"</f>
        <v>20.47</v>
      </c>
      <c r="BP264" s="15" t="str">
        <f t="shared" ref="BP264:BP265" si="811">"30"</f>
        <v>30</v>
      </c>
      <c r="BQ264" s="15" t="str">
        <f t="shared" ref="BQ264:BQ265" si="812">"52.91"</f>
        <v>52.91</v>
      </c>
      <c r="CG264" s="15" t="str">
        <f t="shared" ref="CG264:CG265" si="813">"7.2"</f>
        <v>7.2</v>
      </c>
      <c r="CH264" s="15" t="str">
        <f t="shared" ref="CH264:CH265" si="814">"0.204"</f>
        <v>0.204</v>
      </c>
      <c r="CI264" s="15" t="s">
        <v>465</v>
      </c>
      <c r="CZ264" s="15" t="s">
        <v>419</v>
      </c>
      <c r="DA264" s="15">
        <v>0.0</v>
      </c>
      <c r="DB264" s="15" t="s">
        <v>419</v>
      </c>
      <c r="DD264" s="15">
        <v>0.0</v>
      </c>
      <c r="DF264" s="15" t="s">
        <v>420</v>
      </c>
      <c r="DG264" s="15" t="s">
        <v>419</v>
      </c>
      <c r="DK264" s="15">
        <v>0.0</v>
      </c>
      <c r="DR264" s="15" t="s">
        <v>1157</v>
      </c>
      <c r="DS264" s="15" t="s">
        <v>3657</v>
      </c>
      <c r="DU264" s="15" t="s">
        <v>500</v>
      </c>
      <c r="EF264" s="15" t="s">
        <v>3658</v>
      </c>
      <c r="EQ264" s="15" t="s">
        <v>2156</v>
      </c>
      <c r="ER264" s="15" t="s">
        <v>3658</v>
      </c>
      <c r="ES264" s="15" t="s">
        <v>2156</v>
      </c>
      <c r="ET264" s="15" t="s">
        <v>3668</v>
      </c>
      <c r="EV264" s="15">
        <v>0.0</v>
      </c>
      <c r="EW264" s="15">
        <v>0.0</v>
      </c>
      <c r="FF264" s="15" t="s">
        <v>1957</v>
      </c>
    </row>
    <row r="265" ht="17.25" customHeight="1">
      <c r="A265" s="15" t="s">
        <v>3671</v>
      </c>
      <c r="B265" s="15" t="str">
        <f>"801542760991"</f>
        <v>801542760991</v>
      </c>
      <c r="C265" s="15" t="s">
        <v>14166</v>
      </c>
      <c r="D265" s="15" t="str">
        <f t="shared" si="1"/>
        <v>Crosby Side TableNatural Resawn Oak</v>
      </c>
      <c r="E265" s="15" t="s">
        <v>3661</v>
      </c>
      <c r="F265" s="15" t="s">
        <v>397</v>
      </c>
      <c r="G265" s="15" t="s">
        <v>3670</v>
      </c>
      <c r="J265" s="15" t="s">
        <v>3670</v>
      </c>
      <c r="K265" s="15" t="s">
        <v>3674</v>
      </c>
      <c r="L265" s="15" t="s">
        <v>3675</v>
      </c>
      <c r="M265" s="15" t="s">
        <v>2759</v>
      </c>
      <c r="N265" s="15" t="s">
        <v>1154</v>
      </c>
      <c r="P265" s="15" t="str">
        <f t="shared" ref="P265:Q265" si="806">"17"</f>
        <v>17</v>
      </c>
      <c r="Q265" s="15" t="str">
        <f t="shared" si="806"/>
        <v>17</v>
      </c>
      <c r="R265" s="15" t="str">
        <f t="shared" si="807"/>
        <v>24.25</v>
      </c>
      <c r="S265" s="15" t="str">
        <f t="shared" si="808"/>
        <v>37.48</v>
      </c>
      <c r="T265" s="15" t="s">
        <v>3673</v>
      </c>
      <c r="U265" s="15" t="s">
        <v>14167</v>
      </c>
      <c r="V265" s="15" t="s">
        <v>11338</v>
      </c>
      <c r="W265" s="15" t="s">
        <v>14149</v>
      </c>
      <c r="AA265" s="15" t="s">
        <v>413</v>
      </c>
      <c r="AB265" s="15" t="s">
        <v>413</v>
      </c>
      <c r="AC265" s="15" t="s">
        <v>3676</v>
      </c>
      <c r="AD265" s="15" t="s">
        <v>14168</v>
      </c>
      <c r="AE265" s="15" t="s">
        <v>3672</v>
      </c>
      <c r="AF265" s="15" t="s">
        <v>14169</v>
      </c>
      <c r="AG265" s="15" t="s">
        <v>14170</v>
      </c>
      <c r="AH265" s="15" t="s">
        <v>14171</v>
      </c>
      <c r="AI265" s="15" t="s">
        <v>14172</v>
      </c>
      <c r="BH265" s="15" t="s">
        <v>3669</v>
      </c>
      <c r="BI265" s="15" t="str">
        <f>"899"</f>
        <v>899</v>
      </c>
      <c r="BJ265" s="15" t="str">
        <f>"380"</f>
        <v>380</v>
      </c>
      <c r="BK265" s="15" t="s">
        <v>742</v>
      </c>
      <c r="BL265" s="15" t="str">
        <f t="shared" si="802"/>
        <v>1</v>
      </c>
      <c r="BM265" s="15" t="s">
        <v>416</v>
      </c>
      <c r="BN265" s="15" t="str">
        <f t="shared" si="809"/>
        <v>20.28</v>
      </c>
      <c r="BO265" s="15" t="str">
        <f t="shared" si="810"/>
        <v>20.47</v>
      </c>
      <c r="BP265" s="15" t="str">
        <f t="shared" si="811"/>
        <v>30</v>
      </c>
      <c r="BQ265" s="15" t="str">
        <f t="shared" si="812"/>
        <v>52.91</v>
      </c>
      <c r="CG265" s="15" t="str">
        <f t="shared" si="813"/>
        <v>7.2</v>
      </c>
      <c r="CH265" s="15" t="str">
        <f t="shared" si="814"/>
        <v>0.204</v>
      </c>
      <c r="CI265" s="15" t="s">
        <v>497</v>
      </c>
      <c r="CZ265" s="15" t="s">
        <v>419</v>
      </c>
      <c r="DA265" s="15">
        <v>0.0</v>
      </c>
      <c r="DB265" s="15" t="s">
        <v>419</v>
      </c>
      <c r="DD265" s="15">
        <v>0.0</v>
      </c>
      <c r="DF265" s="15" t="s">
        <v>420</v>
      </c>
      <c r="DG265" s="15" t="s">
        <v>419</v>
      </c>
      <c r="DK265" s="15">
        <v>0.0</v>
      </c>
      <c r="DR265" s="15" t="s">
        <v>1157</v>
      </c>
      <c r="DS265" s="15" t="s">
        <v>3657</v>
      </c>
      <c r="DU265" s="15" t="s">
        <v>500</v>
      </c>
      <c r="EF265" s="15" t="s">
        <v>3658</v>
      </c>
      <c r="EQ265" s="15" t="s">
        <v>2156</v>
      </c>
      <c r="ER265" s="15" t="s">
        <v>3658</v>
      </c>
      <c r="ES265" s="15" t="s">
        <v>2156</v>
      </c>
      <c r="ET265" s="15" t="s">
        <v>3668</v>
      </c>
      <c r="EV265" s="15">
        <v>0.0</v>
      </c>
      <c r="EW265" s="15">
        <v>0.0</v>
      </c>
      <c r="FF265" s="15" t="s">
        <v>1957</v>
      </c>
    </row>
    <row r="266" ht="17.25" customHeight="1">
      <c r="A266" s="15" t="s">
        <v>3680</v>
      </c>
      <c r="B266" s="15" t="str">
        <f>"801542287801"</f>
        <v>801542287801</v>
      </c>
      <c r="C266" s="15" t="s">
        <v>14173</v>
      </c>
      <c r="D266" s="15" t="str">
        <f t="shared" si="1"/>
        <v>Cross Dining TableDark Spalted Primavera</v>
      </c>
      <c r="E266" s="15" t="s">
        <v>3677</v>
      </c>
      <c r="F266" s="15" t="s">
        <v>397</v>
      </c>
      <c r="G266" s="15" t="s">
        <v>3679</v>
      </c>
      <c r="J266" s="15" t="s">
        <v>3679</v>
      </c>
      <c r="K266" s="15" t="s">
        <v>3684</v>
      </c>
      <c r="M266" s="15" t="s">
        <v>411</v>
      </c>
      <c r="N266" s="15" t="s">
        <v>548</v>
      </c>
      <c r="O266" s="15" t="s">
        <v>549</v>
      </c>
      <c r="P266" s="15" t="str">
        <f>"94"</f>
        <v>94</v>
      </c>
      <c r="Q266" s="15" t="str">
        <f>"42"</f>
        <v>42</v>
      </c>
      <c r="R266" s="15" t="str">
        <f>"30"</f>
        <v>30</v>
      </c>
      <c r="S266" s="15" t="str">
        <f>"182.98"</f>
        <v>182.98</v>
      </c>
      <c r="T266" s="15" t="s">
        <v>3683</v>
      </c>
      <c r="U266" s="15" t="s">
        <v>14174</v>
      </c>
      <c r="V266" s="15" t="s">
        <v>11139</v>
      </c>
      <c r="AA266" s="15" t="s">
        <v>413</v>
      </c>
      <c r="AB266" s="15" t="s">
        <v>413</v>
      </c>
      <c r="AC266" s="15" t="s">
        <v>3685</v>
      </c>
      <c r="AD266" s="15" t="s">
        <v>14175</v>
      </c>
      <c r="AE266" s="15" t="s">
        <v>3682</v>
      </c>
      <c r="AF266" s="15" t="s">
        <v>14176</v>
      </c>
      <c r="AG266" s="15" t="s">
        <v>14177</v>
      </c>
      <c r="AH266" s="15" t="s">
        <v>14178</v>
      </c>
      <c r="AI266" s="15" t="s">
        <v>14179</v>
      </c>
      <c r="AJ266" s="15" t="s">
        <v>14180</v>
      </c>
      <c r="AK266" s="15" t="s">
        <v>14181</v>
      </c>
      <c r="AL266" s="15" t="s">
        <v>14182</v>
      </c>
      <c r="AM266" s="15" t="s">
        <v>14183</v>
      </c>
      <c r="AN266" s="15" t="s">
        <v>14184</v>
      </c>
      <c r="AO266" s="15" t="s">
        <v>14185</v>
      </c>
      <c r="BH266" s="15" t="s">
        <v>3678</v>
      </c>
      <c r="BI266" s="15" t="str">
        <f>"3699"</f>
        <v>3699</v>
      </c>
      <c r="BJ266" s="15" t="str">
        <f>"1555"</f>
        <v>1555</v>
      </c>
      <c r="BK266" s="15" t="s">
        <v>415</v>
      </c>
      <c r="BL266" s="15" t="str">
        <f>"2"</f>
        <v>2</v>
      </c>
      <c r="BM266" s="15" t="s">
        <v>2709</v>
      </c>
      <c r="BN266" s="15" t="str">
        <f>"31.1"</f>
        <v>31.1</v>
      </c>
      <c r="BO266" s="15" t="str">
        <f>"22.44"</f>
        <v>22.44</v>
      </c>
      <c r="BP266" s="15" t="str">
        <f>"35.04"</f>
        <v>35.04</v>
      </c>
      <c r="BQ266" s="15" t="str">
        <f>"72.53"</f>
        <v>72.53</v>
      </c>
      <c r="BR266" s="15" t="s">
        <v>1564</v>
      </c>
      <c r="BS266" s="15" t="str">
        <f>"100.79"</f>
        <v>100.79</v>
      </c>
      <c r="BT266" s="15" t="str">
        <f>"48.82"</f>
        <v>48.82</v>
      </c>
      <c r="BU266" s="15" t="str">
        <f>"7.87"</f>
        <v>7.87</v>
      </c>
      <c r="BV266" s="15" t="str">
        <f>"191.8"</f>
        <v>191.8</v>
      </c>
      <c r="CG266" s="15" t="str">
        <f>"36.59"</f>
        <v>36.59</v>
      </c>
      <c r="CH266" s="15" t="str">
        <f>"1.036"</f>
        <v>1.036</v>
      </c>
      <c r="CI266" s="15" t="s">
        <v>417</v>
      </c>
      <c r="CZ266" s="15" t="s">
        <v>419</v>
      </c>
      <c r="DA266" s="15">
        <v>0.0</v>
      </c>
      <c r="DB266" s="15" t="s">
        <v>419</v>
      </c>
      <c r="DD266" s="15">
        <v>0.0</v>
      </c>
      <c r="DF266" s="15" t="s">
        <v>420</v>
      </c>
      <c r="DG266" s="15" t="s">
        <v>419</v>
      </c>
      <c r="DI266" s="15">
        <v>0.0</v>
      </c>
      <c r="DJ266" s="15">
        <v>0.0</v>
      </c>
      <c r="DK266" s="15">
        <v>0.0</v>
      </c>
      <c r="DQ266" s="15">
        <v>10.0</v>
      </c>
      <c r="DR266" s="15" t="s">
        <v>471</v>
      </c>
      <c r="DS266" s="15" t="s">
        <v>3689</v>
      </c>
      <c r="DU266" s="15" t="s">
        <v>424</v>
      </c>
      <c r="EF266" s="15" t="s">
        <v>3690</v>
      </c>
      <c r="EH266" s="15" t="s">
        <v>3691</v>
      </c>
      <c r="EQ266" s="15" t="s">
        <v>1072</v>
      </c>
      <c r="ER266" s="15" t="s">
        <v>3692</v>
      </c>
      <c r="ES266" s="15" t="s">
        <v>866</v>
      </c>
      <c r="ET266" s="15" t="s">
        <v>3693</v>
      </c>
      <c r="EV266" s="15">
        <v>0.0</v>
      </c>
      <c r="EW266" s="15">
        <v>0.0</v>
      </c>
      <c r="FE266" s="15" t="s">
        <v>2572</v>
      </c>
      <c r="FF266" s="15" t="s">
        <v>1996</v>
      </c>
      <c r="FG266" s="15" t="s">
        <v>3694</v>
      </c>
    </row>
    <row r="267" ht="17.25" customHeight="1">
      <c r="A267" s="15" t="s">
        <v>3698</v>
      </c>
      <c r="B267" s="15" t="str">
        <f>"801542685935"</f>
        <v>801542685935</v>
      </c>
      <c r="C267" s="15" t="s">
        <v>14186</v>
      </c>
      <c r="D267" s="15" t="str">
        <f t="shared" si="1"/>
        <v>Cruz End TableAntique Rust</v>
      </c>
      <c r="E267" s="15" t="s">
        <v>3695</v>
      </c>
      <c r="F267" s="15" t="s">
        <v>397</v>
      </c>
      <c r="G267" s="15" t="s">
        <v>3697</v>
      </c>
      <c r="J267" s="15" t="s">
        <v>3697</v>
      </c>
      <c r="M267" s="15" t="s">
        <v>3586</v>
      </c>
      <c r="N267" s="15" t="s">
        <v>1154</v>
      </c>
      <c r="P267" s="15" t="str">
        <f t="shared" ref="P267:Q267" si="815">"14"</f>
        <v>14</v>
      </c>
      <c r="Q267" s="15" t="str">
        <f t="shared" si="815"/>
        <v>14</v>
      </c>
      <c r="R267" s="15" t="str">
        <f>"18"</f>
        <v>18</v>
      </c>
      <c r="S267" s="15" t="str">
        <f>"12.68"</f>
        <v>12.68</v>
      </c>
      <c r="T267" s="15" t="s">
        <v>3701</v>
      </c>
      <c r="U267" s="15" t="s">
        <v>14078</v>
      </c>
      <c r="AA267" s="15" t="s">
        <v>413</v>
      </c>
      <c r="AB267" s="15" t="s">
        <v>413</v>
      </c>
      <c r="AC267" s="15" t="s">
        <v>3704</v>
      </c>
      <c r="AD267" s="15" t="s">
        <v>14187</v>
      </c>
      <c r="AE267" s="15" t="s">
        <v>3700</v>
      </c>
      <c r="AF267" s="15" t="s">
        <v>14188</v>
      </c>
      <c r="AG267" s="15" t="s">
        <v>14189</v>
      </c>
      <c r="AH267" s="15" t="s">
        <v>14190</v>
      </c>
      <c r="AI267" s="15" t="s">
        <v>14191</v>
      </c>
      <c r="AJ267" s="15" t="s">
        <v>14192</v>
      </c>
      <c r="AK267" s="15" t="s">
        <v>14193</v>
      </c>
      <c r="AL267" s="15" t="s">
        <v>14194</v>
      </c>
      <c r="AM267" s="15" t="s">
        <v>14195</v>
      </c>
      <c r="BH267" s="15" t="s">
        <v>3696</v>
      </c>
      <c r="BI267" s="15" t="str">
        <f>"279"</f>
        <v>279</v>
      </c>
      <c r="BJ267" s="15" t="str">
        <f>"120"</f>
        <v>120</v>
      </c>
      <c r="BK267" s="15" t="s">
        <v>1303</v>
      </c>
      <c r="BL267" s="15" t="str">
        <f t="shared" ref="BL267:BL286" si="816">"1"</f>
        <v>1</v>
      </c>
      <c r="BM267" s="15" t="s">
        <v>416</v>
      </c>
      <c r="BN267" s="15" t="str">
        <f>"16.75"</f>
        <v>16.75</v>
      </c>
      <c r="BO267" s="15" t="str">
        <f>"16"</f>
        <v>16</v>
      </c>
      <c r="BP267" s="15" t="str">
        <f>"20.5"</f>
        <v>20.5</v>
      </c>
      <c r="BQ267" s="15" t="str">
        <f>"16.71"</f>
        <v>16.71</v>
      </c>
      <c r="CG267" s="15" t="str">
        <f>"3.18"</f>
        <v>3.18</v>
      </c>
      <c r="CH267" s="15" t="str">
        <f>"0.09"</f>
        <v>0.09</v>
      </c>
      <c r="CI267" s="15" t="s">
        <v>497</v>
      </c>
      <c r="CZ267" s="15" t="s">
        <v>419</v>
      </c>
      <c r="DA267" s="15">
        <v>0.0</v>
      </c>
      <c r="DB267" s="15" t="s">
        <v>419</v>
      </c>
      <c r="DD267" s="15">
        <v>0.0</v>
      </c>
      <c r="DG267" s="15" t="s">
        <v>419</v>
      </c>
      <c r="DK267" s="15">
        <v>0.0</v>
      </c>
      <c r="DR267" s="15" t="s">
        <v>1157</v>
      </c>
      <c r="DS267" s="15" t="s">
        <v>3707</v>
      </c>
      <c r="DU267" s="15" t="s">
        <v>500</v>
      </c>
      <c r="EF267" s="15" t="s">
        <v>1996</v>
      </c>
      <c r="EQ267" s="15" t="s">
        <v>1576</v>
      </c>
      <c r="ER267" s="15" t="s">
        <v>1996</v>
      </c>
      <c r="ES267" s="15" t="s">
        <v>1576</v>
      </c>
      <c r="ET267" s="15" t="s">
        <v>1236</v>
      </c>
      <c r="EV267" s="15">
        <v>0.0</v>
      </c>
      <c r="EW267" s="15">
        <v>0.0</v>
      </c>
      <c r="FF267" s="15" t="s">
        <v>784</v>
      </c>
    </row>
    <row r="268" ht="17.25" customHeight="1">
      <c r="A268" s="15" t="s">
        <v>3711</v>
      </c>
      <c r="B268" s="15" t="str">
        <f>"801542327583"</f>
        <v>801542327583</v>
      </c>
      <c r="C268" s="15" t="s">
        <v>14196</v>
      </c>
      <c r="D268" s="15" t="str">
        <f t="shared" si="1"/>
        <v>Cybil SideboardDark Walnut</v>
      </c>
      <c r="E268" s="15" t="s">
        <v>3708</v>
      </c>
      <c r="F268" s="15" t="s">
        <v>397</v>
      </c>
      <c r="G268" s="15" t="s">
        <v>3710</v>
      </c>
      <c r="J268" s="15" t="s">
        <v>3710</v>
      </c>
      <c r="K268" s="15" t="s">
        <v>3715</v>
      </c>
      <c r="L268" s="15" t="s">
        <v>3716</v>
      </c>
      <c r="M268" s="15" t="s">
        <v>3185</v>
      </c>
      <c r="N268" s="15" t="s">
        <v>664</v>
      </c>
      <c r="P268" s="15" t="str">
        <f>"78.75"</f>
        <v>78.75</v>
      </c>
      <c r="Q268" s="15" t="str">
        <f>"19.75"</f>
        <v>19.75</v>
      </c>
      <c r="R268" s="15" t="str">
        <f>"31.5"</f>
        <v>31.5</v>
      </c>
      <c r="S268" s="15" t="str">
        <f>"244.71"</f>
        <v>244.71</v>
      </c>
      <c r="T268" s="15" t="s">
        <v>3714</v>
      </c>
      <c r="U268" s="15" t="s">
        <v>11639</v>
      </c>
      <c r="V268" s="15" t="s">
        <v>12535</v>
      </c>
      <c r="W268" s="15" t="s">
        <v>3722</v>
      </c>
      <c r="AA268" s="15" t="s">
        <v>413</v>
      </c>
      <c r="AB268" s="15" t="s">
        <v>413</v>
      </c>
      <c r="AC268" s="15" t="s">
        <v>3717</v>
      </c>
      <c r="AD268" s="15" t="s">
        <v>14197</v>
      </c>
      <c r="AE268" s="15" t="s">
        <v>3713</v>
      </c>
      <c r="AF268" s="15" t="s">
        <v>14198</v>
      </c>
      <c r="AG268" s="15" t="s">
        <v>14199</v>
      </c>
      <c r="AH268" s="15" t="s">
        <v>14200</v>
      </c>
      <c r="AI268" s="15" t="s">
        <v>14201</v>
      </c>
      <c r="AJ268" s="15" t="s">
        <v>14202</v>
      </c>
      <c r="AK268" s="15" t="s">
        <v>14203</v>
      </c>
      <c r="AL268" s="15" t="s">
        <v>14204</v>
      </c>
      <c r="AM268" s="15" t="s">
        <v>14205</v>
      </c>
      <c r="BH268" s="15" t="s">
        <v>3709</v>
      </c>
      <c r="BI268" s="15" t="str">
        <f>"4699"</f>
        <v>4699</v>
      </c>
      <c r="BJ268" s="15" t="str">
        <f>"1975"</f>
        <v>1975</v>
      </c>
      <c r="BK268" s="15" t="s">
        <v>709</v>
      </c>
      <c r="BL268" s="15" t="str">
        <f t="shared" si="816"/>
        <v>1</v>
      </c>
      <c r="BM268" s="15" t="s">
        <v>416</v>
      </c>
      <c r="BN268" s="15" t="str">
        <f>"84.25"</f>
        <v>84.25</v>
      </c>
      <c r="BO268" s="15" t="str">
        <f>"26.57"</f>
        <v>26.57</v>
      </c>
      <c r="BP268" s="15" t="str">
        <f>"38.58"</f>
        <v>38.58</v>
      </c>
      <c r="BQ268" s="15" t="str">
        <f>"310.85"</f>
        <v>310.85</v>
      </c>
      <c r="CG268" s="15" t="str">
        <f>"50.01"</f>
        <v>50.01</v>
      </c>
      <c r="CH268" s="15" t="str">
        <f>"1.416"</f>
        <v>1.416</v>
      </c>
      <c r="CI268" s="15" t="s">
        <v>417</v>
      </c>
      <c r="CM268" s="15" t="s">
        <v>1804</v>
      </c>
      <c r="CN268" s="15" t="s">
        <v>3720</v>
      </c>
      <c r="CO268" s="15" t="s">
        <v>467</v>
      </c>
      <c r="CZ268" s="15" t="s">
        <v>419</v>
      </c>
      <c r="DA268" s="15">
        <v>0.0</v>
      </c>
      <c r="DB268" s="15" t="s">
        <v>419</v>
      </c>
      <c r="DD268" s="15">
        <v>0.0</v>
      </c>
      <c r="DF268" s="15" t="s">
        <v>721</v>
      </c>
      <c r="DG268" s="15" t="s">
        <v>610</v>
      </c>
      <c r="DI268" s="15">
        <v>18.14</v>
      </c>
      <c r="DJ268" s="15">
        <v>40.0</v>
      </c>
      <c r="DK268" s="15">
        <v>4.0</v>
      </c>
      <c r="DS268" s="15" t="s">
        <v>3721</v>
      </c>
      <c r="DU268" s="15" t="s">
        <v>424</v>
      </c>
      <c r="EU268" s="15" t="s">
        <v>426</v>
      </c>
      <c r="EV268" s="15">
        <v>4.0</v>
      </c>
      <c r="FH268" s="15" t="s">
        <v>2422</v>
      </c>
      <c r="FI268" s="15" t="s">
        <v>1188</v>
      </c>
      <c r="FJ268" s="15" t="s">
        <v>466</v>
      </c>
      <c r="FK268" s="15" t="s">
        <v>1804</v>
      </c>
      <c r="FL268" s="15" t="s">
        <v>612</v>
      </c>
      <c r="FM268" s="15" t="s">
        <v>467</v>
      </c>
      <c r="FN268" s="15">
        <v>0.0</v>
      </c>
      <c r="FO268" s="15" t="s">
        <v>426</v>
      </c>
      <c r="FQ268" s="15">
        <v>4.0</v>
      </c>
      <c r="FR268" s="15" t="s">
        <v>614</v>
      </c>
      <c r="FS268" s="15" t="s">
        <v>1045</v>
      </c>
      <c r="FT268" s="15">
        <v>0.0</v>
      </c>
      <c r="FU268" s="15" t="s">
        <v>426</v>
      </c>
      <c r="FW268" s="15" t="s">
        <v>3722</v>
      </c>
      <c r="GJ268" s="15" t="s">
        <v>1804</v>
      </c>
      <c r="GK268" s="15" t="s">
        <v>3720</v>
      </c>
      <c r="GL268" s="15" t="s">
        <v>467</v>
      </c>
      <c r="GZ268" s="15" t="s">
        <v>1804</v>
      </c>
      <c r="HA268" s="15" t="s">
        <v>1804</v>
      </c>
      <c r="HB268" s="15" t="s">
        <v>3720</v>
      </c>
      <c r="HC268" s="15" t="s">
        <v>3720</v>
      </c>
      <c r="HD268" s="15" t="s">
        <v>467</v>
      </c>
      <c r="HE268" s="15" t="s">
        <v>467</v>
      </c>
      <c r="HF268" s="15" t="s">
        <v>1957</v>
      </c>
      <c r="HQ268" s="15" t="s">
        <v>426</v>
      </c>
    </row>
    <row r="269" ht="17.25" customHeight="1">
      <c r="A269" s="15" t="s">
        <v>3726</v>
      </c>
      <c r="B269" s="15" t="str">
        <f>"801542709099"</f>
        <v>801542709099</v>
      </c>
      <c r="C269" s="15" t="s">
        <v>14206</v>
      </c>
      <c r="D269" s="15" t="str">
        <f t="shared" si="1"/>
        <v>Dalston Nesting End Table SetRaw Black</v>
      </c>
      <c r="E269" s="15" t="s">
        <v>3723</v>
      </c>
      <c r="F269" s="15" t="s">
        <v>397</v>
      </c>
      <c r="G269" s="15" t="s">
        <v>3725</v>
      </c>
      <c r="J269" s="15" t="s">
        <v>3725</v>
      </c>
      <c r="K269" s="15" t="s">
        <v>3730</v>
      </c>
      <c r="M269" s="15" t="s">
        <v>3586</v>
      </c>
      <c r="N269" s="15" t="s">
        <v>1154</v>
      </c>
      <c r="P269" s="15" t="str">
        <f t="shared" ref="P269:Q269" si="817">"15.75"</f>
        <v>15.75</v>
      </c>
      <c r="Q269" s="15" t="str">
        <f t="shared" si="817"/>
        <v>15.75</v>
      </c>
      <c r="R269" s="15" t="str">
        <f>"21.25"</f>
        <v>21.25</v>
      </c>
      <c r="S269" s="15" t="str">
        <f>"29.63"</f>
        <v>29.63</v>
      </c>
      <c r="T269" s="15" t="s">
        <v>3729</v>
      </c>
      <c r="U269" s="15" t="s">
        <v>14078</v>
      </c>
      <c r="V269" s="15" t="s">
        <v>11139</v>
      </c>
      <c r="AA269" s="15" t="s">
        <v>413</v>
      </c>
      <c r="AB269" s="15" t="s">
        <v>413</v>
      </c>
      <c r="AC269" s="28" t="s">
        <v>3731</v>
      </c>
      <c r="AD269" s="15" t="s">
        <v>14207</v>
      </c>
      <c r="AE269" s="15" t="s">
        <v>3728</v>
      </c>
      <c r="AF269" s="15" t="s">
        <v>14208</v>
      </c>
      <c r="AG269" s="15" t="s">
        <v>14209</v>
      </c>
      <c r="AH269" s="15" t="s">
        <v>14210</v>
      </c>
      <c r="AI269" s="15" t="s">
        <v>14211</v>
      </c>
      <c r="AJ269" s="15" t="s">
        <v>14212</v>
      </c>
      <c r="AK269" s="15" t="s">
        <v>14213</v>
      </c>
      <c r="AL269" s="15" t="s">
        <v>14214</v>
      </c>
      <c r="BH269" s="15" t="s">
        <v>3724</v>
      </c>
      <c r="BI269" s="15" t="str">
        <f>"449"</f>
        <v>449</v>
      </c>
      <c r="BJ269" s="15" t="str">
        <f>"190"</f>
        <v>190</v>
      </c>
      <c r="BK269" s="15" t="s">
        <v>1303</v>
      </c>
      <c r="BL269" s="15" t="str">
        <f t="shared" si="816"/>
        <v>1</v>
      </c>
      <c r="BM269" s="15" t="s">
        <v>416</v>
      </c>
      <c r="BN269" s="15" t="str">
        <f t="shared" ref="BN269:BO269" si="818">"19.5"</f>
        <v>19.5</v>
      </c>
      <c r="BO269" s="15" t="str">
        <f t="shared" si="818"/>
        <v>19.5</v>
      </c>
      <c r="BP269" s="15" t="str">
        <f>"25"</f>
        <v>25</v>
      </c>
      <c r="BQ269" s="15" t="str">
        <f>"44.67"</f>
        <v>44.67</v>
      </c>
      <c r="CG269" s="15" t="str">
        <f>"5.51"</f>
        <v>5.51</v>
      </c>
      <c r="CH269" s="15" t="str">
        <f>"0.156"</f>
        <v>0.156</v>
      </c>
      <c r="CI269" s="15" t="s">
        <v>497</v>
      </c>
      <c r="CZ269" s="15" t="s">
        <v>419</v>
      </c>
      <c r="DA269" s="15">
        <v>0.0</v>
      </c>
      <c r="DB269" s="15" t="s">
        <v>419</v>
      </c>
      <c r="DD269" s="15">
        <v>0.0</v>
      </c>
      <c r="DG269" s="15" t="s">
        <v>419</v>
      </c>
      <c r="DK269" s="15">
        <v>0.0</v>
      </c>
      <c r="DR269" s="15" t="s">
        <v>498</v>
      </c>
      <c r="DS269" s="15" t="s">
        <v>3734</v>
      </c>
      <c r="DU269" s="15" t="s">
        <v>500</v>
      </c>
      <c r="EF269" s="15" t="s">
        <v>1237</v>
      </c>
      <c r="EG269" s="15" t="s">
        <v>3735</v>
      </c>
      <c r="EH269" s="15" t="s">
        <v>3735</v>
      </c>
      <c r="EQ269" s="15" t="s">
        <v>612</v>
      </c>
      <c r="ER269" s="15" t="s">
        <v>1237</v>
      </c>
      <c r="ES269" s="15" t="s">
        <v>612</v>
      </c>
      <c r="ET269" s="15" t="s">
        <v>612</v>
      </c>
      <c r="EV269" s="15">
        <v>0.0</v>
      </c>
      <c r="EW269" s="15">
        <v>0.0</v>
      </c>
      <c r="GN269" s="15" t="s">
        <v>2020</v>
      </c>
      <c r="GO269" s="15" t="s">
        <v>2198</v>
      </c>
      <c r="GP269" s="15" t="s">
        <v>2020</v>
      </c>
      <c r="GQ269" s="15" t="s">
        <v>1073</v>
      </c>
      <c r="GR269" s="15" t="s">
        <v>1325</v>
      </c>
      <c r="GS269" s="15" t="s">
        <v>1073</v>
      </c>
    </row>
    <row r="270" ht="17.25" customHeight="1">
      <c r="A270" s="15" t="s">
        <v>3738</v>
      </c>
      <c r="B270" s="15" t="str">
        <f>"801542614492"</f>
        <v>801542614492</v>
      </c>
      <c r="C270" s="15" t="s">
        <v>14215</v>
      </c>
      <c r="D270" s="15" t="str">
        <f t="shared" si="1"/>
        <v>Danya ChairDakota Warm Taupe</v>
      </c>
      <c r="E270" s="15" t="s">
        <v>3736</v>
      </c>
      <c r="F270" s="15" t="s">
        <v>397</v>
      </c>
      <c r="G270" s="15" t="s">
        <v>1985</v>
      </c>
      <c r="J270" s="15" t="s">
        <v>1985</v>
      </c>
      <c r="K270" s="15" t="s">
        <v>978</v>
      </c>
      <c r="M270" s="15" t="s">
        <v>1539</v>
      </c>
      <c r="N270" s="15" t="s">
        <v>706</v>
      </c>
      <c r="O270" s="15" t="s">
        <v>707</v>
      </c>
      <c r="P270" s="15" t="str">
        <f>"30.25"</f>
        <v>30.25</v>
      </c>
      <c r="Q270" s="15" t="str">
        <f>"34.75"</f>
        <v>34.75</v>
      </c>
      <c r="R270" s="15" t="str">
        <f>"33.25"</f>
        <v>33.25</v>
      </c>
      <c r="S270" s="15" t="str">
        <f>"39.68"</f>
        <v>39.68</v>
      </c>
      <c r="T270" s="15" t="s">
        <v>975</v>
      </c>
      <c r="U270" s="15" t="s">
        <v>11137</v>
      </c>
      <c r="V270" s="15" t="s">
        <v>11210</v>
      </c>
      <c r="AA270" s="15" t="s">
        <v>413</v>
      </c>
      <c r="AB270" s="15" t="s">
        <v>413</v>
      </c>
      <c r="AC270" s="15" t="s">
        <v>3740</v>
      </c>
      <c r="AD270" s="15" t="s">
        <v>14216</v>
      </c>
      <c r="AE270" s="15" t="s">
        <v>3739</v>
      </c>
      <c r="AF270" s="15" t="s">
        <v>14217</v>
      </c>
      <c r="AG270" s="15" t="s">
        <v>14218</v>
      </c>
      <c r="AH270" s="15" t="s">
        <v>14219</v>
      </c>
      <c r="AI270" s="15" t="s">
        <v>14220</v>
      </c>
      <c r="AJ270" s="15" t="s">
        <v>14221</v>
      </c>
      <c r="AK270" s="15" t="s">
        <v>14222</v>
      </c>
      <c r="AL270" s="15" t="s">
        <v>14223</v>
      </c>
      <c r="AM270" s="15" t="s">
        <v>14224</v>
      </c>
      <c r="AN270" s="15" t="s">
        <v>14225</v>
      </c>
      <c r="AO270" s="15" t="s">
        <v>14226</v>
      </c>
      <c r="AP270" s="15" t="s">
        <v>14227</v>
      </c>
      <c r="BH270" s="15" t="s">
        <v>3737</v>
      </c>
      <c r="BI270" s="15" t="str">
        <f>"1599"</f>
        <v>1599</v>
      </c>
      <c r="BJ270" s="15" t="str">
        <f>"675"</f>
        <v>675</v>
      </c>
      <c r="BK270" s="15" t="s">
        <v>742</v>
      </c>
      <c r="BL270" s="15" t="str">
        <f t="shared" si="816"/>
        <v>1</v>
      </c>
      <c r="BM270" s="15" t="s">
        <v>3741</v>
      </c>
      <c r="BN270" s="15" t="str">
        <f>"36.81"</f>
        <v>36.81</v>
      </c>
      <c r="BO270" s="15" t="str">
        <f>"32.48"</f>
        <v>32.48</v>
      </c>
      <c r="BP270" s="15" t="str">
        <f>"36.81"</f>
        <v>36.81</v>
      </c>
      <c r="BQ270" s="15" t="str">
        <f>"68.34"</f>
        <v>68.34</v>
      </c>
      <c r="CG270" s="15" t="str">
        <f>"20.62"</f>
        <v>20.62</v>
      </c>
      <c r="CH270" s="15" t="str">
        <f>"0.584"</f>
        <v>0.584</v>
      </c>
      <c r="CI270" s="15" t="s">
        <v>465</v>
      </c>
      <c r="CS270" s="15" t="s">
        <v>1074</v>
      </c>
      <c r="CT270" s="15" t="s">
        <v>1036</v>
      </c>
      <c r="CU270" s="15" t="s">
        <v>1074</v>
      </c>
      <c r="CV270" s="15">
        <v>0.0</v>
      </c>
      <c r="CW270" s="15">
        <v>1.0</v>
      </c>
      <c r="CX270" s="15" t="s">
        <v>717</v>
      </c>
      <c r="CY270" s="15" t="s">
        <v>718</v>
      </c>
      <c r="DF270" s="15" t="s">
        <v>721</v>
      </c>
      <c r="DG270" s="15" t="s">
        <v>419</v>
      </c>
      <c r="DH270" s="15">
        <v>0.0</v>
      </c>
      <c r="DL270" s="15">
        <v>0.0</v>
      </c>
      <c r="DM270" s="15" t="s">
        <v>990</v>
      </c>
      <c r="DN270" s="15" t="s">
        <v>1016</v>
      </c>
      <c r="DO270" s="15" t="s">
        <v>1701</v>
      </c>
      <c r="DP270" s="15">
        <v>1.0</v>
      </c>
      <c r="DQ270" s="15">
        <v>1.0</v>
      </c>
      <c r="DS270" s="15" t="s">
        <v>3745</v>
      </c>
      <c r="DT270" s="15">
        <v>0.0</v>
      </c>
      <c r="DU270" s="15" t="s">
        <v>726</v>
      </c>
      <c r="DV270" s="15" t="s">
        <v>779</v>
      </c>
      <c r="DW270" s="15" t="s">
        <v>787</v>
      </c>
      <c r="DX270" s="15" t="s">
        <v>824</v>
      </c>
      <c r="EB270" s="15" t="s">
        <v>2881</v>
      </c>
      <c r="EF270" s="15" t="s">
        <v>714</v>
      </c>
      <c r="EG270" s="15" t="s">
        <v>3746</v>
      </c>
      <c r="EH270" s="15" t="s">
        <v>2647</v>
      </c>
      <c r="EI270" s="15" t="s">
        <v>1036</v>
      </c>
      <c r="EL270" s="15" t="s">
        <v>1016</v>
      </c>
      <c r="EM270" s="15" t="s">
        <v>1701</v>
      </c>
      <c r="EO270" s="15" t="s">
        <v>3747</v>
      </c>
      <c r="EX270" s="15" t="s">
        <v>3748</v>
      </c>
      <c r="EY270" s="15" t="s">
        <v>3749</v>
      </c>
      <c r="EZ270" s="15">
        <v>0.0</v>
      </c>
      <c r="FA270" s="15">
        <v>0.0</v>
      </c>
      <c r="FC270" s="15">
        <v>0.0</v>
      </c>
    </row>
    <row r="271" ht="17.25" customHeight="1">
      <c r="A271" s="15" t="s">
        <v>3753</v>
      </c>
      <c r="B271" s="15" t="str">
        <f>"801542715434"</f>
        <v>801542715434</v>
      </c>
      <c r="C271" s="15" t="s">
        <v>14228</v>
      </c>
      <c r="D271" s="15" t="str">
        <f t="shared" si="1"/>
        <v>Darian Console TableWhite Mahogany</v>
      </c>
      <c r="E271" s="15" t="s">
        <v>3750</v>
      </c>
      <c r="F271" s="15" t="s">
        <v>397</v>
      </c>
      <c r="G271" s="15" t="s">
        <v>3752</v>
      </c>
      <c r="J271" s="15" t="s">
        <v>3752</v>
      </c>
      <c r="K271" s="15" t="s">
        <v>3757</v>
      </c>
      <c r="M271" s="15" t="s">
        <v>411</v>
      </c>
      <c r="N271" s="15" t="s">
        <v>519</v>
      </c>
      <c r="P271" s="15" t="str">
        <f>"65"</f>
        <v>65</v>
      </c>
      <c r="Q271" s="15" t="str">
        <f>"18"</f>
        <v>18</v>
      </c>
      <c r="R271" s="15" t="str">
        <f>"31.5"</f>
        <v>31.5</v>
      </c>
      <c r="S271" s="15" t="str">
        <f>"89.29"</f>
        <v>89.29</v>
      </c>
      <c r="T271" s="15" t="s">
        <v>3756</v>
      </c>
      <c r="U271" s="15" t="s">
        <v>14229</v>
      </c>
      <c r="V271" s="15" t="s">
        <v>14230</v>
      </c>
      <c r="AA271" s="15" t="s">
        <v>413</v>
      </c>
      <c r="AB271" s="15" t="s">
        <v>413</v>
      </c>
      <c r="AC271" s="15" t="s">
        <v>3758</v>
      </c>
      <c r="AD271" s="15" t="s">
        <v>14231</v>
      </c>
      <c r="AE271" s="15" t="s">
        <v>3755</v>
      </c>
      <c r="AF271" s="15" t="s">
        <v>14232</v>
      </c>
      <c r="AG271" s="15" t="s">
        <v>14233</v>
      </c>
      <c r="AH271" s="15" t="s">
        <v>14234</v>
      </c>
      <c r="AI271" s="15" t="s">
        <v>14235</v>
      </c>
      <c r="AJ271" s="15" t="s">
        <v>14236</v>
      </c>
      <c r="AK271" s="15" t="s">
        <v>14237</v>
      </c>
      <c r="AL271" s="15" t="s">
        <v>14238</v>
      </c>
      <c r="AM271" s="15" t="s">
        <v>14239</v>
      </c>
      <c r="AN271" s="15" t="s">
        <v>14240</v>
      </c>
      <c r="AO271" s="15" t="s">
        <v>14241</v>
      </c>
      <c r="AP271" s="15" t="s">
        <v>14242</v>
      </c>
      <c r="AQ271" s="15" t="s">
        <v>14243</v>
      </c>
      <c r="BH271" s="15" t="s">
        <v>3751</v>
      </c>
      <c r="BI271" s="15" t="str">
        <f>"2499"</f>
        <v>2499</v>
      </c>
      <c r="BJ271" s="15" t="str">
        <f>"1050"</f>
        <v>1050</v>
      </c>
      <c r="BK271" s="15" t="s">
        <v>415</v>
      </c>
      <c r="BL271" s="15" t="str">
        <f t="shared" si="816"/>
        <v>1</v>
      </c>
      <c r="BM271" s="15" t="s">
        <v>416</v>
      </c>
      <c r="BN271" s="15" t="str">
        <f>"73.23"</f>
        <v>73.23</v>
      </c>
      <c r="BO271" s="15" t="str">
        <f>"23.62"</f>
        <v>23.62</v>
      </c>
      <c r="BP271" s="15" t="str">
        <f>"38.19"</f>
        <v>38.19</v>
      </c>
      <c r="BQ271" s="15" t="str">
        <f>"159.61"</f>
        <v>159.61</v>
      </c>
      <c r="CG271" s="15" t="str">
        <f>"38.25"</f>
        <v>38.25</v>
      </c>
      <c r="CH271" s="15" t="str">
        <f>"1.083"</f>
        <v>1.083</v>
      </c>
      <c r="CI271" s="15" t="s">
        <v>417</v>
      </c>
      <c r="CM271" s="15" t="s">
        <v>1065</v>
      </c>
      <c r="CN271" s="15" t="s">
        <v>1283</v>
      </c>
      <c r="CO271" s="15" t="s">
        <v>2931</v>
      </c>
      <c r="CZ271" s="15" t="s">
        <v>419</v>
      </c>
      <c r="DA271" s="15">
        <v>0.0</v>
      </c>
      <c r="DB271" s="15" t="s">
        <v>419</v>
      </c>
      <c r="DD271" s="15">
        <v>0.0</v>
      </c>
      <c r="DF271" s="15" t="s">
        <v>1388</v>
      </c>
      <c r="DG271" s="15" t="s">
        <v>419</v>
      </c>
      <c r="DK271" s="15">
        <v>0.0</v>
      </c>
      <c r="DR271" s="15" t="s">
        <v>471</v>
      </c>
      <c r="DS271" s="15" t="s">
        <v>3761</v>
      </c>
      <c r="DU271" s="15" t="s">
        <v>500</v>
      </c>
      <c r="EF271" s="15" t="s">
        <v>3762</v>
      </c>
      <c r="EG271" s="15" t="s">
        <v>1065</v>
      </c>
      <c r="EH271" s="15" t="s">
        <v>3763</v>
      </c>
      <c r="EQ271" s="15" t="s">
        <v>1065</v>
      </c>
      <c r="ER271" s="15" t="s">
        <v>612</v>
      </c>
      <c r="ES271" s="15" t="s">
        <v>3763</v>
      </c>
      <c r="ET271" s="15" t="s">
        <v>672</v>
      </c>
      <c r="EU271" s="15" t="s">
        <v>426</v>
      </c>
      <c r="EV271" s="15">
        <v>1.0</v>
      </c>
      <c r="EW271" s="15">
        <v>0.0</v>
      </c>
      <c r="FQ271" s="15">
        <v>0.0</v>
      </c>
      <c r="FR271" s="15" t="s">
        <v>427</v>
      </c>
    </row>
    <row r="272" ht="17.25" customHeight="1">
      <c r="A272" s="15" t="s">
        <v>3766</v>
      </c>
      <c r="B272" s="15" t="str">
        <f>"801542688363"</f>
        <v>801542688363</v>
      </c>
      <c r="C272" s="15" t="s">
        <v>14244</v>
      </c>
      <c r="D272" s="15" t="str">
        <f t="shared" si="1"/>
        <v>Darrow BenchPalermo Cognac</v>
      </c>
      <c r="E272" s="15" t="s">
        <v>3764</v>
      </c>
      <c r="F272" s="15" t="s">
        <v>397</v>
      </c>
      <c r="G272" s="15" t="s">
        <v>2818</v>
      </c>
      <c r="J272" s="15" t="s">
        <v>2818</v>
      </c>
      <c r="K272" s="15" t="s">
        <v>3770</v>
      </c>
      <c r="M272" s="15" t="s">
        <v>837</v>
      </c>
      <c r="N272" s="15" t="s">
        <v>458</v>
      </c>
      <c r="O272" s="15" t="s">
        <v>459</v>
      </c>
      <c r="P272" s="15" t="str">
        <f>"63.5"</f>
        <v>63.5</v>
      </c>
      <c r="Q272" s="15" t="str">
        <f>"17.5"</f>
        <v>17.5</v>
      </c>
      <c r="R272" s="15" t="str">
        <f>"17.75"</f>
        <v>17.75</v>
      </c>
      <c r="S272" s="15" t="str">
        <f>"42.99"</f>
        <v>42.99</v>
      </c>
      <c r="T272" s="15" t="s">
        <v>808</v>
      </c>
      <c r="U272" s="15" t="s">
        <v>11137</v>
      </c>
      <c r="V272" s="15" t="s">
        <v>11139</v>
      </c>
      <c r="AA272" s="15" t="s">
        <v>413</v>
      </c>
      <c r="AB272" s="15" t="s">
        <v>413</v>
      </c>
      <c r="AC272" s="15" t="s">
        <v>3771</v>
      </c>
      <c r="AD272" s="15" t="s">
        <v>14245</v>
      </c>
      <c r="AE272" s="15" t="s">
        <v>3768</v>
      </c>
      <c r="AF272" s="15" t="s">
        <v>14246</v>
      </c>
      <c r="AG272" s="15" t="s">
        <v>14247</v>
      </c>
      <c r="AH272" s="15" t="s">
        <v>14248</v>
      </c>
      <c r="AI272" s="15" t="s">
        <v>14249</v>
      </c>
      <c r="AJ272" s="15" t="s">
        <v>13142</v>
      </c>
      <c r="AK272" s="15" t="s">
        <v>14250</v>
      </c>
      <c r="AL272" s="15" t="s">
        <v>14251</v>
      </c>
      <c r="AM272" s="15" t="s">
        <v>14252</v>
      </c>
      <c r="AN272" s="15" t="s">
        <v>14253</v>
      </c>
      <c r="BH272" s="15" t="s">
        <v>3765</v>
      </c>
      <c r="BI272" s="15" t="str">
        <f>"999"</f>
        <v>999</v>
      </c>
      <c r="BJ272" s="15" t="str">
        <f>"420"</f>
        <v>420</v>
      </c>
      <c r="BK272" s="15" t="s">
        <v>742</v>
      </c>
      <c r="BL272" s="15" t="str">
        <f t="shared" si="816"/>
        <v>1</v>
      </c>
      <c r="BM272" s="15" t="s">
        <v>2043</v>
      </c>
      <c r="BN272" s="15" t="str">
        <f>"63.78"</f>
        <v>63.78</v>
      </c>
      <c r="BO272" s="15" t="str">
        <f>"18.11"</f>
        <v>18.11</v>
      </c>
      <c r="BP272" s="15" t="str">
        <f>"21.65"</f>
        <v>21.65</v>
      </c>
      <c r="BQ272" s="15" t="str">
        <f>"60.19"</f>
        <v>60.19</v>
      </c>
      <c r="CG272" s="15" t="str">
        <f>"14.48"</f>
        <v>14.48</v>
      </c>
      <c r="CH272" s="15" t="str">
        <f>"0.41"</f>
        <v>0.41</v>
      </c>
      <c r="CI272" s="15" t="s">
        <v>497</v>
      </c>
      <c r="CP272" s="15" t="s">
        <v>3775</v>
      </c>
      <c r="CQ272" s="15" t="s">
        <v>787</v>
      </c>
      <c r="CR272" s="15" t="s">
        <v>3776</v>
      </c>
      <c r="CS272" s="15" t="s">
        <v>3775</v>
      </c>
      <c r="CT272" s="15" t="s">
        <v>3777</v>
      </c>
      <c r="CU272" s="15" t="s">
        <v>3776</v>
      </c>
      <c r="CV272" s="15">
        <v>0.0</v>
      </c>
      <c r="CW272" s="15">
        <v>0.0</v>
      </c>
      <c r="CX272" s="15" t="s">
        <v>469</v>
      </c>
      <c r="CY272" s="15" t="s">
        <v>718</v>
      </c>
      <c r="CZ272" s="15" t="s">
        <v>419</v>
      </c>
      <c r="DA272" s="15">
        <v>0.0</v>
      </c>
      <c r="DB272" s="15" t="s">
        <v>419</v>
      </c>
      <c r="DC272" s="15" t="s">
        <v>3778</v>
      </c>
      <c r="DD272" s="15">
        <v>0.0</v>
      </c>
      <c r="DF272" s="15" t="s">
        <v>989</v>
      </c>
      <c r="DG272" s="15" t="s">
        <v>419</v>
      </c>
      <c r="DH272" s="15">
        <v>0.0</v>
      </c>
      <c r="DI272" s="15">
        <v>0.0</v>
      </c>
      <c r="DJ272" s="15">
        <v>0.0</v>
      </c>
      <c r="DK272" s="15">
        <v>0.0</v>
      </c>
      <c r="DL272" s="15">
        <v>0.0</v>
      </c>
      <c r="DM272" s="15" t="s">
        <v>3779</v>
      </c>
      <c r="DN272" s="15" t="s">
        <v>723</v>
      </c>
      <c r="DO272" s="15" t="s">
        <v>1076</v>
      </c>
      <c r="DP272" s="15">
        <v>1.0</v>
      </c>
      <c r="DQ272" s="15">
        <v>2.0</v>
      </c>
      <c r="DR272" s="15" t="s">
        <v>471</v>
      </c>
      <c r="DS272" s="15" t="s">
        <v>3780</v>
      </c>
      <c r="DT272" s="15">
        <v>0.0</v>
      </c>
      <c r="DU272" s="15" t="s">
        <v>1545</v>
      </c>
      <c r="EF272" s="15" t="s">
        <v>2156</v>
      </c>
      <c r="EG272" s="15" t="s">
        <v>3781</v>
      </c>
      <c r="EH272" s="15" t="s">
        <v>3782</v>
      </c>
      <c r="FB272" s="15" t="s">
        <v>938</v>
      </c>
    </row>
    <row r="273" ht="17.25" customHeight="1">
      <c r="A273" s="15" t="s">
        <v>3786</v>
      </c>
      <c r="B273" s="15" t="str">
        <f>"801542992996"</f>
        <v>801542992996</v>
      </c>
      <c r="C273" s="15" t="s">
        <v>14254</v>
      </c>
      <c r="D273" s="15" t="str">
        <f t="shared" si="1"/>
        <v>Darts CabinetTonal Dartboard</v>
      </c>
      <c r="E273" s="15" t="s">
        <v>3783</v>
      </c>
      <c r="F273" s="15" t="s">
        <v>397</v>
      </c>
      <c r="G273" s="15" t="s">
        <v>3785</v>
      </c>
      <c r="J273" s="15" t="s">
        <v>3785</v>
      </c>
      <c r="K273" s="15" t="s">
        <v>3790</v>
      </c>
      <c r="L273" s="15" t="s">
        <v>3791</v>
      </c>
      <c r="M273" s="15" t="s">
        <v>2193</v>
      </c>
      <c r="N273" s="15" t="s">
        <v>3792</v>
      </c>
      <c r="P273" s="15" t="str">
        <f>"38"</f>
        <v>38</v>
      </c>
      <c r="Q273" s="15" t="str">
        <f>"18"</f>
        <v>18</v>
      </c>
      <c r="R273" s="15" t="str">
        <f>"88"</f>
        <v>88</v>
      </c>
      <c r="S273" s="15" t="str">
        <f>"252.43"</f>
        <v>252.43</v>
      </c>
      <c r="T273" s="15" t="s">
        <v>3789</v>
      </c>
      <c r="U273" s="15" t="s">
        <v>14255</v>
      </c>
      <c r="V273" s="15" t="s">
        <v>14256</v>
      </c>
      <c r="W273" s="15" t="s">
        <v>11139</v>
      </c>
      <c r="AA273" s="15" t="s">
        <v>413</v>
      </c>
      <c r="AB273" s="15" t="s">
        <v>413</v>
      </c>
      <c r="AC273" s="15" t="s">
        <v>3793</v>
      </c>
      <c r="AD273" s="15" t="s">
        <v>14257</v>
      </c>
      <c r="AE273" s="15" t="s">
        <v>3788</v>
      </c>
      <c r="AF273" s="15" t="s">
        <v>14258</v>
      </c>
      <c r="AG273" s="15" t="s">
        <v>14259</v>
      </c>
      <c r="AH273" s="15" t="s">
        <v>14260</v>
      </c>
      <c r="AI273" s="15" t="s">
        <v>14261</v>
      </c>
      <c r="AJ273" s="15" t="s">
        <v>14262</v>
      </c>
      <c r="AK273" s="15" t="s">
        <v>14263</v>
      </c>
      <c r="AL273" s="15" t="s">
        <v>14264</v>
      </c>
      <c r="AM273" s="15" t="s">
        <v>14265</v>
      </c>
      <c r="AN273" s="15" t="s">
        <v>14266</v>
      </c>
      <c r="AO273" s="15" t="s">
        <v>14267</v>
      </c>
      <c r="AP273" s="15" t="s">
        <v>14268</v>
      </c>
      <c r="AQ273" s="15" t="s">
        <v>14269</v>
      </c>
      <c r="AR273" s="15" t="s">
        <v>14270</v>
      </c>
      <c r="AS273" s="15" t="s">
        <v>14271</v>
      </c>
      <c r="AT273" s="15" t="s">
        <v>14272</v>
      </c>
      <c r="AU273" s="15" t="s">
        <v>14273</v>
      </c>
      <c r="AV273" s="15" t="s">
        <v>14274</v>
      </c>
      <c r="AW273" s="15" t="s">
        <v>14275</v>
      </c>
      <c r="BH273" s="15" t="s">
        <v>3784</v>
      </c>
      <c r="BI273" s="15" t="str">
        <f>"3999"</f>
        <v>3999</v>
      </c>
      <c r="BJ273" s="15" t="str">
        <f>"1680"</f>
        <v>1680</v>
      </c>
      <c r="BK273" s="15" t="s">
        <v>709</v>
      </c>
      <c r="BL273" s="15" t="str">
        <f t="shared" si="816"/>
        <v>1</v>
      </c>
      <c r="BM273" s="15" t="s">
        <v>416</v>
      </c>
      <c r="BN273" s="15" t="str">
        <f>"42.13"</f>
        <v>42.13</v>
      </c>
      <c r="BO273" s="15" t="str">
        <f>"22.05"</f>
        <v>22.05</v>
      </c>
      <c r="BP273" s="15" t="str">
        <f>"93.7"</f>
        <v>93.7</v>
      </c>
      <c r="BQ273" s="15" t="str">
        <f>"294.31"</f>
        <v>294.31</v>
      </c>
      <c r="CG273" s="15" t="str">
        <f>"50.36"</f>
        <v>50.36</v>
      </c>
      <c r="CH273" s="15" t="str">
        <f>"1.426"</f>
        <v>1.426</v>
      </c>
      <c r="CI273" s="15" t="s">
        <v>497</v>
      </c>
      <c r="DS273" s="15" t="s">
        <v>3797</v>
      </c>
      <c r="EF273" s="15" t="s">
        <v>477</v>
      </c>
      <c r="EG273" s="15" t="s">
        <v>1287</v>
      </c>
      <c r="EH273" s="15" t="s">
        <v>3798</v>
      </c>
      <c r="EQ273" s="15" t="s">
        <v>425</v>
      </c>
      <c r="ER273" s="15" t="s">
        <v>3799</v>
      </c>
      <c r="ES273" s="15" t="s">
        <v>425</v>
      </c>
      <c r="EU273" s="15" t="s">
        <v>426</v>
      </c>
      <c r="LX273" s="15" t="s">
        <v>1065</v>
      </c>
      <c r="LY273" s="15" t="s">
        <v>1238</v>
      </c>
      <c r="LZ273" s="15" t="s">
        <v>995</v>
      </c>
      <c r="MA273" s="15" t="s">
        <v>3800</v>
      </c>
      <c r="MB273" s="15" t="s">
        <v>1069</v>
      </c>
      <c r="MC273" s="15" t="s">
        <v>3800</v>
      </c>
      <c r="MD273" s="15">
        <v>0.0</v>
      </c>
      <c r="ME273" s="15">
        <v>0.0</v>
      </c>
      <c r="MF273" s="15" t="s">
        <v>3801</v>
      </c>
      <c r="MG273" s="15">
        <v>6.0</v>
      </c>
      <c r="MH273" s="15">
        <v>0.0</v>
      </c>
      <c r="MI273" s="15">
        <v>0.0</v>
      </c>
      <c r="MJ273" s="15" t="s">
        <v>3802</v>
      </c>
      <c r="MK273" s="15">
        <v>0.0</v>
      </c>
      <c r="ML273" s="15">
        <v>0.0</v>
      </c>
      <c r="MM273" s="15">
        <v>0.0</v>
      </c>
      <c r="MN273" s="15">
        <v>0.0</v>
      </c>
      <c r="MO273" s="15">
        <v>0.0</v>
      </c>
    </row>
    <row r="274" ht="17.25" customHeight="1">
      <c r="A274" s="15" t="s">
        <v>3805</v>
      </c>
      <c r="B274" s="15" t="str">
        <f>"801542863593"</f>
        <v>801542863593</v>
      </c>
      <c r="C274" s="15" t="s">
        <v>14276</v>
      </c>
      <c r="D274" s="15" t="str">
        <f t="shared" si="1"/>
        <v>Dash ChairPalermo Drift</v>
      </c>
      <c r="E274" s="15" t="s">
        <v>3803</v>
      </c>
      <c r="F274" s="15" t="s">
        <v>397</v>
      </c>
      <c r="G274" s="15" t="s">
        <v>1658</v>
      </c>
      <c r="J274" s="15" t="s">
        <v>1658</v>
      </c>
      <c r="K274" s="15" t="s">
        <v>1087</v>
      </c>
      <c r="M274" s="15" t="s">
        <v>1628</v>
      </c>
      <c r="N274" s="15" t="s">
        <v>706</v>
      </c>
      <c r="O274" s="15" t="s">
        <v>707</v>
      </c>
      <c r="P274" s="15" t="str">
        <f>"32.5"</f>
        <v>32.5</v>
      </c>
      <c r="Q274" s="15" t="str">
        <f>"36"</f>
        <v>36</v>
      </c>
      <c r="R274" s="15" t="str">
        <f>"33"</f>
        <v>33</v>
      </c>
      <c r="S274" s="15" t="str">
        <f>"61.73"</f>
        <v>61.73</v>
      </c>
      <c r="T274" s="15" t="s">
        <v>2491</v>
      </c>
      <c r="U274" s="15" t="s">
        <v>11137</v>
      </c>
      <c r="V274" s="15" t="s">
        <v>11338</v>
      </c>
      <c r="AA274" s="15" t="s">
        <v>413</v>
      </c>
      <c r="AB274" s="15" t="s">
        <v>413</v>
      </c>
      <c r="AC274" s="15" t="s">
        <v>3808</v>
      </c>
      <c r="AD274" s="15" t="s">
        <v>14277</v>
      </c>
      <c r="AE274" s="15" t="s">
        <v>3807</v>
      </c>
      <c r="AF274" s="15" t="s">
        <v>14278</v>
      </c>
      <c r="AG274" s="15" t="s">
        <v>14279</v>
      </c>
      <c r="AH274" s="15" t="s">
        <v>14280</v>
      </c>
      <c r="AI274" s="15" t="s">
        <v>14281</v>
      </c>
      <c r="AJ274" s="15" t="s">
        <v>14282</v>
      </c>
      <c r="AK274" s="15" t="s">
        <v>14283</v>
      </c>
      <c r="AL274" s="15" t="s">
        <v>14284</v>
      </c>
      <c r="AM274" s="15" t="s">
        <v>14285</v>
      </c>
      <c r="AN274" s="15" t="s">
        <v>14286</v>
      </c>
      <c r="AO274" s="15" t="s">
        <v>14287</v>
      </c>
      <c r="AP274" s="15" t="s">
        <v>14288</v>
      </c>
      <c r="BH274" s="15" t="s">
        <v>3804</v>
      </c>
      <c r="BI274" s="15" t="str">
        <f>"2299"</f>
        <v>2299</v>
      </c>
      <c r="BJ274" s="15" t="str">
        <f>"970"</f>
        <v>970</v>
      </c>
      <c r="BK274" s="15" t="s">
        <v>709</v>
      </c>
      <c r="BL274" s="15" t="str">
        <f t="shared" si="816"/>
        <v>1</v>
      </c>
      <c r="BM274" s="15" t="s">
        <v>416</v>
      </c>
      <c r="BN274" s="15" t="str">
        <f>"38.19"</f>
        <v>38.19</v>
      </c>
      <c r="BO274" s="15" t="str">
        <f>"36.61"</f>
        <v>36.61</v>
      </c>
      <c r="BP274" s="15" t="str">
        <f>"29.53"</f>
        <v>29.53</v>
      </c>
      <c r="BQ274" s="15" t="str">
        <f>"76.06"</f>
        <v>76.06</v>
      </c>
      <c r="CG274" s="15" t="str">
        <f>"23.91"</f>
        <v>23.91</v>
      </c>
      <c r="CH274" s="15" t="str">
        <f>"0.677"</f>
        <v>0.677</v>
      </c>
      <c r="CI274" s="15" t="s">
        <v>417</v>
      </c>
      <c r="CP274" s="15" t="s">
        <v>1064</v>
      </c>
      <c r="CQ274" s="15" t="s">
        <v>505</v>
      </c>
      <c r="CR274" s="15" t="s">
        <v>1211</v>
      </c>
      <c r="CS274" s="15" t="s">
        <v>1072</v>
      </c>
      <c r="CT274" s="15" t="s">
        <v>1324</v>
      </c>
      <c r="CU274" s="15" t="s">
        <v>1286</v>
      </c>
      <c r="CV274" s="15">
        <v>0.0</v>
      </c>
      <c r="CW274" s="15">
        <v>1.0</v>
      </c>
      <c r="CX274" s="15" t="s">
        <v>717</v>
      </c>
      <c r="CY274" s="15" t="s">
        <v>718</v>
      </c>
      <c r="DC274" s="15" t="s">
        <v>3543</v>
      </c>
      <c r="DF274" s="15" t="s">
        <v>721</v>
      </c>
      <c r="DG274" s="15" t="s">
        <v>419</v>
      </c>
      <c r="DH274" s="15">
        <v>0.0</v>
      </c>
      <c r="DL274" s="15">
        <v>0.0</v>
      </c>
      <c r="DM274" s="15" t="s">
        <v>990</v>
      </c>
      <c r="DN274" s="15" t="s">
        <v>723</v>
      </c>
      <c r="DO274" s="15" t="s">
        <v>724</v>
      </c>
      <c r="DP274" s="15">
        <v>1.0</v>
      </c>
      <c r="DQ274" s="15">
        <v>1.0</v>
      </c>
      <c r="DS274" s="15" t="s">
        <v>3810</v>
      </c>
      <c r="DT274" s="15">
        <v>0.0</v>
      </c>
      <c r="DU274" s="15" t="s">
        <v>726</v>
      </c>
      <c r="DV274" s="15" t="s">
        <v>2807</v>
      </c>
      <c r="DW274" s="15" t="s">
        <v>2736</v>
      </c>
      <c r="DX274" s="15" t="s">
        <v>942</v>
      </c>
      <c r="EB274" s="15" t="s">
        <v>1807</v>
      </c>
      <c r="EC274" s="15" t="s">
        <v>2402</v>
      </c>
      <c r="ED274" s="15" t="s">
        <v>1213</v>
      </c>
      <c r="EE274" s="15" t="s">
        <v>1574</v>
      </c>
      <c r="EF274" s="15" t="s">
        <v>2547</v>
      </c>
      <c r="EG274" s="15" t="s">
        <v>3811</v>
      </c>
      <c r="EH274" s="15" t="s">
        <v>2637</v>
      </c>
      <c r="EI274" s="15" t="s">
        <v>1288</v>
      </c>
      <c r="EL274" s="15" t="s">
        <v>723</v>
      </c>
      <c r="EM274" s="15" t="s">
        <v>724</v>
      </c>
      <c r="EN274" s="15" t="s">
        <v>2028</v>
      </c>
      <c r="EO274" s="15" t="s">
        <v>1290</v>
      </c>
      <c r="EZ274" s="15">
        <v>0.0</v>
      </c>
      <c r="FA274" s="15">
        <v>0.0</v>
      </c>
      <c r="FC274" s="15">
        <v>0.0</v>
      </c>
    </row>
    <row r="275" ht="17.25" customHeight="1">
      <c r="A275" s="15" t="s">
        <v>3815</v>
      </c>
      <c r="B275" s="15" t="str">
        <f>"801542773229"</f>
        <v>801542773229</v>
      </c>
      <c r="C275" s="15" t="s">
        <v>14289</v>
      </c>
      <c r="D275" s="15" t="str">
        <f t="shared" si="1"/>
        <v>Dax Accent StoolGibson Wheat</v>
      </c>
      <c r="E275" s="15" t="s">
        <v>3812</v>
      </c>
      <c r="F275" s="15" t="s">
        <v>397</v>
      </c>
      <c r="G275" s="15" t="s">
        <v>3814</v>
      </c>
      <c r="J275" s="15" t="s">
        <v>3814</v>
      </c>
      <c r="K275" s="15" t="s">
        <v>3819</v>
      </c>
      <c r="M275" s="15" t="s">
        <v>1317</v>
      </c>
      <c r="N275" s="15" t="s">
        <v>1009</v>
      </c>
      <c r="P275" s="15" t="str">
        <f t="shared" ref="P275:Q275" si="819">"18"</f>
        <v>18</v>
      </c>
      <c r="Q275" s="15" t="str">
        <f t="shared" si="819"/>
        <v>18</v>
      </c>
      <c r="R275" s="15" t="str">
        <f>"18.5"</f>
        <v>18.5</v>
      </c>
      <c r="S275" s="15" t="str">
        <f>"19.84"</f>
        <v>19.84</v>
      </c>
      <c r="T275" s="15" t="s">
        <v>3818</v>
      </c>
      <c r="U275" s="15" t="s">
        <v>12131</v>
      </c>
      <c r="V275" s="15" t="s">
        <v>12132</v>
      </c>
      <c r="W275" s="15" t="s">
        <v>11138</v>
      </c>
      <c r="AA275" s="15" t="s">
        <v>413</v>
      </c>
      <c r="AB275" s="15" t="s">
        <v>426</v>
      </c>
      <c r="AC275" s="15" t="s">
        <v>3820</v>
      </c>
      <c r="AD275" s="15" t="s">
        <v>14290</v>
      </c>
      <c r="AE275" s="15" t="s">
        <v>3817</v>
      </c>
      <c r="AF275" s="15" t="s">
        <v>14291</v>
      </c>
      <c r="AG275" s="15" t="s">
        <v>14292</v>
      </c>
      <c r="AH275" s="15" t="s">
        <v>14293</v>
      </c>
      <c r="AI275" s="15" t="s">
        <v>14294</v>
      </c>
      <c r="AJ275" s="15" t="s">
        <v>14295</v>
      </c>
      <c r="AK275" s="15" t="s">
        <v>14296</v>
      </c>
      <c r="AL275" s="15" t="s">
        <v>14297</v>
      </c>
      <c r="AM275" s="15" t="s">
        <v>14298</v>
      </c>
      <c r="AN275" s="15" t="s">
        <v>14299</v>
      </c>
      <c r="AO275" s="15" t="s">
        <v>14300</v>
      </c>
      <c r="BH275" s="15" t="s">
        <v>3813</v>
      </c>
      <c r="BI275" s="15" t="str">
        <f>"599"</f>
        <v>599</v>
      </c>
      <c r="BJ275" s="15" t="str">
        <f>"255"</f>
        <v>255</v>
      </c>
      <c r="BK275" s="15" t="s">
        <v>709</v>
      </c>
      <c r="BL275" s="15" t="str">
        <f t="shared" si="816"/>
        <v>1</v>
      </c>
      <c r="BM275" s="15" t="s">
        <v>416</v>
      </c>
      <c r="BN275" s="15" t="str">
        <f t="shared" ref="BN275:BP275" si="820">"20.87"</f>
        <v>20.87</v>
      </c>
      <c r="BO275" s="15" t="str">
        <f t="shared" si="820"/>
        <v>20.87</v>
      </c>
      <c r="BP275" s="15" t="str">
        <f t="shared" si="820"/>
        <v>20.87</v>
      </c>
      <c r="BQ275" s="15" t="str">
        <f>"28.66"</f>
        <v>28.66</v>
      </c>
      <c r="CG275" s="15" t="str">
        <f>"5.26"</f>
        <v>5.26</v>
      </c>
      <c r="CH275" s="15" t="str">
        <f>"0.149"</f>
        <v>0.149</v>
      </c>
      <c r="CI275" s="15" t="s">
        <v>497</v>
      </c>
      <c r="CS275" s="15" t="s">
        <v>1065</v>
      </c>
      <c r="CT275" s="15" t="s">
        <v>824</v>
      </c>
      <c r="CU275" s="15" t="s">
        <v>1065</v>
      </c>
      <c r="CV275" s="15">
        <v>0.0</v>
      </c>
      <c r="CW275" s="15">
        <v>0.0</v>
      </c>
      <c r="CY275" s="15" t="s">
        <v>855</v>
      </c>
      <c r="CZ275" s="15" t="s">
        <v>419</v>
      </c>
      <c r="DA275" s="15">
        <v>0.0</v>
      </c>
      <c r="DB275" s="15" t="s">
        <v>419</v>
      </c>
      <c r="DD275" s="15">
        <v>0.0</v>
      </c>
      <c r="DF275" s="15" t="s">
        <v>721</v>
      </c>
      <c r="DG275" s="15" t="s">
        <v>419</v>
      </c>
      <c r="DH275" s="15">
        <v>0.0</v>
      </c>
      <c r="DI275" s="15">
        <v>0.0</v>
      </c>
      <c r="DJ275" s="15">
        <v>0.0</v>
      </c>
      <c r="DK275" s="15">
        <v>0.0</v>
      </c>
      <c r="DL275" s="15">
        <v>25000.0</v>
      </c>
      <c r="DM275" s="15" t="s">
        <v>470</v>
      </c>
      <c r="DN275" s="15" t="s">
        <v>1016</v>
      </c>
      <c r="DP275" s="15">
        <v>1.0</v>
      </c>
      <c r="DQ275" s="15">
        <v>1.0</v>
      </c>
      <c r="DR275" s="15" t="s">
        <v>1157</v>
      </c>
      <c r="DS275" s="15" t="s">
        <v>3821</v>
      </c>
      <c r="DT275" s="15">
        <v>0.0</v>
      </c>
      <c r="DU275" s="15" t="s">
        <v>726</v>
      </c>
      <c r="EF275" s="15" t="s">
        <v>1738</v>
      </c>
      <c r="EG275" s="15" t="s">
        <v>2739</v>
      </c>
      <c r="EH275" s="15" t="s">
        <v>2739</v>
      </c>
      <c r="EO275" s="15" t="s">
        <v>1255</v>
      </c>
    </row>
    <row r="276" ht="17.25" customHeight="1">
      <c r="A276" s="15" t="s">
        <v>3825</v>
      </c>
      <c r="B276" s="15" t="str">
        <f>"801542162665"</f>
        <v>801542162665</v>
      </c>
      <c r="C276" s="15" t="s">
        <v>14301</v>
      </c>
      <c r="D276" s="15" t="str">
        <f t="shared" si="1"/>
        <v>Delray Slipcover Sofa-97"Evere Creme</v>
      </c>
      <c r="E276" s="15" t="s">
        <v>3822</v>
      </c>
      <c r="F276" s="15" t="s">
        <v>397</v>
      </c>
      <c r="G276" s="15" t="s">
        <v>3824</v>
      </c>
      <c r="J276" s="15" t="s">
        <v>3824</v>
      </c>
      <c r="K276" s="15" t="s">
        <v>3833</v>
      </c>
      <c r="M276" s="15" t="s">
        <v>3832</v>
      </c>
      <c r="N276" s="15" t="s">
        <v>1732</v>
      </c>
      <c r="P276" s="15" t="str">
        <f>"97"</f>
        <v>97</v>
      </c>
      <c r="Q276" s="15" t="str">
        <f>"44"</f>
        <v>44</v>
      </c>
      <c r="R276" s="15" t="str">
        <f>"35"</f>
        <v>35</v>
      </c>
      <c r="S276" s="15" t="str">
        <f>"160"</f>
        <v>160</v>
      </c>
      <c r="T276" s="15" t="s">
        <v>3829</v>
      </c>
      <c r="U276" s="15" t="s">
        <v>14302</v>
      </c>
      <c r="V276" s="15" t="s">
        <v>14303</v>
      </c>
      <c r="W276" s="15" t="s">
        <v>14304</v>
      </c>
      <c r="X276" s="15" t="s">
        <v>12696</v>
      </c>
      <c r="Y276" s="15" t="s">
        <v>11210</v>
      </c>
      <c r="AA276" s="15" t="s">
        <v>413</v>
      </c>
      <c r="AB276" s="15" t="s">
        <v>426</v>
      </c>
      <c r="AC276" s="15" t="s">
        <v>3834</v>
      </c>
      <c r="AD276" s="15" t="s">
        <v>14305</v>
      </c>
      <c r="AE276" s="15" t="s">
        <v>3828</v>
      </c>
      <c r="AF276" s="15" t="s">
        <v>14306</v>
      </c>
      <c r="AG276" s="15" t="s">
        <v>14307</v>
      </c>
      <c r="AH276" s="15" t="s">
        <v>14308</v>
      </c>
      <c r="AI276" s="15" t="s">
        <v>14309</v>
      </c>
      <c r="AJ276" s="15" t="s">
        <v>14310</v>
      </c>
      <c r="AK276" s="15" t="s">
        <v>14311</v>
      </c>
      <c r="AL276" s="15" t="s">
        <v>14312</v>
      </c>
      <c r="AM276" s="15" t="s">
        <v>14313</v>
      </c>
      <c r="AN276" s="15" t="s">
        <v>14314</v>
      </c>
      <c r="AO276" s="15" t="s">
        <v>14315</v>
      </c>
      <c r="AP276" s="15" t="s">
        <v>14316</v>
      </c>
      <c r="BH276" s="15" t="s">
        <v>3823</v>
      </c>
      <c r="BI276" s="15" t="str">
        <f>"3799"</f>
        <v>3799</v>
      </c>
      <c r="BJ276" s="15" t="str">
        <f>"1600"</f>
        <v>1600</v>
      </c>
      <c r="BK276" s="15" t="s">
        <v>3835</v>
      </c>
      <c r="BL276" s="15" t="str">
        <f t="shared" si="816"/>
        <v>1</v>
      </c>
      <c r="BM276" s="15" t="s">
        <v>3836</v>
      </c>
      <c r="BN276" s="15" t="str">
        <f>"98.5"</f>
        <v>98.5</v>
      </c>
      <c r="BO276" s="15" t="str">
        <f>"45.5"</f>
        <v>45.5</v>
      </c>
      <c r="BP276" s="15" t="str">
        <f>"34.5"</f>
        <v>34.5</v>
      </c>
      <c r="BQ276" s="15" t="str">
        <f>"188.93"</f>
        <v>188.93</v>
      </c>
      <c r="CG276" s="15" t="str">
        <f>"89.49"</f>
        <v>89.49</v>
      </c>
      <c r="CH276" s="15" t="str">
        <f>"2.534"</f>
        <v>2.534</v>
      </c>
      <c r="CI276" s="15" t="s">
        <v>465</v>
      </c>
      <c r="CP276" s="15" t="s">
        <v>1240</v>
      </c>
      <c r="CQ276" s="15" t="s">
        <v>2116</v>
      </c>
      <c r="CR276" s="15" t="s">
        <v>3332</v>
      </c>
      <c r="CS276" s="15" t="s">
        <v>1064</v>
      </c>
      <c r="CT276" s="15" t="s">
        <v>1065</v>
      </c>
      <c r="CU276" s="15" t="s">
        <v>3839</v>
      </c>
      <c r="CV276" s="15">
        <v>2.0</v>
      </c>
      <c r="CW276" s="15">
        <v>2.0</v>
      </c>
      <c r="CX276" s="15" t="s">
        <v>717</v>
      </c>
      <c r="CY276" s="15" t="s">
        <v>855</v>
      </c>
      <c r="DC276" s="15" t="s">
        <v>1066</v>
      </c>
      <c r="DF276" s="15" t="s">
        <v>420</v>
      </c>
      <c r="DG276" s="15" t="s">
        <v>936</v>
      </c>
      <c r="DH276" s="15">
        <v>0.0</v>
      </c>
      <c r="DL276" s="15">
        <v>18000.0</v>
      </c>
      <c r="DM276" s="15" t="s">
        <v>470</v>
      </c>
      <c r="DN276" s="15" t="s">
        <v>723</v>
      </c>
      <c r="DO276" s="15" t="s">
        <v>724</v>
      </c>
      <c r="DP276" s="15">
        <v>2.0</v>
      </c>
      <c r="DQ276" s="15">
        <v>4.0</v>
      </c>
      <c r="DS276" s="15" t="s">
        <v>3840</v>
      </c>
      <c r="DT276" s="15">
        <v>0.0</v>
      </c>
      <c r="DU276" s="15" t="s">
        <v>588</v>
      </c>
      <c r="DV276" s="15" t="s">
        <v>1211</v>
      </c>
      <c r="DW276" s="15" t="s">
        <v>505</v>
      </c>
      <c r="DX276" s="15" t="s">
        <v>3841</v>
      </c>
      <c r="DY276" s="15" t="s">
        <v>429</v>
      </c>
      <c r="DZ276" s="15" t="s">
        <v>1738</v>
      </c>
      <c r="EA276" s="15" t="s">
        <v>555</v>
      </c>
      <c r="EB276" s="15" t="s">
        <v>429</v>
      </c>
      <c r="EC276" s="15" t="s">
        <v>2402</v>
      </c>
      <c r="ED276" s="15" t="s">
        <v>1237</v>
      </c>
      <c r="EE276" s="15" t="s">
        <v>3332</v>
      </c>
      <c r="EF276" s="15" t="s">
        <v>1236</v>
      </c>
      <c r="EG276" s="15" t="s">
        <v>3336</v>
      </c>
      <c r="EH276" s="15" t="s">
        <v>3842</v>
      </c>
      <c r="EI276" s="15" t="s">
        <v>1288</v>
      </c>
      <c r="EJ276" s="15" t="s">
        <v>724</v>
      </c>
      <c r="EK276" s="15" t="s">
        <v>426</v>
      </c>
      <c r="EL276" s="15" t="s">
        <v>723</v>
      </c>
      <c r="EM276" s="15" t="s">
        <v>724</v>
      </c>
      <c r="EN276" s="15" t="s">
        <v>3843</v>
      </c>
      <c r="EO276" s="15" t="s">
        <v>3844</v>
      </c>
      <c r="EU276" s="15" t="s">
        <v>426</v>
      </c>
      <c r="FB276" s="15" t="s">
        <v>2436</v>
      </c>
      <c r="GT276" s="15" t="s">
        <v>2402</v>
      </c>
      <c r="GU276" s="15" t="s">
        <v>1237</v>
      </c>
      <c r="GV276" s="15" t="s">
        <v>3332</v>
      </c>
    </row>
    <row r="277" ht="17.25" customHeight="1">
      <c r="A277" s="15" t="s">
        <v>3847</v>
      </c>
      <c r="B277" s="15" t="str">
        <f>"801542044749"</f>
        <v>801542044749</v>
      </c>
      <c r="C277" s="15" t="s">
        <v>14317</v>
      </c>
      <c r="D277" s="15" t="str">
        <f t="shared" si="1"/>
        <v>Dexter ChairGibson Silver</v>
      </c>
      <c r="E277" s="15" t="s">
        <v>3845</v>
      </c>
      <c r="F277" s="15" t="s">
        <v>397</v>
      </c>
      <c r="G277" s="15" t="s">
        <v>1821</v>
      </c>
      <c r="J277" s="15" t="s">
        <v>1821</v>
      </c>
      <c r="K277" s="15" t="s">
        <v>3853</v>
      </c>
      <c r="M277" s="15" t="s">
        <v>2800</v>
      </c>
      <c r="N277" s="15" t="s">
        <v>706</v>
      </c>
      <c r="O277" s="15" t="s">
        <v>707</v>
      </c>
      <c r="P277" s="15" t="str">
        <f t="shared" ref="P277:P278" si="821">"29.25"</f>
        <v>29.25</v>
      </c>
      <c r="Q277" s="15" t="str">
        <f t="shared" ref="Q277:Q278" si="822">"30.75"</f>
        <v>30.75</v>
      </c>
      <c r="R277" s="15" t="str">
        <f t="shared" ref="R277:R278" si="823">"28.75"</f>
        <v>28.75</v>
      </c>
      <c r="S277" s="15" t="str">
        <f t="shared" ref="S277:S278" si="824">"36.6"</f>
        <v>36.6</v>
      </c>
      <c r="T277" s="15" t="s">
        <v>3850</v>
      </c>
      <c r="U277" s="15" t="s">
        <v>12131</v>
      </c>
      <c r="V277" s="15" t="s">
        <v>12132</v>
      </c>
      <c r="W277" s="15" t="s">
        <v>14318</v>
      </c>
      <c r="AA277" s="15" t="s">
        <v>413</v>
      </c>
      <c r="AB277" s="15" t="s">
        <v>426</v>
      </c>
      <c r="AD277" s="15" t="s">
        <v>14319</v>
      </c>
      <c r="AE277" s="15" t="s">
        <v>3849</v>
      </c>
      <c r="AF277" s="15" t="s">
        <v>14320</v>
      </c>
      <c r="AG277" s="15" t="s">
        <v>14321</v>
      </c>
      <c r="AH277" s="15" t="s">
        <v>14322</v>
      </c>
      <c r="AI277" s="15" t="s">
        <v>14323</v>
      </c>
      <c r="AJ277" s="15" t="s">
        <v>14324</v>
      </c>
      <c r="AK277" s="15" t="s">
        <v>14325</v>
      </c>
      <c r="AL277" s="15" t="s">
        <v>14326</v>
      </c>
      <c r="AM277" s="15" t="s">
        <v>14327</v>
      </c>
      <c r="AN277" s="15" t="s">
        <v>14328</v>
      </c>
      <c r="AO277" s="15" t="s">
        <v>14329</v>
      </c>
      <c r="AP277" s="15" t="s">
        <v>14330</v>
      </c>
      <c r="AQ277" s="15" t="s">
        <v>14331</v>
      </c>
      <c r="AR277" s="15" t="s">
        <v>14332</v>
      </c>
      <c r="AS277" s="15" t="s">
        <v>14333</v>
      </c>
      <c r="AT277" s="15" t="s">
        <v>14334</v>
      </c>
      <c r="AU277" s="15" t="s">
        <v>14335</v>
      </c>
      <c r="AV277" s="15" t="s">
        <v>14336</v>
      </c>
      <c r="AW277" s="15" t="s">
        <v>14337</v>
      </c>
      <c r="AX277" s="15" t="s">
        <v>14338</v>
      </c>
      <c r="AY277" s="15" t="s">
        <v>14339</v>
      </c>
      <c r="AZ277" s="15" t="s">
        <v>14340</v>
      </c>
      <c r="BA277" s="15" t="s">
        <v>14341</v>
      </c>
      <c r="BB277" s="15" t="s">
        <v>14342</v>
      </c>
      <c r="BH277" s="15" t="s">
        <v>3846</v>
      </c>
      <c r="BI277" s="15" t="str">
        <f t="shared" ref="BI277:BI278" si="825">"899"</f>
        <v>899</v>
      </c>
      <c r="BJ277" s="15" t="str">
        <f t="shared" ref="BJ277:BJ278" si="826">"380"</f>
        <v>380</v>
      </c>
      <c r="BK277" s="15" t="s">
        <v>709</v>
      </c>
      <c r="BL277" s="15" t="str">
        <f t="shared" si="816"/>
        <v>1</v>
      </c>
      <c r="BM277" s="15" t="s">
        <v>416</v>
      </c>
      <c r="BN277" s="15" t="str">
        <f t="shared" ref="BN277:BN278" si="827">"31.89"</f>
        <v>31.89</v>
      </c>
      <c r="BO277" s="15" t="str">
        <f t="shared" ref="BO277:BO278" si="828">"30.71"</f>
        <v>30.71</v>
      </c>
      <c r="BP277" s="15" t="str">
        <f t="shared" ref="BP277:BP278" si="829">"31.5"</f>
        <v>31.5</v>
      </c>
      <c r="BQ277" s="15" t="str">
        <f t="shared" ref="BQ277:BQ278" si="830">"52.69"</f>
        <v>52.69</v>
      </c>
      <c r="CG277" s="15" t="str">
        <f t="shared" ref="CG277:CG278" si="831">"17.83"</f>
        <v>17.83</v>
      </c>
      <c r="CH277" s="15" t="str">
        <f t="shared" ref="CH277:CH278" si="832">"0.505"</f>
        <v>0.505</v>
      </c>
      <c r="CI277" s="15" t="s">
        <v>465</v>
      </c>
      <c r="CS277" s="15" t="s">
        <v>1068</v>
      </c>
      <c r="CT277" s="15" t="s">
        <v>716</v>
      </c>
      <c r="CV277" s="15">
        <v>0.0</v>
      </c>
      <c r="CW277" s="15">
        <v>1.0</v>
      </c>
      <c r="CX277" s="15" t="s">
        <v>717</v>
      </c>
      <c r="CY277" s="15" t="s">
        <v>855</v>
      </c>
      <c r="DF277" s="15" t="s">
        <v>721</v>
      </c>
      <c r="DG277" s="15" t="s">
        <v>419</v>
      </c>
      <c r="DH277" s="15">
        <v>0.0</v>
      </c>
      <c r="DL277" s="15">
        <v>25000.0</v>
      </c>
      <c r="DM277" s="15" t="s">
        <v>990</v>
      </c>
      <c r="DN277" s="15" t="s">
        <v>1016</v>
      </c>
      <c r="DO277" s="15" t="s">
        <v>724</v>
      </c>
      <c r="DP277" s="15">
        <v>1.0</v>
      </c>
      <c r="DQ277" s="15">
        <v>1.0</v>
      </c>
      <c r="DS277" s="15" t="s">
        <v>3855</v>
      </c>
      <c r="DT277" s="15">
        <v>0.0</v>
      </c>
      <c r="DU277" s="15" t="s">
        <v>726</v>
      </c>
      <c r="DV277" s="15" t="s">
        <v>1068</v>
      </c>
      <c r="DW277" s="15" t="s">
        <v>3856</v>
      </c>
      <c r="DX277" s="15" t="s">
        <v>1116</v>
      </c>
      <c r="EB277" s="15" t="s">
        <v>759</v>
      </c>
      <c r="EF277" s="15" t="s">
        <v>3857</v>
      </c>
      <c r="EG277" s="15" t="s">
        <v>1700</v>
      </c>
      <c r="EH277" s="15" t="s">
        <v>3858</v>
      </c>
      <c r="EI277" s="15" t="s">
        <v>670</v>
      </c>
      <c r="EL277" s="15" t="s">
        <v>1016</v>
      </c>
      <c r="EM277" s="15" t="s">
        <v>1076</v>
      </c>
      <c r="EO277" s="15" t="s">
        <v>1239</v>
      </c>
      <c r="EX277" s="15" t="s">
        <v>779</v>
      </c>
      <c r="EY277" s="15" t="s">
        <v>673</v>
      </c>
      <c r="EZ277" s="15">
        <v>0.0</v>
      </c>
      <c r="FA277" s="15">
        <v>0.0</v>
      </c>
      <c r="FC277" s="15">
        <v>0.0</v>
      </c>
    </row>
    <row r="278" ht="17.25" customHeight="1">
      <c r="A278" s="15" t="s">
        <v>3861</v>
      </c>
      <c r="B278" s="15" t="str">
        <f>"801542044756"</f>
        <v>801542044756</v>
      </c>
      <c r="C278" s="15" t="s">
        <v>14343</v>
      </c>
      <c r="D278" s="15" t="str">
        <f t="shared" si="1"/>
        <v>Dexter ChairGibson White</v>
      </c>
      <c r="E278" s="15" t="s">
        <v>3845</v>
      </c>
      <c r="F278" s="15" t="s">
        <v>397</v>
      </c>
      <c r="G278" s="15" t="s">
        <v>3860</v>
      </c>
      <c r="J278" s="15" t="s">
        <v>3860</v>
      </c>
      <c r="K278" s="15" t="s">
        <v>3863</v>
      </c>
      <c r="M278" s="15" t="s">
        <v>2800</v>
      </c>
      <c r="N278" s="15" t="s">
        <v>706</v>
      </c>
      <c r="O278" s="15" t="s">
        <v>707</v>
      </c>
      <c r="P278" s="15" t="str">
        <f t="shared" si="821"/>
        <v>29.25</v>
      </c>
      <c r="Q278" s="15" t="str">
        <f t="shared" si="822"/>
        <v>30.75</v>
      </c>
      <c r="R278" s="15" t="str">
        <f t="shared" si="823"/>
        <v>28.75</v>
      </c>
      <c r="S278" s="15" t="str">
        <f t="shared" si="824"/>
        <v>36.6</v>
      </c>
      <c r="T278" s="15" t="s">
        <v>3850</v>
      </c>
      <c r="U278" s="15" t="s">
        <v>12131</v>
      </c>
      <c r="V278" s="15" t="s">
        <v>12132</v>
      </c>
      <c r="W278" s="15" t="s">
        <v>14318</v>
      </c>
      <c r="AA278" s="15" t="s">
        <v>426</v>
      </c>
      <c r="AB278" s="15" t="s">
        <v>426</v>
      </c>
      <c r="AC278" s="15" t="s">
        <v>3864</v>
      </c>
      <c r="AD278" s="15" t="s">
        <v>14344</v>
      </c>
      <c r="AE278" s="15" t="s">
        <v>3862</v>
      </c>
      <c r="AF278" s="15" t="s">
        <v>14345</v>
      </c>
      <c r="AG278" s="15" t="s">
        <v>14346</v>
      </c>
      <c r="AH278" s="15" t="s">
        <v>14347</v>
      </c>
      <c r="AI278" s="15" t="s">
        <v>14348</v>
      </c>
      <c r="AJ278" s="15" t="s">
        <v>14349</v>
      </c>
      <c r="AK278" s="15" t="s">
        <v>14350</v>
      </c>
      <c r="AL278" s="15" t="s">
        <v>14351</v>
      </c>
      <c r="AM278" s="15" t="s">
        <v>14352</v>
      </c>
      <c r="AN278" s="15" t="s">
        <v>14353</v>
      </c>
      <c r="AO278" s="15" t="s">
        <v>14354</v>
      </c>
      <c r="AP278" s="15" t="s">
        <v>14355</v>
      </c>
      <c r="AQ278" s="15" t="s">
        <v>14356</v>
      </c>
      <c r="AR278" s="15" t="s">
        <v>14357</v>
      </c>
      <c r="BH278" s="15" t="s">
        <v>3859</v>
      </c>
      <c r="BI278" s="15" t="str">
        <f t="shared" si="825"/>
        <v>899</v>
      </c>
      <c r="BJ278" s="15" t="str">
        <f t="shared" si="826"/>
        <v>380</v>
      </c>
      <c r="BK278" s="15" t="s">
        <v>709</v>
      </c>
      <c r="BL278" s="15" t="str">
        <f t="shared" si="816"/>
        <v>1</v>
      </c>
      <c r="BM278" s="15" t="s">
        <v>416</v>
      </c>
      <c r="BN278" s="15" t="str">
        <f t="shared" si="827"/>
        <v>31.89</v>
      </c>
      <c r="BO278" s="15" t="str">
        <f t="shared" si="828"/>
        <v>30.71</v>
      </c>
      <c r="BP278" s="15" t="str">
        <f t="shared" si="829"/>
        <v>31.5</v>
      </c>
      <c r="BQ278" s="15" t="str">
        <f t="shared" si="830"/>
        <v>52.69</v>
      </c>
      <c r="CG278" s="15" t="str">
        <f t="shared" si="831"/>
        <v>17.83</v>
      </c>
      <c r="CH278" s="15" t="str">
        <f t="shared" si="832"/>
        <v>0.505</v>
      </c>
      <c r="CI278" s="15" t="s">
        <v>497</v>
      </c>
      <c r="CS278" s="15" t="s">
        <v>1068</v>
      </c>
      <c r="CT278" s="15" t="s">
        <v>716</v>
      </c>
      <c r="CV278" s="15">
        <v>0.0</v>
      </c>
      <c r="CW278" s="15">
        <v>1.0</v>
      </c>
      <c r="CX278" s="15" t="s">
        <v>717</v>
      </c>
      <c r="CY278" s="15" t="s">
        <v>855</v>
      </c>
      <c r="DF278" s="15" t="s">
        <v>721</v>
      </c>
      <c r="DG278" s="15" t="s">
        <v>419</v>
      </c>
      <c r="DH278" s="15">
        <v>0.0</v>
      </c>
      <c r="DL278" s="15">
        <v>25000.0</v>
      </c>
      <c r="DM278" s="15" t="s">
        <v>990</v>
      </c>
      <c r="DN278" s="15" t="s">
        <v>1016</v>
      </c>
      <c r="DO278" s="15" t="s">
        <v>724</v>
      </c>
      <c r="DP278" s="15">
        <v>1.0</v>
      </c>
      <c r="DQ278" s="15">
        <v>1.0</v>
      </c>
      <c r="DS278" s="15" t="s">
        <v>3855</v>
      </c>
      <c r="DT278" s="15">
        <v>0.0</v>
      </c>
      <c r="DU278" s="15" t="s">
        <v>726</v>
      </c>
      <c r="DV278" s="15" t="s">
        <v>1068</v>
      </c>
      <c r="DW278" s="15" t="s">
        <v>3856</v>
      </c>
      <c r="DX278" s="15" t="s">
        <v>1116</v>
      </c>
      <c r="EB278" s="15" t="s">
        <v>759</v>
      </c>
      <c r="EF278" s="15" t="s">
        <v>3857</v>
      </c>
      <c r="EG278" s="15" t="s">
        <v>1700</v>
      </c>
      <c r="EH278" s="15" t="s">
        <v>3858</v>
      </c>
      <c r="EI278" s="15" t="s">
        <v>670</v>
      </c>
      <c r="EL278" s="15" t="s">
        <v>1016</v>
      </c>
      <c r="EM278" s="15" t="s">
        <v>1076</v>
      </c>
      <c r="EO278" s="15" t="s">
        <v>1239</v>
      </c>
      <c r="EX278" s="15" t="s">
        <v>779</v>
      </c>
      <c r="EY278" s="15" t="s">
        <v>673</v>
      </c>
      <c r="EZ278" s="15">
        <v>0.0</v>
      </c>
      <c r="FA278" s="15">
        <v>0.0</v>
      </c>
      <c r="FC278" s="15">
        <v>0.0</v>
      </c>
    </row>
    <row r="279" ht="17.25" customHeight="1">
      <c r="A279" s="15" t="s">
        <v>3867</v>
      </c>
      <c r="B279" s="15" t="str">
        <f>"801542023164"</f>
        <v>801542023164</v>
      </c>
      <c r="C279" s="15" t="s">
        <v>14358</v>
      </c>
      <c r="D279" s="15" t="str">
        <f t="shared" si="1"/>
        <v>Diana ChairHeirloom Black</v>
      </c>
      <c r="E279" s="15" t="s">
        <v>3865</v>
      </c>
      <c r="F279" s="15" t="s">
        <v>397</v>
      </c>
      <c r="G279" s="15" t="s">
        <v>2575</v>
      </c>
      <c r="J279" s="15" t="s">
        <v>2575</v>
      </c>
      <c r="K279" s="15" t="s">
        <v>978</v>
      </c>
      <c r="M279" s="15" t="s">
        <v>915</v>
      </c>
      <c r="N279" s="15" t="s">
        <v>706</v>
      </c>
      <c r="O279" s="15" t="s">
        <v>707</v>
      </c>
      <c r="P279" s="15" t="str">
        <f t="shared" ref="P279:P280" si="833">"30.5"</f>
        <v>30.5</v>
      </c>
      <c r="Q279" s="15" t="str">
        <f t="shared" ref="Q279:Q283" si="834">"36"</f>
        <v>36</v>
      </c>
      <c r="R279" s="15" t="str">
        <f t="shared" ref="R279:R283" si="835">"32"</f>
        <v>32</v>
      </c>
      <c r="S279" s="15" t="str">
        <f t="shared" ref="S279:S280" si="836">"52.91"</f>
        <v>52.91</v>
      </c>
      <c r="T279" s="15" t="s">
        <v>975</v>
      </c>
      <c r="U279" s="15" t="s">
        <v>11137</v>
      </c>
      <c r="V279" s="15" t="s">
        <v>11210</v>
      </c>
      <c r="AA279" s="15" t="s">
        <v>413</v>
      </c>
      <c r="AB279" s="15" t="s">
        <v>413</v>
      </c>
      <c r="AC279" s="15" t="s">
        <v>3870</v>
      </c>
      <c r="AD279" s="15" t="s">
        <v>14359</v>
      </c>
      <c r="AE279" s="15" t="s">
        <v>3869</v>
      </c>
      <c r="AF279" s="15" t="s">
        <v>14360</v>
      </c>
      <c r="AG279" s="15" t="s">
        <v>14361</v>
      </c>
      <c r="AH279" s="15" t="s">
        <v>14362</v>
      </c>
      <c r="AI279" s="15" t="s">
        <v>14363</v>
      </c>
      <c r="AJ279" s="15" t="s">
        <v>14364</v>
      </c>
      <c r="AK279" s="15" t="s">
        <v>14365</v>
      </c>
      <c r="AL279" s="15" t="s">
        <v>14366</v>
      </c>
      <c r="AM279" s="15" t="s">
        <v>14367</v>
      </c>
      <c r="AN279" s="15" t="s">
        <v>14368</v>
      </c>
      <c r="AO279" s="15" t="s">
        <v>14369</v>
      </c>
      <c r="BH279" s="15" t="s">
        <v>3866</v>
      </c>
      <c r="BI279" s="15" t="str">
        <f>"1649"</f>
        <v>1649</v>
      </c>
      <c r="BJ279" s="15" t="str">
        <f>"695"</f>
        <v>695</v>
      </c>
      <c r="BK279" s="15" t="s">
        <v>709</v>
      </c>
      <c r="BL279" s="15" t="str">
        <f t="shared" si="816"/>
        <v>1</v>
      </c>
      <c r="BM279" s="15" t="s">
        <v>416</v>
      </c>
      <c r="BN279" s="15" t="str">
        <f t="shared" ref="BN279:BN280" si="837">"36.42"</f>
        <v>36.42</v>
      </c>
      <c r="BO279" s="15" t="str">
        <f t="shared" ref="BO279:BO280" si="838">"33.07"</f>
        <v>33.07</v>
      </c>
      <c r="BP279" s="15" t="str">
        <f t="shared" ref="BP279:BP280" si="839">"30.71"</f>
        <v>30.71</v>
      </c>
      <c r="BQ279" s="15" t="str">
        <f t="shared" ref="BQ279:BQ280" si="840">"71.65"</f>
        <v>71.65</v>
      </c>
      <c r="CG279" s="15" t="str">
        <f t="shared" ref="CG279:CG280" si="841">"21.4"</f>
        <v>21.4</v>
      </c>
      <c r="CH279" s="15" t="str">
        <f t="shared" ref="CH279:CH280" si="842">"0.606"</f>
        <v>0.606</v>
      </c>
      <c r="CI279" s="15" t="s">
        <v>417</v>
      </c>
      <c r="CP279" s="15" t="s">
        <v>2839</v>
      </c>
      <c r="CQ279" s="15" t="s">
        <v>429</v>
      </c>
      <c r="CR279" s="15" t="s">
        <v>1072</v>
      </c>
      <c r="CS279" s="15" t="s">
        <v>1286</v>
      </c>
      <c r="CT279" s="15" t="s">
        <v>467</v>
      </c>
      <c r="CU279" s="15" t="s">
        <v>1072</v>
      </c>
      <c r="CV279" s="15">
        <v>0.0</v>
      </c>
      <c r="CW279" s="15">
        <v>1.0</v>
      </c>
      <c r="CX279" s="15" t="s">
        <v>717</v>
      </c>
      <c r="CY279" s="15" t="s">
        <v>718</v>
      </c>
      <c r="DC279" s="15" t="s">
        <v>1239</v>
      </c>
      <c r="DF279" s="15" t="s">
        <v>721</v>
      </c>
      <c r="DG279" s="15" t="s">
        <v>419</v>
      </c>
      <c r="DH279" s="15">
        <v>0.0</v>
      </c>
      <c r="DL279" s="15">
        <v>0.0</v>
      </c>
      <c r="DM279" s="15" t="s">
        <v>990</v>
      </c>
      <c r="DN279" s="15" t="s">
        <v>723</v>
      </c>
      <c r="DO279" s="15" t="s">
        <v>724</v>
      </c>
      <c r="DP279" s="15">
        <v>1.0</v>
      </c>
      <c r="DQ279" s="15">
        <v>1.0</v>
      </c>
      <c r="DS279" s="15" t="s">
        <v>3872</v>
      </c>
      <c r="DT279" s="15">
        <v>0.0</v>
      </c>
      <c r="DU279" s="15" t="s">
        <v>726</v>
      </c>
      <c r="DV279" s="15" t="s">
        <v>1212</v>
      </c>
      <c r="DW279" s="15" t="s">
        <v>762</v>
      </c>
      <c r="DX279" s="15" t="s">
        <v>2839</v>
      </c>
      <c r="EB279" s="15" t="s">
        <v>3545</v>
      </c>
      <c r="EC279" s="15" t="s">
        <v>505</v>
      </c>
      <c r="ED279" s="15" t="s">
        <v>504</v>
      </c>
      <c r="EE279" s="15" t="s">
        <v>1072</v>
      </c>
      <c r="EF279" s="15" t="s">
        <v>2805</v>
      </c>
      <c r="EG279" s="15" t="s">
        <v>2314</v>
      </c>
      <c r="EH279" s="15" t="s">
        <v>1574</v>
      </c>
      <c r="EI279" s="15" t="s">
        <v>1288</v>
      </c>
      <c r="EL279" s="15" t="s">
        <v>723</v>
      </c>
      <c r="EM279" s="15" t="s">
        <v>724</v>
      </c>
      <c r="EN279" s="15" t="s">
        <v>1289</v>
      </c>
      <c r="EO279" s="15" t="s">
        <v>1290</v>
      </c>
      <c r="EU279" s="15" t="s">
        <v>426</v>
      </c>
      <c r="EZ279" s="15">
        <v>0.0</v>
      </c>
      <c r="FA279" s="15">
        <v>0.0</v>
      </c>
      <c r="FC279" s="15">
        <v>0.0</v>
      </c>
    </row>
    <row r="280" ht="17.25" customHeight="1">
      <c r="A280" s="15" t="s">
        <v>3875</v>
      </c>
      <c r="B280" s="15" t="str">
        <f>"801542460648"</f>
        <v>801542460648</v>
      </c>
      <c r="C280" s="15" t="s">
        <v>14370</v>
      </c>
      <c r="D280" s="15" t="str">
        <f t="shared" si="1"/>
        <v>Diana ChairSonoma Butterscotch</v>
      </c>
      <c r="E280" s="15" t="s">
        <v>3865</v>
      </c>
      <c r="F280" s="15" t="s">
        <v>397</v>
      </c>
      <c r="G280" s="15" t="s">
        <v>3874</v>
      </c>
      <c r="J280" s="15" t="s">
        <v>3874</v>
      </c>
      <c r="K280" s="15" t="s">
        <v>1278</v>
      </c>
      <c r="M280" s="15" t="s">
        <v>915</v>
      </c>
      <c r="N280" s="15" t="s">
        <v>706</v>
      </c>
      <c r="O280" s="15" t="s">
        <v>707</v>
      </c>
      <c r="P280" s="15" t="str">
        <f t="shared" si="833"/>
        <v>30.5</v>
      </c>
      <c r="Q280" s="15" t="str">
        <f t="shared" si="834"/>
        <v>36</v>
      </c>
      <c r="R280" s="15" t="str">
        <f t="shared" si="835"/>
        <v>32</v>
      </c>
      <c r="S280" s="15" t="str">
        <f t="shared" si="836"/>
        <v>52.91</v>
      </c>
      <c r="T280" s="15" t="s">
        <v>975</v>
      </c>
      <c r="U280" s="15" t="s">
        <v>11137</v>
      </c>
      <c r="V280" s="15" t="s">
        <v>11210</v>
      </c>
      <c r="AA280" s="15" t="s">
        <v>413</v>
      </c>
      <c r="AB280" s="15" t="s">
        <v>413</v>
      </c>
      <c r="AC280" s="15" t="s">
        <v>3877</v>
      </c>
      <c r="AD280" s="15" t="s">
        <v>14371</v>
      </c>
      <c r="AE280" s="15" t="s">
        <v>3876</v>
      </c>
      <c r="AF280" s="15" t="s">
        <v>14372</v>
      </c>
      <c r="AG280" s="15" t="s">
        <v>14373</v>
      </c>
      <c r="AH280" s="15" t="s">
        <v>14374</v>
      </c>
      <c r="AI280" s="15" t="s">
        <v>14375</v>
      </c>
      <c r="AJ280" s="15" t="s">
        <v>14376</v>
      </c>
      <c r="AK280" s="15" t="s">
        <v>14377</v>
      </c>
      <c r="AL280" s="15" t="s">
        <v>14378</v>
      </c>
      <c r="AM280" s="15" t="s">
        <v>14379</v>
      </c>
      <c r="AN280" s="15" t="s">
        <v>14380</v>
      </c>
      <c r="AO280" s="15" t="s">
        <v>14381</v>
      </c>
      <c r="BH280" s="15" t="s">
        <v>3873</v>
      </c>
      <c r="BI280" s="15" t="str">
        <f>"1749"</f>
        <v>1749</v>
      </c>
      <c r="BJ280" s="15" t="str">
        <f>"735"</f>
        <v>735</v>
      </c>
      <c r="BK280" s="15" t="s">
        <v>709</v>
      </c>
      <c r="BL280" s="15" t="str">
        <f t="shared" si="816"/>
        <v>1</v>
      </c>
      <c r="BM280" s="15" t="s">
        <v>416</v>
      </c>
      <c r="BN280" s="15" t="str">
        <f t="shared" si="837"/>
        <v>36.42</v>
      </c>
      <c r="BO280" s="15" t="str">
        <f t="shared" si="838"/>
        <v>33.07</v>
      </c>
      <c r="BP280" s="15" t="str">
        <f t="shared" si="839"/>
        <v>30.71</v>
      </c>
      <c r="BQ280" s="15" t="str">
        <f t="shared" si="840"/>
        <v>71.65</v>
      </c>
      <c r="CG280" s="15" t="str">
        <f t="shared" si="841"/>
        <v>21.4</v>
      </c>
      <c r="CH280" s="15" t="str">
        <f t="shared" si="842"/>
        <v>0.606</v>
      </c>
      <c r="CI280" s="15" t="s">
        <v>497</v>
      </c>
      <c r="CP280" s="15" t="s">
        <v>2839</v>
      </c>
      <c r="CQ280" s="15" t="s">
        <v>429</v>
      </c>
      <c r="CR280" s="15" t="s">
        <v>1072</v>
      </c>
      <c r="CS280" s="15" t="s">
        <v>1286</v>
      </c>
      <c r="CT280" s="15" t="s">
        <v>467</v>
      </c>
      <c r="CU280" s="15" t="s">
        <v>1072</v>
      </c>
      <c r="CV280" s="15">
        <v>0.0</v>
      </c>
      <c r="CW280" s="15">
        <v>1.0</v>
      </c>
      <c r="CX280" s="15" t="s">
        <v>717</v>
      </c>
      <c r="CY280" s="15" t="s">
        <v>718</v>
      </c>
      <c r="DC280" s="15" t="s">
        <v>1239</v>
      </c>
      <c r="DF280" s="15" t="s">
        <v>721</v>
      </c>
      <c r="DG280" s="15" t="s">
        <v>419</v>
      </c>
      <c r="DH280" s="15">
        <v>0.0</v>
      </c>
      <c r="DL280" s="15">
        <v>0.0</v>
      </c>
      <c r="DM280" s="15" t="s">
        <v>990</v>
      </c>
      <c r="DN280" s="15" t="s">
        <v>723</v>
      </c>
      <c r="DO280" s="15" t="s">
        <v>724</v>
      </c>
      <c r="DP280" s="15">
        <v>1.0</v>
      </c>
      <c r="DQ280" s="15">
        <v>1.0</v>
      </c>
      <c r="DS280" s="15" t="s">
        <v>3872</v>
      </c>
      <c r="DT280" s="15">
        <v>0.0</v>
      </c>
      <c r="DU280" s="15" t="s">
        <v>726</v>
      </c>
      <c r="DV280" s="15" t="s">
        <v>1212</v>
      </c>
      <c r="DW280" s="15" t="s">
        <v>762</v>
      </c>
      <c r="DX280" s="15" t="s">
        <v>2839</v>
      </c>
      <c r="EB280" s="15" t="s">
        <v>3545</v>
      </c>
      <c r="EC280" s="15" t="s">
        <v>505</v>
      </c>
      <c r="ED280" s="15" t="s">
        <v>504</v>
      </c>
      <c r="EE280" s="15" t="s">
        <v>1072</v>
      </c>
      <c r="EF280" s="15" t="s">
        <v>2805</v>
      </c>
      <c r="EG280" s="15" t="s">
        <v>2314</v>
      </c>
      <c r="EH280" s="15" t="s">
        <v>1574</v>
      </c>
      <c r="EI280" s="15" t="s">
        <v>1288</v>
      </c>
      <c r="EL280" s="15" t="s">
        <v>723</v>
      </c>
      <c r="EM280" s="15" t="s">
        <v>724</v>
      </c>
      <c r="EN280" s="15" t="s">
        <v>1289</v>
      </c>
      <c r="EO280" s="15" t="s">
        <v>1290</v>
      </c>
      <c r="EU280" s="15" t="s">
        <v>426</v>
      </c>
      <c r="EZ280" s="15">
        <v>0.0</v>
      </c>
      <c r="FA280" s="15">
        <v>0.0</v>
      </c>
      <c r="FC280" s="15">
        <v>0.0</v>
      </c>
    </row>
    <row r="281" ht="17.25" customHeight="1">
      <c r="A281" s="15" t="s">
        <v>3880</v>
      </c>
      <c r="B281" s="15" t="str">
        <f>"801542046712"</f>
        <v>801542046712</v>
      </c>
      <c r="C281" s="15" t="s">
        <v>14382</v>
      </c>
      <c r="D281" s="15" t="str">
        <f t="shared" si="1"/>
        <v>Diana SofaHeirloom Black</v>
      </c>
      <c r="E281" s="15" t="s">
        <v>3878</v>
      </c>
      <c r="F281" s="15" t="s">
        <v>397</v>
      </c>
      <c r="G281" s="15" t="s">
        <v>2575</v>
      </c>
      <c r="J281" s="15" t="s">
        <v>2575</v>
      </c>
      <c r="K281" s="15" t="s">
        <v>978</v>
      </c>
      <c r="M281" s="15" t="s">
        <v>915</v>
      </c>
      <c r="N281" s="15" t="s">
        <v>1732</v>
      </c>
      <c r="P281" s="15" t="str">
        <f t="shared" ref="P281:P283" si="843">"84"</f>
        <v>84</v>
      </c>
      <c r="Q281" s="15" t="str">
        <f t="shared" si="834"/>
        <v>36</v>
      </c>
      <c r="R281" s="15" t="str">
        <f t="shared" si="835"/>
        <v>32</v>
      </c>
      <c r="S281" s="15" t="str">
        <f t="shared" ref="S281:S283" si="844">"134.48"</f>
        <v>134.48</v>
      </c>
      <c r="T281" s="15" t="s">
        <v>975</v>
      </c>
      <c r="U281" s="15" t="s">
        <v>11137</v>
      </c>
      <c r="V281" s="15" t="s">
        <v>11210</v>
      </c>
      <c r="AA281" s="15" t="s">
        <v>413</v>
      </c>
      <c r="AB281" s="15" t="s">
        <v>413</v>
      </c>
      <c r="AC281" s="15" t="s">
        <v>3883</v>
      </c>
      <c r="AD281" s="15" t="s">
        <v>14383</v>
      </c>
      <c r="AE281" s="15" t="s">
        <v>3882</v>
      </c>
      <c r="AF281" s="15" t="s">
        <v>14384</v>
      </c>
      <c r="AG281" s="15" t="s">
        <v>14385</v>
      </c>
      <c r="AH281" s="15" t="s">
        <v>14386</v>
      </c>
      <c r="AI281" s="15" t="s">
        <v>14387</v>
      </c>
      <c r="AJ281" s="15" t="s">
        <v>14388</v>
      </c>
      <c r="AK281" s="15" t="s">
        <v>14389</v>
      </c>
      <c r="AL281" s="15" t="s">
        <v>14390</v>
      </c>
      <c r="AM281" s="15" t="s">
        <v>14391</v>
      </c>
      <c r="AN281" s="15" t="s">
        <v>14392</v>
      </c>
      <c r="AO281" s="15" t="s">
        <v>14393</v>
      </c>
      <c r="AP281" s="15" t="s">
        <v>14394</v>
      </c>
      <c r="AQ281" s="15" t="s">
        <v>14395</v>
      </c>
      <c r="BH281" s="15" t="s">
        <v>3879</v>
      </c>
      <c r="BI281" s="15" t="str">
        <f>"3099"</f>
        <v>3099</v>
      </c>
      <c r="BJ281" s="15" t="str">
        <f>"1305"</f>
        <v>1305</v>
      </c>
      <c r="BK281" s="15" t="s">
        <v>709</v>
      </c>
      <c r="BL281" s="15" t="str">
        <f t="shared" si="816"/>
        <v>1</v>
      </c>
      <c r="BM281" s="15" t="s">
        <v>416</v>
      </c>
      <c r="BN281" s="15" t="str">
        <f t="shared" ref="BN281:BN283" si="845">"87.01"</f>
        <v>87.01</v>
      </c>
      <c r="BO281" s="15" t="str">
        <f t="shared" ref="BO281:BO283" si="846">"36.61"</f>
        <v>36.61</v>
      </c>
      <c r="BP281" s="15" t="str">
        <f t="shared" ref="BP281:BP283" si="847">"30.91"</f>
        <v>30.91</v>
      </c>
      <c r="BQ281" s="15" t="str">
        <f t="shared" ref="BQ281:BQ283" si="848">"167.55"</f>
        <v>167.55</v>
      </c>
      <c r="CG281" s="15" t="str">
        <f t="shared" ref="CG281:CG283" si="849">"56.96"</f>
        <v>56.96</v>
      </c>
      <c r="CH281" s="15" t="str">
        <f t="shared" ref="CH281:CH283" si="850">"1.613"</f>
        <v>1.613</v>
      </c>
      <c r="CI281" s="15" t="s">
        <v>417</v>
      </c>
      <c r="CP281" s="15" t="s">
        <v>2314</v>
      </c>
      <c r="CQ281" s="15" t="s">
        <v>2116</v>
      </c>
      <c r="CR281" s="15" t="s">
        <v>2385</v>
      </c>
      <c r="CS281" s="15" t="s">
        <v>1286</v>
      </c>
      <c r="CT281" s="15" t="s">
        <v>3748</v>
      </c>
      <c r="CU281" s="15" t="s">
        <v>1755</v>
      </c>
      <c r="CV281" s="15">
        <v>0.0</v>
      </c>
      <c r="CW281" s="15">
        <v>2.0</v>
      </c>
      <c r="CX281" s="15" t="s">
        <v>717</v>
      </c>
      <c r="CY281" s="15" t="s">
        <v>718</v>
      </c>
      <c r="DC281" s="15" t="s">
        <v>860</v>
      </c>
      <c r="DF281" s="15" t="s">
        <v>721</v>
      </c>
      <c r="DG281" s="15" t="s">
        <v>419</v>
      </c>
      <c r="DH281" s="15">
        <v>0.0</v>
      </c>
      <c r="DL281" s="15">
        <v>0.0</v>
      </c>
      <c r="DM281" s="15" t="s">
        <v>990</v>
      </c>
      <c r="DN281" s="15" t="s">
        <v>723</v>
      </c>
      <c r="DO281" s="15" t="s">
        <v>724</v>
      </c>
      <c r="DP281" s="15">
        <v>2.0</v>
      </c>
      <c r="DQ281" s="15">
        <v>4.0</v>
      </c>
      <c r="DS281" s="15" t="s">
        <v>3872</v>
      </c>
      <c r="DT281" s="15">
        <v>0.0</v>
      </c>
      <c r="DU281" s="15" t="s">
        <v>588</v>
      </c>
      <c r="DV281" s="15" t="s">
        <v>1212</v>
      </c>
      <c r="DW281" s="15" t="s">
        <v>762</v>
      </c>
      <c r="DX281" s="15" t="s">
        <v>2839</v>
      </c>
      <c r="EB281" s="15" t="s">
        <v>3545</v>
      </c>
      <c r="EC281" s="15" t="s">
        <v>2402</v>
      </c>
      <c r="ED281" s="15" t="s">
        <v>504</v>
      </c>
      <c r="EE281" s="15" t="s">
        <v>2385</v>
      </c>
      <c r="EF281" s="15" t="s">
        <v>2805</v>
      </c>
      <c r="EG281" s="15" t="s">
        <v>2314</v>
      </c>
      <c r="EH281" s="15" t="s">
        <v>867</v>
      </c>
      <c r="EI281" s="15" t="s">
        <v>1288</v>
      </c>
      <c r="EL281" s="15" t="s">
        <v>723</v>
      </c>
      <c r="EM281" s="15" t="s">
        <v>724</v>
      </c>
      <c r="EN281" s="15" t="s">
        <v>3386</v>
      </c>
      <c r="EO281" s="15" t="s">
        <v>997</v>
      </c>
    </row>
    <row r="282" ht="17.25" customHeight="1">
      <c r="A282" s="15" t="s">
        <v>3888</v>
      </c>
      <c r="B282" s="15" t="str">
        <f>"801542737498"</f>
        <v>801542737498</v>
      </c>
      <c r="C282" s="15" t="s">
        <v>14396</v>
      </c>
      <c r="D282" s="15" t="str">
        <f t="shared" si="1"/>
        <v>Diana SofaPalermo Nude</v>
      </c>
      <c r="E282" s="15" t="s">
        <v>3878</v>
      </c>
      <c r="F282" s="15" t="s">
        <v>397</v>
      </c>
      <c r="G282" s="15" t="s">
        <v>3262</v>
      </c>
      <c r="J282" s="15" t="s">
        <v>3262</v>
      </c>
      <c r="K282" s="15" t="s">
        <v>1342</v>
      </c>
      <c r="M282" s="15" t="s">
        <v>915</v>
      </c>
      <c r="N282" s="15" t="s">
        <v>1732</v>
      </c>
      <c r="P282" s="15" t="str">
        <f t="shared" si="843"/>
        <v>84</v>
      </c>
      <c r="Q282" s="15" t="str">
        <f t="shared" si="834"/>
        <v>36</v>
      </c>
      <c r="R282" s="15" t="str">
        <f t="shared" si="835"/>
        <v>32</v>
      </c>
      <c r="S282" s="15" t="str">
        <f t="shared" si="844"/>
        <v>134.48</v>
      </c>
      <c r="T282" s="15" t="s">
        <v>1341</v>
      </c>
      <c r="U282" s="15" t="s">
        <v>11137</v>
      </c>
      <c r="V282" s="15" t="s">
        <v>11138</v>
      </c>
      <c r="AA282" s="15" t="s">
        <v>413</v>
      </c>
      <c r="AB282" s="15" t="s">
        <v>413</v>
      </c>
      <c r="AD282" s="15" t="s">
        <v>14397</v>
      </c>
      <c r="AE282" s="15" t="s">
        <v>3889</v>
      </c>
      <c r="AF282" s="15" t="s">
        <v>14398</v>
      </c>
      <c r="AG282" s="15" t="s">
        <v>14399</v>
      </c>
      <c r="AH282" s="15" t="s">
        <v>14400</v>
      </c>
      <c r="AI282" s="15" t="s">
        <v>14401</v>
      </c>
      <c r="AJ282" s="15" t="s">
        <v>14402</v>
      </c>
      <c r="AK282" s="15" t="s">
        <v>14403</v>
      </c>
      <c r="AL282" s="15" t="s">
        <v>14404</v>
      </c>
      <c r="AM282" s="15" t="s">
        <v>14405</v>
      </c>
      <c r="AN282" s="15" t="s">
        <v>14406</v>
      </c>
      <c r="AO282" s="15" t="s">
        <v>14407</v>
      </c>
      <c r="AP282" s="15" t="s">
        <v>14408</v>
      </c>
      <c r="BH282" s="15" t="s">
        <v>3887</v>
      </c>
      <c r="BI282" s="15" t="str">
        <f t="shared" ref="BI282:BI283" si="851">"3499"</f>
        <v>3499</v>
      </c>
      <c r="BJ282" s="15" t="str">
        <f t="shared" ref="BJ282:BJ283" si="852">"1470"</f>
        <v>1470</v>
      </c>
      <c r="BK282" s="15" t="s">
        <v>709</v>
      </c>
      <c r="BL282" s="15" t="str">
        <f t="shared" si="816"/>
        <v>1</v>
      </c>
      <c r="BM282" s="15" t="s">
        <v>416</v>
      </c>
      <c r="BN282" s="15" t="str">
        <f t="shared" si="845"/>
        <v>87.01</v>
      </c>
      <c r="BO282" s="15" t="str">
        <f t="shared" si="846"/>
        <v>36.61</v>
      </c>
      <c r="BP282" s="15" t="str">
        <f t="shared" si="847"/>
        <v>30.91</v>
      </c>
      <c r="BQ282" s="15" t="str">
        <f t="shared" si="848"/>
        <v>167.55</v>
      </c>
      <c r="CG282" s="15" t="str">
        <f t="shared" si="849"/>
        <v>56.96</v>
      </c>
      <c r="CH282" s="15" t="str">
        <f t="shared" si="850"/>
        <v>1.613</v>
      </c>
      <c r="CI282" s="15" t="s">
        <v>417</v>
      </c>
      <c r="CP282" s="15" t="s">
        <v>2314</v>
      </c>
      <c r="CQ282" s="15" t="s">
        <v>2116</v>
      </c>
      <c r="CR282" s="15" t="s">
        <v>2385</v>
      </c>
      <c r="CS282" s="15" t="s">
        <v>1286</v>
      </c>
      <c r="CT282" s="15" t="s">
        <v>3748</v>
      </c>
      <c r="CU282" s="15" t="s">
        <v>1755</v>
      </c>
      <c r="CV282" s="15">
        <v>0.0</v>
      </c>
      <c r="CW282" s="15">
        <v>2.0</v>
      </c>
      <c r="CX282" s="15" t="s">
        <v>717</v>
      </c>
      <c r="CY282" s="15" t="s">
        <v>718</v>
      </c>
      <c r="DC282" s="15" t="s">
        <v>860</v>
      </c>
      <c r="DF282" s="15" t="s">
        <v>721</v>
      </c>
      <c r="DG282" s="15" t="s">
        <v>419</v>
      </c>
      <c r="DH282" s="15">
        <v>0.0</v>
      </c>
      <c r="DL282" s="15">
        <v>0.0</v>
      </c>
      <c r="DM282" s="15" t="s">
        <v>990</v>
      </c>
      <c r="DN282" s="15" t="s">
        <v>723</v>
      </c>
      <c r="DO282" s="15" t="s">
        <v>724</v>
      </c>
      <c r="DP282" s="15">
        <v>2.0</v>
      </c>
      <c r="DQ282" s="15">
        <v>4.0</v>
      </c>
      <c r="DS282" s="15" t="s">
        <v>3872</v>
      </c>
      <c r="DT282" s="15">
        <v>0.0</v>
      </c>
      <c r="DU282" s="15" t="s">
        <v>588</v>
      </c>
      <c r="DV282" s="15" t="s">
        <v>1212</v>
      </c>
      <c r="DW282" s="15" t="s">
        <v>762</v>
      </c>
      <c r="DX282" s="15" t="s">
        <v>2839</v>
      </c>
      <c r="EB282" s="15" t="s">
        <v>3545</v>
      </c>
      <c r="EC282" s="15" t="s">
        <v>2402</v>
      </c>
      <c r="ED282" s="15" t="s">
        <v>504</v>
      </c>
      <c r="EE282" s="15" t="s">
        <v>2385</v>
      </c>
      <c r="EF282" s="15" t="s">
        <v>2805</v>
      </c>
      <c r="EG282" s="15" t="s">
        <v>2314</v>
      </c>
      <c r="EH282" s="15" t="s">
        <v>867</v>
      </c>
      <c r="EI282" s="15" t="s">
        <v>1288</v>
      </c>
      <c r="EL282" s="15" t="s">
        <v>723</v>
      </c>
      <c r="EM282" s="15" t="s">
        <v>724</v>
      </c>
      <c r="EN282" s="15" t="s">
        <v>3386</v>
      </c>
      <c r="EO282" s="15" t="s">
        <v>997</v>
      </c>
    </row>
    <row r="283" ht="17.25" customHeight="1">
      <c r="A283" s="15" t="s">
        <v>3891</v>
      </c>
      <c r="B283" s="15" t="str">
        <f>"801542744298"</f>
        <v>801542744298</v>
      </c>
      <c r="C283" s="15" t="s">
        <v>14409</v>
      </c>
      <c r="D283" s="15" t="str">
        <f t="shared" si="1"/>
        <v>Diana SofaSonoma Butterscotch</v>
      </c>
      <c r="E283" s="15" t="s">
        <v>3878</v>
      </c>
      <c r="F283" s="15" t="s">
        <v>397</v>
      </c>
      <c r="G283" s="15" t="s">
        <v>3874</v>
      </c>
      <c r="J283" s="15" t="s">
        <v>3874</v>
      </c>
      <c r="K283" s="15" t="s">
        <v>1278</v>
      </c>
      <c r="M283" s="15" t="s">
        <v>915</v>
      </c>
      <c r="N283" s="15" t="s">
        <v>1732</v>
      </c>
      <c r="P283" s="15" t="str">
        <f t="shared" si="843"/>
        <v>84</v>
      </c>
      <c r="Q283" s="15" t="str">
        <f t="shared" si="834"/>
        <v>36</v>
      </c>
      <c r="R283" s="15" t="str">
        <f t="shared" si="835"/>
        <v>32</v>
      </c>
      <c r="S283" s="15" t="str">
        <f t="shared" si="844"/>
        <v>134.48</v>
      </c>
      <c r="T283" s="15" t="s">
        <v>975</v>
      </c>
      <c r="U283" s="15" t="s">
        <v>11137</v>
      </c>
      <c r="V283" s="15" t="s">
        <v>11210</v>
      </c>
      <c r="AA283" s="15" t="s">
        <v>413</v>
      </c>
      <c r="AB283" s="15" t="s">
        <v>413</v>
      </c>
      <c r="AD283" s="15" t="s">
        <v>14410</v>
      </c>
      <c r="AE283" s="15" t="s">
        <v>3892</v>
      </c>
      <c r="AF283" s="15" t="s">
        <v>14411</v>
      </c>
      <c r="AG283" s="15" t="s">
        <v>14412</v>
      </c>
      <c r="AH283" s="15" t="s">
        <v>14413</v>
      </c>
      <c r="AI283" s="15" t="s">
        <v>14414</v>
      </c>
      <c r="AJ283" s="15" t="s">
        <v>14415</v>
      </c>
      <c r="AK283" s="15" t="s">
        <v>14416</v>
      </c>
      <c r="AL283" s="15" t="s">
        <v>14417</v>
      </c>
      <c r="BH283" s="15" t="s">
        <v>3890</v>
      </c>
      <c r="BI283" s="15" t="str">
        <f t="shared" si="851"/>
        <v>3499</v>
      </c>
      <c r="BJ283" s="15" t="str">
        <f t="shared" si="852"/>
        <v>1470</v>
      </c>
      <c r="BK283" s="15" t="s">
        <v>709</v>
      </c>
      <c r="BL283" s="15" t="str">
        <f t="shared" si="816"/>
        <v>1</v>
      </c>
      <c r="BM283" s="15" t="s">
        <v>416</v>
      </c>
      <c r="BN283" s="15" t="str">
        <f t="shared" si="845"/>
        <v>87.01</v>
      </c>
      <c r="BO283" s="15" t="str">
        <f t="shared" si="846"/>
        <v>36.61</v>
      </c>
      <c r="BP283" s="15" t="str">
        <f t="shared" si="847"/>
        <v>30.91</v>
      </c>
      <c r="BQ283" s="15" t="str">
        <f t="shared" si="848"/>
        <v>167.55</v>
      </c>
      <c r="CG283" s="15" t="str">
        <f t="shared" si="849"/>
        <v>56.96</v>
      </c>
      <c r="CH283" s="15" t="str">
        <f t="shared" si="850"/>
        <v>1.613</v>
      </c>
      <c r="CI283" s="15" t="s">
        <v>465</v>
      </c>
      <c r="CP283" s="15" t="s">
        <v>2314</v>
      </c>
      <c r="CQ283" s="15" t="s">
        <v>2116</v>
      </c>
      <c r="CR283" s="15" t="s">
        <v>2385</v>
      </c>
      <c r="CS283" s="15" t="s">
        <v>1286</v>
      </c>
      <c r="CT283" s="15" t="s">
        <v>3748</v>
      </c>
      <c r="CU283" s="15" t="s">
        <v>1755</v>
      </c>
      <c r="CV283" s="15">
        <v>0.0</v>
      </c>
      <c r="CW283" s="15">
        <v>2.0</v>
      </c>
      <c r="CX283" s="15" t="s">
        <v>717</v>
      </c>
      <c r="CY283" s="15" t="s">
        <v>718</v>
      </c>
      <c r="DC283" s="15" t="s">
        <v>860</v>
      </c>
      <c r="DF283" s="15" t="s">
        <v>721</v>
      </c>
      <c r="DG283" s="15" t="s">
        <v>419</v>
      </c>
      <c r="DH283" s="15">
        <v>0.0</v>
      </c>
      <c r="DL283" s="15">
        <v>0.0</v>
      </c>
      <c r="DM283" s="15" t="s">
        <v>990</v>
      </c>
      <c r="DN283" s="15" t="s">
        <v>723</v>
      </c>
      <c r="DO283" s="15" t="s">
        <v>724</v>
      </c>
      <c r="DP283" s="15">
        <v>2.0</v>
      </c>
      <c r="DQ283" s="15">
        <v>4.0</v>
      </c>
      <c r="DS283" s="15" t="s">
        <v>3872</v>
      </c>
      <c r="DT283" s="15">
        <v>0.0</v>
      </c>
      <c r="DU283" s="15" t="s">
        <v>588</v>
      </c>
      <c r="DV283" s="15" t="s">
        <v>1212</v>
      </c>
      <c r="DW283" s="15" t="s">
        <v>762</v>
      </c>
      <c r="DX283" s="15" t="s">
        <v>2839</v>
      </c>
      <c r="EB283" s="15" t="s">
        <v>3545</v>
      </c>
      <c r="EC283" s="15" t="s">
        <v>2402</v>
      </c>
      <c r="ED283" s="15" t="s">
        <v>504</v>
      </c>
      <c r="EE283" s="15" t="s">
        <v>2385</v>
      </c>
      <c r="EF283" s="15" t="s">
        <v>2805</v>
      </c>
      <c r="EG283" s="15" t="s">
        <v>2314</v>
      </c>
      <c r="EH283" s="15" t="s">
        <v>867</v>
      </c>
      <c r="EI283" s="15" t="s">
        <v>1288</v>
      </c>
      <c r="EL283" s="15" t="s">
        <v>723</v>
      </c>
      <c r="EM283" s="15" t="s">
        <v>724</v>
      </c>
      <c r="EN283" s="15" t="s">
        <v>3386</v>
      </c>
      <c r="EO283" s="15" t="s">
        <v>997</v>
      </c>
    </row>
    <row r="284" ht="17.25" customHeight="1">
      <c r="A284" s="15" t="s">
        <v>3896</v>
      </c>
      <c r="B284" s="15" t="str">
        <f>"801542264314"</f>
        <v>801542264314</v>
      </c>
      <c r="C284" s="15" t="s">
        <v>14418</v>
      </c>
      <c r="D284" s="15" t="str">
        <f t="shared" si="1"/>
        <v>Doss Media LoungerAltro Snow</v>
      </c>
      <c r="E284" s="15" t="s">
        <v>3893</v>
      </c>
      <c r="F284" s="15" t="s">
        <v>397</v>
      </c>
      <c r="G284" s="15" t="s">
        <v>3895</v>
      </c>
      <c r="J284" s="15" t="s">
        <v>3895</v>
      </c>
      <c r="K284" s="15" t="s">
        <v>3902</v>
      </c>
      <c r="M284" s="15" t="s">
        <v>3901</v>
      </c>
      <c r="N284" s="15" t="s">
        <v>1732</v>
      </c>
      <c r="P284" s="15" t="str">
        <f>"62"</f>
        <v>62</v>
      </c>
      <c r="Q284" s="15" t="str">
        <f>"57"</f>
        <v>57</v>
      </c>
      <c r="R284" s="15" t="str">
        <f>"35"</f>
        <v>35</v>
      </c>
      <c r="S284" s="15" t="str">
        <f>"149.91"</f>
        <v>149.91</v>
      </c>
      <c r="T284" s="15" t="s">
        <v>3898</v>
      </c>
      <c r="U284" s="15" t="s">
        <v>11234</v>
      </c>
      <c r="V284" s="15" t="s">
        <v>11371</v>
      </c>
      <c r="W284" s="15" t="s">
        <v>11338</v>
      </c>
      <c r="AA284" s="15" t="s">
        <v>413</v>
      </c>
      <c r="AB284" s="15" t="s">
        <v>413</v>
      </c>
      <c r="AC284" s="15" t="s">
        <v>3903</v>
      </c>
      <c r="AD284" s="15" t="s">
        <v>14419</v>
      </c>
      <c r="AE284" s="15" t="s">
        <v>3897</v>
      </c>
      <c r="AF284" s="15" t="s">
        <v>14420</v>
      </c>
      <c r="AG284" s="15" t="s">
        <v>14421</v>
      </c>
      <c r="AH284" s="15" t="s">
        <v>14422</v>
      </c>
      <c r="AI284" s="15" t="s">
        <v>14423</v>
      </c>
      <c r="AJ284" s="15" t="s">
        <v>14424</v>
      </c>
      <c r="AK284" s="15" t="s">
        <v>14425</v>
      </c>
      <c r="AL284" s="15" t="s">
        <v>14426</v>
      </c>
      <c r="AM284" s="15" t="s">
        <v>14427</v>
      </c>
      <c r="AN284" s="15" t="s">
        <v>14428</v>
      </c>
      <c r="AO284" s="15" t="s">
        <v>14429</v>
      </c>
      <c r="AP284" s="15" t="s">
        <v>14430</v>
      </c>
      <c r="BH284" s="15" t="s">
        <v>3894</v>
      </c>
      <c r="BI284" s="15" t="str">
        <f>"2799"</f>
        <v>2799</v>
      </c>
      <c r="BJ284" s="15" t="str">
        <f>"1180"</f>
        <v>1180</v>
      </c>
      <c r="BK284" s="15" t="s">
        <v>742</v>
      </c>
      <c r="BL284" s="15" t="str">
        <f t="shared" si="816"/>
        <v>1</v>
      </c>
      <c r="BM284" s="15" t="s">
        <v>416</v>
      </c>
      <c r="BN284" s="15" t="str">
        <f>"63.78"</f>
        <v>63.78</v>
      </c>
      <c r="BO284" s="15" t="str">
        <f>"57.87"</f>
        <v>57.87</v>
      </c>
      <c r="BP284" s="15" t="str">
        <f>"32.09"</f>
        <v>32.09</v>
      </c>
      <c r="BQ284" s="15" t="str">
        <f>"185.19"</f>
        <v>185.19</v>
      </c>
      <c r="CG284" s="15" t="str">
        <f>"68.55"</f>
        <v>68.55</v>
      </c>
      <c r="CH284" s="15" t="str">
        <f>"1.941"</f>
        <v>1.941</v>
      </c>
      <c r="CI284" s="15" t="s">
        <v>465</v>
      </c>
      <c r="CS284" s="15" t="s">
        <v>3905</v>
      </c>
      <c r="CT284" s="15" t="s">
        <v>3129</v>
      </c>
      <c r="CU284" s="15" t="s">
        <v>3906</v>
      </c>
      <c r="CV284" s="15">
        <v>0.0</v>
      </c>
      <c r="CW284" s="15">
        <v>1.0</v>
      </c>
      <c r="CX284" s="15" t="s">
        <v>717</v>
      </c>
      <c r="CY284" s="15" t="s">
        <v>855</v>
      </c>
      <c r="DF284" s="15" t="s">
        <v>989</v>
      </c>
      <c r="DG284" s="15" t="s">
        <v>419</v>
      </c>
      <c r="DH284" s="15">
        <v>0.0</v>
      </c>
      <c r="DL284" s="15">
        <v>79000.0</v>
      </c>
      <c r="DM284" s="15" t="s">
        <v>990</v>
      </c>
      <c r="DN284" s="15" t="s">
        <v>1016</v>
      </c>
      <c r="DP284" s="15">
        <v>1.0</v>
      </c>
      <c r="DQ284" s="15">
        <v>1.0</v>
      </c>
      <c r="DS284" s="15" t="s">
        <v>3907</v>
      </c>
      <c r="DT284" s="15">
        <v>4.0</v>
      </c>
      <c r="DU284" s="15" t="s">
        <v>726</v>
      </c>
      <c r="DV284" s="15" t="s">
        <v>3908</v>
      </c>
      <c r="DW284" s="15" t="s">
        <v>985</v>
      </c>
      <c r="DX284" s="15" t="s">
        <v>3909</v>
      </c>
      <c r="EB284" s="15" t="s">
        <v>3910</v>
      </c>
      <c r="EF284" s="15" t="s">
        <v>3911</v>
      </c>
      <c r="EG284" s="15" t="s">
        <v>3912</v>
      </c>
      <c r="EH284" s="15" t="s">
        <v>3913</v>
      </c>
      <c r="EI284" s="15" t="s">
        <v>985</v>
      </c>
      <c r="EL284" s="15" t="s">
        <v>1016</v>
      </c>
      <c r="EO284" s="15" t="s">
        <v>3914</v>
      </c>
      <c r="EU284" s="15" t="s">
        <v>426</v>
      </c>
      <c r="EX284" s="15" t="s">
        <v>1118</v>
      </c>
      <c r="EY284" s="15" t="s">
        <v>3915</v>
      </c>
      <c r="FB284" s="15" t="s">
        <v>1609</v>
      </c>
      <c r="JF284" s="15" t="s">
        <v>761</v>
      </c>
      <c r="JG284" s="15" t="s">
        <v>2020</v>
      </c>
      <c r="JH284" s="15" t="s">
        <v>2020</v>
      </c>
      <c r="JK284" s="15" t="s">
        <v>426</v>
      </c>
      <c r="LB284" s="15" t="s">
        <v>731</v>
      </c>
      <c r="LC284" s="15" t="s">
        <v>3129</v>
      </c>
      <c r="LD284" s="15" t="s">
        <v>3129</v>
      </c>
    </row>
    <row r="285" ht="17.25" customHeight="1">
      <c r="A285" s="15" t="s">
        <v>3919</v>
      </c>
      <c r="B285" s="15" t="str">
        <f>"801542932336"</f>
        <v>801542932336</v>
      </c>
      <c r="C285" s="15" t="s">
        <v>14431</v>
      </c>
      <c r="D285" s="15" t="str">
        <f t="shared" si="1"/>
        <v>Dottie Swivel ChairBerber Oatmeal</v>
      </c>
      <c r="E285" s="15" t="s">
        <v>3916</v>
      </c>
      <c r="F285" s="15" t="s">
        <v>397</v>
      </c>
      <c r="G285" s="15" t="s">
        <v>3918</v>
      </c>
      <c r="J285" s="15" t="s">
        <v>3918</v>
      </c>
      <c r="K285" s="15" t="s">
        <v>978</v>
      </c>
      <c r="M285" s="15" t="s">
        <v>837</v>
      </c>
      <c r="N285" s="15" t="s">
        <v>706</v>
      </c>
      <c r="O285" s="15" t="s">
        <v>707</v>
      </c>
      <c r="P285" s="15" t="str">
        <f t="shared" ref="P285:P286" si="853">"29"</f>
        <v>29</v>
      </c>
      <c r="Q285" s="15" t="str">
        <f t="shared" ref="Q285:Q286" si="854">"33.75"</f>
        <v>33.75</v>
      </c>
      <c r="R285" s="15" t="str">
        <f t="shared" ref="R285:R286" si="855">"27.25"</f>
        <v>27.25</v>
      </c>
      <c r="S285" s="15" t="str">
        <f t="shared" ref="S285:S286" si="856">"66.14"</f>
        <v>66.14</v>
      </c>
      <c r="T285" s="15" t="s">
        <v>3921</v>
      </c>
      <c r="U285" s="15" t="s">
        <v>14432</v>
      </c>
      <c r="V285" s="15" t="s">
        <v>14433</v>
      </c>
      <c r="W285" s="15" t="s">
        <v>14434</v>
      </c>
      <c r="X285" s="15" t="s">
        <v>14435</v>
      </c>
      <c r="Y285" s="15" t="s">
        <v>11210</v>
      </c>
      <c r="AA285" s="15" t="s">
        <v>413</v>
      </c>
      <c r="AB285" s="15" t="s">
        <v>413</v>
      </c>
      <c r="AC285" s="15" t="s">
        <v>3922</v>
      </c>
      <c r="AD285" s="15" t="s">
        <v>14436</v>
      </c>
      <c r="AE285" s="15" t="s">
        <v>3920</v>
      </c>
      <c r="AF285" s="15" t="s">
        <v>14437</v>
      </c>
      <c r="AG285" s="15" t="s">
        <v>14438</v>
      </c>
      <c r="AH285" s="15" t="s">
        <v>14439</v>
      </c>
      <c r="AI285" s="15" t="s">
        <v>14440</v>
      </c>
      <c r="AJ285" s="15" t="s">
        <v>14441</v>
      </c>
      <c r="AK285" s="15" t="s">
        <v>14442</v>
      </c>
      <c r="AL285" s="15" t="s">
        <v>14443</v>
      </c>
      <c r="AM285" s="15" t="s">
        <v>14444</v>
      </c>
      <c r="AN285" s="15" t="s">
        <v>14445</v>
      </c>
      <c r="AO285" s="15" t="s">
        <v>14446</v>
      </c>
      <c r="AP285" s="15" t="s">
        <v>14447</v>
      </c>
      <c r="AQ285" s="15" t="s">
        <v>14448</v>
      </c>
      <c r="BH285" s="15" t="s">
        <v>3917</v>
      </c>
      <c r="BI285" s="15" t="str">
        <f>"2599"</f>
        <v>2599</v>
      </c>
      <c r="BJ285" s="15" t="str">
        <f>"1095"</f>
        <v>1095</v>
      </c>
      <c r="BK285" s="15" t="s">
        <v>742</v>
      </c>
      <c r="BL285" s="15" t="str">
        <f t="shared" si="816"/>
        <v>1</v>
      </c>
      <c r="BM285" s="15" t="s">
        <v>980</v>
      </c>
      <c r="BN285" s="15" t="str">
        <f t="shared" ref="BN285:BN286" si="857">"35.04"</f>
        <v>35.04</v>
      </c>
      <c r="BO285" s="15" t="str">
        <f t="shared" ref="BO285:BO286" si="858">"28.54"</f>
        <v>28.54</v>
      </c>
      <c r="BP285" s="15" t="str">
        <f t="shared" ref="BP285:BP286" si="859">"31.1"</f>
        <v>31.1</v>
      </c>
      <c r="BQ285" s="15" t="str">
        <f t="shared" ref="BQ285:BQ286" si="860">"80.47"</f>
        <v>80.47</v>
      </c>
      <c r="CG285" s="15" t="str">
        <f t="shared" ref="CG285:CG286" si="861">"18.01"</f>
        <v>18.01</v>
      </c>
      <c r="CH285" s="15" t="str">
        <f t="shared" ref="CH285:CH286" si="862">"0.51"</f>
        <v>0.51</v>
      </c>
      <c r="CI285" s="15" t="s">
        <v>465</v>
      </c>
      <c r="CS285" s="15" t="s">
        <v>3924</v>
      </c>
      <c r="CT285" s="15" t="s">
        <v>783</v>
      </c>
      <c r="CV285" s="15">
        <v>0.0</v>
      </c>
      <c r="CW285" s="15">
        <v>0.0</v>
      </c>
      <c r="CX285" s="15" t="s">
        <v>717</v>
      </c>
      <c r="CY285" s="15" t="s">
        <v>934</v>
      </c>
      <c r="DF285" s="15" t="s">
        <v>1509</v>
      </c>
      <c r="DG285" s="15" t="s">
        <v>1605</v>
      </c>
      <c r="DH285" s="15">
        <v>0.0</v>
      </c>
      <c r="DL285" s="15">
        <v>30000.0</v>
      </c>
      <c r="DM285" s="15" t="s">
        <v>990</v>
      </c>
      <c r="DN285" s="15" t="s">
        <v>1016</v>
      </c>
      <c r="DP285" s="15">
        <v>1.0</v>
      </c>
      <c r="DQ285" s="15">
        <v>1.0</v>
      </c>
      <c r="DS285" s="15" t="s">
        <v>3925</v>
      </c>
      <c r="DT285" s="15">
        <v>0.0</v>
      </c>
      <c r="DU285" s="15" t="s">
        <v>726</v>
      </c>
      <c r="DV285" s="15" t="s">
        <v>3926</v>
      </c>
      <c r="DW285" s="15" t="s">
        <v>2158</v>
      </c>
      <c r="DX285" s="15" t="s">
        <v>3927</v>
      </c>
      <c r="EB285" s="15" t="s">
        <v>1122</v>
      </c>
      <c r="EF285" s="15" t="s">
        <v>3928</v>
      </c>
      <c r="EI285" s="15" t="s">
        <v>2158</v>
      </c>
      <c r="EN285" s="15" t="s">
        <v>860</v>
      </c>
      <c r="EO285" s="15" t="s">
        <v>860</v>
      </c>
      <c r="EX285" s="15" t="s">
        <v>1603</v>
      </c>
      <c r="EY285" s="15" t="s">
        <v>3929</v>
      </c>
      <c r="EZ285" s="15">
        <v>0.0</v>
      </c>
      <c r="FA285" s="15">
        <v>0.0</v>
      </c>
      <c r="FC285" s="15">
        <v>0.0</v>
      </c>
      <c r="HU285" s="15" t="s">
        <v>1610</v>
      </c>
    </row>
    <row r="286" ht="17.25" customHeight="1">
      <c r="A286" s="15" t="s">
        <v>3932</v>
      </c>
      <c r="B286" s="15" t="str">
        <f>"801542932343"</f>
        <v>801542932343</v>
      </c>
      <c r="C286" s="15" t="s">
        <v>14449</v>
      </c>
      <c r="D286" s="15" t="str">
        <f t="shared" si="1"/>
        <v>Dottie Swivel ChairMonte Navy</v>
      </c>
      <c r="E286" s="15" t="s">
        <v>3916</v>
      </c>
      <c r="F286" s="15" t="s">
        <v>397</v>
      </c>
      <c r="G286" s="15" t="s">
        <v>3931</v>
      </c>
      <c r="J286" s="15" t="s">
        <v>3931</v>
      </c>
      <c r="K286" s="15" t="s">
        <v>978</v>
      </c>
      <c r="M286" s="15" t="s">
        <v>837</v>
      </c>
      <c r="N286" s="15" t="s">
        <v>706</v>
      </c>
      <c r="O286" s="15" t="s">
        <v>707</v>
      </c>
      <c r="P286" s="15" t="str">
        <f t="shared" si="853"/>
        <v>29</v>
      </c>
      <c r="Q286" s="15" t="str">
        <f t="shared" si="854"/>
        <v>33.75</v>
      </c>
      <c r="R286" s="15" t="str">
        <f t="shared" si="855"/>
        <v>27.25</v>
      </c>
      <c r="S286" s="15" t="str">
        <f t="shared" si="856"/>
        <v>66.14</v>
      </c>
      <c r="T286" s="15" t="s">
        <v>3934</v>
      </c>
      <c r="U286" s="15" t="s">
        <v>13607</v>
      </c>
      <c r="V286" s="15" t="s">
        <v>13608</v>
      </c>
      <c r="W286" s="15" t="s">
        <v>11210</v>
      </c>
      <c r="AA286" s="15" t="s">
        <v>413</v>
      </c>
      <c r="AB286" s="15" t="s">
        <v>413</v>
      </c>
      <c r="AC286" s="15" t="s">
        <v>3935</v>
      </c>
      <c r="AD286" s="15" t="s">
        <v>14450</v>
      </c>
      <c r="AE286" s="15" t="s">
        <v>3933</v>
      </c>
      <c r="AF286" s="15" t="s">
        <v>14451</v>
      </c>
      <c r="AG286" s="15" t="s">
        <v>14452</v>
      </c>
      <c r="AH286" s="15" t="s">
        <v>14453</v>
      </c>
      <c r="AI286" s="15" t="s">
        <v>14454</v>
      </c>
      <c r="AJ286" s="15" t="s">
        <v>14455</v>
      </c>
      <c r="AK286" s="15" t="s">
        <v>14456</v>
      </c>
      <c r="AL286" s="15" t="s">
        <v>14457</v>
      </c>
      <c r="AM286" s="15" t="s">
        <v>14458</v>
      </c>
      <c r="AN286" s="15" t="s">
        <v>14459</v>
      </c>
      <c r="AO286" s="15" t="s">
        <v>14460</v>
      </c>
      <c r="AP286" s="15" t="s">
        <v>14461</v>
      </c>
      <c r="AQ286" s="15" t="s">
        <v>14462</v>
      </c>
      <c r="BH286" s="15" t="s">
        <v>3930</v>
      </c>
      <c r="BI286" s="15" t="str">
        <f>"1399"</f>
        <v>1399</v>
      </c>
      <c r="BJ286" s="15" t="str">
        <f>"590"</f>
        <v>590</v>
      </c>
      <c r="BK286" s="15" t="s">
        <v>742</v>
      </c>
      <c r="BL286" s="15" t="str">
        <f t="shared" si="816"/>
        <v>1</v>
      </c>
      <c r="BM286" s="15" t="s">
        <v>980</v>
      </c>
      <c r="BN286" s="15" t="str">
        <f t="shared" si="857"/>
        <v>35.04</v>
      </c>
      <c r="BO286" s="15" t="str">
        <f t="shared" si="858"/>
        <v>28.54</v>
      </c>
      <c r="BP286" s="15" t="str">
        <f t="shared" si="859"/>
        <v>31.1</v>
      </c>
      <c r="BQ286" s="15" t="str">
        <f t="shared" si="860"/>
        <v>80.47</v>
      </c>
      <c r="CG286" s="15" t="str">
        <f t="shared" si="861"/>
        <v>18.01</v>
      </c>
      <c r="CH286" s="15" t="str">
        <f t="shared" si="862"/>
        <v>0.51</v>
      </c>
      <c r="CI286" s="15" t="s">
        <v>465</v>
      </c>
      <c r="CS286" s="15" t="s">
        <v>3924</v>
      </c>
      <c r="CT286" s="15" t="s">
        <v>783</v>
      </c>
      <c r="CV286" s="15">
        <v>0.0</v>
      </c>
      <c r="CW286" s="15">
        <v>0.0</v>
      </c>
      <c r="CX286" s="15" t="s">
        <v>717</v>
      </c>
      <c r="CY286" s="15" t="s">
        <v>855</v>
      </c>
      <c r="DF286" s="15" t="s">
        <v>1509</v>
      </c>
      <c r="DG286" s="15" t="s">
        <v>1605</v>
      </c>
      <c r="DH286" s="15">
        <v>0.0</v>
      </c>
      <c r="DL286" s="15">
        <v>25000.0</v>
      </c>
      <c r="DM286" s="15" t="s">
        <v>990</v>
      </c>
      <c r="DN286" s="15" t="s">
        <v>1016</v>
      </c>
      <c r="DP286" s="15">
        <v>1.0</v>
      </c>
      <c r="DQ286" s="15">
        <v>1.0</v>
      </c>
      <c r="DS286" s="15" t="s">
        <v>3925</v>
      </c>
      <c r="DT286" s="15">
        <v>0.0</v>
      </c>
      <c r="DU286" s="15" t="s">
        <v>726</v>
      </c>
      <c r="DV286" s="15" t="s">
        <v>3926</v>
      </c>
      <c r="DW286" s="15" t="s">
        <v>2158</v>
      </c>
      <c r="DX286" s="15" t="s">
        <v>3927</v>
      </c>
      <c r="EB286" s="15" t="s">
        <v>1122</v>
      </c>
      <c r="EF286" s="15" t="s">
        <v>3928</v>
      </c>
      <c r="EI286" s="15" t="s">
        <v>2158</v>
      </c>
      <c r="EN286" s="15" t="s">
        <v>860</v>
      </c>
      <c r="EO286" s="15" t="s">
        <v>860</v>
      </c>
      <c r="EX286" s="15" t="s">
        <v>1603</v>
      </c>
      <c r="EY286" s="15" t="s">
        <v>3929</v>
      </c>
      <c r="EZ286" s="15">
        <v>0.0</v>
      </c>
      <c r="FA286" s="15">
        <v>0.0</v>
      </c>
      <c r="FC286" s="15">
        <v>0.0</v>
      </c>
      <c r="HU286" s="15" t="s">
        <v>1610</v>
      </c>
    </row>
    <row r="287" ht="17.25" customHeight="1">
      <c r="A287" s="15" t="s">
        <v>3939</v>
      </c>
      <c r="B287" s="15" t="str">
        <f>"801542965372"</f>
        <v>801542965372</v>
      </c>
      <c r="C287" s="15" t="s">
        <v>14463</v>
      </c>
      <c r="D287" s="15" t="str">
        <f t="shared" si="1"/>
        <v>Dover BedHockney LinenQueen</v>
      </c>
      <c r="E287" s="15" t="s">
        <v>3936</v>
      </c>
      <c r="F287" s="15" t="s">
        <v>397</v>
      </c>
      <c r="G287" s="15" t="s">
        <v>3938</v>
      </c>
      <c r="H287" s="15" t="s">
        <v>265</v>
      </c>
      <c r="I287" s="15" t="s">
        <v>877</v>
      </c>
      <c r="J287" s="15" t="s">
        <v>3938</v>
      </c>
      <c r="K287" s="15" t="s">
        <v>3945</v>
      </c>
      <c r="M287" s="15" t="s">
        <v>1030</v>
      </c>
      <c r="N287" s="15" t="s">
        <v>839</v>
      </c>
      <c r="O287" s="15" t="s">
        <v>877</v>
      </c>
      <c r="P287" s="15" t="str">
        <f>"65.75"</f>
        <v>65.75</v>
      </c>
      <c r="Q287" s="15" t="str">
        <f t="shared" ref="Q287:Q288" si="863">"86.5"</f>
        <v>86.5</v>
      </c>
      <c r="R287" s="15" t="str">
        <f t="shared" ref="R287:R288" si="864">"49"</f>
        <v>49</v>
      </c>
      <c r="S287" s="15" t="str">
        <f>"216.05"</f>
        <v>216.05</v>
      </c>
      <c r="T287" s="15" t="s">
        <v>3942</v>
      </c>
      <c r="U287" s="15" t="s">
        <v>14464</v>
      </c>
      <c r="V287" s="15" t="s">
        <v>13687</v>
      </c>
      <c r="W287" s="15" t="s">
        <v>10881</v>
      </c>
      <c r="X287" s="15" t="s">
        <v>11338</v>
      </c>
      <c r="AA287" s="15" t="s">
        <v>413</v>
      </c>
      <c r="AB287" s="15" t="s">
        <v>426</v>
      </c>
      <c r="AC287" s="15" t="s">
        <v>3946</v>
      </c>
      <c r="AD287" s="15" t="s">
        <v>14465</v>
      </c>
      <c r="AE287" s="15" t="s">
        <v>3941</v>
      </c>
      <c r="AF287" s="15" t="s">
        <v>14466</v>
      </c>
      <c r="AG287" s="15" t="s">
        <v>14467</v>
      </c>
      <c r="AH287" s="15" t="s">
        <v>14468</v>
      </c>
      <c r="AI287" s="15" t="s">
        <v>14469</v>
      </c>
      <c r="AJ287" s="15" t="s">
        <v>14470</v>
      </c>
      <c r="AK287" s="15" t="s">
        <v>14471</v>
      </c>
      <c r="AL287" s="15" t="s">
        <v>14472</v>
      </c>
      <c r="AM287" s="15" t="s">
        <v>14473</v>
      </c>
      <c r="AN287" s="15" t="s">
        <v>14474</v>
      </c>
      <c r="AO287" s="15" t="s">
        <v>14475</v>
      </c>
      <c r="AP287" s="15" t="s">
        <v>14476</v>
      </c>
      <c r="AQ287" s="15" t="s">
        <v>14477</v>
      </c>
      <c r="AR287" s="15" t="s">
        <v>14478</v>
      </c>
      <c r="AS287" s="15" t="s">
        <v>14479</v>
      </c>
      <c r="AT287" s="15" t="s">
        <v>14480</v>
      </c>
      <c r="AU287" s="15" t="s">
        <v>11476</v>
      </c>
      <c r="BH287" s="15" t="s">
        <v>3937</v>
      </c>
      <c r="BI287" s="15" t="str">
        <f>"2299"</f>
        <v>2299</v>
      </c>
      <c r="BJ287" s="15" t="str">
        <f>"970"</f>
        <v>970</v>
      </c>
      <c r="BK287" s="15" t="s">
        <v>742</v>
      </c>
      <c r="BL287" s="15" t="str">
        <f t="shared" ref="BL287:BL288" si="865">"2"</f>
        <v>2</v>
      </c>
      <c r="BM287" s="15" t="s">
        <v>3018</v>
      </c>
      <c r="BN287" s="15" t="str">
        <f>"70.28"</f>
        <v>70.28</v>
      </c>
      <c r="BO287" s="15" t="str">
        <f>"9.45"</f>
        <v>9.45</v>
      </c>
      <c r="BP287" s="15" t="str">
        <f>"52.76"</f>
        <v>52.76</v>
      </c>
      <c r="BQ287" s="15" t="str">
        <f>"143.3"</f>
        <v>143.3</v>
      </c>
      <c r="BR287" s="15" t="s">
        <v>3951</v>
      </c>
      <c r="BS287" s="15" t="str">
        <f t="shared" ref="BS287:BS288" si="866">"87.8"</f>
        <v>87.8</v>
      </c>
      <c r="BT287" s="15" t="str">
        <f>"17.72"</f>
        <v>17.72</v>
      </c>
      <c r="BU287" s="15" t="str">
        <f t="shared" ref="BU287:BU288" si="867">"8.27"</f>
        <v>8.27</v>
      </c>
      <c r="BV287" s="15" t="str">
        <f>"105.82"</f>
        <v>105.82</v>
      </c>
      <c r="CG287" s="15" t="str">
        <f>"27.72"</f>
        <v>27.72</v>
      </c>
      <c r="CH287" s="15" t="str">
        <f>"0.785"</f>
        <v>0.785</v>
      </c>
      <c r="CI287" s="15" t="s">
        <v>497</v>
      </c>
      <c r="CY287" s="15" t="s">
        <v>855</v>
      </c>
      <c r="CZ287" s="15" t="s">
        <v>419</v>
      </c>
      <c r="DA287" s="15">
        <v>0.0</v>
      </c>
      <c r="DB287" s="15" t="s">
        <v>419</v>
      </c>
      <c r="DD287" s="15">
        <v>0.0</v>
      </c>
      <c r="DF287" s="15" t="s">
        <v>3952</v>
      </c>
      <c r="DG287" s="15" t="s">
        <v>419</v>
      </c>
      <c r="DI287" s="15">
        <v>0.0</v>
      </c>
      <c r="DJ287" s="15">
        <v>0.0</v>
      </c>
      <c r="DK287" s="15">
        <v>0.0</v>
      </c>
      <c r="DL287" s="15">
        <v>25000.0</v>
      </c>
      <c r="DS287" s="15" t="s">
        <v>3953</v>
      </c>
      <c r="DU287" s="15" t="s">
        <v>858</v>
      </c>
      <c r="EV287" s="15">
        <v>0.0</v>
      </c>
      <c r="HV287" s="15" t="s">
        <v>3954</v>
      </c>
      <c r="HW287" s="15" t="s">
        <v>3954</v>
      </c>
      <c r="HX287" s="15" t="s">
        <v>1955</v>
      </c>
      <c r="HY287" s="15" t="s">
        <v>3955</v>
      </c>
      <c r="HZ287" s="15" t="s">
        <v>861</v>
      </c>
      <c r="IA287" s="15" t="s">
        <v>3956</v>
      </c>
      <c r="IB287" s="15" t="s">
        <v>3957</v>
      </c>
      <c r="IC287" s="15" t="s">
        <v>526</v>
      </c>
      <c r="ID287" s="15" t="s">
        <v>3956</v>
      </c>
      <c r="IE287" s="15" t="s">
        <v>2971</v>
      </c>
      <c r="IF287" s="15" t="s">
        <v>1957</v>
      </c>
      <c r="IG287" s="15" t="s">
        <v>890</v>
      </c>
      <c r="IH287" s="15" t="s">
        <v>1254</v>
      </c>
      <c r="II287" s="15" t="s">
        <v>3958</v>
      </c>
      <c r="IJ287" s="15" t="s">
        <v>861</v>
      </c>
      <c r="IK287" s="15" t="s">
        <v>426</v>
      </c>
      <c r="IL287" s="15" t="s">
        <v>871</v>
      </c>
      <c r="IM287" s="15" t="s">
        <v>2604</v>
      </c>
      <c r="IN287" s="15" t="s">
        <v>873</v>
      </c>
      <c r="IO287" s="15" t="s">
        <v>877</v>
      </c>
      <c r="IU287" s="15" t="s">
        <v>3954</v>
      </c>
      <c r="IV287" s="15" t="s">
        <v>3959</v>
      </c>
      <c r="IX287" s="15" t="s">
        <v>426</v>
      </c>
      <c r="IY287" s="15" t="s">
        <v>2474</v>
      </c>
      <c r="JB287" s="15" t="s">
        <v>3960</v>
      </c>
      <c r="JC287" s="15" t="s">
        <v>3961</v>
      </c>
    </row>
    <row r="288" ht="17.25" customHeight="1">
      <c r="A288" s="15" t="s">
        <v>3963</v>
      </c>
      <c r="B288" s="15" t="str">
        <f>"801542965365"</f>
        <v>801542965365</v>
      </c>
      <c r="C288" s="15" t="s">
        <v>14463</v>
      </c>
      <c r="D288" s="15" t="str">
        <f t="shared" si="1"/>
        <v>Dover BedHockney LinenKing</v>
      </c>
      <c r="E288" s="15" t="s">
        <v>3936</v>
      </c>
      <c r="F288" s="15" t="s">
        <v>397</v>
      </c>
      <c r="G288" s="15" t="s">
        <v>3938</v>
      </c>
      <c r="H288" s="15" t="s">
        <v>265</v>
      </c>
      <c r="I288" s="15" t="s">
        <v>828</v>
      </c>
      <c r="J288" s="15" t="s">
        <v>3938</v>
      </c>
      <c r="K288" s="15" t="s">
        <v>3945</v>
      </c>
      <c r="M288" s="15" t="s">
        <v>1030</v>
      </c>
      <c r="N288" s="15" t="s">
        <v>839</v>
      </c>
      <c r="O288" s="15" t="s">
        <v>828</v>
      </c>
      <c r="P288" s="15" t="str">
        <f>"81.75"</f>
        <v>81.75</v>
      </c>
      <c r="Q288" s="15" t="str">
        <f t="shared" si="863"/>
        <v>86.5</v>
      </c>
      <c r="R288" s="15" t="str">
        <f t="shared" si="864"/>
        <v>49</v>
      </c>
      <c r="S288" s="15" t="str">
        <f>"246.92"</f>
        <v>246.92</v>
      </c>
      <c r="T288" s="15" t="s">
        <v>3942</v>
      </c>
      <c r="U288" s="15" t="s">
        <v>14464</v>
      </c>
      <c r="V288" s="15" t="s">
        <v>13687</v>
      </c>
      <c r="W288" s="15" t="s">
        <v>10881</v>
      </c>
      <c r="X288" s="15" t="s">
        <v>11338</v>
      </c>
      <c r="AA288" s="15" t="s">
        <v>413</v>
      </c>
      <c r="AB288" s="15" t="s">
        <v>426</v>
      </c>
      <c r="AC288" s="15" t="s">
        <v>3946</v>
      </c>
      <c r="AD288" s="15" t="s">
        <v>14465</v>
      </c>
      <c r="AE288" s="15" t="s">
        <v>3941</v>
      </c>
      <c r="AF288" s="15" t="s">
        <v>14466</v>
      </c>
      <c r="AG288" s="15" t="s">
        <v>14467</v>
      </c>
      <c r="AH288" s="15" t="s">
        <v>14468</v>
      </c>
      <c r="AI288" s="15" t="s">
        <v>14470</v>
      </c>
      <c r="AJ288" s="15" t="s">
        <v>14471</v>
      </c>
      <c r="AK288" s="15" t="s">
        <v>14472</v>
      </c>
      <c r="AL288" s="15" t="s">
        <v>14473</v>
      </c>
      <c r="AM288" s="15" t="s">
        <v>14474</v>
      </c>
      <c r="AN288" s="15" t="s">
        <v>14475</v>
      </c>
      <c r="AO288" s="15" t="s">
        <v>14476</v>
      </c>
      <c r="AP288" s="15" t="s">
        <v>14477</v>
      </c>
      <c r="AQ288" s="15" t="s">
        <v>14478</v>
      </c>
      <c r="AR288" s="15" t="s">
        <v>14479</v>
      </c>
      <c r="AS288" s="15" t="s">
        <v>14480</v>
      </c>
      <c r="AT288" s="15" t="s">
        <v>11476</v>
      </c>
      <c r="BH288" s="15" t="s">
        <v>3962</v>
      </c>
      <c r="BI288" s="15" t="str">
        <f>"2799"</f>
        <v>2799</v>
      </c>
      <c r="BJ288" s="15" t="str">
        <f>"1180"</f>
        <v>1180</v>
      </c>
      <c r="BK288" s="15" t="s">
        <v>742</v>
      </c>
      <c r="BL288" s="15" t="str">
        <f t="shared" si="865"/>
        <v>2</v>
      </c>
      <c r="BM288" s="15" t="s">
        <v>3018</v>
      </c>
      <c r="BN288" s="15" t="str">
        <f>"85.43"</f>
        <v>85.43</v>
      </c>
      <c r="BO288" s="15" t="str">
        <f>"10.83"</f>
        <v>10.83</v>
      </c>
      <c r="BP288" s="15" t="str">
        <f>"51.38"</f>
        <v>51.38</v>
      </c>
      <c r="BQ288" s="15" t="str">
        <f>"154.32"</f>
        <v>154.32</v>
      </c>
      <c r="BR288" s="15" t="s">
        <v>3951</v>
      </c>
      <c r="BS288" s="15" t="str">
        <f t="shared" si="866"/>
        <v>87.8</v>
      </c>
      <c r="BT288" s="15" t="str">
        <f>"22.05"</f>
        <v>22.05</v>
      </c>
      <c r="BU288" s="15" t="str">
        <f t="shared" si="867"/>
        <v>8.27</v>
      </c>
      <c r="BV288" s="15" t="str">
        <f>"124.56"</f>
        <v>124.56</v>
      </c>
      <c r="CG288" s="15" t="str">
        <f>"36.76"</f>
        <v>36.76</v>
      </c>
      <c r="CH288" s="15" t="str">
        <f>"1.041"</f>
        <v>1.041</v>
      </c>
      <c r="CI288" s="15" t="s">
        <v>497</v>
      </c>
      <c r="CY288" s="15" t="s">
        <v>855</v>
      </c>
      <c r="CZ288" s="15" t="s">
        <v>419</v>
      </c>
      <c r="DA288" s="15">
        <v>0.0</v>
      </c>
      <c r="DB288" s="15" t="s">
        <v>419</v>
      </c>
      <c r="DD288" s="15">
        <v>0.0</v>
      </c>
      <c r="DF288" s="15" t="s">
        <v>3952</v>
      </c>
      <c r="DG288" s="15" t="s">
        <v>419</v>
      </c>
      <c r="DI288" s="15">
        <v>0.0</v>
      </c>
      <c r="DJ288" s="15">
        <v>0.0</v>
      </c>
      <c r="DK288" s="15">
        <v>0.0</v>
      </c>
      <c r="DL288" s="15">
        <v>25000.0</v>
      </c>
      <c r="DS288" s="15" t="s">
        <v>3953</v>
      </c>
      <c r="DU288" s="15" t="s">
        <v>858</v>
      </c>
      <c r="EV288" s="15">
        <v>0.0</v>
      </c>
      <c r="HV288" s="15" t="s">
        <v>3954</v>
      </c>
      <c r="HW288" s="15" t="s">
        <v>3954</v>
      </c>
      <c r="HX288" s="15" t="s">
        <v>1955</v>
      </c>
      <c r="HY288" s="15" t="s">
        <v>3955</v>
      </c>
      <c r="HZ288" s="15" t="s">
        <v>861</v>
      </c>
      <c r="IA288" s="15" t="s">
        <v>3970</v>
      </c>
      <c r="IB288" s="15" t="s">
        <v>3957</v>
      </c>
      <c r="IC288" s="15" t="s">
        <v>526</v>
      </c>
      <c r="ID288" s="15" t="s">
        <v>3970</v>
      </c>
      <c r="IE288" s="15" t="s">
        <v>2971</v>
      </c>
      <c r="IF288" s="15" t="s">
        <v>1957</v>
      </c>
      <c r="IG288" s="15" t="s">
        <v>869</v>
      </c>
      <c r="IH288" s="15" t="s">
        <v>1254</v>
      </c>
      <c r="II288" s="15" t="s">
        <v>3958</v>
      </c>
      <c r="IJ288" s="15" t="s">
        <v>861</v>
      </c>
      <c r="IK288" s="15" t="s">
        <v>426</v>
      </c>
      <c r="IL288" s="15" t="s">
        <v>871</v>
      </c>
      <c r="IM288" s="15" t="s">
        <v>2604</v>
      </c>
      <c r="IN288" s="15" t="s">
        <v>873</v>
      </c>
      <c r="IO288" s="15" t="s">
        <v>828</v>
      </c>
      <c r="IU288" s="15" t="s">
        <v>3954</v>
      </c>
      <c r="IV288" s="15" t="s">
        <v>3959</v>
      </c>
      <c r="IX288" s="15" t="s">
        <v>426</v>
      </c>
      <c r="IY288" s="15" t="s">
        <v>2474</v>
      </c>
      <c r="JB288" s="15" t="s">
        <v>3960</v>
      </c>
      <c r="JC288" s="15" t="s">
        <v>3971</v>
      </c>
    </row>
    <row r="289" ht="17.25" customHeight="1">
      <c r="A289" s="15" t="s">
        <v>3975</v>
      </c>
      <c r="B289" s="15" t="str">
        <f>"801542380359"</f>
        <v>801542380359</v>
      </c>
      <c r="C289" s="15" t="s">
        <v>14481</v>
      </c>
      <c r="D289" s="15" t="str">
        <f t="shared" si="1"/>
        <v>Drake Coffee TableAged Brown</v>
      </c>
      <c r="E289" s="15" t="s">
        <v>3972</v>
      </c>
      <c r="F289" s="15" t="s">
        <v>397</v>
      </c>
      <c r="G289" s="15" t="s">
        <v>3974</v>
      </c>
      <c r="J289" s="15" t="s">
        <v>3974</v>
      </c>
      <c r="M289" s="15" t="s">
        <v>2677</v>
      </c>
      <c r="N289" s="15" t="s">
        <v>491</v>
      </c>
      <c r="P289" s="15" t="str">
        <f t="shared" ref="P289:Q289" si="868">"42"</f>
        <v>42</v>
      </c>
      <c r="Q289" s="15" t="str">
        <f t="shared" si="868"/>
        <v>42</v>
      </c>
      <c r="R289" s="15" t="str">
        <f t="shared" ref="R289:R290" si="871">"16"</f>
        <v>16</v>
      </c>
      <c r="S289" s="15" t="str">
        <f t="shared" ref="S289:S290" si="872">"86.64"</f>
        <v>86.64</v>
      </c>
      <c r="T289" s="15" t="s">
        <v>3369</v>
      </c>
      <c r="U289" s="15" t="s">
        <v>13228</v>
      </c>
      <c r="AA289" s="15" t="s">
        <v>413</v>
      </c>
      <c r="AB289" s="15" t="s">
        <v>413</v>
      </c>
      <c r="AC289" s="15" t="s">
        <v>3978</v>
      </c>
      <c r="AD289" s="15" t="s">
        <v>14482</v>
      </c>
      <c r="AE289" s="15" t="s">
        <v>3977</v>
      </c>
      <c r="AF289" s="15" t="s">
        <v>14483</v>
      </c>
      <c r="AG289" s="15" t="s">
        <v>14484</v>
      </c>
      <c r="AH289" s="15" t="s">
        <v>14485</v>
      </c>
      <c r="AI289" s="15" t="s">
        <v>14486</v>
      </c>
      <c r="AJ289" s="15" t="s">
        <v>14487</v>
      </c>
      <c r="AK289" s="15" t="s">
        <v>14488</v>
      </c>
      <c r="AL289" s="15" t="s">
        <v>14489</v>
      </c>
      <c r="BH289" s="15" t="s">
        <v>3973</v>
      </c>
      <c r="BI289" s="15" t="str">
        <f t="shared" ref="BI289:BI290" si="873">"1099"</f>
        <v>1099</v>
      </c>
      <c r="BJ289" s="15" t="str">
        <f t="shared" ref="BJ289:BJ290" si="874">"465"</f>
        <v>465</v>
      </c>
      <c r="BK289" s="15" t="s">
        <v>1303</v>
      </c>
      <c r="BL289" s="15" t="str">
        <f t="shared" ref="BL289:BL293" si="875">"1"</f>
        <v>1</v>
      </c>
      <c r="BM289" s="15" t="s">
        <v>416</v>
      </c>
      <c r="BN289" s="15" t="str">
        <f t="shared" ref="BN289:BO289" si="869">"45.5"</f>
        <v>45.5</v>
      </c>
      <c r="BO289" s="15" t="str">
        <f t="shared" si="869"/>
        <v>45.5</v>
      </c>
      <c r="BP289" s="15" t="str">
        <f t="shared" ref="BP289:BP290" si="877">"18.5"</f>
        <v>18.5</v>
      </c>
      <c r="BQ289" s="15" t="str">
        <f t="shared" ref="BQ289:BQ290" si="878">"118.28"</f>
        <v>118.28</v>
      </c>
      <c r="CG289" s="15" t="str">
        <f t="shared" ref="CG289:CG290" si="879">"22.18"</f>
        <v>22.18</v>
      </c>
      <c r="CH289" s="15" t="str">
        <f t="shared" ref="CH289:CH290" si="880">"0.628"</f>
        <v>0.628</v>
      </c>
      <c r="CI289" s="15" t="s">
        <v>465</v>
      </c>
      <c r="CZ289" s="15" t="s">
        <v>419</v>
      </c>
      <c r="DA289" s="15">
        <v>0.0</v>
      </c>
      <c r="DB289" s="15" t="s">
        <v>419</v>
      </c>
      <c r="DD289" s="15">
        <v>0.0</v>
      </c>
      <c r="DG289" s="15" t="s">
        <v>419</v>
      </c>
      <c r="DK289" s="15">
        <v>0.0</v>
      </c>
      <c r="DR289" s="15" t="s">
        <v>498</v>
      </c>
      <c r="DS289" s="15" t="s">
        <v>3980</v>
      </c>
      <c r="DU289" s="15" t="s">
        <v>500</v>
      </c>
      <c r="EQ289" s="15" t="s">
        <v>467</v>
      </c>
      <c r="ER289" s="15" t="s">
        <v>1160</v>
      </c>
      <c r="ES289" s="15" t="s">
        <v>467</v>
      </c>
      <c r="ET289" s="15" t="s">
        <v>425</v>
      </c>
      <c r="EV289" s="15">
        <v>0.0</v>
      </c>
      <c r="EW289" s="15">
        <v>0.0</v>
      </c>
      <c r="FF289" s="15" t="s">
        <v>1593</v>
      </c>
    </row>
    <row r="290" ht="17.25" customHeight="1">
      <c r="A290" s="15" t="s">
        <v>3983</v>
      </c>
      <c r="B290" s="15" t="str">
        <f>"801542271077"</f>
        <v>801542271077</v>
      </c>
      <c r="C290" s="15" t="s">
        <v>14490</v>
      </c>
      <c r="D290" s="15" t="str">
        <f t="shared" si="1"/>
        <v>Drake Coffee TableReclaimed Fruitwood</v>
      </c>
      <c r="E290" s="15" t="s">
        <v>3972</v>
      </c>
      <c r="F290" s="15" t="s">
        <v>397</v>
      </c>
      <c r="G290" s="15" t="s">
        <v>3982</v>
      </c>
      <c r="J290" s="15" t="s">
        <v>3982</v>
      </c>
      <c r="M290" s="15" t="s">
        <v>2677</v>
      </c>
      <c r="N290" s="15" t="s">
        <v>491</v>
      </c>
      <c r="P290" s="15" t="str">
        <f t="shared" ref="P290:Q290" si="870">"42"</f>
        <v>42</v>
      </c>
      <c r="Q290" s="15" t="str">
        <f t="shared" si="870"/>
        <v>42</v>
      </c>
      <c r="R290" s="15" t="str">
        <f t="shared" si="871"/>
        <v>16</v>
      </c>
      <c r="S290" s="15" t="str">
        <f t="shared" si="872"/>
        <v>86.64</v>
      </c>
      <c r="T290" s="15" t="s">
        <v>2689</v>
      </c>
      <c r="U290" s="15" t="s">
        <v>13000</v>
      </c>
      <c r="AA290" s="15" t="s">
        <v>413</v>
      </c>
      <c r="AB290" s="15" t="s">
        <v>413</v>
      </c>
      <c r="AC290" s="15" t="s">
        <v>3985</v>
      </c>
      <c r="AD290" s="15" t="s">
        <v>14491</v>
      </c>
      <c r="AE290" s="15" t="s">
        <v>3984</v>
      </c>
      <c r="AF290" s="15" t="s">
        <v>14492</v>
      </c>
      <c r="AG290" s="15" t="s">
        <v>14493</v>
      </c>
      <c r="AH290" s="15" t="s">
        <v>14494</v>
      </c>
      <c r="AI290" s="15" t="s">
        <v>14495</v>
      </c>
      <c r="AJ290" s="15" t="s">
        <v>14496</v>
      </c>
      <c r="AK290" s="15" t="s">
        <v>14497</v>
      </c>
      <c r="AL290" s="15" t="s">
        <v>14498</v>
      </c>
      <c r="AM290" s="15" t="s">
        <v>14499</v>
      </c>
      <c r="AN290" s="15" t="s">
        <v>14500</v>
      </c>
      <c r="AO290" s="15" t="s">
        <v>14501</v>
      </c>
      <c r="BH290" s="15" t="s">
        <v>3981</v>
      </c>
      <c r="BI290" s="15" t="str">
        <f t="shared" si="873"/>
        <v>1099</v>
      </c>
      <c r="BJ290" s="15" t="str">
        <f t="shared" si="874"/>
        <v>465</v>
      </c>
      <c r="BK290" s="15" t="s">
        <v>1303</v>
      </c>
      <c r="BL290" s="15" t="str">
        <f t="shared" si="875"/>
        <v>1</v>
      </c>
      <c r="BM290" s="15" t="s">
        <v>416</v>
      </c>
      <c r="BN290" s="15" t="str">
        <f t="shared" ref="BN290:BO290" si="876">"45.5"</f>
        <v>45.5</v>
      </c>
      <c r="BO290" s="15" t="str">
        <f t="shared" si="876"/>
        <v>45.5</v>
      </c>
      <c r="BP290" s="15" t="str">
        <f t="shared" si="877"/>
        <v>18.5</v>
      </c>
      <c r="BQ290" s="15" t="str">
        <f t="shared" si="878"/>
        <v>118.28</v>
      </c>
      <c r="CG290" s="15" t="str">
        <f t="shared" si="879"/>
        <v>22.18</v>
      </c>
      <c r="CH290" s="15" t="str">
        <f t="shared" si="880"/>
        <v>0.628</v>
      </c>
      <c r="CI290" s="15" t="s">
        <v>417</v>
      </c>
      <c r="CZ290" s="15" t="s">
        <v>419</v>
      </c>
      <c r="DA290" s="15">
        <v>0.0</v>
      </c>
      <c r="DB290" s="15" t="s">
        <v>419</v>
      </c>
      <c r="DD290" s="15">
        <v>0.0</v>
      </c>
      <c r="DG290" s="15" t="s">
        <v>419</v>
      </c>
      <c r="DK290" s="15">
        <v>0.0</v>
      </c>
      <c r="DR290" s="15" t="s">
        <v>498</v>
      </c>
      <c r="DS290" s="15" t="s">
        <v>3980</v>
      </c>
      <c r="DU290" s="15" t="s">
        <v>500</v>
      </c>
      <c r="EQ290" s="15" t="s">
        <v>467</v>
      </c>
      <c r="ER290" s="15" t="s">
        <v>1160</v>
      </c>
      <c r="ES290" s="15" t="s">
        <v>467</v>
      </c>
      <c r="ET290" s="15" t="s">
        <v>425</v>
      </c>
      <c r="EV290" s="15">
        <v>0.0</v>
      </c>
      <c r="EW290" s="15">
        <v>0.0</v>
      </c>
      <c r="FF290" s="15" t="s">
        <v>1593</v>
      </c>
    </row>
    <row r="291" ht="17.25" customHeight="1">
      <c r="A291" s="15" t="s">
        <v>3988</v>
      </c>
      <c r="B291" s="15" t="str">
        <f>"801542686406"</f>
        <v>801542686406</v>
      </c>
      <c r="C291" s="15" t="s">
        <v>14502</v>
      </c>
      <c r="D291" s="15" t="str">
        <f t="shared" si="1"/>
        <v>Duncan End TableReclaimed Fruitwood</v>
      </c>
      <c r="E291" s="15" t="s">
        <v>3986</v>
      </c>
      <c r="F291" s="15" t="s">
        <v>397</v>
      </c>
      <c r="G291" s="15" t="s">
        <v>3982</v>
      </c>
      <c r="J291" s="15" t="s">
        <v>3982</v>
      </c>
      <c r="M291" s="15" t="s">
        <v>2677</v>
      </c>
      <c r="N291" s="15" t="s">
        <v>1154</v>
      </c>
      <c r="P291" s="15" t="str">
        <f t="shared" ref="P291:Q291" si="881">"14"</f>
        <v>14</v>
      </c>
      <c r="Q291" s="15" t="str">
        <f t="shared" si="881"/>
        <v>14</v>
      </c>
      <c r="R291" s="15" t="str">
        <f>"18"</f>
        <v>18</v>
      </c>
      <c r="S291" s="15" t="str">
        <f>"31.2"</f>
        <v>31.2</v>
      </c>
      <c r="T291" s="15" t="s">
        <v>2689</v>
      </c>
      <c r="U291" s="15" t="s">
        <v>13000</v>
      </c>
      <c r="AA291" s="15" t="s">
        <v>413</v>
      </c>
      <c r="AB291" s="15" t="s">
        <v>413</v>
      </c>
      <c r="AC291" s="15" t="s">
        <v>3991</v>
      </c>
      <c r="AD291" s="15" t="s">
        <v>14503</v>
      </c>
      <c r="AE291" s="15" t="s">
        <v>3990</v>
      </c>
      <c r="AF291" s="15" t="s">
        <v>14504</v>
      </c>
      <c r="AG291" s="15" t="s">
        <v>14505</v>
      </c>
      <c r="AH291" s="15" t="s">
        <v>14506</v>
      </c>
      <c r="AI291" s="15" t="s">
        <v>14507</v>
      </c>
      <c r="AJ291" s="15" t="s">
        <v>14508</v>
      </c>
      <c r="AK291" s="15" t="s">
        <v>14509</v>
      </c>
      <c r="AL291" s="15" t="s">
        <v>14510</v>
      </c>
      <c r="BH291" s="15" t="s">
        <v>3987</v>
      </c>
      <c r="BI291" s="15" t="str">
        <f>"349"</f>
        <v>349</v>
      </c>
      <c r="BJ291" s="15" t="str">
        <f>"150"</f>
        <v>150</v>
      </c>
      <c r="BK291" s="15" t="s">
        <v>1303</v>
      </c>
      <c r="BL291" s="15" t="str">
        <f t="shared" si="875"/>
        <v>1</v>
      </c>
      <c r="BM291" s="15" t="s">
        <v>416</v>
      </c>
      <c r="BN291" s="15" t="str">
        <f>"18.5"</f>
        <v>18.5</v>
      </c>
      <c r="BO291" s="15" t="str">
        <f>"19.5"</f>
        <v>19.5</v>
      </c>
      <c r="BP291" s="15" t="str">
        <f>"23.75"</f>
        <v>23.75</v>
      </c>
      <c r="BQ291" s="15" t="str">
        <f>"43.65"</f>
        <v>43.65</v>
      </c>
      <c r="CG291" s="15" t="str">
        <f>"4.94"</f>
        <v>4.94</v>
      </c>
      <c r="CH291" s="15" t="str">
        <f>"0.14"</f>
        <v>0.14</v>
      </c>
      <c r="CI291" s="15" t="s">
        <v>497</v>
      </c>
      <c r="CZ291" s="15" t="s">
        <v>419</v>
      </c>
      <c r="DA291" s="15">
        <v>0.0</v>
      </c>
      <c r="DB291" s="15" t="s">
        <v>419</v>
      </c>
      <c r="DD291" s="15">
        <v>0.0</v>
      </c>
      <c r="DG291" s="15" t="s">
        <v>419</v>
      </c>
      <c r="DK291" s="15">
        <v>0.0</v>
      </c>
      <c r="DR291" s="15" t="s">
        <v>498</v>
      </c>
      <c r="DS291" s="15" t="s">
        <v>3994</v>
      </c>
      <c r="DU291" s="15" t="s">
        <v>500</v>
      </c>
      <c r="EQ291" s="15" t="s">
        <v>1592</v>
      </c>
      <c r="ER291" s="15" t="s">
        <v>1065</v>
      </c>
      <c r="ES291" s="15" t="s">
        <v>1592</v>
      </c>
      <c r="EV291" s="15">
        <v>0.0</v>
      </c>
      <c r="EW291" s="15">
        <v>0.0</v>
      </c>
    </row>
    <row r="292" ht="17.25" customHeight="1">
      <c r="A292" s="15" t="s">
        <v>3997</v>
      </c>
      <c r="B292" s="15" t="str">
        <f>"801542295868"</f>
        <v>801542295868</v>
      </c>
      <c r="C292" s="15" t="s">
        <v>14511</v>
      </c>
      <c r="D292" s="15" t="str">
        <f t="shared" si="1"/>
        <v>Duncan Storage Coffee TableReclaimed Fruitwood</v>
      </c>
      <c r="E292" s="15" t="s">
        <v>3995</v>
      </c>
      <c r="F292" s="15" t="s">
        <v>397</v>
      </c>
      <c r="G292" s="15" t="s">
        <v>3982</v>
      </c>
      <c r="J292" s="15" t="s">
        <v>3982</v>
      </c>
      <c r="M292" s="15" t="s">
        <v>2677</v>
      </c>
      <c r="N292" s="15" t="s">
        <v>491</v>
      </c>
      <c r="P292" s="15" t="str">
        <f t="shared" ref="P292:Q292" si="882">"42"</f>
        <v>42</v>
      </c>
      <c r="Q292" s="15" t="str">
        <f t="shared" si="882"/>
        <v>42</v>
      </c>
      <c r="R292" s="15" t="str">
        <f>"15"</f>
        <v>15</v>
      </c>
      <c r="S292" s="15" t="str">
        <f>"176.4"</f>
        <v>176.4</v>
      </c>
      <c r="T292" s="15" t="s">
        <v>2689</v>
      </c>
      <c r="U292" s="15" t="s">
        <v>13000</v>
      </c>
      <c r="AA292" s="15" t="s">
        <v>413</v>
      </c>
      <c r="AB292" s="15" t="s">
        <v>413</v>
      </c>
      <c r="AC292" s="15" t="s">
        <v>4000</v>
      </c>
      <c r="AD292" s="15" t="s">
        <v>14512</v>
      </c>
      <c r="AE292" s="15" t="s">
        <v>3999</v>
      </c>
      <c r="AF292" s="15" t="s">
        <v>14513</v>
      </c>
      <c r="AG292" s="15" t="s">
        <v>14514</v>
      </c>
      <c r="AH292" s="15" t="s">
        <v>14515</v>
      </c>
      <c r="AI292" s="15" t="s">
        <v>14516</v>
      </c>
      <c r="AJ292" s="15" t="s">
        <v>14517</v>
      </c>
      <c r="AK292" s="15" t="s">
        <v>14518</v>
      </c>
      <c r="AL292" s="15" t="s">
        <v>14519</v>
      </c>
      <c r="AM292" s="15" t="s">
        <v>14520</v>
      </c>
      <c r="AN292" s="15" t="s">
        <v>14521</v>
      </c>
      <c r="AO292" s="15" t="s">
        <v>14522</v>
      </c>
      <c r="AP292" s="15" t="s">
        <v>14523</v>
      </c>
      <c r="AQ292" s="15" t="s">
        <v>14524</v>
      </c>
      <c r="AR292" s="15" t="s">
        <v>14525</v>
      </c>
      <c r="AS292" s="15" t="s">
        <v>14526</v>
      </c>
      <c r="BH292" s="15" t="s">
        <v>3996</v>
      </c>
      <c r="BI292" s="15" t="str">
        <f>"1299"</f>
        <v>1299</v>
      </c>
      <c r="BJ292" s="15" t="str">
        <f>"550"</f>
        <v>550</v>
      </c>
      <c r="BK292" s="15" t="s">
        <v>1303</v>
      </c>
      <c r="BL292" s="15" t="str">
        <f t="shared" si="875"/>
        <v>1</v>
      </c>
      <c r="BM292" s="15" t="s">
        <v>416</v>
      </c>
      <c r="BN292" s="15" t="str">
        <f t="shared" ref="BN292:BO292" si="883">"45.5"</f>
        <v>45.5</v>
      </c>
      <c r="BO292" s="15" t="str">
        <f t="shared" si="883"/>
        <v>45.5</v>
      </c>
      <c r="BP292" s="15" t="str">
        <f>"18.75"</f>
        <v>18.75</v>
      </c>
      <c r="BQ292" s="15" t="str">
        <f>"208.56"</f>
        <v>208.56</v>
      </c>
      <c r="CG292" s="15" t="str">
        <f>"22.46"</f>
        <v>22.46</v>
      </c>
      <c r="CH292" s="15" t="str">
        <f>"0.636"</f>
        <v>0.636</v>
      </c>
      <c r="CI292" s="15" t="s">
        <v>465</v>
      </c>
      <c r="CZ292" s="15" t="s">
        <v>4002</v>
      </c>
      <c r="DA292" s="15">
        <v>4.0</v>
      </c>
      <c r="DB292" s="15" t="s">
        <v>2604</v>
      </c>
      <c r="DD292" s="15">
        <v>0.0</v>
      </c>
      <c r="DF292" s="15" t="s">
        <v>420</v>
      </c>
      <c r="DG292" s="15" t="s">
        <v>421</v>
      </c>
      <c r="DK292" s="15">
        <v>0.0</v>
      </c>
      <c r="DR292" s="15" t="s">
        <v>498</v>
      </c>
      <c r="DS292" s="15" t="s">
        <v>3994</v>
      </c>
      <c r="DU292" s="15" t="s">
        <v>500</v>
      </c>
      <c r="EF292" s="15" t="s">
        <v>672</v>
      </c>
      <c r="EQ292" s="15" t="s">
        <v>2385</v>
      </c>
      <c r="ER292" s="15" t="s">
        <v>672</v>
      </c>
      <c r="ES292" s="15" t="s">
        <v>2385</v>
      </c>
      <c r="ET292" s="15" t="s">
        <v>612</v>
      </c>
      <c r="EV292" s="15">
        <v>0.0</v>
      </c>
      <c r="EW292" s="15">
        <v>0.0</v>
      </c>
      <c r="FF292" s="15" t="s">
        <v>672</v>
      </c>
      <c r="FZ292" s="15" t="s">
        <v>1213</v>
      </c>
      <c r="GB292" s="15" t="s">
        <v>505</v>
      </c>
      <c r="GD292" s="15" t="s">
        <v>1065</v>
      </c>
      <c r="GF292" s="15" t="s">
        <v>2604</v>
      </c>
      <c r="GH292" s="15" t="s">
        <v>764</v>
      </c>
      <c r="GI292" s="15" t="s">
        <v>426</v>
      </c>
    </row>
    <row r="293" ht="17.25" customHeight="1">
      <c r="A293" s="15" t="s">
        <v>4005</v>
      </c>
      <c r="B293" s="15" t="str">
        <f>"801542357658"</f>
        <v>801542357658</v>
      </c>
      <c r="C293" s="15" t="s">
        <v>14527</v>
      </c>
      <c r="D293" s="15" t="str">
        <f t="shared" si="1"/>
        <v>Duncan TrunkReclaimed Fruitwood</v>
      </c>
      <c r="E293" s="15" t="s">
        <v>4003</v>
      </c>
      <c r="F293" s="15" t="s">
        <v>397</v>
      </c>
      <c r="G293" s="15" t="s">
        <v>3982</v>
      </c>
      <c r="J293" s="15" t="s">
        <v>3982</v>
      </c>
      <c r="M293" s="15" t="s">
        <v>2677</v>
      </c>
      <c r="N293" s="15" t="s">
        <v>4009</v>
      </c>
      <c r="P293" s="15" t="str">
        <f>"63"</f>
        <v>63</v>
      </c>
      <c r="Q293" s="15" t="str">
        <f>"17"</f>
        <v>17</v>
      </c>
      <c r="R293" s="15" t="str">
        <f>"18"</f>
        <v>18</v>
      </c>
      <c r="S293" s="15" t="str">
        <f>"115.74"</f>
        <v>115.74</v>
      </c>
      <c r="T293" s="15" t="s">
        <v>2689</v>
      </c>
      <c r="U293" s="15" t="s">
        <v>13000</v>
      </c>
      <c r="AA293" s="15" t="s">
        <v>413</v>
      </c>
      <c r="AB293" s="15" t="s">
        <v>413</v>
      </c>
      <c r="AC293" s="15" t="s">
        <v>4010</v>
      </c>
      <c r="AD293" s="15" t="s">
        <v>14528</v>
      </c>
      <c r="AE293" s="15" t="s">
        <v>4007</v>
      </c>
      <c r="AF293" s="15" t="s">
        <v>14529</v>
      </c>
      <c r="AG293" s="15" t="s">
        <v>14530</v>
      </c>
      <c r="AH293" s="15" t="s">
        <v>14531</v>
      </c>
      <c r="AI293" s="15" t="s">
        <v>14532</v>
      </c>
      <c r="AJ293" s="15" t="s">
        <v>14533</v>
      </c>
      <c r="AK293" s="15" t="s">
        <v>14534</v>
      </c>
      <c r="AL293" s="15" t="s">
        <v>14535</v>
      </c>
      <c r="AM293" s="15" t="s">
        <v>14536</v>
      </c>
      <c r="AN293" s="15" t="s">
        <v>14537</v>
      </c>
      <c r="AO293" s="15" t="s">
        <v>14538</v>
      </c>
      <c r="BH293" s="15" t="s">
        <v>4004</v>
      </c>
      <c r="BI293" s="15" t="str">
        <f>"949"</f>
        <v>949</v>
      </c>
      <c r="BJ293" s="15" t="str">
        <f>"400"</f>
        <v>400</v>
      </c>
      <c r="BK293" s="15" t="s">
        <v>1303</v>
      </c>
      <c r="BL293" s="15" t="str">
        <f t="shared" si="875"/>
        <v>1</v>
      </c>
      <c r="BM293" s="15" t="s">
        <v>416</v>
      </c>
      <c r="BN293" s="15" t="str">
        <f>"67"</f>
        <v>67</v>
      </c>
      <c r="BO293" s="15" t="str">
        <f>"21.5"</f>
        <v>21.5</v>
      </c>
      <c r="BP293" s="15" t="str">
        <f>"22.5"</f>
        <v>22.5</v>
      </c>
      <c r="BQ293" s="15" t="str">
        <f>"149.36"</f>
        <v>149.36</v>
      </c>
      <c r="CG293" s="15" t="str">
        <f>"18.75"</f>
        <v>18.75</v>
      </c>
      <c r="CH293" s="15" t="str">
        <f>"0.531"</f>
        <v>0.531</v>
      </c>
      <c r="CI293" s="15" t="s">
        <v>497</v>
      </c>
      <c r="DG293" s="15" t="s">
        <v>419</v>
      </c>
      <c r="DM293" s="15" t="s">
        <v>470</v>
      </c>
      <c r="DS293" s="15" t="s">
        <v>3994</v>
      </c>
      <c r="EF293" s="15" t="s">
        <v>784</v>
      </c>
      <c r="FS293" s="15" t="s">
        <v>786</v>
      </c>
      <c r="HR293" s="15" t="s">
        <v>504</v>
      </c>
      <c r="HS293" s="15" t="s">
        <v>1287</v>
      </c>
      <c r="HT293" s="15" t="s">
        <v>1682</v>
      </c>
    </row>
    <row r="294" ht="17.25" customHeight="1">
      <c r="A294" s="15" t="s">
        <v>4016</v>
      </c>
      <c r="B294" s="15" t="str">
        <f>"801542176747"</f>
        <v>801542176747</v>
      </c>
      <c r="C294" s="15" t="s">
        <v>14539</v>
      </c>
      <c r="D294" s="15" t="str">
        <f t="shared" si="1"/>
        <v>Durham Dining TableWaxed Bleached Reclaimed Pine</v>
      </c>
      <c r="E294" s="15" t="s">
        <v>4013</v>
      </c>
      <c r="F294" s="15" t="s">
        <v>397</v>
      </c>
      <c r="G294" s="15" t="s">
        <v>4015</v>
      </c>
      <c r="J294" s="15" t="s">
        <v>4015</v>
      </c>
      <c r="K294" s="15" t="s">
        <v>1139</v>
      </c>
      <c r="M294" s="15" t="s">
        <v>3185</v>
      </c>
      <c r="N294" s="15" t="s">
        <v>548</v>
      </c>
      <c r="O294" s="15" t="s">
        <v>549</v>
      </c>
      <c r="P294" s="15" t="str">
        <f>"110.25"</f>
        <v>110.25</v>
      </c>
      <c r="Q294" s="15" t="str">
        <f>"39.25"</f>
        <v>39.25</v>
      </c>
      <c r="R294" s="15" t="str">
        <f>"30.75"</f>
        <v>30.75</v>
      </c>
      <c r="S294" s="15" t="str">
        <f>"220.46"</f>
        <v>220.46</v>
      </c>
      <c r="T294" s="15" t="s">
        <v>4019</v>
      </c>
      <c r="U294" s="15" t="s">
        <v>12377</v>
      </c>
      <c r="V294" s="15" t="s">
        <v>11386</v>
      </c>
      <c r="AA294" s="15" t="s">
        <v>413</v>
      </c>
      <c r="AB294" s="15" t="s">
        <v>413</v>
      </c>
      <c r="AC294" s="15" t="s">
        <v>4020</v>
      </c>
      <c r="AD294" s="15" t="s">
        <v>14540</v>
      </c>
      <c r="AE294" s="15" t="s">
        <v>4018</v>
      </c>
      <c r="AF294" s="15" t="s">
        <v>14541</v>
      </c>
      <c r="AG294" s="15" t="s">
        <v>14542</v>
      </c>
      <c r="AH294" s="15" t="s">
        <v>14543</v>
      </c>
      <c r="AI294" s="15" t="s">
        <v>14544</v>
      </c>
      <c r="AJ294" s="15" t="s">
        <v>14545</v>
      </c>
      <c r="AK294" s="15" t="s">
        <v>14546</v>
      </c>
      <c r="AL294" s="15" t="s">
        <v>14547</v>
      </c>
      <c r="AM294" s="15" t="s">
        <v>14548</v>
      </c>
      <c r="AN294" s="15" t="s">
        <v>14549</v>
      </c>
      <c r="BH294" s="15" t="s">
        <v>4014</v>
      </c>
      <c r="BI294" s="15" t="str">
        <f>"3499"</f>
        <v>3499</v>
      </c>
      <c r="BJ294" s="15" t="str">
        <f>"1470"</f>
        <v>1470</v>
      </c>
      <c r="BK294" s="15" t="s">
        <v>709</v>
      </c>
      <c r="BL294" s="15" t="str">
        <f>"2"</f>
        <v>2</v>
      </c>
      <c r="BM294" s="15" t="s">
        <v>2238</v>
      </c>
      <c r="BN294" s="15" t="str">
        <f>"37.01"</f>
        <v>37.01</v>
      </c>
      <c r="BO294" s="15" t="str">
        <f>"19.29"</f>
        <v>19.29</v>
      </c>
      <c r="BP294" s="15" t="str">
        <f>"32.68"</f>
        <v>32.68</v>
      </c>
      <c r="BQ294" s="15" t="str">
        <f>"81.13"</f>
        <v>81.13</v>
      </c>
      <c r="BR294" s="15" t="s">
        <v>1564</v>
      </c>
      <c r="BS294" s="15" t="str">
        <f>"114.17"</f>
        <v>114.17</v>
      </c>
      <c r="BT294" s="15" t="str">
        <f>"5.31"</f>
        <v>5.31</v>
      </c>
      <c r="BU294" s="15" t="str">
        <f>"47.44"</f>
        <v>47.44</v>
      </c>
      <c r="BV294" s="15" t="str">
        <f>"181"</f>
        <v>181</v>
      </c>
      <c r="CG294" s="15" t="str">
        <f>"30.16"</f>
        <v>30.16</v>
      </c>
      <c r="CH294" s="15" t="str">
        <f>"0.854"</f>
        <v>0.854</v>
      </c>
      <c r="CI294" s="15" t="s">
        <v>465</v>
      </c>
      <c r="CZ294" s="15" t="s">
        <v>419</v>
      </c>
      <c r="DA294" s="15">
        <v>0.0</v>
      </c>
      <c r="DB294" s="15" t="s">
        <v>419</v>
      </c>
      <c r="DD294" s="15">
        <v>0.0</v>
      </c>
      <c r="DF294" s="15" t="s">
        <v>420</v>
      </c>
      <c r="DG294" s="15" t="s">
        <v>419</v>
      </c>
      <c r="DI294" s="15">
        <v>0.0</v>
      </c>
      <c r="DJ294" s="15">
        <v>0.0</v>
      </c>
      <c r="DK294" s="15">
        <v>0.0</v>
      </c>
      <c r="DQ294" s="15">
        <v>12.0</v>
      </c>
      <c r="DR294" s="15" t="s">
        <v>471</v>
      </c>
      <c r="DS294" s="15" t="s">
        <v>4026</v>
      </c>
      <c r="DU294" s="15" t="s">
        <v>424</v>
      </c>
      <c r="EF294" s="15" t="s">
        <v>1957</v>
      </c>
      <c r="EH294" s="15" t="s">
        <v>4027</v>
      </c>
      <c r="EQ294" s="15" t="s">
        <v>4028</v>
      </c>
      <c r="ER294" s="15" t="s">
        <v>3908</v>
      </c>
      <c r="ES294" s="15" t="s">
        <v>4029</v>
      </c>
      <c r="ET294" s="15" t="s">
        <v>1957</v>
      </c>
      <c r="EU294" s="15" t="s">
        <v>426</v>
      </c>
      <c r="EV294" s="15">
        <v>0.0</v>
      </c>
      <c r="EW294" s="15">
        <v>0.0</v>
      </c>
      <c r="FE294" s="15" t="s">
        <v>3908</v>
      </c>
      <c r="FF294" s="15" t="s">
        <v>822</v>
      </c>
      <c r="FG294" s="15" t="s">
        <v>1123</v>
      </c>
    </row>
    <row r="295" ht="17.25" customHeight="1">
      <c r="A295" s="15" t="s">
        <v>4032</v>
      </c>
      <c r="B295" s="15" t="str">
        <f>"801542043315"</f>
        <v>801542043315</v>
      </c>
      <c r="C295" s="15" t="s">
        <v>14550</v>
      </c>
      <c r="D295" s="15" t="str">
        <f t="shared" si="1"/>
        <v>Dustin ChairPalermo Cognac</v>
      </c>
      <c r="E295" s="15" t="s">
        <v>4030</v>
      </c>
      <c r="F295" s="15" t="s">
        <v>397</v>
      </c>
      <c r="G295" s="15" t="s">
        <v>2818</v>
      </c>
      <c r="J295" s="15" t="s">
        <v>2818</v>
      </c>
      <c r="K295" s="15" t="s">
        <v>4037</v>
      </c>
      <c r="L295" s="15" t="s">
        <v>4038</v>
      </c>
      <c r="M295" s="15" t="s">
        <v>2193</v>
      </c>
      <c r="N295" s="15" t="s">
        <v>706</v>
      </c>
      <c r="O295" s="15" t="s">
        <v>707</v>
      </c>
      <c r="P295" s="15" t="str">
        <f>"33.75"</f>
        <v>33.75</v>
      </c>
      <c r="Q295" s="15" t="str">
        <f>"38.25"</f>
        <v>38.25</v>
      </c>
      <c r="R295" s="15" t="str">
        <f>"32"</f>
        <v>32</v>
      </c>
      <c r="S295" s="15" t="str">
        <f>"56.44"</f>
        <v>56.44</v>
      </c>
      <c r="T295" s="15" t="s">
        <v>4035</v>
      </c>
      <c r="U295" s="15" t="s">
        <v>11137</v>
      </c>
      <c r="V295" s="15" t="s">
        <v>11138</v>
      </c>
      <c r="W295" s="15" t="s">
        <v>11209</v>
      </c>
      <c r="AA295" s="15" t="s">
        <v>413</v>
      </c>
      <c r="AB295" s="15" t="s">
        <v>413</v>
      </c>
      <c r="AC295" s="15" t="s">
        <v>4039</v>
      </c>
      <c r="AD295" s="15" t="s">
        <v>14551</v>
      </c>
      <c r="AE295" s="15" t="s">
        <v>4034</v>
      </c>
      <c r="AF295" s="15" t="s">
        <v>14552</v>
      </c>
      <c r="AG295" s="15" t="s">
        <v>14553</v>
      </c>
      <c r="AH295" s="15" t="s">
        <v>14554</v>
      </c>
      <c r="AI295" s="15" t="s">
        <v>14555</v>
      </c>
      <c r="AJ295" s="15" t="s">
        <v>14556</v>
      </c>
      <c r="AK295" s="15" t="s">
        <v>13142</v>
      </c>
      <c r="AL295" s="15" t="s">
        <v>14557</v>
      </c>
      <c r="AM295" s="15" t="s">
        <v>14558</v>
      </c>
      <c r="AN295" s="15" t="s">
        <v>14559</v>
      </c>
      <c r="AO295" s="15" t="s">
        <v>14560</v>
      </c>
      <c r="AP295" s="15" t="s">
        <v>14561</v>
      </c>
      <c r="BH295" s="15" t="s">
        <v>4031</v>
      </c>
      <c r="BI295" s="15" t="str">
        <f>"2399"</f>
        <v>2399</v>
      </c>
      <c r="BJ295" s="15" t="str">
        <f>"1010"</f>
        <v>1010</v>
      </c>
      <c r="BK295" s="15" t="s">
        <v>709</v>
      </c>
      <c r="BL295" s="15" t="str">
        <f t="shared" ref="BL295:BL319" si="885">"1"</f>
        <v>1</v>
      </c>
      <c r="BM295" s="15" t="s">
        <v>416</v>
      </c>
      <c r="BN295" s="15" t="str">
        <f>"40.75"</f>
        <v>40.75</v>
      </c>
      <c r="BO295" s="15" t="str">
        <f>"35.04"</f>
        <v>35.04</v>
      </c>
      <c r="BP295" s="15" t="str">
        <f>"29.33"</f>
        <v>29.33</v>
      </c>
      <c r="BQ295" s="15" t="str">
        <f>"73.55"</f>
        <v>73.55</v>
      </c>
      <c r="CG295" s="15" t="str">
        <f>"24.23"</f>
        <v>24.23</v>
      </c>
      <c r="CH295" s="15" t="str">
        <f>"0.686"</f>
        <v>0.686</v>
      </c>
      <c r="CI295" s="15" t="s">
        <v>465</v>
      </c>
      <c r="CP295" s="15" t="s">
        <v>1574</v>
      </c>
      <c r="CQ295" s="15" t="s">
        <v>3241</v>
      </c>
      <c r="CR295" s="15" t="s">
        <v>1064</v>
      </c>
      <c r="CS295" s="15" t="s">
        <v>2384</v>
      </c>
      <c r="CT295" s="15" t="s">
        <v>824</v>
      </c>
      <c r="CU295" s="15" t="s">
        <v>1574</v>
      </c>
      <c r="CV295" s="15">
        <v>0.0</v>
      </c>
      <c r="CW295" s="15">
        <v>1.0</v>
      </c>
      <c r="CX295" s="15" t="s">
        <v>717</v>
      </c>
      <c r="CY295" s="15" t="s">
        <v>718</v>
      </c>
      <c r="DC295" s="15" t="s">
        <v>4041</v>
      </c>
      <c r="DF295" s="15" t="s">
        <v>1111</v>
      </c>
      <c r="DG295" s="15" t="s">
        <v>419</v>
      </c>
      <c r="DH295" s="15">
        <v>0.0</v>
      </c>
      <c r="DL295" s="15">
        <v>0.0</v>
      </c>
      <c r="DM295" s="15" t="s">
        <v>3384</v>
      </c>
      <c r="DN295" s="15" t="s">
        <v>723</v>
      </c>
      <c r="DO295" s="15" t="s">
        <v>724</v>
      </c>
      <c r="DP295" s="15">
        <v>1.0</v>
      </c>
      <c r="DQ295" s="15">
        <v>1.0</v>
      </c>
      <c r="DS295" s="15" t="s">
        <v>4042</v>
      </c>
      <c r="DT295" s="15">
        <v>0.0</v>
      </c>
      <c r="DU295" s="15" t="s">
        <v>726</v>
      </c>
      <c r="DV295" s="15" t="s">
        <v>2202</v>
      </c>
      <c r="DW295" s="15" t="s">
        <v>2737</v>
      </c>
      <c r="DX295" s="15" t="s">
        <v>4043</v>
      </c>
      <c r="EB295" s="15" t="s">
        <v>477</v>
      </c>
      <c r="EC295" s="15" t="s">
        <v>1254</v>
      </c>
      <c r="ED295" s="15" t="s">
        <v>1065</v>
      </c>
      <c r="EE295" s="15" t="s">
        <v>3811</v>
      </c>
      <c r="EF295" s="15" t="s">
        <v>3241</v>
      </c>
      <c r="EG295" s="15" t="s">
        <v>4044</v>
      </c>
      <c r="EH295" s="15" t="s">
        <v>3512</v>
      </c>
      <c r="EI295" s="15" t="s">
        <v>1238</v>
      </c>
      <c r="EL295" s="15" t="s">
        <v>723</v>
      </c>
      <c r="EM295" s="15" t="s">
        <v>724</v>
      </c>
      <c r="EN295" s="15" t="s">
        <v>1077</v>
      </c>
      <c r="EO295" s="15" t="s">
        <v>1078</v>
      </c>
      <c r="EP295" s="15" t="s">
        <v>4045</v>
      </c>
      <c r="FA295" s="15">
        <v>0.0</v>
      </c>
      <c r="FB295" s="15">
        <v>0.0</v>
      </c>
      <c r="FD295" s="15">
        <v>0.0</v>
      </c>
    </row>
    <row r="296" ht="17.25" customHeight="1">
      <c r="A296" s="15" t="s">
        <v>4048</v>
      </c>
      <c r="B296" s="15" t="str">
        <f>"801542932640"</f>
        <v>801542932640</v>
      </c>
      <c r="C296" s="15" t="s">
        <v>14562</v>
      </c>
      <c r="D296" s="15" t="str">
        <f t="shared" si="1"/>
        <v>Dylan ChairPalermo Drift</v>
      </c>
      <c r="E296" s="15" t="s">
        <v>4046</v>
      </c>
      <c r="F296" s="15" t="s">
        <v>397</v>
      </c>
      <c r="G296" s="15" t="s">
        <v>1658</v>
      </c>
      <c r="J296" s="15" t="s">
        <v>1658</v>
      </c>
      <c r="K296" s="15" t="s">
        <v>2801</v>
      </c>
      <c r="M296" s="15" t="s">
        <v>915</v>
      </c>
      <c r="N296" s="15" t="s">
        <v>706</v>
      </c>
      <c r="O296" s="15" t="s">
        <v>707</v>
      </c>
      <c r="P296" s="15" t="str">
        <f t="shared" ref="P296:Q296" si="884">"34.75"</f>
        <v>34.75</v>
      </c>
      <c r="Q296" s="15" t="str">
        <f t="shared" si="884"/>
        <v>34.75</v>
      </c>
      <c r="R296" s="15" t="str">
        <f t="shared" ref="R296:R297" si="888">"25.25"</f>
        <v>25.25</v>
      </c>
      <c r="S296" s="15" t="str">
        <f t="shared" ref="S296:S297" si="889">"57.54"</f>
        <v>57.54</v>
      </c>
      <c r="T296" s="15" t="s">
        <v>975</v>
      </c>
      <c r="U296" s="15" t="s">
        <v>11137</v>
      </c>
      <c r="V296" s="15" t="s">
        <v>11210</v>
      </c>
      <c r="AA296" s="15" t="s">
        <v>413</v>
      </c>
      <c r="AB296" s="15" t="s">
        <v>413</v>
      </c>
      <c r="AD296" s="15" t="s">
        <v>14563</v>
      </c>
      <c r="AE296" s="15" t="s">
        <v>4050</v>
      </c>
      <c r="AF296" s="15" t="s">
        <v>14564</v>
      </c>
      <c r="AG296" s="15" t="s">
        <v>14565</v>
      </c>
      <c r="AH296" s="15" t="s">
        <v>14566</v>
      </c>
      <c r="AI296" s="15" t="s">
        <v>14567</v>
      </c>
      <c r="AJ296" s="15" t="s">
        <v>14568</v>
      </c>
      <c r="AK296" s="15" t="s">
        <v>14569</v>
      </c>
      <c r="AL296" s="15" t="s">
        <v>14570</v>
      </c>
      <c r="AM296" s="15" t="s">
        <v>14571</v>
      </c>
      <c r="AN296" s="15" t="s">
        <v>14572</v>
      </c>
      <c r="BH296" s="15" t="s">
        <v>4047</v>
      </c>
      <c r="BI296" s="15" t="str">
        <f>"1899"</f>
        <v>1899</v>
      </c>
      <c r="BJ296" s="15" t="str">
        <f>"800"</f>
        <v>800</v>
      </c>
      <c r="BK296" s="15" t="s">
        <v>709</v>
      </c>
      <c r="BL296" s="15" t="str">
        <f t="shared" si="885"/>
        <v>1</v>
      </c>
      <c r="BM296" s="15" t="s">
        <v>416</v>
      </c>
      <c r="BN296" s="15" t="str">
        <f t="shared" ref="BN296:BO296" si="886">"36.02"</f>
        <v>36.02</v>
      </c>
      <c r="BO296" s="15" t="str">
        <f t="shared" si="886"/>
        <v>36.02</v>
      </c>
      <c r="BP296" s="15" t="str">
        <f t="shared" ref="BP296:BP297" si="891">"22.24"</f>
        <v>22.24</v>
      </c>
      <c r="BQ296" s="15" t="str">
        <f t="shared" ref="BQ296:BQ297" si="892">"71.21"</f>
        <v>71.21</v>
      </c>
      <c r="CG296" s="15" t="str">
        <f t="shared" ref="CG296:CG297" si="893">"16.7"</f>
        <v>16.7</v>
      </c>
      <c r="CH296" s="15" t="str">
        <f t="shared" ref="CH296:CH297" si="894">"0.473"</f>
        <v>0.473</v>
      </c>
      <c r="CI296" s="15" t="s">
        <v>417</v>
      </c>
      <c r="CS296" s="15" t="s">
        <v>1286</v>
      </c>
      <c r="CT296" s="15" t="s">
        <v>3238</v>
      </c>
      <c r="CV296" s="15">
        <v>0.0</v>
      </c>
      <c r="CW296" s="15">
        <v>1.0</v>
      </c>
      <c r="CX296" s="15" t="s">
        <v>717</v>
      </c>
      <c r="CY296" s="15" t="s">
        <v>718</v>
      </c>
      <c r="DF296" s="15" t="s">
        <v>721</v>
      </c>
      <c r="DG296" s="15" t="s">
        <v>419</v>
      </c>
      <c r="DH296" s="15">
        <v>0.0</v>
      </c>
      <c r="DL296" s="15">
        <v>0.0</v>
      </c>
      <c r="DM296" s="15" t="s">
        <v>990</v>
      </c>
      <c r="DN296" s="15" t="s">
        <v>1016</v>
      </c>
      <c r="DO296" s="15" t="s">
        <v>1701</v>
      </c>
      <c r="DP296" s="15">
        <v>1.0</v>
      </c>
      <c r="DQ296" s="15">
        <v>1.0</v>
      </c>
      <c r="DS296" s="15" t="s">
        <v>4055</v>
      </c>
      <c r="DT296" s="15">
        <v>0.0</v>
      </c>
      <c r="DU296" s="15" t="s">
        <v>726</v>
      </c>
      <c r="DV296" s="15" t="s">
        <v>1306</v>
      </c>
      <c r="DW296" s="15" t="s">
        <v>995</v>
      </c>
      <c r="DX296" s="15" t="s">
        <v>4056</v>
      </c>
      <c r="EB296" s="15" t="s">
        <v>732</v>
      </c>
      <c r="EF296" s="15" t="s">
        <v>1327</v>
      </c>
      <c r="EG296" s="15" t="s">
        <v>4057</v>
      </c>
      <c r="EH296" s="15" t="s">
        <v>4058</v>
      </c>
      <c r="EI296" s="15" t="s">
        <v>995</v>
      </c>
      <c r="EL296" s="15" t="s">
        <v>1016</v>
      </c>
      <c r="EM296" s="15" t="s">
        <v>1701</v>
      </c>
      <c r="EO296" s="15" t="s">
        <v>1239</v>
      </c>
      <c r="EX296" s="15" t="s">
        <v>1068</v>
      </c>
      <c r="EY296" s="15" t="s">
        <v>4059</v>
      </c>
      <c r="EZ296" s="15">
        <v>0.0</v>
      </c>
      <c r="FA296" s="15">
        <v>0.0</v>
      </c>
      <c r="FB296" s="15" t="s">
        <v>3362</v>
      </c>
      <c r="FC296" s="15">
        <v>0.0</v>
      </c>
    </row>
    <row r="297" ht="17.25" customHeight="1">
      <c r="A297" s="15" t="s">
        <v>4062</v>
      </c>
      <c r="B297" s="15" t="str">
        <f>"801542384173"</f>
        <v>801542384173</v>
      </c>
      <c r="C297" s="15" t="s">
        <v>14573</v>
      </c>
      <c r="D297" s="15" t="str">
        <f t="shared" si="1"/>
        <v>Dylan ChairSapphire Olive</v>
      </c>
      <c r="E297" s="15" t="s">
        <v>4046</v>
      </c>
      <c r="F297" s="15" t="s">
        <v>397</v>
      </c>
      <c r="G297" s="15" t="s">
        <v>4061</v>
      </c>
      <c r="J297" s="15" t="s">
        <v>4061</v>
      </c>
      <c r="K297" s="15" t="s">
        <v>4065</v>
      </c>
      <c r="M297" s="15" t="s">
        <v>915</v>
      </c>
      <c r="N297" s="15" t="s">
        <v>706</v>
      </c>
      <c r="O297" s="15" t="s">
        <v>707</v>
      </c>
      <c r="P297" s="15" t="str">
        <f t="shared" ref="P297:Q297" si="887">"34.75"</f>
        <v>34.75</v>
      </c>
      <c r="Q297" s="15" t="str">
        <f t="shared" si="887"/>
        <v>34.75</v>
      </c>
      <c r="R297" s="15" t="str">
        <f t="shared" si="888"/>
        <v>25.25</v>
      </c>
      <c r="S297" s="15" t="str">
        <f t="shared" si="889"/>
        <v>57.54</v>
      </c>
      <c r="T297" s="15" t="s">
        <v>4064</v>
      </c>
      <c r="U297" s="15" t="s">
        <v>11234</v>
      </c>
      <c r="V297" s="15" t="s">
        <v>11898</v>
      </c>
      <c r="W297" s="15" t="s">
        <v>11210</v>
      </c>
      <c r="AA297" s="15" t="s">
        <v>413</v>
      </c>
      <c r="AB297" s="15" t="s">
        <v>413</v>
      </c>
      <c r="AC297" s="15" t="s">
        <v>4066</v>
      </c>
      <c r="AD297" s="15" t="s">
        <v>14574</v>
      </c>
      <c r="AE297" s="15" t="s">
        <v>4063</v>
      </c>
      <c r="AF297" s="15" t="s">
        <v>14575</v>
      </c>
      <c r="AG297" s="15" t="s">
        <v>14576</v>
      </c>
      <c r="AH297" s="15" t="s">
        <v>14577</v>
      </c>
      <c r="AI297" s="15" t="s">
        <v>14578</v>
      </c>
      <c r="AJ297" s="15" t="s">
        <v>14579</v>
      </c>
      <c r="AK297" s="15" t="s">
        <v>14580</v>
      </c>
      <c r="AL297" s="15" t="s">
        <v>14581</v>
      </c>
      <c r="AM297" s="15" t="s">
        <v>14582</v>
      </c>
      <c r="AN297" s="15" t="s">
        <v>14583</v>
      </c>
      <c r="AO297" s="15" t="s">
        <v>14584</v>
      </c>
      <c r="BH297" s="15" t="s">
        <v>4060</v>
      </c>
      <c r="BI297" s="15" t="str">
        <f>"1099"</f>
        <v>1099</v>
      </c>
      <c r="BJ297" s="15" t="str">
        <f>"465"</f>
        <v>465</v>
      </c>
      <c r="BK297" s="15" t="s">
        <v>709</v>
      </c>
      <c r="BL297" s="15" t="str">
        <f t="shared" si="885"/>
        <v>1</v>
      </c>
      <c r="BM297" s="15" t="s">
        <v>416</v>
      </c>
      <c r="BN297" s="15" t="str">
        <f t="shared" ref="BN297:BO297" si="890">"36.02"</f>
        <v>36.02</v>
      </c>
      <c r="BO297" s="15" t="str">
        <f t="shared" si="890"/>
        <v>36.02</v>
      </c>
      <c r="BP297" s="15" t="str">
        <f t="shared" si="891"/>
        <v>22.24</v>
      </c>
      <c r="BQ297" s="15" t="str">
        <f t="shared" si="892"/>
        <v>71.21</v>
      </c>
      <c r="CG297" s="15" t="str">
        <f t="shared" si="893"/>
        <v>16.7</v>
      </c>
      <c r="CH297" s="15" t="str">
        <f t="shared" si="894"/>
        <v>0.473</v>
      </c>
      <c r="CI297" s="15" t="s">
        <v>465</v>
      </c>
      <c r="CS297" s="15" t="s">
        <v>1286</v>
      </c>
      <c r="CT297" s="15" t="s">
        <v>3238</v>
      </c>
      <c r="CV297" s="15">
        <v>0.0</v>
      </c>
      <c r="CW297" s="15">
        <v>1.0</v>
      </c>
      <c r="CX297" s="15" t="s">
        <v>717</v>
      </c>
      <c r="CY297" s="15" t="s">
        <v>897</v>
      </c>
      <c r="DF297" s="15" t="s">
        <v>721</v>
      </c>
      <c r="DG297" s="15" t="s">
        <v>419</v>
      </c>
      <c r="DH297" s="15">
        <v>0.0</v>
      </c>
      <c r="DL297" s="15">
        <v>100000.0</v>
      </c>
      <c r="DM297" s="15" t="s">
        <v>990</v>
      </c>
      <c r="DN297" s="15" t="s">
        <v>1016</v>
      </c>
      <c r="DO297" s="15" t="s">
        <v>1701</v>
      </c>
      <c r="DP297" s="15">
        <v>1.0</v>
      </c>
      <c r="DQ297" s="15">
        <v>1.0</v>
      </c>
      <c r="DS297" s="15" t="s">
        <v>4055</v>
      </c>
      <c r="DT297" s="15">
        <v>0.0</v>
      </c>
      <c r="DU297" s="15" t="s">
        <v>726</v>
      </c>
      <c r="DV297" s="15" t="s">
        <v>1306</v>
      </c>
      <c r="DW297" s="15" t="s">
        <v>995</v>
      </c>
      <c r="DX297" s="15" t="s">
        <v>4056</v>
      </c>
      <c r="EB297" s="15" t="s">
        <v>732</v>
      </c>
      <c r="EF297" s="15" t="s">
        <v>1327</v>
      </c>
      <c r="EG297" s="15" t="s">
        <v>4057</v>
      </c>
      <c r="EH297" s="15" t="s">
        <v>4058</v>
      </c>
      <c r="EI297" s="15" t="s">
        <v>995</v>
      </c>
      <c r="EL297" s="15" t="s">
        <v>1016</v>
      </c>
      <c r="EM297" s="15" t="s">
        <v>1701</v>
      </c>
      <c r="EO297" s="15" t="s">
        <v>1239</v>
      </c>
      <c r="EX297" s="15" t="s">
        <v>1068</v>
      </c>
      <c r="EY297" s="15" t="s">
        <v>4059</v>
      </c>
      <c r="EZ297" s="15">
        <v>0.0</v>
      </c>
      <c r="FA297" s="15">
        <v>0.0</v>
      </c>
      <c r="FB297" s="15" t="s">
        <v>3362</v>
      </c>
      <c r="FC297" s="15">
        <v>0.0</v>
      </c>
    </row>
    <row r="298" ht="17.25" customHeight="1">
      <c r="A298" s="15" t="s">
        <v>4069</v>
      </c>
      <c r="B298" s="15" t="str">
        <f>"801542932664"</f>
        <v>801542932664</v>
      </c>
      <c r="C298" s="15" t="s">
        <v>14585</v>
      </c>
      <c r="D298" s="15" t="str">
        <f t="shared" si="1"/>
        <v>Dylan Chaise LoungePalermo Drift</v>
      </c>
      <c r="E298" s="15" t="s">
        <v>4067</v>
      </c>
      <c r="F298" s="15" t="s">
        <v>397</v>
      </c>
      <c r="G298" s="15" t="s">
        <v>1658</v>
      </c>
      <c r="J298" s="15" t="s">
        <v>1658</v>
      </c>
      <c r="K298" s="15" t="s">
        <v>2801</v>
      </c>
      <c r="M298" s="15" t="s">
        <v>915</v>
      </c>
      <c r="N298" s="15" t="s">
        <v>1226</v>
      </c>
      <c r="P298" s="15" t="str">
        <f t="shared" ref="P298:P299" si="895">"38"</f>
        <v>38</v>
      </c>
      <c r="Q298" s="15" t="str">
        <f t="shared" ref="Q298:Q299" si="896">"62"</f>
        <v>62</v>
      </c>
      <c r="R298" s="15" t="str">
        <f t="shared" ref="R298:R299" si="897">"25"</f>
        <v>25</v>
      </c>
      <c r="S298" s="15" t="str">
        <f t="shared" ref="S298:S299" si="898">"113.54"</f>
        <v>113.54</v>
      </c>
      <c r="T298" s="15" t="s">
        <v>975</v>
      </c>
      <c r="U298" s="15" t="s">
        <v>11137</v>
      </c>
      <c r="V298" s="15" t="s">
        <v>11210</v>
      </c>
      <c r="AA298" s="15" t="s">
        <v>413</v>
      </c>
      <c r="AB298" s="15" t="s">
        <v>413</v>
      </c>
      <c r="AC298" s="15" t="s">
        <v>4072</v>
      </c>
      <c r="AD298" s="15" t="s">
        <v>14586</v>
      </c>
      <c r="AE298" s="15" t="s">
        <v>4071</v>
      </c>
      <c r="AF298" s="15" t="s">
        <v>14587</v>
      </c>
      <c r="AG298" s="15" t="s">
        <v>14588</v>
      </c>
      <c r="AH298" s="15" t="s">
        <v>14589</v>
      </c>
      <c r="AI298" s="15" t="s">
        <v>14590</v>
      </c>
      <c r="AJ298" s="15" t="s">
        <v>14591</v>
      </c>
      <c r="AK298" s="15" t="s">
        <v>14592</v>
      </c>
      <c r="AL298" s="15" t="s">
        <v>14593</v>
      </c>
      <c r="AM298" s="15" t="s">
        <v>14594</v>
      </c>
      <c r="AN298" s="15" t="s">
        <v>14595</v>
      </c>
      <c r="AO298" s="15" t="s">
        <v>14596</v>
      </c>
      <c r="AP298" s="15" t="s">
        <v>14597</v>
      </c>
      <c r="BH298" s="15" t="s">
        <v>4068</v>
      </c>
      <c r="BI298" s="15" t="str">
        <f>"2599"</f>
        <v>2599</v>
      </c>
      <c r="BJ298" s="15" t="str">
        <f>"1095"</f>
        <v>1095</v>
      </c>
      <c r="BK298" s="15" t="s">
        <v>709</v>
      </c>
      <c r="BL298" s="15" t="str">
        <f t="shared" si="885"/>
        <v>1</v>
      </c>
      <c r="BM298" s="15" t="s">
        <v>4073</v>
      </c>
      <c r="BN298" s="15" t="str">
        <f t="shared" ref="BN298:BN299" si="899">"38.98"</f>
        <v>38.98</v>
      </c>
      <c r="BO298" s="15" t="str">
        <f t="shared" ref="BO298:BO299" si="900">"62.6"</f>
        <v>62.6</v>
      </c>
      <c r="BP298" s="15" t="str">
        <f t="shared" ref="BP298:BP299" si="901">"23.23"</f>
        <v>23.23</v>
      </c>
      <c r="BQ298" s="15" t="str">
        <f t="shared" ref="BQ298:BQ299" si="902">"127.87"</f>
        <v>127.87</v>
      </c>
      <c r="CG298" s="15" t="str">
        <f t="shared" ref="CG298:CG299" si="903">"26.42"</f>
        <v>26.42</v>
      </c>
      <c r="CH298" s="15" t="str">
        <f t="shared" ref="CH298:CH299" si="904">"0.748"</f>
        <v>0.748</v>
      </c>
      <c r="CI298" s="15" t="s">
        <v>465</v>
      </c>
      <c r="CS298" s="15" t="s">
        <v>1232</v>
      </c>
      <c r="CT298" s="15" t="s">
        <v>3238</v>
      </c>
      <c r="CU298" s="15" t="s">
        <v>1211</v>
      </c>
      <c r="CV298" s="15">
        <v>0.0</v>
      </c>
      <c r="CW298" s="15">
        <v>1.0</v>
      </c>
      <c r="CX298" s="15" t="s">
        <v>717</v>
      </c>
      <c r="CY298" s="15" t="s">
        <v>718</v>
      </c>
      <c r="DF298" s="15" t="s">
        <v>721</v>
      </c>
      <c r="DG298" s="15" t="s">
        <v>419</v>
      </c>
      <c r="DH298" s="15">
        <v>0.0</v>
      </c>
      <c r="DL298" s="15">
        <v>0.0</v>
      </c>
      <c r="DM298" s="15" t="s">
        <v>990</v>
      </c>
      <c r="DN298" s="15" t="s">
        <v>1016</v>
      </c>
      <c r="DO298" s="15" t="s">
        <v>1701</v>
      </c>
      <c r="DP298" s="15">
        <v>1.0</v>
      </c>
      <c r="DQ298" s="15">
        <v>1.0</v>
      </c>
      <c r="DS298" s="15" t="s">
        <v>4055</v>
      </c>
      <c r="DT298" s="15">
        <v>0.0</v>
      </c>
      <c r="DU298" s="15" t="s">
        <v>726</v>
      </c>
      <c r="DV298" s="15" t="s">
        <v>555</v>
      </c>
      <c r="DW298" s="15" t="s">
        <v>2805</v>
      </c>
      <c r="DX298" s="15" t="s">
        <v>1739</v>
      </c>
      <c r="EB298" s="15" t="s">
        <v>429</v>
      </c>
      <c r="EF298" s="15" t="s">
        <v>2221</v>
      </c>
      <c r="EG298" s="15" t="s">
        <v>4074</v>
      </c>
      <c r="EH298" s="15" t="s">
        <v>1739</v>
      </c>
      <c r="EI298" s="15" t="s">
        <v>995</v>
      </c>
      <c r="EL298" s="15" t="s">
        <v>1016</v>
      </c>
      <c r="EM298" s="15" t="s">
        <v>1701</v>
      </c>
      <c r="EO298" s="15" t="s">
        <v>1239</v>
      </c>
      <c r="EX298" s="15" t="s">
        <v>1211</v>
      </c>
      <c r="EY298" s="15" t="s">
        <v>2385</v>
      </c>
      <c r="FB298" s="15" t="s">
        <v>3362</v>
      </c>
    </row>
    <row r="299" ht="17.25" customHeight="1">
      <c r="A299" s="15" t="s">
        <v>4076</v>
      </c>
      <c r="B299" s="15" t="str">
        <f>"801542384166"</f>
        <v>801542384166</v>
      </c>
      <c r="C299" s="15" t="s">
        <v>14598</v>
      </c>
      <c r="D299" s="15" t="str">
        <f t="shared" si="1"/>
        <v>Dylan Chaise LoungeSapphire Olive</v>
      </c>
      <c r="E299" s="15" t="s">
        <v>4067</v>
      </c>
      <c r="F299" s="15" t="s">
        <v>397</v>
      </c>
      <c r="G299" s="15" t="s">
        <v>4061</v>
      </c>
      <c r="J299" s="15" t="s">
        <v>4061</v>
      </c>
      <c r="K299" s="15" t="s">
        <v>4065</v>
      </c>
      <c r="M299" s="15" t="s">
        <v>915</v>
      </c>
      <c r="N299" s="15" t="s">
        <v>1226</v>
      </c>
      <c r="P299" s="15" t="str">
        <f t="shared" si="895"/>
        <v>38</v>
      </c>
      <c r="Q299" s="15" t="str">
        <f t="shared" si="896"/>
        <v>62</v>
      </c>
      <c r="R299" s="15" t="str">
        <f t="shared" si="897"/>
        <v>25</v>
      </c>
      <c r="S299" s="15" t="str">
        <f t="shared" si="898"/>
        <v>113.54</v>
      </c>
      <c r="T299" s="15" t="s">
        <v>4064</v>
      </c>
      <c r="U299" s="15" t="s">
        <v>11234</v>
      </c>
      <c r="V299" s="15" t="s">
        <v>11898</v>
      </c>
      <c r="W299" s="15" t="s">
        <v>11210</v>
      </c>
      <c r="AA299" s="15" t="s">
        <v>413</v>
      </c>
      <c r="AB299" s="15" t="s">
        <v>413</v>
      </c>
      <c r="AC299" s="15" t="s">
        <v>4078</v>
      </c>
      <c r="AD299" s="15" t="s">
        <v>14599</v>
      </c>
      <c r="AE299" s="15" t="s">
        <v>4077</v>
      </c>
      <c r="AF299" s="15" t="s">
        <v>14600</v>
      </c>
      <c r="AG299" s="15" t="s">
        <v>14601</v>
      </c>
      <c r="AH299" s="15" t="s">
        <v>14602</v>
      </c>
      <c r="AI299" s="15" t="s">
        <v>14603</v>
      </c>
      <c r="AJ299" s="15" t="s">
        <v>14604</v>
      </c>
      <c r="AK299" s="15" t="s">
        <v>14605</v>
      </c>
      <c r="AL299" s="15" t="s">
        <v>14606</v>
      </c>
      <c r="AM299" s="15" t="s">
        <v>14607</v>
      </c>
      <c r="AN299" s="15" t="s">
        <v>14608</v>
      </c>
      <c r="AO299" s="15" t="s">
        <v>14609</v>
      </c>
      <c r="AP299" s="15" t="s">
        <v>14610</v>
      </c>
      <c r="BH299" s="15" t="s">
        <v>4075</v>
      </c>
      <c r="BI299" s="15" t="str">
        <f>"1549"</f>
        <v>1549</v>
      </c>
      <c r="BJ299" s="15" t="str">
        <f>"655"</f>
        <v>655</v>
      </c>
      <c r="BK299" s="15" t="s">
        <v>709</v>
      </c>
      <c r="BL299" s="15" t="str">
        <f t="shared" si="885"/>
        <v>1</v>
      </c>
      <c r="BM299" s="15" t="s">
        <v>4073</v>
      </c>
      <c r="BN299" s="15" t="str">
        <f t="shared" si="899"/>
        <v>38.98</v>
      </c>
      <c r="BO299" s="15" t="str">
        <f t="shared" si="900"/>
        <v>62.6</v>
      </c>
      <c r="BP299" s="15" t="str">
        <f t="shared" si="901"/>
        <v>23.23</v>
      </c>
      <c r="BQ299" s="15" t="str">
        <f t="shared" si="902"/>
        <v>127.87</v>
      </c>
      <c r="CG299" s="15" t="str">
        <f t="shared" si="903"/>
        <v>26.42</v>
      </c>
      <c r="CH299" s="15" t="str">
        <f t="shared" si="904"/>
        <v>0.748</v>
      </c>
      <c r="CI299" s="15" t="s">
        <v>497</v>
      </c>
      <c r="CS299" s="15" t="s">
        <v>1232</v>
      </c>
      <c r="CT299" s="15" t="s">
        <v>3238</v>
      </c>
      <c r="CU299" s="15" t="s">
        <v>1211</v>
      </c>
      <c r="CV299" s="15">
        <v>0.0</v>
      </c>
      <c r="CW299" s="15">
        <v>1.0</v>
      </c>
      <c r="CX299" s="15" t="s">
        <v>717</v>
      </c>
      <c r="CY299" s="15" t="s">
        <v>897</v>
      </c>
      <c r="DF299" s="15" t="s">
        <v>721</v>
      </c>
      <c r="DG299" s="15" t="s">
        <v>419</v>
      </c>
      <c r="DH299" s="15">
        <v>0.0</v>
      </c>
      <c r="DL299" s="15">
        <v>100000.0</v>
      </c>
      <c r="DM299" s="15" t="s">
        <v>990</v>
      </c>
      <c r="DN299" s="15" t="s">
        <v>1016</v>
      </c>
      <c r="DO299" s="15" t="s">
        <v>1701</v>
      </c>
      <c r="DP299" s="15">
        <v>1.0</v>
      </c>
      <c r="DQ299" s="15">
        <v>1.0</v>
      </c>
      <c r="DS299" s="15" t="s">
        <v>4055</v>
      </c>
      <c r="DT299" s="15">
        <v>0.0</v>
      </c>
      <c r="DU299" s="15" t="s">
        <v>726</v>
      </c>
      <c r="DV299" s="15" t="s">
        <v>555</v>
      </c>
      <c r="DW299" s="15" t="s">
        <v>2805</v>
      </c>
      <c r="DX299" s="15" t="s">
        <v>1739</v>
      </c>
      <c r="EB299" s="15" t="s">
        <v>429</v>
      </c>
      <c r="EF299" s="15" t="s">
        <v>2221</v>
      </c>
      <c r="EG299" s="15" t="s">
        <v>4074</v>
      </c>
      <c r="EH299" s="15" t="s">
        <v>1739</v>
      </c>
      <c r="EI299" s="15" t="s">
        <v>995</v>
      </c>
      <c r="EL299" s="15" t="s">
        <v>1016</v>
      </c>
      <c r="EM299" s="15" t="s">
        <v>1701</v>
      </c>
      <c r="EO299" s="15" t="s">
        <v>1239</v>
      </c>
      <c r="EX299" s="15" t="s">
        <v>1211</v>
      </c>
      <c r="EY299" s="15" t="s">
        <v>2385</v>
      </c>
      <c r="FB299" s="15" t="s">
        <v>3362</v>
      </c>
    </row>
    <row r="300" ht="17.25" customHeight="1">
      <c r="A300" s="15" t="s">
        <v>4082</v>
      </c>
      <c r="B300" s="15" t="str">
        <f>"801542932671"</f>
        <v>801542932671</v>
      </c>
      <c r="C300" s="15" t="s">
        <v>14611</v>
      </c>
      <c r="D300" s="15" t="str">
        <f t="shared" si="1"/>
        <v>Dylan SofaKerbey Taupe</v>
      </c>
      <c r="E300" s="15" t="s">
        <v>4079</v>
      </c>
      <c r="F300" s="15" t="s">
        <v>397</v>
      </c>
      <c r="G300" s="15" t="s">
        <v>4081</v>
      </c>
      <c r="J300" s="15" t="s">
        <v>4081</v>
      </c>
      <c r="K300" s="15" t="s">
        <v>4065</v>
      </c>
      <c r="M300" s="15" t="s">
        <v>915</v>
      </c>
      <c r="N300" s="15" t="s">
        <v>1732</v>
      </c>
      <c r="P300" s="15" t="str">
        <f t="shared" ref="P300:P304" si="905">"91.25"</f>
        <v>91.25</v>
      </c>
      <c r="Q300" s="15" t="str">
        <f t="shared" ref="Q300:Q304" si="906">"34.75"</f>
        <v>34.75</v>
      </c>
      <c r="R300" s="15" t="str">
        <f t="shared" ref="R300:R304" si="907">"25.25"</f>
        <v>25.25</v>
      </c>
      <c r="S300" s="15" t="str">
        <f t="shared" ref="S300:S304" si="908">"120.15"</f>
        <v>120.15</v>
      </c>
      <c r="T300" s="15" t="s">
        <v>2540</v>
      </c>
      <c r="U300" s="15" t="s">
        <v>12856</v>
      </c>
      <c r="V300" s="15" t="s">
        <v>12857</v>
      </c>
      <c r="W300" s="15" t="s">
        <v>11210</v>
      </c>
      <c r="AA300" s="15" t="s">
        <v>413</v>
      </c>
      <c r="AB300" s="15" t="s">
        <v>426</v>
      </c>
      <c r="AD300" s="15" t="s">
        <v>14612</v>
      </c>
      <c r="AE300" s="15" t="s">
        <v>4083</v>
      </c>
      <c r="AF300" s="15" t="s">
        <v>14613</v>
      </c>
      <c r="AG300" s="15" t="s">
        <v>14614</v>
      </c>
      <c r="AH300" s="15" t="s">
        <v>14615</v>
      </c>
      <c r="AI300" s="15" t="s">
        <v>14616</v>
      </c>
      <c r="AJ300" s="15" t="s">
        <v>14617</v>
      </c>
      <c r="AK300" s="15" t="s">
        <v>14618</v>
      </c>
      <c r="AL300" s="15" t="s">
        <v>14619</v>
      </c>
      <c r="AM300" s="15" t="s">
        <v>14620</v>
      </c>
      <c r="AN300" s="15" t="s">
        <v>14621</v>
      </c>
      <c r="AO300" s="15" t="s">
        <v>14622</v>
      </c>
      <c r="AP300" s="15" t="s">
        <v>14623</v>
      </c>
      <c r="BH300" s="15" t="s">
        <v>4080</v>
      </c>
      <c r="BI300" s="15" t="str">
        <f>"2099"</f>
        <v>2099</v>
      </c>
      <c r="BJ300" s="15" t="str">
        <f>"885"</f>
        <v>885</v>
      </c>
      <c r="BK300" s="15" t="s">
        <v>709</v>
      </c>
      <c r="BL300" s="15" t="str">
        <f t="shared" si="885"/>
        <v>1</v>
      </c>
      <c r="BM300" s="15" t="s">
        <v>416</v>
      </c>
      <c r="BN300" s="15" t="str">
        <f t="shared" ref="BN300:BN304" si="909">"90.55"</f>
        <v>90.55</v>
      </c>
      <c r="BO300" s="15" t="str">
        <f t="shared" ref="BO300:BO304" si="910">"36.02"</f>
        <v>36.02</v>
      </c>
      <c r="BP300" s="15" t="str">
        <f t="shared" ref="BP300:BP304" si="911">"22.05"</f>
        <v>22.05</v>
      </c>
      <c r="BQ300" s="15" t="str">
        <f t="shared" ref="BQ300:BQ304" si="912">"139.99"</f>
        <v>139.99</v>
      </c>
      <c r="CG300" s="15" t="str">
        <f t="shared" ref="CG300:CG304" si="913">"41.64"</f>
        <v>41.64</v>
      </c>
      <c r="CH300" s="15" t="str">
        <f t="shared" ref="CH300:CH304" si="914">"1.179"</f>
        <v>1.179</v>
      </c>
      <c r="CI300" s="15" t="s">
        <v>465</v>
      </c>
      <c r="CS300" s="15" t="s">
        <v>1286</v>
      </c>
      <c r="CT300" s="15" t="s">
        <v>1161</v>
      </c>
      <c r="CV300" s="15">
        <v>0.0</v>
      </c>
      <c r="CW300" s="15">
        <v>0.0</v>
      </c>
      <c r="CX300" s="15" t="s">
        <v>717</v>
      </c>
      <c r="CY300" s="15" t="s">
        <v>855</v>
      </c>
      <c r="DF300" s="15" t="s">
        <v>721</v>
      </c>
      <c r="DH300" s="15">
        <v>0.0</v>
      </c>
      <c r="DL300" s="15">
        <v>25000.0</v>
      </c>
      <c r="DM300" s="15" t="s">
        <v>990</v>
      </c>
      <c r="DP300" s="15">
        <v>0.0</v>
      </c>
      <c r="DQ300" s="15">
        <v>4.0</v>
      </c>
      <c r="DS300" s="15" t="s">
        <v>4055</v>
      </c>
      <c r="DT300" s="15">
        <v>0.0</v>
      </c>
      <c r="DU300" s="15" t="s">
        <v>588</v>
      </c>
      <c r="DV300" s="15" t="s">
        <v>1306</v>
      </c>
      <c r="DW300" s="15" t="s">
        <v>2805</v>
      </c>
      <c r="DX300" s="15" t="s">
        <v>3811</v>
      </c>
      <c r="EB300" s="15" t="s">
        <v>429</v>
      </c>
      <c r="EF300" s="15" t="s">
        <v>2221</v>
      </c>
      <c r="EG300" s="15" t="s">
        <v>3500</v>
      </c>
      <c r="EH300" s="15" t="s">
        <v>4088</v>
      </c>
      <c r="EI300" s="15" t="s">
        <v>2805</v>
      </c>
      <c r="EO300" s="15" t="s">
        <v>1239</v>
      </c>
      <c r="EX300" s="15" t="s">
        <v>2315</v>
      </c>
      <c r="EY300" s="15" t="s">
        <v>4089</v>
      </c>
      <c r="FB300" s="15" t="s">
        <v>3561</v>
      </c>
    </row>
    <row r="301" ht="17.25" customHeight="1">
      <c r="A301" s="15" t="s">
        <v>4091</v>
      </c>
      <c r="B301" s="15" t="str">
        <f>"801542932688"</f>
        <v>801542932688</v>
      </c>
      <c r="C301" s="15" t="s">
        <v>14624</v>
      </c>
      <c r="D301" s="15" t="str">
        <f t="shared" si="1"/>
        <v>Dylan SofaPalermo Drift</v>
      </c>
      <c r="E301" s="15" t="s">
        <v>4079</v>
      </c>
      <c r="F301" s="15" t="s">
        <v>397</v>
      </c>
      <c r="G301" s="15" t="s">
        <v>1658</v>
      </c>
      <c r="J301" s="15" t="s">
        <v>1658</v>
      </c>
      <c r="K301" s="15" t="s">
        <v>2801</v>
      </c>
      <c r="M301" s="15" t="s">
        <v>915</v>
      </c>
      <c r="N301" s="15" t="s">
        <v>1732</v>
      </c>
      <c r="P301" s="15" t="str">
        <f t="shared" si="905"/>
        <v>91.25</v>
      </c>
      <c r="Q301" s="15" t="str">
        <f t="shared" si="906"/>
        <v>34.75</v>
      </c>
      <c r="R301" s="15" t="str">
        <f t="shared" si="907"/>
        <v>25.25</v>
      </c>
      <c r="S301" s="15" t="str">
        <f t="shared" si="908"/>
        <v>120.15</v>
      </c>
      <c r="T301" s="15" t="s">
        <v>975</v>
      </c>
      <c r="U301" s="15" t="s">
        <v>11137</v>
      </c>
      <c r="V301" s="15" t="s">
        <v>11210</v>
      </c>
      <c r="AA301" s="15" t="s">
        <v>413</v>
      </c>
      <c r="AB301" s="15" t="s">
        <v>413</v>
      </c>
      <c r="AD301" s="15" t="s">
        <v>14625</v>
      </c>
      <c r="AE301" s="15" t="s">
        <v>4092</v>
      </c>
      <c r="AF301" s="15" t="s">
        <v>14626</v>
      </c>
      <c r="AG301" s="15" t="s">
        <v>14627</v>
      </c>
      <c r="AH301" s="15" t="s">
        <v>14628</v>
      </c>
      <c r="AI301" s="15" t="s">
        <v>14629</v>
      </c>
      <c r="AJ301" s="15" t="s">
        <v>14630</v>
      </c>
      <c r="AK301" s="15" t="s">
        <v>14631</v>
      </c>
      <c r="AL301" s="15" t="s">
        <v>14632</v>
      </c>
      <c r="AM301" s="15" t="s">
        <v>14633</v>
      </c>
      <c r="AN301" s="15" t="s">
        <v>14634</v>
      </c>
      <c r="AO301" s="15" t="s">
        <v>14635</v>
      </c>
      <c r="AP301" s="15" t="s">
        <v>14636</v>
      </c>
      <c r="AQ301" s="15" t="s">
        <v>14637</v>
      </c>
      <c r="AR301" s="15" t="s">
        <v>14638</v>
      </c>
      <c r="AS301" s="15" t="s">
        <v>14639</v>
      </c>
      <c r="AT301" s="15" t="s">
        <v>14640</v>
      </c>
      <c r="BH301" s="15" t="s">
        <v>4090</v>
      </c>
      <c r="BI301" s="15" t="str">
        <f>"3499"</f>
        <v>3499</v>
      </c>
      <c r="BJ301" s="15" t="str">
        <f>"1470"</f>
        <v>1470</v>
      </c>
      <c r="BK301" s="15" t="s">
        <v>709</v>
      </c>
      <c r="BL301" s="15" t="str">
        <f t="shared" si="885"/>
        <v>1</v>
      </c>
      <c r="BM301" s="15" t="s">
        <v>416</v>
      </c>
      <c r="BN301" s="15" t="str">
        <f t="shared" si="909"/>
        <v>90.55</v>
      </c>
      <c r="BO301" s="15" t="str">
        <f t="shared" si="910"/>
        <v>36.02</v>
      </c>
      <c r="BP301" s="15" t="str">
        <f t="shared" si="911"/>
        <v>22.05</v>
      </c>
      <c r="BQ301" s="15" t="str">
        <f t="shared" si="912"/>
        <v>139.99</v>
      </c>
      <c r="CG301" s="15" t="str">
        <f t="shared" si="913"/>
        <v>41.64</v>
      </c>
      <c r="CH301" s="15" t="str">
        <f t="shared" si="914"/>
        <v>1.179</v>
      </c>
      <c r="CI301" s="15" t="s">
        <v>497</v>
      </c>
      <c r="CS301" s="15" t="s">
        <v>1286</v>
      </c>
      <c r="CT301" s="15" t="s">
        <v>1161</v>
      </c>
      <c r="CV301" s="15">
        <v>0.0</v>
      </c>
      <c r="CW301" s="15">
        <v>0.0</v>
      </c>
      <c r="CX301" s="15" t="s">
        <v>717</v>
      </c>
      <c r="CY301" s="15" t="s">
        <v>718</v>
      </c>
      <c r="DF301" s="15" t="s">
        <v>721</v>
      </c>
      <c r="DH301" s="15">
        <v>0.0</v>
      </c>
      <c r="DL301" s="15">
        <v>0.0</v>
      </c>
      <c r="DM301" s="15" t="s">
        <v>990</v>
      </c>
      <c r="DP301" s="15">
        <v>0.0</v>
      </c>
      <c r="DQ301" s="15">
        <v>4.0</v>
      </c>
      <c r="DS301" s="15" t="s">
        <v>4055</v>
      </c>
      <c r="DT301" s="15">
        <v>0.0</v>
      </c>
      <c r="DU301" s="15" t="s">
        <v>588</v>
      </c>
      <c r="DV301" s="15" t="s">
        <v>1306</v>
      </c>
      <c r="DW301" s="15" t="s">
        <v>2805</v>
      </c>
      <c r="DX301" s="15" t="s">
        <v>3811</v>
      </c>
      <c r="EB301" s="15" t="s">
        <v>429</v>
      </c>
      <c r="EF301" s="15" t="s">
        <v>2221</v>
      </c>
      <c r="EG301" s="15" t="s">
        <v>3500</v>
      </c>
      <c r="EH301" s="15" t="s">
        <v>4088</v>
      </c>
      <c r="EI301" s="15" t="s">
        <v>2805</v>
      </c>
      <c r="EO301" s="15" t="s">
        <v>1239</v>
      </c>
      <c r="EX301" s="15" t="s">
        <v>2315</v>
      </c>
      <c r="EY301" s="15" t="s">
        <v>4089</v>
      </c>
      <c r="FB301" s="15" t="s">
        <v>3561</v>
      </c>
    </row>
    <row r="302" ht="17.25" customHeight="1">
      <c r="A302" s="15" t="s">
        <v>4094</v>
      </c>
      <c r="B302" s="15" t="str">
        <f>"801542222062"</f>
        <v>801542222062</v>
      </c>
      <c r="C302" s="15" t="s">
        <v>14641</v>
      </c>
      <c r="D302" s="15" t="str">
        <f t="shared" si="1"/>
        <v>Dylan SofaRider Black</v>
      </c>
      <c r="E302" s="15" t="s">
        <v>4079</v>
      </c>
      <c r="F302" s="15" t="s">
        <v>397</v>
      </c>
      <c r="G302" s="15" t="s">
        <v>3518</v>
      </c>
      <c r="J302" s="15" t="s">
        <v>3518</v>
      </c>
      <c r="K302" s="15" t="s">
        <v>4065</v>
      </c>
      <c r="M302" s="15" t="s">
        <v>915</v>
      </c>
      <c r="N302" s="15" t="s">
        <v>1732</v>
      </c>
      <c r="P302" s="15" t="str">
        <f t="shared" si="905"/>
        <v>91.25</v>
      </c>
      <c r="Q302" s="15" t="str">
        <f t="shared" si="906"/>
        <v>34.75</v>
      </c>
      <c r="R302" s="15" t="str">
        <f t="shared" si="907"/>
        <v>25.25</v>
      </c>
      <c r="S302" s="15" t="str">
        <f t="shared" si="908"/>
        <v>120.15</v>
      </c>
      <c r="T302" s="15" t="s">
        <v>975</v>
      </c>
      <c r="U302" s="15" t="s">
        <v>11137</v>
      </c>
      <c r="V302" s="15" t="s">
        <v>11210</v>
      </c>
      <c r="AA302" s="15" t="s">
        <v>413</v>
      </c>
      <c r="AB302" s="15" t="s">
        <v>413</v>
      </c>
      <c r="AD302" s="15" t="s">
        <v>14642</v>
      </c>
      <c r="AE302" s="15" t="s">
        <v>4095</v>
      </c>
      <c r="AF302" s="15" t="s">
        <v>14643</v>
      </c>
      <c r="AG302" s="15" t="s">
        <v>14644</v>
      </c>
      <c r="AH302" s="15" t="s">
        <v>14645</v>
      </c>
      <c r="AI302" s="15" t="s">
        <v>14646</v>
      </c>
      <c r="AJ302" s="15" t="s">
        <v>14647</v>
      </c>
      <c r="AK302" s="15" t="s">
        <v>14648</v>
      </c>
      <c r="AL302" s="15" t="s">
        <v>14649</v>
      </c>
      <c r="BH302" s="15" t="s">
        <v>4093</v>
      </c>
      <c r="BI302" s="15" t="str">
        <f>"4099"</f>
        <v>4099</v>
      </c>
      <c r="BJ302" s="15" t="str">
        <f>"1725"</f>
        <v>1725</v>
      </c>
      <c r="BK302" s="15" t="s">
        <v>709</v>
      </c>
      <c r="BL302" s="15" t="str">
        <f t="shared" si="885"/>
        <v>1</v>
      </c>
      <c r="BM302" s="15" t="s">
        <v>416</v>
      </c>
      <c r="BN302" s="15" t="str">
        <f t="shared" si="909"/>
        <v>90.55</v>
      </c>
      <c r="BO302" s="15" t="str">
        <f t="shared" si="910"/>
        <v>36.02</v>
      </c>
      <c r="BP302" s="15" t="str">
        <f t="shared" si="911"/>
        <v>22.05</v>
      </c>
      <c r="BQ302" s="15" t="str">
        <f t="shared" si="912"/>
        <v>139.99</v>
      </c>
      <c r="CG302" s="15" t="str">
        <f t="shared" si="913"/>
        <v>41.64</v>
      </c>
      <c r="CH302" s="15" t="str">
        <f t="shared" si="914"/>
        <v>1.179</v>
      </c>
      <c r="CI302" s="15" t="s">
        <v>497</v>
      </c>
      <c r="CS302" s="15" t="s">
        <v>1286</v>
      </c>
      <c r="CT302" s="15" t="s">
        <v>1161</v>
      </c>
      <c r="CV302" s="15">
        <v>0.0</v>
      </c>
      <c r="CW302" s="15">
        <v>0.0</v>
      </c>
      <c r="CX302" s="15" t="s">
        <v>717</v>
      </c>
      <c r="CY302" s="15" t="s">
        <v>718</v>
      </c>
      <c r="DF302" s="15" t="s">
        <v>721</v>
      </c>
      <c r="DH302" s="15">
        <v>0.0</v>
      </c>
      <c r="DL302" s="15">
        <v>0.0</v>
      </c>
      <c r="DM302" s="15" t="s">
        <v>990</v>
      </c>
      <c r="DP302" s="15">
        <v>0.0</v>
      </c>
      <c r="DQ302" s="15">
        <v>4.0</v>
      </c>
      <c r="DS302" s="15" t="s">
        <v>4055</v>
      </c>
      <c r="DT302" s="15">
        <v>0.0</v>
      </c>
      <c r="DU302" s="15" t="s">
        <v>588</v>
      </c>
      <c r="DV302" s="15" t="s">
        <v>1306</v>
      </c>
      <c r="DW302" s="15" t="s">
        <v>2805</v>
      </c>
      <c r="DX302" s="15" t="s">
        <v>3811</v>
      </c>
      <c r="EB302" s="15" t="s">
        <v>429</v>
      </c>
      <c r="EF302" s="15" t="s">
        <v>2221</v>
      </c>
      <c r="EG302" s="15" t="s">
        <v>3500</v>
      </c>
      <c r="EH302" s="15" t="s">
        <v>4088</v>
      </c>
      <c r="EI302" s="15" t="s">
        <v>2805</v>
      </c>
      <c r="EO302" s="15" t="s">
        <v>1239</v>
      </c>
      <c r="EX302" s="15" t="s">
        <v>2315</v>
      </c>
      <c r="EY302" s="15" t="s">
        <v>4089</v>
      </c>
      <c r="FB302" s="15" t="s">
        <v>3561</v>
      </c>
    </row>
    <row r="303" ht="17.25" customHeight="1">
      <c r="A303" s="15" t="s">
        <v>4097</v>
      </c>
      <c r="B303" s="15" t="str">
        <f>"801542251215"</f>
        <v>801542251215</v>
      </c>
      <c r="C303" s="15" t="s">
        <v>14650</v>
      </c>
      <c r="D303" s="15" t="str">
        <f t="shared" si="1"/>
        <v>Dylan SofaSapphire Navy</v>
      </c>
      <c r="E303" s="15" t="s">
        <v>4079</v>
      </c>
      <c r="F303" s="15" t="s">
        <v>397</v>
      </c>
      <c r="G303" s="15" t="s">
        <v>1663</v>
      </c>
      <c r="J303" s="15" t="s">
        <v>1663</v>
      </c>
      <c r="K303" s="15" t="s">
        <v>2801</v>
      </c>
      <c r="M303" s="15" t="s">
        <v>915</v>
      </c>
      <c r="N303" s="15" t="s">
        <v>1732</v>
      </c>
      <c r="P303" s="15" t="str">
        <f t="shared" si="905"/>
        <v>91.25</v>
      </c>
      <c r="Q303" s="15" t="str">
        <f t="shared" si="906"/>
        <v>34.75</v>
      </c>
      <c r="R303" s="15" t="str">
        <f t="shared" si="907"/>
        <v>25.25</v>
      </c>
      <c r="S303" s="15" t="str">
        <f t="shared" si="908"/>
        <v>120.15</v>
      </c>
      <c r="T303" s="15" t="s">
        <v>4064</v>
      </c>
      <c r="U303" s="15" t="s">
        <v>11234</v>
      </c>
      <c r="V303" s="15" t="s">
        <v>11898</v>
      </c>
      <c r="W303" s="15" t="s">
        <v>11210</v>
      </c>
      <c r="AA303" s="15" t="s">
        <v>413</v>
      </c>
      <c r="AB303" s="15" t="s">
        <v>413</v>
      </c>
      <c r="AD303" s="15" t="s">
        <v>14651</v>
      </c>
      <c r="AE303" s="15" t="s">
        <v>4098</v>
      </c>
      <c r="AF303" s="15" t="s">
        <v>14652</v>
      </c>
      <c r="AG303" s="15" t="s">
        <v>14653</v>
      </c>
      <c r="AH303" s="15" t="s">
        <v>14654</v>
      </c>
      <c r="AI303" s="15" t="s">
        <v>14655</v>
      </c>
      <c r="AJ303" s="15" t="s">
        <v>14656</v>
      </c>
      <c r="AK303" s="15" t="s">
        <v>14657</v>
      </c>
      <c r="AL303" s="15" t="s">
        <v>14658</v>
      </c>
      <c r="AM303" s="15" t="s">
        <v>14659</v>
      </c>
      <c r="AN303" s="15" t="s">
        <v>14660</v>
      </c>
      <c r="BH303" s="15" t="s">
        <v>4096</v>
      </c>
      <c r="BI303" s="15" t="str">
        <f t="shared" ref="BI303:BI304" si="915">"2099"</f>
        <v>2099</v>
      </c>
      <c r="BJ303" s="15" t="str">
        <f t="shared" ref="BJ303:BJ304" si="916">"885"</f>
        <v>885</v>
      </c>
      <c r="BK303" s="15" t="s">
        <v>709</v>
      </c>
      <c r="BL303" s="15" t="str">
        <f t="shared" si="885"/>
        <v>1</v>
      </c>
      <c r="BM303" s="15" t="s">
        <v>416</v>
      </c>
      <c r="BN303" s="15" t="str">
        <f t="shared" si="909"/>
        <v>90.55</v>
      </c>
      <c r="BO303" s="15" t="str">
        <f t="shared" si="910"/>
        <v>36.02</v>
      </c>
      <c r="BP303" s="15" t="str">
        <f t="shared" si="911"/>
        <v>22.05</v>
      </c>
      <c r="BQ303" s="15" t="str">
        <f t="shared" si="912"/>
        <v>139.99</v>
      </c>
      <c r="CG303" s="15" t="str">
        <f t="shared" si="913"/>
        <v>41.64</v>
      </c>
      <c r="CH303" s="15" t="str">
        <f t="shared" si="914"/>
        <v>1.179</v>
      </c>
      <c r="CI303" s="15" t="s">
        <v>465</v>
      </c>
      <c r="CS303" s="15" t="s">
        <v>1286</v>
      </c>
      <c r="CT303" s="15" t="s">
        <v>1161</v>
      </c>
      <c r="CV303" s="15">
        <v>0.0</v>
      </c>
      <c r="CW303" s="15">
        <v>0.0</v>
      </c>
      <c r="CX303" s="15" t="s">
        <v>717</v>
      </c>
      <c r="CY303" s="15" t="s">
        <v>897</v>
      </c>
      <c r="DF303" s="15" t="s">
        <v>721</v>
      </c>
      <c r="DH303" s="15">
        <v>0.0</v>
      </c>
      <c r="DL303" s="15">
        <v>100000.0</v>
      </c>
      <c r="DM303" s="15" t="s">
        <v>990</v>
      </c>
      <c r="DP303" s="15">
        <v>0.0</v>
      </c>
      <c r="DQ303" s="15">
        <v>4.0</v>
      </c>
      <c r="DS303" s="15" t="s">
        <v>4055</v>
      </c>
      <c r="DT303" s="15">
        <v>0.0</v>
      </c>
      <c r="DU303" s="15" t="s">
        <v>588</v>
      </c>
      <c r="DV303" s="15" t="s">
        <v>1306</v>
      </c>
      <c r="DW303" s="15" t="s">
        <v>2805</v>
      </c>
      <c r="DX303" s="15" t="s">
        <v>3811</v>
      </c>
      <c r="EB303" s="15" t="s">
        <v>429</v>
      </c>
      <c r="EF303" s="15" t="s">
        <v>2221</v>
      </c>
      <c r="EG303" s="15" t="s">
        <v>3500</v>
      </c>
      <c r="EH303" s="15" t="s">
        <v>4088</v>
      </c>
      <c r="EI303" s="15" t="s">
        <v>2805</v>
      </c>
      <c r="EO303" s="15" t="s">
        <v>1239</v>
      </c>
      <c r="EX303" s="15" t="s">
        <v>2315</v>
      </c>
      <c r="EY303" s="15" t="s">
        <v>4089</v>
      </c>
      <c r="FB303" s="15" t="s">
        <v>3561</v>
      </c>
    </row>
    <row r="304" ht="17.25" customHeight="1">
      <c r="A304" s="15" t="s">
        <v>4100</v>
      </c>
      <c r="B304" s="15" t="str">
        <f>"801542384135"</f>
        <v>801542384135</v>
      </c>
      <c r="C304" s="15" t="s">
        <v>14661</v>
      </c>
      <c r="D304" s="15" t="str">
        <f t="shared" si="1"/>
        <v>Dylan SofaSapphire Olive</v>
      </c>
      <c r="E304" s="15" t="s">
        <v>4079</v>
      </c>
      <c r="F304" s="15" t="s">
        <v>397</v>
      </c>
      <c r="G304" s="15" t="s">
        <v>4061</v>
      </c>
      <c r="J304" s="15" t="s">
        <v>4061</v>
      </c>
      <c r="K304" s="15" t="s">
        <v>4065</v>
      </c>
      <c r="M304" s="15" t="s">
        <v>915</v>
      </c>
      <c r="N304" s="15" t="s">
        <v>1732</v>
      </c>
      <c r="P304" s="15" t="str">
        <f t="shared" si="905"/>
        <v>91.25</v>
      </c>
      <c r="Q304" s="15" t="str">
        <f t="shared" si="906"/>
        <v>34.75</v>
      </c>
      <c r="R304" s="15" t="str">
        <f t="shared" si="907"/>
        <v>25.25</v>
      </c>
      <c r="S304" s="15" t="str">
        <f t="shared" si="908"/>
        <v>120.15</v>
      </c>
      <c r="T304" s="15" t="s">
        <v>4064</v>
      </c>
      <c r="U304" s="15" t="s">
        <v>11234</v>
      </c>
      <c r="V304" s="15" t="s">
        <v>11898</v>
      </c>
      <c r="W304" s="15" t="s">
        <v>11210</v>
      </c>
      <c r="AA304" s="15" t="s">
        <v>413</v>
      </c>
      <c r="AB304" s="15" t="s">
        <v>413</v>
      </c>
      <c r="AD304" s="15" t="s">
        <v>14662</v>
      </c>
      <c r="AE304" s="15" t="s">
        <v>4101</v>
      </c>
      <c r="AF304" s="15" t="s">
        <v>14663</v>
      </c>
      <c r="AG304" s="15" t="s">
        <v>14664</v>
      </c>
      <c r="AH304" s="15" t="s">
        <v>14665</v>
      </c>
      <c r="AI304" s="15" t="s">
        <v>14666</v>
      </c>
      <c r="AJ304" s="15" t="s">
        <v>14667</v>
      </c>
      <c r="AK304" s="15" t="s">
        <v>14668</v>
      </c>
      <c r="AL304" s="15" t="s">
        <v>14669</v>
      </c>
      <c r="AM304" s="15" t="s">
        <v>14670</v>
      </c>
      <c r="AN304" s="15" t="s">
        <v>14671</v>
      </c>
      <c r="AO304" s="15" t="s">
        <v>14672</v>
      </c>
      <c r="AP304" s="15" t="s">
        <v>14673</v>
      </c>
      <c r="AQ304" s="15" t="s">
        <v>14674</v>
      </c>
      <c r="AR304" s="15" t="s">
        <v>14675</v>
      </c>
      <c r="AS304" s="15" t="s">
        <v>14676</v>
      </c>
      <c r="BH304" s="15" t="s">
        <v>4099</v>
      </c>
      <c r="BI304" s="15" t="str">
        <f t="shared" si="915"/>
        <v>2099</v>
      </c>
      <c r="BJ304" s="15" t="str">
        <f t="shared" si="916"/>
        <v>885</v>
      </c>
      <c r="BK304" s="15" t="s">
        <v>709</v>
      </c>
      <c r="BL304" s="15" t="str">
        <f t="shared" si="885"/>
        <v>1</v>
      </c>
      <c r="BM304" s="15" t="s">
        <v>416</v>
      </c>
      <c r="BN304" s="15" t="str">
        <f t="shared" si="909"/>
        <v>90.55</v>
      </c>
      <c r="BO304" s="15" t="str">
        <f t="shared" si="910"/>
        <v>36.02</v>
      </c>
      <c r="BP304" s="15" t="str">
        <f t="shared" si="911"/>
        <v>22.05</v>
      </c>
      <c r="BQ304" s="15" t="str">
        <f t="shared" si="912"/>
        <v>139.99</v>
      </c>
      <c r="CG304" s="15" t="str">
        <f t="shared" si="913"/>
        <v>41.64</v>
      </c>
      <c r="CH304" s="15" t="str">
        <f t="shared" si="914"/>
        <v>1.179</v>
      </c>
      <c r="CI304" s="15" t="s">
        <v>497</v>
      </c>
      <c r="CS304" s="15" t="s">
        <v>1286</v>
      </c>
      <c r="CT304" s="15" t="s">
        <v>1161</v>
      </c>
      <c r="CV304" s="15">
        <v>0.0</v>
      </c>
      <c r="CW304" s="15">
        <v>0.0</v>
      </c>
      <c r="CX304" s="15" t="s">
        <v>717</v>
      </c>
      <c r="CY304" s="15" t="s">
        <v>897</v>
      </c>
      <c r="DF304" s="15" t="s">
        <v>721</v>
      </c>
      <c r="DH304" s="15">
        <v>0.0</v>
      </c>
      <c r="DL304" s="15">
        <v>100000.0</v>
      </c>
      <c r="DM304" s="15" t="s">
        <v>990</v>
      </c>
      <c r="DP304" s="15">
        <v>0.0</v>
      </c>
      <c r="DQ304" s="15">
        <v>4.0</v>
      </c>
      <c r="DS304" s="15" t="s">
        <v>4055</v>
      </c>
      <c r="DT304" s="15">
        <v>0.0</v>
      </c>
      <c r="DU304" s="15" t="s">
        <v>588</v>
      </c>
      <c r="DV304" s="15" t="s">
        <v>1306</v>
      </c>
      <c r="DW304" s="15" t="s">
        <v>2805</v>
      </c>
      <c r="DX304" s="15" t="s">
        <v>3811</v>
      </c>
      <c r="EB304" s="15" t="s">
        <v>429</v>
      </c>
      <c r="EF304" s="15" t="s">
        <v>2221</v>
      </c>
      <c r="EG304" s="15" t="s">
        <v>3500</v>
      </c>
      <c r="EH304" s="15" t="s">
        <v>4088</v>
      </c>
      <c r="EI304" s="15" t="s">
        <v>2805</v>
      </c>
      <c r="EO304" s="15" t="s">
        <v>1239</v>
      </c>
      <c r="EX304" s="15" t="s">
        <v>2315</v>
      </c>
      <c r="EY304" s="15" t="s">
        <v>4089</v>
      </c>
      <c r="FB304" s="15" t="s">
        <v>3561</v>
      </c>
    </row>
    <row r="305" ht="17.25" customHeight="1">
      <c r="A305" s="15" t="s">
        <v>4105</v>
      </c>
      <c r="B305" s="15" t="str">
        <f>"801542004453"</f>
        <v>801542004453</v>
      </c>
      <c r="C305" s="15" t="s">
        <v>14677</v>
      </c>
      <c r="D305" s="15" t="str">
        <f t="shared" si="1"/>
        <v>Eaton 5 Drawer DresserAmber Oak Resin</v>
      </c>
      <c r="E305" s="15" t="s">
        <v>4102</v>
      </c>
      <c r="F305" s="15" t="s">
        <v>397</v>
      </c>
      <c r="G305" s="15" t="s">
        <v>4104</v>
      </c>
      <c r="J305" s="15" t="s">
        <v>4104</v>
      </c>
      <c r="K305" s="15" t="s">
        <v>4110</v>
      </c>
      <c r="M305" s="15" t="s">
        <v>1896</v>
      </c>
      <c r="N305" s="15" t="s">
        <v>412</v>
      </c>
      <c r="P305" s="15" t="str">
        <f>"41.5"</f>
        <v>41.5</v>
      </c>
      <c r="Q305" s="15" t="str">
        <f t="shared" ref="Q305:Q306" si="917">"20.5"</f>
        <v>20.5</v>
      </c>
      <c r="R305" s="15" t="str">
        <f>"46.5"</f>
        <v>46.5</v>
      </c>
      <c r="S305" s="15" t="str">
        <f>"177.47"</f>
        <v>177.47</v>
      </c>
      <c r="T305" s="15" t="s">
        <v>2283</v>
      </c>
      <c r="U305" s="15" t="s">
        <v>10881</v>
      </c>
      <c r="V305" s="15" t="s">
        <v>11139</v>
      </c>
      <c r="AA305" s="15" t="s">
        <v>413</v>
      </c>
      <c r="AB305" s="15" t="s">
        <v>413</v>
      </c>
      <c r="AC305" s="15" t="s">
        <v>4111</v>
      </c>
      <c r="AD305" s="15" t="s">
        <v>14678</v>
      </c>
      <c r="AE305" s="15" t="s">
        <v>4107</v>
      </c>
      <c r="AF305" s="15" t="s">
        <v>14679</v>
      </c>
      <c r="AG305" s="15" t="s">
        <v>14680</v>
      </c>
      <c r="AH305" s="15" t="s">
        <v>14681</v>
      </c>
      <c r="AI305" s="15" t="s">
        <v>14682</v>
      </c>
      <c r="AJ305" s="15" t="s">
        <v>14683</v>
      </c>
      <c r="AK305" s="15" t="s">
        <v>14684</v>
      </c>
      <c r="AL305" s="15" t="s">
        <v>14685</v>
      </c>
      <c r="AM305" s="15" t="s">
        <v>14686</v>
      </c>
      <c r="AN305" s="15" t="s">
        <v>14687</v>
      </c>
      <c r="AO305" s="15" t="s">
        <v>14688</v>
      </c>
      <c r="AP305" s="15" t="s">
        <v>14689</v>
      </c>
      <c r="AQ305" s="15" t="s">
        <v>14690</v>
      </c>
      <c r="AR305" s="15" t="s">
        <v>14691</v>
      </c>
      <c r="BH305" s="15" t="s">
        <v>4103</v>
      </c>
      <c r="BI305" s="15" t="str">
        <f>"1599"</f>
        <v>1599</v>
      </c>
      <c r="BJ305" s="15" t="str">
        <f>"675"</f>
        <v>675</v>
      </c>
      <c r="BK305" s="15" t="s">
        <v>742</v>
      </c>
      <c r="BL305" s="15" t="str">
        <f t="shared" si="885"/>
        <v>1</v>
      </c>
      <c r="BM305" s="15" t="s">
        <v>2043</v>
      </c>
      <c r="BN305" s="15" t="str">
        <f>"44.29"</f>
        <v>44.29</v>
      </c>
      <c r="BO305" s="15" t="str">
        <f t="shared" ref="BO305:BO306" si="918">"24.41"</f>
        <v>24.41</v>
      </c>
      <c r="BP305" s="15" t="str">
        <f>"46.46"</f>
        <v>46.46</v>
      </c>
      <c r="BQ305" s="15" t="str">
        <f>"207.23"</f>
        <v>207.23</v>
      </c>
      <c r="CG305" s="15" t="str">
        <f>"29.06"</f>
        <v>29.06</v>
      </c>
      <c r="CH305" s="15" t="str">
        <f>"0.823"</f>
        <v>0.823</v>
      </c>
      <c r="CI305" s="15" t="s">
        <v>497</v>
      </c>
      <c r="CZ305" s="15" t="s">
        <v>418</v>
      </c>
      <c r="DA305" s="15">
        <v>5.0</v>
      </c>
      <c r="DB305" s="15" t="s">
        <v>419</v>
      </c>
      <c r="DD305" s="15">
        <v>0.0</v>
      </c>
      <c r="DF305" s="15" t="s">
        <v>420</v>
      </c>
      <c r="DG305" s="15" t="s">
        <v>421</v>
      </c>
      <c r="DK305" s="15">
        <v>0.0</v>
      </c>
      <c r="DR305" s="15" t="s">
        <v>2094</v>
      </c>
      <c r="DS305" s="15" t="s">
        <v>4115</v>
      </c>
      <c r="DU305" s="15" t="s">
        <v>500</v>
      </c>
      <c r="EF305" s="15" t="s">
        <v>1040</v>
      </c>
      <c r="EU305" s="15" t="s">
        <v>426</v>
      </c>
      <c r="EV305" s="15">
        <v>0.0</v>
      </c>
      <c r="FQ305" s="15">
        <v>0.0</v>
      </c>
      <c r="FR305" s="15" t="s">
        <v>427</v>
      </c>
      <c r="FX305" s="15" t="s">
        <v>426</v>
      </c>
      <c r="FZ305" s="15" t="s">
        <v>1508</v>
      </c>
      <c r="GA305" s="15" t="s">
        <v>1508</v>
      </c>
      <c r="GB305" s="15" t="s">
        <v>4116</v>
      </c>
      <c r="GC305" s="15" t="s">
        <v>4116</v>
      </c>
      <c r="GD305" s="15" t="s">
        <v>4117</v>
      </c>
      <c r="GE305" s="15" t="s">
        <v>1487</v>
      </c>
      <c r="GF305" s="15" t="s">
        <v>431</v>
      </c>
      <c r="GH305" s="15" t="s">
        <v>764</v>
      </c>
    </row>
    <row r="306" ht="17.25" customHeight="1">
      <c r="A306" s="15" t="s">
        <v>4120</v>
      </c>
      <c r="B306" s="15" t="str">
        <f>"801542005276"</f>
        <v>801542005276</v>
      </c>
      <c r="C306" s="15" t="s">
        <v>14692</v>
      </c>
      <c r="D306" s="15" t="str">
        <f t="shared" si="1"/>
        <v>Eaton 9 Drawer DresserAmber Oak Resin</v>
      </c>
      <c r="E306" s="15" t="s">
        <v>4118</v>
      </c>
      <c r="F306" s="15" t="s">
        <v>397</v>
      </c>
      <c r="G306" s="15" t="s">
        <v>4104</v>
      </c>
      <c r="J306" s="15" t="s">
        <v>4104</v>
      </c>
      <c r="K306" s="15" t="s">
        <v>4110</v>
      </c>
      <c r="M306" s="15" t="s">
        <v>1896</v>
      </c>
      <c r="N306" s="15" t="s">
        <v>412</v>
      </c>
      <c r="P306" s="15" t="str">
        <f>"65.5"</f>
        <v>65.5</v>
      </c>
      <c r="Q306" s="15" t="str">
        <f t="shared" si="917"/>
        <v>20.5</v>
      </c>
      <c r="R306" s="15" t="str">
        <f>"31.5"</f>
        <v>31.5</v>
      </c>
      <c r="S306" s="15" t="str">
        <f>"200.62"</f>
        <v>200.62</v>
      </c>
      <c r="T306" s="15" t="s">
        <v>2283</v>
      </c>
      <c r="U306" s="15" t="s">
        <v>10881</v>
      </c>
      <c r="V306" s="15" t="s">
        <v>11139</v>
      </c>
      <c r="AA306" s="15" t="s">
        <v>426</v>
      </c>
      <c r="AB306" s="15" t="s">
        <v>413</v>
      </c>
      <c r="AC306" s="15" t="s">
        <v>4111</v>
      </c>
      <c r="AD306" s="15" t="s">
        <v>14693</v>
      </c>
      <c r="AE306" s="15" t="s">
        <v>4122</v>
      </c>
      <c r="AF306" s="15" t="s">
        <v>14694</v>
      </c>
      <c r="AG306" s="15" t="s">
        <v>14695</v>
      </c>
      <c r="AH306" s="15" t="s">
        <v>14696</v>
      </c>
      <c r="AI306" s="15" t="s">
        <v>14697</v>
      </c>
      <c r="AJ306" s="15" t="s">
        <v>14698</v>
      </c>
      <c r="AK306" s="15" t="s">
        <v>14699</v>
      </c>
      <c r="AL306" s="15" t="s">
        <v>14700</v>
      </c>
      <c r="AM306" s="15" t="s">
        <v>14701</v>
      </c>
      <c r="AN306" s="15" t="s">
        <v>14702</v>
      </c>
      <c r="AO306" s="15" t="s">
        <v>14703</v>
      </c>
      <c r="AP306" s="15" t="s">
        <v>14704</v>
      </c>
      <c r="AQ306" s="15" t="s">
        <v>14705</v>
      </c>
      <c r="BH306" s="15" t="s">
        <v>4119</v>
      </c>
      <c r="BI306" s="15" t="str">
        <f>"1999"</f>
        <v>1999</v>
      </c>
      <c r="BJ306" s="15" t="str">
        <f>"840"</f>
        <v>840</v>
      </c>
      <c r="BK306" s="15" t="s">
        <v>742</v>
      </c>
      <c r="BL306" s="15" t="str">
        <f t="shared" si="885"/>
        <v>1</v>
      </c>
      <c r="BM306" s="15" t="s">
        <v>2043</v>
      </c>
      <c r="BN306" s="15" t="str">
        <f>"67.72"</f>
        <v>67.72</v>
      </c>
      <c r="BO306" s="15" t="str">
        <f t="shared" si="918"/>
        <v>24.41</v>
      </c>
      <c r="BP306" s="15" t="str">
        <f>"31.5"</f>
        <v>31.5</v>
      </c>
      <c r="BQ306" s="15" t="str">
        <f>"234.79"</f>
        <v>234.79</v>
      </c>
      <c r="CG306" s="15" t="str">
        <f>"30.12"</f>
        <v>30.12</v>
      </c>
      <c r="CH306" s="15" t="str">
        <f>"0.853"</f>
        <v>0.853</v>
      </c>
      <c r="CI306" s="15" t="s">
        <v>497</v>
      </c>
      <c r="CZ306" s="15" t="s">
        <v>418</v>
      </c>
      <c r="DA306" s="15">
        <v>9.0</v>
      </c>
      <c r="DB306" s="15" t="s">
        <v>419</v>
      </c>
      <c r="DD306" s="15">
        <v>0.0</v>
      </c>
      <c r="DF306" s="15" t="s">
        <v>420</v>
      </c>
      <c r="DG306" s="15" t="s">
        <v>421</v>
      </c>
      <c r="DK306" s="15">
        <v>0.0</v>
      </c>
      <c r="DR306" s="15" t="s">
        <v>422</v>
      </c>
      <c r="DS306" s="15" t="s">
        <v>4115</v>
      </c>
      <c r="DU306" s="15" t="s">
        <v>500</v>
      </c>
      <c r="EF306" s="15" t="s">
        <v>1040</v>
      </c>
      <c r="EU306" s="15" t="s">
        <v>426</v>
      </c>
      <c r="EV306" s="15">
        <v>0.0</v>
      </c>
      <c r="FQ306" s="15">
        <v>0.0</v>
      </c>
      <c r="FR306" s="15" t="s">
        <v>427</v>
      </c>
      <c r="FX306" s="15" t="s">
        <v>426</v>
      </c>
      <c r="FZ306" s="15" t="s">
        <v>1508</v>
      </c>
      <c r="GA306" s="15" t="s">
        <v>1508</v>
      </c>
      <c r="GB306" s="15" t="s">
        <v>4127</v>
      </c>
      <c r="GC306" s="15" t="s">
        <v>4127</v>
      </c>
      <c r="GD306" s="15" t="s">
        <v>4128</v>
      </c>
      <c r="GE306" s="15" t="s">
        <v>1882</v>
      </c>
      <c r="GF306" s="15" t="s">
        <v>431</v>
      </c>
      <c r="GH306" s="15" t="s">
        <v>764</v>
      </c>
    </row>
    <row r="307" ht="17.25" customHeight="1">
      <c r="A307" s="15" t="s">
        <v>4132</v>
      </c>
      <c r="B307" s="15" t="str">
        <f>"801542728366"</f>
        <v>801542728366</v>
      </c>
      <c r="C307" s="15" t="s">
        <v>14706</v>
      </c>
      <c r="D307" s="15" t="str">
        <f t="shared" si="1"/>
        <v>Eaton Drum Coffee TableLight Oak Resin</v>
      </c>
      <c r="E307" s="15" t="s">
        <v>4129</v>
      </c>
      <c r="F307" s="15" t="s">
        <v>397</v>
      </c>
      <c r="G307" s="15" t="s">
        <v>4131</v>
      </c>
      <c r="J307" s="15" t="s">
        <v>4131</v>
      </c>
      <c r="K307" s="15" t="s">
        <v>4110</v>
      </c>
      <c r="M307" s="15" t="s">
        <v>1896</v>
      </c>
      <c r="N307" s="15" t="s">
        <v>491</v>
      </c>
      <c r="P307" s="15" t="str">
        <f t="shared" ref="P307:Q307" si="919">"38"</f>
        <v>38</v>
      </c>
      <c r="Q307" s="15" t="str">
        <f t="shared" si="919"/>
        <v>38</v>
      </c>
      <c r="R307" s="15" t="str">
        <f>"16"</f>
        <v>16</v>
      </c>
      <c r="S307" s="15" t="str">
        <f>"55.12"</f>
        <v>55.12</v>
      </c>
      <c r="T307" s="15" t="s">
        <v>2283</v>
      </c>
      <c r="U307" s="15" t="s">
        <v>10881</v>
      </c>
      <c r="V307" s="15" t="s">
        <v>11139</v>
      </c>
      <c r="AA307" s="15" t="s">
        <v>413</v>
      </c>
      <c r="AB307" s="15" t="s">
        <v>413</v>
      </c>
      <c r="AC307" s="15" t="s">
        <v>4135</v>
      </c>
      <c r="AD307" s="15" t="s">
        <v>14707</v>
      </c>
      <c r="AE307" s="15" t="s">
        <v>4134</v>
      </c>
      <c r="AF307" s="15" t="s">
        <v>14708</v>
      </c>
      <c r="AG307" s="15" t="s">
        <v>14709</v>
      </c>
      <c r="AH307" s="15" t="s">
        <v>14710</v>
      </c>
      <c r="AI307" s="15" t="s">
        <v>14711</v>
      </c>
      <c r="AJ307" s="15" t="s">
        <v>14712</v>
      </c>
      <c r="AK307" s="15" t="s">
        <v>14713</v>
      </c>
      <c r="AL307" s="15" t="s">
        <v>14714</v>
      </c>
      <c r="AM307" s="15" t="s">
        <v>14715</v>
      </c>
      <c r="BH307" s="15" t="s">
        <v>4130</v>
      </c>
      <c r="BI307" s="15" t="str">
        <f>"749"</f>
        <v>749</v>
      </c>
      <c r="BJ307" s="15" t="str">
        <f>"315"</f>
        <v>315</v>
      </c>
      <c r="BK307" s="15" t="s">
        <v>742</v>
      </c>
      <c r="BL307" s="15" t="str">
        <f t="shared" si="885"/>
        <v>1</v>
      </c>
      <c r="BM307" s="15" t="s">
        <v>2043</v>
      </c>
      <c r="BN307" s="15" t="str">
        <f t="shared" ref="BN307:BO307" si="920">"41.14"</f>
        <v>41.14</v>
      </c>
      <c r="BO307" s="15" t="str">
        <f t="shared" si="920"/>
        <v>41.14</v>
      </c>
      <c r="BP307" s="15" t="str">
        <f>"14.76"</f>
        <v>14.76</v>
      </c>
      <c r="BQ307" s="15" t="str">
        <f>"72.75"</f>
        <v>72.75</v>
      </c>
      <c r="CG307" s="15" t="str">
        <f>"14.48"</f>
        <v>14.48</v>
      </c>
      <c r="CH307" s="15" t="str">
        <f>"0.41"</f>
        <v>0.41</v>
      </c>
      <c r="CI307" s="15" t="s">
        <v>497</v>
      </c>
      <c r="CZ307" s="15" t="s">
        <v>419</v>
      </c>
      <c r="DA307" s="15">
        <v>0.0</v>
      </c>
      <c r="DB307" s="15" t="s">
        <v>419</v>
      </c>
      <c r="DD307" s="15">
        <v>0.0</v>
      </c>
      <c r="DF307" s="15" t="s">
        <v>420</v>
      </c>
      <c r="DG307" s="15" t="s">
        <v>419</v>
      </c>
      <c r="DK307" s="15">
        <v>0.0</v>
      </c>
      <c r="DR307" s="15" t="s">
        <v>1157</v>
      </c>
      <c r="DS307" s="15" t="s">
        <v>4115</v>
      </c>
      <c r="DU307" s="15" t="s">
        <v>500</v>
      </c>
      <c r="EF307" s="15" t="s">
        <v>1040</v>
      </c>
      <c r="EG307" s="15" t="s">
        <v>4138</v>
      </c>
      <c r="EH307" s="15" t="s">
        <v>4138</v>
      </c>
      <c r="EQ307" s="15" t="s">
        <v>612</v>
      </c>
      <c r="ER307" s="15" t="s">
        <v>1950</v>
      </c>
      <c r="ES307" s="15" t="s">
        <v>612</v>
      </c>
      <c r="ET307" s="15" t="s">
        <v>4139</v>
      </c>
      <c r="EU307" s="15" t="s">
        <v>426</v>
      </c>
      <c r="EV307" s="15">
        <v>0.0</v>
      </c>
      <c r="EW307" s="15">
        <v>0.0</v>
      </c>
    </row>
    <row r="308" ht="17.25" customHeight="1">
      <c r="A308" s="15" t="s">
        <v>4142</v>
      </c>
      <c r="B308" s="15" t="str">
        <f>"801542004484"</f>
        <v>801542004484</v>
      </c>
      <c r="C308" s="15" t="s">
        <v>14716</v>
      </c>
      <c r="D308" s="15" t="str">
        <f t="shared" si="1"/>
        <v>Eaton Executive DeskAmber Oak Resin</v>
      </c>
      <c r="E308" s="15" t="s">
        <v>4140</v>
      </c>
      <c r="F308" s="15" t="s">
        <v>397</v>
      </c>
      <c r="G308" s="15" t="s">
        <v>4104</v>
      </c>
      <c r="J308" s="15" t="s">
        <v>4104</v>
      </c>
      <c r="K308" s="15" t="s">
        <v>4110</v>
      </c>
      <c r="M308" s="15" t="s">
        <v>1896</v>
      </c>
      <c r="N308" s="15" t="s">
        <v>2134</v>
      </c>
      <c r="O308" s="15" t="s">
        <v>2135</v>
      </c>
      <c r="P308" s="15" t="str">
        <f t="shared" ref="P308:P309" si="921">"68"</f>
        <v>68</v>
      </c>
      <c r="Q308" s="15" t="str">
        <f t="shared" ref="Q308:Q309" si="922">"27"</f>
        <v>27</v>
      </c>
      <c r="R308" s="15" t="str">
        <f t="shared" ref="R308:R309" si="923">"31"</f>
        <v>31</v>
      </c>
      <c r="S308" s="15" t="str">
        <f t="shared" ref="S308:S309" si="924">"189.6"</f>
        <v>189.6</v>
      </c>
      <c r="T308" s="15" t="s">
        <v>2283</v>
      </c>
      <c r="U308" s="15" t="s">
        <v>10881</v>
      </c>
      <c r="V308" s="15" t="s">
        <v>11139</v>
      </c>
      <c r="AA308" s="15" t="s">
        <v>413</v>
      </c>
      <c r="AB308" s="15" t="s">
        <v>413</v>
      </c>
      <c r="AC308" s="15" t="s">
        <v>4145</v>
      </c>
      <c r="AD308" s="15" t="s">
        <v>14717</v>
      </c>
      <c r="AE308" s="15" t="s">
        <v>4144</v>
      </c>
      <c r="AF308" s="15" t="s">
        <v>14718</v>
      </c>
      <c r="AG308" s="15" t="s">
        <v>14719</v>
      </c>
      <c r="AH308" s="15" t="s">
        <v>14720</v>
      </c>
      <c r="AI308" s="15" t="s">
        <v>14721</v>
      </c>
      <c r="AJ308" s="15" t="s">
        <v>14722</v>
      </c>
      <c r="AK308" s="15" t="s">
        <v>14723</v>
      </c>
      <c r="AL308" s="15" t="s">
        <v>14724</v>
      </c>
      <c r="AM308" s="15" t="s">
        <v>14725</v>
      </c>
      <c r="AN308" s="15" t="s">
        <v>14726</v>
      </c>
      <c r="AO308" s="15" t="s">
        <v>14727</v>
      </c>
      <c r="AP308" s="15" t="s">
        <v>14728</v>
      </c>
      <c r="AQ308" s="15" t="s">
        <v>14729</v>
      </c>
      <c r="BH308" s="15" t="s">
        <v>4141</v>
      </c>
      <c r="BI308" s="15" t="str">
        <f t="shared" ref="BI308:BI309" si="925">"2099"</f>
        <v>2099</v>
      </c>
      <c r="BJ308" s="15" t="str">
        <f t="shared" ref="BJ308:BJ309" si="926">"885"</f>
        <v>885</v>
      </c>
      <c r="BK308" s="15" t="s">
        <v>742</v>
      </c>
      <c r="BL308" s="15" t="str">
        <f t="shared" si="885"/>
        <v>1</v>
      </c>
      <c r="BM308" s="15" t="s">
        <v>2043</v>
      </c>
      <c r="BN308" s="15" t="str">
        <f t="shared" ref="BN308:BN309" si="927">"70.28"</f>
        <v>70.28</v>
      </c>
      <c r="BO308" s="15" t="str">
        <f t="shared" ref="BO308:BO309" si="928">"30.71"</f>
        <v>30.71</v>
      </c>
      <c r="BP308" s="15" t="str">
        <f t="shared" ref="BP308:BP309" si="929">"30.91"</f>
        <v>30.91</v>
      </c>
      <c r="BQ308" s="15" t="str">
        <f t="shared" ref="BQ308:BQ309" si="930">"233.69"</f>
        <v>233.69</v>
      </c>
      <c r="CG308" s="15" t="str">
        <f t="shared" ref="CG308:CG309" si="931">"38.6"</f>
        <v>38.6</v>
      </c>
      <c r="CH308" s="15" t="str">
        <f t="shared" ref="CH308:CH309" si="932">"1.093"</f>
        <v>1.093</v>
      </c>
      <c r="CI308" s="15" t="s">
        <v>465</v>
      </c>
      <c r="CM308" s="15" t="s">
        <v>2652</v>
      </c>
      <c r="CN308" s="15" t="s">
        <v>2651</v>
      </c>
      <c r="CO308" s="15" t="s">
        <v>824</v>
      </c>
      <c r="CZ308" s="15" t="s">
        <v>418</v>
      </c>
      <c r="DA308" s="15">
        <v>4.0</v>
      </c>
      <c r="DB308" s="15" t="s">
        <v>419</v>
      </c>
      <c r="DD308" s="15">
        <v>0.0</v>
      </c>
      <c r="DF308" s="15" t="s">
        <v>420</v>
      </c>
      <c r="DG308" s="15" t="s">
        <v>610</v>
      </c>
      <c r="DK308" s="15">
        <v>1.0</v>
      </c>
      <c r="DR308" s="15" t="s">
        <v>2137</v>
      </c>
      <c r="DS308" s="15" t="s">
        <v>4115</v>
      </c>
      <c r="DU308" s="15" t="s">
        <v>500</v>
      </c>
      <c r="EF308" s="15" t="s">
        <v>1040</v>
      </c>
      <c r="EG308" s="15" t="s">
        <v>1286</v>
      </c>
      <c r="EH308" s="15" t="s">
        <v>4146</v>
      </c>
      <c r="EQ308" s="15" t="s">
        <v>612</v>
      </c>
      <c r="ER308" s="15" t="s">
        <v>1950</v>
      </c>
      <c r="ES308" s="15" t="s">
        <v>612</v>
      </c>
      <c r="ET308" s="15" t="s">
        <v>782</v>
      </c>
      <c r="EU308" s="15" t="s">
        <v>426</v>
      </c>
      <c r="EV308" s="15">
        <v>1.0</v>
      </c>
      <c r="FE308" s="15" t="s">
        <v>3102</v>
      </c>
      <c r="FH308" s="15" t="s">
        <v>4147</v>
      </c>
      <c r="FI308" s="15" t="s">
        <v>782</v>
      </c>
      <c r="FJ308" s="15" t="s">
        <v>824</v>
      </c>
      <c r="FK308" s="15" t="s">
        <v>2652</v>
      </c>
      <c r="FL308" s="15" t="s">
        <v>782</v>
      </c>
      <c r="FM308" s="15" t="s">
        <v>824</v>
      </c>
      <c r="FO308" s="15" t="s">
        <v>426</v>
      </c>
      <c r="FP308" s="15" t="s">
        <v>4148</v>
      </c>
      <c r="FQ308" s="15">
        <v>1.0</v>
      </c>
      <c r="FR308" s="15" t="s">
        <v>614</v>
      </c>
      <c r="FS308" s="15" t="s">
        <v>615</v>
      </c>
      <c r="FU308" s="15" t="s">
        <v>426</v>
      </c>
      <c r="FW308" s="15" t="s">
        <v>616</v>
      </c>
      <c r="FX308" s="15" t="s">
        <v>426</v>
      </c>
      <c r="FZ308" s="15" t="s">
        <v>2274</v>
      </c>
      <c r="GA308" s="15" t="s">
        <v>2274</v>
      </c>
      <c r="GB308" s="15" t="s">
        <v>4149</v>
      </c>
      <c r="GC308" s="15" t="s">
        <v>4150</v>
      </c>
      <c r="GD308" s="15" t="s">
        <v>4151</v>
      </c>
      <c r="GE308" s="15" t="s">
        <v>4151</v>
      </c>
      <c r="GF308" s="15" t="s">
        <v>431</v>
      </c>
      <c r="GH308" s="15" t="s">
        <v>764</v>
      </c>
      <c r="GM308" s="15">
        <v>1.0</v>
      </c>
      <c r="HF308" s="15" t="s">
        <v>2050</v>
      </c>
      <c r="HG308" s="15" t="s">
        <v>2274</v>
      </c>
      <c r="HI308" s="15" t="s">
        <v>4149</v>
      </c>
      <c r="HK308" s="15" t="s">
        <v>1954</v>
      </c>
      <c r="HP308" s="15" t="s">
        <v>426</v>
      </c>
      <c r="HQ308" s="15" t="s">
        <v>426</v>
      </c>
    </row>
    <row r="309" ht="17.25" customHeight="1">
      <c r="A309" s="15" t="s">
        <v>4153</v>
      </c>
      <c r="B309" s="15" t="str">
        <f>"801542739966"</f>
        <v>801542739966</v>
      </c>
      <c r="C309" s="15" t="s">
        <v>14730</v>
      </c>
      <c r="D309" s="15" t="str">
        <f t="shared" si="1"/>
        <v>Eaton Executive DeskLight Oak Resin</v>
      </c>
      <c r="E309" s="15" t="s">
        <v>4140</v>
      </c>
      <c r="F309" s="15" t="s">
        <v>397</v>
      </c>
      <c r="G309" s="15" t="s">
        <v>4131</v>
      </c>
      <c r="J309" s="15" t="s">
        <v>4131</v>
      </c>
      <c r="K309" s="15" t="s">
        <v>4110</v>
      </c>
      <c r="M309" s="15" t="s">
        <v>1896</v>
      </c>
      <c r="N309" s="15" t="s">
        <v>2134</v>
      </c>
      <c r="O309" s="15" t="s">
        <v>2135</v>
      </c>
      <c r="P309" s="15" t="str">
        <f t="shared" si="921"/>
        <v>68</v>
      </c>
      <c r="Q309" s="15" t="str">
        <f t="shared" si="922"/>
        <v>27</v>
      </c>
      <c r="R309" s="15" t="str">
        <f t="shared" si="923"/>
        <v>31</v>
      </c>
      <c r="S309" s="15" t="str">
        <f t="shared" si="924"/>
        <v>189.6</v>
      </c>
      <c r="T309" s="15" t="s">
        <v>2283</v>
      </c>
      <c r="U309" s="15" t="s">
        <v>10881</v>
      </c>
      <c r="V309" s="15" t="s">
        <v>11139</v>
      </c>
      <c r="AA309" s="15" t="s">
        <v>413</v>
      </c>
      <c r="AB309" s="15" t="s">
        <v>413</v>
      </c>
      <c r="AC309" s="15" t="s">
        <v>4155</v>
      </c>
      <c r="AD309" s="15" t="s">
        <v>14731</v>
      </c>
      <c r="AE309" s="15" t="s">
        <v>4154</v>
      </c>
      <c r="AF309" s="15" t="s">
        <v>14732</v>
      </c>
      <c r="AG309" s="15" t="s">
        <v>14733</v>
      </c>
      <c r="AH309" s="15" t="s">
        <v>14734</v>
      </c>
      <c r="AI309" s="15" t="s">
        <v>14735</v>
      </c>
      <c r="AJ309" s="15" t="s">
        <v>14736</v>
      </c>
      <c r="AK309" s="15" t="s">
        <v>14737</v>
      </c>
      <c r="AL309" s="15" t="s">
        <v>14738</v>
      </c>
      <c r="AM309" s="15" t="s">
        <v>14739</v>
      </c>
      <c r="AN309" s="15" t="s">
        <v>14740</v>
      </c>
      <c r="AO309" s="15" t="s">
        <v>14741</v>
      </c>
      <c r="AP309" s="15" t="s">
        <v>14742</v>
      </c>
      <c r="AQ309" s="15" t="s">
        <v>14743</v>
      </c>
      <c r="BH309" s="15" t="s">
        <v>4152</v>
      </c>
      <c r="BI309" s="15" t="str">
        <f t="shared" si="925"/>
        <v>2099</v>
      </c>
      <c r="BJ309" s="15" t="str">
        <f t="shared" si="926"/>
        <v>885</v>
      </c>
      <c r="BK309" s="15" t="s">
        <v>742</v>
      </c>
      <c r="BL309" s="15" t="str">
        <f t="shared" si="885"/>
        <v>1</v>
      </c>
      <c r="BM309" s="15" t="s">
        <v>2043</v>
      </c>
      <c r="BN309" s="15" t="str">
        <f t="shared" si="927"/>
        <v>70.28</v>
      </c>
      <c r="BO309" s="15" t="str">
        <f t="shared" si="928"/>
        <v>30.71</v>
      </c>
      <c r="BP309" s="15" t="str">
        <f t="shared" si="929"/>
        <v>30.91</v>
      </c>
      <c r="BQ309" s="15" t="str">
        <f t="shared" si="930"/>
        <v>233.69</v>
      </c>
      <c r="CG309" s="15" t="str">
        <f t="shared" si="931"/>
        <v>38.6</v>
      </c>
      <c r="CH309" s="15" t="str">
        <f t="shared" si="932"/>
        <v>1.093</v>
      </c>
      <c r="CI309" s="15" t="s">
        <v>465</v>
      </c>
      <c r="CM309" s="15" t="s">
        <v>2652</v>
      </c>
      <c r="CN309" s="15" t="s">
        <v>2651</v>
      </c>
      <c r="CO309" s="15" t="s">
        <v>824</v>
      </c>
      <c r="CZ309" s="15" t="s">
        <v>418</v>
      </c>
      <c r="DA309" s="15">
        <v>4.0</v>
      </c>
      <c r="DB309" s="15" t="s">
        <v>419</v>
      </c>
      <c r="DD309" s="15">
        <v>0.0</v>
      </c>
      <c r="DF309" s="15" t="s">
        <v>420</v>
      </c>
      <c r="DG309" s="15" t="s">
        <v>610</v>
      </c>
      <c r="DK309" s="15">
        <v>1.0</v>
      </c>
      <c r="DR309" s="15" t="s">
        <v>2137</v>
      </c>
      <c r="DS309" s="15" t="s">
        <v>4115</v>
      </c>
      <c r="DU309" s="15" t="s">
        <v>500</v>
      </c>
      <c r="EF309" s="15" t="s">
        <v>1040</v>
      </c>
      <c r="EG309" s="15" t="s">
        <v>1286</v>
      </c>
      <c r="EH309" s="15" t="s">
        <v>4146</v>
      </c>
      <c r="EQ309" s="15" t="s">
        <v>612</v>
      </c>
      <c r="ER309" s="15" t="s">
        <v>1950</v>
      </c>
      <c r="ES309" s="15" t="s">
        <v>612</v>
      </c>
      <c r="ET309" s="15" t="s">
        <v>782</v>
      </c>
      <c r="EU309" s="15" t="s">
        <v>426</v>
      </c>
      <c r="EV309" s="15">
        <v>1.0</v>
      </c>
      <c r="FE309" s="15" t="s">
        <v>3102</v>
      </c>
      <c r="FH309" s="15" t="s">
        <v>4147</v>
      </c>
      <c r="FI309" s="15" t="s">
        <v>782</v>
      </c>
      <c r="FJ309" s="15" t="s">
        <v>824</v>
      </c>
      <c r="FK309" s="15" t="s">
        <v>2652</v>
      </c>
      <c r="FL309" s="15" t="s">
        <v>782</v>
      </c>
      <c r="FM309" s="15" t="s">
        <v>824</v>
      </c>
      <c r="FO309" s="15" t="s">
        <v>426</v>
      </c>
      <c r="FP309" s="15" t="s">
        <v>4148</v>
      </c>
      <c r="FQ309" s="15">
        <v>1.0</v>
      </c>
      <c r="FR309" s="15" t="s">
        <v>614</v>
      </c>
      <c r="FS309" s="15" t="s">
        <v>615</v>
      </c>
      <c r="FU309" s="15" t="s">
        <v>426</v>
      </c>
      <c r="FW309" s="15" t="s">
        <v>616</v>
      </c>
      <c r="FX309" s="15" t="s">
        <v>426</v>
      </c>
      <c r="FZ309" s="15" t="s">
        <v>2274</v>
      </c>
      <c r="GA309" s="15" t="s">
        <v>2274</v>
      </c>
      <c r="GB309" s="15" t="s">
        <v>4149</v>
      </c>
      <c r="GC309" s="15" t="s">
        <v>4150</v>
      </c>
      <c r="GD309" s="15" t="s">
        <v>4151</v>
      </c>
      <c r="GE309" s="15" t="s">
        <v>4151</v>
      </c>
      <c r="GF309" s="15" t="s">
        <v>431</v>
      </c>
      <c r="GH309" s="15" t="s">
        <v>764</v>
      </c>
      <c r="GM309" s="15">
        <v>1.0</v>
      </c>
      <c r="HF309" s="15" t="s">
        <v>2050</v>
      </c>
      <c r="HG309" s="15" t="s">
        <v>2274</v>
      </c>
      <c r="HI309" s="15" t="s">
        <v>4149</v>
      </c>
      <c r="HK309" s="15" t="s">
        <v>1954</v>
      </c>
      <c r="HP309" s="15" t="s">
        <v>426</v>
      </c>
      <c r="HQ309" s="15" t="s">
        <v>426</v>
      </c>
    </row>
    <row r="310" ht="17.25" customHeight="1">
      <c r="A310" s="15" t="s">
        <v>4158</v>
      </c>
      <c r="B310" s="15" t="str">
        <f>"801542062705"</f>
        <v>801542062705</v>
      </c>
      <c r="C310" s="15" t="s">
        <v>14744</v>
      </c>
      <c r="D310" s="15" t="str">
        <f t="shared" si="1"/>
        <v>Eaton Large NightstandAmber Oak Resin</v>
      </c>
      <c r="E310" s="15" t="s">
        <v>4156</v>
      </c>
      <c r="F310" s="15" t="s">
        <v>397</v>
      </c>
      <c r="G310" s="15" t="s">
        <v>4104</v>
      </c>
      <c r="J310" s="15" t="s">
        <v>4104</v>
      </c>
      <c r="K310" s="15" t="s">
        <v>4110</v>
      </c>
      <c r="M310" s="15" t="s">
        <v>1896</v>
      </c>
      <c r="N310" s="15" t="s">
        <v>628</v>
      </c>
      <c r="P310" s="15" t="str">
        <f t="shared" ref="P310:P311" si="933">"33.5"</f>
        <v>33.5</v>
      </c>
      <c r="Q310" s="15" t="str">
        <f t="shared" ref="Q310:Q311" si="934">"18.5"</f>
        <v>18.5</v>
      </c>
      <c r="R310" s="15" t="str">
        <f t="shared" ref="R310:R311" si="935">"26"</f>
        <v>26</v>
      </c>
      <c r="S310" s="15" t="str">
        <f t="shared" ref="S310:S311" si="936">"76.06"</f>
        <v>76.06</v>
      </c>
      <c r="T310" s="15" t="s">
        <v>2283</v>
      </c>
      <c r="U310" s="15" t="s">
        <v>10881</v>
      </c>
      <c r="V310" s="15" t="s">
        <v>11139</v>
      </c>
      <c r="AA310" s="15" t="s">
        <v>426</v>
      </c>
      <c r="AB310" s="15" t="s">
        <v>413</v>
      </c>
      <c r="AC310" s="15" t="s">
        <v>4160</v>
      </c>
      <c r="AD310" s="15" t="s">
        <v>14745</v>
      </c>
      <c r="AE310" s="15" t="s">
        <v>4159</v>
      </c>
      <c r="AF310" s="15" t="s">
        <v>14746</v>
      </c>
      <c r="AG310" s="15" t="s">
        <v>14747</v>
      </c>
      <c r="AH310" s="15" t="s">
        <v>14748</v>
      </c>
      <c r="AI310" s="15" t="s">
        <v>14749</v>
      </c>
      <c r="AJ310" s="15" t="s">
        <v>14750</v>
      </c>
      <c r="AK310" s="15" t="s">
        <v>14751</v>
      </c>
      <c r="AL310" s="15" t="s">
        <v>14752</v>
      </c>
      <c r="AM310" s="15" t="s">
        <v>14753</v>
      </c>
      <c r="AN310" s="15" t="s">
        <v>14754</v>
      </c>
      <c r="AO310" s="15" t="s">
        <v>14755</v>
      </c>
      <c r="AP310" s="15" t="s">
        <v>14756</v>
      </c>
      <c r="AQ310" s="15" t="s">
        <v>14757</v>
      </c>
      <c r="BH310" s="15" t="s">
        <v>4157</v>
      </c>
      <c r="BI310" s="15" t="str">
        <f t="shared" ref="BI310:BI311" si="937">"849"</f>
        <v>849</v>
      </c>
      <c r="BJ310" s="15" t="str">
        <f t="shared" ref="BJ310:BJ311" si="938">"360"</f>
        <v>360</v>
      </c>
      <c r="BK310" s="15" t="s">
        <v>742</v>
      </c>
      <c r="BL310" s="15" t="str">
        <f t="shared" si="885"/>
        <v>1</v>
      </c>
      <c r="BM310" s="15" t="s">
        <v>980</v>
      </c>
      <c r="BN310" s="15" t="str">
        <f t="shared" ref="BN310:BN311" si="939">"36.02"</f>
        <v>36.02</v>
      </c>
      <c r="BO310" s="15" t="str">
        <f t="shared" ref="BO310:BO311" si="940">"22.24"</f>
        <v>22.24</v>
      </c>
      <c r="BP310" s="15" t="str">
        <f t="shared" ref="BP310:BP311" si="941">"25.98"</f>
        <v>25.98</v>
      </c>
      <c r="BQ310" s="15" t="str">
        <f t="shared" ref="BQ310:BQ311" si="942">"95.9"</f>
        <v>95.9</v>
      </c>
      <c r="CG310" s="15" t="str">
        <f t="shared" ref="CG310:CG311" si="943">"12.04"</f>
        <v>12.04</v>
      </c>
      <c r="CH310" s="15" t="str">
        <f t="shared" ref="CH310:CH311" si="944">"0.341"</f>
        <v>0.341</v>
      </c>
      <c r="CI310" s="15" t="s">
        <v>497</v>
      </c>
      <c r="CZ310" s="15" t="s">
        <v>1371</v>
      </c>
      <c r="DA310" s="15">
        <v>3.0</v>
      </c>
      <c r="DB310" s="15" t="s">
        <v>419</v>
      </c>
      <c r="DD310" s="15">
        <v>0.0</v>
      </c>
      <c r="DF310" s="15" t="s">
        <v>420</v>
      </c>
      <c r="DG310" s="15" t="s">
        <v>421</v>
      </c>
      <c r="DK310" s="15">
        <v>0.0</v>
      </c>
      <c r="DR310" s="15" t="s">
        <v>471</v>
      </c>
      <c r="DS310" s="15" t="s">
        <v>4115</v>
      </c>
      <c r="DU310" s="15" t="s">
        <v>500</v>
      </c>
      <c r="EF310" s="15" t="s">
        <v>1040</v>
      </c>
      <c r="EV310" s="15">
        <v>0.0</v>
      </c>
      <c r="FQ310" s="15">
        <v>0.0</v>
      </c>
      <c r="FR310" s="15" t="s">
        <v>427</v>
      </c>
      <c r="FZ310" s="15" t="s">
        <v>4162</v>
      </c>
      <c r="GB310" s="15" t="s">
        <v>4163</v>
      </c>
      <c r="GD310" s="15" t="s">
        <v>4164</v>
      </c>
      <c r="GF310" s="15" t="s">
        <v>838</v>
      </c>
      <c r="GG310" s="15" t="s">
        <v>426</v>
      </c>
      <c r="GH310" s="15" t="s">
        <v>764</v>
      </c>
    </row>
    <row r="311" ht="17.25" customHeight="1">
      <c r="A311" s="15" t="s">
        <v>4166</v>
      </c>
      <c r="B311" s="15" t="str">
        <f>"801542062712"</f>
        <v>801542062712</v>
      </c>
      <c r="C311" s="15" t="s">
        <v>14758</v>
      </c>
      <c r="D311" s="15" t="str">
        <f t="shared" si="1"/>
        <v>Eaton Large NightstandLight Oak Resin</v>
      </c>
      <c r="E311" s="15" t="s">
        <v>4156</v>
      </c>
      <c r="F311" s="15" t="s">
        <v>397</v>
      </c>
      <c r="G311" s="15" t="s">
        <v>4131</v>
      </c>
      <c r="J311" s="15" t="s">
        <v>4131</v>
      </c>
      <c r="K311" s="15" t="s">
        <v>4110</v>
      </c>
      <c r="M311" s="15" t="s">
        <v>1896</v>
      </c>
      <c r="N311" s="15" t="s">
        <v>628</v>
      </c>
      <c r="P311" s="15" t="str">
        <f t="shared" si="933"/>
        <v>33.5</v>
      </c>
      <c r="Q311" s="15" t="str">
        <f t="shared" si="934"/>
        <v>18.5</v>
      </c>
      <c r="R311" s="15" t="str">
        <f t="shared" si="935"/>
        <v>26</v>
      </c>
      <c r="S311" s="15" t="str">
        <f t="shared" si="936"/>
        <v>76.06</v>
      </c>
      <c r="T311" s="15" t="s">
        <v>2283</v>
      </c>
      <c r="U311" s="15" t="s">
        <v>10881</v>
      </c>
      <c r="V311" s="15" t="s">
        <v>11139</v>
      </c>
      <c r="AA311" s="15" t="s">
        <v>413</v>
      </c>
      <c r="AB311" s="15" t="s">
        <v>413</v>
      </c>
      <c r="AC311" s="15" t="s">
        <v>4168</v>
      </c>
      <c r="AD311" s="15" t="s">
        <v>14759</v>
      </c>
      <c r="AE311" s="15" t="s">
        <v>4167</v>
      </c>
      <c r="AF311" s="15" t="s">
        <v>14760</v>
      </c>
      <c r="AG311" s="15" t="s">
        <v>14761</v>
      </c>
      <c r="AH311" s="15" t="s">
        <v>14762</v>
      </c>
      <c r="AI311" s="15" t="s">
        <v>14763</v>
      </c>
      <c r="AJ311" s="15" t="s">
        <v>14764</v>
      </c>
      <c r="AK311" s="15" t="s">
        <v>14765</v>
      </c>
      <c r="AL311" s="15" t="s">
        <v>14766</v>
      </c>
      <c r="AM311" s="15" t="s">
        <v>14767</v>
      </c>
      <c r="AN311" s="15" t="s">
        <v>14768</v>
      </c>
      <c r="AO311" s="15" t="s">
        <v>14769</v>
      </c>
      <c r="AP311" s="15" t="s">
        <v>14770</v>
      </c>
      <c r="AQ311" s="15" t="s">
        <v>14771</v>
      </c>
      <c r="BH311" s="15" t="s">
        <v>4165</v>
      </c>
      <c r="BI311" s="15" t="str">
        <f t="shared" si="937"/>
        <v>849</v>
      </c>
      <c r="BJ311" s="15" t="str">
        <f t="shared" si="938"/>
        <v>360</v>
      </c>
      <c r="BK311" s="15" t="s">
        <v>742</v>
      </c>
      <c r="BL311" s="15" t="str">
        <f t="shared" si="885"/>
        <v>1</v>
      </c>
      <c r="BM311" s="15" t="s">
        <v>980</v>
      </c>
      <c r="BN311" s="15" t="str">
        <f t="shared" si="939"/>
        <v>36.02</v>
      </c>
      <c r="BO311" s="15" t="str">
        <f t="shared" si="940"/>
        <v>22.24</v>
      </c>
      <c r="BP311" s="15" t="str">
        <f t="shared" si="941"/>
        <v>25.98</v>
      </c>
      <c r="BQ311" s="15" t="str">
        <f t="shared" si="942"/>
        <v>95.9</v>
      </c>
      <c r="CG311" s="15" t="str">
        <f t="shared" si="943"/>
        <v>12.04</v>
      </c>
      <c r="CH311" s="15" t="str">
        <f t="shared" si="944"/>
        <v>0.341</v>
      </c>
      <c r="CI311" s="15" t="s">
        <v>417</v>
      </c>
      <c r="CZ311" s="15" t="s">
        <v>1371</v>
      </c>
      <c r="DA311" s="15">
        <v>3.0</v>
      </c>
      <c r="DB311" s="15" t="s">
        <v>419</v>
      </c>
      <c r="DD311" s="15">
        <v>0.0</v>
      </c>
      <c r="DF311" s="15" t="s">
        <v>420</v>
      </c>
      <c r="DG311" s="15" t="s">
        <v>421</v>
      </c>
      <c r="DK311" s="15">
        <v>0.0</v>
      </c>
      <c r="DR311" s="15" t="s">
        <v>471</v>
      </c>
      <c r="DS311" s="15" t="s">
        <v>4115</v>
      </c>
      <c r="DU311" s="15" t="s">
        <v>500</v>
      </c>
      <c r="EF311" s="15" t="s">
        <v>1040</v>
      </c>
      <c r="EV311" s="15">
        <v>0.0</v>
      </c>
      <c r="FQ311" s="15">
        <v>0.0</v>
      </c>
      <c r="FR311" s="15" t="s">
        <v>427</v>
      </c>
      <c r="FZ311" s="15" t="s">
        <v>4162</v>
      </c>
      <c r="GB311" s="15" t="s">
        <v>4163</v>
      </c>
      <c r="GD311" s="15" t="s">
        <v>4164</v>
      </c>
      <c r="GF311" s="15" t="s">
        <v>838</v>
      </c>
      <c r="GG311" s="15" t="s">
        <v>426</v>
      </c>
      <c r="GH311" s="15" t="s">
        <v>764</v>
      </c>
    </row>
    <row r="312" ht="17.25" customHeight="1">
      <c r="A312" s="15" t="s">
        <v>4171</v>
      </c>
      <c r="B312" s="15" t="str">
        <f>"801542007393"</f>
        <v>801542007393</v>
      </c>
      <c r="C312" s="15" t="s">
        <v>14772</v>
      </c>
      <c r="D312" s="15" t="str">
        <f t="shared" si="1"/>
        <v>Eaton MediaAmber Oak Resin</v>
      </c>
      <c r="E312" s="15" t="s">
        <v>4169</v>
      </c>
      <c r="F312" s="15" t="s">
        <v>397</v>
      </c>
      <c r="G312" s="15" t="s">
        <v>4104</v>
      </c>
      <c r="J312" s="15" t="s">
        <v>4104</v>
      </c>
      <c r="K312" s="15" t="s">
        <v>4110</v>
      </c>
      <c r="M312" s="15" t="s">
        <v>1896</v>
      </c>
      <c r="N312" s="15" t="s">
        <v>602</v>
      </c>
      <c r="P312" s="15" t="str">
        <f>"79.5"</f>
        <v>79.5</v>
      </c>
      <c r="Q312" s="15" t="str">
        <f>"18"</f>
        <v>18</v>
      </c>
      <c r="R312" s="15" t="str">
        <f>"25"</f>
        <v>25</v>
      </c>
      <c r="S312" s="15" t="str">
        <f>"139.99"</f>
        <v>139.99</v>
      </c>
      <c r="T312" s="15" t="s">
        <v>2283</v>
      </c>
      <c r="U312" s="15" t="s">
        <v>10881</v>
      </c>
      <c r="V312" s="15" t="s">
        <v>11139</v>
      </c>
      <c r="AA312" s="15" t="s">
        <v>413</v>
      </c>
      <c r="AB312" s="15" t="s">
        <v>413</v>
      </c>
      <c r="AC312" s="15" t="s">
        <v>4176</v>
      </c>
      <c r="AD312" s="15" t="s">
        <v>14773</v>
      </c>
      <c r="AE312" s="15" t="s">
        <v>4173</v>
      </c>
      <c r="AF312" s="15" t="s">
        <v>14774</v>
      </c>
      <c r="AG312" s="15" t="s">
        <v>14775</v>
      </c>
      <c r="AH312" s="15" t="s">
        <v>14776</v>
      </c>
      <c r="AI312" s="15" t="s">
        <v>14777</v>
      </c>
      <c r="AJ312" s="15" t="s">
        <v>14778</v>
      </c>
      <c r="AK312" s="15" t="s">
        <v>14779</v>
      </c>
      <c r="AL312" s="15" t="s">
        <v>14780</v>
      </c>
      <c r="AM312" s="15" t="s">
        <v>14781</v>
      </c>
      <c r="AN312" s="15" t="s">
        <v>14782</v>
      </c>
      <c r="AO312" s="15" t="s">
        <v>14783</v>
      </c>
      <c r="AP312" s="15" t="s">
        <v>14784</v>
      </c>
      <c r="AQ312" s="15" t="s">
        <v>14785</v>
      </c>
      <c r="AR312" s="15" t="s">
        <v>14786</v>
      </c>
      <c r="BH312" s="15" t="s">
        <v>4170</v>
      </c>
      <c r="BI312" s="15" t="str">
        <f>"1699"</f>
        <v>1699</v>
      </c>
      <c r="BJ312" s="15" t="str">
        <f>"715"</f>
        <v>715</v>
      </c>
      <c r="BK312" s="15" t="s">
        <v>742</v>
      </c>
      <c r="BL312" s="15" t="str">
        <f t="shared" si="885"/>
        <v>1</v>
      </c>
      <c r="BM312" s="15" t="s">
        <v>2043</v>
      </c>
      <c r="BN312" s="15" t="str">
        <f>"81.89"</f>
        <v>81.89</v>
      </c>
      <c r="BO312" s="15" t="str">
        <f>"22.05"</f>
        <v>22.05</v>
      </c>
      <c r="BP312" s="15" t="str">
        <f>"25.2"</f>
        <v>25.2</v>
      </c>
      <c r="BQ312" s="15" t="str">
        <f>"174.17"</f>
        <v>174.17</v>
      </c>
      <c r="CG312" s="15" t="str">
        <f>"26.31"</f>
        <v>26.31</v>
      </c>
      <c r="CH312" s="15" t="str">
        <f>"0.745"</f>
        <v>0.745</v>
      </c>
      <c r="CI312" s="15" t="s">
        <v>465</v>
      </c>
      <c r="CM312" s="15" t="s">
        <v>4178</v>
      </c>
      <c r="CN312" s="15" t="s">
        <v>4179</v>
      </c>
      <c r="CO312" s="15" t="s">
        <v>1068</v>
      </c>
      <c r="CZ312" s="15" t="s">
        <v>419</v>
      </c>
      <c r="DA312" s="15">
        <v>0.0</v>
      </c>
      <c r="DB312" s="15" t="s">
        <v>419</v>
      </c>
      <c r="DD312" s="15">
        <v>0.0</v>
      </c>
      <c r="DF312" s="15" t="s">
        <v>420</v>
      </c>
      <c r="DG312" s="15" t="s">
        <v>610</v>
      </c>
      <c r="DI312" s="15">
        <v>37.19</v>
      </c>
      <c r="DJ312" s="15">
        <v>82.0</v>
      </c>
      <c r="DK312" s="15">
        <v>3.0</v>
      </c>
      <c r="DS312" s="15" t="s">
        <v>4115</v>
      </c>
      <c r="EF312" s="15" t="s">
        <v>1040</v>
      </c>
      <c r="EU312" s="15" t="s">
        <v>426</v>
      </c>
      <c r="EV312" s="15">
        <v>3.0</v>
      </c>
      <c r="FH312" s="15" t="s">
        <v>4180</v>
      </c>
      <c r="FI312" s="15" t="s">
        <v>782</v>
      </c>
      <c r="FJ312" s="15" t="s">
        <v>4181</v>
      </c>
      <c r="FK312" s="15" t="s">
        <v>4178</v>
      </c>
      <c r="FL312" s="15" t="s">
        <v>782</v>
      </c>
      <c r="FM312" s="15" t="s">
        <v>1068</v>
      </c>
      <c r="FP312" s="15" t="s">
        <v>785</v>
      </c>
      <c r="FQ312" s="15">
        <v>6.0</v>
      </c>
      <c r="FR312" s="15" t="s">
        <v>614</v>
      </c>
      <c r="FS312" s="15" t="s">
        <v>615</v>
      </c>
      <c r="FU312" s="15" t="s">
        <v>426</v>
      </c>
      <c r="FW312" s="15" t="s">
        <v>616</v>
      </c>
      <c r="GJ312" s="15" t="s">
        <v>4178</v>
      </c>
      <c r="GK312" s="15" t="s">
        <v>4179</v>
      </c>
      <c r="GL312" s="15" t="s">
        <v>1068</v>
      </c>
      <c r="GM312" s="15">
        <v>0.0</v>
      </c>
      <c r="GZ312" s="15" t="s">
        <v>4178</v>
      </c>
      <c r="HB312" s="15" t="s">
        <v>4179</v>
      </c>
      <c r="HD312" s="15" t="s">
        <v>1068</v>
      </c>
      <c r="HF312" s="15" t="s">
        <v>1957</v>
      </c>
      <c r="HQ312" s="15" t="s">
        <v>426</v>
      </c>
    </row>
    <row r="313" ht="17.25" customHeight="1">
      <c r="A313" s="15" t="s">
        <v>4184</v>
      </c>
      <c r="B313" s="15" t="str">
        <f>"801542013578"</f>
        <v>801542013578</v>
      </c>
      <c r="C313" s="15" t="s">
        <v>14787</v>
      </c>
      <c r="D313" s="15" t="str">
        <f t="shared" si="1"/>
        <v>Eaton NightstandAmber Oak Resin</v>
      </c>
      <c r="E313" s="15" t="s">
        <v>4182</v>
      </c>
      <c r="F313" s="15" t="s">
        <v>397</v>
      </c>
      <c r="G313" s="15" t="s">
        <v>4104</v>
      </c>
      <c r="J313" s="15" t="s">
        <v>4104</v>
      </c>
      <c r="K313" s="15" t="s">
        <v>4110</v>
      </c>
      <c r="M313" s="15" t="s">
        <v>1896</v>
      </c>
      <c r="N313" s="15" t="s">
        <v>628</v>
      </c>
      <c r="P313" s="15" t="str">
        <f t="shared" ref="P313:P314" si="945">"23.5"</f>
        <v>23.5</v>
      </c>
      <c r="Q313" s="15" t="str">
        <f t="shared" ref="Q313:Q314" si="946">"18.5"</f>
        <v>18.5</v>
      </c>
      <c r="R313" s="15" t="str">
        <f t="shared" ref="R313:R314" si="947">"26"</f>
        <v>26</v>
      </c>
      <c r="S313" s="15" t="str">
        <f t="shared" ref="S313:S314" si="948">"62.83"</f>
        <v>62.83</v>
      </c>
      <c r="T313" s="15" t="s">
        <v>2283</v>
      </c>
      <c r="U313" s="15" t="s">
        <v>10881</v>
      </c>
      <c r="V313" s="15" t="s">
        <v>11139</v>
      </c>
      <c r="AA313" s="15" t="s">
        <v>413</v>
      </c>
      <c r="AB313" s="15" t="s">
        <v>413</v>
      </c>
      <c r="AD313" s="15" t="s">
        <v>14788</v>
      </c>
      <c r="AE313" s="15" t="s">
        <v>4185</v>
      </c>
      <c r="AF313" s="15" t="s">
        <v>14789</v>
      </c>
      <c r="AG313" s="15" t="s">
        <v>14790</v>
      </c>
      <c r="AH313" s="15" t="s">
        <v>14791</v>
      </c>
      <c r="AI313" s="15" t="s">
        <v>14792</v>
      </c>
      <c r="AJ313" s="15" t="s">
        <v>14793</v>
      </c>
      <c r="AK313" s="15" t="s">
        <v>14794</v>
      </c>
      <c r="AL313" s="15" t="s">
        <v>14795</v>
      </c>
      <c r="AM313" s="15" t="s">
        <v>14796</v>
      </c>
      <c r="AN313" s="15" t="s">
        <v>14797</v>
      </c>
      <c r="AO313" s="15" t="s">
        <v>14798</v>
      </c>
      <c r="AP313" s="15" t="s">
        <v>14799</v>
      </c>
      <c r="AQ313" s="15" t="s">
        <v>14800</v>
      </c>
      <c r="BH313" s="15" t="s">
        <v>4183</v>
      </c>
      <c r="BI313" s="15" t="str">
        <f t="shared" ref="BI313:BI314" si="949">"649"</f>
        <v>649</v>
      </c>
      <c r="BJ313" s="15" t="str">
        <f t="shared" ref="BJ313:BJ314" si="950">"275"</f>
        <v>275</v>
      </c>
      <c r="BK313" s="15" t="s">
        <v>742</v>
      </c>
      <c r="BL313" s="15" t="str">
        <f t="shared" si="885"/>
        <v>1</v>
      </c>
      <c r="BM313" s="15" t="s">
        <v>2043</v>
      </c>
      <c r="BN313" s="15" t="str">
        <f t="shared" ref="BN313:BN314" si="951">"25.98"</f>
        <v>25.98</v>
      </c>
      <c r="BO313" s="15" t="str">
        <f t="shared" ref="BO313:BO314" si="952">"22.44"</f>
        <v>22.44</v>
      </c>
      <c r="BP313" s="15" t="str">
        <f t="shared" ref="BP313:BP314" si="953">"25.98"</f>
        <v>25.98</v>
      </c>
      <c r="BQ313" s="15" t="str">
        <f t="shared" ref="BQ313:BQ314" si="954">"72.75"</f>
        <v>72.75</v>
      </c>
      <c r="CG313" s="15" t="str">
        <f t="shared" ref="CG313:CG314" si="955">"8.76"</f>
        <v>8.76</v>
      </c>
      <c r="CH313" s="15" t="str">
        <f t="shared" ref="CH313:CH314" si="956">"0.248"</f>
        <v>0.248</v>
      </c>
      <c r="CI313" s="15" t="s">
        <v>497</v>
      </c>
      <c r="CZ313" s="15" t="s">
        <v>418</v>
      </c>
      <c r="DA313" s="15">
        <v>3.0</v>
      </c>
      <c r="DB313" s="15" t="s">
        <v>419</v>
      </c>
      <c r="DD313" s="15">
        <v>0.0</v>
      </c>
      <c r="DF313" s="15" t="s">
        <v>420</v>
      </c>
      <c r="DG313" s="15" t="s">
        <v>421</v>
      </c>
      <c r="DK313" s="15">
        <v>0.0</v>
      </c>
      <c r="DR313" s="15" t="s">
        <v>471</v>
      </c>
      <c r="DS313" s="15" t="s">
        <v>4115</v>
      </c>
      <c r="DU313" s="15" t="s">
        <v>500</v>
      </c>
      <c r="EF313" s="15" t="s">
        <v>1040</v>
      </c>
      <c r="EU313" s="15" t="s">
        <v>426</v>
      </c>
      <c r="EV313" s="15">
        <v>0.0</v>
      </c>
      <c r="FQ313" s="15">
        <v>0.0</v>
      </c>
      <c r="FR313" s="15" t="s">
        <v>427</v>
      </c>
      <c r="FX313" s="15" t="s">
        <v>426</v>
      </c>
      <c r="FZ313" s="15" t="s">
        <v>3154</v>
      </c>
      <c r="GA313" s="15" t="s">
        <v>3154</v>
      </c>
      <c r="GB313" s="15" t="s">
        <v>4186</v>
      </c>
      <c r="GC313" s="15" t="s">
        <v>4186</v>
      </c>
      <c r="GD313" s="15" t="s">
        <v>4187</v>
      </c>
      <c r="GE313" s="15" t="s">
        <v>2841</v>
      </c>
      <c r="GF313" s="15" t="s">
        <v>431</v>
      </c>
      <c r="GH313" s="15" t="s">
        <v>764</v>
      </c>
    </row>
    <row r="314" ht="17.25" customHeight="1">
      <c r="A314" s="15" t="s">
        <v>4189</v>
      </c>
      <c r="B314" s="15" t="str">
        <f>"801542098810"</f>
        <v>801542098810</v>
      </c>
      <c r="C314" s="15" t="s">
        <v>14801</v>
      </c>
      <c r="D314" s="15" t="str">
        <f t="shared" si="1"/>
        <v>Eaton NightstandLight Oak Resin</v>
      </c>
      <c r="E314" s="15" t="s">
        <v>4182</v>
      </c>
      <c r="F314" s="15" t="s">
        <v>397</v>
      </c>
      <c r="G314" s="15" t="s">
        <v>4131</v>
      </c>
      <c r="J314" s="15" t="s">
        <v>4131</v>
      </c>
      <c r="K314" s="15" t="s">
        <v>4110</v>
      </c>
      <c r="M314" s="15" t="s">
        <v>1896</v>
      </c>
      <c r="N314" s="15" t="s">
        <v>628</v>
      </c>
      <c r="P314" s="15" t="str">
        <f t="shared" si="945"/>
        <v>23.5</v>
      </c>
      <c r="Q314" s="15" t="str">
        <f t="shared" si="946"/>
        <v>18.5</v>
      </c>
      <c r="R314" s="15" t="str">
        <f t="shared" si="947"/>
        <v>26</v>
      </c>
      <c r="S314" s="15" t="str">
        <f t="shared" si="948"/>
        <v>62.83</v>
      </c>
      <c r="T314" s="15" t="s">
        <v>2283</v>
      </c>
      <c r="U314" s="15" t="s">
        <v>10881</v>
      </c>
      <c r="V314" s="15" t="s">
        <v>11139</v>
      </c>
      <c r="AA314" s="15" t="s">
        <v>413</v>
      </c>
      <c r="AB314" s="15" t="s">
        <v>413</v>
      </c>
      <c r="AD314" s="15" t="s">
        <v>14802</v>
      </c>
      <c r="AE314" s="15" t="s">
        <v>4190</v>
      </c>
      <c r="AF314" s="15" t="s">
        <v>14803</v>
      </c>
      <c r="AG314" s="15" t="s">
        <v>14804</v>
      </c>
      <c r="AH314" s="15" t="s">
        <v>14805</v>
      </c>
      <c r="AI314" s="15" t="s">
        <v>14806</v>
      </c>
      <c r="AJ314" s="15" t="s">
        <v>14807</v>
      </c>
      <c r="AK314" s="15" t="s">
        <v>14808</v>
      </c>
      <c r="AL314" s="15" t="s">
        <v>14809</v>
      </c>
      <c r="AM314" s="15" t="s">
        <v>14810</v>
      </c>
      <c r="AN314" s="15" t="s">
        <v>14811</v>
      </c>
      <c r="AO314" s="15" t="s">
        <v>14812</v>
      </c>
      <c r="AP314" s="15" t="s">
        <v>14813</v>
      </c>
      <c r="BH314" s="15" t="s">
        <v>4188</v>
      </c>
      <c r="BI314" s="15" t="str">
        <f t="shared" si="949"/>
        <v>649</v>
      </c>
      <c r="BJ314" s="15" t="str">
        <f t="shared" si="950"/>
        <v>275</v>
      </c>
      <c r="BK314" s="15" t="s">
        <v>742</v>
      </c>
      <c r="BL314" s="15" t="str">
        <f t="shared" si="885"/>
        <v>1</v>
      </c>
      <c r="BM314" s="15" t="s">
        <v>2043</v>
      </c>
      <c r="BN314" s="15" t="str">
        <f t="shared" si="951"/>
        <v>25.98</v>
      </c>
      <c r="BO314" s="15" t="str">
        <f t="shared" si="952"/>
        <v>22.44</v>
      </c>
      <c r="BP314" s="15" t="str">
        <f t="shared" si="953"/>
        <v>25.98</v>
      </c>
      <c r="BQ314" s="15" t="str">
        <f t="shared" si="954"/>
        <v>72.75</v>
      </c>
      <c r="CG314" s="15" t="str">
        <f t="shared" si="955"/>
        <v>8.76</v>
      </c>
      <c r="CH314" s="15" t="str">
        <f t="shared" si="956"/>
        <v>0.248</v>
      </c>
      <c r="CI314" s="15" t="s">
        <v>417</v>
      </c>
      <c r="CZ314" s="15" t="s">
        <v>418</v>
      </c>
      <c r="DA314" s="15">
        <v>3.0</v>
      </c>
      <c r="DB314" s="15" t="s">
        <v>419</v>
      </c>
      <c r="DD314" s="15">
        <v>0.0</v>
      </c>
      <c r="DF314" s="15" t="s">
        <v>420</v>
      </c>
      <c r="DG314" s="15" t="s">
        <v>421</v>
      </c>
      <c r="DK314" s="15">
        <v>0.0</v>
      </c>
      <c r="DR314" s="15" t="s">
        <v>471</v>
      </c>
      <c r="DS314" s="15" t="s">
        <v>4115</v>
      </c>
      <c r="DU314" s="15" t="s">
        <v>500</v>
      </c>
      <c r="EF314" s="15" t="s">
        <v>1040</v>
      </c>
      <c r="EU314" s="15" t="s">
        <v>426</v>
      </c>
      <c r="EV314" s="15">
        <v>0.0</v>
      </c>
      <c r="FQ314" s="15">
        <v>0.0</v>
      </c>
      <c r="FR314" s="15" t="s">
        <v>427</v>
      </c>
      <c r="FX314" s="15" t="s">
        <v>426</v>
      </c>
      <c r="FZ314" s="15" t="s">
        <v>3154</v>
      </c>
      <c r="GA314" s="15" t="s">
        <v>3154</v>
      </c>
      <c r="GB314" s="15" t="s">
        <v>4186</v>
      </c>
      <c r="GC314" s="15" t="s">
        <v>4186</v>
      </c>
      <c r="GD314" s="15" t="s">
        <v>4187</v>
      </c>
      <c r="GE314" s="15" t="s">
        <v>2841</v>
      </c>
      <c r="GF314" s="15" t="s">
        <v>431</v>
      </c>
      <c r="GH314" s="15" t="s">
        <v>764</v>
      </c>
    </row>
    <row r="315" ht="17.25" customHeight="1">
      <c r="A315" s="15" t="s">
        <v>4193</v>
      </c>
      <c r="B315" s="15" t="str">
        <f>"801542010881"</f>
        <v>801542010881</v>
      </c>
      <c r="C315" s="15" t="s">
        <v>14814</v>
      </c>
      <c r="D315" s="15" t="str">
        <f t="shared" si="1"/>
        <v>Eaton SideboardAmber Oak Resin</v>
      </c>
      <c r="E315" s="15" t="s">
        <v>4191</v>
      </c>
      <c r="F315" s="15" t="s">
        <v>397</v>
      </c>
      <c r="G315" s="15" t="s">
        <v>4104</v>
      </c>
      <c r="J315" s="15" t="s">
        <v>4104</v>
      </c>
      <c r="K315" s="15" t="s">
        <v>4110</v>
      </c>
      <c r="M315" s="15" t="s">
        <v>1896</v>
      </c>
      <c r="N315" s="15" t="s">
        <v>664</v>
      </c>
      <c r="P315" s="15" t="str">
        <f>"75.5"</f>
        <v>75.5</v>
      </c>
      <c r="Q315" s="15" t="str">
        <f>"20.5"</f>
        <v>20.5</v>
      </c>
      <c r="R315" s="15" t="str">
        <f>"31.5"</f>
        <v>31.5</v>
      </c>
      <c r="S315" s="15" t="str">
        <f>"160.94"</f>
        <v>160.94</v>
      </c>
      <c r="T315" s="15" t="s">
        <v>2283</v>
      </c>
      <c r="U315" s="15" t="s">
        <v>10881</v>
      </c>
      <c r="V315" s="15" t="s">
        <v>11139</v>
      </c>
      <c r="AA315" s="15" t="s">
        <v>413</v>
      </c>
      <c r="AB315" s="15" t="s">
        <v>413</v>
      </c>
      <c r="AC315" s="15" t="s">
        <v>4197</v>
      </c>
      <c r="AD315" s="15" t="s">
        <v>14815</v>
      </c>
      <c r="AE315" s="15" t="s">
        <v>4195</v>
      </c>
      <c r="AF315" s="15" t="s">
        <v>14816</v>
      </c>
      <c r="AG315" s="15" t="s">
        <v>14817</v>
      </c>
      <c r="AH315" s="15" t="s">
        <v>14818</v>
      </c>
      <c r="AI315" s="15" t="s">
        <v>14819</v>
      </c>
      <c r="AJ315" s="15" t="s">
        <v>14820</v>
      </c>
      <c r="AK315" s="15" t="s">
        <v>14821</v>
      </c>
      <c r="AL315" s="15" t="s">
        <v>14822</v>
      </c>
      <c r="AM315" s="15" t="s">
        <v>14823</v>
      </c>
      <c r="AN315" s="15" t="s">
        <v>14824</v>
      </c>
      <c r="AO315" s="15" t="s">
        <v>14825</v>
      </c>
      <c r="AP315" s="15" t="s">
        <v>14826</v>
      </c>
      <c r="AQ315" s="15" t="s">
        <v>14827</v>
      </c>
      <c r="AR315" s="15" t="s">
        <v>14828</v>
      </c>
      <c r="BH315" s="15" t="s">
        <v>4192</v>
      </c>
      <c r="BI315" s="15" t="str">
        <f>"1899"</f>
        <v>1899</v>
      </c>
      <c r="BJ315" s="15" t="str">
        <f>"800"</f>
        <v>800</v>
      </c>
      <c r="BK315" s="15" t="s">
        <v>742</v>
      </c>
      <c r="BL315" s="15" t="str">
        <f t="shared" si="885"/>
        <v>1</v>
      </c>
      <c r="BM315" s="15" t="s">
        <v>416</v>
      </c>
      <c r="BN315" s="15" t="str">
        <f>"78.35"</f>
        <v>78.35</v>
      </c>
      <c r="BO315" s="15" t="str">
        <f>"24.41"</f>
        <v>24.41</v>
      </c>
      <c r="BP315" s="15" t="str">
        <f>"31.69"</f>
        <v>31.69</v>
      </c>
      <c r="BQ315" s="15" t="str">
        <f>"199.52"</f>
        <v>199.52</v>
      </c>
      <c r="CG315" s="15" t="str">
        <f>"35.07"</f>
        <v>35.07</v>
      </c>
      <c r="CH315" s="15" t="str">
        <f>"0.993"</f>
        <v>0.993</v>
      </c>
      <c r="CI315" s="15" t="s">
        <v>465</v>
      </c>
      <c r="CM315" s="15" t="s">
        <v>823</v>
      </c>
      <c r="CN315" s="15" t="s">
        <v>4200</v>
      </c>
      <c r="CO315" s="15" t="s">
        <v>2360</v>
      </c>
      <c r="CZ315" s="15" t="s">
        <v>419</v>
      </c>
      <c r="DA315" s="15">
        <v>0.0</v>
      </c>
      <c r="DB315" s="15" t="s">
        <v>419</v>
      </c>
      <c r="DD315" s="15">
        <v>0.0</v>
      </c>
      <c r="DF315" s="15" t="s">
        <v>420</v>
      </c>
      <c r="DG315" s="15" t="s">
        <v>610</v>
      </c>
      <c r="DI315" s="15">
        <v>18.14</v>
      </c>
      <c r="DJ315" s="15">
        <v>40.0</v>
      </c>
      <c r="DK315" s="15">
        <v>2.0</v>
      </c>
      <c r="DS315" s="15" t="s">
        <v>4115</v>
      </c>
      <c r="DU315" s="15" t="s">
        <v>424</v>
      </c>
      <c r="EF315" s="15" t="s">
        <v>1040</v>
      </c>
      <c r="EU315" s="15" t="s">
        <v>426</v>
      </c>
      <c r="EV315" s="15">
        <v>2.0</v>
      </c>
      <c r="FH315" s="15" t="s">
        <v>4201</v>
      </c>
      <c r="FI315" s="15" t="s">
        <v>782</v>
      </c>
      <c r="FJ315" s="15" t="s">
        <v>1014</v>
      </c>
      <c r="FK315" s="15" t="s">
        <v>823</v>
      </c>
      <c r="FL315" s="15" t="s">
        <v>782</v>
      </c>
      <c r="FM315" s="15" t="s">
        <v>2360</v>
      </c>
      <c r="FN315" s="15">
        <v>0.0</v>
      </c>
      <c r="FP315" s="15" t="s">
        <v>785</v>
      </c>
      <c r="FQ315" s="15">
        <v>4.0</v>
      </c>
      <c r="FR315" s="15" t="s">
        <v>3133</v>
      </c>
      <c r="FS315" s="15" t="s">
        <v>615</v>
      </c>
      <c r="FT315" s="15">
        <v>0.0</v>
      </c>
      <c r="FU315" s="15" t="s">
        <v>426</v>
      </c>
      <c r="FW315" s="15" t="s">
        <v>616</v>
      </c>
      <c r="GJ315" s="15" t="s">
        <v>823</v>
      </c>
      <c r="GK315" s="15" t="s">
        <v>4200</v>
      </c>
      <c r="GL315" s="15" t="s">
        <v>2360</v>
      </c>
      <c r="HF315" s="15" t="s">
        <v>1957</v>
      </c>
      <c r="HQ315" s="15" t="s">
        <v>426</v>
      </c>
      <c r="KO315" s="15" t="s">
        <v>2604</v>
      </c>
    </row>
    <row r="316" ht="17.25" customHeight="1">
      <c r="A316" s="15" t="s">
        <v>4205</v>
      </c>
      <c r="B316" s="15" t="str">
        <f>"801542359546"</f>
        <v>801542359546</v>
      </c>
      <c r="C316" s="15" t="s">
        <v>14829</v>
      </c>
      <c r="D316" s="15" t="str">
        <f t="shared" si="1"/>
        <v>Edmon BenchSavile Flax</v>
      </c>
      <c r="E316" s="15" t="s">
        <v>4202</v>
      </c>
      <c r="F316" s="15" t="s">
        <v>397</v>
      </c>
      <c r="G316" s="15" t="s">
        <v>4204</v>
      </c>
      <c r="J316" s="15" t="s">
        <v>4204</v>
      </c>
      <c r="K316" s="15" t="s">
        <v>2493</v>
      </c>
      <c r="M316" s="15" t="s">
        <v>2492</v>
      </c>
      <c r="N316" s="15" t="s">
        <v>458</v>
      </c>
      <c r="O316" s="15" t="s">
        <v>459</v>
      </c>
      <c r="P316" s="15" t="str">
        <f t="shared" ref="P316:P317" si="957">"67"</f>
        <v>67</v>
      </c>
      <c r="Q316" s="15" t="str">
        <f t="shared" ref="Q316:Q317" si="958">"16"</f>
        <v>16</v>
      </c>
      <c r="R316" s="15" t="str">
        <f t="shared" ref="R316:R317" si="959">"18.5"</f>
        <v>18.5</v>
      </c>
      <c r="S316" s="15" t="str">
        <f t="shared" ref="S316:S317" si="960">"59.52"</f>
        <v>59.52</v>
      </c>
      <c r="T316" s="15" t="s">
        <v>4208</v>
      </c>
      <c r="U316" s="15" t="s">
        <v>11858</v>
      </c>
      <c r="V316" s="15" t="s">
        <v>11859</v>
      </c>
      <c r="W316" s="15" t="s">
        <v>11338</v>
      </c>
      <c r="AA316" s="15" t="s">
        <v>413</v>
      </c>
      <c r="AB316" s="15" t="s">
        <v>426</v>
      </c>
      <c r="AC316" s="15" t="s">
        <v>4210</v>
      </c>
      <c r="AD316" s="15" t="s">
        <v>14830</v>
      </c>
      <c r="AE316" s="15" t="s">
        <v>4207</v>
      </c>
      <c r="AF316" s="15" t="s">
        <v>14831</v>
      </c>
      <c r="AG316" s="15" t="s">
        <v>14832</v>
      </c>
      <c r="AH316" s="15" t="s">
        <v>14833</v>
      </c>
      <c r="AI316" s="15" t="s">
        <v>14834</v>
      </c>
      <c r="AJ316" s="15" t="s">
        <v>14835</v>
      </c>
      <c r="AK316" s="15" t="s">
        <v>14836</v>
      </c>
      <c r="AL316" s="15" t="s">
        <v>14837</v>
      </c>
      <c r="AM316" s="15" t="s">
        <v>14838</v>
      </c>
      <c r="AN316" s="15" t="s">
        <v>14839</v>
      </c>
      <c r="BH316" s="15" t="s">
        <v>4203</v>
      </c>
      <c r="BI316" s="15" t="str">
        <f>"899"</f>
        <v>899</v>
      </c>
      <c r="BJ316" s="15" t="str">
        <f>"380"</f>
        <v>380</v>
      </c>
      <c r="BK316" s="15" t="s">
        <v>709</v>
      </c>
      <c r="BL316" s="15" t="str">
        <f t="shared" si="885"/>
        <v>1</v>
      </c>
      <c r="BM316" s="15" t="s">
        <v>416</v>
      </c>
      <c r="BN316" s="15" t="str">
        <f t="shared" ref="BN316:BN317" si="961">"69.69"</f>
        <v>69.69</v>
      </c>
      <c r="BO316" s="15" t="str">
        <f t="shared" ref="BO316:BO317" si="962">"18.5"</f>
        <v>18.5</v>
      </c>
      <c r="BP316" s="15" t="str">
        <f t="shared" ref="BP316:BP317" si="963">"21.46"</f>
        <v>21.46</v>
      </c>
      <c r="BQ316" s="15" t="str">
        <f t="shared" ref="BQ316:BQ317" si="964">"74.96"</f>
        <v>74.96</v>
      </c>
      <c r="CG316" s="15" t="str">
        <f t="shared" ref="CG316:CG317" si="965">"16"</f>
        <v>16</v>
      </c>
      <c r="CH316" s="15" t="str">
        <f t="shared" ref="CH316:CH317" si="966">"0.453"</f>
        <v>0.453</v>
      </c>
      <c r="CI316" s="15" t="s">
        <v>465</v>
      </c>
      <c r="CJ316" s="15" t="s">
        <v>2178</v>
      </c>
      <c r="CK316" s="15" t="s">
        <v>1957</v>
      </c>
      <c r="CL316" s="15" t="s">
        <v>1134</v>
      </c>
      <c r="CM316" s="15" t="s">
        <v>2178</v>
      </c>
      <c r="CN316" s="15" t="s">
        <v>1608</v>
      </c>
      <c r="CO316" s="15" t="s">
        <v>1134</v>
      </c>
      <c r="CP316" s="15" t="s">
        <v>2178</v>
      </c>
      <c r="CQ316" s="15" t="s">
        <v>759</v>
      </c>
      <c r="CR316" s="15" t="s">
        <v>1134</v>
      </c>
      <c r="CS316" s="15" t="s">
        <v>2178</v>
      </c>
      <c r="CT316" s="15" t="s">
        <v>824</v>
      </c>
      <c r="CU316" s="15" t="s">
        <v>4212</v>
      </c>
      <c r="CV316" s="15">
        <v>0.0</v>
      </c>
      <c r="CW316" s="15">
        <v>0.0</v>
      </c>
      <c r="CX316" s="15" t="s">
        <v>469</v>
      </c>
      <c r="CY316" s="15" t="s">
        <v>855</v>
      </c>
      <c r="CZ316" s="15" t="s">
        <v>419</v>
      </c>
      <c r="DA316" s="15">
        <v>0.0</v>
      </c>
      <c r="DB316" s="15" t="s">
        <v>419</v>
      </c>
      <c r="DC316" s="15" t="s">
        <v>2502</v>
      </c>
      <c r="DD316" s="15">
        <v>1.0</v>
      </c>
      <c r="DE316" s="15" t="s">
        <v>426</v>
      </c>
      <c r="DF316" s="15" t="s">
        <v>721</v>
      </c>
      <c r="DG316" s="15" t="s">
        <v>1914</v>
      </c>
      <c r="DH316" s="15">
        <v>0.0</v>
      </c>
      <c r="DI316" s="15">
        <v>18.14</v>
      </c>
      <c r="DJ316" s="15">
        <v>40.0</v>
      </c>
      <c r="DK316" s="15">
        <v>0.0</v>
      </c>
      <c r="DL316" s="15">
        <v>15000.0</v>
      </c>
      <c r="DM316" s="15" t="s">
        <v>470</v>
      </c>
      <c r="DN316" s="15" t="s">
        <v>723</v>
      </c>
      <c r="DO316" s="15" t="s">
        <v>724</v>
      </c>
      <c r="DP316" s="15">
        <v>1.0</v>
      </c>
      <c r="DQ316" s="15">
        <v>3.0</v>
      </c>
      <c r="DR316" s="15" t="s">
        <v>471</v>
      </c>
      <c r="DS316" s="15" t="s">
        <v>4213</v>
      </c>
      <c r="DT316" s="15">
        <v>0.0</v>
      </c>
      <c r="DU316" s="15" t="s">
        <v>473</v>
      </c>
    </row>
    <row r="317" ht="17.25" customHeight="1">
      <c r="A317" s="15" t="s">
        <v>4215</v>
      </c>
      <c r="B317" s="15" t="str">
        <f>"801542113728"</f>
        <v>801542113728</v>
      </c>
      <c r="C317" s="15" t="s">
        <v>14840</v>
      </c>
      <c r="D317" s="15" t="str">
        <f t="shared" si="1"/>
        <v>Edmon BenchSheffield Ivory</v>
      </c>
      <c r="E317" s="15" t="s">
        <v>4202</v>
      </c>
      <c r="F317" s="15" t="s">
        <v>397</v>
      </c>
      <c r="G317" s="15" t="s">
        <v>1350</v>
      </c>
      <c r="J317" s="15" t="s">
        <v>1350</v>
      </c>
      <c r="K317" s="15" t="s">
        <v>2493</v>
      </c>
      <c r="M317" s="15" t="s">
        <v>2492</v>
      </c>
      <c r="N317" s="15" t="s">
        <v>458</v>
      </c>
      <c r="O317" s="15" t="s">
        <v>459</v>
      </c>
      <c r="P317" s="15" t="str">
        <f t="shared" si="957"/>
        <v>67</v>
      </c>
      <c r="Q317" s="15" t="str">
        <f t="shared" si="958"/>
        <v>16</v>
      </c>
      <c r="R317" s="15" t="str">
        <f t="shared" si="959"/>
        <v>18.5</v>
      </c>
      <c r="S317" s="15" t="str">
        <f t="shared" si="960"/>
        <v>59.52</v>
      </c>
      <c r="T317" s="15" t="s">
        <v>2527</v>
      </c>
      <c r="U317" s="15" t="s">
        <v>11209</v>
      </c>
      <c r="V317" s="15" t="s">
        <v>11338</v>
      </c>
      <c r="AA317" s="15" t="s">
        <v>413</v>
      </c>
      <c r="AB317" s="15" t="s">
        <v>413</v>
      </c>
      <c r="AC317" s="15" t="s">
        <v>4217</v>
      </c>
      <c r="AD317" s="15" t="s">
        <v>14841</v>
      </c>
      <c r="AE317" s="15" t="s">
        <v>4216</v>
      </c>
      <c r="AF317" s="15" t="s">
        <v>14842</v>
      </c>
      <c r="AG317" s="15" t="s">
        <v>14843</v>
      </c>
      <c r="AH317" s="15" t="s">
        <v>14844</v>
      </c>
      <c r="AI317" s="15" t="s">
        <v>14845</v>
      </c>
      <c r="AJ317" s="15" t="s">
        <v>14846</v>
      </c>
      <c r="AK317" s="15" t="s">
        <v>14847</v>
      </c>
      <c r="AL317" s="15" t="s">
        <v>14848</v>
      </c>
      <c r="AM317" s="15" t="s">
        <v>14849</v>
      </c>
      <c r="AN317" s="15" t="s">
        <v>14850</v>
      </c>
      <c r="AO317" s="15" t="s">
        <v>14851</v>
      </c>
      <c r="AP317" s="15" t="s">
        <v>14852</v>
      </c>
      <c r="BH317" s="15" t="s">
        <v>4214</v>
      </c>
      <c r="BI317" s="15" t="str">
        <f>"949"</f>
        <v>949</v>
      </c>
      <c r="BJ317" s="15" t="str">
        <f>"400"</f>
        <v>400</v>
      </c>
      <c r="BK317" s="15" t="s">
        <v>709</v>
      </c>
      <c r="BL317" s="15" t="str">
        <f t="shared" si="885"/>
        <v>1</v>
      </c>
      <c r="BM317" s="15" t="s">
        <v>416</v>
      </c>
      <c r="BN317" s="15" t="str">
        <f t="shared" si="961"/>
        <v>69.69</v>
      </c>
      <c r="BO317" s="15" t="str">
        <f t="shared" si="962"/>
        <v>18.5</v>
      </c>
      <c r="BP317" s="15" t="str">
        <f t="shared" si="963"/>
        <v>21.46</v>
      </c>
      <c r="BQ317" s="15" t="str">
        <f t="shared" si="964"/>
        <v>74.96</v>
      </c>
      <c r="CG317" s="15" t="str">
        <f t="shared" si="965"/>
        <v>16</v>
      </c>
      <c r="CH317" s="15" t="str">
        <f t="shared" si="966"/>
        <v>0.453</v>
      </c>
      <c r="CI317" s="15" t="s">
        <v>417</v>
      </c>
      <c r="CJ317" s="15" t="s">
        <v>2178</v>
      </c>
      <c r="CK317" s="15" t="s">
        <v>1957</v>
      </c>
      <c r="CL317" s="15" t="s">
        <v>1134</v>
      </c>
      <c r="CM317" s="15" t="s">
        <v>2178</v>
      </c>
      <c r="CN317" s="15" t="s">
        <v>1608</v>
      </c>
      <c r="CO317" s="15" t="s">
        <v>1134</v>
      </c>
      <c r="CP317" s="15" t="s">
        <v>2178</v>
      </c>
      <c r="CQ317" s="15" t="s">
        <v>759</v>
      </c>
      <c r="CR317" s="15" t="s">
        <v>1134</v>
      </c>
      <c r="CS317" s="15" t="s">
        <v>2178</v>
      </c>
      <c r="CT317" s="15" t="s">
        <v>824</v>
      </c>
      <c r="CU317" s="15" t="s">
        <v>4212</v>
      </c>
      <c r="CV317" s="15">
        <v>0.0</v>
      </c>
      <c r="CW317" s="15">
        <v>0.0</v>
      </c>
      <c r="CX317" s="15" t="s">
        <v>469</v>
      </c>
      <c r="CY317" s="15" t="s">
        <v>897</v>
      </c>
      <c r="CZ317" s="15" t="s">
        <v>419</v>
      </c>
      <c r="DA317" s="15">
        <v>0.0</v>
      </c>
      <c r="DB317" s="15" t="s">
        <v>419</v>
      </c>
      <c r="DC317" s="15" t="s">
        <v>2502</v>
      </c>
      <c r="DD317" s="15">
        <v>1.0</v>
      </c>
      <c r="DE317" s="15" t="s">
        <v>426</v>
      </c>
      <c r="DF317" s="15" t="s">
        <v>721</v>
      </c>
      <c r="DG317" s="15" t="s">
        <v>1914</v>
      </c>
      <c r="DH317" s="15">
        <v>0.0</v>
      </c>
      <c r="DI317" s="15">
        <v>18.14</v>
      </c>
      <c r="DJ317" s="15">
        <v>40.0</v>
      </c>
      <c r="DK317" s="15">
        <v>0.0</v>
      </c>
      <c r="DL317" s="15">
        <v>15000.0</v>
      </c>
      <c r="DM317" s="15" t="s">
        <v>470</v>
      </c>
      <c r="DN317" s="15" t="s">
        <v>723</v>
      </c>
      <c r="DO317" s="15" t="s">
        <v>724</v>
      </c>
      <c r="DP317" s="15">
        <v>1.0</v>
      </c>
      <c r="DQ317" s="15">
        <v>3.0</v>
      </c>
      <c r="DR317" s="15" t="s">
        <v>471</v>
      </c>
      <c r="DS317" s="15" t="s">
        <v>4213</v>
      </c>
      <c r="DT317" s="15">
        <v>0.0</v>
      </c>
      <c r="DU317" s="15" t="s">
        <v>473</v>
      </c>
    </row>
    <row r="318" ht="17.25" customHeight="1">
      <c r="A318" s="15" t="s">
        <v>4220</v>
      </c>
      <c r="B318" s="15" t="str">
        <f>"801542632397"</f>
        <v>801542632397</v>
      </c>
      <c r="C318" s="15" t="s">
        <v>14853</v>
      </c>
      <c r="D318" s="15" t="str">
        <f t="shared" si="1"/>
        <v>Edwyn Large OttomanGibson Wheat</v>
      </c>
      <c r="E318" s="15" t="s">
        <v>4218</v>
      </c>
      <c r="F318" s="15" t="s">
        <v>397</v>
      </c>
      <c r="G318" s="15" t="s">
        <v>3814</v>
      </c>
      <c r="J318" s="15" t="s">
        <v>3814</v>
      </c>
      <c r="K318" s="15" t="s">
        <v>1850</v>
      </c>
      <c r="L318" s="15" t="s">
        <v>4226</v>
      </c>
      <c r="M318" s="15" t="s">
        <v>2800</v>
      </c>
      <c r="N318" s="15" t="s">
        <v>1009</v>
      </c>
      <c r="P318" s="15" t="str">
        <f t="shared" ref="P318:Q318" si="967">"39"</f>
        <v>39</v>
      </c>
      <c r="Q318" s="15" t="str">
        <f t="shared" si="967"/>
        <v>39</v>
      </c>
      <c r="R318" s="15" t="str">
        <f t="shared" ref="R318:R319" si="970">"16.25"</f>
        <v>16.25</v>
      </c>
      <c r="S318" s="15" t="str">
        <f t="shared" ref="S318:S319" si="971">"34.61"</f>
        <v>34.61</v>
      </c>
      <c r="T318" s="15" t="s">
        <v>4223</v>
      </c>
      <c r="U318" s="15" t="s">
        <v>12131</v>
      </c>
      <c r="V318" s="15" t="s">
        <v>12132</v>
      </c>
      <c r="W318" s="15" t="s">
        <v>11139</v>
      </c>
      <c r="X318" s="15" t="s">
        <v>13112</v>
      </c>
      <c r="AA318" s="15" t="s">
        <v>413</v>
      </c>
      <c r="AB318" s="15" t="s">
        <v>426</v>
      </c>
      <c r="AC318" s="15" t="s">
        <v>4227</v>
      </c>
      <c r="AD318" s="15" t="s">
        <v>14854</v>
      </c>
      <c r="AE318" s="15" t="s">
        <v>4222</v>
      </c>
      <c r="AF318" s="15" t="s">
        <v>14855</v>
      </c>
      <c r="AG318" s="15" t="s">
        <v>14856</v>
      </c>
      <c r="AH318" s="15" t="s">
        <v>14857</v>
      </c>
      <c r="AI318" s="15" t="s">
        <v>14858</v>
      </c>
      <c r="AJ318" s="15" t="s">
        <v>14859</v>
      </c>
      <c r="AK318" s="15" t="s">
        <v>14860</v>
      </c>
      <c r="AL318" s="15" t="s">
        <v>14861</v>
      </c>
      <c r="AM318" s="15" t="s">
        <v>14862</v>
      </c>
      <c r="AN318" s="15" t="s">
        <v>14863</v>
      </c>
      <c r="AO318" s="15" t="s">
        <v>14864</v>
      </c>
      <c r="AP318" s="15" t="s">
        <v>14865</v>
      </c>
      <c r="AQ318" s="15" t="s">
        <v>14866</v>
      </c>
      <c r="BH318" s="15" t="s">
        <v>4219</v>
      </c>
      <c r="BI318" s="15" t="str">
        <f>"799"</f>
        <v>799</v>
      </c>
      <c r="BJ318" s="15" t="str">
        <f>"340"</f>
        <v>340</v>
      </c>
      <c r="BK318" s="15" t="s">
        <v>709</v>
      </c>
      <c r="BL318" s="15" t="str">
        <f t="shared" si="885"/>
        <v>1</v>
      </c>
      <c r="BM318" s="15" t="s">
        <v>416</v>
      </c>
      <c r="BN318" s="15" t="str">
        <f t="shared" ref="BN318:BO318" si="968">"38.19"</f>
        <v>38.19</v>
      </c>
      <c r="BO318" s="15" t="str">
        <f t="shared" si="968"/>
        <v>38.19</v>
      </c>
      <c r="BP318" s="15" t="str">
        <f t="shared" ref="BP318:BP319" si="973">"18.5"</f>
        <v>18.5</v>
      </c>
      <c r="BQ318" s="15" t="str">
        <f t="shared" ref="BQ318:BQ319" si="974">"54.45"</f>
        <v>54.45</v>
      </c>
      <c r="CG318" s="15" t="str">
        <f t="shared" ref="CG318:CG319" si="975">"15.61"</f>
        <v>15.61</v>
      </c>
      <c r="CH318" s="15" t="str">
        <f t="shared" ref="CH318:CH319" si="976">"0.442"</f>
        <v>0.442</v>
      </c>
      <c r="CI318" s="15" t="s">
        <v>497</v>
      </c>
      <c r="CS318" s="15" t="s">
        <v>3782</v>
      </c>
      <c r="CT318" s="15" t="s">
        <v>4178</v>
      </c>
      <c r="CU318" s="15" t="s">
        <v>3782</v>
      </c>
      <c r="CW318" s="15">
        <v>0.0</v>
      </c>
      <c r="CY318" s="15" t="s">
        <v>855</v>
      </c>
      <c r="DF318" s="15" t="s">
        <v>721</v>
      </c>
      <c r="DG318" s="15" t="s">
        <v>419</v>
      </c>
      <c r="DH318" s="15">
        <v>0.0</v>
      </c>
      <c r="DL318" s="15">
        <v>25000.0</v>
      </c>
      <c r="DM318" s="15" t="s">
        <v>470</v>
      </c>
      <c r="DN318" s="15" t="s">
        <v>1016</v>
      </c>
      <c r="DO318" s="15" t="s">
        <v>3514</v>
      </c>
      <c r="DP318" s="15">
        <v>1.0</v>
      </c>
      <c r="DQ318" s="15">
        <v>1.0</v>
      </c>
      <c r="DR318" s="15" t="s">
        <v>1157</v>
      </c>
      <c r="DS318" s="15" t="s">
        <v>4229</v>
      </c>
      <c r="DT318" s="15">
        <v>0.0</v>
      </c>
      <c r="DU318" s="15" t="s">
        <v>726</v>
      </c>
      <c r="EF318" s="15" t="s">
        <v>2464</v>
      </c>
      <c r="EG318" s="15" t="s">
        <v>3905</v>
      </c>
      <c r="EH318" s="15" t="s">
        <v>3905</v>
      </c>
      <c r="EO318" s="15" t="s">
        <v>1255</v>
      </c>
      <c r="EX318" s="15" t="s">
        <v>822</v>
      </c>
      <c r="EY318" s="15" t="s">
        <v>822</v>
      </c>
    </row>
    <row r="319" ht="17.25" customHeight="1">
      <c r="A319" s="15" t="s">
        <v>4232</v>
      </c>
      <c r="B319" s="15" t="str">
        <f>"801542719449"</f>
        <v>801542719449</v>
      </c>
      <c r="C319" s="15" t="s">
        <v>14867</v>
      </c>
      <c r="D319" s="15" t="str">
        <f t="shared" si="1"/>
        <v>Edwyn Large OttomanSonoma Black</v>
      </c>
      <c r="E319" s="15" t="s">
        <v>4218</v>
      </c>
      <c r="F319" s="15" t="s">
        <v>397</v>
      </c>
      <c r="G319" s="15" t="s">
        <v>4231</v>
      </c>
      <c r="J319" s="15" t="s">
        <v>4231</v>
      </c>
      <c r="K319" s="15" t="s">
        <v>1850</v>
      </c>
      <c r="L319" s="15" t="s">
        <v>4235</v>
      </c>
      <c r="M319" s="15" t="s">
        <v>2800</v>
      </c>
      <c r="N319" s="15" t="s">
        <v>1009</v>
      </c>
      <c r="P319" s="15" t="str">
        <f t="shared" ref="P319:Q319" si="969">"39"</f>
        <v>39</v>
      </c>
      <c r="Q319" s="15" t="str">
        <f t="shared" si="969"/>
        <v>39</v>
      </c>
      <c r="R319" s="15" t="str">
        <f t="shared" si="970"/>
        <v>16.25</v>
      </c>
      <c r="S319" s="15" t="str">
        <f t="shared" si="971"/>
        <v>34.61</v>
      </c>
      <c r="T319" s="15" t="s">
        <v>4234</v>
      </c>
      <c r="U319" s="15" t="s">
        <v>11137</v>
      </c>
      <c r="V319" s="15" t="s">
        <v>11139</v>
      </c>
      <c r="W319" s="15" t="s">
        <v>13112</v>
      </c>
      <c r="AA319" s="15" t="s">
        <v>413</v>
      </c>
      <c r="AB319" s="15" t="s">
        <v>413</v>
      </c>
      <c r="AC319" s="15" t="s">
        <v>4236</v>
      </c>
      <c r="AD319" s="15" t="s">
        <v>14868</v>
      </c>
      <c r="AE319" s="15" t="s">
        <v>4233</v>
      </c>
      <c r="AF319" s="15" t="s">
        <v>14869</v>
      </c>
      <c r="AG319" s="15" t="s">
        <v>14870</v>
      </c>
      <c r="AH319" s="15" t="s">
        <v>14871</v>
      </c>
      <c r="AI319" s="15" t="s">
        <v>14872</v>
      </c>
      <c r="AJ319" s="15" t="s">
        <v>14873</v>
      </c>
      <c r="AK319" s="15" t="s">
        <v>14874</v>
      </c>
      <c r="BH319" s="15" t="s">
        <v>4230</v>
      </c>
      <c r="BI319" s="15" t="str">
        <f>"1149"</f>
        <v>1149</v>
      </c>
      <c r="BJ319" s="15" t="str">
        <f>"485"</f>
        <v>485</v>
      </c>
      <c r="BK319" s="15" t="s">
        <v>709</v>
      </c>
      <c r="BL319" s="15" t="str">
        <f t="shared" si="885"/>
        <v>1</v>
      </c>
      <c r="BM319" s="15" t="s">
        <v>416</v>
      </c>
      <c r="BN319" s="15" t="str">
        <f t="shared" ref="BN319:BO319" si="972">"38.19"</f>
        <v>38.19</v>
      </c>
      <c r="BO319" s="15" t="str">
        <f t="shared" si="972"/>
        <v>38.19</v>
      </c>
      <c r="BP319" s="15" t="str">
        <f t="shared" si="973"/>
        <v>18.5</v>
      </c>
      <c r="BQ319" s="15" t="str">
        <f t="shared" si="974"/>
        <v>54.45</v>
      </c>
      <c r="CG319" s="15" t="str">
        <f t="shared" si="975"/>
        <v>15.61</v>
      </c>
      <c r="CH319" s="15" t="str">
        <f t="shared" si="976"/>
        <v>0.442</v>
      </c>
      <c r="CI319" s="15" t="s">
        <v>465</v>
      </c>
      <c r="CS319" s="15" t="s">
        <v>3782</v>
      </c>
      <c r="CT319" s="15" t="s">
        <v>4178</v>
      </c>
      <c r="CU319" s="15" t="s">
        <v>3782</v>
      </c>
      <c r="CW319" s="15">
        <v>0.0</v>
      </c>
      <c r="CY319" s="15" t="s">
        <v>718</v>
      </c>
      <c r="DF319" s="15" t="s">
        <v>721</v>
      </c>
      <c r="DG319" s="15" t="s">
        <v>419</v>
      </c>
      <c r="DH319" s="15">
        <v>0.0</v>
      </c>
      <c r="DL319" s="15">
        <v>0.0</v>
      </c>
      <c r="DM319" s="15" t="s">
        <v>470</v>
      </c>
      <c r="DN319" s="15" t="s">
        <v>1016</v>
      </c>
      <c r="DO319" s="15" t="s">
        <v>3514</v>
      </c>
      <c r="DP319" s="15">
        <v>1.0</v>
      </c>
      <c r="DQ319" s="15">
        <v>1.0</v>
      </c>
      <c r="DR319" s="15" t="s">
        <v>1157</v>
      </c>
      <c r="DS319" s="15" t="s">
        <v>4229</v>
      </c>
      <c r="DT319" s="15">
        <v>0.0</v>
      </c>
      <c r="DU319" s="15" t="s">
        <v>726</v>
      </c>
      <c r="EF319" s="15" t="s">
        <v>2464</v>
      </c>
      <c r="EG319" s="15" t="s">
        <v>3905</v>
      </c>
      <c r="EH319" s="15" t="s">
        <v>3905</v>
      </c>
      <c r="EO319" s="15" t="s">
        <v>1255</v>
      </c>
      <c r="EX319" s="15" t="s">
        <v>822</v>
      </c>
      <c r="EY319" s="15" t="s">
        <v>822</v>
      </c>
    </row>
    <row r="320" ht="17.25" customHeight="1">
      <c r="A320" s="15" t="s">
        <v>4240</v>
      </c>
      <c r="B320" s="15" t="str">
        <f>"801542386818"</f>
        <v>801542386818</v>
      </c>
      <c r="C320" s="15" t="s">
        <v>14875</v>
      </c>
      <c r="D320" s="15" t="str">
        <f t="shared" si="1"/>
        <v>Elena Sideboard and HutchSatin Black</v>
      </c>
      <c r="E320" s="15" t="s">
        <v>4237</v>
      </c>
      <c r="F320" s="15" t="s">
        <v>397</v>
      </c>
      <c r="G320" s="15" t="s">
        <v>4239</v>
      </c>
      <c r="J320" s="15" t="s">
        <v>4239</v>
      </c>
      <c r="K320" s="15" t="s">
        <v>2907</v>
      </c>
      <c r="M320" s="15" t="s">
        <v>2888</v>
      </c>
      <c r="N320" s="15" t="s">
        <v>1899</v>
      </c>
      <c r="P320" s="15" t="str">
        <f>"65"</f>
        <v>65</v>
      </c>
      <c r="Q320" s="15" t="str">
        <f>"17.75"</f>
        <v>17.75</v>
      </c>
      <c r="R320" s="15" t="str">
        <f>"76.75"</f>
        <v>76.75</v>
      </c>
      <c r="S320" s="15" t="str">
        <f>"174.17"</f>
        <v>174.17</v>
      </c>
      <c r="T320" s="15" t="s">
        <v>4243</v>
      </c>
      <c r="U320" s="15" t="s">
        <v>11139</v>
      </c>
      <c r="V320" s="15" t="s">
        <v>13228</v>
      </c>
      <c r="AA320" s="15" t="s">
        <v>413</v>
      </c>
      <c r="AB320" s="15" t="s">
        <v>413</v>
      </c>
      <c r="AC320" s="15" t="s">
        <v>4246</v>
      </c>
      <c r="AD320" s="15" t="s">
        <v>14876</v>
      </c>
      <c r="AE320" s="15" t="s">
        <v>4242</v>
      </c>
      <c r="AF320" s="15" t="s">
        <v>14877</v>
      </c>
      <c r="AG320" s="15" t="s">
        <v>14878</v>
      </c>
      <c r="AH320" s="15" t="s">
        <v>14879</v>
      </c>
      <c r="AI320" s="15" t="s">
        <v>14880</v>
      </c>
      <c r="AJ320" s="15" t="s">
        <v>14881</v>
      </c>
      <c r="AK320" s="15" t="s">
        <v>14882</v>
      </c>
      <c r="AL320" s="15" t="s">
        <v>14883</v>
      </c>
      <c r="AM320" s="15" t="s">
        <v>14884</v>
      </c>
      <c r="AN320" s="15" t="s">
        <v>14885</v>
      </c>
      <c r="AO320" s="15" t="s">
        <v>14886</v>
      </c>
      <c r="AP320" s="15" t="s">
        <v>14887</v>
      </c>
      <c r="AQ320" s="15" t="s">
        <v>14888</v>
      </c>
      <c r="AR320" s="15" t="s">
        <v>14889</v>
      </c>
      <c r="BH320" s="15" t="s">
        <v>4238</v>
      </c>
      <c r="BI320" s="15" t="str">
        <f>"1799"</f>
        <v>1799</v>
      </c>
      <c r="BJ320" s="15" t="str">
        <f>"760"</f>
        <v>760</v>
      </c>
      <c r="BK320" s="15" t="s">
        <v>1303</v>
      </c>
      <c r="BL320" s="15" t="str">
        <f>"2"</f>
        <v>2</v>
      </c>
      <c r="BM320" s="15" t="s">
        <v>4247</v>
      </c>
      <c r="BN320" s="15" t="str">
        <f>"67.5"</f>
        <v>67.5</v>
      </c>
      <c r="BO320" s="15" t="str">
        <f>"20.25"</f>
        <v>20.25</v>
      </c>
      <c r="BP320" s="15" t="str">
        <f>"30.5"</f>
        <v>30.5</v>
      </c>
      <c r="BQ320" s="15" t="str">
        <f>"181.84"</f>
        <v>181.84</v>
      </c>
      <c r="BR320" s="15" t="s">
        <v>4249</v>
      </c>
      <c r="BS320" s="15" t="str">
        <f>"79.5"</f>
        <v>79.5</v>
      </c>
      <c r="BT320" s="15" t="str">
        <f>"21"</f>
        <v>21</v>
      </c>
      <c r="BU320" s="15" t="str">
        <f>"6"</f>
        <v>6</v>
      </c>
      <c r="BV320" s="15" t="str">
        <f>"41.67"</f>
        <v>41.67</v>
      </c>
      <c r="CG320" s="15" t="str">
        <f>"29.91"</f>
        <v>29.91</v>
      </c>
      <c r="CH320" s="15" t="str">
        <f>"0.847"</f>
        <v>0.847</v>
      </c>
      <c r="CI320" s="15" t="s">
        <v>497</v>
      </c>
      <c r="CJ320" s="15" t="s">
        <v>4251</v>
      </c>
      <c r="CK320" s="15" t="s">
        <v>1042</v>
      </c>
      <c r="CL320" s="15" t="s">
        <v>4252</v>
      </c>
      <c r="CM320" s="15" t="s">
        <v>4251</v>
      </c>
      <c r="CN320" s="15" t="s">
        <v>4253</v>
      </c>
      <c r="CO320" s="15" t="s">
        <v>4252</v>
      </c>
      <c r="CZ320" s="15" t="s">
        <v>419</v>
      </c>
      <c r="DA320" s="15">
        <v>0.0</v>
      </c>
      <c r="DB320" s="15" t="s">
        <v>419</v>
      </c>
      <c r="DD320" s="15">
        <v>4.0</v>
      </c>
      <c r="DE320" s="15" t="s">
        <v>426</v>
      </c>
      <c r="DF320" s="15" t="s">
        <v>1111</v>
      </c>
      <c r="DG320" s="15" t="s">
        <v>610</v>
      </c>
      <c r="DI320" s="15">
        <v>18.14</v>
      </c>
      <c r="DJ320" s="15">
        <v>40.0</v>
      </c>
      <c r="DK320" s="15">
        <v>2.0</v>
      </c>
      <c r="DR320" s="15" t="s">
        <v>1915</v>
      </c>
      <c r="DS320" s="15" t="s">
        <v>4254</v>
      </c>
      <c r="EF320" s="15" t="s">
        <v>4255</v>
      </c>
      <c r="EU320" s="15" t="s">
        <v>426</v>
      </c>
      <c r="EV320" s="15">
        <v>7.0</v>
      </c>
      <c r="FH320" s="15" t="s">
        <v>2202</v>
      </c>
      <c r="FI320" s="15" t="s">
        <v>1188</v>
      </c>
      <c r="FJ320" s="15" t="s">
        <v>1065</v>
      </c>
      <c r="FK320" s="15" t="s">
        <v>2020</v>
      </c>
      <c r="FL320" s="15" t="s">
        <v>4256</v>
      </c>
      <c r="FM320" s="15" t="s">
        <v>1549</v>
      </c>
      <c r="FP320" s="15" t="s">
        <v>785</v>
      </c>
      <c r="FQ320" s="15">
        <v>2.0</v>
      </c>
      <c r="FR320" s="15" t="s">
        <v>614</v>
      </c>
      <c r="FS320" s="15" t="s">
        <v>615</v>
      </c>
      <c r="FU320" s="15" t="s">
        <v>426</v>
      </c>
      <c r="FW320" s="15" t="s">
        <v>616</v>
      </c>
      <c r="GJ320" s="15" t="s">
        <v>4251</v>
      </c>
      <c r="GK320" s="15" t="s">
        <v>4253</v>
      </c>
      <c r="GL320" s="15" t="s">
        <v>4252</v>
      </c>
      <c r="GZ320" s="15" t="s">
        <v>4251</v>
      </c>
      <c r="HA320" s="15" t="s">
        <v>4257</v>
      </c>
      <c r="HB320" s="15" t="s">
        <v>4253</v>
      </c>
      <c r="HC320" s="15" t="s">
        <v>1286</v>
      </c>
      <c r="HD320" s="15" t="s">
        <v>4252</v>
      </c>
      <c r="HE320" s="15" t="s">
        <v>1549</v>
      </c>
      <c r="JU320" s="15" t="s">
        <v>4257</v>
      </c>
      <c r="JV320" s="15" t="s">
        <v>4256</v>
      </c>
      <c r="JW320" s="15" t="s">
        <v>1427</v>
      </c>
      <c r="KG320" s="15" t="s">
        <v>4257</v>
      </c>
      <c r="KH320" s="15" t="s">
        <v>1286</v>
      </c>
      <c r="KI320" s="15" t="s">
        <v>1549</v>
      </c>
      <c r="KT320" s="15" t="s">
        <v>4257</v>
      </c>
      <c r="KU320" s="15" t="s">
        <v>4257</v>
      </c>
      <c r="KV320" s="15" t="s">
        <v>4258</v>
      </c>
      <c r="KW320" s="15" t="s">
        <v>4258</v>
      </c>
      <c r="KX320" s="15" t="s">
        <v>1427</v>
      </c>
      <c r="KY320" s="15" t="s">
        <v>1427</v>
      </c>
    </row>
    <row r="321" ht="17.25" customHeight="1">
      <c r="A321" s="15" t="s">
        <v>4262</v>
      </c>
      <c r="B321" s="15" t="str">
        <f>"801542202385"</f>
        <v>801542202385</v>
      </c>
      <c r="C321" s="15" t="s">
        <v>14890</v>
      </c>
      <c r="D321" s="15" t="str">
        <f t="shared" si="1"/>
        <v>Elio Accent BenchBurnt Bleached Oak</v>
      </c>
      <c r="E321" s="15" t="s">
        <v>4259</v>
      </c>
      <c r="F321" s="15" t="s">
        <v>397</v>
      </c>
      <c r="G321" s="15" t="s">
        <v>4261</v>
      </c>
      <c r="J321" s="15" t="s">
        <v>4261</v>
      </c>
      <c r="M321" s="15" t="s">
        <v>411</v>
      </c>
      <c r="N321" s="15" t="s">
        <v>458</v>
      </c>
      <c r="O321" s="15" t="s">
        <v>459</v>
      </c>
      <c r="P321" s="15" t="str">
        <f>"78"</f>
        <v>78</v>
      </c>
      <c r="Q321" s="15" t="str">
        <f>"20"</f>
        <v>20</v>
      </c>
      <c r="R321" s="15" t="str">
        <f>"19"</f>
        <v>19</v>
      </c>
      <c r="S321" s="15" t="str">
        <f>"69.56"</f>
        <v>69.56</v>
      </c>
      <c r="T321" s="15" t="s">
        <v>2872</v>
      </c>
      <c r="U321" s="15" t="s">
        <v>11338</v>
      </c>
      <c r="AA321" s="15" t="s">
        <v>413</v>
      </c>
      <c r="AB321" s="15" t="s">
        <v>413</v>
      </c>
      <c r="AC321" s="15" t="s">
        <v>4265</v>
      </c>
      <c r="AD321" s="15" t="s">
        <v>14891</v>
      </c>
      <c r="AE321" s="15" t="s">
        <v>4264</v>
      </c>
      <c r="AF321" s="15" t="s">
        <v>14892</v>
      </c>
      <c r="AG321" s="15" t="s">
        <v>14893</v>
      </c>
      <c r="AH321" s="15" t="s">
        <v>14894</v>
      </c>
      <c r="AI321" s="15" t="s">
        <v>14895</v>
      </c>
      <c r="AJ321" s="15" t="s">
        <v>14896</v>
      </c>
      <c r="AK321" s="15" t="s">
        <v>14897</v>
      </c>
      <c r="AL321" s="15" t="s">
        <v>14898</v>
      </c>
      <c r="AM321" s="15" t="s">
        <v>14899</v>
      </c>
      <c r="AN321" s="15" t="s">
        <v>14900</v>
      </c>
      <c r="AO321" s="15" t="s">
        <v>14901</v>
      </c>
      <c r="AP321" s="15" t="s">
        <v>14902</v>
      </c>
      <c r="AQ321" s="15" t="s">
        <v>14903</v>
      </c>
      <c r="AR321" s="15" t="s">
        <v>14904</v>
      </c>
      <c r="AS321" s="15" t="s">
        <v>14905</v>
      </c>
      <c r="BH321" s="15" t="s">
        <v>4260</v>
      </c>
      <c r="BI321" s="15" t="str">
        <f>"2099"</f>
        <v>2099</v>
      </c>
      <c r="BJ321" s="15" t="str">
        <f>"885"</f>
        <v>885</v>
      </c>
      <c r="BK321" s="15" t="s">
        <v>415</v>
      </c>
      <c r="BL321" s="15" t="str">
        <f t="shared" ref="BL321:BL333" si="978">"1"</f>
        <v>1</v>
      </c>
      <c r="BM321" s="15" t="s">
        <v>416</v>
      </c>
      <c r="BN321" s="15" t="str">
        <f>"84.65"</f>
        <v>84.65</v>
      </c>
      <c r="BO321" s="15" t="str">
        <f t="shared" ref="BO321:BP321" si="977">"25.2"</f>
        <v>25.2</v>
      </c>
      <c r="BP321" s="15" t="str">
        <f t="shared" si="977"/>
        <v>25.2</v>
      </c>
      <c r="BQ321" s="15" t="str">
        <f>"118.94"</f>
        <v>118.94</v>
      </c>
      <c r="CG321" s="15" t="str">
        <f>"31.11"</f>
        <v>31.11</v>
      </c>
      <c r="CH321" s="15" t="str">
        <f>"0.881"</f>
        <v>0.881</v>
      </c>
      <c r="CI321" s="15" t="s">
        <v>465</v>
      </c>
      <c r="CS321" s="15" t="s">
        <v>1324</v>
      </c>
      <c r="CT321" s="15" t="s">
        <v>467</v>
      </c>
      <c r="CU321" s="15" t="s">
        <v>3481</v>
      </c>
      <c r="CV321" s="15">
        <v>0.0</v>
      </c>
      <c r="CW321" s="15">
        <v>0.0</v>
      </c>
      <c r="CX321" s="15" t="s">
        <v>469</v>
      </c>
      <c r="CZ321" s="15" t="s">
        <v>419</v>
      </c>
      <c r="DA321" s="15">
        <v>0.0</v>
      </c>
      <c r="DB321" s="15" t="s">
        <v>419</v>
      </c>
      <c r="DD321" s="15">
        <v>0.0</v>
      </c>
      <c r="DF321" s="15" t="s">
        <v>1186</v>
      </c>
      <c r="DG321" s="15" t="s">
        <v>419</v>
      </c>
      <c r="DH321" s="15">
        <v>0.0</v>
      </c>
      <c r="DI321" s="15">
        <v>0.0</v>
      </c>
      <c r="DJ321" s="15">
        <v>0.0</v>
      </c>
      <c r="DK321" s="15">
        <v>0.0</v>
      </c>
      <c r="DM321" s="15" t="s">
        <v>470</v>
      </c>
      <c r="DP321" s="15">
        <v>0.0</v>
      </c>
      <c r="DQ321" s="15">
        <v>3.0</v>
      </c>
      <c r="DR321" s="15" t="s">
        <v>471</v>
      </c>
      <c r="DS321" s="15" t="s">
        <v>4267</v>
      </c>
      <c r="DT321" s="15">
        <v>0.0</v>
      </c>
      <c r="DU321" s="15" t="s">
        <v>473</v>
      </c>
      <c r="EG321" s="15" t="s">
        <v>2020</v>
      </c>
      <c r="EH321" s="15" t="s">
        <v>4268</v>
      </c>
      <c r="EU321" s="15" t="s">
        <v>426</v>
      </c>
    </row>
    <row r="322" ht="17.25" customHeight="1">
      <c r="A322" s="15" t="s">
        <v>4271</v>
      </c>
      <c r="B322" s="15" t="str">
        <f>"801542202460"</f>
        <v>801542202460</v>
      </c>
      <c r="C322" s="15" t="s">
        <v>14906</v>
      </c>
      <c r="D322" s="15" t="str">
        <f t="shared" si="1"/>
        <v>Elio Coffee Table SmallBurnt Bleached Oak</v>
      </c>
      <c r="E322" s="15" t="s">
        <v>4269</v>
      </c>
      <c r="F322" s="15" t="s">
        <v>397</v>
      </c>
      <c r="G322" s="15" t="s">
        <v>4261</v>
      </c>
      <c r="J322" s="15" t="s">
        <v>4261</v>
      </c>
      <c r="M322" s="15" t="s">
        <v>411</v>
      </c>
      <c r="N322" s="15" t="s">
        <v>491</v>
      </c>
      <c r="P322" s="15" t="str">
        <f>"54"</f>
        <v>54</v>
      </c>
      <c r="Q322" s="15" t="str">
        <f>"40"</f>
        <v>40</v>
      </c>
      <c r="R322" s="15" t="str">
        <f>"17"</f>
        <v>17</v>
      </c>
      <c r="S322" s="15" t="str">
        <f>"54.89"</f>
        <v>54.89</v>
      </c>
      <c r="T322" s="15" t="s">
        <v>2872</v>
      </c>
      <c r="U322" s="15" t="s">
        <v>11338</v>
      </c>
      <c r="AA322" s="15" t="s">
        <v>413</v>
      </c>
      <c r="AB322" s="15" t="s">
        <v>413</v>
      </c>
      <c r="AC322" s="15" t="s">
        <v>4274</v>
      </c>
      <c r="AD322" s="15" t="s">
        <v>14907</v>
      </c>
      <c r="AE322" s="15" t="s">
        <v>4273</v>
      </c>
      <c r="AF322" s="15" t="s">
        <v>14908</v>
      </c>
      <c r="AG322" s="15" t="s">
        <v>14909</v>
      </c>
      <c r="AH322" s="15" t="s">
        <v>14910</v>
      </c>
      <c r="AI322" s="15" t="s">
        <v>14911</v>
      </c>
      <c r="AJ322" s="15" t="s">
        <v>14912</v>
      </c>
      <c r="AK322" s="15" t="s">
        <v>14897</v>
      </c>
      <c r="AL322" s="15" t="s">
        <v>14913</v>
      </c>
      <c r="AM322" s="15" t="s">
        <v>14914</v>
      </c>
      <c r="AN322" s="15" t="s">
        <v>14915</v>
      </c>
      <c r="AO322" s="15" t="s">
        <v>14916</v>
      </c>
      <c r="AP322" s="15" t="s">
        <v>14917</v>
      </c>
      <c r="AQ322" s="15" t="s">
        <v>14918</v>
      </c>
      <c r="BH322" s="15" t="s">
        <v>4270</v>
      </c>
      <c r="BI322" s="15" t="str">
        <f>"2299"</f>
        <v>2299</v>
      </c>
      <c r="BJ322" s="15" t="str">
        <f>"970"</f>
        <v>970</v>
      </c>
      <c r="BK322" s="15" t="s">
        <v>415</v>
      </c>
      <c r="BL322" s="15" t="str">
        <f t="shared" si="978"/>
        <v>1</v>
      </c>
      <c r="BM322" s="15" t="s">
        <v>416</v>
      </c>
      <c r="BN322" s="15" t="str">
        <f>"63.78"</f>
        <v>63.78</v>
      </c>
      <c r="BO322" s="15" t="str">
        <f>"44.09"</f>
        <v>44.09</v>
      </c>
      <c r="BP322" s="15" t="str">
        <f>"22.83"</f>
        <v>22.83</v>
      </c>
      <c r="BQ322" s="15" t="str">
        <f>"130.84"</f>
        <v>130.84</v>
      </c>
      <c r="CG322" s="15" t="str">
        <f>"37.15"</f>
        <v>37.15</v>
      </c>
      <c r="CH322" s="15" t="str">
        <f>"1.052"</f>
        <v>1.052</v>
      </c>
      <c r="CI322" s="15" t="s">
        <v>465</v>
      </c>
      <c r="CZ322" s="15" t="s">
        <v>419</v>
      </c>
      <c r="DA322" s="15">
        <v>0.0</v>
      </c>
      <c r="DB322" s="15" t="s">
        <v>419</v>
      </c>
      <c r="DD322" s="15">
        <v>0.0</v>
      </c>
      <c r="DF322" s="15" t="s">
        <v>420</v>
      </c>
      <c r="DG322" s="15" t="s">
        <v>419</v>
      </c>
      <c r="DK322" s="15">
        <v>0.0</v>
      </c>
      <c r="DR322" s="15" t="s">
        <v>498</v>
      </c>
      <c r="DS322" s="15" t="s">
        <v>4267</v>
      </c>
      <c r="DU322" s="15" t="s">
        <v>500</v>
      </c>
      <c r="EF322" s="15" t="s">
        <v>4276</v>
      </c>
      <c r="EG322" s="15" t="s">
        <v>4268</v>
      </c>
      <c r="EH322" s="15" t="s">
        <v>609</v>
      </c>
      <c r="EQ322" s="15" t="s">
        <v>4277</v>
      </c>
      <c r="ER322" s="15" t="s">
        <v>1213</v>
      </c>
      <c r="ES322" s="15" t="s">
        <v>2291</v>
      </c>
      <c r="ET322" s="15" t="s">
        <v>1188</v>
      </c>
      <c r="EU322" s="15" t="s">
        <v>426</v>
      </c>
      <c r="EV322" s="15">
        <v>0.0</v>
      </c>
      <c r="EW322" s="15">
        <v>0.0</v>
      </c>
      <c r="FF322" s="15" t="s">
        <v>4278</v>
      </c>
    </row>
    <row r="323" ht="17.25" customHeight="1">
      <c r="A323" s="15" t="s">
        <v>4281</v>
      </c>
      <c r="B323" s="15" t="str">
        <f>"801542202729"</f>
        <v>801542202729</v>
      </c>
      <c r="C323" s="15" t="s">
        <v>14919</v>
      </c>
      <c r="D323" s="15" t="str">
        <f t="shared" si="1"/>
        <v>Elio End TableBurnt Bleached Oak</v>
      </c>
      <c r="E323" s="15" t="s">
        <v>4279</v>
      </c>
      <c r="F323" s="15" t="s">
        <v>397</v>
      </c>
      <c r="G323" s="15" t="s">
        <v>4261</v>
      </c>
      <c r="J323" s="15" t="s">
        <v>4261</v>
      </c>
      <c r="M323" s="15" t="s">
        <v>411</v>
      </c>
      <c r="N323" s="15" t="s">
        <v>1154</v>
      </c>
      <c r="P323" s="15" t="str">
        <f>"25"</f>
        <v>25</v>
      </c>
      <c r="Q323" s="15" t="str">
        <f>"20"</f>
        <v>20</v>
      </c>
      <c r="R323" s="15" t="str">
        <f>"23"</f>
        <v>23</v>
      </c>
      <c r="S323" s="15" t="str">
        <f>"26.46"</f>
        <v>26.46</v>
      </c>
      <c r="T323" s="15" t="s">
        <v>2872</v>
      </c>
      <c r="U323" s="15" t="s">
        <v>11338</v>
      </c>
      <c r="AA323" s="15" t="s">
        <v>413</v>
      </c>
      <c r="AB323" s="15" t="s">
        <v>413</v>
      </c>
      <c r="AC323" s="15" t="s">
        <v>4285</v>
      </c>
      <c r="AD323" s="15" t="s">
        <v>14920</v>
      </c>
      <c r="AE323" s="15" t="s">
        <v>4282</v>
      </c>
      <c r="AF323" s="15" t="s">
        <v>14921</v>
      </c>
      <c r="AG323" s="15" t="s">
        <v>14922</v>
      </c>
      <c r="AH323" s="15" t="s">
        <v>14923</v>
      </c>
      <c r="AI323" s="15" t="s">
        <v>14924</v>
      </c>
      <c r="AJ323" s="15" t="s">
        <v>14925</v>
      </c>
      <c r="AK323" s="15" t="s">
        <v>14897</v>
      </c>
      <c r="AL323" s="15" t="s">
        <v>14926</v>
      </c>
      <c r="AM323" s="15" t="s">
        <v>14927</v>
      </c>
      <c r="AN323" s="15" t="s">
        <v>14928</v>
      </c>
      <c r="AO323" s="15" t="s">
        <v>14929</v>
      </c>
      <c r="AP323" s="15" t="s">
        <v>14930</v>
      </c>
      <c r="AQ323" s="15" t="s">
        <v>14931</v>
      </c>
      <c r="AR323" s="15" t="s">
        <v>14932</v>
      </c>
      <c r="AS323" s="15" t="s">
        <v>14933</v>
      </c>
      <c r="BH323" s="15" t="s">
        <v>4280</v>
      </c>
      <c r="BI323" s="15" t="str">
        <f>"1199"</f>
        <v>1199</v>
      </c>
      <c r="BJ323" s="15" t="str">
        <f>"505"</f>
        <v>505</v>
      </c>
      <c r="BK323" s="15" t="s">
        <v>415</v>
      </c>
      <c r="BL323" s="15" t="str">
        <f t="shared" si="978"/>
        <v>1</v>
      </c>
      <c r="BM323" s="15" t="s">
        <v>416</v>
      </c>
      <c r="BN323" s="15" t="str">
        <f>"30.71"</f>
        <v>30.71</v>
      </c>
      <c r="BO323" s="15" t="str">
        <f>"25.2"</f>
        <v>25.2</v>
      </c>
      <c r="BP323" s="15" t="str">
        <f>"29.13"</f>
        <v>29.13</v>
      </c>
      <c r="BQ323" s="15" t="str">
        <f>"47.62"</f>
        <v>47.62</v>
      </c>
      <c r="CG323" s="15" t="str">
        <f>"13.03"</f>
        <v>13.03</v>
      </c>
      <c r="CH323" s="15" t="str">
        <f>"0.369"</f>
        <v>0.369</v>
      </c>
      <c r="CI323" s="15" t="s">
        <v>465</v>
      </c>
      <c r="CZ323" s="15" t="s">
        <v>419</v>
      </c>
      <c r="DA323" s="15">
        <v>0.0</v>
      </c>
      <c r="DB323" s="15" t="s">
        <v>419</v>
      </c>
      <c r="DD323" s="15">
        <v>0.0</v>
      </c>
      <c r="DF323" s="15" t="s">
        <v>420</v>
      </c>
      <c r="DG323" s="15" t="s">
        <v>419</v>
      </c>
      <c r="DK323" s="15">
        <v>0.0</v>
      </c>
      <c r="DR323" s="15" t="s">
        <v>498</v>
      </c>
      <c r="DS323" s="15" t="s">
        <v>4267</v>
      </c>
      <c r="DU323" s="15" t="s">
        <v>500</v>
      </c>
      <c r="EF323" s="15" t="s">
        <v>4276</v>
      </c>
      <c r="EG323" s="15" t="s">
        <v>4286</v>
      </c>
      <c r="EH323" s="15" t="s">
        <v>824</v>
      </c>
      <c r="EQ323" s="15" t="s">
        <v>3535</v>
      </c>
      <c r="ER323" s="15" t="s">
        <v>1072</v>
      </c>
      <c r="ES323" s="15" t="s">
        <v>1331</v>
      </c>
      <c r="ET323" s="15" t="s">
        <v>1188</v>
      </c>
      <c r="EU323" s="15" t="s">
        <v>426</v>
      </c>
      <c r="EV323" s="15">
        <v>0.0</v>
      </c>
      <c r="EW323" s="15">
        <v>0.0</v>
      </c>
      <c r="FF323" s="15" t="s">
        <v>2293</v>
      </c>
    </row>
    <row r="324" ht="17.25" customHeight="1">
      <c r="A324" s="15" t="s">
        <v>4290</v>
      </c>
      <c r="B324" s="15" t="str">
        <f>"801542350741"</f>
        <v>801542350741</v>
      </c>
      <c r="C324" s="15" t="s">
        <v>14934</v>
      </c>
      <c r="D324" s="15" t="str">
        <f t="shared" si="1"/>
        <v>Elle Media ConsoleTawny Oak</v>
      </c>
      <c r="E324" s="15" t="s">
        <v>4287</v>
      </c>
      <c r="F324" s="15" t="s">
        <v>397</v>
      </c>
      <c r="G324" s="15" t="s">
        <v>4289</v>
      </c>
      <c r="J324" s="15" t="s">
        <v>4289</v>
      </c>
      <c r="K324" s="15" t="s">
        <v>4295</v>
      </c>
      <c r="M324" s="15" t="s">
        <v>2875</v>
      </c>
      <c r="N324" s="15" t="s">
        <v>602</v>
      </c>
      <c r="P324" s="15" t="str">
        <f>"92"</f>
        <v>92</v>
      </c>
      <c r="Q324" s="15" t="str">
        <f>"19"</f>
        <v>19</v>
      </c>
      <c r="R324" s="15" t="str">
        <f>"27"</f>
        <v>27</v>
      </c>
      <c r="S324" s="15" t="str">
        <f>"212.52"</f>
        <v>212.52</v>
      </c>
      <c r="T324" s="15" t="s">
        <v>1532</v>
      </c>
      <c r="U324" s="15" t="s">
        <v>11338</v>
      </c>
      <c r="V324" s="15" t="s">
        <v>11553</v>
      </c>
      <c r="AA324" s="15" t="s">
        <v>413</v>
      </c>
      <c r="AB324" s="15" t="s">
        <v>413</v>
      </c>
      <c r="AC324" s="15" t="s">
        <v>4296</v>
      </c>
      <c r="AD324" s="15" t="s">
        <v>14935</v>
      </c>
      <c r="AE324" s="15" t="s">
        <v>4292</v>
      </c>
      <c r="AF324" s="15" t="s">
        <v>14936</v>
      </c>
      <c r="AG324" s="15" t="s">
        <v>14937</v>
      </c>
      <c r="AH324" s="15" t="s">
        <v>14938</v>
      </c>
      <c r="AI324" s="15" t="s">
        <v>14939</v>
      </c>
      <c r="AJ324" s="15" t="s">
        <v>14940</v>
      </c>
      <c r="AK324" s="15" t="s">
        <v>14941</v>
      </c>
      <c r="AL324" s="15" t="s">
        <v>14942</v>
      </c>
      <c r="AM324" s="15" t="s">
        <v>14943</v>
      </c>
      <c r="AN324" s="15" t="s">
        <v>14944</v>
      </c>
      <c r="AO324" s="15" t="s">
        <v>14945</v>
      </c>
      <c r="AP324" s="15" t="s">
        <v>14946</v>
      </c>
      <c r="AQ324" s="15" t="s">
        <v>14947</v>
      </c>
      <c r="AR324" s="15" t="s">
        <v>14948</v>
      </c>
      <c r="AS324" s="15" t="s">
        <v>14949</v>
      </c>
      <c r="AT324" s="15" t="s">
        <v>14950</v>
      </c>
      <c r="AU324" s="15" t="s">
        <v>14951</v>
      </c>
      <c r="BH324" s="15" t="s">
        <v>4288</v>
      </c>
      <c r="BI324" s="15" t="str">
        <f>"2499"</f>
        <v>2499</v>
      </c>
      <c r="BJ324" s="15" t="str">
        <f>"1050"</f>
        <v>1050</v>
      </c>
      <c r="BK324" s="15" t="s">
        <v>1303</v>
      </c>
      <c r="BL324" s="15" t="str">
        <f t="shared" si="978"/>
        <v>1</v>
      </c>
      <c r="BM324" s="15" t="s">
        <v>416</v>
      </c>
      <c r="BN324" s="15" t="str">
        <f>"95.25"</f>
        <v>95.25</v>
      </c>
      <c r="BO324" s="15" t="str">
        <f>"23"</f>
        <v>23</v>
      </c>
      <c r="BP324" s="15" t="str">
        <f>"30.5"</f>
        <v>30.5</v>
      </c>
      <c r="BQ324" s="15" t="str">
        <f>"258.38"</f>
        <v>258.38</v>
      </c>
      <c r="CG324" s="15" t="str">
        <f>"38.67"</f>
        <v>38.67</v>
      </c>
      <c r="CH324" s="15" t="str">
        <f>"1.095"</f>
        <v>1.095</v>
      </c>
      <c r="CI324" s="15" t="s">
        <v>497</v>
      </c>
      <c r="CM324" s="15" t="s">
        <v>1160</v>
      </c>
      <c r="CN324" s="15" t="s">
        <v>3238</v>
      </c>
      <c r="CO324" s="15" t="s">
        <v>1238</v>
      </c>
      <c r="CZ324" s="15" t="s">
        <v>419</v>
      </c>
      <c r="DA324" s="15">
        <v>0.0</v>
      </c>
      <c r="DB324" s="15" t="s">
        <v>419</v>
      </c>
      <c r="DD324" s="15">
        <v>0.0</v>
      </c>
      <c r="DF324" s="15" t="s">
        <v>420</v>
      </c>
      <c r="DG324" s="15" t="s">
        <v>610</v>
      </c>
      <c r="DI324" s="15">
        <v>18.14</v>
      </c>
      <c r="DJ324" s="15">
        <v>40.0</v>
      </c>
      <c r="DK324" s="15">
        <v>4.0</v>
      </c>
      <c r="DS324" s="15" t="s">
        <v>4299</v>
      </c>
      <c r="EF324" s="15" t="s">
        <v>4300</v>
      </c>
      <c r="EU324" s="15" t="s">
        <v>426</v>
      </c>
      <c r="EV324" s="15">
        <v>4.0</v>
      </c>
      <c r="FH324" s="15" t="s">
        <v>1065</v>
      </c>
      <c r="FI324" s="15" t="s">
        <v>612</v>
      </c>
      <c r="FJ324" s="15" t="s">
        <v>1287</v>
      </c>
      <c r="FK324" s="15" t="s">
        <v>504</v>
      </c>
      <c r="FL324" s="15" t="s">
        <v>612</v>
      </c>
      <c r="FM324" s="15" t="s">
        <v>2637</v>
      </c>
      <c r="FO324" s="15" t="s">
        <v>426</v>
      </c>
      <c r="FQ324" s="15">
        <v>6.0</v>
      </c>
      <c r="FR324" s="15" t="s">
        <v>614</v>
      </c>
      <c r="FS324" s="15" t="s">
        <v>615</v>
      </c>
      <c r="FU324" s="15" t="s">
        <v>426</v>
      </c>
      <c r="FW324" s="15" t="s">
        <v>616</v>
      </c>
      <c r="GJ324" s="15" t="s">
        <v>504</v>
      </c>
      <c r="GK324" s="15" t="s">
        <v>3238</v>
      </c>
      <c r="GL324" s="15" t="s">
        <v>2637</v>
      </c>
      <c r="GM324" s="15">
        <v>0.0</v>
      </c>
      <c r="GZ324" s="15" t="s">
        <v>504</v>
      </c>
      <c r="HA324" s="15" t="s">
        <v>1160</v>
      </c>
      <c r="HB324" s="15" t="s">
        <v>3238</v>
      </c>
      <c r="HC324" s="15" t="s">
        <v>3238</v>
      </c>
      <c r="HD324" s="15" t="s">
        <v>2637</v>
      </c>
      <c r="HE324" s="15" t="s">
        <v>1238</v>
      </c>
      <c r="HF324" s="15" t="s">
        <v>672</v>
      </c>
      <c r="HM324" s="15" t="s">
        <v>1160</v>
      </c>
      <c r="HN324" s="15" t="s">
        <v>612</v>
      </c>
      <c r="HO324" s="15" t="s">
        <v>1238</v>
      </c>
      <c r="HQ324" s="15" t="s">
        <v>426</v>
      </c>
    </row>
    <row r="325" ht="17.25" customHeight="1">
      <c r="A325" s="15" t="s">
        <v>4304</v>
      </c>
      <c r="B325" s="15" t="str">
        <f>"801542995782"</f>
        <v>801542995782</v>
      </c>
      <c r="C325" s="15" t="s">
        <v>14952</v>
      </c>
      <c r="D325" s="15" t="str">
        <f t="shared" si="1"/>
        <v>Elliana Swivel ChairBlamont Cream</v>
      </c>
      <c r="E325" s="15" t="s">
        <v>4301</v>
      </c>
      <c r="F325" s="15" t="s">
        <v>397</v>
      </c>
      <c r="G325" s="15" t="s">
        <v>4303</v>
      </c>
      <c r="J325" s="15" t="s">
        <v>4303</v>
      </c>
      <c r="M325" s="15" t="s">
        <v>1628</v>
      </c>
      <c r="N325" s="15" t="s">
        <v>706</v>
      </c>
      <c r="O325" s="15" t="s">
        <v>707</v>
      </c>
      <c r="P325" s="15" t="str">
        <f t="shared" ref="P325:P328" si="979">"39"</f>
        <v>39</v>
      </c>
      <c r="Q325" s="15" t="str">
        <f t="shared" ref="Q325:Q328" si="980">"36.5"</f>
        <v>36.5</v>
      </c>
      <c r="R325" s="15" t="str">
        <f t="shared" ref="R325:R328" si="981">"29"</f>
        <v>29</v>
      </c>
      <c r="S325" s="15" t="str">
        <f t="shared" ref="S325:S328" si="982">"72.75"</f>
        <v>72.75</v>
      </c>
      <c r="T325" s="15" t="s">
        <v>1655</v>
      </c>
      <c r="U325" s="15" t="s">
        <v>11209</v>
      </c>
      <c r="AA325" s="15" t="s">
        <v>413</v>
      </c>
      <c r="AB325" s="15" t="s">
        <v>413</v>
      </c>
      <c r="AC325" s="15" t="s">
        <v>4306</v>
      </c>
      <c r="AD325" s="15" t="s">
        <v>14953</v>
      </c>
      <c r="AE325" s="15" t="s">
        <v>4305</v>
      </c>
      <c r="AF325" s="15" t="s">
        <v>14954</v>
      </c>
      <c r="AG325" s="15" t="s">
        <v>14955</v>
      </c>
      <c r="AH325" s="15" t="s">
        <v>14956</v>
      </c>
      <c r="AI325" s="15" t="s">
        <v>14957</v>
      </c>
      <c r="AJ325" s="15" t="s">
        <v>14958</v>
      </c>
      <c r="AK325" s="15" t="s">
        <v>14959</v>
      </c>
      <c r="AL325" s="15" t="s">
        <v>14960</v>
      </c>
      <c r="AM325" s="15" t="s">
        <v>14961</v>
      </c>
      <c r="AN325" s="15" t="s">
        <v>14962</v>
      </c>
      <c r="AO325" s="15" t="s">
        <v>14963</v>
      </c>
      <c r="BH325" s="15" t="s">
        <v>4302</v>
      </c>
      <c r="BI325" s="15" t="str">
        <f>"1299"</f>
        <v>1299</v>
      </c>
      <c r="BJ325" s="15" t="str">
        <f>"550"</f>
        <v>550</v>
      </c>
      <c r="BK325" s="15" t="s">
        <v>709</v>
      </c>
      <c r="BL325" s="15" t="str">
        <f t="shared" si="978"/>
        <v>1</v>
      </c>
      <c r="BM325" s="15" t="s">
        <v>4307</v>
      </c>
      <c r="BN325" s="15" t="str">
        <f t="shared" ref="BN325:BN328" si="983">"39.37"</f>
        <v>39.37</v>
      </c>
      <c r="BO325" s="15" t="str">
        <f t="shared" ref="BO325:BO328" si="984">"37.01"</f>
        <v>37.01</v>
      </c>
      <c r="BP325" s="15" t="str">
        <f t="shared" ref="BP325:BP328" si="985">"31.1"</f>
        <v>31.1</v>
      </c>
      <c r="BQ325" s="15" t="str">
        <f t="shared" ref="BQ325:BQ328" si="986">"90.39"</f>
        <v>90.39</v>
      </c>
      <c r="CG325" s="15" t="str">
        <f t="shared" ref="CG325:CG328" si="987">"23.24"</f>
        <v>23.24</v>
      </c>
      <c r="CH325" s="15" t="str">
        <f t="shared" ref="CH325:CH328" si="988">"0.658"</f>
        <v>0.658</v>
      </c>
      <c r="CI325" s="15" t="s">
        <v>465</v>
      </c>
      <c r="CS325" s="15" t="s">
        <v>1211</v>
      </c>
      <c r="CT325" s="15" t="s">
        <v>1804</v>
      </c>
      <c r="CV325" s="15">
        <v>0.0</v>
      </c>
      <c r="CW325" s="15">
        <v>0.0</v>
      </c>
      <c r="CX325" s="15" t="s">
        <v>717</v>
      </c>
      <c r="CY325" s="15" t="s">
        <v>855</v>
      </c>
      <c r="DF325" s="15" t="s">
        <v>721</v>
      </c>
      <c r="DG325" s="15" t="s">
        <v>1605</v>
      </c>
      <c r="DH325" s="15">
        <v>0.0</v>
      </c>
      <c r="DL325" s="15">
        <v>50000.0</v>
      </c>
      <c r="DM325" s="15" t="s">
        <v>990</v>
      </c>
      <c r="DP325" s="15">
        <v>0.0</v>
      </c>
      <c r="DQ325" s="15">
        <v>1.0</v>
      </c>
      <c r="DS325" s="15" t="s">
        <v>4308</v>
      </c>
      <c r="DT325" s="15">
        <v>0.0</v>
      </c>
      <c r="DU325" s="15" t="s">
        <v>726</v>
      </c>
      <c r="DV325" s="15" t="s">
        <v>555</v>
      </c>
      <c r="DW325" s="15" t="s">
        <v>2547</v>
      </c>
      <c r="DX325" s="15" t="s">
        <v>824</v>
      </c>
      <c r="EB325" s="15" t="s">
        <v>652</v>
      </c>
      <c r="EF325" s="15" t="s">
        <v>425</v>
      </c>
      <c r="EI325" s="15" t="s">
        <v>1593</v>
      </c>
      <c r="EO325" s="15" t="s">
        <v>997</v>
      </c>
      <c r="EX325" s="15" t="s">
        <v>467</v>
      </c>
      <c r="EY325" s="15" t="s">
        <v>2384</v>
      </c>
      <c r="EZ325" s="15">
        <v>0.0</v>
      </c>
      <c r="FA325" s="15">
        <v>0.0</v>
      </c>
      <c r="FB325" s="15" t="s">
        <v>1609</v>
      </c>
      <c r="FC325" s="15">
        <v>0.0</v>
      </c>
      <c r="HU325" s="15" t="s">
        <v>1610</v>
      </c>
    </row>
    <row r="326" ht="17.25" customHeight="1">
      <c r="A326" s="15" t="s">
        <v>4311</v>
      </c>
      <c r="B326" s="15" t="str">
        <f>"801542117337"</f>
        <v>801542117337</v>
      </c>
      <c r="C326" s="15" t="s">
        <v>14964</v>
      </c>
      <c r="D326" s="15" t="str">
        <f t="shared" si="1"/>
        <v>Elliana Swivel ChairFIQA Boucle Natural</v>
      </c>
      <c r="E326" s="15" t="s">
        <v>4301</v>
      </c>
      <c r="F326" s="15" t="s">
        <v>397</v>
      </c>
      <c r="G326" s="15" t="s">
        <v>4310</v>
      </c>
      <c r="J326" s="15" t="s">
        <v>4310</v>
      </c>
      <c r="M326" s="15" t="s">
        <v>1628</v>
      </c>
      <c r="N326" s="15" t="s">
        <v>706</v>
      </c>
      <c r="O326" s="15" t="s">
        <v>707</v>
      </c>
      <c r="P326" s="15" t="str">
        <f t="shared" si="979"/>
        <v>39</v>
      </c>
      <c r="Q326" s="15" t="str">
        <f t="shared" si="980"/>
        <v>36.5</v>
      </c>
      <c r="R326" s="15" t="str">
        <f t="shared" si="981"/>
        <v>29</v>
      </c>
      <c r="S326" s="15" t="str">
        <f t="shared" si="982"/>
        <v>72.75</v>
      </c>
      <c r="T326" s="15" t="s">
        <v>1655</v>
      </c>
      <c r="U326" s="15" t="s">
        <v>11209</v>
      </c>
      <c r="AA326" s="15" t="s">
        <v>413</v>
      </c>
      <c r="AB326" s="15" t="s">
        <v>426</v>
      </c>
      <c r="AC326" s="15" t="s">
        <v>4313</v>
      </c>
      <c r="AD326" s="15" t="s">
        <v>14965</v>
      </c>
      <c r="AE326" s="15" t="s">
        <v>4312</v>
      </c>
      <c r="AF326" s="15" t="s">
        <v>14966</v>
      </c>
      <c r="AG326" s="15" t="s">
        <v>14967</v>
      </c>
      <c r="AH326" s="15" t="s">
        <v>14968</v>
      </c>
      <c r="AI326" s="15" t="s">
        <v>14969</v>
      </c>
      <c r="AJ326" s="15" t="s">
        <v>14970</v>
      </c>
      <c r="AK326" s="15" t="s">
        <v>14971</v>
      </c>
      <c r="AL326" s="15" t="s">
        <v>14972</v>
      </c>
      <c r="AM326" s="15" t="s">
        <v>14973</v>
      </c>
      <c r="BH326" s="15" t="s">
        <v>4309</v>
      </c>
      <c r="BI326" s="15" t="str">
        <f t="shared" ref="BI326:BI327" si="989">"1599"</f>
        <v>1599</v>
      </c>
      <c r="BJ326" s="15" t="str">
        <f t="shared" ref="BJ326:BJ327" si="990">"675"</f>
        <v>675</v>
      </c>
      <c r="BK326" s="15" t="s">
        <v>709</v>
      </c>
      <c r="BL326" s="15" t="str">
        <f t="shared" si="978"/>
        <v>1</v>
      </c>
      <c r="BM326" s="15" t="s">
        <v>4307</v>
      </c>
      <c r="BN326" s="15" t="str">
        <f t="shared" si="983"/>
        <v>39.37</v>
      </c>
      <c r="BO326" s="15" t="str">
        <f t="shared" si="984"/>
        <v>37.01</v>
      </c>
      <c r="BP326" s="15" t="str">
        <f t="shared" si="985"/>
        <v>31.1</v>
      </c>
      <c r="BQ326" s="15" t="str">
        <f t="shared" si="986"/>
        <v>90.39</v>
      </c>
      <c r="CG326" s="15" t="str">
        <f t="shared" si="987"/>
        <v>23.24</v>
      </c>
      <c r="CH326" s="15" t="str">
        <f t="shared" si="988"/>
        <v>0.658</v>
      </c>
      <c r="CI326" s="15" t="s">
        <v>417</v>
      </c>
      <c r="CS326" s="15" t="s">
        <v>1211</v>
      </c>
      <c r="CT326" s="15" t="s">
        <v>1804</v>
      </c>
      <c r="CV326" s="15">
        <v>0.0</v>
      </c>
      <c r="CW326" s="15">
        <v>0.0</v>
      </c>
      <c r="CX326" s="15" t="s">
        <v>717</v>
      </c>
      <c r="CY326" s="15" t="s">
        <v>897</v>
      </c>
      <c r="DF326" s="15" t="s">
        <v>721</v>
      </c>
      <c r="DG326" s="15" t="s">
        <v>1605</v>
      </c>
      <c r="DH326" s="15">
        <v>0.0</v>
      </c>
      <c r="DL326" s="15">
        <v>100000.0</v>
      </c>
      <c r="DM326" s="15" t="s">
        <v>990</v>
      </c>
      <c r="DP326" s="15">
        <v>0.0</v>
      </c>
      <c r="DQ326" s="15">
        <v>1.0</v>
      </c>
      <c r="DS326" s="15" t="s">
        <v>4308</v>
      </c>
      <c r="DT326" s="15">
        <v>0.0</v>
      </c>
      <c r="DU326" s="15" t="s">
        <v>726</v>
      </c>
      <c r="DV326" s="15" t="s">
        <v>555</v>
      </c>
      <c r="DW326" s="15" t="s">
        <v>2547</v>
      </c>
      <c r="DX326" s="15" t="s">
        <v>824</v>
      </c>
      <c r="EB326" s="15" t="s">
        <v>652</v>
      </c>
      <c r="EF326" s="15" t="s">
        <v>425</v>
      </c>
      <c r="EI326" s="15" t="s">
        <v>1593</v>
      </c>
      <c r="EO326" s="15" t="s">
        <v>997</v>
      </c>
      <c r="EX326" s="15" t="s">
        <v>467</v>
      </c>
      <c r="EY326" s="15" t="s">
        <v>2384</v>
      </c>
      <c r="EZ326" s="15">
        <v>0.0</v>
      </c>
      <c r="FA326" s="15">
        <v>0.0</v>
      </c>
      <c r="FB326" s="15" t="s">
        <v>1609</v>
      </c>
      <c r="FC326" s="15">
        <v>0.0</v>
      </c>
      <c r="HU326" s="15" t="s">
        <v>1610</v>
      </c>
    </row>
    <row r="327" ht="17.25" customHeight="1">
      <c r="A327" s="15" t="s">
        <v>4315</v>
      </c>
      <c r="B327" s="15" t="str">
        <f>"801542117344"</f>
        <v>801542117344</v>
      </c>
      <c r="C327" s="15" t="s">
        <v>14974</v>
      </c>
      <c r="D327" s="15" t="str">
        <f t="shared" si="1"/>
        <v>Elliana Swivel ChairFIQA Boucle Olive</v>
      </c>
      <c r="E327" s="15" t="s">
        <v>4301</v>
      </c>
      <c r="F327" s="15" t="s">
        <v>397</v>
      </c>
      <c r="G327" s="15" t="s">
        <v>1816</v>
      </c>
      <c r="J327" s="15" t="s">
        <v>1816</v>
      </c>
      <c r="M327" s="15" t="s">
        <v>1628</v>
      </c>
      <c r="N327" s="15" t="s">
        <v>706</v>
      </c>
      <c r="O327" s="15" t="s">
        <v>707</v>
      </c>
      <c r="P327" s="15" t="str">
        <f t="shared" si="979"/>
        <v>39</v>
      </c>
      <c r="Q327" s="15" t="str">
        <f t="shared" si="980"/>
        <v>36.5</v>
      </c>
      <c r="R327" s="15" t="str">
        <f t="shared" si="981"/>
        <v>29</v>
      </c>
      <c r="S327" s="15" t="str">
        <f t="shared" si="982"/>
        <v>72.75</v>
      </c>
      <c r="T327" s="15" t="s">
        <v>1655</v>
      </c>
      <c r="U327" s="15" t="s">
        <v>11209</v>
      </c>
      <c r="AA327" s="15" t="s">
        <v>413</v>
      </c>
      <c r="AB327" s="15" t="s">
        <v>426</v>
      </c>
      <c r="AC327" s="15" t="s">
        <v>4306</v>
      </c>
      <c r="AD327" s="15" t="s">
        <v>14975</v>
      </c>
      <c r="AE327" s="15" t="s">
        <v>4316</v>
      </c>
      <c r="AF327" s="15" t="s">
        <v>14976</v>
      </c>
      <c r="AG327" s="15" t="s">
        <v>14977</v>
      </c>
      <c r="AH327" s="15" t="s">
        <v>14978</v>
      </c>
      <c r="AI327" s="15" t="s">
        <v>14979</v>
      </c>
      <c r="AJ327" s="15" t="s">
        <v>14980</v>
      </c>
      <c r="AK327" s="15" t="s">
        <v>14981</v>
      </c>
      <c r="AL327" s="15" t="s">
        <v>14982</v>
      </c>
      <c r="AM327" s="15" t="s">
        <v>14983</v>
      </c>
      <c r="AN327" s="15" t="s">
        <v>14984</v>
      </c>
      <c r="AO327" s="15" t="s">
        <v>14985</v>
      </c>
      <c r="AP327" s="15" t="s">
        <v>14986</v>
      </c>
      <c r="BH327" s="15" t="s">
        <v>4314</v>
      </c>
      <c r="BI327" s="15" t="str">
        <f t="shared" si="989"/>
        <v>1599</v>
      </c>
      <c r="BJ327" s="15" t="str">
        <f t="shared" si="990"/>
        <v>675</v>
      </c>
      <c r="BK327" s="15" t="s">
        <v>709</v>
      </c>
      <c r="BL327" s="15" t="str">
        <f t="shared" si="978"/>
        <v>1</v>
      </c>
      <c r="BM327" s="15" t="s">
        <v>4307</v>
      </c>
      <c r="BN327" s="15" t="str">
        <f t="shared" si="983"/>
        <v>39.37</v>
      </c>
      <c r="BO327" s="15" t="str">
        <f t="shared" si="984"/>
        <v>37.01</v>
      </c>
      <c r="BP327" s="15" t="str">
        <f t="shared" si="985"/>
        <v>31.1</v>
      </c>
      <c r="BQ327" s="15" t="str">
        <f t="shared" si="986"/>
        <v>90.39</v>
      </c>
      <c r="CG327" s="15" t="str">
        <f t="shared" si="987"/>
        <v>23.24</v>
      </c>
      <c r="CH327" s="15" t="str">
        <f t="shared" si="988"/>
        <v>0.658</v>
      </c>
      <c r="CI327" s="15" t="s">
        <v>465</v>
      </c>
      <c r="CS327" s="15" t="s">
        <v>1211</v>
      </c>
      <c r="CT327" s="15" t="s">
        <v>1804</v>
      </c>
      <c r="CV327" s="15">
        <v>0.0</v>
      </c>
      <c r="CW327" s="15">
        <v>0.0</v>
      </c>
      <c r="CX327" s="15" t="s">
        <v>717</v>
      </c>
      <c r="CY327" s="15" t="s">
        <v>897</v>
      </c>
      <c r="DF327" s="15" t="s">
        <v>721</v>
      </c>
      <c r="DG327" s="15" t="s">
        <v>1605</v>
      </c>
      <c r="DH327" s="15">
        <v>0.0</v>
      </c>
      <c r="DL327" s="15">
        <v>100000.0</v>
      </c>
      <c r="DM327" s="15" t="s">
        <v>990</v>
      </c>
      <c r="DP327" s="15">
        <v>0.0</v>
      </c>
      <c r="DQ327" s="15">
        <v>1.0</v>
      </c>
      <c r="DS327" s="15" t="s">
        <v>4308</v>
      </c>
      <c r="DT327" s="15">
        <v>0.0</v>
      </c>
      <c r="DU327" s="15" t="s">
        <v>726</v>
      </c>
      <c r="DV327" s="15" t="s">
        <v>555</v>
      </c>
      <c r="DW327" s="15" t="s">
        <v>2547</v>
      </c>
      <c r="DX327" s="15" t="s">
        <v>824</v>
      </c>
      <c r="EB327" s="15" t="s">
        <v>652</v>
      </c>
      <c r="EF327" s="15" t="s">
        <v>425</v>
      </c>
      <c r="EI327" s="15" t="s">
        <v>1593</v>
      </c>
      <c r="EO327" s="15" t="s">
        <v>997</v>
      </c>
      <c r="EX327" s="15" t="s">
        <v>467</v>
      </c>
      <c r="EY327" s="15" t="s">
        <v>2384</v>
      </c>
      <c r="EZ327" s="15">
        <v>0.0</v>
      </c>
      <c r="FA327" s="15">
        <v>0.0</v>
      </c>
      <c r="FB327" s="15" t="s">
        <v>1609</v>
      </c>
      <c r="FC327" s="15">
        <v>0.0</v>
      </c>
      <c r="HU327" s="15" t="s">
        <v>1610</v>
      </c>
    </row>
    <row r="328" ht="17.25" customHeight="1">
      <c r="A328" s="15" t="s">
        <v>4318</v>
      </c>
      <c r="B328" s="15" t="str">
        <f>"801542377038"</f>
        <v>801542377038</v>
      </c>
      <c r="C328" s="15" t="s">
        <v>14987</v>
      </c>
      <c r="D328" s="15" t="str">
        <f t="shared" si="1"/>
        <v>Elliana Swivel ChairSurrey Olive</v>
      </c>
      <c r="E328" s="15" t="s">
        <v>4301</v>
      </c>
      <c r="F328" s="15" t="s">
        <v>397</v>
      </c>
      <c r="G328" s="15" t="s">
        <v>1612</v>
      </c>
      <c r="J328" s="15" t="s">
        <v>1612</v>
      </c>
      <c r="M328" s="15" t="s">
        <v>1628</v>
      </c>
      <c r="N328" s="15" t="s">
        <v>706</v>
      </c>
      <c r="O328" s="15" t="s">
        <v>707</v>
      </c>
      <c r="P328" s="15" t="str">
        <f t="shared" si="979"/>
        <v>39</v>
      </c>
      <c r="Q328" s="15" t="str">
        <f t="shared" si="980"/>
        <v>36.5</v>
      </c>
      <c r="R328" s="15" t="str">
        <f t="shared" si="981"/>
        <v>29</v>
      </c>
      <c r="S328" s="15" t="str">
        <f t="shared" si="982"/>
        <v>72.75</v>
      </c>
      <c r="T328" s="15" t="s">
        <v>1615</v>
      </c>
      <c r="U328" s="15" t="s">
        <v>11845</v>
      </c>
      <c r="V328" s="15" t="s">
        <v>11846</v>
      </c>
      <c r="AA328" s="15" t="s">
        <v>413</v>
      </c>
      <c r="AB328" s="15" t="s">
        <v>413</v>
      </c>
      <c r="AC328" s="15" t="s">
        <v>4306</v>
      </c>
      <c r="AD328" s="15" t="s">
        <v>14988</v>
      </c>
      <c r="AE328" s="15" t="s">
        <v>4319</v>
      </c>
      <c r="AF328" s="15" t="s">
        <v>14989</v>
      </c>
      <c r="AG328" s="15" t="s">
        <v>14990</v>
      </c>
      <c r="AH328" s="15" t="s">
        <v>14991</v>
      </c>
      <c r="AI328" s="15" t="s">
        <v>14992</v>
      </c>
      <c r="AJ328" s="15" t="s">
        <v>14993</v>
      </c>
      <c r="AK328" s="15" t="s">
        <v>14994</v>
      </c>
      <c r="AL328" s="15" t="s">
        <v>14995</v>
      </c>
      <c r="BH328" s="15" t="s">
        <v>4317</v>
      </c>
      <c r="BI328" s="15" t="str">
        <f>"1399"</f>
        <v>1399</v>
      </c>
      <c r="BJ328" s="15" t="str">
        <f>"590"</f>
        <v>590</v>
      </c>
      <c r="BK328" s="15" t="s">
        <v>709</v>
      </c>
      <c r="BL328" s="15" t="str">
        <f t="shared" si="978"/>
        <v>1</v>
      </c>
      <c r="BM328" s="15" t="s">
        <v>4307</v>
      </c>
      <c r="BN328" s="15" t="str">
        <f t="shared" si="983"/>
        <v>39.37</v>
      </c>
      <c r="BO328" s="15" t="str">
        <f t="shared" si="984"/>
        <v>37.01</v>
      </c>
      <c r="BP328" s="15" t="str">
        <f t="shared" si="985"/>
        <v>31.1</v>
      </c>
      <c r="BQ328" s="15" t="str">
        <f t="shared" si="986"/>
        <v>90.39</v>
      </c>
      <c r="CG328" s="15" t="str">
        <f t="shared" si="987"/>
        <v>23.24</v>
      </c>
      <c r="CH328" s="15" t="str">
        <f t="shared" si="988"/>
        <v>0.658</v>
      </c>
      <c r="CI328" s="15" t="s">
        <v>465</v>
      </c>
      <c r="CS328" s="15" t="s">
        <v>1211</v>
      </c>
      <c r="CT328" s="15" t="s">
        <v>1804</v>
      </c>
      <c r="CV328" s="15">
        <v>0.0</v>
      </c>
      <c r="CW328" s="15">
        <v>0.0</v>
      </c>
      <c r="CX328" s="15" t="s">
        <v>717</v>
      </c>
      <c r="CY328" s="15" t="s">
        <v>718</v>
      </c>
      <c r="DF328" s="15" t="s">
        <v>721</v>
      </c>
      <c r="DG328" s="15" t="s">
        <v>1605</v>
      </c>
      <c r="DH328" s="15">
        <v>0.0</v>
      </c>
      <c r="DL328" s="15">
        <v>30000.0</v>
      </c>
      <c r="DM328" s="15" t="s">
        <v>990</v>
      </c>
      <c r="DP328" s="15">
        <v>0.0</v>
      </c>
      <c r="DQ328" s="15">
        <v>1.0</v>
      </c>
      <c r="DS328" s="15" t="s">
        <v>4308</v>
      </c>
      <c r="DT328" s="15">
        <v>0.0</v>
      </c>
      <c r="DU328" s="15" t="s">
        <v>726</v>
      </c>
      <c r="DV328" s="15" t="s">
        <v>555</v>
      </c>
      <c r="DW328" s="15" t="s">
        <v>2547</v>
      </c>
      <c r="DX328" s="15" t="s">
        <v>824</v>
      </c>
      <c r="EB328" s="15" t="s">
        <v>652</v>
      </c>
      <c r="EF328" s="15" t="s">
        <v>425</v>
      </c>
      <c r="EI328" s="15" t="s">
        <v>1593</v>
      </c>
      <c r="EO328" s="15" t="s">
        <v>997</v>
      </c>
      <c r="EX328" s="15" t="s">
        <v>467</v>
      </c>
      <c r="EY328" s="15" t="s">
        <v>2384</v>
      </c>
      <c r="EZ328" s="15">
        <v>0.0</v>
      </c>
      <c r="FA328" s="15">
        <v>0.0</v>
      </c>
      <c r="FB328" s="15" t="s">
        <v>1609</v>
      </c>
      <c r="FC328" s="15">
        <v>0.0</v>
      </c>
      <c r="HU328" s="15" t="s">
        <v>1610</v>
      </c>
    </row>
    <row r="329" ht="17.25" customHeight="1">
      <c r="A329" s="15" t="s">
        <v>4323</v>
      </c>
      <c r="B329" s="15" t="str">
        <f>"801542047597"</f>
        <v>801542047597</v>
      </c>
      <c r="C329" s="15" t="s">
        <v>14996</v>
      </c>
      <c r="D329" s="15" t="str">
        <f t="shared" si="1"/>
        <v>Elora ChairSheepskin Camel</v>
      </c>
      <c r="E329" s="15" t="s">
        <v>4320</v>
      </c>
      <c r="F329" s="15" t="s">
        <v>397</v>
      </c>
      <c r="G329" s="15" t="s">
        <v>4322</v>
      </c>
      <c r="J329" s="15" t="s">
        <v>4322</v>
      </c>
      <c r="K329" s="15" t="s">
        <v>1087</v>
      </c>
      <c r="M329" s="15" t="s">
        <v>2343</v>
      </c>
      <c r="N329" s="15" t="s">
        <v>706</v>
      </c>
      <c r="O329" s="15" t="s">
        <v>707</v>
      </c>
      <c r="P329" s="15" t="str">
        <f>"33"</f>
        <v>33</v>
      </c>
      <c r="Q329" s="15" t="str">
        <f>"37"</f>
        <v>37</v>
      </c>
      <c r="R329" s="15" t="str">
        <f>"32"</f>
        <v>32</v>
      </c>
      <c r="S329" s="15" t="str">
        <f>"56"</f>
        <v>56</v>
      </c>
      <c r="T329" s="15" t="s">
        <v>832</v>
      </c>
      <c r="U329" s="15" t="s">
        <v>11209</v>
      </c>
      <c r="V329" s="15" t="s">
        <v>11210</v>
      </c>
      <c r="AA329" s="15" t="s">
        <v>413</v>
      </c>
      <c r="AB329" s="15" t="s">
        <v>413</v>
      </c>
      <c r="AC329" s="15" t="s">
        <v>4325</v>
      </c>
      <c r="AD329" s="15" t="s">
        <v>14997</v>
      </c>
      <c r="AE329" s="15" t="s">
        <v>4324</v>
      </c>
      <c r="AF329" s="15" t="s">
        <v>14998</v>
      </c>
      <c r="AG329" s="15" t="s">
        <v>14999</v>
      </c>
      <c r="AH329" s="15" t="s">
        <v>15000</v>
      </c>
      <c r="AI329" s="15" t="s">
        <v>15001</v>
      </c>
      <c r="AJ329" s="15" t="s">
        <v>15002</v>
      </c>
      <c r="AK329" s="15" t="s">
        <v>15003</v>
      </c>
      <c r="AL329" s="15" t="s">
        <v>15004</v>
      </c>
      <c r="AM329" s="15" t="s">
        <v>15005</v>
      </c>
      <c r="AN329" s="15" t="s">
        <v>15006</v>
      </c>
      <c r="BH329" s="15" t="s">
        <v>4321</v>
      </c>
      <c r="BI329" s="15" t="str">
        <f>"999"</f>
        <v>999</v>
      </c>
      <c r="BJ329" s="15" t="str">
        <f>"420"</f>
        <v>420</v>
      </c>
      <c r="BK329" s="15" t="s">
        <v>709</v>
      </c>
      <c r="BL329" s="15" t="str">
        <f t="shared" si="978"/>
        <v>1</v>
      </c>
      <c r="BM329" s="15" t="s">
        <v>4326</v>
      </c>
      <c r="BN329" s="15" t="str">
        <f>"33.07"</f>
        <v>33.07</v>
      </c>
      <c r="BO329" s="15" t="str">
        <f>"37.8"</f>
        <v>37.8</v>
      </c>
      <c r="BP329" s="15" t="str">
        <f>"29.92"</f>
        <v>29.92</v>
      </c>
      <c r="BQ329" s="15" t="str">
        <f>"65.04"</f>
        <v>65.04</v>
      </c>
      <c r="CG329" s="15" t="str">
        <f>"18.93"</f>
        <v>18.93</v>
      </c>
      <c r="CH329" s="15" t="str">
        <f>"0.536"</f>
        <v>0.536</v>
      </c>
      <c r="CI329" s="15" t="s">
        <v>465</v>
      </c>
      <c r="CS329" s="15" t="s">
        <v>555</v>
      </c>
      <c r="CT329" s="15" t="s">
        <v>1065</v>
      </c>
      <c r="CU329" s="15" t="s">
        <v>1072</v>
      </c>
      <c r="CV329" s="15">
        <v>0.0</v>
      </c>
      <c r="CW329" s="15">
        <v>0.0</v>
      </c>
      <c r="CX329" s="15" t="s">
        <v>717</v>
      </c>
      <c r="CY329" s="15" t="s">
        <v>897</v>
      </c>
      <c r="DF329" s="15" t="s">
        <v>721</v>
      </c>
      <c r="DG329" s="15" t="s">
        <v>419</v>
      </c>
      <c r="DH329" s="15">
        <v>0.0</v>
      </c>
      <c r="DL329" s="15">
        <v>100000.0</v>
      </c>
      <c r="DM329" s="15" t="s">
        <v>990</v>
      </c>
      <c r="DP329" s="15">
        <v>0.0</v>
      </c>
      <c r="DQ329" s="15">
        <v>1.0</v>
      </c>
      <c r="DS329" s="15" t="s">
        <v>4328</v>
      </c>
      <c r="DT329" s="15">
        <v>0.0</v>
      </c>
      <c r="DU329" s="15" t="s">
        <v>726</v>
      </c>
      <c r="DV329" s="15" t="s">
        <v>1211</v>
      </c>
      <c r="DW329" s="15" t="s">
        <v>505</v>
      </c>
      <c r="DX329" s="15" t="s">
        <v>1253</v>
      </c>
      <c r="EB329" s="15" t="s">
        <v>505</v>
      </c>
      <c r="EF329" s="15" t="s">
        <v>672</v>
      </c>
      <c r="EG329" s="15" t="s">
        <v>1324</v>
      </c>
      <c r="EH329" s="15" t="s">
        <v>1286</v>
      </c>
      <c r="EI329" s="15" t="s">
        <v>1592</v>
      </c>
      <c r="EO329" s="15" t="s">
        <v>860</v>
      </c>
      <c r="EZ329" s="15">
        <v>0.0</v>
      </c>
      <c r="FA329" s="15">
        <v>0.0</v>
      </c>
      <c r="FB329" s="15" t="s">
        <v>1609</v>
      </c>
      <c r="FC329" s="15">
        <v>0.0</v>
      </c>
    </row>
    <row r="330" ht="17.25" customHeight="1">
      <c r="A330" s="15" t="s">
        <v>4332</v>
      </c>
      <c r="B330" s="15" t="str">
        <f>"801542769017"</f>
        <v>801542769017</v>
      </c>
      <c r="C330" s="15" t="s">
        <v>15007</v>
      </c>
      <c r="D330" s="15" t="str">
        <f t="shared" si="1"/>
        <v>Emery SofaSapphire Bay</v>
      </c>
      <c r="E330" s="15" t="s">
        <v>4329</v>
      </c>
      <c r="F330" s="15" t="s">
        <v>397</v>
      </c>
      <c r="G330" s="15" t="s">
        <v>4331</v>
      </c>
      <c r="J330" s="15" t="s">
        <v>4331</v>
      </c>
      <c r="K330" s="15" t="s">
        <v>4336</v>
      </c>
      <c r="M330" s="15" t="s">
        <v>2343</v>
      </c>
      <c r="N330" s="15" t="s">
        <v>1732</v>
      </c>
      <c r="P330" s="15" t="str">
        <f t="shared" ref="P330:P333" si="991">"84"</f>
        <v>84</v>
      </c>
      <c r="Q330" s="15" t="str">
        <f t="shared" ref="Q330:Q333" si="992">"36"</f>
        <v>36</v>
      </c>
      <c r="R330" s="15" t="str">
        <f t="shared" ref="R330:R333" si="993">"31.5"</f>
        <v>31.5</v>
      </c>
      <c r="S330" s="15" t="str">
        <f t="shared" ref="S330:S333" si="994">"109.35"</f>
        <v>109.35</v>
      </c>
      <c r="T330" s="15" t="s">
        <v>4335</v>
      </c>
      <c r="U330" s="15" t="s">
        <v>11234</v>
      </c>
      <c r="V330" s="15" t="s">
        <v>11898</v>
      </c>
      <c r="W330" s="15" t="s">
        <v>14078</v>
      </c>
      <c r="AA330" s="15" t="s">
        <v>413</v>
      </c>
      <c r="AB330" s="15" t="s">
        <v>413</v>
      </c>
      <c r="AC330" s="15" t="s">
        <v>4337</v>
      </c>
      <c r="AD330" s="15" t="s">
        <v>15008</v>
      </c>
      <c r="AE330" s="15" t="s">
        <v>4334</v>
      </c>
      <c r="AF330" s="15" t="s">
        <v>15009</v>
      </c>
      <c r="AG330" s="15" t="s">
        <v>15010</v>
      </c>
      <c r="AH330" s="15" t="s">
        <v>15011</v>
      </c>
      <c r="AI330" s="15" t="s">
        <v>15012</v>
      </c>
      <c r="AJ330" s="15" t="s">
        <v>15013</v>
      </c>
      <c r="AK330" s="15" t="s">
        <v>15014</v>
      </c>
      <c r="AL330" s="15" t="s">
        <v>15015</v>
      </c>
      <c r="AM330" s="15" t="s">
        <v>15016</v>
      </c>
      <c r="AN330" s="15" t="s">
        <v>15017</v>
      </c>
      <c r="BH330" s="15" t="s">
        <v>4330</v>
      </c>
      <c r="BI330" s="15" t="str">
        <f t="shared" ref="BI330:BI331" si="995">"2099"</f>
        <v>2099</v>
      </c>
      <c r="BJ330" s="15" t="str">
        <f t="shared" ref="BJ330:BJ331" si="996">"885"</f>
        <v>885</v>
      </c>
      <c r="BK330" s="15" t="s">
        <v>709</v>
      </c>
      <c r="BL330" s="15" t="str">
        <f t="shared" si="978"/>
        <v>1</v>
      </c>
      <c r="BM330" s="15" t="s">
        <v>416</v>
      </c>
      <c r="BN330" s="15" t="str">
        <f t="shared" ref="BN330:BN333" si="997">"85.04"</f>
        <v>85.04</v>
      </c>
      <c r="BO330" s="15" t="str">
        <f t="shared" ref="BO330:BO333" si="998">"36.42"</f>
        <v>36.42</v>
      </c>
      <c r="BP330" s="15" t="str">
        <f t="shared" ref="BP330:BP333" si="999">"22.05"</f>
        <v>22.05</v>
      </c>
      <c r="BQ330" s="15" t="str">
        <f t="shared" ref="BQ330:BQ333" si="1000">"128.31"</f>
        <v>128.31</v>
      </c>
      <c r="CG330" s="15" t="str">
        <f t="shared" ref="CG330:CG333" si="1001">"39.52"</f>
        <v>39.52</v>
      </c>
      <c r="CH330" s="15" t="str">
        <f t="shared" ref="CH330:CH333" si="1002">"1.119"</f>
        <v>1.119</v>
      </c>
      <c r="CI330" s="15" t="s">
        <v>497</v>
      </c>
      <c r="CP330" s="15" t="s">
        <v>2839</v>
      </c>
      <c r="CQ330" s="15" t="s">
        <v>2116</v>
      </c>
      <c r="CR330" s="15" t="s">
        <v>4339</v>
      </c>
      <c r="CS330" s="15" t="s">
        <v>1211</v>
      </c>
      <c r="CT330" s="15" t="s">
        <v>824</v>
      </c>
      <c r="CU330" s="15" t="s">
        <v>468</v>
      </c>
      <c r="CV330" s="15">
        <v>2.0</v>
      </c>
      <c r="CW330" s="15">
        <v>2.0</v>
      </c>
      <c r="CX330" s="15" t="s">
        <v>717</v>
      </c>
      <c r="CY330" s="15" t="s">
        <v>897</v>
      </c>
      <c r="DC330" s="15" t="s">
        <v>1255</v>
      </c>
      <c r="DF330" s="15" t="s">
        <v>721</v>
      </c>
      <c r="DG330" s="15" t="s">
        <v>419</v>
      </c>
      <c r="DH330" s="15">
        <v>0.0</v>
      </c>
      <c r="DL330" s="15">
        <v>100000.0</v>
      </c>
      <c r="DM330" s="15" t="s">
        <v>990</v>
      </c>
      <c r="DN330" s="15" t="s">
        <v>723</v>
      </c>
      <c r="DO330" s="15" t="s">
        <v>724</v>
      </c>
      <c r="DP330" s="15">
        <v>2.0</v>
      </c>
      <c r="DQ330" s="15">
        <v>3.0</v>
      </c>
      <c r="DS330" s="15" t="s">
        <v>4340</v>
      </c>
      <c r="DT330" s="15">
        <v>0.0</v>
      </c>
      <c r="DU330" s="15" t="s">
        <v>473</v>
      </c>
      <c r="DV330" s="15" t="s">
        <v>3811</v>
      </c>
      <c r="DW330" s="15" t="s">
        <v>652</v>
      </c>
      <c r="DX330" s="15" t="s">
        <v>4339</v>
      </c>
      <c r="DY330" s="15" t="s">
        <v>1994</v>
      </c>
      <c r="DZ330" s="15" t="s">
        <v>1160</v>
      </c>
      <c r="EA330" s="15" t="s">
        <v>3305</v>
      </c>
      <c r="EB330" s="15" t="s">
        <v>1807</v>
      </c>
      <c r="EC330" s="15" t="s">
        <v>505</v>
      </c>
      <c r="ED330" s="15" t="s">
        <v>1213</v>
      </c>
      <c r="EE330" s="15" t="s">
        <v>4339</v>
      </c>
      <c r="EF330" s="15" t="s">
        <v>1327</v>
      </c>
      <c r="EG330" s="15" t="s">
        <v>1994</v>
      </c>
      <c r="EH330" s="15" t="s">
        <v>945</v>
      </c>
      <c r="EI330" s="15" t="s">
        <v>652</v>
      </c>
      <c r="EJ330" s="15" t="s">
        <v>724</v>
      </c>
      <c r="EK330" s="15" t="s">
        <v>426</v>
      </c>
      <c r="EL330" s="15" t="s">
        <v>723</v>
      </c>
      <c r="EM330" s="15" t="s">
        <v>724</v>
      </c>
      <c r="EN330" s="15" t="s">
        <v>3408</v>
      </c>
      <c r="EO330" s="15" t="s">
        <v>1255</v>
      </c>
    </row>
    <row r="331" ht="17.25" customHeight="1">
      <c r="A331" s="15" t="s">
        <v>4343</v>
      </c>
      <c r="B331" s="15" t="str">
        <f>"801542769024"</f>
        <v>801542769024</v>
      </c>
      <c r="C331" s="15" t="s">
        <v>15018</v>
      </c>
      <c r="D331" s="15" t="str">
        <f t="shared" si="1"/>
        <v>Emery SofaSapphire Birch</v>
      </c>
      <c r="E331" s="15" t="s">
        <v>4329</v>
      </c>
      <c r="F331" s="15" t="s">
        <v>397</v>
      </c>
      <c r="G331" s="15" t="s">
        <v>4342</v>
      </c>
      <c r="J331" s="15" t="s">
        <v>4342</v>
      </c>
      <c r="K331" s="15" t="s">
        <v>4336</v>
      </c>
      <c r="M331" s="15" t="s">
        <v>2343</v>
      </c>
      <c r="N331" s="15" t="s">
        <v>1732</v>
      </c>
      <c r="P331" s="15" t="str">
        <f t="shared" si="991"/>
        <v>84</v>
      </c>
      <c r="Q331" s="15" t="str">
        <f t="shared" si="992"/>
        <v>36</v>
      </c>
      <c r="R331" s="15" t="str">
        <f t="shared" si="993"/>
        <v>31.5</v>
      </c>
      <c r="S331" s="15" t="str">
        <f t="shared" si="994"/>
        <v>109.35</v>
      </c>
      <c r="T331" s="15" t="s">
        <v>4335</v>
      </c>
      <c r="U331" s="15" t="s">
        <v>11234</v>
      </c>
      <c r="V331" s="15" t="s">
        <v>11898</v>
      </c>
      <c r="W331" s="15" t="s">
        <v>14078</v>
      </c>
      <c r="AA331" s="15" t="s">
        <v>426</v>
      </c>
      <c r="AB331" s="15" t="s">
        <v>413</v>
      </c>
      <c r="AC331" s="15" t="s">
        <v>4345</v>
      </c>
      <c r="AD331" s="15" t="s">
        <v>15019</v>
      </c>
      <c r="AE331" s="15" t="s">
        <v>4344</v>
      </c>
      <c r="AF331" s="15" t="s">
        <v>15020</v>
      </c>
      <c r="AG331" s="15" t="s">
        <v>15021</v>
      </c>
      <c r="AH331" s="15" t="s">
        <v>15022</v>
      </c>
      <c r="AI331" s="15" t="s">
        <v>15023</v>
      </c>
      <c r="AJ331" s="15" t="s">
        <v>15024</v>
      </c>
      <c r="AK331" s="15" t="s">
        <v>15025</v>
      </c>
      <c r="AL331" s="15" t="s">
        <v>15026</v>
      </c>
      <c r="AM331" s="15" t="s">
        <v>15027</v>
      </c>
      <c r="AN331" s="15" t="s">
        <v>15028</v>
      </c>
      <c r="AO331" s="15" t="s">
        <v>15029</v>
      </c>
      <c r="AP331" s="15" t="s">
        <v>15030</v>
      </c>
      <c r="AQ331" s="15" t="s">
        <v>15031</v>
      </c>
      <c r="BH331" s="15" t="s">
        <v>4341</v>
      </c>
      <c r="BI331" s="15" t="str">
        <f t="shared" si="995"/>
        <v>2099</v>
      </c>
      <c r="BJ331" s="15" t="str">
        <f t="shared" si="996"/>
        <v>885</v>
      </c>
      <c r="BK331" s="15" t="s">
        <v>709</v>
      </c>
      <c r="BL331" s="15" t="str">
        <f t="shared" si="978"/>
        <v>1</v>
      </c>
      <c r="BM331" s="15" t="s">
        <v>416</v>
      </c>
      <c r="BN331" s="15" t="str">
        <f t="shared" si="997"/>
        <v>85.04</v>
      </c>
      <c r="BO331" s="15" t="str">
        <f t="shared" si="998"/>
        <v>36.42</v>
      </c>
      <c r="BP331" s="15" t="str">
        <f t="shared" si="999"/>
        <v>22.05</v>
      </c>
      <c r="BQ331" s="15" t="str">
        <f t="shared" si="1000"/>
        <v>128.31</v>
      </c>
      <c r="CG331" s="15" t="str">
        <f t="shared" si="1001"/>
        <v>39.52</v>
      </c>
      <c r="CH331" s="15" t="str">
        <f t="shared" si="1002"/>
        <v>1.119</v>
      </c>
      <c r="CI331" s="15" t="s">
        <v>465</v>
      </c>
      <c r="CP331" s="15" t="s">
        <v>2839</v>
      </c>
      <c r="CQ331" s="15" t="s">
        <v>2116</v>
      </c>
      <c r="CR331" s="15" t="s">
        <v>4339</v>
      </c>
      <c r="CS331" s="15" t="s">
        <v>1211</v>
      </c>
      <c r="CT331" s="15" t="s">
        <v>824</v>
      </c>
      <c r="CU331" s="15" t="s">
        <v>468</v>
      </c>
      <c r="CV331" s="15">
        <v>2.0</v>
      </c>
      <c r="CW331" s="15">
        <v>2.0</v>
      </c>
      <c r="CX331" s="15" t="s">
        <v>717</v>
      </c>
      <c r="CY331" s="15" t="s">
        <v>897</v>
      </c>
      <c r="DC331" s="15" t="s">
        <v>1255</v>
      </c>
      <c r="DF331" s="15" t="s">
        <v>721</v>
      </c>
      <c r="DG331" s="15" t="s">
        <v>419</v>
      </c>
      <c r="DH331" s="15">
        <v>0.0</v>
      </c>
      <c r="DL331" s="15">
        <v>100000.0</v>
      </c>
      <c r="DM331" s="15" t="s">
        <v>990</v>
      </c>
      <c r="DN331" s="15" t="s">
        <v>723</v>
      </c>
      <c r="DO331" s="15" t="s">
        <v>724</v>
      </c>
      <c r="DP331" s="15">
        <v>2.0</v>
      </c>
      <c r="DQ331" s="15">
        <v>3.0</v>
      </c>
      <c r="DS331" s="15" t="s">
        <v>4340</v>
      </c>
      <c r="DT331" s="15">
        <v>0.0</v>
      </c>
      <c r="DU331" s="15" t="s">
        <v>473</v>
      </c>
      <c r="DV331" s="15" t="s">
        <v>3811</v>
      </c>
      <c r="DW331" s="15" t="s">
        <v>652</v>
      </c>
      <c r="DX331" s="15" t="s">
        <v>4339</v>
      </c>
      <c r="DY331" s="15" t="s">
        <v>1994</v>
      </c>
      <c r="DZ331" s="15" t="s">
        <v>1160</v>
      </c>
      <c r="EA331" s="15" t="s">
        <v>3305</v>
      </c>
      <c r="EB331" s="15" t="s">
        <v>1807</v>
      </c>
      <c r="EC331" s="15" t="s">
        <v>505</v>
      </c>
      <c r="ED331" s="15" t="s">
        <v>1213</v>
      </c>
      <c r="EE331" s="15" t="s">
        <v>4339</v>
      </c>
      <c r="EF331" s="15" t="s">
        <v>1327</v>
      </c>
      <c r="EG331" s="15" t="s">
        <v>1994</v>
      </c>
      <c r="EH331" s="15" t="s">
        <v>945</v>
      </c>
      <c r="EI331" s="15" t="s">
        <v>652</v>
      </c>
      <c r="EJ331" s="15" t="s">
        <v>724</v>
      </c>
      <c r="EK331" s="15" t="s">
        <v>426</v>
      </c>
      <c r="EL331" s="15" t="s">
        <v>723</v>
      </c>
      <c r="EM331" s="15" t="s">
        <v>724</v>
      </c>
      <c r="EN331" s="15" t="s">
        <v>3408</v>
      </c>
      <c r="EO331" s="15" t="s">
        <v>1255</v>
      </c>
    </row>
    <row r="332" ht="17.25" customHeight="1">
      <c r="A332" s="15" t="s">
        <v>4347</v>
      </c>
      <c r="B332" s="15" t="str">
        <f>"801542769048"</f>
        <v>801542769048</v>
      </c>
      <c r="C332" s="15" t="s">
        <v>15032</v>
      </c>
      <c r="D332" s="15" t="str">
        <f t="shared" si="1"/>
        <v>Emery SofaSonoma Butterscotch</v>
      </c>
      <c r="E332" s="15" t="s">
        <v>4329</v>
      </c>
      <c r="F332" s="15" t="s">
        <v>397</v>
      </c>
      <c r="G332" s="15" t="s">
        <v>3874</v>
      </c>
      <c r="J332" s="15" t="s">
        <v>3874</v>
      </c>
      <c r="K332" s="15" t="s">
        <v>4336</v>
      </c>
      <c r="M332" s="15" t="s">
        <v>2343</v>
      </c>
      <c r="N332" s="15" t="s">
        <v>1732</v>
      </c>
      <c r="P332" s="15" t="str">
        <f t="shared" si="991"/>
        <v>84</v>
      </c>
      <c r="Q332" s="15" t="str">
        <f t="shared" si="992"/>
        <v>36</v>
      </c>
      <c r="R332" s="15" t="str">
        <f t="shared" si="993"/>
        <v>31.5</v>
      </c>
      <c r="S332" s="15" t="str">
        <f t="shared" si="994"/>
        <v>109.35</v>
      </c>
      <c r="T332" s="15" t="s">
        <v>4349</v>
      </c>
      <c r="U332" s="15" t="s">
        <v>11137</v>
      </c>
      <c r="V332" s="15" t="s">
        <v>14078</v>
      </c>
      <c r="AA332" s="15" t="s">
        <v>413</v>
      </c>
      <c r="AB332" s="15" t="s">
        <v>413</v>
      </c>
      <c r="AC332" s="15" t="s">
        <v>4350</v>
      </c>
      <c r="AD332" s="15" t="s">
        <v>15033</v>
      </c>
      <c r="AE332" s="15" t="s">
        <v>4348</v>
      </c>
      <c r="AF332" s="15" t="s">
        <v>15034</v>
      </c>
      <c r="AG332" s="15" t="s">
        <v>15035</v>
      </c>
      <c r="AH332" s="15" t="s">
        <v>15036</v>
      </c>
      <c r="AI332" s="15" t="s">
        <v>15037</v>
      </c>
      <c r="AJ332" s="15" t="s">
        <v>15038</v>
      </c>
      <c r="AK332" s="15" t="s">
        <v>15039</v>
      </c>
      <c r="AL332" s="15" t="s">
        <v>15040</v>
      </c>
      <c r="AM332" s="15" t="s">
        <v>15041</v>
      </c>
      <c r="AN332" s="15" t="s">
        <v>15042</v>
      </c>
      <c r="BH332" s="15" t="s">
        <v>4346</v>
      </c>
      <c r="BI332" s="15" t="str">
        <f>"3499"</f>
        <v>3499</v>
      </c>
      <c r="BJ332" s="15" t="str">
        <f>"1470"</f>
        <v>1470</v>
      </c>
      <c r="BK332" s="15" t="s">
        <v>709</v>
      </c>
      <c r="BL332" s="15" t="str">
        <f t="shared" si="978"/>
        <v>1</v>
      </c>
      <c r="BM332" s="15" t="s">
        <v>416</v>
      </c>
      <c r="BN332" s="15" t="str">
        <f t="shared" si="997"/>
        <v>85.04</v>
      </c>
      <c r="BO332" s="15" t="str">
        <f t="shared" si="998"/>
        <v>36.42</v>
      </c>
      <c r="BP332" s="15" t="str">
        <f t="shared" si="999"/>
        <v>22.05</v>
      </c>
      <c r="BQ332" s="15" t="str">
        <f t="shared" si="1000"/>
        <v>128.31</v>
      </c>
      <c r="CG332" s="15" t="str">
        <f t="shared" si="1001"/>
        <v>39.52</v>
      </c>
      <c r="CH332" s="15" t="str">
        <f t="shared" si="1002"/>
        <v>1.119</v>
      </c>
      <c r="CI332" s="15" t="s">
        <v>497</v>
      </c>
      <c r="CP332" s="15" t="s">
        <v>2839</v>
      </c>
      <c r="CQ332" s="15" t="s">
        <v>2116</v>
      </c>
      <c r="CR332" s="15" t="s">
        <v>4339</v>
      </c>
      <c r="CS332" s="15" t="s">
        <v>1211</v>
      </c>
      <c r="CT332" s="15" t="s">
        <v>824</v>
      </c>
      <c r="CU332" s="15" t="s">
        <v>468</v>
      </c>
      <c r="CV332" s="15">
        <v>2.0</v>
      </c>
      <c r="CW332" s="15">
        <v>2.0</v>
      </c>
      <c r="CX332" s="15" t="s">
        <v>717</v>
      </c>
      <c r="CY332" s="15" t="s">
        <v>718</v>
      </c>
      <c r="DC332" s="15" t="s">
        <v>1255</v>
      </c>
      <c r="DF332" s="15" t="s">
        <v>721</v>
      </c>
      <c r="DG332" s="15" t="s">
        <v>419</v>
      </c>
      <c r="DH332" s="15">
        <v>0.0</v>
      </c>
      <c r="DL332" s="15">
        <v>0.0</v>
      </c>
      <c r="DM332" s="15" t="s">
        <v>990</v>
      </c>
      <c r="DN332" s="15" t="s">
        <v>723</v>
      </c>
      <c r="DO332" s="15" t="s">
        <v>724</v>
      </c>
      <c r="DP332" s="15">
        <v>2.0</v>
      </c>
      <c r="DQ332" s="15">
        <v>3.0</v>
      </c>
      <c r="DS332" s="15" t="s">
        <v>4340</v>
      </c>
      <c r="DT332" s="15">
        <v>0.0</v>
      </c>
      <c r="DU332" s="15" t="s">
        <v>473</v>
      </c>
      <c r="DV332" s="15" t="s">
        <v>3811</v>
      </c>
      <c r="DW332" s="15" t="s">
        <v>652</v>
      </c>
      <c r="DX332" s="15" t="s">
        <v>4339</v>
      </c>
      <c r="DY332" s="15" t="s">
        <v>1994</v>
      </c>
      <c r="DZ332" s="15" t="s">
        <v>1160</v>
      </c>
      <c r="EA332" s="15" t="s">
        <v>3305</v>
      </c>
      <c r="EB332" s="15" t="s">
        <v>1807</v>
      </c>
      <c r="EC332" s="15" t="s">
        <v>505</v>
      </c>
      <c r="ED332" s="15" t="s">
        <v>1213</v>
      </c>
      <c r="EE332" s="15" t="s">
        <v>4339</v>
      </c>
      <c r="EF332" s="15" t="s">
        <v>1327</v>
      </c>
      <c r="EG332" s="15" t="s">
        <v>1994</v>
      </c>
      <c r="EH332" s="15" t="s">
        <v>945</v>
      </c>
      <c r="EI332" s="15" t="s">
        <v>652</v>
      </c>
      <c r="EJ332" s="15" t="s">
        <v>724</v>
      </c>
      <c r="EK332" s="15" t="s">
        <v>426</v>
      </c>
      <c r="EL332" s="15" t="s">
        <v>723</v>
      </c>
      <c r="EM332" s="15" t="s">
        <v>724</v>
      </c>
      <c r="EN332" s="15" t="s">
        <v>3408</v>
      </c>
      <c r="EO332" s="15" t="s">
        <v>1255</v>
      </c>
    </row>
    <row r="333" ht="17.25" customHeight="1">
      <c r="A333" s="15" t="s">
        <v>4352</v>
      </c>
      <c r="B333" s="15" t="str">
        <f>"801542769062"</f>
        <v>801542769062</v>
      </c>
      <c r="C333" s="15" t="s">
        <v>15043</v>
      </c>
      <c r="D333" s="15" t="str">
        <f t="shared" si="1"/>
        <v>Emery SofaThames Coal</v>
      </c>
      <c r="E333" s="15" t="s">
        <v>4329</v>
      </c>
      <c r="F333" s="15" t="s">
        <v>397</v>
      </c>
      <c r="G333" s="15" t="s">
        <v>1269</v>
      </c>
      <c r="J333" s="15" t="s">
        <v>1269</v>
      </c>
      <c r="K333" s="15" t="s">
        <v>4355</v>
      </c>
      <c r="M333" s="15" t="s">
        <v>2343</v>
      </c>
      <c r="N333" s="15" t="s">
        <v>1732</v>
      </c>
      <c r="P333" s="15" t="str">
        <f t="shared" si="991"/>
        <v>84</v>
      </c>
      <c r="Q333" s="15" t="str">
        <f t="shared" si="992"/>
        <v>36</v>
      </c>
      <c r="R333" s="15" t="str">
        <f t="shared" si="993"/>
        <v>31.5</v>
      </c>
      <c r="S333" s="15" t="str">
        <f t="shared" si="994"/>
        <v>109.35</v>
      </c>
      <c r="T333" s="15" t="s">
        <v>4354</v>
      </c>
      <c r="U333" s="15" t="s">
        <v>11537</v>
      </c>
      <c r="V333" s="15" t="s">
        <v>11538</v>
      </c>
      <c r="W333" s="15" t="s">
        <v>11539</v>
      </c>
      <c r="X333" s="15" t="s">
        <v>14078</v>
      </c>
      <c r="AA333" s="15" t="s">
        <v>413</v>
      </c>
      <c r="AB333" s="15" t="s">
        <v>426</v>
      </c>
      <c r="AC333" s="15" t="s">
        <v>4356</v>
      </c>
      <c r="AD333" s="15" t="s">
        <v>15044</v>
      </c>
      <c r="AE333" s="15" t="s">
        <v>4353</v>
      </c>
      <c r="AF333" s="15" t="s">
        <v>15045</v>
      </c>
      <c r="AG333" s="15" t="s">
        <v>15046</v>
      </c>
      <c r="AH333" s="15" t="s">
        <v>15047</v>
      </c>
      <c r="AI333" s="15" t="s">
        <v>15048</v>
      </c>
      <c r="AJ333" s="15" t="s">
        <v>15049</v>
      </c>
      <c r="AK333" s="15" t="s">
        <v>15050</v>
      </c>
      <c r="AL333" s="15" t="s">
        <v>15051</v>
      </c>
      <c r="AM333" s="15" t="s">
        <v>15052</v>
      </c>
      <c r="AN333" s="15" t="s">
        <v>15053</v>
      </c>
      <c r="AO333" s="15" t="s">
        <v>15054</v>
      </c>
      <c r="AP333" s="15" t="s">
        <v>15055</v>
      </c>
      <c r="BH333" s="15" t="s">
        <v>4351</v>
      </c>
      <c r="BI333" s="15" t="str">
        <f>"2099"</f>
        <v>2099</v>
      </c>
      <c r="BJ333" s="15" t="str">
        <f>"885"</f>
        <v>885</v>
      </c>
      <c r="BK333" s="15" t="s">
        <v>709</v>
      </c>
      <c r="BL333" s="15" t="str">
        <f t="shared" si="978"/>
        <v>1</v>
      </c>
      <c r="BM333" s="15" t="s">
        <v>416</v>
      </c>
      <c r="BN333" s="15" t="str">
        <f t="shared" si="997"/>
        <v>85.04</v>
      </c>
      <c r="BO333" s="15" t="str">
        <f t="shared" si="998"/>
        <v>36.42</v>
      </c>
      <c r="BP333" s="15" t="str">
        <f t="shared" si="999"/>
        <v>22.05</v>
      </c>
      <c r="BQ333" s="15" t="str">
        <f t="shared" si="1000"/>
        <v>128.31</v>
      </c>
      <c r="CG333" s="15" t="str">
        <f t="shared" si="1001"/>
        <v>39.52</v>
      </c>
      <c r="CH333" s="15" t="str">
        <f t="shared" si="1002"/>
        <v>1.119</v>
      </c>
      <c r="CI333" s="15" t="s">
        <v>465</v>
      </c>
      <c r="CP333" s="15" t="s">
        <v>2839</v>
      </c>
      <c r="CQ333" s="15" t="s">
        <v>2116</v>
      </c>
      <c r="CR333" s="15" t="s">
        <v>4339</v>
      </c>
      <c r="CS333" s="15" t="s">
        <v>1211</v>
      </c>
      <c r="CT333" s="15" t="s">
        <v>824</v>
      </c>
      <c r="CU333" s="15" t="s">
        <v>468</v>
      </c>
      <c r="CV333" s="15">
        <v>2.0</v>
      </c>
      <c r="CW333" s="15">
        <v>2.0</v>
      </c>
      <c r="CX333" s="15" t="s">
        <v>717</v>
      </c>
      <c r="CY333" s="15" t="s">
        <v>855</v>
      </c>
      <c r="DC333" s="15" t="s">
        <v>1255</v>
      </c>
      <c r="DF333" s="15" t="s">
        <v>721</v>
      </c>
      <c r="DG333" s="15" t="s">
        <v>419</v>
      </c>
      <c r="DH333" s="15">
        <v>0.0</v>
      </c>
      <c r="DL333" s="15">
        <v>25000.0</v>
      </c>
      <c r="DM333" s="15" t="s">
        <v>990</v>
      </c>
      <c r="DN333" s="15" t="s">
        <v>723</v>
      </c>
      <c r="DO333" s="15" t="s">
        <v>724</v>
      </c>
      <c r="DP333" s="15">
        <v>2.0</v>
      </c>
      <c r="DQ333" s="15">
        <v>3.0</v>
      </c>
      <c r="DS333" s="15" t="s">
        <v>4340</v>
      </c>
      <c r="DT333" s="15">
        <v>0.0</v>
      </c>
      <c r="DU333" s="15" t="s">
        <v>473</v>
      </c>
      <c r="DV333" s="15" t="s">
        <v>3811</v>
      </c>
      <c r="DW333" s="15" t="s">
        <v>652</v>
      </c>
      <c r="DX333" s="15" t="s">
        <v>4339</v>
      </c>
      <c r="DY333" s="15" t="s">
        <v>1994</v>
      </c>
      <c r="DZ333" s="15" t="s">
        <v>1160</v>
      </c>
      <c r="EA333" s="15" t="s">
        <v>3305</v>
      </c>
      <c r="EB333" s="15" t="s">
        <v>1807</v>
      </c>
      <c r="EC333" s="15" t="s">
        <v>505</v>
      </c>
      <c r="ED333" s="15" t="s">
        <v>1213</v>
      </c>
      <c r="EE333" s="15" t="s">
        <v>4339</v>
      </c>
      <c r="EF333" s="15" t="s">
        <v>1327</v>
      </c>
      <c r="EG333" s="15" t="s">
        <v>1994</v>
      </c>
      <c r="EH333" s="15" t="s">
        <v>945</v>
      </c>
      <c r="EI333" s="15" t="s">
        <v>652</v>
      </c>
      <c r="EJ333" s="15" t="s">
        <v>724</v>
      </c>
      <c r="EK333" s="15" t="s">
        <v>426</v>
      </c>
      <c r="EL333" s="15" t="s">
        <v>723</v>
      </c>
      <c r="EM333" s="15" t="s">
        <v>724</v>
      </c>
      <c r="EN333" s="15" t="s">
        <v>3408</v>
      </c>
      <c r="EO333" s="15" t="s">
        <v>1255</v>
      </c>
    </row>
    <row r="334" ht="17.25" customHeight="1">
      <c r="A334" s="15" t="s">
        <v>4360</v>
      </c>
      <c r="B334" s="15" t="str">
        <f>"801542048358"</f>
        <v>801542048358</v>
      </c>
      <c r="C334" s="15" t="s">
        <v>15056</v>
      </c>
      <c r="D334" s="15" t="str">
        <f t="shared" si="1"/>
        <v>Emma BedKnoll SandQueen</v>
      </c>
      <c r="E334" s="15" t="s">
        <v>4357</v>
      </c>
      <c r="F334" s="15" t="s">
        <v>397</v>
      </c>
      <c r="G334" s="15" t="s">
        <v>4359</v>
      </c>
      <c r="H334" s="15" t="s">
        <v>265</v>
      </c>
      <c r="I334" s="15" t="s">
        <v>877</v>
      </c>
      <c r="J334" s="15" t="s">
        <v>4359</v>
      </c>
      <c r="K334" s="15" t="s">
        <v>4364</v>
      </c>
      <c r="M334" s="15" t="s">
        <v>837</v>
      </c>
      <c r="N334" s="15" t="s">
        <v>839</v>
      </c>
      <c r="O334" s="15" t="s">
        <v>877</v>
      </c>
      <c r="P334" s="15" t="str">
        <f>"70.25"</f>
        <v>70.25</v>
      </c>
      <c r="Q334" s="15" t="str">
        <f t="shared" ref="Q334:Q335" si="1003">"88.5"</f>
        <v>88.5</v>
      </c>
      <c r="R334" s="15" t="str">
        <f t="shared" ref="R334:R335" si="1004">"46"</f>
        <v>46</v>
      </c>
      <c r="S334" s="15" t="str">
        <f>"182.98"</f>
        <v>182.98</v>
      </c>
      <c r="T334" s="15" t="s">
        <v>1830</v>
      </c>
      <c r="U334" s="15" t="s">
        <v>11234</v>
      </c>
      <c r="V334" s="15" t="s">
        <v>11371</v>
      </c>
      <c r="W334" s="15" t="s">
        <v>11210</v>
      </c>
      <c r="AA334" s="15" t="s">
        <v>413</v>
      </c>
      <c r="AB334" s="15" t="s">
        <v>426</v>
      </c>
      <c r="AC334" s="15" t="s">
        <v>4365</v>
      </c>
      <c r="AD334" s="15" t="s">
        <v>15057</v>
      </c>
      <c r="AE334" s="15" t="s">
        <v>4361</v>
      </c>
      <c r="AF334" s="15" t="s">
        <v>15058</v>
      </c>
      <c r="AG334" s="15" t="s">
        <v>15059</v>
      </c>
      <c r="AH334" s="15" t="s">
        <v>15060</v>
      </c>
      <c r="AI334" s="15" t="s">
        <v>15061</v>
      </c>
      <c r="AJ334" s="15" t="s">
        <v>15062</v>
      </c>
      <c r="AK334" s="15" t="s">
        <v>15063</v>
      </c>
      <c r="AL334" s="15" t="s">
        <v>15064</v>
      </c>
      <c r="AM334" s="15" t="s">
        <v>15065</v>
      </c>
      <c r="AN334" s="15" t="s">
        <v>15066</v>
      </c>
      <c r="AO334" s="15" t="s">
        <v>15067</v>
      </c>
      <c r="BH334" s="15" t="s">
        <v>4358</v>
      </c>
      <c r="BI334" s="15" t="str">
        <f>"1599"</f>
        <v>1599</v>
      </c>
      <c r="BJ334" s="15" t="str">
        <f>"675"</f>
        <v>675</v>
      </c>
      <c r="BK334" s="15" t="s">
        <v>742</v>
      </c>
      <c r="BL334" s="15" t="str">
        <f t="shared" ref="BL334:BL335" si="1005">"3"</f>
        <v>3</v>
      </c>
      <c r="BM334" s="15" t="s">
        <v>4366</v>
      </c>
      <c r="BN334" s="15" t="str">
        <f t="shared" ref="BN334:BN335" si="1006">"82.09"</f>
        <v>82.09</v>
      </c>
      <c r="BO334" s="15" t="str">
        <f t="shared" ref="BO334:BO335" si="1007">"11.22"</f>
        <v>11.22</v>
      </c>
      <c r="BP334" s="15" t="str">
        <f t="shared" ref="BP334:BP335" si="1008">"7.87"</f>
        <v>7.87</v>
      </c>
      <c r="BQ334" s="15" t="str">
        <f>"61.73"</f>
        <v>61.73</v>
      </c>
      <c r="BR334" s="15" t="s">
        <v>841</v>
      </c>
      <c r="BS334" s="15" t="str">
        <f>"73.03"</f>
        <v>73.03</v>
      </c>
      <c r="BT334" s="15" t="str">
        <f t="shared" ref="BT334:BT335" si="1009">"50.59"</f>
        <v>50.59</v>
      </c>
      <c r="BU334" s="15" t="str">
        <f t="shared" ref="BU334:BU335" si="1010">"6.69"</f>
        <v>6.69</v>
      </c>
      <c r="BV334" s="15" t="str">
        <f>"77.82"</f>
        <v>77.82</v>
      </c>
      <c r="BW334" s="15" t="s">
        <v>846</v>
      </c>
      <c r="BX334" s="15" t="str">
        <f>"73.03"</f>
        <v>73.03</v>
      </c>
      <c r="BY334" s="15" t="str">
        <f t="shared" ref="BY334:BY335" si="1011">"16.34"</f>
        <v>16.34</v>
      </c>
      <c r="BZ334" s="15" t="str">
        <f t="shared" ref="BZ334:BZ335" si="1012">"5.12"</f>
        <v>5.12</v>
      </c>
      <c r="CA334" s="15" t="str">
        <f>"70.99"</f>
        <v>70.99</v>
      </c>
      <c r="CG334" s="15" t="str">
        <f>"22.04"</f>
        <v>22.04</v>
      </c>
      <c r="CH334" s="15" t="str">
        <f>"0.624"</f>
        <v>0.624</v>
      </c>
      <c r="CI334" s="15" t="s">
        <v>497</v>
      </c>
      <c r="CY334" s="15" t="s">
        <v>855</v>
      </c>
      <c r="CZ334" s="15" t="s">
        <v>419</v>
      </c>
      <c r="DA334" s="15">
        <v>0.0</v>
      </c>
      <c r="DB334" s="15" t="s">
        <v>419</v>
      </c>
      <c r="DD334" s="15">
        <v>0.0</v>
      </c>
      <c r="DF334" s="15" t="s">
        <v>989</v>
      </c>
      <c r="DG334" s="15" t="s">
        <v>419</v>
      </c>
      <c r="DI334" s="15">
        <v>0.0</v>
      </c>
      <c r="DJ334" s="15">
        <v>0.0</v>
      </c>
      <c r="DK334" s="15">
        <v>0.0</v>
      </c>
      <c r="DL334" s="15">
        <v>25000.0</v>
      </c>
      <c r="DS334" s="15" t="s">
        <v>4373</v>
      </c>
      <c r="DU334" s="15" t="s">
        <v>858</v>
      </c>
      <c r="EO334" s="15" t="s">
        <v>860</v>
      </c>
      <c r="EV334" s="15">
        <v>0.0</v>
      </c>
      <c r="HV334" s="15" t="s">
        <v>1955</v>
      </c>
      <c r="HW334" s="15" t="s">
        <v>1955</v>
      </c>
      <c r="HX334" s="15" t="s">
        <v>1955</v>
      </c>
      <c r="HY334" s="15" t="s">
        <v>504</v>
      </c>
      <c r="HZ334" s="15" t="s">
        <v>2505</v>
      </c>
      <c r="IA334" s="15" t="s">
        <v>4374</v>
      </c>
      <c r="IB334" s="15" t="s">
        <v>1018</v>
      </c>
      <c r="IC334" s="15" t="s">
        <v>4375</v>
      </c>
      <c r="ID334" s="15" t="s">
        <v>4374</v>
      </c>
      <c r="IE334" s="15" t="s">
        <v>2971</v>
      </c>
      <c r="IF334" s="15" t="s">
        <v>4376</v>
      </c>
      <c r="IG334" s="15" t="s">
        <v>890</v>
      </c>
      <c r="IH334" s="15" t="s">
        <v>4377</v>
      </c>
      <c r="II334" s="15" t="s">
        <v>4378</v>
      </c>
      <c r="IJ334" s="15" t="s">
        <v>2505</v>
      </c>
      <c r="IK334" s="15" t="s">
        <v>426</v>
      </c>
      <c r="IL334" s="15" t="s">
        <v>947</v>
      </c>
      <c r="IM334" s="15" t="s">
        <v>872</v>
      </c>
      <c r="IN334" s="15" t="s">
        <v>873</v>
      </c>
      <c r="IO334" s="15" t="s">
        <v>877</v>
      </c>
      <c r="IU334" s="15" t="s">
        <v>759</v>
      </c>
      <c r="IV334" s="15" t="s">
        <v>1442</v>
      </c>
      <c r="IW334" s="15" t="s">
        <v>759</v>
      </c>
      <c r="IX334" s="15" t="s">
        <v>426</v>
      </c>
      <c r="IY334" s="15" t="s">
        <v>2474</v>
      </c>
    </row>
    <row r="335" ht="17.25" customHeight="1">
      <c r="A335" s="15" t="s">
        <v>4380</v>
      </c>
      <c r="B335" s="15" t="str">
        <f>"801542048327"</f>
        <v>801542048327</v>
      </c>
      <c r="C335" s="15" t="s">
        <v>15056</v>
      </c>
      <c r="D335" s="15" t="str">
        <f t="shared" si="1"/>
        <v>Emma BedKnoll SandKing</v>
      </c>
      <c r="E335" s="15" t="s">
        <v>4357</v>
      </c>
      <c r="F335" s="15" t="s">
        <v>397</v>
      </c>
      <c r="G335" s="15" t="s">
        <v>4359</v>
      </c>
      <c r="H335" s="15" t="s">
        <v>265</v>
      </c>
      <c r="I335" s="15" t="s">
        <v>828</v>
      </c>
      <c r="J335" s="15" t="s">
        <v>4359</v>
      </c>
      <c r="K335" s="15" t="s">
        <v>4364</v>
      </c>
      <c r="M335" s="15" t="s">
        <v>837</v>
      </c>
      <c r="N335" s="15" t="s">
        <v>839</v>
      </c>
      <c r="O335" s="15" t="s">
        <v>828</v>
      </c>
      <c r="P335" s="15" t="str">
        <f>"86.5"</f>
        <v>86.5</v>
      </c>
      <c r="Q335" s="15" t="str">
        <f t="shared" si="1003"/>
        <v>88.5</v>
      </c>
      <c r="R335" s="15" t="str">
        <f t="shared" si="1004"/>
        <v>46</v>
      </c>
      <c r="S335" s="15" t="str">
        <f>"203.93"</f>
        <v>203.93</v>
      </c>
      <c r="T335" s="15" t="s">
        <v>1830</v>
      </c>
      <c r="U335" s="15" t="s">
        <v>11234</v>
      </c>
      <c r="V335" s="15" t="s">
        <v>11371</v>
      </c>
      <c r="W335" s="15" t="s">
        <v>11210</v>
      </c>
      <c r="AA335" s="15" t="s">
        <v>413</v>
      </c>
      <c r="AB335" s="15" t="s">
        <v>426</v>
      </c>
      <c r="AC335" s="15" t="s">
        <v>4382</v>
      </c>
      <c r="AD335" s="15" t="s">
        <v>15068</v>
      </c>
      <c r="AE335" s="15" t="s">
        <v>4381</v>
      </c>
      <c r="AF335" s="15" t="s">
        <v>15069</v>
      </c>
      <c r="AG335" s="15" t="s">
        <v>15070</v>
      </c>
      <c r="AH335" s="15" t="s">
        <v>15060</v>
      </c>
      <c r="AI335" s="15" t="s">
        <v>15071</v>
      </c>
      <c r="AJ335" s="15" t="s">
        <v>15072</v>
      </c>
      <c r="AK335" s="15" t="s">
        <v>15073</v>
      </c>
      <c r="AL335" s="15" t="s">
        <v>15074</v>
      </c>
      <c r="AM335" s="15" t="s">
        <v>15075</v>
      </c>
      <c r="AN335" s="15" t="s">
        <v>15076</v>
      </c>
      <c r="AO335" s="15" t="s">
        <v>15077</v>
      </c>
      <c r="BH335" s="15" t="s">
        <v>4379</v>
      </c>
      <c r="BI335" s="15" t="str">
        <f>"1799"</f>
        <v>1799</v>
      </c>
      <c r="BJ335" s="15" t="str">
        <f>"760"</f>
        <v>760</v>
      </c>
      <c r="BK335" s="15" t="s">
        <v>742</v>
      </c>
      <c r="BL335" s="15" t="str">
        <f t="shared" si="1005"/>
        <v>3</v>
      </c>
      <c r="BM335" s="15" t="s">
        <v>4366</v>
      </c>
      <c r="BN335" s="15" t="str">
        <f t="shared" si="1006"/>
        <v>82.09</v>
      </c>
      <c r="BO335" s="15" t="str">
        <f t="shared" si="1007"/>
        <v>11.22</v>
      </c>
      <c r="BP335" s="15" t="str">
        <f t="shared" si="1008"/>
        <v>7.87</v>
      </c>
      <c r="BQ335" s="15" t="str">
        <f>"63.93"</f>
        <v>63.93</v>
      </c>
      <c r="BR335" s="15" t="s">
        <v>841</v>
      </c>
      <c r="BS335" s="15" t="str">
        <f>"89.17"</f>
        <v>89.17</v>
      </c>
      <c r="BT335" s="15" t="str">
        <f t="shared" si="1009"/>
        <v>50.59</v>
      </c>
      <c r="BU335" s="15" t="str">
        <f t="shared" si="1010"/>
        <v>6.69</v>
      </c>
      <c r="BV335" s="15" t="str">
        <f>"95.9"</f>
        <v>95.9</v>
      </c>
      <c r="BW335" s="15" t="s">
        <v>846</v>
      </c>
      <c r="BX335" s="15" t="str">
        <f>"89.17"</f>
        <v>89.17</v>
      </c>
      <c r="BY335" s="15" t="str">
        <f t="shared" si="1011"/>
        <v>16.34</v>
      </c>
      <c r="BZ335" s="15" t="str">
        <f t="shared" si="1012"/>
        <v>5.12</v>
      </c>
      <c r="CA335" s="15" t="str">
        <f>"76.06"</f>
        <v>76.06</v>
      </c>
      <c r="CG335" s="15" t="str">
        <f>"25.99"</f>
        <v>25.99</v>
      </c>
      <c r="CH335" s="15" t="str">
        <f>"0.736"</f>
        <v>0.736</v>
      </c>
      <c r="CI335" s="15" t="s">
        <v>497</v>
      </c>
      <c r="CY335" s="15" t="s">
        <v>855</v>
      </c>
      <c r="CZ335" s="15" t="s">
        <v>419</v>
      </c>
      <c r="DA335" s="15">
        <v>0.0</v>
      </c>
      <c r="DB335" s="15" t="s">
        <v>419</v>
      </c>
      <c r="DD335" s="15">
        <v>0.0</v>
      </c>
      <c r="DF335" s="15" t="s">
        <v>989</v>
      </c>
      <c r="DG335" s="15" t="s">
        <v>419</v>
      </c>
      <c r="DI335" s="15">
        <v>0.0</v>
      </c>
      <c r="DJ335" s="15">
        <v>0.0</v>
      </c>
      <c r="DK335" s="15">
        <v>0.0</v>
      </c>
      <c r="DL335" s="15">
        <v>25000.0</v>
      </c>
      <c r="DS335" s="15" t="s">
        <v>4373</v>
      </c>
      <c r="DU335" s="15" t="s">
        <v>858</v>
      </c>
      <c r="EO335" s="15" t="s">
        <v>860</v>
      </c>
      <c r="EV335" s="15">
        <v>0.0</v>
      </c>
      <c r="HV335" s="15" t="s">
        <v>1955</v>
      </c>
      <c r="HW335" s="15" t="s">
        <v>1955</v>
      </c>
      <c r="HX335" s="15" t="s">
        <v>1955</v>
      </c>
      <c r="HY335" s="15" t="s">
        <v>504</v>
      </c>
      <c r="HZ335" s="15" t="s">
        <v>2505</v>
      </c>
      <c r="IA335" s="15" t="s">
        <v>4383</v>
      </c>
      <c r="IB335" s="15" t="s">
        <v>1018</v>
      </c>
      <c r="IC335" s="15" t="s">
        <v>4375</v>
      </c>
      <c r="ID335" s="15" t="s">
        <v>4383</v>
      </c>
      <c r="IE335" s="15" t="s">
        <v>2971</v>
      </c>
      <c r="IF335" s="15" t="s">
        <v>4376</v>
      </c>
      <c r="IG335" s="15" t="s">
        <v>4384</v>
      </c>
      <c r="IH335" s="15" t="s">
        <v>4377</v>
      </c>
      <c r="II335" s="15" t="s">
        <v>4378</v>
      </c>
      <c r="IJ335" s="15" t="s">
        <v>2505</v>
      </c>
      <c r="IK335" s="15" t="s">
        <v>426</v>
      </c>
      <c r="IL335" s="15" t="s">
        <v>947</v>
      </c>
      <c r="IM335" s="15" t="s">
        <v>872</v>
      </c>
      <c r="IN335" s="15" t="s">
        <v>873</v>
      </c>
      <c r="IO335" s="15" t="s">
        <v>828</v>
      </c>
      <c r="IU335" s="15" t="s">
        <v>759</v>
      </c>
      <c r="IV335" s="15" t="s">
        <v>1442</v>
      </c>
      <c r="IW335" s="15" t="s">
        <v>759</v>
      </c>
      <c r="IX335" s="15" t="s">
        <v>426</v>
      </c>
      <c r="IY335" s="15" t="s">
        <v>2474</v>
      </c>
    </row>
    <row r="336" ht="17.25" customHeight="1">
      <c r="A336" s="15" t="s">
        <v>4388</v>
      </c>
      <c r="B336" s="15" t="str">
        <f>"801542668303"</f>
        <v>801542668303</v>
      </c>
      <c r="C336" s="15" t="s">
        <v>15078</v>
      </c>
      <c r="D336" s="15" t="str">
        <f t="shared" si="1"/>
        <v>Emmett Sling ChairUmber Natural</v>
      </c>
      <c r="E336" s="15" t="s">
        <v>4385</v>
      </c>
      <c r="F336" s="15" t="s">
        <v>397</v>
      </c>
      <c r="G336" s="15" t="s">
        <v>4387</v>
      </c>
      <c r="J336" s="15" t="s">
        <v>4387</v>
      </c>
      <c r="K336" s="15" t="s">
        <v>1850</v>
      </c>
      <c r="M336" s="15" t="s">
        <v>1317</v>
      </c>
      <c r="N336" s="15" t="s">
        <v>706</v>
      </c>
      <c r="O336" s="15" t="s">
        <v>707</v>
      </c>
      <c r="P336" s="15" t="str">
        <f>"29"</f>
        <v>29</v>
      </c>
      <c r="Q336" s="15" t="str">
        <f>"36"</f>
        <v>36</v>
      </c>
      <c r="R336" s="15" t="str">
        <f>"29"</f>
        <v>29</v>
      </c>
      <c r="S336" s="15" t="str">
        <f>"51.81"</f>
        <v>51.81</v>
      </c>
      <c r="T336" s="15" t="s">
        <v>808</v>
      </c>
      <c r="U336" s="15" t="s">
        <v>11137</v>
      </c>
      <c r="V336" s="15" t="s">
        <v>11139</v>
      </c>
      <c r="AA336" s="15" t="s">
        <v>413</v>
      </c>
      <c r="AB336" s="15" t="s">
        <v>413</v>
      </c>
      <c r="AC336" s="15" t="s">
        <v>4391</v>
      </c>
      <c r="AD336" s="15" t="s">
        <v>15079</v>
      </c>
      <c r="AE336" s="15" t="s">
        <v>4390</v>
      </c>
      <c r="AF336" s="15" t="s">
        <v>15080</v>
      </c>
      <c r="AG336" s="15" t="s">
        <v>15081</v>
      </c>
      <c r="AH336" s="15" t="s">
        <v>15082</v>
      </c>
      <c r="AI336" s="15" t="s">
        <v>15083</v>
      </c>
      <c r="AJ336" s="15" t="s">
        <v>15084</v>
      </c>
      <c r="AK336" s="15" t="s">
        <v>15085</v>
      </c>
      <c r="AL336" s="15" t="s">
        <v>15086</v>
      </c>
      <c r="AM336" s="15" t="s">
        <v>15087</v>
      </c>
      <c r="AN336" s="15" t="s">
        <v>15088</v>
      </c>
      <c r="AO336" s="15" t="s">
        <v>15089</v>
      </c>
      <c r="BH336" s="15" t="s">
        <v>4386</v>
      </c>
      <c r="BI336" s="15" t="str">
        <f>"1649"</f>
        <v>1649</v>
      </c>
      <c r="BJ336" s="15" t="str">
        <f>"695"</f>
        <v>695</v>
      </c>
      <c r="BK336" s="15" t="s">
        <v>709</v>
      </c>
      <c r="BL336" s="15" t="str">
        <f>"1"</f>
        <v>1</v>
      </c>
      <c r="BM336" s="15" t="s">
        <v>416</v>
      </c>
      <c r="BN336" s="15" t="str">
        <f>"36.61"</f>
        <v>36.61</v>
      </c>
      <c r="BO336" s="15" t="str">
        <f>"32.09"</f>
        <v>32.09</v>
      </c>
      <c r="BP336" s="15" t="str">
        <f>"29.53"</f>
        <v>29.53</v>
      </c>
      <c r="BQ336" s="15" t="str">
        <f>"64.59"</f>
        <v>64.59</v>
      </c>
      <c r="CG336" s="15" t="str">
        <f>"20.06"</f>
        <v>20.06</v>
      </c>
      <c r="CH336" s="15" t="str">
        <f>"0.568"</f>
        <v>0.568</v>
      </c>
      <c r="CI336" s="15" t="s">
        <v>417</v>
      </c>
      <c r="CP336" s="15" t="s">
        <v>555</v>
      </c>
      <c r="CQ336" s="15" t="s">
        <v>1236</v>
      </c>
      <c r="CR336" s="15" t="s">
        <v>555</v>
      </c>
      <c r="CS336" s="15" t="s">
        <v>1324</v>
      </c>
      <c r="CT336" s="15" t="s">
        <v>467</v>
      </c>
      <c r="CV336" s="15">
        <v>0.0</v>
      </c>
      <c r="CW336" s="15">
        <v>1.0</v>
      </c>
      <c r="CX336" s="15" t="s">
        <v>717</v>
      </c>
      <c r="CY336" s="15" t="s">
        <v>718</v>
      </c>
      <c r="DC336" s="15" t="s">
        <v>3386</v>
      </c>
      <c r="DG336" s="15" t="s">
        <v>419</v>
      </c>
      <c r="DH336" s="15">
        <v>0.0</v>
      </c>
      <c r="DL336" s="15">
        <v>0.0</v>
      </c>
      <c r="DM336" s="15" t="s">
        <v>3384</v>
      </c>
      <c r="DN336" s="15" t="s">
        <v>723</v>
      </c>
      <c r="DO336" s="15" t="s">
        <v>1076</v>
      </c>
      <c r="DP336" s="15">
        <v>1.0</v>
      </c>
      <c r="DQ336" s="15">
        <v>1.0</v>
      </c>
      <c r="DS336" s="15" t="s">
        <v>4393</v>
      </c>
      <c r="DT336" s="15">
        <v>0.0</v>
      </c>
      <c r="DU336" s="15" t="s">
        <v>726</v>
      </c>
      <c r="DV336" s="15" t="s">
        <v>1324</v>
      </c>
      <c r="DW336" s="15" t="s">
        <v>1188</v>
      </c>
      <c r="DX336" s="15" t="s">
        <v>1064</v>
      </c>
      <c r="EB336" s="15" t="s">
        <v>425</v>
      </c>
      <c r="EC336" s="15" t="s">
        <v>1236</v>
      </c>
      <c r="ED336" s="15" t="s">
        <v>467</v>
      </c>
      <c r="EE336" s="15" t="s">
        <v>555</v>
      </c>
      <c r="EF336" s="15" t="s">
        <v>1593</v>
      </c>
      <c r="EG336" s="15" t="s">
        <v>1808</v>
      </c>
      <c r="EH336" s="15" t="s">
        <v>1882</v>
      </c>
      <c r="EI336" s="15" t="s">
        <v>531</v>
      </c>
      <c r="EL336" s="15" t="s">
        <v>723</v>
      </c>
      <c r="EM336" s="15" t="s">
        <v>1076</v>
      </c>
      <c r="EX336" s="15" t="s">
        <v>555</v>
      </c>
      <c r="EY336" s="15" t="s">
        <v>1806</v>
      </c>
      <c r="EZ336" s="15">
        <v>0.0</v>
      </c>
      <c r="FA336" s="15">
        <v>0.0</v>
      </c>
      <c r="FB336" s="15" t="s">
        <v>1609</v>
      </c>
      <c r="FC336" s="15">
        <v>0.0</v>
      </c>
    </row>
    <row r="337" ht="17.25" customHeight="1">
      <c r="A337" s="15" t="s">
        <v>4397</v>
      </c>
      <c r="B337" s="15" t="str">
        <f>"801542007744"</f>
        <v>801542007744</v>
      </c>
      <c r="C337" s="15" t="s">
        <v>15090</v>
      </c>
      <c r="D337" s="15" t="str">
        <f t="shared" si="1"/>
        <v>Erie Bar + Counter TableDark Smoked Oak42</v>
      </c>
      <c r="E337" s="15" t="s">
        <v>4394</v>
      </c>
      <c r="F337" s="15" t="s">
        <v>397</v>
      </c>
      <c r="G337" s="15" t="s">
        <v>4396</v>
      </c>
      <c r="H337" s="15" t="s">
        <v>265</v>
      </c>
      <c r="I337" s="15">
        <v>42.0</v>
      </c>
      <c r="J337" s="15" t="s">
        <v>4396</v>
      </c>
      <c r="M337" s="15" t="s">
        <v>4400</v>
      </c>
      <c r="N337" s="15" t="s">
        <v>548</v>
      </c>
      <c r="O337" s="15" t="s">
        <v>4401</v>
      </c>
      <c r="P337" s="15" t="str">
        <f t="shared" ref="P337:P338" si="1013">"72"</f>
        <v>72</v>
      </c>
      <c r="Q337" s="15" t="str">
        <f t="shared" ref="Q337:Q338" si="1014">"35"</f>
        <v>35</v>
      </c>
      <c r="R337" s="15" t="str">
        <f>"42"</f>
        <v>42</v>
      </c>
      <c r="S337" s="15" t="str">
        <f>"178.65"</f>
        <v>178.65</v>
      </c>
      <c r="T337" s="15" t="s">
        <v>2872</v>
      </c>
      <c r="U337" s="15" t="s">
        <v>11338</v>
      </c>
      <c r="AA337" s="15" t="s">
        <v>426</v>
      </c>
      <c r="AB337" s="15" t="s">
        <v>413</v>
      </c>
      <c r="AC337" s="15" t="s">
        <v>4402</v>
      </c>
      <c r="AD337" s="15" t="s">
        <v>15091</v>
      </c>
      <c r="AE337" s="15" t="s">
        <v>4399</v>
      </c>
      <c r="AF337" s="15" t="s">
        <v>15092</v>
      </c>
      <c r="AG337" s="15" t="s">
        <v>15093</v>
      </c>
      <c r="AH337" s="15" t="s">
        <v>15094</v>
      </c>
      <c r="AI337" s="15" t="s">
        <v>15095</v>
      </c>
      <c r="AJ337" s="15" t="s">
        <v>15096</v>
      </c>
      <c r="AK337" s="15" t="s">
        <v>15097</v>
      </c>
      <c r="AL337" s="15" t="s">
        <v>15098</v>
      </c>
      <c r="AM337" s="15" t="s">
        <v>15099</v>
      </c>
      <c r="AN337" s="15" t="s">
        <v>15100</v>
      </c>
      <c r="AO337" s="15" t="s">
        <v>15101</v>
      </c>
      <c r="AP337" s="15" t="s">
        <v>15102</v>
      </c>
      <c r="AQ337" s="15" t="s">
        <v>15103</v>
      </c>
      <c r="BH337" s="15" t="s">
        <v>4395</v>
      </c>
      <c r="BI337" s="15" t="str">
        <f>"1749"</f>
        <v>1749</v>
      </c>
      <c r="BJ337" s="15" t="str">
        <f>"735"</f>
        <v>735</v>
      </c>
      <c r="BK337" s="15" t="s">
        <v>1303</v>
      </c>
      <c r="BL337" s="15" t="str">
        <f t="shared" ref="BL337:BL339" si="1015">"2"</f>
        <v>2</v>
      </c>
      <c r="BM337" s="15" t="s">
        <v>1564</v>
      </c>
      <c r="BN337" s="15" t="str">
        <f t="shared" ref="BN337:BN338" si="1016">"75.25"</f>
        <v>75.25</v>
      </c>
      <c r="BO337" s="15" t="str">
        <f t="shared" ref="BO337:BO339" si="1017">"6"</f>
        <v>6</v>
      </c>
      <c r="BP337" s="15" t="str">
        <f t="shared" ref="BP337:BP338" si="1018">"39"</f>
        <v>39</v>
      </c>
      <c r="BQ337" s="15" t="str">
        <f t="shared" ref="BQ337:BQ338" si="1019">"110.01"</f>
        <v>110.01</v>
      </c>
      <c r="BR337" s="15" t="s">
        <v>2238</v>
      </c>
      <c r="BS337" s="15" t="str">
        <f>"45.5"</f>
        <v>45.5</v>
      </c>
      <c r="BT337" s="15" t="str">
        <f>"15.25"</f>
        <v>15.25</v>
      </c>
      <c r="BU337" s="15" t="str">
        <f>"24.75"</f>
        <v>24.75</v>
      </c>
      <c r="BV337" s="15" t="str">
        <f>"92.5"</f>
        <v>92.5</v>
      </c>
      <c r="CG337" s="15" t="str">
        <f>"20.13"</f>
        <v>20.13</v>
      </c>
      <c r="CH337" s="15" t="str">
        <f>"0.57"</f>
        <v>0.57</v>
      </c>
      <c r="CI337" s="15" t="s">
        <v>417</v>
      </c>
      <c r="CZ337" s="15" t="s">
        <v>419</v>
      </c>
      <c r="DA337" s="15">
        <v>0.0</v>
      </c>
      <c r="DB337" s="15" t="s">
        <v>419</v>
      </c>
      <c r="DD337" s="15">
        <v>0.0</v>
      </c>
      <c r="DF337" s="15" t="s">
        <v>1111</v>
      </c>
      <c r="DG337" s="15" t="s">
        <v>419</v>
      </c>
      <c r="DI337" s="15">
        <v>0.0</v>
      </c>
      <c r="DJ337" s="15">
        <v>0.0</v>
      </c>
      <c r="DK337" s="15">
        <v>0.0</v>
      </c>
      <c r="DQ337" s="15">
        <v>6.0</v>
      </c>
      <c r="DR337" s="15" t="s">
        <v>471</v>
      </c>
      <c r="DS337" s="15" t="s">
        <v>4408</v>
      </c>
      <c r="DU337" s="15" t="s">
        <v>424</v>
      </c>
      <c r="EG337" s="15" t="s">
        <v>4409</v>
      </c>
      <c r="EH337" s="15" t="s">
        <v>4410</v>
      </c>
      <c r="EQ337" s="15" t="s">
        <v>613</v>
      </c>
      <c r="ER337" s="15" t="s">
        <v>4411</v>
      </c>
      <c r="ES337" s="15" t="s">
        <v>4410</v>
      </c>
      <c r="ET337" s="15" t="s">
        <v>3693</v>
      </c>
      <c r="EU337" s="15" t="s">
        <v>426</v>
      </c>
      <c r="EV337" s="15">
        <v>0.0</v>
      </c>
      <c r="EW337" s="15">
        <v>0.0</v>
      </c>
      <c r="FD337" s="15" t="s">
        <v>477</v>
      </c>
      <c r="FE337" s="15" t="s">
        <v>4411</v>
      </c>
      <c r="FF337" s="15" t="s">
        <v>3011</v>
      </c>
      <c r="IO337" s="15" t="s">
        <v>4412</v>
      </c>
    </row>
    <row r="338" ht="17.25" customHeight="1">
      <c r="A338" s="15" t="s">
        <v>4414</v>
      </c>
      <c r="B338" s="15" t="str">
        <f>"801542007775"</f>
        <v>801542007775</v>
      </c>
      <c r="C338" s="15" t="s">
        <v>15090</v>
      </c>
      <c r="D338" s="15" t="str">
        <f t="shared" si="1"/>
        <v>Erie Bar + Counter TableDark Smoked Oak36</v>
      </c>
      <c r="E338" s="15" t="s">
        <v>4394</v>
      </c>
      <c r="F338" s="15" t="s">
        <v>397</v>
      </c>
      <c r="G338" s="15" t="s">
        <v>4396</v>
      </c>
      <c r="H338" s="15" t="s">
        <v>265</v>
      </c>
      <c r="I338" s="15">
        <v>36.0</v>
      </c>
      <c r="J338" s="15" t="s">
        <v>4396</v>
      </c>
      <c r="M338" s="15" t="s">
        <v>4400</v>
      </c>
      <c r="N338" s="15" t="s">
        <v>548</v>
      </c>
      <c r="O338" s="15" t="s">
        <v>4401</v>
      </c>
      <c r="P338" s="15" t="str">
        <f t="shared" si="1013"/>
        <v>72</v>
      </c>
      <c r="Q338" s="15" t="str">
        <f t="shared" si="1014"/>
        <v>35</v>
      </c>
      <c r="R338" s="15" t="str">
        <f>"36"</f>
        <v>36</v>
      </c>
      <c r="S338" s="15" t="str">
        <f>"177.65"</f>
        <v>177.65</v>
      </c>
      <c r="T338" s="15" t="s">
        <v>2872</v>
      </c>
      <c r="U338" s="15" t="s">
        <v>11338</v>
      </c>
      <c r="AA338" s="15" t="s">
        <v>413</v>
      </c>
      <c r="AB338" s="15" t="s">
        <v>413</v>
      </c>
      <c r="AC338" s="15" t="s">
        <v>4417</v>
      </c>
      <c r="AD338" s="15" t="s">
        <v>15104</v>
      </c>
      <c r="AE338" s="15" t="s">
        <v>4416</v>
      </c>
      <c r="AF338" s="15" t="s">
        <v>15105</v>
      </c>
      <c r="AG338" s="15" t="s">
        <v>15106</v>
      </c>
      <c r="AH338" s="15" t="s">
        <v>15107</v>
      </c>
      <c r="AI338" s="15" t="s">
        <v>15108</v>
      </c>
      <c r="AJ338" s="15" t="s">
        <v>15109</v>
      </c>
      <c r="AK338" s="15" t="s">
        <v>15110</v>
      </c>
      <c r="AL338" s="15" t="s">
        <v>15111</v>
      </c>
      <c r="AM338" s="15" t="s">
        <v>15112</v>
      </c>
      <c r="AN338" s="15" t="s">
        <v>15113</v>
      </c>
      <c r="AO338" s="15" t="s">
        <v>15114</v>
      </c>
      <c r="AP338" s="15" t="s">
        <v>15115</v>
      </c>
      <c r="AQ338" s="15" t="s">
        <v>15116</v>
      </c>
      <c r="BH338" s="15" t="s">
        <v>4413</v>
      </c>
      <c r="BI338" s="15" t="str">
        <f>"1649"</f>
        <v>1649</v>
      </c>
      <c r="BJ338" s="15" t="str">
        <f>"695"</f>
        <v>695</v>
      </c>
      <c r="BK338" s="15" t="s">
        <v>1303</v>
      </c>
      <c r="BL338" s="15" t="str">
        <f t="shared" si="1015"/>
        <v>2</v>
      </c>
      <c r="BM338" s="15" t="s">
        <v>1564</v>
      </c>
      <c r="BN338" s="15" t="str">
        <f t="shared" si="1016"/>
        <v>75.25</v>
      </c>
      <c r="BO338" s="15" t="str">
        <f t="shared" si="1017"/>
        <v>6</v>
      </c>
      <c r="BP338" s="15" t="str">
        <f t="shared" si="1018"/>
        <v>39</v>
      </c>
      <c r="BQ338" s="15" t="str">
        <f t="shared" si="1019"/>
        <v>110.01</v>
      </c>
      <c r="BR338" s="15" t="s">
        <v>2238</v>
      </c>
      <c r="BS338" s="15" t="str">
        <f>"39"</f>
        <v>39</v>
      </c>
      <c r="BT338" s="15" t="str">
        <f>"15.5"</f>
        <v>15.5</v>
      </c>
      <c r="BU338" s="15" t="str">
        <f>"25"</f>
        <v>25</v>
      </c>
      <c r="BV338" s="15" t="str">
        <f>"82.89"</f>
        <v>82.89</v>
      </c>
      <c r="CG338" s="15" t="str">
        <f>"18.96"</f>
        <v>18.96</v>
      </c>
      <c r="CH338" s="15" t="str">
        <f>"0.537"</f>
        <v>0.537</v>
      </c>
      <c r="CI338" s="15" t="s">
        <v>465</v>
      </c>
      <c r="CZ338" s="15" t="s">
        <v>419</v>
      </c>
      <c r="DA338" s="15">
        <v>0.0</v>
      </c>
      <c r="DB338" s="15" t="s">
        <v>419</v>
      </c>
      <c r="DD338" s="15">
        <v>0.0</v>
      </c>
      <c r="DF338" s="15" t="s">
        <v>1111</v>
      </c>
      <c r="DG338" s="15" t="s">
        <v>419</v>
      </c>
      <c r="DI338" s="15">
        <v>0.0</v>
      </c>
      <c r="DJ338" s="15">
        <v>0.0</v>
      </c>
      <c r="DK338" s="15">
        <v>0.0</v>
      </c>
      <c r="DQ338" s="15">
        <v>6.0</v>
      </c>
      <c r="DR338" s="15" t="s">
        <v>471</v>
      </c>
      <c r="DS338" s="15" t="s">
        <v>4408</v>
      </c>
      <c r="DU338" s="15" t="s">
        <v>424</v>
      </c>
      <c r="EG338" s="15" t="s">
        <v>4409</v>
      </c>
      <c r="EH338" s="15" t="s">
        <v>4410</v>
      </c>
      <c r="EQ338" s="15" t="s">
        <v>613</v>
      </c>
      <c r="ER338" s="15" t="s">
        <v>4411</v>
      </c>
      <c r="ES338" s="15" t="s">
        <v>4410</v>
      </c>
      <c r="ET338" s="15" t="s">
        <v>3693</v>
      </c>
      <c r="EU338" s="15" t="s">
        <v>426</v>
      </c>
      <c r="EV338" s="15">
        <v>0.0</v>
      </c>
      <c r="EW338" s="15">
        <v>0.0</v>
      </c>
      <c r="FD338" s="15" t="s">
        <v>477</v>
      </c>
      <c r="FE338" s="15" t="s">
        <v>4411</v>
      </c>
      <c r="FF338" s="15" t="s">
        <v>3011</v>
      </c>
      <c r="IO338" s="15" t="s">
        <v>4412</v>
      </c>
    </row>
    <row r="339" ht="17.25" customHeight="1">
      <c r="A339" s="15" t="s">
        <v>4421</v>
      </c>
      <c r="B339" s="15" t="str">
        <f>"801542007799"</f>
        <v>801542007799</v>
      </c>
      <c r="C339" s="15" t="s">
        <v>15117</v>
      </c>
      <c r="D339" s="15" t="str">
        <f t="shared" si="1"/>
        <v>Erie Coffee TableDark Smoked Oak</v>
      </c>
      <c r="E339" s="15" t="s">
        <v>4419</v>
      </c>
      <c r="F339" s="15" t="s">
        <v>397</v>
      </c>
      <c r="G339" s="15" t="s">
        <v>4396</v>
      </c>
      <c r="J339" s="15" t="s">
        <v>4396</v>
      </c>
      <c r="M339" s="15" t="s">
        <v>4400</v>
      </c>
      <c r="N339" s="15" t="s">
        <v>491</v>
      </c>
      <c r="P339" s="15" t="str">
        <f>"51"</f>
        <v>51</v>
      </c>
      <c r="Q339" s="15" t="str">
        <f>"27.5"</f>
        <v>27.5</v>
      </c>
      <c r="R339" s="15" t="str">
        <f t="shared" ref="R339:R340" si="1021">"17.5"</f>
        <v>17.5</v>
      </c>
      <c r="S339" s="15" t="str">
        <f>"76.54"</f>
        <v>76.54</v>
      </c>
      <c r="T339" s="15" t="s">
        <v>2872</v>
      </c>
      <c r="U339" s="15" t="s">
        <v>11338</v>
      </c>
      <c r="AA339" s="15" t="s">
        <v>413</v>
      </c>
      <c r="AB339" s="15" t="s">
        <v>413</v>
      </c>
      <c r="AC339" s="15" t="s">
        <v>4425</v>
      </c>
      <c r="AD339" s="15" t="s">
        <v>15118</v>
      </c>
      <c r="AE339" s="15" t="s">
        <v>4423</v>
      </c>
      <c r="AF339" s="15" t="s">
        <v>15119</v>
      </c>
      <c r="AG339" s="15" t="s">
        <v>15120</v>
      </c>
      <c r="AH339" s="15" t="s">
        <v>15121</v>
      </c>
      <c r="AI339" s="15" t="s">
        <v>15122</v>
      </c>
      <c r="AJ339" s="15" t="s">
        <v>15123</v>
      </c>
      <c r="AK339" s="15" t="s">
        <v>15124</v>
      </c>
      <c r="AL339" s="15" t="s">
        <v>15125</v>
      </c>
      <c r="BH339" s="15" t="s">
        <v>4420</v>
      </c>
      <c r="BI339" s="15" t="str">
        <f>"849"</f>
        <v>849</v>
      </c>
      <c r="BJ339" s="15" t="str">
        <f>"360"</f>
        <v>360</v>
      </c>
      <c r="BK339" s="15" t="s">
        <v>1303</v>
      </c>
      <c r="BL339" s="15" t="str">
        <f t="shared" si="1015"/>
        <v>2</v>
      </c>
      <c r="BM339" s="15" t="s">
        <v>1564</v>
      </c>
      <c r="BN339" s="15" t="str">
        <f>"54.25"</f>
        <v>54.25</v>
      </c>
      <c r="BO339" s="15" t="str">
        <f t="shared" si="1017"/>
        <v>6</v>
      </c>
      <c r="BP339" s="15" t="str">
        <f>"31"</f>
        <v>31</v>
      </c>
      <c r="BQ339" s="15" t="str">
        <f>"57.58"</f>
        <v>57.58</v>
      </c>
      <c r="BR339" s="15" t="s">
        <v>2238</v>
      </c>
      <c r="BS339" s="15" t="str">
        <f>"20.5"</f>
        <v>20.5</v>
      </c>
      <c r="BT339" s="15" t="str">
        <f>"10"</f>
        <v>10</v>
      </c>
      <c r="BU339" s="15" t="str">
        <f>"23"</f>
        <v>23</v>
      </c>
      <c r="BV339" s="15" t="str">
        <f>"32.49"</f>
        <v>32.49</v>
      </c>
      <c r="CG339" s="15" t="str">
        <f>"8.55"</f>
        <v>8.55</v>
      </c>
      <c r="CH339" s="15" t="str">
        <f>"0.242"</f>
        <v>0.242</v>
      </c>
      <c r="CI339" s="15" t="s">
        <v>465</v>
      </c>
      <c r="CZ339" s="15" t="s">
        <v>419</v>
      </c>
      <c r="DA339" s="15">
        <v>0.0</v>
      </c>
      <c r="DB339" s="15" t="s">
        <v>419</v>
      </c>
      <c r="DD339" s="15">
        <v>0.0</v>
      </c>
      <c r="DF339" s="15" t="s">
        <v>1111</v>
      </c>
      <c r="DG339" s="15" t="s">
        <v>419</v>
      </c>
      <c r="DK339" s="15">
        <v>0.0</v>
      </c>
      <c r="DR339" s="15" t="s">
        <v>471</v>
      </c>
      <c r="DS339" s="15" t="s">
        <v>4408</v>
      </c>
      <c r="DU339" s="15" t="s">
        <v>500</v>
      </c>
      <c r="EF339" s="15" t="s">
        <v>2020</v>
      </c>
      <c r="EH339" s="15" t="s">
        <v>1306</v>
      </c>
      <c r="EQ339" s="15" t="s">
        <v>1065</v>
      </c>
      <c r="ER339" s="15" t="s">
        <v>2020</v>
      </c>
      <c r="ES339" s="15" t="s">
        <v>4430</v>
      </c>
      <c r="ET339" s="15" t="s">
        <v>425</v>
      </c>
      <c r="EU339" s="15" t="s">
        <v>426</v>
      </c>
      <c r="EV339" s="15">
        <v>0.0</v>
      </c>
      <c r="EW339" s="15">
        <v>0.0</v>
      </c>
      <c r="FF339" s="15" t="s">
        <v>4431</v>
      </c>
    </row>
    <row r="340" ht="17.25" customHeight="1">
      <c r="A340" s="15" t="s">
        <v>4434</v>
      </c>
      <c r="B340" s="15" t="str">
        <f>"801542068363"</f>
        <v>801542068363</v>
      </c>
      <c r="C340" s="15" t="s">
        <v>15126</v>
      </c>
      <c r="D340" s="15" t="str">
        <f t="shared" si="1"/>
        <v>Esben Storage Ottoman-39"Sattley Fog</v>
      </c>
      <c r="E340" s="15" t="s">
        <v>4432</v>
      </c>
      <c r="F340" s="15" t="s">
        <v>397</v>
      </c>
      <c r="G340" s="15" t="s">
        <v>2536</v>
      </c>
      <c r="J340" s="15" t="s">
        <v>2536</v>
      </c>
      <c r="K340" s="15" t="s">
        <v>3902</v>
      </c>
      <c r="M340" s="15" t="s">
        <v>2492</v>
      </c>
      <c r="N340" s="15" t="s">
        <v>1009</v>
      </c>
      <c r="P340" s="15" t="str">
        <f t="shared" ref="P340:Q340" si="1020">"39"</f>
        <v>39</v>
      </c>
      <c r="Q340" s="15" t="str">
        <f t="shared" si="1020"/>
        <v>39</v>
      </c>
      <c r="R340" s="15" t="str">
        <f t="shared" si="1021"/>
        <v>17.5</v>
      </c>
      <c r="S340" s="15" t="str">
        <f>"58.86"</f>
        <v>58.86</v>
      </c>
      <c r="T340" s="15" t="s">
        <v>4437</v>
      </c>
      <c r="U340" s="15" t="s">
        <v>12856</v>
      </c>
      <c r="V340" s="15" t="s">
        <v>12857</v>
      </c>
      <c r="W340" s="15" t="s">
        <v>11338</v>
      </c>
      <c r="AA340" s="15" t="s">
        <v>413</v>
      </c>
      <c r="AB340" s="15" t="s">
        <v>426</v>
      </c>
      <c r="AC340" s="15" t="s">
        <v>4438</v>
      </c>
      <c r="AD340" s="15" t="s">
        <v>15127</v>
      </c>
      <c r="AE340" s="15" t="s">
        <v>4436</v>
      </c>
      <c r="AF340" s="15" t="s">
        <v>15128</v>
      </c>
      <c r="AG340" s="15" t="s">
        <v>15129</v>
      </c>
      <c r="AH340" s="15" t="s">
        <v>15130</v>
      </c>
      <c r="AI340" s="15" t="s">
        <v>15131</v>
      </c>
      <c r="AJ340" s="15" t="s">
        <v>15132</v>
      </c>
      <c r="AK340" s="15" t="s">
        <v>15133</v>
      </c>
      <c r="AL340" s="15" t="s">
        <v>15134</v>
      </c>
      <c r="AM340" s="15" t="s">
        <v>15135</v>
      </c>
      <c r="AN340" s="15" t="s">
        <v>15136</v>
      </c>
      <c r="BH340" s="15" t="s">
        <v>4433</v>
      </c>
      <c r="BI340" s="15" t="str">
        <f>"949"</f>
        <v>949</v>
      </c>
      <c r="BJ340" s="15" t="str">
        <f>"400"</f>
        <v>400</v>
      </c>
      <c r="BK340" s="15" t="s">
        <v>709</v>
      </c>
      <c r="BL340" s="15" t="str">
        <f>"1"</f>
        <v>1</v>
      </c>
      <c r="BM340" s="15" t="s">
        <v>416</v>
      </c>
      <c r="BN340" s="15" t="str">
        <f>"37.01"</f>
        <v>37.01</v>
      </c>
      <c r="BO340" s="15" t="str">
        <f>"37.4"</f>
        <v>37.4</v>
      </c>
      <c r="BP340" s="15" t="str">
        <f>"19.69"</f>
        <v>19.69</v>
      </c>
      <c r="BQ340" s="15" t="str">
        <f>"78.92"</f>
        <v>78.92</v>
      </c>
      <c r="CG340" s="15" t="str">
        <f>"15.79"</f>
        <v>15.79</v>
      </c>
      <c r="CH340" s="15" t="str">
        <f>"0.447"</f>
        <v>0.447</v>
      </c>
      <c r="CI340" s="15" t="s">
        <v>465</v>
      </c>
      <c r="CP340" s="15" t="s">
        <v>780</v>
      </c>
      <c r="CQ340" s="15" t="s">
        <v>4440</v>
      </c>
      <c r="CR340" s="15" t="s">
        <v>780</v>
      </c>
      <c r="CS340" s="15" t="s">
        <v>780</v>
      </c>
      <c r="CT340" s="15" t="s">
        <v>4441</v>
      </c>
      <c r="CU340" s="15" t="s">
        <v>780</v>
      </c>
      <c r="CW340" s="15">
        <v>0.0</v>
      </c>
      <c r="CY340" s="15" t="s">
        <v>855</v>
      </c>
      <c r="DF340" s="15" t="s">
        <v>1111</v>
      </c>
      <c r="DH340" s="15">
        <v>0.0</v>
      </c>
      <c r="DL340" s="15">
        <v>25000.0</v>
      </c>
      <c r="DM340" s="15" t="s">
        <v>470</v>
      </c>
      <c r="DN340" s="15" t="s">
        <v>723</v>
      </c>
      <c r="DO340" s="15" t="s">
        <v>724</v>
      </c>
      <c r="DP340" s="15">
        <v>1.0</v>
      </c>
      <c r="DQ340" s="15">
        <v>1.0</v>
      </c>
      <c r="DR340" s="15" t="s">
        <v>1157</v>
      </c>
      <c r="DS340" s="15" t="s">
        <v>4442</v>
      </c>
      <c r="DT340" s="15">
        <v>0.0</v>
      </c>
      <c r="DU340" s="15" t="s">
        <v>726</v>
      </c>
      <c r="EF340" s="15" t="s">
        <v>2468</v>
      </c>
      <c r="EO340" s="15" t="s">
        <v>2502</v>
      </c>
      <c r="EU340" s="15" t="s">
        <v>426</v>
      </c>
    </row>
    <row r="341" ht="17.25" customHeight="1">
      <c r="A341" s="15" t="s">
        <v>4446</v>
      </c>
      <c r="B341" s="15" t="str">
        <f>"801542960735"</f>
        <v>801542960735</v>
      </c>
      <c r="C341" s="15" t="s">
        <v>15137</v>
      </c>
      <c r="D341" s="15" t="str">
        <f t="shared" si="1"/>
        <v>Esmi Console TableBleached Spalted Primavera</v>
      </c>
      <c r="E341" s="15" t="s">
        <v>4443</v>
      </c>
      <c r="F341" s="15" t="s">
        <v>397</v>
      </c>
      <c r="G341" s="15" t="s">
        <v>4445</v>
      </c>
      <c r="J341" s="15" t="s">
        <v>4445</v>
      </c>
      <c r="M341" s="15" t="s">
        <v>411</v>
      </c>
      <c r="N341" s="15" t="s">
        <v>519</v>
      </c>
      <c r="P341" s="15" t="str">
        <f t="shared" ref="P341:P342" si="1022">"78"</f>
        <v>78</v>
      </c>
      <c r="Q341" s="15" t="str">
        <f t="shared" ref="Q341:Q344" si="1023">"18"</f>
        <v>18</v>
      </c>
      <c r="R341" s="15" t="str">
        <f>"31"</f>
        <v>31</v>
      </c>
      <c r="S341" s="15" t="str">
        <f>"144.62"</f>
        <v>144.62</v>
      </c>
      <c r="T341" s="15" t="s">
        <v>4449</v>
      </c>
      <c r="U341" s="15" t="s">
        <v>14174</v>
      </c>
      <c r="AA341" s="15" t="s">
        <v>413</v>
      </c>
      <c r="AB341" s="15" t="s">
        <v>413</v>
      </c>
      <c r="AC341" s="15" t="s">
        <v>4450</v>
      </c>
      <c r="AD341" s="15" t="s">
        <v>15138</v>
      </c>
      <c r="AE341" s="15" t="s">
        <v>4448</v>
      </c>
      <c r="AF341" s="15" t="s">
        <v>15139</v>
      </c>
      <c r="AG341" s="15" t="s">
        <v>15140</v>
      </c>
      <c r="AH341" s="15" t="s">
        <v>15141</v>
      </c>
      <c r="AI341" s="15" t="s">
        <v>15142</v>
      </c>
      <c r="AJ341" s="15" t="s">
        <v>15143</v>
      </c>
      <c r="AK341" s="15" t="s">
        <v>15144</v>
      </c>
      <c r="AL341" s="15" t="s">
        <v>15145</v>
      </c>
      <c r="AM341" s="15" t="s">
        <v>15146</v>
      </c>
      <c r="BH341" s="15" t="s">
        <v>4444</v>
      </c>
      <c r="BI341" s="15" t="str">
        <f>"2499"</f>
        <v>2499</v>
      </c>
      <c r="BJ341" s="15" t="str">
        <f>"1050"</f>
        <v>1050</v>
      </c>
      <c r="BK341" s="15" t="s">
        <v>415</v>
      </c>
      <c r="BL341" s="15" t="str">
        <f>"2"</f>
        <v>2</v>
      </c>
      <c r="BM341" s="15" t="s">
        <v>4451</v>
      </c>
      <c r="BN341" s="15" t="str">
        <f>"85.04"</f>
        <v>85.04</v>
      </c>
      <c r="BO341" s="15" t="str">
        <f>"24.41"</f>
        <v>24.41</v>
      </c>
      <c r="BP341" s="15" t="str">
        <f>"8.27"</f>
        <v>8.27</v>
      </c>
      <c r="BQ341" s="15" t="str">
        <f>"56.48"</f>
        <v>56.48</v>
      </c>
      <c r="BR341" s="15" t="s">
        <v>4453</v>
      </c>
      <c r="BS341" s="15" t="str">
        <f>"37.8"</f>
        <v>37.8</v>
      </c>
      <c r="BT341" s="15" t="str">
        <f>"22.05"</f>
        <v>22.05</v>
      </c>
      <c r="BU341" s="15" t="str">
        <f>"35.83"</f>
        <v>35.83</v>
      </c>
      <c r="BV341" s="15" t="str">
        <f>"134.04"</f>
        <v>134.04</v>
      </c>
      <c r="CG341" s="15" t="str">
        <f>"27.19"</f>
        <v>27.19</v>
      </c>
      <c r="CH341" s="15" t="str">
        <f>"0.77"</f>
        <v>0.77</v>
      </c>
      <c r="CI341" s="15" t="s">
        <v>497</v>
      </c>
      <c r="CZ341" s="15" t="s">
        <v>419</v>
      </c>
      <c r="DA341" s="15">
        <v>0.0</v>
      </c>
      <c r="DB341" s="15" t="s">
        <v>419</v>
      </c>
      <c r="DD341" s="15">
        <v>0.0</v>
      </c>
      <c r="DF341" s="15" t="s">
        <v>420</v>
      </c>
      <c r="DG341" s="15" t="s">
        <v>419</v>
      </c>
      <c r="DK341" s="15">
        <v>0.0</v>
      </c>
      <c r="DR341" s="15" t="s">
        <v>471</v>
      </c>
      <c r="DS341" s="15" t="s">
        <v>4455</v>
      </c>
      <c r="DU341" s="15" t="s">
        <v>424</v>
      </c>
      <c r="EF341" s="15" t="s">
        <v>2839</v>
      </c>
      <c r="EQ341" s="15" t="s">
        <v>1213</v>
      </c>
      <c r="ER341" s="15" t="s">
        <v>2839</v>
      </c>
      <c r="ES341" s="15" t="s">
        <v>1994</v>
      </c>
      <c r="ET341" s="15" t="s">
        <v>672</v>
      </c>
      <c r="EU341" s="15" t="s">
        <v>426</v>
      </c>
      <c r="EV341" s="15">
        <v>0.0</v>
      </c>
      <c r="EW341" s="15">
        <v>0.0</v>
      </c>
      <c r="FF341" s="15" t="s">
        <v>525</v>
      </c>
      <c r="FQ341" s="15">
        <v>0.0</v>
      </c>
      <c r="FR341" s="15" t="s">
        <v>427</v>
      </c>
      <c r="KN341" s="15" t="s">
        <v>426</v>
      </c>
    </row>
    <row r="342" ht="17.25" customHeight="1">
      <c r="A342" s="15" t="s">
        <v>4459</v>
      </c>
      <c r="B342" s="15" t="str">
        <f>"198394059060"</f>
        <v>198394059060</v>
      </c>
      <c r="C342" s="15" t="s">
        <v>15147</v>
      </c>
      <c r="D342" s="15" t="str">
        <f t="shared" si="1"/>
        <v>Etro Media ConsoleTawny Pine</v>
      </c>
      <c r="E342" s="15" t="s">
        <v>4456</v>
      </c>
      <c r="F342" s="15" t="s">
        <v>397</v>
      </c>
      <c r="G342" s="15" t="s">
        <v>4458</v>
      </c>
      <c r="J342" s="15" t="s">
        <v>4458</v>
      </c>
      <c r="K342" s="15" t="s">
        <v>4464</v>
      </c>
      <c r="M342" s="15" t="s">
        <v>4463</v>
      </c>
      <c r="N342" s="15" t="s">
        <v>602</v>
      </c>
      <c r="P342" s="15" t="str">
        <f t="shared" si="1022"/>
        <v>78</v>
      </c>
      <c r="Q342" s="15" t="str">
        <f t="shared" si="1023"/>
        <v>18</v>
      </c>
      <c r="R342" s="15" t="str">
        <f t="shared" ref="R342:R343" si="1024">"26"</f>
        <v>26</v>
      </c>
      <c r="S342" s="15" t="str">
        <f>"127.87"</f>
        <v>127.87</v>
      </c>
      <c r="T342" s="15" t="s">
        <v>4462</v>
      </c>
      <c r="U342" s="15" t="s">
        <v>11386</v>
      </c>
      <c r="V342" s="15" t="s">
        <v>11137</v>
      </c>
      <c r="AA342" s="15" t="s">
        <v>413</v>
      </c>
      <c r="AB342" s="15" t="s">
        <v>413</v>
      </c>
      <c r="AC342" s="15" t="s">
        <v>4465</v>
      </c>
      <c r="AD342" s="15" t="s">
        <v>15148</v>
      </c>
      <c r="AE342" s="15" t="s">
        <v>4461</v>
      </c>
      <c r="AF342" s="15" t="s">
        <v>15149</v>
      </c>
      <c r="AG342" s="15" t="s">
        <v>15150</v>
      </c>
      <c r="AH342" s="15" t="s">
        <v>15151</v>
      </c>
      <c r="AI342" s="15" t="s">
        <v>15152</v>
      </c>
      <c r="AJ342" s="15" t="s">
        <v>15153</v>
      </c>
      <c r="AK342" s="15" t="s">
        <v>15154</v>
      </c>
      <c r="AL342" s="15" t="s">
        <v>15155</v>
      </c>
      <c r="AM342" s="15" t="s">
        <v>15156</v>
      </c>
      <c r="AN342" s="15" t="s">
        <v>15157</v>
      </c>
      <c r="AO342" s="15" t="s">
        <v>15158</v>
      </c>
      <c r="AP342" s="15" t="s">
        <v>15159</v>
      </c>
      <c r="AQ342" s="15" t="s">
        <v>15160</v>
      </c>
      <c r="AR342" s="15" t="s">
        <v>15161</v>
      </c>
      <c r="BH342" s="15" t="s">
        <v>4457</v>
      </c>
      <c r="BI342" s="15" t="str">
        <f>"1749"</f>
        <v>1749</v>
      </c>
      <c r="BJ342" s="15" t="str">
        <f>"735"</f>
        <v>735</v>
      </c>
      <c r="BK342" s="15" t="s">
        <v>415</v>
      </c>
      <c r="BL342" s="15" t="str">
        <f t="shared" ref="BL342:BL352" si="1025">"1"</f>
        <v>1</v>
      </c>
      <c r="BM342" s="15" t="s">
        <v>416</v>
      </c>
      <c r="BN342" s="15" t="str">
        <f>"82.09"</f>
        <v>82.09</v>
      </c>
      <c r="BO342" s="15" t="str">
        <f>"21.46"</f>
        <v>21.46</v>
      </c>
      <c r="BP342" s="15" t="str">
        <f>"29.92"</f>
        <v>29.92</v>
      </c>
      <c r="BQ342" s="15" t="str">
        <f>"145.5"</f>
        <v>145.5</v>
      </c>
      <c r="CG342" s="15" t="str">
        <f>"30.51"</f>
        <v>30.51</v>
      </c>
      <c r="CH342" s="15" t="str">
        <f>"0.864"</f>
        <v>0.864</v>
      </c>
      <c r="CI342" s="15" t="s">
        <v>497</v>
      </c>
      <c r="CM342" s="15" t="s">
        <v>2598</v>
      </c>
      <c r="CN342" s="15" t="s">
        <v>4467</v>
      </c>
      <c r="CO342" s="15" t="s">
        <v>1068</v>
      </c>
      <c r="CZ342" s="15" t="s">
        <v>419</v>
      </c>
      <c r="DA342" s="15">
        <v>0.0</v>
      </c>
      <c r="DB342" s="15" t="s">
        <v>419</v>
      </c>
      <c r="DD342" s="15">
        <v>0.0</v>
      </c>
      <c r="DF342" s="15" t="s">
        <v>1509</v>
      </c>
      <c r="DG342" s="15" t="s">
        <v>610</v>
      </c>
      <c r="DI342" s="15">
        <v>18.14</v>
      </c>
      <c r="DJ342" s="15">
        <v>40.0</v>
      </c>
      <c r="DK342" s="15">
        <v>3.0</v>
      </c>
      <c r="DS342" s="15" t="s">
        <v>4468</v>
      </c>
      <c r="EF342" s="15" t="s">
        <v>477</v>
      </c>
      <c r="EU342" s="15" t="s">
        <v>426</v>
      </c>
      <c r="EV342" s="15">
        <v>3.0</v>
      </c>
      <c r="FH342" s="15" t="s">
        <v>4467</v>
      </c>
      <c r="FI342" s="15" t="s">
        <v>4469</v>
      </c>
      <c r="FJ342" s="15" t="s">
        <v>4470</v>
      </c>
      <c r="FK342" s="15" t="s">
        <v>1996</v>
      </c>
      <c r="FL342" s="15" t="s">
        <v>4469</v>
      </c>
      <c r="FM342" s="15" t="s">
        <v>1068</v>
      </c>
      <c r="FO342" s="15" t="s">
        <v>426</v>
      </c>
      <c r="FP342" s="15" t="s">
        <v>785</v>
      </c>
      <c r="FQ342" s="15">
        <v>6.0</v>
      </c>
      <c r="FR342" s="15" t="s">
        <v>614</v>
      </c>
      <c r="FS342" s="15" t="s">
        <v>615</v>
      </c>
      <c r="FU342" s="15" t="s">
        <v>426</v>
      </c>
      <c r="FW342" s="15" t="s">
        <v>616</v>
      </c>
      <c r="GM342" s="15">
        <v>0.0</v>
      </c>
      <c r="HF342" s="15" t="s">
        <v>2464</v>
      </c>
      <c r="HQ342" s="15" t="s">
        <v>426</v>
      </c>
    </row>
    <row r="343" ht="17.25" customHeight="1">
      <c r="A343" s="15" t="s">
        <v>4473</v>
      </c>
      <c r="B343" s="15" t="str">
        <f>"198394018487"</f>
        <v>198394018487</v>
      </c>
      <c r="C343" s="15" t="s">
        <v>15162</v>
      </c>
      <c r="D343" s="15" t="str">
        <f t="shared" si="1"/>
        <v>Etro NightstandTawny Pine</v>
      </c>
      <c r="E343" s="15" t="s">
        <v>4471</v>
      </c>
      <c r="F343" s="15" t="s">
        <v>397</v>
      </c>
      <c r="G343" s="15" t="s">
        <v>4458</v>
      </c>
      <c r="J343" s="15" t="s">
        <v>4458</v>
      </c>
      <c r="K343" s="15" t="s">
        <v>4464</v>
      </c>
      <c r="M343" s="15" t="s">
        <v>4463</v>
      </c>
      <c r="N343" s="15" t="s">
        <v>628</v>
      </c>
      <c r="P343" s="15" t="str">
        <f>"32"</f>
        <v>32</v>
      </c>
      <c r="Q343" s="15" t="str">
        <f t="shared" si="1023"/>
        <v>18</v>
      </c>
      <c r="R343" s="15" t="str">
        <f t="shared" si="1024"/>
        <v>26</v>
      </c>
      <c r="S343" s="15" t="str">
        <f>"63.93"</f>
        <v>63.93</v>
      </c>
      <c r="T343" s="15" t="s">
        <v>4462</v>
      </c>
      <c r="U343" s="15" t="s">
        <v>11386</v>
      </c>
      <c r="V343" s="15" t="s">
        <v>11137</v>
      </c>
      <c r="AA343" s="15" t="s">
        <v>413</v>
      </c>
      <c r="AB343" s="15" t="s">
        <v>413</v>
      </c>
      <c r="AC343" s="15" t="s">
        <v>4475</v>
      </c>
      <c r="AD343" s="15" t="s">
        <v>15163</v>
      </c>
      <c r="AE343" s="15" t="s">
        <v>4474</v>
      </c>
      <c r="AF343" s="15" t="s">
        <v>15164</v>
      </c>
      <c r="AG343" s="15" t="s">
        <v>15165</v>
      </c>
      <c r="AH343" s="15" t="s">
        <v>15166</v>
      </c>
      <c r="AI343" s="15" t="s">
        <v>15167</v>
      </c>
      <c r="AJ343" s="15" t="s">
        <v>15168</v>
      </c>
      <c r="AK343" s="15" t="s">
        <v>15169</v>
      </c>
      <c r="AL343" s="15" t="s">
        <v>15170</v>
      </c>
      <c r="AM343" s="15" t="s">
        <v>15171</v>
      </c>
      <c r="AN343" s="15" t="s">
        <v>15172</v>
      </c>
      <c r="BH343" s="15" t="s">
        <v>4472</v>
      </c>
      <c r="BI343" s="15" t="str">
        <f>"799"</f>
        <v>799</v>
      </c>
      <c r="BJ343" s="15" t="str">
        <f>"340"</f>
        <v>340</v>
      </c>
      <c r="BK343" s="15" t="s">
        <v>415</v>
      </c>
      <c r="BL343" s="15" t="str">
        <f t="shared" si="1025"/>
        <v>1</v>
      </c>
      <c r="BM343" s="15" t="s">
        <v>416</v>
      </c>
      <c r="BN343" s="15" t="str">
        <f>"36.22"</f>
        <v>36.22</v>
      </c>
      <c r="BO343" s="15" t="str">
        <f>"22.83"</f>
        <v>22.83</v>
      </c>
      <c r="BP343" s="15" t="str">
        <f>"31.1"</f>
        <v>31.1</v>
      </c>
      <c r="BQ343" s="15" t="str">
        <f>"74.96"</f>
        <v>74.96</v>
      </c>
      <c r="CG343" s="15" t="str">
        <f>"14.87"</f>
        <v>14.87</v>
      </c>
      <c r="CH343" s="15" t="str">
        <f>"0.421"</f>
        <v>0.421</v>
      </c>
      <c r="CI343" s="15" t="s">
        <v>465</v>
      </c>
      <c r="CJ343" s="15" t="s">
        <v>1065</v>
      </c>
      <c r="CK343" s="15" t="s">
        <v>4469</v>
      </c>
      <c r="CL343" s="15" t="s">
        <v>4476</v>
      </c>
      <c r="CM343" s="15" t="s">
        <v>1065</v>
      </c>
      <c r="CN343" s="15" t="s">
        <v>1373</v>
      </c>
      <c r="CO343" s="15" t="s">
        <v>4476</v>
      </c>
      <c r="CZ343" s="15" t="s">
        <v>418</v>
      </c>
      <c r="DA343" s="15">
        <v>1.0</v>
      </c>
      <c r="DB343" s="15" t="s">
        <v>419</v>
      </c>
      <c r="DD343" s="15">
        <v>1.0</v>
      </c>
      <c r="DE343" s="15" t="s">
        <v>426</v>
      </c>
      <c r="DF343" s="15" t="s">
        <v>1509</v>
      </c>
      <c r="DG343" s="15" t="s">
        <v>421</v>
      </c>
      <c r="DK343" s="15">
        <v>0.0</v>
      </c>
      <c r="DR343" s="15" t="s">
        <v>471</v>
      </c>
      <c r="DS343" s="15" t="s">
        <v>4468</v>
      </c>
      <c r="DU343" s="15" t="s">
        <v>500</v>
      </c>
      <c r="EF343" s="15" t="s">
        <v>477</v>
      </c>
      <c r="EU343" s="15" t="s">
        <v>426</v>
      </c>
      <c r="EV343" s="15">
        <v>1.0</v>
      </c>
      <c r="FQ343" s="15">
        <v>0.0</v>
      </c>
      <c r="FR343" s="15" t="s">
        <v>427</v>
      </c>
      <c r="FX343" s="15" t="s">
        <v>426</v>
      </c>
      <c r="FZ343" s="15" t="s">
        <v>4477</v>
      </c>
      <c r="GB343" s="15" t="s">
        <v>2547</v>
      </c>
      <c r="GD343" s="15" t="s">
        <v>2571</v>
      </c>
      <c r="GF343" s="15" t="s">
        <v>431</v>
      </c>
      <c r="GH343" s="15" t="s">
        <v>764</v>
      </c>
    </row>
    <row r="344" ht="17.25" customHeight="1">
      <c r="A344" s="15" t="s">
        <v>4480</v>
      </c>
      <c r="B344" s="15" t="str">
        <f>"198394059053"</f>
        <v>198394059053</v>
      </c>
      <c r="C344" s="15" t="s">
        <v>15173</v>
      </c>
      <c r="D344" s="15" t="str">
        <f t="shared" si="1"/>
        <v>Etro SideboardTawny Pine</v>
      </c>
      <c r="E344" s="15" t="s">
        <v>4478</v>
      </c>
      <c r="F344" s="15" t="s">
        <v>397</v>
      </c>
      <c r="G344" s="15" t="s">
        <v>4458</v>
      </c>
      <c r="J344" s="15" t="s">
        <v>4458</v>
      </c>
      <c r="K344" s="15" t="s">
        <v>4464</v>
      </c>
      <c r="M344" s="15" t="s">
        <v>4463</v>
      </c>
      <c r="N344" s="15" t="s">
        <v>664</v>
      </c>
      <c r="P344" s="15" t="str">
        <f>"78"</f>
        <v>78</v>
      </c>
      <c r="Q344" s="15" t="str">
        <f t="shared" si="1023"/>
        <v>18</v>
      </c>
      <c r="R344" s="15" t="str">
        <f>"31"</f>
        <v>31</v>
      </c>
      <c r="S344" s="15" t="str">
        <f>"134.48"</f>
        <v>134.48</v>
      </c>
      <c r="T344" s="15" t="s">
        <v>4462</v>
      </c>
      <c r="U344" s="15" t="s">
        <v>11386</v>
      </c>
      <c r="V344" s="15" t="s">
        <v>11137</v>
      </c>
      <c r="AA344" s="15" t="s">
        <v>413</v>
      </c>
      <c r="AB344" s="15" t="s">
        <v>413</v>
      </c>
      <c r="AC344" s="15" t="s">
        <v>4482</v>
      </c>
      <c r="AD344" s="15" t="s">
        <v>15174</v>
      </c>
      <c r="AE344" s="15" t="s">
        <v>4481</v>
      </c>
      <c r="AF344" s="15" t="s">
        <v>15175</v>
      </c>
      <c r="AG344" s="15" t="s">
        <v>15176</v>
      </c>
      <c r="AH344" s="15" t="s">
        <v>15177</v>
      </c>
      <c r="AI344" s="15" t="s">
        <v>15178</v>
      </c>
      <c r="AJ344" s="15" t="s">
        <v>15179</v>
      </c>
      <c r="AK344" s="15" t="s">
        <v>15180</v>
      </c>
      <c r="AL344" s="15" t="s">
        <v>15181</v>
      </c>
      <c r="AM344" s="15" t="s">
        <v>15182</v>
      </c>
      <c r="AN344" s="15" t="s">
        <v>15183</v>
      </c>
      <c r="AO344" s="15" t="s">
        <v>15184</v>
      </c>
      <c r="AP344" s="15" t="s">
        <v>15185</v>
      </c>
      <c r="BH344" s="15" t="s">
        <v>4479</v>
      </c>
      <c r="BI344" s="15" t="str">
        <f>"1749"</f>
        <v>1749</v>
      </c>
      <c r="BJ344" s="15" t="str">
        <f>"735"</f>
        <v>735</v>
      </c>
      <c r="BK344" s="15" t="s">
        <v>415</v>
      </c>
      <c r="BL344" s="15" t="str">
        <f t="shared" si="1025"/>
        <v>1</v>
      </c>
      <c r="BM344" s="15" t="s">
        <v>416</v>
      </c>
      <c r="BN344" s="15" t="str">
        <f>"81.89"</f>
        <v>81.89</v>
      </c>
      <c r="BO344" s="15" t="str">
        <f>"21.65"</f>
        <v>21.65</v>
      </c>
      <c r="BP344" s="15" t="str">
        <f>"34.65"</f>
        <v>34.65</v>
      </c>
      <c r="BQ344" s="15" t="str">
        <f>"154.32"</f>
        <v>154.32</v>
      </c>
      <c r="CG344" s="15" t="str">
        <f>"35.56"</f>
        <v>35.56</v>
      </c>
      <c r="CH344" s="15" t="str">
        <f>"1.007"</f>
        <v>1.007</v>
      </c>
      <c r="CI344" s="15" t="s">
        <v>465</v>
      </c>
      <c r="CM344" s="15" t="s">
        <v>2598</v>
      </c>
      <c r="CN344" s="15" t="s">
        <v>2837</v>
      </c>
      <c r="CO344" s="15" t="s">
        <v>3782</v>
      </c>
      <c r="CZ344" s="15" t="s">
        <v>419</v>
      </c>
      <c r="DA344" s="15">
        <v>0.0</v>
      </c>
      <c r="DB344" s="15" t="s">
        <v>419</v>
      </c>
      <c r="DD344" s="15">
        <v>0.0</v>
      </c>
      <c r="DF344" s="15" t="s">
        <v>1509</v>
      </c>
      <c r="DG344" s="15" t="s">
        <v>610</v>
      </c>
      <c r="DI344" s="15">
        <v>18.14</v>
      </c>
      <c r="DJ344" s="15">
        <v>40.0</v>
      </c>
      <c r="DK344" s="15">
        <v>2.0</v>
      </c>
      <c r="DS344" s="15" t="s">
        <v>4468</v>
      </c>
      <c r="DU344" s="15" t="s">
        <v>424</v>
      </c>
      <c r="EF344" s="15" t="s">
        <v>477</v>
      </c>
      <c r="EU344" s="15" t="s">
        <v>426</v>
      </c>
      <c r="EV344" s="15">
        <v>2.0</v>
      </c>
      <c r="FH344" s="15" t="s">
        <v>2837</v>
      </c>
      <c r="FI344" s="15" t="s">
        <v>4469</v>
      </c>
      <c r="FJ344" s="15" t="s">
        <v>467</v>
      </c>
      <c r="FK344" s="15" t="s">
        <v>1996</v>
      </c>
      <c r="FL344" s="15" t="s">
        <v>4469</v>
      </c>
      <c r="FM344" s="15" t="s">
        <v>3782</v>
      </c>
      <c r="FN344" s="15">
        <v>0.0</v>
      </c>
      <c r="FO344" s="15" t="s">
        <v>426</v>
      </c>
      <c r="FP344" s="15" t="s">
        <v>785</v>
      </c>
      <c r="FQ344" s="15">
        <v>4.0</v>
      </c>
      <c r="FR344" s="15" t="s">
        <v>614</v>
      </c>
      <c r="FS344" s="15" t="s">
        <v>615</v>
      </c>
      <c r="FT344" s="15">
        <v>0.0</v>
      </c>
      <c r="FU344" s="15" t="s">
        <v>426</v>
      </c>
      <c r="FW344" s="15" t="s">
        <v>616</v>
      </c>
      <c r="HF344" s="15" t="s">
        <v>714</v>
      </c>
      <c r="HQ344" s="15" t="s">
        <v>426</v>
      </c>
    </row>
    <row r="345" ht="17.25" customHeight="1">
      <c r="A345" s="15" t="s">
        <v>4485</v>
      </c>
      <c r="B345" s="15" t="str">
        <f>"801542975357"</f>
        <v>801542975357</v>
      </c>
      <c r="C345" s="15" t="s">
        <v>15186</v>
      </c>
      <c r="D345" s="15" t="str">
        <f t="shared" si="1"/>
        <v>Etta ChairHeirloom Black</v>
      </c>
      <c r="E345" s="15" t="s">
        <v>4483</v>
      </c>
      <c r="F345" s="15" t="s">
        <v>397</v>
      </c>
      <c r="G345" s="15" t="s">
        <v>2575</v>
      </c>
      <c r="J345" s="15" t="s">
        <v>2575</v>
      </c>
      <c r="K345" s="15" t="s">
        <v>1850</v>
      </c>
      <c r="L345" s="15" t="s">
        <v>4488</v>
      </c>
      <c r="M345" s="15" t="s">
        <v>1539</v>
      </c>
      <c r="N345" s="15" t="s">
        <v>706</v>
      </c>
      <c r="O345" s="15" t="s">
        <v>707</v>
      </c>
      <c r="P345" s="15" t="str">
        <f t="shared" ref="P345:P346" si="1026">"33.75"</f>
        <v>33.75</v>
      </c>
      <c r="Q345" s="15" t="str">
        <f t="shared" ref="Q345:Q346" si="1027">"34.25"</f>
        <v>34.25</v>
      </c>
      <c r="R345" s="15" t="str">
        <f t="shared" ref="R345:R346" si="1028">"31.5"</f>
        <v>31.5</v>
      </c>
      <c r="S345" s="15" t="str">
        <f t="shared" ref="S345:S346" si="1029">"68.34"</f>
        <v>68.34</v>
      </c>
      <c r="T345" s="15" t="s">
        <v>4487</v>
      </c>
      <c r="U345" s="15" t="s">
        <v>11137</v>
      </c>
      <c r="V345" s="15" t="s">
        <v>11139</v>
      </c>
      <c r="W345" s="15" t="s">
        <v>11210</v>
      </c>
      <c r="AA345" s="15" t="s">
        <v>413</v>
      </c>
      <c r="AB345" s="15" t="s">
        <v>413</v>
      </c>
      <c r="AC345" s="15" t="s">
        <v>4489</v>
      </c>
      <c r="AD345" s="15" t="s">
        <v>15187</v>
      </c>
      <c r="AE345" s="15" t="s">
        <v>4486</v>
      </c>
      <c r="AF345" s="15" t="s">
        <v>15188</v>
      </c>
      <c r="AG345" s="15" t="s">
        <v>15189</v>
      </c>
      <c r="AH345" s="15" t="s">
        <v>15190</v>
      </c>
      <c r="AI345" s="15" t="s">
        <v>15191</v>
      </c>
      <c r="AJ345" s="15" t="s">
        <v>15192</v>
      </c>
      <c r="AK345" s="15" t="s">
        <v>15193</v>
      </c>
      <c r="AL345" s="15" t="s">
        <v>15194</v>
      </c>
      <c r="AM345" s="15" t="s">
        <v>15195</v>
      </c>
      <c r="AN345" s="15" t="s">
        <v>15196</v>
      </c>
      <c r="AO345" s="15" t="s">
        <v>15197</v>
      </c>
      <c r="AP345" s="15" t="s">
        <v>15198</v>
      </c>
      <c r="AQ345" s="15" t="s">
        <v>15199</v>
      </c>
      <c r="AR345" s="15" t="s">
        <v>15200</v>
      </c>
      <c r="BH345" s="15" t="s">
        <v>4484</v>
      </c>
      <c r="BI345" s="15" t="str">
        <f>"2099"</f>
        <v>2099</v>
      </c>
      <c r="BJ345" s="15" t="str">
        <f>"885"</f>
        <v>885</v>
      </c>
      <c r="BK345" s="15" t="s">
        <v>742</v>
      </c>
      <c r="BL345" s="15" t="str">
        <f t="shared" si="1025"/>
        <v>1</v>
      </c>
      <c r="BM345" s="15" t="s">
        <v>4490</v>
      </c>
      <c r="BN345" s="15" t="str">
        <f t="shared" ref="BN345:BN346" si="1030">"37.8"</f>
        <v>37.8</v>
      </c>
      <c r="BO345" s="15" t="str">
        <f t="shared" ref="BO345:BO346" si="1031">"36.81"</f>
        <v>36.81</v>
      </c>
      <c r="BP345" s="15" t="str">
        <f t="shared" ref="BP345:BP346" si="1032">"35.24"</f>
        <v>35.24</v>
      </c>
      <c r="BQ345" s="15" t="str">
        <f t="shared" ref="BQ345:BQ346" si="1033">"92.59"</f>
        <v>92.59</v>
      </c>
      <c r="CG345" s="15" t="str">
        <f t="shared" ref="CG345:CG346" si="1034">"28.36"</f>
        <v>28.36</v>
      </c>
      <c r="CH345" s="15" t="str">
        <f t="shared" ref="CH345:CH346" si="1035">"0.803"</f>
        <v>0.803</v>
      </c>
      <c r="CI345" s="15" t="s">
        <v>417</v>
      </c>
      <c r="CS345" s="15" t="s">
        <v>4200</v>
      </c>
      <c r="CT345" s="15" t="s">
        <v>4467</v>
      </c>
      <c r="CU345" s="15" t="s">
        <v>779</v>
      </c>
      <c r="CV345" s="15">
        <v>0.0</v>
      </c>
      <c r="CW345" s="15">
        <v>0.0</v>
      </c>
      <c r="CX345" s="15" t="s">
        <v>717</v>
      </c>
      <c r="CY345" s="15" t="s">
        <v>718</v>
      </c>
      <c r="DF345" s="15" t="s">
        <v>721</v>
      </c>
      <c r="DG345" s="15" t="s">
        <v>419</v>
      </c>
      <c r="DH345" s="15">
        <v>0.0</v>
      </c>
      <c r="DL345" s="15">
        <v>0.0</v>
      </c>
      <c r="DM345" s="15" t="s">
        <v>990</v>
      </c>
      <c r="DP345" s="15">
        <v>0.0</v>
      </c>
      <c r="DQ345" s="15">
        <v>1.0</v>
      </c>
      <c r="DS345" s="15" t="s">
        <v>4492</v>
      </c>
      <c r="DT345" s="15">
        <v>0.0</v>
      </c>
      <c r="DU345" s="15" t="s">
        <v>726</v>
      </c>
      <c r="DV345" s="15" t="s">
        <v>1949</v>
      </c>
      <c r="DW345" s="15" t="s">
        <v>985</v>
      </c>
      <c r="DX345" s="15" t="s">
        <v>2346</v>
      </c>
      <c r="EB345" s="15" t="s">
        <v>761</v>
      </c>
      <c r="EF345" s="15" t="s">
        <v>4493</v>
      </c>
      <c r="EH345" s="15" t="s">
        <v>1375</v>
      </c>
      <c r="EI345" s="15" t="s">
        <v>1425</v>
      </c>
      <c r="EO345" s="15" t="s">
        <v>860</v>
      </c>
      <c r="EX345" s="15" t="s">
        <v>2348</v>
      </c>
      <c r="EY345" s="15" t="s">
        <v>1068</v>
      </c>
      <c r="EZ345" s="15">
        <v>0.0</v>
      </c>
      <c r="FA345" s="15">
        <v>0.0</v>
      </c>
      <c r="FC345" s="15">
        <v>0.0</v>
      </c>
    </row>
    <row r="346" ht="17.25" customHeight="1">
      <c r="A346" s="15" t="s">
        <v>4496</v>
      </c>
      <c r="B346" s="15" t="str">
        <f>"801542627287"</f>
        <v>801542627287</v>
      </c>
      <c r="C346" s="15" t="s">
        <v>15201</v>
      </c>
      <c r="D346" s="15" t="str">
        <f t="shared" si="1"/>
        <v>Etta ChairWinchester Beige</v>
      </c>
      <c r="E346" s="15" t="s">
        <v>4483</v>
      </c>
      <c r="F346" s="15" t="s">
        <v>397</v>
      </c>
      <c r="G346" s="15" t="s">
        <v>4495</v>
      </c>
      <c r="J346" s="15" t="s">
        <v>4495</v>
      </c>
      <c r="K346" s="15" t="s">
        <v>1850</v>
      </c>
      <c r="L346" s="15" t="s">
        <v>4488</v>
      </c>
      <c r="M346" s="15" t="s">
        <v>1539</v>
      </c>
      <c r="N346" s="15" t="s">
        <v>706</v>
      </c>
      <c r="O346" s="15" t="s">
        <v>707</v>
      </c>
      <c r="P346" s="15" t="str">
        <f t="shared" si="1026"/>
        <v>33.75</v>
      </c>
      <c r="Q346" s="15" t="str">
        <f t="shared" si="1027"/>
        <v>34.25</v>
      </c>
      <c r="R346" s="15" t="str">
        <f t="shared" si="1028"/>
        <v>31.5</v>
      </c>
      <c r="S346" s="15" t="str">
        <f t="shared" si="1029"/>
        <v>68.34</v>
      </c>
      <c r="T346" s="15" t="s">
        <v>4487</v>
      </c>
      <c r="U346" s="15" t="s">
        <v>11137</v>
      </c>
      <c r="V346" s="15" t="s">
        <v>11139</v>
      </c>
      <c r="W346" s="15" t="s">
        <v>11210</v>
      </c>
      <c r="AA346" s="15" t="s">
        <v>413</v>
      </c>
      <c r="AB346" s="15" t="s">
        <v>413</v>
      </c>
      <c r="AC346" s="15" t="s">
        <v>4498</v>
      </c>
      <c r="AD346" s="15" t="s">
        <v>15202</v>
      </c>
      <c r="AE346" s="15" t="s">
        <v>4497</v>
      </c>
      <c r="AF346" s="15" t="s">
        <v>15203</v>
      </c>
      <c r="AG346" s="15" t="s">
        <v>15204</v>
      </c>
      <c r="AH346" s="15" t="s">
        <v>15205</v>
      </c>
      <c r="AI346" s="15" t="s">
        <v>15206</v>
      </c>
      <c r="AJ346" s="15" t="s">
        <v>15207</v>
      </c>
      <c r="AK346" s="15" t="s">
        <v>15208</v>
      </c>
      <c r="AL346" s="15" t="s">
        <v>15209</v>
      </c>
      <c r="AM346" s="15" t="s">
        <v>15210</v>
      </c>
      <c r="AN346" s="15" t="s">
        <v>15211</v>
      </c>
      <c r="AO346" s="15" t="s">
        <v>15212</v>
      </c>
      <c r="AP346" s="15" t="s">
        <v>15213</v>
      </c>
      <c r="BH346" s="15" t="s">
        <v>4494</v>
      </c>
      <c r="BI346" s="15" t="str">
        <f>"2199"</f>
        <v>2199</v>
      </c>
      <c r="BJ346" s="15" t="str">
        <f>"925"</f>
        <v>925</v>
      </c>
      <c r="BK346" s="15" t="s">
        <v>742</v>
      </c>
      <c r="BL346" s="15" t="str">
        <f t="shared" si="1025"/>
        <v>1</v>
      </c>
      <c r="BM346" s="15" t="s">
        <v>4490</v>
      </c>
      <c r="BN346" s="15" t="str">
        <f t="shared" si="1030"/>
        <v>37.8</v>
      </c>
      <c r="BO346" s="15" t="str">
        <f t="shared" si="1031"/>
        <v>36.81</v>
      </c>
      <c r="BP346" s="15" t="str">
        <f t="shared" si="1032"/>
        <v>35.24</v>
      </c>
      <c r="BQ346" s="15" t="str">
        <f t="shared" si="1033"/>
        <v>92.59</v>
      </c>
      <c r="CG346" s="15" t="str">
        <f t="shared" si="1034"/>
        <v>28.36</v>
      </c>
      <c r="CH346" s="15" t="str">
        <f t="shared" si="1035"/>
        <v>0.803</v>
      </c>
      <c r="CI346" s="15" t="s">
        <v>465</v>
      </c>
      <c r="CS346" s="15" t="s">
        <v>4200</v>
      </c>
      <c r="CT346" s="15" t="s">
        <v>4467</v>
      </c>
      <c r="CU346" s="15" t="s">
        <v>779</v>
      </c>
      <c r="CV346" s="15">
        <v>0.0</v>
      </c>
      <c r="CW346" s="15">
        <v>0.0</v>
      </c>
      <c r="CX346" s="15" t="s">
        <v>717</v>
      </c>
      <c r="CY346" s="15" t="s">
        <v>718</v>
      </c>
      <c r="DF346" s="15" t="s">
        <v>721</v>
      </c>
      <c r="DG346" s="15" t="s">
        <v>419</v>
      </c>
      <c r="DH346" s="15">
        <v>0.0</v>
      </c>
      <c r="DL346" s="15">
        <v>0.0</v>
      </c>
      <c r="DM346" s="15" t="s">
        <v>990</v>
      </c>
      <c r="DP346" s="15">
        <v>0.0</v>
      </c>
      <c r="DQ346" s="15">
        <v>1.0</v>
      </c>
      <c r="DS346" s="15" t="s">
        <v>4492</v>
      </c>
      <c r="DT346" s="15">
        <v>0.0</v>
      </c>
      <c r="DU346" s="15" t="s">
        <v>726</v>
      </c>
      <c r="DV346" s="15" t="s">
        <v>1949</v>
      </c>
      <c r="DW346" s="15" t="s">
        <v>985</v>
      </c>
      <c r="DX346" s="15" t="s">
        <v>2346</v>
      </c>
      <c r="EB346" s="15" t="s">
        <v>761</v>
      </c>
      <c r="EF346" s="15" t="s">
        <v>4493</v>
      </c>
      <c r="EH346" s="15" t="s">
        <v>1375</v>
      </c>
      <c r="EI346" s="15" t="s">
        <v>1425</v>
      </c>
      <c r="EO346" s="15" t="s">
        <v>860</v>
      </c>
      <c r="EX346" s="15" t="s">
        <v>2348</v>
      </c>
      <c r="EY346" s="15" t="s">
        <v>1068</v>
      </c>
      <c r="EZ346" s="15">
        <v>0.0</v>
      </c>
      <c r="FA346" s="15">
        <v>0.0</v>
      </c>
      <c r="FC346" s="15">
        <v>0.0</v>
      </c>
    </row>
    <row r="347" ht="17.25" customHeight="1">
      <c r="A347" s="15" t="s">
        <v>4502</v>
      </c>
      <c r="B347" s="15" t="str">
        <f>"198394019552"</f>
        <v>198394019552</v>
      </c>
      <c r="C347" s="15" t="s">
        <v>15214</v>
      </c>
      <c r="D347" s="15" t="str">
        <f t="shared" si="1"/>
        <v>Everly SofaAntwerp Cafe</v>
      </c>
      <c r="E347" s="15" t="s">
        <v>4499</v>
      </c>
      <c r="F347" s="15" t="s">
        <v>397</v>
      </c>
      <c r="G347" s="15" t="s">
        <v>4501</v>
      </c>
      <c r="J347" s="15" t="s">
        <v>4501</v>
      </c>
      <c r="K347" s="15" t="s">
        <v>2418</v>
      </c>
      <c r="M347" s="15" t="s">
        <v>915</v>
      </c>
      <c r="N347" s="15" t="s">
        <v>1732</v>
      </c>
      <c r="P347" s="15" t="str">
        <f t="shared" ref="P347:P348" si="1036">"84"</f>
        <v>84</v>
      </c>
      <c r="Q347" s="15" t="str">
        <f t="shared" ref="Q347:Q348" si="1037">"43"</f>
        <v>43</v>
      </c>
      <c r="R347" s="15" t="str">
        <f t="shared" ref="R347:R348" si="1038">"32"</f>
        <v>32</v>
      </c>
      <c r="S347" s="15" t="str">
        <f t="shared" ref="S347:S348" si="1039">"132.28"</f>
        <v>132.28</v>
      </c>
      <c r="T347" s="15" t="s">
        <v>4504</v>
      </c>
      <c r="U347" s="15" t="s">
        <v>12517</v>
      </c>
      <c r="V347" s="15" t="s">
        <v>12518</v>
      </c>
      <c r="W347" s="15" t="s">
        <v>12519</v>
      </c>
      <c r="X347" s="15" t="s">
        <v>11210</v>
      </c>
      <c r="AA347" s="15" t="s">
        <v>413</v>
      </c>
      <c r="AB347" s="15" t="s">
        <v>426</v>
      </c>
      <c r="AC347" s="15" t="s">
        <v>4505</v>
      </c>
      <c r="AD347" s="15" t="s">
        <v>15215</v>
      </c>
      <c r="AE347" s="15" t="s">
        <v>4503</v>
      </c>
      <c r="AF347" s="15" t="s">
        <v>15216</v>
      </c>
      <c r="AG347" s="15" t="s">
        <v>15217</v>
      </c>
      <c r="AH347" s="15" t="s">
        <v>15218</v>
      </c>
      <c r="AI347" s="15" t="s">
        <v>15219</v>
      </c>
      <c r="AJ347" s="15" t="s">
        <v>15220</v>
      </c>
      <c r="AK347" s="15" t="s">
        <v>15221</v>
      </c>
      <c r="AL347" s="15" t="s">
        <v>15222</v>
      </c>
      <c r="AM347" s="15" t="s">
        <v>15223</v>
      </c>
      <c r="AN347" s="15" t="s">
        <v>15224</v>
      </c>
      <c r="AO347" s="15" t="s">
        <v>15225</v>
      </c>
      <c r="BH347" s="15" t="s">
        <v>4500</v>
      </c>
      <c r="BI347" s="15" t="str">
        <f>"2299"</f>
        <v>2299</v>
      </c>
      <c r="BJ347" s="15" t="str">
        <f>"970"</f>
        <v>970</v>
      </c>
      <c r="BK347" s="15" t="s">
        <v>709</v>
      </c>
      <c r="BL347" s="15" t="str">
        <f t="shared" si="1025"/>
        <v>1</v>
      </c>
      <c r="BM347" s="15" t="s">
        <v>416</v>
      </c>
      <c r="BN347" s="15" t="str">
        <f t="shared" ref="BN347:BN348" si="1040">"85.04"</f>
        <v>85.04</v>
      </c>
      <c r="BO347" s="15" t="str">
        <f t="shared" ref="BO347:BO348" si="1041">"43.7"</f>
        <v>43.7</v>
      </c>
      <c r="BP347" s="15" t="str">
        <f t="shared" ref="BP347:BP348" si="1042">"21.65"</f>
        <v>21.65</v>
      </c>
      <c r="BQ347" s="15" t="str">
        <f t="shared" ref="BQ347:BQ348" si="1043">"158.73"</f>
        <v>158.73</v>
      </c>
      <c r="CG347" s="15" t="str">
        <f>"46.54"</f>
        <v>46.54</v>
      </c>
      <c r="CH347" s="15" t="str">
        <f>"1.318"</f>
        <v>1.318</v>
      </c>
      <c r="CI347" s="15" t="s">
        <v>417</v>
      </c>
      <c r="CP347" s="15" t="s">
        <v>529</v>
      </c>
      <c r="CQ347" s="15" t="s">
        <v>505</v>
      </c>
      <c r="CR347" s="15" t="s">
        <v>2385</v>
      </c>
      <c r="CS347" s="15" t="s">
        <v>1064</v>
      </c>
      <c r="CT347" s="15" t="s">
        <v>467</v>
      </c>
      <c r="CU347" s="15" t="s">
        <v>4508</v>
      </c>
      <c r="CV347" s="15">
        <v>0.0</v>
      </c>
      <c r="CW347" s="15">
        <v>2.0</v>
      </c>
      <c r="CX347" s="15" t="s">
        <v>717</v>
      </c>
      <c r="CY347" s="15" t="s">
        <v>855</v>
      </c>
      <c r="DC347" s="15" t="s">
        <v>1066</v>
      </c>
      <c r="DF347" s="15" t="s">
        <v>721</v>
      </c>
      <c r="DG347" s="15" t="s">
        <v>419</v>
      </c>
      <c r="DH347" s="15">
        <v>0.0</v>
      </c>
      <c r="DL347" s="15">
        <v>30000.0</v>
      </c>
      <c r="DM347" s="15" t="s">
        <v>722</v>
      </c>
      <c r="DN347" s="15" t="s">
        <v>723</v>
      </c>
      <c r="DO347" s="15" t="s">
        <v>724</v>
      </c>
      <c r="DP347" s="15">
        <v>2.0</v>
      </c>
      <c r="DQ347" s="15">
        <v>4.0</v>
      </c>
      <c r="DS347" s="15" t="s">
        <v>4509</v>
      </c>
      <c r="DT347" s="15">
        <v>0.0</v>
      </c>
      <c r="DU347" s="15" t="s">
        <v>588</v>
      </c>
      <c r="DV347" s="15" t="s">
        <v>1806</v>
      </c>
      <c r="DW347" s="15" t="s">
        <v>2116</v>
      </c>
      <c r="DX347" s="15" t="s">
        <v>4510</v>
      </c>
      <c r="EB347" s="15" t="s">
        <v>3305</v>
      </c>
      <c r="EC347" s="15" t="s">
        <v>2116</v>
      </c>
      <c r="ED347" s="15" t="s">
        <v>1213</v>
      </c>
      <c r="EE347" s="15" t="s">
        <v>2385</v>
      </c>
      <c r="EF347" s="15" t="s">
        <v>1235</v>
      </c>
      <c r="EH347" s="15" t="s">
        <v>4511</v>
      </c>
      <c r="EI347" s="15" t="s">
        <v>2116</v>
      </c>
      <c r="EL347" s="15" t="s">
        <v>723</v>
      </c>
      <c r="EM347" s="15" t="s">
        <v>724</v>
      </c>
      <c r="EN347" s="15" t="s">
        <v>1077</v>
      </c>
      <c r="EO347" s="15" t="s">
        <v>1078</v>
      </c>
      <c r="EP347" s="15" t="s">
        <v>1290</v>
      </c>
    </row>
    <row r="348" ht="17.25" customHeight="1">
      <c r="A348" s="15" t="s">
        <v>4513</v>
      </c>
      <c r="B348" s="15" t="str">
        <f>"801542460532"</f>
        <v>801542460532</v>
      </c>
      <c r="C348" s="15" t="s">
        <v>15226</v>
      </c>
      <c r="D348" s="15" t="str">
        <f t="shared" si="1"/>
        <v>Everly SofaIrving Taupe</v>
      </c>
      <c r="E348" s="15" t="s">
        <v>4499</v>
      </c>
      <c r="F348" s="15" t="s">
        <v>397</v>
      </c>
      <c r="G348" s="15" t="s">
        <v>2923</v>
      </c>
      <c r="J348" s="15" t="s">
        <v>2923</v>
      </c>
      <c r="K348" s="15" t="s">
        <v>4516</v>
      </c>
      <c r="M348" s="15" t="s">
        <v>915</v>
      </c>
      <c r="N348" s="15" t="s">
        <v>1732</v>
      </c>
      <c r="P348" s="15" t="str">
        <f t="shared" si="1036"/>
        <v>84</v>
      </c>
      <c r="Q348" s="15" t="str">
        <f t="shared" si="1037"/>
        <v>43</v>
      </c>
      <c r="R348" s="15" t="str">
        <f t="shared" si="1038"/>
        <v>32</v>
      </c>
      <c r="S348" s="15" t="str">
        <f t="shared" si="1039"/>
        <v>132.28</v>
      </c>
      <c r="T348" s="15" t="s">
        <v>4515</v>
      </c>
      <c r="U348" s="15" t="s">
        <v>13272</v>
      </c>
      <c r="V348" s="15" t="s">
        <v>13273</v>
      </c>
      <c r="W348" s="15" t="s">
        <v>11210</v>
      </c>
      <c r="AA348" s="15" t="s">
        <v>413</v>
      </c>
      <c r="AB348" s="15" t="s">
        <v>426</v>
      </c>
      <c r="AC348" s="15" t="s">
        <v>4517</v>
      </c>
      <c r="AD348" s="15" t="s">
        <v>15227</v>
      </c>
      <c r="AE348" s="15" t="s">
        <v>4514</v>
      </c>
      <c r="AF348" s="15" t="s">
        <v>15228</v>
      </c>
      <c r="AG348" s="15" t="s">
        <v>15229</v>
      </c>
      <c r="AH348" s="15" t="s">
        <v>15230</v>
      </c>
      <c r="AI348" s="15" t="s">
        <v>15231</v>
      </c>
      <c r="AJ348" s="15" t="s">
        <v>15232</v>
      </c>
      <c r="AK348" s="15" t="s">
        <v>15233</v>
      </c>
      <c r="AL348" s="15" t="s">
        <v>15234</v>
      </c>
      <c r="AM348" s="15" t="s">
        <v>15235</v>
      </c>
      <c r="AN348" s="15" t="s">
        <v>15236</v>
      </c>
      <c r="AO348" s="15" t="s">
        <v>15237</v>
      </c>
      <c r="AP348" s="15" t="s">
        <v>15238</v>
      </c>
      <c r="BH348" s="15" t="s">
        <v>4512</v>
      </c>
      <c r="BI348" s="15" t="str">
        <f>"2099"</f>
        <v>2099</v>
      </c>
      <c r="BJ348" s="15" t="str">
        <f>"885"</f>
        <v>885</v>
      </c>
      <c r="BK348" s="15" t="s">
        <v>709</v>
      </c>
      <c r="BL348" s="15" t="str">
        <f t="shared" si="1025"/>
        <v>1</v>
      </c>
      <c r="BM348" s="15" t="s">
        <v>416</v>
      </c>
      <c r="BN348" s="15" t="str">
        <f t="shared" si="1040"/>
        <v>85.04</v>
      </c>
      <c r="BO348" s="15" t="str">
        <f t="shared" si="1041"/>
        <v>43.7</v>
      </c>
      <c r="BP348" s="15" t="str">
        <f t="shared" si="1042"/>
        <v>21.65</v>
      </c>
      <c r="BQ348" s="15" t="str">
        <f t="shared" si="1043"/>
        <v>158.73</v>
      </c>
      <c r="CG348" s="15" t="str">
        <f>"46.62"</f>
        <v>46.62</v>
      </c>
      <c r="CH348" s="15" t="str">
        <f>"1.32"</f>
        <v>1.32</v>
      </c>
      <c r="CI348" s="15" t="s">
        <v>497</v>
      </c>
      <c r="CP348" s="15" t="s">
        <v>529</v>
      </c>
      <c r="CQ348" s="15" t="s">
        <v>505</v>
      </c>
      <c r="CR348" s="15" t="s">
        <v>2385</v>
      </c>
      <c r="CS348" s="15" t="s">
        <v>1064</v>
      </c>
      <c r="CT348" s="15" t="s">
        <v>467</v>
      </c>
      <c r="CU348" s="15" t="s">
        <v>4508</v>
      </c>
      <c r="CV348" s="15">
        <v>0.0</v>
      </c>
      <c r="CW348" s="15">
        <v>2.0</v>
      </c>
      <c r="CX348" s="15" t="s">
        <v>717</v>
      </c>
      <c r="CY348" s="15" t="s">
        <v>855</v>
      </c>
      <c r="DC348" s="15" t="s">
        <v>1066</v>
      </c>
      <c r="DF348" s="15" t="s">
        <v>721</v>
      </c>
      <c r="DG348" s="15" t="s">
        <v>419</v>
      </c>
      <c r="DH348" s="15">
        <v>0.0</v>
      </c>
      <c r="DL348" s="15">
        <v>25000.0</v>
      </c>
      <c r="DM348" s="15" t="s">
        <v>722</v>
      </c>
      <c r="DN348" s="15" t="s">
        <v>723</v>
      </c>
      <c r="DO348" s="15" t="s">
        <v>724</v>
      </c>
      <c r="DP348" s="15">
        <v>2.0</v>
      </c>
      <c r="DQ348" s="15">
        <v>4.0</v>
      </c>
      <c r="DS348" s="15" t="s">
        <v>4509</v>
      </c>
      <c r="DT348" s="15">
        <v>0.0</v>
      </c>
      <c r="DU348" s="15" t="s">
        <v>588</v>
      </c>
      <c r="DV348" s="15" t="s">
        <v>1806</v>
      </c>
      <c r="DW348" s="15" t="s">
        <v>2116</v>
      </c>
      <c r="DX348" s="15" t="s">
        <v>4510</v>
      </c>
      <c r="EB348" s="15" t="s">
        <v>3305</v>
      </c>
      <c r="EC348" s="15" t="s">
        <v>2116</v>
      </c>
      <c r="ED348" s="15" t="s">
        <v>1213</v>
      </c>
      <c r="EE348" s="15" t="s">
        <v>2385</v>
      </c>
      <c r="EF348" s="15" t="s">
        <v>1235</v>
      </c>
      <c r="EH348" s="15" t="s">
        <v>4511</v>
      </c>
      <c r="EI348" s="15" t="s">
        <v>2116</v>
      </c>
      <c r="EL348" s="15" t="s">
        <v>723</v>
      </c>
      <c r="EM348" s="15" t="s">
        <v>724</v>
      </c>
      <c r="EN348" s="15" t="s">
        <v>1077</v>
      </c>
      <c r="EO348" s="15" t="s">
        <v>1078</v>
      </c>
      <c r="EP348" s="15" t="s">
        <v>1290</v>
      </c>
    </row>
    <row r="349" ht="17.25" customHeight="1">
      <c r="A349" s="15" t="s">
        <v>4520</v>
      </c>
      <c r="B349" s="15" t="str">
        <f>"198394028516"</f>
        <v>198394028516</v>
      </c>
      <c r="C349" s="15" t="s">
        <v>15239</v>
      </c>
      <c r="D349" s="15" t="str">
        <f t="shared" si="1"/>
        <v>Everly Tete A Tete ChaiseAntwerp Cafe</v>
      </c>
      <c r="E349" s="15" t="s">
        <v>4518</v>
      </c>
      <c r="F349" s="15" t="s">
        <v>397</v>
      </c>
      <c r="G349" s="15" t="s">
        <v>4501</v>
      </c>
      <c r="J349" s="15" t="s">
        <v>4501</v>
      </c>
      <c r="K349" s="15" t="s">
        <v>2418</v>
      </c>
      <c r="M349" s="15" t="s">
        <v>915</v>
      </c>
      <c r="N349" s="15" t="s">
        <v>1226</v>
      </c>
      <c r="P349" s="15" t="str">
        <f t="shared" ref="P349:P350" si="1044">"81"</f>
        <v>81</v>
      </c>
      <c r="Q349" s="15" t="str">
        <f t="shared" ref="Q349:Q350" si="1045">"47"</f>
        <v>47</v>
      </c>
      <c r="R349" s="15" t="str">
        <f t="shared" ref="R349:R350" si="1046">"26.25"</f>
        <v>26.25</v>
      </c>
      <c r="S349" s="15" t="str">
        <f t="shared" ref="S349:S350" si="1047">"169.75"</f>
        <v>169.75</v>
      </c>
      <c r="T349" s="15" t="s">
        <v>4504</v>
      </c>
      <c r="U349" s="15" t="s">
        <v>12517</v>
      </c>
      <c r="V349" s="15" t="s">
        <v>12518</v>
      </c>
      <c r="W349" s="15" t="s">
        <v>12519</v>
      </c>
      <c r="X349" s="15" t="s">
        <v>11210</v>
      </c>
      <c r="AA349" s="15" t="s">
        <v>413</v>
      </c>
      <c r="AB349" s="15" t="s">
        <v>426</v>
      </c>
      <c r="AC349" s="15" t="s">
        <v>4525</v>
      </c>
      <c r="AD349" s="15" t="s">
        <v>15240</v>
      </c>
      <c r="AE349" s="15" t="s">
        <v>4521</v>
      </c>
      <c r="AF349" s="15" t="s">
        <v>15241</v>
      </c>
      <c r="AG349" s="15" t="s">
        <v>15242</v>
      </c>
      <c r="AH349" s="15" t="s">
        <v>15243</v>
      </c>
      <c r="AI349" s="15" t="s">
        <v>15244</v>
      </c>
      <c r="AJ349" s="15" t="s">
        <v>15245</v>
      </c>
      <c r="AK349" s="15" t="s">
        <v>15246</v>
      </c>
      <c r="AL349" s="15" t="s">
        <v>15247</v>
      </c>
      <c r="AM349" s="15" t="s">
        <v>15248</v>
      </c>
      <c r="BH349" s="15" t="s">
        <v>4519</v>
      </c>
      <c r="BI349" s="15" t="str">
        <f>"2599"</f>
        <v>2599</v>
      </c>
      <c r="BJ349" s="15" t="str">
        <f>"1095"</f>
        <v>1095</v>
      </c>
      <c r="BK349" s="15" t="s">
        <v>709</v>
      </c>
      <c r="BL349" s="15" t="str">
        <f t="shared" si="1025"/>
        <v>1</v>
      </c>
      <c r="BM349" s="15" t="s">
        <v>416</v>
      </c>
      <c r="BN349" s="15" t="str">
        <f t="shared" ref="BN349:BN350" si="1048">"84.65"</f>
        <v>84.65</v>
      </c>
      <c r="BO349" s="15" t="str">
        <f t="shared" ref="BO349:BO350" si="1049">"48.03"</f>
        <v>48.03</v>
      </c>
      <c r="BP349" s="15" t="str">
        <f t="shared" ref="BP349:BP350" si="1050">"22.44"</f>
        <v>22.44</v>
      </c>
      <c r="BQ349" s="15" t="str">
        <f t="shared" ref="BQ349:BQ350" si="1051">"204.15"</f>
        <v>204.15</v>
      </c>
      <c r="CG349" s="15" t="str">
        <f t="shared" ref="CG349:CG350" si="1052">"52.8"</f>
        <v>52.8</v>
      </c>
      <c r="CH349" s="15" t="str">
        <f t="shared" ref="CH349:CH350" si="1053">"1.495"</f>
        <v>1.495</v>
      </c>
      <c r="CI349" s="15" t="s">
        <v>417</v>
      </c>
      <c r="CP349" s="15" t="s">
        <v>4528</v>
      </c>
      <c r="CQ349" s="15" t="s">
        <v>2548</v>
      </c>
      <c r="CR349" s="15" t="s">
        <v>4529</v>
      </c>
      <c r="CS349" s="15" t="s">
        <v>4528</v>
      </c>
      <c r="CT349" s="15" t="s">
        <v>1065</v>
      </c>
      <c r="CU349" s="15" t="s">
        <v>996</v>
      </c>
      <c r="CV349" s="15">
        <v>0.0</v>
      </c>
      <c r="CW349" s="15">
        <v>0.0</v>
      </c>
      <c r="CX349" s="15" t="s">
        <v>717</v>
      </c>
      <c r="CY349" s="15" t="s">
        <v>855</v>
      </c>
      <c r="DC349" s="15" t="s">
        <v>3778</v>
      </c>
      <c r="DF349" s="15" t="s">
        <v>721</v>
      </c>
      <c r="DG349" s="15" t="s">
        <v>419</v>
      </c>
      <c r="DH349" s="15">
        <v>2.0</v>
      </c>
      <c r="DL349" s="15">
        <v>30000.0</v>
      </c>
      <c r="DM349" s="15" t="s">
        <v>990</v>
      </c>
      <c r="DN349" s="15" t="s">
        <v>723</v>
      </c>
      <c r="DO349" s="15" t="s">
        <v>724</v>
      </c>
      <c r="DP349" s="15">
        <v>1.0</v>
      </c>
      <c r="DQ349" s="15">
        <v>2.0</v>
      </c>
      <c r="DS349" s="15" t="s">
        <v>4509</v>
      </c>
      <c r="DT349" s="15">
        <v>2.0</v>
      </c>
      <c r="DU349" s="15" t="s">
        <v>1545</v>
      </c>
      <c r="DV349" s="15" t="s">
        <v>3811</v>
      </c>
      <c r="DW349" s="15" t="s">
        <v>2805</v>
      </c>
      <c r="DX349" s="15" t="s">
        <v>4530</v>
      </c>
      <c r="EB349" s="15" t="s">
        <v>2548</v>
      </c>
      <c r="EF349" s="15" t="s">
        <v>1235</v>
      </c>
      <c r="EH349" s="15" t="s">
        <v>4531</v>
      </c>
      <c r="EO349" s="15" t="s">
        <v>1290</v>
      </c>
      <c r="EP349" s="15" t="s">
        <v>1076</v>
      </c>
      <c r="FB349" s="15" t="s">
        <v>2436</v>
      </c>
      <c r="IP349" s="15" t="s">
        <v>3332</v>
      </c>
      <c r="IQ349" s="15" t="s">
        <v>2116</v>
      </c>
      <c r="IR349" s="15" t="s">
        <v>2116</v>
      </c>
      <c r="IS349" s="15" t="s">
        <v>2200</v>
      </c>
      <c r="IT349" s="15" t="s">
        <v>426</v>
      </c>
      <c r="JF349" s="15" t="s">
        <v>2116</v>
      </c>
      <c r="JG349" s="15" t="s">
        <v>1211</v>
      </c>
      <c r="JH349" s="15" t="s">
        <v>1211</v>
      </c>
      <c r="JK349" s="15" t="s">
        <v>426</v>
      </c>
    </row>
    <row r="350" ht="17.25" customHeight="1">
      <c r="A350" s="15" t="s">
        <v>4533</v>
      </c>
      <c r="B350" s="15" t="str">
        <f>"801542262600"</f>
        <v>801542262600</v>
      </c>
      <c r="C350" s="15" t="s">
        <v>15249</v>
      </c>
      <c r="D350" s="15" t="str">
        <f t="shared" si="1"/>
        <v>Everly Tete A Tete ChaiseIrving Taupe</v>
      </c>
      <c r="E350" s="15" t="s">
        <v>4518</v>
      </c>
      <c r="F350" s="15" t="s">
        <v>397</v>
      </c>
      <c r="G350" s="15" t="s">
        <v>2923</v>
      </c>
      <c r="J350" s="15" t="s">
        <v>2923</v>
      </c>
      <c r="K350" s="15" t="s">
        <v>4516</v>
      </c>
      <c r="M350" s="15" t="s">
        <v>915</v>
      </c>
      <c r="N350" s="15" t="s">
        <v>1226</v>
      </c>
      <c r="P350" s="15" t="str">
        <f t="shared" si="1044"/>
        <v>81</v>
      </c>
      <c r="Q350" s="15" t="str">
        <f t="shared" si="1045"/>
        <v>47</v>
      </c>
      <c r="R350" s="15" t="str">
        <f t="shared" si="1046"/>
        <v>26.25</v>
      </c>
      <c r="S350" s="15" t="str">
        <f t="shared" si="1047"/>
        <v>169.75</v>
      </c>
      <c r="T350" s="15" t="s">
        <v>4515</v>
      </c>
      <c r="U350" s="15" t="s">
        <v>13272</v>
      </c>
      <c r="V350" s="15" t="s">
        <v>13273</v>
      </c>
      <c r="W350" s="15" t="s">
        <v>11210</v>
      </c>
      <c r="AA350" s="15" t="s">
        <v>413</v>
      </c>
      <c r="AB350" s="15" t="s">
        <v>426</v>
      </c>
      <c r="AC350" s="15" t="s">
        <v>4535</v>
      </c>
      <c r="AD350" s="15" t="s">
        <v>15250</v>
      </c>
      <c r="AE350" s="15" t="s">
        <v>4534</v>
      </c>
      <c r="AF350" s="15" t="s">
        <v>15251</v>
      </c>
      <c r="AG350" s="15" t="s">
        <v>15252</v>
      </c>
      <c r="AH350" s="15" t="s">
        <v>15253</v>
      </c>
      <c r="AI350" s="15" t="s">
        <v>15254</v>
      </c>
      <c r="AJ350" s="15" t="s">
        <v>15255</v>
      </c>
      <c r="AK350" s="15" t="s">
        <v>15256</v>
      </c>
      <c r="AL350" s="15" t="s">
        <v>15257</v>
      </c>
      <c r="AM350" s="15" t="s">
        <v>15258</v>
      </c>
      <c r="BH350" s="15" t="s">
        <v>4532</v>
      </c>
      <c r="BI350" s="15" t="str">
        <f>"2399"</f>
        <v>2399</v>
      </c>
      <c r="BJ350" s="15" t="str">
        <f>"1010"</f>
        <v>1010</v>
      </c>
      <c r="BK350" s="15" t="s">
        <v>709</v>
      </c>
      <c r="BL350" s="15" t="str">
        <f t="shared" si="1025"/>
        <v>1</v>
      </c>
      <c r="BM350" s="15" t="s">
        <v>416</v>
      </c>
      <c r="BN350" s="15" t="str">
        <f t="shared" si="1048"/>
        <v>84.65</v>
      </c>
      <c r="BO350" s="15" t="str">
        <f t="shared" si="1049"/>
        <v>48.03</v>
      </c>
      <c r="BP350" s="15" t="str">
        <f t="shared" si="1050"/>
        <v>22.44</v>
      </c>
      <c r="BQ350" s="15" t="str">
        <f t="shared" si="1051"/>
        <v>204.15</v>
      </c>
      <c r="CG350" s="15" t="str">
        <f t="shared" si="1052"/>
        <v>52.8</v>
      </c>
      <c r="CH350" s="15" t="str">
        <f t="shared" si="1053"/>
        <v>1.495</v>
      </c>
      <c r="CI350" s="15" t="s">
        <v>465</v>
      </c>
      <c r="CP350" s="15" t="s">
        <v>4528</v>
      </c>
      <c r="CQ350" s="15" t="s">
        <v>2548</v>
      </c>
      <c r="CR350" s="15" t="s">
        <v>4529</v>
      </c>
      <c r="CS350" s="15" t="s">
        <v>4528</v>
      </c>
      <c r="CT350" s="15" t="s">
        <v>1065</v>
      </c>
      <c r="CU350" s="15" t="s">
        <v>996</v>
      </c>
      <c r="CV350" s="15">
        <v>0.0</v>
      </c>
      <c r="CW350" s="15">
        <v>0.0</v>
      </c>
      <c r="CX350" s="15" t="s">
        <v>717</v>
      </c>
      <c r="CY350" s="15" t="s">
        <v>855</v>
      </c>
      <c r="DC350" s="15" t="s">
        <v>3778</v>
      </c>
      <c r="DF350" s="15" t="s">
        <v>721</v>
      </c>
      <c r="DG350" s="15" t="s">
        <v>419</v>
      </c>
      <c r="DH350" s="15">
        <v>2.0</v>
      </c>
      <c r="DL350" s="15">
        <v>25000.0</v>
      </c>
      <c r="DM350" s="15" t="s">
        <v>990</v>
      </c>
      <c r="DN350" s="15" t="s">
        <v>723</v>
      </c>
      <c r="DO350" s="15" t="s">
        <v>724</v>
      </c>
      <c r="DP350" s="15">
        <v>1.0</v>
      </c>
      <c r="DQ350" s="15">
        <v>2.0</v>
      </c>
      <c r="DS350" s="15" t="s">
        <v>4509</v>
      </c>
      <c r="DT350" s="15">
        <v>2.0</v>
      </c>
      <c r="DU350" s="15" t="s">
        <v>1545</v>
      </c>
      <c r="DV350" s="15" t="s">
        <v>3811</v>
      </c>
      <c r="DW350" s="15" t="s">
        <v>2805</v>
      </c>
      <c r="DX350" s="15" t="s">
        <v>4530</v>
      </c>
      <c r="EB350" s="15" t="s">
        <v>2548</v>
      </c>
      <c r="EF350" s="15" t="s">
        <v>1235</v>
      </c>
      <c r="EH350" s="15" t="s">
        <v>4531</v>
      </c>
      <c r="EO350" s="15" t="s">
        <v>1290</v>
      </c>
      <c r="EP350" s="15" t="s">
        <v>1076</v>
      </c>
      <c r="FB350" s="15" t="s">
        <v>2436</v>
      </c>
      <c r="IP350" s="15" t="s">
        <v>3332</v>
      </c>
      <c r="IQ350" s="15" t="s">
        <v>2116</v>
      </c>
      <c r="IR350" s="15" t="s">
        <v>2116</v>
      </c>
      <c r="IS350" s="15" t="s">
        <v>2200</v>
      </c>
      <c r="IT350" s="15" t="s">
        <v>426</v>
      </c>
      <c r="JF350" s="15" t="s">
        <v>2116</v>
      </c>
      <c r="JG350" s="15" t="s">
        <v>1211</v>
      </c>
      <c r="JH350" s="15" t="s">
        <v>1211</v>
      </c>
      <c r="JK350" s="15" t="s">
        <v>426</v>
      </c>
    </row>
    <row r="351" ht="17.25" customHeight="1">
      <c r="A351" s="15" t="s">
        <v>4539</v>
      </c>
      <c r="B351" s="15" t="str">
        <f>"801542695255"</f>
        <v>801542695255</v>
      </c>
      <c r="C351" s="15" t="s">
        <v>15259</v>
      </c>
      <c r="D351" s="15" t="str">
        <f t="shared" si="1"/>
        <v>Everson 71" Extension Dining TableScrubbed Teak</v>
      </c>
      <c r="E351" s="15" t="s">
        <v>4536</v>
      </c>
      <c r="F351" s="15" t="s">
        <v>397</v>
      </c>
      <c r="G351" s="15" t="s">
        <v>4538</v>
      </c>
      <c r="J351" s="15" t="s">
        <v>4538</v>
      </c>
      <c r="M351" s="15" t="s">
        <v>4544</v>
      </c>
      <c r="N351" s="15" t="s">
        <v>548</v>
      </c>
      <c r="O351" s="15" t="s">
        <v>549</v>
      </c>
      <c r="P351" s="15" t="str">
        <f>"70.75"</f>
        <v>70.75</v>
      </c>
      <c r="Q351" s="15" t="str">
        <f>"39.25"</f>
        <v>39.25</v>
      </c>
      <c r="R351" s="15" t="str">
        <f>"30"</f>
        <v>30</v>
      </c>
      <c r="S351" s="15" t="str">
        <f>"155.42"</f>
        <v>155.42</v>
      </c>
      <c r="T351" s="15" t="s">
        <v>2689</v>
      </c>
      <c r="U351" s="15" t="s">
        <v>13000</v>
      </c>
      <c r="AA351" s="15" t="s">
        <v>413</v>
      </c>
      <c r="AB351" s="15" t="s">
        <v>413</v>
      </c>
      <c r="AC351" s="15" t="s">
        <v>4545</v>
      </c>
      <c r="AD351" s="15" t="s">
        <v>15260</v>
      </c>
      <c r="AE351" s="15" t="s">
        <v>4541</v>
      </c>
      <c r="AF351" s="15" t="s">
        <v>15261</v>
      </c>
      <c r="AG351" s="15" t="s">
        <v>15262</v>
      </c>
      <c r="AH351" s="15" t="s">
        <v>15263</v>
      </c>
      <c r="AI351" s="15" t="s">
        <v>15264</v>
      </c>
      <c r="AJ351" s="15" t="s">
        <v>15265</v>
      </c>
      <c r="AK351" s="15" t="s">
        <v>15266</v>
      </c>
      <c r="AL351" s="15" t="s">
        <v>15267</v>
      </c>
      <c r="AM351" s="15" t="s">
        <v>15268</v>
      </c>
      <c r="BH351" s="15" t="s">
        <v>4537</v>
      </c>
      <c r="BI351" s="15" t="str">
        <f>"1499"</f>
        <v>1499</v>
      </c>
      <c r="BJ351" s="15" t="str">
        <f>"630"</f>
        <v>630</v>
      </c>
      <c r="BK351" s="15" t="s">
        <v>742</v>
      </c>
      <c r="BL351" s="15" t="str">
        <f t="shared" si="1025"/>
        <v>1</v>
      </c>
      <c r="BM351" s="15" t="s">
        <v>416</v>
      </c>
      <c r="BN351" s="15" t="str">
        <f>"67.72"</f>
        <v>67.72</v>
      </c>
      <c r="BO351" s="15" t="str">
        <f>"11.61"</f>
        <v>11.61</v>
      </c>
      <c r="BP351" s="15" t="str">
        <f t="shared" ref="BP351:BP352" si="1054">"43.31"</f>
        <v>43.31</v>
      </c>
      <c r="BQ351" s="15" t="str">
        <f>"173.06"</f>
        <v>173.06</v>
      </c>
      <c r="CG351" s="15" t="str">
        <f>"19.71"</f>
        <v>19.71</v>
      </c>
      <c r="CH351" s="15" t="str">
        <f>"0.558"</f>
        <v>0.558</v>
      </c>
      <c r="CI351" s="15" t="s">
        <v>497</v>
      </c>
      <c r="CZ351" s="15" t="s">
        <v>419</v>
      </c>
      <c r="DA351" s="15">
        <v>0.0</v>
      </c>
      <c r="DB351" s="15" t="s">
        <v>419</v>
      </c>
      <c r="DD351" s="15">
        <v>0.0</v>
      </c>
      <c r="DF351" s="15" t="s">
        <v>420</v>
      </c>
      <c r="DG351" s="15" t="s">
        <v>4548</v>
      </c>
      <c r="DI351" s="15">
        <v>0.0</v>
      </c>
      <c r="DJ351" s="15">
        <v>0.0</v>
      </c>
      <c r="DK351" s="15">
        <v>0.0</v>
      </c>
      <c r="DQ351" s="15">
        <v>10.0</v>
      </c>
      <c r="DR351" s="15" t="s">
        <v>471</v>
      </c>
      <c r="DS351" s="15" t="s">
        <v>4549</v>
      </c>
      <c r="DU351" s="15" t="s">
        <v>424</v>
      </c>
      <c r="EF351" s="15" t="s">
        <v>3361</v>
      </c>
      <c r="EG351" s="15" t="s">
        <v>4550</v>
      </c>
      <c r="EH351" s="15" t="s">
        <v>4551</v>
      </c>
      <c r="EQ351" s="15" t="s">
        <v>1444</v>
      </c>
      <c r="ER351" s="15" t="s">
        <v>4552</v>
      </c>
      <c r="ES351" s="15" t="s">
        <v>1444</v>
      </c>
      <c r="ET351" s="15" t="s">
        <v>4553</v>
      </c>
      <c r="EU351" s="15" t="s">
        <v>426</v>
      </c>
      <c r="EV351" s="15">
        <v>0.0</v>
      </c>
      <c r="EW351" s="15">
        <v>2.0</v>
      </c>
      <c r="FD351" s="15" t="s">
        <v>4553</v>
      </c>
      <c r="FE351" s="15" t="s">
        <v>3361</v>
      </c>
      <c r="FG351" s="15" t="s">
        <v>559</v>
      </c>
      <c r="JY351" s="15" t="s">
        <v>1120</v>
      </c>
      <c r="JZ351" s="15" t="s">
        <v>4554</v>
      </c>
      <c r="KA351" s="15" t="s">
        <v>4555</v>
      </c>
      <c r="KB351" s="15" t="s">
        <v>4556</v>
      </c>
      <c r="KP351" s="15" t="s">
        <v>426</v>
      </c>
    </row>
    <row r="352" ht="17.25" customHeight="1">
      <c r="A352" s="15" t="s">
        <v>4559</v>
      </c>
      <c r="B352" s="15" t="str">
        <f>"801542692452"</f>
        <v>801542692452</v>
      </c>
      <c r="C352" s="15" t="s">
        <v>15269</v>
      </c>
      <c r="D352" s="15" t="str">
        <f t="shared" si="1"/>
        <v>Everson CabinetScrubbed Teak</v>
      </c>
      <c r="E352" s="15" t="s">
        <v>4557</v>
      </c>
      <c r="F352" s="15" t="s">
        <v>397</v>
      </c>
      <c r="G352" s="15" t="s">
        <v>4538</v>
      </c>
      <c r="J352" s="15" t="s">
        <v>4538</v>
      </c>
      <c r="M352" s="15" t="s">
        <v>4544</v>
      </c>
      <c r="N352" s="15" t="s">
        <v>2891</v>
      </c>
      <c r="O352" s="15" t="s">
        <v>4563</v>
      </c>
      <c r="P352" s="15" t="str">
        <f>"40.25"</f>
        <v>40.25</v>
      </c>
      <c r="Q352" s="15" t="str">
        <f>"22.75"</f>
        <v>22.75</v>
      </c>
      <c r="R352" s="15" t="str">
        <f>"76.75"</f>
        <v>76.75</v>
      </c>
      <c r="S352" s="15" t="str">
        <f>"142.2"</f>
        <v>142.2</v>
      </c>
      <c r="T352" s="15" t="s">
        <v>2689</v>
      </c>
      <c r="U352" s="15" t="s">
        <v>13000</v>
      </c>
      <c r="AA352" s="15" t="s">
        <v>413</v>
      </c>
      <c r="AB352" s="15" t="s">
        <v>413</v>
      </c>
      <c r="AC352" s="15" t="s">
        <v>4564</v>
      </c>
      <c r="AD352" s="15" t="s">
        <v>15270</v>
      </c>
      <c r="AE352" s="15" t="s">
        <v>4560</v>
      </c>
      <c r="AF352" s="15" t="s">
        <v>15271</v>
      </c>
      <c r="AG352" s="15" t="s">
        <v>15272</v>
      </c>
      <c r="AH352" s="15" t="s">
        <v>15273</v>
      </c>
      <c r="AI352" s="15" t="s">
        <v>15274</v>
      </c>
      <c r="AJ352" s="15" t="s">
        <v>15275</v>
      </c>
      <c r="AK352" s="15" t="s">
        <v>15276</v>
      </c>
      <c r="AL352" s="15" t="s">
        <v>15277</v>
      </c>
      <c r="AM352" s="15" t="s">
        <v>15278</v>
      </c>
      <c r="AN352" s="15" t="s">
        <v>15279</v>
      </c>
      <c r="AO352" s="15" t="s">
        <v>15280</v>
      </c>
      <c r="AP352" s="15" t="s">
        <v>15281</v>
      </c>
      <c r="BH352" s="15" t="s">
        <v>4558</v>
      </c>
      <c r="BI352" s="15" t="str">
        <f>"1799"</f>
        <v>1799</v>
      </c>
      <c r="BJ352" s="15" t="str">
        <f>"760"</f>
        <v>760</v>
      </c>
      <c r="BK352" s="15" t="s">
        <v>742</v>
      </c>
      <c r="BL352" s="15" t="str">
        <f t="shared" si="1025"/>
        <v>1</v>
      </c>
      <c r="BM352" s="15" t="s">
        <v>416</v>
      </c>
      <c r="BN352" s="15" t="str">
        <f>"78.15"</f>
        <v>78.15</v>
      </c>
      <c r="BO352" s="15" t="str">
        <f>"12.2"</f>
        <v>12.2</v>
      </c>
      <c r="BP352" s="15" t="str">
        <f t="shared" si="1054"/>
        <v>43.31</v>
      </c>
      <c r="BQ352" s="15" t="str">
        <f>"166.45"</f>
        <v>166.45</v>
      </c>
      <c r="CG352" s="15" t="str">
        <f>"23.91"</f>
        <v>23.91</v>
      </c>
      <c r="CH352" s="15" t="str">
        <f>"0.677"</f>
        <v>0.677</v>
      </c>
      <c r="CI352" s="15" t="s">
        <v>497</v>
      </c>
      <c r="CM352" s="15" t="s">
        <v>4568</v>
      </c>
      <c r="CN352" s="15" t="s">
        <v>4569</v>
      </c>
      <c r="CO352" s="15" t="s">
        <v>4570</v>
      </c>
      <c r="CZ352" s="15" t="s">
        <v>419</v>
      </c>
      <c r="DA352" s="15">
        <v>0.0</v>
      </c>
      <c r="DB352" s="15" t="s">
        <v>419</v>
      </c>
      <c r="DD352" s="15">
        <v>0.0</v>
      </c>
      <c r="DF352" s="15" t="s">
        <v>420</v>
      </c>
      <c r="DG352" s="15" t="s">
        <v>610</v>
      </c>
      <c r="DI352" s="15">
        <v>18.14</v>
      </c>
      <c r="DJ352" s="15">
        <v>40.0</v>
      </c>
      <c r="DK352" s="15">
        <v>1.0</v>
      </c>
      <c r="DR352" s="15" t="s">
        <v>1906</v>
      </c>
      <c r="DS352" s="15" t="s">
        <v>4549</v>
      </c>
      <c r="EF352" s="15" t="s">
        <v>2050</v>
      </c>
      <c r="EU352" s="15" t="s">
        <v>426</v>
      </c>
      <c r="EV352" s="15">
        <v>1.0</v>
      </c>
      <c r="FH352" s="15" t="s">
        <v>4571</v>
      </c>
      <c r="FI352" s="15" t="s">
        <v>1517</v>
      </c>
      <c r="FJ352" s="15" t="s">
        <v>4441</v>
      </c>
      <c r="FK352" s="15" t="s">
        <v>4568</v>
      </c>
      <c r="FL352" s="15" t="s">
        <v>4572</v>
      </c>
      <c r="FM352" s="15" t="s">
        <v>4570</v>
      </c>
      <c r="FN352" s="15">
        <v>0.0</v>
      </c>
      <c r="FP352" s="15" t="s">
        <v>785</v>
      </c>
      <c r="FQ352" s="15">
        <v>2.0</v>
      </c>
      <c r="FR352" s="15" t="s">
        <v>614</v>
      </c>
      <c r="FS352" s="15" t="s">
        <v>786</v>
      </c>
      <c r="FT352" s="15">
        <v>0.0</v>
      </c>
      <c r="FU352" s="15" t="s">
        <v>426</v>
      </c>
      <c r="FV352" s="15" t="s">
        <v>4573</v>
      </c>
      <c r="FW352" s="15" t="s">
        <v>616</v>
      </c>
      <c r="FY352" s="15">
        <v>0.0</v>
      </c>
      <c r="HF352" s="15" t="s">
        <v>4574</v>
      </c>
      <c r="HQ352" s="15" t="s">
        <v>426</v>
      </c>
    </row>
    <row r="353" ht="17.25" customHeight="1">
      <c r="A353" s="15" t="s">
        <v>4578</v>
      </c>
      <c r="B353" s="15" t="str">
        <f>"801542359584"</f>
        <v>801542359584</v>
      </c>
      <c r="C353" s="15" t="s">
        <v>15282</v>
      </c>
      <c r="D353" s="15" t="str">
        <f t="shared" si="1"/>
        <v>Everton Kitchen IslandPolished White Marble</v>
      </c>
      <c r="E353" s="15" t="s">
        <v>4575</v>
      </c>
      <c r="F353" s="15" t="s">
        <v>397</v>
      </c>
      <c r="G353" s="15" t="s">
        <v>4577</v>
      </c>
      <c r="J353" s="15" t="s">
        <v>4577</v>
      </c>
      <c r="K353" s="15" t="s">
        <v>4582</v>
      </c>
      <c r="M353" s="15" t="s">
        <v>2677</v>
      </c>
      <c r="N353" s="15" t="s">
        <v>548</v>
      </c>
      <c r="O353" s="15" t="s">
        <v>4583</v>
      </c>
      <c r="P353" s="15" t="str">
        <f>"72"</f>
        <v>72</v>
      </c>
      <c r="Q353" s="15" t="str">
        <f>"27"</f>
        <v>27</v>
      </c>
      <c r="R353" s="15" t="str">
        <f>"36"</f>
        <v>36</v>
      </c>
      <c r="S353" s="15" t="str">
        <f>"363.19"</f>
        <v>363.19</v>
      </c>
      <c r="T353" s="15" t="s">
        <v>4581</v>
      </c>
      <c r="U353" s="15" t="s">
        <v>11754</v>
      </c>
      <c r="V353" s="15" t="s">
        <v>14148</v>
      </c>
      <c r="AA353" s="15" t="s">
        <v>413</v>
      </c>
      <c r="AB353" s="15" t="s">
        <v>413</v>
      </c>
      <c r="AC353" s="15" t="s">
        <v>4584</v>
      </c>
      <c r="AD353" s="15" t="s">
        <v>15283</v>
      </c>
      <c r="AE353" s="15" t="s">
        <v>4580</v>
      </c>
      <c r="AF353" s="15" t="s">
        <v>15284</v>
      </c>
      <c r="AG353" s="15" t="s">
        <v>15285</v>
      </c>
      <c r="AH353" s="15" t="s">
        <v>15286</v>
      </c>
      <c r="AI353" s="15" t="s">
        <v>15287</v>
      </c>
      <c r="AJ353" s="15" t="s">
        <v>15288</v>
      </c>
      <c r="AK353" s="15" t="s">
        <v>15289</v>
      </c>
      <c r="AL353" s="15" t="s">
        <v>15290</v>
      </c>
      <c r="AM353" s="15" t="s">
        <v>15291</v>
      </c>
      <c r="AN353" s="15" t="s">
        <v>15292</v>
      </c>
      <c r="AO353" s="15" t="s">
        <v>15293</v>
      </c>
      <c r="BH353" s="15" t="s">
        <v>4576</v>
      </c>
      <c r="BI353" s="15" t="str">
        <f>"1999"</f>
        <v>1999</v>
      </c>
      <c r="BJ353" s="15" t="str">
        <f>"840"</f>
        <v>840</v>
      </c>
      <c r="BK353" s="15" t="s">
        <v>1303</v>
      </c>
      <c r="BL353" s="15" t="str">
        <f>"2"</f>
        <v>2</v>
      </c>
      <c r="BM353" s="15" t="s">
        <v>1564</v>
      </c>
      <c r="BN353" s="15" t="str">
        <f>"81.5"</f>
        <v>81.5</v>
      </c>
      <c r="BO353" s="15" t="str">
        <f>"8"</f>
        <v>8</v>
      </c>
      <c r="BP353" s="15" t="str">
        <f>"36"</f>
        <v>36</v>
      </c>
      <c r="BQ353" s="15" t="str">
        <f>"314.38"</f>
        <v>314.38</v>
      </c>
      <c r="BR353" s="15" t="s">
        <v>4586</v>
      </c>
      <c r="BS353" s="15" t="str">
        <f>"72"</f>
        <v>72</v>
      </c>
      <c r="BT353" s="15" t="str">
        <f>"33"</f>
        <v>33</v>
      </c>
      <c r="BU353" s="15" t="str">
        <f>"14.5"</f>
        <v>14.5</v>
      </c>
      <c r="BV353" s="15" t="str">
        <f>"161.27"</f>
        <v>161.27</v>
      </c>
      <c r="CG353" s="15" t="str">
        <f>"33.55"</f>
        <v>33.55</v>
      </c>
      <c r="CH353" s="15" t="str">
        <f>"0.95"</f>
        <v>0.95</v>
      </c>
      <c r="CI353" s="15" t="s">
        <v>465</v>
      </c>
      <c r="CZ353" s="15" t="s">
        <v>4002</v>
      </c>
      <c r="DA353" s="15">
        <v>6.0</v>
      </c>
      <c r="DB353" s="15" t="s">
        <v>2604</v>
      </c>
      <c r="DD353" s="15">
        <v>0.0</v>
      </c>
      <c r="DF353" s="15" t="s">
        <v>1111</v>
      </c>
      <c r="DG353" s="15" t="s">
        <v>421</v>
      </c>
      <c r="DI353" s="15">
        <v>0.0</v>
      </c>
      <c r="DJ353" s="15">
        <v>0.0</v>
      </c>
      <c r="DK353" s="15">
        <v>0.0</v>
      </c>
      <c r="DQ353" s="15">
        <v>6.0</v>
      </c>
      <c r="DR353" s="15" t="s">
        <v>471</v>
      </c>
      <c r="DS353" s="15" t="s">
        <v>4589</v>
      </c>
      <c r="DU353" s="15" t="s">
        <v>424</v>
      </c>
      <c r="EF353" s="15" t="s">
        <v>2314</v>
      </c>
      <c r="EH353" s="15" t="s">
        <v>4590</v>
      </c>
      <c r="EQ353" s="15" t="s">
        <v>1064</v>
      </c>
      <c r="ER353" s="15" t="s">
        <v>3798</v>
      </c>
      <c r="ES353" s="15" t="s">
        <v>4591</v>
      </c>
      <c r="ET353" s="15" t="s">
        <v>1188</v>
      </c>
      <c r="EU353" s="15" t="s">
        <v>426</v>
      </c>
      <c r="EV353" s="15">
        <v>0.0</v>
      </c>
      <c r="FE353" s="15" t="s">
        <v>2314</v>
      </c>
      <c r="FZ353" s="15" t="s">
        <v>1238</v>
      </c>
      <c r="GB353" s="15" t="s">
        <v>1236</v>
      </c>
      <c r="GD353" s="15" t="s">
        <v>4592</v>
      </c>
      <c r="GF353" s="15" t="s">
        <v>2604</v>
      </c>
      <c r="GH353" s="15" t="s">
        <v>420</v>
      </c>
      <c r="GI353" s="15" t="s">
        <v>426</v>
      </c>
      <c r="IO353" s="15" t="s">
        <v>4593</v>
      </c>
    </row>
    <row r="354" ht="17.25" customHeight="1">
      <c r="A354" s="15" t="s">
        <v>4597</v>
      </c>
      <c r="B354" s="15" t="str">
        <f>"801542978952"</f>
        <v>801542978952</v>
      </c>
      <c r="C354" s="15" t="s">
        <v>15294</v>
      </c>
      <c r="D354" s="15" t="str">
        <f t="shared" si="1"/>
        <v>Ezri 6 Drawer DresserCarved Black Oak</v>
      </c>
      <c r="E354" s="15" t="s">
        <v>4594</v>
      </c>
      <c r="F354" s="15" t="s">
        <v>397</v>
      </c>
      <c r="G354" s="15" t="s">
        <v>4596</v>
      </c>
      <c r="J354" s="15" t="s">
        <v>4596</v>
      </c>
      <c r="M354" s="15" t="s">
        <v>4600</v>
      </c>
      <c r="N354" s="15" t="s">
        <v>412</v>
      </c>
      <c r="P354" s="15" t="str">
        <f t="shared" ref="P354:P355" si="1055">"70"</f>
        <v>70</v>
      </c>
      <c r="Q354" s="15" t="str">
        <f t="shared" ref="Q354:Q355" si="1056">"22"</f>
        <v>22</v>
      </c>
      <c r="R354" s="15" t="str">
        <f t="shared" ref="R354:R355" si="1057">"33.75"</f>
        <v>33.75</v>
      </c>
      <c r="S354" s="15" t="str">
        <f t="shared" ref="S354:S355" si="1058">"271.39"</f>
        <v>271.39</v>
      </c>
      <c r="T354" s="15" t="s">
        <v>2872</v>
      </c>
      <c r="U354" s="15" t="s">
        <v>11338</v>
      </c>
      <c r="AA354" s="15" t="s">
        <v>413</v>
      </c>
      <c r="AB354" s="15" t="s">
        <v>413</v>
      </c>
      <c r="AC354" s="15" t="s">
        <v>4601</v>
      </c>
      <c r="AD354" s="15" t="s">
        <v>15295</v>
      </c>
      <c r="AE354" s="15" t="s">
        <v>4599</v>
      </c>
      <c r="AF354" s="15" t="s">
        <v>15296</v>
      </c>
      <c r="AG354" s="15" t="s">
        <v>15297</v>
      </c>
      <c r="AH354" s="15" t="s">
        <v>15298</v>
      </c>
      <c r="AI354" s="15" t="s">
        <v>15299</v>
      </c>
      <c r="AJ354" s="15" t="s">
        <v>15300</v>
      </c>
      <c r="AK354" s="15" t="s">
        <v>15301</v>
      </c>
      <c r="AL354" s="15" t="s">
        <v>15302</v>
      </c>
      <c r="AM354" s="15" t="s">
        <v>15303</v>
      </c>
      <c r="AN354" s="15" t="s">
        <v>15304</v>
      </c>
      <c r="AO354" s="15" t="s">
        <v>15305</v>
      </c>
      <c r="AP354" s="15" t="s">
        <v>15306</v>
      </c>
      <c r="AQ354" s="15" t="s">
        <v>15307</v>
      </c>
      <c r="BH354" s="15" t="s">
        <v>4595</v>
      </c>
      <c r="BI354" s="15" t="str">
        <f t="shared" ref="BI354:BI355" si="1059">"2999"</f>
        <v>2999</v>
      </c>
      <c r="BJ354" s="15" t="str">
        <f t="shared" ref="BJ354:BJ355" si="1060">"1260"</f>
        <v>1260</v>
      </c>
      <c r="BK354" s="15" t="s">
        <v>1303</v>
      </c>
      <c r="BL354" s="15" t="str">
        <f t="shared" ref="BL354:BL368" si="1061">"1"</f>
        <v>1</v>
      </c>
      <c r="BM354" s="15" t="s">
        <v>416</v>
      </c>
      <c r="BN354" s="15" t="str">
        <f t="shared" ref="BN354:BN355" si="1062">"75.5"</f>
        <v>75.5</v>
      </c>
      <c r="BO354" s="15" t="str">
        <f t="shared" ref="BO354:BO355" si="1063">"26.5"</f>
        <v>26.5</v>
      </c>
      <c r="BP354" s="15" t="str">
        <f t="shared" ref="BP354:BP355" si="1064">"38"</f>
        <v>38</v>
      </c>
      <c r="BQ354" s="15" t="str">
        <f t="shared" ref="BQ354:BQ355" si="1065">"323.3"</f>
        <v>323.3</v>
      </c>
      <c r="CG354" s="15" t="str">
        <f t="shared" ref="CG354:CG355" si="1066">"44"</f>
        <v>44</v>
      </c>
      <c r="CH354" s="15" t="str">
        <f t="shared" ref="CH354:CH355" si="1067">"1.246"</f>
        <v>1.246</v>
      </c>
      <c r="CI354" s="15" t="s">
        <v>497</v>
      </c>
      <c r="CZ354" s="15" t="s">
        <v>1371</v>
      </c>
      <c r="DA354" s="15">
        <v>6.0</v>
      </c>
      <c r="DB354" s="15" t="s">
        <v>2601</v>
      </c>
      <c r="DD354" s="15">
        <v>0.0</v>
      </c>
      <c r="DF354" s="15" t="s">
        <v>1111</v>
      </c>
      <c r="DG354" s="15" t="s">
        <v>421</v>
      </c>
      <c r="DK354" s="15">
        <v>0.0</v>
      </c>
      <c r="DR354" s="15" t="s">
        <v>422</v>
      </c>
      <c r="DS354" s="15" t="s">
        <v>4603</v>
      </c>
      <c r="DU354" s="15" t="s">
        <v>500</v>
      </c>
      <c r="EF354" s="15" t="s">
        <v>429</v>
      </c>
      <c r="EU354" s="15" t="s">
        <v>426</v>
      </c>
      <c r="EV354" s="15">
        <v>0.0</v>
      </c>
      <c r="FO354" s="15" t="s">
        <v>426</v>
      </c>
      <c r="FQ354" s="15">
        <v>0.0</v>
      </c>
      <c r="FR354" s="15" t="s">
        <v>427</v>
      </c>
      <c r="FX354" s="15" t="s">
        <v>426</v>
      </c>
      <c r="FZ354" s="15" t="s">
        <v>1213</v>
      </c>
      <c r="GB354" s="15" t="s">
        <v>2116</v>
      </c>
      <c r="GD354" s="15" t="s">
        <v>2314</v>
      </c>
      <c r="GF354" s="15" t="s">
        <v>431</v>
      </c>
      <c r="GH354" s="15" t="s">
        <v>764</v>
      </c>
      <c r="GI354" s="15" t="s">
        <v>426</v>
      </c>
    </row>
    <row r="355" ht="17.25" customHeight="1">
      <c r="A355" s="15" t="s">
        <v>4606</v>
      </c>
      <c r="B355" s="15" t="str">
        <f>"801542919535"</f>
        <v>801542919535</v>
      </c>
      <c r="C355" s="15" t="s">
        <v>15308</v>
      </c>
      <c r="D355" s="15" t="str">
        <f t="shared" si="1"/>
        <v>Ezri 6 Drawer DresserCarved Cocoa Oak</v>
      </c>
      <c r="E355" s="15" t="s">
        <v>4594</v>
      </c>
      <c r="F355" s="15" t="s">
        <v>397</v>
      </c>
      <c r="G355" s="15" t="s">
        <v>4605</v>
      </c>
      <c r="J355" s="15" t="s">
        <v>4605</v>
      </c>
      <c r="M355" s="15" t="s">
        <v>4600</v>
      </c>
      <c r="N355" s="15" t="s">
        <v>412</v>
      </c>
      <c r="P355" s="15" t="str">
        <f t="shared" si="1055"/>
        <v>70</v>
      </c>
      <c r="Q355" s="15" t="str">
        <f t="shared" si="1056"/>
        <v>22</v>
      </c>
      <c r="R355" s="15" t="str">
        <f t="shared" si="1057"/>
        <v>33.75</v>
      </c>
      <c r="S355" s="15" t="str">
        <f t="shared" si="1058"/>
        <v>271.39</v>
      </c>
      <c r="T355" s="15" t="s">
        <v>2872</v>
      </c>
      <c r="U355" s="15" t="s">
        <v>11338</v>
      </c>
      <c r="AA355" s="15" t="s">
        <v>413</v>
      </c>
      <c r="AB355" s="15" t="s">
        <v>413</v>
      </c>
      <c r="AC355" s="15" t="s">
        <v>4608</v>
      </c>
      <c r="AD355" s="15" t="s">
        <v>15309</v>
      </c>
      <c r="AE355" s="15" t="s">
        <v>4607</v>
      </c>
      <c r="AF355" s="15" t="s">
        <v>15310</v>
      </c>
      <c r="AG355" s="15" t="s">
        <v>15311</v>
      </c>
      <c r="AH355" s="15" t="s">
        <v>15312</v>
      </c>
      <c r="AI355" s="15" t="s">
        <v>15313</v>
      </c>
      <c r="AJ355" s="15" t="s">
        <v>15314</v>
      </c>
      <c r="AK355" s="15" t="s">
        <v>15315</v>
      </c>
      <c r="AL355" s="15" t="s">
        <v>15316</v>
      </c>
      <c r="AM355" s="15" t="s">
        <v>15317</v>
      </c>
      <c r="AN355" s="15" t="s">
        <v>15318</v>
      </c>
      <c r="AO355" s="15" t="s">
        <v>15319</v>
      </c>
      <c r="AP355" s="15" t="s">
        <v>15320</v>
      </c>
      <c r="AQ355" s="15" t="s">
        <v>15321</v>
      </c>
      <c r="AR355" s="15" t="s">
        <v>15322</v>
      </c>
      <c r="AS355" s="15" t="s">
        <v>15323</v>
      </c>
      <c r="BH355" s="15" t="s">
        <v>4604</v>
      </c>
      <c r="BI355" s="15" t="str">
        <f t="shared" si="1059"/>
        <v>2999</v>
      </c>
      <c r="BJ355" s="15" t="str">
        <f t="shared" si="1060"/>
        <v>1260</v>
      </c>
      <c r="BK355" s="15" t="s">
        <v>1303</v>
      </c>
      <c r="BL355" s="15" t="str">
        <f t="shared" si="1061"/>
        <v>1</v>
      </c>
      <c r="BM355" s="15" t="s">
        <v>416</v>
      </c>
      <c r="BN355" s="15" t="str">
        <f t="shared" si="1062"/>
        <v>75.5</v>
      </c>
      <c r="BO355" s="15" t="str">
        <f t="shared" si="1063"/>
        <v>26.5</v>
      </c>
      <c r="BP355" s="15" t="str">
        <f t="shared" si="1064"/>
        <v>38</v>
      </c>
      <c r="BQ355" s="15" t="str">
        <f t="shared" si="1065"/>
        <v>323.3</v>
      </c>
      <c r="CG355" s="15" t="str">
        <f t="shared" si="1066"/>
        <v>44</v>
      </c>
      <c r="CH355" s="15" t="str">
        <f t="shared" si="1067"/>
        <v>1.246</v>
      </c>
      <c r="CI355" s="15" t="s">
        <v>417</v>
      </c>
      <c r="CZ355" s="15" t="s">
        <v>1371</v>
      </c>
      <c r="DA355" s="15">
        <v>6.0</v>
      </c>
      <c r="DB355" s="15" t="s">
        <v>2601</v>
      </c>
      <c r="DD355" s="15">
        <v>0.0</v>
      </c>
      <c r="DF355" s="15" t="s">
        <v>1111</v>
      </c>
      <c r="DG355" s="15" t="s">
        <v>421</v>
      </c>
      <c r="DK355" s="15">
        <v>0.0</v>
      </c>
      <c r="DR355" s="15" t="s">
        <v>422</v>
      </c>
      <c r="DS355" s="15" t="s">
        <v>4603</v>
      </c>
      <c r="DU355" s="15" t="s">
        <v>500</v>
      </c>
      <c r="EF355" s="15" t="s">
        <v>429</v>
      </c>
      <c r="EU355" s="15" t="s">
        <v>426</v>
      </c>
      <c r="EV355" s="15">
        <v>0.0</v>
      </c>
      <c r="FO355" s="15" t="s">
        <v>426</v>
      </c>
      <c r="FQ355" s="15">
        <v>0.0</v>
      </c>
      <c r="FR355" s="15" t="s">
        <v>427</v>
      </c>
      <c r="FX355" s="15" t="s">
        <v>426</v>
      </c>
      <c r="FZ355" s="15" t="s">
        <v>1213</v>
      </c>
      <c r="GB355" s="15" t="s">
        <v>2116</v>
      </c>
      <c r="GD355" s="15" t="s">
        <v>2314</v>
      </c>
      <c r="GF355" s="15" t="s">
        <v>431</v>
      </c>
      <c r="GH355" s="15" t="s">
        <v>764</v>
      </c>
      <c r="GI355" s="15" t="s">
        <v>426</v>
      </c>
    </row>
    <row r="356" ht="17.25" customHeight="1">
      <c r="A356" s="15" t="s">
        <v>4611</v>
      </c>
      <c r="B356" s="15" t="str">
        <f>"801542347185"</f>
        <v>801542347185</v>
      </c>
      <c r="C356" s="15" t="s">
        <v>15324</v>
      </c>
      <c r="D356" s="15" t="str">
        <f t="shared" si="1"/>
        <v>Ezri CabinetBlack Oak</v>
      </c>
      <c r="E356" s="15" t="s">
        <v>4609</v>
      </c>
      <c r="F356" s="15" t="s">
        <v>397</v>
      </c>
      <c r="G356" s="15" t="s">
        <v>3541</v>
      </c>
      <c r="J356" s="15" t="s">
        <v>3541</v>
      </c>
      <c r="M356" s="15" t="s">
        <v>4600</v>
      </c>
      <c r="N356" s="15" t="s">
        <v>2891</v>
      </c>
      <c r="O356" s="15" t="s">
        <v>4563</v>
      </c>
      <c r="P356" s="15" t="str">
        <f>"45"</f>
        <v>45</v>
      </c>
      <c r="Q356" s="15" t="str">
        <f>"18"</f>
        <v>18</v>
      </c>
      <c r="R356" s="15" t="str">
        <f>"76.5"</f>
        <v>76.5</v>
      </c>
      <c r="S356" s="15" t="str">
        <f>"222.33"</f>
        <v>222.33</v>
      </c>
      <c r="T356" s="15" t="s">
        <v>2872</v>
      </c>
      <c r="U356" s="15" t="s">
        <v>11338</v>
      </c>
      <c r="AA356" s="15" t="s">
        <v>413</v>
      </c>
      <c r="AB356" s="15" t="s">
        <v>413</v>
      </c>
      <c r="AC356" s="15" t="s">
        <v>4616</v>
      </c>
      <c r="AD356" s="15" t="s">
        <v>15325</v>
      </c>
      <c r="AE356" s="15" t="s">
        <v>4613</v>
      </c>
      <c r="AF356" s="15" t="s">
        <v>15326</v>
      </c>
      <c r="AG356" s="15" t="s">
        <v>15327</v>
      </c>
      <c r="AH356" s="15" t="s">
        <v>15328</v>
      </c>
      <c r="AI356" s="15" t="s">
        <v>15329</v>
      </c>
      <c r="AJ356" s="15" t="s">
        <v>15330</v>
      </c>
      <c r="AK356" s="15" t="s">
        <v>15331</v>
      </c>
      <c r="AL356" s="15" t="s">
        <v>15332</v>
      </c>
      <c r="AM356" s="15" t="s">
        <v>15333</v>
      </c>
      <c r="AN356" s="15" t="s">
        <v>15334</v>
      </c>
      <c r="AO356" s="15" t="s">
        <v>15335</v>
      </c>
      <c r="BH356" s="15" t="s">
        <v>4610</v>
      </c>
      <c r="BI356" s="15" t="str">
        <f>"3199"</f>
        <v>3199</v>
      </c>
      <c r="BJ356" s="15" t="str">
        <f>"1345"</f>
        <v>1345</v>
      </c>
      <c r="BK356" s="15" t="s">
        <v>1303</v>
      </c>
      <c r="BL356" s="15" t="str">
        <f t="shared" si="1061"/>
        <v>1</v>
      </c>
      <c r="BM356" s="15" t="s">
        <v>416</v>
      </c>
      <c r="BN356" s="15" t="str">
        <f>"81"</f>
        <v>81</v>
      </c>
      <c r="BO356" s="15" t="str">
        <f>"23.75"</f>
        <v>23.75</v>
      </c>
      <c r="BP356" s="15" t="str">
        <f>"49"</f>
        <v>49</v>
      </c>
      <c r="BQ356" s="15" t="str">
        <f>"304.68"</f>
        <v>304.68</v>
      </c>
      <c r="CG356" s="15" t="str">
        <f>"54.56"</f>
        <v>54.56</v>
      </c>
      <c r="CH356" s="15" t="str">
        <f>"1.545"</f>
        <v>1.545</v>
      </c>
      <c r="CI356" s="15" t="s">
        <v>465</v>
      </c>
      <c r="CM356" s="15" t="s">
        <v>1213</v>
      </c>
      <c r="CN356" s="15" t="s">
        <v>651</v>
      </c>
      <c r="CO356" s="15" t="s">
        <v>1038</v>
      </c>
      <c r="CZ356" s="15" t="s">
        <v>419</v>
      </c>
      <c r="DA356" s="15">
        <v>0.0</v>
      </c>
      <c r="DB356" s="15" t="s">
        <v>419</v>
      </c>
      <c r="DD356" s="15">
        <v>0.0</v>
      </c>
      <c r="DF356" s="15" t="s">
        <v>1111</v>
      </c>
      <c r="DG356" s="15" t="s">
        <v>610</v>
      </c>
      <c r="DI356" s="15">
        <v>18.14</v>
      </c>
      <c r="DJ356" s="15">
        <v>40.0</v>
      </c>
      <c r="DK356" s="15">
        <v>2.0</v>
      </c>
      <c r="DR356" s="15" t="s">
        <v>1906</v>
      </c>
      <c r="DS356" s="15" t="s">
        <v>4603</v>
      </c>
      <c r="EF356" s="15" t="s">
        <v>1236</v>
      </c>
      <c r="EU356" s="15" t="s">
        <v>426</v>
      </c>
      <c r="EV356" s="15">
        <v>1.0</v>
      </c>
      <c r="FH356" s="15" t="s">
        <v>651</v>
      </c>
      <c r="FI356" s="15" t="s">
        <v>612</v>
      </c>
      <c r="FJ356" s="15" t="s">
        <v>2312</v>
      </c>
      <c r="FK356" s="15" t="s">
        <v>2618</v>
      </c>
      <c r="FL356" s="15" t="s">
        <v>1188</v>
      </c>
      <c r="FM356" s="15" t="s">
        <v>1038</v>
      </c>
      <c r="FN356" s="15">
        <v>0.0</v>
      </c>
      <c r="FP356" s="15" t="s">
        <v>1883</v>
      </c>
      <c r="FQ356" s="15">
        <v>2.0</v>
      </c>
      <c r="FR356" s="15" t="s">
        <v>614</v>
      </c>
      <c r="FS356" s="15" t="s">
        <v>615</v>
      </c>
      <c r="FT356" s="15">
        <v>0.0</v>
      </c>
      <c r="FU356" s="15" t="s">
        <v>426</v>
      </c>
      <c r="FV356" s="15" t="s">
        <v>4573</v>
      </c>
      <c r="FW356" s="15" t="s">
        <v>616</v>
      </c>
      <c r="FY356" s="15">
        <v>0.0</v>
      </c>
    </row>
    <row r="357" ht="17.25" customHeight="1">
      <c r="A357" s="15" t="s">
        <v>4620</v>
      </c>
      <c r="B357" s="15" t="str">
        <f>"801542978969"</f>
        <v>801542978969</v>
      </c>
      <c r="C357" s="15" t="s">
        <v>15336</v>
      </c>
      <c r="D357" s="15" t="str">
        <f t="shared" si="1"/>
        <v>Ezri NightstandBlack Oak</v>
      </c>
      <c r="E357" s="15" t="s">
        <v>4618</v>
      </c>
      <c r="F357" s="15" t="s">
        <v>397</v>
      </c>
      <c r="G357" s="15" t="s">
        <v>3541</v>
      </c>
      <c r="J357" s="15" t="s">
        <v>3541</v>
      </c>
      <c r="K357" s="15" t="s">
        <v>4596</v>
      </c>
      <c r="M357" s="15" t="s">
        <v>4600</v>
      </c>
      <c r="N357" s="15" t="s">
        <v>628</v>
      </c>
      <c r="P357" s="15" t="str">
        <f t="shared" ref="P357:P358" si="1068">"32"</f>
        <v>32</v>
      </c>
      <c r="Q357" s="15" t="str">
        <f t="shared" ref="Q357:Q358" si="1069">"20"</f>
        <v>20</v>
      </c>
      <c r="R357" s="15" t="str">
        <f t="shared" ref="R357:R358" si="1070">"25"</f>
        <v>25</v>
      </c>
      <c r="S357" s="15" t="str">
        <f t="shared" ref="S357:S358" si="1071">"90.83"</f>
        <v>90.83</v>
      </c>
      <c r="T357" s="15" t="s">
        <v>2872</v>
      </c>
      <c r="U357" s="15" t="s">
        <v>11338</v>
      </c>
      <c r="AA357" s="15" t="s">
        <v>413</v>
      </c>
      <c r="AB357" s="15" t="s">
        <v>413</v>
      </c>
      <c r="AC357" s="15" t="s">
        <v>4623</v>
      </c>
      <c r="AD357" s="15" t="s">
        <v>15337</v>
      </c>
      <c r="AE357" s="15" t="s">
        <v>4622</v>
      </c>
      <c r="AF357" s="15" t="s">
        <v>15338</v>
      </c>
      <c r="AG357" s="15" t="s">
        <v>15339</v>
      </c>
      <c r="AH357" s="15" t="s">
        <v>15340</v>
      </c>
      <c r="AI357" s="15" t="s">
        <v>15341</v>
      </c>
      <c r="AJ357" s="15" t="s">
        <v>15342</v>
      </c>
      <c r="AK357" s="15" t="s">
        <v>15343</v>
      </c>
      <c r="AL357" s="15" t="s">
        <v>15344</v>
      </c>
      <c r="AM357" s="15" t="s">
        <v>15345</v>
      </c>
      <c r="AN357" s="15" t="s">
        <v>15346</v>
      </c>
      <c r="AO357" s="15" t="s">
        <v>15347</v>
      </c>
      <c r="AP357" s="15" t="s">
        <v>15348</v>
      </c>
      <c r="BH357" s="15" t="s">
        <v>4619</v>
      </c>
      <c r="BI357" s="15" t="str">
        <f t="shared" ref="BI357:BI358" si="1072">"1299"</f>
        <v>1299</v>
      </c>
      <c r="BJ357" s="15" t="str">
        <f t="shared" ref="BJ357:BJ358" si="1073">"550"</f>
        <v>550</v>
      </c>
      <c r="BK357" s="15" t="s">
        <v>1303</v>
      </c>
      <c r="BL357" s="15" t="str">
        <f t="shared" si="1061"/>
        <v>1</v>
      </c>
      <c r="BM357" s="15" t="s">
        <v>416</v>
      </c>
      <c r="BN357" s="15" t="str">
        <f t="shared" ref="BN357:BN358" si="1074">"35.5"</f>
        <v>35.5</v>
      </c>
      <c r="BO357" s="15" t="str">
        <f t="shared" ref="BO357:BO358" si="1075">"24"</f>
        <v>24</v>
      </c>
      <c r="BP357" s="15" t="str">
        <f t="shared" ref="BP357:BP358" si="1076">"29"</f>
        <v>29</v>
      </c>
      <c r="BQ357" s="15" t="str">
        <f t="shared" ref="BQ357:BQ358" si="1077">"109.67"</f>
        <v>109.67</v>
      </c>
      <c r="CG357" s="15" t="str">
        <f t="shared" ref="CG357:CG358" si="1078">"14.3"</f>
        <v>14.3</v>
      </c>
      <c r="CH357" s="15" t="str">
        <f t="shared" ref="CH357:CH358" si="1079">"0.405"</f>
        <v>0.405</v>
      </c>
      <c r="CI357" s="15" t="s">
        <v>497</v>
      </c>
      <c r="CZ357" s="15" t="s">
        <v>1371</v>
      </c>
      <c r="DA357" s="15">
        <v>2.0</v>
      </c>
      <c r="DB357" s="15" t="s">
        <v>2601</v>
      </c>
      <c r="DD357" s="15">
        <v>0.0</v>
      </c>
      <c r="DF357" s="15" t="s">
        <v>420</v>
      </c>
      <c r="DG357" s="15" t="s">
        <v>421</v>
      </c>
      <c r="DK357" s="15">
        <v>0.0</v>
      </c>
      <c r="DR357" s="15" t="s">
        <v>471</v>
      </c>
      <c r="DS357" s="15" t="s">
        <v>4603</v>
      </c>
      <c r="DU357" s="15" t="s">
        <v>500</v>
      </c>
      <c r="EF357" s="15" t="s">
        <v>429</v>
      </c>
      <c r="EU357" s="15" t="s">
        <v>426</v>
      </c>
      <c r="EV357" s="15">
        <v>0.0</v>
      </c>
      <c r="FQ357" s="15">
        <v>0.0</v>
      </c>
      <c r="FR357" s="15" t="s">
        <v>427</v>
      </c>
      <c r="FX357" s="15" t="s">
        <v>426</v>
      </c>
      <c r="FZ357" s="15" t="s">
        <v>1160</v>
      </c>
      <c r="GB357" s="15" t="s">
        <v>2116</v>
      </c>
      <c r="GD357" s="15" t="s">
        <v>555</v>
      </c>
      <c r="GF357" s="15" t="s">
        <v>431</v>
      </c>
      <c r="GH357" s="15" t="s">
        <v>420</v>
      </c>
      <c r="GI357" s="15" t="s">
        <v>426</v>
      </c>
    </row>
    <row r="358" ht="17.25" customHeight="1">
      <c r="A358" s="15" t="s">
        <v>4627</v>
      </c>
      <c r="B358" s="15" t="str">
        <f>"801542330156"</f>
        <v>801542330156</v>
      </c>
      <c r="C358" s="15" t="s">
        <v>15349</v>
      </c>
      <c r="D358" s="15" t="str">
        <f t="shared" si="1"/>
        <v>Ezri NightstandCocoa Oak</v>
      </c>
      <c r="E358" s="15" t="s">
        <v>4618</v>
      </c>
      <c r="F358" s="15" t="s">
        <v>397</v>
      </c>
      <c r="G358" s="15" t="s">
        <v>4626</v>
      </c>
      <c r="J358" s="15" t="s">
        <v>4626</v>
      </c>
      <c r="K358" s="15" t="s">
        <v>4605</v>
      </c>
      <c r="M358" s="15" t="s">
        <v>4600</v>
      </c>
      <c r="N358" s="15" t="s">
        <v>628</v>
      </c>
      <c r="P358" s="15" t="str">
        <f t="shared" si="1068"/>
        <v>32</v>
      </c>
      <c r="Q358" s="15" t="str">
        <f t="shared" si="1069"/>
        <v>20</v>
      </c>
      <c r="R358" s="15" t="str">
        <f t="shared" si="1070"/>
        <v>25</v>
      </c>
      <c r="S358" s="15" t="str">
        <f t="shared" si="1071"/>
        <v>90.83</v>
      </c>
      <c r="T358" s="15" t="s">
        <v>2872</v>
      </c>
      <c r="U358" s="15" t="s">
        <v>11338</v>
      </c>
      <c r="AA358" s="15" t="s">
        <v>413</v>
      </c>
      <c r="AB358" s="15" t="s">
        <v>413</v>
      </c>
      <c r="AC358" s="15" t="s">
        <v>4629</v>
      </c>
      <c r="AD358" s="15" t="s">
        <v>15350</v>
      </c>
      <c r="AE358" s="15" t="s">
        <v>4628</v>
      </c>
      <c r="AF358" s="15" t="s">
        <v>15351</v>
      </c>
      <c r="AG358" s="15" t="s">
        <v>15352</v>
      </c>
      <c r="AH358" s="15" t="s">
        <v>15353</v>
      </c>
      <c r="AI358" s="15" t="s">
        <v>15354</v>
      </c>
      <c r="AJ358" s="15" t="s">
        <v>15355</v>
      </c>
      <c r="AK358" s="15" t="s">
        <v>15356</v>
      </c>
      <c r="AL358" s="15" t="s">
        <v>15357</v>
      </c>
      <c r="AM358" s="15" t="s">
        <v>15358</v>
      </c>
      <c r="AN358" s="15" t="s">
        <v>15359</v>
      </c>
      <c r="AO358" s="15" t="s">
        <v>15360</v>
      </c>
      <c r="AP358" s="15" t="s">
        <v>15361</v>
      </c>
      <c r="AQ358" s="15" t="s">
        <v>15362</v>
      </c>
      <c r="AR358" s="15" t="s">
        <v>15363</v>
      </c>
      <c r="AS358" s="15" t="s">
        <v>15364</v>
      </c>
      <c r="AT358" s="15" t="s">
        <v>15365</v>
      </c>
      <c r="AU358" s="15" t="s">
        <v>15366</v>
      </c>
      <c r="BH358" s="15" t="s">
        <v>4625</v>
      </c>
      <c r="BI358" s="15" t="str">
        <f t="shared" si="1072"/>
        <v>1299</v>
      </c>
      <c r="BJ358" s="15" t="str">
        <f t="shared" si="1073"/>
        <v>550</v>
      </c>
      <c r="BK358" s="15" t="s">
        <v>1303</v>
      </c>
      <c r="BL358" s="15" t="str">
        <f t="shared" si="1061"/>
        <v>1</v>
      </c>
      <c r="BM358" s="15" t="s">
        <v>416</v>
      </c>
      <c r="BN358" s="15" t="str">
        <f t="shared" si="1074"/>
        <v>35.5</v>
      </c>
      <c r="BO358" s="15" t="str">
        <f t="shared" si="1075"/>
        <v>24</v>
      </c>
      <c r="BP358" s="15" t="str">
        <f t="shared" si="1076"/>
        <v>29</v>
      </c>
      <c r="BQ358" s="15" t="str">
        <f t="shared" si="1077"/>
        <v>109.67</v>
      </c>
      <c r="CG358" s="15" t="str">
        <f t="shared" si="1078"/>
        <v>14.3</v>
      </c>
      <c r="CH358" s="15" t="str">
        <f t="shared" si="1079"/>
        <v>0.405</v>
      </c>
      <c r="CI358" s="15" t="s">
        <v>465</v>
      </c>
      <c r="CZ358" s="15" t="s">
        <v>1371</v>
      </c>
      <c r="DA358" s="15">
        <v>2.0</v>
      </c>
      <c r="DB358" s="15" t="s">
        <v>2601</v>
      </c>
      <c r="DD358" s="15">
        <v>0.0</v>
      </c>
      <c r="DF358" s="15" t="s">
        <v>420</v>
      </c>
      <c r="DG358" s="15" t="s">
        <v>421</v>
      </c>
      <c r="DK358" s="15">
        <v>0.0</v>
      </c>
      <c r="DR358" s="15" t="s">
        <v>471</v>
      </c>
      <c r="DS358" s="15" t="s">
        <v>4603</v>
      </c>
      <c r="DU358" s="15" t="s">
        <v>500</v>
      </c>
      <c r="EF358" s="15" t="s">
        <v>429</v>
      </c>
      <c r="EU358" s="15" t="s">
        <v>426</v>
      </c>
      <c r="EV358" s="15">
        <v>0.0</v>
      </c>
      <c r="FQ358" s="15">
        <v>0.0</v>
      </c>
      <c r="FR358" s="15" t="s">
        <v>427</v>
      </c>
      <c r="FX358" s="15" t="s">
        <v>426</v>
      </c>
      <c r="FZ358" s="15" t="s">
        <v>1160</v>
      </c>
      <c r="GB358" s="15" t="s">
        <v>2116</v>
      </c>
      <c r="GD358" s="15" t="s">
        <v>555</v>
      </c>
      <c r="GF358" s="15" t="s">
        <v>431</v>
      </c>
      <c r="GH358" s="15" t="s">
        <v>420</v>
      </c>
      <c r="GI358" s="15" t="s">
        <v>426</v>
      </c>
    </row>
    <row r="359" ht="17.25" customHeight="1">
      <c r="A359" s="15" t="s">
        <v>4632</v>
      </c>
      <c r="B359" s="15" t="str">
        <f>"801542341947"</f>
        <v>801542341947</v>
      </c>
      <c r="C359" s="15" t="s">
        <v>15367</v>
      </c>
      <c r="D359" s="15" t="str">
        <f t="shared" si="1"/>
        <v>Ezri SideboardBlack Oak</v>
      </c>
      <c r="E359" s="15" t="s">
        <v>4630</v>
      </c>
      <c r="F359" s="15" t="s">
        <v>397</v>
      </c>
      <c r="G359" s="15" t="s">
        <v>3541</v>
      </c>
      <c r="J359" s="15" t="s">
        <v>3541</v>
      </c>
      <c r="K359" s="15" t="s">
        <v>4596</v>
      </c>
      <c r="M359" s="15" t="s">
        <v>4600</v>
      </c>
      <c r="N359" s="15" t="s">
        <v>664</v>
      </c>
      <c r="P359" s="15" t="str">
        <f t="shared" ref="P359:P360" si="1080">"98"</f>
        <v>98</v>
      </c>
      <c r="Q359" s="15" t="str">
        <f t="shared" ref="Q359:Q360" si="1081">"18"</f>
        <v>18</v>
      </c>
      <c r="R359" s="15" t="str">
        <f t="shared" ref="R359:R360" si="1082">"34"</f>
        <v>34</v>
      </c>
      <c r="S359" s="15" t="str">
        <f t="shared" ref="S359:S360" si="1083">"231.48"</f>
        <v>231.48</v>
      </c>
      <c r="T359" s="15" t="s">
        <v>2872</v>
      </c>
      <c r="U359" s="15" t="s">
        <v>11338</v>
      </c>
      <c r="AA359" s="15" t="s">
        <v>413</v>
      </c>
      <c r="AB359" s="15" t="s">
        <v>413</v>
      </c>
      <c r="AC359" s="15" t="s">
        <v>4634</v>
      </c>
      <c r="AD359" s="15" t="s">
        <v>15368</v>
      </c>
      <c r="AE359" s="15" t="s">
        <v>4633</v>
      </c>
      <c r="AF359" s="15" t="s">
        <v>15369</v>
      </c>
      <c r="AG359" s="15" t="s">
        <v>15370</v>
      </c>
      <c r="AH359" s="15" t="s">
        <v>15371</v>
      </c>
      <c r="AI359" s="15" t="s">
        <v>15372</v>
      </c>
      <c r="AJ359" s="15" t="s">
        <v>15373</v>
      </c>
      <c r="AK359" s="15" t="s">
        <v>15374</v>
      </c>
      <c r="AL359" s="15" t="s">
        <v>15375</v>
      </c>
      <c r="AM359" s="15" t="s">
        <v>15376</v>
      </c>
      <c r="AN359" s="15" t="s">
        <v>15377</v>
      </c>
      <c r="AO359" s="15" t="s">
        <v>15378</v>
      </c>
      <c r="BH359" s="15" t="s">
        <v>4631</v>
      </c>
      <c r="BI359" s="15" t="str">
        <f t="shared" ref="BI359:BI360" si="1084">"3299"</f>
        <v>3299</v>
      </c>
      <c r="BJ359" s="15" t="str">
        <f t="shared" ref="BJ359:BJ360" si="1085">"1390"</f>
        <v>1390</v>
      </c>
      <c r="BK359" s="15" t="s">
        <v>1303</v>
      </c>
      <c r="BL359" s="15" t="str">
        <f t="shared" si="1061"/>
        <v>1</v>
      </c>
      <c r="BM359" s="15" t="s">
        <v>416</v>
      </c>
      <c r="BN359" s="15" t="str">
        <f t="shared" ref="BN359:BN360" si="1086">"107.25"</f>
        <v>107.25</v>
      </c>
      <c r="BO359" s="15" t="str">
        <f t="shared" ref="BO359:BO360" si="1087">"23.25"</f>
        <v>23.25</v>
      </c>
      <c r="BP359" s="15" t="str">
        <f t="shared" ref="BP359:BP360" si="1088">"39.25"</f>
        <v>39.25</v>
      </c>
      <c r="BQ359" s="15" t="str">
        <f t="shared" ref="BQ359:BQ360" si="1089">"308.31"</f>
        <v>308.31</v>
      </c>
      <c r="CG359" s="15" t="str">
        <f t="shared" ref="CG359:CG360" si="1090">"56.64"</f>
        <v>56.64</v>
      </c>
      <c r="CH359" s="15" t="str">
        <f t="shared" ref="CH359:CH360" si="1091">"1.604"</f>
        <v>1.604</v>
      </c>
      <c r="CI359" s="15" t="s">
        <v>465</v>
      </c>
      <c r="CJ359" s="15" t="s">
        <v>504</v>
      </c>
      <c r="CK359" s="15" t="s">
        <v>2638</v>
      </c>
      <c r="CL359" s="15" t="s">
        <v>558</v>
      </c>
      <c r="CM359" s="15" t="s">
        <v>504</v>
      </c>
      <c r="CN359" s="15" t="s">
        <v>1982</v>
      </c>
      <c r="CO359" s="15" t="s">
        <v>558</v>
      </c>
      <c r="CZ359" s="15" t="s">
        <v>419</v>
      </c>
      <c r="DA359" s="15">
        <v>0.0</v>
      </c>
      <c r="DB359" s="15" t="s">
        <v>419</v>
      </c>
      <c r="DD359" s="15">
        <v>3.0</v>
      </c>
      <c r="DE359" s="15" t="s">
        <v>426</v>
      </c>
      <c r="DF359" s="15" t="s">
        <v>420</v>
      </c>
      <c r="DG359" s="15" t="s">
        <v>610</v>
      </c>
      <c r="DI359" s="15">
        <v>18.14</v>
      </c>
      <c r="DJ359" s="15">
        <v>40.0</v>
      </c>
      <c r="DK359" s="15">
        <v>0.0</v>
      </c>
      <c r="DS359" s="15" t="s">
        <v>4603</v>
      </c>
      <c r="DU359" s="15" t="s">
        <v>424</v>
      </c>
      <c r="EF359" s="15" t="s">
        <v>429</v>
      </c>
      <c r="EU359" s="15" t="s">
        <v>426</v>
      </c>
      <c r="EV359" s="15">
        <v>6.0</v>
      </c>
      <c r="FH359" s="15" t="s">
        <v>1064</v>
      </c>
      <c r="FI359" s="15" t="s">
        <v>612</v>
      </c>
      <c r="FJ359" s="15" t="s">
        <v>1160</v>
      </c>
      <c r="FN359" s="15">
        <v>0.0</v>
      </c>
      <c r="FO359" s="15" t="s">
        <v>426</v>
      </c>
      <c r="FP359" s="15" t="s">
        <v>1883</v>
      </c>
      <c r="FQ359" s="15">
        <v>6.0</v>
      </c>
      <c r="FR359" s="15" t="s">
        <v>614</v>
      </c>
      <c r="FS359" s="15" t="s">
        <v>615</v>
      </c>
      <c r="FT359" s="15">
        <v>0.0</v>
      </c>
      <c r="FW359" s="15" t="s">
        <v>616</v>
      </c>
      <c r="GJ359" s="15" t="s">
        <v>504</v>
      </c>
      <c r="GK359" s="15" t="s">
        <v>1982</v>
      </c>
      <c r="GL359" s="15" t="s">
        <v>558</v>
      </c>
      <c r="GZ359" s="15" t="s">
        <v>504</v>
      </c>
      <c r="HA359" s="15" t="s">
        <v>504</v>
      </c>
      <c r="HB359" s="15" t="s">
        <v>1982</v>
      </c>
      <c r="HC359" s="15" t="s">
        <v>1982</v>
      </c>
      <c r="HD359" s="15" t="s">
        <v>558</v>
      </c>
      <c r="HE359" s="15" t="s">
        <v>558</v>
      </c>
      <c r="KG359" s="15" t="s">
        <v>504</v>
      </c>
      <c r="KH359" s="15" t="s">
        <v>1982</v>
      </c>
      <c r="KI359" s="15" t="s">
        <v>558</v>
      </c>
      <c r="KT359" s="15" t="s">
        <v>504</v>
      </c>
      <c r="KV359" s="15" t="s">
        <v>1982</v>
      </c>
      <c r="KX359" s="15" t="s">
        <v>558</v>
      </c>
    </row>
    <row r="360" ht="17.25" customHeight="1">
      <c r="A360" s="15" t="s">
        <v>4638</v>
      </c>
      <c r="B360" s="15" t="str">
        <f>"801542342036"</f>
        <v>801542342036</v>
      </c>
      <c r="C360" s="15" t="s">
        <v>15379</v>
      </c>
      <c r="D360" s="15" t="str">
        <f t="shared" si="1"/>
        <v>Ezri SideboardCocoa Oak</v>
      </c>
      <c r="E360" s="15" t="s">
        <v>4630</v>
      </c>
      <c r="F360" s="15" t="s">
        <v>397</v>
      </c>
      <c r="G360" s="15" t="s">
        <v>4626</v>
      </c>
      <c r="J360" s="15" t="s">
        <v>4626</v>
      </c>
      <c r="K360" s="15" t="s">
        <v>4605</v>
      </c>
      <c r="M360" s="15" t="s">
        <v>4600</v>
      </c>
      <c r="N360" s="15" t="s">
        <v>664</v>
      </c>
      <c r="P360" s="15" t="str">
        <f t="shared" si="1080"/>
        <v>98</v>
      </c>
      <c r="Q360" s="15" t="str">
        <f t="shared" si="1081"/>
        <v>18</v>
      </c>
      <c r="R360" s="15" t="str">
        <f t="shared" si="1082"/>
        <v>34</v>
      </c>
      <c r="S360" s="15" t="str">
        <f t="shared" si="1083"/>
        <v>231.48</v>
      </c>
      <c r="T360" s="15" t="s">
        <v>2872</v>
      </c>
      <c r="U360" s="15" t="s">
        <v>11338</v>
      </c>
      <c r="AA360" s="15" t="s">
        <v>413</v>
      </c>
      <c r="AB360" s="15" t="s">
        <v>413</v>
      </c>
      <c r="AC360" s="15" t="s">
        <v>4634</v>
      </c>
      <c r="AD360" s="15" t="s">
        <v>15380</v>
      </c>
      <c r="AE360" s="15" t="s">
        <v>4639</v>
      </c>
      <c r="AF360" s="15" t="s">
        <v>15381</v>
      </c>
      <c r="AG360" s="15" t="s">
        <v>15382</v>
      </c>
      <c r="AH360" s="15" t="s">
        <v>15383</v>
      </c>
      <c r="AI360" s="15" t="s">
        <v>15384</v>
      </c>
      <c r="AJ360" s="15" t="s">
        <v>15385</v>
      </c>
      <c r="AK360" s="15" t="s">
        <v>15386</v>
      </c>
      <c r="AL360" s="15" t="s">
        <v>15387</v>
      </c>
      <c r="AM360" s="15" t="s">
        <v>15388</v>
      </c>
      <c r="AN360" s="15" t="s">
        <v>15389</v>
      </c>
      <c r="AO360" s="15" t="s">
        <v>15390</v>
      </c>
      <c r="AP360" s="15" t="s">
        <v>15391</v>
      </c>
      <c r="AQ360" s="15" t="s">
        <v>15392</v>
      </c>
      <c r="AR360" s="15" t="s">
        <v>15393</v>
      </c>
      <c r="BH360" s="15" t="s">
        <v>4637</v>
      </c>
      <c r="BI360" s="15" t="str">
        <f t="shared" si="1084"/>
        <v>3299</v>
      </c>
      <c r="BJ360" s="15" t="str">
        <f t="shared" si="1085"/>
        <v>1390</v>
      </c>
      <c r="BK360" s="15" t="s">
        <v>1303</v>
      </c>
      <c r="BL360" s="15" t="str">
        <f t="shared" si="1061"/>
        <v>1</v>
      </c>
      <c r="BM360" s="15" t="s">
        <v>416</v>
      </c>
      <c r="BN360" s="15" t="str">
        <f t="shared" si="1086"/>
        <v>107.25</v>
      </c>
      <c r="BO360" s="15" t="str">
        <f t="shared" si="1087"/>
        <v>23.25</v>
      </c>
      <c r="BP360" s="15" t="str">
        <f t="shared" si="1088"/>
        <v>39.25</v>
      </c>
      <c r="BQ360" s="15" t="str">
        <f t="shared" si="1089"/>
        <v>308.31</v>
      </c>
      <c r="CG360" s="15" t="str">
        <f t="shared" si="1090"/>
        <v>56.64</v>
      </c>
      <c r="CH360" s="15" t="str">
        <f t="shared" si="1091"/>
        <v>1.604</v>
      </c>
      <c r="CI360" s="15" t="s">
        <v>497</v>
      </c>
      <c r="CJ360" s="15" t="s">
        <v>504</v>
      </c>
      <c r="CK360" s="15" t="s">
        <v>2638</v>
      </c>
      <c r="CL360" s="15" t="s">
        <v>558</v>
      </c>
      <c r="CM360" s="15" t="s">
        <v>504</v>
      </c>
      <c r="CN360" s="15" t="s">
        <v>1982</v>
      </c>
      <c r="CO360" s="15" t="s">
        <v>558</v>
      </c>
      <c r="CZ360" s="15" t="s">
        <v>419</v>
      </c>
      <c r="DA360" s="15">
        <v>0.0</v>
      </c>
      <c r="DB360" s="15" t="s">
        <v>419</v>
      </c>
      <c r="DD360" s="15">
        <v>3.0</v>
      </c>
      <c r="DE360" s="15" t="s">
        <v>426</v>
      </c>
      <c r="DF360" s="15" t="s">
        <v>420</v>
      </c>
      <c r="DG360" s="15" t="s">
        <v>610</v>
      </c>
      <c r="DI360" s="15">
        <v>18.14</v>
      </c>
      <c r="DJ360" s="15">
        <v>40.0</v>
      </c>
      <c r="DK360" s="15">
        <v>0.0</v>
      </c>
      <c r="DS360" s="15" t="s">
        <v>4603</v>
      </c>
      <c r="DU360" s="15" t="s">
        <v>424</v>
      </c>
      <c r="EF360" s="15" t="s">
        <v>429</v>
      </c>
      <c r="EU360" s="15" t="s">
        <v>426</v>
      </c>
      <c r="EV360" s="15">
        <v>6.0</v>
      </c>
      <c r="FH360" s="15" t="s">
        <v>1064</v>
      </c>
      <c r="FI360" s="15" t="s">
        <v>612</v>
      </c>
      <c r="FJ360" s="15" t="s">
        <v>1160</v>
      </c>
      <c r="FN360" s="15">
        <v>0.0</v>
      </c>
      <c r="FO360" s="15" t="s">
        <v>426</v>
      </c>
      <c r="FP360" s="15" t="s">
        <v>1883</v>
      </c>
      <c r="FQ360" s="15">
        <v>6.0</v>
      </c>
      <c r="FR360" s="15" t="s">
        <v>614</v>
      </c>
      <c r="FS360" s="15" t="s">
        <v>615</v>
      </c>
      <c r="FT360" s="15">
        <v>0.0</v>
      </c>
      <c r="FW360" s="15" t="s">
        <v>616</v>
      </c>
      <c r="GJ360" s="15" t="s">
        <v>504</v>
      </c>
      <c r="GK360" s="15" t="s">
        <v>1982</v>
      </c>
      <c r="GL360" s="15" t="s">
        <v>558</v>
      </c>
      <c r="GZ360" s="15" t="s">
        <v>504</v>
      </c>
      <c r="HA360" s="15" t="s">
        <v>504</v>
      </c>
      <c r="HB360" s="15" t="s">
        <v>1982</v>
      </c>
      <c r="HC360" s="15" t="s">
        <v>1982</v>
      </c>
      <c r="HD360" s="15" t="s">
        <v>558</v>
      </c>
      <c r="HE360" s="15" t="s">
        <v>558</v>
      </c>
      <c r="KG360" s="15" t="s">
        <v>504</v>
      </c>
      <c r="KH360" s="15" t="s">
        <v>1982</v>
      </c>
      <c r="KI360" s="15" t="s">
        <v>558</v>
      </c>
      <c r="KT360" s="15" t="s">
        <v>504</v>
      </c>
      <c r="KV360" s="15" t="s">
        <v>1982</v>
      </c>
      <c r="KX360" s="15" t="s">
        <v>558</v>
      </c>
    </row>
    <row r="361" ht="17.25" customHeight="1">
      <c r="A361" s="15" t="s">
        <v>4642</v>
      </c>
      <c r="B361" s="15" t="str">
        <f>"801542183134"</f>
        <v>801542183134</v>
      </c>
      <c r="C361" s="15" t="s">
        <v>15394</v>
      </c>
      <c r="D361" s="15" t="str">
        <f t="shared" si="1"/>
        <v>Farrah Chaise LoungeAlcala Fawn</v>
      </c>
      <c r="E361" s="15" t="s">
        <v>4640</v>
      </c>
      <c r="F361" s="15" t="s">
        <v>397</v>
      </c>
      <c r="G361" s="15" t="s">
        <v>1312</v>
      </c>
      <c r="J361" s="15" t="s">
        <v>1312</v>
      </c>
      <c r="M361" s="15" t="s">
        <v>2108</v>
      </c>
      <c r="N361" s="15" t="s">
        <v>1226</v>
      </c>
      <c r="P361" s="15" t="str">
        <f t="shared" ref="P361:P364" si="1092">"39"</f>
        <v>39</v>
      </c>
      <c r="Q361" s="15" t="str">
        <f t="shared" ref="Q361:Q362" si="1093">"58.5"</f>
        <v>58.5</v>
      </c>
      <c r="R361" s="15" t="str">
        <f t="shared" ref="R361:R364" si="1094">"33.5"</f>
        <v>33.5</v>
      </c>
      <c r="S361" s="15" t="str">
        <f t="shared" ref="S361:S364" si="1095">"81.57"</f>
        <v>81.57</v>
      </c>
      <c r="T361" s="15" t="s">
        <v>1943</v>
      </c>
      <c r="U361" s="15" t="s">
        <v>11356</v>
      </c>
      <c r="V361" s="15" t="s">
        <v>11574</v>
      </c>
      <c r="W361" s="15" t="s">
        <v>11575</v>
      </c>
      <c r="AA361" s="15" t="s">
        <v>413</v>
      </c>
      <c r="AB361" s="15" t="s">
        <v>426</v>
      </c>
      <c r="AD361" s="15" t="s">
        <v>15395</v>
      </c>
      <c r="AE361" s="15" t="s">
        <v>4644</v>
      </c>
      <c r="AF361" s="15" t="s">
        <v>15396</v>
      </c>
      <c r="AG361" s="15" t="s">
        <v>15397</v>
      </c>
      <c r="AH361" s="15" t="s">
        <v>15398</v>
      </c>
      <c r="AI361" s="15" t="s">
        <v>15399</v>
      </c>
      <c r="AJ361" s="15" t="s">
        <v>15400</v>
      </c>
      <c r="AK361" s="15" t="s">
        <v>15401</v>
      </c>
      <c r="AL361" s="15" t="s">
        <v>15402</v>
      </c>
      <c r="AM361" s="15" t="s">
        <v>15403</v>
      </c>
      <c r="AN361" s="15" t="s">
        <v>15404</v>
      </c>
      <c r="AO361" s="15" t="s">
        <v>15405</v>
      </c>
      <c r="AP361" s="15" t="s">
        <v>15406</v>
      </c>
      <c r="BH361" s="15" t="s">
        <v>4641</v>
      </c>
      <c r="BI361" s="15" t="str">
        <f t="shared" ref="BI361:BI362" si="1096">"1599"</f>
        <v>1599</v>
      </c>
      <c r="BJ361" s="15" t="str">
        <f t="shared" ref="BJ361:BJ362" si="1097">"675"</f>
        <v>675</v>
      </c>
      <c r="BK361" s="15" t="s">
        <v>415</v>
      </c>
      <c r="BL361" s="15" t="str">
        <f t="shared" si="1061"/>
        <v>1</v>
      </c>
      <c r="BM361" s="15" t="s">
        <v>416</v>
      </c>
      <c r="BN361" s="15" t="str">
        <f t="shared" ref="BN361:BN364" si="1098">"43.07"</f>
        <v>43.07</v>
      </c>
      <c r="BO361" s="15" t="str">
        <f t="shared" ref="BO361:BO364" si="1099">"61.54"</f>
        <v>61.54</v>
      </c>
      <c r="BP361" s="15" t="str">
        <f t="shared" ref="BP361:BP364" si="1100">"31.97"</f>
        <v>31.97</v>
      </c>
      <c r="BQ361" s="15" t="str">
        <f>"95.46"</f>
        <v>95.46</v>
      </c>
      <c r="CG361" s="15" t="str">
        <f t="shared" ref="CG361:CG364" si="1101">"49.02"</f>
        <v>49.02</v>
      </c>
      <c r="CH361" s="15" t="str">
        <f t="shared" ref="CH361:CH364" si="1102">"1.388"</f>
        <v>1.388</v>
      </c>
      <c r="CI361" s="15" t="s">
        <v>465</v>
      </c>
      <c r="CS361" s="15" t="s">
        <v>3841</v>
      </c>
      <c r="CT361" s="15" t="s">
        <v>467</v>
      </c>
      <c r="CU361" s="15" t="s">
        <v>4651</v>
      </c>
      <c r="CV361" s="15">
        <v>0.0</v>
      </c>
      <c r="CW361" s="15">
        <v>1.0</v>
      </c>
      <c r="CX361" s="15" t="s">
        <v>717</v>
      </c>
      <c r="CY361" s="15" t="s">
        <v>855</v>
      </c>
      <c r="DF361" s="15" t="s">
        <v>721</v>
      </c>
      <c r="DG361" s="15" t="s">
        <v>419</v>
      </c>
      <c r="DH361" s="15">
        <v>0.0</v>
      </c>
      <c r="DL361" s="15">
        <v>25000.0</v>
      </c>
      <c r="DM361" s="15" t="s">
        <v>990</v>
      </c>
      <c r="DP361" s="15">
        <v>0.0</v>
      </c>
      <c r="DQ361" s="15">
        <v>1.0</v>
      </c>
      <c r="DS361" s="15" t="s">
        <v>4652</v>
      </c>
      <c r="DT361" s="15">
        <v>0.0</v>
      </c>
      <c r="DU361" s="15" t="s">
        <v>726</v>
      </c>
      <c r="DV361" s="15" t="s">
        <v>555</v>
      </c>
      <c r="DW361" s="15" t="s">
        <v>505</v>
      </c>
      <c r="DX361" s="15" t="s">
        <v>1574</v>
      </c>
      <c r="EB361" s="15" t="s">
        <v>2737</v>
      </c>
      <c r="EC361" s="15" t="s">
        <v>2402</v>
      </c>
      <c r="ED361" s="15" t="s">
        <v>1331</v>
      </c>
      <c r="EE361" s="15" t="s">
        <v>1064</v>
      </c>
      <c r="EF361" s="15" t="s">
        <v>1309</v>
      </c>
      <c r="EG361" s="15" t="s">
        <v>4653</v>
      </c>
      <c r="EH361" s="15" t="s">
        <v>1064</v>
      </c>
      <c r="EI361" s="15" t="s">
        <v>1593</v>
      </c>
      <c r="EL361" s="15" t="s">
        <v>723</v>
      </c>
      <c r="EM361" s="15" t="s">
        <v>1076</v>
      </c>
      <c r="EN361" s="15" t="s">
        <v>3408</v>
      </c>
      <c r="EO361" s="15" t="s">
        <v>1239</v>
      </c>
      <c r="FB361" s="15" t="s">
        <v>2436</v>
      </c>
    </row>
    <row r="362" ht="17.25" customHeight="1">
      <c r="A362" s="15" t="s">
        <v>4656</v>
      </c>
      <c r="B362" s="15" t="str">
        <f>"801542996543"</f>
        <v>801542996543</v>
      </c>
      <c r="C362" s="15" t="s">
        <v>15407</v>
      </c>
      <c r="D362" s="15" t="str">
        <f t="shared" si="1"/>
        <v>Farrah Chaise LoungeIngram Ochre</v>
      </c>
      <c r="E362" s="15" t="s">
        <v>4640</v>
      </c>
      <c r="F362" s="15" t="s">
        <v>397</v>
      </c>
      <c r="G362" s="15" t="s">
        <v>4655</v>
      </c>
      <c r="J362" s="15" t="s">
        <v>4655</v>
      </c>
      <c r="M362" s="15" t="s">
        <v>2108</v>
      </c>
      <c r="N362" s="15" t="s">
        <v>1226</v>
      </c>
      <c r="P362" s="15" t="str">
        <f t="shared" si="1092"/>
        <v>39</v>
      </c>
      <c r="Q362" s="15" t="str">
        <f t="shared" si="1093"/>
        <v>58.5</v>
      </c>
      <c r="R362" s="15" t="str">
        <f t="shared" si="1094"/>
        <v>33.5</v>
      </c>
      <c r="S362" s="15" t="str">
        <f t="shared" si="1095"/>
        <v>81.57</v>
      </c>
      <c r="T362" s="15" t="s">
        <v>1655</v>
      </c>
      <c r="U362" s="15" t="s">
        <v>11209</v>
      </c>
      <c r="AA362" s="15" t="s">
        <v>413</v>
      </c>
      <c r="AB362" s="15" t="s">
        <v>413</v>
      </c>
      <c r="AC362" s="15" t="s">
        <v>4658</v>
      </c>
      <c r="AD362" s="15" t="s">
        <v>15408</v>
      </c>
      <c r="AE362" s="15" t="s">
        <v>4657</v>
      </c>
      <c r="AF362" s="15" t="s">
        <v>15409</v>
      </c>
      <c r="AG362" s="15" t="s">
        <v>15410</v>
      </c>
      <c r="AH362" s="15" t="s">
        <v>15411</v>
      </c>
      <c r="AI362" s="15" t="s">
        <v>15412</v>
      </c>
      <c r="AJ362" s="15" t="s">
        <v>15413</v>
      </c>
      <c r="AK362" s="15" t="s">
        <v>15414</v>
      </c>
      <c r="AL362" s="15" t="s">
        <v>15415</v>
      </c>
      <c r="AM362" s="15" t="s">
        <v>15416</v>
      </c>
      <c r="AN362" s="15" t="s">
        <v>15417</v>
      </c>
      <c r="AO362" s="15" t="s">
        <v>15418</v>
      </c>
      <c r="AP362" s="15" t="s">
        <v>15419</v>
      </c>
      <c r="AQ362" s="15" t="s">
        <v>15420</v>
      </c>
      <c r="AR362" s="15" t="s">
        <v>15421</v>
      </c>
      <c r="AS362" s="15" t="s">
        <v>15422</v>
      </c>
      <c r="BH362" s="15" t="s">
        <v>4654</v>
      </c>
      <c r="BI362" s="15" t="str">
        <f t="shared" si="1096"/>
        <v>1599</v>
      </c>
      <c r="BJ362" s="15" t="str">
        <f t="shared" si="1097"/>
        <v>675</v>
      </c>
      <c r="BK362" s="15" t="s">
        <v>415</v>
      </c>
      <c r="BL362" s="15" t="str">
        <f t="shared" si="1061"/>
        <v>1</v>
      </c>
      <c r="BM362" s="15" t="s">
        <v>416</v>
      </c>
      <c r="BN362" s="15" t="str">
        <f t="shared" si="1098"/>
        <v>43.07</v>
      </c>
      <c r="BO362" s="15" t="str">
        <f t="shared" si="1099"/>
        <v>61.54</v>
      </c>
      <c r="BP362" s="15" t="str">
        <f t="shared" si="1100"/>
        <v>31.97</v>
      </c>
      <c r="BQ362" s="15" t="str">
        <f>"93.48"</f>
        <v>93.48</v>
      </c>
      <c r="CG362" s="15" t="str">
        <f t="shared" si="1101"/>
        <v>49.02</v>
      </c>
      <c r="CH362" s="15" t="str">
        <f t="shared" si="1102"/>
        <v>1.388</v>
      </c>
      <c r="CI362" s="15" t="s">
        <v>465</v>
      </c>
      <c r="CS362" s="15" t="s">
        <v>3841</v>
      </c>
      <c r="CT362" s="15" t="s">
        <v>467</v>
      </c>
      <c r="CU362" s="15" t="s">
        <v>4651</v>
      </c>
      <c r="CV362" s="15">
        <v>0.0</v>
      </c>
      <c r="CW362" s="15">
        <v>1.0</v>
      </c>
      <c r="CX362" s="15" t="s">
        <v>717</v>
      </c>
      <c r="CY362" s="15" t="s">
        <v>934</v>
      </c>
      <c r="DF362" s="15" t="s">
        <v>721</v>
      </c>
      <c r="DG362" s="15" t="s">
        <v>419</v>
      </c>
      <c r="DH362" s="15">
        <v>0.0</v>
      </c>
      <c r="DL362" s="15">
        <v>50000.0</v>
      </c>
      <c r="DM362" s="15" t="s">
        <v>990</v>
      </c>
      <c r="DP362" s="15">
        <v>0.0</v>
      </c>
      <c r="DQ362" s="15">
        <v>1.0</v>
      </c>
      <c r="DS362" s="15" t="s">
        <v>4652</v>
      </c>
      <c r="DT362" s="15">
        <v>0.0</v>
      </c>
      <c r="DU362" s="15" t="s">
        <v>726</v>
      </c>
      <c r="DV362" s="15" t="s">
        <v>555</v>
      </c>
      <c r="DW362" s="15" t="s">
        <v>505</v>
      </c>
      <c r="DX362" s="15" t="s">
        <v>1574</v>
      </c>
      <c r="EB362" s="15" t="s">
        <v>2737</v>
      </c>
      <c r="EC362" s="15" t="s">
        <v>2402</v>
      </c>
      <c r="ED362" s="15" t="s">
        <v>1331</v>
      </c>
      <c r="EE362" s="15" t="s">
        <v>1064</v>
      </c>
      <c r="EF362" s="15" t="s">
        <v>1309</v>
      </c>
      <c r="EG362" s="15" t="s">
        <v>4653</v>
      </c>
      <c r="EH362" s="15" t="s">
        <v>1064</v>
      </c>
      <c r="EI362" s="15" t="s">
        <v>1593</v>
      </c>
      <c r="EL362" s="15" t="s">
        <v>723</v>
      </c>
      <c r="EM362" s="15" t="s">
        <v>1076</v>
      </c>
      <c r="EN362" s="15" t="s">
        <v>3408</v>
      </c>
      <c r="EO362" s="15" t="s">
        <v>1239</v>
      </c>
      <c r="FB362" s="15" t="s">
        <v>2436</v>
      </c>
    </row>
    <row r="363" ht="17.25" customHeight="1">
      <c r="A363" s="15" t="s">
        <v>4661</v>
      </c>
      <c r="B363" s="15" t="str">
        <f>"801542869632"</f>
        <v>801542869632</v>
      </c>
      <c r="C363" s="15" t="s">
        <v>15423</v>
      </c>
      <c r="D363" s="15" t="str">
        <f t="shared" si="1"/>
        <v>Farrah Chaise LoungeMerino Cotton</v>
      </c>
      <c r="E363" s="15" t="s">
        <v>4640</v>
      </c>
      <c r="F363" s="15" t="s">
        <v>397</v>
      </c>
      <c r="G363" s="15" t="s">
        <v>3427</v>
      </c>
      <c r="J363" s="15" t="s">
        <v>3427</v>
      </c>
      <c r="M363" s="15" t="s">
        <v>2108</v>
      </c>
      <c r="N363" s="15" t="s">
        <v>1226</v>
      </c>
      <c r="P363" s="15" t="str">
        <f t="shared" si="1092"/>
        <v>39</v>
      </c>
      <c r="Q363" s="15" t="str">
        <f>"60"</f>
        <v>60</v>
      </c>
      <c r="R363" s="15" t="str">
        <f t="shared" si="1094"/>
        <v>33.5</v>
      </c>
      <c r="S363" s="15" t="str">
        <f t="shared" si="1095"/>
        <v>81.57</v>
      </c>
      <c r="T363" s="15" t="s">
        <v>1655</v>
      </c>
      <c r="U363" s="15" t="s">
        <v>11209</v>
      </c>
      <c r="AA363" s="15" t="s">
        <v>413</v>
      </c>
      <c r="AB363" s="15" t="s">
        <v>426</v>
      </c>
      <c r="AC363" s="15" t="s">
        <v>4663</v>
      </c>
      <c r="AD363" s="15" t="s">
        <v>15424</v>
      </c>
      <c r="AE363" s="15" t="s">
        <v>4662</v>
      </c>
      <c r="AF363" s="15" t="s">
        <v>15425</v>
      </c>
      <c r="AG363" s="15" t="s">
        <v>15426</v>
      </c>
      <c r="AH363" s="15" t="s">
        <v>15427</v>
      </c>
      <c r="AI363" s="15" t="s">
        <v>15428</v>
      </c>
      <c r="AJ363" s="15" t="s">
        <v>15429</v>
      </c>
      <c r="AK363" s="15" t="s">
        <v>15430</v>
      </c>
      <c r="AL363" s="15" t="s">
        <v>15431</v>
      </c>
      <c r="AM363" s="15" t="s">
        <v>15432</v>
      </c>
      <c r="AN363" s="15" t="s">
        <v>15433</v>
      </c>
      <c r="AO363" s="15" t="s">
        <v>15434</v>
      </c>
      <c r="AP363" s="15" t="s">
        <v>15435</v>
      </c>
      <c r="BH363" s="15" t="s">
        <v>4660</v>
      </c>
      <c r="BI363" s="15" t="str">
        <f>"1499"</f>
        <v>1499</v>
      </c>
      <c r="BJ363" s="15" t="str">
        <f>"630"</f>
        <v>630</v>
      </c>
      <c r="BK363" s="15" t="s">
        <v>415</v>
      </c>
      <c r="BL363" s="15" t="str">
        <f t="shared" si="1061"/>
        <v>1</v>
      </c>
      <c r="BM363" s="15" t="s">
        <v>416</v>
      </c>
      <c r="BN363" s="15" t="str">
        <f t="shared" si="1098"/>
        <v>43.07</v>
      </c>
      <c r="BO363" s="15" t="str">
        <f t="shared" si="1099"/>
        <v>61.54</v>
      </c>
      <c r="BP363" s="15" t="str">
        <f t="shared" si="1100"/>
        <v>31.97</v>
      </c>
      <c r="BQ363" s="15" t="str">
        <f t="shared" ref="BQ363:BQ364" si="1103">"95.46"</f>
        <v>95.46</v>
      </c>
      <c r="CG363" s="15" t="str">
        <f t="shared" si="1101"/>
        <v>49.02</v>
      </c>
      <c r="CH363" s="15" t="str">
        <f t="shared" si="1102"/>
        <v>1.388</v>
      </c>
      <c r="CI363" s="15" t="s">
        <v>497</v>
      </c>
      <c r="CS363" s="15" t="s">
        <v>3841</v>
      </c>
      <c r="CT363" s="15" t="s">
        <v>467</v>
      </c>
      <c r="CU363" s="15" t="s">
        <v>4651</v>
      </c>
      <c r="CV363" s="15">
        <v>0.0</v>
      </c>
      <c r="CW363" s="15">
        <v>1.0</v>
      </c>
      <c r="CX363" s="15" t="s">
        <v>717</v>
      </c>
      <c r="CY363" s="15" t="s">
        <v>934</v>
      </c>
      <c r="DF363" s="15" t="s">
        <v>721</v>
      </c>
      <c r="DG363" s="15" t="s">
        <v>419</v>
      </c>
      <c r="DH363" s="15">
        <v>0.0</v>
      </c>
      <c r="DL363" s="15">
        <v>15000.0</v>
      </c>
      <c r="DM363" s="15" t="s">
        <v>990</v>
      </c>
      <c r="DP363" s="15">
        <v>0.0</v>
      </c>
      <c r="DQ363" s="15">
        <v>1.0</v>
      </c>
      <c r="DS363" s="15" t="s">
        <v>4652</v>
      </c>
      <c r="DT363" s="15">
        <v>0.0</v>
      </c>
      <c r="DU363" s="15" t="s">
        <v>726</v>
      </c>
      <c r="DV363" s="15" t="s">
        <v>555</v>
      </c>
      <c r="DW363" s="15" t="s">
        <v>505</v>
      </c>
      <c r="DX363" s="15" t="s">
        <v>1574</v>
      </c>
      <c r="EB363" s="15" t="s">
        <v>2737</v>
      </c>
      <c r="EC363" s="15" t="s">
        <v>2402</v>
      </c>
      <c r="ED363" s="15" t="s">
        <v>1331</v>
      </c>
      <c r="EE363" s="15" t="s">
        <v>1064</v>
      </c>
      <c r="EF363" s="15" t="s">
        <v>1309</v>
      </c>
      <c r="EG363" s="15" t="s">
        <v>4653</v>
      </c>
      <c r="EH363" s="15" t="s">
        <v>1064</v>
      </c>
      <c r="EI363" s="15" t="s">
        <v>1593</v>
      </c>
      <c r="EL363" s="15" t="s">
        <v>723</v>
      </c>
      <c r="EM363" s="15" t="s">
        <v>1076</v>
      </c>
      <c r="EN363" s="15" t="s">
        <v>3408</v>
      </c>
      <c r="EO363" s="15" t="s">
        <v>1239</v>
      </c>
      <c r="FB363" s="15" t="s">
        <v>2436</v>
      </c>
    </row>
    <row r="364" ht="17.25" customHeight="1">
      <c r="A364" s="15" t="s">
        <v>4665</v>
      </c>
      <c r="B364" s="15" t="str">
        <f>"801542157562"</f>
        <v>801542157562</v>
      </c>
      <c r="C364" s="15" t="s">
        <v>15436</v>
      </c>
      <c r="D364" s="15" t="str">
        <f t="shared" si="1"/>
        <v>Farrah Chaise LoungeSurrey Olive</v>
      </c>
      <c r="E364" s="15" t="s">
        <v>4640</v>
      </c>
      <c r="F364" s="15" t="s">
        <v>397</v>
      </c>
      <c r="G364" s="15" t="s">
        <v>1612</v>
      </c>
      <c r="J364" s="15" t="s">
        <v>1612</v>
      </c>
      <c r="M364" s="15" t="s">
        <v>2108</v>
      </c>
      <c r="N364" s="15" t="s">
        <v>1226</v>
      </c>
      <c r="P364" s="15" t="str">
        <f t="shared" si="1092"/>
        <v>39</v>
      </c>
      <c r="Q364" s="15" t="str">
        <f>"58.5"</f>
        <v>58.5</v>
      </c>
      <c r="R364" s="15" t="str">
        <f t="shared" si="1094"/>
        <v>33.5</v>
      </c>
      <c r="S364" s="15" t="str">
        <f t="shared" si="1095"/>
        <v>81.57</v>
      </c>
      <c r="T364" s="15" t="s">
        <v>1615</v>
      </c>
      <c r="U364" s="15" t="s">
        <v>11845</v>
      </c>
      <c r="V364" s="15" t="s">
        <v>11846</v>
      </c>
      <c r="AA364" s="15" t="s">
        <v>413</v>
      </c>
      <c r="AB364" s="15" t="s">
        <v>413</v>
      </c>
      <c r="AC364" s="15" t="s">
        <v>4667</v>
      </c>
      <c r="AD364" s="15" t="s">
        <v>15437</v>
      </c>
      <c r="AE364" s="15" t="s">
        <v>4666</v>
      </c>
      <c r="AF364" s="15" t="s">
        <v>15438</v>
      </c>
      <c r="AG364" s="15" t="s">
        <v>15439</v>
      </c>
      <c r="AH364" s="15" t="s">
        <v>15440</v>
      </c>
      <c r="AI364" s="15" t="s">
        <v>15441</v>
      </c>
      <c r="AJ364" s="15" t="s">
        <v>15442</v>
      </c>
      <c r="AK364" s="15" t="s">
        <v>15443</v>
      </c>
      <c r="AL364" s="15" t="s">
        <v>15444</v>
      </c>
      <c r="AM364" s="15" t="s">
        <v>15445</v>
      </c>
      <c r="AN364" s="15" t="s">
        <v>15446</v>
      </c>
      <c r="AO364" s="15" t="s">
        <v>15447</v>
      </c>
      <c r="AP364" s="15" t="s">
        <v>15448</v>
      </c>
      <c r="AQ364" s="15" t="s">
        <v>15449</v>
      </c>
      <c r="BH364" s="15" t="s">
        <v>4664</v>
      </c>
      <c r="BI364" s="15" t="str">
        <f>"1699"</f>
        <v>1699</v>
      </c>
      <c r="BJ364" s="15" t="str">
        <f>"715"</f>
        <v>715</v>
      </c>
      <c r="BK364" s="15" t="s">
        <v>415</v>
      </c>
      <c r="BL364" s="15" t="str">
        <f t="shared" si="1061"/>
        <v>1</v>
      </c>
      <c r="BM364" s="15" t="s">
        <v>416</v>
      </c>
      <c r="BN364" s="15" t="str">
        <f t="shared" si="1098"/>
        <v>43.07</v>
      </c>
      <c r="BO364" s="15" t="str">
        <f t="shared" si="1099"/>
        <v>61.54</v>
      </c>
      <c r="BP364" s="15" t="str">
        <f t="shared" si="1100"/>
        <v>31.97</v>
      </c>
      <c r="BQ364" s="15" t="str">
        <f t="shared" si="1103"/>
        <v>95.46</v>
      </c>
      <c r="CG364" s="15" t="str">
        <f t="shared" si="1101"/>
        <v>49.02</v>
      </c>
      <c r="CH364" s="15" t="str">
        <f t="shared" si="1102"/>
        <v>1.388</v>
      </c>
      <c r="CI364" s="15" t="s">
        <v>497</v>
      </c>
      <c r="CS364" s="15" t="s">
        <v>3841</v>
      </c>
      <c r="CT364" s="15" t="s">
        <v>467</v>
      </c>
      <c r="CU364" s="15" t="s">
        <v>4651</v>
      </c>
      <c r="CV364" s="15">
        <v>0.0</v>
      </c>
      <c r="CW364" s="15">
        <v>1.0</v>
      </c>
      <c r="CX364" s="15" t="s">
        <v>717</v>
      </c>
      <c r="CY364" s="15" t="s">
        <v>718</v>
      </c>
      <c r="DF364" s="15" t="s">
        <v>721</v>
      </c>
      <c r="DG364" s="15" t="s">
        <v>419</v>
      </c>
      <c r="DH364" s="15">
        <v>0.0</v>
      </c>
      <c r="DL364" s="15">
        <v>30000.0</v>
      </c>
      <c r="DM364" s="15" t="s">
        <v>990</v>
      </c>
      <c r="DP364" s="15">
        <v>0.0</v>
      </c>
      <c r="DQ364" s="15">
        <v>1.0</v>
      </c>
      <c r="DS364" s="15" t="s">
        <v>4652</v>
      </c>
      <c r="DT364" s="15">
        <v>0.0</v>
      </c>
      <c r="DU364" s="15" t="s">
        <v>726</v>
      </c>
      <c r="DV364" s="15" t="s">
        <v>555</v>
      </c>
      <c r="DW364" s="15" t="s">
        <v>505</v>
      </c>
      <c r="DX364" s="15" t="s">
        <v>1574</v>
      </c>
      <c r="EB364" s="15" t="s">
        <v>2737</v>
      </c>
      <c r="EC364" s="15" t="s">
        <v>2402</v>
      </c>
      <c r="ED364" s="15" t="s">
        <v>1331</v>
      </c>
      <c r="EE364" s="15" t="s">
        <v>1064</v>
      </c>
      <c r="EF364" s="15" t="s">
        <v>1309</v>
      </c>
      <c r="EG364" s="15" t="s">
        <v>4653</v>
      </c>
      <c r="EH364" s="15" t="s">
        <v>1064</v>
      </c>
      <c r="EI364" s="15" t="s">
        <v>1593</v>
      </c>
      <c r="EL364" s="15" t="s">
        <v>723</v>
      </c>
      <c r="EM364" s="15" t="s">
        <v>1076</v>
      </c>
      <c r="EN364" s="15" t="s">
        <v>3408</v>
      </c>
      <c r="EO364" s="15" t="s">
        <v>1239</v>
      </c>
      <c r="FB364" s="15" t="s">
        <v>2436</v>
      </c>
    </row>
    <row r="365" ht="17.25" customHeight="1">
      <c r="A365" s="15" t="s">
        <v>4671</v>
      </c>
      <c r="B365" s="15" t="str">
        <f>"198394028523"</f>
        <v>198394028523</v>
      </c>
      <c r="C365" s="15" t="s">
        <v>15450</v>
      </c>
      <c r="D365" s="15" t="str">
        <f t="shared" si="1"/>
        <v>Farrow Console TableDrifted Oak Veneer</v>
      </c>
      <c r="E365" s="15" t="s">
        <v>4668</v>
      </c>
      <c r="F365" s="15" t="s">
        <v>397</v>
      </c>
      <c r="G365" s="15" t="s">
        <v>4670</v>
      </c>
      <c r="J365" s="15" t="s">
        <v>4670</v>
      </c>
      <c r="M365" s="15" t="s">
        <v>1896</v>
      </c>
      <c r="N365" s="15" t="s">
        <v>519</v>
      </c>
      <c r="P365" s="15" t="str">
        <f>"79"</f>
        <v>79</v>
      </c>
      <c r="Q365" s="15" t="str">
        <f>"19"</f>
        <v>19</v>
      </c>
      <c r="R365" s="15" t="str">
        <f>"31"</f>
        <v>31</v>
      </c>
      <c r="S365" s="15" t="str">
        <f>"136.69"</f>
        <v>136.69</v>
      </c>
      <c r="T365" s="15" t="s">
        <v>407</v>
      </c>
      <c r="U365" s="15" t="s">
        <v>10881</v>
      </c>
      <c r="AA365" s="15" t="s">
        <v>413</v>
      </c>
      <c r="AB365" s="15" t="s">
        <v>413</v>
      </c>
      <c r="AC365" s="15" t="s">
        <v>4676</v>
      </c>
      <c r="AD365" s="15" t="s">
        <v>15451</v>
      </c>
      <c r="AE365" s="15" t="s">
        <v>4673</v>
      </c>
      <c r="AF365" s="15" t="s">
        <v>15452</v>
      </c>
      <c r="AG365" s="15" t="s">
        <v>15453</v>
      </c>
      <c r="AH365" s="15" t="s">
        <v>15454</v>
      </c>
      <c r="AI365" s="15" t="s">
        <v>15455</v>
      </c>
      <c r="AJ365" s="15" t="s">
        <v>15456</v>
      </c>
      <c r="AK365" s="15" t="s">
        <v>15457</v>
      </c>
      <c r="AL365" s="15" t="s">
        <v>15458</v>
      </c>
      <c r="AM365" s="15" t="s">
        <v>15459</v>
      </c>
      <c r="AN365" s="15" t="s">
        <v>15460</v>
      </c>
      <c r="AO365" s="15" t="s">
        <v>15461</v>
      </c>
      <c r="AP365" s="15" t="s">
        <v>15462</v>
      </c>
      <c r="AQ365" s="15" t="s">
        <v>15463</v>
      </c>
      <c r="AR365" s="15" t="s">
        <v>15464</v>
      </c>
      <c r="AS365" s="15" t="s">
        <v>15465</v>
      </c>
      <c r="AT365" s="15" t="s">
        <v>15466</v>
      </c>
      <c r="BH365" s="15" t="s">
        <v>4669</v>
      </c>
      <c r="BI365" s="15" t="str">
        <f>"1999"</f>
        <v>1999</v>
      </c>
      <c r="BJ365" s="15" t="str">
        <f>"840"</f>
        <v>840</v>
      </c>
      <c r="BK365" s="15" t="s">
        <v>742</v>
      </c>
      <c r="BL365" s="15" t="str">
        <f t="shared" si="1061"/>
        <v>1</v>
      </c>
      <c r="BM365" s="15" t="s">
        <v>416</v>
      </c>
      <c r="BN365" s="15" t="str">
        <f>"82.87"</f>
        <v>82.87</v>
      </c>
      <c r="BO365" s="15" t="str">
        <f>"22.83"</f>
        <v>22.83</v>
      </c>
      <c r="BP365" s="15" t="str">
        <f>"37.2"</f>
        <v>37.2</v>
      </c>
      <c r="BQ365" s="15" t="str">
        <f>"176.37"</f>
        <v>176.37</v>
      </c>
      <c r="CG365" s="15" t="str">
        <f>"40.75"</f>
        <v>40.75</v>
      </c>
      <c r="CH365" s="15" t="str">
        <f>"1.154"</f>
        <v>1.154</v>
      </c>
      <c r="CI365" s="15" t="s">
        <v>497</v>
      </c>
      <c r="CJ365" s="15" t="s">
        <v>1014</v>
      </c>
      <c r="CK365" s="15" t="s">
        <v>1042</v>
      </c>
      <c r="CL365" s="15" t="s">
        <v>4680</v>
      </c>
      <c r="CM365" s="15" t="s">
        <v>1014</v>
      </c>
      <c r="CN365" s="15" t="s">
        <v>4681</v>
      </c>
      <c r="CO365" s="15" t="s">
        <v>4680</v>
      </c>
      <c r="CZ365" s="15" t="s">
        <v>1371</v>
      </c>
      <c r="DA365" s="15">
        <v>3.0</v>
      </c>
      <c r="DB365" s="15" t="s">
        <v>419</v>
      </c>
      <c r="DD365" s="15">
        <v>1.0</v>
      </c>
      <c r="DE365" s="15" t="s">
        <v>426</v>
      </c>
      <c r="DF365" s="15" t="s">
        <v>721</v>
      </c>
      <c r="DG365" s="15" t="s">
        <v>1914</v>
      </c>
      <c r="DK365" s="15">
        <v>0.0</v>
      </c>
      <c r="DR365" s="15" t="s">
        <v>1112</v>
      </c>
      <c r="DS365" s="15" t="s">
        <v>3901</v>
      </c>
      <c r="DU365" s="15" t="s">
        <v>424</v>
      </c>
      <c r="EF365" s="15" t="s">
        <v>2505</v>
      </c>
      <c r="EH365" s="15" t="s">
        <v>4682</v>
      </c>
      <c r="EQ365" s="15" t="s">
        <v>1014</v>
      </c>
      <c r="ER365" s="15" t="s">
        <v>3644</v>
      </c>
      <c r="ES365" s="15" t="s">
        <v>4377</v>
      </c>
      <c r="ET365" s="15" t="s">
        <v>1042</v>
      </c>
      <c r="EU365" s="15" t="s">
        <v>426</v>
      </c>
      <c r="EV365" s="15">
        <v>1.0</v>
      </c>
      <c r="EW365" s="15">
        <v>0.0</v>
      </c>
      <c r="FF365" s="15" t="s">
        <v>4683</v>
      </c>
      <c r="FQ365" s="15">
        <v>0.0</v>
      </c>
      <c r="FR365" s="15" t="s">
        <v>427</v>
      </c>
      <c r="FZ365" s="15" t="s">
        <v>4684</v>
      </c>
      <c r="GB365" s="15" t="s">
        <v>4685</v>
      </c>
      <c r="GD365" s="15" t="s">
        <v>1432</v>
      </c>
      <c r="GF365" s="15" t="s">
        <v>838</v>
      </c>
      <c r="GH365" s="15" t="s">
        <v>764</v>
      </c>
    </row>
    <row r="366" ht="17.25" customHeight="1">
      <c r="A366" s="15" t="s">
        <v>4688</v>
      </c>
      <c r="B366" s="15" t="str">
        <f>"801542709105"</f>
        <v>801542709105</v>
      </c>
      <c r="C366" s="15" t="s">
        <v>15467</v>
      </c>
      <c r="D366" s="15" t="str">
        <f t="shared" si="1"/>
        <v>Fawkes BenchSonoma Black</v>
      </c>
      <c r="E366" s="15" t="s">
        <v>4686</v>
      </c>
      <c r="F366" s="15" t="s">
        <v>397</v>
      </c>
      <c r="G366" s="15" t="s">
        <v>4231</v>
      </c>
      <c r="J366" s="15" t="s">
        <v>4231</v>
      </c>
      <c r="K366" s="15" t="s">
        <v>4691</v>
      </c>
      <c r="M366" s="15" t="s">
        <v>2800</v>
      </c>
      <c r="N366" s="15" t="s">
        <v>458</v>
      </c>
      <c r="O366" s="15" t="s">
        <v>459</v>
      </c>
      <c r="P366" s="15" t="str">
        <f>"78.75"</f>
        <v>78.75</v>
      </c>
      <c r="Q366" s="15" t="str">
        <f>"28"</f>
        <v>28</v>
      </c>
      <c r="R366" s="15" t="str">
        <f>"20"</f>
        <v>20</v>
      </c>
      <c r="S366" s="15" t="str">
        <f>"59.72"</f>
        <v>59.72</v>
      </c>
      <c r="T366" s="15" t="s">
        <v>2799</v>
      </c>
      <c r="U366" s="15" t="s">
        <v>11137</v>
      </c>
      <c r="V366" s="15" t="s">
        <v>13112</v>
      </c>
      <c r="AA366" s="15" t="s">
        <v>413</v>
      </c>
      <c r="AB366" s="15" t="s">
        <v>413</v>
      </c>
      <c r="AC366" s="15" t="s">
        <v>4692</v>
      </c>
      <c r="AD366" s="15" t="s">
        <v>15468</v>
      </c>
      <c r="AE366" s="15" t="s">
        <v>4690</v>
      </c>
      <c r="AF366" s="15" t="s">
        <v>15469</v>
      </c>
      <c r="AG366" s="15" t="s">
        <v>15470</v>
      </c>
      <c r="AH366" s="15" t="s">
        <v>15471</v>
      </c>
      <c r="AI366" s="15" t="s">
        <v>15472</v>
      </c>
      <c r="AJ366" s="15" t="s">
        <v>15473</v>
      </c>
      <c r="AK366" s="15" t="s">
        <v>15474</v>
      </c>
      <c r="AL366" s="15" t="s">
        <v>15475</v>
      </c>
      <c r="AM366" s="15" t="s">
        <v>15476</v>
      </c>
      <c r="AN366" s="15" t="s">
        <v>15477</v>
      </c>
      <c r="BH366" s="15" t="s">
        <v>4687</v>
      </c>
      <c r="BI366" s="15" t="str">
        <f>"1549"</f>
        <v>1549</v>
      </c>
      <c r="BJ366" s="15" t="str">
        <f>"655"</f>
        <v>655</v>
      </c>
      <c r="BK366" s="15" t="s">
        <v>709</v>
      </c>
      <c r="BL366" s="15" t="str">
        <f t="shared" si="1061"/>
        <v>1</v>
      </c>
      <c r="BM366" s="15" t="s">
        <v>416</v>
      </c>
      <c r="BN366" s="15" t="str">
        <f>"79.72"</f>
        <v>79.72</v>
      </c>
      <c r="BO366" s="15" t="str">
        <f>"29.72"</f>
        <v>29.72</v>
      </c>
      <c r="BP366" s="15" t="str">
        <f>"20.28"</f>
        <v>20.28</v>
      </c>
      <c r="BQ366" s="15" t="str">
        <f>"89.53"</f>
        <v>89.53</v>
      </c>
      <c r="CG366" s="15" t="str">
        <f>"27.79"</f>
        <v>27.79</v>
      </c>
      <c r="CH366" s="15" t="str">
        <f>"0.787"</f>
        <v>0.787</v>
      </c>
      <c r="CI366" s="15" t="s">
        <v>497</v>
      </c>
      <c r="CP366" s="15" t="s">
        <v>715</v>
      </c>
      <c r="CQ366" s="15" t="s">
        <v>731</v>
      </c>
      <c r="CR366" s="15" t="s">
        <v>4696</v>
      </c>
      <c r="CS366" s="15" t="s">
        <v>715</v>
      </c>
      <c r="CT366" s="15" t="s">
        <v>607</v>
      </c>
      <c r="CU366" s="15" t="s">
        <v>4696</v>
      </c>
      <c r="CV366" s="15">
        <v>0.0</v>
      </c>
      <c r="CW366" s="15">
        <v>0.0</v>
      </c>
      <c r="CX366" s="15" t="s">
        <v>469</v>
      </c>
      <c r="CY366" s="15" t="s">
        <v>718</v>
      </c>
      <c r="CZ366" s="15" t="s">
        <v>419</v>
      </c>
      <c r="DA366" s="15">
        <v>0.0</v>
      </c>
      <c r="DB366" s="15" t="s">
        <v>419</v>
      </c>
      <c r="DC366" s="15" t="s">
        <v>1255</v>
      </c>
      <c r="DD366" s="15">
        <v>0.0</v>
      </c>
      <c r="DF366" s="15" t="s">
        <v>1111</v>
      </c>
      <c r="DG366" s="15" t="s">
        <v>419</v>
      </c>
      <c r="DH366" s="15">
        <v>0.0</v>
      </c>
      <c r="DI366" s="15">
        <v>0.0</v>
      </c>
      <c r="DJ366" s="15">
        <v>0.0</v>
      </c>
      <c r="DK366" s="15">
        <v>0.0</v>
      </c>
      <c r="DL366" s="15">
        <v>0.0</v>
      </c>
      <c r="DM366" s="15" t="s">
        <v>470</v>
      </c>
      <c r="DN366" s="15" t="s">
        <v>1016</v>
      </c>
      <c r="DP366" s="15">
        <v>1.0</v>
      </c>
      <c r="DQ366" s="15">
        <v>3.0</v>
      </c>
      <c r="DR366" s="15" t="s">
        <v>471</v>
      </c>
      <c r="DS366" s="15" t="s">
        <v>4697</v>
      </c>
      <c r="DT366" s="15">
        <v>0.0</v>
      </c>
      <c r="DU366" s="15" t="s">
        <v>473</v>
      </c>
      <c r="EF366" s="15" t="s">
        <v>729</v>
      </c>
      <c r="EG366" s="15" t="s">
        <v>3361</v>
      </c>
      <c r="EH366" s="15" t="s">
        <v>4698</v>
      </c>
      <c r="EX366" s="15" t="s">
        <v>4696</v>
      </c>
      <c r="EY366" s="15" t="s">
        <v>4696</v>
      </c>
      <c r="KC366" s="15" t="s">
        <v>822</v>
      </c>
      <c r="KD366" s="15" t="s">
        <v>2026</v>
      </c>
      <c r="KE366" s="15" t="s">
        <v>1482</v>
      </c>
    </row>
    <row r="367" ht="17.25" customHeight="1">
      <c r="A367" s="15" t="s">
        <v>4702</v>
      </c>
      <c r="B367" s="15" t="str">
        <f>"801542049850"</f>
        <v>801542049850</v>
      </c>
      <c r="C367" s="15" t="s">
        <v>15478</v>
      </c>
      <c r="D367" s="15" t="str">
        <f t="shared" si="1"/>
        <v>Fawkes Rectangle OttomanBrunswick Pebble</v>
      </c>
      <c r="E367" s="15" t="s">
        <v>4699</v>
      </c>
      <c r="F367" s="15" t="s">
        <v>397</v>
      </c>
      <c r="G367" s="15" t="s">
        <v>4701</v>
      </c>
      <c r="J367" s="15" t="s">
        <v>4701</v>
      </c>
      <c r="K367" s="15" t="s">
        <v>4226</v>
      </c>
      <c r="M367" s="15" t="s">
        <v>2800</v>
      </c>
      <c r="N367" s="15" t="s">
        <v>1009</v>
      </c>
      <c r="P367" s="15" t="str">
        <f>"65.75"</f>
        <v>65.75</v>
      </c>
      <c r="Q367" s="15" t="str">
        <f>"35.5"</f>
        <v>35.5</v>
      </c>
      <c r="R367" s="15" t="str">
        <f>"18"</f>
        <v>18</v>
      </c>
      <c r="S367" s="15" t="str">
        <f>"76.5"</f>
        <v>76.5</v>
      </c>
      <c r="T367" s="15" t="s">
        <v>4704</v>
      </c>
      <c r="U367" s="15" t="s">
        <v>15479</v>
      </c>
      <c r="V367" s="15" t="s">
        <v>15480</v>
      </c>
      <c r="W367" s="15" t="s">
        <v>13112</v>
      </c>
      <c r="AA367" s="15" t="s">
        <v>413</v>
      </c>
      <c r="AB367" s="15" t="s">
        <v>426</v>
      </c>
      <c r="AC367" s="15" t="s">
        <v>4705</v>
      </c>
      <c r="AD367" s="15" t="s">
        <v>15481</v>
      </c>
      <c r="AE367" s="15" t="s">
        <v>4703</v>
      </c>
      <c r="AF367" s="15" t="s">
        <v>15482</v>
      </c>
      <c r="AG367" s="15" t="s">
        <v>15483</v>
      </c>
      <c r="AH367" s="15" t="s">
        <v>15484</v>
      </c>
      <c r="AI367" s="15" t="s">
        <v>15485</v>
      </c>
      <c r="AJ367" s="15" t="s">
        <v>15486</v>
      </c>
      <c r="AK367" s="15" t="s">
        <v>15487</v>
      </c>
      <c r="AL367" s="15" t="s">
        <v>15488</v>
      </c>
      <c r="AM367" s="15" t="s">
        <v>15489</v>
      </c>
      <c r="BH367" s="15" t="s">
        <v>4700</v>
      </c>
      <c r="BI367" s="15" t="str">
        <f>"1199"</f>
        <v>1199</v>
      </c>
      <c r="BJ367" s="15" t="str">
        <f>"505"</f>
        <v>505</v>
      </c>
      <c r="BK367" s="15" t="s">
        <v>709</v>
      </c>
      <c r="BL367" s="15" t="str">
        <f t="shared" si="1061"/>
        <v>1</v>
      </c>
      <c r="BM367" s="15" t="s">
        <v>416</v>
      </c>
      <c r="BN367" s="15" t="str">
        <f>"67.13"</f>
        <v>67.13</v>
      </c>
      <c r="BO367" s="15" t="str">
        <f>"37.01"</f>
        <v>37.01</v>
      </c>
      <c r="BP367" s="15" t="str">
        <f>"18.31"</f>
        <v>18.31</v>
      </c>
      <c r="BQ367" s="15" t="str">
        <f>"100.09"</f>
        <v>100.09</v>
      </c>
      <c r="CG367" s="15" t="str">
        <f>"26.31"</f>
        <v>26.31</v>
      </c>
      <c r="CH367" s="15" t="str">
        <f>"0.745"</f>
        <v>0.745</v>
      </c>
      <c r="CI367" s="15" t="s">
        <v>465</v>
      </c>
      <c r="CS367" s="15" t="s">
        <v>3749</v>
      </c>
      <c r="CT367" s="15" t="s">
        <v>1935</v>
      </c>
      <c r="CU367" s="15" t="s">
        <v>4708</v>
      </c>
      <c r="CW367" s="15">
        <v>0.0</v>
      </c>
      <c r="CY367" s="15" t="s">
        <v>855</v>
      </c>
      <c r="DC367" s="15" t="s">
        <v>1239</v>
      </c>
      <c r="DF367" s="15" t="s">
        <v>1111</v>
      </c>
      <c r="DG367" s="15" t="s">
        <v>419</v>
      </c>
      <c r="DH367" s="15">
        <v>0.0</v>
      </c>
      <c r="DL367" s="15">
        <v>50000.0</v>
      </c>
      <c r="DM367" s="15" t="s">
        <v>470</v>
      </c>
      <c r="DN367" s="15" t="s">
        <v>1016</v>
      </c>
      <c r="DP367" s="15">
        <v>1.0</v>
      </c>
      <c r="DQ367" s="15">
        <v>3.0</v>
      </c>
      <c r="DR367" s="15" t="s">
        <v>471</v>
      </c>
      <c r="DS367" s="15" t="s">
        <v>4697</v>
      </c>
      <c r="DT367" s="15">
        <v>0.0</v>
      </c>
      <c r="DU367" s="15" t="s">
        <v>473</v>
      </c>
      <c r="EF367" s="15" t="s">
        <v>1132</v>
      </c>
      <c r="EG367" s="15" t="s">
        <v>4709</v>
      </c>
      <c r="EH367" s="15" t="s">
        <v>1553</v>
      </c>
      <c r="KC367" s="15" t="s">
        <v>4710</v>
      </c>
      <c r="KD367" s="15" t="s">
        <v>2026</v>
      </c>
      <c r="KE367" s="15" t="s">
        <v>2178</v>
      </c>
    </row>
    <row r="368" ht="17.25" customHeight="1">
      <c r="A368" s="15" t="s">
        <v>4713</v>
      </c>
      <c r="B368" s="15" t="str">
        <f>"801542745226"</f>
        <v>801542745226</v>
      </c>
      <c r="C368" s="15" t="s">
        <v>15490</v>
      </c>
      <c r="D368" s="15" t="str">
        <f t="shared" si="1"/>
        <v>Fay Accent TableNatural Oak</v>
      </c>
      <c r="E368" s="15" t="s">
        <v>4711</v>
      </c>
      <c r="F368" s="15" t="s">
        <v>397</v>
      </c>
      <c r="G368" s="15" t="s">
        <v>2868</v>
      </c>
      <c r="J368" s="15" t="s">
        <v>2868</v>
      </c>
      <c r="K368" s="15" t="s">
        <v>2254</v>
      </c>
      <c r="L368" s="15" t="s">
        <v>4717</v>
      </c>
      <c r="M368" s="15" t="s">
        <v>2630</v>
      </c>
      <c r="N368" s="15" t="s">
        <v>1154</v>
      </c>
      <c r="P368" s="15" t="str">
        <f t="shared" ref="P368:Q368" si="1104">"14"</f>
        <v>14</v>
      </c>
      <c r="Q368" s="15" t="str">
        <f t="shared" si="1104"/>
        <v>14</v>
      </c>
      <c r="R368" s="15" t="str">
        <f>"22.5"</f>
        <v>22.5</v>
      </c>
      <c r="S368" s="15" t="str">
        <f>"51.58"</f>
        <v>51.58</v>
      </c>
      <c r="T368" s="15" t="s">
        <v>4716</v>
      </c>
      <c r="U368" s="15" t="s">
        <v>11338</v>
      </c>
      <c r="V368" s="15" t="s">
        <v>11754</v>
      </c>
      <c r="W368" s="15" t="s">
        <v>11139</v>
      </c>
      <c r="AA368" s="15" t="s">
        <v>413</v>
      </c>
      <c r="AB368" s="15" t="s">
        <v>413</v>
      </c>
      <c r="AC368" s="15" t="s">
        <v>4718</v>
      </c>
      <c r="AD368" s="15" t="s">
        <v>15491</v>
      </c>
      <c r="AE368" s="15" t="s">
        <v>4715</v>
      </c>
      <c r="AF368" s="15" t="s">
        <v>15492</v>
      </c>
      <c r="AG368" s="15" t="s">
        <v>15493</v>
      </c>
      <c r="AH368" s="15" t="s">
        <v>15494</v>
      </c>
      <c r="AI368" s="15" t="s">
        <v>15495</v>
      </c>
      <c r="AJ368" s="15" t="s">
        <v>15496</v>
      </c>
      <c r="AK368" s="15" t="s">
        <v>15497</v>
      </c>
      <c r="AL368" s="15" t="s">
        <v>15498</v>
      </c>
      <c r="AM368" s="15" t="s">
        <v>15499</v>
      </c>
      <c r="AN368" s="15" t="s">
        <v>15500</v>
      </c>
      <c r="AO368" s="15" t="s">
        <v>15501</v>
      </c>
      <c r="AP368" s="15" t="s">
        <v>15502</v>
      </c>
      <c r="BH368" s="15" t="s">
        <v>4712</v>
      </c>
      <c r="BI368" s="15" t="str">
        <f>"479"</f>
        <v>479</v>
      </c>
      <c r="BJ368" s="15" t="str">
        <f>"205"</f>
        <v>205</v>
      </c>
      <c r="BK368" s="15" t="s">
        <v>1303</v>
      </c>
      <c r="BL368" s="15" t="str">
        <f t="shared" si="1061"/>
        <v>1</v>
      </c>
      <c r="BM368" s="15" t="s">
        <v>416</v>
      </c>
      <c r="BN368" s="15" t="str">
        <f>"18.5"</f>
        <v>18.5</v>
      </c>
      <c r="BO368" s="15" t="str">
        <f>"19"</f>
        <v>19</v>
      </c>
      <c r="BP368" s="15" t="str">
        <f>"20"</f>
        <v>20</v>
      </c>
      <c r="BQ368" s="15" t="str">
        <f>"65.36"</f>
        <v>65.36</v>
      </c>
      <c r="CG368" s="15" t="str">
        <f>"4.06"</f>
        <v>4.06</v>
      </c>
      <c r="CH368" s="15" t="str">
        <f>"0.115"</f>
        <v>0.115</v>
      </c>
      <c r="CI368" s="15" t="s">
        <v>465</v>
      </c>
      <c r="CZ368" s="15" t="s">
        <v>419</v>
      </c>
      <c r="DA368" s="15">
        <v>0.0</v>
      </c>
      <c r="DB368" s="15" t="s">
        <v>419</v>
      </c>
      <c r="DD368" s="15">
        <v>0.0</v>
      </c>
      <c r="DG368" s="15" t="s">
        <v>419</v>
      </c>
      <c r="DK368" s="15">
        <v>0.0</v>
      </c>
      <c r="DR368" s="15" t="s">
        <v>1157</v>
      </c>
      <c r="DS368" s="15" t="s">
        <v>4720</v>
      </c>
      <c r="DU368" s="15" t="s">
        <v>500</v>
      </c>
      <c r="EF368" s="15" t="s">
        <v>1072</v>
      </c>
      <c r="EQ368" s="15" t="s">
        <v>2116</v>
      </c>
      <c r="ER368" s="15" t="s">
        <v>531</v>
      </c>
      <c r="ES368" s="15" t="s">
        <v>2116</v>
      </c>
      <c r="ET368" s="15" t="s">
        <v>1512</v>
      </c>
      <c r="EV368" s="15">
        <v>0.0</v>
      </c>
      <c r="EW368" s="15">
        <v>0.0</v>
      </c>
      <c r="FF368" s="15" t="s">
        <v>635</v>
      </c>
    </row>
    <row r="369" ht="17.25" customHeight="1">
      <c r="A369" s="15" t="s">
        <v>4723</v>
      </c>
      <c r="B369" s="15" t="str">
        <f>"801542500016"</f>
        <v>801542500016</v>
      </c>
      <c r="C369" s="15" t="s">
        <v>15503</v>
      </c>
      <c r="D369" s="15" t="str">
        <f t="shared" si="1"/>
        <v>Felix Oval NightstandPolished White Marble</v>
      </c>
      <c r="E369" s="15" t="s">
        <v>4721</v>
      </c>
      <c r="F369" s="15" t="s">
        <v>397</v>
      </c>
      <c r="G369" s="15" t="s">
        <v>4577</v>
      </c>
      <c r="J369" s="15" t="s">
        <v>4577</v>
      </c>
      <c r="K369" s="15" t="s">
        <v>4336</v>
      </c>
      <c r="M369" s="15" t="s">
        <v>3586</v>
      </c>
      <c r="N369" s="15" t="s">
        <v>628</v>
      </c>
      <c r="P369" s="15" t="str">
        <f>"22"</f>
        <v>22</v>
      </c>
      <c r="Q369" s="15" t="str">
        <f>"16"</f>
        <v>16</v>
      </c>
      <c r="R369" s="15" t="str">
        <f>"26"</f>
        <v>26</v>
      </c>
      <c r="S369" s="15" t="str">
        <f>"64.9"</f>
        <v>64.9</v>
      </c>
      <c r="T369" s="15" t="s">
        <v>4726</v>
      </c>
      <c r="U369" s="15" t="s">
        <v>11754</v>
      </c>
      <c r="V369" s="15" t="s">
        <v>11139</v>
      </c>
      <c r="AA369" s="15" t="s">
        <v>413</v>
      </c>
      <c r="AB369" s="15" t="s">
        <v>413</v>
      </c>
      <c r="AC369" s="15" t="s">
        <v>4727</v>
      </c>
      <c r="AD369" s="15" t="s">
        <v>15504</v>
      </c>
      <c r="AE369" s="15" t="s">
        <v>4725</v>
      </c>
      <c r="AF369" s="15" t="s">
        <v>15505</v>
      </c>
      <c r="AG369" s="15" t="s">
        <v>15506</v>
      </c>
      <c r="AH369" s="15" t="s">
        <v>15507</v>
      </c>
      <c r="AI369" s="15" t="s">
        <v>15508</v>
      </c>
      <c r="AJ369" s="15" t="s">
        <v>15509</v>
      </c>
      <c r="AK369" s="15" t="s">
        <v>15510</v>
      </c>
      <c r="AL369" s="15" t="s">
        <v>15511</v>
      </c>
      <c r="BH369" s="15" t="s">
        <v>4722</v>
      </c>
      <c r="BI369" s="15" t="str">
        <f>"549"</f>
        <v>549</v>
      </c>
      <c r="BJ369" s="15" t="str">
        <f>"235"</f>
        <v>235</v>
      </c>
      <c r="BK369" s="15" t="s">
        <v>1303</v>
      </c>
      <c r="BL369" s="15" t="str">
        <f t="shared" ref="BL369:BL370" si="1106">"2"</f>
        <v>2</v>
      </c>
      <c r="BM369" s="15" t="s">
        <v>1564</v>
      </c>
      <c r="BN369" s="15" t="str">
        <f>"22.76"</f>
        <v>22.76</v>
      </c>
      <c r="BO369" s="15" t="str">
        <f>"9.49"</f>
        <v>9.49</v>
      </c>
      <c r="BP369" s="15" t="str">
        <f>"27.01"</f>
        <v>27.01</v>
      </c>
      <c r="BQ369" s="15" t="str">
        <f>"74.56"</f>
        <v>74.56</v>
      </c>
      <c r="BR369" s="15" t="s">
        <v>4730</v>
      </c>
      <c r="BS369" s="15" t="str">
        <f>"25.5"</f>
        <v>25.5</v>
      </c>
      <c r="BT369" s="15" t="str">
        <f>"19.25"</f>
        <v>19.25</v>
      </c>
      <c r="BU369" s="15" t="str">
        <f>"29.5"</f>
        <v>29.5</v>
      </c>
      <c r="BV369" s="15" t="str">
        <f>"22.27"</f>
        <v>22.27</v>
      </c>
      <c r="CG369" s="15" t="str">
        <f>"11.76"</f>
        <v>11.76</v>
      </c>
      <c r="CH369" s="15" t="str">
        <f>"0.333"</f>
        <v>0.333</v>
      </c>
      <c r="CI369" s="15" t="s">
        <v>497</v>
      </c>
      <c r="CJ369" s="15" t="s">
        <v>504</v>
      </c>
      <c r="CK369" s="15" t="s">
        <v>1309</v>
      </c>
      <c r="CL369" s="15" t="s">
        <v>1324</v>
      </c>
      <c r="CM369" s="15" t="s">
        <v>504</v>
      </c>
      <c r="CN369" s="15" t="s">
        <v>4732</v>
      </c>
      <c r="CO369" s="15" t="s">
        <v>1324</v>
      </c>
      <c r="CZ369" s="15" t="s">
        <v>419</v>
      </c>
      <c r="DA369" s="15">
        <v>0.0</v>
      </c>
      <c r="DB369" s="15" t="s">
        <v>419</v>
      </c>
      <c r="DD369" s="15">
        <v>2.0</v>
      </c>
      <c r="DE369" s="15" t="s">
        <v>426</v>
      </c>
      <c r="DG369" s="15" t="s">
        <v>1914</v>
      </c>
      <c r="DK369" s="15">
        <v>0.0</v>
      </c>
      <c r="DR369" s="15" t="s">
        <v>1112</v>
      </c>
      <c r="DS369" s="15" t="s">
        <v>4733</v>
      </c>
      <c r="DU369" s="15" t="s">
        <v>500</v>
      </c>
      <c r="EF369" s="15" t="s">
        <v>3545</v>
      </c>
      <c r="EU369" s="15" t="s">
        <v>426</v>
      </c>
      <c r="EV369" s="15">
        <v>0.0</v>
      </c>
      <c r="FQ369" s="15">
        <v>0.0</v>
      </c>
      <c r="FR369" s="15" t="s">
        <v>427</v>
      </c>
    </row>
    <row r="370" ht="17.25" customHeight="1">
      <c r="A370" s="15" t="s">
        <v>4737</v>
      </c>
      <c r="B370" s="15" t="str">
        <f>"801542280376"</f>
        <v>801542280376</v>
      </c>
      <c r="C370" s="15" t="s">
        <v>15512</v>
      </c>
      <c r="D370" s="15" t="str">
        <f t="shared" si="1"/>
        <v>Felix Round Coffee TableSandblasted White Marble</v>
      </c>
      <c r="E370" s="15" t="s">
        <v>4734</v>
      </c>
      <c r="F370" s="15" t="s">
        <v>397</v>
      </c>
      <c r="G370" s="15" t="s">
        <v>4736</v>
      </c>
      <c r="J370" s="15" t="s">
        <v>4736</v>
      </c>
      <c r="K370" s="15" t="s">
        <v>4740</v>
      </c>
      <c r="M370" s="15" t="s">
        <v>4739</v>
      </c>
      <c r="N370" s="15" t="s">
        <v>491</v>
      </c>
      <c r="P370" s="15" t="str">
        <f t="shared" ref="P370:Q370" si="1105">"48"</f>
        <v>48</v>
      </c>
      <c r="Q370" s="15" t="str">
        <f t="shared" si="1105"/>
        <v>48</v>
      </c>
      <c r="R370" s="15" t="str">
        <f>"15"</f>
        <v>15</v>
      </c>
      <c r="S370" s="15" t="str">
        <f>"189.6"</f>
        <v>189.6</v>
      </c>
      <c r="T370" s="15" t="s">
        <v>4726</v>
      </c>
      <c r="U370" s="15" t="s">
        <v>11754</v>
      </c>
      <c r="V370" s="15" t="s">
        <v>11139</v>
      </c>
      <c r="AA370" s="15" t="s">
        <v>413</v>
      </c>
      <c r="AB370" s="15" t="s">
        <v>413</v>
      </c>
      <c r="AC370" s="15" t="s">
        <v>4741</v>
      </c>
      <c r="AD370" s="15" t="s">
        <v>15513</v>
      </c>
      <c r="AE370" s="15" t="s">
        <v>4738</v>
      </c>
      <c r="AF370" s="15" t="s">
        <v>15514</v>
      </c>
      <c r="AG370" s="15" t="s">
        <v>15515</v>
      </c>
      <c r="AH370" s="15" t="s">
        <v>15516</v>
      </c>
      <c r="AI370" s="15" t="s">
        <v>15517</v>
      </c>
      <c r="AJ370" s="15" t="s">
        <v>15518</v>
      </c>
      <c r="AK370" s="15" t="s">
        <v>15519</v>
      </c>
      <c r="AL370" s="15" t="s">
        <v>15520</v>
      </c>
      <c r="AM370" s="15" t="s">
        <v>15521</v>
      </c>
      <c r="AN370" s="15" t="s">
        <v>15522</v>
      </c>
      <c r="AO370" s="15" t="s">
        <v>15523</v>
      </c>
      <c r="AP370" s="15" t="s">
        <v>15524</v>
      </c>
      <c r="BH370" s="15" t="s">
        <v>4735</v>
      </c>
      <c r="BI370" s="15" t="str">
        <f>"1899"</f>
        <v>1899</v>
      </c>
      <c r="BJ370" s="15" t="str">
        <f>"800"</f>
        <v>800</v>
      </c>
      <c r="BK370" s="15" t="s">
        <v>1303</v>
      </c>
      <c r="BL370" s="15" t="str">
        <f t="shared" si="1106"/>
        <v>2</v>
      </c>
      <c r="BM370" s="15" t="s">
        <v>2238</v>
      </c>
      <c r="BN370" s="15" t="str">
        <f t="shared" ref="BN370:BO370" si="1107">"44.25"</f>
        <v>44.25</v>
      </c>
      <c r="BO370" s="15" t="str">
        <f t="shared" si="1107"/>
        <v>44.25</v>
      </c>
      <c r="BP370" s="15" t="str">
        <f>"17"</f>
        <v>17</v>
      </c>
      <c r="BQ370" s="15" t="str">
        <f>"59.97"</f>
        <v>59.97</v>
      </c>
      <c r="BR370" s="15" t="s">
        <v>1564</v>
      </c>
      <c r="BS370" s="15" t="str">
        <f>"56.5"</f>
        <v>56.5</v>
      </c>
      <c r="BT370" s="15" t="str">
        <f>"8"</f>
        <v>8</v>
      </c>
      <c r="BU370" s="15" t="str">
        <f>"56.5"</f>
        <v>56.5</v>
      </c>
      <c r="BV370" s="15" t="str">
        <f>"248.24"</f>
        <v>248.24</v>
      </c>
      <c r="CG370" s="15" t="str">
        <f>"34.01"</f>
        <v>34.01</v>
      </c>
      <c r="CH370" s="15" t="str">
        <f>"0.963"</f>
        <v>0.963</v>
      </c>
      <c r="CI370" s="15" t="s">
        <v>465</v>
      </c>
      <c r="CZ370" s="15" t="s">
        <v>419</v>
      </c>
      <c r="DA370" s="15">
        <v>0.0</v>
      </c>
      <c r="DB370" s="15" t="s">
        <v>419</v>
      </c>
      <c r="DD370" s="15">
        <v>0.0</v>
      </c>
      <c r="DG370" s="15" t="s">
        <v>419</v>
      </c>
      <c r="DK370" s="15">
        <v>0.0</v>
      </c>
      <c r="DR370" s="15" t="s">
        <v>1157</v>
      </c>
      <c r="DS370" s="15" t="s">
        <v>4733</v>
      </c>
      <c r="DU370" s="15" t="s">
        <v>500</v>
      </c>
      <c r="EF370" s="15" t="s">
        <v>1996</v>
      </c>
      <c r="EQ370" s="15" t="s">
        <v>4410</v>
      </c>
      <c r="ER370" s="15" t="s">
        <v>1238</v>
      </c>
      <c r="ES370" s="15" t="s">
        <v>4410</v>
      </c>
      <c r="ET370" s="15" t="s">
        <v>784</v>
      </c>
      <c r="EV370" s="15">
        <v>0.0</v>
      </c>
      <c r="EW370" s="15">
        <v>0.0</v>
      </c>
      <c r="FF370" s="15" t="s">
        <v>762</v>
      </c>
    </row>
    <row r="371" ht="17.25" customHeight="1">
      <c r="A371" s="15" t="s">
        <v>4747</v>
      </c>
      <c r="B371" s="15" t="str">
        <f>"801542091071"</f>
        <v>801542091071</v>
      </c>
      <c r="C371" s="15" t="s">
        <v>15525</v>
      </c>
      <c r="D371" s="15" t="str">
        <f t="shared" si="1"/>
        <v>Fiona 6 Drawer DresserBlack Raffia</v>
      </c>
      <c r="E371" s="15" t="s">
        <v>4744</v>
      </c>
      <c r="F371" s="15" t="s">
        <v>397</v>
      </c>
      <c r="G371" s="15" t="s">
        <v>4746</v>
      </c>
      <c r="J371" s="15" t="s">
        <v>4746</v>
      </c>
      <c r="K371" s="15" t="s">
        <v>4751</v>
      </c>
      <c r="L371" s="15" t="s">
        <v>4752</v>
      </c>
      <c r="M371" s="15" t="s">
        <v>1179</v>
      </c>
      <c r="N371" s="15" t="s">
        <v>412</v>
      </c>
      <c r="P371" s="15" t="str">
        <f>"62"</f>
        <v>62</v>
      </c>
      <c r="Q371" s="15" t="str">
        <f>"17"</f>
        <v>17</v>
      </c>
      <c r="R371" s="15" t="str">
        <f>"34"</f>
        <v>34</v>
      </c>
      <c r="S371" s="15" t="str">
        <f>"180.56"</f>
        <v>180.56</v>
      </c>
      <c r="T371" s="15" t="s">
        <v>4750</v>
      </c>
      <c r="U371" s="15" t="s">
        <v>15526</v>
      </c>
      <c r="V371" s="15" t="s">
        <v>15527</v>
      </c>
      <c r="W371" s="15" t="s">
        <v>11139</v>
      </c>
      <c r="AA371" s="15" t="s">
        <v>426</v>
      </c>
      <c r="AB371" s="15" t="s">
        <v>413</v>
      </c>
      <c r="AC371" s="15" t="s">
        <v>4753</v>
      </c>
      <c r="AD371" s="15" t="s">
        <v>15528</v>
      </c>
      <c r="AE371" s="15" t="s">
        <v>4749</v>
      </c>
      <c r="AF371" s="15" t="s">
        <v>15529</v>
      </c>
      <c r="AG371" s="15" t="s">
        <v>15530</v>
      </c>
      <c r="AH371" s="15" t="s">
        <v>15531</v>
      </c>
      <c r="AI371" s="15" t="s">
        <v>15532</v>
      </c>
      <c r="AJ371" s="15" t="s">
        <v>15533</v>
      </c>
      <c r="AK371" s="15" t="s">
        <v>15534</v>
      </c>
      <c r="AL371" s="15" t="s">
        <v>15535</v>
      </c>
      <c r="AM371" s="15" t="s">
        <v>15536</v>
      </c>
      <c r="AN371" s="15" t="s">
        <v>15537</v>
      </c>
      <c r="AO371" s="15" t="s">
        <v>15538</v>
      </c>
      <c r="AP371" s="15" t="s">
        <v>15539</v>
      </c>
      <c r="AQ371" s="15" t="s">
        <v>15540</v>
      </c>
      <c r="AR371" s="15" t="s">
        <v>15541</v>
      </c>
      <c r="AS371" s="15" t="s">
        <v>15542</v>
      </c>
      <c r="AT371" s="15" t="s">
        <v>15543</v>
      </c>
      <c r="AU371" s="15" t="s">
        <v>15544</v>
      </c>
      <c r="AV371" s="15" t="s">
        <v>15545</v>
      </c>
      <c r="AW371" s="15" t="s">
        <v>15546</v>
      </c>
      <c r="BH371" s="15" t="s">
        <v>4745</v>
      </c>
      <c r="BI371" s="15" t="str">
        <f>"2799"</f>
        <v>2799</v>
      </c>
      <c r="BJ371" s="15" t="str">
        <f>"1180"</f>
        <v>1180</v>
      </c>
      <c r="BK371" s="15" t="s">
        <v>1181</v>
      </c>
      <c r="BL371" s="15" t="str">
        <f t="shared" ref="BL371:BL398" si="1108">"1"</f>
        <v>1</v>
      </c>
      <c r="BM371" s="15" t="s">
        <v>416</v>
      </c>
      <c r="BN371" s="15" t="str">
        <f>"67.32"</f>
        <v>67.32</v>
      </c>
      <c r="BO371" s="15" t="str">
        <f>"22.83"</f>
        <v>22.83</v>
      </c>
      <c r="BP371" s="15" t="str">
        <f>"42.91"</f>
        <v>42.91</v>
      </c>
      <c r="BQ371" s="15" t="str">
        <f>"235.01"</f>
        <v>235.01</v>
      </c>
      <c r="CG371" s="15" t="str">
        <f>"38.18"</f>
        <v>38.18</v>
      </c>
      <c r="CH371" s="15" t="str">
        <f>"1.081"</f>
        <v>1.081</v>
      </c>
      <c r="CI371" s="15" t="s">
        <v>497</v>
      </c>
      <c r="CZ371" s="15" t="s">
        <v>418</v>
      </c>
      <c r="DA371" s="15">
        <v>6.0</v>
      </c>
      <c r="DB371" s="15" t="s">
        <v>1185</v>
      </c>
      <c r="DD371" s="15">
        <v>0.0</v>
      </c>
      <c r="DF371" s="15" t="s">
        <v>1186</v>
      </c>
      <c r="DG371" s="15" t="s">
        <v>421</v>
      </c>
      <c r="DK371" s="15">
        <v>0.0</v>
      </c>
      <c r="DR371" s="15" t="s">
        <v>422</v>
      </c>
      <c r="DS371" s="15" t="s">
        <v>4757</v>
      </c>
      <c r="DU371" s="15" t="s">
        <v>500</v>
      </c>
      <c r="EF371" s="15" t="s">
        <v>2603</v>
      </c>
      <c r="EU371" s="15" t="s">
        <v>426</v>
      </c>
      <c r="EV371" s="15">
        <v>0.0</v>
      </c>
      <c r="FQ371" s="15">
        <v>0.0</v>
      </c>
      <c r="FR371" s="15" t="s">
        <v>427</v>
      </c>
      <c r="FX371" s="15" t="s">
        <v>426</v>
      </c>
      <c r="FZ371" s="15" t="s">
        <v>1374</v>
      </c>
      <c r="GA371" s="15" t="s">
        <v>1374</v>
      </c>
      <c r="GB371" s="15" t="s">
        <v>4758</v>
      </c>
      <c r="GC371" s="15" t="s">
        <v>1483</v>
      </c>
      <c r="GD371" s="15" t="s">
        <v>4759</v>
      </c>
      <c r="GE371" s="15" t="s">
        <v>4759</v>
      </c>
      <c r="GF371" s="15" t="s">
        <v>431</v>
      </c>
      <c r="GH371" s="15" t="s">
        <v>764</v>
      </c>
      <c r="GI371" s="15" t="s">
        <v>426</v>
      </c>
    </row>
    <row r="372" ht="17.25" customHeight="1">
      <c r="A372" s="15" t="s">
        <v>4762</v>
      </c>
      <c r="B372" s="15" t="str">
        <f>"801542070014"</f>
        <v>801542070014</v>
      </c>
      <c r="C372" s="15" t="s">
        <v>15547</v>
      </c>
      <c r="D372" s="15" t="str">
        <f t="shared" si="1"/>
        <v>Fiona DeskBlack Raffia</v>
      </c>
      <c r="E372" s="15" t="s">
        <v>4760</v>
      </c>
      <c r="F372" s="15" t="s">
        <v>397</v>
      </c>
      <c r="G372" s="15" t="s">
        <v>4746</v>
      </c>
      <c r="J372" s="15" t="s">
        <v>4746</v>
      </c>
      <c r="K372" s="15" t="s">
        <v>4751</v>
      </c>
      <c r="L372" s="15" t="s">
        <v>4752</v>
      </c>
      <c r="M372" s="15" t="s">
        <v>1179</v>
      </c>
      <c r="N372" s="15" t="s">
        <v>2134</v>
      </c>
      <c r="O372" s="15" t="s">
        <v>2171</v>
      </c>
      <c r="P372" s="15" t="str">
        <f>"55"</f>
        <v>55</v>
      </c>
      <c r="Q372" s="15" t="str">
        <f>"23"</f>
        <v>23</v>
      </c>
      <c r="R372" s="15" t="str">
        <f>"30.5"</f>
        <v>30.5</v>
      </c>
      <c r="S372" s="15" t="str">
        <f>"88.62"</f>
        <v>88.62</v>
      </c>
      <c r="T372" s="15" t="s">
        <v>4750</v>
      </c>
      <c r="U372" s="15" t="s">
        <v>15526</v>
      </c>
      <c r="V372" s="15" t="s">
        <v>15527</v>
      </c>
      <c r="W372" s="15" t="s">
        <v>11139</v>
      </c>
      <c r="AA372" s="15" t="s">
        <v>413</v>
      </c>
      <c r="AB372" s="15" t="s">
        <v>413</v>
      </c>
      <c r="AC372" s="15" t="s">
        <v>4765</v>
      </c>
      <c r="AD372" s="15" t="s">
        <v>15548</v>
      </c>
      <c r="AE372" s="15" t="s">
        <v>4764</v>
      </c>
      <c r="AF372" s="15" t="s">
        <v>15549</v>
      </c>
      <c r="AG372" s="15" t="s">
        <v>15550</v>
      </c>
      <c r="AH372" s="15" t="s">
        <v>15551</v>
      </c>
      <c r="AI372" s="15" t="s">
        <v>15552</v>
      </c>
      <c r="AJ372" s="15" t="s">
        <v>15553</v>
      </c>
      <c r="AK372" s="15" t="s">
        <v>15554</v>
      </c>
      <c r="AL372" s="15" t="s">
        <v>15555</v>
      </c>
      <c r="AM372" s="15" t="s">
        <v>15556</v>
      </c>
      <c r="AN372" s="15" t="s">
        <v>15557</v>
      </c>
      <c r="AO372" s="15" t="s">
        <v>15558</v>
      </c>
      <c r="AP372" s="15" t="s">
        <v>15559</v>
      </c>
      <c r="AQ372" s="15" t="s">
        <v>15560</v>
      </c>
      <c r="AR372" s="15" t="s">
        <v>15561</v>
      </c>
      <c r="BH372" s="15" t="s">
        <v>4761</v>
      </c>
      <c r="BI372" s="15" t="str">
        <f>"1899"</f>
        <v>1899</v>
      </c>
      <c r="BJ372" s="15" t="str">
        <f>"800"</f>
        <v>800</v>
      </c>
      <c r="BK372" s="15" t="s">
        <v>1181</v>
      </c>
      <c r="BL372" s="15" t="str">
        <f t="shared" si="1108"/>
        <v>1</v>
      </c>
      <c r="BM372" s="15" t="s">
        <v>416</v>
      </c>
      <c r="BN372" s="15" t="str">
        <f>"60.83"</f>
        <v>60.83</v>
      </c>
      <c r="BO372" s="15" t="str">
        <f>"29.33"</f>
        <v>29.33</v>
      </c>
      <c r="BP372" s="15" t="str">
        <f>"38.98"</f>
        <v>38.98</v>
      </c>
      <c r="BQ372" s="15" t="str">
        <f>"142.68"</f>
        <v>142.68</v>
      </c>
      <c r="CG372" s="15" t="str">
        <f>"40.26"</f>
        <v>40.26</v>
      </c>
      <c r="CH372" s="15" t="str">
        <f>"1.14"</f>
        <v>1.14</v>
      </c>
      <c r="CI372" s="15" t="s">
        <v>465</v>
      </c>
      <c r="CZ372" s="15" t="s">
        <v>418</v>
      </c>
      <c r="DA372" s="15">
        <v>3.0</v>
      </c>
      <c r="DB372" s="15" t="s">
        <v>1185</v>
      </c>
      <c r="DD372" s="15">
        <v>0.0</v>
      </c>
      <c r="DF372" s="15" t="s">
        <v>1186</v>
      </c>
      <c r="DG372" s="15" t="s">
        <v>421</v>
      </c>
      <c r="DK372" s="15">
        <v>0.0</v>
      </c>
      <c r="DR372" s="15" t="s">
        <v>4768</v>
      </c>
      <c r="DS372" s="15" t="s">
        <v>4757</v>
      </c>
      <c r="DU372" s="15" t="s">
        <v>500</v>
      </c>
      <c r="EF372" s="15" t="s">
        <v>477</v>
      </c>
      <c r="EG372" s="15" t="s">
        <v>1324</v>
      </c>
      <c r="EH372" s="15" t="s">
        <v>4770</v>
      </c>
      <c r="EQ372" s="15" t="s">
        <v>525</v>
      </c>
      <c r="ER372" s="15" t="s">
        <v>1212</v>
      </c>
      <c r="ES372" s="15" t="s">
        <v>2337</v>
      </c>
      <c r="ET372" s="15" t="s">
        <v>429</v>
      </c>
      <c r="EU372" s="15" t="s">
        <v>426</v>
      </c>
      <c r="EV372" s="15">
        <v>0.0</v>
      </c>
      <c r="FE372" s="15" t="s">
        <v>4771</v>
      </c>
      <c r="FQ372" s="15">
        <v>0.0</v>
      </c>
      <c r="FR372" s="15" t="s">
        <v>427</v>
      </c>
      <c r="FX372" s="15" t="s">
        <v>426</v>
      </c>
      <c r="FZ372" s="15" t="s">
        <v>3308</v>
      </c>
      <c r="GB372" s="15" t="s">
        <v>672</v>
      </c>
      <c r="GD372" s="15" t="s">
        <v>2020</v>
      </c>
      <c r="GF372" s="15" t="s">
        <v>431</v>
      </c>
      <c r="GH372" s="15" t="s">
        <v>764</v>
      </c>
      <c r="GM372" s="15">
        <v>0.0</v>
      </c>
      <c r="HP372" s="15" t="s">
        <v>426</v>
      </c>
    </row>
    <row r="373" ht="17.25" customHeight="1">
      <c r="A373" s="15" t="s">
        <v>4774</v>
      </c>
      <c r="B373" s="15" t="str">
        <f>"801542094133"</f>
        <v>801542094133</v>
      </c>
      <c r="C373" s="15" t="s">
        <v>15562</v>
      </c>
      <c r="D373" s="15" t="str">
        <f t="shared" si="1"/>
        <v>Fiona NightstandBlack Raffia</v>
      </c>
      <c r="E373" s="15" t="s">
        <v>4772</v>
      </c>
      <c r="F373" s="15" t="s">
        <v>397</v>
      </c>
      <c r="G373" s="15" t="s">
        <v>4746</v>
      </c>
      <c r="J373" s="15" t="s">
        <v>4746</v>
      </c>
      <c r="K373" s="15" t="s">
        <v>4751</v>
      </c>
      <c r="L373" s="15" t="s">
        <v>4752</v>
      </c>
      <c r="M373" s="15" t="s">
        <v>1179</v>
      </c>
      <c r="N373" s="15" t="s">
        <v>628</v>
      </c>
      <c r="P373" s="15" t="str">
        <f t="shared" ref="P373:P374" si="1109">"30"</f>
        <v>30</v>
      </c>
      <c r="Q373" s="15" t="str">
        <f t="shared" ref="Q373:Q374" si="1110">"17"</f>
        <v>17</v>
      </c>
      <c r="R373" s="15" t="str">
        <f t="shared" ref="R373:R374" si="1111">"26.5"</f>
        <v>26.5</v>
      </c>
      <c r="S373" s="15" t="str">
        <f t="shared" ref="S373:S374" si="1112">"59.74"</f>
        <v>59.74</v>
      </c>
      <c r="T373" s="15" t="s">
        <v>4750</v>
      </c>
      <c r="U373" s="15" t="s">
        <v>15526</v>
      </c>
      <c r="V373" s="15" t="s">
        <v>15527</v>
      </c>
      <c r="W373" s="15" t="s">
        <v>11139</v>
      </c>
      <c r="AA373" s="15" t="s">
        <v>426</v>
      </c>
      <c r="AB373" s="15" t="s">
        <v>413</v>
      </c>
      <c r="AC373" s="15" t="s">
        <v>4777</v>
      </c>
      <c r="AD373" s="15" t="s">
        <v>15563</v>
      </c>
      <c r="AE373" s="15" t="s">
        <v>4776</v>
      </c>
      <c r="AF373" s="15" t="s">
        <v>15564</v>
      </c>
      <c r="AG373" s="15" t="s">
        <v>15565</v>
      </c>
      <c r="AH373" s="15" t="s">
        <v>15566</v>
      </c>
      <c r="AI373" s="15" t="s">
        <v>15567</v>
      </c>
      <c r="AJ373" s="15" t="s">
        <v>15568</v>
      </c>
      <c r="AK373" s="15" t="s">
        <v>15569</v>
      </c>
      <c r="AL373" s="15" t="s">
        <v>15570</v>
      </c>
      <c r="AM373" s="15" t="s">
        <v>15571</v>
      </c>
      <c r="AN373" s="15" t="s">
        <v>15572</v>
      </c>
      <c r="AO373" s="15" t="s">
        <v>15573</v>
      </c>
      <c r="AP373" s="15" t="s">
        <v>15574</v>
      </c>
      <c r="AQ373" s="15" t="s">
        <v>15575</v>
      </c>
      <c r="AR373" s="15" t="s">
        <v>15576</v>
      </c>
      <c r="BH373" s="15" t="s">
        <v>4773</v>
      </c>
      <c r="BI373" s="15" t="str">
        <f t="shared" ref="BI373:BI374" si="1113">"1149"</f>
        <v>1149</v>
      </c>
      <c r="BJ373" s="15" t="str">
        <f t="shared" ref="BJ373:BJ374" si="1114">"485"</f>
        <v>485</v>
      </c>
      <c r="BK373" s="15" t="s">
        <v>1181</v>
      </c>
      <c r="BL373" s="15" t="str">
        <f t="shared" si="1108"/>
        <v>1</v>
      </c>
      <c r="BM373" s="15" t="s">
        <v>416</v>
      </c>
      <c r="BN373" s="15" t="str">
        <f t="shared" ref="BN373:BN374" si="1115">"23.23"</f>
        <v>23.23</v>
      </c>
      <c r="BO373" s="15" t="str">
        <f t="shared" ref="BO373:BO374" si="1116">"35.63"</f>
        <v>35.63</v>
      </c>
      <c r="BP373" s="15" t="str">
        <f t="shared" ref="BP373:BP374" si="1117">"35.43"</f>
        <v>35.43</v>
      </c>
      <c r="BQ373" s="15" t="str">
        <f t="shared" ref="BQ373:BQ374" si="1118">"88.8"</f>
        <v>88.8</v>
      </c>
      <c r="CG373" s="15" t="str">
        <f t="shared" ref="CG373:CG374" si="1119">"16.99"</f>
        <v>16.99</v>
      </c>
      <c r="CH373" s="15" t="str">
        <f t="shared" ref="CH373:CH374" si="1120">"0.481"</f>
        <v>0.481</v>
      </c>
      <c r="CI373" s="15" t="s">
        <v>497</v>
      </c>
      <c r="CZ373" s="15" t="s">
        <v>418</v>
      </c>
      <c r="DA373" s="15">
        <v>2.0</v>
      </c>
      <c r="DB373" s="15" t="s">
        <v>1185</v>
      </c>
      <c r="DD373" s="15">
        <v>0.0</v>
      </c>
      <c r="DF373" s="15" t="s">
        <v>1186</v>
      </c>
      <c r="DG373" s="15" t="s">
        <v>421</v>
      </c>
      <c r="DK373" s="15">
        <v>0.0</v>
      </c>
      <c r="DR373" s="15" t="s">
        <v>471</v>
      </c>
      <c r="DS373" s="15" t="s">
        <v>4757</v>
      </c>
      <c r="DU373" s="15" t="s">
        <v>500</v>
      </c>
      <c r="EF373" s="15" t="s">
        <v>2737</v>
      </c>
      <c r="EU373" s="15" t="s">
        <v>426</v>
      </c>
      <c r="EV373" s="15">
        <v>0.0</v>
      </c>
      <c r="FQ373" s="15">
        <v>0.0</v>
      </c>
      <c r="FR373" s="15" t="s">
        <v>427</v>
      </c>
      <c r="FX373" s="15" t="s">
        <v>426</v>
      </c>
      <c r="FZ373" s="15" t="s">
        <v>3308</v>
      </c>
      <c r="GB373" s="15" t="s">
        <v>4779</v>
      </c>
      <c r="GD373" s="15" t="s">
        <v>3811</v>
      </c>
      <c r="GF373" s="15" t="s">
        <v>431</v>
      </c>
      <c r="GH373" s="15" t="s">
        <v>764</v>
      </c>
      <c r="GI373" s="15" t="s">
        <v>426</v>
      </c>
    </row>
    <row r="374" ht="17.25" customHeight="1">
      <c r="A374" s="15" t="s">
        <v>4782</v>
      </c>
      <c r="B374" s="15" t="str">
        <f>"198394088688"</f>
        <v>198394088688</v>
      </c>
      <c r="C374" s="15" t="s">
        <v>15577</v>
      </c>
      <c r="D374" s="15" t="str">
        <f t="shared" si="1"/>
        <v>Fiona NightstandIvory Painted Raffia</v>
      </c>
      <c r="E374" s="15" t="s">
        <v>4772</v>
      </c>
      <c r="F374" s="15" t="s">
        <v>397</v>
      </c>
      <c r="G374" s="15" t="s">
        <v>4781</v>
      </c>
      <c r="J374" s="15" t="s">
        <v>4781</v>
      </c>
      <c r="K374" s="15" t="s">
        <v>4751</v>
      </c>
      <c r="L374" s="15" t="s">
        <v>4752</v>
      </c>
      <c r="M374" s="15" t="s">
        <v>1179</v>
      </c>
      <c r="N374" s="15" t="s">
        <v>628</v>
      </c>
      <c r="P374" s="15" t="str">
        <f t="shared" si="1109"/>
        <v>30</v>
      </c>
      <c r="Q374" s="15" t="str">
        <f t="shared" si="1110"/>
        <v>17</v>
      </c>
      <c r="R374" s="15" t="str">
        <f t="shared" si="1111"/>
        <v>26.5</v>
      </c>
      <c r="S374" s="15" t="str">
        <f t="shared" si="1112"/>
        <v>59.74</v>
      </c>
      <c r="T374" s="15" t="s">
        <v>4750</v>
      </c>
      <c r="U374" s="15" t="s">
        <v>15526</v>
      </c>
      <c r="V374" s="15" t="s">
        <v>15527</v>
      </c>
      <c r="W374" s="15" t="s">
        <v>11139</v>
      </c>
      <c r="AA374" s="15" t="s">
        <v>413</v>
      </c>
      <c r="AB374" s="15" t="s">
        <v>413</v>
      </c>
      <c r="AD374" s="15" t="s">
        <v>15578</v>
      </c>
      <c r="AE374" s="15" t="s">
        <v>4783</v>
      </c>
      <c r="AF374" s="15" t="s">
        <v>15579</v>
      </c>
      <c r="AG374" s="15" t="s">
        <v>15580</v>
      </c>
      <c r="AH374" s="15" t="s">
        <v>15581</v>
      </c>
      <c r="AI374" s="15" t="s">
        <v>15582</v>
      </c>
      <c r="AJ374" s="15" t="s">
        <v>15583</v>
      </c>
      <c r="AK374" s="15" t="s">
        <v>15584</v>
      </c>
      <c r="AL374" s="15" t="s">
        <v>15585</v>
      </c>
      <c r="AM374" s="15" t="s">
        <v>15586</v>
      </c>
      <c r="AN374" s="15" t="s">
        <v>15587</v>
      </c>
      <c r="AO374" s="15" t="s">
        <v>15588</v>
      </c>
      <c r="AP374" s="15" t="s">
        <v>15589</v>
      </c>
      <c r="AQ374" s="15" t="s">
        <v>15590</v>
      </c>
      <c r="BH374" s="15" t="s">
        <v>4780</v>
      </c>
      <c r="BI374" s="15" t="str">
        <f t="shared" si="1113"/>
        <v>1149</v>
      </c>
      <c r="BJ374" s="15" t="str">
        <f t="shared" si="1114"/>
        <v>485</v>
      </c>
      <c r="BK374" s="15" t="s">
        <v>1181</v>
      </c>
      <c r="BL374" s="15" t="str">
        <f t="shared" si="1108"/>
        <v>1</v>
      </c>
      <c r="BM374" s="15" t="s">
        <v>416</v>
      </c>
      <c r="BN374" s="15" t="str">
        <f t="shared" si="1115"/>
        <v>23.23</v>
      </c>
      <c r="BO374" s="15" t="str">
        <f t="shared" si="1116"/>
        <v>35.63</v>
      </c>
      <c r="BP374" s="15" t="str">
        <f t="shared" si="1117"/>
        <v>35.43</v>
      </c>
      <c r="BQ374" s="15" t="str">
        <f t="shared" si="1118"/>
        <v>88.8</v>
      </c>
      <c r="CG374" s="15" t="str">
        <f t="shared" si="1119"/>
        <v>16.99</v>
      </c>
      <c r="CH374" s="15" t="str">
        <f t="shared" si="1120"/>
        <v>0.481</v>
      </c>
      <c r="CI374" s="15" t="s">
        <v>497</v>
      </c>
      <c r="CZ374" s="15" t="s">
        <v>418</v>
      </c>
      <c r="DA374" s="15">
        <v>2.0</v>
      </c>
      <c r="DB374" s="15" t="s">
        <v>1185</v>
      </c>
      <c r="DD374" s="15">
        <v>0.0</v>
      </c>
      <c r="DF374" s="15" t="s">
        <v>1186</v>
      </c>
      <c r="DG374" s="15" t="s">
        <v>421</v>
      </c>
      <c r="DK374" s="15">
        <v>0.0</v>
      </c>
      <c r="DR374" s="15" t="s">
        <v>471</v>
      </c>
      <c r="DS374" s="15" t="s">
        <v>4757</v>
      </c>
      <c r="DU374" s="15" t="s">
        <v>500</v>
      </c>
      <c r="EF374" s="15" t="s">
        <v>2737</v>
      </c>
      <c r="EU374" s="15" t="s">
        <v>426</v>
      </c>
      <c r="EV374" s="15">
        <v>0.0</v>
      </c>
      <c r="FQ374" s="15">
        <v>0.0</v>
      </c>
      <c r="FR374" s="15" t="s">
        <v>427</v>
      </c>
      <c r="FX374" s="15" t="s">
        <v>426</v>
      </c>
      <c r="FZ374" s="15" t="s">
        <v>3308</v>
      </c>
      <c r="GB374" s="15" t="s">
        <v>4779</v>
      </c>
      <c r="GD374" s="15" t="s">
        <v>3811</v>
      </c>
      <c r="GF374" s="15" t="s">
        <v>431</v>
      </c>
      <c r="GH374" s="15" t="s">
        <v>764</v>
      </c>
      <c r="GI374" s="15" t="s">
        <v>426</v>
      </c>
    </row>
    <row r="375" ht="17.25" customHeight="1">
      <c r="A375" s="15" t="s">
        <v>4786</v>
      </c>
      <c r="B375" s="15" t="str">
        <f>"801542981679"</f>
        <v>801542981679</v>
      </c>
      <c r="C375" s="15" t="s">
        <v>15591</v>
      </c>
      <c r="D375" s="15" t="str">
        <f t="shared" si="1"/>
        <v>Fiona Tall DresserBlack Raffia</v>
      </c>
      <c r="E375" s="15" t="s">
        <v>4784</v>
      </c>
      <c r="F375" s="15" t="s">
        <v>397</v>
      </c>
      <c r="G375" s="15" t="s">
        <v>4746</v>
      </c>
      <c r="J375" s="15" t="s">
        <v>4746</v>
      </c>
      <c r="K375" s="15" t="s">
        <v>4751</v>
      </c>
      <c r="M375" s="15" t="s">
        <v>1179</v>
      </c>
      <c r="N375" s="15" t="s">
        <v>412</v>
      </c>
      <c r="P375" s="15" t="str">
        <f>"34"</f>
        <v>34</v>
      </c>
      <c r="Q375" s="15" t="str">
        <f>"19"</f>
        <v>19</v>
      </c>
      <c r="R375" s="15" t="str">
        <f>"47.5"</f>
        <v>47.5</v>
      </c>
      <c r="S375" s="15" t="str">
        <f>"189.33"</f>
        <v>189.33</v>
      </c>
      <c r="T375" s="15" t="s">
        <v>4789</v>
      </c>
      <c r="U375" s="15" t="s">
        <v>15526</v>
      </c>
      <c r="V375" s="15" t="s">
        <v>15527</v>
      </c>
      <c r="AA375" s="15" t="s">
        <v>413</v>
      </c>
      <c r="AB375" s="15" t="s">
        <v>413</v>
      </c>
      <c r="AC375" s="15" t="s">
        <v>4792</v>
      </c>
      <c r="AD375" s="15" t="s">
        <v>15592</v>
      </c>
      <c r="AE375" s="15" t="s">
        <v>4788</v>
      </c>
      <c r="AF375" s="15" t="s">
        <v>15593</v>
      </c>
      <c r="AG375" s="15" t="s">
        <v>15594</v>
      </c>
      <c r="AH375" s="15" t="s">
        <v>15595</v>
      </c>
      <c r="AI375" s="15" t="s">
        <v>15596</v>
      </c>
      <c r="AJ375" s="15" t="s">
        <v>15597</v>
      </c>
      <c r="AK375" s="15" t="s">
        <v>15598</v>
      </c>
      <c r="AL375" s="15" t="s">
        <v>15599</v>
      </c>
      <c r="AM375" s="15" t="s">
        <v>15600</v>
      </c>
      <c r="AN375" s="15" t="s">
        <v>15601</v>
      </c>
      <c r="AO375" s="15" t="s">
        <v>15602</v>
      </c>
      <c r="AP375" s="15" t="s">
        <v>15603</v>
      </c>
      <c r="AQ375" s="15" t="s">
        <v>15604</v>
      </c>
      <c r="BH375" s="15" t="s">
        <v>4785</v>
      </c>
      <c r="BI375" s="15" t="str">
        <f>"2399"</f>
        <v>2399</v>
      </c>
      <c r="BJ375" s="15" t="str">
        <f>"1010"</f>
        <v>1010</v>
      </c>
      <c r="BK375" s="15" t="s">
        <v>1181</v>
      </c>
      <c r="BL375" s="15" t="str">
        <f t="shared" si="1108"/>
        <v>1</v>
      </c>
      <c r="BM375" s="15" t="s">
        <v>416</v>
      </c>
      <c r="BN375" s="15" t="str">
        <f>"38.98"</f>
        <v>38.98</v>
      </c>
      <c r="BO375" s="15" t="str">
        <f>"24.41"</f>
        <v>24.41</v>
      </c>
      <c r="BP375" s="15" t="str">
        <f>"56.3"</f>
        <v>56.3</v>
      </c>
      <c r="BQ375" s="15" t="str">
        <f>"235.89"</f>
        <v>235.89</v>
      </c>
      <c r="CG375" s="15" t="str">
        <f>"31.01"</f>
        <v>31.01</v>
      </c>
      <c r="CH375" s="15" t="str">
        <f>"0.878"</f>
        <v>0.878</v>
      </c>
      <c r="CI375" s="15" t="s">
        <v>465</v>
      </c>
      <c r="CZ375" s="15" t="s">
        <v>418</v>
      </c>
      <c r="DA375" s="15">
        <v>5.0</v>
      </c>
      <c r="DB375" s="15" t="s">
        <v>419</v>
      </c>
      <c r="DD375" s="15">
        <v>0.0</v>
      </c>
      <c r="DF375" s="15" t="s">
        <v>1186</v>
      </c>
      <c r="DG375" s="15" t="s">
        <v>421</v>
      </c>
      <c r="DK375" s="15">
        <v>0.0</v>
      </c>
      <c r="DR375" s="15" t="s">
        <v>2094</v>
      </c>
      <c r="DS375" s="15" t="s">
        <v>4757</v>
      </c>
      <c r="DU375" s="15" t="s">
        <v>500</v>
      </c>
      <c r="EF375" s="15" t="s">
        <v>2737</v>
      </c>
      <c r="EV375" s="15">
        <v>0.0</v>
      </c>
      <c r="FQ375" s="15">
        <v>0.0</v>
      </c>
      <c r="FR375" s="15" t="s">
        <v>427</v>
      </c>
      <c r="FX375" s="15" t="s">
        <v>426</v>
      </c>
      <c r="FZ375" s="15" t="s">
        <v>760</v>
      </c>
      <c r="GA375" s="15" t="s">
        <v>760</v>
      </c>
      <c r="GB375" s="15" t="s">
        <v>3164</v>
      </c>
      <c r="GD375" s="15" t="s">
        <v>4793</v>
      </c>
      <c r="GE375" s="15" t="s">
        <v>4793</v>
      </c>
      <c r="GF375" s="15" t="s">
        <v>431</v>
      </c>
      <c r="GH375" s="15" t="s">
        <v>764</v>
      </c>
      <c r="HI375" s="15" t="s">
        <v>761</v>
      </c>
    </row>
    <row r="376" ht="17.25" customHeight="1">
      <c r="A376" s="15" t="s">
        <v>4796</v>
      </c>
      <c r="B376" s="15" t="str">
        <f>"198394025591"</f>
        <v>198394025591</v>
      </c>
      <c r="C376" s="15" t="s">
        <v>15605</v>
      </c>
      <c r="D376" s="15" t="str">
        <f t="shared" si="1"/>
        <v>Fisher BookcaseRustic Amber Oak Veneer</v>
      </c>
      <c r="E376" s="15" t="s">
        <v>4794</v>
      </c>
      <c r="F376" s="15" t="s">
        <v>397</v>
      </c>
      <c r="G376" s="15" t="s">
        <v>3945</v>
      </c>
      <c r="J376" s="15" t="s">
        <v>3945</v>
      </c>
      <c r="M376" s="15" t="s">
        <v>1896</v>
      </c>
      <c r="N376" s="15" t="s">
        <v>1899</v>
      </c>
      <c r="P376" s="15" t="str">
        <f t="shared" ref="P376:P377" si="1121">"53"</f>
        <v>53</v>
      </c>
      <c r="Q376" s="15" t="str">
        <f t="shared" ref="Q376:Q377" si="1122">"18.25"</f>
        <v>18.25</v>
      </c>
      <c r="R376" s="15" t="str">
        <f t="shared" ref="R376:R377" si="1123">"87.25"</f>
        <v>87.25</v>
      </c>
      <c r="S376" s="15" t="str">
        <f t="shared" ref="S376:S377" si="1124">"336.2"</f>
        <v>336.2</v>
      </c>
      <c r="T376" s="15" t="s">
        <v>407</v>
      </c>
      <c r="U376" s="15" t="s">
        <v>10881</v>
      </c>
      <c r="AA376" s="15" t="s">
        <v>413</v>
      </c>
      <c r="AB376" s="15" t="s">
        <v>413</v>
      </c>
      <c r="AC376" s="15" t="s">
        <v>4802</v>
      </c>
      <c r="AD376" s="15" t="s">
        <v>15606</v>
      </c>
      <c r="AE376" s="15" t="s">
        <v>4798</v>
      </c>
      <c r="AF376" s="15" t="s">
        <v>15607</v>
      </c>
      <c r="AG376" s="15" t="s">
        <v>15608</v>
      </c>
      <c r="AH376" s="15" t="s">
        <v>15609</v>
      </c>
      <c r="AI376" s="15" t="s">
        <v>15610</v>
      </c>
      <c r="AJ376" s="15" t="s">
        <v>15611</v>
      </c>
      <c r="AK376" s="15" t="s">
        <v>15612</v>
      </c>
      <c r="AL376" s="15" t="s">
        <v>15613</v>
      </c>
      <c r="AM376" s="15" t="s">
        <v>15614</v>
      </c>
      <c r="AN376" s="15" t="s">
        <v>15615</v>
      </c>
      <c r="AO376" s="15" t="s">
        <v>15616</v>
      </c>
      <c r="AP376" s="15" t="s">
        <v>15617</v>
      </c>
      <c r="AQ376" s="15" t="s">
        <v>15618</v>
      </c>
      <c r="BH376" s="15" t="s">
        <v>4795</v>
      </c>
      <c r="BI376" s="15" t="str">
        <f t="shared" ref="BI376:BI377" si="1125">"3499"</f>
        <v>3499</v>
      </c>
      <c r="BJ376" s="15" t="str">
        <f t="shared" ref="BJ376:BJ377" si="1126">"1470"</f>
        <v>1470</v>
      </c>
      <c r="BK376" s="15" t="s">
        <v>742</v>
      </c>
      <c r="BL376" s="15" t="str">
        <f t="shared" si="1108"/>
        <v>1</v>
      </c>
      <c r="BM376" s="15" t="s">
        <v>4803</v>
      </c>
      <c r="BN376" s="15" t="str">
        <f t="shared" ref="BN376:BN377" si="1127">"59.84"</f>
        <v>59.84</v>
      </c>
      <c r="BO376" s="15" t="str">
        <f t="shared" ref="BO376:BO377" si="1128">"24.02"</f>
        <v>24.02</v>
      </c>
      <c r="BP376" s="15" t="str">
        <f t="shared" ref="BP376:BP377" si="1129">"94.88"</f>
        <v>94.88</v>
      </c>
      <c r="BQ376" s="15" t="str">
        <f t="shared" ref="BQ376:BQ377" si="1130">"402.34"</f>
        <v>402.34</v>
      </c>
      <c r="CG376" s="15" t="str">
        <f t="shared" ref="CG376:CG377" si="1131">"78.93"</f>
        <v>78.93</v>
      </c>
      <c r="CH376" s="15" t="str">
        <f t="shared" ref="CH376:CH377" si="1132">"2.235"</f>
        <v>2.235</v>
      </c>
      <c r="CI376" s="15" t="s">
        <v>465</v>
      </c>
      <c r="CJ376" s="15" t="s">
        <v>4807</v>
      </c>
      <c r="CK376" s="15" t="s">
        <v>1517</v>
      </c>
      <c r="CL376" s="15" t="s">
        <v>4808</v>
      </c>
      <c r="CM376" s="15" t="s">
        <v>4807</v>
      </c>
      <c r="CN376" s="15" t="s">
        <v>1430</v>
      </c>
      <c r="CO376" s="15" t="s">
        <v>4808</v>
      </c>
      <c r="CZ376" s="15" t="s">
        <v>419</v>
      </c>
      <c r="DA376" s="15">
        <v>0.0</v>
      </c>
      <c r="DB376" s="15" t="s">
        <v>419</v>
      </c>
      <c r="DD376" s="15">
        <v>3.0</v>
      </c>
      <c r="DE376" s="15" t="s">
        <v>426</v>
      </c>
      <c r="DF376" s="15" t="s">
        <v>721</v>
      </c>
      <c r="DG376" s="15" t="s">
        <v>610</v>
      </c>
      <c r="DI376" s="15">
        <v>18.14</v>
      </c>
      <c r="DJ376" s="15">
        <v>40.0</v>
      </c>
      <c r="DK376" s="15">
        <v>1.0</v>
      </c>
      <c r="DR376" s="15" t="s">
        <v>1906</v>
      </c>
      <c r="DS376" s="15" t="s">
        <v>4809</v>
      </c>
      <c r="EF376" s="15" t="s">
        <v>1955</v>
      </c>
      <c r="EU376" s="15" t="s">
        <v>426</v>
      </c>
      <c r="EV376" s="15">
        <v>5.0</v>
      </c>
      <c r="FH376" s="15" t="s">
        <v>3225</v>
      </c>
      <c r="FI376" s="15" t="s">
        <v>612</v>
      </c>
      <c r="FJ376" s="15" t="s">
        <v>3129</v>
      </c>
      <c r="FK376" s="15" t="s">
        <v>2143</v>
      </c>
      <c r="FL376" s="15" t="s">
        <v>782</v>
      </c>
      <c r="FM376" s="15" t="s">
        <v>4810</v>
      </c>
      <c r="FO376" s="15" t="s">
        <v>426</v>
      </c>
      <c r="FP376" s="15" t="s">
        <v>1883</v>
      </c>
      <c r="FQ376" s="15">
        <v>2.0</v>
      </c>
      <c r="FR376" s="15" t="s">
        <v>614</v>
      </c>
      <c r="FS376" s="15" t="s">
        <v>1045</v>
      </c>
      <c r="FU376" s="15" t="s">
        <v>426</v>
      </c>
      <c r="FW376" s="15" t="s">
        <v>616</v>
      </c>
      <c r="GJ376" s="15" t="s">
        <v>4807</v>
      </c>
      <c r="GK376" s="15" t="s">
        <v>1430</v>
      </c>
      <c r="GL376" s="15" t="s">
        <v>4808</v>
      </c>
      <c r="GZ376" s="15" t="s">
        <v>4807</v>
      </c>
      <c r="HA376" s="15" t="s">
        <v>4807</v>
      </c>
      <c r="HB376" s="15" t="s">
        <v>1430</v>
      </c>
      <c r="HC376" s="15" t="s">
        <v>1430</v>
      </c>
      <c r="HD376" s="15" t="s">
        <v>4808</v>
      </c>
      <c r="HE376" s="15" t="s">
        <v>4808</v>
      </c>
      <c r="HF376" s="15" t="s">
        <v>1957</v>
      </c>
      <c r="HQ376" s="15" t="s">
        <v>426</v>
      </c>
      <c r="KG376" s="15" t="s">
        <v>4811</v>
      </c>
      <c r="KH376" s="15" t="s">
        <v>4812</v>
      </c>
      <c r="KI376" s="15" t="s">
        <v>4813</v>
      </c>
    </row>
    <row r="377" ht="17.25" customHeight="1">
      <c r="A377" s="15" t="s">
        <v>4816</v>
      </c>
      <c r="B377" s="15" t="str">
        <f>"198394025607"</f>
        <v>198394025607</v>
      </c>
      <c r="C377" s="15" t="s">
        <v>15619</v>
      </c>
      <c r="D377" s="15" t="str">
        <f t="shared" si="1"/>
        <v>Fisher BookcaseSmoked Black Veneer</v>
      </c>
      <c r="E377" s="15" t="s">
        <v>4794</v>
      </c>
      <c r="F377" s="15" t="s">
        <v>397</v>
      </c>
      <c r="G377" s="15" t="s">
        <v>4815</v>
      </c>
      <c r="J377" s="15" t="s">
        <v>4815</v>
      </c>
      <c r="M377" s="15" t="s">
        <v>1896</v>
      </c>
      <c r="N377" s="15" t="s">
        <v>1899</v>
      </c>
      <c r="P377" s="15" t="str">
        <f t="shared" si="1121"/>
        <v>53</v>
      </c>
      <c r="Q377" s="15" t="str">
        <f t="shared" si="1122"/>
        <v>18.25</v>
      </c>
      <c r="R377" s="15" t="str">
        <f t="shared" si="1123"/>
        <v>87.25</v>
      </c>
      <c r="S377" s="15" t="str">
        <f t="shared" si="1124"/>
        <v>336.2</v>
      </c>
      <c r="T377" s="15" t="s">
        <v>407</v>
      </c>
      <c r="U377" s="15" t="s">
        <v>10881</v>
      </c>
      <c r="AA377" s="15" t="s">
        <v>413</v>
      </c>
      <c r="AB377" s="15" t="s">
        <v>413</v>
      </c>
      <c r="AC377" s="15" t="s">
        <v>4818</v>
      </c>
      <c r="AD377" s="15" t="s">
        <v>15620</v>
      </c>
      <c r="AE377" s="15" t="s">
        <v>4817</v>
      </c>
      <c r="AF377" s="15" t="s">
        <v>15621</v>
      </c>
      <c r="AG377" s="15" t="s">
        <v>15622</v>
      </c>
      <c r="AH377" s="15" t="s">
        <v>15623</v>
      </c>
      <c r="AI377" s="15" t="s">
        <v>15624</v>
      </c>
      <c r="AJ377" s="15" t="s">
        <v>15625</v>
      </c>
      <c r="AK377" s="15" t="s">
        <v>15626</v>
      </c>
      <c r="AL377" s="15" t="s">
        <v>15627</v>
      </c>
      <c r="AM377" s="15" t="s">
        <v>15628</v>
      </c>
      <c r="AN377" s="15" t="s">
        <v>15629</v>
      </c>
      <c r="AO377" s="15" t="s">
        <v>15630</v>
      </c>
      <c r="AP377" s="15" t="s">
        <v>15631</v>
      </c>
      <c r="AQ377" s="15" t="s">
        <v>15632</v>
      </c>
      <c r="BH377" s="15" t="s">
        <v>4814</v>
      </c>
      <c r="BI377" s="15" t="str">
        <f t="shared" si="1125"/>
        <v>3499</v>
      </c>
      <c r="BJ377" s="15" t="str">
        <f t="shared" si="1126"/>
        <v>1470</v>
      </c>
      <c r="BK377" s="15" t="s">
        <v>742</v>
      </c>
      <c r="BL377" s="15" t="str">
        <f t="shared" si="1108"/>
        <v>1</v>
      </c>
      <c r="BM377" s="15" t="s">
        <v>4803</v>
      </c>
      <c r="BN377" s="15" t="str">
        <f t="shared" si="1127"/>
        <v>59.84</v>
      </c>
      <c r="BO377" s="15" t="str">
        <f t="shared" si="1128"/>
        <v>24.02</v>
      </c>
      <c r="BP377" s="15" t="str">
        <f t="shared" si="1129"/>
        <v>94.88</v>
      </c>
      <c r="BQ377" s="15" t="str">
        <f t="shared" si="1130"/>
        <v>402.34</v>
      </c>
      <c r="CG377" s="15" t="str">
        <f t="shared" si="1131"/>
        <v>78.93</v>
      </c>
      <c r="CH377" s="15" t="str">
        <f t="shared" si="1132"/>
        <v>2.235</v>
      </c>
      <c r="CI377" s="15" t="s">
        <v>465</v>
      </c>
      <c r="CJ377" s="15" t="s">
        <v>4807</v>
      </c>
      <c r="CK377" s="15" t="s">
        <v>1517</v>
      </c>
      <c r="CL377" s="15" t="s">
        <v>4808</v>
      </c>
      <c r="CM377" s="15" t="s">
        <v>4807</v>
      </c>
      <c r="CN377" s="15" t="s">
        <v>1430</v>
      </c>
      <c r="CO377" s="15" t="s">
        <v>4808</v>
      </c>
      <c r="CZ377" s="15" t="s">
        <v>419</v>
      </c>
      <c r="DA377" s="15">
        <v>0.0</v>
      </c>
      <c r="DB377" s="15" t="s">
        <v>419</v>
      </c>
      <c r="DD377" s="15">
        <v>3.0</v>
      </c>
      <c r="DE377" s="15" t="s">
        <v>426</v>
      </c>
      <c r="DF377" s="15" t="s">
        <v>721</v>
      </c>
      <c r="DG377" s="15" t="s">
        <v>610</v>
      </c>
      <c r="DI377" s="15">
        <v>18.14</v>
      </c>
      <c r="DJ377" s="15">
        <v>40.0</v>
      </c>
      <c r="DK377" s="15">
        <v>1.0</v>
      </c>
      <c r="DR377" s="15" t="s">
        <v>1906</v>
      </c>
      <c r="DS377" s="15" t="s">
        <v>4809</v>
      </c>
      <c r="EF377" s="15" t="s">
        <v>1955</v>
      </c>
      <c r="EU377" s="15" t="s">
        <v>426</v>
      </c>
      <c r="EV377" s="15">
        <v>5.0</v>
      </c>
      <c r="FH377" s="15" t="s">
        <v>3225</v>
      </c>
      <c r="FI377" s="15" t="s">
        <v>612</v>
      </c>
      <c r="FJ377" s="15" t="s">
        <v>3129</v>
      </c>
      <c r="FK377" s="15" t="s">
        <v>2143</v>
      </c>
      <c r="FL377" s="15" t="s">
        <v>782</v>
      </c>
      <c r="FM377" s="15" t="s">
        <v>4810</v>
      </c>
      <c r="FO377" s="15" t="s">
        <v>426</v>
      </c>
      <c r="FP377" s="15" t="s">
        <v>1883</v>
      </c>
      <c r="FQ377" s="15">
        <v>2.0</v>
      </c>
      <c r="FR377" s="15" t="s">
        <v>614</v>
      </c>
      <c r="FS377" s="15" t="s">
        <v>1045</v>
      </c>
      <c r="FU377" s="15" t="s">
        <v>426</v>
      </c>
      <c r="FW377" s="15" t="s">
        <v>616</v>
      </c>
      <c r="GJ377" s="15" t="s">
        <v>4807</v>
      </c>
      <c r="GK377" s="15" t="s">
        <v>1430</v>
      </c>
      <c r="GL377" s="15" t="s">
        <v>4808</v>
      </c>
      <c r="GZ377" s="15" t="s">
        <v>4807</v>
      </c>
      <c r="HA377" s="15" t="s">
        <v>4807</v>
      </c>
      <c r="HB377" s="15" t="s">
        <v>1430</v>
      </c>
      <c r="HC377" s="15" t="s">
        <v>1430</v>
      </c>
      <c r="HD377" s="15" t="s">
        <v>4808</v>
      </c>
      <c r="HE377" s="15" t="s">
        <v>4808</v>
      </c>
      <c r="HF377" s="15" t="s">
        <v>1957</v>
      </c>
      <c r="HQ377" s="15" t="s">
        <v>426</v>
      </c>
      <c r="KG377" s="15" t="s">
        <v>4811</v>
      </c>
      <c r="KH377" s="15" t="s">
        <v>4812</v>
      </c>
      <c r="KI377" s="15" t="s">
        <v>4813</v>
      </c>
    </row>
    <row r="378" ht="17.25" customHeight="1">
      <c r="A378" s="15" t="s">
        <v>4821</v>
      </c>
      <c r="B378" s="15" t="str">
        <f>"801542245269"</f>
        <v>801542245269</v>
      </c>
      <c r="C378" s="15" t="s">
        <v>15633</v>
      </c>
      <c r="D378" s="15" t="str">
        <f t="shared" si="1"/>
        <v>Fisher Media ConsoleRustic Amber Oak Veneer</v>
      </c>
      <c r="E378" s="15" t="s">
        <v>4819</v>
      </c>
      <c r="F378" s="15" t="s">
        <v>397</v>
      </c>
      <c r="G378" s="15" t="s">
        <v>3945</v>
      </c>
      <c r="J378" s="15" t="s">
        <v>3945</v>
      </c>
      <c r="M378" s="15" t="s">
        <v>1896</v>
      </c>
      <c r="N378" s="15" t="s">
        <v>602</v>
      </c>
      <c r="P378" s="15" t="str">
        <f t="shared" ref="P378:P379" si="1133">"94"</f>
        <v>94</v>
      </c>
      <c r="Q378" s="15" t="str">
        <f>"16.25"</f>
        <v>16.25</v>
      </c>
      <c r="R378" s="15" t="str">
        <f>"26.25"</f>
        <v>26.25</v>
      </c>
      <c r="S378" s="15" t="str">
        <f>"224.87"</f>
        <v>224.87</v>
      </c>
      <c r="T378" s="15" t="s">
        <v>407</v>
      </c>
      <c r="U378" s="15" t="s">
        <v>10881</v>
      </c>
      <c r="AA378" s="15" t="s">
        <v>413</v>
      </c>
      <c r="AB378" s="15" t="s">
        <v>413</v>
      </c>
      <c r="AC378" s="15" t="s">
        <v>4823</v>
      </c>
      <c r="AD378" s="15" t="s">
        <v>15634</v>
      </c>
      <c r="AE378" s="15" t="s">
        <v>4822</v>
      </c>
      <c r="AF378" s="15" t="s">
        <v>15635</v>
      </c>
      <c r="AG378" s="15" t="s">
        <v>15636</v>
      </c>
      <c r="AH378" s="15" t="s">
        <v>15637</v>
      </c>
      <c r="AI378" s="15" t="s">
        <v>15638</v>
      </c>
      <c r="AJ378" s="15" t="s">
        <v>15639</v>
      </c>
      <c r="AK378" s="15" t="s">
        <v>15640</v>
      </c>
      <c r="AL378" s="15" t="s">
        <v>15641</v>
      </c>
      <c r="AM378" s="15" t="s">
        <v>15642</v>
      </c>
      <c r="AN378" s="15" t="s">
        <v>15643</v>
      </c>
      <c r="AO378" s="15" t="s">
        <v>15644</v>
      </c>
      <c r="AP378" s="15" t="s">
        <v>15645</v>
      </c>
      <c r="AQ378" s="15" t="s">
        <v>15646</v>
      </c>
      <c r="AR378" s="15" t="s">
        <v>15647</v>
      </c>
      <c r="AS378" s="15" t="s">
        <v>15648</v>
      </c>
      <c r="BH378" s="15" t="s">
        <v>4820</v>
      </c>
      <c r="BI378" s="15" t="str">
        <f>"2699"</f>
        <v>2699</v>
      </c>
      <c r="BJ378" s="15" t="str">
        <f>"1135"</f>
        <v>1135</v>
      </c>
      <c r="BK378" s="15" t="s">
        <v>742</v>
      </c>
      <c r="BL378" s="15" t="str">
        <f t="shared" si="1108"/>
        <v>1</v>
      </c>
      <c r="BM378" s="15" t="s">
        <v>1421</v>
      </c>
      <c r="BN378" s="15" t="str">
        <f>"98.43"</f>
        <v>98.43</v>
      </c>
      <c r="BO378" s="15" t="str">
        <f>"20.08"</f>
        <v>20.08</v>
      </c>
      <c r="BP378" s="15" t="str">
        <f>"32.09"</f>
        <v>32.09</v>
      </c>
      <c r="BQ378" s="15" t="str">
        <f>"264.55"</f>
        <v>264.55</v>
      </c>
      <c r="CG378" s="15" t="str">
        <f>"36.69"</f>
        <v>36.69</v>
      </c>
      <c r="CH378" s="15" t="str">
        <f>"1.039"</f>
        <v>1.039</v>
      </c>
      <c r="CI378" s="15" t="s">
        <v>465</v>
      </c>
      <c r="CM378" s="15" t="s">
        <v>4827</v>
      </c>
      <c r="CN378" s="15" t="s">
        <v>4180</v>
      </c>
      <c r="CO378" s="15" t="s">
        <v>1038</v>
      </c>
      <c r="CZ378" s="15" t="s">
        <v>418</v>
      </c>
      <c r="DA378" s="15">
        <v>4.0</v>
      </c>
      <c r="DB378" s="15" t="s">
        <v>419</v>
      </c>
      <c r="DD378" s="15">
        <v>0.0</v>
      </c>
      <c r="DF378" s="15" t="s">
        <v>420</v>
      </c>
      <c r="DG378" s="15" t="s">
        <v>610</v>
      </c>
      <c r="DI378" s="15">
        <v>18.14</v>
      </c>
      <c r="DJ378" s="15">
        <v>40.0</v>
      </c>
      <c r="DK378" s="15">
        <v>1.0</v>
      </c>
      <c r="DS378" s="15" t="s">
        <v>4809</v>
      </c>
      <c r="EF378" s="15" t="s">
        <v>505</v>
      </c>
      <c r="EU378" s="15" t="s">
        <v>426</v>
      </c>
      <c r="EV378" s="15">
        <v>1.0</v>
      </c>
      <c r="FH378" s="15" t="s">
        <v>3225</v>
      </c>
      <c r="FI378" s="15" t="s">
        <v>612</v>
      </c>
      <c r="FJ378" s="15" t="s">
        <v>613</v>
      </c>
      <c r="FK378" s="15" t="s">
        <v>4827</v>
      </c>
      <c r="FL378" s="15" t="s">
        <v>612</v>
      </c>
      <c r="FM378" s="15" t="s">
        <v>1038</v>
      </c>
      <c r="FO378" s="15" t="s">
        <v>426</v>
      </c>
      <c r="FP378" s="15" t="s">
        <v>1883</v>
      </c>
      <c r="FQ378" s="15">
        <v>2.0</v>
      </c>
      <c r="FR378" s="15" t="s">
        <v>614</v>
      </c>
      <c r="FS378" s="15" t="s">
        <v>1045</v>
      </c>
      <c r="FU378" s="15" t="s">
        <v>426</v>
      </c>
      <c r="FW378" s="15" t="s">
        <v>616</v>
      </c>
      <c r="FX378" s="15" t="s">
        <v>426</v>
      </c>
      <c r="FZ378" s="15" t="s">
        <v>4828</v>
      </c>
      <c r="GB378" s="15" t="s">
        <v>762</v>
      </c>
      <c r="GD378" s="15" t="s">
        <v>4829</v>
      </c>
      <c r="GF378" s="15" t="s">
        <v>431</v>
      </c>
      <c r="GH378" s="15" t="s">
        <v>764</v>
      </c>
      <c r="GM378" s="15">
        <v>0.0</v>
      </c>
      <c r="HF378" s="15" t="s">
        <v>1957</v>
      </c>
      <c r="HQ378" s="15" t="s">
        <v>426</v>
      </c>
    </row>
    <row r="379" ht="17.25" customHeight="1">
      <c r="A379" s="15" t="s">
        <v>4833</v>
      </c>
      <c r="B379" s="15" t="str">
        <f>"801542105891"</f>
        <v>801542105891</v>
      </c>
      <c r="C379" s="15" t="s">
        <v>15649</v>
      </c>
      <c r="D379" s="15" t="str">
        <f t="shared" si="1"/>
        <v>Fleming SofaAlcala Wheat</v>
      </c>
      <c r="E379" s="15" t="s">
        <v>4830</v>
      </c>
      <c r="F379" s="15" t="s">
        <v>397</v>
      </c>
      <c r="G379" s="15" t="s">
        <v>4832</v>
      </c>
      <c r="J379" s="15" t="s">
        <v>4832</v>
      </c>
      <c r="K379" s="15" t="s">
        <v>3557</v>
      </c>
      <c r="M379" s="15" t="s">
        <v>915</v>
      </c>
      <c r="N379" s="15" t="s">
        <v>1732</v>
      </c>
      <c r="P379" s="15" t="str">
        <f t="shared" si="1133"/>
        <v>94</v>
      </c>
      <c r="Q379" s="15" t="str">
        <f>"37.5"</f>
        <v>37.5</v>
      </c>
      <c r="R379" s="15" t="str">
        <f>"30.5"</f>
        <v>30.5</v>
      </c>
      <c r="S379" s="15" t="str">
        <f>"127.87"</f>
        <v>127.87</v>
      </c>
      <c r="T379" s="15" t="s">
        <v>4835</v>
      </c>
      <c r="U379" s="15" t="s">
        <v>11356</v>
      </c>
      <c r="V379" s="15" t="s">
        <v>11574</v>
      </c>
      <c r="W379" s="15" t="s">
        <v>11575</v>
      </c>
      <c r="X379" s="15" t="s">
        <v>11138</v>
      </c>
      <c r="AA379" s="15" t="s">
        <v>413</v>
      </c>
      <c r="AB379" s="15" t="s">
        <v>426</v>
      </c>
      <c r="AC379" s="15" t="s">
        <v>4838</v>
      </c>
      <c r="AD379" s="15" t="s">
        <v>15650</v>
      </c>
      <c r="AE379" s="15" t="s">
        <v>4834</v>
      </c>
      <c r="AF379" s="15" t="s">
        <v>15651</v>
      </c>
      <c r="AG379" s="15" t="s">
        <v>15652</v>
      </c>
      <c r="AH379" s="15" t="s">
        <v>15653</v>
      </c>
      <c r="AI379" s="15" t="s">
        <v>15654</v>
      </c>
      <c r="AJ379" s="15" t="s">
        <v>15655</v>
      </c>
      <c r="AK379" s="15" t="s">
        <v>15656</v>
      </c>
      <c r="AL379" s="15" t="s">
        <v>15657</v>
      </c>
      <c r="AM379" s="15" t="s">
        <v>15658</v>
      </c>
      <c r="AN379" s="15" t="s">
        <v>15659</v>
      </c>
      <c r="AO379" s="15" t="s">
        <v>15660</v>
      </c>
      <c r="AP379" s="15" t="s">
        <v>15661</v>
      </c>
      <c r="AQ379" s="15" t="s">
        <v>15662</v>
      </c>
      <c r="AR379" s="15" t="s">
        <v>15663</v>
      </c>
      <c r="BH379" s="15" t="s">
        <v>4831</v>
      </c>
      <c r="BI379" s="15" t="str">
        <f>"2899"</f>
        <v>2899</v>
      </c>
      <c r="BJ379" s="15" t="str">
        <f>"1220"</f>
        <v>1220</v>
      </c>
      <c r="BK379" s="15" t="s">
        <v>709</v>
      </c>
      <c r="BL379" s="15" t="str">
        <f t="shared" si="1108"/>
        <v>1</v>
      </c>
      <c r="BM379" s="15" t="s">
        <v>416</v>
      </c>
      <c r="BN379" s="15" t="str">
        <f>"94.49"</f>
        <v>94.49</v>
      </c>
      <c r="BO379" s="15" t="str">
        <f>"38.58"</f>
        <v>38.58</v>
      </c>
      <c r="BP379" s="15" t="str">
        <f>"29.53"</f>
        <v>29.53</v>
      </c>
      <c r="BQ379" s="15" t="str">
        <f>"161.82"</f>
        <v>161.82</v>
      </c>
      <c r="CG379" s="15" t="str">
        <f>"62.3"</f>
        <v>62.3</v>
      </c>
      <c r="CH379" s="15" t="str">
        <f>"1.764"</f>
        <v>1.764</v>
      </c>
      <c r="CI379" s="15" t="s">
        <v>465</v>
      </c>
      <c r="CP379" s="15" t="s">
        <v>3500</v>
      </c>
      <c r="CQ379" s="15" t="s">
        <v>2402</v>
      </c>
      <c r="CR379" s="15" t="s">
        <v>3481</v>
      </c>
      <c r="CS379" s="15" t="s">
        <v>1211</v>
      </c>
      <c r="CT379" s="15" t="s">
        <v>1065</v>
      </c>
      <c r="CU379" s="15" t="s">
        <v>1755</v>
      </c>
      <c r="CV379" s="15">
        <v>0.0</v>
      </c>
      <c r="CW379" s="15">
        <v>2.0</v>
      </c>
      <c r="CX379" s="15" t="s">
        <v>717</v>
      </c>
      <c r="CY379" s="15" t="s">
        <v>855</v>
      </c>
      <c r="DC379" s="15" t="s">
        <v>4841</v>
      </c>
      <c r="DF379" s="15" t="s">
        <v>721</v>
      </c>
      <c r="DG379" s="15" t="s">
        <v>419</v>
      </c>
      <c r="DH379" s="15">
        <v>0.0</v>
      </c>
      <c r="DL379" s="15">
        <v>25000.0</v>
      </c>
      <c r="DM379" s="15" t="s">
        <v>990</v>
      </c>
      <c r="DN379" s="15" t="s">
        <v>723</v>
      </c>
      <c r="DO379" s="15" t="s">
        <v>1076</v>
      </c>
      <c r="DP379" s="15">
        <v>1.0</v>
      </c>
      <c r="DQ379" s="15">
        <v>4.0</v>
      </c>
      <c r="DS379" s="15" t="s">
        <v>4842</v>
      </c>
      <c r="DT379" s="15">
        <v>0.0</v>
      </c>
      <c r="DU379" s="15" t="s">
        <v>588</v>
      </c>
      <c r="DV379" s="15" t="s">
        <v>1211</v>
      </c>
      <c r="DW379" s="15" t="s">
        <v>505</v>
      </c>
      <c r="DX379" s="15" t="s">
        <v>4339</v>
      </c>
      <c r="EB379" s="15" t="s">
        <v>995</v>
      </c>
      <c r="EC379" s="15" t="s">
        <v>2402</v>
      </c>
      <c r="ED379" s="15" t="s">
        <v>1161</v>
      </c>
      <c r="EE379" s="15" t="s">
        <v>4843</v>
      </c>
      <c r="EF379" s="15" t="s">
        <v>762</v>
      </c>
      <c r="EG379" s="15" t="s">
        <v>558</v>
      </c>
      <c r="EH379" s="15" t="s">
        <v>4844</v>
      </c>
      <c r="EI379" s="15" t="s">
        <v>531</v>
      </c>
      <c r="EL379" s="15" t="s">
        <v>723</v>
      </c>
      <c r="EM379" s="15" t="s">
        <v>1076</v>
      </c>
      <c r="EN379" s="15" t="s">
        <v>1289</v>
      </c>
      <c r="EO379" s="15" t="s">
        <v>1290</v>
      </c>
    </row>
    <row r="380" ht="17.25" customHeight="1">
      <c r="A380" s="15" t="s">
        <v>4848</v>
      </c>
      <c r="B380" s="15" t="str">
        <f>"801542003128"</f>
        <v>801542003128</v>
      </c>
      <c r="C380" s="15" t="s">
        <v>15664</v>
      </c>
      <c r="D380" s="15" t="str">
        <f t="shared" si="1"/>
        <v>Flint Bunching TableBright Brass</v>
      </c>
      <c r="E380" s="15" t="s">
        <v>4845</v>
      </c>
      <c r="F380" s="15" t="s">
        <v>397</v>
      </c>
      <c r="G380" s="15" t="s">
        <v>4847</v>
      </c>
      <c r="J380" s="15" t="s">
        <v>4847</v>
      </c>
      <c r="K380" s="15" t="s">
        <v>4851</v>
      </c>
      <c r="M380" s="15" t="s">
        <v>813</v>
      </c>
      <c r="N380" s="15" t="s">
        <v>491</v>
      </c>
      <c r="P380" s="15" t="str">
        <f t="shared" ref="P380:Q380" si="1134">"24"</f>
        <v>24</v>
      </c>
      <c r="Q380" s="15" t="str">
        <f t="shared" si="1134"/>
        <v>24</v>
      </c>
      <c r="R380" s="15" t="str">
        <f>"16.25"</f>
        <v>16.25</v>
      </c>
      <c r="S380" s="15" t="str">
        <f>"24.25"</f>
        <v>24.25</v>
      </c>
      <c r="T380" s="15" t="s">
        <v>4850</v>
      </c>
      <c r="U380" s="15" t="s">
        <v>13535</v>
      </c>
      <c r="V380" s="15" t="s">
        <v>11137</v>
      </c>
      <c r="AA380" s="15" t="s">
        <v>413</v>
      </c>
      <c r="AB380" s="15" t="s">
        <v>413</v>
      </c>
      <c r="AC380" s="15" t="s">
        <v>4852</v>
      </c>
      <c r="AD380" s="15" t="s">
        <v>15665</v>
      </c>
      <c r="AE380" s="15" t="s">
        <v>4849</v>
      </c>
      <c r="AF380" s="15" t="s">
        <v>15666</v>
      </c>
      <c r="AG380" s="15" t="s">
        <v>15667</v>
      </c>
      <c r="AH380" s="15" t="s">
        <v>15668</v>
      </c>
      <c r="AI380" s="15" t="s">
        <v>15669</v>
      </c>
      <c r="AJ380" s="15" t="s">
        <v>15670</v>
      </c>
      <c r="BH380" s="15" t="s">
        <v>4846</v>
      </c>
      <c r="BI380" s="15" t="str">
        <f>"1349"</f>
        <v>1349</v>
      </c>
      <c r="BJ380" s="15" t="str">
        <f>"570"</f>
        <v>570</v>
      </c>
      <c r="BK380" s="15" t="s">
        <v>709</v>
      </c>
      <c r="BL380" s="15" t="str">
        <f t="shared" si="1108"/>
        <v>1</v>
      </c>
      <c r="BM380" s="15" t="s">
        <v>416</v>
      </c>
      <c r="BN380" s="15" t="str">
        <f t="shared" ref="BN380:BO380" si="1135">"26.77"</f>
        <v>26.77</v>
      </c>
      <c r="BO380" s="15" t="str">
        <f t="shared" si="1135"/>
        <v>26.77</v>
      </c>
      <c r="BP380" s="15" t="str">
        <f>"18.5"</f>
        <v>18.5</v>
      </c>
      <c r="BQ380" s="15" t="str">
        <f>"31.97"</f>
        <v>31.97</v>
      </c>
      <c r="CG380" s="15" t="str">
        <f>"7.66"</f>
        <v>7.66</v>
      </c>
      <c r="CH380" s="15" t="str">
        <f>"0.217"</f>
        <v>0.217</v>
      </c>
      <c r="CI380" s="15" t="s">
        <v>465</v>
      </c>
      <c r="CZ380" s="15" t="s">
        <v>419</v>
      </c>
      <c r="DA380" s="15">
        <v>0.0</v>
      </c>
      <c r="DB380" s="15" t="s">
        <v>419</v>
      </c>
      <c r="DD380" s="15">
        <v>0.0</v>
      </c>
      <c r="DF380" s="15" t="s">
        <v>989</v>
      </c>
      <c r="DG380" s="15" t="s">
        <v>419</v>
      </c>
      <c r="DK380" s="15">
        <v>0.0</v>
      </c>
      <c r="DR380" s="15" t="s">
        <v>1157</v>
      </c>
      <c r="DS380" s="15" t="s">
        <v>4853</v>
      </c>
      <c r="DU380" s="15" t="s">
        <v>500</v>
      </c>
      <c r="EF380" s="15" t="s">
        <v>2221</v>
      </c>
      <c r="EO380" s="15" t="s">
        <v>2387</v>
      </c>
      <c r="EQ380" s="15" t="s">
        <v>3129</v>
      </c>
      <c r="ER380" s="15" t="s">
        <v>2221</v>
      </c>
      <c r="ES380" s="15" t="s">
        <v>3129</v>
      </c>
      <c r="ET380" s="15" t="s">
        <v>2651</v>
      </c>
      <c r="EV380" s="15">
        <v>0.0</v>
      </c>
      <c r="EW380" s="15">
        <v>0.0</v>
      </c>
      <c r="FF380" s="15" t="s">
        <v>2969</v>
      </c>
    </row>
    <row r="381" ht="17.25" customHeight="1">
      <c r="A381" s="15" t="s">
        <v>4857</v>
      </c>
      <c r="B381" s="15" t="str">
        <f>"801542143855"</f>
        <v>801542143855</v>
      </c>
      <c r="C381" s="15" t="s">
        <v>15671</v>
      </c>
      <c r="D381" s="15" t="str">
        <f t="shared" si="1"/>
        <v>Flip Top Console TableToasted Ash</v>
      </c>
      <c r="E381" s="15" t="s">
        <v>4854</v>
      </c>
      <c r="F381" s="15" t="s">
        <v>397</v>
      </c>
      <c r="G381" s="15" t="s">
        <v>4856</v>
      </c>
      <c r="J381" s="15" t="s">
        <v>4856</v>
      </c>
      <c r="K381" s="15" t="s">
        <v>4336</v>
      </c>
      <c r="M381" s="15" t="s">
        <v>2193</v>
      </c>
      <c r="N381" s="15" t="s">
        <v>519</v>
      </c>
      <c r="P381" s="15" t="str">
        <f>"94"</f>
        <v>94</v>
      </c>
      <c r="Q381" s="15" t="str">
        <f>"22"</f>
        <v>22</v>
      </c>
      <c r="R381" s="15" t="str">
        <f t="shared" ref="R381:R382" si="1136">"31"</f>
        <v>31</v>
      </c>
      <c r="S381" s="15" t="str">
        <f>"138.67"</f>
        <v>138.67</v>
      </c>
      <c r="T381" s="15" t="s">
        <v>4860</v>
      </c>
      <c r="U381" s="15" t="s">
        <v>11138</v>
      </c>
      <c r="V381" s="15" t="s">
        <v>11139</v>
      </c>
      <c r="AA381" s="15" t="s">
        <v>413</v>
      </c>
      <c r="AB381" s="15" t="s">
        <v>413</v>
      </c>
      <c r="AC381" s="15" t="s">
        <v>4861</v>
      </c>
      <c r="AD381" s="15" t="s">
        <v>15672</v>
      </c>
      <c r="AE381" s="15" t="s">
        <v>4859</v>
      </c>
      <c r="AF381" s="15" t="s">
        <v>15673</v>
      </c>
      <c r="AG381" s="15" t="s">
        <v>15674</v>
      </c>
      <c r="AH381" s="15" t="s">
        <v>15675</v>
      </c>
      <c r="AI381" s="15" t="s">
        <v>15676</v>
      </c>
      <c r="AJ381" s="15" t="s">
        <v>15677</v>
      </c>
      <c r="AK381" s="15" t="s">
        <v>15678</v>
      </c>
      <c r="AL381" s="15" t="s">
        <v>15679</v>
      </c>
      <c r="AM381" s="15" t="s">
        <v>15680</v>
      </c>
      <c r="AN381" s="15" t="s">
        <v>15681</v>
      </c>
      <c r="AO381" s="15" t="s">
        <v>15682</v>
      </c>
      <c r="AP381" s="15" t="s">
        <v>15683</v>
      </c>
      <c r="AQ381" s="15" t="s">
        <v>15684</v>
      </c>
      <c r="AR381" s="15" t="s">
        <v>15685</v>
      </c>
      <c r="AS381" s="15" t="s">
        <v>15686</v>
      </c>
      <c r="AT381" s="15" t="s">
        <v>15687</v>
      </c>
      <c r="BH381" s="15" t="s">
        <v>4855</v>
      </c>
      <c r="BI381" s="15" t="str">
        <f>"2599"</f>
        <v>2599</v>
      </c>
      <c r="BJ381" s="15" t="str">
        <f>"1095"</f>
        <v>1095</v>
      </c>
      <c r="BK381" s="15" t="s">
        <v>709</v>
      </c>
      <c r="BL381" s="15" t="str">
        <f t="shared" si="1108"/>
        <v>1</v>
      </c>
      <c r="BM381" s="15" t="s">
        <v>4862</v>
      </c>
      <c r="BN381" s="15" t="str">
        <f>"96.85"</f>
        <v>96.85</v>
      </c>
      <c r="BO381" s="15" t="str">
        <f>"25.2"</f>
        <v>25.2</v>
      </c>
      <c r="BP381" s="15" t="str">
        <f>"11.02"</f>
        <v>11.02</v>
      </c>
      <c r="BQ381" s="15" t="str">
        <f>"160.05"</f>
        <v>160.05</v>
      </c>
      <c r="CG381" s="15" t="str">
        <f>"15.57"</f>
        <v>15.57</v>
      </c>
      <c r="CH381" s="15" t="str">
        <f>"0.441"</f>
        <v>0.441</v>
      </c>
      <c r="CI381" s="15" t="s">
        <v>465</v>
      </c>
      <c r="CZ381" s="15" t="s">
        <v>419</v>
      </c>
      <c r="DA381" s="15">
        <v>0.0</v>
      </c>
      <c r="DB381" s="15" t="s">
        <v>419</v>
      </c>
      <c r="DD381" s="15">
        <v>0.0</v>
      </c>
      <c r="DF381" s="15" t="s">
        <v>1111</v>
      </c>
      <c r="DG381" s="15" t="s">
        <v>4548</v>
      </c>
      <c r="DK381" s="15">
        <v>0.0</v>
      </c>
      <c r="DR381" s="15" t="s">
        <v>471</v>
      </c>
      <c r="DS381" s="15" t="s">
        <v>4864</v>
      </c>
      <c r="DU381" s="15" t="s">
        <v>424</v>
      </c>
      <c r="EF381" s="15" t="s">
        <v>1236</v>
      </c>
      <c r="EG381" s="15" t="s">
        <v>1287</v>
      </c>
      <c r="EH381" s="15" t="s">
        <v>1755</v>
      </c>
      <c r="EQ381" s="15" t="s">
        <v>1700</v>
      </c>
      <c r="ER381" s="15" t="s">
        <v>2314</v>
      </c>
      <c r="ES381" s="15" t="s">
        <v>4865</v>
      </c>
      <c r="ET381" s="15" t="s">
        <v>612</v>
      </c>
      <c r="EU381" s="15" t="s">
        <v>426</v>
      </c>
      <c r="EV381" s="15">
        <v>0.0</v>
      </c>
      <c r="EW381" s="15">
        <v>2.0</v>
      </c>
      <c r="FF381" s="15" t="s">
        <v>505</v>
      </c>
      <c r="FQ381" s="15">
        <v>0.0</v>
      </c>
      <c r="FR381" s="15" t="s">
        <v>427</v>
      </c>
      <c r="JY381" s="15" t="s">
        <v>3841</v>
      </c>
      <c r="JZ381" s="15" t="s">
        <v>1072</v>
      </c>
      <c r="KA381" s="15" t="s">
        <v>4866</v>
      </c>
      <c r="KB381" s="15" t="s">
        <v>4867</v>
      </c>
    </row>
    <row r="382" ht="17.25" customHeight="1">
      <c r="A382" s="15" t="s">
        <v>4871</v>
      </c>
      <c r="B382" s="15" t="str">
        <f>"801542429799"</f>
        <v>801542429799</v>
      </c>
      <c r="C382" s="15" t="s">
        <v>15688</v>
      </c>
      <c r="D382" s="15" t="str">
        <f t="shared" si="1"/>
        <v>Florent SideboardAmber Oak</v>
      </c>
      <c r="E382" s="15" t="s">
        <v>4868</v>
      </c>
      <c r="F382" s="15" t="s">
        <v>397</v>
      </c>
      <c r="G382" s="15" t="s">
        <v>4870</v>
      </c>
      <c r="J382" s="15" t="s">
        <v>4870</v>
      </c>
      <c r="K382" s="15" t="s">
        <v>4875</v>
      </c>
      <c r="M382" s="15" t="s">
        <v>1896</v>
      </c>
      <c r="N382" s="15" t="s">
        <v>664</v>
      </c>
      <c r="P382" s="15" t="str">
        <f>"85.75"</f>
        <v>85.75</v>
      </c>
      <c r="Q382" s="15" t="str">
        <f>"19.75"</f>
        <v>19.75</v>
      </c>
      <c r="R382" s="15" t="str">
        <f t="shared" si="1136"/>
        <v>31</v>
      </c>
      <c r="S382" s="15" t="str">
        <f>"209.44"</f>
        <v>209.44</v>
      </c>
      <c r="T382" s="15" t="s">
        <v>4874</v>
      </c>
      <c r="U382" s="15" t="s">
        <v>11338</v>
      </c>
      <c r="V382" s="15" t="s">
        <v>10881</v>
      </c>
      <c r="AA382" s="15" t="s">
        <v>413</v>
      </c>
      <c r="AB382" s="15" t="s">
        <v>413</v>
      </c>
      <c r="AC382" s="15" t="s">
        <v>4876</v>
      </c>
      <c r="AD382" s="15" t="s">
        <v>15689</v>
      </c>
      <c r="AE382" s="15" t="s">
        <v>4873</v>
      </c>
      <c r="AF382" s="15" t="s">
        <v>15690</v>
      </c>
      <c r="AG382" s="15" t="s">
        <v>15691</v>
      </c>
      <c r="AH382" s="15" t="s">
        <v>15692</v>
      </c>
      <c r="AI382" s="15" t="s">
        <v>15693</v>
      </c>
      <c r="AJ382" s="15" t="s">
        <v>15694</v>
      </c>
      <c r="AK382" s="15" t="s">
        <v>15695</v>
      </c>
      <c r="AL382" s="15" t="s">
        <v>15696</v>
      </c>
      <c r="AM382" s="15" t="s">
        <v>15697</v>
      </c>
      <c r="AN382" s="15" t="s">
        <v>15698</v>
      </c>
      <c r="AO382" s="15" t="s">
        <v>15699</v>
      </c>
      <c r="AP382" s="15" t="s">
        <v>15700</v>
      </c>
      <c r="AQ382" s="15" t="s">
        <v>15701</v>
      </c>
      <c r="AR382" s="15" t="s">
        <v>15702</v>
      </c>
      <c r="AS382" s="15" t="s">
        <v>15703</v>
      </c>
      <c r="AT382" s="15" t="s">
        <v>15704</v>
      </c>
      <c r="AU382" s="15" t="s">
        <v>15705</v>
      </c>
      <c r="AV382" s="15" t="s">
        <v>15706</v>
      </c>
      <c r="BH382" s="15" t="s">
        <v>4869</v>
      </c>
      <c r="BI382" s="15" t="str">
        <f>"1999"</f>
        <v>1999</v>
      </c>
      <c r="BJ382" s="15" t="str">
        <f>"840"</f>
        <v>840</v>
      </c>
      <c r="BK382" s="15" t="s">
        <v>742</v>
      </c>
      <c r="BL382" s="15" t="str">
        <f t="shared" si="1108"/>
        <v>1</v>
      </c>
      <c r="BM382" s="15" t="s">
        <v>1455</v>
      </c>
      <c r="BN382" s="15" t="str">
        <f>"89.57"</f>
        <v>89.57</v>
      </c>
      <c r="BO382" s="15" t="str">
        <f>"23.62"</f>
        <v>23.62</v>
      </c>
      <c r="BP382" s="15" t="str">
        <f>"36.61"</f>
        <v>36.61</v>
      </c>
      <c r="BQ382" s="15" t="str">
        <f>"253.53"</f>
        <v>253.53</v>
      </c>
      <c r="CG382" s="15" t="str">
        <f>"44.81"</f>
        <v>44.81</v>
      </c>
      <c r="CH382" s="15" t="str">
        <f>"1.269"</f>
        <v>1.269</v>
      </c>
      <c r="CI382" s="15" t="s">
        <v>465</v>
      </c>
      <c r="CM382" s="15" t="s">
        <v>4879</v>
      </c>
      <c r="CN382" s="15" t="s">
        <v>4880</v>
      </c>
      <c r="CO382" s="15" t="s">
        <v>4881</v>
      </c>
      <c r="CZ382" s="15" t="s">
        <v>419</v>
      </c>
      <c r="DA382" s="15">
        <v>0.0</v>
      </c>
      <c r="DB382" s="15" t="s">
        <v>419</v>
      </c>
      <c r="DD382" s="15">
        <v>0.0</v>
      </c>
      <c r="DF382" s="15" t="s">
        <v>1509</v>
      </c>
      <c r="DG382" s="15" t="s">
        <v>610</v>
      </c>
      <c r="DI382" s="15">
        <v>18.14</v>
      </c>
      <c r="DJ382" s="15">
        <v>40.0</v>
      </c>
      <c r="DK382" s="15">
        <v>3.0</v>
      </c>
      <c r="DS382" s="15" t="s">
        <v>4882</v>
      </c>
      <c r="DU382" s="15" t="s">
        <v>424</v>
      </c>
      <c r="EF382" s="15" t="s">
        <v>4883</v>
      </c>
      <c r="EU382" s="15" t="s">
        <v>426</v>
      </c>
      <c r="EV382" s="15">
        <v>3.0</v>
      </c>
      <c r="FH382" s="15" t="s">
        <v>4884</v>
      </c>
      <c r="FI382" s="15" t="s">
        <v>782</v>
      </c>
      <c r="FJ382" s="15" t="s">
        <v>2165</v>
      </c>
      <c r="FK382" s="15" t="s">
        <v>4879</v>
      </c>
      <c r="FL382" s="15" t="s">
        <v>782</v>
      </c>
      <c r="FM382" s="15" t="s">
        <v>4881</v>
      </c>
      <c r="FN382" s="15">
        <v>0.0</v>
      </c>
      <c r="FO382" s="15" t="s">
        <v>426</v>
      </c>
      <c r="FP382" s="15" t="s">
        <v>785</v>
      </c>
      <c r="FQ382" s="15">
        <v>4.0</v>
      </c>
      <c r="FR382" s="15" t="s">
        <v>614</v>
      </c>
      <c r="FS382" s="15" t="s">
        <v>1045</v>
      </c>
      <c r="FT382" s="15">
        <v>0.0</v>
      </c>
      <c r="FU382" s="15" t="s">
        <v>426</v>
      </c>
      <c r="FW382" s="15" t="s">
        <v>616</v>
      </c>
      <c r="GJ382" s="15" t="s">
        <v>4879</v>
      </c>
      <c r="GK382" s="15" t="s">
        <v>4880</v>
      </c>
      <c r="GL382" s="15" t="s">
        <v>1426</v>
      </c>
      <c r="GZ382" s="15" t="s">
        <v>4879</v>
      </c>
      <c r="HB382" s="15" t="s">
        <v>4880</v>
      </c>
      <c r="HD382" s="15" t="s">
        <v>1426</v>
      </c>
      <c r="HF382" s="15" t="s">
        <v>1957</v>
      </c>
      <c r="HM382" s="15" t="s">
        <v>4879</v>
      </c>
      <c r="HN382" s="15" t="s">
        <v>782</v>
      </c>
      <c r="HO382" s="15" t="s">
        <v>1426</v>
      </c>
      <c r="HQ382" s="15" t="s">
        <v>426</v>
      </c>
    </row>
    <row r="383" ht="17.25" customHeight="1">
      <c r="A383" s="15" t="s">
        <v>4888</v>
      </c>
      <c r="B383" s="15" t="str">
        <f>"801542318413"</f>
        <v>801542318413</v>
      </c>
      <c r="C383" s="15" t="s">
        <v>15707</v>
      </c>
      <c r="D383" s="15" t="str">
        <f t="shared" si="1"/>
        <v>Freddie ChestBrown</v>
      </c>
      <c r="E383" s="15" t="s">
        <v>4885</v>
      </c>
      <c r="F383" s="15" t="s">
        <v>397</v>
      </c>
      <c r="G383" s="15" t="s">
        <v>4887</v>
      </c>
      <c r="J383" s="15" t="s">
        <v>4887</v>
      </c>
      <c r="K383" s="15" t="s">
        <v>1898</v>
      </c>
      <c r="M383" s="15" t="s">
        <v>3494</v>
      </c>
      <c r="N383" s="15" t="s">
        <v>412</v>
      </c>
      <c r="P383" s="15" t="str">
        <f t="shared" ref="P383:P384" si="1137">"40"</f>
        <v>40</v>
      </c>
      <c r="Q383" s="15" t="str">
        <f t="shared" ref="Q383:Q384" si="1138">"20"</f>
        <v>20</v>
      </c>
      <c r="R383" s="15" t="str">
        <f t="shared" ref="R383:R384" si="1139">"34"</f>
        <v>34</v>
      </c>
      <c r="S383" s="15" t="str">
        <f t="shared" ref="S383:S384" si="1140">"108.03"</f>
        <v>108.03</v>
      </c>
      <c r="T383" s="15" t="s">
        <v>4891</v>
      </c>
      <c r="U383" s="15" t="s">
        <v>13228</v>
      </c>
      <c r="V383" s="15" t="s">
        <v>11139</v>
      </c>
      <c r="AA383" s="15" t="s">
        <v>413</v>
      </c>
      <c r="AB383" s="15" t="s">
        <v>413</v>
      </c>
      <c r="AC383" s="15" t="s">
        <v>4892</v>
      </c>
      <c r="AD383" s="15" t="s">
        <v>15708</v>
      </c>
      <c r="AE383" s="15" t="s">
        <v>4890</v>
      </c>
      <c r="AF383" s="15" t="s">
        <v>15709</v>
      </c>
      <c r="AG383" s="15" t="s">
        <v>15710</v>
      </c>
      <c r="AH383" s="15" t="s">
        <v>15711</v>
      </c>
      <c r="AI383" s="15" t="s">
        <v>15712</v>
      </c>
      <c r="AJ383" s="15" t="s">
        <v>15713</v>
      </c>
      <c r="AK383" s="15" t="s">
        <v>15714</v>
      </c>
      <c r="AL383" s="15" t="s">
        <v>15715</v>
      </c>
      <c r="AM383" s="15" t="s">
        <v>15716</v>
      </c>
      <c r="AN383" s="15" t="s">
        <v>15717</v>
      </c>
      <c r="AO383" s="15" t="s">
        <v>15718</v>
      </c>
      <c r="AP383" s="15" t="s">
        <v>15719</v>
      </c>
      <c r="AQ383" s="15" t="s">
        <v>15720</v>
      </c>
      <c r="AR383" s="15" t="s">
        <v>15721</v>
      </c>
      <c r="AS383" s="15" t="s">
        <v>15722</v>
      </c>
      <c r="BH383" s="15" t="s">
        <v>4886</v>
      </c>
      <c r="BI383" s="15" t="str">
        <f>"1149"</f>
        <v>1149</v>
      </c>
      <c r="BJ383" s="15" t="str">
        <f>"485"</f>
        <v>485</v>
      </c>
      <c r="BK383" s="15" t="s">
        <v>1303</v>
      </c>
      <c r="BL383" s="15" t="str">
        <f t="shared" si="1108"/>
        <v>1</v>
      </c>
      <c r="BM383" s="15" t="s">
        <v>416</v>
      </c>
      <c r="BN383" s="15" t="str">
        <f t="shared" ref="BN383:BN384" si="1141">"43"</f>
        <v>43</v>
      </c>
      <c r="BO383" s="15" t="str">
        <f t="shared" ref="BO383:BO384" si="1142">"23.5"</f>
        <v>23.5</v>
      </c>
      <c r="BP383" s="15" t="str">
        <f t="shared" ref="BP383:BP384" si="1143">"38"</f>
        <v>38</v>
      </c>
      <c r="BQ383" s="15" t="str">
        <f t="shared" ref="BQ383:BQ384" si="1144">"130.95"</f>
        <v>130.95</v>
      </c>
      <c r="CG383" s="15" t="str">
        <f t="shared" ref="CG383:CG384" si="1145">"22.21"</f>
        <v>22.21</v>
      </c>
      <c r="CH383" s="15" t="str">
        <f t="shared" ref="CH383:CH384" si="1146">"0.629"</f>
        <v>0.629</v>
      </c>
      <c r="CI383" s="15" t="s">
        <v>417</v>
      </c>
      <c r="CZ383" s="15" t="s">
        <v>418</v>
      </c>
      <c r="DA383" s="15">
        <v>3.0</v>
      </c>
      <c r="DB383" s="15" t="s">
        <v>419</v>
      </c>
      <c r="DD383" s="15">
        <v>0.0</v>
      </c>
      <c r="DF383" s="15" t="s">
        <v>1111</v>
      </c>
      <c r="DG383" s="15" t="s">
        <v>421</v>
      </c>
      <c r="DK383" s="15">
        <v>0.0</v>
      </c>
      <c r="DR383" s="15" t="s">
        <v>1408</v>
      </c>
      <c r="DS383" s="15" t="s">
        <v>4894</v>
      </c>
      <c r="DU383" s="15" t="s">
        <v>500</v>
      </c>
      <c r="EF383" s="15" t="s">
        <v>2805</v>
      </c>
      <c r="EU383" s="15" t="s">
        <v>426</v>
      </c>
      <c r="EV383" s="15">
        <v>0.0</v>
      </c>
      <c r="FQ383" s="15">
        <v>0.0</v>
      </c>
      <c r="FR383" s="15" t="s">
        <v>427</v>
      </c>
      <c r="FX383" s="15" t="s">
        <v>426</v>
      </c>
      <c r="FZ383" s="15" t="s">
        <v>1288</v>
      </c>
      <c r="GB383" s="15" t="s">
        <v>3305</v>
      </c>
      <c r="GD383" s="15" t="s">
        <v>4895</v>
      </c>
      <c r="GF383" s="15" t="s">
        <v>431</v>
      </c>
      <c r="GH383" s="15" t="s">
        <v>420</v>
      </c>
    </row>
    <row r="384" ht="17.25" customHeight="1">
      <c r="A384" s="15" t="s">
        <v>4898</v>
      </c>
      <c r="B384" s="15" t="str">
        <f>"198394142717"</f>
        <v>198394142717</v>
      </c>
      <c r="C384" s="15" t="s">
        <v>15723</v>
      </c>
      <c r="D384" s="15" t="str">
        <f t="shared" si="1"/>
        <v>Freddie ChestCaramel Mango</v>
      </c>
      <c r="E384" s="15" t="s">
        <v>4885</v>
      </c>
      <c r="F384" s="15" t="s">
        <v>397</v>
      </c>
      <c r="G384" s="15" t="s">
        <v>4897</v>
      </c>
      <c r="J384" s="15" t="s">
        <v>4897</v>
      </c>
      <c r="K384" s="15" t="s">
        <v>1898</v>
      </c>
      <c r="M384" s="15" t="s">
        <v>3494</v>
      </c>
      <c r="N384" s="15" t="s">
        <v>412</v>
      </c>
      <c r="P384" s="15" t="str">
        <f t="shared" si="1137"/>
        <v>40</v>
      </c>
      <c r="Q384" s="15" t="str">
        <f t="shared" si="1138"/>
        <v>20</v>
      </c>
      <c r="R384" s="15" t="str">
        <f t="shared" si="1139"/>
        <v>34</v>
      </c>
      <c r="S384" s="15" t="str">
        <f t="shared" si="1140"/>
        <v>108.03</v>
      </c>
      <c r="T384" s="15" t="s">
        <v>4891</v>
      </c>
      <c r="U384" s="15" t="s">
        <v>13228</v>
      </c>
      <c r="V384" s="15" t="s">
        <v>11139</v>
      </c>
      <c r="AA384" s="15" t="s">
        <v>413</v>
      </c>
      <c r="AB384" s="15" t="s">
        <v>413</v>
      </c>
      <c r="AC384" s="15" t="s">
        <v>4892</v>
      </c>
      <c r="AD384" s="15" t="s">
        <v>15724</v>
      </c>
      <c r="AE384" s="15" t="s">
        <v>4899</v>
      </c>
      <c r="AF384" s="15" t="s">
        <v>15725</v>
      </c>
      <c r="AG384" s="15" t="s">
        <v>15726</v>
      </c>
      <c r="AH384" s="15" t="s">
        <v>15727</v>
      </c>
      <c r="AI384" s="15" t="s">
        <v>15728</v>
      </c>
      <c r="AJ384" s="15" t="s">
        <v>15729</v>
      </c>
      <c r="AK384" s="15" t="s">
        <v>15730</v>
      </c>
      <c r="AL384" s="15" t="s">
        <v>15731</v>
      </c>
      <c r="AM384" s="15" t="s">
        <v>15732</v>
      </c>
      <c r="AN384" s="15" t="s">
        <v>15733</v>
      </c>
      <c r="BH384" s="15" t="s">
        <v>4896</v>
      </c>
      <c r="BI384" s="15" t="str">
        <f>"1199"</f>
        <v>1199</v>
      </c>
      <c r="BJ384" s="15" t="str">
        <f>"505"</f>
        <v>505</v>
      </c>
      <c r="BK384" s="15" t="s">
        <v>1303</v>
      </c>
      <c r="BL384" s="15" t="str">
        <f t="shared" si="1108"/>
        <v>1</v>
      </c>
      <c r="BM384" s="15" t="s">
        <v>416</v>
      </c>
      <c r="BN384" s="15" t="str">
        <f t="shared" si="1141"/>
        <v>43</v>
      </c>
      <c r="BO384" s="15" t="str">
        <f t="shared" si="1142"/>
        <v>23.5</v>
      </c>
      <c r="BP384" s="15" t="str">
        <f t="shared" si="1143"/>
        <v>38</v>
      </c>
      <c r="BQ384" s="15" t="str">
        <f t="shared" si="1144"/>
        <v>130.95</v>
      </c>
      <c r="CG384" s="15" t="str">
        <f t="shared" si="1145"/>
        <v>22.21</v>
      </c>
      <c r="CH384" s="15" t="str">
        <f t="shared" si="1146"/>
        <v>0.629</v>
      </c>
      <c r="CI384" s="15" t="s">
        <v>497</v>
      </c>
      <c r="CZ384" s="15" t="s">
        <v>418</v>
      </c>
      <c r="DA384" s="15">
        <v>3.0</v>
      </c>
      <c r="DB384" s="15" t="s">
        <v>419</v>
      </c>
      <c r="DD384" s="15">
        <v>0.0</v>
      </c>
      <c r="DF384" s="15" t="s">
        <v>1111</v>
      </c>
      <c r="DG384" s="15" t="s">
        <v>421</v>
      </c>
      <c r="DK384" s="15">
        <v>0.0</v>
      </c>
      <c r="DR384" s="15" t="s">
        <v>1408</v>
      </c>
      <c r="DS384" s="15" t="s">
        <v>4894</v>
      </c>
      <c r="DU384" s="15" t="s">
        <v>500</v>
      </c>
      <c r="EF384" s="15" t="s">
        <v>2805</v>
      </c>
      <c r="EU384" s="15" t="s">
        <v>426</v>
      </c>
      <c r="EV384" s="15">
        <v>0.0</v>
      </c>
      <c r="FQ384" s="15">
        <v>0.0</v>
      </c>
      <c r="FR384" s="15" t="s">
        <v>427</v>
      </c>
      <c r="FX384" s="15" t="s">
        <v>426</v>
      </c>
      <c r="FZ384" s="15" t="s">
        <v>1288</v>
      </c>
      <c r="GB384" s="15" t="s">
        <v>3305</v>
      </c>
      <c r="GD384" s="15" t="s">
        <v>4895</v>
      </c>
      <c r="GF384" s="15" t="s">
        <v>431</v>
      </c>
      <c r="GH384" s="15" t="s">
        <v>420</v>
      </c>
    </row>
    <row r="385" ht="17.25" customHeight="1">
      <c r="A385" s="15" t="s">
        <v>4902</v>
      </c>
      <c r="B385" s="15" t="str">
        <f>"801542318482"</f>
        <v>801542318482</v>
      </c>
      <c r="C385" s="15" t="s">
        <v>15734</v>
      </c>
      <c r="D385" s="15" t="str">
        <f t="shared" si="1"/>
        <v>Freddie NightstandBrown</v>
      </c>
      <c r="E385" s="15" t="s">
        <v>4900</v>
      </c>
      <c r="F385" s="15" t="s">
        <v>397</v>
      </c>
      <c r="G385" s="15" t="s">
        <v>4887</v>
      </c>
      <c r="J385" s="15" t="s">
        <v>4887</v>
      </c>
      <c r="K385" s="15" t="s">
        <v>1898</v>
      </c>
      <c r="M385" s="15" t="s">
        <v>3494</v>
      </c>
      <c r="N385" s="15" t="s">
        <v>628</v>
      </c>
      <c r="P385" s="15" t="str">
        <f t="shared" ref="P385:P386" si="1147">"32"</f>
        <v>32</v>
      </c>
      <c r="Q385" s="15" t="str">
        <f t="shared" ref="Q385:Q386" si="1148">"22"</f>
        <v>22</v>
      </c>
      <c r="R385" s="15" t="str">
        <f t="shared" ref="R385:R386" si="1149">"26"</f>
        <v>26</v>
      </c>
      <c r="S385" s="15" t="str">
        <f t="shared" ref="S385:S386" si="1150">"77.16"</f>
        <v>77.16</v>
      </c>
      <c r="T385" s="15" t="s">
        <v>4891</v>
      </c>
      <c r="U385" s="15" t="s">
        <v>13228</v>
      </c>
      <c r="V385" s="15" t="s">
        <v>11139</v>
      </c>
      <c r="AA385" s="15" t="s">
        <v>413</v>
      </c>
      <c r="AB385" s="15" t="s">
        <v>413</v>
      </c>
      <c r="AC385" s="15" t="s">
        <v>4904</v>
      </c>
      <c r="AD385" s="15" t="s">
        <v>15735</v>
      </c>
      <c r="AE385" s="15" t="s">
        <v>4903</v>
      </c>
      <c r="AF385" s="15" t="s">
        <v>15736</v>
      </c>
      <c r="AG385" s="15" t="s">
        <v>15737</v>
      </c>
      <c r="AH385" s="15" t="s">
        <v>15738</v>
      </c>
      <c r="AI385" s="15" t="s">
        <v>15739</v>
      </c>
      <c r="AJ385" s="15" t="s">
        <v>15740</v>
      </c>
      <c r="AK385" s="15" t="s">
        <v>15741</v>
      </c>
      <c r="AL385" s="15" t="s">
        <v>15742</v>
      </c>
      <c r="AM385" s="15" t="s">
        <v>15743</v>
      </c>
      <c r="AN385" s="15" t="s">
        <v>15744</v>
      </c>
      <c r="AO385" s="15" t="s">
        <v>15745</v>
      </c>
      <c r="AP385" s="15" t="s">
        <v>15746</v>
      </c>
      <c r="AQ385" s="15" t="s">
        <v>15747</v>
      </c>
      <c r="AR385" s="15" t="s">
        <v>15748</v>
      </c>
      <c r="BH385" s="15" t="s">
        <v>4901</v>
      </c>
      <c r="BI385" s="15" t="str">
        <f>"799"</f>
        <v>799</v>
      </c>
      <c r="BJ385" s="15" t="str">
        <f>"340"</f>
        <v>340</v>
      </c>
      <c r="BK385" s="15" t="s">
        <v>1303</v>
      </c>
      <c r="BL385" s="15" t="str">
        <f t="shared" si="1108"/>
        <v>1</v>
      </c>
      <c r="BM385" s="15" t="s">
        <v>416</v>
      </c>
      <c r="BN385" s="15" t="str">
        <f t="shared" ref="BN385:BN386" si="1151">"35.5"</f>
        <v>35.5</v>
      </c>
      <c r="BO385" s="15" t="str">
        <f t="shared" ref="BO385:BO386" si="1152">"25"</f>
        <v>25</v>
      </c>
      <c r="BP385" s="15" t="str">
        <f t="shared" ref="BP385:BP386" si="1153">"30"</f>
        <v>30</v>
      </c>
      <c r="BQ385" s="15" t="str">
        <f t="shared" ref="BQ385:BQ386" si="1154">"106.15"</f>
        <v>106.15</v>
      </c>
      <c r="CG385" s="15" t="str">
        <f t="shared" ref="CG385:CG386" si="1155">"15.4"</f>
        <v>15.4</v>
      </c>
      <c r="CH385" s="15" t="str">
        <f t="shared" ref="CH385:CH386" si="1156">"0.436"</f>
        <v>0.436</v>
      </c>
      <c r="CI385" s="15" t="s">
        <v>465</v>
      </c>
      <c r="CZ385" s="15" t="s">
        <v>418</v>
      </c>
      <c r="DA385" s="15">
        <v>2.0</v>
      </c>
      <c r="DB385" s="15" t="s">
        <v>419</v>
      </c>
      <c r="DD385" s="15">
        <v>0.0</v>
      </c>
      <c r="DF385" s="15" t="s">
        <v>1111</v>
      </c>
      <c r="DG385" s="15" t="s">
        <v>421</v>
      </c>
      <c r="DK385" s="15">
        <v>0.0</v>
      </c>
      <c r="DR385" s="15" t="s">
        <v>471</v>
      </c>
      <c r="DS385" s="15" t="s">
        <v>4894</v>
      </c>
      <c r="DU385" s="15" t="s">
        <v>500</v>
      </c>
      <c r="EF385" s="15" t="s">
        <v>2805</v>
      </c>
      <c r="EU385" s="15" t="s">
        <v>426</v>
      </c>
      <c r="EV385" s="15">
        <v>0.0</v>
      </c>
      <c r="FQ385" s="15">
        <v>0.0</v>
      </c>
      <c r="FR385" s="15" t="s">
        <v>427</v>
      </c>
      <c r="FX385" s="15" t="s">
        <v>426</v>
      </c>
      <c r="FZ385" s="15" t="s">
        <v>504</v>
      </c>
      <c r="GB385" s="15" t="s">
        <v>3305</v>
      </c>
      <c r="GD385" s="15" t="s">
        <v>1234</v>
      </c>
      <c r="GF385" s="15" t="s">
        <v>431</v>
      </c>
      <c r="GH385" s="15" t="s">
        <v>420</v>
      </c>
    </row>
    <row r="386" ht="17.25" customHeight="1">
      <c r="A386" s="15" t="s">
        <v>4907</v>
      </c>
      <c r="B386" s="15" t="str">
        <f>"198394142724"</f>
        <v>198394142724</v>
      </c>
      <c r="C386" s="15" t="s">
        <v>15749</v>
      </c>
      <c r="D386" s="15" t="str">
        <f t="shared" si="1"/>
        <v>Freddie NightstandCaramel Mango</v>
      </c>
      <c r="E386" s="15" t="s">
        <v>4900</v>
      </c>
      <c r="F386" s="15" t="s">
        <v>397</v>
      </c>
      <c r="G386" s="15" t="s">
        <v>4897</v>
      </c>
      <c r="J386" s="15" t="s">
        <v>4897</v>
      </c>
      <c r="K386" s="15" t="s">
        <v>1898</v>
      </c>
      <c r="M386" s="15" t="s">
        <v>3494</v>
      </c>
      <c r="N386" s="15" t="s">
        <v>628</v>
      </c>
      <c r="P386" s="15" t="str">
        <f t="shared" si="1147"/>
        <v>32</v>
      </c>
      <c r="Q386" s="15" t="str">
        <f t="shared" si="1148"/>
        <v>22</v>
      </c>
      <c r="R386" s="15" t="str">
        <f t="shared" si="1149"/>
        <v>26</v>
      </c>
      <c r="S386" s="15" t="str">
        <f t="shared" si="1150"/>
        <v>77.16</v>
      </c>
      <c r="T386" s="15" t="s">
        <v>4891</v>
      </c>
      <c r="U386" s="15" t="s">
        <v>13228</v>
      </c>
      <c r="V386" s="15" t="s">
        <v>11139</v>
      </c>
      <c r="AA386" s="15" t="s">
        <v>413</v>
      </c>
      <c r="AB386" s="15" t="s">
        <v>413</v>
      </c>
      <c r="AC386" s="15" t="s">
        <v>4904</v>
      </c>
      <c r="AD386" s="15" t="s">
        <v>15750</v>
      </c>
      <c r="AE386" s="15" t="s">
        <v>4908</v>
      </c>
      <c r="AF386" s="15" t="s">
        <v>15751</v>
      </c>
      <c r="AG386" s="15" t="s">
        <v>15752</v>
      </c>
      <c r="AH386" s="15" t="s">
        <v>15753</v>
      </c>
      <c r="AI386" s="15" t="s">
        <v>15754</v>
      </c>
      <c r="AJ386" s="15" t="s">
        <v>15755</v>
      </c>
      <c r="AK386" s="15" t="s">
        <v>15756</v>
      </c>
      <c r="AL386" s="15" t="s">
        <v>15757</v>
      </c>
      <c r="AM386" s="15" t="s">
        <v>15758</v>
      </c>
      <c r="AN386" s="15" t="s">
        <v>15759</v>
      </c>
      <c r="AO386" s="15" t="s">
        <v>15760</v>
      </c>
      <c r="AP386" s="15" t="s">
        <v>15761</v>
      </c>
      <c r="BH386" s="15" t="s">
        <v>4906</v>
      </c>
      <c r="BI386" s="15" t="str">
        <f>"849"</f>
        <v>849</v>
      </c>
      <c r="BJ386" s="15" t="str">
        <f>"360"</f>
        <v>360</v>
      </c>
      <c r="BK386" s="15" t="s">
        <v>1303</v>
      </c>
      <c r="BL386" s="15" t="str">
        <f t="shared" si="1108"/>
        <v>1</v>
      </c>
      <c r="BM386" s="15" t="s">
        <v>416</v>
      </c>
      <c r="BN386" s="15" t="str">
        <f t="shared" si="1151"/>
        <v>35.5</v>
      </c>
      <c r="BO386" s="15" t="str">
        <f t="shared" si="1152"/>
        <v>25</v>
      </c>
      <c r="BP386" s="15" t="str">
        <f t="shared" si="1153"/>
        <v>30</v>
      </c>
      <c r="BQ386" s="15" t="str">
        <f t="shared" si="1154"/>
        <v>106.15</v>
      </c>
      <c r="CG386" s="15" t="str">
        <f t="shared" si="1155"/>
        <v>15.4</v>
      </c>
      <c r="CH386" s="15" t="str">
        <f t="shared" si="1156"/>
        <v>0.436</v>
      </c>
      <c r="CI386" s="15" t="s">
        <v>497</v>
      </c>
      <c r="CZ386" s="15" t="s">
        <v>418</v>
      </c>
      <c r="DA386" s="15">
        <v>2.0</v>
      </c>
      <c r="DB386" s="15" t="s">
        <v>419</v>
      </c>
      <c r="DD386" s="15">
        <v>0.0</v>
      </c>
      <c r="DF386" s="15" t="s">
        <v>1111</v>
      </c>
      <c r="DG386" s="15" t="s">
        <v>421</v>
      </c>
      <c r="DK386" s="15">
        <v>0.0</v>
      </c>
      <c r="DR386" s="15" t="s">
        <v>471</v>
      </c>
      <c r="DS386" s="15" t="s">
        <v>4894</v>
      </c>
      <c r="DU386" s="15" t="s">
        <v>500</v>
      </c>
      <c r="EF386" s="15" t="s">
        <v>2805</v>
      </c>
      <c r="EU386" s="15" t="s">
        <v>426</v>
      </c>
      <c r="EV386" s="15">
        <v>0.0</v>
      </c>
      <c r="FQ386" s="15">
        <v>0.0</v>
      </c>
      <c r="FR386" s="15" t="s">
        <v>427</v>
      </c>
      <c r="FX386" s="15" t="s">
        <v>426</v>
      </c>
      <c r="FZ386" s="15" t="s">
        <v>504</v>
      </c>
      <c r="GB386" s="15" t="s">
        <v>3305</v>
      </c>
      <c r="GD386" s="15" t="s">
        <v>1234</v>
      </c>
      <c r="GF386" s="15" t="s">
        <v>431</v>
      </c>
      <c r="GH386" s="15" t="s">
        <v>420</v>
      </c>
    </row>
    <row r="387" ht="17.25" customHeight="1">
      <c r="A387" s="15" t="s">
        <v>4911</v>
      </c>
      <c r="B387" s="15" t="str">
        <f>"801542184698"</f>
        <v>801542184698</v>
      </c>
      <c r="C387" s="15" t="s">
        <v>15762</v>
      </c>
      <c r="D387" s="15" t="str">
        <f t="shared" si="1"/>
        <v>Gaines Media ConsoleAged Light Pine</v>
      </c>
      <c r="E387" s="15" t="s">
        <v>4909</v>
      </c>
      <c r="F387" s="15" t="s">
        <v>397</v>
      </c>
      <c r="G387" s="15" t="s">
        <v>2607</v>
      </c>
      <c r="J387" s="15" t="s">
        <v>2607</v>
      </c>
      <c r="M387" s="15" t="s">
        <v>2612</v>
      </c>
      <c r="N387" s="15" t="s">
        <v>602</v>
      </c>
      <c r="P387" s="15" t="str">
        <f>"92"</f>
        <v>92</v>
      </c>
      <c r="Q387" s="15" t="str">
        <f>"18"</f>
        <v>18</v>
      </c>
      <c r="R387" s="15" t="str">
        <f>"27"</f>
        <v>27</v>
      </c>
      <c r="S387" s="15" t="str">
        <f>"144.4"</f>
        <v>144.4</v>
      </c>
      <c r="T387" s="15" t="s">
        <v>1099</v>
      </c>
      <c r="U387" s="15" t="s">
        <v>11386</v>
      </c>
      <c r="AA387" s="15" t="s">
        <v>413</v>
      </c>
      <c r="AB387" s="15" t="s">
        <v>413</v>
      </c>
      <c r="AC387" s="15" t="s">
        <v>4914</v>
      </c>
      <c r="AD387" s="15" t="s">
        <v>15763</v>
      </c>
      <c r="AE387" s="15" t="s">
        <v>4913</v>
      </c>
      <c r="AF387" s="15" t="s">
        <v>15764</v>
      </c>
      <c r="AG387" s="15" t="s">
        <v>15765</v>
      </c>
      <c r="AH387" s="15" t="s">
        <v>15766</v>
      </c>
      <c r="AI387" s="15" t="s">
        <v>15767</v>
      </c>
      <c r="AJ387" s="15" t="s">
        <v>15768</v>
      </c>
      <c r="AK387" s="15" t="s">
        <v>15769</v>
      </c>
      <c r="AL387" s="15" t="s">
        <v>15770</v>
      </c>
      <c r="AM387" s="15" t="s">
        <v>15771</v>
      </c>
      <c r="AN387" s="15" t="s">
        <v>15772</v>
      </c>
      <c r="AO387" s="15" t="s">
        <v>15773</v>
      </c>
      <c r="AP387" s="15" t="s">
        <v>15774</v>
      </c>
      <c r="AQ387" s="15" t="s">
        <v>15775</v>
      </c>
      <c r="AR387" s="15" t="s">
        <v>15776</v>
      </c>
      <c r="AS387" s="15" t="s">
        <v>15777</v>
      </c>
      <c r="AT387" s="15" t="s">
        <v>15778</v>
      </c>
      <c r="AU387" s="15" t="s">
        <v>15779</v>
      </c>
      <c r="BH387" s="15" t="s">
        <v>4910</v>
      </c>
      <c r="BI387" s="15" t="str">
        <f>"2899"</f>
        <v>2899</v>
      </c>
      <c r="BJ387" s="15" t="str">
        <f>"1220"</f>
        <v>1220</v>
      </c>
      <c r="BK387" s="15" t="s">
        <v>709</v>
      </c>
      <c r="BL387" s="15" t="str">
        <f t="shared" si="1108"/>
        <v>1</v>
      </c>
      <c r="BM387" s="15" t="s">
        <v>4915</v>
      </c>
      <c r="BN387" s="15" t="str">
        <f>"95.47"</f>
        <v>95.47</v>
      </c>
      <c r="BO387" s="15" t="str">
        <f>"21.46"</f>
        <v>21.46</v>
      </c>
      <c r="BP387" s="15" t="str">
        <f>"31.89"</f>
        <v>31.89</v>
      </c>
      <c r="BQ387" s="15" t="str">
        <f>"179.02"</f>
        <v>179.02</v>
      </c>
      <c r="CG387" s="15" t="str">
        <f>"37.82"</f>
        <v>37.82</v>
      </c>
      <c r="CH387" s="15" t="str">
        <f>"1.071"</f>
        <v>1.071</v>
      </c>
      <c r="CI387" s="15" t="s">
        <v>497</v>
      </c>
      <c r="CM387" s="15" t="s">
        <v>4918</v>
      </c>
      <c r="CN387" s="15" t="s">
        <v>4919</v>
      </c>
      <c r="CO387" s="15" t="s">
        <v>3332</v>
      </c>
      <c r="CZ387" s="15" t="s">
        <v>4002</v>
      </c>
      <c r="DA387" s="15">
        <v>4.0</v>
      </c>
      <c r="DB387" s="15" t="s">
        <v>2601</v>
      </c>
      <c r="DD387" s="15">
        <v>0.0</v>
      </c>
      <c r="DF387" s="15" t="s">
        <v>721</v>
      </c>
      <c r="DG387" s="15" t="s">
        <v>610</v>
      </c>
      <c r="DI387" s="15">
        <v>18.14</v>
      </c>
      <c r="DJ387" s="15">
        <v>40.0</v>
      </c>
      <c r="DK387" s="15">
        <v>1.0</v>
      </c>
      <c r="DS387" s="15" t="s">
        <v>4920</v>
      </c>
      <c r="EF387" s="15" t="s">
        <v>2505</v>
      </c>
      <c r="EU387" s="15" t="s">
        <v>426</v>
      </c>
      <c r="EV387" s="15">
        <v>1.0</v>
      </c>
      <c r="FH387" s="15" t="s">
        <v>4921</v>
      </c>
      <c r="FI387" s="15" t="s">
        <v>1188</v>
      </c>
      <c r="FJ387" s="15" t="s">
        <v>4922</v>
      </c>
      <c r="FK387" s="15" t="s">
        <v>4918</v>
      </c>
      <c r="FL387" s="15" t="s">
        <v>1188</v>
      </c>
      <c r="FM387" s="15" t="s">
        <v>3332</v>
      </c>
      <c r="FO387" s="15" t="s">
        <v>426</v>
      </c>
      <c r="FP387" s="15" t="s">
        <v>785</v>
      </c>
      <c r="FQ387" s="15">
        <v>2.0</v>
      </c>
      <c r="FR387" s="15" t="s">
        <v>614</v>
      </c>
      <c r="FS387" s="15" t="s">
        <v>615</v>
      </c>
      <c r="FU387" s="15" t="s">
        <v>426</v>
      </c>
      <c r="FW387" s="15" t="s">
        <v>616</v>
      </c>
      <c r="FZ387" s="15" t="s">
        <v>3308</v>
      </c>
      <c r="GB387" s="15" t="s">
        <v>995</v>
      </c>
      <c r="GD387" s="15" t="s">
        <v>650</v>
      </c>
      <c r="GF387" s="15" t="s">
        <v>2604</v>
      </c>
      <c r="GH387" s="15" t="s">
        <v>764</v>
      </c>
      <c r="GI387" s="15" t="s">
        <v>426</v>
      </c>
      <c r="GM387" s="15">
        <v>0.0</v>
      </c>
      <c r="HF387" s="15" t="s">
        <v>759</v>
      </c>
      <c r="HQ387" s="15" t="s">
        <v>426</v>
      </c>
      <c r="KO387" s="15" t="s">
        <v>2604</v>
      </c>
    </row>
    <row r="388" ht="17.25" customHeight="1">
      <c r="A388" s="15" t="s">
        <v>4925</v>
      </c>
      <c r="B388" s="15" t="str">
        <f>"801542061357"</f>
        <v>801542061357</v>
      </c>
      <c r="C388" s="15" t="s">
        <v>15780</v>
      </c>
      <c r="D388" s="15" t="str">
        <f t="shared" si="1"/>
        <v>Galen End TableDark Petrified Wood</v>
      </c>
      <c r="E388" s="15" t="s">
        <v>4923</v>
      </c>
      <c r="F388" s="15" t="s">
        <v>397</v>
      </c>
      <c r="G388" s="15" t="s">
        <v>2206</v>
      </c>
      <c r="J388" s="15" t="s">
        <v>2206</v>
      </c>
      <c r="K388" s="15" t="s">
        <v>2216</v>
      </c>
      <c r="M388" s="15" t="s">
        <v>2215</v>
      </c>
      <c r="N388" s="15" t="s">
        <v>1154</v>
      </c>
      <c r="P388" s="15" t="str">
        <f t="shared" ref="P388:Q388" si="1157">"8.25"</f>
        <v>8.25</v>
      </c>
      <c r="Q388" s="15" t="str">
        <f t="shared" si="1157"/>
        <v>8.25</v>
      </c>
      <c r="R388" s="15" t="str">
        <f t="shared" ref="R388:R389" si="1160">"25"</f>
        <v>25</v>
      </c>
      <c r="S388" s="15" t="str">
        <f t="shared" ref="S388:S389" si="1161">"17.64"</f>
        <v>17.64</v>
      </c>
      <c r="T388" s="15" t="s">
        <v>2210</v>
      </c>
      <c r="U388" s="15" t="s">
        <v>12534</v>
      </c>
      <c r="V388" s="15" t="s">
        <v>12535</v>
      </c>
      <c r="AA388" s="15" t="s">
        <v>413</v>
      </c>
      <c r="AB388" s="15" t="s">
        <v>413</v>
      </c>
      <c r="AD388" s="15" t="s">
        <v>15781</v>
      </c>
      <c r="AE388" s="15" t="s">
        <v>4926</v>
      </c>
      <c r="AF388" s="15" t="s">
        <v>15782</v>
      </c>
      <c r="AG388" s="15" t="s">
        <v>15783</v>
      </c>
      <c r="AH388" s="15" t="s">
        <v>15784</v>
      </c>
      <c r="AI388" s="15" t="s">
        <v>15785</v>
      </c>
      <c r="AJ388" s="15" t="s">
        <v>15786</v>
      </c>
      <c r="AK388" s="15" t="s">
        <v>15787</v>
      </c>
      <c r="AL388" s="15" t="s">
        <v>15788</v>
      </c>
      <c r="AM388" s="15" t="s">
        <v>15789</v>
      </c>
      <c r="BH388" s="15" t="s">
        <v>4924</v>
      </c>
      <c r="BI388" s="15" t="str">
        <f t="shared" ref="BI388:BI389" si="1162">"399"</f>
        <v>399</v>
      </c>
      <c r="BJ388" s="15" t="str">
        <f t="shared" ref="BJ388:BJ389" si="1163">"170"</f>
        <v>170</v>
      </c>
      <c r="BK388" s="15" t="s">
        <v>1181</v>
      </c>
      <c r="BL388" s="15" t="str">
        <f t="shared" si="1108"/>
        <v>1</v>
      </c>
      <c r="BM388" s="15" t="s">
        <v>416</v>
      </c>
      <c r="BN388" s="15" t="str">
        <f t="shared" ref="BN388:BO388" si="1158">"11.81"</f>
        <v>11.81</v>
      </c>
      <c r="BO388" s="15" t="str">
        <f t="shared" si="1158"/>
        <v>11.81</v>
      </c>
      <c r="BP388" s="15" t="str">
        <f t="shared" ref="BP388:BP389" si="1165">"29.92"</f>
        <v>29.92</v>
      </c>
      <c r="BQ388" s="15" t="str">
        <f t="shared" ref="BQ388:BQ389" si="1166">"22.05"</f>
        <v>22.05</v>
      </c>
      <c r="CG388" s="15" t="str">
        <f t="shared" ref="CG388:CG389" si="1167">"2.4"</f>
        <v>2.4</v>
      </c>
      <c r="CH388" s="15" t="str">
        <f t="shared" ref="CH388:CH389" si="1168">"0.068"</f>
        <v>0.068</v>
      </c>
      <c r="CI388" s="15" t="s">
        <v>465</v>
      </c>
      <c r="CZ388" s="15" t="s">
        <v>419</v>
      </c>
      <c r="DA388" s="15">
        <v>0.0</v>
      </c>
      <c r="DB388" s="15" t="s">
        <v>419</v>
      </c>
      <c r="DD388" s="15">
        <v>0.0</v>
      </c>
      <c r="DG388" s="15" t="s">
        <v>419</v>
      </c>
      <c r="DK388" s="15">
        <v>0.0</v>
      </c>
      <c r="DR388" s="15" t="s">
        <v>1157</v>
      </c>
      <c r="DS388" s="15" t="s">
        <v>4927</v>
      </c>
      <c r="DU388" s="15" t="s">
        <v>500</v>
      </c>
      <c r="EF388" s="15" t="s">
        <v>2220</v>
      </c>
      <c r="EQ388" s="15" t="s">
        <v>2221</v>
      </c>
      <c r="ER388" s="15" t="s">
        <v>714</v>
      </c>
      <c r="ES388" s="15" t="s">
        <v>2221</v>
      </c>
      <c r="ET388" s="15" t="s">
        <v>1607</v>
      </c>
      <c r="EV388" s="15">
        <v>0.0</v>
      </c>
      <c r="EW388" s="15">
        <v>0.0</v>
      </c>
      <c r="FF388" s="15" t="s">
        <v>787</v>
      </c>
    </row>
    <row r="389" ht="17.25" customHeight="1">
      <c r="A389" s="15" t="s">
        <v>4930</v>
      </c>
      <c r="B389" s="15" t="str">
        <f>"801542723347"</f>
        <v>801542723347</v>
      </c>
      <c r="C389" s="15" t="s">
        <v>15790</v>
      </c>
      <c r="D389" s="15" t="str">
        <f t="shared" si="1"/>
        <v>Galen End TableLight Petrified Wood</v>
      </c>
      <c r="E389" s="15" t="s">
        <v>4923</v>
      </c>
      <c r="F389" s="15" t="s">
        <v>397</v>
      </c>
      <c r="G389" s="15" t="s">
        <v>4929</v>
      </c>
      <c r="J389" s="15" t="s">
        <v>4929</v>
      </c>
      <c r="K389" s="15" t="s">
        <v>2216</v>
      </c>
      <c r="M389" s="15" t="s">
        <v>2215</v>
      </c>
      <c r="N389" s="15" t="s">
        <v>1154</v>
      </c>
      <c r="P389" s="15" t="str">
        <f t="shared" ref="P389:Q389" si="1159">"8.25"</f>
        <v>8.25</v>
      </c>
      <c r="Q389" s="15" t="str">
        <f t="shared" si="1159"/>
        <v>8.25</v>
      </c>
      <c r="R389" s="15" t="str">
        <f t="shared" si="1160"/>
        <v>25</v>
      </c>
      <c r="S389" s="15" t="str">
        <f t="shared" si="1161"/>
        <v>17.64</v>
      </c>
      <c r="T389" s="15" t="s">
        <v>2210</v>
      </c>
      <c r="U389" s="15" t="s">
        <v>12534</v>
      </c>
      <c r="V389" s="15" t="s">
        <v>12535</v>
      </c>
      <c r="AA389" s="15" t="s">
        <v>413</v>
      </c>
      <c r="AB389" s="15" t="s">
        <v>413</v>
      </c>
      <c r="AD389" s="15" t="s">
        <v>15791</v>
      </c>
      <c r="AE389" s="15" t="s">
        <v>4931</v>
      </c>
      <c r="AF389" s="15" t="s">
        <v>15792</v>
      </c>
      <c r="AG389" s="15" t="s">
        <v>15793</v>
      </c>
      <c r="AH389" s="15" t="s">
        <v>15794</v>
      </c>
      <c r="AI389" s="15" t="s">
        <v>15795</v>
      </c>
      <c r="AJ389" s="15" t="s">
        <v>15796</v>
      </c>
      <c r="AK389" s="15" t="s">
        <v>15797</v>
      </c>
      <c r="AL389" s="15" t="s">
        <v>15798</v>
      </c>
      <c r="AM389" s="15" t="s">
        <v>15799</v>
      </c>
      <c r="AN389" s="15" t="s">
        <v>15800</v>
      </c>
      <c r="BH389" s="15" t="s">
        <v>4928</v>
      </c>
      <c r="BI389" s="15" t="str">
        <f t="shared" si="1162"/>
        <v>399</v>
      </c>
      <c r="BJ389" s="15" t="str">
        <f t="shared" si="1163"/>
        <v>170</v>
      </c>
      <c r="BK389" s="15" t="s">
        <v>1181</v>
      </c>
      <c r="BL389" s="15" t="str">
        <f t="shared" si="1108"/>
        <v>1</v>
      </c>
      <c r="BM389" s="15" t="s">
        <v>416</v>
      </c>
      <c r="BN389" s="15" t="str">
        <f t="shared" ref="BN389:BO389" si="1164">"11.81"</f>
        <v>11.81</v>
      </c>
      <c r="BO389" s="15" t="str">
        <f t="shared" si="1164"/>
        <v>11.81</v>
      </c>
      <c r="BP389" s="15" t="str">
        <f t="shared" si="1165"/>
        <v>29.92</v>
      </c>
      <c r="BQ389" s="15" t="str">
        <f t="shared" si="1166"/>
        <v>22.05</v>
      </c>
      <c r="CG389" s="15" t="str">
        <f t="shared" si="1167"/>
        <v>2.4</v>
      </c>
      <c r="CH389" s="15" t="str">
        <f t="shared" si="1168"/>
        <v>0.068</v>
      </c>
      <c r="CI389" s="15" t="s">
        <v>465</v>
      </c>
      <c r="CZ389" s="15" t="s">
        <v>419</v>
      </c>
      <c r="DA389" s="15">
        <v>0.0</v>
      </c>
      <c r="DB389" s="15" t="s">
        <v>419</v>
      </c>
      <c r="DD389" s="15">
        <v>0.0</v>
      </c>
      <c r="DG389" s="15" t="s">
        <v>419</v>
      </c>
      <c r="DK389" s="15">
        <v>0.0</v>
      </c>
      <c r="DR389" s="15" t="s">
        <v>1157</v>
      </c>
      <c r="DS389" s="15" t="s">
        <v>4927</v>
      </c>
      <c r="DU389" s="15" t="s">
        <v>500</v>
      </c>
      <c r="EF389" s="15" t="s">
        <v>2220</v>
      </c>
      <c r="EQ389" s="15" t="s">
        <v>2221</v>
      </c>
      <c r="ER389" s="15" t="s">
        <v>714</v>
      </c>
      <c r="ES389" s="15" t="s">
        <v>2221</v>
      </c>
      <c r="ET389" s="15" t="s">
        <v>1607</v>
      </c>
      <c r="EV389" s="15">
        <v>0.0</v>
      </c>
      <c r="EW389" s="15">
        <v>0.0</v>
      </c>
      <c r="FF389" s="15" t="s">
        <v>787</v>
      </c>
    </row>
    <row r="390" ht="17.25" customHeight="1">
      <c r="A390" s="15" t="s">
        <v>4935</v>
      </c>
      <c r="B390" s="15" t="str">
        <f>"801542222055"</f>
        <v>801542222055</v>
      </c>
      <c r="C390" s="15" t="s">
        <v>15801</v>
      </c>
      <c r="D390" s="15" t="str">
        <f t="shared" si="1"/>
        <v>Galini SideboardWeathered Dark Oak</v>
      </c>
      <c r="E390" s="15" t="s">
        <v>4932</v>
      </c>
      <c r="F390" s="15" t="s">
        <v>397</v>
      </c>
      <c r="G390" s="15" t="s">
        <v>4934</v>
      </c>
      <c r="J390" s="15" t="s">
        <v>4934</v>
      </c>
      <c r="K390" s="15" t="s">
        <v>4941</v>
      </c>
      <c r="M390" s="15" t="s">
        <v>1317</v>
      </c>
      <c r="N390" s="15" t="s">
        <v>664</v>
      </c>
      <c r="P390" s="15" t="str">
        <f>"80"</f>
        <v>80</v>
      </c>
      <c r="Q390" s="15" t="str">
        <f>"18"</f>
        <v>18</v>
      </c>
      <c r="R390" s="15" t="str">
        <f>"31.25"</f>
        <v>31.25</v>
      </c>
      <c r="S390" s="15" t="str">
        <f>"255.73"</f>
        <v>255.73</v>
      </c>
      <c r="T390" s="15" t="s">
        <v>4938</v>
      </c>
      <c r="U390" s="15" t="s">
        <v>11338</v>
      </c>
      <c r="V390" s="15" t="s">
        <v>11754</v>
      </c>
      <c r="AA390" s="15" t="s">
        <v>413</v>
      </c>
      <c r="AB390" s="15" t="s">
        <v>413</v>
      </c>
      <c r="AC390" s="15" t="s">
        <v>4942</v>
      </c>
      <c r="AD390" s="15" t="s">
        <v>15802</v>
      </c>
      <c r="AE390" s="15" t="s">
        <v>4937</v>
      </c>
      <c r="AF390" s="15" t="s">
        <v>15803</v>
      </c>
      <c r="AG390" s="15" t="s">
        <v>15804</v>
      </c>
      <c r="AH390" s="15" t="s">
        <v>15805</v>
      </c>
      <c r="AI390" s="15" t="s">
        <v>15806</v>
      </c>
      <c r="AJ390" s="15" t="s">
        <v>15807</v>
      </c>
      <c r="AK390" s="15" t="s">
        <v>15808</v>
      </c>
      <c r="AL390" s="15" t="s">
        <v>15809</v>
      </c>
      <c r="AM390" s="15" t="s">
        <v>15810</v>
      </c>
      <c r="AN390" s="15" t="s">
        <v>15811</v>
      </c>
      <c r="AO390" s="15" t="s">
        <v>15812</v>
      </c>
      <c r="AP390" s="15" t="s">
        <v>15813</v>
      </c>
      <c r="AQ390" s="15" t="s">
        <v>15814</v>
      </c>
      <c r="AR390" s="15" t="s">
        <v>15815</v>
      </c>
      <c r="AS390" s="15" t="s">
        <v>15816</v>
      </c>
      <c r="AT390" s="15" t="s">
        <v>15817</v>
      </c>
      <c r="AU390" s="15" t="s">
        <v>15818</v>
      </c>
      <c r="BH390" s="15" t="s">
        <v>4933</v>
      </c>
      <c r="BI390" s="15" t="str">
        <f>"3299"</f>
        <v>3299</v>
      </c>
      <c r="BJ390" s="15" t="str">
        <f>"1390"</f>
        <v>1390</v>
      </c>
      <c r="BK390" s="15" t="s">
        <v>709</v>
      </c>
      <c r="BL390" s="15" t="str">
        <f t="shared" si="1108"/>
        <v>1</v>
      </c>
      <c r="BM390" s="15" t="s">
        <v>416</v>
      </c>
      <c r="BN390" s="15" t="str">
        <f>"84.65"</f>
        <v>84.65</v>
      </c>
      <c r="BO390" s="15" t="str">
        <f>"21.65"</f>
        <v>21.65</v>
      </c>
      <c r="BP390" s="15" t="str">
        <f>"36.61"</f>
        <v>36.61</v>
      </c>
      <c r="BQ390" s="15" t="str">
        <f>"294.31"</f>
        <v>294.31</v>
      </c>
      <c r="CG390" s="15" t="str">
        <f>"38.85"</f>
        <v>38.85</v>
      </c>
      <c r="CH390" s="15" t="str">
        <f>"1.1"</f>
        <v>1.1</v>
      </c>
      <c r="CI390" s="15" t="s">
        <v>465</v>
      </c>
      <c r="CJ390" s="15" t="s">
        <v>4943</v>
      </c>
      <c r="CK390" s="15" t="s">
        <v>612</v>
      </c>
      <c r="CL390" s="15" t="s">
        <v>4944</v>
      </c>
      <c r="CM390" s="15" t="s">
        <v>4943</v>
      </c>
      <c r="CN390" s="15" t="s">
        <v>1593</v>
      </c>
      <c r="CO390" s="15" t="s">
        <v>4944</v>
      </c>
      <c r="CZ390" s="15" t="s">
        <v>419</v>
      </c>
      <c r="DA390" s="15">
        <v>0.0</v>
      </c>
      <c r="DB390" s="15" t="s">
        <v>419</v>
      </c>
      <c r="DD390" s="15">
        <v>2.0</v>
      </c>
      <c r="DE390" s="15" t="s">
        <v>426</v>
      </c>
      <c r="DF390" s="15" t="s">
        <v>721</v>
      </c>
      <c r="DG390" s="15" t="s">
        <v>1914</v>
      </c>
      <c r="DI390" s="15">
        <v>18.14</v>
      </c>
      <c r="DJ390" s="15">
        <v>40.0</v>
      </c>
      <c r="DK390" s="15">
        <v>0.0</v>
      </c>
      <c r="DS390" s="15" t="s">
        <v>4945</v>
      </c>
      <c r="DU390" s="15" t="s">
        <v>424</v>
      </c>
      <c r="EF390" s="15" t="s">
        <v>2050</v>
      </c>
      <c r="EU390" s="15" t="s">
        <v>426</v>
      </c>
      <c r="EV390" s="15">
        <v>4.0</v>
      </c>
      <c r="FH390" s="15" t="s">
        <v>4946</v>
      </c>
      <c r="FI390" s="15" t="s">
        <v>1042</v>
      </c>
      <c r="FJ390" s="15" t="s">
        <v>4947</v>
      </c>
      <c r="FN390" s="15">
        <v>0.0</v>
      </c>
      <c r="FO390" s="15" t="s">
        <v>426</v>
      </c>
      <c r="FQ390" s="15">
        <v>2.0</v>
      </c>
      <c r="FR390" s="15" t="s">
        <v>4948</v>
      </c>
      <c r="FT390" s="15">
        <v>0.0</v>
      </c>
      <c r="FW390" s="15" t="s">
        <v>616</v>
      </c>
      <c r="GJ390" s="15" t="s">
        <v>4943</v>
      </c>
      <c r="GK390" s="15" t="s">
        <v>1593</v>
      </c>
      <c r="GL390" s="15" t="s">
        <v>4944</v>
      </c>
      <c r="GZ390" s="15" t="s">
        <v>4943</v>
      </c>
      <c r="HA390" s="15" t="s">
        <v>4943</v>
      </c>
      <c r="HB390" s="15" t="s">
        <v>1593</v>
      </c>
      <c r="HC390" s="15" t="s">
        <v>1593</v>
      </c>
      <c r="HD390" s="15" t="s">
        <v>4944</v>
      </c>
      <c r="HE390" s="15" t="s">
        <v>4944</v>
      </c>
      <c r="KO390" s="15" t="s">
        <v>1185</v>
      </c>
    </row>
    <row r="391" ht="17.25" customHeight="1">
      <c r="A391" s="15" t="s">
        <v>4952</v>
      </c>
      <c r="B391" s="15" t="str">
        <f>"198394026901"</f>
        <v>198394026901</v>
      </c>
      <c r="C391" s="15" t="s">
        <v>15819</v>
      </c>
      <c r="D391" s="15" t="str">
        <f t="shared" si="1"/>
        <v>Gardendale SideboardTan Oak Veneer</v>
      </c>
      <c r="E391" s="15" t="s">
        <v>4949</v>
      </c>
      <c r="F391" s="15" t="s">
        <v>397</v>
      </c>
      <c r="G391" s="15" t="s">
        <v>4951</v>
      </c>
      <c r="J391" s="15" t="s">
        <v>4951</v>
      </c>
      <c r="K391" s="15" t="s">
        <v>1898</v>
      </c>
      <c r="M391" s="15" t="s">
        <v>2193</v>
      </c>
      <c r="N391" s="15" t="s">
        <v>664</v>
      </c>
      <c r="P391" s="15" t="str">
        <f>"82"</f>
        <v>82</v>
      </c>
      <c r="Q391" s="15" t="str">
        <f>"21"</f>
        <v>21</v>
      </c>
      <c r="R391" s="15" t="str">
        <f>"33.25"</f>
        <v>33.25</v>
      </c>
      <c r="S391" s="15" t="str">
        <f>"242.51"</f>
        <v>242.51</v>
      </c>
      <c r="T391" s="15" t="s">
        <v>4955</v>
      </c>
      <c r="U391" s="15" t="s">
        <v>11553</v>
      </c>
      <c r="V391" s="15" t="s">
        <v>11338</v>
      </c>
      <c r="W391" s="15" t="s">
        <v>11139</v>
      </c>
      <c r="AA391" s="15" t="s">
        <v>413</v>
      </c>
      <c r="AB391" s="15" t="s">
        <v>413</v>
      </c>
      <c r="AC391" s="15" t="s">
        <v>4956</v>
      </c>
      <c r="AD391" s="15" t="s">
        <v>15820</v>
      </c>
      <c r="AE391" s="15" t="s">
        <v>4954</v>
      </c>
      <c r="AF391" s="15" t="s">
        <v>15821</v>
      </c>
      <c r="AG391" s="15" t="s">
        <v>15822</v>
      </c>
      <c r="AH391" s="15" t="s">
        <v>15823</v>
      </c>
      <c r="AI391" s="15" t="s">
        <v>15824</v>
      </c>
      <c r="AJ391" s="15" t="s">
        <v>15825</v>
      </c>
      <c r="AK391" s="15" t="s">
        <v>15826</v>
      </c>
      <c r="AL391" s="15" t="s">
        <v>15827</v>
      </c>
      <c r="AM391" s="15" t="s">
        <v>15828</v>
      </c>
      <c r="AN391" s="15" t="s">
        <v>15829</v>
      </c>
      <c r="AO391" s="15" t="s">
        <v>15830</v>
      </c>
      <c r="AP391" s="15" t="s">
        <v>15831</v>
      </c>
      <c r="AQ391" s="15" t="s">
        <v>15832</v>
      </c>
      <c r="AR391" s="15" t="s">
        <v>15833</v>
      </c>
      <c r="AS391" s="15" t="s">
        <v>15834</v>
      </c>
      <c r="BH391" s="15" t="s">
        <v>4950</v>
      </c>
      <c r="BI391" s="15" t="str">
        <f>"2599"</f>
        <v>2599</v>
      </c>
      <c r="BJ391" s="15" t="str">
        <f>"1095"</f>
        <v>1095</v>
      </c>
      <c r="BK391" s="15" t="s">
        <v>709</v>
      </c>
      <c r="BL391" s="15" t="str">
        <f t="shared" si="1108"/>
        <v>1</v>
      </c>
      <c r="BM391" s="15" t="s">
        <v>416</v>
      </c>
      <c r="BN391" s="15" t="str">
        <f>"87.01"</f>
        <v>87.01</v>
      </c>
      <c r="BO391" s="15" t="str">
        <f>"26.38"</f>
        <v>26.38</v>
      </c>
      <c r="BP391" s="15" t="str">
        <f>"39.37"</f>
        <v>39.37</v>
      </c>
      <c r="BQ391" s="15" t="str">
        <f>"313.05"</f>
        <v>313.05</v>
      </c>
      <c r="CG391" s="15" t="str">
        <f>"52.3"</f>
        <v>52.3</v>
      </c>
      <c r="CH391" s="15" t="str">
        <f>"1.481"</f>
        <v>1.481</v>
      </c>
      <c r="CI391" s="15" t="s">
        <v>497</v>
      </c>
      <c r="CJ391" s="15" t="s">
        <v>1324</v>
      </c>
      <c r="CK391" s="15" t="s">
        <v>784</v>
      </c>
      <c r="CL391" s="15" t="s">
        <v>2403</v>
      </c>
      <c r="CM391" s="15" t="s">
        <v>1213</v>
      </c>
      <c r="CN391" s="15" t="s">
        <v>3238</v>
      </c>
      <c r="CO391" s="15" t="s">
        <v>1739</v>
      </c>
      <c r="CZ391" s="15" t="s">
        <v>419</v>
      </c>
      <c r="DA391" s="15">
        <v>0.0</v>
      </c>
      <c r="DB391" s="15" t="s">
        <v>419</v>
      </c>
      <c r="DD391" s="15">
        <v>2.0</v>
      </c>
      <c r="DE391" s="15" t="s">
        <v>426</v>
      </c>
      <c r="DF391" s="15" t="s">
        <v>1186</v>
      </c>
      <c r="DG391" s="15" t="s">
        <v>610</v>
      </c>
      <c r="DI391" s="15">
        <v>18.14</v>
      </c>
      <c r="DJ391" s="15">
        <v>40.0</v>
      </c>
      <c r="DK391" s="15">
        <v>2.0</v>
      </c>
      <c r="DS391" s="15" t="s">
        <v>4958</v>
      </c>
      <c r="DU391" s="15" t="s">
        <v>424</v>
      </c>
      <c r="EF391" s="15" t="s">
        <v>940</v>
      </c>
      <c r="EU391" s="15" t="s">
        <v>426</v>
      </c>
      <c r="EV391" s="15">
        <v>4.0</v>
      </c>
      <c r="FH391" s="15" t="s">
        <v>3238</v>
      </c>
      <c r="FI391" s="15" t="s">
        <v>612</v>
      </c>
      <c r="FJ391" s="15" t="s">
        <v>1161</v>
      </c>
      <c r="FK391" s="15" t="s">
        <v>1213</v>
      </c>
      <c r="FL391" s="15" t="s">
        <v>612</v>
      </c>
      <c r="FM391" s="15" t="s">
        <v>1739</v>
      </c>
      <c r="FN391" s="15">
        <v>0.0</v>
      </c>
      <c r="FO391" s="15" t="s">
        <v>426</v>
      </c>
      <c r="FP391" s="15" t="s">
        <v>785</v>
      </c>
      <c r="FQ391" s="15">
        <v>4.0</v>
      </c>
      <c r="FR391" s="15" t="s">
        <v>614</v>
      </c>
      <c r="FS391" s="15" t="s">
        <v>615</v>
      </c>
      <c r="FT391" s="15">
        <v>0.0</v>
      </c>
      <c r="FU391" s="15" t="s">
        <v>426</v>
      </c>
      <c r="FW391" s="15" t="s">
        <v>616</v>
      </c>
      <c r="GJ391" s="15" t="s">
        <v>1213</v>
      </c>
      <c r="GK391" s="15" t="s">
        <v>3238</v>
      </c>
      <c r="GL391" s="15" t="s">
        <v>1739</v>
      </c>
      <c r="GZ391" s="15" t="s">
        <v>1324</v>
      </c>
      <c r="HA391" s="15" t="s">
        <v>1324</v>
      </c>
      <c r="HB391" s="15" t="s">
        <v>2739</v>
      </c>
      <c r="HC391" s="15" t="s">
        <v>2739</v>
      </c>
      <c r="HD391" s="15" t="s">
        <v>4959</v>
      </c>
      <c r="HE391" s="15" t="s">
        <v>4959</v>
      </c>
      <c r="HF391" s="15" t="s">
        <v>1807</v>
      </c>
      <c r="HQ391" s="15" t="s">
        <v>426</v>
      </c>
    </row>
    <row r="392" ht="17.25" customHeight="1">
      <c r="A392" s="15" t="s">
        <v>4962</v>
      </c>
      <c r="B392" s="15" t="str">
        <f>"801542995829"</f>
        <v>801542995829</v>
      </c>
      <c r="C392" s="15" t="s">
        <v>15835</v>
      </c>
      <c r="D392" s="15" t="str">
        <f t="shared" si="1"/>
        <v>Garland Swivel ChairMonte Olive</v>
      </c>
      <c r="E392" s="15" t="s">
        <v>4960</v>
      </c>
      <c r="F392" s="15" t="s">
        <v>397</v>
      </c>
      <c r="G392" s="15" t="s">
        <v>3208</v>
      </c>
      <c r="J392" s="15" t="s">
        <v>3208</v>
      </c>
      <c r="M392" s="15" t="s">
        <v>915</v>
      </c>
      <c r="N392" s="15" t="s">
        <v>706</v>
      </c>
      <c r="O392" s="15" t="s">
        <v>707</v>
      </c>
      <c r="P392" s="15" t="str">
        <f t="shared" ref="P392:P393" si="1169">"45"</f>
        <v>45</v>
      </c>
      <c r="Q392" s="15" t="str">
        <f t="shared" ref="Q392:Q393" si="1170">"40"</f>
        <v>40</v>
      </c>
      <c r="R392" s="15" t="str">
        <f t="shared" ref="R392:R393" si="1171">"31.5"</f>
        <v>31.5</v>
      </c>
      <c r="S392" s="15" t="str">
        <f t="shared" ref="S392:S393" si="1172">"91.49"</f>
        <v>91.49</v>
      </c>
      <c r="T392" s="15" t="s">
        <v>4965</v>
      </c>
      <c r="U392" s="15" t="s">
        <v>13607</v>
      </c>
      <c r="V392" s="15" t="s">
        <v>13608</v>
      </c>
      <c r="AA392" s="15" t="s">
        <v>413</v>
      </c>
      <c r="AB392" s="15" t="s">
        <v>413</v>
      </c>
      <c r="AC392" s="15" t="s">
        <v>4966</v>
      </c>
      <c r="AD392" s="15" t="s">
        <v>15836</v>
      </c>
      <c r="AE392" s="15" t="s">
        <v>4964</v>
      </c>
      <c r="AF392" s="15" t="s">
        <v>15837</v>
      </c>
      <c r="AG392" s="15" t="s">
        <v>15838</v>
      </c>
      <c r="AH392" s="15" t="s">
        <v>15839</v>
      </c>
      <c r="AI392" s="15" t="s">
        <v>15840</v>
      </c>
      <c r="AJ392" s="15" t="s">
        <v>15841</v>
      </c>
      <c r="AK392" s="15" t="s">
        <v>15842</v>
      </c>
      <c r="AL392" s="15" t="s">
        <v>15843</v>
      </c>
      <c r="AM392" s="15" t="s">
        <v>15844</v>
      </c>
      <c r="AN392" s="15" t="s">
        <v>15845</v>
      </c>
      <c r="AO392" s="15" t="s">
        <v>15846</v>
      </c>
      <c r="AP392" s="15" t="s">
        <v>15847</v>
      </c>
      <c r="AQ392" s="15" t="s">
        <v>15848</v>
      </c>
      <c r="BH392" s="15" t="s">
        <v>4961</v>
      </c>
      <c r="BI392" s="15" t="str">
        <f>"1899"</f>
        <v>1899</v>
      </c>
      <c r="BJ392" s="15" t="str">
        <f>"800"</f>
        <v>800</v>
      </c>
      <c r="BK392" s="15" t="s">
        <v>709</v>
      </c>
      <c r="BL392" s="15" t="str">
        <f t="shared" si="1108"/>
        <v>1</v>
      </c>
      <c r="BM392" s="15" t="s">
        <v>1208</v>
      </c>
      <c r="BN392" s="15" t="str">
        <f t="shared" ref="BN392:BN393" si="1173">"45.67"</f>
        <v>45.67</v>
      </c>
      <c r="BO392" s="15" t="str">
        <f t="shared" ref="BO392:BO393" si="1174">"40.94"</f>
        <v>40.94</v>
      </c>
      <c r="BP392" s="15" t="str">
        <f t="shared" ref="BP392:BP393" si="1175">"33.07"</f>
        <v>33.07</v>
      </c>
      <c r="BQ392" s="15" t="str">
        <f t="shared" ref="BQ392:BQ393" si="1176">"108.03"</f>
        <v>108.03</v>
      </c>
      <c r="CG392" s="15" t="str">
        <f t="shared" ref="CG392:CG393" si="1177">"30.69"</f>
        <v>30.69</v>
      </c>
      <c r="CH392" s="15" t="str">
        <f t="shared" ref="CH392:CH393" si="1178">"0.869"</f>
        <v>0.869</v>
      </c>
      <c r="CI392" s="15" t="s">
        <v>465</v>
      </c>
      <c r="CS392" s="15" t="s">
        <v>2384</v>
      </c>
      <c r="CT392" s="15" t="s">
        <v>1161</v>
      </c>
      <c r="CV392" s="15">
        <v>0.0</v>
      </c>
      <c r="CW392" s="15">
        <v>0.0</v>
      </c>
      <c r="CX392" s="15" t="s">
        <v>717</v>
      </c>
      <c r="CY392" s="15" t="s">
        <v>855</v>
      </c>
      <c r="DF392" s="15" t="s">
        <v>721</v>
      </c>
      <c r="DG392" s="15" t="s">
        <v>1605</v>
      </c>
      <c r="DH392" s="15">
        <v>0.0</v>
      </c>
      <c r="DL392" s="15">
        <v>25000.0</v>
      </c>
      <c r="DM392" s="15" t="s">
        <v>990</v>
      </c>
      <c r="DP392" s="15">
        <v>0.0</v>
      </c>
      <c r="DQ392" s="15">
        <v>1.0</v>
      </c>
      <c r="DS392" s="15" t="s">
        <v>4968</v>
      </c>
      <c r="DT392" s="15">
        <v>0.0</v>
      </c>
      <c r="DU392" s="15" t="s">
        <v>726</v>
      </c>
      <c r="DV392" s="15" t="s">
        <v>1237</v>
      </c>
      <c r="DW392" s="15" t="s">
        <v>1236</v>
      </c>
      <c r="DX392" s="15" t="s">
        <v>1253</v>
      </c>
      <c r="EB392" s="15" t="s">
        <v>995</v>
      </c>
      <c r="EF392" s="15" t="s">
        <v>2638</v>
      </c>
      <c r="EI392" s="15" t="s">
        <v>1287</v>
      </c>
      <c r="EO392" s="15" t="s">
        <v>1239</v>
      </c>
      <c r="EX392" s="15" t="s">
        <v>1211</v>
      </c>
      <c r="EY392" s="15" t="s">
        <v>1328</v>
      </c>
      <c r="EZ392" s="15">
        <v>0.0</v>
      </c>
      <c r="FA392" s="15">
        <v>0.0</v>
      </c>
      <c r="FC392" s="15">
        <v>0.0</v>
      </c>
      <c r="HU392" s="15" t="s">
        <v>1610</v>
      </c>
    </row>
    <row r="393" ht="17.25" customHeight="1">
      <c r="A393" s="15" t="s">
        <v>4971</v>
      </c>
      <c r="B393" s="15" t="str">
        <f>"801542995836"</f>
        <v>801542995836</v>
      </c>
      <c r="C393" s="15" t="s">
        <v>15849</v>
      </c>
      <c r="D393" s="15" t="str">
        <f t="shared" si="1"/>
        <v>Garland Swivel ChairSaxon Sand</v>
      </c>
      <c r="E393" s="15" t="s">
        <v>4960</v>
      </c>
      <c r="F393" s="15" t="s">
        <v>397</v>
      </c>
      <c r="G393" s="15" t="s">
        <v>4970</v>
      </c>
      <c r="J393" s="15" t="s">
        <v>4970</v>
      </c>
      <c r="M393" s="15" t="s">
        <v>915</v>
      </c>
      <c r="N393" s="15" t="s">
        <v>706</v>
      </c>
      <c r="O393" s="15" t="s">
        <v>707</v>
      </c>
      <c r="P393" s="15" t="str">
        <f t="shared" si="1169"/>
        <v>45</v>
      </c>
      <c r="Q393" s="15" t="str">
        <f t="shared" si="1170"/>
        <v>40</v>
      </c>
      <c r="R393" s="15" t="str">
        <f t="shared" si="1171"/>
        <v>31.5</v>
      </c>
      <c r="S393" s="15" t="str">
        <f t="shared" si="1172"/>
        <v>91.49</v>
      </c>
      <c r="T393" s="15" t="s">
        <v>4973</v>
      </c>
      <c r="U393" s="15" t="s">
        <v>15850</v>
      </c>
      <c r="V393" s="15" t="s">
        <v>15851</v>
      </c>
      <c r="W393" s="15" t="s">
        <v>11525</v>
      </c>
      <c r="AA393" s="15" t="s">
        <v>413</v>
      </c>
      <c r="AB393" s="15" t="s">
        <v>413</v>
      </c>
      <c r="AC393" s="15" t="s">
        <v>4974</v>
      </c>
      <c r="AD393" s="15" t="s">
        <v>15852</v>
      </c>
      <c r="AE393" s="15" t="s">
        <v>4972</v>
      </c>
      <c r="AF393" s="15" t="s">
        <v>15853</v>
      </c>
      <c r="AG393" s="15" t="s">
        <v>15854</v>
      </c>
      <c r="AH393" s="15" t="s">
        <v>15855</v>
      </c>
      <c r="AI393" s="15" t="s">
        <v>15856</v>
      </c>
      <c r="AJ393" s="15" t="s">
        <v>15857</v>
      </c>
      <c r="AK393" s="15" t="s">
        <v>15858</v>
      </c>
      <c r="AL393" s="15" t="s">
        <v>15859</v>
      </c>
      <c r="AM393" s="15" t="s">
        <v>15860</v>
      </c>
      <c r="AN393" s="15" t="s">
        <v>15861</v>
      </c>
      <c r="AO393" s="15" t="s">
        <v>15862</v>
      </c>
      <c r="AP393" s="15" t="s">
        <v>11179</v>
      </c>
      <c r="BH393" s="15" t="s">
        <v>4969</v>
      </c>
      <c r="BI393" s="15" t="str">
        <f>"1599"</f>
        <v>1599</v>
      </c>
      <c r="BJ393" s="15" t="str">
        <f>"675"</f>
        <v>675</v>
      </c>
      <c r="BK393" s="15" t="s">
        <v>709</v>
      </c>
      <c r="BL393" s="15" t="str">
        <f t="shared" si="1108"/>
        <v>1</v>
      </c>
      <c r="BM393" s="15" t="s">
        <v>1208</v>
      </c>
      <c r="BN393" s="15" t="str">
        <f t="shared" si="1173"/>
        <v>45.67</v>
      </c>
      <c r="BO393" s="15" t="str">
        <f t="shared" si="1174"/>
        <v>40.94</v>
      </c>
      <c r="BP393" s="15" t="str">
        <f t="shared" si="1175"/>
        <v>33.07</v>
      </c>
      <c r="BQ393" s="15" t="str">
        <f t="shared" si="1176"/>
        <v>108.03</v>
      </c>
      <c r="CG393" s="15" t="str">
        <f t="shared" si="1177"/>
        <v>30.69</v>
      </c>
      <c r="CH393" s="15" t="str">
        <f t="shared" si="1178"/>
        <v>0.869</v>
      </c>
      <c r="CI393" s="15" t="s">
        <v>465</v>
      </c>
      <c r="CS393" s="15" t="s">
        <v>2384</v>
      </c>
      <c r="CT393" s="15" t="s">
        <v>1161</v>
      </c>
      <c r="CV393" s="15">
        <v>0.0</v>
      </c>
      <c r="CW393" s="15">
        <v>0.0</v>
      </c>
      <c r="CX393" s="15" t="s">
        <v>717</v>
      </c>
      <c r="CY393" s="15" t="s">
        <v>855</v>
      </c>
      <c r="DF393" s="15" t="s">
        <v>721</v>
      </c>
      <c r="DG393" s="15" t="s">
        <v>1605</v>
      </c>
      <c r="DH393" s="15">
        <v>0.0</v>
      </c>
      <c r="DL393" s="15">
        <v>25000.0</v>
      </c>
      <c r="DM393" s="15" t="s">
        <v>990</v>
      </c>
      <c r="DP393" s="15">
        <v>0.0</v>
      </c>
      <c r="DQ393" s="15">
        <v>1.0</v>
      </c>
      <c r="DS393" s="15" t="s">
        <v>4968</v>
      </c>
      <c r="DT393" s="15">
        <v>0.0</v>
      </c>
      <c r="DU393" s="15" t="s">
        <v>726</v>
      </c>
      <c r="DV393" s="15" t="s">
        <v>1237</v>
      </c>
      <c r="DW393" s="15" t="s">
        <v>1236</v>
      </c>
      <c r="DX393" s="15" t="s">
        <v>1253</v>
      </c>
      <c r="EB393" s="15" t="s">
        <v>995</v>
      </c>
      <c r="EF393" s="15" t="s">
        <v>2638</v>
      </c>
      <c r="EI393" s="15" t="s">
        <v>1287</v>
      </c>
      <c r="EO393" s="15" t="s">
        <v>1239</v>
      </c>
      <c r="EX393" s="15" t="s">
        <v>1211</v>
      </c>
      <c r="EY393" s="15" t="s">
        <v>1328</v>
      </c>
      <c r="EZ393" s="15">
        <v>0.0</v>
      </c>
      <c r="FA393" s="15">
        <v>0.0</v>
      </c>
      <c r="FC393" s="15">
        <v>0.0</v>
      </c>
      <c r="HU393" s="15" t="s">
        <v>1610</v>
      </c>
    </row>
    <row r="394" ht="17.25" customHeight="1">
      <c r="A394" s="15" t="s">
        <v>4978</v>
      </c>
      <c r="B394" s="15" t="str">
        <f>"801542075484"</f>
        <v>801542075484</v>
      </c>
      <c r="C394" s="15" t="s">
        <v>15863</v>
      </c>
      <c r="D394" s="15" t="str">
        <f t="shared" si="1"/>
        <v>Ginger Console TableNatural Walnut</v>
      </c>
      <c r="E394" s="15" t="s">
        <v>4975</v>
      </c>
      <c r="F394" s="15" t="s">
        <v>397</v>
      </c>
      <c r="G394" s="15" t="s">
        <v>4977</v>
      </c>
      <c r="J394" s="15" t="s">
        <v>4977</v>
      </c>
      <c r="M394" s="15" t="s">
        <v>2759</v>
      </c>
      <c r="N394" s="15" t="s">
        <v>519</v>
      </c>
      <c r="P394" s="15" t="str">
        <f>"78.75"</f>
        <v>78.75</v>
      </c>
      <c r="Q394" s="15" t="str">
        <f>"14"</f>
        <v>14</v>
      </c>
      <c r="R394" s="15" t="str">
        <f>"26.25"</f>
        <v>26.25</v>
      </c>
      <c r="S394" s="15" t="str">
        <f>"68"</f>
        <v>68</v>
      </c>
      <c r="T394" s="15" t="s">
        <v>4980</v>
      </c>
      <c r="U394" s="15" t="s">
        <v>11640</v>
      </c>
      <c r="AA394" s="15" t="s">
        <v>413</v>
      </c>
      <c r="AB394" s="15" t="s">
        <v>413</v>
      </c>
      <c r="AC394" s="15" t="s">
        <v>4981</v>
      </c>
      <c r="AD394" s="15" t="s">
        <v>15864</v>
      </c>
      <c r="AE394" s="15" t="s">
        <v>4979</v>
      </c>
      <c r="AF394" s="15" t="s">
        <v>15865</v>
      </c>
      <c r="AG394" s="15" t="s">
        <v>15866</v>
      </c>
      <c r="AH394" s="15" t="s">
        <v>15867</v>
      </c>
      <c r="AI394" s="15" t="s">
        <v>15868</v>
      </c>
      <c r="AJ394" s="15" t="s">
        <v>15869</v>
      </c>
      <c r="AK394" s="15" t="s">
        <v>15870</v>
      </c>
      <c r="AL394" s="15" t="s">
        <v>15871</v>
      </c>
      <c r="AM394" s="15" t="s">
        <v>15872</v>
      </c>
      <c r="AN394" s="15" t="s">
        <v>15873</v>
      </c>
      <c r="BH394" s="15" t="s">
        <v>4976</v>
      </c>
      <c r="BI394" s="15" t="str">
        <f>"2199"</f>
        <v>2199</v>
      </c>
      <c r="BJ394" s="15" t="str">
        <f>"925"</f>
        <v>925</v>
      </c>
      <c r="BK394" s="15" t="s">
        <v>742</v>
      </c>
      <c r="BL394" s="15" t="str">
        <f t="shared" si="1108"/>
        <v>1</v>
      </c>
      <c r="BM394" s="15" t="s">
        <v>416</v>
      </c>
      <c r="BN394" s="15" t="str">
        <f>"83.07"</f>
        <v>83.07</v>
      </c>
      <c r="BO394" s="15" t="str">
        <f>"18.7"</f>
        <v>18.7</v>
      </c>
      <c r="BP394" s="15" t="str">
        <f>"30.79"</f>
        <v>30.79</v>
      </c>
      <c r="BQ394" s="15" t="str">
        <f>"175.49"</f>
        <v>175.49</v>
      </c>
      <c r="CG394" s="15" t="str">
        <f>"27.69"</f>
        <v>27.69</v>
      </c>
      <c r="CH394" s="15" t="str">
        <f>"0.784"</f>
        <v>0.784</v>
      </c>
      <c r="CI394" s="15" t="s">
        <v>497</v>
      </c>
      <c r="CJ394" s="15" t="s">
        <v>1430</v>
      </c>
      <c r="CK394" s="15" t="s">
        <v>1042</v>
      </c>
      <c r="CL394" s="15" t="s">
        <v>2159</v>
      </c>
      <c r="CM394" s="15" t="s">
        <v>1430</v>
      </c>
      <c r="CN394" s="15" t="s">
        <v>4985</v>
      </c>
      <c r="CO394" s="15" t="s">
        <v>4180</v>
      </c>
      <c r="CZ394" s="15" t="s">
        <v>419</v>
      </c>
      <c r="DA394" s="15">
        <v>0.0</v>
      </c>
      <c r="DB394" s="15" t="s">
        <v>419</v>
      </c>
      <c r="DD394" s="15">
        <v>6.0</v>
      </c>
      <c r="DE394" s="15" t="s">
        <v>426</v>
      </c>
      <c r="DF394" s="15" t="s">
        <v>1388</v>
      </c>
      <c r="DG394" s="15" t="s">
        <v>1914</v>
      </c>
      <c r="DK394" s="15">
        <v>0.0</v>
      </c>
      <c r="DR394" s="15" t="s">
        <v>471</v>
      </c>
      <c r="DS394" s="15" t="s">
        <v>4986</v>
      </c>
      <c r="DU394" s="15" t="s">
        <v>424</v>
      </c>
      <c r="EF394" s="15" t="s">
        <v>1957</v>
      </c>
      <c r="EH394" s="15" t="s">
        <v>3927</v>
      </c>
      <c r="ET394" s="15" t="s">
        <v>1042</v>
      </c>
      <c r="EV394" s="15">
        <v>6.0</v>
      </c>
      <c r="EW394" s="15">
        <v>0.0</v>
      </c>
      <c r="FF394" s="15" t="s">
        <v>4987</v>
      </c>
      <c r="FQ394" s="15">
        <v>0.0</v>
      </c>
      <c r="FR394" s="15" t="s">
        <v>427</v>
      </c>
      <c r="GJ394" s="15" t="s">
        <v>1430</v>
      </c>
      <c r="GK394" s="15" t="s">
        <v>4985</v>
      </c>
      <c r="GL394" s="15" t="s">
        <v>1445</v>
      </c>
      <c r="GZ394" s="15" t="s">
        <v>1430</v>
      </c>
      <c r="HA394" s="15" t="s">
        <v>1430</v>
      </c>
      <c r="HB394" s="15" t="s">
        <v>4985</v>
      </c>
      <c r="HC394" s="15" t="s">
        <v>4985</v>
      </c>
      <c r="HD394" s="15" t="s">
        <v>3129</v>
      </c>
      <c r="HE394" s="15" t="s">
        <v>4988</v>
      </c>
      <c r="JU394" s="15" t="s">
        <v>1430</v>
      </c>
      <c r="JV394" s="15" t="s">
        <v>1042</v>
      </c>
      <c r="JW394" s="15" t="s">
        <v>4180</v>
      </c>
      <c r="KG394" s="15" t="s">
        <v>1430</v>
      </c>
      <c r="KH394" s="15" t="s">
        <v>4985</v>
      </c>
      <c r="KI394" s="15" t="s">
        <v>3927</v>
      </c>
      <c r="KT394" s="15" t="s">
        <v>1430</v>
      </c>
      <c r="KV394" s="15" t="s">
        <v>4985</v>
      </c>
      <c r="KX394" s="15" t="s">
        <v>2159</v>
      </c>
      <c r="MY394" s="15" t="s">
        <v>1430</v>
      </c>
      <c r="MZ394" s="15" t="s">
        <v>1430</v>
      </c>
      <c r="NA394" s="15" t="s">
        <v>1430</v>
      </c>
      <c r="NB394" s="15" t="s">
        <v>1430</v>
      </c>
      <c r="NC394" s="15" t="s">
        <v>1042</v>
      </c>
      <c r="ND394" s="15" t="s">
        <v>1042</v>
      </c>
      <c r="NE394" s="15" t="s">
        <v>1042</v>
      </c>
      <c r="NF394" s="15" t="s">
        <v>1042</v>
      </c>
      <c r="NG394" s="15" t="s">
        <v>1445</v>
      </c>
      <c r="NH394" s="15" t="s">
        <v>3129</v>
      </c>
      <c r="NI394" s="15" t="s">
        <v>4988</v>
      </c>
      <c r="NJ394" s="15" t="s">
        <v>3927</v>
      </c>
    </row>
    <row r="395" ht="17.25" customHeight="1">
      <c r="A395" s="15" t="s">
        <v>4991</v>
      </c>
      <c r="B395" s="15" t="str">
        <f>"801542136994"</f>
        <v>801542136994</v>
      </c>
      <c r="C395" s="15" t="s">
        <v>15874</v>
      </c>
      <c r="D395" s="15" t="str">
        <f t="shared" si="1"/>
        <v>Giorgio Accent BenchRialto Ebony</v>
      </c>
      <c r="E395" s="15" t="s">
        <v>4989</v>
      </c>
      <c r="F395" s="15" t="s">
        <v>397</v>
      </c>
      <c r="G395" s="15" t="s">
        <v>2741</v>
      </c>
      <c r="J395" s="15" t="s">
        <v>2741</v>
      </c>
      <c r="K395" s="15" t="s">
        <v>4996</v>
      </c>
      <c r="L395" s="15" t="s">
        <v>4997</v>
      </c>
      <c r="M395" s="15" t="s">
        <v>1474</v>
      </c>
      <c r="N395" s="15" t="s">
        <v>458</v>
      </c>
      <c r="O395" s="15" t="s">
        <v>459</v>
      </c>
      <c r="P395" s="15" t="str">
        <f>"65.5"</f>
        <v>65.5</v>
      </c>
      <c r="Q395" s="15" t="str">
        <f>"21.25"</f>
        <v>21.25</v>
      </c>
      <c r="R395" s="15" t="str">
        <f>"25.75"</f>
        <v>25.75</v>
      </c>
      <c r="S395" s="15" t="str">
        <f>"61.95"</f>
        <v>61.95</v>
      </c>
      <c r="T395" s="15" t="s">
        <v>808</v>
      </c>
      <c r="U395" s="15" t="s">
        <v>11137</v>
      </c>
      <c r="V395" s="15" t="s">
        <v>11139</v>
      </c>
      <c r="AA395" s="15" t="s">
        <v>413</v>
      </c>
      <c r="AB395" s="15" t="s">
        <v>413</v>
      </c>
      <c r="AC395" s="15" t="s">
        <v>4998</v>
      </c>
      <c r="AD395" s="15" t="s">
        <v>15875</v>
      </c>
      <c r="AE395" s="15" t="s">
        <v>4993</v>
      </c>
      <c r="AF395" s="15" t="s">
        <v>15876</v>
      </c>
      <c r="AG395" s="15" t="s">
        <v>15877</v>
      </c>
      <c r="AH395" s="15" t="s">
        <v>15878</v>
      </c>
      <c r="AI395" s="15" t="s">
        <v>15879</v>
      </c>
      <c r="AJ395" s="15" t="s">
        <v>15880</v>
      </c>
      <c r="AK395" s="15" t="s">
        <v>15881</v>
      </c>
      <c r="AL395" s="15" t="s">
        <v>15882</v>
      </c>
      <c r="AM395" s="15" t="s">
        <v>15883</v>
      </c>
      <c r="AN395" s="15" t="s">
        <v>15884</v>
      </c>
      <c r="AO395" s="15" t="s">
        <v>15885</v>
      </c>
      <c r="AP395" s="15" t="s">
        <v>15886</v>
      </c>
      <c r="BH395" s="15" t="s">
        <v>4990</v>
      </c>
      <c r="BI395" s="15" t="str">
        <f>"2899"</f>
        <v>2899</v>
      </c>
      <c r="BJ395" s="15" t="str">
        <f>"1220"</f>
        <v>1220</v>
      </c>
      <c r="BK395" s="15" t="s">
        <v>709</v>
      </c>
      <c r="BL395" s="15" t="str">
        <f t="shared" si="1108"/>
        <v>1</v>
      </c>
      <c r="BM395" s="15" t="s">
        <v>1477</v>
      </c>
      <c r="BN395" s="15" t="str">
        <f>"21.46"</f>
        <v>21.46</v>
      </c>
      <c r="BO395" s="15" t="str">
        <f>"69.29"</f>
        <v>69.29</v>
      </c>
      <c r="BP395" s="15" t="str">
        <f>"20.47"</f>
        <v>20.47</v>
      </c>
      <c r="BQ395" s="15" t="str">
        <f>"80.47"</f>
        <v>80.47</v>
      </c>
      <c r="CG395" s="15" t="str">
        <f>"14.55"</f>
        <v>14.55</v>
      </c>
      <c r="CH395" s="15" t="str">
        <f>"0.412"</f>
        <v>0.412</v>
      </c>
      <c r="CI395" s="15" t="s">
        <v>465</v>
      </c>
      <c r="CS395" s="15" t="s">
        <v>1324</v>
      </c>
      <c r="CT395" s="15" t="s">
        <v>3775</v>
      </c>
      <c r="CU395" s="15" t="s">
        <v>5000</v>
      </c>
      <c r="CV395" s="15">
        <v>0.0</v>
      </c>
      <c r="CW395" s="15">
        <v>0.0</v>
      </c>
      <c r="CX395" s="15" t="s">
        <v>469</v>
      </c>
      <c r="CY395" s="15" t="s">
        <v>718</v>
      </c>
      <c r="CZ395" s="15" t="s">
        <v>419</v>
      </c>
      <c r="DA395" s="15">
        <v>0.0</v>
      </c>
      <c r="DB395" s="15" t="s">
        <v>419</v>
      </c>
      <c r="DC395" s="15" t="s">
        <v>1239</v>
      </c>
      <c r="DD395" s="15">
        <v>0.0</v>
      </c>
      <c r="DF395" s="15" t="s">
        <v>721</v>
      </c>
      <c r="DG395" s="15" t="s">
        <v>419</v>
      </c>
      <c r="DH395" s="15">
        <v>1.0</v>
      </c>
      <c r="DI395" s="15">
        <v>0.0</v>
      </c>
      <c r="DJ395" s="15">
        <v>0.0</v>
      </c>
      <c r="DK395" s="15">
        <v>0.0</v>
      </c>
      <c r="DL395" s="15">
        <v>0.0</v>
      </c>
      <c r="DM395" s="15" t="s">
        <v>5001</v>
      </c>
      <c r="DN395" s="15" t="s">
        <v>1016</v>
      </c>
      <c r="DO395" s="15" t="s">
        <v>724</v>
      </c>
      <c r="DP395" s="15">
        <v>1.0</v>
      </c>
      <c r="DQ395" s="15">
        <v>2.0</v>
      </c>
      <c r="DR395" s="15" t="s">
        <v>471</v>
      </c>
      <c r="DS395" s="15" t="s">
        <v>5002</v>
      </c>
      <c r="DT395" s="15">
        <v>0.0</v>
      </c>
      <c r="DU395" s="15" t="s">
        <v>1545</v>
      </c>
      <c r="EF395" s="15" t="s">
        <v>4150</v>
      </c>
      <c r="EG395" s="15" t="s">
        <v>5003</v>
      </c>
      <c r="EH395" s="15" t="s">
        <v>5004</v>
      </c>
      <c r="EU395" s="15" t="s">
        <v>426</v>
      </c>
      <c r="IP395" s="15" t="s">
        <v>2841</v>
      </c>
      <c r="IQ395" s="15" t="s">
        <v>2841</v>
      </c>
      <c r="IR395" s="15" t="s">
        <v>5005</v>
      </c>
      <c r="IS395" s="15" t="s">
        <v>2200</v>
      </c>
      <c r="IT395" s="15" t="s">
        <v>426</v>
      </c>
    </row>
    <row r="396" ht="17.25" customHeight="1">
      <c r="A396" s="15" t="s">
        <v>5009</v>
      </c>
      <c r="B396" s="15" t="str">
        <f>"198394060011"</f>
        <v>198394060011</v>
      </c>
      <c r="C396" s="15" t="s">
        <v>15887</v>
      </c>
      <c r="D396" s="15" t="str">
        <f t="shared" si="1"/>
        <v>Glenview 6 Door SideboardCracked Smoked Black Veneer</v>
      </c>
      <c r="E396" s="15" t="s">
        <v>5006</v>
      </c>
      <c r="F396" s="15" t="s">
        <v>397</v>
      </c>
      <c r="G396" s="15" t="s">
        <v>5008</v>
      </c>
      <c r="J396" s="15" t="s">
        <v>5008</v>
      </c>
      <c r="K396" s="15" t="s">
        <v>5012</v>
      </c>
      <c r="M396" s="15" t="s">
        <v>2063</v>
      </c>
      <c r="N396" s="15" t="s">
        <v>664</v>
      </c>
      <c r="P396" s="15" t="str">
        <f>"94"</f>
        <v>94</v>
      </c>
      <c r="Q396" s="15" t="str">
        <f t="shared" ref="Q396:Q398" si="1179">"20"</f>
        <v>20</v>
      </c>
      <c r="R396" s="15" t="str">
        <f>"30"</f>
        <v>30</v>
      </c>
      <c r="S396" s="15" t="str">
        <f>"222.66"</f>
        <v>222.66</v>
      </c>
      <c r="T396" s="15" t="s">
        <v>1025</v>
      </c>
      <c r="U396" s="15" t="s">
        <v>10881</v>
      </c>
      <c r="V396" s="15" t="s">
        <v>11338</v>
      </c>
      <c r="AA396" s="15" t="s">
        <v>413</v>
      </c>
      <c r="AB396" s="15" t="s">
        <v>413</v>
      </c>
      <c r="AC396" s="15" t="s">
        <v>5013</v>
      </c>
      <c r="AD396" s="15" t="s">
        <v>15888</v>
      </c>
      <c r="AE396" s="15" t="s">
        <v>5011</v>
      </c>
      <c r="AF396" s="15" t="s">
        <v>15889</v>
      </c>
      <c r="AG396" s="15" t="s">
        <v>15890</v>
      </c>
      <c r="AH396" s="15" t="s">
        <v>15891</v>
      </c>
      <c r="AI396" s="15" t="s">
        <v>15892</v>
      </c>
      <c r="AJ396" s="15" t="s">
        <v>15893</v>
      </c>
      <c r="AK396" s="15" t="s">
        <v>15894</v>
      </c>
      <c r="AL396" s="15" t="s">
        <v>15895</v>
      </c>
      <c r="AM396" s="15" t="s">
        <v>15896</v>
      </c>
      <c r="AN396" s="15" t="s">
        <v>15897</v>
      </c>
      <c r="AO396" s="15" t="s">
        <v>15898</v>
      </c>
      <c r="AP396" s="15" t="s">
        <v>15899</v>
      </c>
      <c r="AQ396" s="15" t="s">
        <v>15900</v>
      </c>
      <c r="BH396" s="15" t="s">
        <v>5007</v>
      </c>
      <c r="BI396" s="15" t="str">
        <f>"2599"</f>
        <v>2599</v>
      </c>
      <c r="BJ396" s="15" t="str">
        <f>"1095"</f>
        <v>1095</v>
      </c>
      <c r="BK396" s="15" t="s">
        <v>742</v>
      </c>
      <c r="BL396" s="15" t="str">
        <f t="shared" si="1108"/>
        <v>1</v>
      </c>
      <c r="BM396" s="15" t="s">
        <v>5014</v>
      </c>
      <c r="BN396" s="15" t="str">
        <f>"97.56"</f>
        <v>97.56</v>
      </c>
      <c r="BO396" s="15" t="str">
        <f t="shared" ref="BO396:BO398" si="1180">"23.54"</f>
        <v>23.54</v>
      </c>
      <c r="BP396" s="15" t="str">
        <f>"36.3"</f>
        <v>36.3</v>
      </c>
      <c r="BQ396" s="15" t="str">
        <f>"273.37"</f>
        <v>273.37</v>
      </c>
      <c r="CG396" s="15" t="str">
        <f>"48.24"</f>
        <v>48.24</v>
      </c>
      <c r="CH396" s="15" t="str">
        <f>"1.366"</f>
        <v>1.366</v>
      </c>
      <c r="CI396" s="15" t="s">
        <v>497</v>
      </c>
      <c r="CM396" s="15" t="s">
        <v>2178</v>
      </c>
      <c r="CN396" s="15" t="s">
        <v>5017</v>
      </c>
      <c r="CO396" s="15" t="s">
        <v>5018</v>
      </c>
      <c r="CZ396" s="15" t="s">
        <v>419</v>
      </c>
      <c r="DA396" s="15">
        <v>0.0</v>
      </c>
      <c r="DB396" s="15" t="s">
        <v>419</v>
      </c>
      <c r="DD396" s="15">
        <v>0.0</v>
      </c>
      <c r="DF396" s="15" t="s">
        <v>1186</v>
      </c>
      <c r="DG396" s="15" t="s">
        <v>610</v>
      </c>
      <c r="DI396" s="15">
        <v>18.14</v>
      </c>
      <c r="DJ396" s="15">
        <v>40.0</v>
      </c>
      <c r="DK396" s="15">
        <v>3.0</v>
      </c>
      <c r="DS396" s="15" t="s">
        <v>5019</v>
      </c>
      <c r="DU396" s="15" t="s">
        <v>424</v>
      </c>
      <c r="EF396" s="15" t="s">
        <v>5020</v>
      </c>
      <c r="EU396" s="15" t="s">
        <v>426</v>
      </c>
      <c r="EV396" s="15">
        <v>3.0</v>
      </c>
      <c r="FH396" s="15" t="s">
        <v>5021</v>
      </c>
      <c r="FI396" s="15" t="s">
        <v>612</v>
      </c>
      <c r="FJ396" s="15" t="s">
        <v>5022</v>
      </c>
      <c r="FK396" s="15" t="s">
        <v>2178</v>
      </c>
      <c r="FL396" s="15" t="s">
        <v>782</v>
      </c>
      <c r="FM396" s="15" t="s">
        <v>5018</v>
      </c>
      <c r="FN396" s="15">
        <v>0.0</v>
      </c>
      <c r="FQ396" s="15">
        <v>6.0</v>
      </c>
      <c r="FR396" s="15" t="s">
        <v>614</v>
      </c>
      <c r="FS396" s="15" t="s">
        <v>615</v>
      </c>
      <c r="FT396" s="15">
        <v>0.0</v>
      </c>
      <c r="FU396" s="15" t="s">
        <v>426</v>
      </c>
      <c r="FW396" s="15" t="s">
        <v>616</v>
      </c>
      <c r="GJ396" s="15" t="s">
        <v>2178</v>
      </c>
      <c r="GK396" s="15" t="s">
        <v>5017</v>
      </c>
      <c r="GL396" s="15" t="s">
        <v>5023</v>
      </c>
      <c r="GZ396" s="15" t="s">
        <v>2178</v>
      </c>
      <c r="HB396" s="15" t="s">
        <v>5017</v>
      </c>
      <c r="HD396" s="15" t="s">
        <v>5018</v>
      </c>
      <c r="HF396" s="15" t="s">
        <v>1957</v>
      </c>
      <c r="HM396" s="15" t="s">
        <v>2178</v>
      </c>
      <c r="HN396" s="15" t="s">
        <v>782</v>
      </c>
      <c r="HO396" s="15" t="s">
        <v>5023</v>
      </c>
      <c r="HQ396" s="15" t="s">
        <v>426</v>
      </c>
    </row>
    <row r="397" ht="17.25" customHeight="1">
      <c r="A397" s="15" t="s">
        <v>5026</v>
      </c>
      <c r="B397" s="15" t="str">
        <f>"198394059428"</f>
        <v>198394059428</v>
      </c>
      <c r="C397" s="15" t="s">
        <v>15901</v>
      </c>
      <c r="D397" s="15" t="str">
        <f t="shared" si="1"/>
        <v>Glenview 9 Drawer DresserCracked Smoked Black Veneer</v>
      </c>
      <c r="E397" s="15" t="s">
        <v>5024</v>
      </c>
      <c r="F397" s="15" t="s">
        <v>397</v>
      </c>
      <c r="G397" s="15" t="s">
        <v>5008</v>
      </c>
      <c r="J397" s="15" t="s">
        <v>5008</v>
      </c>
      <c r="K397" s="15" t="s">
        <v>5012</v>
      </c>
      <c r="M397" s="15" t="s">
        <v>2063</v>
      </c>
      <c r="N397" s="15" t="s">
        <v>412</v>
      </c>
      <c r="P397" s="15" t="str">
        <f t="shared" ref="P397:P398" si="1181">"85"</f>
        <v>85</v>
      </c>
      <c r="Q397" s="15" t="str">
        <f t="shared" si="1179"/>
        <v>20</v>
      </c>
      <c r="R397" s="15" t="str">
        <f t="shared" ref="R397:R398" si="1182">"31"</f>
        <v>31</v>
      </c>
      <c r="S397" s="15" t="str">
        <f t="shared" ref="S397:S398" si="1183">"295.42"</f>
        <v>295.42</v>
      </c>
      <c r="T397" s="15" t="s">
        <v>1025</v>
      </c>
      <c r="U397" s="15" t="s">
        <v>10881</v>
      </c>
      <c r="V397" s="15" t="s">
        <v>11338</v>
      </c>
      <c r="AA397" s="15" t="s">
        <v>413</v>
      </c>
      <c r="AB397" s="15" t="s">
        <v>413</v>
      </c>
      <c r="AC397" s="15" t="s">
        <v>5029</v>
      </c>
      <c r="AD397" s="15" t="s">
        <v>15902</v>
      </c>
      <c r="AE397" s="15" t="s">
        <v>5028</v>
      </c>
      <c r="AF397" s="15" t="s">
        <v>15903</v>
      </c>
      <c r="AG397" s="15" t="s">
        <v>15904</v>
      </c>
      <c r="AH397" s="15" t="s">
        <v>15905</v>
      </c>
      <c r="AI397" s="15" t="s">
        <v>15906</v>
      </c>
      <c r="AJ397" s="15" t="s">
        <v>15907</v>
      </c>
      <c r="AK397" s="15" t="s">
        <v>15908</v>
      </c>
      <c r="AL397" s="15" t="s">
        <v>15909</v>
      </c>
      <c r="AM397" s="15" t="s">
        <v>15910</v>
      </c>
      <c r="AN397" s="15" t="s">
        <v>15911</v>
      </c>
      <c r="AO397" s="15" t="s">
        <v>15912</v>
      </c>
      <c r="AP397" s="15" t="s">
        <v>15913</v>
      </c>
      <c r="AQ397" s="15" t="s">
        <v>15914</v>
      </c>
      <c r="BH397" s="15" t="s">
        <v>5025</v>
      </c>
      <c r="BI397" s="15" t="str">
        <f t="shared" ref="BI397:BI398" si="1184">"2899"</f>
        <v>2899</v>
      </c>
      <c r="BJ397" s="15" t="str">
        <f t="shared" ref="BJ397:BJ398" si="1185">"1220"</f>
        <v>1220</v>
      </c>
      <c r="BK397" s="15" t="s">
        <v>742</v>
      </c>
      <c r="BL397" s="15" t="str">
        <f t="shared" si="1108"/>
        <v>1</v>
      </c>
      <c r="BM397" s="15" t="s">
        <v>416</v>
      </c>
      <c r="BN397" s="15" t="str">
        <f t="shared" ref="BN397:BN398" si="1186">"88.5"</f>
        <v>88.5</v>
      </c>
      <c r="BO397" s="15" t="str">
        <f t="shared" si="1180"/>
        <v>23.54</v>
      </c>
      <c r="BP397" s="15" t="str">
        <f t="shared" ref="BP397:BP398" si="1187">"37.28"</f>
        <v>37.28</v>
      </c>
      <c r="BQ397" s="15" t="str">
        <f t="shared" ref="BQ397:BQ398" si="1188">"325.18"</f>
        <v>325.18</v>
      </c>
      <c r="CG397" s="15" t="str">
        <f t="shared" ref="CG397:CG398" si="1189">"44.96"</f>
        <v>44.96</v>
      </c>
      <c r="CH397" s="15" t="str">
        <f t="shared" ref="CH397:CH398" si="1190">"1.273"</f>
        <v>1.273</v>
      </c>
      <c r="CI397" s="15" t="s">
        <v>497</v>
      </c>
      <c r="CZ397" s="15" t="s">
        <v>1371</v>
      </c>
      <c r="DA397" s="15">
        <v>9.0</v>
      </c>
      <c r="DB397" s="15" t="s">
        <v>419</v>
      </c>
      <c r="DD397" s="15">
        <v>0.0</v>
      </c>
      <c r="DF397" s="15" t="s">
        <v>1186</v>
      </c>
      <c r="DG397" s="15" t="s">
        <v>421</v>
      </c>
      <c r="DK397" s="15">
        <v>0.0</v>
      </c>
      <c r="DR397" s="15" t="s">
        <v>422</v>
      </c>
      <c r="DS397" s="15" t="s">
        <v>5019</v>
      </c>
      <c r="DU397" s="15" t="s">
        <v>424</v>
      </c>
      <c r="EF397" s="15" t="s">
        <v>5032</v>
      </c>
      <c r="EU397" s="15" t="s">
        <v>426</v>
      </c>
      <c r="EV397" s="15">
        <v>0.0</v>
      </c>
      <c r="FQ397" s="15">
        <v>0.0</v>
      </c>
      <c r="FR397" s="15" t="s">
        <v>427</v>
      </c>
      <c r="FZ397" s="15" t="s">
        <v>2766</v>
      </c>
      <c r="GB397" s="15" t="s">
        <v>1132</v>
      </c>
      <c r="GD397" s="15" t="s">
        <v>5033</v>
      </c>
      <c r="GF397" s="15" t="s">
        <v>431</v>
      </c>
    </row>
    <row r="398" ht="17.25" customHeight="1">
      <c r="A398" s="15" t="s">
        <v>5035</v>
      </c>
      <c r="B398" s="15" t="str">
        <f>"801542153175"</f>
        <v>801542153175</v>
      </c>
      <c r="C398" s="15" t="s">
        <v>15915</v>
      </c>
      <c r="D398" s="15" t="str">
        <f t="shared" si="1"/>
        <v>Glenview 9 Drawer DresserWeathered Oak Veneer</v>
      </c>
      <c r="E398" s="15" t="s">
        <v>5024</v>
      </c>
      <c r="F398" s="15" t="s">
        <v>397</v>
      </c>
      <c r="G398" s="15" t="s">
        <v>3217</v>
      </c>
      <c r="J398" s="15" t="s">
        <v>3217</v>
      </c>
      <c r="M398" s="15" t="s">
        <v>2063</v>
      </c>
      <c r="N398" s="15" t="s">
        <v>412</v>
      </c>
      <c r="P398" s="15" t="str">
        <f t="shared" si="1181"/>
        <v>85</v>
      </c>
      <c r="Q398" s="15" t="str">
        <f t="shared" si="1179"/>
        <v>20</v>
      </c>
      <c r="R398" s="15" t="str">
        <f t="shared" si="1182"/>
        <v>31</v>
      </c>
      <c r="S398" s="15" t="str">
        <f t="shared" si="1183"/>
        <v>295.42</v>
      </c>
      <c r="T398" s="15" t="s">
        <v>1025</v>
      </c>
      <c r="U398" s="15" t="s">
        <v>10881</v>
      </c>
      <c r="V398" s="15" t="s">
        <v>11338</v>
      </c>
      <c r="AA398" s="15" t="s">
        <v>413</v>
      </c>
      <c r="AB398" s="15" t="s">
        <v>413</v>
      </c>
      <c r="AC398" s="15" t="s">
        <v>5037</v>
      </c>
      <c r="AD398" s="15" t="s">
        <v>15916</v>
      </c>
      <c r="AE398" s="15" t="s">
        <v>5036</v>
      </c>
      <c r="AF398" s="15" t="s">
        <v>15917</v>
      </c>
      <c r="AG398" s="15" t="s">
        <v>15918</v>
      </c>
      <c r="AH398" s="15" t="s">
        <v>15919</v>
      </c>
      <c r="AI398" s="15" t="s">
        <v>15920</v>
      </c>
      <c r="AJ398" s="15" t="s">
        <v>15921</v>
      </c>
      <c r="AK398" s="15" t="s">
        <v>15922</v>
      </c>
      <c r="AL398" s="15" t="s">
        <v>15923</v>
      </c>
      <c r="AM398" s="15" t="s">
        <v>15924</v>
      </c>
      <c r="AN398" s="15" t="s">
        <v>15925</v>
      </c>
      <c r="AO398" s="15" t="s">
        <v>15926</v>
      </c>
      <c r="AP398" s="15" t="s">
        <v>15927</v>
      </c>
      <c r="AQ398" s="15" t="s">
        <v>15928</v>
      </c>
      <c r="AR398" s="15" t="s">
        <v>15929</v>
      </c>
      <c r="AS398" s="15" t="s">
        <v>15930</v>
      </c>
      <c r="BH398" s="15" t="s">
        <v>5034</v>
      </c>
      <c r="BI398" s="15" t="str">
        <f t="shared" si="1184"/>
        <v>2899</v>
      </c>
      <c r="BJ398" s="15" t="str">
        <f t="shared" si="1185"/>
        <v>1220</v>
      </c>
      <c r="BK398" s="15" t="s">
        <v>742</v>
      </c>
      <c r="BL398" s="15" t="str">
        <f t="shared" si="1108"/>
        <v>1</v>
      </c>
      <c r="BM398" s="15" t="s">
        <v>416</v>
      </c>
      <c r="BN398" s="15" t="str">
        <f t="shared" si="1186"/>
        <v>88.5</v>
      </c>
      <c r="BO398" s="15" t="str">
        <f t="shared" si="1180"/>
        <v>23.54</v>
      </c>
      <c r="BP398" s="15" t="str">
        <f t="shared" si="1187"/>
        <v>37.28</v>
      </c>
      <c r="BQ398" s="15" t="str">
        <f t="shared" si="1188"/>
        <v>325.18</v>
      </c>
      <c r="CG398" s="15" t="str">
        <f t="shared" si="1189"/>
        <v>44.96</v>
      </c>
      <c r="CH398" s="15" t="str">
        <f t="shared" si="1190"/>
        <v>1.273</v>
      </c>
      <c r="CI398" s="15" t="s">
        <v>497</v>
      </c>
      <c r="CZ398" s="15" t="s">
        <v>1371</v>
      </c>
      <c r="DA398" s="15">
        <v>9.0</v>
      </c>
      <c r="DB398" s="15" t="s">
        <v>419</v>
      </c>
      <c r="DD398" s="15">
        <v>0.0</v>
      </c>
      <c r="DF398" s="15" t="s">
        <v>1186</v>
      </c>
      <c r="DG398" s="15" t="s">
        <v>421</v>
      </c>
      <c r="DK398" s="15">
        <v>0.0</v>
      </c>
      <c r="DR398" s="15" t="s">
        <v>422</v>
      </c>
      <c r="DS398" s="15" t="s">
        <v>5019</v>
      </c>
      <c r="DU398" s="15" t="s">
        <v>424</v>
      </c>
      <c r="EF398" s="15" t="s">
        <v>5032</v>
      </c>
      <c r="EU398" s="15" t="s">
        <v>426</v>
      </c>
      <c r="EV398" s="15">
        <v>0.0</v>
      </c>
      <c r="FQ398" s="15">
        <v>0.0</v>
      </c>
      <c r="FR398" s="15" t="s">
        <v>427</v>
      </c>
      <c r="FZ398" s="15" t="s">
        <v>2766</v>
      </c>
      <c r="GB398" s="15" t="s">
        <v>1132</v>
      </c>
      <c r="GD398" s="15" t="s">
        <v>5033</v>
      </c>
      <c r="GF398" s="15" t="s">
        <v>431</v>
      </c>
    </row>
    <row r="399" ht="17.25" customHeight="1">
      <c r="A399" s="15" t="s">
        <v>5041</v>
      </c>
      <c r="B399" s="15" t="str">
        <f>"801542187798"</f>
        <v>801542187798</v>
      </c>
      <c r="C399" s="15" t="s">
        <v>15931</v>
      </c>
      <c r="D399" s="15" t="str">
        <f t="shared" si="1"/>
        <v>Glenview BedWeathered OakKing</v>
      </c>
      <c r="E399" s="15" t="s">
        <v>5038</v>
      </c>
      <c r="F399" s="15" t="s">
        <v>397</v>
      </c>
      <c r="G399" s="15" t="s">
        <v>5040</v>
      </c>
      <c r="H399" s="15" t="s">
        <v>265</v>
      </c>
      <c r="I399" s="15" t="s">
        <v>828</v>
      </c>
      <c r="J399" s="15" t="s">
        <v>2365</v>
      </c>
      <c r="K399" s="15" t="s">
        <v>5040</v>
      </c>
      <c r="M399" s="15" t="s">
        <v>2063</v>
      </c>
      <c r="N399" s="15" t="s">
        <v>839</v>
      </c>
      <c r="O399" s="15" t="s">
        <v>828</v>
      </c>
      <c r="P399" s="15" t="str">
        <f>"81.25"</f>
        <v>81.25</v>
      </c>
      <c r="Q399" s="15" t="str">
        <f t="shared" ref="Q399:Q402" si="1191">"87"</f>
        <v>87</v>
      </c>
      <c r="R399" s="15" t="str">
        <f t="shared" ref="R399:R402" si="1192">"54.25"</f>
        <v>54.25</v>
      </c>
      <c r="S399" s="15" t="str">
        <f>"222.66"</f>
        <v>222.66</v>
      </c>
      <c r="T399" s="15" t="s">
        <v>5043</v>
      </c>
      <c r="U399" s="15" t="s">
        <v>12693</v>
      </c>
      <c r="V399" s="15" t="s">
        <v>12694</v>
      </c>
      <c r="W399" s="15" t="s">
        <v>12695</v>
      </c>
      <c r="X399" s="15" t="s">
        <v>12696</v>
      </c>
      <c r="Y399" s="15" t="s">
        <v>11338</v>
      </c>
      <c r="AA399" s="15" t="s">
        <v>413</v>
      </c>
      <c r="AB399" s="15" t="s">
        <v>413</v>
      </c>
      <c r="AC399" s="15" t="s">
        <v>5049</v>
      </c>
      <c r="AD399" s="15" t="s">
        <v>15932</v>
      </c>
      <c r="AE399" s="15" t="s">
        <v>5042</v>
      </c>
      <c r="AF399" s="15" t="s">
        <v>15933</v>
      </c>
      <c r="AG399" s="15" t="s">
        <v>15934</v>
      </c>
      <c r="AH399" s="15" t="s">
        <v>15935</v>
      </c>
      <c r="AI399" s="15" t="s">
        <v>15936</v>
      </c>
      <c r="AJ399" s="15" t="s">
        <v>15937</v>
      </c>
      <c r="AK399" s="15" t="s">
        <v>15938</v>
      </c>
      <c r="AL399" s="15" t="s">
        <v>15939</v>
      </c>
      <c r="AM399" s="15" t="s">
        <v>15940</v>
      </c>
      <c r="AN399" s="15" t="s">
        <v>15941</v>
      </c>
      <c r="BH399" s="15" t="s">
        <v>5039</v>
      </c>
      <c r="BI399" s="15" t="str">
        <f>"2999"</f>
        <v>2999</v>
      </c>
      <c r="BJ399" s="15" t="str">
        <f>"1260"</f>
        <v>1260</v>
      </c>
      <c r="BK399" s="15" t="s">
        <v>742</v>
      </c>
      <c r="BL399" s="15" t="str">
        <f t="shared" ref="BL399:BL402" si="1193">"2"</f>
        <v>2</v>
      </c>
      <c r="BM399" s="15" t="s">
        <v>2455</v>
      </c>
      <c r="BN399" s="15" t="str">
        <f>"85.04"</f>
        <v>85.04</v>
      </c>
      <c r="BO399" s="15" t="str">
        <f t="shared" ref="BO399:BO400" si="1194">"58.46"</f>
        <v>58.46</v>
      </c>
      <c r="BP399" s="15" t="str">
        <f>"11.22"</f>
        <v>11.22</v>
      </c>
      <c r="BQ399" s="15" t="str">
        <f>"152.12"</f>
        <v>152.12</v>
      </c>
      <c r="BR399" s="15" t="s">
        <v>5051</v>
      </c>
      <c r="BS399" s="15" t="str">
        <f>"85.04"</f>
        <v>85.04</v>
      </c>
      <c r="BT399" s="15" t="str">
        <f>"14.57"</f>
        <v>14.57</v>
      </c>
      <c r="BU399" s="15" t="str">
        <f>"11.22"</f>
        <v>11.22</v>
      </c>
      <c r="BV399" s="15" t="str">
        <f>"105.82"</f>
        <v>105.82</v>
      </c>
      <c r="CG399" s="15" t="str">
        <f>"40.33"</f>
        <v>40.33</v>
      </c>
      <c r="CH399" s="15" t="str">
        <f>"1.142"</f>
        <v>1.142</v>
      </c>
      <c r="CI399" s="15" t="s">
        <v>497</v>
      </c>
      <c r="CY399" s="15" t="s">
        <v>897</v>
      </c>
      <c r="CZ399" s="15" t="s">
        <v>419</v>
      </c>
      <c r="DA399" s="15">
        <v>0.0</v>
      </c>
      <c r="DB399" s="15" t="s">
        <v>419</v>
      </c>
      <c r="DD399" s="15">
        <v>0.0</v>
      </c>
      <c r="DF399" s="15" t="s">
        <v>1186</v>
      </c>
      <c r="DG399" s="15" t="s">
        <v>419</v>
      </c>
      <c r="DI399" s="15">
        <v>0.0</v>
      </c>
      <c r="DJ399" s="15">
        <v>0.0</v>
      </c>
      <c r="DK399" s="15">
        <v>0.0</v>
      </c>
      <c r="DL399" s="15">
        <v>27000.0</v>
      </c>
      <c r="DS399" s="15" t="s">
        <v>5019</v>
      </c>
      <c r="DU399" s="15" t="s">
        <v>858</v>
      </c>
      <c r="EV399" s="15">
        <v>0.0</v>
      </c>
      <c r="HV399" s="15" t="s">
        <v>5053</v>
      </c>
      <c r="HW399" s="15" t="s">
        <v>761</v>
      </c>
      <c r="HX399" s="15" t="s">
        <v>761</v>
      </c>
      <c r="HY399" s="15" t="s">
        <v>5054</v>
      </c>
      <c r="HZ399" s="15" t="s">
        <v>5055</v>
      </c>
      <c r="IA399" s="15" t="s">
        <v>5056</v>
      </c>
      <c r="IB399" s="15" t="s">
        <v>5057</v>
      </c>
      <c r="IC399" s="15" t="s">
        <v>5055</v>
      </c>
      <c r="ID399" s="15" t="s">
        <v>5056</v>
      </c>
      <c r="IE399" s="15" t="s">
        <v>2971</v>
      </c>
      <c r="IF399" s="15" t="s">
        <v>4685</v>
      </c>
      <c r="IG399" s="15" t="s">
        <v>869</v>
      </c>
      <c r="IH399" s="15" t="s">
        <v>5058</v>
      </c>
      <c r="II399" s="15" t="s">
        <v>1117</v>
      </c>
      <c r="IJ399" s="15" t="s">
        <v>4572</v>
      </c>
      <c r="IK399" s="15" t="s">
        <v>426</v>
      </c>
      <c r="IL399" s="15" t="s">
        <v>2973</v>
      </c>
      <c r="IM399" s="15" t="s">
        <v>872</v>
      </c>
      <c r="IN399" s="15" t="s">
        <v>873</v>
      </c>
      <c r="IO399" s="15" t="s">
        <v>828</v>
      </c>
      <c r="IU399" s="15" t="s">
        <v>759</v>
      </c>
      <c r="IV399" s="15" t="s">
        <v>5059</v>
      </c>
      <c r="IX399" s="15" t="s">
        <v>426</v>
      </c>
      <c r="IY399" s="15" t="s">
        <v>2474</v>
      </c>
    </row>
    <row r="400" ht="17.25" customHeight="1">
      <c r="A400" s="15" t="s">
        <v>5061</v>
      </c>
      <c r="B400" s="15" t="str">
        <f>"801542187804"</f>
        <v>801542187804</v>
      </c>
      <c r="C400" s="15" t="s">
        <v>15931</v>
      </c>
      <c r="D400" s="15" t="str">
        <f t="shared" si="1"/>
        <v>Glenview BedWeathered OakQueen</v>
      </c>
      <c r="E400" s="15" t="s">
        <v>5038</v>
      </c>
      <c r="F400" s="15" t="s">
        <v>397</v>
      </c>
      <c r="G400" s="15" t="s">
        <v>5040</v>
      </c>
      <c r="H400" s="15" t="s">
        <v>265</v>
      </c>
      <c r="I400" s="15" t="s">
        <v>877</v>
      </c>
      <c r="J400" s="15" t="s">
        <v>2365</v>
      </c>
      <c r="K400" s="15" t="s">
        <v>5040</v>
      </c>
      <c r="M400" s="15" t="s">
        <v>2063</v>
      </c>
      <c r="N400" s="15" t="s">
        <v>839</v>
      </c>
      <c r="O400" s="15" t="s">
        <v>877</v>
      </c>
      <c r="P400" s="15" t="str">
        <f t="shared" ref="P400:P401" si="1195">"65"</f>
        <v>65</v>
      </c>
      <c r="Q400" s="15" t="str">
        <f t="shared" si="1191"/>
        <v>87</v>
      </c>
      <c r="R400" s="15" t="str">
        <f t="shared" si="1192"/>
        <v>54.25</v>
      </c>
      <c r="S400" s="15" t="str">
        <f t="shared" ref="S400:S401" si="1196">"179.67"</f>
        <v>179.67</v>
      </c>
      <c r="T400" s="15" t="s">
        <v>5043</v>
      </c>
      <c r="U400" s="15" t="s">
        <v>12693</v>
      </c>
      <c r="V400" s="15" t="s">
        <v>12694</v>
      </c>
      <c r="W400" s="15" t="s">
        <v>12695</v>
      </c>
      <c r="X400" s="15" t="s">
        <v>12696</v>
      </c>
      <c r="Y400" s="15" t="s">
        <v>11338</v>
      </c>
      <c r="AA400" s="15" t="s">
        <v>413</v>
      </c>
      <c r="AB400" s="15" t="s">
        <v>413</v>
      </c>
      <c r="AC400" s="15" t="s">
        <v>5049</v>
      </c>
      <c r="AD400" s="15" t="s">
        <v>15942</v>
      </c>
      <c r="AE400" s="15" t="s">
        <v>5063</v>
      </c>
      <c r="AF400" s="15" t="s">
        <v>15943</v>
      </c>
      <c r="AG400" s="15" t="s">
        <v>15944</v>
      </c>
      <c r="AH400" s="15" t="s">
        <v>15945</v>
      </c>
      <c r="AI400" s="15" t="s">
        <v>15946</v>
      </c>
      <c r="AJ400" s="15" t="s">
        <v>15947</v>
      </c>
      <c r="AK400" s="15" t="s">
        <v>15948</v>
      </c>
      <c r="AL400" s="15" t="s">
        <v>15949</v>
      </c>
      <c r="AM400" s="15" t="s">
        <v>15950</v>
      </c>
      <c r="AN400" s="15" t="s">
        <v>15951</v>
      </c>
      <c r="BH400" s="15" t="s">
        <v>5060</v>
      </c>
      <c r="BI400" s="15" t="str">
        <f t="shared" ref="BI400:BI401" si="1197">"2699"</f>
        <v>2699</v>
      </c>
      <c r="BJ400" s="15" t="str">
        <f t="shared" ref="BJ400:BJ401" si="1198">"1135"</f>
        <v>1135</v>
      </c>
      <c r="BK400" s="15" t="s">
        <v>742</v>
      </c>
      <c r="BL400" s="15" t="str">
        <f t="shared" si="1193"/>
        <v>2</v>
      </c>
      <c r="BM400" s="15" t="s">
        <v>2455</v>
      </c>
      <c r="BN400" s="15" t="str">
        <f t="shared" ref="BN400:BN401" si="1199">"68.9"</f>
        <v>68.9</v>
      </c>
      <c r="BO400" s="15" t="str">
        <f t="shared" si="1194"/>
        <v>58.46</v>
      </c>
      <c r="BP400" s="15" t="str">
        <f>"12.2"</f>
        <v>12.2</v>
      </c>
      <c r="BQ400" s="15" t="str">
        <f t="shared" ref="BQ400:BQ401" si="1200">"122.36"</f>
        <v>122.36</v>
      </c>
      <c r="BR400" s="15" t="s">
        <v>5051</v>
      </c>
      <c r="BS400" s="15" t="str">
        <f t="shared" ref="BS400:BS401" si="1201">"84.84"</f>
        <v>84.84</v>
      </c>
      <c r="BT400" s="15" t="str">
        <f t="shared" ref="BT400:BT401" si="1202">"13.98"</f>
        <v>13.98</v>
      </c>
      <c r="BU400" s="15" t="str">
        <f t="shared" ref="BU400:BU401" si="1203">"12.01"</f>
        <v>12.01</v>
      </c>
      <c r="BV400" s="15" t="str">
        <f t="shared" ref="BV400:BV401" si="1204">"90.39"</f>
        <v>90.39</v>
      </c>
      <c r="CG400" s="15" t="str">
        <f t="shared" ref="CG400:CG401" si="1205">"36.69"</f>
        <v>36.69</v>
      </c>
      <c r="CH400" s="15" t="str">
        <f t="shared" ref="CH400:CH401" si="1206">"1.039"</f>
        <v>1.039</v>
      </c>
      <c r="CI400" s="15" t="s">
        <v>465</v>
      </c>
      <c r="CY400" s="15" t="s">
        <v>897</v>
      </c>
      <c r="CZ400" s="15" t="s">
        <v>419</v>
      </c>
      <c r="DA400" s="15">
        <v>0.0</v>
      </c>
      <c r="DB400" s="15" t="s">
        <v>419</v>
      </c>
      <c r="DD400" s="15">
        <v>0.0</v>
      </c>
      <c r="DF400" s="15" t="s">
        <v>1186</v>
      </c>
      <c r="DG400" s="15" t="s">
        <v>419</v>
      </c>
      <c r="DI400" s="15">
        <v>0.0</v>
      </c>
      <c r="DJ400" s="15">
        <v>0.0</v>
      </c>
      <c r="DK400" s="15">
        <v>0.0</v>
      </c>
      <c r="DL400" s="15">
        <v>27000.0</v>
      </c>
      <c r="DS400" s="15" t="s">
        <v>5019</v>
      </c>
      <c r="DU400" s="15" t="s">
        <v>858</v>
      </c>
      <c r="EV400" s="15">
        <v>0.0</v>
      </c>
      <c r="HV400" s="15" t="s">
        <v>5053</v>
      </c>
      <c r="HW400" s="15" t="s">
        <v>761</v>
      </c>
      <c r="HX400" s="15" t="s">
        <v>761</v>
      </c>
      <c r="HY400" s="15" t="s">
        <v>5054</v>
      </c>
      <c r="HZ400" s="15" t="s">
        <v>5055</v>
      </c>
      <c r="IA400" s="15" t="s">
        <v>5068</v>
      </c>
      <c r="IB400" s="15" t="s">
        <v>5057</v>
      </c>
      <c r="IC400" s="15" t="s">
        <v>5055</v>
      </c>
      <c r="ID400" s="15" t="s">
        <v>5068</v>
      </c>
      <c r="IE400" s="15" t="s">
        <v>2971</v>
      </c>
      <c r="IF400" s="15" t="s">
        <v>4685</v>
      </c>
      <c r="IG400" s="15" t="s">
        <v>890</v>
      </c>
      <c r="IH400" s="15" t="s">
        <v>5058</v>
      </c>
      <c r="II400" s="15" t="s">
        <v>1117</v>
      </c>
      <c r="IJ400" s="15" t="s">
        <v>4572</v>
      </c>
      <c r="IK400" s="15" t="s">
        <v>426</v>
      </c>
      <c r="IL400" s="15" t="s">
        <v>2973</v>
      </c>
      <c r="IM400" s="15" t="s">
        <v>872</v>
      </c>
      <c r="IN400" s="15" t="s">
        <v>873</v>
      </c>
      <c r="IO400" s="15" t="s">
        <v>877</v>
      </c>
      <c r="IU400" s="15" t="s">
        <v>759</v>
      </c>
      <c r="IV400" s="15" t="s">
        <v>5059</v>
      </c>
      <c r="IX400" s="15" t="s">
        <v>426</v>
      </c>
      <c r="IY400" s="15" t="s">
        <v>2474</v>
      </c>
    </row>
    <row r="401" ht="17.25" customHeight="1">
      <c r="A401" s="15" t="s">
        <v>5070</v>
      </c>
      <c r="B401" s="15" t="str">
        <f>"198394062220"</f>
        <v>198394062220</v>
      </c>
      <c r="C401" s="15" t="s">
        <v>15931</v>
      </c>
      <c r="D401" s="15" t="str">
        <f t="shared" si="1"/>
        <v>Glenview BedSmoked Black OakQueen</v>
      </c>
      <c r="E401" s="15" t="s">
        <v>5038</v>
      </c>
      <c r="F401" s="15" t="s">
        <v>397</v>
      </c>
      <c r="G401" s="15" t="s">
        <v>5012</v>
      </c>
      <c r="H401" s="15" t="s">
        <v>265</v>
      </c>
      <c r="I401" s="15" t="s">
        <v>877</v>
      </c>
      <c r="J401" s="15" t="s">
        <v>2365</v>
      </c>
      <c r="K401" s="15" t="s">
        <v>5012</v>
      </c>
      <c r="M401" s="15" t="s">
        <v>2063</v>
      </c>
      <c r="N401" s="15" t="s">
        <v>839</v>
      </c>
      <c r="O401" s="15" t="s">
        <v>877</v>
      </c>
      <c r="P401" s="15" t="str">
        <f t="shared" si="1195"/>
        <v>65</v>
      </c>
      <c r="Q401" s="15" t="str">
        <f t="shared" si="1191"/>
        <v>87</v>
      </c>
      <c r="R401" s="15" t="str">
        <f t="shared" si="1192"/>
        <v>54.25</v>
      </c>
      <c r="S401" s="15" t="str">
        <f t="shared" si="1196"/>
        <v>179.67</v>
      </c>
      <c r="T401" s="15" t="s">
        <v>5043</v>
      </c>
      <c r="U401" s="15" t="s">
        <v>12693</v>
      </c>
      <c r="V401" s="15" t="s">
        <v>12694</v>
      </c>
      <c r="W401" s="15" t="s">
        <v>12695</v>
      </c>
      <c r="X401" s="15" t="s">
        <v>12696</v>
      </c>
      <c r="Y401" s="15" t="s">
        <v>11338</v>
      </c>
      <c r="AA401" s="15" t="s">
        <v>413</v>
      </c>
      <c r="AB401" s="15" t="s">
        <v>413</v>
      </c>
      <c r="AC401" s="15" t="s">
        <v>5072</v>
      </c>
      <c r="AD401" s="15" t="s">
        <v>15952</v>
      </c>
      <c r="AE401" s="15" t="s">
        <v>5071</v>
      </c>
      <c r="AF401" s="15" t="s">
        <v>15953</v>
      </c>
      <c r="AG401" s="15" t="s">
        <v>15954</v>
      </c>
      <c r="AH401" s="15" t="s">
        <v>15955</v>
      </c>
      <c r="AI401" s="15" t="s">
        <v>15956</v>
      </c>
      <c r="AJ401" s="15" t="s">
        <v>15957</v>
      </c>
      <c r="AK401" s="15" t="s">
        <v>15958</v>
      </c>
      <c r="AL401" s="15" t="s">
        <v>15959</v>
      </c>
      <c r="AM401" s="15" t="s">
        <v>15960</v>
      </c>
      <c r="AN401" s="15" t="s">
        <v>15961</v>
      </c>
      <c r="AO401" s="15" t="s">
        <v>15962</v>
      </c>
      <c r="AP401" s="15" t="s">
        <v>15963</v>
      </c>
      <c r="BH401" s="15" t="s">
        <v>5069</v>
      </c>
      <c r="BI401" s="15" t="str">
        <f t="shared" si="1197"/>
        <v>2699</v>
      </c>
      <c r="BJ401" s="15" t="str">
        <f t="shared" si="1198"/>
        <v>1135</v>
      </c>
      <c r="BK401" s="15" t="s">
        <v>742</v>
      </c>
      <c r="BL401" s="15" t="str">
        <f t="shared" si="1193"/>
        <v>2</v>
      </c>
      <c r="BM401" s="15" t="s">
        <v>2455</v>
      </c>
      <c r="BN401" s="15" t="str">
        <f t="shared" si="1199"/>
        <v>68.9</v>
      </c>
      <c r="BO401" s="15" t="str">
        <f>"12.2"</f>
        <v>12.2</v>
      </c>
      <c r="BP401" s="15" t="str">
        <f t="shared" ref="BP401:BP402" si="1207">"58.46"</f>
        <v>58.46</v>
      </c>
      <c r="BQ401" s="15" t="str">
        <f t="shared" si="1200"/>
        <v>122.36</v>
      </c>
      <c r="BR401" s="15" t="s">
        <v>5051</v>
      </c>
      <c r="BS401" s="15" t="str">
        <f t="shared" si="1201"/>
        <v>84.84</v>
      </c>
      <c r="BT401" s="15" t="str">
        <f t="shared" si="1202"/>
        <v>13.98</v>
      </c>
      <c r="BU401" s="15" t="str">
        <f t="shared" si="1203"/>
        <v>12.01</v>
      </c>
      <c r="BV401" s="15" t="str">
        <f t="shared" si="1204"/>
        <v>90.39</v>
      </c>
      <c r="CG401" s="15" t="str">
        <f t="shared" si="1205"/>
        <v>36.69</v>
      </c>
      <c r="CH401" s="15" t="str">
        <f t="shared" si="1206"/>
        <v>1.039</v>
      </c>
      <c r="CI401" s="15" t="s">
        <v>497</v>
      </c>
      <c r="CY401" s="15" t="s">
        <v>897</v>
      </c>
      <c r="CZ401" s="15" t="s">
        <v>419</v>
      </c>
      <c r="DA401" s="15">
        <v>0.0</v>
      </c>
      <c r="DB401" s="15" t="s">
        <v>419</v>
      </c>
      <c r="DD401" s="15">
        <v>0.0</v>
      </c>
      <c r="DF401" s="15" t="s">
        <v>1186</v>
      </c>
      <c r="DG401" s="15" t="s">
        <v>419</v>
      </c>
      <c r="DI401" s="15">
        <v>0.0</v>
      </c>
      <c r="DJ401" s="15">
        <v>0.0</v>
      </c>
      <c r="DK401" s="15">
        <v>0.0</v>
      </c>
      <c r="DL401" s="15">
        <v>27000.0</v>
      </c>
      <c r="DS401" s="15" t="s">
        <v>5019</v>
      </c>
      <c r="DU401" s="15" t="s">
        <v>858</v>
      </c>
      <c r="EV401" s="15">
        <v>0.0</v>
      </c>
      <c r="HV401" s="15" t="s">
        <v>5053</v>
      </c>
      <c r="HW401" s="15" t="s">
        <v>761</v>
      </c>
      <c r="HX401" s="15" t="s">
        <v>761</v>
      </c>
      <c r="HY401" s="15" t="s">
        <v>5054</v>
      </c>
      <c r="HZ401" s="15" t="s">
        <v>5055</v>
      </c>
      <c r="IA401" s="15" t="s">
        <v>5068</v>
      </c>
      <c r="IB401" s="15" t="s">
        <v>5057</v>
      </c>
      <c r="IC401" s="15" t="s">
        <v>5055</v>
      </c>
      <c r="ID401" s="15" t="s">
        <v>5068</v>
      </c>
      <c r="IE401" s="15" t="s">
        <v>2971</v>
      </c>
      <c r="IF401" s="15" t="s">
        <v>4685</v>
      </c>
      <c r="IG401" s="15" t="s">
        <v>890</v>
      </c>
      <c r="IH401" s="15" t="s">
        <v>5058</v>
      </c>
      <c r="II401" s="15" t="s">
        <v>1117</v>
      </c>
      <c r="IJ401" s="15" t="s">
        <v>4572</v>
      </c>
      <c r="IK401" s="15" t="s">
        <v>426</v>
      </c>
      <c r="IL401" s="15" t="s">
        <v>2973</v>
      </c>
      <c r="IM401" s="15" t="s">
        <v>872</v>
      </c>
      <c r="IN401" s="15" t="s">
        <v>873</v>
      </c>
      <c r="IO401" s="15" t="s">
        <v>877</v>
      </c>
      <c r="IU401" s="15" t="s">
        <v>759</v>
      </c>
      <c r="IV401" s="15" t="s">
        <v>5059</v>
      </c>
      <c r="IX401" s="15" t="s">
        <v>426</v>
      </c>
      <c r="IY401" s="15" t="s">
        <v>2474</v>
      </c>
    </row>
    <row r="402" ht="17.25" customHeight="1">
      <c r="A402" s="15" t="s">
        <v>5074</v>
      </c>
      <c r="B402" s="15" t="str">
        <f>"198394062237"</f>
        <v>198394062237</v>
      </c>
      <c r="C402" s="15" t="s">
        <v>15931</v>
      </c>
      <c r="D402" s="15" t="str">
        <f t="shared" si="1"/>
        <v>Glenview BedSmoked Black OakKing</v>
      </c>
      <c r="E402" s="15" t="s">
        <v>5038</v>
      </c>
      <c r="F402" s="15" t="s">
        <v>397</v>
      </c>
      <c r="G402" s="15" t="s">
        <v>5012</v>
      </c>
      <c r="H402" s="15" t="s">
        <v>265</v>
      </c>
      <c r="I402" s="15" t="s">
        <v>828</v>
      </c>
      <c r="J402" s="15" t="s">
        <v>2365</v>
      </c>
      <c r="K402" s="15" t="s">
        <v>5012</v>
      </c>
      <c r="M402" s="15" t="s">
        <v>2063</v>
      </c>
      <c r="N402" s="15" t="s">
        <v>839</v>
      </c>
      <c r="O402" s="15" t="s">
        <v>828</v>
      </c>
      <c r="P402" s="15" t="str">
        <f>"81.25"</f>
        <v>81.25</v>
      </c>
      <c r="Q402" s="15" t="str">
        <f t="shared" si="1191"/>
        <v>87</v>
      </c>
      <c r="R402" s="15" t="str">
        <f t="shared" si="1192"/>
        <v>54.25</v>
      </c>
      <c r="S402" s="15" t="str">
        <f>"222.66"</f>
        <v>222.66</v>
      </c>
      <c r="T402" s="15" t="s">
        <v>5043</v>
      </c>
      <c r="U402" s="15" t="s">
        <v>12693</v>
      </c>
      <c r="V402" s="15" t="s">
        <v>12694</v>
      </c>
      <c r="W402" s="15" t="s">
        <v>12695</v>
      </c>
      <c r="X402" s="15" t="s">
        <v>12696</v>
      </c>
      <c r="Y402" s="15" t="s">
        <v>11338</v>
      </c>
      <c r="AA402" s="15" t="s">
        <v>413</v>
      </c>
      <c r="AB402" s="15" t="s">
        <v>413</v>
      </c>
      <c r="AC402" s="15" t="s">
        <v>5072</v>
      </c>
      <c r="AD402" s="15" t="s">
        <v>15964</v>
      </c>
      <c r="AE402" s="15" t="s">
        <v>5075</v>
      </c>
      <c r="AF402" s="15" t="s">
        <v>15965</v>
      </c>
      <c r="AG402" s="15" t="s">
        <v>15966</v>
      </c>
      <c r="AH402" s="15" t="s">
        <v>15967</v>
      </c>
      <c r="AI402" s="15" t="s">
        <v>15968</v>
      </c>
      <c r="AJ402" s="15" t="s">
        <v>15969</v>
      </c>
      <c r="AK402" s="15" t="s">
        <v>15970</v>
      </c>
      <c r="AL402" s="15" t="s">
        <v>15971</v>
      </c>
      <c r="AM402" s="15" t="s">
        <v>15972</v>
      </c>
      <c r="AN402" s="15" t="s">
        <v>15973</v>
      </c>
      <c r="AO402" s="15" t="s">
        <v>15974</v>
      </c>
      <c r="AP402" s="15" t="s">
        <v>15975</v>
      </c>
      <c r="BH402" s="15" t="s">
        <v>5073</v>
      </c>
      <c r="BI402" s="15" t="str">
        <f>"2999"</f>
        <v>2999</v>
      </c>
      <c r="BJ402" s="15" t="str">
        <f>"1260"</f>
        <v>1260</v>
      </c>
      <c r="BK402" s="15" t="s">
        <v>742</v>
      </c>
      <c r="BL402" s="15" t="str">
        <f t="shared" si="1193"/>
        <v>2</v>
      </c>
      <c r="BM402" s="15" t="s">
        <v>2455</v>
      </c>
      <c r="BN402" s="15" t="str">
        <f>"85.04"</f>
        <v>85.04</v>
      </c>
      <c r="BO402" s="15" t="str">
        <f>"11.22"</f>
        <v>11.22</v>
      </c>
      <c r="BP402" s="15" t="str">
        <f t="shared" si="1207"/>
        <v>58.46</v>
      </c>
      <c r="BQ402" s="15" t="str">
        <f>"152.12"</f>
        <v>152.12</v>
      </c>
      <c r="BR402" s="15" t="s">
        <v>5051</v>
      </c>
      <c r="BS402" s="15" t="str">
        <f>"85.04"</f>
        <v>85.04</v>
      </c>
      <c r="BT402" s="15" t="str">
        <f>"14.57"</f>
        <v>14.57</v>
      </c>
      <c r="BU402" s="15" t="str">
        <f>"11.22"</f>
        <v>11.22</v>
      </c>
      <c r="BV402" s="15" t="str">
        <f>"105.82"</f>
        <v>105.82</v>
      </c>
      <c r="CG402" s="15" t="str">
        <f>"40.33"</f>
        <v>40.33</v>
      </c>
      <c r="CH402" s="15" t="str">
        <f>"1.142"</f>
        <v>1.142</v>
      </c>
      <c r="CI402" s="15" t="s">
        <v>497</v>
      </c>
      <c r="CY402" s="15" t="s">
        <v>897</v>
      </c>
      <c r="CZ402" s="15" t="s">
        <v>419</v>
      </c>
      <c r="DA402" s="15">
        <v>0.0</v>
      </c>
      <c r="DB402" s="15" t="s">
        <v>419</v>
      </c>
      <c r="DD402" s="15">
        <v>0.0</v>
      </c>
      <c r="DF402" s="15" t="s">
        <v>1186</v>
      </c>
      <c r="DG402" s="15" t="s">
        <v>419</v>
      </c>
      <c r="DI402" s="15">
        <v>0.0</v>
      </c>
      <c r="DJ402" s="15">
        <v>0.0</v>
      </c>
      <c r="DK402" s="15">
        <v>0.0</v>
      </c>
      <c r="DL402" s="15">
        <v>27000.0</v>
      </c>
      <c r="DS402" s="15" t="s">
        <v>5019</v>
      </c>
      <c r="DU402" s="15" t="s">
        <v>858</v>
      </c>
      <c r="EV402" s="15">
        <v>0.0</v>
      </c>
      <c r="HV402" s="15" t="s">
        <v>5053</v>
      </c>
      <c r="HW402" s="15" t="s">
        <v>761</v>
      </c>
      <c r="HX402" s="15" t="s">
        <v>761</v>
      </c>
      <c r="HY402" s="15" t="s">
        <v>5054</v>
      </c>
      <c r="HZ402" s="15" t="s">
        <v>5055</v>
      </c>
      <c r="IA402" s="15" t="s">
        <v>5056</v>
      </c>
      <c r="IB402" s="15" t="s">
        <v>5057</v>
      </c>
      <c r="IC402" s="15" t="s">
        <v>5055</v>
      </c>
      <c r="ID402" s="15" t="s">
        <v>5056</v>
      </c>
      <c r="IE402" s="15" t="s">
        <v>2971</v>
      </c>
      <c r="IF402" s="15" t="s">
        <v>4685</v>
      </c>
      <c r="IG402" s="15" t="s">
        <v>869</v>
      </c>
      <c r="IH402" s="15" t="s">
        <v>5058</v>
      </c>
      <c r="II402" s="15" t="s">
        <v>1117</v>
      </c>
      <c r="IJ402" s="15" t="s">
        <v>4572</v>
      </c>
      <c r="IK402" s="15" t="s">
        <v>426</v>
      </c>
      <c r="IL402" s="15" t="s">
        <v>2973</v>
      </c>
      <c r="IM402" s="15" t="s">
        <v>872</v>
      </c>
      <c r="IN402" s="15" t="s">
        <v>873</v>
      </c>
      <c r="IO402" s="15" t="s">
        <v>828</v>
      </c>
      <c r="IU402" s="15" t="s">
        <v>759</v>
      </c>
      <c r="IV402" s="15" t="s">
        <v>5059</v>
      </c>
      <c r="IX402" s="15" t="s">
        <v>426</v>
      </c>
      <c r="IY402" s="15" t="s">
        <v>2474</v>
      </c>
    </row>
    <row r="403" ht="17.25" customHeight="1">
      <c r="A403" s="15" t="s">
        <v>5078</v>
      </c>
      <c r="B403" s="15" t="str">
        <f>"198394064712"</f>
        <v>198394064712</v>
      </c>
      <c r="C403" s="15" t="s">
        <v>15976</v>
      </c>
      <c r="D403" s="15" t="str">
        <f t="shared" si="1"/>
        <v>Glenview BookcaseSmoked Black Oak</v>
      </c>
      <c r="E403" s="15" t="s">
        <v>5076</v>
      </c>
      <c r="F403" s="15" t="s">
        <v>397</v>
      </c>
      <c r="G403" s="15" t="s">
        <v>5012</v>
      </c>
      <c r="J403" s="15" t="s">
        <v>5012</v>
      </c>
      <c r="K403" s="15" t="s">
        <v>5008</v>
      </c>
      <c r="M403" s="15" t="s">
        <v>2063</v>
      </c>
      <c r="N403" s="15" t="s">
        <v>1899</v>
      </c>
      <c r="P403" s="15" t="str">
        <f t="shared" ref="P403:P404" si="1208">"40"</f>
        <v>40</v>
      </c>
      <c r="Q403" s="15" t="str">
        <f t="shared" ref="Q403:Q404" si="1209">"18.5"</f>
        <v>18.5</v>
      </c>
      <c r="R403" s="15" t="str">
        <f t="shared" ref="R403:R404" si="1210">"84.25"</f>
        <v>84.25</v>
      </c>
      <c r="S403" s="15" t="str">
        <f t="shared" ref="S403:S404" si="1211">"155.42"</f>
        <v>155.42</v>
      </c>
      <c r="T403" s="15" t="s">
        <v>4874</v>
      </c>
      <c r="U403" s="15" t="s">
        <v>11338</v>
      </c>
      <c r="V403" s="15" t="s">
        <v>10881</v>
      </c>
      <c r="AA403" s="15" t="s">
        <v>413</v>
      </c>
      <c r="AB403" s="15" t="s">
        <v>413</v>
      </c>
      <c r="AD403" s="15" t="s">
        <v>15977</v>
      </c>
      <c r="AE403" s="15" t="s">
        <v>5079</v>
      </c>
      <c r="AF403" s="15" t="s">
        <v>15978</v>
      </c>
      <c r="AG403" s="15" t="s">
        <v>15979</v>
      </c>
      <c r="AH403" s="15" t="s">
        <v>15980</v>
      </c>
      <c r="AI403" s="15" t="s">
        <v>15981</v>
      </c>
      <c r="AJ403" s="15" t="s">
        <v>15982</v>
      </c>
      <c r="AK403" s="15" t="s">
        <v>15983</v>
      </c>
      <c r="AL403" s="15" t="s">
        <v>15984</v>
      </c>
      <c r="AM403" s="15" t="s">
        <v>15985</v>
      </c>
      <c r="AN403" s="15" t="s">
        <v>15986</v>
      </c>
      <c r="AO403" s="15" t="s">
        <v>15987</v>
      </c>
      <c r="AP403" s="15" t="s">
        <v>15988</v>
      </c>
      <c r="BH403" s="15" t="s">
        <v>5077</v>
      </c>
      <c r="BI403" s="15" t="str">
        <f t="shared" ref="BI403:BI404" si="1212">"2399"</f>
        <v>2399</v>
      </c>
      <c r="BJ403" s="15" t="str">
        <f t="shared" ref="BJ403:BJ404" si="1213">"1010"</f>
        <v>1010</v>
      </c>
      <c r="BK403" s="15" t="s">
        <v>742</v>
      </c>
      <c r="BL403" s="15" t="str">
        <f t="shared" ref="BL403:BL409" si="1214">"1"</f>
        <v>1</v>
      </c>
      <c r="BM403" s="15" t="s">
        <v>416</v>
      </c>
      <c r="BN403" s="15" t="str">
        <f>"43.31"</f>
        <v>43.31</v>
      </c>
      <c r="BO403" s="15" t="str">
        <f>"22.83"</f>
        <v>22.83</v>
      </c>
      <c r="BP403" s="15" t="str">
        <f>"90.55"</f>
        <v>90.55</v>
      </c>
      <c r="BQ403" s="15" t="str">
        <f t="shared" ref="BQ403:BQ404" si="1215">"194.01"</f>
        <v>194.01</v>
      </c>
      <c r="CG403" s="15" t="str">
        <f t="shared" ref="CG403:CG404" si="1216">"51.81"</f>
        <v>51.81</v>
      </c>
      <c r="CH403" s="15" t="str">
        <f t="shared" ref="CH403:CH404" si="1217">"1.467"</f>
        <v>1.467</v>
      </c>
      <c r="CI403" s="15" t="s">
        <v>497</v>
      </c>
      <c r="CJ403" s="15" t="s">
        <v>778</v>
      </c>
      <c r="CK403" s="15" t="s">
        <v>612</v>
      </c>
      <c r="CL403" s="15" t="s">
        <v>986</v>
      </c>
      <c r="CM403" s="15" t="s">
        <v>3781</v>
      </c>
      <c r="CN403" s="15" t="s">
        <v>1324</v>
      </c>
      <c r="CO403" s="15" t="s">
        <v>5081</v>
      </c>
      <c r="CZ403" s="15" t="s">
        <v>419</v>
      </c>
      <c r="DA403" s="15">
        <v>0.0</v>
      </c>
      <c r="DB403" s="15" t="s">
        <v>419</v>
      </c>
      <c r="DD403" s="15">
        <v>3.0</v>
      </c>
      <c r="DE403" s="15" t="s">
        <v>426</v>
      </c>
      <c r="DF403" s="15" t="s">
        <v>1186</v>
      </c>
      <c r="DG403" s="15" t="s">
        <v>610</v>
      </c>
      <c r="DI403" s="15">
        <v>18.14</v>
      </c>
      <c r="DJ403" s="15">
        <v>40.0</v>
      </c>
      <c r="DK403" s="15">
        <v>1.0</v>
      </c>
      <c r="DR403" s="15" t="s">
        <v>1906</v>
      </c>
      <c r="DS403" s="15" t="s">
        <v>5019</v>
      </c>
      <c r="EF403" s="15" t="s">
        <v>3954</v>
      </c>
      <c r="EU403" s="15" t="s">
        <v>426</v>
      </c>
      <c r="EV403" s="15">
        <v>5.0</v>
      </c>
      <c r="FH403" s="15" t="s">
        <v>5082</v>
      </c>
      <c r="FI403" s="15" t="s">
        <v>612</v>
      </c>
      <c r="FJ403" s="15" t="s">
        <v>5083</v>
      </c>
      <c r="FK403" s="15" t="s">
        <v>3781</v>
      </c>
      <c r="FL403" s="15" t="s">
        <v>2046</v>
      </c>
      <c r="FM403" s="15" t="s">
        <v>5081</v>
      </c>
      <c r="FQ403" s="15">
        <v>2.0</v>
      </c>
      <c r="FR403" s="15" t="s">
        <v>614</v>
      </c>
      <c r="FS403" s="15" t="s">
        <v>615</v>
      </c>
      <c r="FU403" s="15" t="s">
        <v>426</v>
      </c>
      <c r="FW403" s="15" t="s">
        <v>616</v>
      </c>
      <c r="GJ403" s="15" t="s">
        <v>778</v>
      </c>
      <c r="GK403" s="15" t="s">
        <v>760</v>
      </c>
      <c r="GL403" s="15" t="s">
        <v>986</v>
      </c>
      <c r="GZ403" s="15" t="s">
        <v>778</v>
      </c>
      <c r="HA403" s="15" t="s">
        <v>778</v>
      </c>
      <c r="HB403" s="15" t="s">
        <v>760</v>
      </c>
      <c r="HC403" s="15" t="s">
        <v>760</v>
      </c>
      <c r="HD403" s="15" t="s">
        <v>986</v>
      </c>
      <c r="HE403" s="15" t="s">
        <v>986</v>
      </c>
      <c r="HF403" s="15" t="s">
        <v>1957</v>
      </c>
      <c r="HQ403" s="15" t="s">
        <v>426</v>
      </c>
      <c r="KG403" s="15" t="s">
        <v>778</v>
      </c>
      <c r="KH403" s="15" t="s">
        <v>760</v>
      </c>
      <c r="KI403" s="15" t="s">
        <v>986</v>
      </c>
    </row>
    <row r="404" ht="17.25" customHeight="1">
      <c r="A404" s="15" t="s">
        <v>5085</v>
      </c>
      <c r="B404" s="15" t="str">
        <f>"801542134280"</f>
        <v>801542134280</v>
      </c>
      <c r="C404" s="15" t="s">
        <v>15989</v>
      </c>
      <c r="D404" s="15" t="str">
        <f t="shared" si="1"/>
        <v>Glenview BookcaseWeathered Oak</v>
      </c>
      <c r="E404" s="15" t="s">
        <v>5076</v>
      </c>
      <c r="F404" s="15" t="s">
        <v>397</v>
      </c>
      <c r="G404" s="15" t="s">
        <v>5040</v>
      </c>
      <c r="J404" s="15" t="s">
        <v>5040</v>
      </c>
      <c r="K404" s="15" t="s">
        <v>3217</v>
      </c>
      <c r="M404" s="15" t="s">
        <v>2063</v>
      </c>
      <c r="N404" s="15" t="s">
        <v>1899</v>
      </c>
      <c r="P404" s="15" t="str">
        <f t="shared" si="1208"/>
        <v>40</v>
      </c>
      <c r="Q404" s="15" t="str">
        <f t="shared" si="1209"/>
        <v>18.5</v>
      </c>
      <c r="R404" s="15" t="str">
        <f t="shared" si="1210"/>
        <v>84.25</v>
      </c>
      <c r="S404" s="15" t="str">
        <f t="shared" si="1211"/>
        <v>155.42</v>
      </c>
      <c r="T404" s="15" t="s">
        <v>4874</v>
      </c>
      <c r="U404" s="15" t="s">
        <v>11338</v>
      </c>
      <c r="V404" s="15" t="s">
        <v>10881</v>
      </c>
      <c r="AA404" s="15" t="s">
        <v>413</v>
      </c>
      <c r="AB404" s="15" t="s">
        <v>413</v>
      </c>
      <c r="AC404" s="15" t="s">
        <v>5087</v>
      </c>
      <c r="AD404" s="15" t="s">
        <v>15990</v>
      </c>
      <c r="AE404" s="15" t="s">
        <v>5086</v>
      </c>
      <c r="AF404" s="15" t="s">
        <v>15991</v>
      </c>
      <c r="AG404" s="15" t="s">
        <v>15992</v>
      </c>
      <c r="AH404" s="15" t="s">
        <v>15993</v>
      </c>
      <c r="AI404" s="15" t="s">
        <v>15994</v>
      </c>
      <c r="AJ404" s="15" t="s">
        <v>15995</v>
      </c>
      <c r="AK404" s="15" t="s">
        <v>15996</v>
      </c>
      <c r="AL404" s="15" t="s">
        <v>15997</v>
      </c>
      <c r="AM404" s="15" t="s">
        <v>15998</v>
      </c>
      <c r="AN404" s="15" t="s">
        <v>15999</v>
      </c>
      <c r="AO404" s="15" t="s">
        <v>16000</v>
      </c>
      <c r="AP404" s="15" t="s">
        <v>16001</v>
      </c>
      <c r="AQ404" s="15" t="s">
        <v>16002</v>
      </c>
      <c r="BH404" s="15" t="s">
        <v>5084</v>
      </c>
      <c r="BI404" s="15" t="str">
        <f t="shared" si="1212"/>
        <v>2399</v>
      </c>
      <c r="BJ404" s="15" t="str">
        <f t="shared" si="1213"/>
        <v>1010</v>
      </c>
      <c r="BK404" s="15" t="s">
        <v>742</v>
      </c>
      <c r="BL404" s="15" t="str">
        <f t="shared" si="1214"/>
        <v>1</v>
      </c>
      <c r="BM404" s="15" t="s">
        <v>416</v>
      </c>
      <c r="BN404" s="15" t="str">
        <f>"90.55"</f>
        <v>90.55</v>
      </c>
      <c r="BO404" s="15" t="str">
        <f>"43.31"</f>
        <v>43.31</v>
      </c>
      <c r="BP404" s="15" t="str">
        <f>"22.83"</f>
        <v>22.83</v>
      </c>
      <c r="BQ404" s="15" t="str">
        <f t="shared" si="1215"/>
        <v>194.01</v>
      </c>
      <c r="CG404" s="15" t="str">
        <f t="shared" si="1216"/>
        <v>51.81</v>
      </c>
      <c r="CH404" s="15" t="str">
        <f t="shared" si="1217"/>
        <v>1.467</v>
      </c>
      <c r="CI404" s="15" t="s">
        <v>465</v>
      </c>
      <c r="CJ404" s="15" t="s">
        <v>778</v>
      </c>
      <c r="CK404" s="15" t="s">
        <v>612</v>
      </c>
      <c r="CL404" s="15" t="s">
        <v>986</v>
      </c>
      <c r="CM404" s="15" t="s">
        <v>3781</v>
      </c>
      <c r="CN404" s="15" t="s">
        <v>1324</v>
      </c>
      <c r="CO404" s="15" t="s">
        <v>5081</v>
      </c>
      <c r="CZ404" s="15" t="s">
        <v>419</v>
      </c>
      <c r="DA404" s="15">
        <v>0.0</v>
      </c>
      <c r="DB404" s="15" t="s">
        <v>419</v>
      </c>
      <c r="DD404" s="15">
        <v>3.0</v>
      </c>
      <c r="DE404" s="15" t="s">
        <v>426</v>
      </c>
      <c r="DF404" s="15" t="s">
        <v>1186</v>
      </c>
      <c r="DG404" s="15" t="s">
        <v>610</v>
      </c>
      <c r="DI404" s="15">
        <v>18.14</v>
      </c>
      <c r="DJ404" s="15">
        <v>40.0</v>
      </c>
      <c r="DK404" s="15">
        <v>1.0</v>
      </c>
      <c r="DR404" s="15" t="s">
        <v>1906</v>
      </c>
      <c r="DS404" s="15" t="s">
        <v>5019</v>
      </c>
      <c r="EF404" s="15" t="s">
        <v>3954</v>
      </c>
      <c r="EU404" s="15" t="s">
        <v>426</v>
      </c>
      <c r="EV404" s="15">
        <v>5.0</v>
      </c>
      <c r="FH404" s="15" t="s">
        <v>5082</v>
      </c>
      <c r="FI404" s="15" t="s">
        <v>612</v>
      </c>
      <c r="FJ404" s="15" t="s">
        <v>5083</v>
      </c>
      <c r="FK404" s="15" t="s">
        <v>3781</v>
      </c>
      <c r="FL404" s="15" t="s">
        <v>2046</v>
      </c>
      <c r="FM404" s="15" t="s">
        <v>5081</v>
      </c>
      <c r="FQ404" s="15">
        <v>2.0</v>
      </c>
      <c r="FR404" s="15" t="s">
        <v>614</v>
      </c>
      <c r="FS404" s="15" t="s">
        <v>615</v>
      </c>
      <c r="FU404" s="15" t="s">
        <v>426</v>
      </c>
      <c r="FW404" s="15" t="s">
        <v>616</v>
      </c>
      <c r="GJ404" s="15" t="s">
        <v>778</v>
      </c>
      <c r="GK404" s="15" t="s">
        <v>760</v>
      </c>
      <c r="GL404" s="15" t="s">
        <v>986</v>
      </c>
      <c r="GZ404" s="15" t="s">
        <v>778</v>
      </c>
      <c r="HA404" s="15" t="s">
        <v>778</v>
      </c>
      <c r="HB404" s="15" t="s">
        <v>760</v>
      </c>
      <c r="HC404" s="15" t="s">
        <v>760</v>
      </c>
      <c r="HD404" s="15" t="s">
        <v>986</v>
      </c>
      <c r="HE404" s="15" t="s">
        <v>986</v>
      </c>
      <c r="HF404" s="15" t="s">
        <v>1957</v>
      </c>
      <c r="HQ404" s="15" t="s">
        <v>426</v>
      </c>
      <c r="KG404" s="15" t="s">
        <v>778</v>
      </c>
      <c r="KH404" s="15" t="s">
        <v>760</v>
      </c>
      <c r="KI404" s="15" t="s">
        <v>986</v>
      </c>
    </row>
    <row r="405" ht="17.25" customHeight="1">
      <c r="A405" s="15" t="s">
        <v>5090</v>
      </c>
      <c r="B405" s="15" t="str">
        <f>"801542153182"</f>
        <v>801542153182</v>
      </c>
      <c r="C405" s="15" t="s">
        <v>16003</v>
      </c>
      <c r="D405" s="15" t="str">
        <f t="shared" si="1"/>
        <v>Glenview Coffee TableWeathered Oak</v>
      </c>
      <c r="E405" s="15" t="s">
        <v>5088</v>
      </c>
      <c r="F405" s="15" t="s">
        <v>397</v>
      </c>
      <c r="G405" s="15" t="s">
        <v>5040</v>
      </c>
      <c r="J405" s="15" t="s">
        <v>5040</v>
      </c>
      <c r="K405" s="15" t="s">
        <v>3217</v>
      </c>
      <c r="M405" s="15" t="s">
        <v>2063</v>
      </c>
      <c r="N405" s="15" t="s">
        <v>491</v>
      </c>
      <c r="P405" s="15" t="str">
        <f>"55"</f>
        <v>55</v>
      </c>
      <c r="Q405" s="15" t="str">
        <f>"31"</f>
        <v>31</v>
      </c>
      <c r="R405" s="15" t="str">
        <f>"17"</f>
        <v>17</v>
      </c>
      <c r="S405" s="15" t="str">
        <f>"58.42"</f>
        <v>58.42</v>
      </c>
      <c r="T405" s="15" t="s">
        <v>4874</v>
      </c>
      <c r="U405" s="15" t="s">
        <v>11338</v>
      </c>
      <c r="V405" s="15" t="s">
        <v>10881</v>
      </c>
      <c r="AA405" s="15" t="s">
        <v>413</v>
      </c>
      <c r="AB405" s="15" t="s">
        <v>413</v>
      </c>
      <c r="AC405" s="15" t="s">
        <v>5093</v>
      </c>
      <c r="AD405" s="15" t="s">
        <v>16004</v>
      </c>
      <c r="AE405" s="15" t="s">
        <v>5092</v>
      </c>
      <c r="AF405" s="15" t="s">
        <v>16005</v>
      </c>
      <c r="AG405" s="15" t="s">
        <v>16006</v>
      </c>
      <c r="AH405" s="15" t="s">
        <v>16007</v>
      </c>
      <c r="AI405" s="15" t="s">
        <v>16008</v>
      </c>
      <c r="AJ405" s="15" t="s">
        <v>16009</v>
      </c>
      <c r="AK405" s="15" t="s">
        <v>16010</v>
      </c>
      <c r="AL405" s="15" t="s">
        <v>16011</v>
      </c>
      <c r="AM405" s="15" t="s">
        <v>16012</v>
      </c>
      <c r="AN405" s="15" t="s">
        <v>16013</v>
      </c>
      <c r="AO405" s="15" t="s">
        <v>16014</v>
      </c>
      <c r="BH405" s="15" t="s">
        <v>5089</v>
      </c>
      <c r="BI405" s="15" t="str">
        <f>"1299"</f>
        <v>1299</v>
      </c>
      <c r="BJ405" s="15" t="str">
        <f>"550"</f>
        <v>550</v>
      </c>
      <c r="BK405" s="15" t="s">
        <v>742</v>
      </c>
      <c r="BL405" s="15" t="str">
        <f t="shared" si="1214"/>
        <v>1</v>
      </c>
      <c r="BM405" s="15" t="s">
        <v>5088</v>
      </c>
      <c r="BN405" s="15" t="str">
        <f>"58.66"</f>
        <v>58.66</v>
      </c>
      <c r="BO405" s="15" t="str">
        <f>"34.45"</f>
        <v>34.45</v>
      </c>
      <c r="BP405" s="15" t="str">
        <f>"24.21"</f>
        <v>24.21</v>
      </c>
      <c r="BQ405" s="15" t="str">
        <f>"98.11"</f>
        <v>98.11</v>
      </c>
      <c r="CG405" s="15" t="str">
        <f>"28.32"</f>
        <v>28.32</v>
      </c>
      <c r="CH405" s="15" t="str">
        <f>"0.802"</f>
        <v>0.802</v>
      </c>
      <c r="CI405" s="15" t="s">
        <v>497</v>
      </c>
      <c r="CZ405" s="15" t="s">
        <v>419</v>
      </c>
      <c r="DA405" s="15">
        <v>0.0</v>
      </c>
      <c r="DB405" s="15" t="s">
        <v>419</v>
      </c>
      <c r="DD405" s="15">
        <v>0.0</v>
      </c>
      <c r="DF405" s="15" t="s">
        <v>1186</v>
      </c>
      <c r="DG405" s="15" t="s">
        <v>419</v>
      </c>
      <c r="DK405" s="15">
        <v>0.0</v>
      </c>
      <c r="DR405" s="15" t="s">
        <v>471</v>
      </c>
      <c r="DS405" s="15" t="s">
        <v>5019</v>
      </c>
      <c r="DU405" s="15" t="s">
        <v>500</v>
      </c>
      <c r="EF405" s="15" t="s">
        <v>504</v>
      </c>
      <c r="EH405" s="15" t="s">
        <v>2313</v>
      </c>
      <c r="EQ405" s="15" t="s">
        <v>4947</v>
      </c>
      <c r="ER405" s="15" t="s">
        <v>2648</v>
      </c>
      <c r="ES405" s="15" t="s">
        <v>1957</v>
      </c>
      <c r="ET405" s="15" t="s">
        <v>1957</v>
      </c>
      <c r="EV405" s="15">
        <v>0.0</v>
      </c>
      <c r="EW405" s="15">
        <v>0.0</v>
      </c>
    </row>
    <row r="406" ht="17.25" customHeight="1">
      <c r="A406" s="15" t="s">
        <v>5097</v>
      </c>
      <c r="B406" s="15" t="str">
        <f>"198394059442"</f>
        <v>198394059442</v>
      </c>
      <c r="C406" s="15" t="s">
        <v>16015</v>
      </c>
      <c r="D406" s="15" t="str">
        <f t="shared" si="1"/>
        <v>Glenview Console TableSmoked Black Oak</v>
      </c>
      <c r="E406" s="15" t="s">
        <v>5095</v>
      </c>
      <c r="F406" s="15" t="s">
        <v>397</v>
      </c>
      <c r="G406" s="15" t="s">
        <v>5012</v>
      </c>
      <c r="J406" s="15" t="s">
        <v>5012</v>
      </c>
      <c r="K406" s="15" t="s">
        <v>5008</v>
      </c>
      <c r="M406" s="15" t="s">
        <v>2063</v>
      </c>
      <c r="N406" s="15" t="s">
        <v>519</v>
      </c>
      <c r="P406" s="15" t="str">
        <f t="shared" ref="P406:P407" si="1218">"60"</f>
        <v>60</v>
      </c>
      <c r="Q406" s="15" t="str">
        <f t="shared" ref="Q406:Q407" si="1219">"20"</f>
        <v>20</v>
      </c>
      <c r="R406" s="15" t="str">
        <f t="shared" ref="R406:R408" si="1220">"31"</f>
        <v>31</v>
      </c>
      <c r="S406" s="15" t="str">
        <f t="shared" ref="S406:S407" si="1221">"56.66"</f>
        <v>56.66</v>
      </c>
      <c r="T406" s="15" t="s">
        <v>4874</v>
      </c>
      <c r="U406" s="15" t="s">
        <v>11338</v>
      </c>
      <c r="V406" s="15" t="s">
        <v>10881</v>
      </c>
      <c r="AA406" s="15" t="s">
        <v>413</v>
      </c>
      <c r="AB406" s="15" t="s">
        <v>413</v>
      </c>
      <c r="AD406" s="15" t="s">
        <v>16016</v>
      </c>
      <c r="AE406" s="15" t="s">
        <v>5099</v>
      </c>
      <c r="AF406" s="15" t="s">
        <v>16017</v>
      </c>
      <c r="AG406" s="15" t="s">
        <v>16018</v>
      </c>
      <c r="AH406" s="15" t="s">
        <v>16019</v>
      </c>
      <c r="AI406" s="15" t="s">
        <v>16020</v>
      </c>
      <c r="AJ406" s="15" t="s">
        <v>16021</v>
      </c>
      <c r="AK406" s="15" t="s">
        <v>16022</v>
      </c>
      <c r="AL406" s="15" t="s">
        <v>16023</v>
      </c>
      <c r="AM406" s="15" t="s">
        <v>16024</v>
      </c>
      <c r="BH406" s="15" t="s">
        <v>5096</v>
      </c>
      <c r="BI406" s="15" t="str">
        <f t="shared" ref="BI406:BI407" si="1222">"1399"</f>
        <v>1399</v>
      </c>
      <c r="BJ406" s="15" t="str">
        <f t="shared" ref="BJ406:BJ407" si="1223">"590"</f>
        <v>590</v>
      </c>
      <c r="BK406" s="15" t="s">
        <v>742</v>
      </c>
      <c r="BL406" s="15" t="str">
        <f t="shared" si="1214"/>
        <v>1</v>
      </c>
      <c r="BM406" s="15" t="s">
        <v>5100</v>
      </c>
      <c r="BN406" s="15" t="str">
        <f t="shared" ref="BN406:BN407" si="1224">"63.54"</f>
        <v>63.54</v>
      </c>
      <c r="BO406" s="15" t="str">
        <f t="shared" ref="BO406:BO407" si="1225">"23.54"</f>
        <v>23.54</v>
      </c>
      <c r="BP406" s="15" t="str">
        <f t="shared" ref="BP406:BP407" si="1226">"38.07"</f>
        <v>38.07</v>
      </c>
      <c r="BQ406" s="15" t="str">
        <f t="shared" ref="BQ406:BQ407" si="1227">"92.59"</f>
        <v>92.59</v>
      </c>
      <c r="CG406" s="15" t="str">
        <f t="shared" ref="CG406:CG407" si="1228">"32.95"</f>
        <v>32.95</v>
      </c>
      <c r="CH406" s="15" t="str">
        <f t="shared" ref="CH406:CH407" si="1229">"0.933"</f>
        <v>0.933</v>
      </c>
      <c r="CI406" s="15" t="s">
        <v>497</v>
      </c>
      <c r="CZ406" s="15" t="s">
        <v>419</v>
      </c>
      <c r="DA406" s="15">
        <v>0.0</v>
      </c>
      <c r="DB406" s="15" t="s">
        <v>419</v>
      </c>
      <c r="DD406" s="15">
        <v>0.0</v>
      </c>
      <c r="DF406" s="15" t="s">
        <v>1186</v>
      </c>
      <c r="DG406" s="15" t="s">
        <v>419</v>
      </c>
      <c r="DK406" s="15">
        <v>0.0</v>
      </c>
      <c r="DR406" s="15" t="s">
        <v>471</v>
      </c>
      <c r="DS406" s="15" t="s">
        <v>5019</v>
      </c>
      <c r="DU406" s="15" t="s">
        <v>500</v>
      </c>
      <c r="EF406" s="15" t="s">
        <v>5103</v>
      </c>
      <c r="EH406" s="15" t="s">
        <v>5104</v>
      </c>
      <c r="EQ406" s="15" t="s">
        <v>1324</v>
      </c>
      <c r="ER406" s="15" t="s">
        <v>4947</v>
      </c>
      <c r="ES406" s="15" t="s">
        <v>2388</v>
      </c>
      <c r="ET406" s="15" t="s">
        <v>1957</v>
      </c>
      <c r="EU406" s="15" t="s">
        <v>426</v>
      </c>
      <c r="EV406" s="15">
        <v>0.0</v>
      </c>
      <c r="EW406" s="15">
        <v>0.0</v>
      </c>
      <c r="FQ406" s="15">
        <v>0.0</v>
      </c>
      <c r="FR406" s="15" t="s">
        <v>427</v>
      </c>
    </row>
    <row r="407" ht="17.25" customHeight="1">
      <c r="A407" s="15" t="s">
        <v>5106</v>
      </c>
      <c r="B407" s="15" t="str">
        <f>"801542153199"</f>
        <v>801542153199</v>
      </c>
      <c r="C407" s="15" t="s">
        <v>16025</v>
      </c>
      <c r="D407" s="15" t="str">
        <f t="shared" si="1"/>
        <v>Glenview Console TableWeathered Oak</v>
      </c>
      <c r="E407" s="15" t="s">
        <v>5095</v>
      </c>
      <c r="F407" s="15" t="s">
        <v>397</v>
      </c>
      <c r="G407" s="15" t="s">
        <v>5040</v>
      </c>
      <c r="J407" s="15" t="s">
        <v>5040</v>
      </c>
      <c r="K407" s="15" t="s">
        <v>3217</v>
      </c>
      <c r="M407" s="15" t="s">
        <v>2063</v>
      </c>
      <c r="N407" s="15" t="s">
        <v>519</v>
      </c>
      <c r="P407" s="15" t="str">
        <f t="shared" si="1218"/>
        <v>60</v>
      </c>
      <c r="Q407" s="15" t="str">
        <f t="shared" si="1219"/>
        <v>20</v>
      </c>
      <c r="R407" s="15" t="str">
        <f t="shared" si="1220"/>
        <v>31</v>
      </c>
      <c r="S407" s="15" t="str">
        <f t="shared" si="1221"/>
        <v>56.66</v>
      </c>
      <c r="T407" s="15" t="s">
        <v>4874</v>
      </c>
      <c r="U407" s="15" t="s">
        <v>11338</v>
      </c>
      <c r="V407" s="15" t="s">
        <v>10881</v>
      </c>
      <c r="AA407" s="15" t="s">
        <v>413</v>
      </c>
      <c r="AB407" s="15" t="s">
        <v>413</v>
      </c>
      <c r="AC407" s="15" t="s">
        <v>5108</v>
      </c>
      <c r="AD407" s="15" t="s">
        <v>16026</v>
      </c>
      <c r="AE407" s="15" t="s">
        <v>5107</v>
      </c>
      <c r="AF407" s="15" t="s">
        <v>16027</v>
      </c>
      <c r="AG407" s="15" t="s">
        <v>16028</v>
      </c>
      <c r="AH407" s="15" t="s">
        <v>16029</v>
      </c>
      <c r="AI407" s="15" t="s">
        <v>16030</v>
      </c>
      <c r="AJ407" s="15" t="s">
        <v>16031</v>
      </c>
      <c r="AK407" s="15" t="s">
        <v>16032</v>
      </c>
      <c r="AL407" s="15" t="s">
        <v>16033</v>
      </c>
      <c r="AM407" s="15" t="s">
        <v>16034</v>
      </c>
      <c r="AN407" s="15" t="s">
        <v>16035</v>
      </c>
      <c r="AO407" s="15" t="s">
        <v>16036</v>
      </c>
      <c r="BH407" s="15" t="s">
        <v>5105</v>
      </c>
      <c r="BI407" s="15" t="str">
        <f t="shared" si="1222"/>
        <v>1399</v>
      </c>
      <c r="BJ407" s="15" t="str">
        <f t="shared" si="1223"/>
        <v>590</v>
      </c>
      <c r="BK407" s="15" t="s">
        <v>742</v>
      </c>
      <c r="BL407" s="15" t="str">
        <f t="shared" si="1214"/>
        <v>1</v>
      </c>
      <c r="BM407" s="15" t="s">
        <v>5100</v>
      </c>
      <c r="BN407" s="15" t="str">
        <f t="shared" si="1224"/>
        <v>63.54</v>
      </c>
      <c r="BO407" s="15" t="str">
        <f t="shared" si="1225"/>
        <v>23.54</v>
      </c>
      <c r="BP407" s="15" t="str">
        <f t="shared" si="1226"/>
        <v>38.07</v>
      </c>
      <c r="BQ407" s="15" t="str">
        <f t="shared" si="1227"/>
        <v>92.59</v>
      </c>
      <c r="CG407" s="15" t="str">
        <f t="shared" si="1228"/>
        <v>32.95</v>
      </c>
      <c r="CH407" s="15" t="str">
        <f t="shared" si="1229"/>
        <v>0.933</v>
      </c>
      <c r="CI407" s="15" t="s">
        <v>465</v>
      </c>
      <c r="CZ407" s="15" t="s">
        <v>419</v>
      </c>
      <c r="DA407" s="15">
        <v>0.0</v>
      </c>
      <c r="DB407" s="15" t="s">
        <v>419</v>
      </c>
      <c r="DD407" s="15">
        <v>0.0</v>
      </c>
      <c r="DF407" s="15" t="s">
        <v>1186</v>
      </c>
      <c r="DG407" s="15" t="s">
        <v>419</v>
      </c>
      <c r="DK407" s="15">
        <v>0.0</v>
      </c>
      <c r="DR407" s="15" t="s">
        <v>471</v>
      </c>
      <c r="DS407" s="15" t="s">
        <v>5019</v>
      </c>
      <c r="DU407" s="15" t="s">
        <v>500</v>
      </c>
      <c r="EF407" s="15" t="s">
        <v>5103</v>
      </c>
      <c r="EH407" s="15" t="s">
        <v>5104</v>
      </c>
      <c r="EQ407" s="15" t="s">
        <v>1324</v>
      </c>
      <c r="ER407" s="15" t="s">
        <v>4947</v>
      </c>
      <c r="ES407" s="15" t="s">
        <v>2388</v>
      </c>
      <c r="ET407" s="15" t="s">
        <v>1957</v>
      </c>
      <c r="EU407" s="15" t="s">
        <v>426</v>
      </c>
      <c r="EV407" s="15">
        <v>0.0</v>
      </c>
      <c r="EW407" s="15">
        <v>0.0</v>
      </c>
      <c r="FQ407" s="15">
        <v>0.0</v>
      </c>
      <c r="FR407" s="15" t="s">
        <v>427</v>
      </c>
    </row>
    <row r="408" ht="17.25" customHeight="1">
      <c r="A408" s="15" t="s">
        <v>5111</v>
      </c>
      <c r="B408" s="15" t="str">
        <f>"801542134303"</f>
        <v>801542134303</v>
      </c>
      <c r="C408" s="15" t="s">
        <v>16037</v>
      </c>
      <c r="D408" s="15" t="str">
        <f t="shared" si="1"/>
        <v>Glenview DeskWeathered Oak Veneer</v>
      </c>
      <c r="E408" s="15" t="s">
        <v>5109</v>
      </c>
      <c r="F408" s="15" t="s">
        <v>397</v>
      </c>
      <c r="G408" s="15" t="s">
        <v>3217</v>
      </c>
      <c r="J408" s="15" t="s">
        <v>3217</v>
      </c>
      <c r="M408" s="15" t="s">
        <v>2063</v>
      </c>
      <c r="N408" s="15" t="s">
        <v>2134</v>
      </c>
      <c r="O408" s="15" t="s">
        <v>2135</v>
      </c>
      <c r="P408" s="15" t="str">
        <f>"67.5"</f>
        <v>67.5</v>
      </c>
      <c r="Q408" s="15" t="str">
        <f>"27.5"</f>
        <v>27.5</v>
      </c>
      <c r="R408" s="15" t="str">
        <f t="shared" si="1220"/>
        <v>31</v>
      </c>
      <c r="S408" s="15" t="str">
        <f>"148.37"</f>
        <v>148.37</v>
      </c>
      <c r="T408" s="15" t="s">
        <v>1025</v>
      </c>
      <c r="U408" s="15" t="s">
        <v>10881</v>
      </c>
      <c r="V408" s="15" t="s">
        <v>11338</v>
      </c>
      <c r="AA408" s="15" t="s">
        <v>413</v>
      </c>
      <c r="AB408" s="15" t="s">
        <v>413</v>
      </c>
      <c r="AC408" s="15" t="s">
        <v>5115</v>
      </c>
      <c r="AD408" s="15" t="s">
        <v>16038</v>
      </c>
      <c r="AE408" s="15" t="s">
        <v>5113</v>
      </c>
      <c r="AF408" s="15" t="s">
        <v>16039</v>
      </c>
      <c r="AG408" s="15" t="s">
        <v>16040</v>
      </c>
      <c r="AH408" s="15" t="s">
        <v>16041</v>
      </c>
      <c r="AI408" s="15" t="s">
        <v>16042</v>
      </c>
      <c r="AJ408" s="15" t="s">
        <v>16043</v>
      </c>
      <c r="AK408" s="15" t="s">
        <v>16044</v>
      </c>
      <c r="AL408" s="15" t="s">
        <v>16045</v>
      </c>
      <c r="AM408" s="15" t="s">
        <v>16046</v>
      </c>
      <c r="AN408" s="15" t="s">
        <v>16047</v>
      </c>
      <c r="AO408" s="15" t="s">
        <v>16048</v>
      </c>
      <c r="AP408" s="15" t="s">
        <v>16049</v>
      </c>
      <c r="AQ408" s="15" t="s">
        <v>16050</v>
      </c>
      <c r="AR408" s="15" t="s">
        <v>16051</v>
      </c>
      <c r="AS408" s="15" t="s">
        <v>16052</v>
      </c>
      <c r="AT408" s="15" t="s">
        <v>16053</v>
      </c>
      <c r="BH408" s="15" t="s">
        <v>5110</v>
      </c>
      <c r="BI408" s="15" t="str">
        <f>"1999"</f>
        <v>1999</v>
      </c>
      <c r="BJ408" s="15" t="str">
        <f>"840"</f>
        <v>840</v>
      </c>
      <c r="BK408" s="15" t="s">
        <v>742</v>
      </c>
      <c r="BL408" s="15" t="str">
        <f t="shared" si="1214"/>
        <v>1</v>
      </c>
      <c r="BM408" s="15" t="s">
        <v>416</v>
      </c>
      <c r="BN408" s="15" t="str">
        <f>"70.87"</f>
        <v>70.87</v>
      </c>
      <c r="BO408" s="15" t="str">
        <f>"37.4"</f>
        <v>37.4</v>
      </c>
      <c r="BP408" s="15" t="str">
        <f>"30.71"</f>
        <v>30.71</v>
      </c>
      <c r="BQ408" s="15" t="str">
        <f>"193.35"</f>
        <v>193.35</v>
      </c>
      <c r="CG408" s="15" t="str">
        <f>"47.11"</f>
        <v>47.11</v>
      </c>
      <c r="CH408" s="15" t="str">
        <f>"1.334"</f>
        <v>1.334</v>
      </c>
      <c r="CI408" s="15" t="s">
        <v>497</v>
      </c>
      <c r="CZ408" s="15" t="s">
        <v>1371</v>
      </c>
      <c r="DA408" s="15">
        <v>5.0</v>
      </c>
      <c r="DB408" s="15" t="s">
        <v>419</v>
      </c>
      <c r="DD408" s="15">
        <v>0.0</v>
      </c>
      <c r="DF408" s="15" t="s">
        <v>1186</v>
      </c>
      <c r="DG408" s="15" t="s">
        <v>421</v>
      </c>
      <c r="DK408" s="15">
        <v>0.0</v>
      </c>
      <c r="DR408" s="15" t="s">
        <v>2137</v>
      </c>
      <c r="DS408" s="15" t="s">
        <v>5019</v>
      </c>
      <c r="DU408" s="15" t="s">
        <v>500</v>
      </c>
      <c r="EF408" s="15" t="s">
        <v>5118</v>
      </c>
      <c r="EG408" s="15" t="s">
        <v>2652</v>
      </c>
      <c r="EH408" s="15" t="s">
        <v>5119</v>
      </c>
      <c r="EQ408" s="15" t="s">
        <v>5120</v>
      </c>
      <c r="ER408" s="15" t="s">
        <v>4947</v>
      </c>
      <c r="ES408" s="15" t="s">
        <v>4685</v>
      </c>
      <c r="ET408" s="15" t="s">
        <v>612</v>
      </c>
      <c r="EU408" s="15" t="s">
        <v>426</v>
      </c>
      <c r="EV408" s="15">
        <v>0.0</v>
      </c>
      <c r="FE408" s="15" t="s">
        <v>2273</v>
      </c>
      <c r="FQ408" s="15">
        <v>0.0</v>
      </c>
      <c r="FR408" s="15" t="s">
        <v>427</v>
      </c>
      <c r="FZ408" s="15" t="s">
        <v>504</v>
      </c>
      <c r="GA408" s="15" t="s">
        <v>504</v>
      </c>
      <c r="GB408" s="15" t="s">
        <v>5121</v>
      </c>
      <c r="GC408" s="15" t="s">
        <v>5122</v>
      </c>
      <c r="GD408" s="15" t="s">
        <v>5123</v>
      </c>
      <c r="GE408" s="15" t="s">
        <v>5123</v>
      </c>
      <c r="GF408" s="15" t="s">
        <v>431</v>
      </c>
      <c r="GM408" s="15">
        <v>0.0</v>
      </c>
      <c r="HG408" s="15" t="s">
        <v>504</v>
      </c>
      <c r="HI408" s="15" t="s">
        <v>2465</v>
      </c>
      <c r="HK408" s="15" t="s">
        <v>3955</v>
      </c>
      <c r="HP408" s="15" t="s">
        <v>426</v>
      </c>
    </row>
    <row r="409" ht="17.25" customHeight="1">
      <c r="A409" s="15" t="s">
        <v>5126</v>
      </c>
      <c r="B409" s="15" t="str">
        <f>"198394059473"</f>
        <v>198394059473</v>
      </c>
      <c r="C409" s="15" t="s">
        <v>16054</v>
      </c>
      <c r="D409" s="15" t="str">
        <f t="shared" si="1"/>
        <v>Glenview NightstandCracked Smoked Black Veneer</v>
      </c>
      <c r="E409" s="15" t="s">
        <v>5124</v>
      </c>
      <c r="F409" s="15" t="s">
        <v>397</v>
      </c>
      <c r="G409" s="15" t="s">
        <v>5008</v>
      </c>
      <c r="J409" s="15" t="s">
        <v>5008</v>
      </c>
      <c r="K409" s="15" t="s">
        <v>5012</v>
      </c>
      <c r="M409" s="15" t="s">
        <v>2063</v>
      </c>
      <c r="N409" s="15" t="s">
        <v>628</v>
      </c>
      <c r="P409" s="15" t="str">
        <f t="shared" ref="P409:P413" si="1230">"32"</f>
        <v>32</v>
      </c>
      <c r="Q409" s="15" t="str">
        <f>"18"</f>
        <v>18</v>
      </c>
      <c r="R409" s="15" t="str">
        <f>"26"</f>
        <v>26</v>
      </c>
      <c r="S409" s="15" t="str">
        <f>"89.29"</f>
        <v>89.29</v>
      </c>
      <c r="T409" s="15" t="s">
        <v>1025</v>
      </c>
      <c r="U409" s="15" t="s">
        <v>10881</v>
      </c>
      <c r="V409" s="15" t="s">
        <v>11338</v>
      </c>
      <c r="AA409" s="15" t="s">
        <v>413</v>
      </c>
      <c r="AB409" s="15" t="s">
        <v>413</v>
      </c>
      <c r="AC409" s="15" t="s">
        <v>5128</v>
      </c>
      <c r="AD409" s="15" t="s">
        <v>16055</v>
      </c>
      <c r="AE409" s="15" t="s">
        <v>5127</v>
      </c>
      <c r="AF409" s="15" t="s">
        <v>16056</v>
      </c>
      <c r="AG409" s="15" t="s">
        <v>16057</v>
      </c>
      <c r="AH409" s="15" t="s">
        <v>16058</v>
      </c>
      <c r="AI409" s="15" t="s">
        <v>16059</v>
      </c>
      <c r="AJ409" s="15" t="s">
        <v>16060</v>
      </c>
      <c r="AK409" s="15" t="s">
        <v>16061</v>
      </c>
      <c r="AL409" s="15" t="s">
        <v>16062</v>
      </c>
      <c r="AM409" s="15" t="s">
        <v>16063</v>
      </c>
      <c r="AN409" s="15" t="s">
        <v>16064</v>
      </c>
      <c r="AO409" s="15" t="s">
        <v>16065</v>
      </c>
      <c r="AP409" s="15" t="s">
        <v>16066</v>
      </c>
      <c r="AQ409" s="15" t="s">
        <v>16067</v>
      </c>
      <c r="AR409" s="15" t="s">
        <v>16068</v>
      </c>
      <c r="AS409" s="15" t="s">
        <v>16069</v>
      </c>
      <c r="BH409" s="15" t="s">
        <v>5125</v>
      </c>
      <c r="BI409" s="15" t="str">
        <f>"1049"</f>
        <v>1049</v>
      </c>
      <c r="BJ409" s="15" t="str">
        <f>"445"</f>
        <v>445</v>
      </c>
      <c r="BK409" s="15" t="s">
        <v>742</v>
      </c>
      <c r="BL409" s="15" t="str">
        <f t="shared" si="1214"/>
        <v>1</v>
      </c>
      <c r="BM409" s="15" t="s">
        <v>1439</v>
      </c>
      <c r="BN409" s="15" t="str">
        <f>"35.04"</f>
        <v>35.04</v>
      </c>
      <c r="BO409" s="15" t="str">
        <f>"21.46"</f>
        <v>21.46</v>
      </c>
      <c r="BP409" s="15" t="str">
        <f>"32.28"</f>
        <v>32.28</v>
      </c>
      <c r="BQ409" s="15" t="str">
        <f>"110.23"</f>
        <v>110.23</v>
      </c>
      <c r="CG409" s="15" t="str">
        <f>"14.06"</f>
        <v>14.06</v>
      </c>
      <c r="CH409" s="15" t="str">
        <f>"0.398"</f>
        <v>0.398</v>
      </c>
      <c r="CI409" s="15" t="s">
        <v>497</v>
      </c>
      <c r="CZ409" s="15" t="s">
        <v>1371</v>
      </c>
      <c r="DA409" s="15">
        <v>3.0</v>
      </c>
      <c r="DB409" s="15" t="s">
        <v>419</v>
      </c>
      <c r="DD409" s="15">
        <v>0.0</v>
      </c>
      <c r="DF409" s="15" t="s">
        <v>1186</v>
      </c>
      <c r="DG409" s="15" t="s">
        <v>421</v>
      </c>
      <c r="DK409" s="15">
        <v>0.0</v>
      </c>
      <c r="DR409" s="15" t="s">
        <v>471</v>
      </c>
      <c r="DS409" s="15" t="s">
        <v>5019</v>
      </c>
      <c r="DU409" s="15" t="s">
        <v>500</v>
      </c>
      <c r="EF409" s="15" t="s">
        <v>759</v>
      </c>
      <c r="EU409" s="15" t="s">
        <v>426</v>
      </c>
      <c r="EV409" s="15">
        <v>0.0</v>
      </c>
      <c r="FQ409" s="15">
        <v>0.0</v>
      </c>
      <c r="FR409" s="15" t="s">
        <v>427</v>
      </c>
      <c r="FZ409" s="15" t="s">
        <v>5129</v>
      </c>
      <c r="GB409" s="15" t="s">
        <v>1410</v>
      </c>
      <c r="GD409" s="15" t="s">
        <v>1482</v>
      </c>
      <c r="GF409" s="15" t="s">
        <v>431</v>
      </c>
    </row>
    <row r="410" ht="17.25" customHeight="1">
      <c r="A410" s="15" t="s">
        <v>5133</v>
      </c>
      <c r="B410" s="15" t="str">
        <f>"801542976583"</f>
        <v>801542976583</v>
      </c>
      <c r="C410" s="15" t="s">
        <v>16070</v>
      </c>
      <c r="D410" s="15" t="str">
        <f t="shared" si="1"/>
        <v>Goetz Bar + Counter TableBrown Oak Veneer42.5</v>
      </c>
      <c r="E410" s="15" t="s">
        <v>5130</v>
      </c>
      <c r="F410" s="15" t="s">
        <v>397</v>
      </c>
      <c r="G410" s="15" t="s">
        <v>5132</v>
      </c>
      <c r="H410" s="15" t="s">
        <v>265</v>
      </c>
      <c r="I410" s="15">
        <v>42.5</v>
      </c>
      <c r="J410" s="15" t="s">
        <v>5132</v>
      </c>
      <c r="M410" s="15" t="s">
        <v>2193</v>
      </c>
      <c r="N410" s="15" t="s">
        <v>548</v>
      </c>
      <c r="O410" s="15" t="s">
        <v>4401</v>
      </c>
      <c r="P410" s="15" t="str">
        <f t="shared" si="1230"/>
        <v>32</v>
      </c>
      <c r="Q410" s="15" t="str">
        <f t="shared" ref="Q410:Q413" si="1232">"32"</f>
        <v>32</v>
      </c>
      <c r="R410" s="15" t="str">
        <f>"42.5"</f>
        <v>42.5</v>
      </c>
      <c r="S410" s="15" t="str">
        <f>"69.89"</f>
        <v>69.89</v>
      </c>
      <c r="T410" s="15" t="s">
        <v>2354</v>
      </c>
      <c r="U410" s="15" t="s">
        <v>11553</v>
      </c>
      <c r="V410" s="15" t="s">
        <v>11338</v>
      </c>
      <c r="AA410" s="15" t="s">
        <v>413</v>
      </c>
      <c r="AB410" s="15" t="s">
        <v>413</v>
      </c>
      <c r="AC410" s="15" t="s">
        <v>5136</v>
      </c>
      <c r="AD410" s="15" t="s">
        <v>16071</v>
      </c>
      <c r="AE410" s="15" t="s">
        <v>5135</v>
      </c>
      <c r="AF410" s="15" t="s">
        <v>16072</v>
      </c>
      <c r="AG410" s="15" t="s">
        <v>16073</v>
      </c>
      <c r="AH410" s="15" t="s">
        <v>16074</v>
      </c>
      <c r="AI410" s="15" t="s">
        <v>16075</v>
      </c>
      <c r="AJ410" s="15" t="s">
        <v>16076</v>
      </c>
      <c r="AK410" s="15" t="s">
        <v>16077</v>
      </c>
      <c r="AL410" s="15" t="s">
        <v>16078</v>
      </c>
      <c r="AM410" s="15" t="s">
        <v>16079</v>
      </c>
      <c r="AN410" s="15" t="s">
        <v>16080</v>
      </c>
      <c r="AO410" s="15" t="s">
        <v>16081</v>
      </c>
      <c r="AP410" s="15" t="s">
        <v>16082</v>
      </c>
      <c r="AQ410" s="15" t="s">
        <v>16083</v>
      </c>
      <c r="AR410" s="15" t="s">
        <v>16084</v>
      </c>
      <c r="BH410" s="15" t="s">
        <v>5131</v>
      </c>
      <c r="BI410" s="15" t="str">
        <f>"1449"</f>
        <v>1449</v>
      </c>
      <c r="BJ410" s="15" t="str">
        <f>"610"</f>
        <v>610</v>
      </c>
      <c r="BK410" s="15" t="s">
        <v>709</v>
      </c>
      <c r="BL410" s="15" t="str">
        <f t="shared" ref="BL410:BL413" si="1233">"2"</f>
        <v>2</v>
      </c>
      <c r="BM410" s="15" t="s">
        <v>1564</v>
      </c>
      <c r="BN410" s="15" t="str">
        <f t="shared" ref="BN410:BN411" si="1234">"33.46"</f>
        <v>33.46</v>
      </c>
      <c r="BO410" s="15" t="str">
        <f t="shared" ref="BO410:BO411" si="1235">"2.95"</f>
        <v>2.95</v>
      </c>
      <c r="BP410" s="15" t="str">
        <f t="shared" ref="BP410:BP411" si="1236">"33.46"</f>
        <v>33.46</v>
      </c>
      <c r="BQ410" s="15" t="str">
        <f t="shared" ref="BQ410:BQ411" si="1237">"16.53"</f>
        <v>16.53</v>
      </c>
      <c r="BR410" s="15" t="s">
        <v>2238</v>
      </c>
      <c r="BS410" s="15" t="str">
        <f t="shared" ref="BS410:BT410" si="1231">"22.44"</f>
        <v>22.44</v>
      </c>
      <c r="BT410" s="15" t="str">
        <f t="shared" si="1231"/>
        <v>22.44</v>
      </c>
      <c r="BU410" s="15" t="str">
        <f>"43.43"</f>
        <v>43.43</v>
      </c>
      <c r="BV410" s="15" t="str">
        <f>"74.96"</f>
        <v>74.96</v>
      </c>
      <c r="CG410" s="15" t="str">
        <f>"14.55"</f>
        <v>14.55</v>
      </c>
      <c r="CH410" s="15" t="str">
        <f>"0.412"</f>
        <v>0.412</v>
      </c>
      <c r="CI410" s="15" t="s">
        <v>497</v>
      </c>
      <c r="CZ410" s="15" t="s">
        <v>419</v>
      </c>
      <c r="DA410" s="15">
        <v>0.0</v>
      </c>
      <c r="DB410" s="15" t="s">
        <v>419</v>
      </c>
      <c r="DD410" s="15">
        <v>0.0</v>
      </c>
      <c r="DF410" s="15" t="s">
        <v>1388</v>
      </c>
      <c r="DG410" s="15" t="s">
        <v>419</v>
      </c>
      <c r="DI410" s="15">
        <v>0.0</v>
      </c>
      <c r="DJ410" s="15">
        <v>0.0</v>
      </c>
      <c r="DK410" s="15">
        <v>0.0</v>
      </c>
      <c r="DQ410" s="15">
        <v>2.0</v>
      </c>
      <c r="DR410" s="15" t="s">
        <v>1157</v>
      </c>
      <c r="DS410" s="15" t="s">
        <v>5140</v>
      </c>
      <c r="DU410" s="15" t="s">
        <v>500</v>
      </c>
      <c r="EF410" s="15" t="s">
        <v>5141</v>
      </c>
      <c r="EQ410" s="15" t="s">
        <v>467</v>
      </c>
      <c r="ER410" s="15" t="s">
        <v>5141</v>
      </c>
      <c r="ES410" s="15" t="s">
        <v>467</v>
      </c>
      <c r="ET410" s="15" t="s">
        <v>612</v>
      </c>
      <c r="EU410" s="15" t="s">
        <v>426</v>
      </c>
      <c r="EV410" s="15">
        <v>0.0</v>
      </c>
      <c r="EW410" s="15">
        <v>0.0</v>
      </c>
      <c r="FF410" s="15" t="s">
        <v>762</v>
      </c>
      <c r="IO410" s="15" t="s">
        <v>4412</v>
      </c>
    </row>
    <row r="411" ht="17.25" customHeight="1">
      <c r="A411" s="15" t="s">
        <v>5143</v>
      </c>
      <c r="B411" s="15" t="str">
        <f>"801542976606"</f>
        <v>801542976606</v>
      </c>
      <c r="C411" s="15" t="s">
        <v>16070</v>
      </c>
      <c r="D411" s="15" t="str">
        <f t="shared" si="1"/>
        <v>Goetz Bar + Counter TableBrown Oak Veneer36.5</v>
      </c>
      <c r="E411" s="15" t="s">
        <v>5130</v>
      </c>
      <c r="F411" s="15" t="s">
        <v>397</v>
      </c>
      <c r="G411" s="15" t="s">
        <v>5132</v>
      </c>
      <c r="H411" s="15" t="s">
        <v>265</v>
      </c>
      <c r="I411" s="15">
        <v>36.5</v>
      </c>
      <c r="J411" s="15" t="s">
        <v>5132</v>
      </c>
      <c r="M411" s="15" t="s">
        <v>2193</v>
      </c>
      <c r="N411" s="15" t="s">
        <v>548</v>
      </c>
      <c r="O411" s="15" t="s">
        <v>4401</v>
      </c>
      <c r="P411" s="15" t="str">
        <f t="shared" si="1230"/>
        <v>32</v>
      </c>
      <c r="Q411" s="15" t="str">
        <f t="shared" si="1232"/>
        <v>32</v>
      </c>
      <c r="R411" s="15" t="str">
        <f>"36.5"</f>
        <v>36.5</v>
      </c>
      <c r="S411" s="15" t="str">
        <f>"65.7"</f>
        <v>65.7</v>
      </c>
      <c r="T411" s="15" t="s">
        <v>2354</v>
      </c>
      <c r="U411" s="15" t="s">
        <v>11553</v>
      </c>
      <c r="V411" s="15" t="s">
        <v>11338</v>
      </c>
      <c r="AA411" s="15" t="s">
        <v>413</v>
      </c>
      <c r="AB411" s="15" t="s">
        <v>413</v>
      </c>
      <c r="AC411" s="15" t="s">
        <v>5146</v>
      </c>
      <c r="AD411" s="15" t="s">
        <v>16085</v>
      </c>
      <c r="AE411" s="15" t="s">
        <v>5145</v>
      </c>
      <c r="AF411" s="15" t="s">
        <v>16073</v>
      </c>
      <c r="AG411" s="15" t="s">
        <v>16086</v>
      </c>
      <c r="AH411" s="15" t="s">
        <v>16087</v>
      </c>
      <c r="AI411" s="15" t="s">
        <v>16088</v>
      </c>
      <c r="AJ411" s="15" t="s">
        <v>16089</v>
      </c>
      <c r="AK411" s="15" t="s">
        <v>16090</v>
      </c>
      <c r="BH411" s="15" t="s">
        <v>5142</v>
      </c>
      <c r="BI411" s="15" t="str">
        <f>"1399"</f>
        <v>1399</v>
      </c>
      <c r="BJ411" s="15" t="str">
        <f>"590"</f>
        <v>590</v>
      </c>
      <c r="BK411" s="15" t="s">
        <v>709</v>
      </c>
      <c r="BL411" s="15" t="str">
        <f t="shared" si="1233"/>
        <v>2</v>
      </c>
      <c r="BM411" s="15" t="s">
        <v>1564</v>
      </c>
      <c r="BN411" s="15" t="str">
        <f t="shared" si="1234"/>
        <v>33.46</v>
      </c>
      <c r="BO411" s="15" t="str">
        <f t="shared" si="1235"/>
        <v>2.95</v>
      </c>
      <c r="BP411" s="15" t="str">
        <f t="shared" si="1236"/>
        <v>33.46</v>
      </c>
      <c r="BQ411" s="15" t="str">
        <f t="shared" si="1237"/>
        <v>16.53</v>
      </c>
      <c r="BR411" s="15" t="s">
        <v>2238</v>
      </c>
      <c r="BS411" s="15" t="str">
        <f t="shared" ref="BS411:BT411" si="1238">"22.44"</f>
        <v>22.44</v>
      </c>
      <c r="BT411" s="15" t="str">
        <f t="shared" si="1238"/>
        <v>22.44</v>
      </c>
      <c r="BU411" s="15" t="str">
        <f>"37.44"</f>
        <v>37.44</v>
      </c>
      <c r="BV411" s="15" t="str">
        <f>"72.75"</f>
        <v>72.75</v>
      </c>
      <c r="CG411" s="15" t="str">
        <f>"12.82"</f>
        <v>12.82</v>
      </c>
      <c r="CH411" s="15" t="str">
        <f>"0.363"</f>
        <v>0.363</v>
      </c>
      <c r="CI411" s="15" t="s">
        <v>465</v>
      </c>
      <c r="CZ411" s="15" t="s">
        <v>419</v>
      </c>
      <c r="DA411" s="15">
        <v>0.0</v>
      </c>
      <c r="DB411" s="15" t="s">
        <v>419</v>
      </c>
      <c r="DD411" s="15">
        <v>0.0</v>
      </c>
      <c r="DF411" s="15" t="s">
        <v>1388</v>
      </c>
      <c r="DG411" s="15" t="s">
        <v>419</v>
      </c>
      <c r="DI411" s="15">
        <v>0.0</v>
      </c>
      <c r="DJ411" s="15">
        <v>0.0</v>
      </c>
      <c r="DK411" s="15">
        <v>0.0</v>
      </c>
      <c r="DQ411" s="15">
        <v>2.0</v>
      </c>
      <c r="DR411" s="15" t="s">
        <v>1157</v>
      </c>
      <c r="DS411" s="15" t="s">
        <v>5140</v>
      </c>
      <c r="DU411" s="15" t="s">
        <v>500</v>
      </c>
      <c r="EF411" s="15" t="s">
        <v>4959</v>
      </c>
      <c r="EQ411" s="15" t="s">
        <v>467</v>
      </c>
      <c r="ER411" s="15" t="s">
        <v>4959</v>
      </c>
      <c r="ES411" s="15" t="s">
        <v>467</v>
      </c>
      <c r="ET411" s="15" t="s">
        <v>612</v>
      </c>
      <c r="EU411" s="15" t="s">
        <v>426</v>
      </c>
      <c r="EV411" s="15">
        <v>0.0</v>
      </c>
      <c r="EW411" s="15">
        <v>0.0</v>
      </c>
      <c r="FF411" s="15" t="s">
        <v>762</v>
      </c>
      <c r="IO411" s="15" t="s">
        <v>4593</v>
      </c>
    </row>
    <row r="412" ht="17.25" customHeight="1">
      <c r="A412" s="15" t="s">
        <v>5150</v>
      </c>
      <c r="B412" s="15" t="str">
        <f>"801542976576"</f>
        <v>801542976576</v>
      </c>
      <c r="C412" s="15" t="s">
        <v>16091</v>
      </c>
      <c r="D412" s="15" t="str">
        <f t="shared" si="1"/>
        <v>Goetz Bar + Counter TableBrown Oak42.5</v>
      </c>
      <c r="E412" s="15" t="s">
        <v>5130</v>
      </c>
      <c r="F412" s="15" t="s">
        <v>397</v>
      </c>
      <c r="G412" s="15" t="s">
        <v>5149</v>
      </c>
      <c r="H412" s="15" t="s">
        <v>265</v>
      </c>
      <c r="I412" s="15">
        <v>42.5</v>
      </c>
      <c r="J412" s="15" t="s">
        <v>2246</v>
      </c>
      <c r="K412" s="15" t="s">
        <v>5149</v>
      </c>
      <c r="M412" s="15" t="s">
        <v>2193</v>
      </c>
      <c r="N412" s="15" t="s">
        <v>548</v>
      </c>
      <c r="O412" s="15" t="s">
        <v>4401</v>
      </c>
      <c r="P412" s="15" t="str">
        <f t="shared" si="1230"/>
        <v>32</v>
      </c>
      <c r="Q412" s="15" t="str">
        <f t="shared" si="1232"/>
        <v>32</v>
      </c>
      <c r="R412" s="15" t="str">
        <f>"42.5"</f>
        <v>42.5</v>
      </c>
      <c r="S412" s="15" t="str">
        <f>"108.47"</f>
        <v>108.47</v>
      </c>
      <c r="T412" s="15" t="s">
        <v>5153</v>
      </c>
      <c r="U412" s="15" t="s">
        <v>11754</v>
      </c>
      <c r="V412" s="15" t="s">
        <v>11338</v>
      </c>
      <c r="AA412" s="15" t="s">
        <v>413</v>
      </c>
      <c r="AB412" s="15" t="s">
        <v>413</v>
      </c>
      <c r="AC412" s="15" t="s">
        <v>5154</v>
      </c>
      <c r="AD412" s="15" t="s">
        <v>16092</v>
      </c>
      <c r="AE412" s="15" t="s">
        <v>5152</v>
      </c>
      <c r="AF412" s="15" t="s">
        <v>16093</v>
      </c>
      <c r="AG412" s="15" t="s">
        <v>16094</v>
      </c>
      <c r="AH412" s="15" t="s">
        <v>16095</v>
      </c>
      <c r="AI412" s="15" t="s">
        <v>16096</v>
      </c>
      <c r="AJ412" s="15" t="s">
        <v>16097</v>
      </c>
      <c r="AK412" s="15" t="s">
        <v>16098</v>
      </c>
      <c r="BH412" s="15" t="s">
        <v>5148</v>
      </c>
      <c r="BI412" s="15" t="str">
        <f>"1899"</f>
        <v>1899</v>
      </c>
      <c r="BJ412" s="15" t="str">
        <f>"800"</f>
        <v>800</v>
      </c>
      <c r="BK412" s="15" t="s">
        <v>709</v>
      </c>
      <c r="BL412" s="15" t="str">
        <f t="shared" si="1233"/>
        <v>2</v>
      </c>
      <c r="BM412" s="15" t="s">
        <v>1564</v>
      </c>
      <c r="BN412" s="15" t="str">
        <f t="shared" ref="BN412:BN413" si="1240">"37.4"</f>
        <v>37.4</v>
      </c>
      <c r="BO412" s="15" t="str">
        <f t="shared" ref="BO412:BO413" si="1241">"3.94"</f>
        <v>3.94</v>
      </c>
      <c r="BP412" s="15" t="str">
        <f t="shared" ref="BP412:BP413" si="1242">"37.4"</f>
        <v>37.4</v>
      </c>
      <c r="BQ412" s="15" t="str">
        <f t="shared" ref="BQ412:BQ413" si="1243">"80.47"</f>
        <v>80.47</v>
      </c>
      <c r="BR412" s="15" t="s">
        <v>2238</v>
      </c>
      <c r="BS412" s="15" t="str">
        <f t="shared" ref="BS412:BT412" si="1239">"22.44"</f>
        <v>22.44</v>
      </c>
      <c r="BT412" s="15" t="str">
        <f t="shared" si="1239"/>
        <v>22.44</v>
      </c>
      <c r="BU412" s="15" t="str">
        <f>"43.43"</f>
        <v>43.43</v>
      </c>
      <c r="BV412" s="15" t="str">
        <f>"74.96"</f>
        <v>74.96</v>
      </c>
      <c r="CG412" s="15" t="str">
        <f>"15.82"</f>
        <v>15.82</v>
      </c>
      <c r="CH412" s="15" t="str">
        <f>"0.448"</f>
        <v>0.448</v>
      </c>
      <c r="CI412" s="15" t="s">
        <v>497</v>
      </c>
      <c r="CZ412" s="15" t="s">
        <v>419</v>
      </c>
      <c r="DA412" s="15">
        <v>0.0</v>
      </c>
      <c r="DB412" s="15" t="s">
        <v>419</v>
      </c>
      <c r="DD412" s="15">
        <v>0.0</v>
      </c>
      <c r="DF412" s="15" t="s">
        <v>1388</v>
      </c>
      <c r="DG412" s="15" t="s">
        <v>419</v>
      </c>
      <c r="DI412" s="15">
        <v>0.0</v>
      </c>
      <c r="DJ412" s="15">
        <v>0.0</v>
      </c>
      <c r="DK412" s="15">
        <v>0.0</v>
      </c>
      <c r="DQ412" s="15">
        <v>2.0</v>
      </c>
      <c r="DR412" s="15" t="s">
        <v>1157</v>
      </c>
      <c r="DS412" s="15" t="s">
        <v>5140</v>
      </c>
      <c r="DU412" s="15" t="s">
        <v>500</v>
      </c>
      <c r="EF412" s="15" t="s">
        <v>5141</v>
      </c>
      <c r="EQ412" s="15" t="s">
        <v>467</v>
      </c>
      <c r="ER412" s="15" t="s">
        <v>5141</v>
      </c>
      <c r="ES412" s="15" t="s">
        <v>467</v>
      </c>
      <c r="ET412" s="15" t="s">
        <v>612</v>
      </c>
      <c r="EU412" s="15" t="s">
        <v>426</v>
      </c>
      <c r="EV412" s="15">
        <v>0.0</v>
      </c>
      <c r="EW412" s="15">
        <v>0.0</v>
      </c>
      <c r="FF412" s="15" t="s">
        <v>762</v>
      </c>
      <c r="IO412" s="15" t="s">
        <v>4412</v>
      </c>
    </row>
    <row r="413" ht="17.25" customHeight="1">
      <c r="A413" s="15" t="s">
        <v>5157</v>
      </c>
      <c r="B413" s="15" t="str">
        <f>"801542976590"</f>
        <v>801542976590</v>
      </c>
      <c r="C413" s="15" t="s">
        <v>16091</v>
      </c>
      <c r="D413" s="15" t="str">
        <f t="shared" si="1"/>
        <v>Goetz Bar + Counter TableBrown Oak36.5</v>
      </c>
      <c r="E413" s="15" t="s">
        <v>5130</v>
      </c>
      <c r="F413" s="15" t="s">
        <v>397</v>
      </c>
      <c r="G413" s="15" t="s">
        <v>5149</v>
      </c>
      <c r="H413" s="15" t="s">
        <v>265</v>
      </c>
      <c r="I413" s="15">
        <v>36.5</v>
      </c>
      <c r="J413" s="15" t="s">
        <v>2246</v>
      </c>
      <c r="K413" s="15" t="s">
        <v>5149</v>
      </c>
      <c r="M413" s="15" t="s">
        <v>2193</v>
      </c>
      <c r="N413" s="15" t="s">
        <v>548</v>
      </c>
      <c r="O413" s="15" t="s">
        <v>4401</v>
      </c>
      <c r="P413" s="15" t="str">
        <f t="shared" si="1230"/>
        <v>32</v>
      </c>
      <c r="Q413" s="15" t="str">
        <f t="shared" si="1232"/>
        <v>32</v>
      </c>
      <c r="R413" s="15" t="str">
        <f>"36.5"</f>
        <v>36.5</v>
      </c>
      <c r="S413" s="15" t="str">
        <f>"104.28"</f>
        <v>104.28</v>
      </c>
      <c r="T413" s="15" t="s">
        <v>5153</v>
      </c>
      <c r="U413" s="15" t="s">
        <v>11754</v>
      </c>
      <c r="V413" s="15" t="s">
        <v>11338</v>
      </c>
      <c r="AA413" s="15" t="s">
        <v>413</v>
      </c>
      <c r="AB413" s="15" t="s">
        <v>413</v>
      </c>
      <c r="AC413" s="15" t="s">
        <v>5160</v>
      </c>
      <c r="AD413" s="15" t="s">
        <v>16099</v>
      </c>
      <c r="AE413" s="15" t="s">
        <v>5159</v>
      </c>
      <c r="AF413" s="15" t="s">
        <v>16093</v>
      </c>
      <c r="AG413" s="15" t="s">
        <v>16100</v>
      </c>
      <c r="AH413" s="15" t="s">
        <v>16101</v>
      </c>
      <c r="AI413" s="15" t="s">
        <v>16102</v>
      </c>
      <c r="AJ413" s="15" t="s">
        <v>16103</v>
      </c>
      <c r="AK413" s="15" t="s">
        <v>16104</v>
      </c>
      <c r="BH413" s="15" t="s">
        <v>5156</v>
      </c>
      <c r="BI413" s="15" t="str">
        <f>"1799"</f>
        <v>1799</v>
      </c>
      <c r="BJ413" s="15" t="str">
        <f>"760"</f>
        <v>760</v>
      </c>
      <c r="BK413" s="15" t="s">
        <v>709</v>
      </c>
      <c r="BL413" s="15" t="str">
        <f t="shared" si="1233"/>
        <v>2</v>
      </c>
      <c r="BM413" s="15" t="s">
        <v>1564</v>
      </c>
      <c r="BN413" s="15" t="str">
        <f t="shared" si="1240"/>
        <v>37.4</v>
      </c>
      <c r="BO413" s="15" t="str">
        <f t="shared" si="1241"/>
        <v>3.94</v>
      </c>
      <c r="BP413" s="15" t="str">
        <f t="shared" si="1242"/>
        <v>37.4</v>
      </c>
      <c r="BQ413" s="15" t="str">
        <f t="shared" si="1243"/>
        <v>80.47</v>
      </c>
      <c r="BR413" s="15" t="s">
        <v>2238</v>
      </c>
      <c r="BS413" s="15" t="str">
        <f t="shared" ref="BS413:BT413" si="1244">"22.44"</f>
        <v>22.44</v>
      </c>
      <c r="BT413" s="15" t="str">
        <f t="shared" si="1244"/>
        <v>22.44</v>
      </c>
      <c r="BU413" s="15" t="str">
        <f>"37.44"</f>
        <v>37.44</v>
      </c>
      <c r="BV413" s="15" t="str">
        <f>"72.75"</f>
        <v>72.75</v>
      </c>
      <c r="CG413" s="15" t="str">
        <f>"14.09"</f>
        <v>14.09</v>
      </c>
      <c r="CH413" s="15" t="str">
        <f>"0.399"</f>
        <v>0.399</v>
      </c>
      <c r="CI413" s="15" t="s">
        <v>465</v>
      </c>
      <c r="CZ413" s="15" t="s">
        <v>419</v>
      </c>
      <c r="DA413" s="15">
        <v>0.0</v>
      </c>
      <c r="DB413" s="15" t="s">
        <v>419</v>
      </c>
      <c r="DD413" s="15">
        <v>0.0</v>
      </c>
      <c r="DF413" s="15" t="s">
        <v>1388</v>
      </c>
      <c r="DG413" s="15" t="s">
        <v>419</v>
      </c>
      <c r="DI413" s="15">
        <v>0.0</v>
      </c>
      <c r="DJ413" s="15">
        <v>0.0</v>
      </c>
      <c r="DK413" s="15">
        <v>0.0</v>
      </c>
      <c r="DQ413" s="15">
        <v>2.0</v>
      </c>
      <c r="DR413" s="15" t="s">
        <v>1157</v>
      </c>
      <c r="DS413" s="15" t="s">
        <v>5140</v>
      </c>
      <c r="DU413" s="15" t="s">
        <v>500</v>
      </c>
      <c r="EF413" s="15" t="s">
        <v>4959</v>
      </c>
      <c r="EQ413" s="15" t="s">
        <v>467</v>
      </c>
      <c r="ER413" s="15" t="s">
        <v>4959</v>
      </c>
      <c r="ES413" s="15" t="s">
        <v>467</v>
      </c>
      <c r="ET413" s="15" t="s">
        <v>612</v>
      </c>
      <c r="EU413" s="15" t="s">
        <v>426</v>
      </c>
      <c r="EV413" s="15">
        <v>0.0</v>
      </c>
      <c r="EW413" s="15">
        <v>0.0</v>
      </c>
      <c r="FF413" s="15" t="s">
        <v>762</v>
      </c>
      <c r="IO413" s="15" t="s">
        <v>4593</v>
      </c>
    </row>
    <row r="414" ht="17.25" customHeight="1">
      <c r="A414" s="15" t="s">
        <v>5164</v>
      </c>
      <c r="B414" s="15" t="str">
        <f>"801542094164"</f>
        <v>801542094164</v>
      </c>
      <c r="C414" s="15" t="s">
        <v>16105</v>
      </c>
      <c r="D414" s="15" t="str">
        <f t="shared" si="1"/>
        <v>Goldthwaite Coffee TableSienna Brown Pine Veneer</v>
      </c>
      <c r="E414" s="15" t="s">
        <v>5161</v>
      </c>
      <c r="F414" s="15" t="s">
        <v>397</v>
      </c>
      <c r="G414" s="15" t="s">
        <v>5163</v>
      </c>
      <c r="J414" s="15" t="s">
        <v>5163</v>
      </c>
      <c r="M414" s="15" t="s">
        <v>1317</v>
      </c>
      <c r="N414" s="15" t="s">
        <v>491</v>
      </c>
      <c r="P414" s="15" t="str">
        <f>"65"</f>
        <v>65</v>
      </c>
      <c r="Q414" s="15" t="str">
        <f>"35"</f>
        <v>35</v>
      </c>
      <c r="R414" s="15" t="str">
        <f>"16"</f>
        <v>16</v>
      </c>
      <c r="S414" s="15" t="str">
        <f>"67.02"</f>
        <v>67.02</v>
      </c>
      <c r="T414" s="15" t="s">
        <v>5167</v>
      </c>
      <c r="U414" s="15" t="s">
        <v>16106</v>
      </c>
      <c r="V414" s="15" t="s">
        <v>11386</v>
      </c>
      <c r="AA414" s="15" t="s">
        <v>413</v>
      </c>
      <c r="AB414" s="15" t="s">
        <v>413</v>
      </c>
      <c r="AC414" s="15" t="s">
        <v>5168</v>
      </c>
      <c r="AD414" s="15" t="s">
        <v>16107</v>
      </c>
      <c r="AE414" s="15" t="s">
        <v>5166</v>
      </c>
      <c r="AF414" s="15" t="s">
        <v>16108</v>
      </c>
      <c r="AG414" s="15" t="s">
        <v>16109</v>
      </c>
      <c r="AH414" s="15" t="s">
        <v>16110</v>
      </c>
      <c r="AI414" s="15" t="s">
        <v>16111</v>
      </c>
      <c r="AJ414" s="15" t="s">
        <v>16112</v>
      </c>
      <c r="AK414" s="15" t="s">
        <v>16113</v>
      </c>
      <c r="AL414" s="15" t="s">
        <v>16114</v>
      </c>
      <c r="BH414" s="15" t="s">
        <v>5162</v>
      </c>
      <c r="BI414" s="15" t="str">
        <f>"1349"</f>
        <v>1349</v>
      </c>
      <c r="BJ414" s="15" t="str">
        <f>"570"</f>
        <v>570</v>
      </c>
      <c r="BK414" s="15" t="s">
        <v>709</v>
      </c>
      <c r="BL414" s="15" t="str">
        <f t="shared" ref="BL414:BL428" si="1245">"1"</f>
        <v>1</v>
      </c>
      <c r="BM414" s="15" t="s">
        <v>416</v>
      </c>
      <c r="BN414" s="15" t="str">
        <f>"69.29"</f>
        <v>69.29</v>
      </c>
      <c r="BO414" s="15" t="str">
        <f>"36.22"</f>
        <v>36.22</v>
      </c>
      <c r="BP414" s="15" t="str">
        <f>"10.63"</f>
        <v>10.63</v>
      </c>
      <c r="BQ414" s="15" t="str">
        <f>"88.18"</f>
        <v>88.18</v>
      </c>
      <c r="CG414" s="15" t="str">
        <f>"15.43"</f>
        <v>15.43</v>
      </c>
      <c r="CH414" s="15" t="str">
        <f>"0.437"</f>
        <v>0.437</v>
      </c>
      <c r="CI414" s="15" t="s">
        <v>417</v>
      </c>
      <c r="CZ414" s="15" t="s">
        <v>419</v>
      </c>
      <c r="DA414" s="15">
        <v>0.0</v>
      </c>
      <c r="DB414" s="15" t="s">
        <v>419</v>
      </c>
      <c r="DD414" s="15">
        <v>0.0</v>
      </c>
      <c r="DF414" s="15" t="s">
        <v>1509</v>
      </c>
      <c r="DG414" s="15" t="s">
        <v>419</v>
      </c>
      <c r="DK414" s="15">
        <v>0.0</v>
      </c>
      <c r="DR414" s="15" t="s">
        <v>471</v>
      </c>
      <c r="DS414" s="15" t="s">
        <v>5170</v>
      </c>
      <c r="DU414" s="15" t="s">
        <v>500</v>
      </c>
      <c r="EF414" s="15" t="s">
        <v>672</v>
      </c>
      <c r="EG414" s="15" t="s">
        <v>734</v>
      </c>
      <c r="EH414" s="15" t="s">
        <v>5171</v>
      </c>
      <c r="EQ414" s="15" t="s">
        <v>2434</v>
      </c>
      <c r="ER414" s="15" t="s">
        <v>1213</v>
      </c>
      <c r="ES414" s="15" t="s">
        <v>5172</v>
      </c>
      <c r="ET414" s="15" t="s">
        <v>672</v>
      </c>
      <c r="EU414" s="15" t="s">
        <v>426</v>
      </c>
      <c r="EV414" s="15">
        <v>0.0</v>
      </c>
      <c r="EW414" s="15">
        <v>0.0</v>
      </c>
      <c r="FF414" s="15" t="s">
        <v>5173</v>
      </c>
    </row>
    <row r="415" ht="17.25" customHeight="1">
      <c r="A415" s="15" t="s">
        <v>5177</v>
      </c>
      <c r="B415" s="15" t="str">
        <f>"801542094980"</f>
        <v>801542094980</v>
      </c>
      <c r="C415" s="15" t="s">
        <v>16115</v>
      </c>
      <c r="D415" s="15" t="str">
        <f t="shared" si="1"/>
        <v>Goldthwaite Console TableSienna Brown Pine</v>
      </c>
      <c r="E415" s="15" t="s">
        <v>5174</v>
      </c>
      <c r="F415" s="15" t="s">
        <v>397</v>
      </c>
      <c r="G415" s="15" t="s">
        <v>5176</v>
      </c>
      <c r="J415" s="15" t="s">
        <v>5176</v>
      </c>
      <c r="M415" s="15" t="s">
        <v>1317</v>
      </c>
      <c r="N415" s="15" t="s">
        <v>519</v>
      </c>
      <c r="P415" s="15" t="str">
        <f>"78"</f>
        <v>78</v>
      </c>
      <c r="Q415" s="15" t="str">
        <f t="shared" ref="Q415:Q416" si="1246">"25.5"</f>
        <v>25.5</v>
      </c>
      <c r="R415" s="15" t="str">
        <f>"31"</f>
        <v>31</v>
      </c>
      <c r="S415" s="15" t="str">
        <f>"62.61"</f>
        <v>62.61</v>
      </c>
      <c r="T415" s="15" t="s">
        <v>1099</v>
      </c>
      <c r="U415" s="15" t="s">
        <v>11386</v>
      </c>
      <c r="AA415" s="15" t="s">
        <v>413</v>
      </c>
      <c r="AB415" s="15" t="s">
        <v>413</v>
      </c>
      <c r="AC415" s="15" t="s">
        <v>5180</v>
      </c>
      <c r="AD415" s="15" t="s">
        <v>16116</v>
      </c>
      <c r="AE415" s="15" t="s">
        <v>5179</v>
      </c>
      <c r="AF415" s="15" t="s">
        <v>16117</v>
      </c>
      <c r="AG415" s="15" t="s">
        <v>16118</v>
      </c>
      <c r="AH415" s="15" t="s">
        <v>16119</v>
      </c>
      <c r="AI415" s="15" t="s">
        <v>16120</v>
      </c>
      <c r="AJ415" s="15" t="s">
        <v>16121</v>
      </c>
      <c r="AK415" s="15" t="s">
        <v>16122</v>
      </c>
      <c r="AL415" s="15" t="s">
        <v>16123</v>
      </c>
      <c r="BH415" s="15" t="s">
        <v>5175</v>
      </c>
      <c r="BI415" s="15" t="str">
        <f>"1199"</f>
        <v>1199</v>
      </c>
      <c r="BJ415" s="15" t="str">
        <f>"505"</f>
        <v>505</v>
      </c>
      <c r="BK415" s="15" t="s">
        <v>709</v>
      </c>
      <c r="BL415" s="15" t="str">
        <f t="shared" si="1245"/>
        <v>1</v>
      </c>
      <c r="BM415" s="15" t="s">
        <v>416</v>
      </c>
      <c r="BN415" s="15" t="str">
        <f>"80.91"</f>
        <v>80.91</v>
      </c>
      <c r="BO415" s="15" t="str">
        <f>"28.54"</f>
        <v>28.54</v>
      </c>
      <c r="BP415" s="15" t="str">
        <f>"9.65"</f>
        <v>9.65</v>
      </c>
      <c r="BQ415" s="15" t="str">
        <f>"80.91"</f>
        <v>80.91</v>
      </c>
      <c r="CG415" s="15" t="str">
        <f>"12.89"</f>
        <v>12.89</v>
      </c>
      <c r="CH415" s="15" t="str">
        <f>"0.365"</f>
        <v>0.365</v>
      </c>
      <c r="CI415" s="15" t="s">
        <v>417</v>
      </c>
      <c r="CZ415" s="15" t="s">
        <v>419</v>
      </c>
      <c r="DA415" s="15">
        <v>0.0</v>
      </c>
      <c r="DB415" s="15" t="s">
        <v>419</v>
      </c>
      <c r="DD415" s="15">
        <v>0.0</v>
      </c>
      <c r="DF415" s="15" t="s">
        <v>1509</v>
      </c>
      <c r="DG415" s="15" t="s">
        <v>419</v>
      </c>
      <c r="DK415" s="15">
        <v>0.0</v>
      </c>
      <c r="DR415" s="15" t="s">
        <v>471</v>
      </c>
      <c r="DS415" s="15" t="s">
        <v>5170</v>
      </c>
      <c r="DU415" s="15" t="s">
        <v>424</v>
      </c>
      <c r="EF415" s="15" t="s">
        <v>477</v>
      </c>
      <c r="EG415" s="15" t="s">
        <v>1072</v>
      </c>
      <c r="EH415" s="15" t="s">
        <v>5184</v>
      </c>
      <c r="EQ415" s="15" t="s">
        <v>1212</v>
      </c>
      <c r="ER415" s="15" t="s">
        <v>3500</v>
      </c>
      <c r="ES415" s="15" t="s">
        <v>960</v>
      </c>
      <c r="ET415" s="15" t="s">
        <v>672</v>
      </c>
      <c r="EU415" s="15" t="s">
        <v>426</v>
      </c>
      <c r="EV415" s="15">
        <v>0.0</v>
      </c>
      <c r="EW415" s="15">
        <v>0.0</v>
      </c>
      <c r="FF415" s="15" t="s">
        <v>429</v>
      </c>
      <c r="FQ415" s="15">
        <v>0.0</v>
      </c>
      <c r="FR415" s="15" t="s">
        <v>427</v>
      </c>
    </row>
    <row r="416" ht="17.25" customHeight="1">
      <c r="A416" s="15" t="s">
        <v>5187</v>
      </c>
      <c r="B416" s="15" t="str">
        <f>"801542094997"</f>
        <v>801542094997</v>
      </c>
      <c r="C416" s="15" t="s">
        <v>16124</v>
      </c>
      <c r="D416" s="15" t="str">
        <f t="shared" si="1"/>
        <v>Goldthwaite End TableSienna Brown Pine</v>
      </c>
      <c r="E416" s="15" t="s">
        <v>5185</v>
      </c>
      <c r="F416" s="15" t="s">
        <v>397</v>
      </c>
      <c r="G416" s="15" t="s">
        <v>5176</v>
      </c>
      <c r="J416" s="15" t="s">
        <v>5176</v>
      </c>
      <c r="M416" s="15" t="s">
        <v>1317</v>
      </c>
      <c r="N416" s="15" t="s">
        <v>1154</v>
      </c>
      <c r="P416" s="15" t="str">
        <f>"22"</f>
        <v>22</v>
      </c>
      <c r="Q416" s="15" t="str">
        <f t="shared" si="1246"/>
        <v>25.5</v>
      </c>
      <c r="R416" s="15" t="str">
        <f>"22"</f>
        <v>22</v>
      </c>
      <c r="S416" s="15" t="str">
        <f>"23.15"</f>
        <v>23.15</v>
      </c>
      <c r="T416" s="15" t="s">
        <v>1099</v>
      </c>
      <c r="U416" s="15" t="s">
        <v>11386</v>
      </c>
      <c r="AA416" s="15" t="s">
        <v>413</v>
      </c>
      <c r="AB416" s="15" t="s">
        <v>413</v>
      </c>
      <c r="AC416" s="15" t="s">
        <v>5190</v>
      </c>
      <c r="AD416" s="15" t="s">
        <v>16125</v>
      </c>
      <c r="AE416" s="15" t="s">
        <v>5189</v>
      </c>
      <c r="AF416" s="15" t="s">
        <v>16126</v>
      </c>
      <c r="AG416" s="15" t="s">
        <v>16127</v>
      </c>
      <c r="AH416" s="15" t="s">
        <v>16128</v>
      </c>
      <c r="AI416" s="15" t="s">
        <v>16129</v>
      </c>
      <c r="AJ416" s="15" t="s">
        <v>16130</v>
      </c>
      <c r="AK416" s="15" t="s">
        <v>16131</v>
      </c>
      <c r="AL416" s="15" t="s">
        <v>16132</v>
      </c>
      <c r="BH416" s="15" t="s">
        <v>5186</v>
      </c>
      <c r="BI416" s="15" t="str">
        <f>"549"</f>
        <v>549</v>
      </c>
      <c r="BJ416" s="15" t="str">
        <f>"235"</f>
        <v>235</v>
      </c>
      <c r="BK416" s="15" t="s">
        <v>709</v>
      </c>
      <c r="BL416" s="15" t="str">
        <f t="shared" si="1245"/>
        <v>1</v>
      </c>
      <c r="BM416" s="15" t="s">
        <v>416</v>
      </c>
      <c r="BN416" s="15" t="str">
        <f>"29.13"</f>
        <v>29.13</v>
      </c>
      <c r="BO416" s="15" t="str">
        <f>"25.98"</f>
        <v>25.98</v>
      </c>
      <c r="BP416" s="15" t="str">
        <f>"11.02"</f>
        <v>11.02</v>
      </c>
      <c r="BQ416" s="15" t="str">
        <f>"32.63"</f>
        <v>32.63</v>
      </c>
      <c r="CG416" s="15" t="str">
        <f>"4.84"</f>
        <v>4.84</v>
      </c>
      <c r="CH416" s="15" t="str">
        <f>"0.137"</f>
        <v>0.137</v>
      </c>
      <c r="CI416" s="15" t="s">
        <v>417</v>
      </c>
      <c r="CZ416" s="15" t="s">
        <v>419</v>
      </c>
      <c r="DA416" s="15">
        <v>0.0</v>
      </c>
      <c r="DB416" s="15" t="s">
        <v>419</v>
      </c>
      <c r="DD416" s="15">
        <v>0.0</v>
      </c>
      <c r="DF416" s="15" t="s">
        <v>1509</v>
      </c>
      <c r="DG416" s="15" t="s">
        <v>419</v>
      </c>
      <c r="DK416" s="15">
        <v>0.0</v>
      </c>
      <c r="DR416" s="15" t="s">
        <v>471</v>
      </c>
      <c r="DS416" s="15" t="s">
        <v>5170</v>
      </c>
      <c r="DU416" s="15" t="s">
        <v>500</v>
      </c>
      <c r="EF416" s="15" t="s">
        <v>672</v>
      </c>
      <c r="EG416" s="15" t="s">
        <v>1072</v>
      </c>
      <c r="EH416" s="15" t="s">
        <v>1329</v>
      </c>
      <c r="EQ416" s="15" t="s">
        <v>1212</v>
      </c>
      <c r="ER416" s="15" t="s">
        <v>1072</v>
      </c>
      <c r="ES416" s="15" t="s">
        <v>1213</v>
      </c>
      <c r="ET416" s="15" t="s">
        <v>672</v>
      </c>
      <c r="EU416" s="15" t="s">
        <v>426</v>
      </c>
      <c r="EV416" s="15">
        <v>0.0</v>
      </c>
      <c r="EW416" s="15">
        <v>0.0</v>
      </c>
      <c r="FF416" s="15" t="s">
        <v>1236</v>
      </c>
    </row>
    <row r="417" ht="17.25" customHeight="1">
      <c r="A417" s="15" t="s">
        <v>5194</v>
      </c>
      <c r="B417" s="15" t="str">
        <f>"801542095000"</f>
        <v>801542095000</v>
      </c>
      <c r="C417" s="15" t="s">
        <v>16133</v>
      </c>
      <c r="D417" s="15" t="str">
        <f t="shared" si="1"/>
        <v>Graham ChairAndes Natural</v>
      </c>
      <c r="E417" s="15" t="s">
        <v>5192</v>
      </c>
      <c r="F417" s="15" t="s">
        <v>397</v>
      </c>
      <c r="G417" s="15" t="s">
        <v>1218</v>
      </c>
      <c r="J417" s="15" t="s">
        <v>1218</v>
      </c>
      <c r="K417" s="15" t="s">
        <v>1318</v>
      </c>
      <c r="M417" s="15" t="s">
        <v>1317</v>
      </c>
      <c r="N417" s="15" t="s">
        <v>706</v>
      </c>
      <c r="O417" s="15" t="s">
        <v>707</v>
      </c>
      <c r="P417" s="15" t="str">
        <f t="shared" ref="P417:P418" si="1247">"34"</f>
        <v>34</v>
      </c>
      <c r="Q417" s="15" t="str">
        <f t="shared" ref="Q417:Q418" si="1248">"38.75"</f>
        <v>38.75</v>
      </c>
      <c r="R417" s="15" t="str">
        <f t="shared" ref="R417:R418" si="1249">"42"</f>
        <v>42</v>
      </c>
      <c r="S417" s="15" t="str">
        <f t="shared" ref="S417:S418" si="1250">"35.27"</f>
        <v>35.27</v>
      </c>
      <c r="T417" s="15" t="s">
        <v>832</v>
      </c>
      <c r="U417" s="15" t="s">
        <v>11209</v>
      </c>
      <c r="V417" s="15" t="s">
        <v>11210</v>
      </c>
      <c r="AA417" s="15" t="s">
        <v>413</v>
      </c>
      <c r="AB417" s="15" t="s">
        <v>413</v>
      </c>
      <c r="AC417" s="15" t="s">
        <v>5198</v>
      </c>
      <c r="AD417" s="15" t="s">
        <v>16134</v>
      </c>
      <c r="AE417" s="15" t="s">
        <v>5195</v>
      </c>
      <c r="AF417" s="15" t="s">
        <v>16135</v>
      </c>
      <c r="AG417" s="15" t="s">
        <v>16136</v>
      </c>
      <c r="AH417" s="15" t="s">
        <v>16137</v>
      </c>
      <c r="AI417" s="15" t="s">
        <v>16138</v>
      </c>
      <c r="AJ417" s="15" t="s">
        <v>16139</v>
      </c>
      <c r="AK417" s="15" t="s">
        <v>16140</v>
      </c>
      <c r="AL417" s="15" t="s">
        <v>16141</v>
      </c>
      <c r="AM417" s="15" t="s">
        <v>16142</v>
      </c>
      <c r="AN417" s="15" t="s">
        <v>16143</v>
      </c>
      <c r="AO417" s="15" t="s">
        <v>16144</v>
      </c>
      <c r="AP417" s="15" t="s">
        <v>16145</v>
      </c>
      <c r="AQ417" s="15" t="s">
        <v>16146</v>
      </c>
      <c r="BH417" s="15" t="s">
        <v>5193</v>
      </c>
      <c r="BI417" s="15" t="str">
        <f>"1349"</f>
        <v>1349</v>
      </c>
      <c r="BJ417" s="15" t="str">
        <f>"570"</f>
        <v>570</v>
      </c>
      <c r="BK417" s="15" t="s">
        <v>709</v>
      </c>
      <c r="BL417" s="15" t="str">
        <f t="shared" si="1245"/>
        <v>1</v>
      </c>
      <c r="BM417" s="15" t="s">
        <v>1477</v>
      </c>
      <c r="BN417" s="15" t="str">
        <f t="shared" ref="BN417:BN418" si="1251">"37.4"</f>
        <v>37.4</v>
      </c>
      <c r="BO417" s="15" t="str">
        <f t="shared" ref="BO417:BO418" si="1252">"40.35"</f>
        <v>40.35</v>
      </c>
      <c r="BP417" s="15" t="str">
        <f t="shared" ref="BP417:BP418" si="1253">"47.24"</f>
        <v>47.24</v>
      </c>
      <c r="BQ417" s="15" t="str">
        <f t="shared" ref="BQ417:BQ418" si="1254">"68.34"</f>
        <v>68.34</v>
      </c>
      <c r="CG417" s="15" t="str">
        <f t="shared" ref="CG417:CG418" si="1255">"33.37"</f>
        <v>33.37</v>
      </c>
      <c r="CH417" s="15" t="str">
        <f t="shared" ref="CH417:CH418" si="1256">"0.945"</f>
        <v>0.945</v>
      </c>
      <c r="CI417" s="15" t="s">
        <v>497</v>
      </c>
      <c r="CP417" s="15" t="s">
        <v>2314</v>
      </c>
      <c r="CQ417" s="15" t="s">
        <v>2402</v>
      </c>
      <c r="CR417" s="15" t="s">
        <v>1328</v>
      </c>
      <c r="CS417" s="15" t="s">
        <v>1700</v>
      </c>
      <c r="CT417" s="15" t="s">
        <v>1324</v>
      </c>
      <c r="CV417" s="15">
        <v>0.0</v>
      </c>
      <c r="CW417" s="15">
        <v>1.0</v>
      </c>
      <c r="CX417" s="15" t="s">
        <v>717</v>
      </c>
      <c r="CY417" s="15" t="s">
        <v>897</v>
      </c>
      <c r="DC417" s="15" t="s">
        <v>5199</v>
      </c>
      <c r="DF417" s="15" t="s">
        <v>1111</v>
      </c>
      <c r="DG417" s="15" t="s">
        <v>419</v>
      </c>
      <c r="DH417" s="15">
        <v>0.0</v>
      </c>
      <c r="DL417" s="15">
        <v>100000.0</v>
      </c>
      <c r="DM417" s="15" t="s">
        <v>722</v>
      </c>
      <c r="DN417" s="15" t="s">
        <v>723</v>
      </c>
      <c r="DO417" s="15" t="s">
        <v>724</v>
      </c>
      <c r="DP417" s="15">
        <v>1.0</v>
      </c>
      <c r="DQ417" s="15">
        <v>1.0</v>
      </c>
      <c r="DS417" s="15" t="s">
        <v>5200</v>
      </c>
      <c r="DT417" s="15">
        <v>0.0</v>
      </c>
      <c r="DU417" s="15" t="s">
        <v>726</v>
      </c>
      <c r="DV417" s="15" t="s">
        <v>2384</v>
      </c>
      <c r="DW417" s="15" t="s">
        <v>3305</v>
      </c>
      <c r="DX417" s="15" t="s">
        <v>1161</v>
      </c>
      <c r="EB417" s="15" t="s">
        <v>3545</v>
      </c>
      <c r="EC417" s="15" t="s">
        <v>2402</v>
      </c>
      <c r="ED417" s="15" t="s">
        <v>1237</v>
      </c>
      <c r="EE417" s="15" t="s">
        <v>558</v>
      </c>
      <c r="EF417" s="15" t="s">
        <v>531</v>
      </c>
      <c r="EG417" s="15" t="s">
        <v>2732</v>
      </c>
      <c r="EH417" s="15" t="s">
        <v>1286</v>
      </c>
      <c r="EI417" s="15" t="s">
        <v>1072</v>
      </c>
      <c r="EL417" s="15" t="s">
        <v>723</v>
      </c>
      <c r="EM417" s="15" t="s">
        <v>1076</v>
      </c>
      <c r="EN417" s="15" t="s">
        <v>1289</v>
      </c>
      <c r="EO417" s="15" t="s">
        <v>2387</v>
      </c>
      <c r="EX417" s="15" t="s">
        <v>1331</v>
      </c>
      <c r="EY417" s="15" t="s">
        <v>1328</v>
      </c>
      <c r="EZ417" s="15">
        <v>0.0</v>
      </c>
      <c r="FA417" s="15">
        <v>0.0</v>
      </c>
      <c r="FC417" s="15">
        <v>0.0</v>
      </c>
    </row>
    <row r="418" ht="17.25" customHeight="1">
      <c r="A418" s="15" t="s">
        <v>5203</v>
      </c>
      <c r="B418" s="15" t="str">
        <f>"801542995225"</f>
        <v>801542995225</v>
      </c>
      <c r="C418" s="15" t="s">
        <v>16147</v>
      </c>
      <c r="D418" s="15" t="str">
        <f t="shared" si="1"/>
        <v>Graham ChairManchester Flint</v>
      </c>
      <c r="E418" s="15" t="s">
        <v>5192</v>
      </c>
      <c r="F418" s="15" t="s">
        <v>397</v>
      </c>
      <c r="G418" s="15" t="s">
        <v>5202</v>
      </c>
      <c r="J418" s="15" t="s">
        <v>5202</v>
      </c>
      <c r="K418" s="15" t="s">
        <v>1318</v>
      </c>
      <c r="M418" s="15" t="s">
        <v>1317</v>
      </c>
      <c r="N418" s="15" t="s">
        <v>706</v>
      </c>
      <c r="O418" s="15" t="s">
        <v>707</v>
      </c>
      <c r="P418" s="15" t="str">
        <f t="shared" si="1247"/>
        <v>34</v>
      </c>
      <c r="Q418" s="15" t="str">
        <f t="shared" si="1248"/>
        <v>38.75</v>
      </c>
      <c r="R418" s="15" t="str">
        <f t="shared" si="1249"/>
        <v>42</v>
      </c>
      <c r="S418" s="15" t="str">
        <f t="shared" si="1250"/>
        <v>35.27</v>
      </c>
      <c r="T418" s="15" t="s">
        <v>5205</v>
      </c>
      <c r="U418" s="15" t="s">
        <v>11257</v>
      </c>
      <c r="V418" s="15" t="s">
        <v>11210</v>
      </c>
      <c r="AA418" s="15" t="s">
        <v>413</v>
      </c>
      <c r="AB418" s="15" t="s">
        <v>413</v>
      </c>
      <c r="AC418" s="15" t="s">
        <v>5206</v>
      </c>
      <c r="AD418" s="15" t="s">
        <v>16148</v>
      </c>
      <c r="AE418" s="15" t="s">
        <v>5204</v>
      </c>
      <c r="AF418" s="15" t="s">
        <v>16149</v>
      </c>
      <c r="AG418" s="15" t="s">
        <v>16150</v>
      </c>
      <c r="AH418" s="15" t="s">
        <v>16151</v>
      </c>
      <c r="AI418" s="15" t="s">
        <v>16152</v>
      </c>
      <c r="AJ418" s="15" t="s">
        <v>16153</v>
      </c>
      <c r="AK418" s="15" t="s">
        <v>16154</v>
      </c>
      <c r="AL418" s="15" t="s">
        <v>16155</v>
      </c>
      <c r="AM418" s="15" t="s">
        <v>16156</v>
      </c>
      <c r="AN418" s="15" t="s">
        <v>16157</v>
      </c>
      <c r="BH418" s="15" t="s">
        <v>5201</v>
      </c>
      <c r="BI418" s="15" t="str">
        <f>"1449"</f>
        <v>1449</v>
      </c>
      <c r="BJ418" s="15" t="str">
        <f>"610"</f>
        <v>610</v>
      </c>
      <c r="BK418" s="15" t="s">
        <v>709</v>
      </c>
      <c r="BL418" s="15" t="str">
        <f t="shared" si="1245"/>
        <v>1</v>
      </c>
      <c r="BM418" s="15" t="s">
        <v>1477</v>
      </c>
      <c r="BN418" s="15" t="str">
        <f t="shared" si="1251"/>
        <v>37.4</v>
      </c>
      <c r="BO418" s="15" t="str">
        <f t="shared" si="1252"/>
        <v>40.35</v>
      </c>
      <c r="BP418" s="15" t="str">
        <f t="shared" si="1253"/>
        <v>47.24</v>
      </c>
      <c r="BQ418" s="15" t="str">
        <f t="shared" si="1254"/>
        <v>68.34</v>
      </c>
      <c r="CG418" s="15" t="str">
        <f t="shared" si="1255"/>
        <v>33.37</v>
      </c>
      <c r="CH418" s="15" t="str">
        <f t="shared" si="1256"/>
        <v>0.945</v>
      </c>
      <c r="CI418" s="15" t="s">
        <v>465</v>
      </c>
      <c r="CP418" s="15" t="s">
        <v>2314</v>
      </c>
      <c r="CQ418" s="15" t="s">
        <v>2402</v>
      </c>
      <c r="CR418" s="15" t="s">
        <v>1328</v>
      </c>
      <c r="CS418" s="15" t="s">
        <v>1700</v>
      </c>
      <c r="CT418" s="15" t="s">
        <v>1324</v>
      </c>
      <c r="CV418" s="15">
        <v>0.0</v>
      </c>
      <c r="CW418" s="15">
        <v>1.0</v>
      </c>
      <c r="CX418" s="15" t="s">
        <v>717</v>
      </c>
      <c r="CY418" s="15" t="s">
        <v>855</v>
      </c>
      <c r="DC418" s="15" t="s">
        <v>5199</v>
      </c>
      <c r="DF418" s="15" t="s">
        <v>1111</v>
      </c>
      <c r="DG418" s="15" t="s">
        <v>419</v>
      </c>
      <c r="DH418" s="15">
        <v>0.0</v>
      </c>
      <c r="DL418" s="15">
        <v>15000.0</v>
      </c>
      <c r="DM418" s="15" t="s">
        <v>722</v>
      </c>
      <c r="DN418" s="15" t="s">
        <v>723</v>
      </c>
      <c r="DO418" s="15" t="s">
        <v>724</v>
      </c>
      <c r="DP418" s="15">
        <v>1.0</v>
      </c>
      <c r="DQ418" s="15">
        <v>1.0</v>
      </c>
      <c r="DS418" s="15" t="s">
        <v>5200</v>
      </c>
      <c r="DT418" s="15">
        <v>0.0</v>
      </c>
      <c r="DU418" s="15" t="s">
        <v>726</v>
      </c>
      <c r="DV418" s="15" t="s">
        <v>2384</v>
      </c>
      <c r="DW418" s="15" t="s">
        <v>3305</v>
      </c>
      <c r="DX418" s="15" t="s">
        <v>1161</v>
      </c>
      <c r="EB418" s="15" t="s">
        <v>3545</v>
      </c>
      <c r="EC418" s="15" t="s">
        <v>2402</v>
      </c>
      <c r="ED418" s="15" t="s">
        <v>1237</v>
      </c>
      <c r="EE418" s="15" t="s">
        <v>558</v>
      </c>
      <c r="EF418" s="15" t="s">
        <v>531</v>
      </c>
      <c r="EG418" s="15" t="s">
        <v>2732</v>
      </c>
      <c r="EH418" s="15" t="s">
        <v>1286</v>
      </c>
      <c r="EI418" s="15" t="s">
        <v>1072</v>
      </c>
      <c r="EL418" s="15" t="s">
        <v>723</v>
      </c>
      <c r="EM418" s="15" t="s">
        <v>1076</v>
      </c>
      <c r="EN418" s="15" t="s">
        <v>1289</v>
      </c>
      <c r="EO418" s="15" t="s">
        <v>2387</v>
      </c>
      <c r="EX418" s="15" t="s">
        <v>1331</v>
      </c>
      <c r="EY418" s="15" t="s">
        <v>1328</v>
      </c>
      <c r="EZ418" s="15">
        <v>0.0</v>
      </c>
      <c r="FA418" s="15">
        <v>0.0</v>
      </c>
      <c r="FC418" s="15">
        <v>0.0</v>
      </c>
    </row>
    <row r="419" ht="17.25" customHeight="1">
      <c r="A419" s="15" t="s">
        <v>5210</v>
      </c>
      <c r="B419" s="15" t="str">
        <f>"801542228217"</f>
        <v>801542228217</v>
      </c>
      <c r="C419" s="15" t="s">
        <v>16158</v>
      </c>
      <c r="D419" s="15" t="str">
        <f t="shared" si="1"/>
        <v>Grammercy SofaBennett Charcoal</v>
      </c>
      <c r="E419" s="15" t="s">
        <v>5207</v>
      </c>
      <c r="F419" s="15" t="s">
        <v>397</v>
      </c>
      <c r="G419" s="15" t="s">
        <v>5209</v>
      </c>
      <c r="J419" s="15" t="s">
        <v>5209</v>
      </c>
      <c r="K419" s="15" t="s">
        <v>5216</v>
      </c>
      <c r="M419" s="15" t="s">
        <v>2374</v>
      </c>
      <c r="N419" s="15" t="s">
        <v>1732</v>
      </c>
      <c r="P419" s="15" t="str">
        <f t="shared" ref="P419:P420" si="1257">"92"</f>
        <v>92</v>
      </c>
      <c r="Q419" s="15" t="str">
        <f t="shared" ref="Q419:Q420" si="1258">"39.5"</f>
        <v>39.5</v>
      </c>
      <c r="R419" s="15" t="str">
        <f t="shared" ref="R419:R421" si="1259">"30"</f>
        <v>30</v>
      </c>
      <c r="S419" s="15" t="str">
        <f t="shared" ref="S419:S420" si="1260">"126.1"</f>
        <v>126.1</v>
      </c>
      <c r="T419" s="15" t="s">
        <v>5213</v>
      </c>
      <c r="U419" s="15" t="s">
        <v>11209</v>
      </c>
      <c r="V419" s="15" t="s">
        <v>11139</v>
      </c>
      <c r="AA419" s="15" t="s">
        <v>413</v>
      </c>
      <c r="AB419" s="15" t="s">
        <v>413</v>
      </c>
      <c r="AC419" s="15" t="s">
        <v>5217</v>
      </c>
      <c r="AD419" s="15" t="s">
        <v>16159</v>
      </c>
      <c r="AE419" s="15" t="s">
        <v>5212</v>
      </c>
      <c r="AF419" s="15" t="s">
        <v>16160</v>
      </c>
      <c r="AG419" s="15" t="s">
        <v>16161</v>
      </c>
      <c r="AH419" s="15" t="s">
        <v>16162</v>
      </c>
      <c r="AI419" s="15" t="s">
        <v>16163</v>
      </c>
      <c r="AJ419" s="15" t="s">
        <v>16164</v>
      </c>
      <c r="AK419" s="15" t="s">
        <v>16165</v>
      </c>
      <c r="AL419" s="15" t="s">
        <v>16166</v>
      </c>
      <c r="AM419" s="15" t="s">
        <v>16167</v>
      </c>
      <c r="AN419" s="15" t="s">
        <v>16168</v>
      </c>
      <c r="AO419" s="15" t="s">
        <v>16169</v>
      </c>
      <c r="BH419" s="15" t="s">
        <v>5208</v>
      </c>
      <c r="BI419" s="15" t="str">
        <f t="shared" ref="BI419:BI420" si="1261">"2199"</f>
        <v>2199</v>
      </c>
      <c r="BJ419" s="15" t="str">
        <f t="shared" ref="BJ419:BJ420" si="1262">"925"</f>
        <v>925</v>
      </c>
      <c r="BK419" s="15" t="s">
        <v>415</v>
      </c>
      <c r="BL419" s="15" t="str">
        <f t="shared" si="1245"/>
        <v>1</v>
      </c>
      <c r="BM419" s="15" t="s">
        <v>416</v>
      </c>
      <c r="BN419" s="15" t="str">
        <f t="shared" ref="BN419:BN420" si="1263">"94"</f>
        <v>94</v>
      </c>
      <c r="BO419" s="15" t="str">
        <f t="shared" ref="BO419:BO420" si="1264">"41"</f>
        <v>41</v>
      </c>
      <c r="BP419" s="15" t="str">
        <f t="shared" ref="BP419:BP420" si="1265">"27"</f>
        <v>27</v>
      </c>
      <c r="BQ419" s="15" t="str">
        <f t="shared" ref="BQ419:BQ420" si="1266">"148.57"</f>
        <v>148.57</v>
      </c>
      <c r="CG419" s="15" t="str">
        <f t="shared" ref="CG419:CG420" si="1267">"60.21"</f>
        <v>60.21</v>
      </c>
      <c r="CH419" s="15" t="str">
        <f t="shared" ref="CH419:CH420" si="1268">"1.705"</f>
        <v>1.705</v>
      </c>
      <c r="CI419" s="15" t="s">
        <v>417</v>
      </c>
      <c r="CP419" s="15" t="s">
        <v>1994</v>
      </c>
      <c r="CQ419" s="15" t="s">
        <v>2402</v>
      </c>
      <c r="CR419" s="15" t="s">
        <v>5219</v>
      </c>
      <c r="CS419" s="15" t="s">
        <v>1574</v>
      </c>
      <c r="CT419" s="15" t="s">
        <v>1065</v>
      </c>
      <c r="CU419" s="15" t="s">
        <v>5219</v>
      </c>
      <c r="CV419" s="15">
        <v>2.0</v>
      </c>
      <c r="CW419" s="15">
        <v>2.0</v>
      </c>
      <c r="CX419" s="15" t="s">
        <v>717</v>
      </c>
      <c r="CY419" s="15" t="s">
        <v>897</v>
      </c>
      <c r="DC419" s="15" t="s">
        <v>2380</v>
      </c>
      <c r="DF419" s="15" t="s">
        <v>721</v>
      </c>
      <c r="DG419" s="15" t="s">
        <v>419</v>
      </c>
      <c r="DH419" s="15">
        <v>0.0</v>
      </c>
      <c r="DL419" s="15">
        <v>100000.0</v>
      </c>
      <c r="DM419" s="15" t="s">
        <v>990</v>
      </c>
      <c r="DN419" s="15" t="s">
        <v>723</v>
      </c>
      <c r="DO419" s="15" t="s">
        <v>724</v>
      </c>
      <c r="DP419" s="15">
        <v>1.0</v>
      </c>
      <c r="DQ419" s="15">
        <v>3.0</v>
      </c>
      <c r="DS419" s="15" t="s">
        <v>5220</v>
      </c>
      <c r="DT419" s="15">
        <v>0.0</v>
      </c>
      <c r="DU419" s="15" t="s">
        <v>473</v>
      </c>
      <c r="DV419" s="15" t="s">
        <v>1211</v>
      </c>
      <c r="DW419" s="15" t="s">
        <v>505</v>
      </c>
      <c r="DX419" s="15" t="s">
        <v>2433</v>
      </c>
      <c r="DY419" s="15" t="s">
        <v>3798</v>
      </c>
      <c r="DZ419" s="15" t="s">
        <v>824</v>
      </c>
      <c r="EA419" s="15" t="s">
        <v>995</v>
      </c>
      <c r="EB419" s="15" t="s">
        <v>429</v>
      </c>
      <c r="EC419" s="15" t="s">
        <v>2547</v>
      </c>
      <c r="ED419" s="15" t="s">
        <v>1238</v>
      </c>
      <c r="EE419" s="15" t="s">
        <v>3798</v>
      </c>
      <c r="EF419" s="15" t="s">
        <v>477</v>
      </c>
      <c r="EG419" s="15" t="s">
        <v>4339</v>
      </c>
      <c r="EH419" s="15" t="s">
        <v>2404</v>
      </c>
      <c r="EI419" s="15" t="s">
        <v>505</v>
      </c>
      <c r="EJ419" s="15" t="s">
        <v>724</v>
      </c>
      <c r="EK419" s="15" t="s">
        <v>426</v>
      </c>
      <c r="EL419" s="15" t="s">
        <v>723</v>
      </c>
      <c r="EM419" s="15" t="s">
        <v>724</v>
      </c>
      <c r="EN419" s="15" t="s">
        <v>1289</v>
      </c>
      <c r="EO419" s="15" t="s">
        <v>2387</v>
      </c>
    </row>
    <row r="420" ht="17.25" customHeight="1">
      <c r="A420" s="15" t="s">
        <v>5223</v>
      </c>
      <c r="B420" s="15" t="str">
        <f>"801542192396"</f>
        <v>801542192396</v>
      </c>
      <c r="C420" s="15" t="s">
        <v>16170</v>
      </c>
      <c r="D420" s="15" t="str">
        <f t="shared" si="1"/>
        <v>Grammercy SofaBennett Moon</v>
      </c>
      <c r="E420" s="15" t="s">
        <v>5207</v>
      </c>
      <c r="F420" s="15" t="s">
        <v>397</v>
      </c>
      <c r="G420" s="15" t="s">
        <v>5222</v>
      </c>
      <c r="J420" s="15" t="s">
        <v>5222</v>
      </c>
      <c r="K420" s="15" t="s">
        <v>5216</v>
      </c>
      <c r="M420" s="15" t="s">
        <v>2374</v>
      </c>
      <c r="N420" s="15" t="s">
        <v>1732</v>
      </c>
      <c r="P420" s="15" t="str">
        <f t="shared" si="1257"/>
        <v>92</v>
      </c>
      <c r="Q420" s="15" t="str">
        <f t="shared" si="1258"/>
        <v>39.5</v>
      </c>
      <c r="R420" s="15" t="str">
        <f t="shared" si="1259"/>
        <v>30</v>
      </c>
      <c r="S420" s="15" t="str">
        <f t="shared" si="1260"/>
        <v>126.1</v>
      </c>
      <c r="T420" s="15" t="s">
        <v>5213</v>
      </c>
      <c r="U420" s="15" t="s">
        <v>11209</v>
      </c>
      <c r="V420" s="15" t="s">
        <v>11139</v>
      </c>
      <c r="AA420" s="15" t="s">
        <v>413</v>
      </c>
      <c r="AB420" s="15" t="s">
        <v>413</v>
      </c>
      <c r="AC420" s="15" t="s">
        <v>5217</v>
      </c>
      <c r="AD420" s="15" t="s">
        <v>16171</v>
      </c>
      <c r="AE420" s="15" t="s">
        <v>5224</v>
      </c>
      <c r="AF420" s="15" t="s">
        <v>16172</v>
      </c>
      <c r="AG420" s="15" t="s">
        <v>16173</v>
      </c>
      <c r="AH420" s="15" t="s">
        <v>16174</v>
      </c>
      <c r="AI420" s="15" t="s">
        <v>16175</v>
      </c>
      <c r="AJ420" s="15" t="s">
        <v>16176</v>
      </c>
      <c r="AK420" s="15" t="s">
        <v>16177</v>
      </c>
      <c r="AL420" s="15" t="s">
        <v>16178</v>
      </c>
      <c r="AM420" s="15" t="s">
        <v>16179</v>
      </c>
      <c r="AN420" s="15" t="s">
        <v>16180</v>
      </c>
      <c r="AO420" s="15" t="s">
        <v>16181</v>
      </c>
      <c r="BH420" s="15" t="s">
        <v>5221</v>
      </c>
      <c r="BI420" s="15" t="str">
        <f t="shared" si="1261"/>
        <v>2199</v>
      </c>
      <c r="BJ420" s="15" t="str">
        <f t="shared" si="1262"/>
        <v>925</v>
      </c>
      <c r="BK420" s="15" t="s">
        <v>415</v>
      </c>
      <c r="BL420" s="15" t="str">
        <f t="shared" si="1245"/>
        <v>1</v>
      </c>
      <c r="BM420" s="15" t="s">
        <v>416</v>
      </c>
      <c r="BN420" s="15" t="str">
        <f t="shared" si="1263"/>
        <v>94</v>
      </c>
      <c r="BO420" s="15" t="str">
        <f t="shared" si="1264"/>
        <v>41</v>
      </c>
      <c r="BP420" s="15" t="str">
        <f t="shared" si="1265"/>
        <v>27</v>
      </c>
      <c r="BQ420" s="15" t="str">
        <f t="shared" si="1266"/>
        <v>148.57</v>
      </c>
      <c r="CG420" s="15" t="str">
        <f t="shared" si="1267"/>
        <v>60.21</v>
      </c>
      <c r="CH420" s="15" t="str">
        <f t="shared" si="1268"/>
        <v>1.705</v>
      </c>
      <c r="CI420" s="15" t="s">
        <v>465</v>
      </c>
      <c r="CP420" s="15" t="s">
        <v>1994</v>
      </c>
      <c r="CQ420" s="15" t="s">
        <v>2402</v>
      </c>
      <c r="CR420" s="15" t="s">
        <v>5219</v>
      </c>
      <c r="CS420" s="15" t="s">
        <v>1574</v>
      </c>
      <c r="CT420" s="15" t="s">
        <v>1065</v>
      </c>
      <c r="CU420" s="15" t="s">
        <v>5219</v>
      </c>
      <c r="CV420" s="15">
        <v>2.0</v>
      </c>
      <c r="CW420" s="15">
        <v>2.0</v>
      </c>
      <c r="CX420" s="15" t="s">
        <v>717</v>
      </c>
      <c r="CY420" s="15" t="s">
        <v>897</v>
      </c>
      <c r="DC420" s="15" t="s">
        <v>2380</v>
      </c>
      <c r="DF420" s="15" t="s">
        <v>721</v>
      </c>
      <c r="DG420" s="15" t="s">
        <v>419</v>
      </c>
      <c r="DH420" s="15">
        <v>0.0</v>
      </c>
      <c r="DL420" s="15">
        <v>100000.0</v>
      </c>
      <c r="DM420" s="15" t="s">
        <v>990</v>
      </c>
      <c r="DN420" s="15" t="s">
        <v>723</v>
      </c>
      <c r="DO420" s="15" t="s">
        <v>724</v>
      </c>
      <c r="DP420" s="15">
        <v>1.0</v>
      </c>
      <c r="DQ420" s="15">
        <v>3.0</v>
      </c>
      <c r="DS420" s="15" t="s">
        <v>5220</v>
      </c>
      <c r="DT420" s="15">
        <v>0.0</v>
      </c>
      <c r="DU420" s="15" t="s">
        <v>473</v>
      </c>
      <c r="DV420" s="15" t="s">
        <v>1211</v>
      </c>
      <c r="DW420" s="15" t="s">
        <v>505</v>
      </c>
      <c r="DX420" s="15" t="s">
        <v>2433</v>
      </c>
      <c r="DY420" s="15" t="s">
        <v>3798</v>
      </c>
      <c r="DZ420" s="15" t="s">
        <v>824</v>
      </c>
      <c r="EA420" s="15" t="s">
        <v>995</v>
      </c>
      <c r="EB420" s="15" t="s">
        <v>429</v>
      </c>
      <c r="EC420" s="15" t="s">
        <v>2547</v>
      </c>
      <c r="ED420" s="15" t="s">
        <v>1238</v>
      </c>
      <c r="EE420" s="15" t="s">
        <v>3798</v>
      </c>
      <c r="EF420" s="15" t="s">
        <v>477</v>
      </c>
      <c r="EG420" s="15" t="s">
        <v>4339</v>
      </c>
      <c r="EH420" s="15" t="s">
        <v>2404</v>
      </c>
      <c r="EI420" s="15" t="s">
        <v>505</v>
      </c>
      <c r="EJ420" s="15" t="s">
        <v>724</v>
      </c>
      <c r="EK420" s="15" t="s">
        <v>426</v>
      </c>
      <c r="EL420" s="15" t="s">
        <v>723</v>
      </c>
      <c r="EM420" s="15" t="s">
        <v>724</v>
      </c>
      <c r="EN420" s="15" t="s">
        <v>1289</v>
      </c>
      <c r="EO420" s="15" t="s">
        <v>2387</v>
      </c>
    </row>
    <row r="421" ht="17.25" customHeight="1">
      <c r="A421" s="15" t="s">
        <v>5228</v>
      </c>
      <c r="B421" s="15" t="str">
        <f>"198394092074"</f>
        <v>198394092074</v>
      </c>
      <c r="C421" s="15" t="s">
        <v>16182</v>
      </c>
      <c r="D421" s="15" t="str">
        <f t="shared" si="1"/>
        <v>Grand 6 Drawer DresserHoney  Brown Oak Veneer</v>
      </c>
      <c r="E421" s="15" t="s">
        <v>5225</v>
      </c>
      <c r="F421" s="15" t="s">
        <v>397</v>
      </c>
      <c r="G421" s="15" t="s">
        <v>5227</v>
      </c>
      <c r="J421" s="15" t="s">
        <v>5227</v>
      </c>
      <c r="K421" s="15" t="s">
        <v>3641</v>
      </c>
      <c r="M421" s="15" t="s">
        <v>2063</v>
      </c>
      <c r="N421" s="15" t="s">
        <v>412</v>
      </c>
      <c r="P421" s="15" t="str">
        <f>"66"</f>
        <v>66</v>
      </c>
      <c r="Q421" s="15" t="str">
        <f>"18.5"</f>
        <v>18.5</v>
      </c>
      <c r="R421" s="15" t="str">
        <f t="shared" si="1259"/>
        <v>30</v>
      </c>
      <c r="S421" s="15" t="str">
        <f>"227.07"</f>
        <v>227.07</v>
      </c>
      <c r="T421" s="15" t="s">
        <v>2283</v>
      </c>
      <c r="U421" s="15" t="s">
        <v>10881</v>
      </c>
      <c r="V421" s="15" t="s">
        <v>11139</v>
      </c>
      <c r="AA421" s="15" t="s">
        <v>413</v>
      </c>
      <c r="AB421" s="15" t="s">
        <v>413</v>
      </c>
      <c r="AC421" s="15" t="s">
        <v>5230</v>
      </c>
      <c r="AD421" s="15" t="s">
        <v>16183</v>
      </c>
      <c r="AE421" s="15" t="s">
        <v>5229</v>
      </c>
      <c r="AF421" s="15" t="s">
        <v>16184</v>
      </c>
      <c r="AG421" s="15" t="s">
        <v>16185</v>
      </c>
      <c r="AH421" s="15" t="s">
        <v>16186</v>
      </c>
      <c r="AI421" s="15" t="s">
        <v>16187</v>
      </c>
      <c r="AJ421" s="15" t="s">
        <v>16188</v>
      </c>
      <c r="AK421" s="15" t="s">
        <v>16189</v>
      </c>
      <c r="AL421" s="15" t="s">
        <v>16190</v>
      </c>
      <c r="AM421" s="15" t="s">
        <v>16191</v>
      </c>
      <c r="BH421" s="15" t="s">
        <v>5226</v>
      </c>
      <c r="BI421" s="15" t="str">
        <f>"2099"</f>
        <v>2099</v>
      </c>
      <c r="BJ421" s="15" t="str">
        <f>"885"</f>
        <v>885</v>
      </c>
      <c r="BK421" s="15" t="s">
        <v>742</v>
      </c>
      <c r="BL421" s="15" t="str">
        <f t="shared" si="1245"/>
        <v>1</v>
      </c>
      <c r="BM421" s="15" t="s">
        <v>2238</v>
      </c>
      <c r="BN421" s="15" t="str">
        <f>"71.65"</f>
        <v>71.65</v>
      </c>
      <c r="BO421" s="15" t="str">
        <f>"24.41"</f>
        <v>24.41</v>
      </c>
      <c r="BP421" s="15" t="str">
        <f>"36.42"</f>
        <v>36.42</v>
      </c>
      <c r="BQ421" s="15" t="str">
        <f>"267.86"</f>
        <v>267.86</v>
      </c>
      <c r="CG421" s="15" t="str">
        <f>"36.87"</f>
        <v>36.87</v>
      </c>
      <c r="CH421" s="15" t="str">
        <f>"1.044"</f>
        <v>1.044</v>
      </c>
      <c r="CI421" s="15" t="s">
        <v>465</v>
      </c>
      <c r="CZ421" s="15" t="s">
        <v>418</v>
      </c>
      <c r="DA421" s="15">
        <v>6.0</v>
      </c>
      <c r="DB421" s="15" t="s">
        <v>419</v>
      </c>
      <c r="DD421" s="15">
        <v>0.0</v>
      </c>
      <c r="DF421" s="15" t="s">
        <v>420</v>
      </c>
      <c r="DG421" s="15" t="s">
        <v>610</v>
      </c>
      <c r="DK421" s="15">
        <v>0.0</v>
      </c>
      <c r="DR421" s="15" t="s">
        <v>422</v>
      </c>
      <c r="DS421" s="15" t="s">
        <v>5233</v>
      </c>
      <c r="DU421" s="15" t="s">
        <v>500</v>
      </c>
      <c r="EV421" s="15">
        <v>0.0</v>
      </c>
      <c r="FQ421" s="15">
        <v>0.0</v>
      </c>
      <c r="FR421" s="15" t="s">
        <v>427</v>
      </c>
      <c r="FZ421" s="15" t="s">
        <v>504</v>
      </c>
      <c r="GB421" s="15" t="s">
        <v>5234</v>
      </c>
      <c r="GD421" s="15" t="s">
        <v>5235</v>
      </c>
      <c r="GF421" s="15" t="s">
        <v>838</v>
      </c>
      <c r="GH421" s="15" t="s">
        <v>764</v>
      </c>
      <c r="KN421" s="15" t="s">
        <v>426</v>
      </c>
    </row>
    <row r="422" ht="17.25" customHeight="1">
      <c r="A422" s="15" t="s">
        <v>5239</v>
      </c>
      <c r="B422" s="15" t="str">
        <f>"801542932930"</f>
        <v>801542932930</v>
      </c>
      <c r="C422" s="15" t="s">
        <v>16192</v>
      </c>
      <c r="D422" s="15" t="str">
        <f t="shared" si="1"/>
        <v>Greta 6 Drawer DresserAutumn Grey</v>
      </c>
      <c r="E422" s="15" t="s">
        <v>5236</v>
      </c>
      <c r="F422" s="15" t="s">
        <v>397</v>
      </c>
      <c r="G422" s="15" t="s">
        <v>5238</v>
      </c>
      <c r="J422" s="15" t="s">
        <v>5238</v>
      </c>
      <c r="K422" s="15" t="s">
        <v>5244</v>
      </c>
      <c r="M422" s="15" t="s">
        <v>5243</v>
      </c>
      <c r="N422" s="15" t="s">
        <v>412</v>
      </c>
      <c r="P422" s="15" t="str">
        <f>"70"</f>
        <v>70</v>
      </c>
      <c r="Q422" s="15" t="str">
        <f t="shared" ref="Q422:Q423" si="1269">"18"</f>
        <v>18</v>
      </c>
      <c r="R422" s="15" t="str">
        <f>"35"</f>
        <v>35</v>
      </c>
      <c r="S422" s="15" t="str">
        <f>"208.33"</f>
        <v>208.33</v>
      </c>
      <c r="T422" s="15" t="s">
        <v>5242</v>
      </c>
      <c r="U422" s="15" t="s">
        <v>11553</v>
      </c>
      <c r="V422" s="15" t="s">
        <v>11139</v>
      </c>
      <c r="AA422" s="15" t="s">
        <v>413</v>
      </c>
      <c r="AB422" s="15" t="s">
        <v>413</v>
      </c>
      <c r="AC422" s="15" t="s">
        <v>5245</v>
      </c>
      <c r="AD422" s="15" t="s">
        <v>16193</v>
      </c>
      <c r="AE422" s="15" t="s">
        <v>5241</v>
      </c>
      <c r="AF422" s="15" t="s">
        <v>16194</v>
      </c>
      <c r="AG422" s="15" t="s">
        <v>16195</v>
      </c>
      <c r="AH422" s="15" t="s">
        <v>16196</v>
      </c>
      <c r="AI422" s="15" t="s">
        <v>16197</v>
      </c>
      <c r="AJ422" s="15" t="s">
        <v>16198</v>
      </c>
      <c r="AK422" s="15" t="s">
        <v>16199</v>
      </c>
      <c r="AL422" s="15" t="s">
        <v>16200</v>
      </c>
      <c r="AM422" s="15" t="s">
        <v>16201</v>
      </c>
      <c r="AN422" s="15" t="s">
        <v>16202</v>
      </c>
      <c r="AO422" s="15" t="s">
        <v>16203</v>
      </c>
      <c r="BH422" s="15" t="s">
        <v>5237</v>
      </c>
      <c r="BI422" s="15" t="str">
        <f>"1599"</f>
        <v>1599</v>
      </c>
      <c r="BJ422" s="15" t="str">
        <f>"675"</f>
        <v>675</v>
      </c>
      <c r="BK422" s="15" t="s">
        <v>742</v>
      </c>
      <c r="BL422" s="15" t="str">
        <f t="shared" si="1245"/>
        <v>1</v>
      </c>
      <c r="BM422" s="15" t="s">
        <v>416</v>
      </c>
      <c r="BN422" s="15" t="str">
        <f>"74.41"</f>
        <v>74.41</v>
      </c>
      <c r="BO422" s="15" t="str">
        <f>"22.05"</f>
        <v>22.05</v>
      </c>
      <c r="BP422" s="15" t="str">
        <f>"36.61"</f>
        <v>36.61</v>
      </c>
      <c r="BQ422" s="15" t="str">
        <f>"247.8"</f>
        <v>247.8</v>
      </c>
      <c r="CG422" s="15" t="str">
        <f>"34.75"</f>
        <v>34.75</v>
      </c>
      <c r="CH422" s="15" t="str">
        <f>"0.984"</f>
        <v>0.984</v>
      </c>
      <c r="CI422" s="15" t="s">
        <v>417</v>
      </c>
      <c r="CZ422" s="15" t="s">
        <v>1371</v>
      </c>
      <c r="DA422" s="15">
        <v>6.0</v>
      </c>
      <c r="DB422" s="15" t="s">
        <v>1185</v>
      </c>
      <c r="DD422" s="15">
        <v>0.0</v>
      </c>
      <c r="DF422" s="15" t="s">
        <v>420</v>
      </c>
      <c r="DG422" s="15" t="s">
        <v>421</v>
      </c>
      <c r="DK422" s="15">
        <v>0.0</v>
      </c>
      <c r="DR422" s="15" t="s">
        <v>422</v>
      </c>
      <c r="DS422" s="15" t="s">
        <v>5248</v>
      </c>
      <c r="DU422" s="15" t="s">
        <v>500</v>
      </c>
      <c r="EF422" s="15" t="s">
        <v>732</v>
      </c>
      <c r="EV422" s="15">
        <v>0.0</v>
      </c>
      <c r="FQ422" s="15">
        <v>0.0</v>
      </c>
      <c r="FR422" s="15" t="s">
        <v>427</v>
      </c>
      <c r="FS422" s="15" t="s">
        <v>1045</v>
      </c>
      <c r="FZ422" s="15" t="s">
        <v>4684</v>
      </c>
      <c r="GB422" s="15" t="s">
        <v>5249</v>
      </c>
      <c r="GD422" s="15" t="s">
        <v>5250</v>
      </c>
      <c r="GF422" s="15" t="s">
        <v>838</v>
      </c>
      <c r="GH422" s="15" t="s">
        <v>420</v>
      </c>
      <c r="GI422" s="15" t="s">
        <v>426</v>
      </c>
    </row>
    <row r="423" ht="17.25" customHeight="1">
      <c r="A423" s="15" t="s">
        <v>5254</v>
      </c>
      <c r="B423" s="15" t="str">
        <f>"801542127053"</f>
        <v>801542127053</v>
      </c>
      <c r="C423" s="15" t="s">
        <v>16204</v>
      </c>
      <c r="D423" s="15" t="str">
        <f t="shared" si="1"/>
        <v>Grove NightstandRusset Mahogany Veneer</v>
      </c>
      <c r="E423" s="15" t="s">
        <v>5251</v>
      </c>
      <c r="F423" s="15" t="s">
        <v>397</v>
      </c>
      <c r="G423" s="15" t="s">
        <v>5253</v>
      </c>
      <c r="J423" s="15" t="s">
        <v>5253</v>
      </c>
      <c r="K423" s="15" t="s">
        <v>5258</v>
      </c>
      <c r="M423" s="15" t="s">
        <v>1179</v>
      </c>
      <c r="N423" s="15" t="s">
        <v>628</v>
      </c>
      <c r="P423" s="15" t="str">
        <f>"32"</f>
        <v>32</v>
      </c>
      <c r="Q423" s="15" t="str">
        <f t="shared" si="1269"/>
        <v>18</v>
      </c>
      <c r="R423" s="15" t="str">
        <f>"24"</f>
        <v>24</v>
      </c>
      <c r="S423" s="15" t="str">
        <f>"98.15"</f>
        <v>98.15</v>
      </c>
      <c r="T423" s="15" t="s">
        <v>5257</v>
      </c>
      <c r="U423" s="15" t="s">
        <v>16205</v>
      </c>
      <c r="V423" s="15" t="s">
        <v>11450</v>
      </c>
      <c r="W423" s="15" t="s">
        <v>15527</v>
      </c>
      <c r="AA423" s="15" t="s">
        <v>413</v>
      </c>
      <c r="AB423" s="15" t="s">
        <v>413</v>
      </c>
      <c r="AC423" s="15" t="s">
        <v>5259</v>
      </c>
      <c r="AD423" s="15" t="s">
        <v>16206</v>
      </c>
      <c r="AE423" s="15" t="s">
        <v>5256</v>
      </c>
      <c r="AF423" s="15" t="s">
        <v>16207</v>
      </c>
      <c r="AG423" s="15" t="s">
        <v>16208</v>
      </c>
      <c r="AH423" s="15" t="s">
        <v>16209</v>
      </c>
      <c r="AI423" s="15" t="s">
        <v>16210</v>
      </c>
      <c r="AJ423" s="15" t="s">
        <v>16211</v>
      </c>
      <c r="AK423" s="15" t="s">
        <v>16212</v>
      </c>
      <c r="AL423" s="15" t="s">
        <v>16213</v>
      </c>
      <c r="AM423" s="15" t="s">
        <v>16214</v>
      </c>
      <c r="AN423" s="15" t="s">
        <v>16215</v>
      </c>
      <c r="AO423" s="15" t="s">
        <v>16216</v>
      </c>
      <c r="AP423" s="15" t="s">
        <v>16217</v>
      </c>
      <c r="AQ423" s="15" t="s">
        <v>16218</v>
      </c>
      <c r="AR423" s="15" t="s">
        <v>16219</v>
      </c>
      <c r="BH423" s="15" t="s">
        <v>5252</v>
      </c>
      <c r="BI423" s="15" t="str">
        <f>"1299"</f>
        <v>1299</v>
      </c>
      <c r="BJ423" s="15" t="str">
        <f>"550"</f>
        <v>550</v>
      </c>
      <c r="BK423" s="15" t="s">
        <v>1181</v>
      </c>
      <c r="BL423" s="15" t="str">
        <f t="shared" si="1245"/>
        <v>1</v>
      </c>
      <c r="BM423" s="15" t="s">
        <v>416</v>
      </c>
      <c r="BN423" s="15" t="str">
        <f>"37.24"</f>
        <v>37.24</v>
      </c>
      <c r="BO423" s="15" t="str">
        <f>"24"</f>
        <v>24</v>
      </c>
      <c r="BP423" s="15" t="str">
        <f>"32"</f>
        <v>32</v>
      </c>
      <c r="BQ423" s="15" t="str">
        <f>"125.57"</f>
        <v>125.57</v>
      </c>
      <c r="CG423" s="15" t="str">
        <f>"16.56"</f>
        <v>16.56</v>
      </c>
      <c r="CH423" s="15" t="str">
        <f>"0.469"</f>
        <v>0.469</v>
      </c>
      <c r="CI423" s="15" t="s">
        <v>465</v>
      </c>
      <c r="CZ423" s="15" t="s">
        <v>418</v>
      </c>
      <c r="DA423" s="15">
        <v>3.0</v>
      </c>
      <c r="DB423" s="15" t="s">
        <v>1185</v>
      </c>
      <c r="DD423" s="15">
        <v>0.0</v>
      </c>
      <c r="DF423" s="15" t="s">
        <v>1186</v>
      </c>
      <c r="DG423" s="15" t="s">
        <v>421</v>
      </c>
      <c r="DK423" s="15">
        <v>0.0</v>
      </c>
      <c r="DR423" s="15" t="s">
        <v>471</v>
      </c>
      <c r="DS423" s="15" t="s">
        <v>5262</v>
      </c>
      <c r="DU423" s="15" t="s">
        <v>500</v>
      </c>
      <c r="EU423" s="15" t="s">
        <v>426</v>
      </c>
      <c r="EV423" s="15">
        <v>0.0</v>
      </c>
      <c r="FQ423" s="15">
        <v>0.0</v>
      </c>
      <c r="FR423" s="15" t="s">
        <v>427</v>
      </c>
      <c r="FZ423" s="15" t="s">
        <v>3308</v>
      </c>
      <c r="GB423" s="15" t="s">
        <v>635</v>
      </c>
      <c r="GD423" s="15" t="s">
        <v>2637</v>
      </c>
      <c r="GF423" s="15" t="s">
        <v>431</v>
      </c>
      <c r="GH423" s="15" t="s">
        <v>764</v>
      </c>
    </row>
    <row r="424" ht="17.25" customHeight="1">
      <c r="A424" s="15" t="s">
        <v>5265</v>
      </c>
      <c r="B424" s="15" t="str">
        <f>"801542162696"</f>
        <v>801542162696</v>
      </c>
      <c r="C424" s="15" t="s">
        <v>16220</v>
      </c>
      <c r="D424" s="15" t="str">
        <f t="shared" si="1"/>
        <v>Habitat Chaise LoungeBennett Moon</v>
      </c>
      <c r="E424" s="15" t="s">
        <v>5263</v>
      </c>
      <c r="F424" s="15" t="s">
        <v>397</v>
      </c>
      <c r="G424" s="15" t="s">
        <v>5222</v>
      </c>
      <c r="J424" s="15" t="s">
        <v>5222</v>
      </c>
      <c r="K424" s="15" t="s">
        <v>5268</v>
      </c>
      <c r="M424" s="15" t="s">
        <v>2374</v>
      </c>
      <c r="N424" s="15" t="s">
        <v>1226</v>
      </c>
      <c r="P424" s="15" t="str">
        <f t="shared" ref="P424:P425" si="1270">"48"</f>
        <v>48</v>
      </c>
      <c r="Q424" s="15" t="str">
        <f t="shared" ref="Q424:Q425" si="1271">"67.5"</f>
        <v>67.5</v>
      </c>
      <c r="R424" s="15" t="str">
        <f t="shared" ref="R424:R425" si="1272">"32.5"</f>
        <v>32.5</v>
      </c>
      <c r="S424" s="15" t="str">
        <f t="shared" ref="S424:S425" si="1273">"134.48"</f>
        <v>134.48</v>
      </c>
      <c r="T424" s="15" t="s">
        <v>5267</v>
      </c>
      <c r="U424" s="15" t="s">
        <v>11209</v>
      </c>
      <c r="V424" s="15" t="s">
        <v>16221</v>
      </c>
      <c r="AA424" s="15" t="s">
        <v>413</v>
      </c>
      <c r="AB424" s="15" t="s">
        <v>413</v>
      </c>
      <c r="AC424" s="15" t="s">
        <v>5269</v>
      </c>
      <c r="AD424" s="15" t="s">
        <v>16222</v>
      </c>
      <c r="AE424" s="15" t="s">
        <v>5266</v>
      </c>
      <c r="AF424" s="15" t="s">
        <v>16223</v>
      </c>
      <c r="AG424" s="15" t="s">
        <v>16224</v>
      </c>
      <c r="AH424" s="15" t="s">
        <v>16225</v>
      </c>
      <c r="AI424" s="15" t="s">
        <v>16226</v>
      </c>
      <c r="AJ424" s="15" t="s">
        <v>16227</v>
      </c>
      <c r="AK424" s="15" t="s">
        <v>16228</v>
      </c>
      <c r="AL424" s="15" t="s">
        <v>16229</v>
      </c>
      <c r="AM424" s="15" t="s">
        <v>16230</v>
      </c>
      <c r="AN424" s="15" t="s">
        <v>16231</v>
      </c>
      <c r="AO424" s="15" t="s">
        <v>16232</v>
      </c>
      <c r="AP424" s="15" t="s">
        <v>16233</v>
      </c>
      <c r="BH424" s="15" t="s">
        <v>5264</v>
      </c>
      <c r="BI424" s="15" t="str">
        <f>"1999"</f>
        <v>1999</v>
      </c>
      <c r="BJ424" s="15" t="str">
        <f>"840"</f>
        <v>840</v>
      </c>
      <c r="BK424" s="15" t="s">
        <v>415</v>
      </c>
      <c r="BL424" s="15" t="str">
        <f t="shared" si="1245"/>
        <v>1</v>
      </c>
      <c r="BM424" s="15" t="s">
        <v>416</v>
      </c>
      <c r="BN424" s="15" t="str">
        <f t="shared" ref="BN424:BN425" si="1274">"47"</f>
        <v>47</v>
      </c>
      <c r="BO424" s="15" t="str">
        <f t="shared" ref="BO424:BO425" si="1275">"70"</f>
        <v>70</v>
      </c>
      <c r="BP424" s="15" t="str">
        <f t="shared" ref="BP424:BP425" si="1276">"27.5"</f>
        <v>27.5</v>
      </c>
      <c r="BQ424" s="15" t="str">
        <f t="shared" ref="BQ424:BQ425" si="1277">"141.09"</f>
        <v>141.09</v>
      </c>
      <c r="CG424" s="15" t="str">
        <f t="shared" ref="CG424:CG425" si="1278">"52.37"</f>
        <v>52.37</v>
      </c>
      <c r="CH424" s="15" t="str">
        <f t="shared" ref="CH424:CH425" si="1279">"1.483"</f>
        <v>1.483</v>
      </c>
      <c r="CI424" s="15" t="s">
        <v>465</v>
      </c>
      <c r="CP424" s="15" t="s">
        <v>2388</v>
      </c>
      <c r="CQ424" s="15" t="s">
        <v>531</v>
      </c>
      <c r="CR424" s="15" t="s">
        <v>2792</v>
      </c>
      <c r="CS424" s="15" t="s">
        <v>5271</v>
      </c>
      <c r="CT424" s="15" t="s">
        <v>1324</v>
      </c>
      <c r="CV424" s="15">
        <v>0.0</v>
      </c>
      <c r="CW424" s="15">
        <v>1.0</v>
      </c>
      <c r="CX424" s="15" t="s">
        <v>717</v>
      </c>
      <c r="CY424" s="15" t="s">
        <v>897</v>
      </c>
      <c r="DC424" s="15" t="s">
        <v>2380</v>
      </c>
      <c r="DF424" s="15" t="s">
        <v>721</v>
      </c>
      <c r="DG424" s="15" t="s">
        <v>419</v>
      </c>
      <c r="DH424" s="15">
        <v>0.0</v>
      </c>
      <c r="DL424" s="15">
        <v>100000.0</v>
      </c>
      <c r="DM424" s="15" t="s">
        <v>990</v>
      </c>
      <c r="DN424" s="15" t="s">
        <v>723</v>
      </c>
      <c r="DO424" s="15" t="s">
        <v>1076</v>
      </c>
      <c r="DP424" s="15">
        <v>1.0</v>
      </c>
      <c r="DQ424" s="15">
        <v>1.0</v>
      </c>
      <c r="DS424" s="15" t="s">
        <v>5272</v>
      </c>
      <c r="DT424" s="15">
        <v>0.0</v>
      </c>
      <c r="DU424" s="15" t="s">
        <v>726</v>
      </c>
      <c r="DV424" s="15" t="s">
        <v>1212</v>
      </c>
      <c r="DW424" s="15" t="s">
        <v>1069</v>
      </c>
      <c r="DX424" s="15" t="s">
        <v>1575</v>
      </c>
      <c r="EB424" s="15" t="s">
        <v>1807</v>
      </c>
      <c r="EC424" s="15" t="s">
        <v>475</v>
      </c>
      <c r="ED424" s="15" t="s">
        <v>1161</v>
      </c>
      <c r="EE424" s="15" t="s">
        <v>3841</v>
      </c>
      <c r="EF424" s="15" t="s">
        <v>672</v>
      </c>
      <c r="EG424" s="15" t="s">
        <v>3338</v>
      </c>
      <c r="EH424" s="15" t="s">
        <v>529</v>
      </c>
      <c r="EI424" s="15" t="s">
        <v>1069</v>
      </c>
      <c r="EL424" s="15" t="s">
        <v>723</v>
      </c>
      <c r="EM424" s="15" t="s">
        <v>1076</v>
      </c>
      <c r="EN424" s="15" t="s">
        <v>1289</v>
      </c>
      <c r="EO424" s="15" t="s">
        <v>2387</v>
      </c>
      <c r="EX424" s="15" t="s">
        <v>2399</v>
      </c>
      <c r="EY424" s="15" t="s">
        <v>2792</v>
      </c>
      <c r="FB424" s="15" t="s">
        <v>2436</v>
      </c>
    </row>
    <row r="425" ht="17.25" customHeight="1">
      <c r="A425" s="15" t="s">
        <v>5275</v>
      </c>
      <c r="B425" s="15" t="str">
        <f>"801542162719"</f>
        <v>801542162719</v>
      </c>
      <c r="C425" s="15" t="s">
        <v>16234</v>
      </c>
      <c r="D425" s="15" t="str">
        <f t="shared" si="1"/>
        <v>Habitat Chaise LoungeValley Nimbus</v>
      </c>
      <c r="E425" s="15" t="s">
        <v>5263</v>
      </c>
      <c r="F425" s="15" t="s">
        <v>397</v>
      </c>
      <c r="G425" s="15" t="s">
        <v>5274</v>
      </c>
      <c r="J425" s="15" t="s">
        <v>5274</v>
      </c>
      <c r="K425" s="15" t="s">
        <v>5268</v>
      </c>
      <c r="M425" s="15" t="s">
        <v>2374</v>
      </c>
      <c r="N425" s="15" t="s">
        <v>1226</v>
      </c>
      <c r="P425" s="15" t="str">
        <f t="shared" si="1270"/>
        <v>48</v>
      </c>
      <c r="Q425" s="15" t="str">
        <f t="shared" si="1271"/>
        <v>67.5</v>
      </c>
      <c r="R425" s="15" t="str">
        <f t="shared" si="1272"/>
        <v>32.5</v>
      </c>
      <c r="S425" s="15" t="str">
        <f t="shared" si="1273"/>
        <v>134.48</v>
      </c>
      <c r="T425" s="15" t="s">
        <v>5277</v>
      </c>
      <c r="U425" s="15" t="s">
        <v>16235</v>
      </c>
      <c r="V425" s="15" t="s">
        <v>16236</v>
      </c>
      <c r="W425" s="15" t="s">
        <v>11875</v>
      </c>
      <c r="X425" s="15" t="s">
        <v>16221</v>
      </c>
      <c r="AA425" s="15" t="s">
        <v>413</v>
      </c>
      <c r="AB425" s="15" t="s">
        <v>426</v>
      </c>
      <c r="AC425" s="15" t="s">
        <v>5278</v>
      </c>
      <c r="AD425" s="15" t="s">
        <v>16237</v>
      </c>
      <c r="AE425" s="15" t="s">
        <v>5276</v>
      </c>
      <c r="AF425" s="15" t="s">
        <v>16238</v>
      </c>
      <c r="AG425" s="15" t="s">
        <v>16239</v>
      </c>
      <c r="AH425" s="15" t="s">
        <v>16240</v>
      </c>
      <c r="AI425" s="15" t="s">
        <v>16241</v>
      </c>
      <c r="AJ425" s="15" t="s">
        <v>16242</v>
      </c>
      <c r="AK425" s="15" t="s">
        <v>16243</v>
      </c>
      <c r="AL425" s="15" t="s">
        <v>16244</v>
      </c>
      <c r="AM425" s="15" t="s">
        <v>16245</v>
      </c>
      <c r="AN425" s="15" t="s">
        <v>16246</v>
      </c>
      <c r="AO425" s="15" t="s">
        <v>16247</v>
      </c>
      <c r="BH425" s="15" t="s">
        <v>5273</v>
      </c>
      <c r="BI425" s="15" t="str">
        <f>"2599"</f>
        <v>2599</v>
      </c>
      <c r="BJ425" s="15" t="str">
        <f>"1095"</f>
        <v>1095</v>
      </c>
      <c r="BK425" s="15" t="s">
        <v>415</v>
      </c>
      <c r="BL425" s="15" t="str">
        <f t="shared" si="1245"/>
        <v>1</v>
      </c>
      <c r="BM425" s="15" t="s">
        <v>416</v>
      </c>
      <c r="BN425" s="15" t="str">
        <f t="shared" si="1274"/>
        <v>47</v>
      </c>
      <c r="BO425" s="15" t="str">
        <f t="shared" si="1275"/>
        <v>70</v>
      </c>
      <c r="BP425" s="15" t="str">
        <f t="shared" si="1276"/>
        <v>27.5</v>
      </c>
      <c r="BQ425" s="15" t="str">
        <f t="shared" si="1277"/>
        <v>141.09</v>
      </c>
      <c r="CG425" s="15" t="str">
        <f t="shared" si="1278"/>
        <v>52.37</v>
      </c>
      <c r="CH425" s="15" t="str">
        <f t="shared" si="1279"/>
        <v>1.483</v>
      </c>
      <c r="CI425" s="15" t="s">
        <v>465</v>
      </c>
      <c r="CP425" s="15" t="s">
        <v>2388</v>
      </c>
      <c r="CQ425" s="15" t="s">
        <v>531</v>
      </c>
      <c r="CR425" s="15" t="s">
        <v>2792</v>
      </c>
      <c r="CS425" s="15" t="s">
        <v>5271</v>
      </c>
      <c r="CT425" s="15" t="s">
        <v>1324</v>
      </c>
      <c r="CV425" s="15">
        <v>0.0</v>
      </c>
      <c r="CW425" s="15">
        <v>1.0</v>
      </c>
      <c r="CX425" s="15" t="s">
        <v>717</v>
      </c>
      <c r="CY425" s="15" t="s">
        <v>897</v>
      </c>
      <c r="DC425" s="15" t="s">
        <v>2380</v>
      </c>
      <c r="DF425" s="15" t="s">
        <v>721</v>
      </c>
      <c r="DG425" s="15" t="s">
        <v>419</v>
      </c>
      <c r="DH425" s="15">
        <v>0.0</v>
      </c>
      <c r="DL425" s="15">
        <v>15000.0</v>
      </c>
      <c r="DM425" s="15" t="s">
        <v>990</v>
      </c>
      <c r="DN425" s="15" t="s">
        <v>723</v>
      </c>
      <c r="DO425" s="15" t="s">
        <v>1076</v>
      </c>
      <c r="DP425" s="15">
        <v>1.0</v>
      </c>
      <c r="DQ425" s="15">
        <v>1.0</v>
      </c>
      <c r="DS425" s="15" t="s">
        <v>5272</v>
      </c>
      <c r="DT425" s="15">
        <v>0.0</v>
      </c>
      <c r="DU425" s="15" t="s">
        <v>726</v>
      </c>
      <c r="DV425" s="15" t="s">
        <v>1212</v>
      </c>
      <c r="DW425" s="15" t="s">
        <v>1069</v>
      </c>
      <c r="DX425" s="15" t="s">
        <v>1575</v>
      </c>
      <c r="EB425" s="15" t="s">
        <v>1807</v>
      </c>
      <c r="EC425" s="15" t="s">
        <v>475</v>
      </c>
      <c r="ED425" s="15" t="s">
        <v>1161</v>
      </c>
      <c r="EE425" s="15" t="s">
        <v>3841</v>
      </c>
      <c r="EF425" s="15" t="s">
        <v>672</v>
      </c>
      <c r="EG425" s="15" t="s">
        <v>3338</v>
      </c>
      <c r="EH425" s="15" t="s">
        <v>529</v>
      </c>
      <c r="EI425" s="15" t="s">
        <v>1069</v>
      </c>
      <c r="EL425" s="15" t="s">
        <v>723</v>
      </c>
      <c r="EM425" s="15" t="s">
        <v>1076</v>
      </c>
      <c r="EN425" s="15" t="s">
        <v>1289</v>
      </c>
      <c r="EO425" s="15" t="s">
        <v>2387</v>
      </c>
      <c r="EX425" s="15" t="s">
        <v>2399</v>
      </c>
      <c r="EY425" s="15" t="s">
        <v>2792</v>
      </c>
      <c r="FB425" s="15" t="s">
        <v>2436</v>
      </c>
    </row>
    <row r="426" ht="17.25" customHeight="1">
      <c r="A426" s="15" t="s">
        <v>5281</v>
      </c>
      <c r="B426" s="15" t="str">
        <f>"801542755911"</f>
        <v>801542755911</v>
      </c>
      <c r="C426" s="15" t="s">
        <v>16248</v>
      </c>
      <c r="D426" s="15" t="str">
        <f t="shared" si="1"/>
        <v>Habitat Slipcover ChaiseBennett Moon</v>
      </c>
      <c r="E426" s="15" t="s">
        <v>5279</v>
      </c>
      <c r="F426" s="15" t="s">
        <v>397</v>
      </c>
      <c r="G426" s="15" t="s">
        <v>5222</v>
      </c>
      <c r="J426" s="15" t="s">
        <v>5222</v>
      </c>
      <c r="K426" s="15" t="s">
        <v>5268</v>
      </c>
      <c r="M426" s="15" t="s">
        <v>2374</v>
      </c>
      <c r="N426" s="15" t="s">
        <v>1226</v>
      </c>
      <c r="P426" s="15" t="str">
        <f t="shared" ref="P426:P427" si="1280">"88"</f>
        <v>88</v>
      </c>
      <c r="Q426" s="15" t="str">
        <f t="shared" ref="Q426:Q427" si="1281">"40"</f>
        <v>40</v>
      </c>
      <c r="R426" s="15" t="str">
        <f t="shared" ref="R426:R427" si="1282">"31"</f>
        <v>31</v>
      </c>
      <c r="S426" s="15" t="str">
        <f t="shared" ref="S426:S427" si="1283">"139.2"</f>
        <v>139.2</v>
      </c>
      <c r="T426" s="15" t="s">
        <v>5267</v>
      </c>
      <c r="U426" s="15" t="s">
        <v>11209</v>
      </c>
      <c r="V426" s="15" t="s">
        <v>16221</v>
      </c>
      <c r="AA426" s="15" t="s">
        <v>413</v>
      </c>
      <c r="AB426" s="15" t="s">
        <v>413</v>
      </c>
      <c r="AD426" s="15" t="s">
        <v>16249</v>
      </c>
      <c r="AE426" s="15" t="s">
        <v>5283</v>
      </c>
      <c r="AF426" s="15" t="s">
        <v>16250</v>
      </c>
      <c r="AG426" s="15" t="s">
        <v>16251</v>
      </c>
      <c r="AH426" s="15" t="s">
        <v>16252</v>
      </c>
      <c r="AI426" s="15" t="s">
        <v>16253</v>
      </c>
      <c r="AJ426" s="15" t="s">
        <v>16254</v>
      </c>
      <c r="AK426" s="15" t="s">
        <v>16255</v>
      </c>
      <c r="AL426" s="15" t="s">
        <v>16256</v>
      </c>
      <c r="AM426" s="15" t="s">
        <v>16257</v>
      </c>
      <c r="AN426" s="15" t="s">
        <v>16258</v>
      </c>
      <c r="AO426" s="15" t="s">
        <v>16259</v>
      </c>
      <c r="BH426" s="15" t="s">
        <v>5280</v>
      </c>
      <c r="BI426" s="15" t="str">
        <f>"2399"</f>
        <v>2399</v>
      </c>
      <c r="BJ426" s="15" t="str">
        <f>"1010"</f>
        <v>1010</v>
      </c>
      <c r="BK426" s="15" t="s">
        <v>415</v>
      </c>
      <c r="BL426" s="15" t="str">
        <f t="shared" si="1245"/>
        <v>1</v>
      </c>
      <c r="BM426" s="15" t="s">
        <v>416</v>
      </c>
      <c r="BN426" s="15" t="str">
        <f t="shared" ref="BN426:BN427" si="1284">"92.5"</f>
        <v>92.5</v>
      </c>
      <c r="BO426" s="15" t="str">
        <f t="shared" ref="BO426:BO427" si="1285">"41"</f>
        <v>41</v>
      </c>
      <c r="BP426" s="15" t="str">
        <f t="shared" ref="BP426:BP427" si="1286">"31"</f>
        <v>31</v>
      </c>
      <c r="BQ426" s="15" t="str">
        <f t="shared" ref="BQ426:BQ427" si="1287">"146.61"</f>
        <v>146.61</v>
      </c>
      <c r="CG426" s="15" t="str">
        <f t="shared" ref="CG426:CG427" si="1288">"68.05"</f>
        <v>68.05</v>
      </c>
      <c r="CH426" s="15" t="str">
        <f t="shared" ref="CH426:CH427" si="1289">"1.927"</f>
        <v>1.927</v>
      </c>
      <c r="CI426" s="15" t="s">
        <v>417</v>
      </c>
      <c r="CP426" s="15" t="s">
        <v>3036</v>
      </c>
      <c r="CQ426" s="15" t="s">
        <v>475</v>
      </c>
      <c r="CR426" s="15" t="s">
        <v>5286</v>
      </c>
      <c r="CS426" s="15" t="s">
        <v>734</v>
      </c>
      <c r="CT426" s="15" t="s">
        <v>467</v>
      </c>
      <c r="CU426" s="15" t="s">
        <v>5286</v>
      </c>
      <c r="CV426" s="15">
        <v>2.0</v>
      </c>
      <c r="CW426" s="15">
        <v>2.0</v>
      </c>
      <c r="CX426" s="15" t="s">
        <v>717</v>
      </c>
      <c r="CY426" s="15" t="s">
        <v>897</v>
      </c>
      <c r="DC426" s="15" t="s">
        <v>5287</v>
      </c>
      <c r="DF426" s="15" t="s">
        <v>721</v>
      </c>
      <c r="DG426" s="15" t="s">
        <v>419</v>
      </c>
      <c r="DH426" s="15">
        <v>0.0</v>
      </c>
      <c r="DL426" s="15">
        <v>100000.0</v>
      </c>
      <c r="DM426" s="15" t="s">
        <v>990</v>
      </c>
      <c r="DN426" s="15" t="s">
        <v>723</v>
      </c>
      <c r="DO426" s="15" t="s">
        <v>1076</v>
      </c>
      <c r="DP426" s="15">
        <v>1.0</v>
      </c>
      <c r="DQ426" s="15">
        <v>1.0</v>
      </c>
      <c r="DS426" s="15" t="s">
        <v>5272</v>
      </c>
      <c r="DT426" s="15">
        <v>0.0</v>
      </c>
      <c r="DU426" s="15" t="s">
        <v>726</v>
      </c>
      <c r="DV426" s="15" t="s">
        <v>1212</v>
      </c>
      <c r="DW426" s="15" t="s">
        <v>5288</v>
      </c>
      <c r="DX426" s="15" t="s">
        <v>1575</v>
      </c>
      <c r="DY426" s="15" t="s">
        <v>1574</v>
      </c>
      <c r="DZ426" s="15" t="s">
        <v>2116</v>
      </c>
      <c r="EA426" s="15" t="s">
        <v>1160</v>
      </c>
      <c r="EB426" s="15" t="s">
        <v>2465</v>
      </c>
      <c r="EC426" s="15" t="s">
        <v>475</v>
      </c>
      <c r="ED426" s="15" t="s">
        <v>1700</v>
      </c>
      <c r="EE426" s="15" t="s">
        <v>2399</v>
      </c>
      <c r="EF426" s="15" t="s">
        <v>2144</v>
      </c>
      <c r="EG426" s="15" t="s">
        <v>987</v>
      </c>
      <c r="EH426" s="15" t="s">
        <v>5289</v>
      </c>
      <c r="EI426" s="15" t="s">
        <v>1212</v>
      </c>
      <c r="EJ426" s="15" t="s">
        <v>1076</v>
      </c>
      <c r="EK426" s="15" t="s">
        <v>426</v>
      </c>
      <c r="EL426" s="15" t="s">
        <v>723</v>
      </c>
      <c r="EM426" s="15" t="s">
        <v>1076</v>
      </c>
      <c r="EN426" s="15" t="s">
        <v>1289</v>
      </c>
      <c r="EO426" s="15" t="s">
        <v>2387</v>
      </c>
      <c r="FB426" s="15" t="s">
        <v>938</v>
      </c>
      <c r="JK426" s="15" t="s">
        <v>426</v>
      </c>
    </row>
    <row r="427" ht="17.25" customHeight="1">
      <c r="A427" s="15" t="s">
        <v>5291</v>
      </c>
      <c r="B427" s="15" t="str">
        <f>"801542358921"</f>
        <v>801542358921</v>
      </c>
      <c r="C427" s="15" t="s">
        <v>16260</v>
      </c>
      <c r="D427" s="15" t="str">
        <f t="shared" si="1"/>
        <v>Habitat Slipcover ChaiseValley Nimbus</v>
      </c>
      <c r="E427" s="15" t="s">
        <v>5279</v>
      </c>
      <c r="F427" s="15" t="s">
        <v>397</v>
      </c>
      <c r="G427" s="15" t="s">
        <v>5274</v>
      </c>
      <c r="J427" s="15" t="s">
        <v>5274</v>
      </c>
      <c r="K427" s="15" t="s">
        <v>5268</v>
      </c>
      <c r="M427" s="15" t="s">
        <v>2374</v>
      </c>
      <c r="N427" s="15" t="s">
        <v>1226</v>
      </c>
      <c r="P427" s="15" t="str">
        <f t="shared" si="1280"/>
        <v>88</v>
      </c>
      <c r="Q427" s="15" t="str">
        <f t="shared" si="1281"/>
        <v>40</v>
      </c>
      <c r="R427" s="15" t="str">
        <f t="shared" si="1282"/>
        <v>31</v>
      </c>
      <c r="S427" s="15" t="str">
        <f t="shared" si="1283"/>
        <v>139.2</v>
      </c>
      <c r="T427" s="15" t="s">
        <v>5277</v>
      </c>
      <c r="U427" s="15" t="s">
        <v>16235</v>
      </c>
      <c r="V427" s="15" t="s">
        <v>16236</v>
      </c>
      <c r="W427" s="15" t="s">
        <v>11875</v>
      </c>
      <c r="X427" s="15" t="s">
        <v>16221</v>
      </c>
      <c r="AA427" s="15" t="s">
        <v>413</v>
      </c>
      <c r="AB427" s="15" t="s">
        <v>426</v>
      </c>
      <c r="AC427" s="15" t="s">
        <v>5293</v>
      </c>
      <c r="AD427" s="15" t="s">
        <v>16261</v>
      </c>
      <c r="AE427" s="15" t="s">
        <v>5292</v>
      </c>
      <c r="AF427" s="15" t="s">
        <v>16262</v>
      </c>
      <c r="AG427" s="15" t="s">
        <v>16263</v>
      </c>
      <c r="AH427" s="15" t="s">
        <v>16264</v>
      </c>
      <c r="AI427" s="15" t="s">
        <v>16265</v>
      </c>
      <c r="AJ427" s="15" t="s">
        <v>16266</v>
      </c>
      <c r="AK427" s="15" t="s">
        <v>16267</v>
      </c>
      <c r="AL427" s="15" t="s">
        <v>16268</v>
      </c>
      <c r="AM427" s="15" t="s">
        <v>16269</v>
      </c>
      <c r="BH427" s="15" t="s">
        <v>5290</v>
      </c>
      <c r="BI427" s="15" t="str">
        <f>"3099"</f>
        <v>3099</v>
      </c>
      <c r="BJ427" s="15" t="str">
        <f>"1305"</f>
        <v>1305</v>
      </c>
      <c r="BK427" s="15" t="s">
        <v>415</v>
      </c>
      <c r="BL427" s="15" t="str">
        <f t="shared" si="1245"/>
        <v>1</v>
      </c>
      <c r="BM427" s="15" t="s">
        <v>416</v>
      </c>
      <c r="BN427" s="15" t="str">
        <f t="shared" si="1284"/>
        <v>92.5</v>
      </c>
      <c r="BO427" s="15" t="str">
        <f t="shared" si="1285"/>
        <v>41</v>
      </c>
      <c r="BP427" s="15" t="str">
        <f t="shared" si="1286"/>
        <v>31</v>
      </c>
      <c r="BQ427" s="15" t="str">
        <f t="shared" si="1287"/>
        <v>146.61</v>
      </c>
      <c r="CG427" s="15" t="str">
        <f t="shared" si="1288"/>
        <v>68.05</v>
      </c>
      <c r="CH427" s="15" t="str">
        <f t="shared" si="1289"/>
        <v>1.927</v>
      </c>
      <c r="CI427" s="15" t="s">
        <v>417</v>
      </c>
      <c r="CP427" s="15" t="s">
        <v>3036</v>
      </c>
      <c r="CQ427" s="15" t="s">
        <v>475</v>
      </c>
      <c r="CR427" s="15" t="s">
        <v>5286</v>
      </c>
      <c r="CS427" s="15" t="s">
        <v>734</v>
      </c>
      <c r="CT427" s="15" t="s">
        <v>467</v>
      </c>
      <c r="CU427" s="15" t="s">
        <v>5286</v>
      </c>
      <c r="CV427" s="15">
        <v>2.0</v>
      </c>
      <c r="CW427" s="15">
        <v>2.0</v>
      </c>
      <c r="CX427" s="15" t="s">
        <v>717</v>
      </c>
      <c r="CY427" s="15" t="s">
        <v>897</v>
      </c>
      <c r="DC427" s="15" t="s">
        <v>5287</v>
      </c>
      <c r="DF427" s="15" t="s">
        <v>721</v>
      </c>
      <c r="DG427" s="15" t="s">
        <v>419</v>
      </c>
      <c r="DH427" s="15">
        <v>0.0</v>
      </c>
      <c r="DL427" s="15">
        <v>15000.0</v>
      </c>
      <c r="DM427" s="15" t="s">
        <v>990</v>
      </c>
      <c r="DN427" s="15" t="s">
        <v>723</v>
      </c>
      <c r="DO427" s="15" t="s">
        <v>1076</v>
      </c>
      <c r="DP427" s="15">
        <v>1.0</v>
      </c>
      <c r="DQ427" s="15">
        <v>1.0</v>
      </c>
      <c r="DS427" s="15" t="s">
        <v>5272</v>
      </c>
      <c r="DT427" s="15">
        <v>0.0</v>
      </c>
      <c r="DU427" s="15" t="s">
        <v>726</v>
      </c>
      <c r="DV427" s="15" t="s">
        <v>1212</v>
      </c>
      <c r="DW427" s="15" t="s">
        <v>5288</v>
      </c>
      <c r="DX427" s="15" t="s">
        <v>1575</v>
      </c>
      <c r="DY427" s="15" t="s">
        <v>1574</v>
      </c>
      <c r="DZ427" s="15" t="s">
        <v>2116</v>
      </c>
      <c r="EA427" s="15" t="s">
        <v>1160</v>
      </c>
      <c r="EB427" s="15" t="s">
        <v>2465</v>
      </c>
      <c r="EC427" s="15" t="s">
        <v>475</v>
      </c>
      <c r="ED427" s="15" t="s">
        <v>1700</v>
      </c>
      <c r="EE427" s="15" t="s">
        <v>2399</v>
      </c>
      <c r="EF427" s="15" t="s">
        <v>2144</v>
      </c>
      <c r="EG427" s="15" t="s">
        <v>987</v>
      </c>
      <c r="EH427" s="15" t="s">
        <v>5289</v>
      </c>
      <c r="EI427" s="15" t="s">
        <v>1212</v>
      </c>
      <c r="EJ427" s="15" t="s">
        <v>1076</v>
      </c>
      <c r="EK427" s="15" t="s">
        <v>426</v>
      </c>
      <c r="EL427" s="15" t="s">
        <v>723</v>
      </c>
      <c r="EM427" s="15" t="s">
        <v>1076</v>
      </c>
      <c r="EN427" s="15" t="s">
        <v>1289</v>
      </c>
      <c r="EO427" s="15" t="s">
        <v>2387</v>
      </c>
      <c r="FB427" s="15" t="s">
        <v>938</v>
      </c>
      <c r="JK427" s="15" t="s">
        <v>426</v>
      </c>
    </row>
    <row r="428" ht="17.25" customHeight="1">
      <c r="A428" s="15" t="s">
        <v>5297</v>
      </c>
      <c r="B428" s="15" t="str">
        <f>"801542028251"</f>
        <v>801542028251</v>
      </c>
      <c r="C428" s="15" t="s">
        <v>16270</v>
      </c>
      <c r="D428" s="15" t="str">
        <f t="shared" si="1"/>
        <v>Halston 6 Drawer DresserTerra Brown Ash Veneer</v>
      </c>
      <c r="E428" s="15" t="s">
        <v>5294</v>
      </c>
      <c r="F428" s="15" t="s">
        <v>397</v>
      </c>
      <c r="G428" s="15" t="s">
        <v>5296</v>
      </c>
      <c r="J428" s="15" t="s">
        <v>5296</v>
      </c>
      <c r="K428" s="15" t="s">
        <v>2575</v>
      </c>
      <c r="M428" s="15" t="s">
        <v>2063</v>
      </c>
      <c r="N428" s="15" t="s">
        <v>412</v>
      </c>
      <c r="P428" s="15" t="str">
        <f>"65"</f>
        <v>65</v>
      </c>
      <c r="Q428" s="15" t="str">
        <f>"18"</f>
        <v>18</v>
      </c>
      <c r="R428" s="15" t="str">
        <f>"32"</f>
        <v>32</v>
      </c>
      <c r="S428" s="15" t="str">
        <f>"224.87"</f>
        <v>224.87</v>
      </c>
      <c r="T428" s="15" t="s">
        <v>5299</v>
      </c>
      <c r="U428" s="15" t="s">
        <v>11149</v>
      </c>
      <c r="V428" s="15" t="s">
        <v>11137</v>
      </c>
      <c r="AA428" s="15" t="s">
        <v>413</v>
      </c>
      <c r="AB428" s="15" t="s">
        <v>413</v>
      </c>
      <c r="AC428" s="15" t="s">
        <v>5300</v>
      </c>
      <c r="AD428" s="15" t="s">
        <v>16271</v>
      </c>
      <c r="AE428" s="15" t="s">
        <v>5298</v>
      </c>
      <c r="AF428" s="15" t="s">
        <v>16272</v>
      </c>
      <c r="AG428" s="15" t="s">
        <v>16273</v>
      </c>
      <c r="AH428" s="15" t="s">
        <v>16274</v>
      </c>
      <c r="AI428" s="15" t="s">
        <v>16275</v>
      </c>
      <c r="AJ428" s="15" t="s">
        <v>16276</v>
      </c>
      <c r="AK428" s="15" t="s">
        <v>16277</v>
      </c>
      <c r="AL428" s="15" t="s">
        <v>16278</v>
      </c>
      <c r="AM428" s="15" t="s">
        <v>16279</v>
      </c>
      <c r="AN428" s="15" t="s">
        <v>16280</v>
      </c>
      <c r="AO428" s="15" t="s">
        <v>16281</v>
      </c>
      <c r="AP428" s="15" t="s">
        <v>16282</v>
      </c>
      <c r="AQ428" s="15" t="s">
        <v>16283</v>
      </c>
      <c r="AR428" s="15" t="s">
        <v>16284</v>
      </c>
      <c r="AS428" s="15" t="s">
        <v>16285</v>
      </c>
      <c r="AT428" s="15" t="s">
        <v>16286</v>
      </c>
      <c r="BH428" s="15" t="s">
        <v>5295</v>
      </c>
      <c r="BI428" s="15" t="str">
        <f>"1899"</f>
        <v>1899</v>
      </c>
      <c r="BJ428" s="15" t="str">
        <f>"800"</f>
        <v>800</v>
      </c>
      <c r="BK428" s="15" t="s">
        <v>742</v>
      </c>
      <c r="BL428" s="15" t="str">
        <f t="shared" si="1245"/>
        <v>1</v>
      </c>
      <c r="BM428" s="15" t="s">
        <v>416</v>
      </c>
      <c r="BN428" s="15" t="str">
        <f>"69.09"</f>
        <v>69.09</v>
      </c>
      <c r="BO428" s="15" t="str">
        <f>"22.05"</f>
        <v>22.05</v>
      </c>
      <c r="BP428" s="15" t="str">
        <f>"38.98"</f>
        <v>38.98</v>
      </c>
      <c r="BQ428" s="15" t="str">
        <f>"275.58"</f>
        <v>275.58</v>
      </c>
      <c r="CG428" s="15" t="str">
        <f>"34.36"</f>
        <v>34.36</v>
      </c>
      <c r="CH428" s="15" t="str">
        <f>"0.973"</f>
        <v>0.973</v>
      </c>
      <c r="CI428" s="15" t="s">
        <v>465</v>
      </c>
      <c r="CZ428" s="15" t="s">
        <v>1371</v>
      </c>
      <c r="DA428" s="15">
        <v>6.0</v>
      </c>
      <c r="DB428" s="15" t="s">
        <v>1185</v>
      </c>
      <c r="DD428" s="15">
        <v>0.0</v>
      </c>
      <c r="DF428" s="15" t="s">
        <v>1186</v>
      </c>
      <c r="DG428" s="15" t="s">
        <v>421</v>
      </c>
      <c r="DK428" s="15">
        <v>0.0</v>
      </c>
      <c r="DR428" s="15" t="s">
        <v>422</v>
      </c>
      <c r="DS428" s="15" t="s">
        <v>5303</v>
      </c>
      <c r="DU428" s="15" t="s">
        <v>500</v>
      </c>
      <c r="EF428" s="15" t="s">
        <v>5304</v>
      </c>
      <c r="EV428" s="15">
        <v>0.0</v>
      </c>
      <c r="FQ428" s="15">
        <v>0.0</v>
      </c>
      <c r="FR428" s="15" t="s">
        <v>427</v>
      </c>
      <c r="FZ428" s="15" t="s">
        <v>3781</v>
      </c>
      <c r="GB428" s="15" t="s">
        <v>5305</v>
      </c>
      <c r="GD428" s="15" t="s">
        <v>5306</v>
      </c>
      <c r="GF428" s="15" t="s">
        <v>838</v>
      </c>
      <c r="GH428" s="15" t="s">
        <v>1190</v>
      </c>
    </row>
    <row r="429" ht="17.25" customHeight="1">
      <c r="A429" s="15" t="s">
        <v>5309</v>
      </c>
      <c r="B429" s="15" t="str">
        <f>"801542056384"</f>
        <v>801542056384</v>
      </c>
      <c r="C429" s="15" t="s">
        <v>16287</v>
      </c>
      <c r="D429" s="15" t="str">
        <f t="shared" si="1"/>
        <v>Halston BedHeirloom Black</v>
      </c>
      <c r="E429" s="15" t="s">
        <v>5307</v>
      </c>
      <c r="F429" s="15" t="s">
        <v>397</v>
      </c>
      <c r="G429" s="15" t="s">
        <v>2575</v>
      </c>
      <c r="J429" s="15" t="s">
        <v>2575</v>
      </c>
      <c r="K429" s="15" t="s">
        <v>3557</v>
      </c>
      <c r="L429" s="15" t="s">
        <v>5296</v>
      </c>
      <c r="M429" s="15" t="s">
        <v>2063</v>
      </c>
      <c r="N429" s="15" t="s">
        <v>839</v>
      </c>
      <c r="O429" s="15" t="s">
        <v>828</v>
      </c>
      <c r="P429" s="15" t="str">
        <f>"80"</f>
        <v>80</v>
      </c>
      <c r="Q429" s="15" t="str">
        <f t="shared" ref="Q429:Q432" si="1290">"90"</f>
        <v>90</v>
      </c>
      <c r="R429" s="15" t="str">
        <f t="shared" ref="R429:R432" si="1291">"48"</f>
        <v>48</v>
      </c>
      <c r="S429" s="15" t="str">
        <f>"228.18"</f>
        <v>228.18</v>
      </c>
      <c r="T429" s="15" t="s">
        <v>5311</v>
      </c>
      <c r="U429" s="15" t="s">
        <v>11137</v>
      </c>
      <c r="V429" s="15" t="s">
        <v>11138</v>
      </c>
      <c r="W429" s="15" t="s">
        <v>11149</v>
      </c>
      <c r="AA429" s="15" t="s">
        <v>413</v>
      </c>
      <c r="AB429" s="15" t="s">
        <v>413</v>
      </c>
      <c r="AC429" s="15" t="s">
        <v>5312</v>
      </c>
      <c r="AD429" s="15" t="s">
        <v>16288</v>
      </c>
      <c r="AE429" s="15" t="s">
        <v>5310</v>
      </c>
      <c r="AF429" s="15" t="s">
        <v>16289</v>
      </c>
      <c r="AG429" s="15" t="s">
        <v>16290</v>
      </c>
      <c r="AH429" s="15" t="s">
        <v>16291</v>
      </c>
      <c r="AI429" s="15" t="s">
        <v>16292</v>
      </c>
      <c r="AJ429" s="15" t="s">
        <v>16293</v>
      </c>
      <c r="AK429" s="15" t="s">
        <v>16294</v>
      </c>
      <c r="AL429" s="15" t="s">
        <v>16295</v>
      </c>
      <c r="AM429" s="15" t="s">
        <v>16296</v>
      </c>
      <c r="AN429" s="15" t="s">
        <v>16297</v>
      </c>
      <c r="AO429" s="15" t="s">
        <v>16298</v>
      </c>
      <c r="AP429" s="15" t="s">
        <v>16299</v>
      </c>
      <c r="AQ429" s="15" t="s">
        <v>16300</v>
      </c>
      <c r="AR429" s="15" t="s">
        <v>16301</v>
      </c>
      <c r="AS429" s="15" t="s">
        <v>16302</v>
      </c>
      <c r="AT429" s="15" t="s">
        <v>16303</v>
      </c>
      <c r="AU429" s="15" t="s">
        <v>16304</v>
      </c>
      <c r="AV429" s="15" t="s">
        <v>16305</v>
      </c>
      <c r="BH429" s="15" t="s">
        <v>5308</v>
      </c>
      <c r="BI429" s="15" t="str">
        <f>"2799"</f>
        <v>2799</v>
      </c>
      <c r="BJ429" s="15" t="str">
        <f>"1180"</f>
        <v>1180</v>
      </c>
      <c r="BK429" s="15" t="s">
        <v>742</v>
      </c>
      <c r="BL429" s="15" t="str">
        <f t="shared" ref="BL429:BL432" si="1292">"2"</f>
        <v>2</v>
      </c>
      <c r="BM429" s="15" t="s">
        <v>5313</v>
      </c>
      <c r="BN429" s="15" t="str">
        <f>"84.65"</f>
        <v>84.65</v>
      </c>
      <c r="BO429" s="15" t="str">
        <f t="shared" ref="BO429:BO432" si="1293">"52.36"</f>
        <v>52.36</v>
      </c>
      <c r="BP429" s="15" t="str">
        <f t="shared" ref="BP429:BP432" si="1294">"12.8"</f>
        <v>12.8</v>
      </c>
      <c r="BQ429" s="15" t="str">
        <f>"139.33"</f>
        <v>139.33</v>
      </c>
      <c r="BR429" s="15" t="s">
        <v>5313</v>
      </c>
      <c r="BS429" s="15" t="str">
        <f>"88.58"</f>
        <v>88.58</v>
      </c>
      <c r="BT429" s="15" t="str">
        <f>"18.5"</f>
        <v>18.5</v>
      </c>
      <c r="BU429" s="15" t="str">
        <f>"8.27"</f>
        <v>8.27</v>
      </c>
      <c r="BV429" s="15" t="str">
        <f>"123.46"</f>
        <v>123.46</v>
      </c>
      <c r="CG429" s="15" t="str">
        <f>"40.65"</f>
        <v>40.65</v>
      </c>
      <c r="CH429" s="15" t="str">
        <f>"1.151"</f>
        <v>1.151</v>
      </c>
      <c r="CI429" s="15" t="s">
        <v>497</v>
      </c>
      <c r="CY429" s="15" t="s">
        <v>718</v>
      </c>
      <c r="CZ429" s="15" t="s">
        <v>419</v>
      </c>
      <c r="DA429" s="15">
        <v>0.0</v>
      </c>
      <c r="DB429" s="15" t="s">
        <v>419</v>
      </c>
      <c r="DD429" s="15">
        <v>0.0</v>
      </c>
      <c r="DF429" s="15" t="s">
        <v>1186</v>
      </c>
      <c r="DG429" s="15" t="s">
        <v>419</v>
      </c>
      <c r="DI429" s="15">
        <v>0.0</v>
      </c>
      <c r="DJ429" s="15">
        <v>0.0</v>
      </c>
      <c r="DK429" s="15">
        <v>0.0</v>
      </c>
      <c r="DL429" s="15">
        <v>0.0</v>
      </c>
      <c r="DS429" s="15" t="s">
        <v>5303</v>
      </c>
      <c r="DU429" s="15" t="s">
        <v>858</v>
      </c>
      <c r="EV429" s="15">
        <v>0.0</v>
      </c>
      <c r="HV429" s="15" t="s">
        <v>5319</v>
      </c>
      <c r="HW429" s="15" t="s">
        <v>1950</v>
      </c>
      <c r="HX429" s="15" t="s">
        <v>1950</v>
      </c>
      <c r="HY429" s="15" t="s">
        <v>2179</v>
      </c>
      <c r="HZ429" s="15" t="s">
        <v>784</v>
      </c>
      <c r="IA429" s="15" t="s">
        <v>869</v>
      </c>
      <c r="IB429" s="15" t="s">
        <v>5320</v>
      </c>
      <c r="IC429" s="15" t="s">
        <v>1950</v>
      </c>
      <c r="ID429" s="15" t="s">
        <v>5321</v>
      </c>
      <c r="IE429" s="15" t="s">
        <v>2971</v>
      </c>
      <c r="IF429" s="15" t="s">
        <v>789</v>
      </c>
      <c r="IG429" s="15" t="s">
        <v>869</v>
      </c>
      <c r="IH429" s="15" t="s">
        <v>1950</v>
      </c>
      <c r="II429" s="15" t="s">
        <v>5322</v>
      </c>
      <c r="IJ429" s="15" t="s">
        <v>784</v>
      </c>
      <c r="IK429" s="15" t="s">
        <v>426</v>
      </c>
      <c r="IL429" s="15" t="s">
        <v>2973</v>
      </c>
      <c r="IM429" s="15" t="s">
        <v>872</v>
      </c>
      <c r="IN429" s="15" t="s">
        <v>873</v>
      </c>
      <c r="IO429" s="15" t="s">
        <v>828</v>
      </c>
      <c r="IU429" s="15" t="s">
        <v>759</v>
      </c>
      <c r="IV429" s="15" t="s">
        <v>1390</v>
      </c>
      <c r="IX429" s="15" t="s">
        <v>426</v>
      </c>
      <c r="IY429" s="15" t="s">
        <v>2474</v>
      </c>
    </row>
    <row r="430" ht="17.25" customHeight="1">
      <c r="A430" s="15" t="s">
        <v>5325</v>
      </c>
      <c r="B430" s="15" t="str">
        <f>"801542056391"</f>
        <v>801542056391</v>
      </c>
      <c r="C430" s="15" t="s">
        <v>16306</v>
      </c>
      <c r="D430" s="15" t="str">
        <f t="shared" si="1"/>
        <v>Halston BedHeirloom Black Old</v>
      </c>
      <c r="E430" s="15" t="s">
        <v>5307</v>
      </c>
      <c r="F430" s="15" t="s">
        <v>397</v>
      </c>
      <c r="G430" s="15" t="s">
        <v>5324</v>
      </c>
      <c r="J430" s="15" t="s">
        <v>5324</v>
      </c>
      <c r="K430" s="15" t="s">
        <v>3557</v>
      </c>
      <c r="L430" s="15" t="s">
        <v>5296</v>
      </c>
      <c r="M430" s="15" t="s">
        <v>2063</v>
      </c>
      <c r="N430" s="15" t="s">
        <v>839</v>
      </c>
      <c r="O430" s="15" t="s">
        <v>877</v>
      </c>
      <c r="P430" s="15" t="str">
        <f t="shared" ref="P430:P431" si="1295">"64"</f>
        <v>64</v>
      </c>
      <c r="Q430" s="15" t="str">
        <f t="shared" si="1290"/>
        <v>90</v>
      </c>
      <c r="R430" s="15" t="str">
        <f t="shared" si="1291"/>
        <v>48</v>
      </c>
      <c r="S430" s="15" t="str">
        <f t="shared" ref="S430:S431" si="1296">"189.6"</f>
        <v>189.6</v>
      </c>
      <c r="T430" s="15" t="s">
        <v>5311</v>
      </c>
      <c r="U430" s="15" t="s">
        <v>11137</v>
      </c>
      <c r="V430" s="15" t="s">
        <v>11138</v>
      </c>
      <c r="W430" s="15" t="s">
        <v>11149</v>
      </c>
      <c r="AA430" s="15" t="s">
        <v>413</v>
      </c>
      <c r="AB430" s="15" t="s">
        <v>413</v>
      </c>
      <c r="AC430" s="15" t="s">
        <v>5312</v>
      </c>
      <c r="AD430" s="15" t="s">
        <v>16307</v>
      </c>
      <c r="AE430" s="15" t="s">
        <v>5326</v>
      </c>
      <c r="AF430" s="15" t="s">
        <v>16308</v>
      </c>
      <c r="AG430" s="15" t="s">
        <v>16309</v>
      </c>
      <c r="AH430" s="15" t="s">
        <v>16310</v>
      </c>
      <c r="AI430" s="15" t="s">
        <v>16311</v>
      </c>
      <c r="AJ430" s="15" t="s">
        <v>16312</v>
      </c>
      <c r="AK430" s="15" t="s">
        <v>16313</v>
      </c>
      <c r="AL430" s="15" t="s">
        <v>16314</v>
      </c>
      <c r="AM430" s="15" t="s">
        <v>16315</v>
      </c>
      <c r="AN430" s="15" t="s">
        <v>16316</v>
      </c>
      <c r="AO430" s="15" t="s">
        <v>16317</v>
      </c>
      <c r="AP430" s="15" t="s">
        <v>16318</v>
      </c>
      <c r="AQ430" s="15" t="s">
        <v>16319</v>
      </c>
      <c r="AR430" s="15" t="s">
        <v>16320</v>
      </c>
      <c r="AS430" s="15" t="s">
        <v>16321</v>
      </c>
      <c r="AT430" s="15" t="s">
        <v>16322</v>
      </c>
      <c r="AU430" s="15" t="s">
        <v>16323</v>
      </c>
      <c r="AV430" s="15" t="s">
        <v>16324</v>
      </c>
      <c r="AW430" s="15" t="s">
        <v>16325</v>
      </c>
      <c r="BH430" s="15" t="s">
        <v>5323</v>
      </c>
      <c r="BI430" s="15" t="str">
        <f t="shared" ref="BI430:BI431" si="1297">"2499"</f>
        <v>2499</v>
      </c>
      <c r="BJ430" s="15" t="str">
        <f t="shared" ref="BJ430:BJ431" si="1298">"1050"</f>
        <v>1050</v>
      </c>
      <c r="BK430" s="15" t="s">
        <v>742</v>
      </c>
      <c r="BL430" s="15" t="str">
        <f t="shared" si="1292"/>
        <v>2</v>
      </c>
      <c r="BM430" s="15" t="s">
        <v>5313</v>
      </c>
      <c r="BN430" s="15" t="str">
        <f t="shared" ref="BN430:BN431" si="1299">"68.5"</f>
        <v>68.5</v>
      </c>
      <c r="BO430" s="15" t="str">
        <f t="shared" si="1293"/>
        <v>52.36</v>
      </c>
      <c r="BP430" s="15" t="str">
        <f t="shared" si="1294"/>
        <v>12.8</v>
      </c>
      <c r="BQ430" s="15" t="str">
        <f t="shared" ref="BQ430:BQ431" si="1300">"125.66"</f>
        <v>125.66</v>
      </c>
      <c r="BR430" s="15" t="s">
        <v>5313</v>
      </c>
      <c r="BS430" s="15" t="str">
        <f t="shared" ref="BS430:BS431" si="1301">"86.61"</f>
        <v>86.61</v>
      </c>
      <c r="BT430" s="15" t="str">
        <f t="shared" ref="BT430:BT431" si="1302">"19.88"</f>
        <v>19.88</v>
      </c>
      <c r="BU430" s="15" t="str">
        <f t="shared" ref="BU430:BU431" si="1303">"8.66"</f>
        <v>8.66</v>
      </c>
      <c r="BV430" s="15" t="str">
        <f t="shared" ref="BV430:BV431" si="1304">"100.31"</f>
        <v>100.31</v>
      </c>
      <c r="CG430" s="15" t="str">
        <f t="shared" ref="CG430:CG431" si="1305">"35.17"</f>
        <v>35.17</v>
      </c>
      <c r="CH430" s="15" t="str">
        <f t="shared" ref="CH430:CH431" si="1306">"0.996"</f>
        <v>0.996</v>
      </c>
      <c r="CI430" s="15" t="s">
        <v>465</v>
      </c>
      <c r="CY430" s="15" t="s">
        <v>718</v>
      </c>
      <c r="CZ430" s="15" t="s">
        <v>419</v>
      </c>
      <c r="DA430" s="15">
        <v>0.0</v>
      </c>
      <c r="DB430" s="15" t="s">
        <v>419</v>
      </c>
      <c r="DD430" s="15">
        <v>0.0</v>
      </c>
      <c r="DF430" s="15" t="s">
        <v>1186</v>
      </c>
      <c r="DG430" s="15" t="s">
        <v>419</v>
      </c>
      <c r="DI430" s="15">
        <v>0.0</v>
      </c>
      <c r="DJ430" s="15">
        <v>0.0</v>
      </c>
      <c r="DK430" s="15">
        <v>0.0</v>
      </c>
      <c r="DL430" s="15">
        <v>0.0</v>
      </c>
      <c r="DS430" s="15" t="s">
        <v>5303</v>
      </c>
      <c r="DU430" s="15" t="s">
        <v>858</v>
      </c>
      <c r="EV430" s="15">
        <v>0.0</v>
      </c>
      <c r="HV430" s="15" t="s">
        <v>5319</v>
      </c>
      <c r="HW430" s="15" t="s">
        <v>1950</v>
      </c>
      <c r="HX430" s="15" t="s">
        <v>1950</v>
      </c>
      <c r="HY430" s="15" t="s">
        <v>2179</v>
      </c>
      <c r="HZ430" s="15" t="s">
        <v>784</v>
      </c>
      <c r="IA430" s="15" t="s">
        <v>890</v>
      </c>
      <c r="IB430" s="15" t="s">
        <v>5320</v>
      </c>
      <c r="IC430" s="15" t="s">
        <v>1950</v>
      </c>
      <c r="ID430" s="15" t="s">
        <v>5330</v>
      </c>
      <c r="IE430" s="15" t="s">
        <v>2971</v>
      </c>
      <c r="IF430" s="15" t="s">
        <v>789</v>
      </c>
      <c r="IG430" s="15" t="s">
        <v>890</v>
      </c>
      <c r="IH430" s="15" t="s">
        <v>1950</v>
      </c>
      <c r="II430" s="15" t="s">
        <v>5322</v>
      </c>
      <c r="IJ430" s="15" t="s">
        <v>784</v>
      </c>
      <c r="IK430" s="15" t="s">
        <v>426</v>
      </c>
      <c r="IL430" s="15" t="s">
        <v>2973</v>
      </c>
      <c r="IM430" s="15" t="s">
        <v>872</v>
      </c>
      <c r="IN430" s="15" t="s">
        <v>873</v>
      </c>
      <c r="IO430" s="15" t="s">
        <v>877</v>
      </c>
      <c r="IU430" s="15" t="s">
        <v>759</v>
      </c>
      <c r="IV430" s="15" t="s">
        <v>1390</v>
      </c>
      <c r="IX430" s="15" t="s">
        <v>426</v>
      </c>
      <c r="IY430" s="15" t="s">
        <v>2474</v>
      </c>
    </row>
    <row r="431" ht="17.25" customHeight="1">
      <c r="A431" s="15" t="s">
        <v>5332</v>
      </c>
      <c r="B431" s="15" t="str">
        <f>"198394018616"</f>
        <v>198394018616</v>
      </c>
      <c r="C431" s="15" t="s">
        <v>16326</v>
      </c>
      <c r="D431" s="15" t="str">
        <f t="shared" si="1"/>
        <v>Halston BedHeirloom SiennaQueen</v>
      </c>
      <c r="E431" s="15" t="s">
        <v>5307</v>
      </c>
      <c r="F431" s="15" t="s">
        <v>397</v>
      </c>
      <c r="G431" s="15" t="s">
        <v>1596</v>
      </c>
      <c r="H431" s="15" t="s">
        <v>265</v>
      </c>
      <c r="I431" s="15" t="s">
        <v>877</v>
      </c>
      <c r="J431" s="15" t="s">
        <v>1596</v>
      </c>
      <c r="K431" s="15" t="s">
        <v>3557</v>
      </c>
      <c r="L431" s="15" t="s">
        <v>5296</v>
      </c>
      <c r="M431" s="15" t="s">
        <v>2063</v>
      </c>
      <c r="N431" s="15" t="s">
        <v>839</v>
      </c>
      <c r="O431" s="15" t="s">
        <v>877</v>
      </c>
      <c r="P431" s="15" t="str">
        <f t="shared" si="1295"/>
        <v>64</v>
      </c>
      <c r="Q431" s="15" t="str">
        <f t="shared" si="1290"/>
        <v>90</v>
      </c>
      <c r="R431" s="15" t="str">
        <f t="shared" si="1291"/>
        <v>48</v>
      </c>
      <c r="S431" s="15" t="str">
        <f t="shared" si="1296"/>
        <v>189.6</v>
      </c>
      <c r="T431" s="15" t="s">
        <v>5311</v>
      </c>
      <c r="U431" s="15" t="s">
        <v>11137</v>
      </c>
      <c r="V431" s="15" t="s">
        <v>11138</v>
      </c>
      <c r="W431" s="15" t="s">
        <v>11149</v>
      </c>
      <c r="AA431" s="15" t="s">
        <v>413</v>
      </c>
      <c r="AB431" s="15" t="s">
        <v>413</v>
      </c>
      <c r="AC431" s="15" t="s">
        <v>5334</v>
      </c>
      <c r="AD431" s="15" t="s">
        <v>16327</v>
      </c>
      <c r="AE431" s="15" t="s">
        <v>5333</v>
      </c>
      <c r="AF431" s="15" t="s">
        <v>16328</v>
      </c>
      <c r="AG431" s="15" t="s">
        <v>16329</v>
      </c>
      <c r="AH431" s="15" t="s">
        <v>16330</v>
      </c>
      <c r="AI431" s="15" t="s">
        <v>11838</v>
      </c>
      <c r="AJ431" s="15" t="s">
        <v>16331</v>
      </c>
      <c r="AK431" s="15" t="s">
        <v>16332</v>
      </c>
      <c r="AL431" s="15" t="s">
        <v>16333</v>
      </c>
      <c r="AM431" s="15" t="s">
        <v>16334</v>
      </c>
      <c r="AN431" s="15" t="s">
        <v>16335</v>
      </c>
      <c r="AO431" s="15" t="s">
        <v>16336</v>
      </c>
      <c r="AP431" s="15" t="s">
        <v>16337</v>
      </c>
      <c r="BH431" s="15" t="s">
        <v>5331</v>
      </c>
      <c r="BI431" s="15" t="str">
        <f t="shared" si="1297"/>
        <v>2499</v>
      </c>
      <c r="BJ431" s="15" t="str">
        <f t="shared" si="1298"/>
        <v>1050</v>
      </c>
      <c r="BK431" s="15" t="s">
        <v>742</v>
      </c>
      <c r="BL431" s="15" t="str">
        <f t="shared" si="1292"/>
        <v>2</v>
      </c>
      <c r="BM431" s="15" t="s">
        <v>2455</v>
      </c>
      <c r="BN431" s="15" t="str">
        <f t="shared" si="1299"/>
        <v>68.5</v>
      </c>
      <c r="BO431" s="15" t="str">
        <f t="shared" si="1293"/>
        <v>52.36</v>
      </c>
      <c r="BP431" s="15" t="str">
        <f t="shared" si="1294"/>
        <v>12.8</v>
      </c>
      <c r="BQ431" s="15" t="str">
        <f t="shared" si="1300"/>
        <v>125.66</v>
      </c>
      <c r="BR431" s="15" t="s">
        <v>5335</v>
      </c>
      <c r="BS431" s="15" t="str">
        <f t="shared" si="1301"/>
        <v>86.61</v>
      </c>
      <c r="BT431" s="15" t="str">
        <f t="shared" si="1302"/>
        <v>19.88</v>
      </c>
      <c r="BU431" s="15" t="str">
        <f t="shared" si="1303"/>
        <v>8.66</v>
      </c>
      <c r="BV431" s="15" t="str">
        <f t="shared" si="1304"/>
        <v>100.31</v>
      </c>
      <c r="CG431" s="15" t="str">
        <f t="shared" si="1305"/>
        <v>35.17</v>
      </c>
      <c r="CH431" s="15" t="str">
        <f t="shared" si="1306"/>
        <v>0.996</v>
      </c>
      <c r="CI431" s="15" t="s">
        <v>465</v>
      </c>
      <c r="CY431" s="15" t="s">
        <v>718</v>
      </c>
      <c r="CZ431" s="15" t="s">
        <v>419</v>
      </c>
      <c r="DA431" s="15">
        <v>0.0</v>
      </c>
      <c r="DB431" s="15" t="s">
        <v>419</v>
      </c>
      <c r="DD431" s="15">
        <v>0.0</v>
      </c>
      <c r="DF431" s="15" t="s">
        <v>1186</v>
      </c>
      <c r="DG431" s="15" t="s">
        <v>419</v>
      </c>
      <c r="DI431" s="15">
        <v>0.0</v>
      </c>
      <c r="DJ431" s="15">
        <v>0.0</v>
      </c>
      <c r="DK431" s="15">
        <v>0.0</v>
      </c>
      <c r="DL431" s="15">
        <v>0.0</v>
      </c>
      <c r="DS431" s="15" t="s">
        <v>5303</v>
      </c>
      <c r="DU431" s="15" t="s">
        <v>858</v>
      </c>
      <c r="EV431" s="15">
        <v>0.0</v>
      </c>
      <c r="HV431" s="15" t="s">
        <v>5319</v>
      </c>
      <c r="HW431" s="15" t="s">
        <v>1950</v>
      </c>
      <c r="HX431" s="15" t="s">
        <v>1950</v>
      </c>
      <c r="HY431" s="15" t="s">
        <v>2179</v>
      </c>
      <c r="HZ431" s="15" t="s">
        <v>784</v>
      </c>
      <c r="IA431" s="15" t="s">
        <v>890</v>
      </c>
      <c r="IB431" s="15" t="s">
        <v>5320</v>
      </c>
      <c r="IC431" s="15" t="s">
        <v>1950</v>
      </c>
      <c r="ID431" s="15" t="s">
        <v>5330</v>
      </c>
      <c r="IE431" s="15" t="s">
        <v>2971</v>
      </c>
      <c r="IF431" s="15" t="s">
        <v>789</v>
      </c>
      <c r="IG431" s="15" t="s">
        <v>890</v>
      </c>
      <c r="IH431" s="15" t="s">
        <v>1950</v>
      </c>
      <c r="II431" s="15" t="s">
        <v>5322</v>
      </c>
      <c r="IJ431" s="15" t="s">
        <v>784</v>
      </c>
      <c r="IK431" s="15" t="s">
        <v>426</v>
      </c>
      <c r="IL431" s="15" t="s">
        <v>2973</v>
      </c>
      <c r="IM431" s="15" t="s">
        <v>872</v>
      </c>
      <c r="IN431" s="15" t="s">
        <v>873</v>
      </c>
      <c r="IO431" s="15" t="s">
        <v>877</v>
      </c>
      <c r="IU431" s="15" t="s">
        <v>759</v>
      </c>
      <c r="IV431" s="15" t="s">
        <v>1390</v>
      </c>
      <c r="IX431" s="15" t="s">
        <v>426</v>
      </c>
      <c r="IY431" s="15" t="s">
        <v>2474</v>
      </c>
    </row>
    <row r="432" ht="17.25" customHeight="1">
      <c r="A432" s="15" t="s">
        <v>5337</v>
      </c>
      <c r="B432" s="15" t="str">
        <f>"198394018609"</f>
        <v>198394018609</v>
      </c>
      <c r="C432" s="15" t="s">
        <v>16326</v>
      </c>
      <c r="D432" s="15" t="str">
        <f t="shared" si="1"/>
        <v>Halston BedHeirloom SiennaKing</v>
      </c>
      <c r="E432" s="15" t="s">
        <v>5307</v>
      </c>
      <c r="F432" s="15" t="s">
        <v>397</v>
      </c>
      <c r="G432" s="15" t="s">
        <v>1596</v>
      </c>
      <c r="H432" s="15" t="s">
        <v>265</v>
      </c>
      <c r="I432" s="15" t="s">
        <v>828</v>
      </c>
      <c r="J432" s="15" t="s">
        <v>1596</v>
      </c>
      <c r="K432" s="15" t="s">
        <v>3557</v>
      </c>
      <c r="L432" s="15" t="s">
        <v>5296</v>
      </c>
      <c r="M432" s="15" t="s">
        <v>2063</v>
      </c>
      <c r="N432" s="15" t="s">
        <v>839</v>
      </c>
      <c r="O432" s="15" t="s">
        <v>828</v>
      </c>
      <c r="P432" s="15" t="str">
        <f>"80"</f>
        <v>80</v>
      </c>
      <c r="Q432" s="15" t="str">
        <f t="shared" si="1290"/>
        <v>90</v>
      </c>
      <c r="R432" s="15" t="str">
        <f t="shared" si="1291"/>
        <v>48</v>
      </c>
      <c r="S432" s="15" t="str">
        <f>"228.18"</f>
        <v>228.18</v>
      </c>
      <c r="T432" s="15" t="s">
        <v>5311</v>
      </c>
      <c r="U432" s="15" t="s">
        <v>11137</v>
      </c>
      <c r="V432" s="15" t="s">
        <v>11138</v>
      </c>
      <c r="W432" s="15" t="s">
        <v>11149</v>
      </c>
      <c r="AA432" s="15" t="s">
        <v>413</v>
      </c>
      <c r="AB432" s="15" t="s">
        <v>413</v>
      </c>
      <c r="AC432" s="15" t="s">
        <v>5334</v>
      </c>
      <c r="AD432" s="15" t="s">
        <v>16338</v>
      </c>
      <c r="AE432" s="15" t="s">
        <v>5338</v>
      </c>
      <c r="AF432" s="15" t="s">
        <v>16339</v>
      </c>
      <c r="AG432" s="15" t="s">
        <v>16340</v>
      </c>
      <c r="AH432" s="15" t="s">
        <v>16341</v>
      </c>
      <c r="AI432" s="15" t="s">
        <v>16342</v>
      </c>
      <c r="AJ432" s="15" t="s">
        <v>11838</v>
      </c>
      <c r="AK432" s="15" t="s">
        <v>16343</v>
      </c>
      <c r="AL432" s="15" t="s">
        <v>16344</v>
      </c>
      <c r="AM432" s="15" t="s">
        <v>16345</v>
      </c>
      <c r="AN432" s="15" t="s">
        <v>16346</v>
      </c>
      <c r="AO432" s="15" t="s">
        <v>16347</v>
      </c>
      <c r="AP432" s="15" t="s">
        <v>16348</v>
      </c>
      <c r="AQ432" s="15" t="s">
        <v>16349</v>
      </c>
      <c r="BH432" s="15" t="s">
        <v>5336</v>
      </c>
      <c r="BI432" s="15" t="str">
        <f>"2799"</f>
        <v>2799</v>
      </c>
      <c r="BJ432" s="15" t="str">
        <f>"1180"</f>
        <v>1180</v>
      </c>
      <c r="BK432" s="15" t="s">
        <v>742</v>
      </c>
      <c r="BL432" s="15" t="str">
        <f t="shared" si="1292"/>
        <v>2</v>
      </c>
      <c r="BM432" s="15" t="s">
        <v>2455</v>
      </c>
      <c r="BN432" s="15" t="str">
        <f>"84.65"</f>
        <v>84.65</v>
      </c>
      <c r="BO432" s="15" t="str">
        <f t="shared" si="1293"/>
        <v>52.36</v>
      </c>
      <c r="BP432" s="15" t="str">
        <f t="shared" si="1294"/>
        <v>12.8</v>
      </c>
      <c r="BQ432" s="15" t="str">
        <f>"139.33"</f>
        <v>139.33</v>
      </c>
      <c r="BR432" s="15" t="s">
        <v>5335</v>
      </c>
      <c r="BS432" s="15" t="str">
        <f>"88.58"</f>
        <v>88.58</v>
      </c>
      <c r="BT432" s="15" t="str">
        <f>"18.5"</f>
        <v>18.5</v>
      </c>
      <c r="BU432" s="15" t="str">
        <f>"8.27"</f>
        <v>8.27</v>
      </c>
      <c r="BV432" s="15" t="str">
        <f>"123.46"</f>
        <v>123.46</v>
      </c>
      <c r="CG432" s="15" t="str">
        <f>"40.65"</f>
        <v>40.65</v>
      </c>
      <c r="CH432" s="15" t="str">
        <f>"1.151"</f>
        <v>1.151</v>
      </c>
      <c r="CI432" s="15" t="s">
        <v>465</v>
      </c>
      <c r="CY432" s="15" t="s">
        <v>718</v>
      </c>
      <c r="CZ432" s="15" t="s">
        <v>419</v>
      </c>
      <c r="DA432" s="15">
        <v>0.0</v>
      </c>
      <c r="DB432" s="15" t="s">
        <v>419</v>
      </c>
      <c r="DD432" s="15">
        <v>0.0</v>
      </c>
      <c r="DF432" s="15" t="s">
        <v>1186</v>
      </c>
      <c r="DG432" s="15" t="s">
        <v>419</v>
      </c>
      <c r="DI432" s="15">
        <v>0.0</v>
      </c>
      <c r="DJ432" s="15">
        <v>0.0</v>
      </c>
      <c r="DK432" s="15">
        <v>0.0</v>
      </c>
      <c r="DL432" s="15">
        <v>0.0</v>
      </c>
      <c r="DS432" s="15" t="s">
        <v>5303</v>
      </c>
      <c r="DU432" s="15" t="s">
        <v>858</v>
      </c>
      <c r="EV432" s="15">
        <v>0.0</v>
      </c>
      <c r="HV432" s="15" t="s">
        <v>5319</v>
      </c>
      <c r="HW432" s="15" t="s">
        <v>1950</v>
      </c>
      <c r="HX432" s="15" t="s">
        <v>1950</v>
      </c>
      <c r="HY432" s="15" t="s">
        <v>2179</v>
      </c>
      <c r="HZ432" s="15" t="s">
        <v>784</v>
      </c>
      <c r="IA432" s="15" t="s">
        <v>869</v>
      </c>
      <c r="IB432" s="15" t="s">
        <v>5320</v>
      </c>
      <c r="IC432" s="15" t="s">
        <v>1950</v>
      </c>
      <c r="ID432" s="15" t="s">
        <v>5321</v>
      </c>
      <c r="IE432" s="15" t="s">
        <v>2971</v>
      </c>
      <c r="IF432" s="15" t="s">
        <v>789</v>
      </c>
      <c r="IG432" s="15" t="s">
        <v>869</v>
      </c>
      <c r="IH432" s="15" t="s">
        <v>1950</v>
      </c>
      <c r="II432" s="15" t="s">
        <v>5322</v>
      </c>
      <c r="IJ432" s="15" t="s">
        <v>784</v>
      </c>
      <c r="IK432" s="15" t="s">
        <v>426</v>
      </c>
      <c r="IL432" s="15" t="s">
        <v>2973</v>
      </c>
      <c r="IM432" s="15" t="s">
        <v>872</v>
      </c>
      <c r="IN432" s="15" t="s">
        <v>873</v>
      </c>
      <c r="IO432" s="15" t="s">
        <v>828</v>
      </c>
      <c r="IU432" s="15" t="s">
        <v>759</v>
      </c>
      <c r="IV432" s="15" t="s">
        <v>1390</v>
      </c>
      <c r="IX432" s="15" t="s">
        <v>426</v>
      </c>
      <c r="IY432" s="15" t="s">
        <v>2474</v>
      </c>
    </row>
    <row r="433" ht="17.25" customHeight="1">
      <c r="A433" s="15" t="s">
        <v>5341</v>
      </c>
      <c r="B433" s="15" t="str">
        <f>"801542066758"</f>
        <v>801542066758</v>
      </c>
      <c r="C433" s="15" t="s">
        <v>16350</v>
      </c>
      <c r="D433" s="15" t="str">
        <f t="shared" si="1"/>
        <v>Halston ChairHeirloom Black</v>
      </c>
      <c r="E433" s="15" t="s">
        <v>5339</v>
      </c>
      <c r="F433" s="15" t="s">
        <v>397</v>
      </c>
      <c r="G433" s="15" t="s">
        <v>2575</v>
      </c>
      <c r="J433" s="15" t="s">
        <v>2575</v>
      </c>
      <c r="K433" s="15" t="s">
        <v>3557</v>
      </c>
      <c r="M433" s="15" t="s">
        <v>915</v>
      </c>
      <c r="N433" s="15" t="s">
        <v>706</v>
      </c>
      <c r="O433" s="15" t="s">
        <v>707</v>
      </c>
      <c r="P433" s="15" t="str">
        <f t="shared" ref="P433:P438" si="1307">"30"</f>
        <v>30</v>
      </c>
      <c r="Q433" s="15" t="str">
        <f t="shared" ref="Q433:Q435" si="1308">"34.25"</f>
        <v>34.25</v>
      </c>
      <c r="R433" s="15" t="str">
        <f t="shared" ref="R433:R438" si="1309">"32"</f>
        <v>32</v>
      </c>
      <c r="S433" s="15" t="str">
        <f t="shared" ref="S433:S435" si="1310">"44.09"</f>
        <v>44.09</v>
      </c>
      <c r="T433" s="15" t="s">
        <v>1341</v>
      </c>
      <c r="U433" s="15" t="s">
        <v>11137</v>
      </c>
      <c r="V433" s="15" t="s">
        <v>11138</v>
      </c>
      <c r="AA433" s="15" t="s">
        <v>413</v>
      </c>
      <c r="AB433" s="15" t="s">
        <v>413</v>
      </c>
      <c r="AC433" s="15" t="s">
        <v>5344</v>
      </c>
      <c r="AD433" s="15" t="s">
        <v>16351</v>
      </c>
      <c r="AE433" s="15" t="s">
        <v>5343</v>
      </c>
      <c r="AF433" s="15" t="s">
        <v>16352</v>
      </c>
      <c r="AG433" s="15" t="s">
        <v>16353</v>
      </c>
      <c r="AH433" s="15" t="s">
        <v>16354</v>
      </c>
      <c r="AI433" s="15" t="s">
        <v>16355</v>
      </c>
      <c r="AJ433" s="15" t="s">
        <v>16356</v>
      </c>
      <c r="AK433" s="15" t="s">
        <v>16357</v>
      </c>
      <c r="AL433" s="15" t="s">
        <v>16358</v>
      </c>
      <c r="AM433" s="15" t="s">
        <v>16359</v>
      </c>
      <c r="AN433" s="15" t="s">
        <v>16360</v>
      </c>
      <c r="AO433" s="15" t="s">
        <v>16361</v>
      </c>
      <c r="BH433" s="15" t="s">
        <v>5340</v>
      </c>
      <c r="BI433" s="15" t="str">
        <f t="shared" ref="BI433:BI434" si="1311">"1749"</f>
        <v>1749</v>
      </c>
      <c r="BJ433" s="15" t="str">
        <f t="shared" ref="BJ433:BJ434" si="1312">"735"</f>
        <v>735</v>
      </c>
      <c r="BK433" s="15" t="s">
        <v>709</v>
      </c>
      <c r="BL433" s="15" t="str">
        <f t="shared" ref="BL433:BL435" si="1313">"1"</f>
        <v>1</v>
      </c>
      <c r="BM433" s="15" t="s">
        <v>5345</v>
      </c>
      <c r="BN433" s="15" t="str">
        <f t="shared" ref="BN433:BN438" si="1314">"33.07"</f>
        <v>33.07</v>
      </c>
      <c r="BO433" s="15" t="str">
        <f t="shared" ref="BO433:BO438" si="1315">"38.58"</f>
        <v>38.58</v>
      </c>
      <c r="BP433" s="15" t="str">
        <f t="shared" ref="BP433:BP434" si="1316">"32.28"</f>
        <v>32.28</v>
      </c>
      <c r="BQ433" s="15" t="str">
        <f t="shared" ref="BQ433:BQ438" si="1317">"61.73"</f>
        <v>61.73</v>
      </c>
      <c r="CG433" s="15" t="str">
        <f t="shared" ref="CG433:CG435" si="1318">"20.62"</f>
        <v>20.62</v>
      </c>
      <c r="CH433" s="15" t="str">
        <f t="shared" ref="CH433:CH435" si="1319">"0.584"</f>
        <v>0.584</v>
      </c>
      <c r="CI433" s="15" t="s">
        <v>497</v>
      </c>
      <c r="CP433" s="15" t="s">
        <v>1072</v>
      </c>
      <c r="CQ433" s="15" t="s">
        <v>429</v>
      </c>
      <c r="CR433" s="15" t="s">
        <v>1806</v>
      </c>
      <c r="CS433" s="15" t="s">
        <v>1700</v>
      </c>
      <c r="CT433" s="15" t="s">
        <v>1213</v>
      </c>
      <c r="CV433" s="15">
        <v>0.0</v>
      </c>
      <c r="CW433" s="15">
        <v>1.0</v>
      </c>
      <c r="CX433" s="15" t="s">
        <v>717</v>
      </c>
      <c r="CY433" s="15" t="s">
        <v>718</v>
      </c>
      <c r="DF433" s="15" t="s">
        <v>1111</v>
      </c>
      <c r="DG433" s="15" t="s">
        <v>419</v>
      </c>
      <c r="DH433" s="15">
        <v>0.0</v>
      </c>
      <c r="DL433" s="15">
        <v>0.0</v>
      </c>
      <c r="DM433" s="15" t="s">
        <v>3384</v>
      </c>
      <c r="DN433" s="15" t="s">
        <v>2927</v>
      </c>
      <c r="DO433" s="15" t="s">
        <v>3514</v>
      </c>
      <c r="DP433" s="15">
        <v>1.0</v>
      </c>
      <c r="DQ433" s="15">
        <v>1.0</v>
      </c>
      <c r="DS433" s="15" t="s">
        <v>5303</v>
      </c>
      <c r="DT433" s="15">
        <v>0.0</v>
      </c>
      <c r="DU433" s="15" t="s">
        <v>726</v>
      </c>
      <c r="DV433" s="15" t="s">
        <v>1253</v>
      </c>
      <c r="DW433" s="15" t="s">
        <v>762</v>
      </c>
      <c r="DX433" s="15" t="s">
        <v>1072</v>
      </c>
      <c r="EB433" s="15" t="s">
        <v>2737</v>
      </c>
      <c r="EC433" s="15" t="s">
        <v>429</v>
      </c>
      <c r="ED433" s="15" t="s">
        <v>467</v>
      </c>
      <c r="EE433" s="15" t="s">
        <v>555</v>
      </c>
      <c r="EF433" s="15" t="s">
        <v>3240</v>
      </c>
      <c r="EG433" s="15" t="s">
        <v>1211</v>
      </c>
      <c r="EH433" s="15" t="s">
        <v>1806</v>
      </c>
      <c r="EI433" s="15" t="s">
        <v>1213</v>
      </c>
      <c r="EL433" s="15" t="s">
        <v>2927</v>
      </c>
      <c r="EM433" s="15" t="s">
        <v>3514</v>
      </c>
      <c r="EO433" s="15" t="s">
        <v>937</v>
      </c>
      <c r="EX433" s="15" t="s">
        <v>1072</v>
      </c>
      <c r="EY433" s="15" t="s">
        <v>1806</v>
      </c>
      <c r="EZ433" s="15">
        <v>0.0</v>
      </c>
      <c r="FA433" s="15">
        <v>0.0</v>
      </c>
      <c r="FB433" s="15" t="s">
        <v>3362</v>
      </c>
      <c r="FC433" s="15">
        <v>0.0</v>
      </c>
    </row>
    <row r="434" ht="17.25" customHeight="1">
      <c r="A434" s="15" t="s">
        <v>5347</v>
      </c>
      <c r="B434" s="15" t="str">
        <f>"801542066765"</f>
        <v>801542066765</v>
      </c>
      <c r="C434" s="15" t="s">
        <v>16362</v>
      </c>
      <c r="D434" s="15" t="str">
        <f t="shared" si="1"/>
        <v>Halston ChairHeirloom Sienna</v>
      </c>
      <c r="E434" s="15" t="s">
        <v>5339</v>
      </c>
      <c r="F434" s="15" t="s">
        <v>397</v>
      </c>
      <c r="G434" s="15" t="s">
        <v>1596</v>
      </c>
      <c r="J434" s="15" t="s">
        <v>1596</v>
      </c>
      <c r="K434" s="15" t="s">
        <v>3557</v>
      </c>
      <c r="M434" s="15" t="s">
        <v>915</v>
      </c>
      <c r="N434" s="15" t="s">
        <v>706</v>
      </c>
      <c r="O434" s="15" t="s">
        <v>707</v>
      </c>
      <c r="P434" s="15" t="str">
        <f t="shared" si="1307"/>
        <v>30</v>
      </c>
      <c r="Q434" s="15" t="str">
        <f t="shared" si="1308"/>
        <v>34.25</v>
      </c>
      <c r="R434" s="15" t="str">
        <f t="shared" si="1309"/>
        <v>32</v>
      </c>
      <c r="S434" s="15" t="str">
        <f t="shared" si="1310"/>
        <v>44.09</v>
      </c>
      <c r="T434" s="15" t="s">
        <v>1341</v>
      </c>
      <c r="U434" s="15" t="s">
        <v>11137</v>
      </c>
      <c r="V434" s="15" t="s">
        <v>11138</v>
      </c>
      <c r="AA434" s="15" t="s">
        <v>413</v>
      </c>
      <c r="AB434" s="15" t="s">
        <v>413</v>
      </c>
      <c r="AC434" s="15" t="s">
        <v>5349</v>
      </c>
      <c r="AD434" s="15" t="s">
        <v>16363</v>
      </c>
      <c r="AE434" s="15" t="s">
        <v>5348</v>
      </c>
      <c r="AF434" s="15" t="s">
        <v>16364</v>
      </c>
      <c r="AG434" s="15" t="s">
        <v>16365</v>
      </c>
      <c r="AH434" s="15" t="s">
        <v>16366</v>
      </c>
      <c r="AI434" s="15" t="s">
        <v>16367</v>
      </c>
      <c r="AJ434" s="15" t="s">
        <v>16368</v>
      </c>
      <c r="AK434" s="15" t="s">
        <v>11838</v>
      </c>
      <c r="AL434" s="15" t="s">
        <v>16369</v>
      </c>
      <c r="AM434" s="15" t="s">
        <v>16370</v>
      </c>
      <c r="AN434" s="15" t="s">
        <v>16371</v>
      </c>
      <c r="AO434" s="15" t="s">
        <v>16372</v>
      </c>
      <c r="AP434" s="15" t="s">
        <v>16373</v>
      </c>
      <c r="BH434" s="15" t="s">
        <v>5346</v>
      </c>
      <c r="BI434" s="15" t="str">
        <f t="shared" si="1311"/>
        <v>1749</v>
      </c>
      <c r="BJ434" s="15" t="str">
        <f t="shared" si="1312"/>
        <v>735</v>
      </c>
      <c r="BK434" s="15" t="s">
        <v>709</v>
      </c>
      <c r="BL434" s="15" t="str">
        <f t="shared" si="1313"/>
        <v>1</v>
      </c>
      <c r="BM434" s="15" t="s">
        <v>5345</v>
      </c>
      <c r="BN434" s="15" t="str">
        <f t="shared" si="1314"/>
        <v>33.07</v>
      </c>
      <c r="BO434" s="15" t="str">
        <f t="shared" si="1315"/>
        <v>38.58</v>
      </c>
      <c r="BP434" s="15" t="str">
        <f t="shared" si="1316"/>
        <v>32.28</v>
      </c>
      <c r="BQ434" s="15" t="str">
        <f t="shared" si="1317"/>
        <v>61.73</v>
      </c>
      <c r="CG434" s="15" t="str">
        <f t="shared" si="1318"/>
        <v>20.62</v>
      </c>
      <c r="CH434" s="15" t="str">
        <f t="shared" si="1319"/>
        <v>0.584</v>
      </c>
      <c r="CI434" s="15" t="s">
        <v>497</v>
      </c>
      <c r="CP434" s="15" t="s">
        <v>1072</v>
      </c>
      <c r="CQ434" s="15" t="s">
        <v>429</v>
      </c>
      <c r="CR434" s="15" t="s">
        <v>1806</v>
      </c>
      <c r="CS434" s="15" t="s">
        <v>1700</v>
      </c>
      <c r="CT434" s="15" t="s">
        <v>1213</v>
      </c>
      <c r="CV434" s="15">
        <v>0.0</v>
      </c>
      <c r="CW434" s="15">
        <v>1.0</v>
      </c>
      <c r="CX434" s="15" t="s">
        <v>717</v>
      </c>
      <c r="CY434" s="15" t="s">
        <v>718</v>
      </c>
      <c r="DF434" s="15" t="s">
        <v>1111</v>
      </c>
      <c r="DG434" s="15" t="s">
        <v>419</v>
      </c>
      <c r="DH434" s="15">
        <v>0.0</v>
      </c>
      <c r="DL434" s="15">
        <v>0.0</v>
      </c>
      <c r="DM434" s="15" t="s">
        <v>3384</v>
      </c>
      <c r="DN434" s="15" t="s">
        <v>2927</v>
      </c>
      <c r="DO434" s="15" t="s">
        <v>3514</v>
      </c>
      <c r="DP434" s="15">
        <v>1.0</v>
      </c>
      <c r="DQ434" s="15">
        <v>1.0</v>
      </c>
      <c r="DS434" s="15" t="s">
        <v>5303</v>
      </c>
      <c r="DT434" s="15">
        <v>0.0</v>
      </c>
      <c r="DU434" s="15" t="s">
        <v>726</v>
      </c>
      <c r="DV434" s="15" t="s">
        <v>1253</v>
      </c>
      <c r="DW434" s="15" t="s">
        <v>762</v>
      </c>
      <c r="DX434" s="15" t="s">
        <v>1072</v>
      </c>
      <c r="EB434" s="15" t="s">
        <v>2737</v>
      </c>
      <c r="EC434" s="15" t="s">
        <v>429</v>
      </c>
      <c r="ED434" s="15" t="s">
        <v>467</v>
      </c>
      <c r="EE434" s="15" t="s">
        <v>555</v>
      </c>
      <c r="EF434" s="15" t="s">
        <v>3240</v>
      </c>
      <c r="EG434" s="15" t="s">
        <v>1211</v>
      </c>
      <c r="EH434" s="15" t="s">
        <v>1806</v>
      </c>
      <c r="EI434" s="15" t="s">
        <v>1213</v>
      </c>
      <c r="EL434" s="15" t="s">
        <v>2927</v>
      </c>
      <c r="EM434" s="15" t="s">
        <v>3514</v>
      </c>
      <c r="EO434" s="15" t="s">
        <v>937</v>
      </c>
      <c r="EX434" s="15" t="s">
        <v>1072</v>
      </c>
      <c r="EY434" s="15" t="s">
        <v>1806</v>
      </c>
      <c r="EZ434" s="15">
        <v>0.0</v>
      </c>
      <c r="FA434" s="15">
        <v>0.0</v>
      </c>
      <c r="FB434" s="15" t="s">
        <v>3362</v>
      </c>
      <c r="FC434" s="15">
        <v>0.0</v>
      </c>
    </row>
    <row r="435" ht="17.25" customHeight="1">
      <c r="A435" s="15" t="s">
        <v>5351</v>
      </c>
      <c r="B435" s="15" t="str">
        <f>"801542993450"</f>
        <v>801542993450</v>
      </c>
      <c r="C435" s="15" t="s">
        <v>16374</v>
      </c>
      <c r="D435" s="15" t="str">
        <f t="shared" si="1"/>
        <v>Halston ChairPalermo Drift</v>
      </c>
      <c r="E435" s="15" t="s">
        <v>5339</v>
      </c>
      <c r="F435" s="15" t="s">
        <v>397</v>
      </c>
      <c r="G435" s="15" t="s">
        <v>1658</v>
      </c>
      <c r="J435" s="15" t="s">
        <v>1658</v>
      </c>
      <c r="K435" s="15" t="s">
        <v>3557</v>
      </c>
      <c r="M435" s="15" t="s">
        <v>915</v>
      </c>
      <c r="N435" s="15" t="s">
        <v>706</v>
      </c>
      <c r="O435" s="15" t="s">
        <v>707</v>
      </c>
      <c r="P435" s="15" t="str">
        <f t="shared" si="1307"/>
        <v>30</v>
      </c>
      <c r="Q435" s="15" t="str">
        <f t="shared" si="1308"/>
        <v>34.25</v>
      </c>
      <c r="R435" s="15" t="str">
        <f t="shared" si="1309"/>
        <v>32</v>
      </c>
      <c r="S435" s="15" t="str">
        <f t="shared" si="1310"/>
        <v>44.09</v>
      </c>
      <c r="T435" s="15" t="s">
        <v>1341</v>
      </c>
      <c r="U435" s="15" t="s">
        <v>11137</v>
      </c>
      <c r="V435" s="15" t="s">
        <v>11138</v>
      </c>
      <c r="AA435" s="15" t="s">
        <v>413</v>
      </c>
      <c r="AB435" s="15" t="s">
        <v>413</v>
      </c>
      <c r="AC435" s="15" t="s">
        <v>5353</v>
      </c>
      <c r="AD435" s="15" t="s">
        <v>16375</v>
      </c>
      <c r="AE435" s="15" t="s">
        <v>5352</v>
      </c>
      <c r="AF435" s="15" t="s">
        <v>16376</v>
      </c>
      <c r="AG435" s="15" t="s">
        <v>16377</v>
      </c>
      <c r="AH435" s="15" t="s">
        <v>16378</v>
      </c>
      <c r="AI435" s="15" t="s">
        <v>16379</v>
      </c>
      <c r="AJ435" s="15" t="s">
        <v>16380</v>
      </c>
      <c r="AK435" s="15" t="s">
        <v>16381</v>
      </c>
      <c r="AL435" s="15" t="s">
        <v>16382</v>
      </c>
      <c r="AM435" s="15" t="s">
        <v>16383</v>
      </c>
      <c r="AN435" s="15" t="s">
        <v>16384</v>
      </c>
      <c r="AO435" s="15" t="s">
        <v>16385</v>
      </c>
      <c r="BH435" s="15" t="s">
        <v>5350</v>
      </c>
      <c r="BI435" s="15" t="str">
        <f>"1849"</f>
        <v>1849</v>
      </c>
      <c r="BJ435" s="15" t="str">
        <f>"780"</f>
        <v>780</v>
      </c>
      <c r="BK435" s="15" t="s">
        <v>709</v>
      </c>
      <c r="BL435" s="15" t="str">
        <f t="shared" si="1313"/>
        <v>1</v>
      </c>
      <c r="BM435" s="15" t="s">
        <v>5345</v>
      </c>
      <c r="BN435" s="15" t="str">
        <f t="shared" si="1314"/>
        <v>33.07</v>
      </c>
      <c r="BO435" s="15" t="str">
        <f t="shared" si="1315"/>
        <v>38.58</v>
      </c>
      <c r="BP435" s="15" t="str">
        <f>"33.46"</f>
        <v>33.46</v>
      </c>
      <c r="BQ435" s="15" t="str">
        <f t="shared" si="1317"/>
        <v>61.73</v>
      </c>
      <c r="CG435" s="15" t="str">
        <f t="shared" si="1318"/>
        <v>20.62</v>
      </c>
      <c r="CH435" s="15" t="str">
        <f t="shared" si="1319"/>
        <v>0.584</v>
      </c>
      <c r="CI435" s="15" t="s">
        <v>497</v>
      </c>
      <c r="CP435" s="15" t="s">
        <v>1072</v>
      </c>
      <c r="CQ435" s="15" t="s">
        <v>429</v>
      </c>
      <c r="CR435" s="15" t="s">
        <v>1806</v>
      </c>
      <c r="CS435" s="15" t="s">
        <v>1700</v>
      </c>
      <c r="CT435" s="15" t="s">
        <v>1213</v>
      </c>
      <c r="CV435" s="15">
        <v>0.0</v>
      </c>
      <c r="CW435" s="15">
        <v>1.0</v>
      </c>
      <c r="CX435" s="15" t="s">
        <v>717</v>
      </c>
      <c r="CY435" s="15" t="s">
        <v>718</v>
      </c>
      <c r="DF435" s="15" t="s">
        <v>1111</v>
      </c>
      <c r="DG435" s="15" t="s">
        <v>419</v>
      </c>
      <c r="DH435" s="15">
        <v>0.0</v>
      </c>
      <c r="DL435" s="15">
        <v>0.0</v>
      </c>
      <c r="DM435" s="15" t="s">
        <v>3384</v>
      </c>
      <c r="DN435" s="15" t="s">
        <v>2927</v>
      </c>
      <c r="DO435" s="15" t="s">
        <v>3514</v>
      </c>
      <c r="DP435" s="15">
        <v>1.0</v>
      </c>
      <c r="DQ435" s="15">
        <v>1.0</v>
      </c>
      <c r="DS435" s="15" t="s">
        <v>5303</v>
      </c>
      <c r="DT435" s="15">
        <v>0.0</v>
      </c>
      <c r="DU435" s="15" t="s">
        <v>726</v>
      </c>
      <c r="DV435" s="15" t="s">
        <v>1253</v>
      </c>
      <c r="DW435" s="15" t="s">
        <v>762</v>
      </c>
      <c r="DX435" s="15" t="s">
        <v>1072</v>
      </c>
      <c r="EB435" s="15" t="s">
        <v>2737</v>
      </c>
      <c r="EC435" s="15" t="s">
        <v>429</v>
      </c>
      <c r="ED435" s="15" t="s">
        <v>467</v>
      </c>
      <c r="EE435" s="15" t="s">
        <v>555</v>
      </c>
      <c r="EF435" s="15" t="s">
        <v>3240</v>
      </c>
      <c r="EG435" s="15" t="s">
        <v>1211</v>
      </c>
      <c r="EH435" s="15" t="s">
        <v>1806</v>
      </c>
      <c r="EI435" s="15" t="s">
        <v>1213</v>
      </c>
      <c r="EL435" s="15" t="s">
        <v>2927</v>
      </c>
      <c r="EM435" s="15" t="s">
        <v>3514</v>
      </c>
      <c r="EO435" s="15" t="s">
        <v>937</v>
      </c>
      <c r="EX435" s="15" t="s">
        <v>1072</v>
      </c>
      <c r="EY435" s="15" t="s">
        <v>1806</v>
      </c>
      <c r="EZ435" s="15">
        <v>0.0</v>
      </c>
      <c r="FA435" s="15">
        <v>0.0</v>
      </c>
      <c r="FB435" s="15" t="s">
        <v>3362</v>
      </c>
      <c r="FC435" s="15">
        <v>0.0</v>
      </c>
    </row>
    <row r="436" ht="17.25" customHeight="1">
      <c r="A436" s="15" t="s">
        <v>5356</v>
      </c>
      <c r="B436" s="15" t="str">
        <f>"801542125028"</f>
        <v>801542125028</v>
      </c>
      <c r="C436" s="15" t="s">
        <v>16386</v>
      </c>
      <c r="D436" s="15" t="str">
        <f t="shared" si="1"/>
        <v>Halston Chair With OttomanHeirloom Black</v>
      </c>
      <c r="E436" s="15" t="s">
        <v>5354</v>
      </c>
      <c r="F436" s="15" t="s">
        <v>397</v>
      </c>
      <c r="G436" s="15" t="s">
        <v>2575</v>
      </c>
      <c r="J436" s="15" t="s">
        <v>2575</v>
      </c>
      <c r="K436" s="15" t="s">
        <v>3557</v>
      </c>
      <c r="M436" s="15" t="s">
        <v>915</v>
      </c>
      <c r="N436" s="15" t="s">
        <v>706</v>
      </c>
      <c r="O436" s="15" t="s">
        <v>707</v>
      </c>
      <c r="P436" s="15" t="str">
        <f t="shared" si="1307"/>
        <v>30</v>
      </c>
      <c r="Q436" s="15" t="str">
        <f t="shared" ref="Q436:Q438" si="1320">"57.75"</f>
        <v>57.75</v>
      </c>
      <c r="R436" s="15" t="str">
        <f t="shared" si="1309"/>
        <v>32</v>
      </c>
      <c r="S436" s="15" t="str">
        <f t="shared" ref="S436:S438" si="1321">"65.25"</f>
        <v>65.25</v>
      </c>
      <c r="T436" s="15" t="s">
        <v>1341</v>
      </c>
      <c r="U436" s="15" t="s">
        <v>11137</v>
      </c>
      <c r="V436" s="15" t="s">
        <v>11138</v>
      </c>
      <c r="AA436" s="15" t="s">
        <v>413</v>
      </c>
      <c r="AB436" s="15" t="s">
        <v>413</v>
      </c>
      <c r="AC436" s="15" t="s">
        <v>5344</v>
      </c>
      <c r="AD436" s="15" t="s">
        <v>16387</v>
      </c>
      <c r="AE436" s="15" t="s">
        <v>5358</v>
      </c>
      <c r="AF436" s="15" t="s">
        <v>16388</v>
      </c>
      <c r="AG436" s="15" t="s">
        <v>16389</v>
      </c>
      <c r="AH436" s="15" t="s">
        <v>16390</v>
      </c>
      <c r="AI436" s="15" t="s">
        <v>16391</v>
      </c>
      <c r="AJ436" s="15" t="s">
        <v>16392</v>
      </c>
      <c r="AK436" s="15" t="s">
        <v>16393</v>
      </c>
      <c r="BH436" s="15" t="s">
        <v>5355</v>
      </c>
      <c r="BI436" s="15" t="str">
        <f t="shared" ref="BI436:BI437" si="1322">"2599"</f>
        <v>2599</v>
      </c>
      <c r="BJ436" s="15" t="str">
        <f t="shared" ref="BJ436:BJ437" si="1323">"1095"</f>
        <v>1095</v>
      </c>
      <c r="BK436" s="15" t="s">
        <v>709</v>
      </c>
      <c r="BL436" s="15" t="str">
        <f t="shared" ref="BL436:BL438" si="1324">"2"</f>
        <v>2</v>
      </c>
      <c r="BM436" s="15" t="s">
        <v>5345</v>
      </c>
      <c r="BN436" s="15" t="str">
        <f t="shared" si="1314"/>
        <v>33.07</v>
      </c>
      <c r="BO436" s="15" t="str">
        <f t="shared" si="1315"/>
        <v>38.58</v>
      </c>
      <c r="BP436" s="15" t="str">
        <f t="shared" ref="BP436:BP437" si="1325">"32.28"</f>
        <v>32.28</v>
      </c>
      <c r="BQ436" s="15" t="str">
        <f t="shared" si="1317"/>
        <v>61.73</v>
      </c>
      <c r="BR436" s="15" t="s">
        <v>416</v>
      </c>
      <c r="BS436" s="15" t="str">
        <f t="shared" ref="BS436:BS438" si="1326">"31.5"</f>
        <v>31.5</v>
      </c>
      <c r="BT436" s="15" t="str">
        <f t="shared" ref="BT436:BT438" si="1327">"27.95"</f>
        <v>27.95</v>
      </c>
      <c r="BU436" s="15" t="str">
        <f t="shared" ref="BU436:BU438" si="1328">"14.96"</f>
        <v>14.96</v>
      </c>
      <c r="BV436" s="15" t="str">
        <f t="shared" ref="BV436:BV438" si="1329">"34.17"</f>
        <v>34.17</v>
      </c>
      <c r="CG436" s="15" t="str">
        <f t="shared" ref="CG436:CG438" si="1330">"28.25"</f>
        <v>28.25</v>
      </c>
      <c r="CH436" s="15" t="str">
        <f t="shared" ref="CH436:CH438" si="1331">"0.8"</f>
        <v>0.8</v>
      </c>
      <c r="CI436" s="15" t="s">
        <v>465</v>
      </c>
      <c r="CX436" s="15" t="s">
        <v>717</v>
      </c>
      <c r="CY436" s="15" t="s">
        <v>718</v>
      </c>
      <c r="DG436" s="15" t="s">
        <v>419</v>
      </c>
      <c r="DL436" s="15">
        <v>0.0</v>
      </c>
      <c r="DN436" s="15" t="s">
        <v>2927</v>
      </c>
      <c r="DO436" s="15" t="s">
        <v>3514</v>
      </c>
      <c r="DQ436" s="15">
        <v>1.0</v>
      </c>
      <c r="DS436" s="15" t="s">
        <v>5303</v>
      </c>
      <c r="DU436" s="15" t="s">
        <v>726</v>
      </c>
      <c r="EL436" s="15" t="s">
        <v>2927</v>
      </c>
      <c r="EM436" s="15" t="s">
        <v>3514</v>
      </c>
      <c r="EO436" s="15" t="s">
        <v>937</v>
      </c>
      <c r="FB436" s="15" t="s">
        <v>3362</v>
      </c>
    </row>
    <row r="437" ht="17.25" customHeight="1">
      <c r="A437" s="15" t="s">
        <v>5365</v>
      </c>
      <c r="B437" s="15" t="str">
        <f>"801542125035"</f>
        <v>801542125035</v>
      </c>
      <c r="C437" s="15" t="s">
        <v>16394</v>
      </c>
      <c r="D437" s="15" t="str">
        <f t="shared" si="1"/>
        <v>Halston Chair With OttomanHeirloom Sienna</v>
      </c>
      <c r="E437" s="15" t="s">
        <v>5354</v>
      </c>
      <c r="F437" s="15" t="s">
        <v>397</v>
      </c>
      <c r="G437" s="15" t="s">
        <v>1596</v>
      </c>
      <c r="J437" s="15" t="s">
        <v>1596</v>
      </c>
      <c r="K437" s="15" t="s">
        <v>3557</v>
      </c>
      <c r="M437" s="15" t="s">
        <v>915</v>
      </c>
      <c r="N437" s="15" t="s">
        <v>706</v>
      </c>
      <c r="O437" s="15" t="s">
        <v>707</v>
      </c>
      <c r="P437" s="15" t="str">
        <f t="shared" si="1307"/>
        <v>30</v>
      </c>
      <c r="Q437" s="15" t="str">
        <f t="shared" si="1320"/>
        <v>57.75</v>
      </c>
      <c r="R437" s="15" t="str">
        <f t="shared" si="1309"/>
        <v>32</v>
      </c>
      <c r="S437" s="15" t="str">
        <f t="shared" si="1321"/>
        <v>65.25</v>
      </c>
      <c r="T437" s="15" t="s">
        <v>1341</v>
      </c>
      <c r="U437" s="15" t="s">
        <v>11137</v>
      </c>
      <c r="V437" s="15" t="s">
        <v>11138</v>
      </c>
      <c r="AA437" s="15" t="s">
        <v>413</v>
      </c>
      <c r="AB437" s="15" t="s">
        <v>413</v>
      </c>
      <c r="AC437" s="15" t="s">
        <v>5349</v>
      </c>
      <c r="AD437" s="15" t="s">
        <v>16395</v>
      </c>
      <c r="AE437" s="15" t="s">
        <v>5366</v>
      </c>
      <c r="AF437" s="15" t="s">
        <v>16396</v>
      </c>
      <c r="AG437" s="15" t="s">
        <v>16397</v>
      </c>
      <c r="AH437" s="15" t="s">
        <v>16398</v>
      </c>
      <c r="AI437" s="15" t="s">
        <v>16399</v>
      </c>
      <c r="AJ437" s="15" t="s">
        <v>11838</v>
      </c>
      <c r="AK437" s="15" t="s">
        <v>16400</v>
      </c>
      <c r="AL437" s="15" t="s">
        <v>16401</v>
      </c>
      <c r="BH437" s="15" t="s">
        <v>5364</v>
      </c>
      <c r="BI437" s="15" t="str">
        <f t="shared" si="1322"/>
        <v>2599</v>
      </c>
      <c r="BJ437" s="15" t="str">
        <f t="shared" si="1323"/>
        <v>1095</v>
      </c>
      <c r="BK437" s="15" t="s">
        <v>709</v>
      </c>
      <c r="BL437" s="15" t="str">
        <f t="shared" si="1324"/>
        <v>2</v>
      </c>
      <c r="BM437" s="15" t="s">
        <v>5345</v>
      </c>
      <c r="BN437" s="15" t="str">
        <f t="shared" si="1314"/>
        <v>33.07</v>
      </c>
      <c r="BO437" s="15" t="str">
        <f t="shared" si="1315"/>
        <v>38.58</v>
      </c>
      <c r="BP437" s="15" t="str">
        <f t="shared" si="1325"/>
        <v>32.28</v>
      </c>
      <c r="BQ437" s="15" t="str">
        <f t="shared" si="1317"/>
        <v>61.73</v>
      </c>
      <c r="BR437" s="15" t="s">
        <v>416</v>
      </c>
      <c r="BS437" s="15" t="str">
        <f t="shared" si="1326"/>
        <v>31.5</v>
      </c>
      <c r="BT437" s="15" t="str">
        <f t="shared" si="1327"/>
        <v>27.95</v>
      </c>
      <c r="BU437" s="15" t="str">
        <f t="shared" si="1328"/>
        <v>14.96</v>
      </c>
      <c r="BV437" s="15" t="str">
        <f t="shared" si="1329"/>
        <v>34.17</v>
      </c>
      <c r="CG437" s="15" t="str">
        <f t="shared" si="1330"/>
        <v>28.25</v>
      </c>
      <c r="CH437" s="15" t="str">
        <f t="shared" si="1331"/>
        <v>0.8</v>
      </c>
      <c r="CI437" s="15" t="s">
        <v>417</v>
      </c>
      <c r="CX437" s="15" t="s">
        <v>717</v>
      </c>
      <c r="CY437" s="15" t="s">
        <v>718</v>
      </c>
      <c r="DG437" s="15" t="s">
        <v>419</v>
      </c>
      <c r="DL437" s="15">
        <v>0.0</v>
      </c>
      <c r="DN437" s="15" t="s">
        <v>2927</v>
      </c>
      <c r="DO437" s="15" t="s">
        <v>3514</v>
      </c>
      <c r="DQ437" s="15">
        <v>1.0</v>
      </c>
      <c r="DS437" s="15" t="s">
        <v>5303</v>
      </c>
      <c r="DU437" s="15" t="s">
        <v>726</v>
      </c>
      <c r="EL437" s="15" t="s">
        <v>2927</v>
      </c>
      <c r="EM437" s="15" t="s">
        <v>3514</v>
      </c>
      <c r="EO437" s="15" t="s">
        <v>937</v>
      </c>
      <c r="FB437" s="15" t="s">
        <v>3362</v>
      </c>
    </row>
    <row r="438" ht="17.25" customHeight="1">
      <c r="A438" s="15" t="s">
        <v>5368</v>
      </c>
      <c r="B438" s="15" t="str">
        <f>"801542994402"</f>
        <v>801542994402</v>
      </c>
      <c r="C438" s="15" t="s">
        <v>16402</v>
      </c>
      <c r="D438" s="15" t="str">
        <f t="shared" si="1"/>
        <v>Halston Chair With OttomanPalermo Drift</v>
      </c>
      <c r="E438" s="15" t="s">
        <v>5354</v>
      </c>
      <c r="F438" s="15" t="s">
        <v>397</v>
      </c>
      <c r="G438" s="15" t="s">
        <v>1658</v>
      </c>
      <c r="J438" s="15" t="s">
        <v>1658</v>
      </c>
      <c r="K438" s="15" t="s">
        <v>3557</v>
      </c>
      <c r="M438" s="15" t="s">
        <v>915</v>
      </c>
      <c r="N438" s="15" t="s">
        <v>706</v>
      </c>
      <c r="O438" s="15" t="s">
        <v>707</v>
      </c>
      <c r="P438" s="15" t="str">
        <f t="shared" si="1307"/>
        <v>30</v>
      </c>
      <c r="Q438" s="15" t="str">
        <f t="shared" si="1320"/>
        <v>57.75</v>
      </c>
      <c r="R438" s="15" t="str">
        <f t="shared" si="1309"/>
        <v>32</v>
      </c>
      <c r="S438" s="15" t="str">
        <f t="shared" si="1321"/>
        <v>65.25</v>
      </c>
      <c r="T438" s="15" t="s">
        <v>1341</v>
      </c>
      <c r="U438" s="15" t="s">
        <v>11137</v>
      </c>
      <c r="V438" s="15" t="s">
        <v>11138</v>
      </c>
      <c r="AA438" s="15" t="s">
        <v>413</v>
      </c>
      <c r="AB438" s="15" t="s">
        <v>413</v>
      </c>
      <c r="AC438" s="15" t="s">
        <v>5370</v>
      </c>
      <c r="AD438" s="15" t="s">
        <v>16403</v>
      </c>
      <c r="AE438" s="15" t="s">
        <v>5369</v>
      </c>
      <c r="AF438" s="15" t="s">
        <v>16404</v>
      </c>
      <c r="AG438" s="15" t="s">
        <v>16405</v>
      </c>
      <c r="AH438" s="15" t="s">
        <v>16406</v>
      </c>
      <c r="AI438" s="15" t="s">
        <v>16407</v>
      </c>
      <c r="AJ438" s="15" t="s">
        <v>16408</v>
      </c>
      <c r="AK438" s="15" t="s">
        <v>16409</v>
      </c>
      <c r="BH438" s="15" t="s">
        <v>5367</v>
      </c>
      <c r="BI438" s="15" t="str">
        <f>"2699"</f>
        <v>2699</v>
      </c>
      <c r="BJ438" s="15" t="str">
        <f>"1135"</f>
        <v>1135</v>
      </c>
      <c r="BK438" s="15" t="s">
        <v>709</v>
      </c>
      <c r="BL438" s="15" t="str">
        <f t="shared" si="1324"/>
        <v>2</v>
      </c>
      <c r="BM438" s="15" t="s">
        <v>5345</v>
      </c>
      <c r="BN438" s="15" t="str">
        <f t="shared" si="1314"/>
        <v>33.07</v>
      </c>
      <c r="BO438" s="15" t="str">
        <f t="shared" si="1315"/>
        <v>38.58</v>
      </c>
      <c r="BP438" s="15" t="str">
        <f>"33.46"</f>
        <v>33.46</v>
      </c>
      <c r="BQ438" s="15" t="str">
        <f t="shared" si="1317"/>
        <v>61.73</v>
      </c>
      <c r="BR438" s="15" t="s">
        <v>416</v>
      </c>
      <c r="BS438" s="15" t="str">
        <f t="shared" si="1326"/>
        <v>31.5</v>
      </c>
      <c r="BT438" s="15" t="str">
        <f t="shared" si="1327"/>
        <v>27.95</v>
      </c>
      <c r="BU438" s="15" t="str">
        <f t="shared" si="1328"/>
        <v>14.96</v>
      </c>
      <c r="BV438" s="15" t="str">
        <f t="shared" si="1329"/>
        <v>34.17</v>
      </c>
      <c r="CG438" s="15" t="str">
        <f t="shared" si="1330"/>
        <v>28.25</v>
      </c>
      <c r="CH438" s="15" t="str">
        <f t="shared" si="1331"/>
        <v>0.8</v>
      </c>
      <c r="CI438" s="15" t="s">
        <v>417</v>
      </c>
      <c r="CX438" s="15" t="s">
        <v>717</v>
      </c>
      <c r="CY438" s="15" t="s">
        <v>718</v>
      </c>
      <c r="DG438" s="15" t="s">
        <v>419</v>
      </c>
      <c r="DL438" s="15">
        <v>0.0</v>
      </c>
      <c r="DN438" s="15" t="s">
        <v>2927</v>
      </c>
      <c r="DO438" s="15" t="s">
        <v>3514</v>
      </c>
      <c r="DQ438" s="15">
        <v>1.0</v>
      </c>
      <c r="DS438" s="15" t="s">
        <v>5303</v>
      </c>
      <c r="DU438" s="15" t="s">
        <v>726</v>
      </c>
      <c r="EL438" s="15" t="s">
        <v>2927</v>
      </c>
      <c r="EM438" s="15" t="s">
        <v>3514</v>
      </c>
      <c r="EO438" s="15" t="s">
        <v>937</v>
      </c>
      <c r="FB438" s="15" t="s">
        <v>3362</v>
      </c>
    </row>
    <row r="439" ht="17.25" customHeight="1">
      <c r="A439" s="15" t="s">
        <v>5373</v>
      </c>
      <c r="B439" s="15" t="str">
        <f>"801542066772"</f>
        <v>801542066772</v>
      </c>
      <c r="C439" s="15" t="s">
        <v>16410</v>
      </c>
      <c r="D439" s="15" t="str">
        <f t="shared" si="1"/>
        <v>Halston Cocktail OttomanHeirloom Black</v>
      </c>
      <c r="E439" s="15" t="s">
        <v>5371</v>
      </c>
      <c r="F439" s="15" t="s">
        <v>397</v>
      </c>
      <c r="G439" s="15" t="s">
        <v>2575</v>
      </c>
      <c r="J439" s="15" t="s">
        <v>2575</v>
      </c>
      <c r="K439" s="15" t="s">
        <v>3557</v>
      </c>
      <c r="M439" s="15" t="s">
        <v>915</v>
      </c>
      <c r="N439" s="15" t="s">
        <v>1009</v>
      </c>
      <c r="P439" s="15" t="str">
        <f t="shared" ref="P439:P441" si="1332">"50.25"</f>
        <v>50.25</v>
      </c>
      <c r="Q439" s="15" t="str">
        <f t="shared" ref="Q439:Q441" si="1333">"37"</f>
        <v>37</v>
      </c>
      <c r="R439" s="15" t="str">
        <f t="shared" ref="R439:R441" si="1334">"15.25"</f>
        <v>15.25</v>
      </c>
      <c r="S439" s="15" t="str">
        <f t="shared" ref="S439:S441" si="1335">"52.91"</f>
        <v>52.91</v>
      </c>
      <c r="T439" s="15" t="s">
        <v>1341</v>
      </c>
      <c r="U439" s="15" t="s">
        <v>11137</v>
      </c>
      <c r="V439" s="15" t="s">
        <v>11138</v>
      </c>
      <c r="AA439" s="15" t="s">
        <v>413</v>
      </c>
      <c r="AB439" s="15" t="s">
        <v>413</v>
      </c>
      <c r="AC439" s="15" t="s">
        <v>5378</v>
      </c>
      <c r="AD439" s="15" t="s">
        <v>16411</v>
      </c>
      <c r="AE439" s="15" t="s">
        <v>5374</v>
      </c>
      <c r="AF439" s="15" t="s">
        <v>16412</v>
      </c>
      <c r="AG439" s="15" t="s">
        <v>16413</v>
      </c>
      <c r="AH439" s="15" t="s">
        <v>16414</v>
      </c>
      <c r="AI439" s="15" t="s">
        <v>16415</v>
      </c>
      <c r="AJ439" s="15" t="s">
        <v>16416</v>
      </c>
      <c r="AK439" s="15" t="s">
        <v>16417</v>
      </c>
      <c r="AL439" s="15" t="s">
        <v>16418</v>
      </c>
      <c r="AM439" s="15" t="s">
        <v>16419</v>
      </c>
      <c r="BH439" s="15" t="s">
        <v>5372</v>
      </c>
      <c r="BI439" s="15" t="str">
        <f t="shared" ref="BI439:BI441" si="1336">"1599"</f>
        <v>1599</v>
      </c>
      <c r="BJ439" s="15" t="str">
        <f t="shared" ref="BJ439:BJ441" si="1337">"675"</f>
        <v>675</v>
      </c>
      <c r="BK439" s="15" t="s">
        <v>709</v>
      </c>
      <c r="BL439" s="15" t="str">
        <f t="shared" ref="BL439:BL463" si="1338">"1"</f>
        <v>1</v>
      </c>
      <c r="BM439" s="15" t="s">
        <v>416</v>
      </c>
      <c r="BN439" s="15" t="str">
        <f t="shared" ref="BN439:BN441" si="1339">"52.36"</f>
        <v>52.36</v>
      </c>
      <c r="BO439" s="15" t="str">
        <f t="shared" ref="BO439:BO441" si="1340">"40.16"</f>
        <v>40.16</v>
      </c>
      <c r="BP439" s="15" t="str">
        <f t="shared" ref="BP439:BP441" si="1341">"18.11"</f>
        <v>18.11</v>
      </c>
      <c r="BQ439" s="15" t="str">
        <f t="shared" ref="BQ439:BQ441" si="1342">"72.75"</f>
        <v>72.75</v>
      </c>
      <c r="CG439" s="15" t="str">
        <f t="shared" ref="CG439:CG441" si="1343">"22.04"</f>
        <v>22.04</v>
      </c>
      <c r="CH439" s="15" t="str">
        <f t="shared" ref="CH439:CH441" si="1344">"0.624"</f>
        <v>0.624</v>
      </c>
      <c r="CI439" s="15" t="s">
        <v>465</v>
      </c>
      <c r="CP439" s="15" t="s">
        <v>2403</v>
      </c>
      <c r="CQ439" s="15" t="s">
        <v>429</v>
      </c>
      <c r="CR439" s="15" t="s">
        <v>2931</v>
      </c>
      <c r="CS439" s="15" t="s">
        <v>2403</v>
      </c>
      <c r="CT439" s="15" t="s">
        <v>2618</v>
      </c>
      <c r="CU439" s="15" t="s">
        <v>2931</v>
      </c>
      <c r="CW439" s="15">
        <v>0.0</v>
      </c>
      <c r="CY439" s="15" t="s">
        <v>718</v>
      </c>
      <c r="DF439" s="15" t="s">
        <v>721</v>
      </c>
      <c r="DG439" s="15" t="s">
        <v>419</v>
      </c>
      <c r="DH439" s="15">
        <v>0.0</v>
      </c>
      <c r="DL439" s="15">
        <v>0.0</v>
      </c>
      <c r="DM439" s="15" t="s">
        <v>470</v>
      </c>
      <c r="DN439" s="15" t="s">
        <v>2927</v>
      </c>
      <c r="DO439" s="15" t="s">
        <v>3514</v>
      </c>
      <c r="DP439" s="15">
        <v>1.0</v>
      </c>
      <c r="DQ439" s="15">
        <v>2.0</v>
      </c>
      <c r="DR439" s="15" t="s">
        <v>471</v>
      </c>
      <c r="DS439" s="15" t="s">
        <v>5303</v>
      </c>
      <c r="DT439" s="15">
        <v>0.0</v>
      </c>
      <c r="DU439" s="15" t="s">
        <v>1545</v>
      </c>
      <c r="EF439" s="15" t="s">
        <v>2899</v>
      </c>
      <c r="EG439" s="15" t="s">
        <v>1064</v>
      </c>
      <c r="EH439" s="15" t="s">
        <v>2931</v>
      </c>
      <c r="EO439" s="15" t="s">
        <v>937</v>
      </c>
      <c r="FB439" s="15" t="s">
        <v>3362</v>
      </c>
    </row>
    <row r="440" ht="17.25" customHeight="1">
      <c r="A440" s="15" t="s">
        <v>5380</v>
      </c>
      <c r="B440" s="15" t="str">
        <f>"801542066789"</f>
        <v>801542066789</v>
      </c>
      <c r="C440" s="15" t="s">
        <v>16420</v>
      </c>
      <c r="D440" s="15" t="str">
        <f t="shared" si="1"/>
        <v>Halston Cocktail OttomanHeirloom Sienna</v>
      </c>
      <c r="E440" s="15" t="s">
        <v>5371</v>
      </c>
      <c r="F440" s="15" t="s">
        <v>397</v>
      </c>
      <c r="G440" s="15" t="s">
        <v>1596</v>
      </c>
      <c r="J440" s="15" t="s">
        <v>1596</v>
      </c>
      <c r="K440" s="15" t="s">
        <v>3557</v>
      </c>
      <c r="M440" s="15" t="s">
        <v>915</v>
      </c>
      <c r="N440" s="15" t="s">
        <v>1009</v>
      </c>
      <c r="P440" s="15" t="str">
        <f t="shared" si="1332"/>
        <v>50.25</v>
      </c>
      <c r="Q440" s="15" t="str">
        <f t="shared" si="1333"/>
        <v>37</v>
      </c>
      <c r="R440" s="15" t="str">
        <f t="shared" si="1334"/>
        <v>15.25</v>
      </c>
      <c r="S440" s="15" t="str">
        <f t="shared" si="1335"/>
        <v>52.91</v>
      </c>
      <c r="T440" s="15" t="s">
        <v>1341</v>
      </c>
      <c r="U440" s="15" t="s">
        <v>11137</v>
      </c>
      <c r="V440" s="15" t="s">
        <v>11138</v>
      </c>
      <c r="AA440" s="15" t="s">
        <v>413</v>
      </c>
      <c r="AB440" s="15" t="s">
        <v>413</v>
      </c>
      <c r="AC440" s="15" t="s">
        <v>5378</v>
      </c>
      <c r="AD440" s="15" t="s">
        <v>16421</v>
      </c>
      <c r="AE440" s="15" t="s">
        <v>5381</v>
      </c>
      <c r="AF440" s="15" t="s">
        <v>16422</v>
      </c>
      <c r="AG440" s="15" t="s">
        <v>16423</v>
      </c>
      <c r="AH440" s="15" t="s">
        <v>16424</v>
      </c>
      <c r="AI440" s="15" t="s">
        <v>16425</v>
      </c>
      <c r="AJ440" s="15" t="s">
        <v>11838</v>
      </c>
      <c r="AK440" s="15" t="s">
        <v>16426</v>
      </c>
      <c r="AL440" s="15" t="s">
        <v>16427</v>
      </c>
      <c r="AM440" s="15" t="s">
        <v>16428</v>
      </c>
      <c r="AN440" s="15" t="s">
        <v>16429</v>
      </c>
      <c r="BH440" s="15" t="s">
        <v>5379</v>
      </c>
      <c r="BI440" s="15" t="str">
        <f t="shared" si="1336"/>
        <v>1599</v>
      </c>
      <c r="BJ440" s="15" t="str">
        <f t="shared" si="1337"/>
        <v>675</v>
      </c>
      <c r="BK440" s="15" t="s">
        <v>709</v>
      </c>
      <c r="BL440" s="15" t="str">
        <f t="shared" si="1338"/>
        <v>1</v>
      </c>
      <c r="BM440" s="15" t="s">
        <v>416</v>
      </c>
      <c r="BN440" s="15" t="str">
        <f t="shared" si="1339"/>
        <v>52.36</v>
      </c>
      <c r="BO440" s="15" t="str">
        <f t="shared" si="1340"/>
        <v>40.16</v>
      </c>
      <c r="BP440" s="15" t="str">
        <f t="shared" si="1341"/>
        <v>18.11</v>
      </c>
      <c r="BQ440" s="15" t="str">
        <f t="shared" si="1342"/>
        <v>72.75</v>
      </c>
      <c r="CG440" s="15" t="str">
        <f t="shared" si="1343"/>
        <v>22.04</v>
      </c>
      <c r="CH440" s="15" t="str">
        <f t="shared" si="1344"/>
        <v>0.624</v>
      </c>
      <c r="CI440" s="15" t="s">
        <v>497</v>
      </c>
      <c r="CP440" s="15" t="s">
        <v>2403</v>
      </c>
      <c r="CQ440" s="15" t="s">
        <v>429</v>
      </c>
      <c r="CR440" s="15" t="s">
        <v>2931</v>
      </c>
      <c r="CS440" s="15" t="s">
        <v>2403</v>
      </c>
      <c r="CT440" s="15" t="s">
        <v>2618</v>
      </c>
      <c r="CU440" s="15" t="s">
        <v>2931</v>
      </c>
      <c r="CW440" s="15">
        <v>0.0</v>
      </c>
      <c r="CY440" s="15" t="s">
        <v>718</v>
      </c>
      <c r="DF440" s="15" t="s">
        <v>721</v>
      </c>
      <c r="DG440" s="15" t="s">
        <v>419</v>
      </c>
      <c r="DH440" s="15">
        <v>0.0</v>
      </c>
      <c r="DL440" s="15">
        <v>0.0</v>
      </c>
      <c r="DM440" s="15" t="s">
        <v>470</v>
      </c>
      <c r="DN440" s="15" t="s">
        <v>2927</v>
      </c>
      <c r="DO440" s="15" t="s">
        <v>3514</v>
      </c>
      <c r="DP440" s="15">
        <v>1.0</v>
      </c>
      <c r="DQ440" s="15">
        <v>2.0</v>
      </c>
      <c r="DR440" s="15" t="s">
        <v>471</v>
      </c>
      <c r="DS440" s="15" t="s">
        <v>5303</v>
      </c>
      <c r="DT440" s="15">
        <v>0.0</v>
      </c>
      <c r="DU440" s="15" t="s">
        <v>1545</v>
      </c>
      <c r="EF440" s="15" t="s">
        <v>2899</v>
      </c>
      <c r="EG440" s="15" t="s">
        <v>1064</v>
      </c>
      <c r="EH440" s="15" t="s">
        <v>2931</v>
      </c>
      <c r="EO440" s="15" t="s">
        <v>937</v>
      </c>
      <c r="FB440" s="15" t="s">
        <v>3362</v>
      </c>
    </row>
    <row r="441" ht="17.25" customHeight="1">
      <c r="A441" s="15" t="s">
        <v>5383</v>
      </c>
      <c r="B441" s="15" t="str">
        <f>"801542993467"</f>
        <v>801542993467</v>
      </c>
      <c r="C441" s="15" t="s">
        <v>16430</v>
      </c>
      <c r="D441" s="15" t="str">
        <f t="shared" si="1"/>
        <v>Halston Cocktail OttomanPalermo Drift</v>
      </c>
      <c r="E441" s="15" t="s">
        <v>5371</v>
      </c>
      <c r="F441" s="15" t="s">
        <v>397</v>
      </c>
      <c r="G441" s="15" t="s">
        <v>1658</v>
      </c>
      <c r="J441" s="15" t="s">
        <v>1658</v>
      </c>
      <c r="K441" s="15" t="s">
        <v>3557</v>
      </c>
      <c r="M441" s="15" t="s">
        <v>915</v>
      </c>
      <c r="N441" s="15" t="s">
        <v>1009</v>
      </c>
      <c r="P441" s="15" t="str">
        <f t="shared" si="1332"/>
        <v>50.25</v>
      </c>
      <c r="Q441" s="15" t="str">
        <f t="shared" si="1333"/>
        <v>37</v>
      </c>
      <c r="R441" s="15" t="str">
        <f t="shared" si="1334"/>
        <v>15.25</v>
      </c>
      <c r="S441" s="15" t="str">
        <f t="shared" si="1335"/>
        <v>52.91</v>
      </c>
      <c r="T441" s="15" t="s">
        <v>1341</v>
      </c>
      <c r="U441" s="15" t="s">
        <v>11137</v>
      </c>
      <c r="V441" s="15" t="s">
        <v>11138</v>
      </c>
      <c r="AA441" s="15" t="s">
        <v>413</v>
      </c>
      <c r="AB441" s="15" t="s">
        <v>413</v>
      </c>
      <c r="AC441" s="15" t="s">
        <v>5385</v>
      </c>
      <c r="AD441" s="15" t="s">
        <v>16431</v>
      </c>
      <c r="AE441" s="15" t="s">
        <v>5384</v>
      </c>
      <c r="AF441" s="15" t="s">
        <v>16432</v>
      </c>
      <c r="AG441" s="15" t="s">
        <v>16433</v>
      </c>
      <c r="AH441" s="15" t="s">
        <v>16434</v>
      </c>
      <c r="AI441" s="15" t="s">
        <v>16435</v>
      </c>
      <c r="AJ441" s="15" t="s">
        <v>16436</v>
      </c>
      <c r="AK441" s="15" t="s">
        <v>16437</v>
      </c>
      <c r="AL441" s="15" t="s">
        <v>16438</v>
      </c>
      <c r="AM441" s="15" t="s">
        <v>16439</v>
      </c>
      <c r="AN441" s="15" t="s">
        <v>16440</v>
      </c>
      <c r="BH441" s="15" t="s">
        <v>5382</v>
      </c>
      <c r="BI441" s="15" t="str">
        <f t="shared" si="1336"/>
        <v>1599</v>
      </c>
      <c r="BJ441" s="15" t="str">
        <f t="shared" si="1337"/>
        <v>675</v>
      </c>
      <c r="BK441" s="15" t="s">
        <v>709</v>
      </c>
      <c r="BL441" s="15" t="str">
        <f t="shared" si="1338"/>
        <v>1</v>
      </c>
      <c r="BM441" s="15" t="s">
        <v>416</v>
      </c>
      <c r="BN441" s="15" t="str">
        <f t="shared" si="1339"/>
        <v>52.36</v>
      </c>
      <c r="BO441" s="15" t="str">
        <f t="shared" si="1340"/>
        <v>40.16</v>
      </c>
      <c r="BP441" s="15" t="str">
        <f t="shared" si="1341"/>
        <v>18.11</v>
      </c>
      <c r="BQ441" s="15" t="str">
        <f t="shared" si="1342"/>
        <v>72.75</v>
      </c>
      <c r="CG441" s="15" t="str">
        <f t="shared" si="1343"/>
        <v>22.04</v>
      </c>
      <c r="CH441" s="15" t="str">
        <f t="shared" si="1344"/>
        <v>0.624</v>
      </c>
      <c r="CI441" s="15" t="s">
        <v>465</v>
      </c>
      <c r="CP441" s="15" t="s">
        <v>2403</v>
      </c>
      <c r="CQ441" s="15" t="s">
        <v>429</v>
      </c>
      <c r="CR441" s="15" t="s">
        <v>2931</v>
      </c>
      <c r="CS441" s="15" t="s">
        <v>2403</v>
      </c>
      <c r="CT441" s="15" t="s">
        <v>2618</v>
      </c>
      <c r="CU441" s="15" t="s">
        <v>2931</v>
      </c>
      <c r="CW441" s="15">
        <v>0.0</v>
      </c>
      <c r="CY441" s="15" t="s">
        <v>718</v>
      </c>
      <c r="DF441" s="15" t="s">
        <v>721</v>
      </c>
      <c r="DG441" s="15" t="s">
        <v>419</v>
      </c>
      <c r="DH441" s="15">
        <v>0.0</v>
      </c>
      <c r="DL441" s="15">
        <v>0.0</v>
      </c>
      <c r="DM441" s="15" t="s">
        <v>470</v>
      </c>
      <c r="DN441" s="15" t="s">
        <v>2927</v>
      </c>
      <c r="DO441" s="15" t="s">
        <v>3514</v>
      </c>
      <c r="DP441" s="15">
        <v>1.0</v>
      </c>
      <c r="DQ441" s="15">
        <v>2.0</v>
      </c>
      <c r="DR441" s="15" t="s">
        <v>471</v>
      </c>
      <c r="DS441" s="15" t="s">
        <v>5303</v>
      </c>
      <c r="DT441" s="15">
        <v>0.0</v>
      </c>
      <c r="DU441" s="15" t="s">
        <v>1545</v>
      </c>
      <c r="EF441" s="15" t="s">
        <v>2899</v>
      </c>
      <c r="EG441" s="15" t="s">
        <v>1064</v>
      </c>
      <c r="EH441" s="15" t="s">
        <v>2931</v>
      </c>
      <c r="EO441" s="15" t="s">
        <v>937</v>
      </c>
      <c r="FB441" s="15" t="s">
        <v>3362</v>
      </c>
    </row>
    <row r="442" ht="17.25" customHeight="1">
      <c r="A442" s="15" t="s">
        <v>5388</v>
      </c>
      <c r="B442" s="15" t="str">
        <f>"801542028299"</f>
        <v>801542028299</v>
      </c>
      <c r="C442" s="15" t="s">
        <v>16441</v>
      </c>
      <c r="D442" s="15" t="str">
        <f t="shared" si="1"/>
        <v>Halston NightstandTerra Brown Ash Veneer</v>
      </c>
      <c r="E442" s="15" t="s">
        <v>5386</v>
      </c>
      <c r="F442" s="15" t="s">
        <v>397</v>
      </c>
      <c r="G442" s="15" t="s">
        <v>5296</v>
      </c>
      <c r="J442" s="15" t="s">
        <v>5296</v>
      </c>
      <c r="K442" s="15" t="s">
        <v>2575</v>
      </c>
      <c r="M442" s="15" t="s">
        <v>2063</v>
      </c>
      <c r="N442" s="15" t="s">
        <v>628</v>
      </c>
      <c r="P442" s="15" t="str">
        <f>"26"</f>
        <v>26</v>
      </c>
      <c r="Q442" s="15" t="str">
        <f>"18"</f>
        <v>18</v>
      </c>
      <c r="R442" s="15" t="str">
        <f>"25"</f>
        <v>25</v>
      </c>
      <c r="S442" s="15" t="str">
        <f>"66.14"</f>
        <v>66.14</v>
      </c>
      <c r="T442" s="15" t="s">
        <v>5299</v>
      </c>
      <c r="U442" s="15" t="s">
        <v>11149</v>
      </c>
      <c r="V442" s="15" t="s">
        <v>11137</v>
      </c>
      <c r="AA442" s="15" t="s">
        <v>413</v>
      </c>
      <c r="AB442" s="15" t="s">
        <v>413</v>
      </c>
      <c r="AC442" s="15" t="s">
        <v>5390</v>
      </c>
      <c r="AD442" s="15" t="s">
        <v>16442</v>
      </c>
      <c r="AE442" s="15" t="s">
        <v>5389</v>
      </c>
      <c r="AF442" s="15" t="s">
        <v>16443</v>
      </c>
      <c r="AG442" s="15" t="s">
        <v>16444</v>
      </c>
      <c r="AH442" s="15" t="s">
        <v>16445</v>
      </c>
      <c r="AI442" s="15" t="s">
        <v>16446</v>
      </c>
      <c r="AJ442" s="15" t="s">
        <v>16447</v>
      </c>
      <c r="AK442" s="15" t="s">
        <v>16448</v>
      </c>
      <c r="AL442" s="15" t="s">
        <v>16449</v>
      </c>
      <c r="AM442" s="15" t="s">
        <v>16450</v>
      </c>
      <c r="AN442" s="15" t="s">
        <v>16451</v>
      </c>
      <c r="AO442" s="15" t="s">
        <v>16452</v>
      </c>
      <c r="AP442" s="15" t="s">
        <v>16453</v>
      </c>
      <c r="BH442" s="15" t="s">
        <v>5387</v>
      </c>
      <c r="BI442" s="15" t="str">
        <f>"699"</f>
        <v>699</v>
      </c>
      <c r="BJ442" s="15" t="str">
        <f>"295"</f>
        <v>295</v>
      </c>
      <c r="BK442" s="15" t="s">
        <v>742</v>
      </c>
      <c r="BL442" s="15" t="str">
        <f t="shared" si="1338"/>
        <v>1</v>
      </c>
      <c r="BM442" s="15" t="s">
        <v>2043</v>
      </c>
      <c r="BN442" s="15" t="str">
        <f>"31.69"</f>
        <v>31.69</v>
      </c>
      <c r="BO442" s="15" t="str">
        <f>"29.33"</f>
        <v>29.33</v>
      </c>
      <c r="BP442" s="15" t="str">
        <f>"21.85"</f>
        <v>21.85</v>
      </c>
      <c r="BQ442" s="15" t="str">
        <f>"90.39"</f>
        <v>90.39</v>
      </c>
      <c r="CG442" s="15" t="str">
        <f>"11.76"</f>
        <v>11.76</v>
      </c>
      <c r="CH442" s="15" t="str">
        <f>"0.333"</f>
        <v>0.333</v>
      </c>
      <c r="CI442" s="15" t="s">
        <v>465</v>
      </c>
      <c r="CZ442" s="15" t="s">
        <v>1371</v>
      </c>
      <c r="DA442" s="15">
        <v>2.0</v>
      </c>
      <c r="DB442" s="15" t="s">
        <v>1185</v>
      </c>
      <c r="DD442" s="15">
        <v>0.0</v>
      </c>
      <c r="DF442" s="15" t="s">
        <v>1186</v>
      </c>
      <c r="DG442" s="15" t="s">
        <v>421</v>
      </c>
      <c r="DK442" s="15">
        <v>0.0</v>
      </c>
      <c r="DR442" s="15" t="s">
        <v>471</v>
      </c>
      <c r="DS442" s="15" t="s">
        <v>5303</v>
      </c>
      <c r="DU442" s="15" t="s">
        <v>500</v>
      </c>
      <c r="EF442" s="15" t="s">
        <v>5304</v>
      </c>
      <c r="EV442" s="15">
        <v>0.0</v>
      </c>
      <c r="FQ442" s="15">
        <v>0.0</v>
      </c>
      <c r="FR442" s="15" t="s">
        <v>427</v>
      </c>
      <c r="FZ442" s="15" t="s">
        <v>3781</v>
      </c>
      <c r="GB442" s="15" t="s">
        <v>5391</v>
      </c>
      <c r="GD442" s="15" t="s">
        <v>5392</v>
      </c>
      <c r="GF442" s="15" t="s">
        <v>838</v>
      </c>
      <c r="GH442" s="15" t="s">
        <v>1190</v>
      </c>
    </row>
    <row r="443" ht="17.25" customHeight="1">
      <c r="A443" s="15" t="s">
        <v>5395</v>
      </c>
      <c r="B443" s="15" t="str">
        <f>"801542066796"</f>
        <v>801542066796</v>
      </c>
      <c r="C443" s="15" t="s">
        <v>16454</v>
      </c>
      <c r="D443" s="15" t="str">
        <f t="shared" si="1"/>
        <v>Halston OttomanHeirloom Black</v>
      </c>
      <c r="E443" s="15" t="s">
        <v>5393</v>
      </c>
      <c r="F443" s="15" t="s">
        <v>397</v>
      </c>
      <c r="G443" s="15" t="s">
        <v>2575</v>
      </c>
      <c r="J443" s="15" t="s">
        <v>2575</v>
      </c>
      <c r="K443" s="15" t="s">
        <v>3557</v>
      </c>
      <c r="M443" s="15" t="s">
        <v>915</v>
      </c>
      <c r="N443" s="15" t="s">
        <v>1009</v>
      </c>
      <c r="P443" s="15" t="str">
        <f t="shared" ref="P443:P445" si="1345">"27.25"</f>
        <v>27.25</v>
      </c>
      <c r="Q443" s="15" t="str">
        <f t="shared" ref="Q443:Q445" si="1346">"23.5"</f>
        <v>23.5</v>
      </c>
      <c r="R443" s="15" t="str">
        <f t="shared" ref="R443:R445" si="1347">"13.5"</f>
        <v>13.5</v>
      </c>
      <c r="S443" s="15" t="str">
        <f t="shared" ref="S443:S445" si="1348">"21.16"</f>
        <v>21.16</v>
      </c>
      <c r="T443" s="15" t="s">
        <v>1341</v>
      </c>
      <c r="U443" s="15" t="s">
        <v>11137</v>
      </c>
      <c r="V443" s="15" t="s">
        <v>11138</v>
      </c>
      <c r="AA443" s="15" t="s">
        <v>413</v>
      </c>
      <c r="AB443" s="15" t="s">
        <v>413</v>
      </c>
      <c r="AC443" s="15" t="s">
        <v>5378</v>
      </c>
      <c r="AD443" s="15" t="s">
        <v>16455</v>
      </c>
      <c r="AE443" s="15" t="s">
        <v>5397</v>
      </c>
      <c r="AF443" s="15" t="s">
        <v>16456</v>
      </c>
      <c r="AG443" s="15" t="s">
        <v>16457</v>
      </c>
      <c r="AH443" s="15" t="s">
        <v>16458</v>
      </c>
      <c r="AI443" s="15" t="s">
        <v>16459</v>
      </c>
      <c r="AJ443" s="15" t="s">
        <v>16460</v>
      </c>
      <c r="AK443" s="15" t="s">
        <v>16461</v>
      </c>
      <c r="AL443" s="15" t="s">
        <v>16462</v>
      </c>
      <c r="BH443" s="15" t="s">
        <v>5394</v>
      </c>
      <c r="BI443" s="15" t="str">
        <f t="shared" ref="BI443:BI445" si="1349">"849"</f>
        <v>849</v>
      </c>
      <c r="BJ443" s="15" t="str">
        <f t="shared" ref="BJ443:BJ445" si="1350">"360"</f>
        <v>360</v>
      </c>
      <c r="BK443" s="15" t="s">
        <v>709</v>
      </c>
      <c r="BL443" s="15" t="str">
        <f t="shared" si="1338"/>
        <v>1</v>
      </c>
      <c r="BM443" s="15" t="s">
        <v>416</v>
      </c>
      <c r="BN443" s="15" t="str">
        <f t="shared" ref="BN443:BN445" si="1351">"31.5"</f>
        <v>31.5</v>
      </c>
      <c r="BO443" s="15" t="str">
        <f t="shared" ref="BO443:BO445" si="1352">"27.95"</f>
        <v>27.95</v>
      </c>
      <c r="BP443" s="15" t="str">
        <f t="shared" ref="BP443:BP445" si="1353">"14.96"</f>
        <v>14.96</v>
      </c>
      <c r="BQ443" s="15" t="str">
        <f t="shared" ref="BQ443:BQ445" si="1354">"34.17"</f>
        <v>34.17</v>
      </c>
      <c r="CG443" s="15" t="str">
        <f t="shared" ref="CG443:CG445" si="1355">"7.63"</f>
        <v>7.63</v>
      </c>
      <c r="CH443" s="15" t="str">
        <f t="shared" ref="CH443:CH445" si="1356">"0.216"</f>
        <v>0.216</v>
      </c>
      <c r="CI443" s="15" t="s">
        <v>497</v>
      </c>
      <c r="CP443" s="15" t="s">
        <v>1286</v>
      </c>
      <c r="CQ443" s="15" t="s">
        <v>429</v>
      </c>
      <c r="CR443" s="15" t="s">
        <v>1283</v>
      </c>
      <c r="CS443" s="15" t="s">
        <v>1286</v>
      </c>
      <c r="CT443" s="15" t="s">
        <v>1238</v>
      </c>
      <c r="CU443" s="15" t="s">
        <v>1283</v>
      </c>
      <c r="CW443" s="15">
        <v>0.0</v>
      </c>
      <c r="CY443" s="15" t="s">
        <v>718</v>
      </c>
      <c r="DF443" s="15" t="s">
        <v>721</v>
      </c>
      <c r="DG443" s="15" t="s">
        <v>419</v>
      </c>
      <c r="DH443" s="15">
        <v>0.0</v>
      </c>
      <c r="DL443" s="15">
        <v>0.0</v>
      </c>
      <c r="DM443" s="15" t="s">
        <v>470</v>
      </c>
      <c r="DN443" s="15" t="s">
        <v>2927</v>
      </c>
      <c r="DO443" s="15" t="s">
        <v>3514</v>
      </c>
      <c r="DP443" s="15">
        <v>1.0</v>
      </c>
      <c r="DQ443" s="15">
        <v>1.0</v>
      </c>
      <c r="DR443" s="15" t="s">
        <v>471</v>
      </c>
      <c r="DS443" s="15" t="s">
        <v>5303</v>
      </c>
      <c r="DT443" s="15">
        <v>0.0</v>
      </c>
      <c r="DU443" s="15" t="s">
        <v>726</v>
      </c>
      <c r="EF443" s="15" t="s">
        <v>2899</v>
      </c>
      <c r="EG443" s="15" t="s">
        <v>1288</v>
      </c>
      <c r="EH443" s="15" t="s">
        <v>1306</v>
      </c>
      <c r="EO443" s="15" t="s">
        <v>937</v>
      </c>
      <c r="FB443" s="15" t="s">
        <v>3362</v>
      </c>
    </row>
    <row r="444" ht="17.25" customHeight="1">
      <c r="A444" s="15" t="s">
        <v>5401</v>
      </c>
      <c r="B444" s="15" t="str">
        <f>"801542066802"</f>
        <v>801542066802</v>
      </c>
      <c r="C444" s="15" t="s">
        <v>16463</v>
      </c>
      <c r="D444" s="15" t="str">
        <f t="shared" si="1"/>
        <v>Halston OttomanHeirloom Sienna</v>
      </c>
      <c r="E444" s="15" t="s">
        <v>5393</v>
      </c>
      <c r="F444" s="15" t="s">
        <v>397</v>
      </c>
      <c r="G444" s="15" t="s">
        <v>1596</v>
      </c>
      <c r="J444" s="15" t="s">
        <v>1596</v>
      </c>
      <c r="K444" s="15" t="s">
        <v>3557</v>
      </c>
      <c r="M444" s="15" t="s">
        <v>915</v>
      </c>
      <c r="N444" s="15" t="s">
        <v>1009</v>
      </c>
      <c r="P444" s="15" t="str">
        <f t="shared" si="1345"/>
        <v>27.25</v>
      </c>
      <c r="Q444" s="15" t="str">
        <f t="shared" si="1346"/>
        <v>23.5</v>
      </c>
      <c r="R444" s="15" t="str">
        <f t="shared" si="1347"/>
        <v>13.5</v>
      </c>
      <c r="S444" s="15" t="str">
        <f t="shared" si="1348"/>
        <v>21.16</v>
      </c>
      <c r="T444" s="15" t="s">
        <v>1341</v>
      </c>
      <c r="U444" s="15" t="s">
        <v>11137</v>
      </c>
      <c r="V444" s="15" t="s">
        <v>11138</v>
      </c>
      <c r="AA444" s="15" t="s">
        <v>413</v>
      </c>
      <c r="AB444" s="15" t="s">
        <v>413</v>
      </c>
      <c r="AC444" s="15" t="s">
        <v>5378</v>
      </c>
      <c r="AD444" s="15" t="s">
        <v>16464</v>
      </c>
      <c r="AE444" s="15" t="s">
        <v>5402</v>
      </c>
      <c r="AF444" s="15" t="s">
        <v>16465</v>
      </c>
      <c r="AG444" s="15" t="s">
        <v>16466</v>
      </c>
      <c r="AH444" s="15" t="s">
        <v>16467</v>
      </c>
      <c r="AI444" s="15" t="s">
        <v>11838</v>
      </c>
      <c r="AJ444" s="15" t="s">
        <v>16468</v>
      </c>
      <c r="AK444" s="15" t="s">
        <v>16469</v>
      </c>
      <c r="AL444" s="15" t="s">
        <v>16470</v>
      </c>
      <c r="AM444" s="15" t="s">
        <v>16471</v>
      </c>
      <c r="BH444" s="15" t="s">
        <v>5400</v>
      </c>
      <c r="BI444" s="15" t="str">
        <f t="shared" si="1349"/>
        <v>849</v>
      </c>
      <c r="BJ444" s="15" t="str">
        <f t="shared" si="1350"/>
        <v>360</v>
      </c>
      <c r="BK444" s="15" t="s">
        <v>709</v>
      </c>
      <c r="BL444" s="15" t="str">
        <f t="shared" si="1338"/>
        <v>1</v>
      </c>
      <c r="BM444" s="15" t="s">
        <v>416</v>
      </c>
      <c r="BN444" s="15" t="str">
        <f t="shared" si="1351"/>
        <v>31.5</v>
      </c>
      <c r="BO444" s="15" t="str">
        <f t="shared" si="1352"/>
        <v>27.95</v>
      </c>
      <c r="BP444" s="15" t="str">
        <f t="shared" si="1353"/>
        <v>14.96</v>
      </c>
      <c r="BQ444" s="15" t="str">
        <f t="shared" si="1354"/>
        <v>34.17</v>
      </c>
      <c r="CG444" s="15" t="str">
        <f t="shared" si="1355"/>
        <v>7.63</v>
      </c>
      <c r="CH444" s="15" t="str">
        <f t="shared" si="1356"/>
        <v>0.216</v>
      </c>
      <c r="CI444" s="15" t="s">
        <v>465</v>
      </c>
      <c r="CP444" s="15" t="s">
        <v>1286</v>
      </c>
      <c r="CQ444" s="15" t="s">
        <v>429</v>
      </c>
      <c r="CR444" s="15" t="s">
        <v>1283</v>
      </c>
      <c r="CS444" s="15" t="s">
        <v>1286</v>
      </c>
      <c r="CT444" s="15" t="s">
        <v>1238</v>
      </c>
      <c r="CU444" s="15" t="s">
        <v>1283</v>
      </c>
      <c r="CW444" s="15">
        <v>0.0</v>
      </c>
      <c r="CY444" s="15" t="s">
        <v>718</v>
      </c>
      <c r="DF444" s="15" t="s">
        <v>721</v>
      </c>
      <c r="DG444" s="15" t="s">
        <v>419</v>
      </c>
      <c r="DH444" s="15">
        <v>0.0</v>
      </c>
      <c r="DL444" s="15">
        <v>0.0</v>
      </c>
      <c r="DM444" s="15" t="s">
        <v>470</v>
      </c>
      <c r="DN444" s="15" t="s">
        <v>2927</v>
      </c>
      <c r="DO444" s="15" t="s">
        <v>3514</v>
      </c>
      <c r="DP444" s="15">
        <v>1.0</v>
      </c>
      <c r="DQ444" s="15">
        <v>1.0</v>
      </c>
      <c r="DR444" s="15" t="s">
        <v>471</v>
      </c>
      <c r="DS444" s="15" t="s">
        <v>5303</v>
      </c>
      <c r="DT444" s="15">
        <v>0.0</v>
      </c>
      <c r="DU444" s="15" t="s">
        <v>726</v>
      </c>
      <c r="EF444" s="15" t="s">
        <v>2899</v>
      </c>
      <c r="EG444" s="15" t="s">
        <v>1288</v>
      </c>
      <c r="EH444" s="15" t="s">
        <v>1306</v>
      </c>
      <c r="EO444" s="15" t="s">
        <v>937</v>
      </c>
      <c r="FB444" s="15" t="s">
        <v>3362</v>
      </c>
    </row>
    <row r="445" ht="17.25" customHeight="1">
      <c r="A445" s="15" t="s">
        <v>5404</v>
      </c>
      <c r="B445" s="15" t="str">
        <f>"801542993474"</f>
        <v>801542993474</v>
      </c>
      <c r="C445" s="15" t="s">
        <v>16472</v>
      </c>
      <c r="D445" s="15" t="str">
        <f t="shared" si="1"/>
        <v>Halston OttomanPalermo Drift</v>
      </c>
      <c r="E445" s="15" t="s">
        <v>5393</v>
      </c>
      <c r="F445" s="15" t="s">
        <v>397</v>
      </c>
      <c r="G445" s="15" t="s">
        <v>1658</v>
      </c>
      <c r="J445" s="15" t="s">
        <v>1658</v>
      </c>
      <c r="K445" s="15" t="s">
        <v>3557</v>
      </c>
      <c r="M445" s="15" t="s">
        <v>915</v>
      </c>
      <c r="N445" s="15" t="s">
        <v>1009</v>
      </c>
      <c r="P445" s="15" t="str">
        <f t="shared" si="1345"/>
        <v>27.25</v>
      </c>
      <c r="Q445" s="15" t="str">
        <f t="shared" si="1346"/>
        <v>23.5</v>
      </c>
      <c r="R445" s="15" t="str">
        <f t="shared" si="1347"/>
        <v>13.5</v>
      </c>
      <c r="S445" s="15" t="str">
        <f t="shared" si="1348"/>
        <v>21.16</v>
      </c>
      <c r="T445" s="15" t="s">
        <v>1341</v>
      </c>
      <c r="U445" s="15" t="s">
        <v>11137</v>
      </c>
      <c r="V445" s="15" t="s">
        <v>11138</v>
      </c>
      <c r="AA445" s="15" t="s">
        <v>413</v>
      </c>
      <c r="AB445" s="15" t="s">
        <v>413</v>
      </c>
      <c r="AC445" s="15" t="s">
        <v>5406</v>
      </c>
      <c r="AD445" s="15" t="s">
        <v>16473</v>
      </c>
      <c r="AE445" s="15" t="s">
        <v>5405</v>
      </c>
      <c r="AF445" s="15" t="s">
        <v>16474</v>
      </c>
      <c r="AG445" s="15" t="s">
        <v>16475</v>
      </c>
      <c r="AH445" s="15" t="s">
        <v>16476</v>
      </c>
      <c r="AI445" s="15" t="s">
        <v>16477</v>
      </c>
      <c r="AJ445" s="15" t="s">
        <v>16478</v>
      </c>
      <c r="AK445" s="15" t="s">
        <v>16479</v>
      </c>
      <c r="AL445" s="15" t="s">
        <v>16480</v>
      </c>
      <c r="AM445" s="15" t="s">
        <v>16481</v>
      </c>
      <c r="BH445" s="15" t="s">
        <v>5403</v>
      </c>
      <c r="BI445" s="15" t="str">
        <f t="shared" si="1349"/>
        <v>849</v>
      </c>
      <c r="BJ445" s="15" t="str">
        <f t="shared" si="1350"/>
        <v>360</v>
      </c>
      <c r="BK445" s="15" t="s">
        <v>709</v>
      </c>
      <c r="BL445" s="15" t="str">
        <f t="shared" si="1338"/>
        <v>1</v>
      </c>
      <c r="BM445" s="15" t="s">
        <v>416</v>
      </c>
      <c r="BN445" s="15" t="str">
        <f t="shared" si="1351"/>
        <v>31.5</v>
      </c>
      <c r="BO445" s="15" t="str">
        <f t="shared" si="1352"/>
        <v>27.95</v>
      </c>
      <c r="BP445" s="15" t="str">
        <f t="shared" si="1353"/>
        <v>14.96</v>
      </c>
      <c r="BQ445" s="15" t="str">
        <f t="shared" si="1354"/>
        <v>34.17</v>
      </c>
      <c r="CG445" s="15" t="str">
        <f t="shared" si="1355"/>
        <v>7.63</v>
      </c>
      <c r="CH445" s="15" t="str">
        <f t="shared" si="1356"/>
        <v>0.216</v>
      </c>
      <c r="CI445" s="15" t="s">
        <v>465</v>
      </c>
      <c r="CP445" s="15" t="s">
        <v>1286</v>
      </c>
      <c r="CQ445" s="15" t="s">
        <v>429</v>
      </c>
      <c r="CR445" s="15" t="s">
        <v>1283</v>
      </c>
      <c r="CS445" s="15" t="s">
        <v>1286</v>
      </c>
      <c r="CT445" s="15" t="s">
        <v>1238</v>
      </c>
      <c r="CU445" s="15" t="s">
        <v>1283</v>
      </c>
      <c r="CW445" s="15">
        <v>0.0</v>
      </c>
      <c r="CY445" s="15" t="s">
        <v>718</v>
      </c>
      <c r="DF445" s="15" t="s">
        <v>721</v>
      </c>
      <c r="DG445" s="15" t="s">
        <v>419</v>
      </c>
      <c r="DH445" s="15">
        <v>0.0</v>
      </c>
      <c r="DL445" s="15">
        <v>0.0</v>
      </c>
      <c r="DM445" s="15" t="s">
        <v>470</v>
      </c>
      <c r="DN445" s="15" t="s">
        <v>2927</v>
      </c>
      <c r="DO445" s="15" t="s">
        <v>3514</v>
      </c>
      <c r="DP445" s="15">
        <v>1.0</v>
      </c>
      <c r="DQ445" s="15">
        <v>1.0</v>
      </c>
      <c r="DR445" s="15" t="s">
        <v>471</v>
      </c>
      <c r="DS445" s="15" t="s">
        <v>5303</v>
      </c>
      <c r="DT445" s="15">
        <v>0.0</v>
      </c>
      <c r="DU445" s="15" t="s">
        <v>726</v>
      </c>
      <c r="EF445" s="15" t="s">
        <v>2899</v>
      </c>
      <c r="EG445" s="15" t="s">
        <v>1288</v>
      </c>
      <c r="EH445" s="15" t="s">
        <v>1306</v>
      </c>
      <c r="EO445" s="15" t="s">
        <v>937</v>
      </c>
      <c r="FB445" s="15" t="s">
        <v>3362</v>
      </c>
    </row>
    <row r="446" ht="17.25" customHeight="1">
      <c r="A446" s="15" t="s">
        <v>5409</v>
      </c>
      <c r="B446" s="15" t="str">
        <f>"801542948627"</f>
        <v>801542948627</v>
      </c>
      <c r="C446" s="15" t="s">
        <v>16482</v>
      </c>
      <c r="D446" s="15" t="str">
        <f t="shared" si="1"/>
        <v>Hampton Slipcover Swivel ChairAntwerp Cafe</v>
      </c>
      <c r="E446" s="15" t="s">
        <v>5407</v>
      </c>
      <c r="F446" s="15" t="s">
        <v>397</v>
      </c>
      <c r="G446" s="15" t="s">
        <v>4501</v>
      </c>
      <c r="J446" s="15" t="s">
        <v>4501</v>
      </c>
      <c r="M446" s="15" t="s">
        <v>3832</v>
      </c>
      <c r="N446" s="15" t="s">
        <v>706</v>
      </c>
      <c r="O446" s="15" t="s">
        <v>707</v>
      </c>
      <c r="P446" s="15" t="str">
        <f t="shared" ref="P446:P447" si="1357">"39"</f>
        <v>39</v>
      </c>
      <c r="Q446" s="15" t="str">
        <f t="shared" ref="Q446:Q449" si="1358">"40"</f>
        <v>40</v>
      </c>
      <c r="R446" s="15" t="str">
        <f t="shared" ref="R446:R449" si="1359">"33"</f>
        <v>33</v>
      </c>
      <c r="S446" s="15" t="str">
        <f t="shared" ref="S446:S447" si="1360">"65"</f>
        <v>65</v>
      </c>
      <c r="T446" s="15" t="s">
        <v>5411</v>
      </c>
      <c r="U446" s="15" t="s">
        <v>12517</v>
      </c>
      <c r="V446" s="15" t="s">
        <v>12518</v>
      </c>
      <c r="W446" s="15" t="s">
        <v>12519</v>
      </c>
      <c r="AA446" s="15" t="s">
        <v>413</v>
      </c>
      <c r="AB446" s="15" t="s">
        <v>426</v>
      </c>
      <c r="AD446" s="15" t="s">
        <v>16483</v>
      </c>
      <c r="AE446" s="15" t="s">
        <v>5410</v>
      </c>
      <c r="AF446" s="15" t="s">
        <v>16484</v>
      </c>
      <c r="AG446" s="15" t="s">
        <v>16485</v>
      </c>
      <c r="AH446" s="15" t="s">
        <v>16486</v>
      </c>
      <c r="AI446" s="15" t="s">
        <v>16487</v>
      </c>
      <c r="AJ446" s="15" t="s">
        <v>16488</v>
      </c>
      <c r="AK446" s="15" t="s">
        <v>16489</v>
      </c>
      <c r="AL446" s="15" t="s">
        <v>16490</v>
      </c>
      <c r="AM446" s="15" t="s">
        <v>16491</v>
      </c>
      <c r="AN446" s="15" t="s">
        <v>16492</v>
      </c>
      <c r="AO446" s="15" t="s">
        <v>16493</v>
      </c>
      <c r="BH446" s="15" t="s">
        <v>5408</v>
      </c>
      <c r="BI446" s="15" t="str">
        <f t="shared" ref="BI446:BI447" si="1361">"2299"</f>
        <v>2299</v>
      </c>
      <c r="BJ446" s="15" t="str">
        <f t="shared" ref="BJ446:BJ447" si="1362">"970"</f>
        <v>970</v>
      </c>
      <c r="BK446" s="15" t="s">
        <v>3835</v>
      </c>
      <c r="BL446" s="15" t="str">
        <f t="shared" si="1338"/>
        <v>1</v>
      </c>
      <c r="BM446" s="15" t="s">
        <v>5412</v>
      </c>
      <c r="BN446" s="15" t="str">
        <f t="shared" ref="BN446:BN447" si="1363">"39"</f>
        <v>39</v>
      </c>
      <c r="BO446" s="15" t="str">
        <f t="shared" ref="BO446:BO449" si="1364">"45"</f>
        <v>45</v>
      </c>
      <c r="BP446" s="15" t="str">
        <f t="shared" ref="BP446:BP447" si="1365">"32.5"</f>
        <v>32.5</v>
      </c>
      <c r="BQ446" s="15" t="str">
        <f t="shared" ref="BQ446:BQ447" si="1366">"113.32"</f>
        <v>113.32</v>
      </c>
      <c r="CG446" s="15" t="str">
        <f t="shared" ref="CG446:CG447" si="1367">"33.02"</f>
        <v>33.02</v>
      </c>
      <c r="CH446" s="15" t="str">
        <f t="shared" ref="CH446:CH447" si="1368">"0.935"</f>
        <v>0.935</v>
      </c>
      <c r="CI446" s="15" t="s">
        <v>417</v>
      </c>
      <c r="CP446" s="15" t="s">
        <v>2839</v>
      </c>
      <c r="CQ446" s="15" t="s">
        <v>1738</v>
      </c>
      <c r="CR446" s="15" t="s">
        <v>2314</v>
      </c>
      <c r="CS446" s="15" t="s">
        <v>1995</v>
      </c>
      <c r="CT446" s="15" t="s">
        <v>1065</v>
      </c>
      <c r="CU446" s="15" t="s">
        <v>2314</v>
      </c>
      <c r="CV446" s="15">
        <v>0.0</v>
      </c>
      <c r="CW446" s="15">
        <v>1.0</v>
      </c>
      <c r="CX446" s="15" t="s">
        <v>717</v>
      </c>
      <c r="CY446" s="15" t="s">
        <v>855</v>
      </c>
      <c r="DC446" s="15" t="s">
        <v>1066</v>
      </c>
      <c r="DF446" s="15" t="s">
        <v>420</v>
      </c>
      <c r="DG446" s="15" t="s">
        <v>936</v>
      </c>
      <c r="DH446" s="15">
        <v>0.0</v>
      </c>
      <c r="DL446" s="15">
        <v>30000.0</v>
      </c>
      <c r="DM446" s="15" t="s">
        <v>470</v>
      </c>
      <c r="DN446" s="15" t="s">
        <v>723</v>
      </c>
      <c r="DO446" s="15" t="s">
        <v>724</v>
      </c>
      <c r="DP446" s="15">
        <v>1.0</v>
      </c>
      <c r="DQ446" s="15">
        <v>1.0</v>
      </c>
      <c r="DS446" s="15" t="s">
        <v>5414</v>
      </c>
      <c r="DT446" s="15">
        <v>0.0</v>
      </c>
      <c r="DU446" s="15" t="s">
        <v>726</v>
      </c>
      <c r="DV446" s="15" t="s">
        <v>2384</v>
      </c>
      <c r="DW446" s="15" t="s">
        <v>762</v>
      </c>
      <c r="DX446" s="15" t="s">
        <v>1575</v>
      </c>
      <c r="EB446" s="15" t="s">
        <v>3305</v>
      </c>
      <c r="EC446" s="15" t="s">
        <v>3241</v>
      </c>
      <c r="ED446" s="15" t="s">
        <v>788</v>
      </c>
      <c r="EE446" s="15" t="s">
        <v>558</v>
      </c>
      <c r="EI446" s="15" t="s">
        <v>1738</v>
      </c>
      <c r="EL446" s="15" t="s">
        <v>723</v>
      </c>
      <c r="EM446" s="15" t="s">
        <v>724</v>
      </c>
      <c r="EN446" s="15" t="s">
        <v>1289</v>
      </c>
      <c r="EO446" s="15" t="s">
        <v>3844</v>
      </c>
      <c r="EZ446" s="15">
        <v>0.0</v>
      </c>
      <c r="FA446" s="15">
        <v>0.0</v>
      </c>
      <c r="FB446" s="15" t="s">
        <v>2436</v>
      </c>
      <c r="FC446" s="15">
        <v>0.0</v>
      </c>
      <c r="HU446" s="15" t="s">
        <v>1610</v>
      </c>
    </row>
    <row r="447" ht="17.25" customHeight="1">
      <c r="A447" s="15" t="s">
        <v>5416</v>
      </c>
      <c r="B447" s="15" t="str">
        <f>"801542162849"</f>
        <v>801542162849</v>
      </c>
      <c r="C447" s="15" t="s">
        <v>16494</v>
      </c>
      <c r="D447" s="15" t="str">
        <f t="shared" si="1"/>
        <v>Hampton Slipcover Swivel ChairEvere Creme</v>
      </c>
      <c r="E447" s="15" t="s">
        <v>5407</v>
      </c>
      <c r="F447" s="15" t="s">
        <v>397</v>
      </c>
      <c r="G447" s="15" t="s">
        <v>3824</v>
      </c>
      <c r="J447" s="15" t="s">
        <v>3824</v>
      </c>
      <c r="M447" s="15" t="s">
        <v>3832</v>
      </c>
      <c r="N447" s="15" t="s">
        <v>706</v>
      </c>
      <c r="O447" s="15" t="s">
        <v>707</v>
      </c>
      <c r="P447" s="15" t="str">
        <f t="shared" si="1357"/>
        <v>39</v>
      </c>
      <c r="Q447" s="15" t="str">
        <f t="shared" si="1358"/>
        <v>40</v>
      </c>
      <c r="R447" s="15" t="str">
        <f t="shared" si="1359"/>
        <v>33</v>
      </c>
      <c r="S447" s="15" t="str">
        <f t="shared" si="1360"/>
        <v>65</v>
      </c>
      <c r="T447" s="15" t="s">
        <v>5418</v>
      </c>
      <c r="U447" s="15" t="s">
        <v>14302</v>
      </c>
      <c r="V447" s="15" t="s">
        <v>14303</v>
      </c>
      <c r="W447" s="15" t="s">
        <v>14304</v>
      </c>
      <c r="X447" s="15" t="s">
        <v>12696</v>
      </c>
      <c r="AA447" s="15" t="s">
        <v>413</v>
      </c>
      <c r="AB447" s="15" t="s">
        <v>426</v>
      </c>
      <c r="AC447" s="15" t="s">
        <v>5419</v>
      </c>
      <c r="AD447" s="15" t="s">
        <v>16495</v>
      </c>
      <c r="AE447" s="15" t="s">
        <v>5417</v>
      </c>
      <c r="AF447" s="15" t="s">
        <v>16496</v>
      </c>
      <c r="AG447" s="15" t="s">
        <v>16497</v>
      </c>
      <c r="AH447" s="15" t="s">
        <v>16498</v>
      </c>
      <c r="AI447" s="15" t="s">
        <v>16499</v>
      </c>
      <c r="AJ447" s="15" t="s">
        <v>16500</v>
      </c>
      <c r="AK447" s="15" t="s">
        <v>16501</v>
      </c>
      <c r="AL447" s="15" t="s">
        <v>16502</v>
      </c>
      <c r="AM447" s="15" t="s">
        <v>16503</v>
      </c>
      <c r="AN447" s="15" t="s">
        <v>16504</v>
      </c>
      <c r="AO447" s="15" t="s">
        <v>16505</v>
      </c>
      <c r="AP447" s="15" t="s">
        <v>16506</v>
      </c>
      <c r="AQ447" s="15" t="s">
        <v>16507</v>
      </c>
      <c r="AR447" s="15" t="s">
        <v>16508</v>
      </c>
      <c r="BH447" s="15" t="s">
        <v>5415</v>
      </c>
      <c r="BI447" s="15" t="str">
        <f t="shared" si="1361"/>
        <v>2299</v>
      </c>
      <c r="BJ447" s="15" t="str">
        <f t="shared" si="1362"/>
        <v>970</v>
      </c>
      <c r="BK447" s="15" t="s">
        <v>3835</v>
      </c>
      <c r="BL447" s="15" t="str">
        <f t="shared" si="1338"/>
        <v>1</v>
      </c>
      <c r="BM447" s="15" t="s">
        <v>5412</v>
      </c>
      <c r="BN447" s="15" t="str">
        <f t="shared" si="1363"/>
        <v>39</v>
      </c>
      <c r="BO447" s="15" t="str">
        <f t="shared" si="1364"/>
        <v>45</v>
      </c>
      <c r="BP447" s="15" t="str">
        <f t="shared" si="1365"/>
        <v>32.5</v>
      </c>
      <c r="BQ447" s="15" t="str">
        <f t="shared" si="1366"/>
        <v>113.32</v>
      </c>
      <c r="CG447" s="15" t="str">
        <f t="shared" si="1367"/>
        <v>33.02</v>
      </c>
      <c r="CH447" s="15" t="str">
        <f t="shared" si="1368"/>
        <v>0.935</v>
      </c>
      <c r="CI447" s="15" t="s">
        <v>465</v>
      </c>
      <c r="CP447" s="15" t="s">
        <v>2839</v>
      </c>
      <c r="CQ447" s="15" t="s">
        <v>1738</v>
      </c>
      <c r="CR447" s="15" t="s">
        <v>2314</v>
      </c>
      <c r="CS447" s="15" t="s">
        <v>1995</v>
      </c>
      <c r="CT447" s="15" t="s">
        <v>1065</v>
      </c>
      <c r="CU447" s="15" t="s">
        <v>2314</v>
      </c>
      <c r="CV447" s="15">
        <v>0.0</v>
      </c>
      <c r="CW447" s="15">
        <v>1.0</v>
      </c>
      <c r="CX447" s="15" t="s">
        <v>717</v>
      </c>
      <c r="CY447" s="15" t="s">
        <v>855</v>
      </c>
      <c r="DC447" s="15" t="s">
        <v>1066</v>
      </c>
      <c r="DF447" s="15" t="s">
        <v>420</v>
      </c>
      <c r="DG447" s="15" t="s">
        <v>936</v>
      </c>
      <c r="DH447" s="15">
        <v>0.0</v>
      </c>
      <c r="DL447" s="15">
        <v>18000.0</v>
      </c>
      <c r="DM447" s="15" t="s">
        <v>470</v>
      </c>
      <c r="DN447" s="15" t="s">
        <v>723</v>
      </c>
      <c r="DO447" s="15" t="s">
        <v>724</v>
      </c>
      <c r="DP447" s="15">
        <v>1.0</v>
      </c>
      <c r="DQ447" s="15">
        <v>1.0</v>
      </c>
      <c r="DS447" s="15" t="s">
        <v>5414</v>
      </c>
      <c r="DT447" s="15">
        <v>0.0</v>
      </c>
      <c r="DU447" s="15" t="s">
        <v>726</v>
      </c>
      <c r="DV447" s="15" t="s">
        <v>2384</v>
      </c>
      <c r="DW447" s="15" t="s">
        <v>762</v>
      </c>
      <c r="DX447" s="15" t="s">
        <v>1575</v>
      </c>
      <c r="EB447" s="15" t="s">
        <v>3305</v>
      </c>
      <c r="EC447" s="15" t="s">
        <v>3241</v>
      </c>
      <c r="ED447" s="15" t="s">
        <v>788</v>
      </c>
      <c r="EE447" s="15" t="s">
        <v>558</v>
      </c>
      <c r="EI447" s="15" t="s">
        <v>1738</v>
      </c>
      <c r="EL447" s="15" t="s">
        <v>723</v>
      </c>
      <c r="EM447" s="15" t="s">
        <v>724</v>
      </c>
      <c r="EN447" s="15" t="s">
        <v>1289</v>
      </c>
      <c r="EO447" s="15" t="s">
        <v>3844</v>
      </c>
      <c r="EZ447" s="15">
        <v>0.0</v>
      </c>
      <c r="FA447" s="15">
        <v>0.0</v>
      </c>
      <c r="FB447" s="15" t="s">
        <v>2436</v>
      </c>
      <c r="FC447" s="15">
        <v>0.0</v>
      </c>
      <c r="HU447" s="15" t="s">
        <v>1610</v>
      </c>
    </row>
    <row r="448" ht="17.25" customHeight="1">
      <c r="A448" s="15" t="s">
        <v>5423</v>
      </c>
      <c r="B448" s="15" t="str">
        <f>"801542162856"</f>
        <v>801542162856</v>
      </c>
      <c r="C448" s="15" t="s">
        <v>16509</v>
      </c>
      <c r="D448" s="15" t="str">
        <f t="shared" si="1"/>
        <v>Hampton Sofa-93"Delta Sand</v>
      </c>
      <c r="E448" s="15" t="s">
        <v>5420</v>
      </c>
      <c r="F448" s="15" t="s">
        <v>397</v>
      </c>
      <c r="G448" s="15" t="s">
        <v>5422</v>
      </c>
      <c r="J448" s="15" t="s">
        <v>5422</v>
      </c>
      <c r="K448" s="15" t="s">
        <v>3833</v>
      </c>
      <c r="M448" s="15" t="s">
        <v>3832</v>
      </c>
      <c r="N448" s="15" t="s">
        <v>1732</v>
      </c>
      <c r="P448" s="15" t="str">
        <f>"92.5"</f>
        <v>92.5</v>
      </c>
      <c r="Q448" s="15" t="str">
        <f t="shared" si="1358"/>
        <v>40</v>
      </c>
      <c r="R448" s="15" t="str">
        <f t="shared" si="1359"/>
        <v>33</v>
      </c>
      <c r="S448" s="15" t="str">
        <f>"140"</f>
        <v>140</v>
      </c>
      <c r="T448" s="15" t="s">
        <v>5426</v>
      </c>
      <c r="U448" s="15" t="s">
        <v>16510</v>
      </c>
      <c r="V448" s="15" t="s">
        <v>11210</v>
      </c>
      <c r="AA448" s="15" t="s">
        <v>413</v>
      </c>
      <c r="AB448" s="15" t="s">
        <v>426</v>
      </c>
      <c r="AC448" s="15" t="s">
        <v>5428</v>
      </c>
      <c r="AD448" s="15" t="s">
        <v>16511</v>
      </c>
      <c r="AE448" s="15" t="s">
        <v>5425</v>
      </c>
      <c r="AF448" s="15" t="s">
        <v>16512</v>
      </c>
      <c r="AG448" s="15" t="s">
        <v>16513</v>
      </c>
      <c r="AH448" s="15" t="s">
        <v>16514</v>
      </c>
      <c r="AI448" s="15" t="s">
        <v>16515</v>
      </c>
      <c r="AJ448" s="15" t="s">
        <v>16516</v>
      </c>
      <c r="AK448" s="15" t="s">
        <v>16517</v>
      </c>
      <c r="AL448" s="15" t="s">
        <v>16518</v>
      </c>
      <c r="AM448" s="15" t="s">
        <v>16519</v>
      </c>
      <c r="AN448" s="15" t="s">
        <v>16520</v>
      </c>
      <c r="AO448" s="15" t="s">
        <v>16521</v>
      </c>
      <c r="AP448" s="15" t="s">
        <v>16522</v>
      </c>
      <c r="AQ448" s="15" t="s">
        <v>16523</v>
      </c>
      <c r="AR448" s="15" t="s">
        <v>16524</v>
      </c>
      <c r="AS448" s="15" t="s">
        <v>16525</v>
      </c>
      <c r="AT448" s="15" t="s">
        <v>16526</v>
      </c>
      <c r="BH448" s="15" t="s">
        <v>5421</v>
      </c>
      <c r="BI448" s="15" t="str">
        <f>"3599"</f>
        <v>3599</v>
      </c>
      <c r="BJ448" s="15" t="str">
        <f>"1515"</f>
        <v>1515</v>
      </c>
      <c r="BK448" s="15" t="s">
        <v>3835</v>
      </c>
      <c r="BL448" s="15" t="str">
        <f t="shared" si="1338"/>
        <v>1</v>
      </c>
      <c r="BM448" s="15" t="s">
        <v>5429</v>
      </c>
      <c r="BN448" s="15" t="str">
        <f>"94.5"</f>
        <v>94.5</v>
      </c>
      <c r="BO448" s="15" t="str">
        <f t="shared" si="1364"/>
        <v>45</v>
      </c>
      <c r="BP448" s="15" t="str">
        <f>"33.46"</f>
        <v>33.46</v>
      </c>
      <c r="BQ448" s="15" t="str">
        <f>"167.99"</f>
        <v>167.99</v>
      </c>
      <c r="CG448" s="15" t="str">
        <f>"82.35"</f>
        <v>82.35</v>
      </c>
      <c r="CH448" s="15" t="str">
        <f>"2.332"</f>
        <v>2.332</v>
      </c>
      <c r="CI448" s="15" t="s">
        <v>465</v>
      </c>
      <c r="CP448" s="15" t="s">
        <v>2839</v>
      </c>
      <c r="CQ448" s="15" t="s">
        <v>1738</v>
      </c>
      <c r="CR448" s="15" t="s">
        <v>3332</v>
      </c>
      <c r="CS448" s="15" t="s">
        <v>1995</v>
      </c>
      <c r="CT448" s="15" t="s">
        <v>1065</v>
      </c>
      <c r="CU448" s="15" t="s">
        <v>4865</v>
      </c>
      <c r="CV448" s="15">
        <v>0.0</v>
      </c>
      <c r="CW448" s="15">
        <v>2.0</v>
      </c>
      <c r="CX448" s="15" t="s">
        <v>717</v>
      </c>
      <c r="CY448" s="15" t="s">
        <v>934</v>
      </c>
      <c r="DC448" s="15" t="s">
        <v>1066</v>
      </c>
      <c r="DF448" s="15" t="s">
        <v>420</v>
      </c>
      <c r="DG448" s="15" t="s">
        <v>419</v>
      </c>
      <c r="DH448" s="15">
        <v>0.0</v>
      </c>
      <c r="DL448" s="15">
        <v>51000.0</v>
      </c>
      <c r="DM448" s="15" t="s">
        <v>470</v>
      </c>
      <c r="DN448" s="15" t="s">
        <v>723</v>
      </c>
      <c r="DO448" s="15" t="s">
        <v>724</v>
      </c>
      <c r="DP448" s="15">
        <v>2.0</v>
      </c>
      <c r="DQ448" s="15">
        <v>4.0</v>
      </c>
      <c r="DS448" s="15" t="s">
        <v>5414</v>
      </c>
      <c r="DT448" s="15">
        <v>0.0</v>
      </c>
      <c r="DU448" s="15" t="s">
        <v>588</v>
      </c>
      <c r="DV448" s="15" t="s">
        <v>2384</v>
      </c>
      <c r="DW448" s="15" t="s">
        <v>762</v>
      </c>
      <c r="DX448" s="15" t="s">
        <v>1575</v>
      </c>
      <c r="EB448" s="15" t="s">
        <v>3305</v>
      </c>
      <c r="EC448" s="15" t="s">
        <v>3241</v>
      </c>
      <c r="ED448" s="15" t="s">
        <v>788</v>
      </c>
      <c r="EE448" s="15" t="s">
        <v>3332</v>
      </c>
      <c r="EF448" s="15" t="s">
        <v>425</v>
      </c>
      <c r="EG448" s="15" t="s">
        <v>1994</v>
      </c>
      <c r="EH448" s="15" t="s">
        <v>5431</v>
      </c>
      <c r="EI448" s="15" t="s">
        <v>1738</v>
      </c>
      <c r="EL448" s="15" t="s">
        <v>723</v>
      </c>
      <c r="EM448" s="15" t="s">
        <v>724</v>
      </c>
      <c r="EN448" s="15" t="s">
        <v>1289</v>
      </c>
      <c r="EO448" s="15" t="s">
        <v>3844</v>
      </c>
      <c r="EU448" s="15" t="s">
        <v>426</v>
      </c>
      <c r="FB448" s="15" t="s">
        <v>2436</v>
      </c>
    </row>
    <row r="449" ht="17.25" customHeight="1">
      <c r="A449" s="15" t="s">
        <v>5434</v>
      </c>
      <c r="B449" s="15" t="str">
        <f>"801542162993"</f>
        <v>801542162993</v>
      </c>
      <c r="C449" s="15" t="s">
        <v>16527</v>
      </c>
      <c r="D449" s="15" t="str">
        <f t="shared" si="1"/>
        <v>Hampton Swivel ChairDelta Sand</v>
      </c>
      <c r="E449" s="15" t="s">
        <v>5432</v>
      </c>
      <c r="F449" s="15" t="s">
        <v>397</v>
      </c>
      <c r="G449" s="15" t="s">
        <v>5422</v>
      </c>
      <c r="J449" s="15" t="s">
        <v>5422</v>
      </c>
      <c r="M449" s="15" t="s">
        <v>3832</v>
      </c>
      <c r="N449" s="15" t="s">
        <v>706</v>
      </c>
      <c r="O449" s="15" t="s">
        <v>707</v>
      </c>
      <c r="P449" s="15" t="str">
        <f>"39"</f>
        <v>39</v>
      </c>
      <c r="Q449" s="15" t="str">
        <f t="shared" si="1358"/>
        <v>40</v>
      </c>
      <c r="R449" s="15" t="str">
        <f t="shared" si="1359"/>
        <v>33</v>
      </c>
      <c r="S449" s="15" t="str">
        <f>"65"</f>
        <v>65</v>
      </c>
      <c r="T449" s="15" t="s">
        <v>5436</v>
      </c>
      <c r="U449" s="15" t="s">
        <v>16510</v>
      </c>
      <c r="AA449" s="15" t="s">
        <v>413</v>
      </c>
      <c r="AB449" s="15" t="s">
        <v>426</v>
      </c>
      <c r="AC449" s="15" t="s">
        <v>5437</v>
      </c>
      <c r="AD449" s="15" t="s">
        <v>16528</v>
      </c>
      <c r="AE449" s="15" t="s">
        <v>5435</v>
      </c>
      <c r="AF449" s="15" t="s">
        <v>16529</v>
      </c>
      <c r="AG449" s="15" t="s">
        <v>16530</v>
      </c>
      <c r="AH449" s="15" t="s">
        <v>16531</v>
      </c>
      <c r="AI449" s="15" t="s">
        <v>16532</v>
      </c>
      <c r="AJ449" s="15" t="s">
        <v>16533</v>
      </c>
      <c r="AK449" s="15" t="s">
        <v>16534</v>
      </c>
      <c r="AL449" s="15" t="s">
        <v>16535</v>
      </c>
      <c r="AM449" s="15" t="s">
        <v>16536</v>
      </c>
      <c r="AN449" s="15" t="s">
        <v>16537</v>
      </c>
      <c r="AO449" s="15" t="s">
        <v>16538</v>
      </c>
      <c r="AP449" s="15" t="s">
        <v>16539</v>
      </c>
      <c r="AQ449" s="15" t="s">
        <v>16540</v>
      </c>
      <c r="AR449" s="15" t="s">
        <v>16541</v>
      </c>
      <c r="BH449" s="15" t="s">
        <v>5433</v>
      </c>
      <c r="BI449" s="15" t="str">
        <f>"1899"</f>
        <v>1899</v>
      </c>
      <c r="BJ449" s="15" t="str">
        <f>"800"</f>
        <v>800</v>
      </c>
      <c r="BK449" s="15" t="s">
        <v>3835</v>
      </c>
      <c r="BL449" s="15" t="str">
        <f t="shared" si="1338"/>
        <v>1</v>
      </c>
      <c r="BM449" s="15" t="s">
        <v>5412</v>
      </c>
      <c r="BN449" s="15" t="str">
        <f>"40.5"</f>
        <v>40.5</v>
      </c>
      <c r="BO449" s="15" t="str">
        <f t="shared" si="1364"/>
        <v>45</v>
      </c>
      <c r="BP449" s="15" t="str">
        <f>"32.5"</f>
        <v>32.5</v>
      </c>
      <c r="BQ449" s="15" t="str">
        <f>"113.32"</f>
        <v>113.32</v>
      </c>
      <c r="CG449" s="15" t="str">
        <f>"34.29"</f>
        <v>34.29</v>
      </c>
      <c r="CH449" s="15" t="str">
        <f>"0.971"</f>
        <v>0.971</v>
      </c>
      <c r="CI449" s="15" t="s">
        <v>417</v>
      </c>
      <c r="CP449" s="15" t="s">
        <v>2839</v>
      </c>
      <c r="CQ449" s="15" t="s">
        <v>1738</v>
      </c>
      <c r="CR449" s="15" t="s">
        <v>2314</v>
      </c>
      <c r="CS449" s="15" t="s">
        <v>1995</v>
      </c>
      <c r="CT449" s="15" t="s">
        <v>1065</v>
      </c>
      <c r="CU449" s="15" t="s">
        <v>2314</v>
      </c>
      <c r="CV449" s="15">
        <v>0.0</v>
      </c>
      <c r="CW449" s="15">
        <v>1.0</v>
      </c>
      <c r="CX449" s="15" t="s">
        <v>717</v>
      </c>
      <c r="CY449" s="15" t="s">
        <v>934</v>
      </c>
      <c r="DC449" s="15" t="s">
        <v>1066</v>
      </c>
      <c r="DF449" s="15" t="s">
        <v>420</v>
      </c>
      <c r="DG449" s="15" t="s">
        <v>1605</v>
      </c>
      <c r="DH449" s="15">
        <v>0.0</v>
      </c>
      <c r="DL449" s="15">
        <v>51000.0</v>
      </c>
      <c r="DM449" s="15" t="s">
        <v>470</v>
      </c>
      <c r="DN449" s="15" t="s">
        <v>723</v>
      </c>
      <c r="DO449" s="15" t="s">
        <v>724</v>
      </c>
      <c r="DP449" s="15">
        <v>1.0</v>
      </c>
      <c r="DQ449" s="15">
        <v>1.0</v>
      </c>
      <c r="DS449" s="15" t="s">
        <v>5414</v>
      </c>
      <c r="DT449" s="15">
        <v>0.0</v>
      </c>
      <c r="DU449" s="15" t="s">
        <v>726</v>
      </c>
      <c r="DV449" s="15" t="s">
        <v>2384</v>
      </c>
      <c r="DW449" s="15" t="s">
        <v>762</v>
      </c>
      <c r="DX449" s="15" t="s">
        <v>1575</v>
      </c>
      <c r="EB449" s="15" t="s">
        <v>3305</v>
      </c>
      <c r="EC449" s="15" t="s">
        <v>3241</v>
      </c>
      <c r="ED449" s="15" t="s">
        <v>788</v>
      </c>
      <c r="EE449" s="15" t="s">
        <v>2314</v>
      </c>
      <c r="EF449" s="15" t="s">
        <v>3545</v>
      </c>
      <c r="EI449" s="15" t="s">
        <v>1738</v>
      </c>
      <c r="EL449" s="15" t="s">
        <v>723</v>
      </c>
      <c r="EM449" s="15" t="s">
        <v>724</v>
      </c>
      <c r="EN449" s="15" t="s">
        <v>1289</v>
      </c>
      <c r="EO449" s="15" t="s">
        <v>3844</v>
      </c>
      <c r="EZ449" s="15">
        <v>0.0</v>
      </c>
      <c r="FA449" s="15">
        <v>0.0</v>
      </c>
      <c r="FB449" s="15" t="s">
        <v>2436</v>
      </c>
      <c r="FC449" s="15">
        <v>0.0</v>
      </c>
      <c r="HU449" s="15" t="s">
        <v>1610</v>
      </c>
    </row>
    <row r="450" ht="17.25" customHeight="1">
      <c r="A450" s="15" t="s">
        <v>5441</v>
      </c>
      <c r="B450" s="15" t="str">
        <f>"198394084963"</f>
        <v>198394084963</v>
      </c>
      <c r="C450" s="15" t="s">
        <v>16542</v>
      </c>
      <c r="D450" s="15" t="str">
        <f t="shared" si="1"/>
        <v>Harper Extension Dining TableFawn Oak Veneer</v>
      </c>
      <c r="E450" s="15" t="s">
        <v>5438</v>
      </c>
      <c r="F450" s="15" t="s">
        <v>397</v>
      </c>
      <c r="G450" s="15" t="s">
        <v>5440</v>
      </c>
      <c r="J450" s="15" t="s">
        <v>5440</v>
      </c>
      <c r="K450" s="15" t="s">
        <v>5445</v>
      </c>
      <c r="M450" s="15" t="s">
        <v>5444</v>
      </c>
      <c r="N450" s="15" t="s">
        <v>548</v>
      </c>
      <c r="O450" s="15" t="s">
        <v>549</v>
      </c>
      <c r="P450" s="15" t="str">
        <f t="shared" ref="P450:P451" si="1369">"84"</f>
        <v>84</v>
      </c>
      <c r="Q450" s="15" t="str">
        <f t="shared" ref="Q450:Q451" si="1370">"38"</f>
        <v>38</v>
      </c>
      <c r="R450" s="15" t="str">
        <f t="shared" ref="R450:R451" si="1371">"30"</f>
        <v>30</v>
      </c>
      <c r="S450" s="15" t="str">
        <f>"162.04"</f>
        <v>162.04</v>
      </c>
      <c r="T450" s="15" t="s">
        <v>4955</v>
      </c>
      <c r="U450" s="15" t="s">
        <v>11553</v>
      </c>
      <c r="V450" s="15" t="s">
        <v>11338</v>
      </c>
      <c r="W450" s="15" t="s">
        <v>11139</v>
      </c>
      <c r="AA450" s="15" t="s">
        <v>413</v>
      </c>
      <c r="AB450" s="15" t="s">
        <v>413</v>
      </c>
      <c r="AC450" s="15" t="s">
        <v>5446</v>
      </c>
      <c r="AD450" s="15" t="s">
        <v>16543</v>
      </c>
      <c r="AE450" s="15" t="s">
        <v>5443</v>
      </c>
      <c r="AF450" s="15" t="s">
        <v>16544</v>
      </c>
      <c r="AG450" s="15" t="s">
        <v>16545</v>
      </c>
      <c r="AH450" s="15" t="s">
        <v>16546</v>
      </c>
      <c r="AI450" s="15" t="s">
        <v>16547</v>
      </c>
      <c r="AJ450" s="15" t="s">
        <v>16548</v>
      </c>
      <c r="AK450" s="15" t="s">
        <v>16549</v>
      </c>
      <c r="AL450" s="15" t="s">
        <v>16550</v>
      </c>
      <c r="AM450" s="15" t="s">
        <v>16551</v>
      </c>
      <c r="AN450" s="15" t="s">
        <v>16552</v>
      </c>
      <c r="AO450" s="15" t="s">
        <v>16553</v>
      </c>
      <c r="AP450" s="15" t="s">
        <v>16554</v>
      </c>
      <c r="AQ450" s="15" t="s">
        <v>16555</v>
      </c>
      <c r="BH450" s="15" t="s">
        <v>5439</v>
      </c>
      <c r="BI450" s="15" t="str">
        <f>"1799"</f>
        <v>1799</v>
      </c>
      <c r="BJ450" s="15" t="str">
        <f>"760"</f>
        <v>760</v>
      </c>
      <c r="BK450" s="15" t="s">
        <v>742</v>
      </c>
      <c r="BL450" s="15" t="str">
        <f t="shared" si="1338"/>
        <v>1</v>
      </c>
      <c r="BM450" s="15" t="s">
        <v>416</v>
      </c>
      <c r="BN450" s="15" t="str">
        <f t="shared" ref="BN450:BN451" si="1372">"88.98"</f>
        <v>88.98</v>
      </c>
      <c r="BO450" s="15" t="str">
        <f t="shared" ref="BO450:BO451" si="1373">"9.65"</f>
        <v>9.65</v>
      </c>
      <c r="BP450" s="15" t="str">
        <f t="shared" ref="BP450:BP451" si="1374">"43.11"</f>
        <v>43.11</v>
      </c>
      <c r="BQ450" s="15" t="str">
        <f>"187.39"</f>
        <v>187.39</v>
      </c>
      <c r="CG450" s="15" t="str">
        <f t="shared" ref="CG450:CG451" si="1375">"21.4"</f>
        <v>21.4</v>
      </c>
      <c r="CH450" s="15" t="str">
        <f t="shared" ref="CH450:CH451" si="1376">"0.606"</f>
        <v>0.606</v>
      </c>
      <c r="CI450" s="15" t="s">
        <v>497</v>
      </c>
      <c r="CZ450" s="15" t="s">
        <v>419</v>
      </c>
      <c r="DA450" s="15">
        <v>0.0</v>
      </c>
      <c r="DB450" s="15" t="s">
        <v>419</v>
      </c>
      <c r="DD450" s="15">
        <v>0.0</v>
      </c>
      <c r="DF450" s="15" t="s">
        <v>1509</v>
      </c>
      <c r="DG450" s="15" t="s">
        <v>4548</v>
      </c>
      <c r="DI450" s="15">
        <v>0.0</v>
      </c>
      <c r="DJ450" s="15">
        <v>0.0</v>
      </c>
      <c r="DK450" s="15">
        <v>0.0</v>
      </c>
      <c r="DQ450" s="15">
        <v>12.0</v>
      </c>
      <c r="DR450" s="15" t="s">
        <v>471</v>
      </c>
      <c r="DS450" s="15" t="s">
        <v>5449</v>
      </c>
      <c r="DU450" s="15" t="s">
        <v>424</v>
      </c>
      <c r="EF450" s="15" t="s">
        <v>2647</v>
      </c>
      <c r="EG450" s="15" t="s">
        <v>5450</v>
      </c>
      <c r="EH450" s="15" t="s">
        <v>5451</v>
      </c>
      <c r="EQ450" s="15" t="s">
        <v>3911</v>
      </c>
      <c r="ER450" s="15" t="s">
        <v>3908</v>
      </c>
      <c r="ES450" s="15" t="s">
        <v>3911</v>
      </c>
      <c r="ET450" s="15" t="s">
        <v>1517</v>
      </c>
      <c r="EU450" s="15" t="s">
        <v>426</v>
      </c>
      <c r="EV450" s="15">
        <v>0.0</v>
      </c>
      <c r="EW450" s="15">
        <v>1.0</v>
      </c>
      <c r="FD450" s="15" t="s">
        <v>1122</v>
      </c>
      <c r="FE450" s="15" t="s">
        <v>3908</v>
      </c>
      <c r="FF450" s="15" t="s">
        <v>5452</v>
      </c>
      <c r="FG450" s="15" t="s">
        <v>559</v>
      </c>
      <c r="JY450" s="15" t="s">
        <v>5453</v>
      </c>
      <c r="JZ450" s="15" t="s">
        <v>5454</v>
      </c>
      <c r="KA450" s="15" t="s">
        <v>5455</v>
      </c>
      <c r="KB450" s="15" t="s">
        <v>4556</v>
      </c>
    </row>
    <row r="451" ht="17.25" customHeight="1">
      <c r="A451" s="15" t="s">
        <v>5458</v>
      </c>
      <c r="B451" s="15" t="str">
        <f>"801542387747"</f>
        <v>801542387747</v>
      </c>
      <c r="C451" s="15" t="s">
        <v>16556</v>
      </c>
      <c r="D451" s="15" t="str">
        <f t="shared" si="1"/>
        <v>Harper Extension Dining TableToasted Walnut</v>
      </c>
      <c r="E451" s="15" t="s">
        <v>5438</v>
      </c>
      <c r="F451" s="15" t="s">
        <v>397</v>
      </c>
      <c r="G451" s="15" t="s">
        <v>5457</v>
      </c>
      <c r="J451" s="15" t="s">
        <v>5457</v>
      </c>
      <c r="K451" s="15" t="s">
        <v>5462</v>
      </c>
      <c r="L451" s="15" t="s">
        <v>5445</v>
      </c>
      <c r="M451" s="15" t="s">
        <v>5444</v>
      </c>
      <c r="N451" s="15" t="s">
        <v>548</v>
      </c>
      <c r="O451" s="15" t="s">
        <v>549</v>
      </c>
      <c r="P451" s="15" t="str">
        <f t="shared" si="1369"/>
        <v>84</v>
      </c>
      <c r="Q451" s="15" t="str">
        <f t="shared" si="1370"/>
        <v>38</v>
      </c>
      <c r="R451" s="15" t="str">
        <f t="shared" si="1371"/>
        <v>30</v>
      </c>
      <c r="S451" s="15" t="str">
        <f>"131.17"</f>
        <v>131.17</v>
      </c>
      <c r="T451" s="15" t="s">
        <v>5461</v>
      </c>
      <c r="U451" s="15" t="s">
        <v>16557</v>
      </c>
      <c r="V451" s="15" t="s">
        <v>14148</v>
      </c>
      <c r="W451" s="15" t="s">
        <v>11139</v>
      </c>
      <c r="AA451" s="15" t="s">
        <v>413</v>
      </c>
      <c r="AB451" s="15" t="s">
        <v>413</v>
      </c>
      <c r="AC451" s="15" t="s">
        <v>5463</v>
      </c>
      <c r="AD451" s="15" t="s">
        <v>16558</v>
      </c>
      <c r="AE451" s="15" t="s">
        <v>5460</v>
      </c>
      <c r="AF451" s="15" t="s">
        <v>16559</v>
      </c>
      <c r="AG451" s="15" t="s">
        <v>16560</v>
      </c>
      <c r="AH451" s="15" t="s">
        <v>16561</v>
      </c>
      <c r="AI451" s="15" t="s">
        <v>16562</v>
      </c>
      <c r="AJ451" s="15" t="s">
        <v>16563</v>
      </c>
      <c r="AK451" s="15" t="s">
        <v>16564</v>
      </c>
      <c r="AL451" s="15" t="s">
        <v>16565</v>
      </c>
      <c r="AM451" s="15" t="s">
        <v>16566</v>
      </c>
      <c r="AN451" s="15" t="s">
        <v>16567</v>
      </c>
      <c r="AO451" s="15" t="s">
        <v>16568</v>
      </c>
      <c r="AP451" s="15" t="s">
        <v>16569</v>
      </c>
      <c r="BH451" s="15" t="s">
        <v>5456</v>
      </c>
      <c r="BI451" s="15" t="str">
        <f>"1399"</f>
        <v>1399</v>
      </c>
      <c r="BJ451" s="15" t="str">
        <f>"590"</f>
        <v>590</v>
      </c>
      <c r="BK451" s="15" t="s">
        <v>742</v>
      </c>
      <c r="BL451" s="15" t="str">
        <f t="shared" si="1338"/>
        <v>1</v>
      </c>
      <c r="BM451" s="15" t="s">
        <v>416</v>
      </c>
      <c r="BN451" s="15" t="str">
        <f t="shared" si="1372"/>
        <v>88.98</v>
      </c>
      <c r="BO451" s="15" t="str">
        <f t="shared" si="1373"/>
        <v>9.65</v>
      </c>
      <c r="BP451" s="15" t="str">
        <f t="shared" si="1374"/>
        <v>43.11</v>
      </c>
      <c r="BQ451" s="15" t="str">
        <f>"157.63"</f>
        <v>157.63</v>
      </c>
      <c r="CG451" s="15" t="str">
        <f t="shared" si="1375"/>
        <v>21.4</v>
      </c>
      <c r="CH451" s="15" t="str">
        <f t="shared" si="1376"/>
        <v>0.606</v>
      </c>
      <c r="CI451" s="15" t="s">
        <v>497</v>
      </c>
      <c r="CZ451" s="15" t="s">
        <v>419</v>
      </c>
      <c r="DA451" s="15">
        <v>0.0</v>
      </c>
      <c r="DB451" s="15" t="s">
        <v>419</v>
      </c>
      <c r="DD451" s="15">
        <v>0.0</v>
      </c>
      <c r="DF451" s="15" t="s">
        <v>1509</v>
      </c>
      <c r="DG451" s="15" t="s">
        <v>4548</v>
      </c>
      <c r="DI451" s="15">
        <v>0.0</v>
      </c>
      <c r="DJ451" s="15">
        <v>0.0</v>
      </c>
      <c r="DK451" s="15">
        <v>0.0</v>
      </c>
      <c r="DQ451" s="15">
        <v>12.0</v>
      </c>
      <c r="DR451" s="15" t="s">
        <v>471</v>
      </c>
      <c r="DS451" s="15" t="s">
        <v>5449</v>
      </c>
      <c r="DU451" s="15" t="s">
        <v>424</v>
      </c>
      <c r="EF451" s="15" t="s">
        <v>2647</v>
      </c>
      <c r="EG451" s="15" t="s">
        <v>5450</v>
      </c>
      <c r="EH451" s="15" t="s">
        <v>5451</v>
      </c>
      <c r="EQ451" s="15" t="s">
        <v>3911</v>
      </c>
      <c r="ER451" s="15" t="s">
        <v>3908</v>
      </c>
      <c r="ES451" s="15" t="s">
        <v>3911</v>
      </c>
      <c r="ET451" s="15" t="s">
        <v>1517</v>
      </c>
      <c r="EU451" s="15" t="s">
        <v>426</v>
      </c>
      <c r="EV451" s="15">
        <v>0.0</v>
      </c>
      <c r="EW451" s="15">
        <v>1.0</v>
      </c>
      <c r="FD451" s="15" t="s">
        <v>1122</v>
      </c>
      <c r="FE451" s="15" t="s">
        <v>3908</v>
      </c>
      <c r="FF451" s="15" t="s">
        <v>5452</v>
      </c>
      <c r="FG451" s="15" t="s">
        <v>559</v>
      </c>
      <c r="JY451" s="15" t="s">
        <v>5453</v>
      </c>
      <c r="JZ451" s="15" t="s">
        <v>5454</v>
      </c>
      <c r="KA451" s="15" t="s">
        <v>5455</v>
      </c>
      <c r="KB451" s="15" t="s">
        <v>4556</v>
      </c>
    </row>
    <row r="452" ht="17.25" customHeight="1">
      <c r="A452" s="15" t="s">
        <v>5466</v>
      </c>
      <c r="B452" s="15" t="str">
        <f>"801542724269"</f>
        <v>801542724269</v>
      </c>
      <c r="C452" s="15" t="s">
        <v>16570</v>
      </c>
      <c r="D452" s="15" t="str">
        <f t="shared" si="1"/>
        <v>Harrison ChairAlcala Wheat</v>
      </c>
      <c r="E452" s="15" t="s">
        <v>5464</v>
      </c>
      <c r="F452" s="15" t="s">
        <v>397</v>
      </c>
      <c r="G452" s="15" t="s">
        <v>4832</v>
      </c>
      <c r="J452" s="15" t="s">
        <v>4832</v>
      </c>
      <c r="K452" s="15" t="s">
        <v>5469</v>
      </c>
      <c r="L452" s="15" t="s">
        <v>5470</v>
      </c>
      <c r="M452" s="15" t="s">
        <v>1539</v>
      </c>
      <c r="N452" s="15" t="s">
        <v>706</v>
      </c>
      <c r="O452" s="15" t="s">
        <v>707</v>
      </c>
      <c r="P452" s="15" t="str">
        <f t="shared" ref="P452:P454" si="1377">"32.25"</f>
        <v>32.25</v>
      </c>
      <c r="Q452" s="15" t="str">
        <f t="shared" ref="Q452:Q454" si="1378">"34.75"</f>
        <v>34.75</v>
      </c>
      <c r="R452" s="15" t="str">
        <f t="shared" ref="R452:R454" si="1379">"31.75"</f>
        <v>31.75</v>
      </c>
      <c r="S452" s="15" t="str">
        <f t="shared" ref="S452:S454" si="1380">"37.48"</f>
        <v>37.48</v>
      </c>
      <c r="T452" s="15" t="s">
        <v>5468</v>
      </c>
      <c r="U452" s="15" t="s">
        <v>11356</v>
      </c>
      <c r="V452" s="15" t="s">
        <v>11574</v>
      </c>
      <c r="W452" s="15" t="s">
        <v>11575</v>
      </c>
      <c r="X452" s="15" t="s">
        <v>11210</v>
      </c>
      <c r="Y452" s="15" t="s">
        <v>12535</v>
      </c>
      <c r="AA452" s="15" t="s">
        <v>413</v>
      </c>
      <c r="AB452" s="15" t="s">
        <v>426</v>
      </c>
      <c r="AC452" s="15" t="s">
        <v>5471</v>
      </c>
      <c r="AD452" s="15" t="s">
        <v>16571</v>
      </c>
      <c r="AE452" s="15" t="s">
        <v>5467</v>
      </c>
      <c r="AF452" s="15" t="s">
        <v>16572</v>
      </c>
      <c r="AG452" s="15" t="s">
        <v>16573</v>
      </c>
      <c r="AH452" s="15" t="s">
        <v>16574</v>
      </c>
      <c r="AI452" s="15" t="s">
        <v>16575</v>
      </c>
      <c r="AJ452" s="15" t="s">
        <v>16576</v>
      </c>
      <c r="AK452" s="15" t="s">
        <v>16577</v>
      </c>
      <c r="AL452" s="15" t="s">
        <v>16578</v>
      </c>
      <c r="AM452" s="15" t="s">
        <v>16579</v>
      </c>
      <c r="AN452" s="15" t="s">
        <v>16580</v>
      </c>
      <c r="AO452" s="15" t="s">
        <v>16581</v>
      </c>
      <c r="BH452" s="15" t="s">
        <v>5465</v>
      </c>
      <c r="BI452" s="15" t="str">
        <f>"1299"</f>
        <v>1299</v>
      </c>
      <c r="BJ452" s="15" t="str">
        <f>"550"</f>
        <v>550</v>
      </c>
      <c r="BK452" s="15" t="s">
        <v>742</v>
      </c>
      <c r="BL452" s="15" t="str">
        <f t="shared" si="1338"/>
        <v>1</v>
      </c>
      <c r="BM452" s="15" t="s">
        <v>416</v>
      </c>
      <c r="BN452" s="15" t="str">
        <f t="shared" ref="BN452:BN454" si="1381">"37.6"</f>
        <v>37.6</v>
      </c>
      <c r="BO452" s="15" t="str">
        <f t="shared" ref="BO452:BO454" si="1382">"33.27"</f>
        <v>33.27</v>
      </c>
      <c r="BP452" s="15" t="str">
        <f t="shared" ref="BP452:BP454" si="1383">"27.36"</f>
        <v>27.36</v>
      </c>
      <c r="BQ452" s="15" t="str">
        <f t="shared" ref="BQ452:BQ454" si="1384">"52.25"</f>
        <v>52.25</v>
      </c>
      <c r="CG452" s="15" t="str">
        <f t="shared" ref="CG452:CG454" si="1385">"19.81"</f>
        <v>19.81</v>
      </c>
      <c r="CH452" s="15" t="str">
        <f t="shared" ref="CH452:CH454" si="1386">"0.561"</f>
        <v>0.561</v>
      </c>
      <c r="CI452" s="15" t="s">
        <v>465</v>
      </c>
      <c r="CP452" s="15" t="s">
        <v>2017</v>
      </c>
      <c r="CQ452" s="15" t="s">
        <v>5474</v>
      </c>
      <c r="CR452" s="15" t="s">
        <v>4987</v>
      </c>
      <c r="CS452" s="15" t="s">
        <v>1074</v>
      </c>
      <c r="CT452" s="15" t="s">
        <v>4568</v>
      </c>
      <c r="CU452" s="15" t="s">
        <v>1068</v>
      </c>
      <c r="CV452" s="15">
        <v>0.0</v>
      </c>
      <c r="CW452" s="15">
        <v>1.0</v>
      </c>
      <c r="CX452" s="15" t="s">
        <v>717</v>
      </c>
      <c r="CY452" s="15" t="s">
        <v>855</v>
      </c>
      <c r="DC452" s="15" t="s">
        <v>5475</v>
      </c>
      <c r="DD452" s="15" t="s">
        <v>5476</v>
      </c>
      <c r="DE452" s="15" t="s">
        <v>5477</v>
      </c>
      <c r="DH452" s="15" t="s">
        <v>721</v>
      </c>
      <c r="DI452" s="15" t="s">
        <v>419</v>
      </c>
      <c r="DJ452" s="15">
        <v>0.0</v>
      </c>
      <c r="DN452" s="15">
        <v>25000.0</v>
      </c>
      <c r="DO452" s="15" t="s">
        <v>3384</v>
      </c>
      <c r="DP452" s="15" t="s">
        <v>2927</v>
      </c>
      <c r="DQ452" s="15" t="s">
        <v>724</v>
      </c>
      <c r="DR452" s="15">
        <v>1.0</v>
      </c>
      <c r="DS452" s="15">
        <v>1.0</v>
      </c>
      <c r="DU452" s="15" t="s">
        <v>5479</v>
      </c>
      <c r="DV452" s="15">
        <v>0.0</v>
      </c>
      <c r="DW452" s="15" t="s">
        <v>726</v>
      </c>
      <c r="DX452" s="15" t="s">
        <v>4201</v>
      </c>
      <c r="DY452" s="15" t="s">
        <v>5481</v>
      </c>
      <c r="DZ452" s="15" t="s">
        <v>4028</v>
      </c>
      <c r="ED452" s="15" t="s">
        <v>2050</v>
      </c>
      <c r="EE452" s="15" t="s">
        <v>870</v>
      </c>
      <c r="EF452" s="15" t="s">
        <v>2020</v>
      </c>
      <c r="EG452" s="15" t="s">
        <v>3858</v>
      </c>
      <c r="EH452" s="15" t="s">
        <v>5482</v>
      </c>
      <c r="EI452" s="15" t="s">
        <v>4987</v>
      </c>
      <c r="EJ452" s="15" t="s">
        <v>3858</v>
      </c>
      <c r="EK452" s="15" t="s">
        <v>2020</v>
      </c>
      <c r="EN452" s="15" t="s">
        <v>723</v>
      </c>
      <c r="EO452" s="15" t="s">
        <v>724</v>
      </c>
      <c r="EP452" s="15" t="s">
        <v>5483</v>
      </c>
      <c r="EQ452" s="15" t="s">
        <v>860</v>
      </c>
      <c r="EZ452" s="15" t="s">
        <v>1068</v>
      </c>
      <c r="FA452" s="15" t="s">
        <v>4987</v>
      </c>
      <c r="FB452" s="15">
        <v>0.0</v>
      </c>
      <c r="FC452" s="15">
        <v>0.0</v>
      </c>
      <c r="FE452" s="15">
        <v>0.0</v>
      </c>
    </row>
    <row r="453" ht="17.25" customHeight="1">
      <c r="A453" s="15" t="s">
        <v>5485</v>
      </c>
      <c r="B453" s="15" t="str">
        <f>"801542761899"</f>
        <v>801542761899</v>
      </c>
      <c r="C453" s="15" t="s">
        <v>16582</v>
      </c>
      <c r="D453" s="15" t="str">
        <f t="shared" si="1"/>
        <v>Harrison ChairPalermo Nude</v>
      </c>
      <c r="E453" s="15" t="s">
        <v>5464</v>
      </c>
      <c r="F453" s="15" t="s">
        <v>397</v>
      </c>
      <c r="G453" s="15" t="s">
        <v>3262</v>
      </c>
      <c r="J453" s="15" t="s">
        <v>3262</v>
      </c>
      <c r="K453" s="15" t="s">
        <v>4488</v>
      </c>
      <c r="L453" s="15" t="s">
        <v>5470</v>
      </c>
      <c r="M453" s="15" t="s">
        <v>1539</v>
      </c>
      <c r="N453" s="15" t="s">
        <v>706</v>
      </c>
      <c r="O453" s="15" t="s">
        <v>707</v>
      </c>
      <c r="P453" s="15" t="str">
        <f t="shared" si="1377"/>
        <v>32.25</v>
      </c>
      <c r="Q453" s="15" t="str">
        <f t="shared" si="1378"/>
        <v>34.75</v>
      </c>
      <c r="R453" s="15" t="str">
        <f t="shared" si="1379"/>
        <v>31.75</v>
      </c>
      <c r="S453" s="15" t="str">
        <f t="shared" si="1380"/>
        <v>37.48</v>
      </c>
      <c r="T453" s="15" t="s">
        <v>5487</v>
      </c>
      <c r="U453" s="15" t="s">
        <v>11137</v>
      </c>
      <c r="V453" s="15" t="s">
        <v>11210</v>
      </c>
      <c r="W453" s="15" t="s">
        <v>12535</v>
      </c>
      <c r="AA453" s="15" t="s">
        <v>413</v>
      </c>
      <c r="AB453" s="15" t="s">
        <v>413</v>
      </c>
      <c r="AC453" s="15" t="s">
        <v>5488</v>
      </c>
      <c r="AD453" s="15" t="s">
        <v>16583</v>
      </c>
      <c r="AE453" s="15" t="s">
        <v>5486</v>
      </c>
      <c r="AF453" s="15" t="s">
        <v>16584</v>
      </c>
      <c r="AG453" s="15" t="s">
        <v>16585</v>
      </c>
      <c r="AH453" s="15" t="s">
        <v>16586</v>
      </c>
      <c r="AI453" s="15" t="s">
        <v>16587</v>
      </c>
      <c r="AJ453" s="15" t="s">
        <v>16588</v>
      </c>
      <c r="AK453" s="15" t="s">
        <v>16589</v>
      </c>
      <c r="AL453" s="15" t="s">
        <v>16590</v>
      </c>
      <c r="AM453" s="15" t="s">
        <v>16591</v>
      </c>
      <c r="AN453" s="15" t="s">
        <v>16592</v>
      </c>
      <c r="AO453" s="15" t="s">
        <v>16593</v>
      </c>
      <c r="BH453" s="15" t="s">
        <v>5484</v>
      </c>
      <c r="BI453" s="15" t="str">
        <f>"2199"</f>
        <v>2199</v>
      </c>
      <c r="BJ453" s="15" t="str">
        <f>"925"</f>
        <v>925</v>
      </c>
      <c r="BK453" s="15" t="s">
        <v>742</v>
      </c>
      <c r="BL453" s="15" t="str">
        <f t="shared" si="1338"/>
        <v>1</v>
      </c>
      <c r="BM453" s="15" t="s">
        <v>4490</v>
      </c>
      <c r="BN453" s="15" t="str">
        <f t="shared" si="1381"/>
        <v>37.6</v>
      </c>
      <c r="BO453" s="15" t="str">
        <f t="shared" si="1382"/>
        <v>33.27</v>
      </c>
      <c r="BP453" s="15" t="str">
        <f t="shared" si="1383"/>
        <v>27.36</v>
      </c>
      <c r="BQ453" s="15" t="str">
        <f t="shared" si="1384"/>
        <v>52.25</v>
      </c>
      <c r="CG453" s="15" t="str">
        <f t="shared" si="1385"/>
        <v>19.81</v>
      </c>
      <c r="CH453" s="15" t="str">
        <f t="shared" si="1386"/>
        <v>0.561</v>
      </c>
      <c r="CI453" s="15" t="s">
        <v>497</v>
      </c>
      <c r="CP453" s="15" t="s">
        <v>2017</v>
      </c>
      <c r="CQ453" s="15" t="s">
        <v>5474</v>
      </c>
      <c r="CR453" s="15" t="s">
        <v>4987</v>
      </c>
      <c r="CS453" s="15" t="s">
        <v>1074</v>
      </c>
      <c r="CT453" s="15" t="s">
        <v>4568</v>
      </c>
      <c r="CU453" s="15" t="s">
        <v>1068</v>
      </c>
      <c r="CV453" s="15">
        <v>0.0</v>
      </c>
      <c r="CW453" s="15">
        <v>1.0</v>
      </c>
      <c r="CX453" s="15" t="s">
        <v>717</v>
      </c>
      <c r="CY453" s="15" t="s">
        <v>718</v>
      </c>
      <c r="DC453" s="15" t="s">
        <v>5475</v>
      </c>
      <c r="DD453" s="15" t="s">
        <v>5476</v>
      </c>
      <c r="DE453" s="15" t="s">
        <v>5477</v>
      </c>
      <c r="DH453" s="15" t="s">
        <v>721</v>
      </c>
      <c r="DI453" s="15" t="s">
        <v>419</v>
      </c>
      <c r="DJ453" s="15">
        <v>0.0</v>
      </c>
      <c r="DN453" s="15">
        <v>0.0</v>
      </c>
      <c r="DO453" s="15" t="s">
        <v>3384</v>
      </c>
      <c r="DP453" s="15" t="s">
        <v>2927</v>
      </c>
      <c r="DQ453" s="15" t="s">
        <v>724</v>
      </c>
      <c r="DR453" s="15">
        <v>1.0</v>
      </c>
      <c r="DS453" s="15">
        <v>1.0</v>
      </c>
      <c r="DU453" s="15" t="s">
        <v>5479</v>
      </c>
      <c r="DV453" s="15">
        <v>0.0</v>
      </c>
      <c r="DW453" s="15" t="s">
        <v>726</v>
      </c>
      <c r="DX453" s="15" t="s">
        <v>4201</v>
      </c>
      <c r="DY453" s="15" t="s">
        <v>5481</v>
      </c>
      <c r="DZ453" s="15" t="s">
        <v>4028</v>
      </c>
      <c r="ED453" s="15" t="s">
        <v>2050</v>
      </c>
      <c r="EE453" s="15" t="s">
        <v>870</v>
      </c>
      <c r="EF453" s="15" t="s">
        <v>2020</v>
      </c>
      <c r="EG453" s="15" t="s">
        <v>3858</v>
      </c>
      <c r="EH453" s="15" t="s">
        <v>5482</v>
      </c>
      <c r="EI453" s="15" t="s">
        <v>4987</v>
      </c>
      <c r="EJ453" s="15" t="s">
        <v>3858</v>
      </c>
      <c r="EK453" s="15" t="s">
        <v>2020</v>
      </c>
      <c r="EN453" s="15" t="s">
        <v>723</v>
      </c>
      <c r="EO453" s="15" t="s">
        <v>724</v>
      </c>
      <c r="EP453" s="15" t="s">
        <v>5483</v>
      </c>
      <c r="EQ453" s="15" t="s">
        <v>860</v>
      </c>
      <c r="EZ453" s="15" t="s">
        <v>1068</v>
      </c>
      <c r="FA453" s="15" t="s">
        <v>4987</v>
      </c>
      <c r="FB453" s="15">
        <v>0.0</v>
      </c>
      <c r="FC453" s="15">
        <v>0.0</v>
      </c>
      <c r="FE453" s="15">
        <v>0.0</v>
      </c>
    </row>
    <row r="454" ht="17.25" customHeight="1">
      <c r="A454" s="15" t="s">
        <v>5491</v>
      </c>
      <c r="B454" s="15" t="str">
        <f>"801542619992"</f>
        <v>801542619992</v>
      </c>
      <c r="C454" s="15" t="s">
        <v>16594</v>
      </c>
      <c r="D454" s="15" t="str">
        <f t="shared" si="1"/>
        <v>Harrison ChairVilla Olive</v>
      </c>
      <c r="E454" s="15" t="s">
        <v>5464</v>
      </c>
      <c r="F454" s="15" t="s">
        <v>397</v>
      </c>
      <c r="G454" s="15" t="s">
        <v>5490</v>
      </c>
      <c r="J454" s="15" t="s">
        <v>5490</v>
      </c>
      <c r="K454" s="15" t="s">
        <v>5494</v>
      </c>
      <c r="L454" s="15" t="s">
        <v>5470</v>
      </c>
      <c r="M454" s="15" t="s">
        <v>1539</v>
      </c>
      <c r="N454" s="15" t="s">
        <v>706</v>
      </c>
      <c r="O454" s="15" t="s">
        <v>707</v>
      </c>
      <c r="P454" s="15" t="str">
        <f t="shared" si="1377"/>
        <v>32.25</v>
      </c>
      <c r="Q454" s="15" t="str">
        <f t="shared" si="1378"/>
        <v>34.75</v>
      </c>
      <c r="R454" s="15" t="str">
        <f t="shared" si="1379"/>
        <v>31.75</v>
      </c>
      <c r="S454" s="15" t="str">
        <f t="shared" si="1380"/>
        <v>37.48</v>
      </c>
      <c r="T454" s="15" t="s">
        <v>5493</v>
      </c>
      <c r="U454" s="15" t="s">
        <v>16595</v>
      </c>
      <c r="V454" s="15" t="s">
        <v>16596</v>
      </c>
      <c r="W454" s="15" t="s">
        <v>16597</v>
      </c>
      <c r="X454" s="15" t="s">
        <v>11210</v>
      </c>
      <c r="Y454" s="15" t="s">
        <v>12535</v>
      </c>
      <c r="AA454" s="15" t="s">
        <v>413</v>
      </c>
      <c r="AB454" s="15" t="s">
        <v>413</v>
      </c>
      <c r="AC454" s="15" t="s">
        <v>5495</v>
      </c>
      <c r="AD454" s="15" t="s">
        <v>16598</v>
      </c>
      <c r="AE454" s="15" t="s">
        <v>5492</v>
      </c>
      <c r="AF454" s="15" t="s">
        <v>16599</v>
      </c>
      <c r="AG454" s="15" t="s">
        <v>16600</v>
      </c>
      <c r="AH454" s="15" t="s">
        <v>16601</v>
      </c>
      <c r="AI454" s="15" t="s">
        <v>16602</v>
      </c>
      <c r="AJ454" s="15" t="s">
        <v>16603</v>
      </c>
      <c r="AK454" s="15" t="s">
        <v>16604</v>
      </c>
      <c r="AL454" s="15" t="s">
        <v>16605</v>
      </c>
      <c r="AM454" s="15" t="s">
        <v>16606</v>
      </c>
      <c r="AN454" s="15" t="s">
        <v>16607</v>
      </c>
      <c r="AO454" s="15" t="s">
        <v>16608</v>
      </c>
      <c r="AP454" s="15" t="s">
        <v>16609</v>
      </c>
      <c r="AQ454" s="15" t="s">
        <v>16610</v>
      </c>
      <c r="BH454" s="15" t="s">
        <v>5489</v>
      </c>
      <c r="BI454" s="15" t="str">
        <f>"1299"</f>
        <v>1299</v>
      </c>
      <c r="BJ454" s="15" t="str">
        <f>"550"</f>
        <v>550</v>
      </c>
      <c r="BK454" s="15" t="s">
        <v>742</v>
      </c>
      <c r="BL454" s="15" t="str">
        <f t="shared" si="1338"/>
        <v>1</v>
      </c>
      <c r="BM454" s="15" t="s">
        <v>4490</v>
      </c>
      <c r="BN454" s="15" t="str">
        <f t="shared" si="1381"/>
        <v>37.6</v>
      </c>
      <c r="BO454" s="15" t="str">
        <f t="shared" si="1382"/>
        <v>33.27</v>
      </c>
      <c r="BP454" s="15" t="str">
        <f t="shared" si="1383"/>
        <v>27.36</v>
      </c>
      <c r="BQ454" s="15" t="str">
        <f t="shared" si="1384"/>
        <v>52.25</v>
      </c>
      <c r="CG454" s="15" t="str">
        <f t="shared" si="1385"/>
        <v>19.81</v>
      </c>
      <c r="CH454" s="15" t="str">
        <f t="shared" si="1386"/>
        <v>0.561</v>
      </c>
      <c r="CI454" s="15" t="s">
        <v>465</v>
      </c>
      <c r="CP454" s="15" t="s">
        <v>2017</v>
      </c>
      <c r="CQ454" s="15" t="s">
        <v>5474</v>
      </c>
      <c r="CR454" s="15" t="s">
        <v>4987</v>
      </c>
      <c r="CS454" s="15" t="s">
        <v>1074</v>
      </c>
      <c r="CT454" s="15" t="s">
        <v>4568</v>
      </c>
      <c r="CU454" s="15" t="s">
        <v>1068</v>
      </c>
      <c r="CV454" s="15">
        <v>0.0</v>
      </c>
      <c r="CW454" s="15">
        <v>1.0</v>
      </c>
      <c r="CX454" s="15" t="s">
        <v>717</v>
      </c>
      <c r="CY454" s="15" t="s">
        <v>1837</v>
      </c>
      <c r="DC454" s="15" t="s">
        <v>5475</v>
      </c>
      <c r="DD454" s="15" t="s">
        <v>5476</v>
      </c>
      <c r="DE454" s="15" t="s">
        <v>5477</v>
      </c>
      <c r="DH454" s="15" t="s">
        <v>721</v>
      </c>
      <c r="DI454" s="15" t="s">
        <v>419</v>
      </c>
      <c r="DJ454" s="15">
        <v>0.0</v>
      </c>
      <c r="DN454" s="15">
        <v>89000.0</v>
      </c>
      <c r="DO454" s="15" t="s">
        <v>3384</v>
      </c>
      <c r="DP454" s="15" t="s">
        <v>2927</v>
      </c>
      <c r="DQ454" s="15" t="s">
        <v>724</v>
      </c>
      <c r="DR454" s="15">
        <v>1.0</v>
      </c>
      <c r="DS454" s="15">
        <v>1.0</v>
      </c>
      <c r="DU454" s="15" t="s">
        <v>5479</v>
      </c>
      <c r="DV454" s="15">
        <v>0.0</v>
      </c>
      <c r="DW454" s="15" t="s">
        <v>726</v>
      </c>
      <c r="DX454" s="15" t="s">
        <v>4201</v>
      </c>
      <c r="DY454" s="15" t="s">
        <v>5481</v>
      </c>
      <c r="DZ454" s="15" t="s">
        <v>4028</v>
      </c>
      <c r="ED454" s="15" t="s">
        <v>2050</v>
      </c>
      <c r="EE454" s="15" t="s">
        <v>870</v>
      </c>
      <c r="EF454" s="15" t="s">
        <v>2020</v>
      </c>
      <c r="EG454" s="15" t="s">
        <v>3858</v>
      </c>
      <c r="EH454" s="15" t="s">
        <v>5482</v>
      </c>
      <c r="EI454" s="15" t="s">
        <v>4987</v>
      </c>
      <c r="EJ454" s="15" t="s">
        <v>3858</v>
      </c>
      <c r="EK454" s="15" t="s">
        <v>2020</v>
      </c>
      <c r="EN454" s="15" t="s">
        <v>723</v>
      </c>
      <c r="EO454" s="15" t="s">
        <v>724</v>
      </c>
      <c r="EP454" s="15" t="s">
        <v>5483</v>
      </c>
      <c r="EQ454" s="15" t="s">
        <v>860</v>
      </c>
      <c r="EZ454" s="15" t="s">
        <v>1068</v>
      </c>
      <c r="FA454" s="15" t="s">
        <v>4987</v>
      </c>
      <c r="FB454" s="15">
        <v>0.0</v>
      </c>
      <c r="FC454" s="15">
        <v>0.0</v>
      </c>
      <c r="FE454" s="15">
        <v>0.0</v>
      </c>
    </row>
    <row r="455" ht="17.25" customHeight="1">
      <c r="A455" s="15" t="s">
        <v>5498</v>
      </c>
      <c r="B455" s="15" t="str">
        <f>"801542995232"</f>
        <v>801542995232</v>
      </c>
      <c r="C455" s="15" t="s">
        <v>16611</v>
      </c>
      <c r="D455" s="15" t="str">
        <f t="shared" si="1"/>
        <v>Hartley ChairSurrey Olive</v>
      </c>
      <c r="E455" s="15" t="s">
        <v>5496</v>
      </c>
      <c r="F455" s="15" t="s">
        <v>397</v>
      </c>
      <c r="G455" s="15" t="s">
        <v>1612</v>
      </c>
      <c r="J455" s="15" t="s">
        <v>1612</v>
      </c>
      <c r="M455" s="15" t="s">
        <v>1628</v>
      </c>
      <c r="N455" s="15" t="s">
        <v>706</v>
      </c>
      <c r="O455" s="15" t="s">
        <v>707</v>
      </c>
      <c r="P455" s="15" t="str">
        <f>"42"</f>
        <v>42</v>
      </c>
      <c r="Q455" s="15" t="str">
        <f>"39"</f>
        <v>39</v>
      </c>
      <c r="R455" s="15" t="str">
        <f>"29.5"</f>
        <v>29.5</v>
      </c>
      <c r="S455" s="15" t="str">
        <f>"91.49"</f>
        <v>91.49</v>
      </c>
      <c r="T455" s="15" t="s">
        <v>1615</v>
      </c>
      <c r="U455" s="15" t="s">
        <v>11845</v>
      </c>
      <c r="V455" s="15" t="s">
        <v>11846</v>
      </c>
      <c r="AA455" s="15" t="s">
        <v>413</v>
      </c>
      <c r="AB455" s="15" t="s">
        <v>413</v>
      </c>
      <c r="AC455" s="15" t="s">
        <v>5500</v>
      </c>
      <c r="AD455" s="15" t="s">
        <v>16612</v>
      </c>
      <c r="AE455" s="15" t="s">
        <v>5499</v>
      </c>
      <c r="AF455" s="15" t="s">
        <v>16613</v>
      </c>
      <c r="AG455" s="15" t="s">
        <v>16614</v>
      </c>
      <c r="AH455" s="15" t="s">
        <v>16615</v>
      </c>
      <c r="AI455" s="15" t="s">
        <v>16616</v>
      </c>
      <c r="AJ455" s="15" t="s">
        <v>16617</v>
      </c>
      <c r="AK455" s="15" t="s">
        <v>16618</v>
      </c>
      <c r="AL455" s="15" t="s">
        <v>16619</v>
      </c>
      <c r="AM455" s="15" t="s">
        <v>16620</v>
      </c>
      <c r="BH455" s="15" t="s">
        <v>5497</v>
      </c>
      <c r="BI455" s="15" t="str">
        <f>"1499"</f>
        <v>1499</v>
      </c>
      <c r="BJ455" s="15" t="str">
        <f>"630"</f>
        <v>630</v>
      </c>
      <c r="BK455" s="15" t="s">
        <v>709</v>
      </c>
      <c r="BL455" s="15" t="str">
        <f t="shared" si="1338"/>
        <v>1</v>
      </c>
      <c r="BM455" s="15" t="s">
        <v>416</v>
      </c>
      <c r="BN455" s="15" t="str">
        <f>"43.31"</f>
        <v>43.31</v>
      </c>
      <c r="BO455" s="15" t="str">
        <f>"39.76"</f>
        <v>39.76</v>
      </c>
      <c r="BP455" s="15" t="str">
        <f>"31.1"</f>
        <v>31.1</v>
      </c>
      <c r="BQ455" s="15" t="str">
        <f>"111.33"</f>
        <v>111.33</v>
      </c>
      <c r="CG455" s="15" t="str">
        <f>"31.01"</f>
        <v>31.01</v>
      </c>
      <c r="CH455" s="15" t="str">
        <f>"0.878"</f>
        <v>0.878</v>
      </c>
      <c r="CI455" s="15" t="s">
        <v>497</v>
      </c>
      <c r="CS455" s="15" t="s">
        <v>555</v>
      </c>
      <c r="CT455" s="15" t="s">
        <v>1065</v>
      </c>
      <c r="CV455" s="15">
        <v>0.0</v>
      </c>
      <c r="CW455" s="15">
        <v>1.0</v>
      </c>
      <c r="CX455" s="15" t="s">
        <v>717</v>
      </c>
      <c r="CY455" s="15" t="s">
        <v>718</v>
      </c>
      <c r="DF455" s="15" t="s">
        <v>721</v>
      </c>
      <c r="DG455" s="15" t="s">
        <v>419</v>
      </c>
      <c r="DH455" s="15">
        <v>0.0</v>
      </c>
      <c r="DL455" s="15">
        <v>30000.0</v>
      </c>
      <c r="DM455" s="15" t="s">
        <v>990</v>
      </c>
      <c r="DN455" s="15" t="s">
        <v>1016</v>
      </c>
      <c r="DP455" s="15">
        <v>1.0</v>
      </c>
      <c r="DQ455" s="15">
        <v>1.0</v>
      </c>
      <c r="DS455" s="15" t="s">
        <v>5503</v>
      </c>
      <c r="DT455" s="15">
        <v>0.0</v>
      </c>
      <c r="DU455" s="15" t="s">
        <v>726</v>
      </c>
      <c r="DV455" s="15" t="s">
        <v>2839</v>
      </c>
      <c r="DW455" s="15" t="s">
        <v>1576</v>
      </c>
      <c r="DX455" s="15" t="s">
        <v>1072</v>
      </c>
      <c r="EB455" s="15" t="s">
        <v>2547</v>
      </c>
      <c r="EF455" s="15" t="s">
        <v>672</v>
      </c>
      <c r="EI455" s="15" t="s">
        <v>1593</v>
      </c>
      <c r="EL455" s="15" t="s">
        <v>1016</v>
      </c>
      <c r="EO455" s="15" t="s">
        <v>997</v>
      </c>
      <c r="EX455" s="15" t="s">
        <v>467</v>
      </c>
      <c r="EY455" s="15" t="s">
        <v>1286</v>
      </c>
      <c r="EZ455" s="15">
        <v>0.0</v>
      </c>
      <c r="FA455" s="15">
        <v>0.0</v>
      </c>
      <c r="FC455" s="15">
        <v>0.0</v>
      </c>
    </row>
    <row r="456" ht="17.25" customHeight="1">
      <c r="A456" s="15" t="s">
        <v>5507</v>
      </c>
      <c r="B456" s="15" t="str">
        <f>"801542275099"</f>
        <v>801542275099</v>
      </c>
      <c r="C456" s="15" t="s">
        <v>16621</v>
      </c>
      <c r="D456" s="15" t="str">
        <f t="shared" si="1"/>
        <v>Hatch SideboardNatural Raffia</v>
      </c>
      <c r="E456" s="15" t="s">
        <v>5504</v>
      </c>
      <c r="F456" s="15" t="s">
        <v>397</v>
      </c>
      <c r="G456" s="15" t="s">
        <v>5506</v>
      </c>
      <c r="J456" s="15" t="s">
        <v>5506</v>
      </c>
      <c r="K456" s="15" t="s">
        <v>5512</v>
      </c>
      <c r="L456" s="15" t="s">
        <v>5513</v>
      </c>
      <c r="M456" s="15" t="s">
        <v>5511</v>
      </c>
      <c r="N456" s="15" t="s">
        <v>664</v>
      </c>
      <c r="P456" s="15" t="str">
        <f>"72"</f>
        <v>72</v>
      </c>
      <c r="Q456" s="15" t="str">
        <f t="shared" ref="Q456:Q457" si="1387">"21"</f>
        <v>21</v>
      </c>
      <c r="R456" s="15" t="str">
        <f>"31"</f>
        <v>31</v>
      </c>
      <c r="S456" s="15" t="str">
        <f>"181.44"</f>
        <v>181.44</v>
      </c>
      <c r="T456" s="15" t="s">
        <v>5510</v>
      </c>
      <c r="U456" s="15" t="s">
        <v>15526</v>
      </c>
      <c r="V456" s="15" t="s">
        <v>15527</v>
      </c>
      <c r="W456" s="15" t="s">
        <v>16205</v>
      </c>
      <c r="AA456" s="15" t="s">
        <v>413</v>
      </c>
      <c r="AB456" s="15" t="s">
        <v>413</v>
      </c>
      <c r="AC456" s="15" t="s">
        <v>5514</v>
      </c>
      <c r="AD456" s="15" t="s">
        <v>16622</v>
      </c>
      <c r="AE456" s="15" t="s">
        <v>5509</v>
      </c>
      <c r="AF456" s="15" t="s">
        <v>16623</v>
      </c>
      <c r="AG456" s="15" t="s">
        <v>16624</v>
      </c>
      <c r="AH456" s="15" t="s">
        <v>16625</v>
      </c>
      <c r="AI456" s="15" t="s">
        <v>16626</v>
      </c>
      <c r="AJ456" s="15" t="s">
        <v>16627</v>
      </c>
      <c r="AK456" s="15" t="s">
        <v>16628</v>
      </c>
      <c r="AL456" s="15" t="s">
        <v>16629</v>
      </c>
      <c r="AM456" s="15" t="s">
        <v>16630</v>
      </c>
      <c r="AN456" s="15" t="s">
        <v>16631</v>
      </c>
      <c r="AO456" s="15" t="s">
        <v>16632</v>
      </c>
      <c r="AP456" s="15" t="s">
        <v>16633</v>
      </c>
      <c r="AQ456" s="15" t="s">
        <v>16634</v>
      </c>
      <c r="AR456" s="15" t="s">
        <v>16635</v>
      </c>
      <c r="AS456" s="15" t="s">
        <v>16636</v>
      </c>
      <c r="AT456" s="15" t="s">
        <v>16637</v>
      </c>
      <c r="AU456" s="15" t="s">
        <v>16638</v>
      </c>
      <c r="BH456" s="15" t="s">
        <v>5505</v>
      </c>
      <c r="BI456" s="15" t="str">
        <f>"2099"</f>
        <v>2099</v>
      </c>
      <c r="BJ456" s="15" t="str">
        <f>"885"</f>
        <v>885</v>
      </c>
      <c r="BK456" s="15" t="s">
        <v>1181</v>
      </c>
      <c r="BL456" s="15" t="str">
        <f t="shared" si="1338"/>
        <v>1</v>
      </c>
      <c r="BM456" s="15" t="s">
        <v>416</v>
      </c>
      <c r="BN456" s="15" t="str">
        <f>"76.77"</f>
        <v>76.77</v>
      </c>
      <c r="BO456" s="15" t="str">
        <f>"25.2"</f>
        <v>25.2</v>
      </c>
      <c r="BP456" s="15" t="str">
        <f>"37.01"</f>
        <v>37.01</v>
      </c>
      <c r="BQ456" s="15" t="str">
        <f>"228.18"</f>
        <v>228.18</v>
      </c>
      <c r="CG456" s="15" t="str">
        <f>"41.42"</f>
        <v>41.42</v>
      </c>
      <c r="CH456" s="15" t="str">
        <f>"1.173"</f>
        <v>1.173</v>
      </c>
      <c r="CI456" s="15" t="s">
        <v>497</v>
      </c>
      <c r="CM456" s="15" t="s">
        <v>4812</v>
      </c>
      <c r="CN456" s="15" t="s">
        <v>5517</v>
      </c>
      <c r="CO456" s="15" t="s">
        <v>5518</v>
      </c>
      <c r="CZ456" s="15" t="s">
        <v>419</v>
      </c>
      <c r="DA456" s="15">
        <v>0.0</v>
      </c>
      <c r="DB456" s="15" t="s">
        <v>419</v>
      </c>
      <c r="DD456" s="15">
        <v>0.0</v>
      </c>
      <c r="DF456" s="15" t="s">
        <v>1186</v>
      </c>
      <c r="DG456" s="15" t="s">
        <v>610</v>
      </c>
      <c r="DI456" s="15">
        <v>18.14</v>
      </c>
      <c r="DJ456" s="15">
        <v>40.0</v>
      </c>
      <c r="DK456" s="15">
        <v>2.0</v>
      </c>
      <c r="DS456" s="15" t="s">
        <v>5519</v>
      </c>
      <c r="DU456" s="15" t="s">
        <v>424</v>
      </c>
      <c r="EF456" s="15" t="s">
        <v>429</v>
      </c>
      <c r="EV456" s="15">
        <v>2.0</v>
      </c>
      <c r="FH456" s="15" t="s">
        <v>5520</v>
      </c>
      <c r="FI456" s="15" t="s">
        <v>782</v>
      </c>
      <c r="FJ456" s="15" t="s">
        <v>5521</v>
      </c>
      <c r="FK456" s="15" t="s">
        <v>1426</v>
      </c>
      <c r="FL456" s="15" t="s">
        <v>782</v>
      </c>
      <c r="FM456" s="15" t="s">
        <v>5518</v>
      </c>
      <c r="FN456" s="15">
        <v>0.0</v>
      </c>
      <c r="FO456" s="15" t="s">
        <v>426</v>
      </c>
      <c r="FQ456" s="15">
        <v>4.0</v>
      </c>
      <c r="FR456" s="15" t="s">
        <v>614</v>
      </c>
      <c r="FS456" s="15" t="s">
        <v>1045</v>
      </c>
      <c r="FT456" s="15">
        <v>0.0</v>
      </c>
      <c r="FU456" s="15" t="s">
        <v>426</v>
      </c>
      <c r="FW456" s="15" t="s">
        <v>616</v>
      </c>
      <c r="HF456" s="15" t="s">
        <v>3658</v>
      </c>
      <c r="HQ456" s="15" t="s">
        <v>426</v>
      </c>
    </row>
    <row r="457" ht="17.25" customHeight="1">
      <c r="A457" s="15" t="s">
        <v>5525</v>
      </c>
      <c r="B457" s="15" t="str">
        <f>"198394058537"</f>
        <v>198394058537</v>
      </c>
      <c r="C457" s="15" t="s">
        <v>16639</v>
      </c>
      <c r="D457" s="15" t="str">
        <f t="shared" si="1"/>
        <v>Hawkes BookcaseDark Walnut Solid</v>
      </c>
      <c r="E457" s="15" t="s">
        <v>5522</v>
      </c>
      <c r="F457" s="15" t="s">
        <v>397</v>
      </c>
      <c r="G457" s="15" t="s">
        <v>5524</v>
      </c>
      <c r="J457" s="15" t="s">
        <v>5524</v>
      </c>
      <c r="K457" s="15" t="s">
        <v>2752</v>
      </c>
      <c r="M457" s="15" t="s">
        <v>1502</v>
      </c>
      <c r="N457" s="15" t="s">
        <v>1899</v>
      </c>
      <c r="P457" s="15" t="str">
        <f>"50"</f>
        <v>50</v>
      </c>
      <c r="Q457" s="15" t="str">
        <f t="shared" si="1387"/>
        <v>21</v>
      </c>
      <c r="R457" s="15" t="str">
        <f>"82"</f>
        <v>82</v>
      </c>
      <c r="S457" s="15" t="str">
        <f>"222.66"</f>
        <v>222.66</v>
      </c>
      <c r="T457" s="15" t="s">
        <v>5527</v>
      </c>
      <c r="U457" s="15" t="s">
        <v>11640</v>
      </c>
      <c r="V457" s="15" t="s">
        <v>11639</v>
      </c>
      <c r="AA457" s="15" t="s">
        <v>413</v>
      </c>
      <c r="AB457" s="15" t="s">
        <v>413</v>
      </c>
      <c r="AC457" s="15" t="s">
        <v>5530</v>
      </c>
      <c r="AD457" s="15" t="s">
        <v>16640</v>
      </c>
      <c r="AE457" s="15" t="s">
        <v>5526</v>
      </c>
      <c r="AF457" s="15" t="s">
        <v>16641</v>
      </c>
      <c r="AG457" s="15" t="s">
        <v>16642</v>
      </c>
      <c r="AH457" s="15" t="s">
        <v>16643</v>
      </c>
      <c r="AI457" s="15" t="s">
        <v>16644</v>
      </c>
      <c r="AJ457" s="15" t="s">
        <v>16645</v>
      </c>
      <c r="AK457" s="15" t="s">
        <v>16646</v>
      </c>
      <c r="AL457" s="15" t="s">
        <v>16647</v>
      </c>
      <c r="AM457" s="15" t="s">
        <v>16648</v>
      </c>
      <c r="AN457" s="15" t="s">
        <v>16649</v>
      </c>
      <c r="AO457" s="15" t="s">
        <v>16650</v>
      </c>
      <c r="AP457" s="15" t="s">
        <v>16651</v>
      </c>
      <c r="AQ457" s="15" t="s">
        <v>16652</v>
      </c>
      <c r="AR457" s="15" t="s">
        <v>16653</v>
      </c>
      <c r="BH457" s="15" t="s">
        <v>5523</v>
      </c>
      <c r="BI457" s="15" t="str">
        <f>"3499"</f>
        <v>3499</v>
      </c>
      <c r="BJ457" s="15" t="str">
        <f>"1470"</f>
        <v>1470</v>
      </c>
      <c r="BK457" s="15" t="s">
        <v>742</v>
      </c>
      <c r="BL457" s="15" t="str">
        <f t="shared" si="1338"/>
        <v>1</v>
      </c>
      <c r="BM457" s="15" t="s">
        <v>416</v>
      </c>
      <c r="BN457" s="15" t="str">
        <f>"56.3"</f>
        <v>56.3</v>
      </c>
      <c r="BO457" s="15" t="str">
        <f>"26.77"</f>
        <v>26.77</v>
      </c>
      <c r="BP457" s="15" t="str">
        <f>"87.99"</f>
        <v>87.99</v>
      </c>
      <c r="BQ457" s="15" t="str">
        <f>"263.45"</f>
        <v>263.45</v>
      </c>
      <c r="CG457" s="15" t="str">
        <f>"76.74"</f>
        <v>76.74</v>
      </c>
      <c r="CH457" s="15" t="str">
        <f>"2.173"</f>
        <v>2.173</v>
      </c>
      <c r="CI457" s="15" t="s">
        <v>465</v>
      </c>
      <c r="CJ457" s="15" t="s">
        <v>5532</v>
      </c>
      <c r="CK457" s="15" t="s">
        <v>1607</v>
      </c>
      <c r="CL457" s="15" t="s">
        <v>1074</v>
      </c>
      <c r="CM457" s="15" t="s">
        <v>5533</v>
      </c>
      <c r="CN457" s="15" t="s">
        <v>5534</v>
      </c>
      <c r="CO457" s="15" t="s">
        <v>799</v>
      </c>
      <c r="CZ457" s="15" t="s">
        <v>419</v>
      </c>
      <c r="DA457" s="15">
        <v>0.0</v>
      </c>
      <c r="DB457" s="15" t="s">
        <v>419</v>
      </c>
      <c r="DD457" s="15">
        <v>4.0</v>
      </c>
      <c r="DE457" s="15" t="s">
        <v>426</v>
      </c>
      <c r="DF457" s="15" t="s">
        <v>1307</v>
      </c>
      <c r="DG457" s="15" t="s">
        <v>610</v>
      </c>
      <c r="DI457" s="15">
        <v>18.14</v>
      </c>
      <c r="DJ457" s="15">
        <v>40.0</v>
      </c>
      <c r="DK457" s="15">
        <v>1.0</v>
      </c>
      <c r="DR457" s="15" t="s">
        <v>1906</v>
      </c>
      <c r="DS457" s="15" t="s">
        <v>5535</v>
      </c>
      <c r="EF457" s="15" t="s">
        <v>3856</v>
      </c>
      <c r="EU457" s="15" t="s">
        <v>426</v>
      </c>
      <c r="EV457" s="15">
        <v>7.0</v>
      </c>
      <c r="FH457" s="15" t="s">
        <v>3129</v>
      </c>
      <c r="FI457" s="15" t="s">
        <v>612</v>
      </c>
      <c r="FJ457" s="15" t="s">
        <v>5536</v>
      </c>
      <c r="FK457" s="15" t="s">
        <v>5533</v>
      </c>
      <c r="FL457" s="15" t="s">
        <v>612</v>
      </c>
      <c r="FM457" s="15" t="s">
        <v>799</v>
      </c>
      <c r="FO457" s="15" t="s">
        <v>426</v>
      </c>
      <c r="FP457" s="15" t="s">
        <v>785</v>
      </c>
      <c r="FQ457" s="15">
        <v>2.0</v>
      </c>
      <c r="FR457" s="15" t="s">
        <v>614</v>
      </c>
      <c r="FS457" s="15" t="s">
        <v>615</v>
      </c>
      <c r="FU457" s="15" t="s">
        <v>426</v>
      </c>
      <c r="FW457" s="15" t="s">
        <v>616</v>
      </c>
      <c r="GJ457" s="15" t="s">
        <v>5532</v>
      </c>
      <c r="GK457" s="15" t="s">
        <v>2156</v>
      </c>
      <c r="GL457" s="15" t="s">
        <v>1074</v>
      </c>
      <c r="GZ457" s="15" t="s">
        <v>5532</v>
      </c>
      <c r="HA457" s="15" t="s">
        <v>5532</v>
      </c>
      <c r="HB457" s="15" t="s">
        <v>2156</v>
      </c>
      <c r="HC457" s="15" t="s">
        <v>1951</v>
      </c>
      <c r="HD457" s="15" t="s">
        <v>1074</v>
      </c>
      <c r="HE457" s="15" t="s">
        <v>1074</v>
      </c>
      <c r="HF457" s="15" t="s">
        <v>1517</v>
      </c>
      <c r="HQ457" s="15" t="s">
        <v>426</v>
      </c>
      <c r="KG457" s="15" t="s">
        <v>5532</v>
      </c>
      <c r="KH457" s="15" t="s">
        <v>1951</v>
      </c>
      <c r="KI457" s="15" t="s">
        <v>1074</v>
      </c>
      <c r="KT457" s="15" t="s">
        <v>5532</v>
      </c>
      <c r="KU457" s="15" t="s">
        <v>5532</v>
      </c>
      <c r="KV457" s="15" t="s">
        <v>2156</v>
      </c>
      <c r="KW457" s="15" t="s">
        <v>2156</v>
      </c>
      <c r="KX457" s="15" t="s">
        <v>1074</v>
      </c>
      <c r="KY457" s="15" t="s">
        <v>1074</v>
      </c>
    </row>
    <row r="458" ht="17.25" customHeight="1">
      <c r="A458" s="15" t="s">
        <v>5539</v>
      </c>
      <c r="B458" s="15" t="str">
        <f>"198394055222"</f>
        <v>198394055222</v>
      </c>
      <c r="C458" s="15" t="s">
        <v>16654</v>
      </c>
      <c r="D458" s="15" t="str">
        <f t="shared" si="1"/>
        <v>Hawkes Console TableDark Walnut Veneer</v>
      </c>
      <c r="E458" s="15" t="s">
        <v>5537</v>
      </c>
      <c r="F458" s="15" t="s">
        <v>397</v>
      </c>
      <c r="G458" s="15" t="s">
        <v>2752</v>
      </c>
      <c r="J458" s="15" t="s">
        <v>2752</v>
      </c>
      <c r="K458" s="15" t="s">
        <v>5524</v>
      </c>
      <c r="M458" s="15" t="s">
        <v>1502</v>
      </c>
      <c r="N458" s="15" t="s">
        <v>519</v>
      </c>
      <c r="P458" s="15" t="str">
        <f>"78"</f>
        <v>78</v>
      </c>
      <c r="Q458" s="15" t="str">
        <f>"18"</f>
        <v>18</v>
      </c>
      <c r="R458" s="15" t="str">
        <f>"27"</f>
        <v>27</v>
      </c>
      <c r="S458" s="15" t="str">
        <f>"132.28"</f>
        <v>132.28</v>
      </c>
      <c r="T458" s="15" t="s">
        <v>1361</v>
      </c>
      <c r="U458" s="15" t="s">
        <v>11639</v>
      </c>
      <c r="V458" s="15" t="s">
        <v>11640</v>
      </c>
      <c r="AA458" s="15" t="s">
        <v>413</v>
      </c>
      <c r="AB458" s="15" t="s">
        <v>413</v>
      </c>
      <c r="AC458" s="15" t="s">
        <v>5541</v>
      </c>
      <c r="AD458" s="15" t="s">
        <v>16655</v>
      </c>
      <c r="AE458" s="15" t="s">
        <v>5540</v>
      </c>
      <c r="AF458" s="15" t="s">
        <v>16656</v>
      </c>
      <c r="AG458" s="15" t="s">
        <v>16657</v>
      </c>
      <c r="AH458" s="15" t="s">
        <v>16658</v>
      </c>
      <c r="AI458" s="15" t="s">
        <v>16659</v>
      </c>
      <c r="AJ458" s="15" t="s">
        <v>16660</v>
      </c>
      <c r="AK458" s="15" t="s">
        <v>16661</v>
      </c>
      <c r="AL458" s="15" t="s">
        <v>16662</v>
      </c>
      <c r="AM458" s="15" t="s">
        <v>16663</v>
      </c>
      <c r="AN458" s="15" t="s">
        <v>16664</v>
      </c>
      <c r="AO458" s="15" t="s">
        <v>16665</v>
      </c>
      <c r="AP458" s="15" t="s">
        <v>16666</v>
      </c>
      <c r="AQ458" s="15" t="s">
        <v>16667</v>
      </c>
      <c r="AR458" s="15" t="s">
        <v>16668</v>
      </c>
      <c r="BH458" s="15" t="s">
        <v>5538</v>
      </c>
      <c r="BI458" s="15" t="str">
        <f>"2299"</f>
        <v>2299</v>
      </c>
      <c r="BJ458" s="15" t="str">
        <f>"970"</f>
        <v>970</v>
      </c>
      <c r="BK458" s="15" t="s">
        <v>742</v>
      </c>
      <c r="BL458" s="15" t="str">
        <f t="shared" si="1338"/>
        <v>1</v>
      </c>
      <c r="BM458" s="15" t="s">
        <v>416</v>
      </c>
      <c r="BN458" s="15" t="str">
        <f>"83.86"</f>
        <v>83.86</v>
      </c>
      <c r="BO458" s="15" t="str">
        <f>"23.43"</f>
        <v>23.43</v>
      </c>
      <c r="BP458" s="15" t="str">
        <f>"33.07"</f>
        <v>33.07</v>
      </c>
      <c r="BQ458" s="15" t="str">
        <f>"159.84"</f>
        <v>159.84</v>
      </c>
      <c r="CG458" s="15" t="str">
        <f>"37.61"</f>
        <v>37.61</v>
      </c>
      <c r="CH458" s="15" t="str">
        <f>"1.065"</f>
        <v>1.065</v>
      </c>
      <c r="CI458" s="15" t="s">
        <v>465</v>
      </c>
      <c r="CJ458" s="15" t="s">
        <v>5544</v>
      </c>
      <c r="CK458" s="15" t="s">
        <v>1607</v>
      </c>
      <c r="CL458" s="15" t="s">
        <v>5545</v>
      </c>
      <c r="CM458" s="15" t="s">
        <v>5544</v>
      </c>
      <c r="CN458" s="15" t="s">
        <v>5319</v>
      </c>
      <c r="CO458" s="15" t="s">
        <v>5546</v>
      </c>
      <c r="CZ458" s="15" t="s">
        <v>419</v>
      </c>
      <c r="DA458" s="15">
        <v>0.0</v>
      </c>
      <c r="DB458" s="15" t="s">
        <v>419</v>
      </c>
      <c r="DD458" s="15">
        <v>1.0</v>
      </c>
      <c r="DE458" s="15" t="s">
        <v>426</v>
      </c>
      <c r="DF458" s="15" t="s">
        <v>1307</v>
      </c>
      <c r="DG458" s="15" t="s">
        <v>1914</v>
      </c>
      <c r="DK458" s="15">
        <v>0.0</v>
      </c>
      <c r="DR458" s="15" t="s">
        <v>471</v>
      </c>
      <c r="DS458" s="15" t="s">
        <v>5535</v>
      </c>
      <c r="DU458" s="15" t="s">
        <v>424</v>
      </c>
      <c r="EF458" s="15" t="s">
        <v>3856</v>
      </c>
      <c r="EG458" s="15" t="s">
        <v>5544</v>
      </c>
      <c r="EH458" s="15" t="s">
        <v>5547</v>
      </c>
      <c r="EQ458" s="15" t="s">
        <v>1957</v>
      </c>
      <c r="ER458" s="15" t="s">
        <v>1234</v>
      </c>
      <c r="ES458" s="15" t="s">
        <v>1607</v>
      </c>
      <c r="ET458" s="15" t="s">
        <v>1957</v>
      </c>
      <c r="EU458" s="15" t="s">
        <v>426</v>
      </c>
      <c r="EV458" s="15">
        <v>6.0</v>
      </c>
      <c r="EW458" s="15">
        <v>0.0</v>
      </c>
      <c r="FQ458" s="15">
        <v>0.0</v>
      </c>
      <c r="FR458" s="15" t="s">
        <v>427</v>
      </c>
      <c r="GJ458" s="15" t="s">
        <v>5544</v>
      </c>
      <c r="GK458" s="15" t="s">
        <v>5319</v>
      </c>
      <c r="GL458" s="15" t="s">
        <v>5546</v>
      </c>
      <c r="GZ458" s="15" t="s">
        <v>5544</v>
      </c>
      <c r="HA458" s="15" t="s">
        <v>5544</v>
      </c>
      <c r="HB458" s="15" t="s">
        <v>5319</v>
      </c>
      <c r="HC458" s="15" t="s">
        <v>5319</v>
      </c>
      <c r="HD458" s="15" t="s">
        <v>5546</v>
      </c>
      <c r="HE458" s="15" t="s">
        <v>5546</v>
      </c>
      <c r="KG458" s="15" t="s">
        <v>5544</v>
      </c>
      <c r="KH458" s="15" t="s">
        <v>5319</v>
      </c>
      <c r="KI458" s="15" t="s">
        <v>5546</v>
      </c>
      <c r="KT458" s="15" t="s">
        <v>5544</v>
      </c>
      <c r="KV458" s="15" t="s">
        <v>5319</v>
      </c>
      <c r="KX458" s="15" t="s">
        <v>5546</v>
      </c>
    </row>
    <row r="459" ht="17.25" customHeight="1">
      <c r="A459" s="15" t="s">
        <v>5550</v>
      </c>
      <c r="B459" s="15" t="str">
        <f>"198394058544"</f>
        <v>198394058544</v>
      </c>
      <c r="C459" s="15" t="s">
        <v>16669</v>
      </c>
      <c r="D459" s="15" t="str">
        <f t="shared" si="1"/>
        <v>Hawkes Media ConsoleDark Walnut Solid</v>
      </c>
      <c r="E459" s="15" t="s">
        <v>5548</v>
      </c>
      <c r="F459" s="15" t="s">
        <v>397</v>
      </c>
      <c r="G459" s="15" t="s">
        <v>5524</v>
      </c>
      <c r="J459" s="15" t="s">
        <v>5524</v>
      </c>
      <c r="K459" s="15" t="s">
        <v>2752</v>
      </c>
      <c r="M459" s="15" t="s">
        <v>1502</v>
      </c>
      <c r="N459" s="15" t="s">
        <v>602</v>
      </c>
      <c r="P459" s="15" t="str">
        <f>"92"</f>
        <v>92</v>
      </c>
      <c r="Q459" s="15" t="str">
        <f>"21"</f>
        <v>21</v>
      </c>
      <c r="R459" s="15" t="str">
        <f>"26"</f>
        <v>26</v>
      </c>
      <c r="S459" s="15" t="str">
        <f>"186.29"</f>
        <v>186.29</v>
      </c>
      <c r="T459" s="15" t="s">
        <v>5527</v>
      </c>
      <c r="U459" s="15" t="s">
        <v>11640</v>
      </c>
      <c r="V459" s="15" t="s">
        <v>11639</v>
      </c>
      <c r="AA459" s="15" t="s">
        <v>413</v>
      </c>
      <c r="AB459" s="15" t="s">
        <v>413</v>
      </c>
      <c r="AC459" s="15" t="s">
        <v>5553</v>
      </c>
      <c r="AD459" s="15" t="s">
        <v>16670</v>
      </c>
      <c r="AE459" s="15" t="s">
        <v>5552</v>
      </c>
      <c r="AF459" s="15" t="s">
        <v>16671</v>
      </c>
      <c r="AG459" s="15" t="s">
        <v>16672</v>
      </c>
      <c r="AH459" s="15" t="s">
        <v>16673</v>
      </c>
      <c r="AI459" s="15" t="s">
        <v>16674</v>
      </c>
      <c r="AJ459" s="15" t="s">
        <v>16675</v>
      </c>
      <c r="AK459" s="15" t="s">
        <v>16676</v>
      </c>
      <c r="AL459" s="15" t="s">
        <v>16677</v>
      </c>
      <c r="AM459" s="15" t="s">
        <v>16678</v>
      </c>
      <c r="AN459" s="15" t="s">
        <v>16679</v>
      </c>
      <c r="AO459" s="15" t="s">
        <v>16680</v>
      </c>
      <c r="AP459" s="15" t="s">
        <v>16681</v>
      </c>
      <c r="AQ459" s="15" t="s">
        <v>16682</v>
      </c>
      <c r="AR459" s="15" t="s">
        <v>16683</v>
      </c>
      <c r="AS459" s="15" t="s">
        <v>16684</v>
      </c>
      <c r="AT459" s="15" t="s">
        <v>16685</v>
      </c>
      <c r="AU459" s="15" t="s">
        <v>16686</v>
      </c>
      <c r="BH459" s="15" t="s">
        <v>5549</v>
      </c>
      <c r="BI459" s="15" t="str">
        <f>"2599"</f>
        <v>2599</v>
      </c>
      <c r="BJ459" s="15" t="str">
        <f>"1095"</f>
        <v>1095</v>
      </c>
      <c r="BK459" s="15" t="s">
        <v>742</v>
      </c>
      <c r="BL459" s="15" t="str">
        <f t="shared" si="1338"/>
        <v>1</v>
      </c>
      <c r="BM459" s="15" t="s">
        <v>416</v>
      </c>
      <c r="BN459" s="15" t="str">
        <f>"98.03"</f>
        <v>98.03</v>
      </c>
      <c r="BO459" s="15" t="str">
        <f>"26.38"</f>
        <v>26.38</v>
      </c>
      <c r="BP459" s="15" t="str">
        <f>"31.69"</f>
        <v>31.69</v>
      </c>
      <c r="BQ459" s="15" t="str">
        <f>"216.05"</f>
        <v>216.05</v>
      </c>
      <c r="CG459" s="15" t="str">
        <f>"47.43"</f>
        <v>47.43</v>
      </c>
      <c r="CH459" s="15" t="str">
        <f>"1.343"</f>
        <v>1.343</v>
      </c>
      <c r="CI459" s="15" t="s">
        <v>465</v>
      </c>
      <c r="CJ459" s="15" t="s">
        <v>5533</v>
      </c>
      <c r="CK459" s="15" t="s">
        <v>1607</v>
      </c>
      <c r="CL459" s="15" t="s">
        <v>5556</v>
      </c>
      <c r="CM459" s="15" t="s">
        <v>5533</v>
      </c>
      <c r="CN459" s="15" t="s">
        <v>3052</v>
      </c>
      <c r="CO459" s="15" t="s">
        <v>5556</v>
      </c>
      <c r="CZ459" s="15" t="s">
        <v>419</v>
      </c>
      <c r="DA459" s="15">
        <v>0.0</v>
      </c>
      <c r="DB459" s="15" t="s">
        <v>419</v>
      </c>
      <c r="DD459" s="15">
        <v>2.0</v>
      </c>
      <c r="DE459" s="15" t="s">
        <v>426</v>
      </c>
      <c r="DF459" s="15" t="s">
        <v>1307</v>
      </c>
      <c r="DG459" s="15" t="s">
        <v>610</v>
      </c>
      <c r="DI459" s="15">
        <v>18.14</v>
      </c>
      <c r="DJ459" s="15">
        <v>40.0</v>
      </c>
      <c r="DK459" s="15">
        <v>1.0</v>
      </c>
      <c r="DS459" s="15" t="s">
        <v>5535</v>
      </c>
      <c r="EF459" s="15" t="s">
        <v>3856</v>
      </c>
      <c r="EU459" s="15" t="s">
        <v>426</v>
      </c>
      <c r="EV459" s="15">
        <v>5.0</v>
      </c>
      <c r="FH459" s="15" t="s">
        <v>5557</v>
      </c>
      <c r="FI459" s="15" t="s">
        <v>612</v>
      </c>
      <c r="FJ459" s="15" t="s">
        <v>5005</v>
      </c>
      <c r="FK459" s="15" t="s">
        <v>5558</v>
      </c>
      <c r="FL459" s="15" t="s">
        <v>612</v>
      </c>
      <c r="FM459" s="15" t="s">
        <v>5559</v>
      </c>
      <c r="FO459" s="15" t="s">
        <v>426</v>
      </c>
      <c r="FP459" s="15" t="s">
        <v>785</v>
      </c>
      <c r="FQ459" s="15">
        <v>2.0</v>
      </c>
      <c r="FR459" s="15" t="s">
        <v>614</v>
      </c>
      <c r="FS459" s="15" t="s">
        <v>615</v>
      </c>
      <c r="FU459" s="15" t="s">
        <v>426</v>
      </c>
      <c r="FW459" s="15" t="s">
        <v>616</v>
      </c>
      <c r="GJ459" s="15" t="s">
        <v>5533</v>
      </c>
      <c r="GK459" s="15" t="s">
        <v>3052</v>
      </c>
      <c r="GL459" s="15" t="s">
        <v>5556</v>
      </c>
      <c r="GM459" s="15">
        <v>0.0</v>
      </c>
      <c r="GZ459" s="15" t="s">
        <v>2842</v>
      </c>
      <c r="HA459" s="15" t="s">
        <v>2842</v>
      </c>
      <c r="HB459" s="15" t="s">
        <v>3052</v>
      </c>
      <c r="HC459" s="15" t="s">
        <v>3052</v>
      </c>
      <c r="HD459" s="15" t="s">
        <v>5556</v>
      </c>
      <c r="HE459" s="15" t="s">
        <v>5556</v>
      </c>
      <c r="HF459" s="15" t="s">
        <v>1517</v>
      </c>
      <c r="HQ459" s="15" t="s">
        <v>426</v>
      </c>
      <c r="KG459" s="15" t="s">
        <v>5558</v>
      </c>
      <c r="KH459" s="15" t="s">
        <v>2598</v>
      </c>
      <c r="KI459" s="15" t="s">
        <v>5559</v>
      </c>
    </row>
    <row r="460" ht="17.25" customHeight="1">
      <c r="A460" s="15" t="s">
        <v>5562</v>
      </c>
      <c r="B460" s="15" t="str">
        <f>"801542689469"</f>
        <v>801542689469</v>
      </c>
      <c r="C460" s="15" t="s">
        <v>16687</v>
      </c>
      <c r="D460" s="15" t="str">
        <f t="shared" si="1"/>
        <v>Hawkins Dining BenchSonoma Butterscotch</v>
      </c>
      <c r="E460" s="15" t="s">
        <v>5560</v>
      </c>
      <c r="F460" s="15" t="s">
        <v>397</v>
      </c>
      <c r="G460" s="15" t="s">
        <v>3874</v>
      </c>
      <c r="J460" s="15" t="s">
        <v>3874</v>
      </c>
      <c r="M460" s="15" t="s">
        <v>2800</v>
      </c>
      <c r="N460" s="15" t="s">
        <v>458</v>
      </c>
      <c r="O460" s="15" t="s">
        <v>5565</v>
      </c>
      <c r="P460" s="15" t="str">
        <f>"55"</f>
        <v>55</v>
      </c>
      <c r="Q460" s="15" t="str">
        <f>"24"</f>
        <v>24</v>
      </c>
      <c r="R460" s="15" t="str">
        <f>"31"</f>
        <v>31</v>
      </c>
      <c r="S460" s="15" t="str">
        <f>"46.41"</f>
        <v>46.41</v>
      </c>
      <c r="T460" s="15" t="s">
        <v>1600</v>
      </c>
      <c r="U460" s="15" t="s">
        <v>11137</v>
      </c>
      <c r="AA460" s="15" t="s">
        <v>413</v>
      </c>
      <c r="AB460" s="15" t="s">
        <v>413</v>
      </c>
      <c r="AC460" s="15" t="s">
        <v>5566</v>
      </c>
      <c r="AD460" s="15" t="s">
        <v>16688</v>
      </c>
      <c r="AE460" s="15" t="s">
        <v>5564</v>
      </c>
      <c r="AF460" s="15" t="s">
        <v>16689</v>
      </c>
      <c r="AG460" s="15" t="s">
        <v>16690</v>
      </c>
      <c r="AH460" s="15" t="s">
        <v>16691</v>
      </c>
      <c r="AI460" s="15" t="s">
        <v>16692</v>
      </c>
      <c r="AJ460" s="15" t="s">
        <v>16693</v>
      </c>
      <c r="AK460" s="15" t="s">
        <v>16694</v>
      </c>
      <c r="AL460" s="15" t="s">
        <v>16695</v>
      </c>
      <c r="AM460" s="15" t="s">
        <v>16696</v>
      </c>
      <c r="AN460" s="15" t="s">
        <v>16697</v>
      </c>
      <c r="AO460" s="15" t="s">
        <v>16698</v>
      </c>
      <c r="AP460" s="15" t="s">
        <v>16699</v>
      </c>
      <c r="BH460" s="15" t="s">
        <v>5561</v>
      </c>
      <c r="BI460" s="15" t="str">
        <f>"1899"</f>
        <v>1899</v>
      </c>
      <c r="BJ460" s="15" t="str">
        <f>"800"</f>
        <v>800</v>
      </c>
      <c r="BK460" s="15" t="s">
        <v>709</v>
      </c>
      <c r="BL460" s="15" t="str">
        <f t="shared" si="1338"/>
        <v>1</v>
      </c>
      <c r="BM460" s="15" t="s">
        <v>416</v>
      </c>
      <c r="BN460" s="15" t="str">
        <f>"56.89"</f>
        <v>56.89</v>
      </c>
      <c r="BO460" s="15" t="str">
        <f>"25"</f>
        <v>25</v>
      </c>
      <c r="BP460" s="15" t="str">
        <f>"33.07"</f>
        <v>33.07</v>
      </c>
      <c r="BQ460" s="15" t="str">
        <f>"65.7"</f>
        <v>65.7</v>
      </c>
      <c r="CG460" s="15" t="str">
        <f>"27.23"</f>
        <v>27.23</v>
      </c>
      <c r="CH460" s="15" t="str">
        <f>"0.771"</f>
        <v>0.771</v>
      </c>
      <c r="CI460" s="15" t="s">
        <v>465</v>
      </c>
      <c r="CS460" s="15" t="s">
        <v>3129</v>
      </c>
      <c r="CT460" s="15" t="s">
        <v>2738</v>
      </c>
      <c r="CU460" s="15" t="s">
        <v>5569</v>
      </c>
      <c r="CV460" s="15">
        <v>0.0</v>
      </c>
      <c r="CW460" s="15">
        <v>1.0</v>
      </c>
      <c r="CX460" s="15" t="s">
        <v>717</v>
      </c>
      <c r="CY460" s="15" t="s">
        <v>718</v>
      </c>
      <c r="CZ460" s="15" t="s">
        <v>419</v>
      </c>
      <c r="DA460" s="15">
        <v>0.0</v>
      </c>
      <c r="DB460" s="15" t="s">
        <v>419</v>
      </c>
      <c r="DD460" s="15">
        <v>0.0</v>
      </c>
      <c r="DF460" s="15" t="s">
        <v>721</v>
      </c>
      <c r="DG460" s="15" t="s">
        <v>419</v>
      </c>
      <c r="DH460" s="15">
        <v>0.0</v>
      </c>
      <c r="DI460" s="15">
        <v>0.0</v>
      </c>
      <c r="DJ460" s="15">
        <v>0.0</v>
      </c>
      <c r="DK460" s="15">
        <v>0.0</v>
      </c>
      <c r="DL460" s="15">
        <v>0.0</v>
      </c>
      <c r="DM460" s="15" t="s">
        <v>722</v>
      </c>
      <c r="DN460" s="15" t="s">
        <v>1016</v>
      </c>
      <c r="DO460" s="15" t="s">
        <v>724</v>
      </c>
      <c r="DP460" s="15">
        <v>1.0</v>
      </c>
      <c r="DQ460" s="15">
        <v>2.0</v>
      </c>
      <c r="DS460" s="15" t="s">
        <v>5570</v>
      </c>
      <c r="DT460" s="15">
        <v>0.0</v>
      </c>
      <c r="DU460" s="15" t="s">
        <v>1545</v>
      </c>
      <c r="DV460" s="15" t="s">
        <v>3512</v>
      </c>
      <c r="DW460" s="15" t="s">
        <v>3857</v>
      </c>
      <c r="DX460" s="15" t="s">
        <v>1070</v>
      </c>
      <c r="EB460" s="15" t="s">
        <v>1957</v>
      </c>
      <c r="EF460" s="15" t="s">
        <v>5571</v>
      </c>
      <c r="EG460" s="15" t="s">
        <v>3129</v>
      </c>
      <c r="EH460" s="15" t="s">
        <v>5572</v>
      </c>
      <c r="EI460" s="15" t="s">
        <v>866</v>
      </c>
      <c r="EL460" s="15" t="s">
        <v>1016</v>
      </c>
      <c r="EO460" s="15" t="s">
        <v>1255</v>
      </c>
      <c r="EX460" s="15" t="s">
        <v>5573</v>
      </c>
      <c r="EY460" s="15" t="s">
        <v>5569</v>
      </c>
    </row>
    <row r="461" ht="17.25" customHeight="1">
      <c r="A461" s="15" t="s">
        <v>5577</v>
      </c>
      <c r="B461" s="15" t="str">
        <f>"801542146139"</f>
        <v>801542146139</v>
      </c>
      <c r="C461" s="15" t="s">
        <v>16700</v>
      </c>
      <c r="D461" s="15" t="str">
        <f t="shared" si="1"/>
        <v>Heavy Wood Accent BenchAlcala Cream</v>
      </c>
      <c r="E461" s="15" t="s">
        <v>5574</v>
      </c>
      <c r="F461" s="15" t="s">
        <v>397</v>
      </c>
      <c r="G461" s="15" t="s">
        <v>5576</v>
      </c>
      <c r="J461" s="15" t="s">
        <v>5576</v>
      </c>
      <c r="K461" s="15" t="s">
        <v>2801</v>
      </c>
      <c r="M461" s="15" t="s">
        <v>1317</v>
      </c>
      <c r="N461" s="15" t="s">
        <v>458</v>
      </c>
      <c r="O461" s="15" t="s">
        <v>459</v>
      </c>
      <c r="P461" s="15" t="str">
        <f>"90"</f>
        <v>90</v>
      </c>
      <c r="Q461" s="15" t="str">
        <f t="shared" ref="Q461:Q463" si="1388">"25"</f>
        <v>25</v>
      </c>
      <c r="R461" s="15" t="str">
        <f>"21.75"</f>
        <v>21.75</v>
      </c>
      <c r="S461" s="15" t="str">
        <f>"147.71"</f>
        <v>147.71</v>
      </c>
      <c r="T461" s="15" t="s">
        <v>5580</v>
      </c>
      <c r="U461" s="15" t="s">
        <v>11356</v>
      </c>
      <c r="V461" s="15" t="s">
        <v>11574</v>
      </c>
      <c r="W461" s="15" t="s">
        <v>11575</v>
      </c>
      <c r="X461" s="15" t="s">
        <v>11210</v>
      </c>
      <c r="AA461" s="15" t="s">
        <v>413</v>
      </c>
      <c r="AB461" s="15" t="s">
        <v>426</v>
      </c>
      <c r="AC461" s="15" t="s">
        <v>5581</v>
      </c>
      <c r="AD461" s="15" t="s">
        <v>16701</v>
      </c>
      <c r="AE461" s="15" t="s">
        <v>5579</v>
      </c>
      <c r="AF461" s="15" t="s">
        <v>16702</v>
      </c>
      <c r="AG461" s="15" t="s">
        <v>16703</v>
      </c>
      <c r="AH461" s="15" t="s">
        <v>16704</v>
      </c>
      <c r="AI461" s="15" t="s">
        <v>16705</v>
      </c>
      <c r="AJ461" s="15" t="s">
        <v>16706</v>
      </c>
      <c r="AK461" s="15" t="s">
        <v>16707</v>
      </c>
      <c r="AL461" s="15" t="s">
        <v>16708</v>
      </c>
      <c r="AM461" s="15" t="s">
        <v>16709</v>
      </c>
      <c r="BH461" s="15" t="s">
        <v>5575</v>
      </c>
      <c r="BI461" s="15" t="str">
        <f>"1749"</f>
        <v>1749</v>
      </c>
      <c r="BJ461" s="15" t="str">
        <f>"735"</f>
        <v>735</v>
      </c>
      <c r="BK461" s="15" t="s">
        <v>709</v>
      </c>
      <c r="BL461" s="15" t="str">
        <f t="shared" si="1338"/>
        <v>1</v>
      </c>
      <c r="BM461" s="15" t="s">
        <v>416</v>
      </c>
      <c r="BN461" s="15" t="str">
        <f>"95.28"</f>
        <v>95.28</v>
      </c>
      <c r="BO461" s="15" t="str">
        <f>"27.95"</f>
        <v>27.95</v>
      </c>
      <c r="BP461" s="15" t="str">
        <f>"26.18"</f>
        <v>26.18</v>
      </c>
      <c r="BQ461" s="15" t="str">
        <f>"202.83"</f>
        <v>202.83</v>
      </c>
      <c r="CG461" s="15" t="str">
        <f>"40.36"</f>
        <v>40.36</v>
      </c>
      <c r="CH461" s="15" t="str">
        <f>"1.143"</f>
        <v>1.143</v>
      </c>
      <c r="CI461" s="15" t="s">
        <v>465</v>
      </c>
      <c r="CP461" s="15" t="s">
        <v>555</v>
      </c>
      <c r="CQ461" s="15" t="s">
        <v>2736</v>
      </c>
      <c r="CR461" s="15" t="s">
        <v>3481</v>
      </c>
      <c r="CS461" s="15" t="s">
        <v>555</v>
      </c>
      <c r="CT461" s="15" t="s">
        <v>650</v>
      </c>
      <c r="CU461" s="15" t="s">
        <v>3481</v>
      </c>
      <c r="CV461" s="15">
        <v>0.0</v>
      </c>
      <c r="CW461" s="15">
        <v>0.0</v>
      </c>
      <c r="CX461" s="15" t="s">
        <v>469</v>
      </c>
      <c r="CY461" s="15" t="s">
        <v>855</v>
      </c>
      <c r="CZ461" s="15" t="s">
        <v>419</v>
      </c>
      <c r="DA461" s="15">
        <v>0.0</v>
      </c>
      <c r="DB461" s="15" t="s">
        <v>419</v>
      </c>
      <c r="DC461" s="15" t="s">
        <v>1255</v>
      </c>
      <c r="DD461" s="15">
        <v>0.0</v>
      </c>
      <c r="DF461" s="15" t="s">
        <v>721</v>
      </c>
      <c r="DG461" s="15" t="s">
        <v>419</v>
      </c>
      <c r="DH461" s="15">
        <v>0.0</v>
      </c>
      <c r="DI461" s="15">
        <v>0.0</v>
      </c>
      <c r="DJ461" s="15">
        <v>0.0</v>
      </c>
      <c r="DK461" s="15">
        <v>0.0</v>
      </c>
      <c r="DL461" s="15">
        <v>25000.0</v>
      </c>
      <c r="DM461" s="15" t="s">
        <v>722</v>
      </c>
      <c r="DN461" s="15" t="s">
        <v>723</v>
      </c>
      <c r="DO461" s="15" t="s">
        <v>724</v>
      </c>
      <c r="DP461" s="15">
        <v>1.0</v>
      </c>
      <c r="DQ461" s="15">
        <v>4.0</v>
      </c>
      <c r="DR461" s="15" t="s">
        <v>471</v>
      </c>
      <c r="DS461" s="15" t="s">
        <v>5585</v>
      </c>
      <c r="DT461" s="15">
        <v>0.0</v>
      </c>
      <c r="DU461" s="15" t="s">
        <v>588</v>
      </c>
      <c r="DV461" s="15" t="s">
        <v>1214</v>
      </c>
      <c r="DW461" s="15" t="s">
        <v>5586</v>
      </c>
      <c r="DX461" s="15" t="s">
        <v>1738</v>
      </c>
      <c r="EB461" s="15" t="s">
        <v>505</v>
      </c>
      <c r="EF461" s="15" t="s">
        <v>2805</v>
      </c>
      <c r="EG461" s="15" t="s">
        <v>672</v>
      </c>
      <c r="EH461" s="15" t="s">
        <v>3481</v>
      </c>
    </row>
    <row r="462" ht="17.25" customHeight="1">
      <c r="A462" s="15" t="s">
        <v>5590</v>
      </c>
      <c r="B462" s="15" t="str">
        <f>"198394080231"</f>
        <v>198394080231</v>
      </c>
      <c r="C462" s="15" t="s">
        <v>16710</v>
      </c>
      <c r="D462" s="15" t="str">
        <f t="shared" si="1"/>
        <v>Henry DeskCharcoal Oak Thick Veneer</v>
      </c>
      <c r="E462" s="15" t="s">
        <v>5587</v>
      </c>
      <c r="F462" s="15" t="s">
        <v>397</v>
      </c>
      <c r="G462" s="15" t="s">
        <v>5589</v>
      </c>
      <c r="J462" s="15" t="s">
        <v>5589</v>
      </c>
      <c r="K462" s="15" t="s">
        <v>5594</v>
      </c>
      <c r="M462" s="15" t="s">
        <v>2759</v>
      </c>
      <c r="N462" s="15" t="s">
        <v>2134</v>
      </c>
      <c r="O462" s="15" t="s">
        <v>2171</v>
      </c>
      <c r="P462" s="15" t="str">
        <f t="shared" ref="P462:P463" si="1389">"70"</f>
        <v>70</v>
      </c>
      <c r="Q462" s="15" t="str">
        <f t="shared" si="1388"/>
        <v>25</v>
      </c>
      <c r="R462" s="15" t="str">
        <f t="shared" ref="R462:R463" si="1390">"31"</f>
        <v>31</v>
      </c>
      <c r="S462" s="15" t="str">
        <f t="shared" ref="S462:S463" si="1391">"156.53"</f>
        <v>156.53</v>
      </c>
      <c r="T462" s="15" t="s">
        <v>5593</v>
      </c>
      <c r="U462" s="15" t="s">
        <v>10881</v>
      </c>
      <c r="V462" s="15" t="s">
        <v>13534</v>
      </c>
      <c r="AA462" s="15" t="s">
        <v>413</v>
      </c>
      <c r="AB462" s="15" t="s">
        <v>413</v>
      </c>
      <c r="AC462" s="15" t="s">
        <v>5595</v>
      </c>
      <c r="AD462" s="15" t="s">
        <v>16711</v>
      </c>
      <c r="AE462" s="15" t="s">
        <v>5592</v>
      </c>
      <c r="AF462" s="15" t="s">
        <v>16712</v>
      </c>
      <c r="AG462" s="15" t="s">
        <v>16713</v>
      </c>
      <c r="AH462" s="15" t="s">
        <v>16714</v>
      </c>
      <c r="AI462" s="15" t="s">
        <v>16715</v>
      </c>
      <c r="AJ462" s="15" t="s">
        <v>16716</v>
      </c>
      <c r="AK462" s="15" t="s">
        <v>16717</v>
      </c>
      <c r="AL462" s="15" t="s">
        <v>16718</v>
      </c>
      <c r="AM462" s="15" t="s">
        <v>16719</v>
      </c>
      <c r="AN462" s="15" t="s">
        <v>16720</v>
      </c>
      <c r="AO462" s="15" t="s">
        <v>16721</v>
      </c>
      <c r="AP462" s="15" t="s">
        <v>16722</v>
      </c>
      <c r="BH462" s="15" t="s">
        <v>5588</v>
      </c>
      <c r="BI462" s="15" t="str">
        <f t="shared" ref="BI462:BI463" si="1392">"2799"</f>
        <v>2799</v>
      </c>
      <c r="BJ462" s="15" t="str">
        <f t="shared" ref="BJ462:BJ463" si="1393">"1180"</f>
        <v>1180</v>
      </c>
      <c r="BK462" s="15" t="s">
        <v>742</v>
      </c>
      <c r="BL462" s="15" t="str">
        <f t="shared" si="1338"/>
        <v>1</v>
      </c>
      <c r="BM462" s="15" t="s">
        <v>5596</v>
      </c>
      <c r="BN462" s="15" t="str">
        <f t="shared" ref="BN462:BN463" si="1394">"73.5"</f>
        <v>73.5</v>
      </c>
      <c r="BO462" s="15" t="str">
        <f t="shared" ref="BO462:BO463" si="1395">"28.74"</f>
        <v>28.74</v>
      </c>
      <c r="BP462" s="15" t="str">
        <f t="shared" ref="BP462:BP463" si="1396">"38.86"</f>
        <v>38.86</v>
      </c>
      <c r="BQ462" s="15" t="str">
        <f t="shared" ref="BQ462:BQ463" si="1397">"222.67"</f>
        <v>222.67</v>
      </c>
      <c r="CG462" s="15" t="str">
        <f t="shared" ref="CG462:CG463" si="1398">"47.5"</f>
        <v>47.5</v>
      </c>
      <c r="CH462" s="15" t="str">
        <f t="shared" ref="CH462:CH463" si="1399">"1.345"</f>
        <v>1.345</v>
      </c>
      <c r="CI462" s="15" t="s">
        <v>497</v>
      </c>
      <c r="CZ462" s="15" t="s">
        <v>418</v>
      </c>
      <c r="DA462" s="15">
        <v>3.0</v>
      </c>
      <c r="DB462" s="15" t="s">
        <v>419</v>
      </c>
      <c r="DD462" s="15">
        <v>0.0</v>
      </c>
      <c r="DF462" s="15" t="s">
        <v>420</v>
      </c>
      <c r="DG462" s="15" t="s">
        <v>421</v>
      </c>
      <c r="DK462" s="15">
        <v>0.0</v>
      </c>
      <c r="DR462" s="15" t="s">
        <v>4768</v>
      </c>
      <c r="DS462" s="15" t="s">
        <v>5600</v>
      </c>
      <c r="DU462" s="15" t="s">
        <v>500</v>
      </c>
      <c r="EF462" s="15" t="s">
        <v>555</v>
      </c>
      <c r="EH462" s="15" t="s">
        <v>5601</v>
      </c>
      <c r="EQ462" s="15" t="s">
        <v>555</v>
      </c>
      <c r="ER462" s="15" t="s">
        <v>4947</v>
      </c>
      <c r="ES462" s="15" t="s">
        <v>1957</v>
      </c>
      <c r="ET462" s="15" t="s">
        <v>1957</v>
      </c>
      <c r="EV462" s="15">
        <v>0.0</v>
      </c>
      <c r="FE462" s="15" t="s">
        <v>555</v>
      </c>
      <c r="FQ462" s="15">
        <v>0.0</v>
      </c>
      <c r="FR462" s="15" t="s">
        <v>427</v>
      </c>
      <c r="FZ462" s="15" t="s">
        <v>1933</v>
      </c>
      <c r="GB462" s="15" t="s">
        <v>2162</v>
      </c>
      <c r="GD462" s="15" t="s">
        <v>5602</v>
      </c>
      <c r="GF462" s="15" t="s">
        <v>431</v>
      </c>
      <c r="GH462" s="15" t="s">
        <v>764</v>
      </c>
      <c r="GM462" s="15">
        <v>0.0</v>
      </c>
      <c r="HP462" s="15" t="s">
        <v>426</v>
      </c>
    </row>
    <row r="463" ht="17.25" customHeight="1">
      <c r="A463" s="15" t="s">
        <v>5605</v>
      </c>
      <c r="B463" s="15" t="str">
        <f>"801542792985"</f>
        <v>801542792985</v>
      </c>
      <c r="C463" s="15" t="s">
        <v>16723</v>
      </c>
      <c r="D463" s="15" t="str">
        <f t="shared" si="1"/>
        <v>Henry DeskRustic Grey Veneer</v>
      </c>
      <c r="E463" s="15" t="s">
        <v>5587</v>
      </c>
      <c r="F463" s="15" t="s">
        <v>397</v>
      </c>
      <c r="G463" s="15" t="s">
        <v>5604</v>
      </c>
      <c r="J463" s="15" t="s">
        <v>5604</v>
      </c>
      <c r="M463" s="15" t="s">
        <v>2759</v>
      </c>
      <c r="N463" s="15" t="s">
        <v>2134</v>
      </c>
      <c r="O463" s="15" t="s">
        <v>2171</v>
      </c>
      <c r="P463" s="15" t="str">
        <f t="shared" si="1389"/>
        <v>70</v>
      </c>
      <c r="Q463" s="15" t="str">
        <f t="shared" si="1388"/>
        <v>25</v>
      </c>
      <c r="R463" s="15" t="str">
        <f t="shared" si="1390"/>
        <v>31</v>
      </c>
      <c r="S463" s="15" t="str">
        <f t="shared" si="1391"/>
        <v>156.53</v>
      </c>
      <c r="T463" s="15" t="s">
        <v>5593</v>
      </c>
      <c r="U463" s="15" t="s">
        <v>10881</v>
      </c>
      <c r="V463" s="15" t="s">
        <v>13534</v>
      </c>
      <c r="AA463" s="15" t="s">
        <v>413</v>
      </c>
      <c r="AB463" s="15" t="s">
        <v>413</v>
      </c>
      <c r="AC463" s="15" t="s">
        <v>5607</v>
      </c>
      <c r="AD463" s="15" t="s">
        <v>16724</v>
      </c>
      <c r="AE463" s="15" t="s">
        <v>5606</v>
      </c>
      <c r="AF463" s="15" t="s">
        <v>16725</v>
      </c>
      <c r="AG463" s="15" t="s">
        <v>16726</v>
      </c>
      <c r="AH463" s="15" t="s">
        <v>16727</v>
      </c>
      <c r="AI463" s="15" t="s">
        <v>16728</v>
      </c>
      <c r="AJ463" s="15" t="s">
        <v>16729</v>
      </c>
      <c r="AK463" s="15" t="s">
        <v>16730</v>
      </c>
      <c r="AL463" s="15" t="s">
        <v>16731</v>
      </c>
      <c r="AM463" s="15" t="s">
        <v>16732</v>
      </c>
      <c r="AN463" s="15" t="s">
        <v>16733</v>
      </c>
      <c r="AO463" s="15" t="s">
        <v>16734</v>
      </c>
      <c r="AP463" s="15" t="s">
        <v>16735</v>
      </c>
      <c r="AQ463" s="15" t="s">
        <v>16736</v>
      </c>
      <c r="AR463" s="15" t="s">
        <v>16737</v>
      </c>
      <c r="BH463" s="15" t="s">
        <v>5603</v>
      </c>
      <c r="BI463" s="15" t="str">
        <f t="shared" si="1392"/>
        <v>2799</v>
      </c>
      <c r="BJ463" s="15" t="str">
        <f t="shared" si="1393"/>
        <v>1180</v>
      </c>
      <c r="BK463" s="15" t="s">
        <v>742</v>
      </c>
      <c r="BL463" s="15" t="str">
        <f t="shared" si="1338"/>
        <v>1</v>
      </c>
      <c r="BM463" s="15" t="s">
        <v>5596</v>
      </c>
      <c r="BN463" s="15" t="str">
        <f t="shared" si="1394"/>
        <v>73.5</v>
      </c>
      <c r="BO463" s="15" t="str">
        <f t="shared" si="1395"/>
        <v>28.74</v>
      </c>
      <c r="BP463" s="15" t="str">
        <f t="shared" si="1396"/>
        <v>38.86</v>
      </c>
      <c r="BQ463" s="15" t="str">
        <f t="shared" si="1397"/>
        <v>222.67</v>
      </c>
      <c r="CG463" s="15" t="str">
        <f t="shared" si="1398"/>
        <v>47.5</v>
      </c>
      <c r="CH463" s="15" t="str">
        <f t="shared" si="1399"/>
        <v>1.345</v>
      </c>
      <c r="CI463" s="15" t="s">
        <v>497</v>
      </c>
      <c r="CZ463" s="15" t="s">
        <v>418</v>
      </c>
      <c r="DA463" s="15">
        <v>3.0</v>
      </c>
      <c r="DB463" s="15" t="s">
        <v>419</v>
      </c>
      <c r="DD463" s="15">
        <v>0.0</v>
      </c>
      <c r="DF463" s="15" t="s">
        <v>420</v>
      </c>
      <c r="DG463" s="15" t="s">
        <v>421</v>
      </c>
      <c r="DK463" s="15">
        <v>0.0</v>
      </c>
      <c r="DR463" s="15" t="s">
        <v>4768</v>
      </c>
      <c r="DS463" s="15" t="s">
        <v>5600</v>
      </c>
      <c r="DU463" s="15" t="s">
        <v>500</v>
      </c>
      <c r="EF463" s="15" t="s">
        <v>555</v>
      </c>
      <c r="EH463" s="15" t="s">
        <v>5601</v>
      </c>
      <c r="EQ463" s="15" t="s">
        <v>555</v>
      </c>
      <c r="ER463" s="15" t="s">
        <v>4947</v>
      </c>
      <c r="ES463" s="15" t="s">
        <v>1957</v>
      </c>
      <c r="ET463" s="15" t="s">
        <v>1957</v>
      </c>
      <c r="EV463" s="15">
        <v>0.0</v>
      </c>
      <c r="FE463" s="15" t="s">
        <v>555</v>
      </c>
      <c r="FQ463" s="15">
        <v>0.0</v>
      </c>
      <c r="FR463" s="15" t="s">
        <v>427</v>
      </c>
      <c r="FZ463" s="15" t="s">
        <v>1933</v>
      </c>
      <c r="GB463" s="15" t="s">
        <v>2162</v>
      </c>
      <c r="GD463" s="15" t="s">
        <v>5602</v>
      </c>
      <c r="GF463" s="15" t="s">
        <v>431</v>
      </c>
      <c r="GH463" s="15" t="s">
        <v>764</v>
      </c>
      <c r="GM463" s="15">
        <v>0.0</v>
      </c>
      <c r="HP463" s="15" t="s">
        <v>426</v>
      </c>
    </row>
    <row r="464" ht="17.25" customHeight="1">
      <c r="A464" s="15" t="s">
        <v>5610</v>
      </c>
      <c r="B464" s="15" t="str">
        <f>"801542000080"</f>
        <v>801542000080</v>
      </c>
      <c r="C464" s="15" t="s">
        <v>16738</v>
      </c>
      <c r="D464" s="15" t="str">
        <f t="shared" si="1"/>
        <v>Henry Dining TableRustic Grey Veneer</v>
      </c>
      <c r="E464" s="15" t="s">
        <v>5608</v>
      </c>
      <c r="F464" s="15" t="s">
        <v>397</v>
      </c>
      <c r="G464" s="15" t="s">
        <v>5604</v>
      </c>
      <c r="J464" s="15" t="s">
        <v>5604</v>
      </c>
      <c r="M464" s="15" t="s">
        <v>2759</v>
      </c>
      <c r="N464" s="15" t="s">
        <v>548</v>
      </c>
      <c r="O464" s="15" t="s">
        <v>549</v>
      </c>
      <c r="P464" s="15" t="str">
        <f>"94"</f>
        <v>94</v>
      </c>
      <c r="Q464" s="15" t="str">
        <f>"42"</f>
        <v>42</v>
      </c>
      <c r="R464" s="15" t="str">
        <f t="shared" ref="R464:R465" si="1400">"30"</f>
        <v>30</v>
      </c>
      <c r="S464" s="15" t="str">
        <f>"185.19"</f>
        <v>185.19</v>
      </c>
      <c r="T464" s="15" t="s">
        <v>5593</v>
      </c>
      <c r="U464" s="15" t="s">
        <v>10881</v>
      </c>
      <c r="V464" s="15" t="s">
        <v>13534</v>
      </c>
      <c r="AA464" s="15" t="s">
        <v>413</v>
      </c>
      <c r="AB464" s="15" t="s">
        <v>413</v>
      </c>
      <c r="AC464" s="15" t="s">
        <v>5613</v>
      </c>
      <c r="AD464" s="15" t="s">
        <v>16739</v>
      </c>
      <c r="AE464" s="15" t="s">
        <v>5612</v>
      </c>
      <c r="AF464" s="15" t="s">
        <v>16740</v>
      </c>
      <c r="AG464" s="15" t="s">
        <v>16741</v>
      </c>
      <c r="AH464" s="15" t="s">
        <v>16742</v>
      </c>
      <c r="AI464" s="15" t="s">
        <v>16743</v>
      </c>
      <c r="AJ464" s="15" t="s">
        <v>16744</v>
      </c>
      <c r="AK464" s="15" t="s">
        <v>16745</v>
      </c>
      <c r="AL464" s="15" t="s">
        <v>16746</v>
      </c>
      <c r="AM464" s="15" t="s">
        <v>16747</v>
      </c>
      <c r="AN464" s="15" t="s">
        <v>16748</v>
      </c>
      <c r="AO464" s="15" t="s">
        <v>16749</v>
      </c>
      <c r="AP464" s="15" t="s">
        <v>16750</v>
      </c>
      <c r="BH464" s="15" t="s">
        <v>5609</v>
      </c>
      <c r="BI464" s="15" t="str">
        <f>"3399"</f>
        <v>3399</v>
      </c>
      <c r="BJ464" s="15" t="str">
        <f>"1430"</f>
        <v>1430</v>
      </c>
      <c r="BK464" s="15" t="s">
        <v>742</v>
      </c>
      <c r="BL464" s="15" t="str">
        <f>"2"</f>
        <v>2</v>
      </c>
      <c r="BM464" s="15" t="s">
        <v>1564</v>
      </c>
      <c r="BN464" s="15" t="str">
        <f>"98.62"</f>
        <v>98.62</v>
      </c>
      <c r="BO464" s="15" t="str">
        <f>"7.09"</f>
        <v>7.09</v>
      </c>
      <c r="BP464" s="15" t="str">
        <f>"40.47"</f>
        <v>40.47</v>
      </c>
      <c r="BQ464" s="15" t="str">
        <f>"123.46"</f>
        <v>123.46</v>
      </c>
      <c r="BR464" s="15" t="s">
        <v>5617</v>
      </c>
      <c r="BS464" s="15" t="str">
        <f>"99.61"</f>
        <v>99.61</v>
      </c>
      <c r="BT464" s="15" t="str">
        <f>"12.6"</f>
        <v>12.6</v>
      </c>
      <c r="BU464" s="15" t="str">
        <f>"36.42"</f>
        <v>36.42</v>
      </c>
      <c r="BV464" s="15" t="str">
        <f>"141.1"</f>
        <v>141.1</v>
      </c>
      <c r="CG464" s="15" t="str">
        <f>"42.84"</f>
        <v>42.84</v>
      </c>
      <c r="CH464" s="15" t="str">
        <f>"1.213"</f>
        <v>1.213</v>
      </c>
      <c r="CI464" s="15" t="s">
        <v>465</v>
      </c>
      <c r="CZ464" s="15" t="s">
        <v>419</v>
      </c>
      <c r="DA464" s="15">
        <v>0.0</v>
      </c>
      <c r="DB464" s="15" t="s">
        <v>419</v>
      </c>
      <c r="DD464" s="15">
        <v>0.0</v>
      </c>
      <c r="DF464" s="15" t="s">
        <v>420</v>
      </c>
      <c r="DG464" s="15" t="s">
        <v>419</v>
      </c>
      <c r="DI464" s="15">
        <v>0.0</v>
      </c>
      <c r="DJ464" s="15">
        <v>0.0</v>
      </c>
      <c r="DK464" s="15">
        <v>0.0</v>
      </c>
      <c r="DQ464" s="15">
        <v>10.0</v>
      </c>
      <c r="DR464" s="15" t="s">
        <v>471</v>
      </c>
      <c r="DS464" s="15" t="s">
        <v>5600</v>
      </c>
      <c r="DU464" s="15" t="s">
        <v>424</v>
      </c>
      <c r="EF464" s="15" t="s">
        <v>987</v>
      </c>
      <c r="EG464" s="15" t="s">
        <v>5619</v>
      </c>
      <c r="EH464" s="15" t="s">
        <v>5620</v>
      </c>
      <c r="EQ464" s="15" t="s">
        <v>2603</v>
      </c>
      <c r="ER464" s="15" t="s">
        <v>558</v>
      </c>
      <c r="ES464" s="15" t="s">
        <v>5621</v>
      </c>
      <c r="ET464" s="15" t="s">
        <v>5622</v>
      </c>
      <c r="EU464" s="15" t="s">
        <v>426</v>
      </c>
      <c r="EV464" s="15">
        <v>0.0</v>
      </c>
      <c r="EW464" s="15">
        <v>0.0</v>
      </c>
      <c r="FE464" s="15" t="s">
        <v>987</v>
      </c>
      <c r="FG464" s="15" t="s">
        <v>559</v>
      </c>
    </row>
    <row r="465" ht="17.25" customHeight="1">
      <c r="A465" s="15" t="s">
        <v>5625</v>
      </c>
      <c r="B465" s="15" t="str">
        <f>"801542792992"</f>
        <v>801542792992</v>
      </c>
      <c r="C465" s="15" t="s">
        <v>16751</v>
      </c>
      <c r="D465" s="15" t="str">
        <f t="shared" si="1"/>
        <v>Henry SideboardRustic Grey Veneer</v>
      </c>
      <c r="E465" s="15" t="s">
        <v>5623</v>
      </c>
      <c r="F465" s="15" t="s">
        <v>397</v>
      </c>
      <c r="G465" s="15" t="s">
        <v>5604</v>
      </c>
      <c r="J465" s="15" t="s">
        <v>5604</v>
      </c>
      <c r="M465" s="15" t="s">
        <v>2759</v>
      </c>
      <c r="N465" s="15" t="s">
        <v>664</v>
      </c>
      <c r="P465" s="15" t="str">
        <f t="shared" ref="P465:P466" si="1401">"80"</f>
        <v>80</v>
      </c>
      <c r="Q465" s="15" t="str">
        <f>"20"</f>
        <v>20</v>
      </c>
      <c r="R465" s="15" t="str">
        <f t="shared" si="1400"/>
        <v>30</v>
      </c>
      <c r="S465" s="15" t="str">
        <f>"229.28"</f>
        <v>229.28</v>
      </c>
      <c r="T465" s="15" t="s">
        <v>5593</v>
      </c>
      <c r="U465" s="15" t="s">
        <v>10881</v>
      </c>
      <c r="V465" s="15" t="s">
        <v>13534</v>
      </c>
      <c r="AA465" s="15" t="s">
        <v>413</v>
      </c>
      <c r="AB465" s="15" t="s">
        <v>413</v>
      </c>
      <c r="AC465" s="15" t="s">
        <v>5628</v>
      </c>
      <c r="AD465" s="15" t="s">
        <v>16752</v>
      </c>
      <c r="AE465" s="15" t="s">
        <v>5627</v>
      </c>
      <c r="AF465" s="15" t="s">
        <v>16753</v>
      </c>
      <c r="AG465" s="15" t="s">
        <v>16754</v>
      </c>
      <c r="AH465" s="15" t="s">
        <v>16755</v>
      </c>
      <c r="AI465" s="15" t="s">
        <v>16756</v>
      </c>
      <c r="AJ465" s="15" t="s">
        <v>16757</v>
      </c>
      <c r="AK465" s="15" t="s">
        <v>16758</v>
      </c>
      <c r="AL465" s="15" t="s">
        <v>16759</v>
      </c>
      <c r="AM465" s="15" t="s">
        <v>16760</v>
      </c>
      <c r="AN465" s="15" t="s">
        <v>16761</v>
      </c>
      <c r="AO465" s="15" t="s">
        <v>16762</v>
      </c>
      <c r="AP465" s="15" t="s">
        <v>16763</v>
      </c>
      <c r="AQ465" s="15" t="s">
        <v>16764</v>
      </c>
      <c r="AR465" s="15" t="s">
        <v>16765</v>
      </c>
      <c r="AS465" s="15" t="s">
        <v>16766</v>
      </c>
      <c r="AT465" s="15" t="s">
        <v>16767</v>
      </c>
      <c r="AU465" s="15" t="s">
        <v>16768</v>
      </c>
      <c r="AV465" s="15" t="s">
        <v>16769</v>
      </c>
      <c r="BH465" s="15" t="s">
        <v>5624</v>
      </c>
      <c r="BI465" s="15" t="str">
        <f t="shared" ref="BI465:BI466" si="1402">"3499"</f>
        <v>3499</v>
      </c>
      <c r="BJ465" s="15" t="str">
        <f t="shared" ref="BJ465:BJ466" si="1403">"1470"</f>
        <v>1470</v>
      </c>
      <c r="BK465" s="15" t="s">
        <v>742</v>
      </c>
      <c r="BL465" s="15" t="str">
        <f t="shared" ref="BL465:BL487" si="1404">"1"</f>
        <v>1</v>
      </c>
      <c r="BM465" s="15" t="s">
        <v>1455</v>
      </c>
      <c r="BN465" s="15" t="str">
        <f>"84"</f>
        <v>84</v>
      </c>
      <c r="BO465" s="15" t="str">
        <f>"23.5"</f>
        <v>23.5</v>
      </c>
      <c r="BP465" s="15" t="str">
        <f>"34.84"</f>
        <v>34.84</v>
      </c>
      <c r="BQ465" s="15" t="str">
        <f>"304.24"</f>
        <v>304.24</v>
      </c>
      <c r="CG465" s="15" t="str">
        <f>"39.8"</f>
        <v>39.8</v>
      </c>
      <c r="CH465" s="15" t="str">
        <f>"1.127"</f>
        <v>1.127</v>
      </c>
      <c r="CI465" s="15" t="s">
        <v>417</v>
      </c>
      <c r="CM465" s="15" t="s">
        <v>2766</v>
      </c>
      <c r="CN465" s="15" t="s">
        <v>1074</v>
      </c>
      <c r="CO465" s="15" t="s">
        <v>5631</v>
      </c>
      <c r="CZ465" s="15" t="s">
        <v>418</v>
      </c>
      <c r="DA465" s="15">
        <v>2.0</v>
      </c>
      <c r="DB465" s="15" t="s">
        <v>419</v>
      </c>
      <c r="DD465" s="15">
        <v>0.0</v>
      </c>
      <c r="DF465" s="15" t="s">
        <v>420</v>
      </c>
      <c r="DG465" s="15" t="s">
        <v>610</v>
      </c>
      <c r="DI465" s="15">
        <v>18.14</v>
      </c>
      <c r="DJ465" s="15">
        <v>40.0</v>
      </c>
      <c r="DK465" s="15">
        <v>2.0</v>
      </c>
      <c r="DS465" s="15" t="s">
        <v>5600</v>
      </c>
      <c r="DU465" s="15" t="s">
        <v>424</v>
      </c>
      <c r="EF465" s="15" t="s">
        <v>2603</v>
      </c>
      <c r="EU465" s="15" t="s">
        <v>426</v>
      </c>
      <c r="EV465" s="15">
        <v>2.0</v>
      </c>
      <c r="FH465" s="15" t="s">
        <v>5632</v>
      </c>
      <c r="FI465" s="15" t="s">
        <v>782</v>
      </c>
      <c r="FJ465" s="15" t="s">
        <v>5633</v>
      </c>
      <c r="FK465" s="15" t="s">
        <v>2766</v>
      </c>
      <c r="FL465" s="15" t="s">
        <v>4469</v>
      </c>
      <c r="FM465" s="15" t="s">
        <v>5631</v>
      </c>
      <c r="FN465" s="15">
        <v>0.0</v>
      </c>
      <c r="FO465" s="15" t="s">
        <v>426</v>
      </c>
      <c r="FQ465" s="15">
        <v>2.0</v>
      </c>
      <c r="FR465" s="15" t="s">
        <v>614</v>
      </c>
      <c r="FS465" s="15" t="s">
        <v>1045</v>
      </c>
      <c r="FT465" s="15">
        <v>0.0</v>
      </c>
      <c r="FU465" s="15" t="s">
        <v>426</v>
      </c>
      <c r="FW465" s="15" t="s">
        <v>616</v>
      </c>
      <c r="FZ465" s="15" t="s">
        <v>1933</v>
      </c>
      <c r="GB465" s="15" t="s">
        <v>5634</v>
      </c>
      <c r="GD465" s="15" t="s">
        <v>5635</v>
      </c>
      <c r="GF465" s="15" t="s">
        <v>431</v>
      </c>
      <c r="HF465" s="15" t="s">
        <v>789</v>
      </c>
      <c r="HQ465" s="15" t="s">
        <v>426</v>
      </c>
      <c r="JO465" s="15" t="s">
        <v>2766</v>
      </c>
    </row>
    <row r="466" ht="17.25" customHeight="1">
      <c r="A466" s="15" t="s">
        <v>5639</v>
      </c>
      <c r="B466" s="15" t="str">
        <f>"198394058551"</f>
        <v>198394058551</v>
      </c>
      <c r="C466" s="15" t="s">
        <v>16770</v>
      </c>
      <c r="D466" s="15" t="str">
        <f t="shared" si="1"/>
        <v>Hepburn Media ConsoleDark Anthracite Oak Veneer</v>
      </c>
      <c r="E466" s="15" t="s">
        <v>5636</v>
      </c>
      <c r="F466" s="15" t="s">
        <v>397</v>
      </c>
      <c r="G466" s="15" t="s">
        <v>5638</v>
      </c>
      <c r="J466" s="15" t="s">
        <v>5638</v>
      </c>
      <c r="K466" s="15" t="s">
        <v>4996</v>
      </c>
      <c r="M466" s="15" t="s">
        <v>1474</v>
      </c>
      <c r="N466" s="15" t="s">
        <v>602</v>
      </c>
      <c r="P466" s="15" t="str">
        <f t="shared" si="1401"/>
        <v>80</v>
      </c>
      <c r="Q466" s="15" t="str">
        <f t="shared" ref="Q466:Q469" si="1405">"18"</f>
        <v>18</v>
      </c>
      <c r="R466" s="15" t="str">
        <f>"28"</f>
        <v>28</v>
      </c>
      <c r="S466" s="15" t="str">
        <f>"152.12"</f>
        <v>152.12</v>
      </c>
      <c r="T466" s="15" t="s">
        <v>4955</v>
      </c>
      <c r="U466" s="15" t="s">
        <v>11553</v>
      </c>
      <c r="V466" s="15" t="s">
        <v>11338</v>
      </c>
      <c r="W466" s="15" t="s">
        <v>11139</v>
      </c>
      <c r="AA466" s="15" t="s">
        <v>413</v>
      </c>
      <c r="AB466" s="15" t="s">
        <v>413</v>
      </c>
      <c r="AC466" s="15" t="s">
        <v>5642</v>
      </c>
      <c r="AD466" s="15" t="s">
        <v>16771</v>
      </c>
      <c r="AE466" s="15" t="s">
        <v>5641</v>
      </c>
      <c r="AF466" s="15" t="s">
        <v>16772</v>
      </c>
      <c r="AG466" s="15" t="s">
        <v>16773</v>
      </c>
      <c r="AH466" s="15" t="s">
        <v>16774</v>
      </c>
      <c r="AI466" s="15" t="s">
        <v>16775</v>
      </c>
      <c r="AJ466" s="15" t="s">
        <v>16776</v>
      </c>
      <c r="AK466" s="15" t="s">
        <v>16777</v>
      </c>
      <c r="AL466" s="15" t="s">
        <v>16778</v>
      </c>
      <c r="AM466" s="15" t="s">
        <v>16779</v>
      </c>
      <c r="AN466" s="15" t="s">
        <v>16780</v>
      </c>
      <c r="AO466" s="15" t="s">
        <v>16781</v>
      </c>
      <c r="BH466" s="15" t="s">
        <v>5637</v>
      </c>
      <c r="BI466" s="15" t="str">
        <f t="shared" si="1402"/>
        <v>3499</v>
      </c>
      <c r="BJ466" s="15" t="str">
        <f t="shared" si="1403"/>
        <v>1470</v>
      </c>
      <c r="BK466" s="15" t="s">
        <v>709</v>
      </c>
      <c r="BL466" s="15" t="str">
        <f t="shared" si="1404"/>
        <v>1</v>
      </c>
      <c r="BM466" s="15" t="s">
        <v>416</v>
      </c>
      <c r="BN466" s="15" t="str">
        <f>"84.25"</f>
        <v>84.25</v>
      </c>
      <c r="BO466" s="15" t="str">
        <f>"21.26"</f>
        <v>21.26</v>
      </c>
      <c r="BP466" s="15" t="str">
        <f>"33.07"</f>
        <v>33.07</v>
      </c>
      <c r="BQ466" s="15" t="str">
        <f>"182.98"</f>
        <v>182.98</v>
      </c>
      <c r="CG466" s="15" t="str">
        <f>"34.29"</f>
        <v>34.29</v>
      </c>
      <c r="CH466" s="15" t="str">
        <f>"0.971"</f>
        <v>0.971</v>
      </c>
      <c r="CI466" s="15" t="s">
        <v>465</v>
      </c>
      <c r="CM466" s="15" t="s">
        <v>4918</v>
      </c>
      <c r="CN466" s="15" t="s">
        <v>525</v>
      </c>
      <c r="CO466" s="15" t="s">
        <v>5644</v>
      </c>
      <c r="CZ466" s="15" t="s">
        <v>419</v>
      </c>
      <c r="DA466" s="15">
        <v>0.0</v>
      </c>
      <c r="DB466" s="15" t="s">
        <v>419</v>
      </c>
      <c r="DD466" s="15">
        <v>0.0</v>
      </c>
      <c r="DF466" s="15" t="s">
        <v>721</v>
      </c>
      <c r="DG466" s="15" t="s">
        <v>610</v>
      </c>
      <c r="DI466" s="15">
        <v>18.14</v>
      </c>
      <c r="DJ466" s="15">
        <v>40.0</v>
      </c>
      <c r="DK466" s="15">
        <v>2.0</v>
      </c>
      <c r="DS466" s="15" t="s">
        <v>5645</v>
      </c>
      <c r="EF466" s="15" t="s">
        <v>1808</v>
      </c>
      <c r="EU466" s="15" t="s">
        <v>426</v>
      </c>
      <c r="EV466" s="15">
        <v>2.0</v>
      </c>
      <c r="FH466" s="15" t="s">
        <v>2732</v>
      </c>
      <c r="FI466" s="15" t="s">
        <v>1188</v>
      </c>
      <c r="FJ466" s="15" t="s">
        <v>5646</v>
      </c>
      <c r="FK466" s="15" t="s">
        <v>4918</v>
      </c>
      <c r="FL466" s="15" t="s">
        <v>784</v>
      </c>
      <c r="FM466" s="15" t="s">
        <v>5644</v>
      </c>
      <c r="FO466" s="15" t="s">
        <v>426</v>
      </c>
      <c r="FP466" s="15" t="s">
        <v>1044</v>
      </c>
      <c r="FQ466" s="15">
        <v>4.0</v>
      </c>
      <c r="FR466" s="15" t="s">
        <v>614</v>
      </c>
      <c r="FS466" s="15" t="s">
        <v>786</v>
      </c>
      <c r="FU466" s="15" t="s">
        <v>426</v>
      </c>
      <c r="FW466" s="15" t="s">
        <v>3722</v>
      </c>
      <c r="GJ466" s="15" t="s">
        <v>4918</v>
      </c>
      <c r="GK466" s="15" t="s">
        <v>525</v>
      </c>
      <c r="GL466" s="15" t="s">
        <v>5644</v>
      </c>
      <c r="GM466" s="15">
        <v>0.0</v>
      </c>
      <c r="HF466" s="15" t="s">
        <v>1807</v>
      </c>
      <c r="HQ466" s="15" t="s">
        <v>426</v>
      </c>
    </row>
    <row r="467" ht="17.25" customHeight="1">
      <c r="A467" s="15" t="s">
        <v>5650</v>
      </c>
      <c r="B467" s="15" t="str">
        <f>"801542013622"</f>
        <v>801542013622</v>
      </c>
      <c r="C467" s="15" t="s">
        <v>16782</v>
      </c>
      <c r="D467" s="15" t="str">
        <f t="shared" si="1"/>
        <v>Higgs BookcaseBrushed Ebony Oak Veneer</v>
      </c>
      <c r="E467" s="15" t="s">
        <v>5647</v>
      </c>
      <c r="F467" s="15" t="s">
        <v>397</v>
      </c>
      <c r="G467" s="15" t="s">
        <v>5649</v>
      </c>
      <c r="J467" s="15" t="s">
        <v>5649</v>
      </c>
      <c r="M467" s="15" t="s">
        <v>5652</v>
      </c>
      <c r="N467" s="15" t="s">
        <v>1899</v>
      </c>
      <c r="P467" s="15" t="str">
        <f t="shared" ref="P467:P468" si="1406">"34.5"</f>
        <v>34.5</v>
      </c>
      <c r="Q467" s="15" t="str">
        <f t="shared" si="1405"/>
        <v>18</v>
      </c>
      <c r="R467" s="15" t="str">
        <f t="shared" ref="R467:R468" si="1407">"84"</f>
        <v>84</v>
      </c>
      <c r="S467" s="15" t="str">
        <f t="shared" ref="S467:S468" si="1408">"194"</f>
        <v>194</v>
      </c>
      <c r="T467" s="15" t="s">
        <v>2354</v>
      </c>
      <c r="U467" s="15" t="s">
        <v>11553</v>
      </c>
      <c r="V467" s="15" t="s">
        <v>11338</v>
      </c>
      <c r="AA467" s="15" t="s">
        <v>413</v>
      </c>
      <c r="AB467" s="15" t="s">
        <v>413</v>
      </c>
      <c r="AC467" s="15" t="s">
        <v>5653</v>
      </c>
      <c r="AD467" s="15" t="s">
        <v>16783</v>
      </c>
      <c r="AE467" s="15" t="s">
        <v>5651</v>
      </c>
      <c r="AF467" s="15" t="s">
        <v>16784</v>
      </c>
      <c r="AG467" s="15" t="s">
        <v>16785</v>
      </c>
      <c r="AH467" s="15" t="s">
        <v>16786</v>
      </c>
      <c r="AI467" s="15" t="s">
        <v>16787</v>
      </c>
      <c r="AJ467" s="15" t="s">
        <v>16788</v>
      </c>
      <c r="AK467" s="15" t="s">
        <v>16789</v>
      </c>
      <c r="AL467" s="15" t="s">
        <v>16790</v>
      </c>
      <c r="AM467" s="15" t="s">
        <v>16791</v>
      </c>
      <c r="AN467" s="15" t="s">
        <v>16792</v>
      </c>
      <c r="AO467" s="15" t="s">
        <v>16793</v>
      </c>
      <c r="BH467" s="15" t="s">
        <v>5648</v>
      </c>
      <c r="BI467" s="15" t="str">
        <f t="shared" ref="BI467:BI468" si="1409">"1899"</f>
        <v>1899</v>
      </c>
      <c r="BJ467" s="15" t="str">
        <f t="shared" ref="BJ467:BJ468" si="1410">"800"</f>
        <v>800</v>
      </c>
      <c r="BK467" s="15" t="s">
        <v>742</v>
      </c>
      <c r="BL467" s="15" t="str">
        <f t="shared" si="1404"/>
        <v>1</v>
      </c>
      <c r="BM467" s="15" t="s">
        <v>4803</v>
      </c>
      <c r="BN467" s="15" t="str">
        <f t="shared" ref="BN467:BN468" si="1411">"39.17"</f>
        <v>39.17</v>
      </c>
      <c r="BO467" s="15" t="str">
        <f t="shared" ref="BO467:BO468" si="1412">"22.05"</f>
        <v>22.05</v>
      </c>
      <c r="BP467" s="15" t="str">
        <f t="shared" ref="BP467:BP468" si="1413">"90.94"</f>
        <v>90.94</v>
      </c>
      <c r="BQ467" s="15" t="str">
        <f t="shared" ref="BQ467:BQ468" si="1414">"235.89"</f>
        <v>235.89</v>
      </c>
      <c r="CG467" s="15" t="str">
        <f t="shared" ref="CG467:CG468" si="1415">"45.45"</f>
        <v>45.45</v>
      </c>
      <c r="CH467" s="15" t="str">
        <f t="shared" ref="CH467:CH468" si="1416">"1.287"</f>
        <v>1.287</v>
      </c>
      <c r="CI467" s="15" t="s">
        <v>465</v>
      </c>
      <c r="CJ467" s="15" t="s">
        <v>4180</v>
      </c>
      <c r="CK467" s="15" t="s">
        <v>1042</v>
      </c>
      <c r="CL467" s="15" t="s">
        <v>5654</v>
      </c>
      <c r="CM467" s="15" t="s">
        <v>4180</v>
      </c>
      <c r="CN467" s="15" t="s">
        <v>3720</v>
      </c>
      <c r="CO467" s="15" t="s">
        <v>5654</v>
      </c>
      <c r="CZ467" s="15" t="s">
        <v>419</v>
      </c>
      <c r="DA467" s="15">
        <v>0.0</v>
      </c>
      <c r="DB467" s="15" t="s">
        <v>419</v>
      </c>
      <c r="DD467" s="15">
        <v>2.0</v>
      </c>
      <c r="DE467" s="15" t="s">
        <v>426</v>
      </c>
      <c r="DF467" s="15" t="s">
        <v>1509</v>
      </c>
      <c r="DG467" s="15" t="s">
        <v>1914</v>
      </c>
      <c r="DI467" s="15">
        <v>18.14</v>
      </c>
      <c r="DJ467" s="15">
        <v>40.0</v>
      </c>
      <c r="DK467" s="15">
        <v>2.0</v>
      </c>
      <c r="DR467" s="15" t="s">
        <v>1906</v>
      </c>
      <c r="DS467" s="15" t="s">
        <v>5655</v>
      </c>
      <c r="EU467" s="15" t="s">
        <v>426</v>
      </c>
      <c r="EV467" s="15">
        <v>3.0</v>
      </c>
      <c r="FK467" s="15" t="s">
        <v>4180</v>
      </c>
      <c r="FL467" s="15" t="s">
        <v>1042</v>
      </c>
      <c r="FM467" s="15" t="s">
        <v>5654</v>
      </c>
      <c r="FQ467" s="15">
        <v>0.0</v>
      </c>
      <c r="FR467" s="15" t="s">
        <v>427</v>
      </c>
      <c r="FU467" s="15" t="s">
        <v>426</v>
      </c>
      <c r="GJ467" s="15" t="s">
        <v>4180</v>
      </c>
      <c r="GK467" s="15" t="s">
        <v>3720</v>
      </c>
      <c r="GL467" s="15" t="s">
        <v>5654</v>
      </c>
      <c r="GZ467" s="15" t="s">
        <v>4180</v>
      </c>
      <c r="HB467" s="15" t="s">
        <v>1425</v>
      </c>
      <c r="HD467" s="15" t="s">
        <v>5654</v>
      </c>
      <c r="HQ467" s="15" t="s">
        <v>426</v>
      </c>
      <c r="JR467" s="15" t="s">
        <v>1957</v>
      </c>
    </row>
    <row r="468" ht="17.25" customHeight="1">
      <c r="A468" s="15" t="s">
        <v>5658</v>
      </c>
      <c r="B468" s="15" t="str">
        <f>"801542624392"</f>
        <v>801542624392</v>
      </c>
      <c r="C468" s="15" t="s">
        <v>16794</v>
      </c>
      <c r="D468" s="15" t="str">
        <f t="shared" si="1"/>
        <v>Higgs BookcaseHoney Oak Veneer</v>
      </c>
      <c r="E468" s="15" t="s">
        <v>5647</v>
      </c>
      <c r="F468" s="15" t="s">
        <v>397</v>
      </c>
      <c r="G468" s="15" t="s">
        <v>5657</v>
      </c>
      <c r="J468" s="15" t="s">
        <v>5657</v>
      </c>
      <c r="M468" s="15" t="s">
        <v>5652</v>
      </c>
      <c r="N468" s="15" t="s">
        <v>1899</v>
      </c>
      <c r="P468" s="15" t="str">
        <f t="shared" si="1406"/>
        <v>34.5</v>
      </c>
      <c r="Q468" s="15" t="str">
        <f t="shared" si="1405"/>
        <v>18</v>
      </c>
      <c r="R468" s="15" t="str">
        <f t="shared" si="1407"/>
        <v>84</v>
      </c>
      <c r="S468" s="15" t="str">
        <f t="shared" si="1408"/>
        <v>194</v>
      </c>
      <c r="T468" s="15" t="s">
        <v>2354</v>
      </c>
      <c r="U468" s="15" t="s">
        <v>11553</v>
      </c>
      <c r="V468" s="15" t="s">
        <v>11338</v>
      </c>
      <c r="AA468" s="15" t="s">
        <v>413</v>
      </c>
      <c r="AB468" s="15" t="s">
        <v>413</v>
      </c>
      <c r="AC468" s="15" t="s">
        <v>5660</v>
      </c>
      <c r="AD468" s="15" t="s">
        <v>16795</v>
      </c>
      <c r="AE468" s="15" t="s">
        <v>5659</v>
      </c>
      <c r="AF468" s="15" t="s">
        <v>16796</v>
      </c>
      <c r="AG468" s="15" t="s">
        <v>16797</v>
      </c>
      <c r="AH468" s="15" t="s">
        <v>16798</v>
      </c>
      <c r="AI468" s="15" t="s">
        <v>16799</v>
      </c>
      <c r="AJ468" s="15" t="s">
        <v>16800</v>
      </c>
      <c r="AK468" s="15" t="s">
        <v>16801</v>
      </c>
      <c r="AL468" s="15" t="s">
        <v>16802</v>
      </c>
      <c r="AM468" s="15" t="s">
        <v>16803</v>
      </c>
      <c r="AN468" s="15" t="s">
        <v>16804</v>
      </c>
      <c r="AO468" s="15" t="s">
        <v>16805</v>
      </c>
      <c r="AP468" s="15" t="s">
        <v>16806</v>
      </c>
      <c r="BH468" s="15" t="s">
        <v>5656</v>
      </c>
      <c r="BI468" s="15" t="str">
        <f t="shared" si="1409"/>
        <v>1899</v>
      </c>
      <c r="BJ468" s="15" t="str">
        <f t="shared" si="1410"/>
        <v>800</v>
      </c>
      <c r="BK468" s="15" t="s">
        <v>742</v>
      </c>
      <c r="BL468" s="15" t="str">
        <f t="shared" si="1404"/>
        <v>1</v>
      </c>
      <c r="BM468" s="15" t="s">
        <v>4803</v>
      </c>
      <c r="BN468" s="15" t="str">
        <f t="shared" si="1411"/>
        <v>39.17</v>
      </c>
      <c r="BO468" s="15" t="str">
        <f t="shared" si="1412"/>
        <v>22.05</v>
      </c>
      <c r="BP468" s="15" t="str">
        <f t="shared" si="1413"/>
        <v>90.94</v>
      </c>
      <c r="BQ468" s="15" t="str">
        <f t="shared" si="1414"/>
        <v>235.89</v>
      </c>
      <c r="CG468" s="15" t="str">
        <f t="shared" si="1415"/>
        <v>45.45</v>
      </c>
      <c r="CH468" s="15" t="str">
        <f t="shared" si="1416"/>
        <v>1.287</v>
      </c>
      <c r="CI468" s="15" t="s">
        <v>497</v>
      </c>
      <c r="CJ468" s="15" t="s">
        <v>4180</v>
      </c>
      <c r="CK468" s="15" t="s">
        <v>1042</v>
      </c>
      <c r="CL468" s="15" t="s">
        <v>5654</v>
      </c>
      <c r="CM468" s="15" t="s">
        <v>4180</v>
      </c>
      <c r="CN468" s="15" t="s">
        <v>3720</v>
      </c>
      <c r="CO468" s="15" t="s">
        <v>5654</v>
      </c>
      <c r="CZ468" s="15" t="s">
        <v>419</v>
      </c>
      <c r="DA468" s="15">
        <v>0.0</v>
      </c>
      <c r="DB468" s="15" t="s">
        <v>419</v>
      </c>
      <c r="DD468" s="15">
        <v>2.0</v>
      </c>
      <c r="DE468" s="15" t="s">
        <v>426</v>
      </c>
      <c r="DF468" s="15" t="s">
        <v>1509</v>
      </c>
      <c r="DG468" s="15" t="s">
        <v>1914</v>
      </c>
      <c r="DI468" s="15">
        <v>18.14</v>
      </c>
      <c r="DJ468" s="15">
        <v>40.0</v>
      </c>
      <c r="DK468" s="15">
        <v>2.0</v>
      </c>
      <c r="DR468" s="15" t="s">
        <v>1906</v>
      </c>
      <c r="DS468" s="15" t="s">
        <v>5655</v>
      </c>
      <c r="EU468" s="15" t="s">
        <v>426</v>
      </c>
      <c r="EV468" s="15">
        <v>3.0</v>
      </c>
      <c r="FK468" s="15" t="s">
        <v>4180</v>
      </c>
      <c r="FL468" s="15" t="s">
        <v>1042</v>
      </c>
      <c r="FM468" s="15" t="s">
        <v>5654</v>
      </c>
      <c r="FQ468" s="15">
        <v>0.0</v>
      </c>
      <c r="FR468" s="15" t="s">
        <v>427</v>
      </c>
      <c r="FU468" s="15" t="s">
        <v>426</v>
      </c>
      <c r="GJ468" s="15" t="s">
        <v>4180</v>
      </c>
      <c r="GK468" s="15" t="s">
        <v>3720</v>
      </c>
      <c r="GL468" s="15" t="s">
        <v>5654</v>
      </c>
      <c r="GZ468" s="15" t="s">
        <v>4180</v>
      </c>
      <c r="HB468" s="15" t="s">
        <v>1425</v>
      </c>
      <c r="HD468" s="15" t="s">
        <v>5654</v>
      </c>
      <c r="HQ468" s="15" t="s">
        <v>426</v>
      </c>
      <c r="JR468" s="15" t="s">
        <v>1957</v>
      </c>
    </row>
    <row r="469" ht="17.25" customHeight="1">
      <c r="A469" s="15" t="s">
        <v>5664</v>
      </c>
      <c r="B469" s="15" t="str">
        <f>"801542119829"</f>
        <v>801542119829</v>
      </c>
      <c r="C469" s="15" t="s">
        <v>16807</v>
      </c>
      <c r="D469" s="15" t="str">
        <f t="shared" si="1"/>
        <v>Hitchens Media ConsoleWorn Black</v>
      </c>
      <c r="E469" s="15" t="s">
        <v>5661</v>
      </c>
      <c r="F469" s="15" t="s">
        <v>397</v>
      </c>
      <c r="G469" s="15" t="s">
        <v>5663</v>
      </c>
      <c r="J469" s="15" t="s">
        <v>5663</v>
      </c>
      <c r="K469" s="15" t="s">
        <v>2613</v>
      </c>
      <c r="M469" s="15" t="s">
        <v>2612</v>
      </c>
      <c r="N469" s="15" t="s">
        <v>602</v>
      </c>
      <c r="P469" s="15" t="str">
        <f>"76"</f>
        <v>76</v>
      </c>
      <c r="Q469" s="15" t="str">
        <f t="shared" si="1405"/>
        <v>18</v>
      </c>
      <c r="R469" s="15" t="str">
        <f>"30"</f>
        <v>30</v>
      </c>
      <c r="S469" s="15" t="str">
        <f>"105.38"</f>
        <v>105.38</v>
      </c>
      <c r="T469" s="15" t="s">
        <v>2611</v>
      </c>
      <c r="U469" s="15" t="s">
        <v>11386</v>
      </c>
      <c r="V469" s="15" t="s">
        <v>12930</v>
      </c>
      <c r="AA469" s="15" t="s">
        <v>413</v>
      </c>
      <c r="AB469" s="15" t="s">
        <v>413</v>
      </c>
      <c r="AC469" s="15" t="s">
        <v>5668</v>
      </c>
      <c r="AD469" s="15" t="s">
        <v>16808</v>
      </c>
      <c r="AE469" s="15" t="s">
        <v>5665</v>
      </c>
      <c r="AF469" s="15" t="s">
        <v>16809</v>
      </c>
      <c r="AG469" s="15" t="s">
        <v>16810</v>
      </c>
      <c r="AH469" s="15" t="s">
        <v>16811</v>
      </c>
      <c r="AI469" s="15" t="s">
        <v>16812</v>
      </c>
      <c r="AJ469" s="15" t="s">
        <v>16813</v>
      </c>
      <c r="AK469" s="15" t="s">
        <v>16814</v>
      </c>
      <c r="AL469" s="15" t="s">
        <v>16815</v>
      </c>
      <c r="AM469" s="15" t="s">
        <v>16816</v>
      </c>
      <c r="AN469" s="15" t="s">
        <v>16817</v>
      </c>
      <c r="AO469" s="15" t="s">
        <v>16818</v>
      </c>
      <c r="AP469" s="15" t="s">
        <v>16819</v>
      </c>
      <c r="BH469" s="15" t="s">
        <v>5662</v>
      </c>
      <c r="BI469" s="15" t="str">
        <f>"2799"</f>
        <v>2799</v>
      </c>
      <c r="BJ469" s="15" t="str">
        <f>"1180"</f>
        <v>1180</v>
      </c>
      <c r="BK469" s="15" t="s">
        <v>709</v>
      </c>
      <c r="BL469" s="15" t="str">
        <f t="shared" si="1404"/>
        <v>1</v>
      </c>
      <c r="BM469" s="15" t="s">
        <v>5669</v>
      </c>
      <c r="BN469" s="15" t="str">
        <f>"80.71"</f>
        <v>80.71</v>
      </c>
      <c r="BO469" s="15" t="str">
        <f>"22.83"</f>
        <v>22.83</v>
      </c>
      <c r="BP469" s="15" t="str">
        <f>"34.25"</f>
        <v>34.25</v>
      </c>
      <c r="BQ469" s="15" t="str">
        <f>"134.48"</f>
        <v>134.48</v>
      </c>
      <c r="CG469" s="15" t="str">
        <f>"36.52"</f>
        <v>36.52</v>
      </c>
      <c r="CH469" s="15" t="str">
        <f>"1.034"</f>
        <v>1.034</v>
      </c>
      <c r="CI469" s="15" t="s">
        <v>497</v>
      </c>
      <c r="CM469" s="15" t="s">
        <v>2179</v>
      </c>
      <c r="CN469" s="15" t="s">
        <v>1331</v>
      </c>
      <c r="CO469" s="15" t="s">
        <v>5671</v>
      </c>
      <c r="CZ469" s="15" t="s">
        <v>419</v>
      </c>
      <c r="DA469" s="15">
        <v>0.0</v>
      </c>
      <c r="DB469" s="15" t="s">
        <v>419</v>
      </c>
      <c r="DD469" s="15">
        <v>0.0</v>
      </c>
      <c r="DF469" s="15" t="s">
        <v>721</v>
      </c>
      <c r="DG469" s="15" t="s">
        <v>610</v>
      </c>
      <c r="DI469" s="15">
        <v>18.14</v>
      </c>
      <c r="DJ469" s="15">
        <v>40.0</v>
      </c>
      <c r="DK469" s="15">
        <v>2.0</v>
      </c>
      <c r="DS469" s="15" t="s">
        <v>5672</v>
      </c>
      <c r="EF469" s="15" t="s">
        <v>429</v>
      </c>
      <c r="EU469" s="15" t="s">
        <v>426</v>
      </c>
      <c r="EV469" s="15">
        <v>2.0</v>
      </c>
      <c r="FH469" s="15" t="s">
        <v>1331</v>
      </c>
      <c r="FI469" s="15" t="s">
        <v>1188</v>
      </c>
      <c r="FJ469" s="15" t="s">
        <v>3238</v>
      </c>
      <c r="FK469" s="15" t="s">
        <v>2179</v>
      </c>
      <c r="FL469" s="15" t="s">
        <v>1188</v>
      </c>
      <c r="FM469" s="15" t="s">
        <v>5671</v>
      </c>
      <c r="FO469" s="15" t="s">
        <v>426</v>
      </c>
      <c r="FP469" s="15" t="s">
        <v>1044</v>
      </c>
      <c r="FQ469" s="15">
        <v>4.0</v>
      </c>
      <c r="FR469" s="15" t="s">
        <v>614</v>
      </c>
      <c r="FS469" s="15" t="s">
        <v>786</v>
      </c>
      <c r="FU469" s="15" t="s">
        <v>426</v>
      </c>
      <c r="FW469" s="15" t="s">
        <v>616</v>
      </c>
      <c r="GM469" s="15">
        <v>0.0</v>
      </c>
      <c r="HF469" s="15" t="s">
        <v>789</v>
      </c>
      <c r="HQ469" s="15" t="s">
        <v>426</v>
      </c>
    </row>
    <row r="470" ht="17.25" customHeight="1">
      <c r="A470" s="15" t="s">
        <v>5675</v>
      </c>
      <c r="B470" s="15" t="str">
        <f>"801542614287"</f>
        <v>801542614287</v>
      </c>
      <c r="C470" s="15" t="s">
        <v>16820</v>
      </c>
      <c r="D470" s="15" t="str">
        <f t="shared" si="1"/>
        <v>Hudson C TableAshen Walnut</v>
      </c>
      <c r="E470" s="15" t="s">
        <v>5673</v>
      </c>
      <c r="F470" s="15" t="s">
        <v>397</v>
      </c>
      <c r="G470" s="15" t="s">
        <v>2697</v>
      </c>
      <c r="J470" s="15" t="s">
        <v>2697</v>
      </c>
      <c r="K470" s="15" t="s">
        <v>1850</v>
      </c>
      <c r="M470" s="15" t="s">
        <v>411</v>
      </c>
      <c r="N470" s="15" t="s">
        <v>1154</v>
      </c>
      <c r="P470" s="15" t="str">
        <f t="shared" ref="P470:P472" si="1417">"17.5"</f>
        <v>17.5</v>
      </c>
      <c r="Q470" s="15" t="str">
        <f t="shared" ref="Q470:Q472" si="1418">"14"</f>
        <v>14</v>
      </c>
      <c r="R470" s="15" t="str">
        <f t="shared" ref="R470:R472" si="1419">"22"</f>
        <v>22</v>
      </c>
      <c r="S470" s="15" t="str">
        <f t="shared" ref="S470:S471" si="1420">"28.97"</f>
        <v>28.97</v>
      </c>
      <c r="T470" s="15" t="s">
        <v>5678</v>
      </c>
      <c r="U470" s="15" t="s">
        <v>13023</v>
      </c>
      <c r="V470" s="15" t="s">
        <v>11139</v>
      </c>
      <c r="AA470" s="15" t="s">
        <v>413</v>
      </c>
      <c r="AB470" s="15" t="s">
        <v>413</v>
      </c>
      <c r="AC470" s="15" t="s">
        <v>5679</v>
      </c>
      <c r="AD470" s="15" t="s">
        <v>16821</v>
      </c>
      <c r="AE470" s="15" t="s">
        <v>5677</v>
      </c>
      <c r="AF470" s="15" t="s">
        <v>16822</v>
      </c>
      <c r="AG470" s="15" t="s">
        <v>16823</v>
      </c>
      <c r="AH470" s="15" t="s">
        <v>16824</v>
      </c>
      <c r="AI470" s="15" t="s">
        <v>16825</v>
      </c>
      <c r="AJ470" s="15" t="s">
        <v>13029</v>
      </c>
      <c r="AK470" s="15" t="s">
        <v>16826</v>
      </c>
      <c r="AL470" s="15" t="s">
        <v>16827</v>
      </c>
      <c r="AM470" s="15" t="s">
        <v>16828</v>
      </c>
      <c r="AN470" s="15" t="s">
        <v>16829</v>
      </c>
      <c r="AO470" s="15" t="s">
        <v>16830</v>
      </c>
      <c r="BH470" s="15" t="s">
        <v>5674</v>
      </c>
      <c r="BI470" s="15" t="str">
        <f t="shared" ref="BI470:BI472" si="1421">"1349"</f>
        <v>1349</v>
      </c>
      <c r="BJ470" s="15" t="str">
        <f t="shared" ref="BJ470:BJ472" si="1422">"570"</f>
        <v>570</v>
      </c>
      <c r="BK470" s="15" t="s">
        <v>415</v>
      </c>
      <c r="BL470" s="15" t="str">
        <f t="shared" si="1404"/>
        <v>1</v>
      </c>
      <c r="BM470" s="15" t="s">
        <v>416</v>
      </c>
      <c r="BN470" s="15" t="str">
        <f t="shared" ref="BN470:BN471" si="1423">"23.23"</f>
        <v>23.23</v>
      </c>
      <c r="BO470" s="15" t="str">
        <f t="shared" ref="BO470:BO471" si="1424">"20.08"</f>
        <v>20.08</v>
      </c>
      <c r="BP470" s="15" t="str">
        <f t="shared" ref="BP470:BP472" si="1425">"28.74"</f>
        <v>28.74</v>
      </c>
      <c r="BQ470" s="15" t="str">
        <f t="shared" ref="BQ470:BQ471" si="1426">"45.72"</f>
        <v>45.72</v>
      </c>
      <c r="CG470" s="15" t="str">
        <f t="shared" ref="CG470:CG471" si="1427">"7.77"</f>
        <v>7.77</v>
      </c>
      <c r="CH470" s="15" t="str">
        <f t="shared" ref="CH470:CH471" si="1428">"0.22"</f>
        <v>0.22</v>
      </c>
      <c r="CI470" s="15" t="s">
        <v>417</v>
      </c>
      <c r="CM470" s="15" t="s">
        <v>1592</v>
      </c>
      <c r="CN470" s="15" t="s">
        <v>466</v>
      </c>
      <c r="CO470" s="15" t="s">
        <v>504</v>
      </c>
      <c r="CZ470" s="15" t="s">
        <v>419</v>
      </c>
      <c r="DA470" s="15">
        <v>0.0</v>
      </c>
      <c r="DB470" s="15" t="s">
        <v>419</v>
      </c>
      <c r="DD470" s="15">
        <v>0.0</v>
      </c>
      <c r="DF470" s="15" t="s">
        <v>1388</v>
      </c>
      <c r="DG470" s="15" t="s">
        <v>419</v>
      </c>
      <c r="DK470" s="15">
        <v>0.0</v>
      </c>
      <c r="DR470" s="15" t="s">
        <v>471</v>
      </c>
      <c r="DS470" s="15" t="s">
        <v>5681</v>
      </c>
      <c r="DU470" s="15" t="s">
        <v>500</v>
      </c>
      <c r="EF470" s="15" t="s">
        <v>1309</v>
      </c>
      <c r="EQ470" s="15" t="s">
        <v>1430</v>
      </c>
      <c r="ER470" s="15" t="s">
        <v>4683</v>
      </c>
      <c r="ES470" s="15" t="s">
        <v>1161</v>
      </c>
      <c r="ET470" s="15" t="s">
        <v>4685</v>
      </c>
      <c r="EU470" s="15" t="s">
        <v>426</v>
      </c>
      <c r="EV470" s="15">
        <v>1.0</v>
      </c>
      <c r="EW470" s="15">
        <v>0.0</v>
      </c>
      <c r="FF470" s="15" t="s">
        <v>1309</v>
      </c>
    </row>
    <row r="471" ht="17.25" customHeight="1">
      <c r="A471" s="15" t="s">
        <v>5683</v>
      </c>
      <c r="B471" s="15" t="str">
        <f>"801542359492"</f>
        <v>801542359492</v>
      </c>
      <c r="C471" s="15" t="s">
        <v>16831</v>
      </c>
      <c r="D471" s="15" t="str">
        <f t="shared" si="1"/>
        <v>Hudson C TableNatural Yukas</v>
      </c>
      <c r="E471" s="15" t="s">
        <v>5673</v>
      </c>
      <c r="F471" s="15" t="s">
        <v>397</v>
      </c>
      <c r="G471" s="15" t="s">
        <v>1978</v>
      </c>
      <c r="J471" s="15" t="s">
        <v>1978</v>
      </c>
      <c r="K471" s="15" t="s">
        <v>5686</v>
      </c>
      <c r="M471" s="15" t="s">
        <v>411</v>
      </c>
      <c r="N471" s="15" t="s">
        <v>1154</v>
      </c>
      <c r="P471" s="15" t="str">
        <f t="shared" si="1417"/>
        <v>17.5</v>
      </c>
      <c r="Q471" s="15" t="str">
        <f t="shared" si="1418"/>
        <v>14</v>
      </c>
      <c r="R471" s="15" t="str">
        <f t="shared" si="1419"/>
        <v>22</v>
      </c>
      <c r="S471" s="15" t="str">
        <f t="shared" si="1420"/>
        <v>28.97</v>
      </c>
      <c r="T471" s="15" t="s">
        <v>5685</v>
      </c>
      <c r="U471" s="15" t="s">
        <v>12327</v>
      </c>
      <c r="V471" s="15" t="s">
        <v>11139</v>
      </c>
      <c r="AA471" s="15" t="s">
        <v>413</v>
      </c>
      <c r="AB471" s="15" t="s">
        <v>413</v>
      </c>
      <c r="AC471" s="15" t="s">
        <v>5687</v>
      </c>
      <c r="AD471" s="15" t="s">
        <v>16832</v>
      </c>
      <c r="AE471" s="15" t="s">
        <v>5684</v>
      </c>
      <c r="AF471" s="15" t="s">
        <v>16833</v>
      </c>
      <c r="AG471" s="15" t="s">
        <v>16834</v>
      </c>
      <c r="AH471" s="15" t="s">
        <v>16835</v>
      </c>
      <c r="AI471" s="15" t="s">
        <v>16836</v>
      </c>
      <c r="AJ471" s="15" t="s">
        <v>16837</v>
      </c>
      <c r="AK471" s="15" t="s">
        <v>16838</v>
      </c>
      <c r="AL471" s="15" t="s">
        <v>16839</v>
      </c>
      <c r="AM471" s="15" t="s">
        <v>16840</v>
      </c>
      <c r="BH471" s="15" t="s">
        <v>5682</v>
      </c>
      <c r="BI471" s="15" t="str">
        <f t="shared" si="1421"/>
        <v>1349</v>
      </c>
      <c r="BJ471" s="15" t="str">
        <f t="shared" si="1422"/>
        <v>570</v>
      </c>
      <c r="BK471" s="15" t="s">
        <v>415</v>
      </c>
      <c r="BL471" s="15" t="str">
        <f t="shared" si="1404"/>
        <v>1</v>
      </c>
      <c r="BM471" s="15" t="s">
        <v>416</v>
      </c>
      <c r="BN471" s="15" t="str">
        <f t="shared" si="1423"/>
        <v>23.23</v>
      </c>
      <c r="BO471" s="15" t="str">
        <f t="shared" si="1424"/>
        <v>20.08</v>
      </c>
      <c r="BP471" s="15" t="str">
        <f t="shared" si="1425"/>
        <v>28.74</v>
      </c>
      <c r="BQ471" s="15" t="str">
        <f t="shared" si="1426"/>
        <v>45.72</v>
      </c>
      <c r="CG471" s="15" t="str">
        <f t="shared" si="1427"/>
        <v>7.77</v>
      </c>
      <c r="CH471" s="15" t="str">
        <f t="shared" si="1428"/>
        <v>0.22</v>
      </c>
      <c r="CI471" s="15" t="s">
        <v>465</v>
      </c>
      <c r="CM471" s="15" t="s">
        <v>1592</v>
      </c>
      <c r="CN471" s="15" t="s">
        <v>466</v>
      </c>
      <c r="CO471" s="15" t="s">
        <v>504</v>
      </c>
      <c r="CZ471" s="15" t="s">
        <v>419</v>
      </c>
      <c r="DA471" s="15">
        <v>0.0</v>
      </c>
      <c r="DB471" s="15" t="s">
        <v>419</v>
      </c>
      <c r="DD471" s="15">
        <v>0.0</v>
      </c>
      <c r="DF471" s="15" t="s">
        <v>1388</v>
      </c>
      <c r="DG471" s="15" t="s">
        <v>419</v>
      </c>
      <c r="DK471" s="15">
        <v>0.0</v>
      </c>
      <c r="DR471" s="15" t="s">
        <v>471</v>
      </c>
      <c r="DS471" s="15" t="s">
        <v>5681</v>
      </c>
      <c r="DU471" s="15" t="s">
        <v>500</v>
      </c>
      <c r="EF471" s="15" t="s">
        <v>1309</v>
      </c>
      <c r="EQ471" s="15" t="s">
        <v>1430</v>
      </c>
      <c r="ER471" s="15" t="s">
        <v>4683</v>
      </c>
      <c r="ES471" s="15" t="s">
        <v>1161</v>
      </c>
      <c r="ET471" s="15" t="s">
        <v>4685</v>
      </c>
      <c r="EU471" s="15" t="s">
        <v>426</v>
      </c>
      <c r="EV471" s="15">
        <v>1.0</v>
      </c>
      <c r="EW471" s="15">
        <v>0.0</v>
      </c>
      <c r="FF471" s="15" t="s">
        <v>1309</v>
      </c>
    </row>
    <row r="472" ht="17.25" customHeight="1">
      <c r="A472" s="15" t="s">
        <v>5690</v>
      </c>
      <c r="B472" s="15" t="str">
        <f>"801542287467"</f>
        <v>801542287467</v>
      </c>
      <c r="C472" s="15" t="s">
        <v>16841</v>
      </c>
      <c r="D472" s="15" t="str">
        <f t="shared" si="1"/>
        <v>Hudson C TableSpalted Primavera</v>
      </c>
      <c r="E472" s="15" t="s">
        <v>5673</v>
      </c>
      <c r="F472" s="15" t="s">
        <v>397</v>
      </c>
      <c r="G472" s="15" t="s">
        <v>5689</v>
      </c>
      <c r="J472" s="15" t="s">
        <v>5689</v>
      </c>
      <c r="K472" s="15" t="s">
        <v>5686</v>
      </c>
      <c r="M472" s="15" t="s">
        <v>411</v>
      </c>
      <c r="N472" s="15" t="s">
        <v>1154</v>
      </c>
      <c r="P472" s="15" t="str">
        <f t="shared" si="1417"/>
        <v>17.5</v>
      </c>
      <c r="Q472" s="15" t="str">
        <f t="shared" si="1418"/>
        <v>14</v>
      </c>
      <c r="R472" s="15" t="str">
        <f t="shared" si="1419"/>
        <v>22</v>
      </c>
      <c r="S472" s="15" t="str">
        <f>"48.72"</f>
        <v>48.72</v>
      </c>
      <c r="T472" s="15" t="s">
        <v>3683</v>
      </c>
      <c r="U472" s="15" t="s">
        <v>14174</v>
      </c>
      <c r="V472" s="15" t="s">
        <v>11139</v>
      </c>
      <c r="AA472" s="15" t="s">
        <v>413</v>
      </c>
      <c r="AB472" s="15" t="s">
        <v>413</v>
      </c>
      <c r="AC472" s="15" t="s">
        <v>5693</v>
      </c>
      <c r="AD472" s="15" t="s">
        <v>16842</v>
      </c>
      <c r="AE472" s="15" t="s">
        <v>5692</v>
      </c>
      <c r="AF472" s="15" t="s">
        <v>16843</v>
      </c>
      <c r="AG472" s="15" t="s">
        <v>16844</v>
      </c>
      <c r="AH472" s="15" t="s">
        <v>16845</v>
      </c>
      <c r="AI472" s="15" t="s">
        <v>16846</v>
      </c>
      <c r="AJ472" s="15" t="s">
        <v>16847</v>
      </c>
      <c r="AK472" s="15" t="s">
        <v>16848</v>
      </c>
      <c r="AL472" s="15" t="s">
        <v>16849</v>
      </c>
      <c r="AM472" s="15" t="s">
        <v>16850</v>
      </c>
      <c r="AN472" s="15" t="s">
        <v>16851</v>
      </c>
      <c r="BH472" s="15" t="s">
        <v>5688</v>
      </c>
      <c r="BI472" s="15" t="str">
        <f t="shared" si="1421"/>
        <v>1349</v>
      </c>
      <c r="BJ472" s="15" t="str">
        <f t="shared" si="1422"/>
        <v>570</v>
      </c>
      <c r="BK472" s="15" t="s">
        <v>415</v>
      </c>
      <c r="BL472" s="15" t="str">
        <f t="shared" si="1404"/>
        <v>1</v>
      </c>
      <c r="BM472" s="15" t="s">
        <v>416</v>
      </c>
      <c r="BN472" s="15" t="str">
        <f>"23.43"</f>
        <v>23.43</v>
      </c>
      <c r="BO472" s="15" t="str">
        <f>"19.69"</f>
        <v>19.69</v>
      </c>
      <c r="BP472" s="15" t="str">
        <f t="shared" si="1425"/>
        <v>28.74</v>
      </c>
      <c r="BQ472" s="15" t="str">
        <f>"66.14"</f>
        <v>66.14</v>
      </c>
      <c r="CG472" s="15" t="str">
        <f>"7.66"</f>
        <v>7.66</v>
      </c>
      <c r="CH472" s="15" t="str">
        <f>"0.217"</f>
        <v>0.217</v>
      </c>
      <c r="CI472" s="15" t="s">
        <v>417</v>
      </c>
      <c r="CM472" s="15" t="s">
        <v>1592</v>
      </c>
      <c r="CN472" s="15" t="s">
        <v>466</v>
      </c>
      <c r="CO472" s="15" t="s">
        <v>504</v>
      </c>
      <c r="CZ472" s="15" t="s">
        <v>419</v>
      </c>
      <c r="DA472" s="15">
        <v>0.0</v>
      </c>
      <c r="DB472" s="15" t="s">
        <v>419</v>
      </c>
      <c r="DD472" s="15">
        <v>0.0</v>
      </c>
      <c r="DF472" s="15" t="s">
        <v>1388</v>
      </c>
      <c r="DG472" s="15" t="s">
        <v>419</v>
      </c>
      <c r="DK472" s="15">
        <v>0.0</v>
      </c>
      <c r="DR472" s="15" t="s">
        <v>471</v>
      </c>
      <c r="DS472" s="15" t="s">
        <v>5681</v>
      </c>
      <c r="DU472" s="15" t="s">
        <v>500</v>
      </c>
      <c r="EF472" s="15" t="s">
        <v>1309</v>
      </c>
      <c r="EQ472" s="15" t="s">
        <v>1430</v>
      </c>
      <c r="ER472" s="15" t="s">
        <v>4683</v>
      </c>
      <c r="ES472" s="15" t="s">
        <v>1161</v>
      </c>
      <c r="ET472" s="15" t="s">
        <v>4685</v>
      </c>
      <c r="EU472" s="15" t="s">
        <v>426</v>
      </c>
      <c r="EV472" s="15">
        <v>1.0</v>
      </c>
      <c r="EW472" s="15">
        <v>0.0</v>
      </c>
      <c r="FF472" s="15" t="s">
        <v>1309</v>
      </c>
    </row>
    <row r="473" ht="17.25" customHeight="1">
      <c r="A473" s="15" t="s">
        <v>5696</v>
      </c>
      <c r="B473" s="15" t="str">
        <f>"801542114114"</f>
        <v>801542114114</v>
      </c>
      <c r="C473" s="15" t="s">
        <v>16852</v>
      </c>
      <c r="D473" s="15" t="str">
        <f t="shared" si="1"/>
        <v>Hudson Large Coffee TableAshen Walnut</v>
      </c>
      <c r="E473" s="15" t="s">
        <v>5694</v>
      </c>
      <c r="F473" s="15" t="s">
        <v>397</v>
      </c>
      <c r="G473" s="15" t="s">
        <v>2697</v>
      </c>
      <c r="J473" s="15" t="s">
        <v>2697</v>
      </c>
      <c r="K473" s="15" t="s">
        <v>1095</v>
      </c>
      <c r="M473" s="15" t="s">
        <v>411</v>
      </c>
      <c r="N473" s="15" t="s">
        <v>491</v>
      </c>
      <c r="P473" s="15" t="str">
        <f t="shared" ref="P473:Q473" si="1429">"55"</f>
        <v>55</v>
      </c>
      <c r="Q473" s="15" t="str">
        <f t="shared" si="1429"/>
        <v>55</v>
      </c>
      <c r="R473" s="15" t="str">
        <f t="shared" ref="R473:R475" si="1431">"15.25"</f>
        <v>15.25</v>
      </c>
      <c r="S473" s="15" t="str">
        <f t="shared" ref="S473:S475" si="1432">"91.05"</f>
        <v>91.05</v>
      </c>
      <c r="T473" s="15" t="s">
        <v>5699</v>
      </c>
      <c r="U473" s="15" t="s">
        <v>13023</v>
      </c>
      <c r="V473" s="15" t="s">
        <v>11386</v>
      </c>
      <c r="AA473" s="15" t="s">
        <v>413</v>
      </c>
      <c r="AB473" s="15" t="s">
        <v>413</v>
      </c>
      <c r="AC473" s="15" t="s">
        <v>5700</v>
      </c>
      <c r="AD473" s="15" t="s">
        <v>16853</v>
      </c>
      <c r="AE473" s="15" t="s">
        <v>5698</v>
      </c>
      <c r="AF473" s="15" t="s">
        <v>16854</v>
      </c>
      <c r="AG473" s="15" t="s">
        <v>16855</v>
      </c>
      <c r="AH473" s="15" t="s">
        <v>16856</v>
      </c>
      <c r="AI473" s="15" t="s">
        <v>16857</v>
      </c>
      <c r="AJ473" s="15" t="s">
        <v>16858</v>
      </c>
      <c r="BH473" s="15" t="s">
        <v>5695</v>
      </c>
      <c r="BI473" s="15" t="str">
        <f t="shared" ref="BI473:BI475" si="1433">"2399"</f>
        <v>2399</v>
      </c>
      <c r="BJ473" s="15" t="str">
        <f t="shared" ref="BJ473:BJ475" si="1434">"1010"</f>
        <v>1010</v>
      </c>
      <c r="BK473" s="15" t="s">
        <v>415</v>
      </c>
      <c r="BL473" s="15" t="str">
        <f t="shared" si="1404"/>
        <v>1</v>
      </c>
      <c r="BM473" s="15" t="s">
        <v>416</v>
      </c>
      <c r="BN473" s="15" t="str">
        <f t="shared" ref="BN473:BN475" si="1435">"63.78"</f>
        <v>63.78</v>
      </c>
      <c r="BO473" s="15" t="str">
        <f t="shared" ref="BO473:BO475" si="1436">"62.2"</f>
        <v>62.2</v>
      </c>
      <c r="BP473" s="15" t="str">
        <f t="shared" ref="BP473:BP475" si="1437">"22.05"</f>
        <v>22.05</v>
      </c>
      <c r="BQ473" s="15" t="str">
        <f t="shared" ref="BQ473:BQ475" si="1438">"152.89"</f>
        <v>152.89</v>
      </c>
      <c r="CG473" s="15" t="str">
        <f t="shared" ref="CG473:CG475" si="1439">"50.61"</f>
        <v>50.61</v>
      </c>
      <c r="CH473" s="15" t="str">
        <f t="shared" ref="CH473:CH475" si="1440">"1.433"</f>
        <v>1.433</v>
      </c>
      <c r="CI473" s="15" t="s">
        <v>417</v>
      </c>
      <c r="CZ473" s="15" t="s">
        <v>419</v>
      </c>
      <c r="DA473" s="15">
        <v>0.0</v>
      </c>
      <c r="DB473" s="15" t="s">
        <v>419</v>
      </c>
      <c r="DD473" s="15">
        <v>0.0</v>
      </c>
      <c r="DF473" s="15" t="s">
        <v>1388</v>
      </c>
      <c r="DG473" s="15" t="s">
        <v>419</v>
      </c>
      <c r="DK473" s="15">
        <v>0.0</v>
      </c>
      <c r="DR473" s="15" t="s">
        <v>1157</v>
      </c>
      <c r="DS473" s="15" t="s">
        <v>5681</v>
      </c>
      <c r="DU473" s="15" t="s">
        <v>500</v>
      </c>
      <c r="EF473" s="15" t="s">
        <v>5703</v>
      </c>
      <c r="EQ473" s="15" t="s">
        <v>5704</v>
      </c>
      <c r="ER473" s="15" t="s">
        <v>5703</v>
      </c>
      <c r="ES473" s="15" t="s">
        <v>5704</v>
      </c>
      <c r="ET473" s="15" t="s">
        <v>5705</v>
      </c>
      <c r="EU473" s="15" t="s">
        <v>426</v>
      </c>
      <c r="EV473" s="15">
        <v>0.0</v>
      </c>
      <c r="EW473" s="15">
        <v>0.0</v>
      </c>
      <c r="FF473" s="15" t="s">
        <v>5586</v>
      </c>
    </row>
    <row r="474" ht="17.25" customHeight="1">
      <c r="A474" s="15" t="s">
        <v>5707</v>
      </c>
      <c r="B474" s="15" t="str">
        <f>"801542114138"</f>
        <v>801542114138</v>
      </c>
      <c r="C474" s="15" t="s">
        <v>16859</v>
      </c>
      <c r="D474" s="15" t="str">
        <f t="shared" si="1"/>
        <v>Hudson Large Coffee TableNatural Yukas</v>
      </c>
      <c r="E474" s="15" t="s">
        <v>5694</v>
      </c>
      <c r="F474" s="15" t="s">
        <v>397</v>
      </c>
      <c r="G474" s="15" t="s">
        <v>1978</v>
      </c>
      <c r="J474" s="15" t="s">
        <v>1978</v>
      </c>
      <c r="K474" s="15" t="s">
        <v>1095</v>
      </c>
      <c r="M474" s="15" t="s">
        <v>411</v>
      </c>
      <c r="N474" s="15" t="s">
        <v>491</v>
      </c>
      <c r="P474" s="15" t="str">
        <f t="shared" ref="P474:Q474" si="1430">"55"</f>
        <v>55</v>
      </c>
      <c r="Q474" s="15" t="str">
        <f t="shared" si="1430"/>
        <v>55</v>
      </c>
      <c r="R474" s="15" t="str">
        <f t="shared" si="1431"/>
        <v>15.25</v>
      </c>
      <c r="S474" s="15" t="str">
        <f t="shared" si="1432"/>
        <v>91.05</v>
      </c>
      <c r="T474" s="15" t="s">
        <v>5709</v>
      </c>
      <c r="U474" s="15" t="s">
        <v>12327</v>
      </c>
      <c r="V474" s="15" t="s">
        <v>11386</v>
      </c>
      <c r="AA474" s="15" t="s">
        <v>413</v>
      </c>
      <c r="AB474" s="15" t="s">
        <v>413</v>
      </c>
      <c r="AC474" s="15" t="s">
        <v>5710</v>
      </c>
      <c r="AD474" s="15" t="s">
        <v>16860</v>
      </c>
      <c r="AE474" s="15" t="s">
        <v>5708</v>
      </c>
      <c r="AF474" s="15" t="s">
        <v>16861</v>
      </c>
      <c r="AG474" s="15" t="s">
        <v>16862</v>
      </c>
      <c r="AH474" s="15" t="s">
        <v>16863</v>
      </c>
      <c r="AI474" s="15" t="s">
        <v>16864</v>
      </c>
      <c r="AJ474" s="15" t="s">
        <v>16865</v>
      </c>
      <c r="AK474" s="15" t="s">
        <v>16866</v>
      </c>
      <c r="AL474" s="15" t="s">
        <v>16867</v>
      </c>
      <c r="AM474" s="15" t="s">
        <v>16868</v>
      </c>
      <c r="AN474" s="15" t="s">
        <v>16869</v>
      </c>
      <c r="AO474" s="15" t="s">
        <v>16870</v>
      </c>
      <c r="BH474" s="15" t="s">
        <v>5706</v>
      </c>
      <c r="BI474" s="15" t="str">
        <f t="shared" si="1433"/>
        <v>2399</v>
      </c>
      <c r="BJ474" s="15" t="str">
        <f t="shared" si="1434"/>
        <v>1010</v>
      </c>
      <c r="BK474" s="15" t="s">
        <v>415</v>
      </c>
      <c r="BL474" s="15" t="str">
        <f t="shared" si="1404"/>
        <v>1</v>
      </c>
      <c r="BM474" s="15" t="s">
        <v>416</v>
      </c>
      <c r="BN474" s="15" t="str">
        <f t="shared" si="1435"/>
        <v>63.78</v>
      </c>
      <c r="BO474" s="15" t="str">
        <f t="shared" si="1436"/>
        <v>62.2</v>
      </c>
      <c r="BP474" s="15" t="str">
        <f t="shared" si="1437"/>
        <v>22.05</v>
      </c>
      <c r="BQ474" s="15" t="str">
        <f t="shared" si="1438"/>
        <v>152.89</v>
      </c>
      <c r="CG474" s="15" t="str">
        <f t="shared" si="1439"/>
        <v>50.61</v>
      </c>
      <c r="CH474" s="15" t="str">
        <f t="shared" si="1440"/>
        <v>1.433</v>
      </c>
      <c r="CI474" s="15" t="s">
        <v>465</v>
      </c>
      <c r="CZ474" s="15" t="s">
        <v>419</v>
      </c>
      <c r="DA474" s="15">
        <v>0.0</v>
      </c>
      <c r="DB474" s="15" t="s">
        <v>419</v>
      </c>
      <c r="DD474" s="15">
        <v>0.0</v>
      </c>
      <c r="DF474" s="15" t="s">
        <v>1388</v>
      </c>
      <c r="DG474" s="15" t="s">
        <v>419</v>
      </c>
      <c r="DK474" s="15">
        <v>0.0</v>
      </c>
      <c r="DR474" s="15" t="s">
        <v>1157</v>
      </c>
      <c r="DS474" s="15" t="s">
        <v>5681</v>
      </c>
      <c r="DU474" s="15" t="s">
        <v>500</v>
      </c>
      <c r="EF474" s="15" t="s">
        <v>5703</v>
      </c>
      <c r="EQ474" s="15" t="s">
        <v>5704</v>
      </c>
      <c r="ER474" s="15" t="s">
        <v>5703</v>
      </c>
      <c r="ES474" s="15" t="s">
        <v>5704</v>
      </c>
      <c r="ET474" s="15" t="s">
        <v>5705</v>
      </c>
      <c r="EU474" s="15" t="s">
        <v>426</v>
      </c>
      <c r="EV474" s="15">
        <v>0.0</v>
      </c>
      <c r="EW474" s="15">
        <v>0.0</v>
      </c>
      <c r="FF474" s="15" t="s">
        <v>5586</v>
      </c>
    </row>
    <row r="475" ht="17.25" customHeight="1">
      <c r="A475" s="15" t="s">
        <v>5712</v>
      </c>
      <c r="B475" s="15" t="str">
        <f>"801542114145"</f>
        <v>801542114145</v>
      </c>
      <c r="C475" s="15" t="s">
        <v>16871</v>
      </c>
      <c r="D475" s="15" t="str">
        <f t="shared" si="1"/>
        <v>Hudson Large Coffee TableSpalted Primavera</v>
      </c>
      <c r="E475" s="15" t="s">
        <v>5694</v>
      </c>
      <c r="F475" s="15" t="s">
        <v>397</v>
      </c>
      <c r="G475" s="15" t="s">
        <v>5689</v>
      </c>
      <c r="J475" s="15" t="s">
        <v>5689</v>
      </c>
      <c r="K475" s="15" t="s">
        <v>1095</v>
      </c>
      <c r="M475" s="15" t="s">
        <v>411</v>
      </c>
      <c r="N475" s="15" t="s">
        <v>491</v>
      </c>
      <c r="P475" s="15" t="str">
        <f t="shared" ref="P475:Q475" si="1441">"55"</f>
        <v>55</v>
      </c>
      <c r="Q475" s="15" t="str">
        <f t="shared" si="1441"/>
        <v>55</v>
      </c>
      <c r="R475" s="15" t="str">
        <f t="shared" si="1431"/>
        <v>15.25</v>
      </c>
      <c r="S475" s="15" t="str">
        <f t="shared" si="1432"/>
        <v>91.05</v>
      </c>
      <c r="T475" s="15" t="s">
        <v>5714</v>
      </c>
      <c r="U475" s="15" t="s">
        <v>14174</v>
      </c>
      <c r="V475" s="15" t="s">
        <v>11386</v>
      </c>
      <c r="AA475" s="15" t="s">
        <v>413</v>
      </c>
      <c r="AB475" s="15" t="s">
        <v>413</v>
      </c>
      <c r="AC475" s="15" t="s">
        <v>5715</v>
      </c>
      <c r="AD475" s="15" t="s">
        <v>16872</v>
      </c>
      <c r="AE475" s="15" t="s">
        <v>5713</v>
      </c>
      <c r="AF475" s="15" t="s">
        <v>16873</v>
      </c>
      <c r="AG475" s="15" t="s">
        <v>16874</v>
      </c>
      <c r="AH475" s="15" t="s">
        <v>16875</v>
      </c>
      <c r="AI475" s="15" t="s">
        <v>16876</v>
      </c>
      <c r="AJ475" s="15" t="s">
        <v>16877</v>
      </c>
      <c r="BH475" s="15" t="s">
        <v>5711</v>
      </c>
      <c r="BI475" s="15" t="str">
        <f t="shared" si="1433"/>
        <v>2399</v>
      </c>
      <c r="BJ475" s="15" t="str">
        <f t="shared" si="1434"/>
        <v>1010</v>
      </c>
      <c r="BK475" s="15" t="s">
        <v>415</v>
      </c>
      <c r="BL475" s="15" t="str">
        <f t="shared" si="1404"/>
        <v>1</v>
      </c>
      <c r="BM475" s="15" t="s">
        <v>416</v>
      </c>
      <c r="BN475" s="15" t="str">
        <f t="shared" si="1435"/>
        <v>63.78</v>
      </c>
      <c r="BO475" s="15" t="str">
        <f t="shared" si="1436"/>
        <v>62.2</v>
      </c>
      <c r="BP475" s="15" t="str">
        <f t="shared" si="1437"/>
        <v>22.05</v>
      </c>
      <c r="BQ475" s="15" t="str">
        <f t="shared" si="1438"/>
        <v>152.89</v>
      </c>
      <c r="CG475" s="15" t="str">
        <f t="shared" si="1439"/>
        <v>50.61</v>
      </c>
      <c r="CH475" s="15" t="str">
        <f t="shared" si="1440"/>
        <v>1.433</v>
      </c>
      <c r="CI475" s="15" t="s">
        <v>465</v>
      </c>
      <c r="CZ475" s="15" t="s">
        <v>419</v>
      </c>
      <c r="DA475" s="15">
        <v>0.0</v>
      </c>
      <c r="DB475" s="15" t="s">
        <v>419</v>
      </c>
      <c r="DD475" s="15">
        <v>0.0</v>
      </c>
      <c r="DF475" s="15" t="s">
        <v>1388</v>
      </c>
      <c r="DG475" s="15" t="s">
        <v>419</v>
      </c>
      <c r="DK475" s="15">
        <v>0.0</v>
      </c>
      <c r="DR475" s="15" t="s">
        <v>1157</v>
      </c>
      <c r="DS475" s="15" t="s">
        <v>5681</v>
      </c>
      <c r="DU475" s="15" t="s">
        <v>500</v>
      </c>
      <c r="EF475" s="15" t="s">
        <v>5703</v>
      </c>
      <c r="EQ475" s="15" t="s">
        <v>5704</v>
      </c>
      <c r="ER475" s="15" t="s">
        <v>5703</v>
      </c>
      <c r="ES475" s="15" t="s">
        <v>5704</v>
      </c>
      <c r="ET475" s="15" t="s">
        <v>5705</v>
      </c>
      <c r="EU475" s="15" t="s">
        <v>426</v>
      </c>
      <c r="EV475" s="15">
        <v>0.0</v>
      </c>
      <c r="EW475" s="15">
        <v>0.0</v>
      </c>
      <c r="FF475" s="15" t="s">
        <v>5586</v>
      </c>
    </row>
    <row r="476" ht="17.25" customHeight="1">
      <c r="A476" s="15" t="s">
        <v>5718</v>
      </c>
      <c r="B476" s="15" t="str">
        <f>"801542242732"</f>
        <v>801542242732</v>
      </c>
      <c r="C476" s="15" t="s">
        <v>16878</v>
      </c>
      <c r="D476" s="15" t="str">
        <f t="shared" si="1"/>
        <v>Hudson Large Square Coffee TableAshen Walnut</v>
      </c>
      <c r="E476" s="15" t="s">
        <v>5716</v>
      </c>
      <c r="F476" s="15" t="s">
        <v>397</v>
      </c>
      <c r="G476" s="15" t="s">
        <v>2697</v>
      </c>
      <c r="J476" s="15" t="s">
        <v>2697</v>
      </c>
      <c r="K476" s="15" t="s">
        <v>1095</v>
      </c>
      <c r="M476" s="15" t="s">
        <v>411</v>
      </c>
      <c r="N476" s="15" t="s">
        <v>491</v>
      </c>
      <c r="P476" s="15" t="str">
        <f t="shared" ref="P476:Q476" si="1442">"55"</f>
        <v>55</v>
      </c>
      <c r="Q476" s="15" t="str">
        <f t="shared" si="1442"/>
        <v>55</v>
      </c>
      <c r="R476" s="15" t="str">
        <f t="shared" ref="R476:R481" si="1445">"15"</f>
        <v>15</v>
      </c>
      <c r="S476" s="15" t="str">
        <f t="shared" ref="S476:S478" si="1446">"120.37"</f>
        <v>120.37</v>
      </c>
      <c r="T476" s="15" t="s">
        <v>5699</v>
      </c>
      <c r="U476" s="15" t="s">
        <v>13023</v>
      </c>
      <c r="V476" s="15" t="s">
        <v>11386</v>
      </c>
      <c r="AA476" s="15" t="s">
        <v>413</v>
      </c>
      <c r="AB476" s="15" t="s">
        <v>413</v>
      </c>
      <c r="AD476" s="15" t="s">
        <v>16879</v>
      </c>
      <c r="AE476" s="15" t="s">
        <v>5720</v>
      </c>
      <c r="AF476" s="15" t="s">
        <v>16880</v>
      </c>
      <c r="AG476" s="15" t="s">
        <v>16881</v>
      </c>
      <c r="AH476" s="15" t="s">
        <v>16882</v>
      </c>
      <c r="AI476" s="15" t="s">
        <v>16883</v>
      </c>
      <c r="AJ476" s="15" t="s">
        <v>16884</v>
      </c>
      <c r="AK476" s="15" t="s">
        <v>16885</v>
      </c>
      <c r="AL476" s="15" t="s">
        <v>16886</v>
      </c>
      <c r="AM476" s="15" t="s">
        <v>16887</v>
      </c>
      <c r="AN476" s="15" t="s">
        <v>16888</v>
      </c>
      <c r="BH476" s="15" t="s">
        <v>5717</v>
      </c>
      <c r="BI476" s="15" t="str">
        <f t="shared" ref="BI476:BI478" si="1447">"2799"</f>
        <v>2799</v>
      </c>
      <c r="BJ476" s="15" t="str">
        <f t="shared" ref="BJ476:BJ478" si="1448">"1180"</f>
        <v>1180</v>
      </c>
      <c r="BK476" s="15" t="s">
        <v>415</v>
      </c>
      <c r="BL476" s="15" t="str">
        <f t="shared" si="1404"/>
        <v>1</v>
      </c>
      <c r="BM476" s="15" t="s">
        <v>416</v>
      </c>
      <c r="BN476" s="15" t="str">
        <f t="shared" ref="BN476:BO476" si="1443">"61.42"</f>
        <v>61.42</v>
      </c>
      <c r="BO476" s="15" t="str">
        <f t="shared" si="1443"/>
        <v>61.42</v>
      </c>
      <c r="BP476" s="15" t="str">
        <f t="shared" ref="BP476:BP478" si="1450">"21.65"</f>
        <v>21.65</v>
      </c>
      <c r="BQ476" s="15" t="str">
        <f t="shared" ref="BQ476:BQ478" si="1451">"192.9"</f>
        <v>192.9</v>
      </c>
      <c r="CG476" s="15" t="str">
        <f t="shared" ref="CG476:CG478" si="1452">"47.25"</f>
        <v>47.25</v>
      </c>
      <c r="CH476" s="15" t="str">
        <f t="shared" ref="CH476:CH478" si="1453">"1.338"</f>
        <v>1.338</v>
      </c>
      <c r="CI476" s="15" t="s">
        <v>465</v>
      </c>
      <c r="CZ476" s="15" t="s">
        <v>419</v>
      </c>
      <c r="DA476" s="15">
        <v>0.0</v>
      </c>
      <c r="DB476" s="15" t="s">
        <v>419</v>
      </c>
      <c r="DD476" s="15">
        <v>0.0</v>
      </c>
      <c r="DF476" s="15" t="s">
        <v>1388</v>
      </c>
      <c r="DG476" s="15" t="s">
        <v>419</v>
      </c>
      <c r="DK476" s="15">
        <v>0.0</v>
      </c>
      <c r="DR476" s="15" t="s">
        <v>498</v>
      </c>
      <c r="DS476" s="15" t="s">
        <v>5681</v>
      </c>
      <c r="DU476" s="15" t="s">
        <v>500</v>
      </c>
      <c r="EF476" s="15" t="s">
        <v>5722</v>
      </c>
      <c r="EQ476" s="15" t="s">
        <v>1683</v>
      </c>
      <c r="ER476" s="15" t="s">
        <v>5722</v>
      </c>
      <c r="ES476" s="15" t="s">
        <v>1683</v>
      </c>
      <c r="ET476" s="15" t="s">
        <v>5705</v>
      </c>
      <c r="EU476" s="15" t="s">
        <v>426</v>
      </c>
      <c r="EV476" s="15">
        <v>0.0</v>
      </c>
      <c r="EW476" s="15">
        <v>0.0</v>
      </c>
      <c r="FF476" s="15" t="s">
        <v>672</v>
      </c>
    </row>
    <row r="477" ht="17.25" customHeight="1">
      <c r="A477" s="15" t="s">
        <v>5724</v>
      </c>
      <c r="B477" s="15" t="str">
        <f>"801542142032"</f>
        <v>801542142032</v>
      </c>
      <c r="C477" s="15" t="s">
        <v>16889</v>
      </c>
      <c r="D477" s="15" t="str">
        <f t="shared" si="1"/>
        <v>Hudson Large Square Coffee TableNatural Yukas</v>
      </c>
      <c r="E477" s="15" t="s">
        <v>5716</v>
      </c>
      <c r="F477" s="15" t="s">
        <v>397</v>
      </c>
      <c r="G477" s="15" t="s">
        <v>1978</v>
      </c>
      <c r="J477" s="15" t="s">
        <v>1978</v>
      </c>
      <c r="K477" s="15" t="s">
        <v>1095</v>
      </c>
      <c r="M477" s="15" t="s">
        <v>411</v>
      </c>
      <c r="N477" s="15" t="s">
        <v>491</v>
      </c>
      <c r="P477" s="15" t="str">
        <f t="shared" ref="P477:Q477" si="1444">"55"</f>
        <v>55</v>
      </c>
      <c r="Q477" s="15" t="str">
        <f t="shared" si="1444"/>
        <v>55</v>
      </c>
      <c r="R477" s="15" t="str">
        <f t="shared" si="1445"/>
        <v>15</v>
      </c>
      <c r="S477" s="15" t="str">
        <f t="shared" si="1446"/>
        <v>120.37</v>
      </c>
      <c r="T477" s="15" t="s">
        <v>5709</v>
      </c>
      <c r="U477" s="15" t="s">
        <v>12327</v>
      </c>
      <c r="V477" s="15" t="s">
        <v>11386</v>
      </c>
      <c r="AA477" s="15" t="s">
        <v>413</v>
      </c>
      <c r="AB477" s="15" t="s">
        <v>413</v>
      </c>
      <c r="AC477" s="15" t="s">
        <v>5726</v>
      </c>
      <c r="AD477" s="15" t="s">
        <v>16890</v>
      </c>
      <c r="AE477" s="15" t="s">
        <v>5725</v>
      </c>
      <c r="AF477" s="15" t="s">
        <v>16891</v>
      </c>
      <c r="AG477" s="15" t="s">
        <v>16892</v>
      </c>
      <c r="AH477" s="15" t="s">
        <v>16893</v>
      </c>
      <c r="AI477" s="15" t="s">
        <v>16894</v>
      </c>
      <c r="AJ477" s="15" t="s">
        <v>16895</v>
      </c>
      <c r="AK477" s="15" t="s">
        <v>16896</v>
      </c>
      <c r="AL477" s="15" t="s">
        <v>16897</v>
      </c>
      <c r="AM477" s="15" t="s">
        <v>16898</v>
      </c>
      <c r="AN477" s="15" t="s">
        <v>16899</v>
      </c>
      <c r="AO477" s="15" t="s">
        <v>16900</v>
      </c>
      <c r="BH477" s="15" t="s">
        <v>5723</v>
      </c>
      <c r="BI477" s="15" t="str">
        <f t="shared" si="1447"/>
        <v>2799</v>
      </c>
      <c r="BJ477" s="15" t="str">
        <f t="shared" si="1448"/>
        <v>1180</v>
      </c>
      <c r="BK477" s="15" t="s">
        <v>415</v>
      </c>
      <c r="BL477" s="15" t="str">
        <f t="shared" si="1404"/>
        <v>1</v>
      </c>
      <c r="BM477" s="15" t="s">
        <v>416</v>
      </c>
      <c r="BN477" s="15" t="str">
        <f t="shared" ref="BN477:BO477" si="1449">"61.42"</f>
        <v>61.42</v>
      </c>
      <c r="BO477" s="15" t="str">
        <f t="shared" si="1449"/>
        <v>61.42</v>
      </c>
      <c r="BP477" s="15" t="str">
        <f t="shared" si="1450"/>
        <v>21.65</v>
      </c>
      <c r="BQ477" s="15" t="str">
        <f t="shared" si="1451"/>
        <v>192.9</v>
      </c>
      <c r="CG477" s="15" t="str">
        <f t="shared" si="1452"/>
        <v>47.25</v>
      </c>
      <c r="CH477" s="15" t="str">
        <f t="shared" si="1453"/>
        <v>1.338</v>
      </c>
      <c r="CI477" s="15" t="s">
        <v>417</v>
      </c>
      <c r="CZ477" s="15" t="s">
        <v>419</v>
      </c>
      <c r="DA477" s="15">
        <v>0.0</v>
      </c>
      <c r="DB477" s="15" t="s">
        <v>419</v>
      </c>
      <c r="DD477" s="15">
        <v>0.0</v>
      </c>
      <c r="DF477" s="15" t="s">
        <v>1388</v>
      </c>
      <c r="DG477" s="15" t="s">
        <v>419</v>
      </c>
      <c r="DK477" s="15">
        <v>0.0</v>
      </c>
      <c r="DR477" s="15" t="s">
        <v>498</v>
      </c>
      <c r="DS477" s="15" t="s">
        <v>5681</v>
      </c>
      <c r="DU477" s="15" t="s">
        <v>500</v>
      </c>
      <c r="EF477" s="15" t="s">
        <v>5722</v>
      </c>
      <c r="EQ477" s="15" t="s">
        <v>1683</v>
      </c>
      <c r="ER477" s="15" t="s">
        <v>5722</v>
      </c>
      <c r="ES477" s="15" t="s">
        <v>1683</v>
      </c>
      <c r="ET477" s="15" t="s">
        <v>5705</v>
      </c>
      <c r="EU477" s="15" t="s">
        <v>426</v>
      </c>
      <c r="EV477" s="15">
        <v>0.0</v>
      </c>
      <c r="EW477" s="15">
        <v>0.0</v>
      </c>
      <c r="FF477" s="15" t="s">
        <v>672</v>
      </c>
    </row>
    <row r="478" ht="17.25" customHeight="1">
      <c r="A478" s="15" t="s">
        <v>5728</v>
      </c>
      <c r="B478" s="15" t="str">
        <f>"801542242763"</f>
        <v>801542242763</v>
      </c>
      <c r="C478" s="15" t="s">
        <v>16901</v>
      </c>
      <c r="D478" s="15" t="str">
        <f t="shared" si="1"/>
        <v>Hudson Large Square Coffee TableSpalted Primavera</v>
      </c>
      <c r="E478" s="15" t="s">
        <v>5716</v>
      </c>
      <c r="F478" s="15" t="s">
        <v>397</v>
      </c>
      <c r="G478" s="15" t="s">
        <v>5689</v>
      </c>
      <c r="J478" s="15" t="s">
        <v>5689</v>
      </c>
      <c r="K478" s="15" t="s">
        <v>1095</v>
      </c>
      <c r="M478" s="15" t="s">
        <v>411</v>
      </c>
      <c r="N478" s="15" t="s">
        <v>491</v>
      </c>
      <c r="P478" s="15" t="str">
        <f t="shared" ref="P478:Q478" si="1454">"55"</f>
        <v>55</v>
      </c>
      <c r="Q478" s="15" t="str">
        <f t="shared" si="1454"/>
        <v>55</v>
      </c>
      <c r="R478" s="15" t="str">
        <f t="shared" si="1445"/>
        <v>15</v>
      </c>
      <c r="S478" s="15" t="str">
        <f t="shared" si="1446"/>
        <v>120.37</v>
      </c>
      <c r="T478" s="15" t="s">
        <v>5714</v>
      </c>
      <c r="U478" s="15" t="s">
        <v>14174</v>
      </c>
      <c r="V478" s="15" t="s">
        <v>11386</v>
      </c>
      <c r="AA478" s="15" t="s">
        <v>413</v>
      </c>
      <c r="AB478" s="15" t="s">
        <v>413</v>
      </c>
      <c r="AD478" s="15" t="s">
        <v>16902</v>
      </c>
      <c r="AE478" s="15" t="s">
        <v>5729</v>
      </c>
      <c r="AF478" s="15" t="s">
        <v>16903</v>
      </c>
      <c r="AG478" s="15" t="s">
        <v>16904</v>
      </c>
      <c r="AH478" s="15" t="s">
        <v>16905</v>
      </c>
      <c r="AI478" s="15" t="s">
        <v>16906</v>
      </c>
      <c r="AJ478" s="15" t="s">
        <v>16907</v>
      </c>
      <c r="AK478" s="15" t="s">
        <v>16908</v>
      </c>
      <c r="AL478" s="15" t="s">
        <v>16909</v>
      </c>
      <c r="AM478" s="15" t="s">
        <v>16910</v>
      </c>
      <c r="AN478" s="15" t="s">
        <v>16911</v>
      </c>
      <c r="AO478" s="15" t="s">
        <v>16912</v>
      </c>
      <c r="AP478" s="15" t="s">
        <v>16913</v>
      </c>
      <c r="BH478" s="15" t="s">
        <v>5727</v>
      </c>
      <c r="BI478" s="15" t="str">
        <f t="shared" si="1447"/>
        <v>2799</v>
      </c>
      <c r="BJ478" s="15" t="str">
        <f t="shared" si="1448"/>
        <v>1180</v>
      </c>
      <c r="BK478" s="15" t="s">
        <v>415</v>
      </c>
      <c r="BL478" s="15" t="str">
        <f t="shared" si="1404"/>
        <v>1</v>
      </c>
      <c r="BM478" s="15" t="s">
        <v>416</v>
      </c>
      <c r="BN478" s="15" t="str">
        <f t="shared" ref="BN478:BO478" si="1455">"61.42"</f>
        <v>61.42</v>
      </c>
      <c r="BO478" s="15" t="str">
        <f t="shared" si="1455"/>
        <v>61.42</v>
      </c>
      <c r="BP478" s="15" t="str">
        <f t="shared" si="1450"/>
        <v>21.65</v>
      </c>
      <c r="BQ478" s="15" t="str">
        <f t="shared" si="1451"/>
        <v>192.9</v>
      </c>
      <c r="CG478" s="15" t="str">
        <f t="shared" si="1452"/>
        <v>47.25</v>
      </c>
      <c r="CH478" s="15" t="str">
        <f t="shared" si="1453"/>
        <v>1.338</v>
      </c>
      <c r="CI478" s="15" t="s">
        <v>417</v>
      </c>
      <c r="CZ478" s="15" t="s">
        <v>419</v>
      </c>
      <c r="DA478" s="15">
        <v>0.0</v>
      </c>
      <c r="DB478" s="15" t="s">
        <v>419</v>
      </c>
      <c r="DD478" s="15">
        <v>0.0</v>
      </c>
      <c r="DF478" s="15" t="s">
        <v>1388</v>
      </c>
      <c r="DG478" s="15" t="s">
        <v>419</v>
      </c>
      <c r="DK478" s="15">
        <v>0.0</v>
      </c>
      <c r="DR478" s="15" t="s">
        <v>498</v>
      </c>
      <c r="DS478" s="15" t="s">
        <v>5681</v>
      </c>
      <c r="DU478" s="15" t="s">
        <v>500</v>
      </c>
      <c r="EF478" s="15" t="s">
        <v>5722</v>
      </c>
      <c r="EQ478" s="15" t="s">
        <v>1683</v>
      </c>
      <c r="ER478" s="15" t="s">
        <v>5722</v>
      </c>
      <c r="ES478" s="15" t="s">
        <v>1683</v>
      </c>
      <c r="ET478" s="15" t="s">
        <v>5705</v>
      </c>
      <c r="EU478" s="15" t="s">
        <v>426</v>
      </c>
      <c r="EV478" s="15">
        <v>0.0</v>
      </c>
      <c r="EW478" s="15">
        <v>0.0</v>
      </c>
      <c r="FF478" s="15" t="s">
        <v>672</v>
      </c>
    </row>
    <row r="479" ht="17.25" customHeight="1">
      <c r="A479" s="15" t="s">
        <v>5732</v>
      </c>
      <c r="B479" s="15" t="str">
        <f>"801542605506"</f>
        <v>801542605506</v>
      </c>
      <c r="C479" s="15" t="s">
        <v>16914</v>
      </c>
      <c r="D479" s="15" t="str">
        <f t="shared" si="1"/>
        <v>Hudson Round Coffee TableAshen Walnut</v>
      </c>
      <c r="E479" s="15" t="s">
        <v>5730</v>
      </c>
      <c r="F479" s="15" t="s">
        <v>397</v>
      </c>
      <c r="G479" s="15" t="s">
        <v>2697</v>
      </c>
      <c r="J479" s="15" t="s">
        <v>2697</v>
      </c>
      <c r="K479" s="15" t="s">
        <v>1095</v>
      </c>
      <c r="M479" s="15" t="s">
        <v>411</v>
      </c>
      <c r="N479" s="15" t="s">
        <v>491</v>
      </c>
      <c r="P479" s="15" t="str">
        <f t="shared" ref="P479:Q479" si="1456">"40"</f>
        <v>40</v>
      </c>
      <c r="Q479" s="15" t="str">
        <f t="shared" si="1456"/>
        <v>40</v>
      </c>
      <c r="R479" s="15" t="str">
        <f t="shared" si="1445"/>
        <v>15</v>
      </c>
      <c r="S479" s="15" t="str">
        <f t="shared" ref="S479:S481" si="1458">"57.32"</f>
        <v>57.32</v>
      </c>
      <c r="T479" s="15" t="s">
        <v>5699</v>
      </c>
      <c r="U479" s="15" t="s">
        <v>13023</v>
      </c>
      <c r="V479" s="15" t="s">
        <v>11386</v>
      </c>
      <c r="AA479" s="15" t="s">
        <v>413</v>
      </c>
      <c r="AB479" s="15" t="s">
        <v>413</v>
      </c>
      <c r="AC479" s="15" t="s">
        <v>5734</v>
      </c>
      <c r="AD479" s="15" t="s">
        <v>16915</v>
      </c>
      <c r="AE479" s="15" t="s">
        <v>5733</v>
      </c>
      <c r="AF479" s="15" t="s">
        <v>16916</v>
      </c>
      <c r="AG479" s="15" t="s">
        <v>16917</v>
      </c>
      <c r="AH479" s="15" t="s">
        <v>13029</v>
      </c>
      <c r="AI479" s="15" t="s">
        <v>16918</v>
      </c>
      <c r="AJ479" s="15" t="s">
        <v>16919</v>
      </c>
      <c r="AK479" s="15" t="s">
        <v>16920</v>
      </c>
      <c r="AL479" s="15" t="s">
        <v>16921</v>
      </c>
      <c r="AM479" s="15" t="s">
        <v>16922</v>
      </c>
      <c r="BH479" s="15" t="s">
        <v>5731</v>
      </c>
      <c r="BI479" s="15" t="str">
        <f t="shared" ref="BI479:BI481" si="1459">"2099"</f>
        <v>2099</v>
      </c>
      <c r="BJ479" s="15" t="str">
        <f t="shared" ref="BJ479:BJ481" si="1460">"885"</f>
        <v>885</v>
      </c>
      <c r="BK479" s="15" t="s">
        <v>415</v>
      </c>
      <c r="BL479" s="15" t="str">
        <f t="shared" si="1404"/>
        <v>1</v>
      </c>
      <c r="BM479" s="15" t="s">
        <v>416</v>
      </c>
      <c r="BN479" s="15" t="str">
        <f>"42.52"</f>
        <v>42.52</v>
      </c>
      <c r="BO479" s="15" t="str">
        <f>"42.91"</f>
        <v>42.91</v>
      </c>
      <c r="BP479" s="15" t="str">
        <f>"19.29"</f>
        <v>19.29</v>
      </c>
      <c r="BQ479" s="15" t="str">
        <f>"92.15"</f>
        <v>92.15</v>
      </c>
      <c r="CG479" s="15" t="str">
        <f>"20.38"</f>
        <v>20.38</v>
      </c>
      <c r="CH479" s="15" t="str">
        <f>"0.577"</f>
        <v>0.577</v>
      </c>
      <c r="CI479" s="15" t="s">
        <v>417</v>
      </c>
      <c r="CZ479" s="15" t="s">
        <v>419</v>
      </c>
      <c r="DA479" s="15">
        <v>0.0</v>
      </c>
      <c r="DB479" s="15" t="s">
        <v>419</v>
      </c>
      <c r="DD479" s="15">
        <v>0.0</v>
      </c>
      <c r="DF479" s="15" t="s">
        <v>1388</v>
      </c>
      <c r="DG479" s="15" t="s">
        <v>419</v>
      </c>
      <c r="DK479" s="15">
        <v>0.0</v>
      </c>
      <c r="DR479" s="15" t="s">
        <v>1157</v>
      </c>
      <c r="DS479" s="15" t="s">
        <v>5681</v>
      </c>
      <c r="DU479" s="15" t="s">
        <v>500</v>
      </c>
      <c r="EF479" s="15" t="s">
        <v>2465</v>
      </c>
      <c r="EG479" s="15" t="s">
        <v>1211</v>
      </c>
      <c r="EH479" s="15" t="s">
        <v>1211</v>
      </c>
      <c r="EQ479" s="15" t="s">
        <v>5737</v>
      </c>
      <c r="ER479" s="15" t="s">
        <v>2465</v>
      </c>
      <c r="ES479" s="15" t="s">
        <v>5737</v>
      </c>
      <c r="ET479" s="15" t="s">
        <v>5738</v>
      </c>
      <c r="EU479" s="15" t="s">
        <v>426</v>
      </c>
      <c r="EV479" s="15">
        <v>0.0</v>
      </c>
      <c r="EW479" s="15">
        <v>0.0</v>
      </c>
    </row>
    <row r="480" ht="17.25" customHeight="1">
      <c r="A480" s="15" t="s">
        <v>5741</v>
      </c>
      <c r="B480" s="15" t="str">
        <f>"801542307639"</f>
        <v>801542307639</v>
      </c>
      <c r="C480" s="15" t="s">
        <v>16923</v>
      </c>
      <c r="D480" s="15" t="str">
        <f t="shared" si="1"/>
        <v>Hudson Round Coffee TableNatural Yukas Resin</v>
      </c>
      <c r="E480" s="15" t="s">
        <v>5730</v>
      </c>
      <c r="F480" s="15" t="s">
        <v>397</v>
      </c>
      <c r="G480" s="15" t="s">
        <v>5740</v>
      </c>
      <c r="J480" s="15" t="s">
        <v>5740</v>
      </c>
      <c r="K480" s="15" t="s">
        <v>1095</v>
      </c>
      <c r="M480" s="15" t="s">
        <v>411</v>
      </c>
      <c r="N480" s="15" t="s">
        <v>491</v>
      </c>
      <c r="P480" s="15" t="str">
        <f t="shared" ref="P480:Q480" si="1457">"40"</f>
        <v>40</v>
      </c>
      <c r="Q480" s="15" t="str">
        <f t="shared" si="1457"/>
        <v>40</v>
      </c>
      <c r="R480" s="15" t="str">
        <f t="shared" si="1445"/>
        <v>15</v>
      </c>
      <c r="S480" s="15" t="str">
        <f t="shared" si="1458"/>
        <v>57.32</v>
      </c>
      <c r="T480" s="15" t="s">
        <v>5709</v>
      </c>
      <c r="U480" s="15" t="s">
        <v>12327</v>
      </c>
      <c r="V480" s="15" t="s">
        <v>11386</v>
      </c>
      <c r="AA480" s="15" t="s">
        <v>413</v>
      </c>
      <c r="AB480" s="15" t="s">
        <v>413</v>
      </c>
      <c r="AC480" s="15" t="s">
        <v>5743</v>
      </c>
      <c r="AD480" s="15" t="s">
        <v>16924</v>
      </c>
      <c r="AE480" s="15" t="s">
        <v>5742</v>
      </c>
      <c r="AF480" s="15" t="s">
        <v>16925</v>
      </c>
      <c r="AG480" s="15" t="s">
        <v>16926</v>
      </c>
      <c r="AH480" s="15" t="s">
        <v>16927</v>
      </c>
      <c r="AI480" s="15" t="s">
        <v>16928</v>
      </c>
      <c r="AJ480" s="15" t="s">
        <v>16929</v>
      </c>
      <c r="AK480" s="15" t="s">
        <v>16930</v>
      </c>
      <c r="AL480" s="15" t="s">
        <v>16931</v>
      </c>
      <c r="AM480" s="15" t="s">
        <v>16932</v>
      </c>
      <c r="BH480" s="15" t="s">
        <v>5739</v>
      </c>
      <c r="BI480" s="15" t="str">
        <f t="shared" si="1459"/>
        <v>2099</v>
      </c>
      <c r="BJ480" s="15" t="str">
        <f t="shared" si="1460"/>
        <v>885</v>
      </c>
      <c r="BK480" s="15" t="s">
        <v>415</v>
      </c>
      <c r="BL480" s="15" t="str">
        <f t="shared" si="1404"/>
        <v>1</v>
      </c>
      <c r="BM480" s="15" t="s">
        <v>416</v>
      </c>
      <c r="BN480" s="15" t="str">
        <f t="shared" ref="BN480:BN481" si="1462">"44.88"</f>
        <v>44.88</v>
      </c>
      <c r="BO480" s="15" t="str">
        <f t="shared" ref="BO480:BO481" si="1463">"45.28"</f>
        <v>45.28</v>
      </c>
      <c r="BP480" s="15" t="str">
        <f t="shared" ref="BP480:BP481" si="1464">"22.83"</f>
        <v>22.83</v>
      </c>
      <c r="BQ480" s="15" t="str">
        <f t="shared" ref="BQ480:BQ481" si="1465">"98.99"</f>
        <v>98.99</v>
      </c>
      <c r="CG480" s="15" t="str">
        <f t="shared" ref="CG480:CG481" si="1466">"26.84"</f>
        <v>26.84</v>
      </c>
      <c r="CH480" s="15" t="str">
        <f t="shared" ref="CH480:CH481" si="1467">"0.76"</f>
        <v>0.76</v>
      </c>
      <c r="CI480" s="15" t="s">
        <v>497</v>
      </c>
      <c r="CZ480" s="15" t="s">
        <v>419</v>
      </c>
      <c r="DA480" s="15">
        <v>0.0</v>
      </c>
      <c r="DB480" s="15" t="s">
        <v>419</v>
      </c>
      <c r="DD480" s="15">
        <v>0.0</v>
      </c>
      <c r="DF480" s="15" t="s">
        <v>1388</v>
      </c>
      <c r="DG480" s="15" t="s">
        <v>419</v>
      </c>
      <c r="DK480" s="15">
        <v>0.0</v>
      </c>
      <c r="DR480" s="15" t="s">
        <v>1157</v>
      </c>
      <c r="DS480" s="15" t="s">
        <v>5681</v>
      </c>
      <c r="DU480" s="15" t="s">
        <v>500</v>
      </c>
      <c r="EF480" s="15" t="s">
        <v>2465</v>
      </c>
      <c r="EG480" s="15" t="s">
        <v>1211</v>
      </c>
      <c r="EH480" s="15" t="s">
        <v>1211</v>
      </c>
      <c r="EQ480" s="15" t="s">
        <v>5737</v>
      </c>
      <c r="ER480" s="15" t="s">
        <v>2465</v>
      </c>
      <c r="ES480" s="15" t="s">
        <v>5737</v>
      </c>
      <c r="ET480" s="15" t="s">
        <v>5738</v>
      </c>
      <c r="EU480" s="15" t="s">
        <v>426</v>
      </c>
      <c r="EV480" s="15">
        <v>0.0</v>
      </c>
      <c r="EW480" s="15">
        <v>0.0</v>
      </c>
    </row>
    <row r="481" ht="17.25" customHeight="1">
      <c r="A481" s="15" t="s">
        <v>5746</v>
      </c>
      <c r="B481" s="15" t="str">
        <f>"801542258061"</f>
        <v>801542258061</v>
      </c>
      <c r="C481" s="15" t="s">
        <v>16933</v>
      </c>
      <c r="D481" s="15" t="str">
        <f t="shared" si="1"/>
        <v>Hudson Round Coffee TableSpalted Primavera</v>
      </c>
      <c r="E481" s="15" t="s">
        <v>5730</v>
      </c>
      <c r="F481" s="15" t="s">
        <v>397</v>
      </c>
      <c r="G481" s="15" t="s">
        <v>5689</v>
      </c>
      <c r="J481" s="15" t="s">
        <v>5689</v>
      </c>
      <c r="K481" s="15" t="s">
        <v>1095</v>
      </c>
      <c r="M481" s="15" t="s">
        <v>411</v>
      </c>
      <c r="N481" s="15" t="s">
        <v>491</v>
      </c>
      <c r="P481" s="15" t="str">
        <f t="shared" ref="P481:Q481" si="1461">"40"</f>
        <v>40</v>
      </c>
      <c r="Q481" s="15" t="str">
        <f t="shared" si="1461"/>
        <v>40</v>
      </c>
      <c r="R481" s="15" t="str">
        <f t="shared" si="1445"/>
        <v>15</v>
      </c>
      <c r="S481" s="15" t="str">
        <f t="shared" si="1458"/>
        <v>57.32</v>
      </c>
      <c r="T481" s="15" t="s">
        <v>5714</v>
      </c>
      <c r="U481" s="15" t="s">
        <v>14174</v>
      </c>
      <c r="V481" s="15" t="s">
        <v>11386</v>
      </c>
      <c r="AA481" s="15" t="s">
        <v>413</v>
      </c>
      <c r="AB481" s="15" t="s">
        <v>413</v>
      </c>
      <c r="AC481" s="15" t="s">
        <v>5715</v>
      </c>
      <c r="AD481" s="15" t="s">
        <v>16934</v>
      </c>
      <c r="AE481" s="15" t="s">
        <v>5747</v>
      </c>
      <c r="AF481" s="15" t="s">
        <v>16935</v>
      </c>
      <c r="AG481" s="15" t="s">
        <v>16936</v>
      </c>
      <c r="AH481" s="15" t="s">
        <v>16937</v>
      </c>
      <c r="AI481" s="15" t="s">
        <v>16938</v>
      </c>
      <c r="AJ481" s="15" t="s">
        <v>16939</v>
      </c>
      <c r="AK481" s="15" t="s">
        <v>16940</v>
      </c>
      <c r="AL481" s="15" t="s">
        <v>16941</v>
      </c>
      <c r="AM481" s="15" t="s">
        <v>16942</v>
      </c>
      <c r="AN481" s="15" t="s">
        <v>16943</v>
      </c>
      <c r="AO481" s="15" t="s">
        <v>16944</v>
      </c>
      <c r="BH481" s="15" t="s">
        <v>5745</v>
      </c>
      <c r="BI481" s="15" t="str">
        <f t="shared" si="1459"/>
        <v>2099</v>
      </c>
      <c r="BJ481" s="15" t="str">
        <f t="shared" si="1460"/>
        <v>885</v>
      </c>
      <c r="BK481" s="15" t="s">
        <v>415</v>
      </c>
      <c r="BL481" s="15" t="str">
        <f t="shared" si="1404"/>
        <v>1</v>
      </c>
      <c r="BM481" s="15" t="s">
        <v>416</v>
      </c>
      <c r="BN481" s="15" t="str">
        <f t="shared" si="1462"/>
        <v>44.88</v>
      </c>
      <c r="BO481" s="15" t="str">
        <f t="shared" si="1463"/>
        <v>45.28</v>
      </c>
      <c r="BP481" s="15" t="str">
        <f t="shared" si="1464"/>
        <v>22.83</v>
      </c>
      <c r="BQ481" s="15" t="str">
        <f t="shared" si="1465"/>
        <v>98.99</v>
      </c>
      <c r="CG481" s="15" t="str">
        <f t="shared" si="1466"/>
        <v>26.84</v>
      </c>
      <c r="CH481" s="15" t="str">
        <f t="shared" si="1467"/>
        <v>0.76</v>
      </c>
      <c r="CI481" s="15" t="s">
        <v>497</v>
      </c>
      <c r="CZ481" s="15" t="s">
        <v>419</v>
      </c>
      <c r="DA481" s="15">
        <v>0.0</v>
      </c>
      <c r="DB481" s="15" t="s">
        <v>419</v>
      </c>
      <c r="DD481" s="15">
        <v>0.0</v>
      </c>
      <c r="DF481" s="15" t="s">
        <v>1388</v>
      </c>
      <c r="DG481" s="15" t="s">
        <v>419</v>
      </c>
      <c r="DK481" s="15">
        <v>0.0</v>
      </c>
      <c r="DR481" s="15" t="s">
        <v>1157</v>
      </c>
      <c r="DS481" s="15" t="s">
        <v>5681</v>
      </c>
      <c r="DU481" s="15" t="s">
        <v>500</v>
      </c>
      <c r="EF481" s="15" t="s">
        <v>2465</v>
      </c>
      <c r="EG481" s="15" t="s">
        <v>1211</v>
      </c>
      <c r="EH481" s="15" t="s">
        <v>1211</v>
      </c>
      <c r="EQ481" s="15" t="s">
        <v>5737</v>
      </c>
      <c r="ER481" s="15" t="s">
        <v>2465</v>
      </c>
      <c r="ES481" s="15" t="s">
        <v>5737</v>
      </c>
      <c r="ET481" s="15" t="s">
        <v>5738</v>
      </c>
      <c r="EU481" s="15" t="s">
        <v>426</v>
      </c>
      <c r="EV481" s="15">
        <v>0.0</v>
      </c>
      <c r="EW481" s="15">
        <v>0.0</v>
      </c>
    </row>
    <row r="482" ht="17.25" customHeight="1">
      <c r="A482" s="15" t="s">
        <v>5750</v>
      </c>
      <c r="B482" s="15" t="str">
        <f>"801542614294"</f>
        <v>801542614294</v>
      </c>
      <c r="C482" s="15" t="s">
        <v>16945</v>
      </c>
      <c r="D482" s="15" t="str">
        <f t="shared" si="1"/>
        <v>Hudson Round End TableAshen Walnut</v>
      </c>
      <c r="E482" s="15" t="s">
        <v>5748</v>
      </c>
      <c r="F482" s="15" t="s">
        <v>397</v>
      </c>
      <c r="G482" s="15" t="s">
        <v>2697</v>
      </c>
      <c r="J482" s="15" t="s">
        <v>2697</v>
      </c>
      <c r="K482" s="15" t="s">
        <v>1095</v>
      </c>
      <c r="M482" s="15" t="s">
        <v>411</v>
      </c>
      <c r="N482" s="15" t="s">
        <v>1154</v>
      </c>
      <c r="P482" s="15" t="str">
        <f t="shared" ref="P482:Q482" si="1468">"20"</f>
        <v>20</v>
      </c>
      <c r="Q482" s="15" t="str">
        <f t="shared" si="1468"/>
        <v>20</v>
      </c>
      <c r="R482" s="15" t="str">
        <f t="shared" ref="R482:R484" si="1470">"21"</f>
        <v>21</v>
      </c>
      <c r="S482" s="15" t="str">
        <f t="shared" ref="S482:S484" si="1471">"24.25"</f>
        <v>24.25</v>
      </c>
      <c r="T482" s="15" t="s">
        <v>5699</v>
      </c>
      <c r="U482" s="15" t="s">
        <v>13023</v>
      </c>
      <c r="V482" s="15" t="s">
        <v>11386</v>
      </c>
      <c r="AA482" s="15" t="s">
        <v>413</v>
      </c>
      <c r="AB482" s="15" t="s">
        <v>413</v>
      </c>
      <c r="AC482" s="15" t="s">
        <v>5752</v>
      </c>
      <c r="AD482" s="15" t="s">
        <v>16946</v>
      </c>
      <c r="AE482" s="15" t="s">
        <v>5751</v>
      </c>
      <c r="AF482" s="15" t="s">
        <v>16947</v>
      </c>
      <c r="AG482" s="15" t="s">
        <v>16948</v>
      </c>
      <c r="AH482" s="15" t="s">
        <v>13029</v>
      </c>
      <c r="AI482" s="15" t="s">
        <v>16949</v>
      </c>
      <c r="AJ482" s="15" t="s">
        <v>16950</v>
      </c>
      <c r="AK482" s="15" t="s">
        <v>16951</v>
      </c>
      <c r="AL482" s="15" t="s">
        <v>16952</v>
      </c>
      <c r="AM482" s="15" t="s">
        <v>16953</v>
      </c>
      <c r="AN482" s="15" t="s">
        <v>16954</v>
      </c>
      <c r="BH482" s="15" t="s">
        <v>5749</v>
      </c>
      <c r="BI482" s="15" t="str">
        <f t="shared" ref="BI482:BI484" si="1472">"1099"</f>
        <v>1099</v>
      </c>
      <c r="BJ482" s="15" t="str">
        <f t="shared" ref="BJ482:BJ484" si="1473">"465"</f>
        <v>465</v>
      </c>
      <c r="BK482" s="15" t="s">
        <v>415</v>
      </c>
      <c r="BL482" s="15" t="str">
        <f t="shared" si="1404"/>
        <v>1</v>
      </c>
      <c r="BM482" s="15" t="s">
        <v>416</v>
      </c>
      <c r="BN482" s="15" t="str">
        <f t="shared" ref="BN482:BN484" si="1474">"25.98"</f>
        <v>25.98</v>
      </c>
      <c r="BO482" s="15" t="str">
        <f t="shared" ref="BO482:BO484" si="1475">"25.59"</f>
        <v>25.59</v>
      </c>
      <c r="BP482" s="15" t="str">
        <f t="shared" ref="BP482:BP484" si="1476">"27.56"</f>
        <v>27.56</v>
      </c>
      <c r="BQ482" s="15" t="str">
        <f t="shared" ref="BQ482:BQ484" si="1477">"41.01"</f>
        <v>41.01</v>
      </c>
      <c r="CG482" s="15" t="str">
        <f t="shared" ref="CG482:CG484" si="1478">"10.59"</f>
        <v>10.59</v>
      </c>
      <c r="CH482" s="15" t="str">
        <f t="shared" ref="CH482:CH484" si="1479">"0.3"</f>
        <v>0.3</v>
      </c>
      <c r="CI482" s="15" t="s">
        <v>465</v>
      </c>
      <c r="CZ482" s="15" t="s">
        <v>419</v>
      </c>
      <c r="DA482" s="15">
        <v>0.0</v>
      </c>
      <c r="DB482" s="15" t="s">
        <v>419</v>
      </c>
      <c r="DD482" s="15">
        <v>0.0</v>
      </c>
      <c r="DF482" s="15" t="s">
        <v>1388</v>
      </c>
      <c r="DG482" s="15" t="s">
        <v>419</v>
      </c>
      <c r="DK482" s="15">
        <v>0.0</v>
      </c>
      <c r="DR482" s="15" t="s">
        <v>1157</v>
      </c>
      <c r="DS482" s="15" t="s">
        <v>5681</v>
      </c>
      <c r="DU482" s="15" t="s">
        <v>500</v>
      </c>
      <c r="EF482" s="15" t="s">
        <v>5722</v>
      </c>
      <c r="EG482" s="15" t="s">
        <v>3241</v>
      </c>
      <c r="EH482" s="15" t="s">
        <v>3241</v>
      </c>
      <c r="EQ482" s="15" t="s">
        <v>5754</v>
      </c>
      <c r="ER482" s="15" t="s">
        <v>5722</v>
      </c>
      <c r="ES482" s="15" t="s">
        <v>5754</v>
      </c>
      <c r="ET482" s="15" t="s">
        <v>4409</v>
      </c>
      <c r="EU482" s="15" t="s">
        <v>426</v>
      </c>
      <c r="EV482" s="15">
        <v>0.0</v>
      </c>
      <c r="EW482" s="15">
        <v>0.0</v>
      </c>
    </row>
    <row r="483" ht="17.25" customHeight="1">
      <c r="A483" s="15" t="s">
        <v>5756</v>
      </c>
      <c r="B483" s="15" t="str">
        <f>"801542402556"</f>
        <v>801542402556</v>
      </c>
      <c r="C483" s="15" t="s">
        <v>16955</v>
      </c>
      <c r="D483" s="15" t="str">
        <f t="shared" si="1"/>
        <v>Hudson Round End TableNatural Yukas Resin</v>
      </c>
      <c r="E483" s="15" t="s">
        <v>5748</v>
      </c>
      <c r="F483" s="15" t="s">
        <v>397</v>
      </c>
      <c r="G483" s="15" t="s">
        <v>5740</v>
      </c>
      <c r="J483" s="15" t="s">
        <v>5740</v>
      </c>
      <c r="K483" s="15" t="s">
        <v>1095</v>
      </c>
      <c r="M483" s="15" t="s">
        <v>411</v>
      </c>
      <c r="N483" s="15" t="s">
        <v>1154</v>
      </c>
      <c r="P483" s="15" t="str">
        <f t="shared" ref="P483:Q483" si="1469">"20"</f>
        <v>20</v>
      </c>
      <c r="Q483" s="15" t="str">
        <f t="shared" si="1469"/>
        <v>20</v>
      </c>
      <c r="R483" s="15" t="str">
        <f t="shared" si="1470"/>
        <v>21</v>
      </c>
      <c r="S483" s="15" t="str">
        <f t="shared" si="1471"/>
        <v>24.25</v>
      </c>
      <c r="T483" s="15" t="s">
        <v>5709</v>
      </c>
      <c r="U483" s="15" t="s">
        <v>12327</v>
      </c>
      <c r="V483" s="15" t="s">
        <v>11386</v>
      </c>
      <c r="AA483" s="15" t="s">
        <v>413</v>
      </c>
      <c r="AB483" s="15" t="s">
        <v>413</v>
      </c>
      <c r="AD483" s="15" t="s">
        <v>16956</v>
      </c>
      <c r="AE483" s="15" t="s">
        <v>5757</v>
      </c>
      <c r="AF483" s="15" t="s">
        <v>16957</v>
      </c>
      <c r="AG483" s="15" t="s">
        <v>16958</v>
      </c>
      <c r="AH483" s="15" t="s">
        <v>16959</v>
      </c>
      <c r="AI483" s="15" t="s">
        <v>16960</v>
      </c>
      <c r="BH483" s="15" t="s">
        <v>5755</v>
      </c>
      <c r="BI483" s="15" t="str">
        <f t="shared" si="1472"/>
        <v>1099</v>
      </c>
      <c r="BJ483" s="15" t="str">
        <f t="shared" si="1473"/>
        <v>465</v>
      </c>
      <c r="BK483" s="15" t="s">
        <v>415</v>
      </c>
      <c r="BL483" s="15" t="str">
        <f t="shared" si="1404"/>
        <v>1</v>
      </c>
      <c r="BM483" s="15" t="s">
        <v>416</v>
      </c>
      <c r="BN483" s="15" t="str">
        <f t="shared" si="1474"/>
        <v>25.98</v>
      </c>
      <c r="BO483" s="15" t="str">
        <f t="shared" si="1475"/>
        <v>25.59</v>
      </c>
      <c r="BP483" s="15" t="str">
        <f t="shared" si="1476"/>
        <v>27.56</v>
      </c>
      <c r="BQ483" s="15" t="str">
        <f t="shared" si="1477"/>
        <v>41.01</v>
      </c>
      <c r="CG483" s="15" t="str">
        <f t="shared" si="1478"/>
        <v>10.59</v>
      </c>
      <c r="CH483" s="15" t="str">
        <f t="shared" si="1479"/>
        <v>0.3</v>
      </c>
      <c r="CI483" s="15" t="s">
        <v>465</v>
      </c>
      <c r="CZ483" s="15" t="s">
        <v>419</v>
      </c>
      <c r="DA483" s="15">
        <v>0.0</v>
      </c>
      <c r="DB483" s="15" t="s">
        <v>419</v>
      </c>
      <c r="DD483" s="15">
        <v>0.0</v>
      </c>
      <c r="DF483" s="15" t="s">
        <v>1388</v>
      </c>
      <c r="DG483" s="15" t="s">
        <v>419</v>
      </c>
      <c r="DK483" s="15">
        <v>0.0</v>
      </c>
      <c r="DR483" s="15" t="s">
        <v>1157</v>
      </c>
      <c r="DS483" s="15" t="s">
        <v>5681</v>
      </c>
      <c r="DU483" s="15" t="s">
        <v>500</v>
      </c>
      <c r="EF483" s="15" t="s">
        <v>5722</v>
      </c>
      <c r="EG483" s="15" t="s">
        <v>3241</v>
      </c>
      <c r="EH483" s="15" t="s">
        <v>3241</v>
      </c>
      <c r="EQ483" s="15" t="s">
        <v>5754</v>
      </c>
      <c r="ER483" s="15" t="s">
        <v>5722</v>
      </c>
      <c r="ES483" s="15" t="s">
        <v>5754</v>
      </c>
      <c r="ET483" s="15" t="s">
        <v>4409</v>
      </c>
      <c r="EU483" s="15" t="s">
        <v>426</v>
      </c>
      <c r="EV483" s="15">
        <v>0.0</v>
      </c>
      <c r="EW483" s="15">
        <v>0.0</v>
      </c>
    </row>
    <row r="484" ht="17.25" customHeight="1">
      <c r="A484" s="15" t="s">
        <v>5759</v>
      </c>
      <c r="B484" s="15" t="str">
        <f>"801542382384"</f>
        <v>801542382384</v>
      </c>
      <c r="C484" s="15" t="s">
        <v>16961</v>
      </c>
      <c r="D484" s="15" t="str">
        <f t="shared" si="1"/>
        <v>Hudson Round End TableSpalted Primavera</v>
      </c>
      <c r="E484" s="15" t="s">
        <v>5748</v>
      </c>
      <c r="F484" s="15" t="s">
        <v>397</v>
      </c>
      <c r="G484" s="15" t="s">
        <v>5689</v>
      </c>
      <c r="J484" s="15" t="s">
        <v>5689</v>
      </c>
      <c r="K484" s="15" t="s">
        <v>1095</v>
      </c>
      <c r="M484" s="15" t="s">
        <v>411</v>
      </c>
      <c r="N484" s="15" t="s">
        <v>1154</v>
      </c>
      <c r="P484" s="15" t="str">
        <f t="shared" ref="P484:Q484" si="1480">"20"</f>
        <v>20</v>
      </c>
      <c r="Q484" s="15" t="str">
        <f t="shared" si="1480"/>
        <v>20</v>
      </c>
      <c r="R484" s="15" t="str">
        <f t="shared" si="1470"/>
        <v>21</v>
      </c>
      <c r="S484" s="15" t="str">
        <f t="shared" si="1471"/>
        <v>24.25</v>
      </c>
      <c r="T484" s="15" t="s">
        <v>5714</v>
      </c>
      <c r="U484" s="15" t="s">
        <v>14174</v>
      </c>
      <c r="V484" s="15" t="s">
        <v>11386</v>
      </c>
      <c r="AA484" s="15" t="s">
        <v>413</v>
      </c>
      <c r="AB484" s="15" t="s">
        <v>413</v>
      </c>
      <c r="AD484" s="15" t="s">
        <v>16962</v>
      </c>
      <c r="AE484" s="15" t="s">
        <v>5760</v>
      </c>
      <c r="AF484" s="15" t="s">
        <v>16963</v>
      </c>
      <c r="AG484" s="15" t="s">
        <v>16964</v>
      </c>
      <c r="AH484" s="15" t="s">
        <v>16965</v>
      </c>
      <c r="AI484" s="15" t="s">
        <v>16966</v>
      </c>
      <c r="AJ484" s="15" t="s">
        <v>16967</v>
      </c>
      <c r="AK484" s="15" t="s">
        <v>16968</v>
      </c>
      <c r="AL484" s="15" t="s">
        <v>16969</v>
      </c>
      <c r="AM484" s="15" t="s">
        <v>16970</v>
      </c>
      <c r="BH484" s="15" t="s">
        <v>5758</v>
      </c>
      <c r="BI484" s="15" t="str">
        <f t="shared" si="1472"/>
        <v>1099</v>
      </c>
      <c r="BJ484" s="15" t="str">
        <f t="shared" si="1473"/>
        <v>465</v>
      </c>
      <c r="BK484" s="15" t="s">
        <v>415</v>
      </c>
      <c r="BL484" s="15" t="str">
        <f t="shared" si="1404"/>
        <v>1</v>
      </c>
      <c r="BM484" s="15" t="s">
        <v>416</v>
      </c>
      <c r="BN484" s="15" t="str">
        <f t="shared" si="1474"/>
        <v>25.98</v>
      </c>
      <c r="BO484" s="15" t="str">
        <f t="shared" si="1475"/>
        <v>25.59</v>
      </c>
      <c r="BP484" s="15" t="str">
        <f t="shared" si="1476"/>
        <v>27.56</v>
      </c>
      <c r="BQ484" s="15" t="str">
        <f t="shared" si="1477"/>
        <v>41.01</v>
      </c>
      <c r="CG484" s="15" t="str">
        <f t="shared" si="1478"/>
        <v>10.59</v>
      </c>
      <c r="CH484" s="15" t="str">
        <f t="shared" si="1479"/>
        <v>0.3</v>
      </c>
      <c r="CI484" s="15" t="s">
        <v>417</v>
      </c>
      <c r="CZ484" s="15" t="s">
        <v>419</v>
      </c>
      <c r="DA484" s="15">
        <v>0.0</v>
      </c>
      <c r="DB484" s="15" t="s">
        <v>419</v>
      </c>
      <c r="DD484" s="15">
        <v>0.0</v>
      </c>
      <c r="DF484" s="15" t="s">
        <v>1388</v>
      </c>
      <c r="DG484" s="15" t="s">
        <v>419</v>
      </c>
      <c r="DK484" s="15">
        <v>0.0</v>
      </c>
      <c r="DR484" s="15" t="s">
        <v>1157</v>
      </c>
      <c r="DS484" s="15" t="s">
        <v>5681</v>
      </c>
      <c r="DU484" s="15" t="s">
        <v>500</v>
      </c>
      <c r="EF484" s="15" t="s">
        <v>5722</v>
      </c>
      <c r="EG484" s="15" t="s">
        <v>3241</v>
      </c>
      <c r="EH484" s="15" t="s">
        <v>3241</v>
      </c>
      <c r="EQ484" s="15" t="s">
        <v>5754</v>
      </c>
      <c r="ER484" s="15" t="s">
        <v>5722</v>
      </c>
      <c r="ES484" s="15" t="s">
        <v>5754</v>
      </c>
      <c r="ET484" s="15" t="s">
        <v>4409</v>
      </c>
      <c r="EU484" s="15" t="s">
        <v>426</v>
      </c>
      <c r="EV484" s="15">
        <v>0.0</v>
      </c>
      <c r="EW484" s="15">
        <v>0.0</v>
      </c>
    </row>
    <row r="485" ht="17.25" customHeight="1">
      <c r="A485" s="15" t="s">
        <v>5763</v>
      </c>
      <c r="B485" s="15" t="str">
        <f>"801542615383"</f>
        <v>801542615383</v>
      </c>
      <c r="C485" s="15" t="s">
        <v>16971</v>
      </c>
      <c r="D485" s="15" t="str">
        <f t="shared" si="1"/>
        <v>Hudson Square Coffee TableAshen Walnut</v>
      </c>
      <c r="E485" s="15" t="s">
        <v>5761</v>
      </c>
      <c r="F485" s="15" t="s">
        <v>397</v>
      </c>
      <c r="G485" s="15" t="s">
        <v>2697</v>
      </c>
      <c r="J485" s="15" t="s">
        <v>2697</v>
      </c>
      <c r="K485" s="15" t="s">
        <v>1095</v>
      </c>
      <c r="M485" s="15" t="s">
        <v>411</v>
      </c>
      <c r="N485" s="15" t="s">
        <v>491</v>
      </c>
      <c r="P485" s="15" t="str">
        <f t="shared" ref="P485:Q485" si="1481">"40"</f>
        <v>40</v>
      </c>
      <c r="Q485" s="15" t="str">
        <f t="shared" si="1481"/>
        <v>40</v>
      </c>
      <c r="R485" s="15" t="str">
        <f t="shared" ref="R485:R487" si="1483">"15"</f>
        <v>15</v>
      </c>
      <c r="S485" s="15" t="str">
        <f t="shared" ref="S485:S487" si="1484">"88.18"</f>
        <v>88.18</v>
      </c>
      <c r="T485" s="15" t="s">
        <v>5699</v>
      </c>
      <c r="U485" s="15" t="s">
        <v>13023</v>
      </c>
      <c r="V485" s="15" t="s">
        <v>11386</v>
      </c>
      <c r="AA485" s="15" t="s">
        <v>413</v>
      </c>
      <c r="AB485" s="15" t="s">
        <v>413</v>
      </c>
      <c r="AC485" s="15" t="s">
        <v>5765</v>
      </c>
      <c r="AD485" s="15" t="s">
        <v>16972</v>
      </c>
      <c r="AE485" s="15" t="s">
        <v>5764</v>
      </c>
      <c r="AF485" s="15" t="s">
        <v>16973</v>
      </c>
      <c r="AG485" s="15" t="s">
        <v>16974</v>
      </c>
      <c r="AH485" s="15" t="s">
        <v>16975</v>
      </c>
      <c r="AI485" s="15" t="s">
        <v>13029</v>
      </c>
      <c r="AJ485" s="15" t="s">
        <v>16976</v>
      </c>
      <c r="AK485" s="15" t="s">
        <v>16977</v>
      </c>
      <c r="AL485" s="15" t="s">
        <v>16978</v>
      </c>
      <c r="AM485" s="15" t="s">
        <v>16979</v>
      </c>
      <c r="AN485" s="15" t="s">
        <v>16980</v>
      </c>
      <c r="BH485" s="15" t="s">
        <v>5762</v>
      </c>
      <c r="BI485" s="15" t="str">
        <f t="shared" ref="BI485:BI487" si="1485">"2099"</f>
        <v>2099</v>
      </c>
      <c r="BJ485" s="15" t="str">
        <f t="shared" ref="BJ485:BJ487" si="1486">"885"</f>
        <v>885</v>
      </c>
      <c r="BK485" s="15" t="s">
        <v>415</v>
      </c>
      <c r="BL485" s="15" t="str">
        <f t="shared" si="1404"/>
        <v>1</v>
      </c>
      <c r="BM485" s="15" t="s">
        <v>416</v>
      </c>
      <c r="BN485" s="15" t="str">
        <f t="shared" ref="BN485:BN487" si="1487">"46.46"</f>
        <v>46.46</v>
      </c>
      <c r="BO485" s="15" t="str">
        <f t="shared" ref="BO485:BO487" si="1488">"46.85"</f>
        <v>46.85</v>
      </c>
      <c r="BP485" s="15" t="str">
        <f t="shared" ref="BP485:BP487" si="1489">"21.26"</f>
        <v>21.26</v>
      </c>
      <c r="BQ485" s="15" t="str">
        <f t="shared" ref="BQ485:BQ487" si="1490">"142.64"</f>
        <v>142.64</v>
      </c>
      <c r="CG485" s="15" t="str">
        <f t="shared" ref="CG485:CG487" si="1491">"26.77"</f>
        <v>26.77</v>
      </c>
      <c r="CH485" s="15" t="str">
        <f t="shared" ref="CH485:CH487" si="1492">"0.758"</f>
        <v>0.758</v>
      </c>
      <c r="CI485" s="15" t="s">
        <v>417</v>
      </c>
      <c r="CZ485" s="15" t="s">
        <v>419</v>
      </c>
      <c r="DA485" s="15">
        <v>0.0</v>
      </c>
      <c r="DB485" s="15" t="s">
        <v>419</v>
      </c>
      <c r="DD485" s="15">
        <v>0.0</v>
      </c>
      <c r="DF485" s="15" t="s">
        <v>1388</v>
      </c>
      <c r="DG485" s="15" t="s">
        <v>419</v>
      </c>
      <c r="DK485" s="15">
        <v>0.0</v>
      </c>
      <c r="DR485" s="15" t="s">
        <v>498</v>
      </c>
      <c r="DS485" s="15" t="s">
        <v>5681</v>
      </c>
      <c r="DU485" s="15" t="s">
        <v>500</v>
      </c>
      <c r="EF485" s="15" t="s">
        <v>1807</v>
      </c>
      <c r="EG485" s="15" t="s">
        <v>4339</v>
      </c>
      <c r="EH485" s="15" t="s">
        <v>4339</v>
      </c>
      <c r="EQ485" s="15" t="s">
        <v>4277</v>
      </c>
      <c r="ER485" s="15" t="s">
        <v>1807</v>
      </c>
      <c r="ES485" s="15" t="s">
        <v>4277</v>
      </c>
      <c r="ET485" s="15" t="s">
        <v>1982</v>
      </c>
      <c r="EU485" s="15" t="s">
        <v>426</v>
      </c>
      <c r="EV485" s="15">
        <v>0.0</v>
      </c>
      <c r="EW485" s="15">
        <v>0.0</v>
      </c>
      <c r="FF485" s="15" t="s">
        <v>672</v>
      </c>
    </row>
    <row r="486" ht="17.25" customHeight="1">
      <c r="A486" s="15" t="s">
        <v>5767</v>
      </c>
      <c r="B486" s="15" t="str">
        <f>"801542437497"</f>
        <v>801542437497</v>
      </c>
      <c r="C486" s="15" t="s">
        <v>16981</v>
      </c>
      <c r="D486" s="15" t="str">
        <f t="shared" si="1"/>
        <v>Hudson Square Coffee TableNatural Yukas Resin</v>
      </c>
      <c r="E486" s="15" t="s">
        <v>5761</v>
      </c>
      <c r="F486" s="15" t="s">
        <v>397</v>
      </c>
      <c r="G486" s="15" t="s">
        <v>5740</v>
      </c>
      <c r="J486" s="15" t="s">
        <v>5740</v>
      </c>
      <c r="K486" s="15" t="s">
        <v>1095</v>
      </c>
      <c r="M486" s="15" t="s">
        <v>411</v>
      </c>
      <c r="N486" s="15" t="s">
        <v>491</v>
      </c>
      <c r="P486" s="15" t="str">
        <f t="shared" ref="P486:Q486" si="1482">"40"</f>
        <v>40</v>
      </c>
      <c r="Q486" s="15" t="str">
        <f t="shared" si="1482"/>
        <v>40</v>
      </c>
      <c r="R486" s="15" t="str">
        <f t="shared" si="1483"/>
        <v>15</v>
      </c>
      <c r="S486" s="15" t="str">
        <f t="shared" si="1484"/>
        <v>88.18</v>
      </c>
      <c r="T486" s="15" t="s">
        <v>5709</v>
      </c>
      <c r="U486" s="15" t="s">
        <v>12327</v>
      </c>
      <c r="V486" s="15" t="s">
        <v>11386</v>
      </c>
      <c r="AA486" s="15" t="s">
        <v>413</v>
      </c>
      <c r="AB486" s="15" t="s">
        <v>413</v>
      </c>
      <c r="AD486" s="15" t="s">
        <v>16982</v>
      </c>
      <c r="AE486" s="15" t="s">
        <v>5768</v>
      </c>
      <c r="AF486" s="15" t="s">
        <v>16983</v>
      </c>
      <c r="AG486" s="15" t="s">
        <v>16984</v>
      </c>
      <c r="AH486" s="15" t="s">
        <v>16985</v>
      </c>
      <c r="AI486" s="15" t="s">
        <v>16986</v>
      </c>
      <c r="AJ486" s="15" t="s">
        <v>16987</v>
      </c>
      <c r="AK486" s="15" t="s">
        <v>16988</v>
      </c>
      <c r="AL486" s="15" t="s">
        <v>16989</v>
      </c>
      <c r="BH486" s="15" t="s">
        <v>5766</v>
      </c>
      <c r="BI486" s="15" t="str">
        <f t="shared" si="1485"/>
        <v>2099</v>
      </c>
      <c r="BJ486" s="15" t="str">
        <f t="shared" si="1486"/>
        <v>885</v>
      </c>
      <c r="BK486" s="15" t="s">
        <v>415</v>
      </c>
      <c r="BL486" s="15" t="str">
        <f t="shared" si="1404"/>
        <v>1</v>
      </c>
      <c r="BM486" s="15" t="s">
        <v>416</v>
      </c>
      <c r="BN486" s="15" t="str">
        <f t="shared" si="1487"/>
        <v>46.46</v>
      </c>
      <c r="BO486" s="15" t="str">
        <f t="shared" si="1488"/>
        <v>46.85</v>
      </c>
      <c r="BP486" s="15" t="str">
        <f t="shared" si="1489"/>
        <v>21.26</v>
      </c>
      <c r="BQ486" s="15" t="str">
        <f t="shared" si="1490"/>
        <v>142.64</v>
      </c>
      <c r="CG486" s="15" t="str">
        <f t="shared" si="1491"/>
        <v>26.77</v>
      </c>
      <c r="CH486" s="15" t="str">
        <f t="shared" si="1492"/>
        <v>0.758</v>
      </c>
      <c r="CI486" s="15" t="s">
        <v>417</v>
      </c>
      <c r="CZ486" s="15" t="s">
        <v>419</v>
      </c>
      <c r="DA486" s="15">
        <v>0.0</v>
      </c>
      <c r="DB486" s="15" t="s">
        <v>419</v>
      </c>
      <c r="DD486" s="15">
        <v>0.0</v>
      </c>
      <c r="DF486" s="15" t="s">
        <v>1388</v>
      </c>
      <c r="DG486" s="15" t="s">
        <v>419</v>
      </c>
      <c r="DK486" s="15">
        <v>0.0</v>
      </c>
      <c r="DR486" s="15" t="s">
        <v>498</v>
      </c>
      <c r="DS486" s="15" t="s">
        <v>5681</v>
      </c>
      <c r="DU486" s="15" t="s">
        <v>500</v>
      </c>
      <c r="EF486" s="15" t="s">
        <v>1807</v>
      </c>
      <c r="EG486" s="15" t="s">
        <v>4339</v>
      </c>
      <c r="EH486" s="15" t="s">
        <v>4339</v>
      </c>
      <c r="EQ486" s="15" t="s">
        <v>4277</v>
      </c>
      <c r="ER486" s="15" t="s">
        <v>1807</v>
      </c>
      <c r="ES486" s="15" t="s">
        <v>4277</v>
      </c>
      <c r="ET486" s="15" t="s">
        <v>1982</v>
      </c>
      <c r="EU486" s="15" t="s">
        <v>426</v>
      </c>
      <c r="EV486" s="15">
        <v>0.0</v>
      </c>
      <c r="EW486" s="15">
        <v>0.0</v>
      </c>
      <c r="FF486" s="15" t="s">
        <v>672</v>
      </c>
    </row>
    <row r="487" ht="17.25" customHeight="1">
      <c r="A487" s="15" t="s">
        <v>5770</v>
      </c>
      <c r="B487" s="15" t="str">
        <f>"801542390815"</f>
        <v>801542390815</v>
      </c>
      <c r="C487" s="15" t="s">
        <v>16990</v>
      </c>
      <c r="D487" s="15" t="str">
        <f t="shared" si="1"/>
        <v>Hudson Square Coffee TableSpalted Primavera</v>
      </c>
      <c r="E487" s="15" t="s">
        <v>5761</v>
      </c>
      <c r="F487" s="15" t="s">
        <v>397</v>
      </c>
      <c r="G487" s="15" t="s">
        <v>5689</v>
      </c>
      <c r="J487" s="15" t="s">
        <v>5689</v>
      </c>
      <c r="K487" s="15" t="s">
        <v>1095</v>
      </c>
      <c r="M487" s="15" t="s">
        <v>411</v>
      </c>
      <c r="N487" s="15" t="s">
        <v>491</v>
      </c>
      <c r="P487" s="15" t="str">
        <f t="shared" ref="P487:Q487" si="1493">"40"</f>
        <v>40</v>
      </c>
      <c r="Q487" s="15" t="str">
        <f t="shared" si="1493"/>
        <v>40</v>
      </c>
      <c r="R487" s="15" t="str">
        <f t="shared" si="1483"/>
        <v>15</v>
      </c>
      <c r="S487" s="15" t="str">
        <f t="shared" si="1484"/>
        <v>88.18</v>
      </c>
      <c r="T487" s="15" t="s">
        <v>5714</v>
      </c>
      <c r="U487" s="15" t="s">
        <v>14174</v>
      </c>
      <c r="V487" s="15" t="s">
        <v>11386</v>
      </c>
      <c r="AA487" s="15" t="s">
        <v>413</v>
      </c>
      <c r="AB487" s="15" t="s">
        <v>413</v>
      </c>
      <c r="AC487" s="15" t="s">
        <v>5772</v>
      </c>
      <c r="AD487" s="15" t="s">
        <v>16991</v>
      </c>
      <c r="AE487" s="15" t="s">
        <v>5771</v>
      </c>
      <c r="AF487" s="15" t="s">
        <v>16992</v>
      </c>
      <c r="AG487" s="15" t="s">
        <v>16993</v>
      </c>
      <c r="AH487" s="15" t="s">
        <v>16994</v>
      </c>
      <c r="AI487" s="15" t="s">
        <v>16995</v>
      </c>
      <c r="AJ487" s="15" t="s">
        <v>16996</v>
      </c>
      <c r="AK487" s="15" t="s">
        <v>16997</v>
      </c>
      <c r="AL487" s="15" t="s">
        <v>16998</v>
      </c>
      <c r="AM487" s="15" t="s">
        <v>16999</v>
      </c>
      <c r="AN487" s="15" t="s">
        <v>17000</v>
      </c>
      <c r="BH487" s="15" t="s">
        <v>5769</v>
      </c>
      <c r="BI487" s="15" t="str">
        <f t="shared" si="1485"/>
        <v>2099</v>
      </c>
      <c r="BJ487" s="15" t="str">
        <f t="shared" si="1486"/>
        <v>885</v>
      </c>
      <c r="BK487" s="15" t="s">
        <v>415</v>
      </c>
      <c r="BL487" s="15" t="str">
        <f t="shared" si="1404"/>
        <v>1</v>
      </c>
      <c r="BM487" s="15" t="s">
        <v>416</v>
      </c>
      <c r="BN487" s="15" t="str">
        <f t="shared" si="1487"/>
        <v>46.46</v>
      </c>
      <c r="BO487" s="15" t="str">
        <f t="shared" si="1488"/>
        <v>46.85</v>
      </c>
      <c r="BP487" s="15" t="str">
        <f t="shared" si="1489"/>
        <v>21.26</v>
      </c>
      <c r="BQ487" s="15" t="str">
        <f t="shared" si="1490"/>
        <v>142.64</v>
      </c>
      <c r="CG487" s="15" t="str">
        <f t="shared" si="1491"/>
        <v>26.77</v>
      </c>
      <c r="CH487" s="15" t="str">
        <f t="shared" si="1492"/>
        <v>0.758</v>
      </c>
      <c r="CI487" s="15" t="s">
        <v>465</v>
      </c>
      <c r="CZ487" s="15" t="s">
        <v>419</v>
      </c>
      <c r="DA487" s="15">
        <v>0.0</v>
      </c>
      <c r="DB487" s="15" t="s">
        <v>419</v>
      </c>
      <c r="DD487" s="15">
        <v>0.0</v>
      </c>
      <c r="DF487" s="15" t="s">
        <v>1388</v>
      </c>
      <c r="DG487" s="15" t="s">
        <v>419</v>
      </c>
      <c r="DK487" s="15">
        <v>0.0</v>
      </c>
      <c r="DR487" s="15" t="s">
        <v>498</v>
      </c>
      <c r="DS487" s="15" t="s">
        <v>5681</v>
      </c>
      <c r="DU487" s="15" t="s">
        <v>500</v>
      </c>
      <c r="EF487" s="15" t="s">
        <v>1807</v>
      </c>
      <c r="EG487" s="15" t="s">
        <v>4339</v>
      </c>
      <c r="EH487" s="15" t="s">
        <v>4339</v>
      </c>
      <c r="EQ487" s="15" t="s">
        <v>4277</v>
      </c>
      <c r="ER487" s="15" t="s">
        <v>1807</v>
      </c>
      <c r="ES487" s="15" t="s">
        <v>4277</v>
      </c>
      <c r="ET487" s="15" t="s">
        <v>1982</v>
      </c>
      <c r="EU487" s="15" t="s">
        <v>426</v>
      </c>
      <c r="EV487" s="15">
        <v>0.0</v>
      </c>
      <c r="EW487" s="15">
        <v>0.0</v>
      </c>
      <c r="FF487" s="15" t="s">
        <v>672</v>
      </c>
    </row>
    <row r="488" ht="17.25" customHeight="1">
      <c r="A488" s="15" t="s">
        <v>5775</v>
      </c>
      <c r="B488" s="15" t="str">
        <f>"198394060653"</f>
        <v>198394060653</v>
      </c>
      <c r="C488" s="15" t="s">
        <v>17001</v>
      </c>
      <c r="D488" s="15" t="str">
        <f t="shared" si="1"/>
        <v>Huxley Coffee TableRubbed Light Oak Veneer</v>
      </c>
      <c r="E488" s="15" t="s">
        <v>5773</v>
      </c>
      <c r="F488" s="15" t="s">
        <v>397</v>
      </c>
      <c r="G488" s="15" t="s">
        <v>3638</v>
      </c>
      <c r="J488" s="15" t="s">
        <v>3638</v>
      </c>
      <c r="M488" s="15" t="s">
        <v>1896</v>
      </c>
      <c r="N488" s="15" t="s">
        <v>491</v>
      </c>
      <c r="P488" s="15" t="str">
        <f>"65"</f>
        <v>65</v>
      </c>
      <c r="Q488" s="15" t="str">
        <f>"35"</f>
        <v>35</v>
      </c>
      <c r="R488" s="15" t="str">
        <f>"16"</f>
        <v>16</v>
      </c>
      <c r="S488" s="15" t="str">
        <f>"85.98"</f>
        <v>85.98</v>
      </c>
      <c r="T488" s="15" t="s">
        <v>1025</v>
      </c>
      <c r="U488" s="15" t="s">
        <v>10881</v>
      </c>
      <c r="V488" s="15" t="s">
        <v>11338</v>
      </c>
      <c r="AA488" s="15" t="s">
        <v>413</v>
      </c>
      <c r="AB488" s="15" t="s">
        <v>413</v>
      </c>
      <c r="AD488" s="15" t="s">
        <v>17002</v>
      </c>
      <c r="AE488" s="15" t="s">
        <v>5777</v>
      </c>
      <c r="AF488" s="15" t="s">
        <v>17003</v>
      </c>
      <c r="AG488" s="15" t="s">
        <v>17004</v>
      </c>
      <c r="AH488" s="15" t="s">
        <v>17005</v>
      </c>
      <c r="AI488" s="15" t="s">
        <v>17006</v>
      </c>
      <c r="AJ488" s="15" t="s">
        <v>17007</v>
      </c>
      <c r="AK488" s="15" t="s">
        <v>17008</v>
      </c>
      <c r="AL488" s="15" t="s">
        <v>17009</v>
      </c>
      <c r="AM488" s="15" t="s">
        <v>17010</v>
      </c>
      <c r="BH488" s="15" t="s">
        <v>5774</v>
      </c>
      <c r="BI488" s="15" t="str">
        <f>"1149"</f>
        <v>1149</v>
      </c>
      <c r="BJ488" s="15" t="str">
        <f>"485"</f>
        <v>485</v>
      </c>
      <c r="BK488" s="15" t="s">
        <v>742</v>
      </c>
      <c r="BL488" s="15" t="str">
        <f t="shared" ref="BL488:BL489" si="1494">"2"</f>
        <v>2</v>
      </c>
      <c r="BM488" s="15" t="s">
        <v>5778</v>
      </c>
      <c r="BN488" s="15" t="str">
        <f>"69.69"</f>
        <v>69.69</v>
      </c>
      <c r="BO488" s="15" t="str">
        <f>"7.87"</f>
        <v>7.87</v>
      </c>
      <c r="BP488" s="15" t="str">
        <f>"39.76"</f>
        <v>39.76</v>
      </c>
      <c r="BQ488" s="15" t="str">
        <f>"80.47"</f>
        <v>80.47</v>
      </c>
      <c r="BR488" s="15" t="s">
        <v>2238</v>
      </c>
      <c r="BS488" s="15" t="str">
        <f>"25.39"</f>
        <v>25.39</v>
      </c>
      <c r="BT488" s="15" t="str">
        <f>"17.91"</f>
        <v>17.91</v>
      </c>
      <c r="BU488" s="15" t="str">
        <f>"20.08"</f>
        <v>20.08</v>
      </c>
      <c r="BV488" s="15" t="str">
        <f>"44.09"</f>
        <v>44.09</v>
      </c>
      <c r="CG488" s="15" t="str">
        <f>"17.94"</f>
        <v>17.94</v>
      </c>
      <c r="CH488" s="15" t="str">
        <f>"0.508"</f>
        <v>0.508</v>
      </c>
      <c r="CI488" s="15" t="s">
        <v>417</v>
      </c>
      <c r="CZ488" s="15" t="s">
        <v>419</v>
      </c>
      <c r="DA488" s="15">
        <v>0.0</v>
      </c>
      <c r="DB488" s="15" t="s">
        <v>419</v>
      </c>
      <c r="DD488" s="15">
        <v>0.0</v>
      </c>
      <c r="DF488" s="15" t="s">
        <v>1186</v>
      </c>
      <c r="DG488" s="15" t="s">
        <v>419</v>
      </c>
      <c r="DK488" s="15">
        <v>0.0</v>
      </c>
      <c r="DR488" s="15" t="s">
        <v>471</v>
      </c>
      <c r="DS488" s="15" t="s">
        <v>5782</v>
      </c>
      <c r="DU488" s="15" t="s">
        <v>500</v>
      </c>
      <c r="EF488" s="15" t="s">
        <v>5129</v>
      </c>
      <c r="EH488" s="15" t="s">
        <v>728</v>
      </c>
      <c r="EQ488" s="15" t="s">
        <v>5783</v>
      </c>
      <c r="ER488" s="15" t="s">
        <v>5784</v>
      </c>
      <c r="ES488" s="15" t="s">
        <v>5785</v>
      </c>
      <c r="ET488" s="15" t="s">
        <v>1517</v>
      </c>
      <c r="EU488" s="15" t="s">
        <v>426</v>
      </c>
      <c r="EV488" s="15">
        <v>0.0</v>
      </c>
      <c r="EW488" s="15">
        <v>0.0</v>
      </c>
      <c r="FF488" s="15" t="s">
        <v>4377</v>
      </c>
    </row>
    <row r="489" ht="17.25" customHeight="1">
      <c r="A489" s="15" t="s">
        <v>5788</v>
      </c>
      <c r="B489" s="15" t="str">
        <f>"198394078412"</f>
        <v>198394078412</v>
      </c>
      <c r="C489" s="15" t="s">
        <v>17011</v>
      </c>
      <c r="D489" s="15" t="str">
        <f t="shared" si="1"/>
        <v>Huxley Dining TableRubbed Light Oak Veneer</v>
      </c>
      <c r="E489" s="15" t="s">
        <v>5786</v>
      </c>
      <c r="F489" s="15" t="s">
        <v>397</v>
      </c>
      <c r="G489" s="15" t="s">
        <v>3638</v>
      </c>
      <c r="J489" s="15" t="s">
        <v>3638</v>
      </c>
      <c r="M489" s="15" t="s">
        <v>1896</v>
      </c>
      <c r="N489" s="15" t="s">
        <v>548</v>
      </c>
      <c r="O489" s="15" t="s">
        <v>549</v>
      </c>
      <c r="P489" s="15" t="str">
        <f>"84"</f>
        <v>84</v>
      </c>
      <c r="Q489" s="15" t="str">
        <f>"42"</f>
        <v>42</v>
      </c>
      <c r="R489" s="15" t="str">
        <f>"30"</f>
        <v>30</v>
      </c>
      <c r="S489" s="15" t="str">
        <f>"199.52"</f>
        <v>199.52</v>
      </c>
      <c r="T489" s="15" t="s">
        <v>1025</v>
      </c>
      <c r="U489" s="15" t="s">
        <v>10881</v>
      </c>
      <c r="V489" s="15" t="s">
        <v>11338</v>
      </c>
      <c r="AA489" s="15" t="s">
        <v>413</v>
      </c>
      <c r="AB489" s="15" t="s">
        <v>413</v>
      </c>
      <c r="AD489" s="15" t="s">
        <v>17012</v>
      </c>
      <c r="AE489" s="15" t="s">
        <v>5790</v>
      </c>
      <c r="AF489" s="15" t="s">
        <v>17013</v>
      </c>
      <c r="AG489" s="15" t="s">
        <v>17014</v>
      </c>
      <c r="AH489" s="15" t="s">
        <v>17015</v>
      </c>
      <c r="AI489" s="15" t="s">
        <v>17016</v>
      </c>
      <c r="AJ489" s="15" t="s">
        <v>17017</v>
      </c>
      <c r="AK489" s="15" t="s">
        <v>17018</v>
      </c>
      <c r="AL489" s="15" t="s">
        <v>17019</v>
      </c>
      <c r="AM489" s="15" t="s">
        <v>17020</v>
      </c>
      <c r="BH489" s="15" t="s">
        <v>5787</v>
      </c>
      <c r="BI489" s="15" t="str">
        <f>"2599"</f>
        <v>2599</v>
      </c>
      <c r="BJ489" s="15" t="str">
        <f>"1095"</f>
        <v>1095</v>
      </c>
      <c r="BK489" s="15" t="s">
        <v>742</v>
      </c>
      <c r="BL489" s="15" t="str">
        <f t="shared" si="1494"/>
        <v>2</v>
      </c>
      <c r="BM489" s="15" t="s">
        <v>5791</v>
      </c>
      <c r="BN489" s="15" t="str">
        <f>"31.5"</f>
        <v>31.5</v>
      </c>
      <c r="BO489" s="15" t="str">
        <f>"24.8"</f>
        <v>24.8</v>
      </c>
      <c r="BP489" s="15" t="str">
        <f>"33.86"</f>
        <v>33.86</v>
      </c>
      <c r="BQ489" s="15" t="str">
        <f>"119.05"</f>
        <v>119.05</v>
      </c>
      <c r="BR489" s="15" t="s">
        <v>5793</v>
      </c>
      <c r="BS489" s="15" t="str">
        <f>"88.58"</f>
        <v>88.58</v>
      </c>
      <c r="BT489" s="15" t="str">
        <f>"9.84"</f>
        <v>9.84</v>
      </c>
      <c r="BU489" s="15" t="str">
        <f>"46.46"</f>
        <v>46.46</v>
      </c>
      <c r="BV489" s="15" t="str">
        <f>"132.28"</f>
        <v>132.28</v>
      </c>
      <c r="CG489" s="15" t="str">
        <f>"38.74"</f>
        <v>38.74</v>
      </c>
      <c r="CH489" s="15" t="str">
        <f>"1.097"</f>
        <v>1.097</v>
      </c>
      <c r="CI489" s="15" t="s">
        <v>497</v>
      </c>
      <c r="CZ489" s="15" t="s">
        <v>419</v>
      </c>
      <c r="DA489" s="15">
        <v>0.0</v>
      </c>
      <c r="DB489" s="15" t="s">
        <v>419</v>
      </c>
      <c r="DD489" s="15">
        <v>0.0</v>
      </c>
      <c r="DF489" s="15" t="s">
        <v>1186</v>
      </c>
      <c r="DG489" s="15" t="s">
        <v>419</v>
      </c>
      <c r="DI489" s="15">
        <v>0.0</v>
      </c>
      <c r="DJ489" s="15">
        <v>0.0</v>
      </c>
      <c r="DK489" s="15">
        <v>0.0</v>
      </c>
      <c r="DQ489" s="15">
        <v>6.0</v>
      </c>
      <c r="DR489" s="15" t="s">
        <v>471</v>
      </c>
      <c r="DS489" s="15" t="s">
        <v>5782</v>
      </c>
      <c r="DU489" s="15" t="s">
        <v>424</v>
      </c>
      <c r="EF489" s="15" t="s">
        <v>984</v>
      </c>
      <c r="EH489" s="15" t="s">
        <v>5794</v>
      </c>
      <c r="EQ489" s="15" t="s">
        <v>728</v>
      </c>
      <c r="ER489" s="15" t="s">
        <v>5795</v>
      </c>
      <c r="ES489" s="15" t="s">
        <v>1390</v>
      </c>
      <c r="ET489" s="15" t="s">
        <v>1517</v>
      </c>
      <c r="EU489" s="15" t="s">
        <v>426</v>
      </c>
      <c r="EV489" s="15">
        <v>0.0</v>
      </c>
      <c r="EW489" s="15">
        <v>0.0</v>
      </c>
      <c r="FD489" s="15" t="s">
        <v>5796</v>
      </c>
      <c r="FE489" s="15" t="s">
        <v>3908</v>
      </c>
      <c r="FF489" s="15" t="s">
        <v>985</v>
      </c>
      <c r="FG489" s="15" t="s">
        <v>3694</v>
      </c>
    </row>
    <row r="490" ht="17.25" customHeight="1">
      <c r="A490" s="15" t="s">
        <v>5800</v>
      </c>
      <c r="B490" s="15" t="str">
        <f>"801542748432"</f>
        <v>801542748432</v>
      </c>
      <c r="C490" s="15" t="s">
        <v>17021</v>
      </c>
      <c r="D490" s="15" t="str">
        <f t="shared" si="1"/>
        <v>Ilana CabinetBurnished Mindi</v>
      </c>
      <c r="E490" s="15" t="s">
        <v>5797</v>
      </c>
      <c r="F490" s="15" t="s">
        <v>397</v>
      </c>
      <c r="G490" s="15" t="s">
        <v>5799</v>
      </c>
      <c r="J490" s="15" t="s">
        <v>5799</v>
      </c>
      <c r="M490" s="15" t="s">
        <v>5804</v>
      </c>
      <c r="N490" s="15" t="s">
        <v>2891</v>
      </c>
      <c r="O490" s="15" t="s">
        <v>5805</v>
      </c>
      <c r="P490" s="15" t="str">
        <f>"40"</f>
        <v>40</v>
      </c>
      <c r="Q490" s="15" t="str">
        <f>"18"</f>
        <v>18</v>
      </c>
      <c r="R490" s="15" t="str">
        <f>"90"</f>
        <v>90</v>
      </c>
      <c r="S490" s="15" t="str">
        <f>"236.5"</f>
        <v>236.5</v>
      </c>
      <c r="T490" s="15" t="s">
        <v>5803</v>
      </c>
      <c r="U490" s="15" t="s">
        <v>17022</v>
      </c>
      <c r="AA490" s="15" t="s">
        <v>413</v>
      </c>
      <c r="AB490" s="15" t="s">
        <v>413</v>
      </c>
      <c r="AC490" s="15" t="s">
        <v>5806</v>
      </c>
      <c r="AD490" s="15" t="s">
        <v>17023</v>
      </c>
      <c r="AE490" s="15" t="s">
        <v>5802</v>
      </c>
      <c r="AF490" s="15" t="s">
        <v>17024</v>
      </c>
      <c r="AG490" s="15" t="s">
        <v>17025</v>
      </c>
      <c r="AH490" s="15" t="s">
        <v>17026</v>
      </c>
      <c r="AI490" s="15" t="s">
        <v>17027</v>
      </c>
      <c r="AJ490" s="15" t="s">
        <v>17028</v>
      </c>
      <c r="AK490" s="15" t="s">
        <v>17029</v>
      </c>
      <c r="AL490" s="15" t="s">
        <v>17030</v>
      </c>
      <c r="AM490" s="15" t="s">
        <v>17031</v>
      </c>
      <c r="AN490" s="15" t="s">
        <v>17032</v>
      </c>
      <c r="AO490" s="15" t="s">
        <v>17033</v>
      </c>
      <c r="AP490" s="15" t="s">
        <v>17034</v>
      </c>
      <c r="AQ490" s="15" t="s">
        <v>17035</v>
      </c>
      <c r="AR490" s="15" t="s">
        <v>17036</v>
      </c>
      <c r="BH490" s="15" t="s">
        <v>5798</v>
      </c>
      <c r="BI490" s="15" t="str">
        <f>"3199"</f>
        <v>3199</v>
      </c>
      <c r="BJ490" s="15" t="str">
        <f>"1345"</f>
        <v>1345</v>
      </c>
      <c r="BK490" s="15" t="s">
        <v>1181</v>
      </c>
      <c r="BL490" s="15" t="str">
        <f t="shared" ref="BL490:BL492" si="1496">"1"</f>
        <v>1</v>
      </c>
      <c r="BM490" s="15" t="s">
        <v>416</v>
      </c>
      <c r="BN490" s="15" t="str">
        <f>"44.33"</f>
        <v>44.33</v>
      </c>
      <c r="BO490" s="15" t="str">
        <f>"21.73"</f>
        <v>21.73</v>
      </c>
      <c r="BP490" s="15" t="str">
        <f>"95.67"</f>
        <v>95.67</v>
      </c>
      <c r="BQ490" s="15" t="str">
        <f>"287.7"</f>
        <v>287.7</v>
      </c>
      <c r="CG490" s="15" t="str">
        <f>"53.33"</f>
        <v>53.33</v>
      </c>
      <c r="CH490" s="15" t="str">
        <f>"1.51"</f>
        <v>1.51</v>
      </c>
      <c r="CI490" s="15" t="s">
        <v>497</v>
      </c>
      <c r="CJ490" s="15" t="s">
        <v>4162</v>
      </c>
      <c r="CK490" s="15" t="s">
        <v>612</v>
      </c>
      <c r="CL490" s="15" t="s">
        <v>5811</v>
      </c>
      <c r="CM490" s="15" t="s">
        <v>5123</v>
      </c>
      <c r="CN490" s="15" t="s">
        <v>5812</v>
      </c>
      <c r="CO490" s="15" t="s">
        <v>5811</v>
      </c>
      <c r="CZ490" s="15" t="s">
        <v>419</v>
      </c>
      <c r="DA490" s="15">
        <v>0.0</v>
      </c>
      <c r="DB490" s="15" t="s">
        <v>419</v>
      </c>
      <c r="DD490" s="15">
        <v>4.0</v>
      </c>
      <c r="DE490" s="15" t="s">
        <v>426</v>
      </c>
      <c r="DF490" s="15" t="s">
        <v>1186</v>
      </c>
      <c r="DG490" s="15" t="s">
        <v>610</v>
      </c>
      <c r="DI490" s="15">
        <v>18.14</v>
      </c>
      <c r="DJ490" s="15">
        <v>40.0</v>
      </c>
      <c r="DK490" s="15">
        <v>0.0</v>
      </c>
      <c r="DR490" s="15" t="s">
        <v>1906</v>
      </c>
      <c r="DS490" s="15" t="s">
        <v>5813</v>
      </c>
      <c r="EF490" s="15" t="s">
        <v>1955</v>
      </c>
      <c r="EU490" s="15" t="s">
        <v>426</v>
      </c>
      <c r="EV490" s="15">
        <v>5.0</v>
      </c>
      <c r="FH490" s="15" t="s">
        <v>5814</v>
      </c>
      <c r="FI490" s="15" t="s">
        <v>1042</v>
      </c>
      <c r="FJ490" s="15" t="s">
        <v>5815</v>
      </c>
      <c r="FN490" s="15">
        <v>0.0</v>
      </c>
      <c r="FP490" s="15" t="s">
        <v>785</v>
      </c>
      <c r="FQ490" s="15">
        <v>2.0</v>
      </c>
      <c r="FR490" s="15" t="s">
        <v>614</v>
      </c>
      <c r="FS490" s="15" t="s">
        <v>786</v>
      </c>
      <c r="FT490" s="15">
        <v>0.0</v>
      </c>
      <c r="FU490" s="15" t="s">
        <v>426</v>
      </c>
      <c r="FV490" s="15" t="s">
        <v>5816</v>
      </c>
      <c r="FY490" s="15">
        <v>0.0</v>
      </c>
      <c r="GJ490" s="15" t="s">
        <v>5123</v>
      </c>
      <c r="GK490" s="15" t="s">
        <v>5817</v>
      </c>
      <c r="GL490" s="15" t="s">
        <v>5811</v>
      </c>
      <c r="GZ490" s="15" t="s">
        <v>5123</v>
      </c>
      <c r="HA490" s="15" t="s">
        <v>5123</v>
      </c>
      <c r="HB490" s="15" t="s">
        <v>824</v>
      </c>
      <c r="HC490" s="15" t="s">
        <v>5817</v>
      </c>
      <c r="HD490" s="15" t="s">
        <v>5811</v>
      </c>
      <c r="HE490" s="15" t="s">
        <v>5811</v>
      </c>
      <c r="KG490" s="15" t="s">
        <v>5123</v>
      </c>
      <c r="KH490" s="15" t="s">
        <v>5812</v>
      </c>
      <c r="KI490" s="15" t="s">
        <v>5811</v>
      </c>
    </row>
    <row r="491" ht="17.25" customHeight="1">
      <c r="A491" s="15" t="s">
        <v>5820</v>
      </c>
      <c r="B491" s="15" t="str">
        <f>"801542728441"</f>
        <v>801542728441</v>
      </c>
      <c r="C491" s="15" t="s">
        <v>17037</v>
      </c>
      <c r="D491" s="15" t="str">
        <f t="shared" si="1"/>
        <v>Inez End TableBlack Pine</v>
      </c>
      <c r="E491" s="15" t="s">
        <v>5818</v>
      </c>
      <c r="F491" s="15" t="s">
        <v>397</v>
      </c>
      <c r="G491" s="15" t="s">
        <v>1095</v>
      </c>
      <c r="J491" s="15" t="s">
        <v>1095</v>
      </c>
      <c r="M491" s="15" t="s">
        <v>813</v>
      </c>
      <c r="N491" s="15" t="s">
        <v>1154</v>
      </c>
      <c r="P491" s="15" t="str">
        <f t="shared" ref="P491:Q491" si="1495">"16"</f>
        <v>16</v>
      </c>
      <c r="Q491" s="15" t="str">
        <f t="shared" si="1495"/>
        <v>16</v>
      </c>
      <c r="R491" s="15" t="str">
        <f t="shared" ref="R491:R492" si="1499">"18"</f>
        <v>18</v>
      </c>
      <c r="S491" s="15" t="str">
        <f t="shared" ref="S491:S492" si="1500">"46.3"</f>
        <v>46.3</v>
      </c>
      <c r="T491" s="15" t="s">
        <v>1099</v>
      </c>
      <c r="U491" s="15" t="s">
        <v>11386</v>
      </c>
      <c r="AA491" s="15" t="s">
        <v>426</v>
      </c>
      <c r="AB491" s="15" t="s">
        <v>413</v>
      </c>
      <c r="AC491" s="15" t="s">
        <v>5823</v>
      </c>
      <c r="AD491" s="15" t="s">
        <v>17038</v>
      </c>
      <c r="AE491" s="15" t="s">
        <v>5822</v>
      </c>
      <c r="AF491" s="15" t="s">
        <v>17039</v>
      </c>
      <c r="AG491" s="15" t="s">
        <v>17040</v>
      </c>
      <c r="AH491" s="15" t="s">
        <v>17041</v>
      </c>
      <c r="AI491" s="15" t="s">
        <v>17042</v>
      </c>
      <c r="AJ491" s="15" t="s">
        <v>17043</v>
      </c>
      <c r="AK491" s="15" t="s">
        <v>17044</v>
      </c>
      <c r="BH491" s="15" t="s">
        <v>5819</v>
      </c>
      <c r="BI491" s="15" t="str">
        <f t="shared" ref="BI491:BI492" si="1501">"699"</f>
        <v>699</v>
      </c>
      <c r="BJ491" s="15" t="str">
        <f t="shared" ref="BJ491:BJ492" si="1502">"295"</f>
        <v>295</v>
      </c>
      <c r="BK491" s="15" t="s">
        <v>709</v>
      </c>
      <c r="BL491" s="15" t="str">
        <f t="shared" si="1496"/>
        <v>1</v>
      </c>
      <c r="BM491" s="15" t="s">
        <v>416</v>
      </c>
      <c r="BN491" s="15" t="str">
        <f t="shared" ref="BN491:BO491" si="1497">"18.5"</f>
        <v>18.5</v>
      </c>
      <c r="BO491" s="15" t="str">
        <f t="shared" si="1497"/>
        <v>18.5</v>
      </c>
      <c r="BP491" s="15" t="str">
        <f t="shared" ref="BP491:BP492" si="1504">"22.44"</f>
        <v>22.44</v>
      </c>
      <c r="BQ491" s="15" t="str">
        <f t="shared" ref="BQ491:BQ492" si="1505">"52.91"</f>
        <v>52.91</v>
      </c>
      <c r="CG491" s="15" t="str">
        <f t="shared" ref="CG491:CG492" si="1506">"4.45"</f>
        <v>4.45</v>
      </c>
      <c r="CH491" s="15" t="str">
        <f t="shared" ref="CH491:CH492" si="1507">"0.126"</f>
        <v>0.126</v>
      </c>
      <c r="CI491" s="15" t="s">
        <v>497</v>
      </c>
      <c r="CZ491" s="15" t="s">
        <v>419</v>
      </c>
      <c r="DA491" s="15">
        <v>0.0</v>
      </c>
      <c r="DB491" s="15" t="s">
        <v>419</v>
      </c>
      <c r="DD491" s="15">
        <v>0.0</v>
      </c>
      <c r="DG491" s="15" t="s">
        <v>419</v>
      </c>
      <c r="DK491" s="15">
        <v>0.0</v>
      </c>
      <c r="DR491" s="15" t="s">
        <v>1157</v>
      </c>
      <c r="DS491" s="15" t="s">
        <v>5824</v>
      </c>
      <c r="DU491" s="15" t="s">
        <v>500</v>
      </c>
      <c r="EQ491" s="15" t="s">
        <v>1213</v>
      </c>
      <c r="ER491" s="15" t="s">
        <v>1065</v>
      </c>
      <c r="ES491" s="15" t="s">
        <v>1213</v>
      </c>
      <c r="ET491" s="15" t="s">
        <v>1807</v>
      </c>
      <c r="EU491" s="15" t="s">
        <v>426</v>
      </c>
      <c r="EV491" s="15">
        <v>0.0</v>
      </c>
      <c r="EW491" s="15">
        <v>0.0</v>
      </c>
    </row>
    <row r="492" ht="17.25" customHeight="1">
      <c r="A492" s="15" t="s">
        <v>5826</v>
      </c>
      <c r="B492" s="15" t="str">
        <f>"801542002862"</f>
        <v>801542002862</v>
      </c>
      <c r="C492" s="15" t="s">
        <v>17045</v>
      </c>
      <c r="D492" s="15" t="str">
        <f t="shared" si="1"/>
        <v>Inez End TableNatural Pine</v>
      </c>
      <c r="E492" s="15" t="s">
        <v>5818</v>
      </c>
      <c r="F492" s="15" t="s">
        <v>397</v>
      </c>
      <c r="G492" s="15" t="s">
        <v>1163</v>
      </c>
      <c r="J492" s="15" t="s">
        <v>1163</v>
      </c>
      <c r="K492" s="15" t="s">
        <v>1095</v>
      </c>
      <c r="M492" s="15" t="s">
        <v>813</v>
      </c>
      <c r="N492" s="15" t="s">
        <v>1154</v>
      </c>
      <c r="P492" s="15" t="str">
        <f t="shared" ref="P492:Q492" si="1498">"16"</f>
        <v>16</v>
      </c>
      <c r="Q492" s="15" t="str">
        <f t="shared" si="1498"/>
        <v>16</v>
      </c>
      <c r="R492" s="15" t="str">
        <f t="shared" si="1499"/>
        <v>18</v>
      </c>
      <c r="S492" s="15" t="str">
        <f t="shared" si="1500"/>
        <v>46.3</v>
      </c>
      <c r="T492" s="15" t="s">
        <v>1099</v>
      </c>
      <c r="U492" s="15" t="s">
        <v>11386</v>
      </c>
      <c r="AA492" s="15" t="s">
        <v>426</v>
      </c>
      <c r="AB492" s="15" t="s">
        <v>413</v>
      </c>
      <c r="AC492" s="15" t="s">
        <v>5828</v>
      </c>
      <c r="AD492" s="15" t="s">
        <v>17046</v>
      </c>
      <c r="AE492" s="15" t="s">
        <v>5827</v>
      </c>
      <c r="AF492" s="15" t="s">
        <v>17047</v>
      </c>
      <c r="AG492" s="15" t="s">
        <v>17048</v>
      </c>
      <c r="AH492" s="15" t="s">
        <v>17049</v>
      </c>
      <c r="AI492" s="15" t="s">
        <v>17050</v>
      </c>
      <c r="AJ492" s="15" t="s">
        <v>17051</v>
      </c>
      <c r="AK492" s="15" t="s">
        <v>17052</v>
      </c>
      <c r="AL492" s="15" t="s">
        <v>17053</v>
      </c>
      <c r="AM492" s="15" t="s">
        <v>17054</v>
      </c>
      <c r="AN492" s="15" t="s">
        <v>17055</v>
      </c>
      <c r="AO492" s="15" t="s">
        <v>17056</v>
      </c>
      <c r="AP492" s="15" t="s">
        <v>17057</v>
      </c>
      <c r="AQ492" s="15" t="s">
        <v>17058</v>
      </c>
      <c r="AR492" s="15" t="s">
        <v>17059</v>
      </c>
      <c r="BH492" s="15" t="s">
        <v>5825</v>
      </c>
      <c r="BI492" s="15" t="str">
        <f t="shared" si="1501"/>
        <v>699</v>
      </c>
      <c r="BJ492" s="15" t="str">
        <f t="shared" si="1502"/>
        <v>295</v>
      </c>
      <c r="BK492" s="15" t="s">
        <v>709</v>
      </c>
      <c r="BL492" s="15" t="str">
        <f t="shared" si="1496"/>
        <v>1</v>
      </c>
      <c r="BM492" s="15" t="s">
        <v>416</v>
      </c>
      <c r="BN492" s="15" t="str">
        <f t="shared" ref="BN492:BO492" si="1503">"18.5"</f>
        <v>18.5</v>
      </c>
      <c r="BO492" s="15" t="str">
        <f t="shared" si="1503"/>
        <v>18.5</v>
      </c>
      <c r="BP492" s="15" t="str">
        <f t="shared" si="1504"/>
        <v>22.44</v>
      </c>
      <c r="BQ492" s="15" t="str">
        <f t="shared" si="1505"/>
        <v>52.91</v>
      </c>
      <c r="CG492" s="15" t="str">
        <f t="shared" si="1506"/>
        <v>4.45</v>
      </c>
      <c r="CH492" s="15" t="str">
        <f t="shared" si="1507"/>
        <v>0.126</v>
      </c>
      <c r="CI492" s="15" t="s">
        <v>465</v>
      </c>
      <c r="CZ492" s="15" t="s">
        <v>419</v>
      </c>
      <c r="DA492" s="15">
        <v>0.0</v>
      </c>
      <c r="DB492" s="15" t="s">
        <v>419</v>
      </c>
      <c r="DD492" s="15">
        <v>0.0</v>
      </c>
      <c r="DG492" s="15" t="s">
        <v>419</v>
      </c>
      <c r="DK492" s="15">
        <v>0.0</v>
      </c>
      <c r="DR492" s="15" t="s">
        <v>1157</v>
      </c>
      <c r="DS492" s="15" t="s">
        <v>5824</v>
      </c>
      <c r="DU492" s="15" t="s">
        <v>500</v>
      </c>
      <c r="EQ492" s="15" t="s">
        <v>1213</v>
      </c>
      <c r="ER492" s="15" t="s">
        <v>1065</v>
      </c>
      <c r="ES492" s="15" t="s">
        <v>1213</v>
      </c>
      <c r="ET492" s="15" t="s">
        <v>1807</v>
      </c>
      <c r="EU492" s="15" t="s">
        <v>426</v>
      </c>
      <c r="EV492" s="15">
        <v>0.0</v>
      </c>
      <c r="EW492" s="15">
        <v>0.0</v>
      </c>
    </row>
    <row r="493" ht="17.25" customHeight="1">
      <c r="A493" s="15" t="s">
        <v>5832</v>
      </c>
      <c r="B493" s="15" t="str">
        <f>"801542682385"</f>
        <v>801542682385</v>
      </c>
      <c r="C493" s="15" t="s">
        <v>17060</v>
      </c>
      <c r="D493" s="15" t="str">
        <f t="shared" si="1"/>
        <v>Inwood BedMerino PorcelainQueen</v>
      </c>
      <c r="E493" s="15" t="s">
        <v>5829</v>
      </c>
      <c r="F493" s="15" t="s">
        <v>397</v>
      </c>
      <c r="G493" s="15" t="s">
        <v>5831</v>
      </c>
      <c r="H493" s="15" t="s">
        <v>265</v>
      </c>
      <c r="I493" s="15" t="s">
        <v>877</v>
      </c>
      <c r="J493" s="15" t="s">
        <v>5831</v>
      </c>
      <c r="K493" s="15" t="s">
        <v>1850</v>
      </c>
      <c r="M493" s="15" t="s">
        <v>837</v>
      </c>
      <c r="N493" s="15" t="s">
        <v>839</v>
      </c>
      <c r="O493" s="15" t="s">
        <v>877</v>
      </c>
      <c r="P493" s="15" t="str">
        <f>"74.75"</f>
        <v>74.75</v>
      </c>
      <c r="Q493" s="15" t="str">
        <f t="shared" ref="Q493:Q498" si="1508">"95.25"</f>
        <v>95.25</v>
      </c>
      <c r="R493" s="15" t="str">
        <f t="shared" ref="R493:R498" si="1509">"43.5"</f>
        <v>43.5</v>
      </c>
      <c r="S493" s="15" t="str">
        <f>"168.65"</f>
        <v>168.65</v>
      </c>
      <c r="T493" s="15" t="s">
        <v>5213</v>
      </c>
      <c r="U493" s="15" t="s">
        <v>11209</v>
      </c>
      <c r="V493" s="15" t="s">
        <v>11139</v>
      </c>
      <c r="AA493" s="15" t="s">
        <v>413</v>
      </c>
      <c r="AB493" s="15" t="s">
        <v>426</v>
      </c>
      <c r="AC493" s="15" t="s">
        <v>5839</v>
      </c>
      <c r="AD493" s="15" t="s">
        <v>17061</v>
      </c>
      <c r="AE493" s="15" t="s">
        <v>5834</v>
      </c>
      <c r="AF493" s="15" t="s">
        <v>17062</v>
      </c>
      <c r="AG493" s="15" t="s">
        <v>17063</v>
      </c>
      <c r="AH493" s="15" t="s">
        <v>17064</v>
      </c>
      <c r="AI493" s="15" t="s">
        <v>17065</v>
      </c>
      <c r="AJ493" s="15" t="s">
        <v>17066</v>
      </c>
      <c r="AK493" s="15" t="s">
        <v>17067</v>
      </c>
      <c r="AL493" s="15" t="s">
        <v>17068</v>
      </c>
      <c r="AM493" s="15" t="s">
        <v>17069</v>
      </c>
      <c r="AN493" s="15" t="s">
        <v>17070</v>
      </c>
      <c r="AO493" s="15" t="s">
        <v>17071</v>
      </c>
      <c r="AP493" s="15" t="s">
        <v>17072</v>
      </c>
      <c r="AQ493" s="15" t="s">
        <v>17073</v>
      </c>
      <c r="AR493" s="15" t="s">
        <v>17074</v>
      </c>
      <c r="AS493" s="15" t="s">
        <v>17075</v>
      </c>
      <c r="AT493" s="15" t="s">
        <v>17076</v>
      </c>
      <c r="AU493" s="15" t="s">
        <v>17077</v>
      </c>
      <c r="BH493" s="15" t="s">
        <v>5830</v>
      </c>
      <c r="BI493" s="15" t="str">
        <f>"1299"</f>
        <v>1299</v>
      </c>
      <c r="BJ493" s="15" t="str">
        <f>"550"</f>
        <v>550</v>
      </c>
      <c r="BK493" s="15" t="s">
        <v>742</v>
      </c>
      <c r="BL493" s="15" t="str">
        <f t="shared" ref="BL493:BL498" si="1510">"3"</f>
        <v>3</v>
      </c>
      <c r="BM493" s="15" t="s">
        <v>5840</v>
      </c>
      <c r="BN493" s="15" t="str">
        <f t="shared" ref="BN493:BN498" si="1511">"82.28"</f>
        <v>82.28</v>
      </c>
      <c r="BO493" s="15" t="str">
        <f>"6.89"</f>
        <v>6.89</v>
      </c>
      <c r="BP493" s="15" t="str">
        <f t="shared" ref="BP493:BP498" si="1512">"12.01"</f>
        <v>12.01</v>
      </c>
      <c r="BQ493" s="15" t="str">
        <f>"56.22"</f>
        <v>56.22</v>
      </c>
      <c r="BR493" s="15" t="s">
        <v>841</v>
      </c>
      <c r="BS493" s="15" t="str">
        <f>"71.26"</f>
        <v>71.26</v>
      </c>
      <c r="BT493" s="15" t="str">
        <f t="shared" ref="BT493:BT498" si="1513">"12.4"</f>
        <v>12.4</v>
      </c>
      <c r="BU493" s="15" t="str">
        <f t="shared" ref="BU493:BU498" si="1514">"40.94"</f>
        <v>40.94</v>
      </c>
      <c r="BV493" s="15" t="str">
        <f>"85.98"</f>
        <v>85.98</v>
      </c>
      <c r="BW493" s="15" t="s">
        <v>5846</v>
      </c>
      <c r="BX493" s="15" t="str">
        <f>"70.08"</f>
        <v>70.08</v>
      </c>
      <c r="BY493" s="15" t="str">
        <f t="shared" ref="BY493:BY498" si="1515">"6.89"</f>
        <v>6.89</v>
      </c>
      <c r="BZ493" s="15" t="str">
        <f t="shared" ref="BZ493:BZ498" si="1516">"12.4"</f>
        <v>12.4</v>
      </c>
      <c r="CA493" s="15" t="str">
        <f>"55.12"</f>
        <v>55.12</v>
      </c>
      <c r="CG493" s="15" t="str">
        <f>"28.36"</f>
        <v>28.36</v>
      </c>
      <c r="CH493" s="15" t="str">
        <f>"0.803"</f>
        <v>0.803</v>
      </c>
      <c r="CI493" s="15" t="s">
        <v>465</v>
      </c>
      <c r="CY493" s="15" t="s">
        <v>934</v>
      </c>
      <c r="CZ493" s="15" t="s">
        <v>419</v>
      </c>
      <c r="DA493" s="15">
        <v>0.0</v>
      </c>
      <c r="DB493" s="15" t="s">
        <v>419</v>
      </c>
      <c r="DD493" s="15">
        <v>0.0</v>
      </c>
      <c r="DF493" s="15" t="s">
        <v>989</v>
      </c>
      <c r="DG493" s="15" t="s">
        <v>419</v>
      </c>
      <c r="DI493" s="15">
        <v>0.0</v>
      </c>
      <c r="DJ493" s="15">
        <v>0.0</v>
      </c>
      <c r="DK493" s="15">
        <v>0.0</v>
      </c>
      <c r="DL493" s="15">
        <v>15000.0</v>
      </c>
      <c r="DS493" s="15" t="s">
        <v>5848</v>
      </c>
      <c r="DU493" s="15" t="s">
        <v>858</v>
      </c>
      <c r="EO493" s="15" t="s">
        <v>860</v>
      </c>
      <c r="EV493" s="15">
        <v>0.0</v>
      </c>
      <c r="HV493" s="15" t="s">
        <v>2050</v>
      </c>
      <c r="HW493" s="15" t="s">
        <v>2050</v>
      </c>
      <c r="HX493" s="15" t="s">
        <v>2050</v>
      </c>
      <c r="HY493" s="15" t="s">
        <v>729</v>
      </c>
      <c r="HZ493" s="15" t="s">
        <v>526</v>
      </c>
      <c r="IA493" s="15" t="s">
        <v>5849</v>
      </c>
      <c r="IB493" s="15" t="s">
        <v>5850</v>
      </c>
      <c r="IC493" s="15" t="s">
        <v>670</v>
      </c>
      <c r="ID493" s="15" t="s">
        <v>5851</v>
      </c>
      <c r="IE493" s="15" t="s">
        <v>2971</v>
      </c>
      <c r="IF493" s="15" t="s">
        <v>1957</v>
      </c>
      <c r="IG493" s="15" t="s">
        <v>5852</v>
      </c>
      <c r="IH493" s="15" t="s">
        <v>5481</v>
      </c>
      <c r="II493" s="15" t="s">
        <v>2971</v>
      </c>
      <c r="IJ493" s="15" t="s">
        <v>526</v>
      </c>
      <c r="IK493" s="15" t="s">
        <v>426</v>
      </c>
      <c r="IL493" s="15" t="s">
        <v>947</v>
      </c>
      <c r="IM493" s="15" t="s">
        <v>872</v>
      </c>
      <c r="IN493" s="15" t="s">
        <v>873</v>
      </c>
      <c r="IO493" s="15" t="s">
        <v>877</v>
      </c>
      <c r="IU493" s="15" t="s">
        <v>759</v>
      </c>
      <c r="IV493" s="15" t="s">
        <v>4493</v>
      </c>
      <c r="IW493" s="15" t="s">
        <v>759</v>
      </c>
      <c r="IX493" s="15" t="s">
        <v>426</v>
      </c>
      <c r="IY493" s="15" t="s">
        <v>875</v>
      </c>
    </row>
    <row r="494" ht="17.25" customHeight="1">
      <c r="A494" s="15" t="s">
        <v>5854</v>
      </c>
      <c r="B494" s="15" t="str">
        <f>"801542682347"</f>
        <v>801542682347</v>
      </c>
      <c r="C494" s="15" t="s">
        <v>17060</v>
      </c>
      <c r="D494" s="15" t="str">
        <f t="shared" si="1"/>
        <v>Inwood BedMerino PorcelainKing</v>
      </c>
      <c r="E494" s="15" t="s">
        <v>5829</v>
      </c>
      <c r="F494" s="15" t="s">
        <v>397</v>
      </c>
      <c r="G494" s="15" t="s">
        <v>5831</v>
      </c>
      <c r="H494" s="15" t="s">
        <v>265</v>
      </c>
      <c r="I494" s="15" t="s">
        <v>828</v>
      </c>
      <c r="J494" s="15" t="s">
        <v>5831</v>
      </c>
      <c r="K494" s="15" t="s">
        <v>1850</v>
      </c>
      <c r="M494" s="15" t="s">
        <v>837</v>
      </c>
      <c r="N494" s="15" t="s">
        <v>839</v>
      </c>
      <c r="O494" s="15" t="s">
        <v>828</v>
      </c>
      <c r="P494" s="15" t="str">
        <f>"91"</f>
        <v>91</v>
      </c>
      <c r="Q494" s="15" t="str">
        <f t="shared" si="1508"/>
        <v>95.25</v>
      </c>
      <c r="R494" s="15" t="str">
        <f t="shared" si="1509"/>
        <v>43.5</v>
      </c>
      <c r="S494" s="15" t="str">
        <f>"202.82"</f>
        <v>202.82</v>
      </c>
      <c r="T494" s="15" t="s">
        <v>5213</v>
      </c>
      <c r="U494" s="15" t="s">
        <v>11209</v>
      </c>
      <c r="V494" s="15" t="s">
        <v>11139</v>
      </c>
      <c r="AA494" s="15" t="s">
        <v>413</v>
      </c>
      <c r="AB494" s="15" t="s">
        <v>426</v>
      </c>
      <c r="AC494" s="15" t="s">
        <v>5839</v>
      </c>
      <c r="AD494" s="15" t="s">
        <v>17078</v>
      </c>
      <c r="AE494" s="15" t="s">
        <v>5856</v>
      </c>
      <c r="AF494" s="15" t="s">
        <v>17079</v>
      </c>
      <c r="AG494" s="15" t="s">
        <v>17080</v>
      </c>
      <c r="AH494" s="15" t="s">
        <v>17064</v>
      </c>
      <c r="AI494" s="15" t="s">
        <v>17065</v>
      </c>
      <c r="AJ494" s="15" t="s">
        <v>17081</v>
      </c>
      <c r="AK494" s="15" t="s">
        <v>17082</v>
      </c>
      <c r="AL494" s="15" t="s">
        <v>17083</v>
      </c>
      <c r="AM494" s="15" t="s">
        <v>17084</v>
      </c>
      <c r="AN494" s="15" t="s">
        <v>17085</v>
      </c>
      <c r="AO494" s="15" t="s">
        <v>17086</v>
      </c>
      <c r="AP494" s="15" t="s">
        <v>17087</v>
      </c>
      <c r="AQ494" s="15" t="s">
        <v>17088</v>
      </c>
      <c r="AR494" s="15" t="s">
        <v>17089</v>
      </c>
      <c r="AS494" s="15" t="s">
        <v>17090</v>
      </c>
      <c r="BH494" s="15" t="s">
        <v>5853</v>
      </c>
      <c r="BI494" s="15" t="str">
        <f>"1499"</f>
        <v>1499</v>
      </c>
      <c r="BJ494" s="15" t="str">
        <f>"630"</f>
        <v>630</v>
      </c>
      <c r="BK494" s="15" t="s">
        <v>742</v>
      </c>
      <c r="BL494" s="15" t="str">
        <f t="shared" si="1510"/>
        <v>3</v>
      </c>
      <c r="BM494" s="15" t="s">
        <v>5840</v>
      </c>
      <c r="BN494" s="15" t="str">
        <f t="shared" si="1511"/>
        <v>82.28</v>
      </c>
      <c r="BO494" s="15" t="str">
        <f>"8.07"</f>
        <v>8.07</v>
      </c>
      <c r="BP494" s="15" t="str">
        <f t="shared" si="1512"/>
        <v>12.01</v>
      </c>
      <c r="BQ494" s="15" t="str">
        <f>"60.63"</f>
        <v>60.63</v>
      </c>
      <c r="BR494" s="15" t="s">
        <v>841</v>
      </c>
      <c r="BS494" s="15" t="str">
        <f>"87.4"</f>
        <v>87.4</v>
      </c>
      <c r="BT494" s="15" t="str">
        <f t="shared" si="1513"/>
        <v>12.4</v>
      </c>
      <c r="BU494" s="15" t="str">
        <f t="shared" si="1514"/>
        <v>40.94</v>
      </c>
      <c r="BV494" s="15" t="str">
        <f>"101.41"</f>
        <v>101.41</v>
      </c>
      <c r="BW494" s="15" t="s">
        <v>5846</v>
      </c>
      <c r="BX494" s="15" t="str">
        <f>"86.22"</f>
        <v>86.22</v>
      </c>
      <c r="BY494" s="15" t="str">
        <f t="shared" si="1515"/>
        <v>6.89</v>
      </c>
      <c r="BZ494" s="15" t="str">
        <f t="shared" si="1516"/>
        <v>12.4</v>
      </c>
      <c r="CA494" s="15" t="str">
        <f>"69.45"</f>
        <v>69.45</v>
      </c>
      <c r="CG494" s="15" t="str">
        <f>"34.57"</f>
        <v>34.57</v>
      </c>
      <c r="CH494" s="15" t="str">
        <f>"0.979"</f>
        <v>0.979</v>
      </c>
      <c r="CI494" s="15" t="s">
        <v>465</v>
      </c>
      <c r="CY494" s="15" t="s">
        <v>934</v>
      </c>
      <c r="CZ494" s="15" t="s">
        <v>419</v>
      </c>
      <c r="DA494" s="15">
        <v>0.0</v>
      </c>
      <c r="DB494" s="15" t="s">
        <v>419</v>
      </c>
      <c r="DD494" s="15">
        <v>0.0</v>
      </c>
      <c r="DF494" s="15" t="s">
        <v>989</v>
      </c>
      <c r="DG494" s="15" t="s">
        <v>419</v>
      </c>
      <c r="DI494" s="15">
        <v>0.0</v>
      </c>
      <c r="DJ494" s="15">
        <v>0.0</v>
      </c>
      <c r="DK494" s="15">
        <v>0.0</v>
      </c>
      <c r="DL494" s="15">
        <v>15000.0</v>
      </c>
      <c r="DS494" s="15" t="s">
        <v>5848</v>
      </c>
      <c r="DU494" s="15" t="s">
        <v>858</v>
      </c>
      <c r="EO494" s="15" t="s">
        <v>860</v>
      </c>
      <c r="EV494" s="15">
        <v>0.0</v>
      </c>
      <c r="HV494" s="15" t="s">
        <v>2050</v>
      </c>
      <c r="HW494" s="15" t="s">
        <v>2050</v>
      </c>
      <c r="HX494" s="15" t="s">
        <v>2050</v>
      </c>
      <c r="HY494" s="15" t="s">
        <v>729</v>
      </c>
      <c r="HZ494" s="15" t="s">
        <v>526</v>
      </c>
      <c r="IA494" s="15" t="s">
        <v>5863</v>
      </c>
      <c r="IB494" s="15" t="s">
        <v>5850</v>
      </c>
      <c r="IC494" s="15" t="s">
        <v>670</v>
      </c>
      <c r="ID494" s="15" t="s">
        <v>5864</v>
      </c>
      <c r="IE494" s="15" t="s">
        <v>2971</v>
      </c>
      <c r="IF494" s="15" t="s">
        <v>1957</v>
      </c>
      <c r="IG494" s="15" t="s">
        <v>4384</v>
      </c>
      <c r="IH494" s="15" t="s">
        <v>5481</v>
      </c>
      <c r="II494" s="15" t="s">
        <v>2971</v>
      </c>
      <c r="IJ494" s="15" t="s">
        <v>526</v>
      </c>
      <c r="IK494" s="15" t="s">
        <v>426</v>
      </c>
      <c r="IL494" s="15" t="s">
        <v>947</v>
      </c>
      <c r="IM494" s="15" t="s">
        <v>872</v>
      </c>
      <c r="IN494" s="15" t="s">
        <v>873</v>
      </c>
      <c r="IO494" s="15" t="s">
        <v>828</v>
      </c>
      <c r="IU494" s="15" t="s">
        <v>759</v>
      </c>
      <c r="IV494" s="15" t="s">
        <v>4493</v>
      </c>
      <c r="IW494" s="15" t="s">
        <v>759</v>
      </c>
      <c r="IX494" s="15" t="s">
        <v>426</v>
      </c>
      <c r="IY494" s="15" t="s">
        <v>875</v>
      </c>
    </row>
    <row r="495" ht="17.25" customHeight="1">
      <c r="A495" s="15" t="s">
        <v>5866</v>
      </c>
      <c r="B495" s="15" t="str">
        <f>"801542275297"</f>
        <v>801542275297</v>
      </c>
      <c r="C495" s="15" t="s">
        <v>17091</v>
      </c>
      <c r="D495" s="15" t="str">
        <f t="shared" si="1"/>
        <v>Inwood BedSurrey CocoaQueen</v>
      </c>
      <c r="E495" s="15" t="s">
        <v>5829</v>
      </c>
      <c r="F495" s="15" t="s">
        <v>397</v>
      </c>
      <c r="G495" s="15" t="s">
        <v>2120</v>
      </c>
      <c r="H495" s="15" t="s">
        <v>265</v>
      </c>
      <c r="I495" s="15" t="s">
        <v>877</v>
      </c>
      <c r="J495" s="15" t="s">
        <v>2120</v>
      </c>
      <c r="K495" s="15" t="s">
        <v>1850</v>
      </c>
      <c r="M495" s="15" t="s">
        <v>837</v>
      </c>
      <c r="N495" s="15" t="s">
        <v>839</v>
      </c>
      <c r="O495" s="15" t="s">
        <v>877</v>
      </c>
      <c r="P495" s="15" t="str">
        <f>"74.75"</f>
        <v>74.75</v>
      </c>
      <c r="Q495" s="15" t="str">
        <f t="shared" si="1508"/>
        <v>95.25</v>
      </c>
      <c r="R495" s="15" t="str">
        <f t="shared" si="1509"/>
        <v>43.5</v>
      </c>
      <c r="S495" s="15" t="str">
        <f>"168.65"</f>
        <v>168.65</v>
      </c>
      <c r="T495" s="15" t="s">
        <v>5868</v>
      </c>
      <c r="U495" s="15" t="s">
        <v>11845</v>
      </c>
      <c r="V495" s="15" t="s">
        <v>11846</v>
      </c>
      <c r="W495" s="15" t="s">
        <v>11139</v>
      </c>
      <c r="AA495" s="15" t="s">
        <v>413</v>
      </c>
      <c r="AB495" s="15" t="s">
        <v>413</v>
      </c>
      <c r="AC495" s="15" t="s">
        <v>5869</v>
      </c>
      <c r="AD495" s="15" t="s">
        <v>17092</v>
      </c>
      <c r="AE495" s="15" t="s">
        <v>5867</v>
      </c>
      <c r="AF495" s="15" t="s">
        <v>17093</v>
      </c>
      <c r="AG495" s="15" t="s">
        <v>17094</v>
      </c>
      <c r="AH495" s="15" t="s">
        <v>17095</v>
      </c>
      <c r="AI495" s="15" t="s">
        <v>17096</v>
      </c>
      <c r="AJ495" s="15" t="s">
        <v>17097</v>
      </c>
      <c r="AK495" s="15" t="s">
        <v>17098</v>
      </c>
      <c r="AL495" s="15" t="s">
        <v>17099</v>
      </c>
      <c r="AM495" s="15" t="s">
        <v>17100</v>
      </c>
      <c r="AN495" s="15" t="s">
        <v>17101</v>
      </c>
      <c r="AO495" s="15" t="s">
        <v>17102</v>
      </c>
      <c r="AP495" s="15" t="s">
        <v>17103</v>
      </c>
      <c r="AQ495" s="15" t="s">
        <v>17104</v>
      </c>
      <c r="AR495" s="15" t="s">
        <v>17105</v>
      </c>
      <c r="AS495" s="15" t="s">
        <v>17106</v>
      </c>
      <c r="BH495" s="15" t="s">
        <v>5865</v>
      </c>
      <c r="BI495" s="15" t="str">
        <f>"1399"</f>
        <v>1399</v>
      </c>
      <c r="BJ495" s="15" t="str">
        <f>"590"</f>
        <v>590</v>
      </c>
      <c r="BK495" s="15" t="s">
        <v>742</v>
      </c>
      <c r="BL495" s="15" t="str">
        <f t="shared" si="1510"/>
        <v>3</v>
      </c>
      <c r="BM495" s="15" t="s">
        <v>5840</v>
      </c>
      <c r="BN495" s="15" t="str">
        <f t="shared" si="1511"/>
        <v>82.28</v>
      </c>
      <c r="BO495" s="15" t="str">
        <f>"6.89"</f>
        <v>6.89</v>
      </c>
      <c r="BP495" s="15" t="str">
        <f t="shared" si="1512"/>
        <v>12.01</v>
      </c>
      <c r="BQ495" s="15" t="str">
        <f>"56.22"</f>
        <v>56.22</v>
      </c>
      <c r="BR495" s="15" t="s">
        <v>841</v>
      </c>
      <c r="BS495" s="15" t="str">
        <f>"71.26"</f>
        <v>71.26</v>
      </c>
      <c r="BT495" s="15" t="str">
        <f t="shared" si="1513"/>
        <v>12.4</v>
      </c>
      <c r="BU495" s="15" t="str">
        <f t="shared" si="1514"/>
        <v>40.94</v>
      </c>
      <c r="BV495" s="15" t="str">
        <f>"85.98"</f>
        <v>85.98</v>
      </c>
      <c r="BW495" s="15" t="s">
        <v>5870</v>
      </c>
      <c r="BX495" s="15" t="str">
        <f>"70.08"</f>
        <v>70.08</v>
      </c>
      <c r="BY495" s="15" t="str">
        <f t="shared" si="1515"/>
        <v>6.89</v>
      </c>
      <c r="BZ495" s="15" t="str">
        <f t="shared" si="1516"/>
        <v>12.4</v>
      </c>
      <c r="CA495" s="15" t="str">
        <f>"55.12"</f>
        <v>55.12</v>
      </c>
      <c r="CG495" s="15" t="str">
        <f>"28.36"</f>
        <v>28.36</v>
      </c>
      <c r="CH495" s="15" t="str">
        <f>"0.803"</f>
        <v>0.803</v>
      </c>
      <c r="CI495" s="15" t="s">
        <v>417</v>
      </c>
      <c r="CY495" s="15" t="s">
        <v>718</v>
      </c>
      <c r="CZ495" s="15" t="s">
        <v>419</v>
      </c>
      <c r="DA495" s="15">
        <v>0.0</v>
      </c>
      <c r="DB495" s="15" t="s">
        <v>419</v>
      </c>
      <c r="DD495" s="15">
        <v>0.0</v>
      </c>
      <c r="DF495" s="15" t="s">
        <v>989</v>
      </c>
      <c r="DG495" s="15" t="s">
        <v>419</v>
      </c>
      <c r="DI495" s="15">
        <v>0.0</v>
      </c>
      <c r="DJ495" s="15">
        <v>0.0</v>
      </c>
      <c r="DK495" s="15">
        <v>0.0</v>
      </c>
      <c r="DL495" s="15">
        <v>30000.0</v>
      </c>
      <c r="DS495" s="15" t="s">
        <v>5848</v>
      </c>
      <c r="DU495" s="15" t="s">
        <v>858</v>
      </c>
      <c r="EO495" s="15" t="s">
        <v>860</v>
      </c>
      <c r="EV495" s="15">
        <v>0.0</v>
      </c>
      <c r="HV495" s="15" t="s">
        <v>2050</v>
      </c>
      <c r="HW495" s="15" t="s">
        <v>2050</v>
      </c>
      <c r="HX495" s="15" t="s">
        <v>2050</v>
      </c>
      <c r="HY495" s="15" t="s">
        <v>729</v>
      </c>
      <c r="HZ495" s="15" t="s">
        <v>526</v>
      </c>
      <c r="IA495" s="15" t="s">
        <v>5849</v>
      </c>
      <c r="IB495" s="15" t="s">
        <v>5850</v>
      </c>
      <c r="IC495" s="15" t="s">
        <v>670</v>
      </c>
      <c r="ID495" s="15" t="s">
        <v>5851</v>
      </c>
      <c r="IE495" s="15" t="s">
        <v>2971</v>
      </c>
      <c r="IF495" s="15" t="s">
        <v>1957</v>
      </c>
      <c r="IG495" s="15" t="s">
        <v>5852</v>
      </c>
      <c r="IH495" s="15" t="s">
        <v>5481</v>
      </c>
      <c r="II495" s="15" t="s">
        <v>2971</v>
      </c>
      <c r="IJ495" s="15" t="s">
        <v>526</v>
      </c>
      <c r="IK495" s="15" t="s">
        <v>426</v>
      </c>
      <c r="IL495" s="15" t="s">
        <v>947</v>
      </c>
      <c r="IM495" s="15" t="s">
        <v>872</v>
      </c>
      <c r="IN495" s="15" t="s">
        <v>873</v>
      </c>
      <c r="IO495" s="15" t="s">
        <v>877</v>
      </c>
      <c r="IU495" s="15" t="s">
        <v>759</v>
      </c>
      <c r="IV495" s="15" t="s">
        <v>4493</v>
      </c>
      <c r="IW495" s="15" t="s">
        <v>759</v>
      </c>
      <c r="IX495" s="15" t="s">
        <v>426</v>
      </c>
      <c r="IY495" s="15" t="s">
        <v>875</v>
      </c>
    </row>
    <row r="496" ht="17.25" customHeight="1">
      <c r="A496" s="15" t="s">
        <v>5872</v>
      </c>
      <c r="B496" s="15" t="str">
        <f>"801542275280"</f>
        <v>801542275280</v>
      </c>
      <c r="C496" s="15" t="s">
        <v>17091</v>
      </c>
      <c r="D496" s="15" t="str">
        <f t="shared" si="1"/>
        <v>Inwood BedSurrey CocoaKing</v>
      </c>
      <c r="E496" s="15" t="s">
        <v>5829</v>
      </c>
      <c r="F496" s="15" t="s">
        <v>397</v>
      </c>
      <c r="G496" s="15" t="s">
        <v>2120</v>
      </c>
      <c r="H496" s="15" t="s">
        <v>265</v>
      </c>
      <c r="I496" s="15" t="s">
        <v>828</v>
      </c>
      <c r="J496" s="15" t="s">
        <v>2120</v>
      </c>
      <c r="K496" s="15" t="s">
        <v>1850</v>
      </c>
      <c r="M496" s="15" t="s">
        <v>837</v>
      </c>
      <c r="N496" s="15" t="s">
        <v>839</v>
      </c>
      <c r="O496" s="15" t="s">
        <v>828</v>
      </c>
      <c r="P496" s="15" t="str">
        <f>"91"</f>
        <v>91</v>
      </c>
      <c r="Q496" s="15" t="str">
        <f t="shared" si="1508"/>
        <v>95.25</v>
      </c>
      <c r="R496" s="15" t="str">
        <f t="shared" si="1509"/>
        <v>43.5</v>
      </c>
      <c r="S496" s="15" t="str">
        <f>"202.82"</f>
        <v>202.82</v>
      </c>
      <c r="T496" s="15" t="s">
        <v>5868</v>
      </c>
      <c r="U496" s="15" t="s">
        <v>11845</v>
      </c>
      <c r="V496" s="15" t="s">
        <v>11846</v>
      </c>
      <c r="W496" s="15" t="s">
        <v>11139</v>
      </c>
      <c r="AA496" s="15" t="s">
        <v>413</v>
      </c>
      <c r="AB496" s="15" t="s">
        <v>413</v>
      </c>
      <c r="AC496" s="15" t="s">
        <v>5869</v>
      </c>
      <c r="AD496" s="15" t="s">
        <v>17107</v>
      </c>
      <c r="AE496" s="15" t="s">
        <v>5873</v>
      </c>
      <c r="AF496" s="15" t="s">
        <v>17108</v>
      </c>
      <c r="AG496" s="15" t="s">
        <v>17109</v>
      </c>
      <c r="AH496" s="15" t="s">
        <v>17095</v>
      </c>
      <c r="AI496" s="15" t="s">
        <v>17110</v>
      </c>
      <c r="AJ496" s="15" t="s">
        <v>17111</v>
      </c>
      <c r="AK496" s="15" t="s">
        <v>17112</v>
      </c>
      <c r="AL496" s="15" t="s">
        <v>17113</v>
      </c>
      <c r="AM496" s="15" t="s">
        <v>17114</v>
      </c>
      <c r="AN496" s="15" t="s">
        <v>17115</v>
      </c>
      <c r="AO496" s="15" t="s">
        <v>17116</v>
      </c>
      <c r="AP496" s="15" t="s">
        <v>17117</v>
      </c>
      <c r="AQ496" s="15" t="s">
        <v>17118</v>
      </c>
      <c r="AR496" s="15" t="s">
        <v>17119</v>
      </c>
      <c r="AS496" s="15" t="s">
        <v>17120</v>
      </c>
      <c r="BH496" s="15" t="s">
        <v>5871</v>
      </c>
      <c r="BI496" s="15" t="str">
        <f>"1599"</f>
        <v>1599</v>
      </c>
      <c r="BJ496" s="15" t="str">
        <f>"675"</f>
        <v>675</v>
      </c>
      <c r="BK496" s="15" t="s">
        <v>742</v>
      </c>
      <c r="BL496" s="15" t="str">
        <f t="shared" si="1510"/>
        <v>3</v>
      </c>
      <c r="BM496" s="15" t="s">
        <v>5840</v>
      </c>
      <c r="BN496" s="15" t="str">
        <f t="shared" si="1511"/>
        <v>82.28</v>
      </c>
      <c r="BO496" s="15" t="str">
        <f>"8.07"</f>
        <v>8.07</v>
      </c>
      <c r="BP496" s="15" t="str">
        <f t="shared" si="1512"/>
        <v>12.01</v>
      </c>
      <c r="BQ496" s="15" t="str">
        <f>"60.63"</f>
        <v>60.63</v>
      </c>
      <c r="BR496" s="15" t="s">
        <v>841</v>
      </c>
      <c r="BS496" s="15" t="str">
        <f>"87.4"</f>
        <v>87.4</v>
      </c>
      <c r="BT496" s="15" t="str">
        <f t="shared" si="1513"/>
        <v>12.4</v>
      </c>
      <c r="BU496" s="15" t="str">
        <f t="shared" si="1514"/>
        <v>40.94</v>
      </c>
      <c r="BV496" s="15" t="str">
        <f>"101.41"</f>
        <v>101.41</v>
      </c>
      <c r="BW496" s="15" t="s">
        <v>5870</v>
      </c>
      <c r="BX496" s="15" t="str">
        <f>"86.22"</f>
        <v>86.22</v>
      </c>
      <c r="BY496" s="15" t="str">
        <f t="shared" si="1515"/>
        <v>6.89</v>
      </c>
      <c r="BZ496" s="15" t="str">
        <f t="shared" si="1516"/>
        <v>12.4</v>
      </c>
      <c r="CA496" s="15" t="str">
        <f>"69.45"</f>
        <v>69.45</v>
      </c>
      <c r="CG496" s="15" t="str">
        <f>"34.57"</f>
        <v>34.57</v>
      </c>
      <c r="CH496" s="15" t="str">
        <f>"0.979"</f>
        <v>0.979</v>
      </c>
      <c r="CI496" s="15" t="s">
        <v>465</v>
      </c>
      <c r="CY496" s="15" t="s">
        <v>718</v>
      </c>
      <c r="CZ496" s="15" t="s">
        <v>419</v>
      </c>
      <c r="DA496" s="15">
        <v>0.0</v>
      </c>
      <c r="DB496" s="15" t="s">
        <v>419</v>
      </c>
      <c r="DD496" s="15">
        <v>0.0</v>
      </c>
      <c r="DF496" s="15" t="s">
        <v>989</v>
      </c>
      <c r="DG496" s="15" t="s">
        <v>419</v>
      </c>
      <c r="DI496" s="15">
        <v>0.0</v>
      </c>
      <c r="DJ496" s="15">
        <v>0.0</v>
      </c>
      <c r="DK496" s="15">
        <v>0.0</v>
      </c>
      <c r="DL496" s="15">
        <v>30000.0</v>
      </c>
      <c r="DS496" s="15" t="s">
        <v>5848</v>
      </c>
      <c r="DU496" s="15" t="s">
        <v>858</v>
      </c>
      <c r="EO496" s="15" t="s">
        <v>860</v>
      </c>
      <c r="EV496" s="15">
        <v>0.0</v>
      </c>
      <c r="HV496" s="15" t="s">
        <v>2050</v>
      </c>
      <c r="HW496" s="15" t="s">
        <v>2050</v>
      </c>
      <c r="HX496" s="15" t="s">
        <v>2050</v>
      </c>
      <c r="HY496" s="15" t="s">
        <v>729</v>
      </c>
      <c r="HZ496" s="15" t="s">
        <v>526</v>
      </c>
      <c r="IA496" s="15" t="s">
        <v>5863</v>
      </c>
      <c r="IB496" s="15" t="s">
        <v>5850</v>
      </c>
      <c r="IC496" s="15" t="s">
        <v>670</v>
      </c>
      <c r="ID496" s="15" t="s">
        <v>5864</v>
      </c>
      <c r="IE496" s="15" t="s">
        <v>2971</v>
      </c>
      <c r="IF496" s="15" t="s">
        <v>1957</v>
      </c>
      <c r="IG496" s="15" t="s">
        <v>4384</v>
      </c>
      <c r="IH496" s="15" t="s">
        <v>5481</v>
      </c>
      <c r="II496" s="15" t="s">
        <v>2971</v>
      </c>
      <c r="IJ496" s="15" t="s">
        <v>526</v>
      </c>
      <c r="IK496" s="15" t="s">
        <v>426</v>
      </c>
      <c r="IL496" s="15" t="s">
        <v>947</v>
      </c>
      <c r="IM496" s="15" t="s">
        <v>872</v>
      </c>
      <c r="IN496" s="15" t="s">
        <v>873</v>
      </c>
      <c r="IO496" s="15" t="s">
        <v>828</v>
      </c>
      <c r="IU496" s="15" t="s">
        <v>759</v>
      </c>
      <c r="IV496" s="15" t="s">
        <v>4493</v>
      </c>
      <c r="IW496" s="15" t="s">
        <v>759</v>
      </c>
      <c r="IX496" s="15" t="s">
        <v>426</v>
      </c>
      <c r="IY496" s="15" t="s">
        <v>875</v>
      </c>
    </row>
    <row r="497" ht="17.25" customHeight="1">
      <c r="A497" s="15" t="s">
        <v>5876</v>
      </c>
      <c r="B497" s="15" t="str">
        <f>"801542926007"</f>
        <v>801542926007</v>
      </c>
      <c r="C497" s="15" t="s">
        <v>17121</v>
      </c>
      <c r="D497" s="15" t="str">
        <f t="shared" si="1"/>
        <v>Inwood BedSurrey TaupeQueen</v>
      </c>
      <c r="E497" s="15" t="s">
        <v>5829</v>
      </c>
      <c r="F497" s="15" t="s">
        <v>397</v>
      </c>
      <c r="G497" s="15" t="s">
        <v>5875</v>
      </c>
      <c r="H497" s="15" t="s">
        <v>265</v>
      </c>
      <c r="I497" s="15" t="s">
        <v>877</v>
      </c>
      <c r="J497" s="15" t="s">
        <v>5875</v>
      </c>
      <c r="K497" s="15" t="s">
        <v>1850</v>
      </c>
      <c r="M497" s="15" t="s">
        <v>837</v>
      </c>
      <c r="N497" s="15" t="s">
        <v>839</v>
      </c>
      <c r="O497" s="15" t="s">
        <v>877</v>
      </c>
      <c r="P497" s="15" t="str">
        <f>"74.75"</f>
        <v>74.75</v>
      </c>
      <c r="Q497" s="15" t="str">
        <f t="shared" si="1508"/>
        <v>95.25</v>
      </c>
      <c r="R497" s="15" t="str">
        <f t="shared" si="1509"/>
        <v>43.5</v>
      </c>
      <c r="S497" s="15" t="str">
        <f>"168.65"</f>
        <v>168.65</v>
      </c>
      <c r="T497" s="15" t="s">
        <v>5868</v>
      </c>
      <c r="U497" s="15" t="s">
        <v>11845</v>
      </c>
      <c r="V497" s="15" t="s">
        <v>11846</v>
      </c>
      <c r="W497" s="15" t="s">
        <v>11139</v>
      </c>
      <c r="AA497" s="15" t="s">
        <v>413</v>
      </c>
      <c r="AB497" s="15" t="s">
        <v>413</v>
      </c>
      <c r="AC497" s="15" t="s">
        <v>5869</v>
      </c>
      <c r="AD497" s="15" t="s">
        <v>17122</v>
      </c>
      <c r="AE497" s="15" t="s">
        <v>5877</v>
      </c>
      <c r="AF497" s="15" t="s">
        <v>17123</v>
      </c>
      <c r="AG497" s="15" t="s">
        <v>17124</v>
      </c>
      <c r="AH497" s="15" t="s">
        <v>17125</v>
      </c>
      <c r="AI497" s="15" t="s">
        <v>17126</v>
      </c>
      <c r="AJ497" s="15" t="s">
        <v>17127</v>
      </c>
      <c r="AK497" s="15" t="s">
        <v>17128</v>
      </c>
      <c r="AL497" s="15" t="s">
        <v>17129</v>
      </c>
      <c r="AM497" s="15" t="s">
        <v>17130</v>
      </c>
      <c r="AN497" s="15" t="s">
        <v>17131</v>
      </c>
      <c r="AO497" s="15" t="s">
        <v>17132</v>
      </c>
      <c r="AP497" s="15" t="s">
        <v>17133</v>
      </c>
      <c r="AQ497" s="15" t="s">
        <v>17134</v>
      </c>
      <c r="AR497" s="15" t="s">
        <v>17135</v>
      </c>
      <c r="BH497" s="15" t="s">
        <v>5874</v>
      </c>
      <c r="BI497" s="15" t="str">
        <f>"1399"</f>
        <v>1399</v>
      </c>
      <c r="BJ497" s="15" t="str">
        <f>"590"</f>
        <v>590</v>
      </c>
      <c r="BK497" s="15" t="s">
        <v>742</v>
      </c>
      <c r="BL497" s="15" t="str">
        <f t="shared" si="1510"/>
        <v>3</v>
      </c>
      <c r="BM497" s="15" t="s">
        <v>5840</v>
      </c>
      <c r="BN497" s="15" t="str">
        <f t="shared" si="1511"/>
        <v>82.28</v>
      </c>
      <c r="BO497" s="15" t="str">
        <f>"6.89"</f>
        <v>6.89</v>
      </c>
      <c r="BP497" s="15" t="str">
        <f t="shared" si="1512"/>
        <v>12.01</v>
      </c>
      <c r="BQ497" s="15" t="str">
        <f>"56.22"</f>
        <v>56.22</v>
      </c>
      <c r="BR497" s="15" t="s">
        <v>841</v>
      </c>
      <c r="BS497" s="15" t="str">
        <f>"71.26"</f>
        <v>71.26</v>
      </c>
      <c r="BT497" s="15" t="str">
        <f t="shared" si="1513"/>
        <v>12.4</v>
      </c>
      <c r="BU497" s="15" t="str">
        <f t="shared" si="1514"/>
        <v>40.94</v>
      </c>
      <c r="BV497" s="15" t="str">
        <f>"85.98"</f>
        <v>85.98</v>
      </c>
      <c r="BW497" s="15" t="s">
        <v>5846</v>
      </c>
      <c r="BX497" s="15" t="str">
        <f>"70.08"</f>
        <v>70.08</v>
      </c>
      <c r="BY497" s="15" t="str">
        <f t="shared" si="1515"/>
        <v>6.89</v>
      </c>
      <c r="BZ497" s="15" t="str">
        <f t="shared" si="1516"/>
        <v>12.4</v>
      </c>
      <c r="CA497" s="15" t="str">
        <f>"55.12"</f>
        <v>55.12</v>
      </c>
      <c r="CG497" s="15" t="str">
        <f>"28.36"</f>
        <v>28.36</v>
      </c>
      <c r="CH497" s="15" t="str">
        <f>"0.803"</f>
        <v>0.803</v>
      </c>
      <c r="CI497" s="15" t="s">
        <v>465</v>
      </c>
      <c r="CY497" s="15" t="s">
        <v>718</v>
      </c>
      <c r="CZ497" s="15" t="s">
        <v>419</v>
      </c>
      <c r="DA497" s="15">
        <v>0.0</v>
      </c>
      <c r="DB497" s="15" t="s">
        <v>419</v>
      </c>
      <c r="DD497" s="15">
        <v>0.0</v>
      </c>
      <c r="DF497" s="15" t="s">
        <v>989</v>
      </c>
      <c r="DG497" s="15" t="s">
        <v>419</v>
      </c>
      <c r="DI497" s="15">
        <v>0.0</v>
      </c>
      <c r="DJ497" s="15">
        <v>0.0</v>
      </c>
      <c r="DK497" s="15">
        <v>0.0</v>
      </c>
      <c r="DL497" s="15">
        <v>30000.0</v>
      </c>
      <c r="DS497" s="15" t="s">
        <v>5848</v>
      </c>
      <c r="DU497" s="15" t="s">
        <v>858</v>
      </c>
      <c r="EO497" s="15" t="s">
        <v>860</v>
      </c>
      <c r="EV497" s="15">
        <v>0.0</v>
      </c>
      <c r="HV497" s="15" t="s">
        <v>2050</v>
      </c>
      <c r="HW497" s="15" t="s">
        <v>2050</v>
      </c>
      <c r="HX497" s="15" t="s">
        <v>2050</v>
      </c>
      <c r="HY497" s="15" t="s">
        <v>729</v>
      </c>
      <c r="HZ497" s="15" t="s">
        <v>526</v>
      </c>
      <c r="IA497" s="15" t="s">
        <v>5849</v>
      </c>
      <c r="IB497" s="15" t="s">
        <v>5850</v>
      </c>
      <c r="IC497" s="15" t="s">
        <v>670</v>
      </c>
      <c r="ID497" s="15" t="s">
        <v>5851</v>
      </c>
      <c r="IE497" s="15" t="s">
        <v>2971</v>
      </c>
      <c r="IF497" s="15" t="s">
        <v>1957</v>
      </c>
      <c r="IG497" s="15" t="s">
        <v>5852</v>
      </c>
      <c r="IH497" s="15" t="s">
        <v>5481</v>
      </c>
      <c r="II497" s="15" t="s">
        <v>2971</v>
      </c>
      <c r="IJ497" s="15" t="s">
        <v>526</v>
      </c>
      <c r="IK497" s="15" t="s">
        <v>426</v>
      </c>
      <c r="IL497" s="15" t="s">
        <v>947</v>
      </c>
      <c r="IM497" s="15" t="s">
        <v>872</v>
      </c>
      <c r="IN497" s="15" t="s">
        <v>873</v>
      </c>
      <c r="IO497" s="15" t="s">
        <v>877</v>
      </c>
      <c r="IU497" s="15" t="s">
        <v>759</v>
      </c>
      <c r="IV497" s="15" t="s">
        <v>4493</v>
      </c>
      <c r="IW497" s="15" t="s">
        <v>759</v>
      </c>
      <c r="IX497" s="15" t="s">
        <v>426</v>
      </c>
      <c r="IY497" s="15" t="s">
        <v>875</v>
      </c>
    </row>
    <row r="498" ht="17.25" customHeight="1">
      <c r="A498" s="15" t="s">
        <v>5879</v>
      </c>
      <c r="B498" s="15" t="str">
        <f>"801542925697"</f>
        <v>801542925697</v>
      </c>
      <c r="C498" s="15" t="s">
        <v>17121</v>
      </c>
      <c r="D498" s="15" t="str">
        <f t="shared" si="1"/>
        <v>Inwood BedSurrey TaupeKing</v>
      </c>
      <c r="E498" s="15" t="s">
        <v>5829</v>
      </c>
      <c r="F498" s="15" t="s">
        <v>397</v>
      </c>
      <c r="G498" s="15" t="s">
        <v>5875</v>
      </c>
      <c r="H498" s="15" t="s">
        <v>265</v>
      </c>
      <c r="I498" s="15" t="s">
        <v>828</v>
      </c>
      <c r="J498" s="15" t="s">
        <v>5875</v>
      </c>
      <c r="K498" s="15" t="s">
        <v>1850</v>
      </c>
      <c r="M498" s="15" t="s">
        <v>837</v>
      </c>
      <c r="N498" s="15" t="s">
        <v>839</v>
      </c>
      <c r="O498" s="15" t="s">
        <v>828</v>
      </c>
      <c r="P498" s="15" t="str">
        <f>"91"</f>
        <v>91</v>
      </c>
      <c r="Q498" s="15" t="str">
        <f t="shared" si="1508"/>
        <v>95.25</v>
      </c>
      <c r="R498" s="15" t="str">
        <f t="shared" si="1509"/>
        <v>43.5</v>
      </c>
      <c r="S498" s="15" t="str">
        <f>"202.82"</f>
        <v>202.82</v>
      </c>
      <c r="T498" s="15" t="s">
        <v>5868</v>
      </c>
      <c r="U498" s="15" t="s">
        <v>11845</v>
      </c>
      <c r="V498" s="15" t="s">
        <v>11846</v>
      </c>
      <c r="W498" s="15" t="s">
        <v>11139</v>
      </c>
      <c r="AA498" s="15" t="s">
        <v>413</v>
      </c>
      <c r="AB498" s="15" t="s">
        <v>413</v>
      </c>
      <c r="AC498" s="15" t="s">
        <v>5869</v>
      </c>
      <c r="AD498" s="15" t="s">
        <v>17136</v>
      </c>
      <c r="AE498" s="15" t="s">
        <v>5880</v>
      </c>
      <c r="AF498" s="15" t="s">
        <v>17137</v>
      </c>
      <c r="AG498" s="15" t="s">
        <v>17138</v>
      </c>
      <c r="AH498" s="15" t="s">
        <v>17125</v>
      </c>
      <c r="AI498" s="15" t="s">
        <v>17139</v>
      </c>
      <c r="AJ498" s="15" t="s">
        <v>17140</v>
      </c>
      <c r="AK498" s="15" t="s">
        <v>17141</v>
      </c>
      <c r="AL498" s="15" t="s">
        <v>17142</v>
      </c>
      <c r="AM498" s="15" t="s">
        <v>17143</v>
      </c>
      <c r="AN498" s="15" t="s">
        <v>17144</v>
      </c>
      <c r="AO498" s="15" t="s">
        <v>17145</v>
      </c>
      <c r="AP498" s="15" t="s">
        <v>17146</v>
      </c>
      <c r="AQ498" s="15" t="s">
        <v>17147</v>
      </c>
      <c r="AR498" s="15" t="s">
        <v>17148</v>
      </c>
      <c r="BH498" s="15" t="s">
        <v>5878</v>
      </c>
      <c r="BI498" s="15" t="str">
        <f>"1599"</f>
        <v>1599</v>
      </c>
      <c r="BJ498" s="15" t="str">
        <f>"675"</f>
        <v>675</v>
      </c>
      <c r="BK498" s="15" t="s">
        <v>742</v>
      </c>
      <c r="BL498" s="15" t="str">
        <f t="shared" si="1510"/>
        <v>3</v>
      </c>
      <c r="BM498" s="15" t="s">
        <v>5840</v>
      </c>
      <c r="BN498" s="15" t="str">
        <f t="shared" si="1511"/>
        <v>82.28</v>
      </c>
      <c r="BO498" s="15" t="str">
        <f>"8.07"</f>
        <v>8.07</v>
      </c>
      <c r="BP498" s="15" t="str">
        <f t="shared" si="1512"/>
        <v>12.01</v>
      </c>
      <c r="BQ498" s="15" t="str">
        <f>"60.63"</f>
        <v>60.63</v>
      </c>
      <c r="BR498" s="15" t="s">
        <v>841</v>
      </c>
      <c r="BS498" s="15" t="str">
        <f>"87.4"</f>
        <v>87.4</v>
      </c>
      <c r="BT498" s="15" t="str">
        <f t="shared" si="1513"/>
        <v>12.4</v>
      </c>
      <c r="BU498" s="15" t="str">
        <f t="shared" si="1514"/>
        <v>40.94</v>
      </c>
      <c r="BV498" s="15" t="str">
        <f>"101.41"</f>
        <v>101.41</v>
      </c>
      <c r="BW498" s="15" t="s">
        <v>5846</v>
      </c>
      <c r="BX498" s="15" t="str">
        <f>"86.22"</f>
        <v>86.22</v>
      </c>
      <c r="BY498" s="15" t="str">
        <f t="shared" si="1515"/>
        <v>6.89</v>
      </c>
      <c r="BZ498" s="15" t="str">
        <f t="shared" si="1516"/>
        <v>12.4</v>
      </c>
      <c r="CA498" s="15" t="str">
        <f>"69.45"</f>
        <v>69.45</v>
      </c>
      <c r="CG498" s="15" t="str">
        <f>"34.57"</f>
        <v>34.57</v>
      </c>
      <c r="CH498" s="15" t="str">
        <f>"0.979"</f>
        <v>0.979</v>
      </c>
      <c r="CI498" s="15" t="s">
        <v>465</v>
      </c>
      <c r="CY498" s="15" t="s">
        <v>718</v>
      </c>
      <c r="CZ498" s="15" t="s">
        <v>419</v>
      </c>
      <c r="DA498" s="15">
        <v>0.0</v>
      </c>
      <c r="DB498" s="15" t="s">
        <v>419</v>
      </c>
      <c r="DD498" s="15">
        <v>0.0</v>
      </c>
      <c r="DF498" s="15" t="s">
        <v>989</v>
      </c>
      <c r="DG498" s="15" t="s">
        <v>419</v>
      </c>
      <c r="DI498" s="15">
        <v>0.0</v>
      </c>
      <c r="DJ498" s="15">
        <v>0.0</v>
      </c>
      <c r="DK498" s="15">
        <v>0.0</v>
      </c>
      <c r="DL498" s="15">
        <v>30000.0</v>
      </c>
      <c r="DS498" s="15" t="s">
        <v>5848</v>
      </c>
      <c r="DU498" s="15" t="s">
        <v>858</v>
      </c>
      <c r="EO498" s="15" t="s">
        <v>860</v>
      </c>
      <c r="EV498" s="15">
        <v>0.0</v>
      </c>
      <c r="HV498" s="15" t="s">
        <v>2050</v>
      </c>
      <c r="HW498" s="15" t="s">
        <v>2050</v>
      </c>
      <c r="HX498" s="15" t="s">
        <v>2050</v>
      </c>
      <c r="HY498" s="15" t="s">
        <v>729</v>
      </c>
      <c r="HZ498" s="15" t="s">
        <v>526</v>
      </c>
      <c r="IA498" s="15" t="s">
        <v>5863</v>
      </c>
      <c r="IB498" s="15" t="s">
        <v>5850</v>
      </c>
      <c r="IC498" s="15" t="s">
        <v>670</v>
      </c>
      <c r="ID498" s="15" t="s">
        <v>5864</v>
      </c>
      <c r="IE498" s="15" t="s">
        <v>2971</v>
      </c>
      <c r="IF498" s="15" t="s">
        <v>1957</v>
      </c>
      <c r="IG498" s="15" t="s">
        <v>4384</v>
      </c>
      <c r="IH498" s="15" t="s">
        <v>5481</v>
      </c>
      <c r="II498" s="15" t="s">
        <v>2971</v>
      </c>
      <c r="IJ498" s="15" t="s">
        <v>526</v>
      </c>
      <c r="IK498" s="15" t="s">
        <v>426</v>
      </c>
      <c r="IL498" s="15" t="s">
        <v>947</v>
      </c>
      <c r="IM498" s="15" t="s">
        <v>872</v>
      </c>
      <c r="IN498" s="15" t="s">
        <v>873</v>
      </c>
      <c r="IO498" s="15" t="s">
        <v>828</v>
      </c>
      <c r="IU498" s="15" t="s">
        <v>759</v>
      </c>
      <c r="IV498" s="15" t="s">
        <v>4493</v>
      </c>
      <c r="IW498" s="15" t="s">
        <v>759</v>
      </c>
      <c r="IX498" s="15" t="s">
        <v>426</v>
      </c>
      <c r="IY498" s="15" t="s">
        <v>875</v>
      </c>
    </row>
    <row r="499" ht="17.25" customHeight="1">
      <c r="A499" s="15" t="s">
        <v>5884</v>
      </c>
      <c r="B499" s="15" t="str">
        <f>"801542192457"</f>
        <v>801542192457</v>
      </c>
      <c r="C499" s="15" t="s">
        <v>17149</v>
      </c>
      <c r="D499" s="15" t="str">
        <f t="shared" si="1"/>
        <v>Ira ChairSomerton Ash</v>
      </c>
      <c r="E499" s="15" t="s">
        <v>5881</v>
      </c>
      <c r="F499" s="15" t="s">
        <v>397</v>
      </c>
      <c r="G499" s="15" t="s">
        <v>5883</v>
      </c>
      <c r="J499" s="15" t="s">
        <v>5883</v>
      </c>
      <c r="K499" s="15" t="s">
        <v>1318</v>
      </c>
      <c r="M499" s="15" t="s">
        <v>1317</v>
      </c>
      <c r="N499" s="15" t="s">
        <v>706</v>
      </c>
      <c r="O499" s="15" t="s">
        <v>707</v>
      </c>
      <c r="P499" s="15" t="str">
        <f>"44"</f>
        <v>44</v>
      </c>
      <c r="Q499" s="15" t="str">
        <f>"35"</f>
        <v>35</v>
      </c>
      <c r="R499" s="15" t="str">
        <f>"28.5"</f>
        <v>28.5</v>
      </c>
      <c r="S499" s="15" t="str">
        <f>"72.75"</f>
        <v>72.75</v>
      </c>
      <c r="T499" s="15" t="s">
        <v>1830</v>
      </c>
      <c r="U499" s="15" t="s">
        <v>11234</v>
      </c>
      <c r="V499" s="15" t="s">
        <v>11371</v>
      </c>
      <c r="W499" s="15" t="s">
        <v>11210</v>
      </c>
      <c r="AA499" s="15" t="s">
        <v>413</v>
      </c>
      <c r="AB499" s="15" t="s">
        <v>426</v>
      </c>
      <c r="AD499" s="15" t="s">
        <v>17150</v>
      </c>
      <c r="AE499" s="15" t="s">
        <v>5885</v>
      </c>
      <c r="AF499" s="15" t="s">
        <v>17151</v>
      </c>
      <c r="AG499" s="15" t="s">
        <v>17152</v>
      </c>
      <c r="AH499" s="15" t="s">
        <v>17153</v>
      </c>
      <c r="AI499" s="15" t="s">
        <v>17154</v>
      </c>
      <c r="AJ499" s="15" t="s">
        <v>17155</v>
      </c>
      <c r="AK499" s="15" t="s">
        <v>17156</v>
      </c>
      <c r="AL499" s="15" t="s">
        <v>17157</v>
      </c>
      <c r="AM499" s="15" t="s">
        <v>17158</v>
      </c>
      <c r="AN499" s="15" t="s">
        <v>17159</v>
      </c>
      <c r="AO499" s="15" t="s">
        <v>17160</v>
      </c>
      <c r="AP499" s="15" t="s">
        <v>17161</v>
      </c>
      <c r="AQ499" s="15" t="s">
        <v>17162</v>
      </c>
      <c r="BH499" s="15" t="s">
        <v>5882</v>
      </c>
      <c r="BI499" s="15" t="str">
        <f>"1349"</f>
        <v>1349</v>
      </c>
      <c r="BJ499" s="15" t="str">
        <f>"570"</f>
        <v>570</v>
      </c>
      <c r="BK499" s="15" t="s">
        <v>709</v>
      </c>
      <c r="BL499" s="15" t="str">
        <f t="shared" ref="BL499:BL528" si="1517">"1"</f>
        <v>1</v>
      </c>
      <c r="BM499" s="15" t="s">
        <v>416</v>
      </c>
      <c r="BN499" s="15" t="str">
        <f>"44.88"</f>
        <v>44.88</v>
      </c>
      <c r="BO499" s="15" t="str">
        <f>"37.01"</f>
        <v>37.01</v>
      </c>
      <c r="BP499" s="15" t="str">
        <f>"31.5"</f>
        <v>31.5</v>
      </c>
      <c r="BQ499" s="15" t="str">
        <f>"97"</f>
        <v>97</v>
      </c>
      <c r="CG499" s="15" t="str">
        <f>"30.26"</f>
        <v>30.26</v>
      </c>
      <c r="CH499" s="15" t="str">
        <f>"0.857"</f>
        <v>0.857</v>
      </c>
      <c r="CI499" s="15" t="s">
        <v>417</v>
      </c>
      <c r="CS499" s="15" t="s">
        <v>2384</v>
      </c>
      <c r="CT499" s="15" t="s">
        <v>1804</v>
      </c>
      <c r="CV499" s="15">
        <v>0.0</v>
      </c>
      <c r="CW499" s="15">
        <v>1.0</v>
      </c>
      <c r="CX499" s="15" t="s">
        <v>717</v>
      </c>
      <c r="CY499" s="15" t="s">
        <v>855</v>
      </c>
      <c r="DF499" s="15" t="s">
        <v>721</v>
      </c>
      <c r="DG499" s="15" t="s">
        <v>419</v>
      </c>
      <c r="DH499" s="15">
        <v>0.0</v>
      </c>
      <c r="DL499" s="15">
        <v>25000.0</v>
      </c>
      <c r="DM499" s="15" t="s">
        <v>990</v>
      </c>
      <c r="DN499" s="15" t="s">
        <v>1016</v>
      </c>
      <c r="DP499" s="15">
        <v>1.0</v>
      </c>
      <c r="DQ499" s="15">
        <v>1.0</v>
      </c>
      <c r="DS499" s="15" t="s">
        <v>5887</v>
      </c>
      <c r="DT499" s="15">
        <v>0.0</v>
      </c>
      <c r="DU499" s="15" t="s">
        <v>726</v>
      </c>
      <c r="DV499" s="15" t="s">
        <v>1330</v>
      </c>
      <c r="DW499" s="15" t="s">
        <v>1576</v>
      </c>
      <c r="DX499" s="15" t="s">
        <v>1065</v>
      </c>
      <c r="EB499" s="15" t="s">
        <v>531</v>
      </c>
      <c r="EF499" s="15" t="s">
        <v>1327</v>
      </c>
      <c r="EG499" s="15" t="s">
        <v>2292</v>
      </c>
      <c r="EH499" s="15" t="s">
        <v>1880</v>
      </c>
      <c r="EI499" s="15" t="s">
        <v>1576</v>
      </c>
      <c r="EL499" s="15" t="s">
        <v>1016</v>
      </c>
      <c r="EO499" s="15" t="s">
        <v>860</v>
      </c>
      <c r="EX499" s="15" t="s">
        <v>467</v>
      </c>
      <c r="EY499" s="15" t="s">
        <v>2599</v>
      </c>
      <c r="EZ499" s="15">
        <v>0.0</v>
      </c>
      <c r="FA499" s="15">
        <v>0.0</v>
      </c>
      <c r="FC499" s="15">
        <v>0.0</v>
      </c>
    </row>
    <row r="500" ht="17.25" customHeight="1">
      <c r="A500" s="15" t="s">
        <v>5891</v>
      </c>
      <c r="B500" s="15" t="str">
        <f>"801542094225"</f>
        <v>801542094225</v>
      </c>
      <c r="C500" s="15" t="s">
        <v>17163</v>
      </c>
      <c r="D500" s="15" t="str">
        <f t="shared" si="1"/>
        <v>Irish Coast Small Tv ConsoleSundried Ash</v>
      </c>
      <c r="E500" s="15" t="s">
        <v>5888</v>
      </c>
      <c r="F500" s="15" t="s">
        <v>397</v>
      </c>
      <c r="G500" s="15" t="s">
        <v>5890</v>
      </c>
      <c r="J500" s="15" t="s">
        <v>5890</v>
      </c>
      <c r="M500" s="15" t="s">
        <v>4544</v>
      </c>
      <c r="N500" s="15" t="s">
        <v>602</v>
      </c>
      <c r="P500" s="15" t="str">
        <f>"47.25"</f>
        <v>47.25</v>
      </c>
      <c r="Q500" s="15" t="str">
        <f>"16.5"</f>
        <v>16.5</v>
      </c>
      <c r="R500" s="15" t="str">
        <f>"23.5"</f>
        <v>23.5</v>
      </c>
      <c r="S500" s="15" t="str">
        <f>"59.52"</f>
        <v>59.52</v>
      </c>
      <c r="T500" s="15" t="s">
        <v>2689</v>
      </c>
      <c r="U500" s="15" t="s">
        <v>13000</v>
      </c>
      <c r="AA500" s="15" t="s">
        <v>413</v>
      </c>
      <c r="AB500" s="15" t="s">
        <v>413</v>
      </c>
      <c r="AD500" s="15" t="s">
        <v>17164</v>
      </c>
      <c r="AE500" s="15" t="s">
        <v>5892</v>
      </c>
      <c r="AF500" s="15" t="s">
        <v>17165</v>
      </c>
      <c r="AG500" s="15" t="s">
        <v>17166</v>
      </c>
      <c r="AH500" s="15" t="s">
        <v>17167</v>
      </c>
      <c r="AI500" s="15" t="s">
        <v>17168</v>
      </c>
      <c r="AJ500" s="15" t="s">
        <v>17169</v>
      </c>
      <c r="AK500" s="15" t="s">
        <v>17170</v>
      </c>
      <c r="AL500" s="15" t="s">
        <v>17171</v>
      </c>
      <c r="AM500" s="15" t="s">
        <v>17172</v>
      </c>
      <c r="AN500" s="15" t="s">
        <v>17173</v>
      </c>
      <c r="BH500" s="15" t="s">
        <v>5889</v>
      </c>
      <c r="BI500" s="15" t="str">
        <f>"600"</f>
        <v>600</v>
      </c>
      <c r="BJ500" s="15" t="str">
        <f>"255"</f>
        <v>255</v>
      </c>
      <c r="BK500" s="15" t="s">
        <v>742</v>
      </c>
      <c r="BL500" s="15" t="str">
        <f t="shared" si="1517"/>
        <v>1</v>
      </c>
      <c r="BM500" s="15" t="s">
        <v>416</v>
      </c>
      <c r="BN500" s="15" t="str">
        <f>"51.57"</f>
        <v>51.57</v>
      </c>
      <c r="BO500" s="15" t="str">
        <f>"20.67"</f>
        <v>20.67</v>
      </c>
      <c r="BP500" s="15" t="str">
        <f>"28.74"</f>
        <v>28.74</v>
      </c>
      <c r="BQ500" s="15" t="str">
        <f>"77.16"</f>
        <v>77.16</v>
      </c>
      <c r="CG500" s="15" t="str">
        <f>"17.73"</f>
        <v>17.73</v>
      </c>
      <c r="CH500" s="15" t="str">
        <f>"0.502"</f>
        <v>0.502</v>
      </c>
      <c r="CI500" s="15" t="s">
        <v>417</v>
      </c>
      <c r="CM500" s="15" t="s">
        <v>2159</v>
      </c>
      <c r="CN500" s="15" t="s">
        <v>2165</v>
      </c>
      <c r="CO500" s="15" t="s">
        <v>3857</v>
      </c>
      <c r="CZ500" s="15" t="s">
        <v>419</v>
      </c>
      <c r="DA500" s="15">
        <v>3.0</v>
      </c>
      <c r="DB500" s="15" t="s">
        <v>419</v>
      </c>
      <c r="DD500" s="15">
        <v>0.0</v>
      </c>
      <c r="DF500" s="15" t="s">
        <v>1509</v>
      </c>
      <c r="DI500" s="15">
        <v>40.0</v>
      </c>
      <c r="DJ500" s="15">
        <v>88.18</v>
      </c>
      <c r="DK500" s="15">
        <v>3.0</v>
      </c>
      <c r="DS500" s="15" t="s">
        <v>5894</v>
      </c>
      <c r="EF500" s="15" t="s">
        <v>759</v>
      </c>
      <c r="EV500" s="15">
        <v>3.0</v>
      </c>
      <c r="FH500" s="15" t="s">
        <v>2165</v>
      </c>
      <c r="FI500" s="15" t="s">
        <v>3099</v>
      </c>
      <c r="FJ500" s="15" t="s">
        <v>3857</v>
      </c>
      <c r="FK500" s="15" t="s">
        <v>2159</v>
      </c>
      <c r="FL500" s="15" t="s">
        <v>2046</v>
      </c>
      <c r="FM500" s="15" t="s">
        <v>3857</v>
      </c>
      <c r="FP500" s="15" t="s">
        <v>785</v>
      </c>
      <c r="FQ500" s="15">
        <v>2.0</v>
      </c>
      <c r="FR500" s="15" t="s">
        <v>614</v>
      </c>
      <c r="FS500" s="15" t="s">
        <v>786</v>
      </c>
      <c r="FU500" s="15" t="s">
        <v>426</v>
      </c>
      <c r="FW500" s="15" t="s">
        <v>616</v>
      </c>
      <c r="FZ500" s="15" t="s">
        <v>4470</v>
      </c>
      <c r="GB500" s="15" t="s">
        <v>1132</v>
      </c>
      <c r="GD500" s="15" t="s">
        <v>2221</v>
      </c>
      <c r="GH500" s="15" t="s">
        <v>420</v>
      </c>
      <c r="GJ500" s="15" t="s">
        <v>2179</v>
      </c>
      <c r="GK500" s="15" t="s">
        <v>862</v>
      </c>
      <c r="GL500" s="15" t="s">
        <v>779</v>
      </c>
      <c r="GM500" s="15">
        <v>0.0</v>
      </c>
      <c r="GZ500" s="15" t="s">
        <v>2159</v>
      </c>
      <c r="HB500" s="15" t="s">
        <v>2165</v>
      </c>
      <c r="HD500" s="15" t="s">
        <v>3857</v>
      </c>
      <c r="HM500" s="15" t="s">
        <v>2179</v>
      </c>
      <c r="HN500" s="15" t="s">
        <v>2046</v>
      </c>
      <c r="HO500" s="15" t="s">
        <v>779</v>
      </c>
    </row>
    <row r="501" ht="17.25" customHeight="1">
      <c r="A501" s="15" t="s">
        <v>5897</v>
      </c>
      <c r="B501" s="15" t="str">
        <f>"801542964207"</f>
        <v>801542964207</v>
      </c>
      <c r="C501" s="15" t="s">
        <v>17174</v>
      </c>
      <c r="D501" s="15" t="str">
        <f t="shared" si="1"/>
        <v>Isaac Coffee TableRubbed Light Oak Veneer</v>
      </c>
      <c r="E501" s="15" t="s">
        <v>5895</v>
      </c>
      <c r="F501" s="15" t="s">
        <v>397</v>
      </c>
      <c r="G501" s="15" t="s">
        <v>3638</v>
      </c>
      <c r="J501" s="15" t="s">
        <v>3638</v>
      </c>
      <c r="M501" s="15" t="s">
        <v>1896</v>
      </c>
      <c r="N501" s="15" t="s">
        <v>491</v>
      </c>
      <c r="P501" s="15" t="str">
        <f t="shared" ref="P501:P502" si="1518">"65"</f>
        <v>65</v>
      </c>
      <c r="Q501" s="15" t="str">
        <f t="shared" ref="Q501:Q502" si="1519">"35"</f>
        <v>35</v>
      </c>
      <c r="R501" s="15" t="str">
        <f t="shared" ref="R501:R502" si="1520">"14"</f>
        <v>14</v>
      </c>
      <c r="S501" s="15" t="str">
        <f t="shared" ref="S501:S502" si="1521">"114.64"</f>
        <v>114.64</v>
      </c>
      <c r="T501" s="15" t="s">
        <v>1025</v>
      </c>
      <c r="U501" s="15" t="s">
        <v>10881</v>
      </c>
      <c r="V501" s="15" t="s">
        <v>11338</v>
      </c>
      <c r="AA501" s="15" t="s">
        <v>413</v>
      </c>
      <c r="AB501" s="15" t="s">
        <v>413</v>
      </c>
      <c r="AD501" s="15" t="s">
        <v>17175</v>
      </c>
      <c r="AE501" s="15" t="s">
        <v>5899</v>
      </c>
      <c r="AF501" s="15" t="s">
        <v>17176</v>
      </c>
      <c r="AG501" s="15" t="s">
        <v>17177</v>
      </c>
      <c r="AH501" s="15" t="s">
        <v>17178</v>
      </c>
      <c r="AI501" s="15" t="s">
        <v>17179</v>
      </c>
      <c r="AJ501" s="15" t="s">
        <v>17180</v>
      </c>
      <c r="AK501" s="15" t="s">
        <v>17181</v>
      </c>
      <c r="AL501" s="15" t="s">
        <v>17182</v>
      </c>
      <c r="BH501" s="15" t="s">
        <v>5896</v>
      </c>
      <c r="BI501" s="15" t="str">
        <f t="shared" ref="BI501:BI502" si="1522">"1599"</f>
        <v>1599</v>
      </c>
      <c r="BJ501" s="15" t="str">
        <f t="shared" ref="BJ501:BJ502" si="1523">"675"</f>
        <v>675</v>
      </c>
      <c r="BK501" s="15" t="s">
        <v>742</v>
      </c>
      <c r="BL501" s="15" t="str">
        <f t="shared" si="1517"/>
        <v>1</v>
      </c>
      <c r="BM501" s="15" t="s">
        <v>5900</v>
      </c>
      <c r="BN501" s="15" t="str">
        <f t="shared" ref="BN501:BN502" si="1524">"69.69"</f>
        <v>69.69</v>
      </c>
      <c r="BO501" s="15" t="str">
        <f t="shared" ref="BO501:BO502" si="1525">"39.17"</f>
        <v>39.17</v>
      </c>
      <c r="BP501" s="15" t="str">
        <f t="shared" ref="BP501:BP502" si="1526">"10.04"</f>
        <v>10.04</v>
      </c>
      <c r="BQ501" s="15" t="str">
        <f t="shared" ref="BQ501:BQ502" si="1527">"144.4"</f>
        <v>144.4</v>
      </c>
      <c r="CG501" s="15" t="str">
        <f t="shared" ref="CG501:CG502" si="1528">"15.86"</f>
        <v>15.86</v>
      </c>
      <c r="CH501" s="15" t="str">
        <f t="shared" ref="CH501:CH502" si="1529">"0.449"</f>
        <v>0.449</v>
      </c>
      <c r="CI501" s="15" t="s">
        <v>465</v>
      </c>
      <c r="CZ501" s="15" t="s">
        <v>419</v>
      </c>
      <c r="DA501" s="15">
        <v>0.0</v>
      </c>
      <c r="DB501" s="15" t="s">
        <v>419</v>
      </c>
      <c r="DD501" s="15">
        <v>0.0</v>
      </c>
      <c r="DF501" s="15" t="s">
        <v>1186</v>
      </c>
      <c r="DG501" s="15" t="s">
        <v>419</v>
      </c>
      <c r="DK501" s="15">
        <v>0.0</v>
      </c>
      <c r="DR501" s="15" t="s">
        <v>471</v>
      </c>
      <c r="DS501" s="15" t="s">
        <v>5903</v>
      </c>
      <c r="DU501" s="15" t="s">
        <v>500</v>
      </c>
      <c r="EF501" s="15" t="s">
        <v>866</v>
      </c>
      <c r="EH501" s="15" t="s">
        <v>5904</v>
      </c>
      <c r="EQ501" s="15" t="s">
        <v>5905</v>
      </c>
      <c r="ER501" s="15" t="s">
        <v>2156</v>
      </c>
      <c r="ES501" s="15" t="s">
        <v>4685</v>
      </c>
      <c r="ET501" s="15" t="s">
        <v>4685</v>
      </c>
      <c r="EU501" s="15" t="s">
        <v>426</v>
      </c>
      <c r="EV501" s="15">
        <v>0.0</v>
      </c>
      <c r="EW501" s="15">
        <v>0.0</v>
      </c>
      <c r="FF501" s="15" t="s">
        <v>531</v>
      </c>
    </row>
    <row r="502" ht="17.25" customHeight="1">
      <c r="A502" s="15" t="s">
        <v>5907</v>
      </c>
      <c r="B502" s="15" t="str">
        <f>"801542223694"</f>
        <v>801542223694</v>
      </c>
      <c r="C502" s="15" t="s">
        <v>17183</v>
      </c>
      <c r="D502" s="15" t="str">
        <f t="shared" si="1"/>
        <v>Isaac Coffee TableSmoked Black Veneer</v>
      </c>
      <c r="E502" s="15" t="s">
        <v>5895</v>
      </c>
      <c r="F502" s="15" t="s">
        <v>397</v>
      </c>
      <c r="G502" s="15" t="s">
        <v>4815</v>
      </c>
      <c r="J502" s="15" t="s">
        <v>4815</v>
      </c>
      <c r="M502" s="15" t="s">
        <v>1896</v>
      </c>
      <c r="N502" s="15" t="s">
        <v>491</v>
      </c>
      <c r="P502" s="15" t="str">
        <f t="shared" si="1518"/>
        <v>65</v>
      </c>
      <c r="Q502" s="15" t="str">
        <f t="shared" si="1519"/>
        <v>35</v>
      </c>
      <c r="R502" s="15" t="str">
        <f t="shared" si="1520"/>
        <v>14</v>
      </c>
      <c r="S502" s="15" t="str">
        <f t="shared" si="1521"/>
        <v>114.64</v>
      </c>
      <c r="T502" s="15" t="s">
        <v>1025</v>
      </c>
      <c r="U502" s="15" t="s">
        <v>10881</v>
      </c>
      <c r="V502" s="15" t="s">
        <v>11338</v>
      </c>
      <c r="AA502" s="15" t="s">
        <v>413</v>
      </c>
      <c r="AB502" s="15" t="s">
        <v>413</v>
      </c>
      <c r="AC502" s="15" t="s">
        <v>5909</v>
      </c>
      <c r="AD502" s="15" t="s">
        <v>17184</v>
      </c>
      <c r="AE502" s="15" t="s">
        <v>5908</v>
      </c>
      <c r="AF502" s="15" t="s">
        <v>17185</v>
      </c>
      <c r="AG502" s="15" t="s">
        <v>17186</v>
      </c>
      <c r="AH502" s="15" t="s">
        <v>17187</v>
      </c>
      <c r="AI502" s="15" t="s">
        <v>17188</v>
      </c>
      <c r="AJ502" s="15" t="s">
        <v>17189</v>
      </c>
      <c r="AK502" s="15" t="s">
        <v>17190</v>
      </c>
      <c r="AL502" s="15" t="s">
        <v>17191</v>
      </c>
      <c r="AM502" s="15" t="s">
        <v>17192</v>
      </c>
      <c r="AN502" s="15" t="s">
        <v>17193</v>
      </c>
      <c r="AO502" s="15" t="s">
        <v>17194</v>
      </c>
      <c r="AP502" s="15" t="s">
        <v>17195</v>
      </c>
      <c r="AQ502" s="15" t="s">
        <v>17196</v>
      </c>
      <c r="BH502" s="15" t="s">
        <v>5906</v>
      </c>
      <c r="BI502" s="15" t="str">
        <f t="shared" si="1522"/>
        <v>1599</v>
      </c>
      <c r="BJ502" s="15" t="str">
        <f t="shared" si="1523"/>
        <v>675</v>
      </c>
      <c r="BK502" s="15" t="s">
        <v>742</v>
      </c>
      <c r="BL502" s="15" t="str">
        <f t="shared" si="1517"/>
        <v>1</v>
      </c>
      <c r="BM502" s="15" t="s">
        <v>5900</v>
      </c>
      <c r="BN502" s="15" t="str">
        <f t="shared" si="1524"/>
        <v>69.69</v>
      </c>
      <c r="BO502" s="15" t="str">
        <f t="shared" si="1525"/>
        <v>39.17</v>
      </c>
      <c r="BP502" s="15" t="str">
        <f t="shared" si="1526"/>
        <v>10.04</v>
      </c>
      <c r="BQ502" s="15" t="str">
        <f t="shared" si="1527"/>
        <v>144.4</v>
      </c>
      <c r="CG502" s="15" t="str">
        <f t="shared" si="1528"/>
        <v>15.86</v>
      </c>
      <c r="CH502" s="15" t="str">
        <f t="shared" si="1529"/>
        <v>0.449</v>
      </c>
      <c r="CI502" s="15" t="s">
        <v>465</v>
      </c>
      <c r="CZ502" s="15" t="s">
        <v>419</v>
      </c>
      <c r="DA502" s="15">
        <v>0.0</v>
      </c>
      <c r="DB502" s="15" t="s">
        <v>419</v>
      </c>
      <c r="DD502" s="15">
        <v>0.0</v>
      </c>
      <c r="DF502" s="15" t="s">
        <v>1186</v>
      </c>
      <c r="DG502" s="15" t="s">
        <v>419</v>
      </c>
      <c r="DK502" s="15">
        <v>0.0</v>
      </c>
      <c r="DR502" s="15" t="s">
        <v>471</v>
      </c>
      <c r="DS502" s="15" t="s">
        <v>5903</v>
      </c>
      <c r="DU502" s="15" t="s">
        <v>500</v>
      </c>
      <c r="EF502" s="15" t="s">
        <v>866</v>
      </c>
      <c r="EH502" s="15" t="s">
        <v>5904</v>
      </c>
      <c r="EQ502" s="15" t="s">
        <v>5905</v>
      </c>
      <c r="ER502" s="15" t="s">
        <v>2156</v>
      </c>
      <c r="ES502" s="15" t="s">
        <v>4685</v>
      </c>
      <c r="ET502" s="15" t="s">
        <v>4685</v>
      </c>
      <c r="EU502" s="15" t="s">
        <v>426</v>
      </c>
      <c r="EV502" s="15">
        <v>0.0</v>
      </c>
      <c r="EW502" s="15">
        <v>0.0</v>
      </c>
      <c r="FF502" s="15" t="s">
        <v>531</v>
      </c>
    </row>
    <row r="503" ht="17.25" customHeight="1">
      <c r="A503" s="15" t="s">
        <v>5912</v>
      </c>
      <c r="B503" s="15" t="str">
        <f>"801542964214"</f>
        <v>801542964214</v>
      </c>
      <c r="C503" s="15" t="s">
        <v>17197</v>
      </c>
      <c r="D503" s="15" t="str">
        <f t="shared" si="1"/>
        <v>Isaac End TableRubbed Light Oak Veneer</v>
      </c>
      <c r="E503" s="15" t="s">
        <v>5910</v>
      </c>
      <c r="F503" s="15" t="s">
        <v>397</v>
      </c>
      <c r="G503" s="15" t="s">
        <v>3638</v>
      </c>
      <c r="J503" s="15" t="s">
        <v>3638</v>
      </c>
      <c r="M503" s="15" t="s">
        <v>1896</v>
      </c>
      <c r="N503" s="15" t="s">
        <v>1154</v>
      </c>
      <c r="P503" s="15" t="str">
        <f t="shared" ref="P503:P504" si="1530">"26"</f>
        <v>26</v>
      </c>
      <c r="Q503" s="15" t="str">
        <f t="shared" ref="Q503:Q504" si="1531">"22"</f>
        <v>22</v>
      </c>
      <c r="R503" s="15" t="str">
        <f t="shared" ref="R503:R504" si="1532">"18"</f>
        <v>18</v>
      </c>
      <c r="S503" s="15" t="str">
        <f t="shared" ref="S503:S504" si="1533">"45.19"</f>
        <v>45.19</v>
      </c>
      <c r="T503" s="15" t="s">
        <v>1025</v>
      </c>
      <c r="U503" s="15" t="s">
        <v>10881</v>
      </c>
      <c r="V503" s="15" t="s">
        <v>11338</v>
      </c>
      <c r="AA503" s="15" t="s">
        <v>413</v>
      </c>
      <c r="AB503" s="15" t="s">
        <v>413</v>
      </c>
      <c r="AD503" s="15" t="s">
        <v>17198</v>
      </c>
      <c r="AE503" s="15" t="s">
        <v>5914</v>
      </c>
      <c r="AF503" s="15" t="s">
        <v>17199</v>
      </c>
      <c r="AG503" s="15" t="s">
        <v>17200</v>
      </c>
      <c r="AH503" s="15" t="s">
        <v>17201</v>
      </c>
      <c r="AI503" s="15" t="s">
        <v>17202</v>
      </c>
      <c r="AJ503" s="15" t="s">
        <v>17203</v>
      </c>
      <c r="AK503" s="15" t="s">
        <v>17204</v>
      </c>
      <c r="AL503" s="15" t="s">
        <v>17205</v>
      </c>
      <c r="BH503" s="15" t="s">
        <v>5911</v>
      </c>
      <c r="BI503" s="15" t="str">
        <f t="shared" ref="BI503:BI504" si="1534">"699"</f>
        <v>699</v>
      </c>
      <c r="BJ503" s="15" t="str">
        <f t="shared" ref="BJ503:BJ504" si="1535">"295"</f>
        <v>295</v>
      </c>
      <c r="BK503" s="15" t="s">
        <v>742</v>
      </c>
      <c r="BL503" s="15" t="str">
        <f t="shared" si="1517"/>
        <v>1</v>
      </c>
      <c r="BM503" s="15" t="s">
        <v>5915</v>
      </c>
      <c r="BN503" s="15" t="str">
        <f t="shared" ref="BN503:BN504" si="1536">"31.1"</f>
        <v>31.1</v>
      </c>
      <c r="BO503" s="15" t="str">
        <f t="shared" ref="BO503:BO504" si="1537">"26.77"</f>
        <v>26.77</v>
      </c>
      <c r="BP503" s="15" t="str">
        <f t="shared" ref="BP503:BP504" si="1538">"12.8"</f>
        <v>12.8</v>
      </c>
      <c r="BQ503" s="15" t="str">
        <f t="shared" ref="BQ503:BQ504" si="1539">"60.41"</f>
        <v>60.41</v>
      </c>
      <c r="CG503" s="15" t="str">
        <f t="shared" ref="CG503:CG504" si="1540">"6.18"</f>
        <v>6.18</v>
      </c>
      <c r="CH503" s="15" t="str">
        <f t="shared" ref="CH503:CH504" si="1541">"0.175"</f>
        <v>0.175</v>
      </c>
      <c r="CI503" s="15" t="s">
        <v>417</v>
      </c>
      <c r="CZ503" s="15" t="s">
        <v>419</v>
      </c>
      <c r="DA503" s="15">
        <v>0.0</v>
      </c>
      <c r="DB503" s="15" t="s">
        <v>419</v>
      </c>
      <c r="DD503" s="15">
        <v>0.0</v>
      </c>
      <c r="DF503" s="15" t="s">
        <v>1186</v>
      </c>
      <c r="DG503" s="15" t="s">
        <v>419</v>
      </c>
      <c r="DK503" s="15">
        <v>0.0</v>
      </c>
      <c r="DR503" s="15" t="s">
        <v>471</v>
      </c>
      <c r="DS503" s="15" t="s">
        <v>5903</v>
      </c>
      <c r="DU503" s="15" t="s">
        <v>500</v>
      </c>
      <c r="EF503" s="15" t="s">
        <v>2051</v>
      </c>
      <c r="EH503" s="15" t="s">
        <v>1592</v>
      </c>
      <c r="EQ503" s="15" t="s">
        <v>1484</v>
      </c>
      <c r="ER503" s="15" t="s">
        <v>2648</v>
      </c>
      <c r="ES503" s="15" t="s">
        <v>4685</v>
      </c>
      <c r="ET503" s="15" t="s">
        <v>4685</v>
      </c>
      <c r="EU503" s="15" t="s">
        <v>426</v>
      </c>
      <c r="EV503" s="15">
        <v>0.0</v>
      </c>
      <c r="EW503" s="15">
        <v>0.0</v>
      </c>
      <c r="FF503" s="15" t="s">
        <v>477</v>
      </c>
    </row>
    <row r="504" ht="17.25" customHeight="1">
      <c r="A504" s="15" t="s">
        <v>5918</v>
      </c>
      <c r="B504" s="15" t="str">
        <f>"801542223700"</f>
        <v>801542223700</v>
      </c>
      <c r="C504" s="15" t="s">
        <v>17206</v>
      </c>
      <c r="D504" s="15" t="str">
        <f t="shared" si="1"/>
        <v>Isaac End TableSmoked Black Veneer</v>
      </c>
      <c r="E504" s="15" t="s">
        <v>5910</v>
      </c>
      <c r="F504" s="15" t="s">
        <v>397</v>
      </c>
      <c r="G504" s="15" t="s">
        <v>4815</v>
      </c>
      <c r="J504" s="15" t="s">
        <v>4815</v>
      </c>
      <c r="M504" s="15" t="s">
        <v>1896</v>
      </c>
      <c r="N504" s="15" t="s">
        <v>1154</v>
      </c>
      <c r="P504" s="15" t="str">
        <f t="shared" si="1530"/>
        <v>26</v>
      </c>
      <c r="Q504" s="15" t="str">
        <f t="shared" si="1531"/>
        <v>22</v>
      </c>
      <c r="R504" s="15" t="str">
        <f t="shared" si="1532"/>
        <v>18</v>
      </c>
      <c r="S504" s="15" t="str">
        <f t="shared" si="1533"/>
        <v>45.19</v>
      </c>
      <c r="T504" s="15" t="s">
        <v>1025</v>
      </c>
      <c r="U504" s="15" t="s">
        <v>10881</v>
      </c>
      <c r="V504" s="15" t="s">
        <v>11338</v>
      </c>
      <c r="AA504" s="15" t="s">
        <v>413</v>
      </c>
      <c r="AB504" s="15" t="s">
        <v>413</v>
      </c>
      <c r="AC504" s="15" t="s">
        <v>5920</v>
      </c>
      <c r="AD504" s="15" t="s">
        <v>17207</v>
      </c>
      <c r="AE504" s="15" t="s">
        <v>5919</v>
      </c>
      <c r="AF504" s="15" t="s">
        <v>17208</v>
      </c>
      <c r="AG504" s="15" t="s">
        <v>17209</v>
      </c>
      <c r="AH504" s="15" t="s">
        <v>17210</v>
      </c>
      <c r="AI504" s="15" t="s">
        <v>17211</v>
      </c>
      <c r="AJ504" s="15" t="s">
        <v>17212</v>
      </c>
      <c r="AK504" s="15" t="s">
        <v>17213</v>
      </c>
      <c r="AL504" s="15" t="s">
        <v>17214</v>
      </c>
      <c r="AM504" s="15" t="s">
        <v>17215</v>
      </c>
      <c r="AN504" s="15" t="s">
        <v>17216</v>
      </c>
      <c r="AO504" s="15" t="s">
        <v>17217</v>
      </c>
      <c r="BH504" s="15" t="s">
        <v>5917</v>
      </c>
      <c r="BI504" s="15" t="str">
        <f t="shared" si="1534"/>
        <v>699</v>
      </c>
      <c r="BJ504" s="15" t="str">
        <f t="shared" si="1535"/>
        <v>295</v>
      </c>
      <c r="BK504" s="15" t="s">
        <v>742</v>
      </c>
      <c r="BL504" s="15" t="str">
        <f t="shared" si="1517"/>
        <v>1</v>
      </c>
      <c r="BM504" s="15" t="s">
        <v>5915</v>
      </c>
      <c r="BN504" s="15" t="str">
        <f t="shared" si="1536"/>
        <v>31.1</v>
      </c>
      <c r="BO504" s="15" t="str">
        <f t="shared" si="1537"/>
        <v>26.77</v>
      </c>
      <c r="BP504" s="15" t="str">
        <f t="shared" si="1538"/>
        <v>12.8</v>
      </c>
      <c r="BQ504" s="15" t="str">
        <f t="shared" si="1539"/>
        <v>60.41</v>
      </c>
      <c r="CG504" s="15" t="str">
        <f t="shared" si="1540"/>
        <v>6.18</v>
      </c>
      <c r="CH504" s="15" t="str">
        <f t="shared" si="1541"/>
        <v>0.175</v>
      </c>
      <c r="CI504" s="15" t="s">
        <v>417</v>
      </c>
      <c r="CZ504" s="15" t="s">
        <v>419</v>
      </c>
      <c r="DA504" s="15">
        <v>0.0</v>
      </c>
      <c r="DB504" s="15" t="s">
        <v>419</v>
      </c>
      <c r="DD504" s="15">
        <v>0.0</v>
      </c>
      <c r="DF504" s="15" t="s">
        <v>1186</v>
      </c>
      <c r="DG504" s="15" t="s">
        <v>419</v>
      </c>
      <c r="DK504" s="15">
        <v>0.0</v>
      </c>
      <c r="DR504" s="15" t="s">
        <v>471</v>
      </c>
      <c r="DS504" s="15" t="s">
        <v>5903</v>
      </c>
      <c r="DU504" s="15" t="s">
        <v>500</v>
      </c>
      <c r="EF504" s="15" t="s">
        <v>2051</v>
      </c>
      <c r="EH504" s="15" t="s">
        <v>1592</v>
      </c>
      <c r="EQ504" s="15" t="s">
        <v>1484</v>
      </c>
      <c r="ER504" s="15" t="s">
        <v>2648</v>
      </c>
      <c r="ES504" s="15" t="s">
        <v>4685</v>
      </c>
      <c r="ET504" s="15" t="s">
        <v>4685</v>
      </c>
      <c r="EU504" s="15" t="s">
        <v>426</v>
      </c>
      <c r="EV504" s="15">
        <v>0.0</v>
      </c>
      <c r="EW504" s="15">
        <v>0.0</v>
      </c>
      <c r="FF504" s="15" t="s">
        <v>477</v>
      </c>
    </row>
    <row r="505" ht="17.25" customHeight="1">
      <c r="A505" s="15" t="s">
        <v>5924</v>
      </c>
      <c r="B505" s="15" t="str">
        <f>"801542190927"</f>
        <v>801542190927</v>
      </c>
      <c r="C505" s="15" t="s">
        <v>17218</v>
      </c>
      <c r="D505" s="15" t="str">
        <f t="shared" si="1"/>
        <v>Isador Executive DeskDry Wash Poplar</v>
      </c>
      <c r="E505" s="15" t="s">
        <v>5921</v>
      </c>
      <c r="F505" s="15" t="s">
        <v>397</v>
      </c>
      <c r="G505" s="15" t="s">
        <v>5923</v>
      </c>
      <c r="J505" s="15" t="s">
        <v>5923</v>
      </c>
      <c r="K505" s="15" t="s">
        <v>5928</v>
      </c>
      <c r="M505" s="15" t="s">
        <v>4463</v>
      </c>
      <c r="N505" s="15" t="s">
        <v>2134</v>
      </c>
      <c r="O505" s="15" t="s">
        <v>2135</v>
      </c>
      <c r="P505" s="15" t="str">
        <f>"70"</f>
        <v>70</v>
      </c>
      <c r="Q505" s="15" t="str">
        <f>"27"</f>
        <v>27</v>
      </c>
      <c r="R505" s="15" t="str">
        <f>"31.25"</f>
        <v>31.25</v>
      </c>
      <c r="S505" s="15" t="str">
        <f>"157.63"</f>
        <v>157.63</v>
      </c>
      <c r="T505" s="15" t="s">
        <v>5927</v>
      </c>
      <c r="U505" s="15" t="s">
        <v>17219</v>
      </c>
      <c r="V505" s="15" t="s">
        <v>11137</v>
      </c>
      <c r="AA505" s="15" t="s">
        <v>413</v>
      </c>
      <c r="AB505" s="15" t="s">
        <v>413</v>
      </c>
      <c r="AC505" s="15" t="s">
        <v>5929</v>
      </c>
      <c r="AD505" s="15" t="s">
        <v>17220</v>
      </c>
      <c r="AE505" s="15" t="s">
        <v>5926</v>
      </c>
      <c r="AF505" s="15" t="s">
        <v>17221</v>
      </c>
      <c r="AG505" s="15" t="s">
        <v>17222</v>
      </c>
      <c r="AH505" s="15" t="s">
        <v>17223</v>
      </c>
      <c r="AI505" s="15" t="s">
        <v>17224</v>
      </c>
      <c r="AJ505" s="15" t="s">
        <v>17225</v>
      </c>
      <c r="AK505" s="15" t="s">
        <v>17226</v>
      </c>
      <c r="AL505" s="15" t="s">
        <v>17227</v>
      </c>
      <c r="AM505" s="15" t="s">
        <v>17228</v>
      </c>
      <c r="AN505" s="15" t="s">
        <v>17229</v>
      </c>
      <c r="AO505" s="15" t="s">
        <v>17230</v>
      </c>
      <c r="AP505" s="15" t="s">
        <v>17231</v>
      </c>
      <c r="AQ505" s="15" t="s">
        <v>17232</v>
      </c>
      <c r="AR505" s="15" t="s">
        <v>17233</v>
      </c>
      <c r="BH505" s="15" t="s">
        <v>5922</v>
      </c>
      <c r="BI505" s="15" t="str">
        <f>"1899"</f>
        <v>1899</v>
      </c>
      <c r="BJ505" s="15" t="str">
        <f>"800"</f>
        <v>800</v>
      </c>
      <c r="BK505" s="15" t="s">
        <v>415</v>
      </c>
      <c r="BL505" s="15" t="str">
        <f t="shared" si="1517"/>
        <v>1</v>
      </c>
      <c r="BM505" s="15" t="s">
        <v>416</v>
      </c>
      <c r="BN505" s="15" t="str">
        <f>"74.21"</f>
        <v>74.21</v>
      </c>
      <c r="BO505" s="15" t="str">
        <f>"30.91"</f>
        <v>30.91</v>
      </c>
      <c r="BP505" s="15" t="str">
        <f>"30.51"</f>
        <v>30.51</v>
      </c>
      <c r="BQ505" s="15" t="str">
        <f>"177.47"</f>
        <v>177.47</v>
      </c>
      <c r="CG505" s="15" t="str">
        <f>"40.51"</f>
        <v>40.51</v>
      </c>
      <c r="CH505" s="15" t="str">
        <f>"1.147"</f>
        <v>1.147</v>
      </c>
      <c r="CI505" s="15" t="s">
        <v>417</v>
      </c>
      <c r="CM505" s="15" t="s">
        <v>1068</v>
      </c>
      <c r="CN505" s="15" t="s">
        <v>3129</v>
      </c>
      <c r="CO505" s="15" t="s">
        <v>1460</v>
      </c>
      <c r="CZ505" s="15" t="s">
        <v>2600</v>
      </c>
      <c r="DA505" s="15">
        <v>5.0</v>
      </c>
      <c r="DB505" s="15" t="s">
        <v>2601</v>
      </c>
      <c r="DD505" s="15">
        <v>0.0</v>
      </c>
      <c r="DF505" s="15" t="s">
        <v>764</v>
      </c>
      <c r="DG505" s="15" t="s">
        <v>610</v>
      </c>
      <c r="DK505" s="15">
        <v>1.0</v>
      </c>
      <c r="DR505" s="15" t="s">
        <v>2137</v>
      </c>
      <c r="DS505" s="15" t="s">
        <v>5933</v>
      </c>
      <c r="DU505" s="15" t="s">
        <v>500</v>
      </c>
      <c r="EF505" s="15" t="s">
        <v>5481</v>
      </c>
      <c r="EG505" s="15" t="s">
        <v>3955</v>
      </c>
      <c r="EH505" s="15" t="s">
        <v>607</v>
      </c>
      <c r="EQ505" s="15" t="s">
        <v>1957</v>
      </c>
      <c r="ER505" s="15" t="s">
        <v>5481</v>
      </c>
      <c r="ES505" s="15" t="s">
        <v>1957</v>
      </c>
      <c r="ET505" s="15" t="s">
        <v>2046</v>
      </c>
      <c r="EU505" s="15" t="s">
        <v>426</v>
      </c>
      <c r="EV505" s="15">
        <v>1.0</v>
      </c>
      <c r="FE505" s="15" t="s">
        <v>1283</v>
      </c>
      <c r="FK505" s="15" t="s">
        <v>3129</v>
      </c>
      <c r="FL505" s="15" t="s">
        <v>2046</v>
      </c>
      <c r="FM505" s="15" t="s">
        <v>1460</v>
      </c>
      <c r="FO505" s="15" t="s">
        <v>426</v>
      </c>
      <c r="FP505" s="15" t="s">
        <v>785</v>
      </c>
      <c r="FQ505" s="15">
        <v>1.0</v>
      </c>
      <c r="FR505" s="15" t="s">
        <v>614</v>
      </c>
      <c r="FS505" s="15" t="s">
        <v>615</v>
      </c>
      <c r="FU505" s="15" t="s">
        <v>426</v>
      </c>
      <c r="FW505" s="15" t="s">
        <v>616</v>
      </c>
      <c r="FZ505" s="15" t="s">
        <v>2598</v>
      </c>
      <c r="GA505" s="15" t="s">
        <v>2598</v>
      </c>
      <c r="GB505" s="15" t="s">
        <v>4376</v>
      </c>
      <c r="GC505" s="15" t="s">
        <v>4376</v>
      </c>
      <c r="GD505" s="15" t="s">
        <v>1070</v>
      </c>
      <c r="GE505" s="15" t="s">
        <v>3659</v>
      </c>
      <c r="GF505" s="15" t="s">
        <v>2604</v>
      </c>
      <c r="GH505" s="15" t="s">
        <v>764</v>
      </c>
      <c r="GI505" s="15" t="s">
        <v>426</v>
      </c>
      <c r="GM505" s="15">
        <v>1.0</v>
      </c>
      <c r="HG505" s="15" t="s">
        <v>2598</v>
      </c>
      <c r="HH505" s="15" t="s">
        <v>2598</v>
      </c>
      <c r="HI505" s="15" t="s">
        <v>4553</v>
      </c>
      <c r="HJ505" s="15" t="s">
        <v>4181</v>
      </c>
      <c r="HK505" s="15" t="s">
        <v>1070</v>
      </c>
      <c r="HL505" s="15" t="s">
        <v>1070</v>
      </c>
      <c r="HP505" s="15" t="s">
        <v>426</v>
      </c>
    </row>
    <row r="506" ht="17.25" customHeight="1">
      <c r="A506" s="15" t="s">
        <v>5936</v>
      </c>
      <c r="B506" s="15" t="str">
        <f>"801542627300"</f>
        <v>801542627300</v>
      </c>
      <c r="C506" s="15" t="s">
        <v>17234</v>
      </c>
      <c r="D506" s="15" t="str">
        <f t="shared" si="1"/>
        <v>Isador SideboardDry Wash Poplar</v>
      </c>
      <c r="E506" s="15" t="s">
        <v>5934</v>
      </c>
      <c r="F506" s="15" t="s">
        <v>397</v>
      </c>
      <c r="G506" s="15" t="s">
        <v>5923</v>
      </c>
      <c r="J506" s="15" t="s">
        <v>5923</v>
      </c>
      <c r="K506" s="15" t="s">
        <v>5928</v>
      </c>
      <c r="M506" s="15" t="s">
        <v>4463</v>
      </c>
      <c r="N506" s="15" t="s">
        <v>664</v>
      </c>
      <c r="P506" s="15" t="str">
        <f>"74"</f>
        <v>74</v>
      </c>
      <c r="Q506" s="15" t="str">
        <f>"19"</f>
        <v>19</v>
      </c>
      <c r="R506" s="15" t="str">
        <f>"32.25"</f>
        <v>32.25</v>
      </c>
      <c r="S506" s="15" t="str">
        <f>"149.91"</f>
        <v>149.91</v>
      </c>
      <c r="T506" s="15" t="s">
        <v>5927</v>
      </c>
      <c r="U506" s="15" t="s">
        <v>17219</v>
      </c>
      <c r="V506" s="15" t="s">
        <v>11137</v>
      </c>
      <c r="AA506" s="15" t="s">
        <v>413</v>
      </c>
      <c r="AB506" s="15" t="s">
        <v>413</v>
      </c>
      <c r="AC506" s="15" t="s">
        <v>5938</v>
      </c>
      <c r="AD506" s="15" t="s">
        <v>17235</v>
      </c>
      <c r="AE506" s="15" t="s">
        <v>5937</v>
      </c>
      <c r="AF506" s="15" t="s">
        <v>17236</v>
      </c>
      <c r="AG506" s="15" t="s">
        <v>17237</v>
      </c>
      <c r="AH506" s="15" t="s">
        <v>17238</v>
      </c>
      <c r="AI506" s="15" t="s">
        <v>17239</v>
      </c>
      <c r="AJ506" s="15" t="s">
        <v>17240</v>
      </c>
      <c r="AK506" s="15" t="s">
        <v>17241</v>
      </c>
      <c r="AL506" s="15" t="s">
        <v>17242</v>
      </c>
      <c r="AM506" s="15" t="s">
        <v>17243</v>
      </c>
      <c r="AN506" s="15" t="s">
        <v>17244</v>
      </c>
      <c r="AO506" s="15" t="s">
        <v>17245</v>
      </c>
      <c r="AP506" s="15" t="s">
        <v>17246</v>
      </c>
      <c r="AQ506" s="15" t="s">
        <v>17247</v>
      </c>
      <c r="BH506" s="15" t="s">
        <v>5935</v>
      </c>
      <c r="BI506" s="15" t="str">
        <f>"1799"</f>
        <v>1799</v>
      </c>
      <c r="BJ506" s="15" t="str">
        <f>"760"</f>
        <v>760</v>
      </c>
      <c r="BK506" s="15" t="s">
        <v>415</v>
      </c>
      <c r="BL506" s="15" t="str">
        <f t="shared" si="1517"/>
        <v>1</v>
      </c>
      <c r="BM506" s="15" t="s">
        <v>416</v>
      </c>
      <c r="BN506" s="15" t="str">
        <f>"78.35"</f>
        <v>78.35</v>
      </c>
      <c r="BO506" s="15" t="str">
        <f>"23.62"</f>
        <v>23.62</v>
      </c>
      <c r="BP506" s="15" t="str">
        <f>"26.77"</f>
        <v>26.77</v>
      </c>
      <c r="BQ506" s="15" t="str">
        <f>"165.35"</f>
        <v>165.35</v>
      </c>
      <c r="CG506" s="15" t="str">
        <f>"28.68"</f>
        <v>28.68</v>
      </c>
      <c r="CH506" s="15" t="str">
        <f>"0.812"</f>
        <v>0.812</v>
      </c>
      <c r="CI506" s="15" t="s">
        <v>417</v>
      </c>
      <c r="CM506" s="15" t="s">
        <v>2159</v>
      </c>
      <c r="CN506" s="15" t="s">
        <v>779</v>
      </c>
      <c r="CO506" s="15" t="s">
        <v>5939</v>
      </c>
      <c r="CZ506" s="15" t="s">
        <v>2600</v>
      </c>
      <c r="DA506" s="15">
        <v>3.0</v>
      </c>
      <c r="DB506" s="15" t="s">
        <v>2601</v>
      </c>
      <c r="DD506" s="15">
        <v>0.0</v>
      </c>
      <c r="DF506" s="15" t="s">
        <v>764</v>
      </c>
      <c r="DG506" s="15" t="s">
        <v>610</v>
      </c>
      <c r="DI506" s="15">
        <v>18.14</v>
      </c>
      <c r="DJ506" s="15">
        <v>40.0</v>
      </c>
      <c r="DK506" s="15">
        <v>2.0</v>
      </c>
      <c r="DS506" s="15" t="s">
        <v>5933</v>
      </c>
      <c r="DU506" s="15" t="s">
        <v>424</v>
      </c>
      <c r="EF506" s="15" t="s">
        <v>2974</v>
      </c>
      <c r="EU506" s="15" t="s">
        <v>426</v>
      </c>
      <c r="EV506" s="15">
        <v>2.0</v>
      </c>
      <c r="FH506" s="15" t="s">
        <v>779</v>
      </c>
      <c r="FI506" s="15" t="s">
        <v>2046</v>
      </c>
      <c r="FJ506" s="15" t="s">
        <v>716</v>
      </c>
      <c r="FK506" s="15" t="s">
        <v>2159</v>
      </c>
      <c r="FL506" s="15" t="s">
        <v>2046</v>
      </c>
      <c r="FM506" s="15" t="s">
        <v>5939</v>
      </c>
      <c r="FN506" s="15">
        <v>0.0</v>
      </c>
      <c r="FO506" s="15" t="s">
        <v>426</v>
      </c>
      <c r="FP506" s="15" t="s">
        <v>785</v>
      </c>
      <c r="FQ506" s="15">
        <v>3.0</v>
      </c>
      <c r="FR506" s="15" t="s">
        <v>614</v>
      </c>
      <c r="FS506" s="15" t="s">
        <v>615</v>
      </c>
      <c r="FT506" s="15">
        <v>0.0</v>
      </c>
      <c r="FU506" s="15" t="s">
        <v>426</v>
      </c>
      <c r="FW506" s="15" t="s">
        <v>616</v>
      </c>
      <c r="FZ506" s="15" t="s">
        <v>5940</v>
      </c>
      <c r="GA506" s="15" t="s">
        <v>5940</v>
      </c>
      <c r="GB506" s="15" t="s">
        <v>1444</v>
      </c>
      <c r="GC506" s="15" t="s">
        <v>5941</v>
      </c>
      <c r="GD506" s="15" t="s">
        <v>2178</v>
      </c>
      <c r="GE506" s="15" t="s">
        <v>2178</v>
      </c>
      <c r="GF506" s="15" t="s">
        <v>2604</v>
      </c>
      <c r="GH506" s="15" t="s">
        <v>764</v>
      </c>
      <c r="GI506" s="15" t="s">
        <v>426</v>
      </c>
      <c r="GJ506" s="15" t="s">
        <v>2159</v>
      </c>
      <c r="GK506" s="15" t="s">
        <v>779</v>
      </c>
      <c r="GL506" s="15" t="s">
        <v>1070</v>
      </c>
      <c r="HM506" s="15" t="s">
        <v>2159</v>
      </c>
      <c r="HN506" s="15" t="s">
        <v>2046</v>
      </c>
      <c r="HO506" s="15" t="s">
        <v>1070</v>
      </c>
    </row>
    <row r="507" ht="17.25" customHeight="1">
      <c r="A507" s="15" t="s">
        <v>5945</v>
      </c>
      <c r="B507" s="15" t="str">
        <f>"801542313135"</f>
        <v>801542313135</v>
      </c>
      <c r="C507" s="15" t="s">
        <v>17248</v>
      </c>
      <c r="D507" s="15" t="str">
        <f t="shared" si="1"/>
        <v>Issa ChairCarson Black</v>
      </c>
      <c r="E507" s="15" t="s">
        <v>5942</v>
      </c>
      <c r="F507" s="15" t="s">
        <v>397</v>
      </c>
      <c r="G507" s="15" t="s">
        <v>5944</v>
      </c>
      <c r="J507" s="15" t="s">
        <v>5944</v>
      </c>
      <c r="K507" s="15" t="s">
        <v>5948</v>
      </c>
      <c r="M507" s="15" t="s">
        <v>3901</v>
      </c>
      <c r="N507" s="15" t="s">
        <v>706</v>
      </c>
      <c r="O507" s="15" t="s">
        <v>707</v>
      </c>
      <c r="P507" s="15" t="str">
        <f>"24.5"</f>
        <v>24.5</v>
      </c>
      <c r="Q507" s="15" t="str">
        <f>"30"</f>
        <v>30</v>
      </c>
      <c r="R507" s="15" t="str">
        <f>"29"</f>
        <v>29</v>
      </c>
      <c r="S507" s="15" t="str">
        <f>"34.39"</f>
        <v>34.39</v>
      </c>
      <c r="T507" s="15" t="s">
        <v>975</v>
      </c>
      <c r="U507" s="15" t="s">
        <v>11137</v>
      </c>
      <c r="V507" s="15" t="s">
        <v>11210</v>
      </c>
      <c r="AA507" s="15" t="s">
        <v>413</v>
      </c>
      <c r="AB507" s="15" t="s">
        <v>413</v>
      </c>
      <c r="AC507" s="15" t="s">
        <v>5949</v>
      </c>
      <c r="AD507" s="15" t="s">
        <v>17249</v>
      </c>
      <c r="AE507" s="15" t="s">
        <v>5947</v>
      </c>
      <c r="AF507" s="15" t="s">
        <v>17250</v>
      </c>
      <c r="AG507" s="15" t="s">
        <v>17251</v>
      </c>
      <c r="AH507" s="15" t="s">
        <v>17252</v>
      </c>
      <c r="AI507" s="15" t="s">
        <v>17253</v>
      </c>
      <c r="AJ507" s="15" t="s">
        <v>17254</v>
      </c>
      <c r="AK507" s="15" t="s">
        <v>17255</v>
      </c>
      <c r="AL507" s="15" t="s">
        <v>17256</v>
      </c>
      <c r="AM507" s="15" t="s">
        <v>17257</v>
      </c>
      <c r="AN507" s="15" t="s">
        <v>17258</v>
      </c>
      <c r="AO507" s="15" t="s">
        <v>17259</v>
      </c>
      <c r="AP507" s="15" t="s">
        <v>17260</v>
      </c>
      <c r="AQ507" s="15" t="s">
        <v>17261</v>
      </c>
      <c r="AR507" s="15" t="s">
        <v>17262</v>
      </c>
      <c r="AS507" s="15" t="s">
        <v>17263</v>
      </c>
      <c r="BH507" s="15" t="s">
        <v>5943</v>
      </c>
      <c r="BI507" s="15" t="str">
        <f>"849"</f>
        <v>849</v>
      </c>
      <c r="BJ507" s="15" t="str">
        <f>"360"</f>
        <v>360</v>
      </c>
      <c r="BK507" s="15" t="s">
        <v>742</v>
      </c>
      <c r="BL507" s="15" t="str">
        <f t="shared" si="1517"/>
        <v>1</v>
      </c>
      <c r="BM507" s="15" t="s">
        <v>1494</v>
      </c>
      <c r="BN507" s="15" t="str">
        <f>"27.56"</f>
        <v>27.56</v>
      </c>
      <c r="BO507" s="15" t="str">
        <f>"32.68"</f>
        <v>32.68</v>
      </c>
      <c r="BP507" s="15" t="str">
        <f>"33.46"</f>
        <v>33.46</v>
      </c>
      <c r="BQ507" s="15" t="str">
        <f>"48.5"</f>
        <v>48.5</v>
      </c>
      <c r="CG507" s="15" t="str">
        <f>"14.41"</f>
        <v>14.41</v>
      </c>
      <c r="CH507" s="15" t="str">
        <f>"0.408"</f>
        <v>0.408</v>
      </c>
      <c r="CI507" s="15" t="s">
        <v>417</v>
      </c>
      <c r="CS507" s="15" t="s">
        <v>5950</v>
      </c>
      <c r="CT507" s="15" t="s">
        <v>607</v>
      </c>
      <c r="CV507" s="15">
        <v>0.0</v>
      </c>
      <c r="CW507" s="15">
        <v>0.0</v>
      </c>
      <c r="CX507" s="15" t="s">
        <v>469</v>
      </c>
      <c r="CY507" s="15" t="s">
        <v>718</v>
      </c>
      <c r="DF507" s="15" t="s">
        <v>721</v>
      </c>
      <c r="DG507" s="15" t="s">
        <v>419</v>
      </c>
      <c r="DH507" s="15">
        <v>0.0</v>
      </c>
      <c r="DL507" s="15">
        <v>0.0</v>
      </c>
      <c r="DM507" s="15" t="s">
        <v>990</v>
      </c>
      <c r="DN507" s="15" t="s">
        <v>1016</v>
      </c>
      <c r="DO507" s="15" t="s">
        <v>724</v>
      </c>
      <c r="DP507" s="15">
        <v>1.0</v>
      </c>
      <c r="DQ507" s="15">
        <v>1.0</v>
      </c>
      <c r="DS507" s="15" t="s">
        <v>5951</v>
      </c>
      <c r="DT507" s="15">
        <v>0.0</v>
      </c>
      <c r="DU507" s="15" t="s">
        <v>726</v>
      </c>
      <c r="EF507" s="15" t="s">
        <v>1254</v>
      </c>
      <c r="EG507" s="15" t="s">
        <v>5952</v>
      </c>
      <c r="EH507" s="15" t="s">
        <v>1074</v>
      </c>
      <c r="EI507" s="15" t="s">
        <v>5953</v>
      </c>
      <c r="EO507" s="15" t="s">
        <v>860</v>
      </c>
      <c r="EU507" s="15" t="s">
        <v>426</v>
      </c>
      <c r="EX507" s="15" t="s">
        <v>1324</v>
      </c>
      <c r="EY507" s="15" t="s">
        <v>1074</v>
      </c>
      <c r="EZ507" s="15">
        <v>0.0</v>
      </c>
      <c r="FA507" s="15">
        <v>0.0</v>
      </c>
      <c r="FC507" s="15">
        <v>0.0</v>
      </c>
    </row>
    <row r="508" ht="17.25" customHeight="1">
      <c r="A508" s="15" t="s">
        <v>5957</v>
      </c>
      <c r="B508" s="15" t="str">
        <f>"801542374679"</f>
        <v>801542374679</v>
      </c>
      <c r="C508" s="15" t="s">
        <v>17264</v>
      </c>
      <c r="D508" s="15" t="str">
        <f t="shared" si="1"/>
        <v>It Takes An Hour SideboardDistressed Black</v>
      </c>
      <c r="E508" s="15" t="s">
        <v>5954</v>
      </c>
      <c r="F508" s="15" t="s">
        <v>397</v>
      </c>
      <c r="G508" s="15" t="s">
        <v>5956</v>
      </c>
      <c r="J508" s="15" t="s">
        <v>5956</v>
      </c>
      <c r="K508" s="15" t="s">
        <v>5964</v>
      </c>
      <c r="L508" s="15" t="s">
        <v>5965</v>
      </c>
      <c r="M508" s="15" t="s">
        <v>5963</v>
      </c>
      <c r="N508" s="15" t="s">
        <v>664</v>
      </c>
      <c r="P508" s="15" t="str">
        <f>"122"</f>
        <v>122</v>
      </c>
      <c r="Q508" s="15" t="str">
        <f>"19"</f>
        <v>19</v>
      </c>
      <c r="R508" s="15" t="str">
        <f>"38.25"</f>
        <v>38.25</v>
      </c>
      <c r="S508" s="15" t="str">
        <f>"412.26"</f>
        <v>412.26</v>
      </c>
      <c r="T508" s="15" t="s">
        <v>5960</v>
      </c>
      <c r="U508" s="15" t="s">
        <v>11386</v>
      </c>
      <c r="V508" s="15" t="s">
        <v>17265</v>
      </c>
      <c r="W508" s="15" t="s">
        <v>17266</v>
      </c>
      <c r="AA508" s="15" t="s">
        <v>413</v>
      </c>
      <c r="AB508" s="15" t="s">
        <v>413</v>
      </c>
      <c r="AC508" s="15" t="s">
        <v>5966</v>
      </c>
      <c r="AD508" s="15" t="s">
        <v>17267</v>
      </c>
      <c r="AE508" s="15" t="s">
        <v>5959</v>
      </c>
      <c r="AF508" s="15" t="s">
        <v>17268</v>
      </c>
      <c r="AG508" s="15" t="s">
        <v>17269</v>
      </c>
      <c r="AH508" s="15" t="s">
        <v>17270</v>
      </c>
      <c r="AI508" s="15" t="s">
        <v>17271</v>
      </c>
      <c r="AJ508" s="15" t="s">
        <v>17272</v>
      </c>
      <c r="AK508" s="15" t="s">
        <v>17273</v>
      </c>
      <c r="AL508" s="15" t="s">
        <v>17274</v>
      </c>
      <c r="AM508" s="15" t="s">
        <v>17275</v>
      </c>
      <c r="AN508" s="15" t="s">
        <v>17276</v>
      </c>
      <c r="AO508" s="15" t="s">
        <v>17277</v>
      </c>
      <c r="AP508" s="15" t="s">
        <v>17278</v>
      </c>
      <c r="AQ508" s="15" t="s">
        <v>17279</v>
      </c>
      <c r="AR508" s="15" t="s">
        <v>17280</v>
      </c>
      <c r="AS508" s="15" t="s">
        <v>17281</v>
      </c>
      <c r="AT508" s="15" t="s">
        <v>17282</v>
      </c>
      <c r="AU508" s="15" t="s">
        <v>17283</v>
      </c>
      <c r="AV508" s="15" t="s">
        <v>17284</v>
      </c>
      <c r="AW508" s="15" t="s">
        <v>17285</v>
      </c>
      <c r="BH508" s="15" t="s">
        <v>5955</v>
      </c>
      <c r="BI508" s="15" t="str">
        <f>"4999"</f>
        <v>4999</v>
      </c>
      <c r="BJ508" s="15" t="str">
        <f>"2100"</f>
        <v>2100</v>
      </c>
      <c r="BK508" s="15" t="s">
        <v>742</v>
      </c>
      <c r="BL508" s="15" t="str">
        <f t="shared" si="1517"/>
        <v>1</v>
      </c>
      <c r="BM508" s="15" t="s">
        <v>416</v>
      </c>
      <c r="BN508" s="15" t="str">
        <f>"128"</f>
        <v>128</v>
      </c>
      <c r="BO508" s="15" t="str">
        <f>"24.75"</f>
        <v>24.75</v>
      </c>
      <c r="BP508" s="15" t="str">
        <f>"43"</f>
        <v>43</v>
      </c>
      <c r="BQ508" s="15" t="str">
        <f>"513.68"</f>
        <v>513.68</v>
      </c>
      <c r="CG508" s="15" t="str">
        <f>"78.82"</f>
        <v>78.82</v>
      </c>
      <c r="CH508" s="15" t="str">
        <f>"2.232"</f>
        <v>2.232</v>
      </c>
      <c r="CI508" s="15" t="s">
        <v>417</v>
      </c>
      <c r="CM508" s="15" t="s">
        <v>2143</v>
      </c>
      <c r="CN508" s="15" t="s">
        <v>5969</v>
      </c>
      <c r="CO508" s="15" t="s">
        <v>5970</v>
      </c>
      <c r="CZ508" s="15" t="s">
        <v>419</v>
      </c>
      <c r="DA508" s="15">
        <v>0.0</v>
      </c>
      <c r="DB508" s="15" t="s">
        <v>419</v>
      </c>
      <c r="DD508" s="15">
        <v>0.0</v>
      </c>
      <c r="DF508" s="15" t="s">
        <v>420</v>
      </c>
      <c r="DG508" s="15" t="s">
        <v>610</v>
      </c>
      <c r="DI508" s="15">
        <v>18.14</v>
      </c>
      <c r="DJ508" s="15">
        <v>40.0</v>
      </c>
      <c r="DK508" s="15">
        <v>4.0</v>
      </c>
      <c r="DS508" s="15" t="s">
        <v>5971</v>
      </c>
      <c r="DU508" s="15" t="s">
        <v>424</v>
      </c>
      <c r="EF508" s="15" t="s">
        <v>5972</v>
      </c>
      <c r="EU508" s="15" t="s">
        <v>426</v>
      </c>
      <c r="EV508" s="15">
        <v>4.0</v>
      </c>
      <c r="FH508" s="15" t="s">
        <v>5973</v>
      </c>
      <c r="FI508" s="15" t="s">
        <v>1042</v>
      </c>
      <c r="FJ508" s="15" t="s">
        <v>5974</v>
      </c>
      <c r="FK508" s="15" t="s">
        <v>2143</v>
      </c>
      <c r="FL508" s="15" t="s">
        <v>612</v>
      </c>
      <c r="FM508" s="15" t="s">
        <v>5970</v>
      </c>
      <c r="FN508" s="15">
        <v>0.0</v>
      </c>
      <c r="FO508" s="15" t="s">
        <v>426</v>
      </c>
      <c r="FQ508" s="15">
        <v>8.0</v>
      </c>
      <c r="FR508" s="15" t="s">
        <v>614</v>
      </c>
      <c r="FS508" s="15" t="s">
        <v>786</v>
      </c>
      <c r="FT508" s="15">
        <v>0.0</v>
      </c>
      <c r="FU508" s="15" t="s">
        <v>426</v>
      </c>
      <c r="FW508" s="15" t="s">
        <v>616</v>
      </c>
      <c r="HF508" s="15" t="s">
        <v>1957</v>
      </c>
      <c r="HQ508" s="15" t="s">
        <v>426</v>
      </c>
    </row>
    <row r="509" ht="17.25" customHeight="1">
      <c r="A509" s="15" t="s">
        <v>5977</v>
      </c>
      <c r="B509" s="15" t="str">
        <f>"198394021920"</f>
        <v>198394021920</v>
      </c>
      <c r="C509" s="15" t="s">
        <v>17286</v>
      </c>
      <c r="D509" s="15" t="str">
        <f t="shared" si="1"/>
        <v>Jade Accent BenchAltair Mushroom</v>
      </c>
      <c r="E509" s="15" t="s">
        <v>5975</v>
      </c>
      <c r="F509" s="15" t="s">
        <v>397</v>
      </c>
      <c r="G509" s="15" t="s">
        <v>3192</v>
      </c>
      <c r="J509" s="15" t="s">
        <v>3192</v>
      </c>
      <c r="K509" s="15" t="s">
        <v>5979</v>
      </c>
      <c r="L509" s="15" t="s">
        <v>5980</v>
      </c>
      <c r="M509" s="15" t="s">
        <v>1317</v>
      </c>
      <c r="N509" s="15" t="s">
        <v>458</v>
      </c>
      <c r="O509" s="15" t="s">
        <v>459</v>
      </c>
      <c r="P509" s="15" t="str">
        <f>"70.5"</f>
        <v>70.5</v>
      </c>
      <c r="Q509" s="15" t="str">
        <f>"20.5"</f>
        <v>20.5</v>
      </c>
      <c r="R509" s="15" t="str">
        <f>"19"</f>
        <v>19</v>
      </c>
      <c r="S509" s="15" t="str">
        <f>"83.77"</f>
        <v>83.77</v>
      </c>
      <c r="T509" s="15" t="s">
        <v>5213</v>
      </c>
      <c r="U509" s="15" t="s">
        <v>11209</v>
      </c>
      <c r="V509" s="15" t="s">
        <v>11139</v>
      </c>
      <c r="AA509" s="15" t="s">
        <v>413</v>
      </c>
      <c r="AB509" s="15" t="s">
        <v>413</v>
      </c>
      <c r="AC509" s="15" t="s">
        <v>5981</v>
      </c>
      <c r="AD509" s="15" t="s">
        <v>17287</v>
      </c>
      <c r="AE509" s="15" t="s">
        <v>5978</v>
      </c>
      <c r="AF509" s="15" t="s">
        <v>17288</v>
      </c>
      <c r="AG509" s="15" t="s">
        <v>17289</v>
      </c>
      <c r="AH509" s="15" t="s">
        <v>17290</v>
      </c>
      <c r="AI509" s="15" t="s">
        <v>17291</v>
      </c>
      <c r="AJ509" s="15" t="s">
        <v>17292</v>
      </c>
      <c r="AK509" s="15" t="s">
        <v>17293</v>
      </c>
      <c r="AL509" s="15" t="s">
        <v>17294</v>
      </c>
      <c r="AM509" s="15" t="s">
        <v>17295</v>
      </c>
      <c r="AN509" s="15" t="s">
        <v>17296</v>
      </c>
      <c r="BH509" s="15" t="s">
        <v>5976</v>
      </c>
      <c r="BI509" s="15" t="str">
        <f>"1149"</f>
        <v>1149</v>
      </c>
      <c r="BJ509" s="15" t="str">
        <f>"485"</f>
        <v>485</v>
      </c>
      <c r="BK509" s="15" t="s">
        <v>709</v>
      </c>
      <c r="BL509" s="15" t="str">
        <f t="shared" si="1517"/>
        <v>1</v>
      </c>
      <c r="BM509" s="15" t="s">
        <v>416</v>
      </c>
      <c r="BN509" s="15" t="str">
        <f>"74.41"</f>
        <v>74.41</v>
      </c>
      <c r="BO509" s="15" t="str">
        <f>"23.62"</f>
        <v>23.62</v>
      </c>
      <c r="BP509" s="15" t="str">
        <f>"22.64"</f>
        <v>22.64</v>
      </c>
      <c r="BQ509" s="15" t="str">
        <f>"105.82"</f>
        <v>105.82</v>
      </c>
      <c r="CG509" s="15" t="str">
        <f>"23.03"</f>
        <v>23.03</v>
      </c>
      <c r="CH509" s="15" t="str">
        <f>"0.652"</f>
        <v>0.652</v>
      </c>
      <c r="CI509" s="15" t="s">
        <v>497</v>
      </c>
      <c r="CS509" s="15" t="s">
        <v>1324</v>
      </c>
      <c r="CT509" s="15" t="s">
        <v>467</v>
      </c>
      <c r="CU509" s="15" t="s">
        <v>468</v>
      </c>
      <c r="CV509" s="15">
        <v>0.0</v>
      </c>
      <c r="CW509" s="15">
        <v>0.0</v>
      </c>
      <c r="CX509" s="15" t="s">
        <v>469</v>
      </c>
      <c r="CY509" s="15" t="s">
        <v>934</v>
      </c>
      <c r="CZ509" s="15" t="s">
        <v>419</v>
      </c>
      <c r="DA509" s="15">
        <v>0.0</v>
      </c>
      <c r="DB509" s="15" t="s">
        <v>419</v>
      </c>
      <c r="DC509" s="15" t="s">
        <v>1239</v>
      </c>
      <c r="DD509" s="15">
        <v>0.0</v>
      </c>
      <c r="DG509" s="15" t="s">
        <v>419</v>
      </c>
      <c r="DH509" s="15">
        <v>0.0</v>
      </c>
      <c r="DI509" s="15">
        <v>0.0</v>
      </c>
      <c r="DJ509" s="15">
        <v>0.0</v>
      </c>
      <c r="DK509" s="15">
        <v>0.0</v>
      </c>
      <c r="DL509" s="15">
        <v>50000.0</v>
      </c>
      <c r="DM509" s="15" t="s">
        <v>470</v>
      </c>
      <c r="DN509" s="15" t="s">
        <v>1016</v>
      </c>
      <c r="DP509" s="15">
        <v>1.0</v>
      </c>
      <c r="DQ509" s="15">
        <v>3.0</v>
      </c>
      <c r="DR509" s="15" t="s">
        <v>471</v>
      </c>
      <c r="DS509" s="15" t="s">
        <v>5983</v>
      </c>
      <c r="DT509" s="15">
        <v>0.0</v>
      </c>
      <c r="DU509" s="15" t="s">
        <v>473</v>
      </c>
      <c r="EF509" s="15" t="s">
        <v>3305</v>
      </c>
      <c r="EG509" s="15" t="s">
        <v>824</v>
      </c>
      <c r="EH509" s="15" t="s">
        <v>5984</v>
      </c>
      <c r="EU509" s="15" t="s">
        <v>426</v>
      </c>
    </row>
    <row r="510" ht="17.25" customHeight="1">
      <c r="A510" s="15" t="s">
        <v>5987</v>
      </c>
      <c r="B510" s="15" t="str">
        <f>"801542932961"</f>
        <v>801542932961</v>
      </c>
      <c r="C510" s="15" t="s">
        <v>17297</v>
      </c>
      <c r="D510" s="15" t="str">
        <f t="shared" si="1"/>
        <v>Jarvis ReclinerDakota Tobacco</v>
      </c>
      <c r="E510" s="15" t="s">
        <v>5985</v>
      </c>
      <c r="F510" s="15" t="s">
        <v>397</v>
      </c>
      <c r="G510" s="15" t="s">
        <v>1319</v>
      </c>
      <c r="J510" s="15" t="s">
        <v>1319</v>
      </c>
      <c r="K510" s="15" t="s">
        <v>978</v>
      </c>
      <c r="M510" s="15" t="s">
        <v>915</v>
      </c>
      <c r="N510" s="15" t="s">
        <v>706</v>
      </c>
      <c r="O510" s="15" t="s">
        <v>707</v>
      </c>
      <c r="P510" s="15" t="str">
        <f>"28"</f>
        <v>28</v>
      </c>
      <c r="Q510" s="15" t="str">
        <f>"35"</f>
        <v>35</v>
      </c>
      <c r="R510" s="15" t="str">
        <f>"42"</f>
        <v>42</v>
      </c>
      <c r="S510" s="15" t="str">
        <f>"66.14"</f>
        <v>66.14</v>
      </c>
      <c r="T510" s="15" t="s">
        <v>975</v>
      </c>
      <c r="U510" s="15" t="s">
        <v>11137</v>
      </c>
      <c r="V510" s="15" t="s">
        <v>11210</v>
      </c>
      <c r="AA510" s="15" t="s">
        <v>413</v>
      </c>
      <c r="AB510" s="15" t="s">
        <v>413</v>
      </c>
      <c r="AC510" s="15" t="s">
        <v>5989</v>
      </c>
      <c r="AD510" s="15" t="s">
        <v>17298</v>
      </c>
      <c r="AE510" s="15" t="s">
        <v>5988</v>
      </c>
      <c r="AF510" s="15" t="s">
        <v>17299</v>
      </c>
      <c r="AG510" s="15" t="s">
        <v>17300</v>
      </c>
      <c r="AH510" s="15" t="s">
        <v>17301</v>
      </c>
      <c r="AI510" s="15" t="s">
        <v>17302</v>
      </c>
      <c r="AJ510" s="15" t="s">
        <v>17303</v>
      </c>
      <c r="AK510" s="15" t="s">
        <v>17304</v>
      </c>
      <c r="AL510" s="15" t="s">
        <v>17305</v>
      </c>
      <c r="AM510" s="15" t="s">
        <v>17306</v>
      </c>
      <c r="AN510" s="15" t="s">
        <v>17307</v>
      </c>
      <c r="AO510" s="15" t="s">
        <v>17308</v>
      </c>
      <c r="AP510" s="15" t="s">
        <v>17309</v>
      </c>
      <c r="AQ510" s="15" t="s">
        <v>17310</v>
      </c>
      <c r="AR510" s="15" t="s">
        <v>17311</v>
      </c>
      <c r="AS510" s="15" t="s">
        <v>17312</v>
      </c>
      <c r="AT510" s="15" t="s">
        <v>17313</v>
      </c>
      <c r="AU510" s="15" t="s">
        <v>17314</v>
      </c>
      <c r="AV510" s="15" t="s">
        <v>17315</v>
      </c>
      <c r="BH510" s="15" t="s">
        <v>5986</v>
      </c>
      <c r="BI510" s="15" t="str">
        <f>"1999"</f>
        <v>1999</v>
      </c>
      <c r="BJ510" s="15" t="str">
        <f>"840"</f>
        <v>840</v>
      </c>
      <c r="BK510" s="15" t="s">
        <v>709</v>
      </c>
      <c r="BL510" s="15" t="str">
        <f t="shared" si="1517"/>
        <v>1</v>
      </c>
      <c r="BM510" s="15" t="s">
        <v>1208</v>
      </c>
      <c r="BN510" s="15" t="str">
        <f>"29.92"</f>
        <v>29.92</v>
      </c>
      <c r="BO510" s="15" t="str">
        <f>"35.83"</f>
        <v>35.83</v>
      </c>
      <c r="BP510" s="15" t="str">
        <f>"44.88"</f>
        <v>44.88</v>
      </c>
      <c r="BQ510" s="15" t="str">
        <f>"79.15"</f>
        <v>79.15</v>
      </c>
      <c r="CG510" s="15" t="str">
        <f>"22.85"</f>
        <v>22.85</v>
      </c>
      <c r="CH510" s="15" t="str">
        <f>"0.647"</f>
        <v>0.647</v>
      </c>
      <c r="CI510" s="15" t="s">
        <v>465</v>
      </c>
      <c r="CS510" s="15" t="s">
        <v>525</v>
      </c>
      <c r="CT510" s="15" t="s">
        <v>650</v>
      </c>
      <c r="CV510" s="15">
        <v>0.0</v>
      </c>
      <c r="CW510" s="15">
        <v>0.0</v>
      </c>
      <c r="CX510" s="15" t="s">
        <v>717</v>
      </c>
      <c r="CY510" s="15" t="s">
        <v>718</v>
      </c>
      <c r="DF510" s="15" t="s">
        <v>721</v>
      </c>
      <c r="DG510" s="15" t="s">
        <v>2546</v>
      </c>
      <c r="DH510" s="15">
        <v>0.0</v>
      </c>
      <c r="DL510" s="15">
        <v>0.0</v>
      </c>
      <c r="DM510" s="15" t="s">
        <v>990</v>
      </c>
      <c r="DP510" s="15">
        <v>0.0</v>
      </c>
      <c r="DQ510" s="15">
        <v>1.0</v>
      </c>
      <c r="DS510" s="15" t="s">
        <v>5991</v>
      </c>
      <c r="DT510" s="15">
        <v>0.0</v>
      </c>
      <c r="DU510" s="15" t="s">
        <v>726</v>
      </c>
      <c r="DV510" s="15" t="s">
        <v>2384</v>
      </c>
      <c r="DW510" s="15" t="s">
        <v>429</v>
      </c>
      <c r="DX510" s="15" t="s">
        <v>525</v>
      </c>
      <c r="EB510" s="15" t="s">
        <v>1807</v>
      </c>
      <c r="EF510" s="15" t="s">
        <v>429</v>
      </c>
      <c r="EG510" s="15" t="s">
        <v>1328</v>
      </c>
      <c r="EH510" s="15" t="s">
        <v>1995</v>
      </c>
      <c r="EI510" s="15" t="s">
        <v>1253</v>
      </c>
      <c r="EO510" s="15" t="s">
        <v>860</v>
      </c>
      <c r="EX510" s="15" t="s">
        <v>1331</v>
      </c>
      <c r="EY510" s="15" t="s">
        <v>1211</v>
      </c>
      <c r="EZ510" s="15">
        <v>0.0</v>
      </c>
      <c r="FA510" s="15">
        <v>0.0</v>
      </c>
      <c r="FB510" s="15" t="s">
        <v>3362</v>
      </c>
      <c r="FC510" s="15" t="s">
        <v>1213</v>
      </c>
      <c r="IZ510" s="15" t="s">
        <v>2403</v>
      </c>
      <c r="JA510" s="15" t="s">
        <v>2337</v>
      </c>
    </row>
    <row r="511" ht="17.25" customHeight="1">
      <c r="A511" s="15" t="s">
        <v>5994</v>
      </c>
      <c r="B511" s="15" t="str">
        <f>"801542665838"</f>
        <v>801542665838</v>
      </c>
      <c r="C511" s="15" t="s">
        <v>17316</v>
      </c>
      <c r="D511" s="15" t="str">
        <f t="shared" si="1"/>
        <v>Jefferson TrunkVintage Tobacco</v>
      </c>
      <c r="E511" s="15" t="s">
        <v>5992</v>
      </c>
      <c r="F511" s="15" t="s">
        <v>397</v>
      </c>
      <c r="G511" s="15" t="s">
        <v>892</v>
      </c>
      <c r="J511" s="15" t="s">
        <v>892</v>
      </c>
      <c r="K511" s="15" t="s">
        <v>838</v>
      </c>
      <c r="M511" s="15" t="s">
        <v>837</v>
      </c>
      <c r="N511" s="15" t="s">
        <v>4009</v>
      </c>
      <c r="P511" s="15" t="str">
        <f>"55.5"</f>
        <v>55.5</v>
      </c>
      <c r="Q511" s="15" t="str">
        <f>"18"</f>
        <v>18</v>
      </c>
      <c r="R511" s="15" t="str">
        <f>"19.25"</f>
        <v>19.25</v>
      </c>
      <c r="S511" s="15" t="str">
        <f>"44.09"</f>
        <v>44.09</v>
      </c>
      <c r="T511" s="15" t="s">
        <v>895</v>
      </c>
      <c r="U511" s="15" t="s">
        <v>11234</v>
      </c>
      <c r="V511" s="15" t="s">
        <v>11235</v>
      </c>
      <c r="W511" s="15" t="s">
        <v>11210</v>
      </c>
      <c r="AA511" s="15" t="s">
        <v>413</v>
      </c>
      <c r="AB511" s="15" t="s">
        <v>413</v>
      </c>
      <c r="AC511" s="15" t="s">
        <v>5998</v>
      </c>
      <c r="AD511" s="15" t="s">
        <v>17317</v>
      </c>
      <c r="AE511" s="15" t="s">
        <v>5995</v>
      </c>
      <c r="AF511" s="15" t="s">
        <v>17318</v>
      </c>
      <c r="AG511" s="15" t="s">
        <v>17319</v>
      </c>
      <c r="AH511" s="15" t="s">
        <v>17320</v>
      </c>
      <c r="AI511" s="15" t="s">
        <v>17321</v>
      </c>
      <c r="AJ511" s="15" t="s">
        <v>17322</v>
      </c>
      <c r="AK511" s="15" t="s">
        <v>17323</v>
      </c>
      <c r="AL511" s="15" t="s">
        <v>17324</v>
      </c>
      <c r="AM511" s="15" t="s">
        <v>17325</v>
      </c>
      <c r="AN511" s="15" t="s">
        <v>17326</v>
      </c>
      <c r="AO511" s="15" t="s">
        <v>17327</v>
      </c>
      <c r="BH511" s="15" t="s">
        <v>5993</v>
      </c>
      <c r="BI511" s="15" t="str">
        <f>"449"</f>
        <v>449</v>
      </c>
      <c r="BJ511" s="15" t="str">
        <f>"190"</f>
        <v>190</v>
      </c>
      <c r="BK511" s="15" t="s">
        <v>742</v>
      </c>
      <c r="BL511" s="15" t="str">
        <f t="shared" si="1517"/>
        <v>1</v>
      </c>
      <c r="BM511" s="15" t="s">
        <v>416</v>
      </c>
      <c r="BN511" s="15" t="str">
        <f>"55.91"</f>
        <v>55.91</v>
      </c>
      <c r="BO511" s="15" t="str">
        <f>"19.09"</f>
        <v>19.09</v>
      </c>
      <c r="BP511" s="15" t="str">
        <f>"15.16"</f>
        <v>15.16</v>
      </c>
      <c r="BQ511" s="15" t="str">
        <f>"57.32"</f>
        <v>57.32</v>
      </c>
      <c r="CG511" s="15" t="str">
        <f>"9.36"</f>
        <v>9.36</v>
      </c>
      <c r="CH511" s="15" t="str">
        <f>"0.265"</f>
        <v>0.265</v>
      </c>
      <c r="CI511" s="15" t="s">
        <v>497</v>
      </c>
      <c r="CY511" s="15" t="s">
        <v>897</v>
      </c>
      <c r="DF511" s="15" t="s">
        <v>989</v>
      </c>
      <c r="DG511" s="15" t="s">
        <v>419</v>
      </c>
      <c r="DL511" s="15">
        <v>15000.0</v>
      </c>
      <c r="DM511" s="15" t="s">
        <v>722</v>
      </c>
      <c r="DS511" s="15" t="s">
        <v>6001</v>
      </c>
      <c r="EF511" s="15" t="s">
        <v>429</v>
      </c>
      <c r="EO511" s="15" t="s">
        <v>860</v>
      </c>
      <c r="EU511" s="15" t="s">
        <v>426</v>
      </c>
      <c r="FS511" s="15" t="s">
        <v>786</v>
      </c>
      <c r="HR511" s="15" t="s">
        <v>5940</v>
      </c>
      <c r="HS511" s="15" t="s">
        <v>729</v>
      </c>
      <c r="HT511" s="15" t="s">
        <v>6002</v>
      </c>
    </row>
    <row r="512" ht="17.25" customHeight="1">
      <c r="A512" s="15" t="s">
        <v>6006</v>
      </c>
      <c r="B512" s="15" t="str">
        <f>"198394053914"</f>
        <v>198394053914</v>
      </c>
      <c r="C512" s="15" t="s">
        <v>17328</v>
      </c>
      <c r="D512" s="15" t="str">
        <f t="shared" si="1"/>
        <v>Jenzen Coffee TableTempered Glass</v>
      </c>
      <c r="E512" s="15" t="s">
        <v>6003</v>
      </c>
      <c r="F512" s="15" t="s">
        <v>397</v>
      </c>
      <c r="G512" s="15" t="s">
        <v>6005</v>
      </c>
      <c r="J512" s="15" t="s">
        <v>6005</v>
      </c>
      <c r="K512" s="15" t="s">
        <v>6010</v>
      </c>
      <c r="L512" s="15" t="s">
        <v>4670</v>
      </c>
      <c r="M512" s="15" t="s">
        <v>2193</v>
      </c>
      <c r="N512" s="15" t="s">
        <v>491</v>
      </c>
      <c r="P512" s="15" t="str">
        <f t="shared" ref="P512:Q512" si="1542">"48"</f>
        <v>48</v>
      </c>
      <c r="Q512" s="15" t="str">
        <f t="shared" si="1542"/>
        <v>48</v>
      </c>
      <c r="R512" s="15" t="str">
        <f>"16.5"</f>
        <v>16.5</v>
      </c>
      <c r="S512" s="15" t="str">
        <f>"120.81"</f>
        <v>120.81</v>
      </c>
      <c r="T512" s="15" t="s">
        <v>6009</v>
      </c>
      <c r="U512" s="15" t="s">
        <v>6005</v>
      </c>
      <c r="V512" s="15" t="s">
        <v>11338</v>
      </c>
      <c r="W512" s="15" t="s">
        <v>11553</v>
      </c>
      <c r="AA512" s="15" t="s">
        <v>413</v>
      </c>
      <c r="AB512" s="15" t="s">
        <v>413</v>
      </c>
      <c r="AC512" s="15" t="s">
        <v>6011</v>
      </c>
      <c r="AD512" s="15" t="s">
        <v>17329</v>
      </c>
      <c r="AE512" s="15" t="s">
        <v>6008</v>
      </c>
      <c r="AF512" s="15" t="s">
        <v>17330</v>
      </c>
      <c r="AG512" s="15" t="s">
        <v>17331</v>
      </c>
      <c r="AH512" s="15" t="s">
        <v>17332</v>
      </c>
      <c r="AI512" s="15" t="s">
        <v>17333</v>
      </c>
      <c r="AJ512" s="15" t="s">
        <v>17334</v>
      </c>
      <c r="AK512" s="15" t="s">
        <v>17335</v>
      </c>
      <c r="AL512" s="15" t="s">
        <v>17336</v>
      </c>
      <c r="BH512" s="15" t="s">
        <v>6004</v>
      </c>
      <c r="BI512" s="15" t="str">
        <f t="shared" ref="BI512:BI513" si="1544">"1649"</f>
        <v>1649</v>
      </c>
      <c r="BJ512" s="15" t="str">
        <f t="shared" ref="BJ512:BJ513" si="1545">"695"</f>
        <v>695</v>
      </c>
      <c r="BK512" s="15" t="s">
        <v>709</v>
      </c>
      <c r="BL512" s="15" t="str">
        <f t="shared" si="1517"/>
        <v>1</v>
      </c>
      <c r="BM512" s="15" t="s">
        <v>416</v>
      </c>
      <c r="BN512" s="15" t="str">
        <f t="shared" ref="BN512:BO512" si="1543">"51.57"</f>
        <v>51.57</v>
      </c>
      <c r="BO512" s="15" t="str">
        <f t="shared" si="1543"/>
        <v>51.57</v>
      </c>
      <c r="BP512" s="15" t="str">
        <f>"20.47"</f>
        <v>20.47</v>
      </c>
      <c r="BQ512" s="15" t="str">
        <f>"158.73"</f>
        <v>158.73</v>
      </c>
      <c r="CG512" s="15" t="str">
        <f>"31.5"</f>
        <v>31.5</v>
      </c>
      <c r="CH512" s="15" t="str">
        <f>"0.892"</f>
        <v>0.892</v>
      </c>
      <c r="CI512" s="15" t="s">
        <v>465</v>
      </c>
      <c r="CJ512" s="15" t="s">
        <v>2792</v>
      </c>
      <c r="CK512" s="15" t="s">
        <v>612</v>
      </c>
      <c r="CL512" s="15" t="s">
        <v>2792</v>
      </c>
      <c r="CM512" s="15" t="s">
        <v>2792</v>
      </c>
      <c r="CN512" s="15" t="s">
        <v>1576</v>
      </c>
      <c r="CO512" s="15" t="s">
        <v>2792</v>
      </c>
      <c r="CZ512" s="15" t="s">
        <v>419</v>
      </c>
      <c r="DA512" s="15">
        <v>0.0</v>
      </c>
      <c r="DB512" s="15" t="s">
        <v>419</v>
      </c>
      <c r="DD512" s="15">
        <v>1.0</v>
      </c>
      <c r="DE512" s="15" t="s">
        <v>426</v>
      </c>
      <c r="DF512" s="15" t="s">
        <v>1111</v>
      </c>
      <c r="DG512" s="15" t="s">
        <v>1914</v>
      </c>
      <c r="DK512" s="15">
        <v>0.0</v>
      </c>
      <c r="DR512" s="15" t="s">
        <v>498</v>
      </c>
      <c r="DS512" s="15" t="s">
        <v>6012</v>
      </c>
      <c r="DU512" s="15" t="s">
        <v>500</v>
      </c>
      <c r="EF512" s="15" t="s">
        <v>1807</v>
      </c>
      <c r="EG512" s="15" t="s">
        <v>2840</v>
      </c>
      <c r="EH512" s="15" t="s">
        <v>2840</v>
      </c>
      <c r="EQ512" s="15" t="s">
        <v>784</v>
      </c>
      <c r="ER512" s="15" t="s">
        <v>788</v>
      </c>
      <c r="ES512" s="15" t="s">
        <v>784</v>
      </c>
      <c r="ET512" s="15" t="s">
        <v>784</v>
      </c>
      <c r="EU512" s="15" t="s">
        <v>426</v>
      </c>
      <c r="EV512" s="15">
        <v>1.0</v>
      </c>
      <c r="EW512" s="15">
        <v>0.0</v>
      </c>
    </row>
    <row r="513" ht="17.25" customHeight="1">
      <c r="A513" s="15" t="s">
        <v>6015</v>
      </c>
      <c r="B513" s="15" t="str">
        <f>"801542226138"</f>
        <v>801542226138</v>
      </c>
      <c r="C513" s="15" t="s">
        <v>17337</v>
      </c>
      <c r="D513" s="15" t="str">
        <f t="shared" si="1"/>
        <v>Jeremiah ChairPalermo Drift</v>
      </c>
      <c r="E513" s="15" t="s">
        <v>6013</v>
      </c>
      <c r="F513" s="15" t="s">
        <v>397</v>
      </c>
      <c r="G513" s="15" t="s">
        <v>1658</v>
      </c>
      <c r="J513" s="15" t="s">
        <v>1658</v>
      </c>
      <c r="K513" s="15" t="s">
        <v>3557</v>
      </c>
      <c r="M513" s="15" t="s">
        <v>915</v>
      </c>
      <c r="N513" s="15" t="s">
        <v>706</v>
      </c>
      <c r="O513" s="15" t="s">
        <v>707</v>
      </c>
      <c r="P513" s="15" t="str">
        <f>"30"</f>
        <v>30</v>
      </c>
      <c r="Q513" s="15" t="str">
        <f>"35.5"</f>
        <v>35.5</v>
      </c>
      <c r="R513" s="15" t="str">
        <f>"30"</f>
        <v>30</v>
      </c>
      <c r="S513" s="15" t="str">
        <f>"49.6"</f>
        <v>49.6</v>
      </c>
      <c r="T513" s="15" t="s">
        <v>1341</v>
      </c>
      <c r="U513" s="15" t="s">
        <v>11137</v>
      </c>
      <c r="V513" s="15" t="s">
        <v>11138</v>
      </c>
      <c r="AA513" s="15" t="s">
        <v>413</v>
      </c>
      <c r="AB513" s="15" t="s">
        <v>413</v>
      </c>
      <c r="AC513" s="15" t="s">
        <v>6017</v>
      </c>
      <c r="AD513" s="15" t="s">
        <v>17338</v>
      </c>
      <c r="AE513" s="15" t="s">
        <v>6016</v>
      </c>
      <c r="AF513" s="15" t="s">
        <v>17339</v>
      </c>
      <c r="AG513" s="15" t="s">
        <v>17340</v>
      </c>
      <c r="AH513" s="15" t="s">
        <v>17341</v>
      </c>
      <c r="AI513" s="15" t="s">
        <v>17342</v>
      </c>
      <c r="AJ513" s="15" t="s">
        <v>17343</v>
      </c>
      <c r="AK513" s="15" t="s">
        <v>17344</v>
      </c>
      <c r="AL513" s="15" t="s">
        <v>17345</v>
      </c>
      <c r="AM513" s="15" t="s">
        <v>17346</v>
      </c>
      <c r="AN513" s="15" t="s">
        <v>17347</v>
      </c>
      <c r="AO513" s="15" t="s">
        <v>17348</v>
      </c>
      <c r="BH513" s="15" t="s">
        <v>6014</v>
      </c>
      <c r="BI513" s="15" t="str">
        <f t="shared" si="1544"/>
        <v>1649</v>
      </c>
      <c r="BJ513" s="15" t="str">
        <f t="shared" si="1545"/>
        <v>695</v>
      </c>
      <c r="BK513" s="15" t="s">
        <v>709</v>
      </c>
      <c r="BL513" s="15" t="str">
        <f t="shared" si="1517"/>
        <v>1</v>
      </c>
      <c r="BM513" s="15" t="s">
        <v>1477</v>
      </c>
      <c r="BN513" s="15" t="str">
        <f>"32.68"</f>
        <v>32.68</v>
      </c>
      <c r="BO513" s="15" t="str">
        <f>"35.83"</f>
        <v>35.83</v>
      </c>
      <c r="BP513" s="15" t="str">
        <f>"31.89"</f>
        <v>31.89</v>
      </c>
      <c r="BQ513" s="15" t="str">
        <f>"67.24"</f>
        <v>67.24</v>
      </c>
      <c r="CG513" s="15" t="str">
        <f>"17.48"</f>
        <v>17.48</v>
      </c>
      <c r="CH513" s="15" t="str">
        <f>"0.495"</f>
        <v>0.495</v>
      </c>
      <c r="CI513" s="15" t="s">
        <v>465</v>
      </c>
      <c r="CS513" s="15" t="s">
        <v>1072</v>
      </c>
      <c r="CT513" s="15" t="s">
        <v>6018</v>
      </c>
      <c r="CU513" s="15" t="s">
        <v>1574</v>
      </c>
      <c r="CV513" s="15">
        <v>0.0</v>
      </c>
      <c r="CW513" s="15">
        <v>1.0</v>
      </c>
      <c r="CX513" s="15" t="s">
        <v>469</v>
      </c>
      <c r="CY513" s="15" t="s">
        <v>718</v>
      </c>
      <c r="DF513" s="15" t="s">
        <v>721</v>
      </c>
      <c r="DG513" s="15" t="s">
        <v>419</v>
      </c>
      <c r="DH513" s="15">
        <v>0.0</v>
      </c>
      <c r="DL513" s="15">
        <v>0.0</v>
      </c>
      <c r="DM513" s="15" t="s">
        <v>990</v>
      </c>
      <c r="DN513" s="15" t="s">
        <v>1016</v>
      </c>
      <c r="DO513" s="15" t="s">
        <v>3514</v>
      </c>
      <c r="DP513" s="15">
        <v>1.0</v>
      </c>
      <c r="DQ513" s="15">
        <v>1.0</v>
      </c>
      <c r="DS513" s="15" t="s">
        <v>6019</v>
      </c>
      <c r="DT513" s="15">
        <v>0.0</v>
      </c>
      <c r="DU513" s="15" t="s">
        <v>726</v>
      </c>
      <c r="EF513" s="15" t="s">
        <v>652</v>
      </c>
      <c r="EG513" s="15" t="s">
        <v>1214</v>
      </c>
      <c r="EH513" s="15" t="s">
        <v>1328</v>
      </c>
      <c r="EI513" s="15" t="s">
        <v>1982</v>
      </c>
      <c r="EL513" s="15" t="s">
        <v>1016</v>
      </c>
      <c r="EM513" s="15" t="s">
        <v>3514</v>
      </c>
      <c r="EO513" s="15" t="s">
        <v>1239</v>
      </c>
      <c r="EZ513" s="15">
        <v>0.0</v>
      </c>
      <c r="FA513" s="15">
        <v>0.0</v>
      </c>
      <c r="FB513" s="15" t="s">
        <v>3362</v>
      </c>
      <c r="FC513" s="15">
        <v>0.0</v>
      </c>
    </row>
    <row r="514" ht="17.25" customHeight="1">
      <c r="A514" s="15" t="s">
        <v>6022</v>
      </c>
      <c r="B514" s="15" t="str">
        <f>"801542065959"</f>
        <v>801542065959</v>
      </c>
      <c r="C514" s="15" t="s">
        <v>17349</v>
      </c>
      <c r="D514" s="15" t="str">
        <f t="shared" si="1"/>
        <v>Joanna ChaiseSonoma Black</v>
      </c>
      <c r="E514" s="15" t="s">
        <v>6020</v>
      </c>
      <c r="F514" s="15" t="s">
        <v>397</v>
      </c>
      <c r="G514" s="15" t="s">
        <v>4231</v>
      </c>
      <c r="J514" s="15" t="s">
        <v>4231</v>
      </c>
      <c r="K514" s="15" t="s">
        <v>4226</v>
      </c>
      <c r="M514" s="15" t="s">
        <v>2800</v>
      </c>
      <c r="N514" s="15" t="s">
        <v>1226</v>
      </c>
      <c r="P514" s="15" t="str">
        <f>"71.5"</f>
        <v>71.5</v>
      </c>
      <c r="Q514" s="15" t="str">
        <f>"29"</f>
        <v>29</v>
      </c>
      <c r="R514" s="15" t="str">
        <f>"25.25"</f>
        <v>25.25</v>
      </c>
      <c r="S514" s="15" t="str">
        <f>"54.87"</f>
        <v>54.87</v>
      </c>
      <c r="T514" s="15" t="s">
        <v>2799</v>
      </c>
      <c r="U514" s="15" t="s">
        <v>11137</v>
      </c>
      <c r="V514" s="15" t="s">
        <v>13112</v>
      </c>
      <c r="AA514" s="15" t="s">
        <v>413</v>
      </c>
      <c r="AB514" s="15" t="s">
        <v>413</v>
      </c>
      <c r="AC514" s="15" t="s">
        <v>6027</v>
      </c>
      <c r="AD514" s="15" t="s">
        <v>17350</v>
      </c>
      <c r="AE514" s="15" t="s">
        <v>6024</v>
      </c>
      <c r="AF514" s="15" t="s">
        <v>17351</v>
      </c>
      <c r="AG514" s="15" t="s">
        <v>17352</v>
      </c>
      <c r="AH514" s="15" t="s">
        <v>17353</v>
      </c>
      <c r="AI514" s="15" t="s">
        <v>17354</v>
      </c>
      <c r="AJ514" s="15" t="s">
        <v>17355</v>
      </c>
      <c r="AK514" s="15" t="s">
        <v>17356</v>
      </c>
      <c r="AL514" s="15" t="s">
        <v>17357</v>
      </c>
      <c r="AM514" s="15" t="s">
        <v>17358</v>
      </c>
      <c r="AN514" s="15" t="s">
        <v>17359</v>
      </c>
      <c r="BH514" s="15" t="s">
        <v>6021</v>
      </c>
      <c r="BI514" s="15" t="str">
        <f>"1599"</f>
        <v>1599</v>
      </c>
      <c r="BJ514" s="15" t="str">
        <f>"675"</f>
        <v>675</v>
      </c>
      <c r="BK514" s="15" t="s">
        <v>709</v>
      </c>
      <c r="BL514" s="15" t="str">
        <f t="shared" si="1517"/>
        <v>1</v>
      </c>
      <c r="BM514" s="15" t="s">
        <v>416</v>
      </c>
      <c r="BN514" s="15" t="str">
        <f>"72.83"</f>
        <v>72.83</v>
      </c>
      <c r="BO514" s="15" t="str">
        <f>"34.65"</f>
        <v>34.65</v>
      </c>
      <c r="BP514" s="15" t="str">
        <f>"21.06"</f>
        <v>21.06</v>
      </c>
      <c r="BQ514" s="15" t="str">
        <f>"80.58"</f>
        <v>80.58</v>
      </c>
      <c r="CG514" s="15" t="str">
        <f>"30.76"</f>
        <v>30.76</v>
      </c>
      <c r="CH514" s="15" t="str">
        <f>"0.871"</f>
        <v>0.871</v>
      </c>
      <c r="CI514" s="15" t="s">
        <v>465</v>
      </c>
      <c r="CS514" s="15" t="s">
        <v>3512</v>
      </c>
      <c r="CT514" s="15" t="s">
        <v>4568</v>
      </c>
      <c r="CU514" s="15" t="s">
        <v>4554</v>
      </c>
      <c r="CV514" s="15">
        <v>0.0</v>
      </c>
      <c r="CW514" s="15">
        <v>0.0</v>
      </c>
      <c r="CX514" s="15" t="s">
        <v>469</v>
      </c>
      <c r="CY514" s="15" t="s">
        <v>718</v>
      </c>
      <c r="DF514" s="15" t="s">
        <v>721</v>
      </c>
      <c r="DG514" s="15" t="s">
        <v>419</v>
      </c>
      <c r="DH514" s="15">
        <v>1.0</v>
      </c>
      <c r="DL514" s="15">
        <v>0.0</v>
      </c>
      <c r="DM514" s="15" t="s">
        <v>990</v>
      </c>
      <c r="DN514" s="15" t="s">
        <v>1016</v>
      </c>
      <c r="DO514" s="15" t="s">
        <v>3514</v>
      </c>
      <c r="DP514" s="15">
        <v>1.0</v>
      </c>
      <c r="DQ514" s="15">
        <v>3.0</v>
      </c>
      <c r="DS514" s="15" t="s">
        <v>6030</v>
      </c>
      <c r="DT514" s="15">
        <v>0.0</v>
      </c>
      <c r="DU514" s="15" t="s">
        <v>473</v>
      </c>
      <c r="EF514" s="15" t="s">
        <v>866</v>
      </c>
      <c r="EG514" s="15" t="s">
        <v>673</v>
      </c>
      <c r="EH514" s="15" t="s">
        <v>6031</v>
      </c>
      <c r="EO514" s="15" t="s">
        <v>1239</v>
      </c>
      <c r="EX514" s="15" t="s">
        <v>4554</v>
      </c>
      <c r="EY514" s="15" t="s">
        <v>4554</v>
      </c>
      <c r="FB514" s="15" t="s">
        <v>3362</v>
      </c>
      <c r="IP514" s="15" t="s">
        <v>762</v>
      </c>
      <c r="IQ514" s="15" t="s">
        <v>762</v>
      </c>
      <c r="IR514" s="15" t="s">
        <v>555</v>
      </c>
      <c r="IS514" s="15" t="s">
        <v>2200</v>
      </c>
      <c r="IT514" s="15" t="s">
        <v>426</v>
      </c>
    </row>
    <row r="515" ht="17.25" customHeight="1">
      <c r="A515" s="15" t="s">
        <v>6034</v>
      </c>
      <c r="B515" s="15" t="str">
        <f>"801542382070"</f>
        <v>801542382070</v>
      </c>
      <c r="C515" s="15" t="s">
        <v>17360</v>
      </c>
      <c r="D515" s="15" t="str">
        <f t="shared" si="1"/>
        <v>Jones ChairAlcala Wheat</v>
      </c>
      <c r="E515" s="15" t="s">
        <v>6032</v>
      </c>
      <c r="F515" s="15" t="s">
        <v>397</v>
      </c>
      <c r="G515" s="15" t="s">
        <v>4832</v>
      </c>
      <c r="J515" s="15" t="s">
        <v>4832</v>
      </c>
      <c r="K515" s="15" t="s">
        <v>6036</v>
      </c>
      <c r="M515" s="15" t="s">
        <v>2063</v>
      </c>
      <c r="N515" s="15" t="s">
        <v>706</v>
      </c>
      <c r="O515" s="15" t="s">
        <v>707</v>
      </c>
      <c r="P515" s="15" t="str">
        <f>"28.25"</f>
        <v>28.25</v>
      </c>
      <c r="Q515" s="15" t="str">
        <f>"36.25"</f>
        <v>36.25</v>
      </c>
      <c r="R515" s="15" t="str">
        <f>"30"</f>
        <v>30</v>
      </c>
      <c r="S515" s="15" t="str">
        <f>"48.5"</f>
        <v>48.5</v>
      </c>
      <c r="T515" s="15" t="s">
        <v>4835</v>
      </c>
      <c r="U515" s="15" t="s">
        <v>11356</v>
      </c>
      <c r="V515" s="15" t="s">
        <v>11574</v>
      </c>
      <c r="W515" s="15" t="s">
        <v>11575</v>
      </c>
      <c r="X515" s="15" t="s">
        <v>11138</v>
      </c>
      <c r="AA515" s="15" t="s">
        <v>413</v>
      </c>
      <c r="AB515" s="15" t="s">
        <v>426</v>
      </c>
      <c r="AC515" s="15" t="s">
        <v>6037</v>
      </c>
      <c r="AD515" s="15" t="s">
        <v>17361</v>
      </c>
      <c r="AE515" s="15" t="s">
        <v>6035</v>
      </c>
      <c r="AF515" s="15" t="s">
        <v>17362</v>
      </c>
      <c r="AG515" s="15" t="s">
        <v>17363</v>
      </c>
      <c r="AH515" s="15" t="s">
        <v>17364</v>
      </c>
      <c r="AI515" s="15" t="s">
        <v>17365</v>
      </c>
      <c r="AJ515" s="15" t="s">
        <v>17366</v>
      </c>
      <c r="AK515" s="15" t="s">
        <v>17367</v>
      </c>
      <c r="AL515" s="15" t="s">
        <v>17368</v>
      </c>
      <c r="AM515" s="15" t="s">
        <v>17369</v>
      </c>
      <c r="AN515" s="15" t="s">
        <v>17370</v>
      </c>
      <c r="AO515" s="15" t="s">
        <v>17371</v>
      </c>
      <c r="AP515" s="15" t="s">
        <v>17372</v>
      </c>
      <c r="AQ515" s="15" t="s">
        <v>17373</v>
      </c>
      <c r="BH515" s="15" t="s">
        <v>6033</v>
      </c>
      <c r="BI515" s="15" t="str">
        <f>"1099"</f>
        <v>1099</v>
      </c>
      <c r="BJ515" s="15" t="str">
        <f>"465"</f>
        <v>465</v>
      </c>
      <c r="BK515" s="15" t="s">
        <v>742</v>
      </c>
      <c r="BL515" s="15" t="str">
        <f t="shared" si="1517"/>
        <v>1</v>
      </c>
      <c r="BM515" s="15" t="s">
        <v>6038</v>
      </c>
      <c r="BN515" s="15" t="str">
        <f>"40.35"</f>
        <v>40.35</v>
      </c>
      <c r="BO515" s="15" t="str">
        <f>"32.28"</f>
        <v>32.28</v>
      </c>
      <c r="BP515" s="15" t="str">
        <f>"34.06"</f>
        <v>34.06</v>
      </c>
      <c r="BQ515" s="15" t="str">
        <f>"85.98"</f>
        <v>85.98</v>
      </c>
      <c r="CG515" s="15" t="str">
        <f>"25.67"</f>
        <v>25.67</v>
      </c>
      <c r="CH515" s="15" t="str">
        <f>"0.727"</f>
        <v>0.727</v>
      </c>
      <c r="CI515" s="15" t="s">
        <v>417</v>
      </c>
      <c r="CP515" s="15" t="s">
        <v>4987</v>
      </c>
      <c r="CQ515" s="15" t="s">
        <v>1955</v>
      </c>
      <c r="CR515" s="15" t="s">
        <v>6039</v>
      </c>
      <c r="CS515" s="15" t="s">
        <v>3955</v>
      </c>
      <c r="CT515" s="15" t="s">
        <v>1014</v>
      </c>
      <c r="CV515" s="15">
        <v>0.0</v>
      </c>
      <c r="CW515" s="15">
        <v>1.0</v>
      </c>
      <c r="CX515" s="15" t="s">
        <v>717</v>
      </c>
      <c r="CY515" s="15" t="s">
        <v>855</v>
      </c>
      <c r="DC515" s="15" t="s">
        <v>6040</v>
      </c>
      <c r="DF515" s="15" t="s">
        <v>1111</v>
      </c>
      <c r="DG515" s="15" t="s">
        <v>419</v>
      </c>
      <c r="DH515" s="15">
        <v>0.0</v>
      </c>
      <c r="DL515" s="15">
        <v>25000.0</v>
      </c>
      <c r="DM515" s="15" t="s">
        <v>2733</v>
      </c>
      <c r="DN515" s="15" t="s">
        <v>723</v>
      </c>
      <c r="DO515" s="15" t="s">
        <v>2200</v>
      </c>
      <c r="DP515" s="15">
        <v>1.0</v>
      </c>
      <c r="DQ515" s="15">
        <v>1.0</v>
      </c>
      <c r="DS515" s="15" t="s">
        <v>6041</v>
      </c>
      <c r="DT515" s="15">
        <v>0.0</v>
      </c>
      <c r="DU515" s="15" t="s">
        <v>726</v>
      </c>
      <c r="DV515" s="15" t="s">
        <v>6042</v>
      </c>
      <c r="DW515" s="15" t="s">
        <v>6043</v>
      </c>
      <c r="DX515" s="15" t="s">
        <v>6044</v>
      </c>
      <c r="EB515" s="15" t="s">
        <v>1122</v>
      </c>
      <c r="EC515" s="15" t="s">
        <v>6045</v>
      </c>
      <c r="ED515" s="15" t="s">
        <v>669</v>
      </c>
      <c r="EE515" s="15" t="s">
        <v>4467</v>
      </c>
      <c r="EF515" s="15" t="s">
        <v>6046</v>
      </c>
      <c r="EG515" s="15" t="s">
        <v>2314</v>
      </c>
      <c r="EI515" s="15" t="s">
        <v>6047</v>
      </c>
      <c r="EL515" s="15" t="s">
        <v>723</v>
      </c>
      <c r="EM515" s="15" t="s">
        <v>2200</v>
      </c>
      <c r="EU515" s="15" t="s">
        <v>426</v>
      </c>
      <c r="EX515" s="15" t="s">
        <v>4467</v>
      </c>
      <c r="EY515" s="15" t="s">
        <v>2346</v>
      </c>
      <c r="EZ515" s="15">
        <v>0.0</v>
      </c>
      <c r="FA515" s="15">
        <v>0.0</v>
      </c>
      <c r="FC515" s="15">
        <v>0.0</v>
      </c>
      <c r="JS515" s="15" t="s">
        <v>6048</v>
      </c>
      <c r="JT515" s="15" t="s">
        <v>6049</v>
      </c>
    </row>
    <row r="516" ht="17.25" customHeight="1">
      <c r="A516" s="15" t="s">
        <v>6052</v>
      </c>
      <c r="B516" s="15" t="str">
        <f>"801542723354"</f>
        <v>801542723354</v>
      </c>
      <c r="C516" s="15" t="s">
        <v>17374</v>
      </c>
      <c r="D516" s="15" t="str">
        <f t="shared" si="1"/>
        <v>Jonty Round End TableDark Petrified Wood</v>
      </c>
      <c r="E516" s="15" t="s">
        <v>6050</v>
      </c>
      <c r="F516" s="15" t="s">
        <v>397</v>
      </c>
      <c r="G516" s="15" t="s">
        <v>2206</v>
      </c>
      <c r="J516" s="15" t="s">
        <v>2206</v>
      </c>
      <c r="K516" s="15" t="s">
        <v>6057</v>
      </c>
      <c r="M516" s="15" t="s">
        <v>2215</v>
      </c>
      <c r="N516" s="15" t="s">
        <v>1154</v>
      </c>
      <c r="P516" s="15" t="str">
        <f t="shared" ref="P516:Q516" si="1546">"9.75"</f>
        <v>9.75</v>
      </c>
      <c r="Q516" s="15" t="str">
        <f t="shared" si="1546"/>
        <v>9.75</v>
      </c>
      <c r="R516" s="15" t="str">
        <f t="shared" ref="R516:R517" si="1549">"20.75"</f>
        <v>20.75</v>
      </c>
      <c r="S516" s="15" t="str">
        <f t="shared" ref="S516:S517" si="1550">"7.72"</f>
        <v>7.72</v>
      </c>
      <c r="T516" s="15" t="s">
        <v>2210</v>
      </c>
      <c r="U516" s="15" t="s">
        <v>12534</v>
      </c>
      <c r="V516" s="15" t="s">
        <v>12535</v>
      </c>
      <c r="AA516" s="15" t="s">
        <v>413</v>
      </c>
      <c r="AB516" s="15" t="s">
        <v>413</v>
      </c>
      <c r="AD516" s="15" t="s">
        <v>17375</v>
      </c>
      <c r="AE516" s="15" t="s">
        <v>6054</v>
      </c>
      <c r="AF516" s="15" t="s">
        <v>17376</v>
      </c>
      <c r="AG516" s="15" t="s">
        <v>17377</v>
      </c>
      <c r="AH516" s="15" t="s">
        <v>17378</v>
      </c>
      <c r="AI516" s="15" t="s">
        <v>17379</v>
      </c>
      <c r="AJ516" s="15" t="s">
        <v>17380</v>
      </c>
      <c r="AK516" s="15" t="s">
        <v>17381</v>
      </c>
      <c r="AL516" s="15" t="s">
        <v>17382</v>
      </c>
      <c r="BH516" s="15" t="s">
        <v>6051</v>
      </c>
      <c r="BI516" s="15" t="str">
        <f t="shared" ref="BI516:BI517" si="1551">"229"</f>
        <v>229</v>
      </c>
      <c r="BJ516" s="15" t="str">
        <f t="shared" ref="BJ516:BJ517" si="1552">"100"</f>
        <v>100</v>
      </c>
      <c r="BK516" s="15" t="s">
        <v>1181</v>
      </c>
      <c r="BL516" s="15" t="str">
        <f t="shared" si="1517"/>
        <v>1</v>
      </c>
      <c r="BM516" s="15" t="s">
        <v>416</v>
      </c>
      <c r="BN516" s="15" t="str">
        <f t="shared" ref="BN516:BO516" si="1547">"11.61"</f>
        <v>11.61</v>
      </c>
      <c r="BO516" s="15" t="str">
        <f t="shared" si="1547"/>
        <v>11.61</v>
      </c>
      <c r="BP516" s="15" t="str">
        <f t="shared" ref="BP516:BP517" si="1554">"24.21"</f>
        <v>24.21</v>
      </c>
      <c r="BQ516" s="15" t="str">
        <f t="shared" ref="BQ516:BQ517" si="1555">"12.68"</f>
        <v>12.68</v>
      </c>
      <c r="CG516" s="15" t="str">
        <f t="shared" ref="CG516:CG517" si="1556">"1.91"</f>
        <v>1.91</v>
      </c>
      <c r="CH516" s="15" t="str">
        <f t="shared" ref="CH516:CH517" si="1557">"0.054"</f>
        <v>0.054</v>
      </c>
      <c r="CI516" s="15" t="s">
        <v>465</v>
      </c>
      <c r="CZ516" s="15" t="s">
        <v>419</v>
      </c>
      <c r="DA516" s="15">
        <v>0.0</v>
      </c>
      <c r="DB516" s="15" t="s">
        <v>419</v>
      </c>
      <c r="DD516" s="15">
        <v>0.0</v>
      </c>
      <c r="DG516" s="15" t="s">
        <v>419</v>
      </c>
      <c r="DK516" s="15">
        <v>0.0</v>
      </c>
      <c r="DR516" s="15" t="s">
        <v>1157</v>
      </c>
      <c r="DS516" s="15" t="s">
        <v>6059</v>
      </c>
      <c r="DU516" s="15" t="s">
        <v>500</v>
      </c>
      <c r="EF516" s="15" t="s">
        <v>2738</v>
      </c>
      <c r="EQ516" s="15" t="s">
        <v>2473</v>
      </c>
      <c r="ER516" s="15" t="s">
        <v>4256</v>
      </c>
      <c r="ES516" s="15" t="s">
        <v>2473</v>
      </c>
      <c r="ET516" s="15" t="s">
        <v>4469</v>
      </c>
      <c r="EV516" s="15">
        <v>0.0</v>
      </c>
      <c r="EW516" s="15">
        <v>0.0</v>
      </c>
      <c r="FF516" s="15" t="s">
        <v>1444</v>
      </c>
    </row>
    <row r="517" ht="17.25" customHeight="1">
      <c r="A517" s="15" t="s">
        <v>6061</v>
      </c>
      <c r="B517" s="15" t="str">
        <f>"801542761011"</f>
        <v>801542761011</v>
      </c>
      <c r="C517" s="15" t="s">
        <v>17383</v>
      </c>
      <c r="D517" s="15" t="str">
        <f t="shared" si="1"/>
        <v>Jonty Round End TableLight Petrified Wood</v>
      </c>
      <c r="E517" s="15" t="s">
        <v>6050</v>
      </c>
      <c r="F517" s="15" t="s">
        <v>397</v>
      </c>
      <c r="G517" s="15" t="s">
        <v>4929</v>
      </c>
      <c r="J517" s="15" t="s">
        <v>4929</v>
      </c>
      <c r="K517" s="15" t="s">
        <v>6057</v>
      </c>
      <c r="M517" s="15" t="s">
        <v>2215</v>
      </c>
      <c r="N517" s="15" t="s">
        <v>1154</v>
      </c>
      <c r="P517" s="15" t="str">
        <f t="shared" ref="P517:Q517" si="1548">"9.75"</f>
        <v>9.75</v>
      </c>
      <c r="Q517" s="15" t="str">
        <f t="shared" si="1548"/>
        <v>9.75</v>
      </c>
      <c r="R517" s="15" t="str">
        <f t="shared" si="1549"/>
        <v>20.75</v>
      </c>
      <c r="S517" s="15" t="str">
        <f t="shared" si="1550"/>
        <v>7.72</v>
      </c>
      <c r="T517" s="15" t="s">
        <v>2210</v>
      </c>
      <c r="U517" s="15" t="s">
        <v>12534</v>
      </c>
      <c r="V517" s="15" t="s">
        <v>12535</v>
      </c>
      <c r="AA517" s="15" t="s">
        <v>413</v>
      </c>
      <c r="AB517" s="15" t="s">
        <v>413</v>
      </c>
      <c r="AD517" s="15" t="s">
        <v>17384</v>
      </c>
      <c r="AE517" s="15" t="s">
        <v>6062</v>
      </c>
      <c r="AF517" s="15" t="s">
        <v>17385</v>
      </c>
      <c r="AG517" s="15" t="s">
        <v>17386</v>
      </c>
      <c r="AH517" s="15" t="s">
        <v>17387</v>
      </c>
      <c r="AI517" s="15" t="s">
        <v>17388</v>
      </c>
      <c r="AJ517" s="15" t="s">
        <v>17389</v>
      </c>
      <c r="AK517" s="15" t="s">
        <v>17390</v>
      </c>
      <c r="AL517" s="15" t="s">
        <v>17391</v>
      </c>
      <c r="AM517" s="15" t="s">
        <v>17392</v>
      </c>
      <c r="BH517" s="15" t="s">
        <v>6060</v>
      </c>
      <c r="BI517" s="15" t="str">
        <f t="shared" si="1551"/>
        <v>229</v>
      </c>
      <c r="BJ517" s="15" t="str">
        <f t="shared" si="1552"/>
        <v>100</v>
      </c>
      <c r="BK517" s="15" t="s">
        <v>1181</v>
      </c>
      <c r="BL517" s="15" t="str">
        <f t="shared" si="1517"/>
        <v>1</v>
      </c>
      <c r="BM517" s="15" t="s">
        <v>416</v>
      </c>
      <c r="BN517" s="15" t="str">
        <f t="shared" ref="BN517:BO517" si="1553">"11.61"</f>
        <v>11.61</v>
      </c>
      <c r="BO517" s="15" t="str">
        <f t="shared" si="1553"/>
        <v>11.61</v>
      </c>
      <c r="BP517" s="15" t="str">
        <f t="shared" si="1554"/>
        <v>24.21</v>
      </c>
      <c r="BQ517" s="15" t="str">
        <f t="shared" si="1555"/>
        <v>12.68</v>
      </c>
      <c r="CG517" s="15" t="str">
        <f t="shared" si="1556"/>
        <v>1.91</v>
      </c>
      <c r="CH517" s="15" t="str">
        <f t="shared" si="1557"/>
        <v>0.054</v>
      </c>
      <c r="CI517" s="15" t="s">
        <v>465</v>
      </c>
      <c r="CZ517" s="15" t="s">
        <v>419</v>
      </c>
      <c r="DA517" s="15">
        <v>0.0</v>
      </c>
      <c r="DB517" s="15" t="s">
        <v>419</v>
      </c>
      <c r="DD517" s="15">
        <v>0.0</v>
      </c>
      <c r="DG517" s="15" t="s">
        <v>419</v>
      </c>
      <c r="DK517" s="15">
        <v>0.0</v>
      </c>
      <c r="DR517" s="15" t="s">
        <v>1157</v>
      </c>
      <c r="DS517" s="15" t="s">
        <v>6059</v>
      </c>
      <c r="DU517" s="15" t="s">
        <v>500</v>
      </c>
      <c r="EF517" s="15" t="s">
        <v>2738</v>
      </c>
      <c r="EQ517" s="15" t="s">
        <v>2473</v>
      </c>
      <c r="ER517" s="15" t="s">
        <v>4256</v>
      </c>
      <c r="ES517" s="15" t="s">
        <v>2473</v>
      </c>
      <c r="ET517" s="15" t="s">
        <v>4469</v>
      </c>
      <c r="EV517" s="15">
        <v>0.0</v>
      </c>
      <c r="EW517" s="15">
        <v>0.0</v>
      </c>
      <c r="FF517" s="15" t="s">
        <v>1444</v>
      </c>
    </row>
    <row r="518" ht="17.25" customHeight="1">
      <c r="A518" s="15" t="s">
        <v>6065</v>
      </c>
      <c r="B518" s="15" t="str">
        <f>"801542770488"</f>
        <v>801542770488</v>
      </c>
      <c r="C518" s="15" t="s">
        <v>17393</v>
      </c>
      <c r="D518" s="15" t="str">
        <f t="shared" si="1"/>
        <v>Jordy ChairSapphire Navy</v>
      </c>
      <c r="E518" s="15" t="s">
        <v>6063</v>
      </c>
      <c r="F518" s="15" t="s">
        <v>397</v>
      </c>
      <c r="G518" s="15" t="s">
        <v>1663</v>
      </c>
      <c r="J518" s="15" t="s">
        <v>1663</v>
      </c>
      <c r="M518" s="15" t="s">
        <v>6068</v>
      </c>
      <c r="N518" s="15" t="s">
        <v>706</v>
      </c>
      <c r="O518" s="15" t="s">
        <v>707</v>
      </c>
      <c r="P518" s="15" t="str">
        <f>"31.5"</f>
        <v>31.5</v>
      </c>
      <c r="Q518" s="15" t="str">
        <f>"38"</f>
        <v>38</v>
      </c>
      <c r="R518" s="15" t="str">
        <f>"25.5"</f>
        <v>25.5</v>
      </c>
      <c r="S518" s="15" t="str">
        <f>"41.89"</f>
        <v>41.89</v>
      </c>
      <c r="T518" s="15" t="s">
        <v>1666</v>
      </c>
      <c r="U518" s="15" t="s">
        <v>11234</v>
      </c>
      <c r="V518" s="15" t="s">
        <v>11898</v>
      </c>
      <c r="AA518" s="15" t="s">
        <v>413</v>
      </c>
      <c r="AB518" s="15" t="s">
        <v>413</v>
      </c>
      <c r="AC518" s="15" t="s">
        <v>6069</v>
      </c>
      <c r="AD518" s="15" t="s">
        <v>17394</v>
      </c>
      <c r="AE518" s="15" t="s">
        <v>6067</v>
      </c>
      <c r="AF518" s="15" t="s">
        <v>17395</v>
      </c>
      <c r="AG518" s="15" t="s">
        <v>17396</v>
      </c>
      <c r="AH518" s="15" t="s">
        <v>17397</v>
      </c>
      <c r="AI518" s="15" t="s">
        <v>17398</v>
      </c>
      <c r="AJ518" s="15" t="s">
        <v>17399</v>
      </c>
      <c r="AK518" s="15" t="s">
        <v>17400</v>
      </c>
      <c r="AL518" s="15" t="s">
        <v>17401</v>
      </c>
      <c r="AM518" s="15" t="s">
        <v>17402</v>
      </c>
      <c r="AN518" s="15" t="s">
        <v>17403</v>
      </c>
      <c r="AO518" s="15" t="s">
        <v>17404</v>
      </c>
      <c r="AP518" s="15" t="s">
        <v>17405</v>
      </c>
      <c r="BH518" s="15" t="s">
        <v>6064</v>
      </c>
      <c r="BI518" s="15" t="str">
        <f>"1099"</f>
        <v>1099</v>
      </c>
      <c r="BJ518" s="15" t="str">
        <f>"465"</f>
        <v>465</v>
      </c>
      <c r="BK518" s="15" t="s">
        <v>709</v>
      </c>
      <c r="BL518" s="15" t="str">
        <f t="shared" si="1517"/>
        <v>1</v>
      </c>
      <c r="BM518" s="15" t="s">
        <v>416</v>
      </c>
      <c r="BN518" s="15" t="str">
        <f>"38.98"</f>
        <v>38.98</v>
      </c>
      <c r="BO518" s="15" t="str">
        <f>"33.46"</f>
        <v>33.46</v>
      </c>
      <c r="BP518" s="15" t="str">
        <f>"25.98"</f>
        <v>25.98</v>
      </c>
      <c r="BQ518" s="15" t="str">
        <f>"55.12"</f>
        <v>55.12</v>
      </c>
      <c r="CG518" s="15" t="str">
        <f>"19.6"</f>
        <v>19.6</v>
      </c>
      <c r="CH518" s="15" t="str">
        <f>"0.555"</f>
        <v>0.555</v>
      </c>
      <c r="CI518" s="15" t="s">
        <v>465</v>
      </c>
      <c r="CS518" s="15" t="s">
        <v>525</v>
      </c>
      <c r="CT518" s="15" t="s">
        <v>1160</v>
      </c>
      <c r="CU518" s="15" t="s">
        <v>1253</v>
      </c>
      <c r="CV518" s="15">
        <v>0.0</v>
      </c>
      <c r="CW518" s="15">
        <v>0.0</v>
      </c>
      <c r="CX518" s="15" t="s">
        <v>717</v>
      </c>
      <c r="CY518" s="15" t="s">
        <v>897</v>
      </c>
      <c r="DF518" s="15" t="s">
        <v>721</v>
      </c>
      <c r="DG518" s="15" t="s">
        <v>419</v>
      </c>
      <c r="DH518" s="15">
        <v>0.0</v>
      </c>
      <c r="DL518" s="15">
        <v>100000.0</v>
      </c>
      <c r="DM518" s="15" t="s">
        <v>990</v>
      </c>
      <c r="DP518" s="15">
        <v>0.0</v>
      </c>
      <c r="DQ518" s="15">
        <v>1.0</v>
      </c>
      <c r="DS518" s="15" t="s">
        <v>6070</v>
      </c>
      <c r="DT518" s="15">
        <v>0.0</v>
      </c>
      <c r="DU518" s="15" t="s">
        <v>726</v>
      </c>
      <c r="DV518" s="15" t="s">
        <v>467</v>
      </c>
      <c r="DW518" s="15" t="s">
        <v>635</v>
      </c>
      <c r="DX518" s="15" t="s">
        <v>1993</v>
      </c>
      <c r="EB518" s="15" t="s">
        <v>3305</v>
      </c>
      <c r="EG518" s="15" t="s">
        <v>824</v>
      </c>
      <c r="EH518" s="15" t="s">
        <v>1253</v>
      </c>
      <c r="EI518" s="15" t="s">
        <v>531</v>
      </c>
      <c r="EO518" s="15" t="s">
        <v>1255</v>
      </c>
      <c r="EZ518" s="15">
        <v>0.0</v>
      </c>
      <c r="FA518" s="15">
        <v>0.0</v>
      </c>
      <c r="FC518" s="15">
        <v>0.0</v>
      </c>
    </row>
    <row r="519" ht="17.25" customHeight="1">
      <c r="A519" s="15" t="s">
        <v>6073</v>
      </c>
      <c r="B519" s="15" t="str">
        <f>"801542347260"</f>
        <v>801542347260</v>
      </c>
      <c r="C519" s="15" t="s">
        <v>17406</v>
      </c>
      <c r="D519" s="15" t="str">
        <f t="shared" si="1"/>
        <v>Josette Console TableHoney Oak Veneer</v>
      </c>
      <c r="E519" s="15" t="s">
        <v>6071</v>
      </c>
      <c r="F519" s="15" t="s">
        <v>397</v>
      </c>
      <c r="G519" s="15" t="s">
        <v>5657</v>
      </c>
      <c r="J519" s="15" t="s">
        <v>5657</v>
      </c>
      <c r="M519" s="15" t="s">
        <v>1896</v>
      </c>
      <c r="N519" s="15" t="s">
        <v>519</v>
      </c>
      <c r="P519" s="15" t="str">
        <f>"78"</f>
        <v>78</v>
      </c>
      <c r="Q519" s="15" t="str">
        <f t="shared" ref="Q519:Q520" si="1558">"18"</f>
        <v>18</v>
      </c>
      <c r="R519" s="15" t="str">
        <f>"30"</f>
        <v>30</v>
      </c>
      <c r="S519" s="15" t="str">
        <f>"142.2"</f>
        <v>142.2</v>
      </c>
      <c r="T519" s="15" t="s">
        <v>2354</v>
      </c>
      <c r="U519" s="15" t="s">
        <v>11553</v>
      </c>
      <c r="V519" s="15" t="s">
        <v>11338</v>
      </c>
      <c r="AA519" s="15" t="s">
        <v>413</v>
      </c>
      <c r="AB519" s="15" t="s">
        <v>413</v>
      </c>
      <c r="AC519" s="15" t="s">
        <v>6075</v>
      </c>
      <c r="AD519" s="15" t="s">
        <v>17407</v>
      </c>
      <c r="AE519" s="15" t="s">
        <v>6074</v>
      </c>
      <c r="AF519" s="15" t="s">
        <v>17408</v>
      </c>
      <c r="AG519" s="15" t="s">
        <v>17409</v>
      </c>
      <c r="AH519" s="15" t="s">
        <v>17410</v>
      </c>
      <c r="AI519" s="15" t="s">
        <v>17411</v>
      </c>
      <c r="AJ519" s="15" t="s">
        <v>17412</v>
      </c>
      <c r="AK519" s="15" t="s">
        <v>17413</v>
      </c>
      <c r="AL519" s="15" t="s">
        <v>17414</v>
      </c>
      <c r="AM519" s="15" t="s">
        <v>17415</v>
      </c>
      <c r="AN519" s="15" t="s">
        <v>17416</v>
      </c>
      <c r="AO519" s="15" t="s">
        <v>17417</v>
      </c>
      <c r="AP519" s="15" t="s">
        <v>17418</v>
      </c>
      <c r="AQ519" s="15" t="s">
        <v>17419</v>
      </c>
      <c r="AR519" s="15" t="s">
        <v>17420</v>
      </c>
      <c r="BH519" s="15" t="s">
        <v>6072</v>
      </c>
      <c r="BI519" s="15" t="str">
        <f>"1499"</f>
        <v>1499</v>
      </c>
      <c r="BJ519" s="15" t="str">
        <f>"630"</f>
        <v>630</v>
      </c>
      <c r="BK519" s="15" t="s">
        <v>742</v>
      </c>
      <c r="BL519" s="15" t="str">
        <f t="shared" si="1517"/>
        <v>1</v>
      </c>
      <c r="BM519" s="15" t="s">
        <v>5100</v>
      </c>
      <c r="BN519" s="15" t="str">
        <f>"82.68"</f>
        <v>82.68</v>
      </c>
      <c r="BO519" s="15" t="str">
        <f>"22.83"</f>
        <v>22.83</v>
      </c>
      <c r="BP519" s="15" t="str">
        <f>"14.96"</f>
        <v>14.96</v>
      </c>
      <c r="BQ519" s="15" t="str">
        <f>"185.19"</f>
        <v>185.19</v>
      </c>
      <c r="CG519" s="15" t="str">
        <f>"16.35"</f>
        <v>16.35</v>
      </c>
      <c r="CH519" s="15" t="str">
        <f>"0.463"</f>
        <v>0.463</v>
      </c>
      <c r="CI519" s="15" t="s">
        <v>417</v>
      </c>
      <c r="CZ519" s="15" t="s">
        <v>419</v>
      </c>
      <c r="DA519" s="15">
        <v>0.0</v>
      </c>
      <c r="DB519" s="15" t="s">
        <v>419</v>
      </c>
      <c r="DD519" s="15">
        <v>0.0</v>
      </c>
      <c r="DF519" s="15" t="s">
        <v>420</v>
      </c>
      <c r="DG519" s="15" t="s">
        <v>419</v>
      </c>
      <c r="DK519" s="15">
        <v>0.0</v>
      </c>
      <c r="DR519" s="15" t="s">
        <v>471</v>
      </c>
      <c r="DS519" s="15" t="s">
        <v>6077</v>
      </c>
      <c r="DU519" s="15" t="s">
        <v>424</v>
      </c>
      <c r="EF519" s="15" t="s">
        <v>2505</v>
      </c>
      <c r="EH519" s="15" t="s">
        <v>6078</v>
      </c>
      <c r="EQ519" s="15" t="s">
        <v>1014</v>
      </c>
      <c r="ER519" s="15" t="s">
        <v>6079</v>
      </c>
      <c r="ES519" s="15" t="s">
        <v>6080</v>
      </c>
      <c r="ET519" s="15" t="s">
        <v>1957</v>
      </c>
      <c r="EU519" s="15" t="s">
        <v>426</v>
      </c>
      <c r="EV519" s="15">
        <v>0.0</v>
      </c>
      <c r="EW519" s="15">
        <v>0.0</v>
      </c>
      <c r="FF519" s="15" t="s">
        <v>6081</v>
      </c>
      <c r="FQ519" s="15">
        <v>0.0</v>
      </c>
      <c r="FR519" s="15" t="s">
        <v>427</v>
      </c>
    </row>
    <row r="520" ht="17.25" customHeight="1">
      <c r="A520" s="15" t="s">
        <v>6084</v>
      </c>
      <c r="B520" s="15" t="str">
        <f>"801542629335"</f>
        <v>801542629335</v>
      </c>
      <c r="C520" s="15" t="s">
        <v>17421</v>
      </c>
      <c r="D520" s="15" t="str">
        <f t="shared" si="1"/>
        <v>Journey NightstandWhite Mahogany</v>
      </c>
      <c r="E520" s="15" t="s">
        <v>6082</v>
      </c>
      <c r="F520" s="15" t="s">
        <v>397</v>
      </c>
      <c r="G520" s="15" t="s">
        <v>3752</v>
      </c>
      <c r="J520" s="15" t="s">
        <v>3752</v>
      </c>
      <c r="K520" s="15" t="s">
        <v>3757</v>
      </c>
      <c r="M520" s="15" t="s">
        <v>411</v>
      </c>
      <c r="N520" s="15" t="s">
        <v>628</v>
      </c>
      <c r="P520" s="15" t="str">
        <f>"22"</f>
        <v>22</v>
      </c>
      <c r="Q520" s="15" t="str">
        <f t="shared" si="1558"/>
        <v>18</v>
      </c>
      <c r="R520" s="15" t="str">
        <f>"24"</f>
        <v>24</v>
      </c>
      <c r="S520" s="15" t="str">
        <f>"43.87"</f>
        <v>43.87</v>
      </c>
      <c r="T520" s="15" t="s">
        <v>3756</v>
      </c>
      <c r="U520" s="15" t="s">
        <v>14229</v>
      </c>
      <c r="V520" s="15" t="s">
        <v>14230</v>
      </c>
      <c r="AA520" s="15" t="s">
        <v>413</v>
      </c>
      <c r="AB520" s="15" t="s">
        <v>413</v>
      </c>
      <c r="AC520" s="15" t="s">
        <v>6087</v>
      </c>
      <c r="AD520" s="15" t="s">
        <v>17422</v>
      </c>
      <c r="AE520" s="15" t="s">
        <v>6086</v>
      </c>
      <c r="AF520" s="15" t="s">
        <v>17423</v>
      </c>
      <c r="AG520" s="15" t="s">
        <v>17424</v>
      </c>
      <c r="AH520" s="15" t="s">
        <v>17425</v>
      </c>
      <c r="AI520" s="15" t="s">
        <v>17426</v>
      </c>
      <c r="AJ520" s="15" t="s">
        <v>17427</v>
      </c>
      <c r="AK520" s="15" t="s">
        <v>17428</v>
      </c>
      <c r="AL520" s="15" t="s">
        <v>17429</v>
      </c>
      <c r="AM520" s="15" t="s">
        <v>17430</v>
      </c>
      <c r="AN520" s="15" t="s">
        <v>17431</v>
      </c>
      <c r="AO520" s="15" t="s">
        <v>17432</v>
      </c>
      <c r="AP520" s="15" t="s">
        <v>17433</v>
      </c>
      <c r="AQ520" s="15" t="s">
        <v>17434</v>
      </c>
      <c r="AR520" s="15" t="s">
        <v>17435</v>
      </c>
      <c r="AS520" s="15" t="s">
        <v>17436</v>
      </c>
      <c r="BH520" s="15" t="s">
        <v>6083</v>
      </c>
      <c r="BI520" s="15" t="str">
        <f>"1399"</f>
        <v>1399</v>
      </c>
      <c r="BJ520" s="15" t="str">
        <f>"590"</f>
        <v>590</v>
      </c>
      <c r="BK520" s="15" t="s">
        <v>415</v>
      </c>
      <c r="BL520" s="15" t="str">
        <f t="shared" si="1517"/>
        <v>1</v>
      </c>
      <c r="BM520" s="15" t="s">
        <v>416</v>
      </c>
      <c r="BN520" s="15" t="str">
        <f>"26.38"</f>
        <v>26.38</v>
      </c>
      <c r="BO520" s="15" t="str">
        <f>"22.44"</f>
        <v>22.44</v>
      </c>
      <c r="BP520" s="15" t="str">
        <f>"27.95"</f>
        <v>27.95</v>
      </c>
      <c r="BQ520" s="15" t="str">
        <f>"61.73"</f>
        <v>61.73</v>
      </c>
      <c r="CG520" s="15" t="str">
        <f>"9.57"</f>
        <v>9.57</v>
      </c>
      <c r="CH520" s="15" t="str">
        <f>"0.271"</f>
        <v>0.271</v>
      </c>
      <c r="CI520" s="15" t="s">
        <v>465</v>
      </c>
      <c r="CM520" s="15" t="s">
        <v>3238</v>
      </c>
      <c r="CN520" s="15" t="s">
        <v>3308</v>
      </c>
      <c r="CO520" s="15" t="s">
        <v>5392</v>
      </c>
      <c r="CZ520" s="15" t="s">
        <v>418</v>
      </c>
      <c r="DA520" s="15">
        <v>1.0</v>
      </c>
      <c r="DB520" s="15" t="s">
        <v>2601</v>
      </c>
      <c r="DD520" s="15">
        <v>0.0</v>
      </c>
      <c r="DF520" s="15" t="s">
        <v>420</v>
      </c>
      <c r="DG520" s="15" t="s">
        <v>421</v>
      </c>
      <c r="DK520" s="15">
        <v>0.0</v>
      </c>
      <c r="DR520" s="15" t="s">
        <v>471</v>
      </c>
      <c r="DS520" s="15" t="s">
        <v>6088</v>
      </c>
      <c r="DU520" s="15" t="s">
        <v>500</v>
      </c>
      <c r="EF520" s="15" t="s">
        <v>784</v>
      </c>
      <c r="EU520" s="15" t="s">
        <v>426</v>
      </c>
      <c r="EV520" s="15">
        <v>1.0</v>
      </c>
      <c r="FQ520" s="15">
        <v>0.0</v>
      </c>
      <c r="FR520" s="15" t="s">
        <v>427</v>
      </c>
      <c r="FZ520" s="15" t="s">
        <v>634</v>
      </c>
      <c r="GB520" s="15" t="s">
        <v>477</v>
      </c>
      <c r="GD520" s="15" t="s">
        <v>6089</v>
      </c>
      <c r="GF520" s="15" t="s">
        <v>431</v>
      </c>
      <c r="GH520" s="15" t="s">
        <v>420</v>
      </c>
      <c r="GI520" s="15" t="s">
        <v>426</v>
      </c>
    </row>
    <row r="521" ht="17.25" customHeight="1">
      <c r="A521" s="15" t="s">
        <v>6093</v>
      </c>
      <c r="B521" s="15" t="str">
        <f>"801542394929"</f>
        <v>801542394929</v>
      </c>
      <c r="C521" s="15" t="s">
        <v>17437</v>
      </c>
      <c r="D521" s="15" t="str">
        <f t="shared" si="1"/>
        <v>Julius Swivel ChairNubuck Cognac</v>
      </c>
      <c r="E521" s="15" t="s">
        <v>6090</v>
      </c>
      <c r="F521" s="15" t="s">
        <v>397</v>
      </c>
      <c r="G521" s="15" t="s">
        <v>6092</v>
      </c>
      <c r="J521" s="15" t="s">
        <v>6092</v>
      </c>
      <c r="K521" s="15" t="s">
        <v>2801</v>
      </c>
      <c r="M521" s="15" t="s">
        <v>1317</v>
      </c>
      <c r="N521" s="15" t="s">
        <v>706</v>
      </c>
      <c r="O521" s="15" t="s">
        <v>707</v>
      </c>
      <c r="P521" s="15" t="str">
        <f t="shared" ref="P521:P524" si="1560">"35"</f>
        <v>35</v>
      </c>
      <c r="Q521" s="15" t="str">
        <f t="shared" ref="Q521:Q524" si="1561">"36"</f>
        <v>36</v>
      </c>
      <c r="R521" s="15" t="str">
        <f t="shared" ref="R521:R524" si="1562">"29.5"</f>
        <v>29.5</v>
      </c>
      <c r="S521" s="15" t="str">
        <f t="shared" ref="S521:S524" si="1563">"63.93"</f>
        <v>63.93</v>
      </c>
      <c r="T521" s="15" t="s">
        <v>975</v>
      </c>
      <c r="U521" s="15" t="s">
        <v>11137</v>
      </c>
      <c r="V521" s="15" t="s">
        <v>11210</v>
      </c>
      <c r="AA521" s="15" t="s">
        <v>413</v>
      </c>
      <c r="AB521" s="15" t="s">
        <v>413</v>
      </c>
      <c r="AD521" s="15" t="s">
        <v>17438</v>
      </c>
      <c r="AE521" s="15" t="s">
        <v>6094</v>
      </c>
      <c r="AF521" s="15" t="s">
        <v>17439</v>
      </c>
      <c r="AG521" s="15" t="s">
        <v>17440</v>
      </c>
      <c r="AH521" s="15" t="s">
        <v>17441</v>
      </c>
      <c r="AI521" s="15" t="s">
        <v>17442</v>
      </c>
      <c r="AJ521" s="15" t="s">
        <v>17443</v>
      </c>
      <c r="AK521" s="15" t="s">
        <v>17444</v>
      </c>
      <c r="AL521" s="15" t="s">
        <v>17445</v>
      </c>
      <c r="AM521" s="15" t="s">
        <v>17446</v>
      </c>
      <c r="AN521" s="15" t="s">
        <v>17447</v>
      </c>
      <c r="BH521" s="15" t="s">
        <v>6091</v>
      </c>
      <c r="BI521" s="15" t="str">
        <f>"2099"</f>
        <v>2099</v>
      </c>
      <c r="BJ521" s="15" t="str">
        <f>"885"</f>
        <v>885</v>
      </c>
      <c r="BK521" s="15" t="s">
        <v>709</v>
      </c>
      <c r="BL521" s="15" t="str">
        <f t="shared" si="1517"/>
        <v>1</v>
      </c>
      <c r="BM521" s="15" t="s">
        <v>1477</v>
      </c>
      <c r="BN521" s="15" t="str">
        <f t="shared" ref="BN521:BO521" si="1559">"36.61"</f>
        <v>36.61</v>
      </c>
      <c r="BO521" s="15" t="str">
        <f t="shared" si="1559"/>
        <v>36.61</v>
      </c>
      <c r="BP521" s="15" t="str">
        <f t="shared" ref="BP521:BP524" si="1565">"33.07"</f>
        <v>33.07</v>
      </c>
      <c r="BQ521" s="15" t="str">
        <f t="shared" ref="BQ521:BQ524" si="1566">"95.24"</f>
        <v>95.24</v>
      </c>
      <c r="CG521" s="15" t="str">
        <f t="shared" ref="CG521:CG524" si="1567">"23.38"</f>
        <v>23.38</v>
      </c>
      <c r="CH521" s="15" t="str">
        <f t="shared" ref="CH521:CH524" si="1568">"0.662"</f>
        <v>0.662</v>
      </c>
      <c r="CI521" s="15" t="s">
        <v>497</v>
      </c>
      <c r="CS521" s="15" t="s">
        <v>1211</v>
      </c>
      <c r="CT521" s="15" t="s">
        <v>1161</v>
      </c>
      <c r="CV521" s="15">
        <v>0.0</v>
      </c>
      <c r="CW521" s="15">
        <v>1.0</v>
      </c>
      <c r="CX521" s="15" t="s">
        <v>717</v>
      </c>
      <c r="CY521" s="15" t="s">
        <v>718</v>
      </c>
      <c r="DF521" s="15" t="s">
        <v>721</v>
      </c>
      <c r="DG521" s="15" t="s">
        <v>1605</v>
      </c>
      <c r="DH521" s="15">
        <v>0.0</v>
      </c>
      <c r="DL521" s="15">
        <v>0.0</v>
      </c>
      <c r="DM521" s="15" t="s">
        <v>990</v>
      </c>
      <c r="DN521" s="15" t="s">
        <v>1016</v>
      </c>
      <c r="DP521" s="15">
        <v>1.0</v>
      </c>
      <c r="DQ521" s="15">
        <v>1.0</v>
      </c>
      <c r="DS521" s="15" t="s">
        <v>6096</v>
      </c>
      <c r="DT521" s="15">
        <v>0.0</v>
      </c>
      <c r="DU521" s="15" t="s">
        <v>726</v>
      </c>
      <c r="DV521" s="15" t="s">
        <v>2384</v>
      </c>
      <c r="DW521" s="15" t="s">
        <v>2547</v>
      </c>
      <c r="DX521" s="15" t="s">
        <v>1213</v>
      </c>
      <c r="EB521" s="15" t="s">
        <v>505</v>
      </c>
      <c r="EF521" s="15" t="s">
        <v>1188</v>
      </c>
      <c r="EI521" s="15" t="s">
        <v>1329</v>
      </c>
      <c r="EL521" s="15" t="s">
        <v>1016</v>
      </c>
      <c r="EO521" s="15" t="s">
        <v>860</v>
      </c>
      <c r="EX521" s="15" t="s">
        <v>1065</v>
      </c>
      <c r="EY521" s="15" t="s">
        <v>1211</v>
      </c>
      <c r="EZ521" s="15">
        <v>0.0</v>
      </c>
      <c r="FA521" s="15">
        <v>0.0</v>
      </c>
      <c r="FC521" s="15">
        <v>0.0</v>
      </c>
      <c r="HU521" s="15" t="s">
        <v>1610</v>
      </c>
    </row>
    <row r="522" ht="17.25" customHeight="1">
      <c r="A522" s="15" t="s">
        <v>6098</v>
      </c>
      <c r="B522" s="15" t="str">
        <f>"801542192488"</f>
        <v>801542192488</v>
      </c>
      <c r="C522" s="15" t="s">
        <v>17448</v>
      </c>
      <c r="D522" s="15" t="str">
        <f t="shared" si="1"/>
        <v>Julius Swivel ChairSheldon Ivory</v>
      </c>
      <c r="E522" s="15" t="s">
        <v>6090</v>
      </c>
      <c r="F522" s="15" t="s">
        <v>397</v>
      </c>
      <c r="G522" s="15" t="s">
        <v>2663</v>
      </c>
      <c r="J522" s="15" t="s">
        <v>2663</v>
      </c>
      <c r="K522" s="15" t="s">
        <v>1318</v>
      </c>
      <c r="M522" s="15" t="s">
        <v>1317</v>
      </c>
      <c r="N522" s="15" t="s">
        <v>706</v>
      </c>
      <c r="O522" s="15" t="s">
        <v>707</v>
      </c>
      <c r="P522" s="15" t="str">
        <f t="shared" si="1560"/>
        <v>35</v>
      </c>
      <c r="Q522" s="15" t="str">
        <f t="shared" si="1561"/>
        <v>36</v>
      </c>
      <c r="R522" s="15" t="str">
        <f t="shared" si="1562"/>
        <v>29.5</v>
      </c>
      <c r="S522" s="15" t="str">
        <f t="shared" si="1563"/>
        <v>63.93</v>
      </c>
      <c r="T522" s="15" t="s">
        <v>4064</v>
      </c>
      <c r="U522" s="15" t="s">
        <v>11234</v>
      </c>
      <c r="V522" s="15" t="s">
        <v>11898</v>
      </c>
      <c r="W522" s="15" t="s">
        <v>11210</v>
      </c>
      <c r="AA522" s="15" t="s">
        <v>413</v>
      </c>
      <c r="AB522" s="15" t="s">
        <v>413</v>
      </c>
      <c r="AC522" s="15" t="s">
        <v>6100</v>
      </c>
      <c r="AD522" s="15" t="s">
        <v>17449</v>
      </c>
      <c r="AE522" s="15" t="s">
        <v>6099</v>
      </c>
      <c r="AF522" s="15" t="s">
        <v>17450</v>
      </c>
      <c r="AG522" s="15" t="s">
        <v>17451</v>
      </c>
      <c r="AH522" s="15" t="s">
        <v>17452</v>
      </c>
      <c r="AI522" s="15" t="s">
        <v>17453</v>
      </c>
      <c r="AJ522" s="15" t="s">
        <v>17454</v>
      </c>
      <c r="AK522" s="15" t="s">
        <v>17455</v>
      </c>
      <c r="AL522" s="15" t="s">
        <v>17456</v>
      </c>
      <c r="AM522" s="15" t="s">
        <v>17457</v>
      </c>
      <c r="AN522" s="15" t="s">
        <v>17458</v>
      </c>
      <c r="BH522" s="15" t="s">
        <v>6097</v>
      </c>
      <c r="BI522" s="15" t="str">
        <f t="shared" ref="BI522:BI523" si="1569">"1249"</f>
        <v>1249</v>
      </c>
      <c r="BJ522" s="15" t="str">
        <f t="shared" ref="BJ522:BJ523" si="1570">"525"</f>
        <v>525</v>
      </c>
      <c r="BK522" s="15" t="s">
        <v>709</v>
      </c>
      <c r="BL522" s="15" t="str">
        <f t="shared" si="1517"/>
        <v>1</v>
      </c>
      <c r="BM522" s="15" t="s">
        <v>1477</v>
      </c>
      <c r="BN522" s="15" t="str">
        <f t="shared" ref="BN522:BO522" si="1564">"36.61"</f>
        <v>36.61</v>
      </c>
      <c r="BO522" s="15" t="str">
        <f t="shared" si="1564"/>
        <v>36.61</v>
      </c>
      <c r="BP522" s="15" t="str">
        <f t="shared" si="1565"/>
        <v>33.07</v>
      </c>
      <c r="BQ522" s="15" t="str">
        <f t="shared" si="1566"/>
        <v>95.24</v>
      </c>
      <c r="CG522" s="15" t="str">
        <f t="shared" si="1567"/>
        <v>23.38</v>
      </c>
      <c r="CH522" s="15" t="str">
        <f t="shared" si="1568"/>
        <v>0.662</v>
      </c>
      <c r="CI522" s="15" t="s">
        <v>497</v>
      </c>
      <c r="CS522" s="15" t="s">
        <v>1211</v>
      </c>
      <c r="CT522" s="15" t="s">
        <v>1161</v>
      </c>
      <c r="CV522" s="15">
        <v>0.0</v>
      </c>
      <c r="CW522" s="15">
        <v>1.0</v>
      </c>
      <c r="CX522" s="15" t="s">
        <v>717</v>
      </c>
      <c r="CY522" s="15" t="s">
        <v>855</v>
      </c>
      <c r="DF522" s="15" t="s">
        <v>721</v>
      </c>
      <c r="DG522" s="15" t="s">
        <v>1605</v>
      </c>
      <c r="DH522" s="15">
        <v>0.0</v>
      </c>
      <c r="DL522" s="15">
        <v>30000.0</v>
      </c>
      <c r="DM522" s="15" t="s">
        <v>990</v>
      </c>
      <c r="DN522" s="15" t="s">
        <v>1016</v>
      </c>
      <c r="DP522" s="15">
        <v>1.0</v>
      </c>
      <c r="DQ522" s="15">
        <v>1.0</v>
      </c>
      <c r="DS522" s="15" t="s">
        <v>6096</v>
      </c>
      <c r="DT522" s="15">
        <v>0.0</v>
      </c>
      <c r="DU522" s="15" t="s">
        <v>726</v>
      </c>
      <c r="DV522" s="15" t="s">
        <v>2384</v>
      </c>
      <c r="DW522" s="15" t="s">
        <v>2547</v>
      </c>
      <c r="DX522" s="15" t="s">
        <v>1213</v>
      </c>
      <c r="EB522" s="15" t="s">
        <v>505</v>
      </c>
      <c r="EF522" s="15" t="s">
        <v>1188</v>
      </c>
      <c r="EI522" s="15" t="s">
        <v>1329</v>
      </c>
      <c r="EL522" s="15" t="s">
        <v>1016</v>
      </c>
      <c r="EO522" s="15" t="s">
        <v>860</v>
      </c>
      <c r="EX522" s="15" t="s">
        <v>1065</v>
      </c>
      <c r="EY522" s="15" t="s">
        <v>1211</v>
      </c>
      <c r="EZ522" s="15">
        <v>0.0</v>
      </c>
      <c r="FA522" s="15">
        <v>0.0</v>
      </c>
      <c r="FC522" s="15">
        <v>0.0</v>
      </c>
      <c r="HU522" s="15" t="s">
        <v>1610</v>
      </c>
    </row>
    <row r="523" ht="17.25" customHeight="1">
      <c r="A523" s="15" t="s">
        <v>6102</v>
      </c>
      <c r="B523" s="15" t="str">
        <f>"801542192501"</f>
        <v>801542192501</v>
      </c>
      <c r="C523" s="15" t="s">
        <v>17459</v>
      </c>
      <c r="D523" s="15" t="str">
        <f t="shared" si="1"/>
        <v>Julius Swivel ChairSurrey Cocoa</v>
      </c>
      <c r="E523" s="15" t="s">
        <v>6090</v>
      </c>
      <c r="F523" s="15" t="s">
        <v>397</v>
      </c>
      <c r="G523" s="15" t="s">
        <v>2120</v>
      </c>
      <c r="J523" s="15" t="s">
        <v>2120</v>
      </c>
      <c r="K523" s="15" t="s">
        <v>2801</v>
      </c>
      <c r="M523" s="15" t="s">
        <v>1317</v>
      </c>
      <c r="N523" s="15" t="s">
        <v>706</v>
      </c>
      <c r="O523" s="15" t="s">
        <v>707</v>
      </c>
      <c r="P523" s="15" t="str">
        <f t="shared" si="1560"/>
        <v>35</v>
      </c>
      <c r="Q523" s="15" t="str">
        <f t="shared" si="1561"/>
        <v>36</v>
      </c>
      <c r="R523" s="15" t="str">
        <f t="shared" si="1562"/>
        <v>29.5</v>
      </c>
      <c r="S523" s="15" t="str">
        <f t="shared" si="1563"/>
        <v>63.93</v>
      </c>
      <c r="T523" s="15" t="s">
        <v>6104</v>
      </c>
      <c r="U523" s="15" t="s">
        <v>11845</v>
      </c>
      <c r="V523" s="15" t="s">
        <v>11846</v>
      </c>
      <c r="W523" s="15" t="s">
        <v>11210</v>
      </c>
      <c r="AA523" s="15" t="s">
        <v>413</v>
      </c>
      <c r="AB523" s="15" t="s">
        <v>413</v>
      </c>
      <c r="AC523" s="15" t="s">
        <v>6105</v>
      </c>
      <c r="AD523" s="15" t="s">
        <v>17460</v>
      </c>
      <c r="AE523" s="15" t="s">
        <v>6103</v>
      </c>
      <c r="AF523" s="15" t="s">
        <v>17461</v>
      </c>
      <c r="AG523" s="15" t="s">
        <v>17462</v>
      </c>
      <c r="AH523" s="15" t="s">
        <v>17463</v>
      </c>
      <c r="AI523" s="15" t="s">
        <v>17464</v>
      </c>
      <c r="AJ523" s="15" t="s">
        <v>17465</v>
      </c>
      <c r="AK523" s="15" t="s">
        <v>17466</v>
      </c>
      <c r="AL523" s="15" t="s">
        <v>17467</v>
      </c>
      <c r="AM523" s="15" t="s">
        <v>17468</v>
      </c>
      <c r="AN523" s="15" t="s">
        <v>17469</v>
      </c>
      <c r="AO523" s="15" t="s">
        <v>17470</v>
      </c>
      <c r="AP523" s="15" t="s">
        <v>17471</v>
      </c>
      <c r="BH523" s="15" t="s">
        <v>6101</v>
      </c>
      <c r="BI523" s="15" t="str">
        <f t="shared" si="1569"/>
        <v>1249</v>
      </c>
      <c r="BJ523" s="15" t="str">
        <f t="shared" si="1570"/>
        <v>525</v>
      </c>
      <c r="BK523" s="15" t="s">
        <v>709</v>
      </c>
      <c r="BL523" s="15" t="str">
        <f t="shared" si="1517"/>
        <v>1</v>
      </c>
      <c r="BM523" s="15" t="s">
        <v>1477</v>
      </c>
      <c r="BN523" s="15" t="str">
        <f t="shared" ref="BN523:BO523" si="1571">"36.61"</f>
        <v>36.61</v>
      </c>
      <c r="BO523" s="15" t="str">
        <f t="shared" si="1571"/>
        <v>36.61</v>
      </c>
      <c r="BP523" s="15" t="str">
        <f t="shared" si="1565"/>
        <v>33.07</v>
      </c>
      <c r="BQ523" s="15" t="str">
        <f t="shared" si="1566"/>
        <v>95.24</v>
      </c>
      <c r="CG523" s="15" t="str">
        <f t="shared" si="1567"/>
        <v>23.38</v>
      </c>
      <c r="CH523" s="15" t="str">
        <f t="shared" si="1568"/>
        <v>0.662</v>
      </c>
      <c r="CI523" s="15" t="s">
        <v>497</v>
      </c>
      <c r="CS523" s="15" t="s">
        <v>1211</v>
      </c>
      <c r="CT523" s="15" t="s">
        <v>1161</v>
      </c>
      <c r="CV523" s="15">
        <v>0.0</v>
      </c>
      <c r="CW523" s="15">
        <v>1.0</v>
      </c>
      <c r="CX523" s="15" t="s">
        <v>717</v>
      </c>
      <c r="CY523" s="15" t="s">
        <v>718</v>
      </c>
      <c r="DF523" s="15" t="s">
        <v>721</v>
      </c>
      <c r="DG523" s="15" t="s">
        <v>1605</v>
      </c>
      <c r="DH523" s="15">
        <v>0.0</v>
      </c>
      <c r="DL523" s="15">
        <v>30000.0</v>
      </c>
      <c r="DM523" s="15" t="s">
        <v>990</v>
      </c>
      <c r="DN523" s="15" t="s">
        <v>1016</v>
      </c>
      <c r="DP523" s="15">
        <v>1.0</v>
      </c>
      <c r="DQ523" s="15">
        <v>1.0</v>
      </c>
      <c r="DS523" s="15" t="s">
        <v>6096</v>
      </c>
      <c r="DT523" s="15">
        <v>0.0</v>
      </c>
      <c r="DU523" s="15" t="s">
        <v>726</v>
      </c>
      <c r="DV523" s="15" t="s">
        <v>2384</v>
      </c>
      <c r="DW523" s="15" t="s">
        <v>2547</v>
      </c>
      <c r="DX523" s="15" t="s">
        <v>1213</v>
      </c>
      <c r="EB523" s="15" t="s">
        <v>505</v>
      </c>
      <c r="EF523" s="15" t="s">
        <v>1188</v>
      </c>
      <c r="EI523" s="15" t="s">
        <v>1329</v>
      </c>
      <c r="EL523" s="15" t="s">
        <v>1016</v>
      </c>
      <c r="EO523" s="15" t="s">
        <v>860</v>
      </c>
      <c r="EX523" s="15" t="s">
        <v>1065</v>
      </c>
      <c r="EY523" s="15" t="s">
        <v>1211</v>
      </c>
      <c r="EZ523" s="15">
        <v>0.0</v>
      </c>
      <c r="FA523" s="15">
        <v>0.0</v>
      </c>
      <c r="FC523" s="15">
        <v>0.0</v>
      </c>
      <c r="HU523" s="15" t="s">
        <v>1610</v>
      </c>
    </row>
    <row r="524" ht="17.25" customHeight="1">
      <c r="A524" s="15" t="s">
        <v>6108</v>
      </c>
      <c r="B524" s="15" t="str">
        <f>"198394021715"</f>
        <v>198394021715</v>
      </c>
      <c r="C524" s="15" t="s">
        <v>17472</v>
      </c>
      <c r="D524" s="15" t="str">
        <f t="shared" si="1"/>
        <v>Julius Swivel ChairTaupe Shearling</v>
      </c>
      <c r="E524" s="15" t="s">
        <v>6090</v>
      </c>
      <c r="F524" s="15" t="s">
        <v>397</v>
      </c>
      <c r="G524" s="15" t="s">
        <v>6107</v>
      </c>
      <c r="J524" s="15" t="s">
        <v>6107</v>
      </c>
      <c r="K524" s="15" t="s">
        <v>2801</v>
      </c>
      <c r="M524" s="15" t="s">
        <v>1317</v>
      </c>
      <c r="N524" s="15" t="s">
        <v>706</v>
      </c>
      <c r="O524" s="15" t="s">
        <v>707</v>
      </c>
      <c r="P524" s="15" t="str">
        <f t="shared" si="1560"/>
        <v>35</v>
      </c>
      <c r="Q524" s="15" t="str">
        <f t="shared" si="1561"/>
        <v>36</v>
      </c>
      <c r="R524" s="15" t="str">
        <f t="shared" si="1562"/>
        <v>29.5</v>
      </c>
      <c r="S524" s="15" t="str">
        <f t="shared" si="1563"/>
        <v>63.93</v>
      </c>
      <c r="T524" s="15" t="s">
        <v>6110</v>
      </c>
      <c r="U524" s="15" t="s">
        <v>11478</v>
      </c>
      <c r="V524" s="15" t="s">
        <v>11210</v>
      </c>
      <c r="AA524" s="15" t="s">
        <v>413</v>
      </c>
      <c r="AB524" s="15" t="s">
        <v>413</v>
      </c>
      <c r="AC524" s="15" t="s">
        <v>6111</v>
      </c>
      <c r="AD524" s="15" t="s">
        <v>17473</v>
      </c>
      <c r="AE524" s="15" t="s">
        <v>6109</v>
      </c>
      <c r="AF524" s="15" t="s">
        <v>17474</v>
      </c>
      <c r="AG524" s="15" t="s">
        <v>17475</v>
      </c>
      <c r="AH524" s="15" t="s">
        <v>17476</v>
      </c>
      <c r="AI524" s="15" t="s">
        <v>17477</v>
      </c>
      <c r="AJ524" s="15" t="s">
        <v>17478</v>
      </c>
      <c r="AK524" s="15" t="s">
        <v>17479</v>
      </c>
      <c r="AL524" s="15" t="s">
        <v>17480</v>
      </c>
      <c r="AM524" s="15" t="s">
        <v>17481</v>
      </c>
      <c r="AN524" s="15" t="s">
        <v>17482</v>
      </c>
      <c r="AO524" s="15" t="s">
        <v>17483</v>
      </c>
      <c r="AP524" s="15" t="s">
        <v>17484</v>
      </c>
      <c r="BH524" s="15" t="s">
        <v>6106</v>
      </c>
      <c r="BI524" s="15" t="str">
        <f>"3199"</f>
        <v>3199</v>
      </c>
      <c r="BJ524" s="15" t="str">
        <f>"1345"</f>
        <v>1345</v>
      </c>
      <c r="BK524" s="15" t="s">
        <v>709</v>
      </c>
      <c r="BL524" s="15" t="str">
        <f t="shared" si="1517"/>
        <v>1</v>
      </c>
      <c r="BM524" s="15" t="s">
        <v>1477</v>
      </c>
      <c r="BN524" s="15" t="str">
        <f t="shared" ref="BN524:BO524" si="1572">"36.61"</f>
        <v>36.61</v>
      </c>
      <c r="BO524" s="15" t="str">
        <f t="shared" si="1572"/>
        <v>36.61</v>
      </c>
      <c r="BP524" s="15" t="str">
        <f t="shared" si="1565"/>
        <v>33.07</v>
      </c>
      <c r="BQ524" s="15" t="str">
        <f t="shared" si="1566"/>
        <v>95.24</v>
      </c>
      <c r="CG524" s="15" t="str">
        <f t="shared" si="1567"/>
        <v>23.38</v>
      </c>
      <c r="CH524" s="15" t="str">
        <f t="shared" si="1568"/>
        <v>0.662</v>
      </c>
      <c r="CI524" s="15" t="s">
        <v>497</v>
      </c>
      <c r="CS524" s="15" t="s">
        <v>1211</v>
      </c>
      <c r="CT524" s="15" t="s">
        <v>1161</v>
      </c>
      <c r="CV524" s="15">
        <v>0.0</v>
      </c>
      <c r="CW524" s="15">
        <v>1.0</v>
      </c>
      <c r="CX524" s="15" t="s">
        <v>717</v>
      </c>
      <c r="CY524" s="15" t="s">
        <v>718</v>
      </c>
      <c r="DF524" s="15" t="s">
        <v>721</v>
      </c>
      <c r="DG524" s="15" t="s">
        <v>1605</v>
      </c>
      <c r="DH524" s="15">
        <v>0.0</v>
      </c>
      <c r="DL524" s="15">
        <v>0.0</v>
      </c>
      <c r="DM524" s="15" t="s">
        <v>990</v>
      </c>
      <c r="DN524" s="15" t="s">
        <v>1016</v>
      </c>
      <c r="DP524" s="15">
        <v>1.0</v>
      </c>
      <c r="DQ524" s="15">
        <v>1.0</v>
      </c>
      <c r="DS524" s="15" t="s">
        <v>6096</v>
      </c>
      <c r="DT524" s="15">
        <v>0.0</v>
      </c>
      <c r="DU524" s="15" t="s">
        <v>726</v>
      </c>
      <c r="DV524" s="15" t="s">
        <v>2384</v>
      </c>
      <c r="DW524" s="15" t="s">
        <v>2547</v>
      </c>
      <c r="DX524" s="15" t="s">
        <v>1213</v>
      </c>
      <c r="EB524" s="15" t="s">
        <v>505</v>
      </c>
      <c r="EF524" s="15" t="s">
        <v>1188</v>
      </c>
      <c r="EI524" s="15" t="s">
        <v>1329</v>
      </c>
      <c r="EL524" s="15" t="s">
        <v>1016</v>
      </c>
      <c r="EO524" s="15" t="s">
        <v>860</v>
      </c>
      <c r="EX524" s="15" t="s">
        <v>1065</v>
      </c>
      <c r="EY524" s="15" t="s">
        <v>1211</v>
      </c>
      <c r="EZ524" s="15">
        <v>0.0</v>
      </c>
      <c r="FA524" s="15">
        <v>0.0</v>
      </c>
      <c r="FC524" s="15">
        <v>0.0</v>
      </c>
      <c r="HU524" s="15" t="s">
        <v>1610</v>
      </c>
    </row>
    <row r="525" ht="17.25" customHeight="1">
      <c r="A525" s="15" t="s">
        <v>6114</v>
      </c>
      <c r="B525" s="15" t="str">
        <f>"801542032616"</f>
        <v>801542032616</v>
      </c>
      <c r="C525" s="15" t="s">
        <v>17485</v>
      </c>
      <c r="D525" s="15" t="str">
        <f t="shared" si="1"/>
        <v>Kadon ChairSheepskin Camel</v>
      </c>
      <c r="E525" s="15" t="s">
        <v>6112</v>
      </c>
      <c r="F525" s="15" t="s">
        <v>397</v>
      </c>
      <c r="G525" s="15" t="s">
        <v>4322</v>
      </c>
      <c r="J525" s="15" t="s">
        <v>4322</v>
      </c>
      <c r="K525" s="15" t="s">
        <v>978</v>
      </c>
      <c r="M525" s="15" t="s">
        <v>2343</v>
      </c>
      <c r="N525" s="15" t="s">
        <v>706</v>
      </c>
      <c r="O525" s="15" t="s">
        <v>707</v>
      </c>
      <c r="P525" s="15" t="str">
        <f t="shared" ref="P525:P526" si="1573">"35.5"</f>
        <v>35.5</v>
      </c>
      <c r="Q525" s="15" t="str">
        <f t="shared" ref="Q525:Q526" si="1574">"39"</f>
        <v>39</v>
      </c>
      <c r="R525" s="15" t="str">
        <f t="shared" ref="R525:R527" si="1575">"32.75"</f>
        <v>32.75</v>
      </c>
      <c r="S525" s="15" t="str">
        <f t="shared" ref="S525:S526" si="1576">"63.49"</f>
        <v>63.49</v>
      </c>
      <c r="T525" s="15" t="s">
        <v>832</v>
      </c>
      <c r="U525" s="15" t="s">
        <v>11209</v>
      </c>
      <c r="V525" s="15" t="s">
        <v>11210</v>
      </c>
      <c r="AA525" s="15" t="s">
        <v>426</v>
      </c>
      <c r="AB525" s="15" t="s">
        <v>413</v>
      </c>
      <c r="AC525" s="15" t="s">
        <v>6117</v>
      </c>
      <c r="AD525" s="15" t="s">
        <v>17486</v>
      </c>
      <c r="AE525" s="15" t="s">
        <v>6116</v>
      </c>
      <c r="AF525" s="15" t="s">
        <v>17487</v>
      </c>
      <c r="AG525" s="15" t="s">
        <v>17488</v>
      </c>
      <c r="AH525" s="15" t="s">
        <v>17489</v>
      </c>
      <c r="AI525" s="15" t="s">
        <v>17490</v>
      </c>
      <c r="AJ525" s="15" t="s">
        <v>17491</v>
      </c>
      <c r="AK525" s="15" t="s">
        <v>17492</v>
      </c>
      <c r="AL525" s="15" t="s">
        <v>17493</v>
      </c>
      <c r="AM525" s="15" t="s">
        <v>17494</v>
      </c>
      <c r="AN525" s="15" t="s">
        <v>17495</v>
      </c>
      <c r="AO525" s="15" t="s">
        <v>17496</v>
      </c>
      <c r="AP525" s="15" t="s">
        <v>17497</v>
      </c>
      <c r="BH525" s="15" t="s">
        <v>6113</v>
      </c>
      <c r="BI525" s="15" t="str">
        <f t="shared" ref="BI525:BI526" si="1577">"1249"</f>
        <v>1249</v>
      </c>
      <c r="BJ525" s="15" t="str">
        <f t="shared" ref="BJ525:BJ526" si="1578">"525"</f>
        <v>525</v>
      </c>
      <c r="BK525" s="15" t="s">
        <v>709</v>
      </c>
      <c r="BL525" s="15" t="str">
        <f t="shared" si="1517"/>
        <v>1</v>
      </c>
      <c r="BM525" s="15" t="s">
        <v>1477</v>
      </c>
      <c r="BN525" s="15" t="str">
        <f t="shared" ref="BN525:BN527" si="1579">"35.83"</f>
        <v>35.83</v>
      </c>
      <c r="BO525" s="15" t="str">
        <f t="shared" ref="BO525:BO526" si="1580">"38.98"</f>
        <v>38.98</v>
      </c>
      <c r="BP525" s="15" t="str">
        <f t="shared" ref="BP525:BP526" si="1581">"31.89"</f>
        <v>31.89</v>
      </c>
      <c r="BQ525" s="15" t="str">
        <f t="shared" ref="BQ525:BQ526" si="1582">"78.48"</f>
        <v>78.48</v>
      </c>
      <c r="CG525" s="15" t="str">
        <f t="shared" ref="CG525:CG526" si="1583">"21.01"</f>
        <v>21.01</v>
      </c>
      <c r="CH525" s="15" t="str">
        <f t="shared" ref="CH525:CH526" si="1584">"0.595"</f>
        <v>0.595</v>
      </c>
      <c r="CI525" s="15" t="s">
        <v>465</v>
      </c>
      <c r="CS525" s="15" t="s">
        <v>2384</v>
      </c>
      <c r="CT525" s="15" t="s">
        <v>1804</v>
      </c>
      <c r="CV525" s="15">
        <v>0.0</v>
      </c>
      <c r="CW525" s="15">
        <v>0.0</v>
      </c>
      <c r="CX525" s="15" t="s">
        <v>717</v>
      </c>
      <c r="CY525" s="15" t="s">
        <v>897</v>
      </c>
      <c r="DF525" s="15" t="s">
        <v>721</v>
      </c>
      <c r="DG525" s="15" t="s">
        <v>419</v>
      </c>
      <c r="DH525" s="15">
        <v>0.0</v>
      </c>
      <c r="DL525" s="15">
        <v>100000.0</v>
      </c>
      <c r="DM525" s="15" t="s">
        <v>990</v>
      </c>
      <c r="DP525" s="15">
        <v>0.0</v>
      </c>
      <c r="DQ525" s="15">
        <v>1.0</v>
      </c>
      <c r="DS525" s="15" t="s">
        <v>6119</v>
      </c>
      <c r="DT525" s="15">
        <v>0.0</v>
      </c>
      <c r="DU525" s="15" t="s">
        <v>726</v>
      </c>
      <c r="DV525" s="15" t="s">
        <v>1214</v>
      </c>
      <c r="DW525" s="15" t="s">
        <v>2498</v>
      </c>
      <c r="DX525" s="15" t="s">
        <v>2020</v>
      </c>
      <c r="EB525" s="15" t="s">
        <v>2116</v>
      </c>
      <c r="EF525" s="15" t="s">
        <v>672</v>
      </c>
      <c r="EG525" s="15" t="s">
        <v>1592</v>
      </c>
      <c r="EH525" s="15" t="s">
        <v>3748</v>
      </c>
      <c r="EI525" s="15" t="s">
        <v>2618</v>
      </c>
      <c r="EO525" s="15" t="s">
        <v>1255</v>
      </c>
      <c r="EX525" s="15" t="s">
        <v>467</v>
      </c>
      <c r="EY525" s="15" t="s">
        <v>2384</v>
      </c>
      <c r="EZ525" s="15">
        <v>0.0</v>
      </c>
      <c r="FA525" s="15">
        <v>0.0</v>
      </c>
      <c r="FC525" s="15">
        <v>0.0</v>
      </c>
    </row>
    <row r="526" ht="17.25" customHeight="1">
      <c r="A526" s="15" t="s">
        <v>6121</v>
      </c>
      <c r="B526" s="15" t="str">
        <f>"801542032623"</f>
        <v>801542032623</v>
      </c>
      <c r="C526" s="15" t="s">
        <v>17498</v>
      </c>
      <c r="D526" s="15" t="str">
        <f t="shared" si="1"/>
        <v>Kadon ChairSheepskin Natural</v>
      </c>
      <c r="E526" s="15" t="s">
        <v>6112</v>
      </c>
      <c r="F526" s="15" t="s">
        <v>397</v>
      </c>
      <c r="G526" s="15" t="s">
        <v>2443</v>
      </c>
      <c r="J526" s="15" t="s">
        <v>2443</v>
      </c>
      <c r="K526" s="15" t="s">
        <v>978</v>
      </c>
      <c r="M526" s="15" t="s">
        <v>2343</v>
      </c>
      <c r="N526" s="15" t="s">
        <v>706</v>
      </c>
      <c r="O526" s="15" t="s">
        <v>707</v>
      </c>
      <c r="P526" s="15" t="str">
        <f t="shared" si="1573"/>
        <v>35.5</v>
      </c>
      <c r="Q526" s="15" t="str">
        <f t="shared" si="1574"/>
        <v>39</v>
      </c>
      <c r="R526" s="15" t="str">
        <f t="shared" si="1575"/>
        <v>32.75</v>
      </c>
      <c r="S526" s="15" t="str">
        <f t="shared" si="1576"/>
        <v>63.49</v>
      </c>
      <c r="T526" s="15" t="s">
        <v>832</v>
      </c>
      <c r="U526" s="15" t="s">
        <v>11209</v>
      </c>
      <c r="V526" s="15" t="s">
        <v>11210</v>
      </c>
      <c r="AA526" s="15" t="s">
        <v>413</v>
      </c>
      <c r="AB526" s="15" t="s">
        <v>413</v>
      </c>
      <c r="AC526" s="15" t="s">
        <v>6123</v>
      </c>
      <c r="AD526" s="15" t="s">
        <v>17499</v>
      </c>
      <c r="AE526" s="15" t="s">
        <v>6122</v>
      </c>
      <c r="AF526" s="15" t="s">
        <v>17500</v>
      </c>
      <c r="AG526" s="15" t="s">
        <v>17501</v>
      </c>
      <c r="AH526" s="15" t="s">
        <v>17502</v>
      </c>
      <c r="AI526" s="15" t="s">
        <v>17503</v>
      </c>
      <c r="AJ526" s="15" t="s">
        <v>17504</v>
      </c>
      <c r="AK526" s="15" t="s">
        <v>17505</v>
      </c>
      <c r="AL526" s="15" t="s">
        <v>17506</v>
      </c>
      <c r="AM526" s="15" t="s">
        <v>17507</v>
      </c>
      <c r="AN526" s="15" t="s">
        <v>17508</v>
      </c>
      <c r="AO526" s="15" t="s">
        <v>17509</v>
      </c>
      <c r="AP526" s="15" t="s">
        <v>17510</v>
      </c>
      <c r="AQ526" s="15" t="s">
        <v>17511</v>
      </c>
      <c r="BH526" s="15" t="s">
        <v>6120</v>
      </c>
      <c r="BI526" s="15" t="str">
        <f t="shared" si="1577"/>
        <v>1249</v>
      </c>
      <c r="BJ526" s="15" t="str">
        <f t="shared" si="1578"/>
        <v>525</v>
      </c>
      <c r="BK526" s="15" t="s">
        <v>709</v>
      </c>
      <c r="BL526" s="15" t="str">
        <f t="shared" si="1517"/>
        <v>1</v>
      </c>
      <c r="BM526" s="15" t="s">
        <v>1477</v>
      </c>
      <c r="BN526" s="15" t="str">
        <f t="shared" si="1579"/>
        <v>35.83</v>
      </c>
      <c r="BO526" s="15" t="str">
        <f t="shared" si="1580"/>
        <v>38.98</v>
      </c>
      <c r="BP526" s="15" t="str">
        <f t="shared" si="1581"/>
        <v>31.89</v>
      </c>
      <c r="BQ526" s="15" t="str">
        <f t="shared" si="1582"/>
        <v>78.48</v>
      </c>
      <c r="CG526" s="15" t="str">
        <f t="shared" si="1583"/>
        <v>21.01</v>
      </c>
      <c r="CH526" s="15" t="str">
        <f t="shared" si="1584"/>
        <v>0.595</v>
      </c>
      <c r="CI526" s="15" t="s">
        <v>465</v>
      </c>
      <c r="CS526" s="15" t="s">
        <v>2384</v>
      </c>
      <c r="CT526" s="15" t="s">
        <v>1804</v>
      </c>
      <c r="CV526" s="15">
        <v>0.0</v>
      </c>
      <c r="CW526" s="15">
        <v>0.0</v>
      </c>
      <c r="CX526" s="15" t="s">
        <v>717</v>
      </c>
      <c r="CY526" s="15" t="s">
        <v>897</v>
      </c>
      <c r="DF526" s="15" t="s">
        <v>721</v>
      </c>
      <c r="DG526" s="15" t="s">
        <v>419</v>
      </c>
      <c r="DH526" s="15">
        <v>0.0</v>
      </c>
      <c r="DL526" s="15">
        <v>100000.0</v>
      </c>
      <c r="DM526" s="15" t="s">
        <v>990</v>
      </c>
      <c r="DP526" s="15">
        <v>0.0</v>
      </c>
      <c r="DQ526" s="15">
        <v>1.0</v>
      </c>
      <c r="DS526" s="15" t="s">
        <v>6119</v>
      </c>
      <c r="DT526" s="15">
        <v>0.0</v>
      </c>
      <c r="DU526" s="15" t="s">
        <v>726</v>
      </c>
      <c r="DV526" s="15" t="s">
        <v>1214</v>
      </c>
      <c r="DW526" s="15" t="s">
        <v>2498</v>
      </c>
      <c r="DX526" s="15" t="s">
        <v>2020</v>
      </c>
      <c r="EB526" s="15" t="s">
        <v>2116</v>
      </c>
      <c r="EF526" s="15" t="s">
        <v>672</v>
      </c>
      <c r="EG526" s="15" t="s">
        <v>1592</v>
      </c>
      <c r="EH526" s="15" t="s">
        <v>3748</v>
      </c>
      <c r="EI526" s="15" t="s">
        <v>2618</v>
      </c>
      <c r="EO526" s="15" t="s">
        <v>1255</v>
      </c>
      <c r="EX526" s="15" t="s">
        <v>467</v>
      </c>
      <c r="EY526" s="15" t="s">
        <v>2384</v>
      </c>
      <c r="EZ526" s="15">
        <v>0.0</v>
      </c>
      <c r="FA526" s="15">
        <v>0.0</v>
      </c>
      <c r="FC526" s="15">
        <v>0.0</v>
      </c>
    </row>
    <row r="527" ht="17.25" customHeight="1">
      <c r="A527" s="15" t="s">
        <v>6126</v>
      </c>
      <c r="B527" s="15" t="str">
        <f>"801542066840"</f>
        <v>801542066840</v>
      </c>
      <c r="C527" s="15" t="s">
        <v>17512</v>
      </c>
      <c r="D527" s="15" t="str">
        <f t="shared" si="1"/>
        <v>Kadon Chaise LoungeSheepskin Camel</v>
      </c>
      <c r="E527" s="15" t="s">
        <v>6124</v>
      </c>
      <c r="F527" s="15" t="s">
        <v>397</v>
      </c>
      <c r="G527" s="15" t="s">
        <v>4322</v>
      </c>
      <c r="J527" s="15" t="s">
        <v>4322</v>
      </c>
      <c r="K527" s="15" t="s">
        <v>978</v>
      </c>
      <c r="M527" s="15" t="s">
        <v>2343</v>
      </c>
      <c r="N527" s="15" t="s">
        <v>1226</v>
      </c>
      <c r="P527" s="15" t="str">
        <f>"36"</f>
        <v>36</v>
      </c>
      <c r="Q527" s="15" t="str">
        <f>"59"</f>
        <v>59</v>
      </c>
      <c r="R527" s="15" t="str">
        <f t="shared" si="1575"/>
        <v>32.75</v>
      </c>
      <c r="S527" s="15" t="str">
        <f>"82.45"</f>
        <v>82.45</v>
      </c>
      <c r="T527" s="15" t="s">
        <v>832</v>
      </c>
      <c r="U527" s="15" t="s">
        <v>11209</v>
      </c>
      <c r="V527" s="15" t="s">
        <v>11210</v>
      </c>
      <c r="AA527" s="15" t="s">
        <v>426</v>
      </c>
      <c r="AB527" s="15" t="s">
        <v>413</v>
      </c>
      <c r="AC527" s="15" t="s">
        <v>6129</v>
      </c>
      <c r="AD527" s="15" t="s">
        <v>17513</v>
      </c>
      <c r="AE527" s="15" t="s">
        <v>6128</v>
      </c>
      <c r="AF527" s="15" t="s">
        <v>17514</v>
      </c>
      <c r="AG527" s="15" t="s">
        <v>17515</v>
      </c>
      <c r="AH527" s="15" t="s">
        <v>17516</v>
      </c>
      <c r="AI527" s="15" t="s">
        <v>17517</v>
      </c>
      <c r="AJ527" s="15" t="s">
        <v>17518</v>
      </c>
      <c r="AK527" s="15" t="s">
        <v>17519</v>
      </c>
      <c r="AL527" s="15" t="s">
        <v>17520</v>
      </c>
      <c r="AM527" s="15" t="s">
        <v>17521</v>
      </c>
      <c r="AN527" s="15" t="s">
        <v>17522</v>
      </c>
      <c r="AO527" s="15" t="s">
        <v>17523</v>
      </c>
      <c r="BH527" s="15" t="s">
        <v>6125</v>
      </c>
      <c r="BI527" s="15" t="str">
        <f>"1749"</f>
        <v>1749</v>
      </c>
      <c r="BJ527" s="15" t="str">
        <f>"735"</f>
        <v>735</v>
      </c>
      <c r="BK527" s="15" t="s">
        <v>709</v>
      </c>
      <c r="BL527" s="15" t="str">
        <f t="shared" si="1517"/>
        <v>1</v>
      </c>
      <c r="BM527" s="15" t="s">
        <v>1477</v>
      </c>
      <c r="BN527" s="15" t="str">
        <f t="shared" si="1579"/>
        <v>35.83</v>
      </c>
      <c r="BO527" s="15" t="str">
        <f>"60.24"</f>
        <v>60.24</v>
      </c>
      <c r="BP527" s="15" t="str">
        <f>"31.5"</f>
        <v>31.5</v>
      </c>
      <c r="BQ527" s="15" t="str">
        <f>"105.38"</f>
        <v>105.38</v>
      </c>
      <c r="CG527" s="15" t="str">
        <f>"32.45"</f>
        <v>32.45</v>
      </c>
      <c r="CH527" s="15" t="str">
        <f>"0.919"</f>
        <v>0.919</v>
      </c>
      <c r="CI527" s="15" t="s">
        <v>497</v>
      </c>
      <c r="CS527" s="15" t="s">
        <v>996</v>
      </c>
      <c r="CT527" s="15" t="s">
        <v>1804</v>
      </c>
      <c r="CV527" s="15">
        <v>0.0</v>
      </c>
      <c r="CW527" s="15">
        <v>0.0</v>
      </c>
      <c r="CX527" s="15" t="s">
        <v>717</v>
      </c>
      <c r="CY527" s="15" t="s">
        <v>897</v>
      </c>
      <c r="DF527" s="15" t="s">
        <v>721</v>
      </c>
      <c r="DG527" s="15" t="s">
        <v>419</v>
      </c>
      <c r="DH527" s="15">
        <v>0.0</v>
      </c>
      <c r="DL527" s="15">
        <v>100000.0</v>
      </c>
      <c r="DM527" s="15" t="s">
        <v>990</v>
      </c>
      <c r="DP527" s="15">
        <v>0.0</v>
      </c>
      <c r="DQ527" s="15">
        <v>1.0</v>
      </c>
      <c r="DS527" s="15" t="s">
        <v>6119</v>
      </c>
      <c r="DT527" s="15">
        <v>0.0</v>
      </c>
      <c r="DU527" s="15" t="s">
        <v>726</v>
      </c>
      <c r="DV527" s="15" t="s">
        <v>1214</v>
      </c>
      <c r="DW527" s="15" t="s">
        <v>2498</v>
      </c>
      <c r="DX527" s="15" t="s">
        <v>2020</v>
      </c>
      <c r="EB527" s="15" t="s">
        <v>2116</v>
      </c>
      <c r="EF527" s="15" t="s">
        <v>672</v>
      </c>
      <c r="EG527" s="15" t="s">
        <v>1739</v>
      </c>
      <c r="EH527" s="15" t="s">
        <v>1324</v>
      </c>
      <c r="EI527" s="15" t="s">
        <v>2618</v>
      </c>
      <c r="EO527" s="15" t="s">
        <v>1255</v>
      </c>
      <c r="EX527" s="15" t="s">
        <v>467</v>
      </c>
      <c r="EY527" s="15" t="s">
        <v>4339</v>
      </c>
    </row>
    <row r="528" ht="17.25" customHeight="1">
      <c r="A528" s="15" t="s">
        <v>6135</v>
      </c>
      <c r="B528" s="15" t="str">
        <f>"801542577865"</f>
        <v>801542577865</v>
      </c>
      <c r="C528" s="15" t="s">
        <v>17524</v>
      </c>
      <c r="D528" s="15" t="str">
        <f t="shared" si="1"/>
        <v>Kaya Swivel ChairHaven Tobacco</v>
      </c>
      <c r="E528" s="15" t="s">
        <v>6132</v>
      </c>
      <c r="F528" s="15" t="s">
        <v>397</v>
      </c>
      <c r="G528" s="15" t="s">
        <v>6134</v>
      </c>
      <c r="J528" s="15" t="s">
        <v>6134</v>
      </c>
      <c r="K528" s="15" t="s">
        <v>1087</v>
      </c>
      <c r="M528" s="15" t="s">
        <v>915</v>
      </c>
      <c r="N528" s="15" t="s">
        <v>706</v>
      </c>
      <c r="O528" s="15" t="s">
        <v>707</v>
      </c>
      <c r="P528" s="15" t="str">
        <f>"28.5"</f>
        <v>28.5</v>
      </c>
      <c r="Q528" s="15" t="str">
        <f>"33"</f>
        <v>33</v>
      </c>
      <c r="R528" s="15" t="str">
        <f>"29.5"</f>
        <v>29.5</v>
      </c>
      <c r="S528" s="15" t="str">
        <f>"54.01"</f>
        <v>54.01</v>
      </c>
      <c r="T528" s="15" t="s">
        <v>975</v>
      </c>
      <c r="U528" s="15" t="s">
        <v>11137</v>
      </c>
      <c r="V528" s="15" t="s">
        <v>11210</v>
      </c>
      <c r="AA528" s="15" t="s">
        <v>413</v>
      </c>
      <c r="AB528" s="15" t="s">
        <v>413</v>
      </c>
      <c r="AC528" s="15" t="s">
        <v>6137</v>
      </c>
      <c r="AD528" s="15" t="s">
        <v>17525</v>
      </c>
      <c r="AE528" s="15" t="s">
        <v>6136</v>
      </c>
      <c r="AF528" s="15" t="s">
        <v>17526</v>
      </c>
      <c r="AG528" s="15" t="s">
        <v>17527</v>
      </c>
      <c r="AH528" s="15" t="s">
        <v>17528</v>
      </c>
      <c r="AI528" s="15" t="s">
        <v>17529</v>
      </c>
      <c r="AJ528" s="15" t="s">
        <v>17530</v>
      </c>
      <c r="AK528" s="15" t="s">
        <v>17531</v>
      </c>
      <c r="AL528" s="15" t="s">
        <v>17532</v>
      </c>
      <c r="AM528" s="15" t="s">
        <v>17533</v>
      </c>
      <c r="AN528" s="15" t="s">
        <v>17534</v>
      </c>
      <c r="AO528" s="15" t="s">
        <v>17535</v>
      </c>
      <c r="AP528" s="15" t="s">
        <v>17536</v>
      </c>
      <c r="BH528" s="15" t="s">
        <v>6133</v>
      </c>
      <c r="BI528" s="15" t="str">
        <f>"2099"</f>
        <v>2099</v>
      </c>
      <c r="BJ528" s="15" t="str">
        <f>"885"</f>
        <v>885</v>
      </c>
      <c r="BK528" s="15" t="s">
        <v>709</v>
      </c>
      <c r="BL528" s="15" t="str">
        <f t="shared" si="1517"/>
        <v>1</v>
      </c>
      <c r="BM528" s="15" t="s">
        <v>416</v>
      </c>
      <c r="BN528" s="15" t="str">
        <f>"32.68"</f>
        <v>32.68</v>
      </c>
      <c r="BO528" s="15" t="str">
        <f>"29.33"</f>
        <v>29.33</v>
      </c>
      <c r="BP528" s="15" t="str">
        <f>"26.18"</f>
        <v>26.18</v>
      </c>
      <c r="BQ528" s="15" t="str">
        <f>"64.37"</f>
        <v>64.37</v>
      </c>
      <c r="CG528" s="15" t="str">
        <f>"14.51"</f>
        <v>14.51</v>
      </c>
      <c r="CH528" s="15" t="str">
        <f>"0.411"</f>
        <v>0.411</v>
      </c>
      <c r="CI528" s="15" t="s">
        <v>465</v>
      </c>
      <c r="CP528" s="15" t="s">
        <v>1283</v>
      </c>
      <c r="CQ528" s="15" t="s">
        <v>429</v>
      </c>
      <c r="CR528" s="15" t="s">
        <v>1072</v>
      </c>
      <c r="CS528" s="15" t="s">
        <v>1331</v>
      </c>
      <c r="CT528" s="15" t="s">
        <v>467</v>
      </c>
      <c r="CU528" s="15" t="s">
        <v>1237</v>
      </c>
      <c r="CV528" s="15">
        <v>0.0</v>
      </c>
      <c r="CW528" s="15">
        <v>1.0</v>
      </c>
      <c r="CX528" s="15" t="s">
        <v>717</v>
      </c>
      <c r="CY528" s="15" t="s">
        <v>718</v>
      </c>
      <c r="DC528" s="15" t="s">
        <v>2431</v>
      </c>
      <c r="DF528" s="15" t="s">
        <v>721</v>
      </c>
      <c r="DG528" s="15" t="s">
        <v>1605</v>
      </c>
      <c r="DH528" s="15">
        <v>0.0</v>
      </c>
      <c r="DL528" s="15">
        <v>0.0</v>
      </c>
      <c r="DM528" s="15" t="s">
        <v>990</v>
      </c>
      <c r="DN528" s="15" t="s">
        <v>723</v>
      </c>
      <c r="DO528" s="15" t="s">
        <v>724</v>
      </c>
      <c r="DP528" s="15">
        <v>1.0</v>
      </c>
      <c r="DQ528" s="15">
        <v>1.0</v>
      </c>
      <c r="DS528" s="15" t="s">
        <v>6139</v>
      </c>
      <c r="DT528" s="15">
        <v>0.0</v>
      </c>
      <c r="DU528" s="15" t="s">
        <v>726</v>
      </c>
      <c r="DV528" s="15" t="s">
        <v>555</v>
      </c>
      <c r="DW528" s="15" t="s">
        <v>505</v>
      </c>
      <c r="DX528" s="15" t="s">
        <v>1574</v>
      </c>
      <c r="EB528" s="15" t="s">
        <v>635</v>
      </c>
      <c r="EC528" s="15" t="s">
        <v>429</v>
      </c>
      <c r="ED528" s="15" t="s">
        <v>504</v>
      </c>
      <c r="EE528" s="15" t="s">
        <v>1331</v>
      </c>
      <c r="EF528" s="15" t="s">
        <v>505</v>
      </c>
      <c r="EG528" s="15" t="s">
        <v>1213</v>
      </c>
      <c r="EH528" s="15" t="s">
        <v>1213</v>
      </c>
      <c r="EI528" s="15" t="s">
        <v>504</v>
      </c>
      <c r="EL528" s="15" t="s">
        <v>723</v>
      </c>
      <c r="EM528" s="15" t="s">
        <v>1076</v>
      </c>
      <c r="EN528" s="15" t="s">
        <v>3386</v>
      </c>
      <c r="EO528" s="15" t="s">
        <v>997</v>
      </c>
      <c r="EX528" s="15" t="s">
        <v>1237</v>
      </c>
      <c r="EY528" s="15" t="s">
        <v>1331</v>
      </c>
      <c r="EZ528" s="15">
        <v>0.0</v>
      </c>
      <c r="FA528" s="15">
        <v>0.0</v>
      </c>
      <c r="FB528" s="15" t="s">
        <v>2436</v>
      </c>
      <c r="FC528" s="15">
        <v>0.0</v>
      </c>
      <c r="HU528" s="15" t="s">
        <v>1610</v>
      </c>
    </row>
    <row r="529" ht="17.25" customHeight="1">
      <c r="A529" s="15" t="s">
        <v>6143</v>
      </c>
      <c r="B529" s="15" t="str">
        <f>"801542072681"</f>
        <v>801542072681</v>
      </c>
      <c r="C529" s="15" t="s">
        <v>17537</v>
      </c>
      <c r="D529" s="15" t="str">
        <f t="shared" si="1"/>
        <v>Keane Console TableReclaimed Black Elm</v>
      </c>
      <c r="E529" s="15" t="s">
        <v>6140</v>
      </c>
      <c r="F529" s="15" t="s">
        <v>397</v>
      </c>
      <c r="G529" s="15" t="s">
        <v>6142</v>
      </c>
      <c r="J529" s="15" t="s">
        <v>6142</v>
      </c>
      <c r="K529" s="15" t="s">
        <v>6147</v>
      </c>
      <c r="M529" s="15" t="s">
        <v>2594</v>
      </c>
      <c r="N529" s="15" t="s">
        <v>519</v>
      </c>
      <c r="P529" s="15" t="str">
        <f t="shared" ref="P529:P530" si="1585">"78"</f>
        <v>78</v>
      </c>
      <c r="Q529" s="15" t="str">
        <f t="shared" ref="Q529:Q530" si="1586">"18"</f>
        <v>18</v>
      </c>
      <c r="R529" s="15" t="str">
        <f t="shared" ref="R529:R530" si="1587">"30"</f>
        <v>30</v>
      </c>
      <c r="S529" s="15" t="str">
        <f t="shared" ref="S529:S530" si="1588">"125.66"</f>
        <v>125.66</v>
      </c>
      <c r="T529" s="15" t="s">
        <v>6146</v>
      </c>
      <c r="U529" s="15" t="s">
        <v>17538</v>
      </c>
      <c r="AA529" s="15" t="s">
        <v>413</v>
      </c>
      <c r="AB529" s="15" t="s">
        <v>413</v>
      </c>
      <c r="AD529" s="15" t="s">
        <v>17539</v>
      </c>
      <c r="AE529" s="15" t="s">
        <v>6145</v>
      </c>
      <c r="AF529" s="15" t="s">
        <v>17540</v>
      </c>
      <c r="AG529" s="15" t="s">
        <v>17541</v>
      </c>
      <c r="AH529" s="15" t="s">
        <v>17542</v>
      </c>
      <c r="AI529" s="15" t="s">
        <v>17543</v>
      </c>
      <c r="AJ529" s="15" t="s">
        <v>17544</v>
      </c>
      <c r="AK529" s="15" t="s">
        <v>17545</v>
      </c>
      <c r="AL529" s="15" t="s">
        <v>17546</v>
      </c>
      <c r="AM529" s="15" t="s">
        <v>17547</v>
      </c>
      <c r="AN529" s="15" t="s">
        <v>17548</v>
      </c>
      <c r="AO529" s="15" t="s">
        <v>17549</v>
      </c>
      <c r="AP529" s="15" t="s">
        <v>17550</v>
      </c>
      <c r="AQ529" s="15" t="s">
        <v>17551</v>
      </c>
      <c r="AR529" s="15" t="s">
        <v>17552</v>
      </c>
      <c r="AS529" s="15" t="s">
        <v>17553</v>
      </c>
      <c r="AT529" s="15" t="s">
        <v>17554</v>
      </c>
      <c r="AU529" s="15" t="s">
        <v>17555</v>
      </c>
      <c r="AV529" s="15" t="s">
        <v>17556</v>
      </c>
      <c r="BH529" s="15" t="s">
        <v>6141</v>
      </c>
      <c r="BI529" s="15" t="str">
        <f t="shared" ref="BI529:BI530" si="1589">"2499"</f>
        <v>2499</v>
      </c>
      <c r="BJ529" s="15" t="str">
        <f t="shared" ref="BJ529:BJ530" si="1590">"1050"</f>
        <v>1050</v>
      </c>
      <c r="BK529" s="15" t="s">
        <v>709</v>
      </c>
      <c r="BL529" s="15" t="str">
        <f t="shared" ref="BL529:BL530" si="1591">"2"</f>
        <v>2</v>
      </c>
      <c r="BM529" s="15" t="s">
        <v>1564</v>
      </c>
      <c r="BN529" s="15" t="str">
        <f t="shared" ref="BN529:BN530" si="1592">"81.1"</f>
        <v>81.1</v>
      </c>
      <c r="BO529" s="15" t="str">
        <f t="shared" ref="BO529:BO530" si="1593">"7.87"</f>
        <v>7.87</v>
      </c>
      <c r="BP529" s="15" t="str">
        <f t="shared" ref="BP529:BP530" si="1594">"21.65"</f>
        <v>21.65</v>
      </c>
      <c r="BQ529" s="15" t="str">
        <f t="shared" ref="BQ529:BQ530" si="1595">"61.51"</f>
        <v>61.51</v>
      </c>
      <c r="BR529" s="15" t="s">
        <v>2238</v>
      </c>
      <c r="BS529" s="15" t="str">
        <f t="shared" ref="BS529:BS530" si="1596">"27.56"</f>
        <v>27.56</v>
      </c>
      <c r="BT529" s="15" t="str">
        <f t="shared" ref="BT529:BT530" si="1597">"17.72"</f>
        <v>17.72</v>
      </c>
      <c r="BU529" s="15" t="str">
        <f t="shared" ref="BU529:BU530" si="1598">"29.13"</f>
        <v>29.13</v>
      </c>
      <c r="BV529" s="15" t="str">
        <f t="shared" ref="BV529:BV530" si="1599">"85.54"</f>
        <v>85.54</v>
      </c>
      <c r="CG529" s="15" t="str">
        <f t="shared" ref="CG529:CG530" si="1600">"16.21"</f>
        <v>16.21</v>
      </c>
      <c r="CH529" s="15" t="str">
        <f t="shared" ref="CH529:CH530" si="1601">"0.459"</f>
        <v>0.459</v>
      </c>
      <c r="CI529" s="15" t="s">
        <v>465</v>
      </c>
      <c r="CZ529" s="15" t="s">
        <v>419</v>
      </c>
      <c r="DA529" s="15">
        <v>0.0</v>
      </c>
      <c r="DB529" s="15" t="s">
        <v>419</v>
      </c>
      <c r="DD529" s="15">
        <v>0.0</v>
      </c>
      <c r="DF529" s="15" t="s">
        <v>420</v>
      </c>
      <c r="DG529" s="15" t="s">
        <v>419</v>
      </c>
      <c r="DK529" s="15">
        <v>0.0</v>
      </c>
      <c r="DR529" s="15" t="s">
        <v>471</v>
      </c>
      <c r="DS529" s="15" t="s">
        <v>6151</v>
      </c>
      <c r="DU529" s="15" t="s">
        <v>424</v>
      </c>
      <c r="EF529" s="15" t="s">
        <v>1212</v>
      </c>
      <c r="EH529" s="15" t="s">
        <v>6152</v>
      </c>
      <c r="EQ529" s="15" t="s">
        <v>1459</v>
      </c>
      <c r="ER529" s="15" t="s">
        <v>1212</v>
      </c>
      <c r="ES529" s="15" t="s">
        <v>1996</v>
      </c>
      <c r="ET529" s="15" t="s">
        <v>3305</v>
      </c>
      <c r="EU529" s="15" t="s">
        <v>426</v>
      </c>
      <c r="EV529" s="15">
        <v>0.0</v>
      </c>
      <c r="EW529" s="15">
        <v>0.0</v>
      </c>
      <c r="FF529" s="15" t="s">
        <v>429</v>
      </c>
      <c r="FQ529" s="15">
        <v>0.0</v>
      </c>
      <c r="FR529" s="15" t="s">
        <v>427</v>
      </c>
    </row>
    <row r="530" ht="17.25" customHeight="1">
      <c r="A530" s="15" t="s">
        <v>6155</v>
      </c>
      <c r="B530" s="15" t="str">
        <f>"801542072650"</f>
        <v>801542072650</v>
      </c>
      <c r="C530" s="15" t="s">
        <v>17557</v>
      </c>
      <c r="D530" s="15" t="str">
        <f t="shared" si="1"/>
        <v>Keane Console TableReclaimed Natural Elm</v>
      </c>
      <c r="E530" s="15" t="s">
        <v>6140</v>
      </c>
      <c r="F530" s="15" t="s">
        <v>397</v>
      </c>
      <c r="G530" s="15" t="s">
        <v>6154</v>
      </c>
      <c r="J530" s="15" t="s">
        <v>6154</v>
      </c>
      <c r="K530" s="15" t="s">
        <v>6157</v>
      </c>
      <c r="M530" s="15" t="s">
        <v>2594</v>
      </c>
      <c r="N530" s="15" t="s">
        <v>519</v>
      </c>
      <c r="P530" s="15" t="str">
        <f t="shared" si="1585"/>
        <v>78</v>
      </c>
      <c r="Q530" s="15" t="str">
        <f t="shared" si="1586"/>
        <v>18</v>
      </c>
      <c r="R530" s="15" t="str">
        <f t="shared" si="1587"/>
        <v>30</v>
      </c>
      <c r="S530" s="15" t="str">
        <f t="shared" si="1588"/>
        <v>125.66</v>
      </c>
      <c r="T530" s="15" t="s">
        <v>6146</v>
      </c>
      <c r="U530" s="15" t="s">
        <v>17538</v>
      </c>
      <c r="AA530" s="15" t="s">
        <v>413</v>
      </c>
      <c r="AB530" s="15" t="s">
        <v>413</v>
      </c>
      <c r="AC530" s="15" t="s">
        <v>6158</v>
      </c>
      <c r="AD530" s="15" t="s">
        <v>17558</v>
      </c>
      <c r="AE530" s="15" t="s">
        <v>6156</v>
      </c>
      <c r="AF530" s="15" t="s">
        <v>17559</v>
      </c>
      <c r="AG530" s="15" t="s">
        <v>17560</v>
      </c>
      <c r="AH530" s="15" t="s">
        <v>17561</v>
      </c>
      <c r="AI530" s="15" t="s">
        <v>17562</v>
      </c>
      <c r="AJ530" s="15" t="s">
        <v>17563</v>
      </c>
      <c r="AK530" s="15" t="s">
        <v>17564</v>
      </c>
      <c r="AL530" s="15" t="s">
        <v>17565</v>
      </c>
      <c r="AM530" s="15" t="s">
        <v>17566</v>
      </c>
      <c r="AN530" s="15" t="s">
        <v>17567</v>
      </c>
      <c r="AO530" s="15" t="s">
        <v>17568</v>
      </c>
      <c r="AP530" s="15" t="s">
        <v>17569</v>
      </c>
      <c r="AQ530" s="15" t="s">
        <v>17570</v>
      </c>
      <c r="AR530" s="15" t="s">
        <v>17571</v>
      </c>
      <c r="AS530" s="15" t="s">
        <v>17572</v>
      </c>
      <c r="AT530" s="15" t="s">
        <v>17573</v>
      </c>
      <c r="BH530" s="15" t="s">
        <v>6153</v>
      </c>
      <c r="BI530" s="15" t="str">
        <f t="shared" si="1589"/>
        <v>2499</v>
      </c>
      <c r="BJ530" s="15" t="str">
        <f t="shared" si="1590"/>
        <v>1050</v>
      </c>
      <c r="BK530" s="15" t="s">
        <v>709</v>
      </c>
      <c r="BL530" s="15" t="str">
        <f t="shared" si="1591"/>
        <v>2</v>
      </c>
      <c r="BM530" s="15" t="s">
        <v>1564</v>
      </c>
      <c r="BN530" s="15" t="str">
        <f t="shared" si="1592"/>
        <v>81.1</v>
      </c>
      <c r="BO530" s="15" t="str">
        <f t="shared" si="1593"/>
        <v>7.87</v>
      </c>
      <c r="BP530" s="15" t="str">
        <f t="shared" si="1594"/>
        <v>21.65</v>
      </c>
      <c r="BQ530" s="15" t="str">
        <f t="shared" si="1595"/>
        <v>61.51</v>
      </c>
      <c r="BR530" s="15" t="s">
        <v>2238</v>
      </c>
      <c r="BS530" s="15" t="str">
        <f t="shared" si="1596"/>
        <v>27.56</v>
      </c>
      <c r="BT530" s="15" t="str">
        <f t="shared" si="1597"/>
        <v>17.72</v>
      </c>
      <c r="BU530" s="15" t="str">
        <f t="shared" si="1598"/>
        <v>29.13</v>
      </c>
      <c r="BV530" s="15" t="str">
        <f t="shared" si="1599"/>
        <v>85.54</v>
      </c>
      <c r="CG530" s="15" t="str">
        <f t="shared" si="1600"/>
        <v>16.21</v>
      </c>
      <c r="CH530" s="15" t="str">
        <f t="shared" si="1601"/>
        <v>0.459</v>
      </c>
      <c r="CI530" s="15" t="s">
        <v>465</v>
      </c>
      <c r="CZ530" s="15" t="s">
        <v>419</v>
      </c>
      <c r="DA530" s="15">
        <v>0.0</v>
      </c>
      <c r="DB530" s="15" t="s">
        <v>419</v>
      </c>
      <c r="DD530" s="15">
        <v>0.0</v>
      </c>
      <c r="DF530" s="15" t="s">
        <v>420</v>
      </c>
      <c r="DG530" s="15" t="s">
        <v>419</v>
      </c>
      <c r="DK530" s="15">
        <v>0.0</v>
      </c>
      <c r="DR530" s="15" t="s">
        <v>471</v>
      </c>
      <c r="DS530" s="15" t="s">
        <v>6151</v>
      </c>
      <c r="DU530" s="15" t="s">
        <v>424</v>
      </c>
      <c r="EF530" s="15" t="s">
        <v>1212</v>
      </c>
      <c r="EH530" s="15" t="s">
        <v>6152</v>
      </c>
      <c r="EQ530" s="15" t="s">
        <v>1459</v>
      </c>
      <c r="ER530" s="15" t="s">
        <v>1212</v>
      </c>
      <c r="ES530" s="15" t="s">
        <v>1996</v>
      </c>
      <c r="ET530" s="15" t="s">
        <v>3305</v>
      </c>
      <c r="EU530" s="15" t="s">
        <v>426</v>
      </c>
      <c r="EV530" s="15">
        <v>0.0</v>
      </c>
      <c r="EW530" s="15">
        <v>0.0</v>
      </c>
      <c r="FF530" s="15" t="s">
        <v>429</v>
      </c>
      <c r="FQ530" s="15">
        <v>0.0</v>
      </c>
      <c r="FR530" s="15" t="s">
        <v>427</v>
      </c>
    </row>
    <row r="531" ht="17.25" customHeight="1">
      <c r="A531" s="15" t="s">
        <v>6161</v>
      </c>
      <c r="B531" s="15" t="str">
        <f>"801542117665"</f>
        <v>801542117665</v>
      </c>
      <c r="C531" s="15" t="s">
        <v>17574</v>
      </c>
      <c r="D531" s="15" t="str">
        <f t="shared" si="1"/>
        <v>Kelby BookcaseGunmetal</v>
      </c>
      <c r="E531" s="15" t="s">
        <v>6159</v>
      </c>
      <c r="F531" s="15" t="s">
        <v>397</v>
      </c>
      <c r="G531" s="15" t="s">
        <v>1850</v>
      </c>
      <c r="J531" s="15" t="s">
        <v>1850</v>
      </c>
      <c r="K531" s="15" t="s">
        <v>6164</v>
      </c>
      <c r="M531" s="15" t="s">
        <v>4600</v>
      </c>
      <c r="N531" s="15" t="s">
        <v>1899</v>
      </c>
      <c r="P531" s="15" t="str">
        <f>"36"</f>
        <v>36</v>
      </c>
      <c r="Q531" s="15" t="str">
        <f>"16"</f>
        <v>16</v>
      </c>
      <c r="R531" s="15" t="str">
        <f>"87"</f>
        <v>87</v>
      </c>
      <c r="S531" s="15" t="str">
        <f>"130.62"</f>
        <v>130.62</v>
      </c>
      <c r="T531" s="15" t="s">
        <v>4243</v>
      </c>
      <c r="U531" s="15" t="s">
        <v>11139</v>
      </c>
      <c r="V531" s="15" t="s">
        <v>13228</v>
      </c>
      <c r="AA531" s="15" t="s">
        <v>413</v>
      </c>
      <c r="AB531" s="15" t="s">
        <v>413</v>
      </c>
      <c r="AC531" s="15" t="s">
        <v>6165</v>
      </c>
      <c r="AD531" s="15" t="s">
        <v>17575</v>
      </c>
      <c r="AE531" s="15" t="s">
        <v>6163</v>
      </c>
      <c r="AF531" s="15" t="s">
        <v>17576</v>
      </c>
      <c r="AG531" s="15" t="s">
        <v>17577</v>
      </c>
      <c r="AH531" s="15" t="s">
        <v>17578</v>
      </c>
      <c r="AI531" s="15" t="s">
        <v>17579</v>
      </c>
      <c r="AJ531" s="15" t="s">
        <v>17580</v>
      </c>
      <c r="AK531" s="15" t="s">
        <v>17581</v>
      </c>
      <c r="AL531" s="15" t="s">
        <v>17582</v>
      </c>
      <c r="AM531" s="15" t="s">
        <v>17583</v>
      </c>
      <c r="AN531" s="15" t="s">
        <v>17584</v>
      </c>
      <c r="AO531" s="15" t="s">
        <v>17585</v>
      </c>
      <c r="AP531" s="15" t="s">
        <v>17586</v>
      </c>
      <c r="AQ531" s="15" t="s">
        <v>17587</v>
      </c>
      <c r="BH531" s="15" t="s">
        <v>6160</v>
      </c>
      <c r="BI531" s="15" t="str">
        <f>"1999"</f>
        <v>1999</v>
      </c>
      <c r="BJ531" s="15" t="str">
        <f>"840"</f>
        <v>840</v>
      </c>
      <c r="BK531" s="15" t="s">
        <v>1303</v>
      </c>
      <c r="BL531" s="15" t="str">
        <f>"1"</f>
        <v>1</v>
      </c>
      <c r="BM531" s="15" t="s">
        <v>416</v>
      </c>
      <c r="BN531" s="15" t="str">
        <f>"39"</f>
        <v>39</v>
      </c>
      <c r="BO531" s="15" t="str">
        <f>"19.5"</f>
        <v>19.5</v>
      </c>
      <c r="BP531" s="15" t="str">
        <f>"90"</f>
        <v>90</v>
      </c>
      <c r="BQ531" s="15" t="str">
        <f>"162.26"</f>
        <v>162.26</v>
      </c>
      <c r="CG531" s="15" t="str">
        <f>"39.62"</f>
        <v>39.62</v>
      </c>
      <c r="CH531" s="15" t="str">
        <f>"1.122"</f>
        <v>1.122</v>
      </c>
      <c r="CI531" s="15" t="s">
        <v>465</v>
      </c>
      <c r="CJ531" s="15" t="s">
        <v>504</v>
      </c>
      <c r="CK531" s="15" t="s">
        <v>1309</v>
      </c>
      <c r="CL531" s="15" t="s">
        <v>4339</v>
      </c>
      <c r="CM531" s="15" t="s">
        <v>1238</v>
      </c>
      <c r="CN531" s="15" t="s">
        <v>3308</v>
      </c>
      <c r="CO531" s="15" t="s">
        <v>3798</v>
      </c>
      <c r="CZ531" s="15" t="s">
        <v>419</v>
      </c>
      <c r="DA531" s="15">
        <v>0.0</v>
      </c>
      <c r="DB531" s="15" t="s">
        <v>419</v>
      </c>
      <c r="DD531" s="15">
        <v>3.0</v>
      </c>
      <c r="DE531" s="15" t="s">
        <v>426</v>
      </c>
      <c r="DF531" s="15" t="s">
        <v>420</v>
      </c>
      <c r="DG531" s="15" t="s">
        <v>610</v>
      </c>
      <c r="DI531" s="15">
        <v>18.14</v>
      </c>
      <c r="DJ531" s="15">
        <v>40.0</v>
      </c>
      <c r="DK531" s="15">
        <v>1.0</v>
      </c>
      <c r="DR531" s="15" t="s">
        <v>1906</v>
      </c>
      <c r="DS531" s="15" t="s">
        <v>6167</v>
      </c>
      <c r="EU531" s="15" t="s">
        <v>426</v>
      </c>
      <c r="EV531" s="15">
        <v>5.0</v>
      </c>
      <c r="FH531" s="15" t="s">
        <v>1324</v>
      </c>
      <c r="FI531" s="15" t="s">
        <v>612</v>
      </c>
      <c r="FJ531" s="15" t="s">
        <v>6018</v>
      </c>
      <c r="FK531" s="15" t="s">
        <v>3308</v>
      </c>
      <c r="FL531" s="15" t="s">
        <v>3693</v>
      </c>
      <c r="FM531" s="15" t="s">
        <v>2840</v>
      </c>
      <c r="FO531" s="15" t="s">
        <v>426</v>
      </c>
      <c r="FP531" s="15" t="s">
        <v>785</v>
      </c>
      <c r="FQ531" s="15">
        <v>2.0</v>
      </c>
      <c r="FR531" s="15" t="s">
        <v>614</v>
      </c>
      <c r="FS531" s="15" t="s">
        <v>615</v>
      </c>
      <c r="FU531" s="15" t="s">
        <v>426</v>
      </c>
      <c r="FW531" s="15" t="s">
        <v>616</v>
      </c>
      <c r="GJ531" s="15" t="s">
        <v>1238</v>
      </c>
      <c r="GK531" s="15" t="s">
        <v>3308</v>
      </c>
      <c r="GL531" s="15" t="s">
        <v>3798</v>
      </c>
      <c r="GZ531" s="15" t="s">
        <v>1238</v>
      </c>
      <c r="HA531" s="15" t="s">
        <v>1238</v>
      </c>
      <c r="HB531" s="15" t="s">
        <v>3308</v>
      </c>
      <c r="HC531" s="15" t="s">
        <v>1982</v>
      </c>
      <c r="HD531" s="15" t="s">
        <v>3798</v>
      </c>
      <c r="HE531" s="15" t="s">
        <v>3798</v>
      </c>
      <c r="KG531" s="15" t="s">
        <v>1238</v>
      </c>
      <c r="KH531" s="15" t="s">
        <v>467</v>
      </c>
      <c r="KI531" s="15" t="s">
        <v>2840</v>
      </c>
    </row>
    <row r="532" ht="17.25" customHeight="1">
      <c r="A532" s="15" t="s">
        <v>6171</v>
      </c>
      <c r="B532" s="15" t="str">
        <f>"801542668389"</f>
        <v>801542668389</v>
      </c>
      <c r="C532" s="15" t="s">
        <v>17588</v>
      </c>
      <c r="D532" s="15" t="str">
        <f t="shared" si="1"/>
        <v>Kelby CabinetCarved Vintage Brown</v>
      </c>
      <c r="E532" s="15" t="s">
        <v>6168</v>
      </c>
      <c r="F532" s="15" t="s">
        <v>397</v>
      </c>
      <c r="G532" s="15" t="s">
        <v>6170</v>
      </c>
      <c r="J532" s="15" t="s">
        <v>6170</v>
      </c>
      <c r="K532" s="15" t="s">
        <v>1850</v>
      </c>
      <c r="M532" s="15" t="s">
        <v>4600</v>
      </c>
      <c r="N532" s="15" t="s">
        <v>2891</v>
      </c>
      <c r="O532" s="15" t="s">
        <v>4563</v>
      </c>
      <c r="P532" s="15" t="str">
        <f>"47"</f>
        <v>47</v>
      </c>
      <c r="Q532" s="15" t="str">
        <f>"19"</f>
        <v>19</v>
      </c>
      <c r="R532" s="15" t="str">
        <f>"78"</f>
        <v>78</v>
      </c>
      <c r="S532" s="15" t="str">
        <f>"240.74"</f>
        <v>240.74</v>
      </c>
      <c r="T532" s="15" t="s">
        <v>4891</v>
      </c>
      <c r="U532" s="15" t="s">
        <v>13228</v>
      </c>
      <c r="V532" s="15" t="s">
        <v>11139</v>
      </c>
      <c r="AA532" s="15" t="s">
        <v>413</v>
      </c>
      <c r="AB532" s="15" t="s">
        <v>413</v>
      </c>
      <c r="AC532" s="15" t="s">
        <v>6174</v>
      </c>
      <c r="AD532" s="15" t="s">
        <v>17589</v>
      </c>
      <c r="AE532" s="15" t="s">
        <v>6173</v>
      </c>
      <c r="AF532" s="15" t="s">
        <v>17590</v>
      </c>
      <c r="AG532" s="15" t="s">
        <v>17591</v>
      </c>
      <c r="AH532" s="15" t="s">
        <v>17592</v>
      </c>
      <c r="AI532" s="15" t="s">
        <v>17593</v>
      </c>
      <c r="AJ532" s="15" t="s">
        <v>17594</v>
      </c>
      <c r="AK532" s="15" t="s">
        <v>17595</v>
      </c>
      <c r="AL532" s="15" t="s">
        <v>17596</v>
      </c>
      <c r="BH532" s="15" t="s">
        <v>6169</v>
      </c>
      <c r="BI532" s="15" t="str">
        <f>"2699"</f>
        <v>2699</v>
      </c>
      <c r="BJ532" s="15" t="str">
        <f>"1135"</f>
        <v>1135</v>
      </c>
      <c r="BK532" s="15" t="s">
        <v>1303</v>
      </c>
      <c r="BL532" s="15" t="str">
        <f>"2"</f>
        <v>2</v>
      </c>
      <c r="BM532" s="15" t="s">
        <v>6175</v>
      </c>
      <c r="BN532" s="15" t="str">
        <f>"50.75"</f>
        <v>50.75</v>
      </c>
      <c r="BO532" s="15" t="str">
        <f>"22"</f>
        <v>22</v>
      </c>
      <c r="BP532" s="15" t="str">
        <f>"14"</f>
        <v>14</v>
      </c>
      <c r="BQ532" s="15" t="str">
        <f>"48.06"</f>
        <v>48.06</v>
      </c>
      <c r="BR532" s="15" t="s">
        <v>6177</v>
      </c>
      <c r="BS532" s="15" t="str">
        <f>"72"</f>
        <v>72</v>
      </c>
      <c r="BT532" s="15" t="str">
        <f>"24"</f>
        <v>24</v>
      </c>
      <c r="BU532" s="15" t="str">
        <f>"51.25"</f>
        <v>51.25</v>
      </c>
      <c r="BV532" s="15" t="str">
        <f>"253.75"</f>
        <v>253.75</v>
      </c>
      <c r="CG532" s="15" t="str">
        <f>"60.28"</f>
        <v>60.28</v>
      </c>
      <c r="CH532" s="15" t="str">
        <f>"1.707"</f>
        <v>1.707</v>
      </c>
      <c r="CI532" s="15" t="s">
        <v>465</v>
      </c>
      <c r="CJ532" s="15" t="s">
        <v>504</v>
      </c>
      <c r="CK532" s="15" t="s">
        <v>612</v>
      </c>
      <c r="CL532" s="15" t="s">
        <v>2929</v>
      </c>
      <c r="CM532" s="15" t="s">
        <v>1804</v>
      </c>
      <c r="CN532" s="15" t="s">
        <v>1213</v>
      </c>
      <c r="CO532" s="15" t="s">
        <v>2929</v>
      </c>
      <c r="CZ532" s="15" t="s">
        <v>419</v>
      </c>
      <c r="DA532" s="15">
        <v>0.0</v>
      </c>
      <c r="DB532" s="15" t="s">
        <v>419</v>
      </c>
      <c r="DD532" s="15">
        <v>4.0</v>
      </c>
      <c r="DE532" s="15" t="s">
        <v>426</v>
      </c>
      <c r="DF532" s="15" t="s">
        <v>420</v>
      </c>
      <c r="DG532" s="15" t="s">
        <v>610</v>
      </c>
      <c r="DI532" s="15">
        <v>18.14</v>
      </c>
      <c r="DJ532" s="15">
        <v>40.0</v>
      </c>
      <c r="DK532" s="15">
        <v>0.0</v>
      </c>
      <c r="DR532" s="15" t="s">
        <v>1906</v>
      </c>
      <c r="DS532" s="15" t="s">
        <v>6167</v>
      </c>
      <c r="EU532" s="15" t="s">
        <v>426</v>
      </c>
      <c r="EV532" s="15">
        <v>4.0</v>
      </c>
      <c r="FH532" s="15" t="s">
        <v>1739</v>
      </c>
      <c r="FI532" s="15" t="s">
        <v>612</v>
      </c>
      <c r="FJ532" s="15" t="s">
        <v>1286</v>
      </c>
      <c r="FN532" s="15">
        <v>0.0</v>
      </c>
      <c r="FP532" s="15" t="s">
        <v>785</v>
      </c>
      <c r="FQ532" s="15">
        <v>4.0</v>
      </c>
      <c r="FR532" s="15" t="s">
        <v>614</v>
      </c>
      <c r="FS532" s="15" t="s">
        <v>1045</v>
      </c>
      <c r="FT532" s="15">
        <v>0.0</v>
      </c>
      <c r="FV532" s="15" t="s">
        <v>4573</v>
      </c>
      <c r="FW532" s="15" t="s">
        <v>616</v>
      </c>
      <c r="FX532" s="15" t="s">
        <v>426</v>
      </c>
      <c r="FY532" s="15">
        <v>0.0</v>
      </c>
    </row>
    <row r="533" ht="17.25" customHeight="1">
      <c r="A533" s="15" t="s">
        <v>6183</v>
      </c>
      <c r="B533" s="15" t="str">
        <f>"801542882600"</f>
        <v>801542882600</v>
      </c>
      <c r="C533" s="15" t="s">
        <v>17597</v>
      </c>
      <c r="D533" s="15" t="str">
        <f t="shared" si="1"/>
        <v>Kelby Cabinet NightstandLight Wash Mango</v>
      </c>
      <c r="E533" s="15" t="s">
        <v>6180</v>
      </c>
      <c r="F533" s="15" t="s">
        <v>397</v>
      </c>
      <c r="G533" s="15" t="s">
        <v>6182</v>
      </c>
      <c r="J533" s="15" t="s">
        <v>6182</v>
      </c>
      <c r="K533" s="15" t="s">
        <v>1850</v>
      </c>
      <c r="M533" s="15" t="s">
        <v>4600</v>
      </c>
      <c r="N533" s="15" t="s">
        <v>628</v>
      </c>
      <c r="P533" s="15" t="str">
        <f t="shared" ref="P533:P534" si="1602">"25"</f>
        <v>25</v>
      </c>
      <c r="Q533" s="15" t="str">
        <f t="shared" ref="Q533:Q534" si="1603">"17.25"</f>
        <v>17.25</v>
      </c>
      <c r="R533" s="15" t="str">
        <f t="shared" ref="R533:R534" si="1604">"25.25"</f>
        <v>25.25</v>
      </c>
      <c r="S533" s="15" t="str">
        <f t="shared" ref="S533:S534" si="1605">"50.04"</f>
        <v>50.04</v>
      </c>
      <c r="T533" s="15" t="s">
        <v>4891</v>
      </c>
      <c r="U533" s="15" t="s">
        <v>13228</v>
      </c>
      <c r="V533" s="15" t="s">
        <v>11139</v>
      </c>
      <c r="AA533" s="15" t="s">
        <v>413</v>
      </c>
      <c r="AB533" s="15" t="s">
        <v>413</v>
      </c>
      <c r="AC533" s="15" t="s">
        <v>6187</v>
      </c>
      <c r="AD533" s="15" t="s">
        <v>17598</v>
      </c>
      <c r="AE533" s="15" t="s">
        <v>6185</v>
      </c>
      <c r="AF533" s="15" t="s">
        <v>17599</v>
      </c>
      <c r="AG533" s="15" t="s">
        <v>17600</v>
      </c>
      <c r="AH533" s="15" t="s">
        <v>17601</v>
      </c>
      <c r="AI533" s="15" t="s">
        <v>17602</v>
      </c>
      <c r="AJ533" s="15" t="s">
        <v>17603</v>
      </c>
      <c r="AK533" s="15" t="s">
        <v>17604</v>
      </c>
      <c r="AL533" s="15" t="s">
        <v>17605</v>
      </c>
      <c r="AM533" s="15" t="s">
        <v>17606</v>
      </c>
      <c r="AN533" s="15" t="s">
        <v>17607</v>
      </c>
      <c r="AO533" s="15" t="s">
        <v>17608</v>
      </c>
      <c r="AP533" s="15" t="s">
        <v>17609</v>
      </c>
      <c r="AQ533" s="15" t="s">
        <v>17610</v>
      </c>
      <c r="BH533" s="15" t="s">
        <v>6181</v>
      </c>
      <c r="BI533" s="15" t="str">
        <f t="shared" ref="BI533:BI534" si="1606">"699"</f>
        <v>699</v>
      </c>
      <c r="BJ533" s="15" t="str">
        <f t="shared" ref="BJ533:BJ534" si="1607">"295"</f>
        <v>295</v>
      </c>
      <c r="BK533" s="15" t="s">
        <v>1303</v>
      </c>
      <c r="BL533" s="15" t="str">
        <f t="shared" ref="BL533:BL549" si="1608">"1"</f>
        <v>1</v>
      </c>
      <c r="BM533" s="15" t="s">
        <v>416</v>
      </c>
      <c r="BN533" s="15" t="str">
        <f t="shared" ref="BN533:BN534" si="1609">"28.5"</f>
        <v>28.5</v>
      </c>
      <c r="BO533" s="15" t="str">
        <f t="shared" ref="BO533:BO534" si="1610">"20.75"</f>
        <v>20.75</v>
      </c>
      <c r="BP533" s="15" t="str">
        <f t="shared" ref="BP533:BP534" si="1611">"28.5"</f>
        <v>28.5</v>
      </c>
      <c r="BQ533" s="15" t="str">
        <f t="shared" ref="BQ533:BQ534" si="1612">"60.63"</f>
        <v>60.63</v>
      </c>
      <c r="CG533" s="15" t="str">
        <f t="shared" ref="CG533:CG534" si="1613">"9.75"</f>
        <v>9.75</v>
      </c>
      <c r="CH533" s="15" t="str">
        <f t="shared" ref="CH533:CH534" si="1614">"0.276"</f>
        <v>0.276</v>
      </c>
      <c r="CI533" s="15" t="s">
        <v>465</v>
      </c>
      <c r="CJ533" s="15" t="s">
        <v>1288</v>
      </c>
      <c r="CK533" s="15" t="s">
        <v>1188</v>
      </c>
      <c r="CL533" s="15" t="s">
        <v>1998</v>
      </c>
      <c r="CM533" s="15" t="s">
        <v>2020</v>
      </c>
      <c r="CN533" s="15" t="s">
        <v>2547</v>
      </c>
      <c r="CO533" s="15" t="s">
        <v>1998</v>
      </c>
      <c r="CZ533" s="15" t="s">
        <v>419</v>
      </c>
      <c r="DA533" s="15">
        <v>0.0</v>
      </c>
      <c r="DB533" s="15" t="s">
        <v>419</v>
      </c>
      <c r="DD533" s="15">
        <v>1.0</v>
      </c>
      <c r="DE533" s="15" t="s">
        <v>426</v>
      </c>
      <c r="DF533" s="15" t="s">
        <v>420</v>
      </c>
      <c r="DG533" s="15" t="s">
        <v>610</v>
      </c>
      <c r="DK533" s="15">
        <v>0.0</v>
      </c>
      <c r="DR533" s="15" t="s">
        <v>471</v>
      </c>
      <c r="DS533" s="15" t="s">
        <v>6167</v>
      </c>
      <c r="DU533" s="15" t="s">
        <v>500</v>
      </c>
      <c r="EU533" s="15" t="s">
        <v>426</v>
      </c>
      <c r="EV533" s="15">
        <v>2.0</v>
      </c>
      <c r="FH533" s="15" t="s">
        <v>1161</v>
      </c>
      <c r="FI533" s="15" t="s">
        <v>1188</v>
      </c>
      <c r="FJ533" s="15" t="s">
        <v>1329</v>
      </c>
      <c r="FO533" s="15" t="s">
        <v>426</v>
      </c>
      <c r="FP533" s="15" t="s">
        <v>785</v>
      </c>
      <c r="FQ533" s="15">
        <v>2.0</v>
      </c>
      <c r="FR533" s="15" t="s">
        <v>614</v>
      </c>
      <c r="FS533" s="15" t="s">
        <v>1045</v>
      </c>
      <c r="FW533" s="15" t="s">
        <v>616</v>
      </c>
    </row>
    <row r="534" ht="17.25" customHeight="1">
      <c r="A534" s="15" t="s">
        <v>6189</v>
      </c>
      <c r="B534" s="15" t="str">
        <f>"801542695330"</f>
        <v>801542695330</v>
      </c>
      <c r="C534" s="15" t="s">
        <v>17611</v>
      </c>
      <c r="D534" s="15" t="str">
        <f t="shared" si="1"/>
        <v>Kelby Cabinet NightstandVintage Brown</v>
      </c>
      <c r="E534" s="15" t="s">
        <v>6180</v>
      </c>
      <c r="F534" s="15" t="s">
        <v>397</v>
      </c>
      <c r="G534" s="15" t="s">
        <v>6164</v>
      </c>
      <c r="J534" s="15" t="s">
        <v>6164</v>
      </c>
      <c r="K534" s="15" t="s">
        <v>1850</v>
      </c>
      <c r="M534" s="15" t="s">
        <v>4600</v>
      </c>
      <c r="N534" s="15" t="s">
        <v>628</v>
      </c>
      <c r="P534" s="15" t="str">
        <f t="shared" si="1602"/>
        <v>25</v>
      </c>
      <c r="Q534" s="15" t="str">
        <f t="shared" si="1603"/>
        <v>17.25</v>
      </c>
      <c r="R534" s="15" t="str">
        <f t="shared" si="1604"/>
        <v>25.25</v>
      </c>
      <c r="S534" s="15" t="str">
        <f t="shared" si="1605"/>
        <v>50.04</v>
      </c>
      <c r="T534" s="15" t="s">
        <v>4891</v>
      </c>
      <c r="U534" s="15" t="s">
        <v>13228</v>
      </c>
      <c r="V534" s="15" t="s">
        <v>11139</v>
      </c>
      <c r="AA534" s="15" t="s">
        <v>413</v>
      </c>
      <c r="AB534" s="15" t="s">
        <v>413</v>
      </c>
      <c r="AC534" s="15" t="s">
        <v>6191</v>
      </c>
      <c r="AD534" s="15" t="s">
        <v>17612</v>
      </c>
      <c r="AE534" s="15" t="s">
        <v>6190</v>
      </c>
      <c r="AF534" s="15" t="s">
        <v>17613</v>
      </c>
      <c r="AG534" s="15" t="s">
        <v>17614</v>
      </c>
      <c r="AH534" s="15" t="s">
        <v>17615</v>
      </c>
      <c r="AI534" s="15" t="s">
        <v>17616</v>
      </c>
      <c r="AJ534" s="15" t="s">
        <v>17617</v>
      </c>
      <c r="AK534" s="15" t="s">
        <v>17618</v>
      </c>
      <c r="AL534" s="15" t="s">
        <v>17619</v>
      </c>
      <c r="BH534" s="15" t="s">
        <v>6188</v>
      </c>
      <c r="BI534" s="15" t="str">
        <f t="shared" si="1606"/>
        <v>699</v>
      </c>
      <c r="BJ534" s="15" t="str">
        <f t="shared" si="1607"/>
        <v>295</v>
      </c>
      <c r="BK534" s="15" t="s">
        <v>1303</v>
      </c>
      <c r="BL534" s="15" t="str">
        <f t="shared" si="1608"/>
        <v>1</v>
      </c>
      <c r="BM534" s="15" t="s">
        <v>416</v>
      </c>
      <c r="BN534" s="15" t="str">
        <f t="shared" si="1609"/>
        <v>28.5</v>
      </c>
      <c r="BO534" s="15" t="str">
        <f t="shared" si="1610"/>
        <v>20.75</v>
      </c>
      <c r="BP534" s="15" t="str">
        <f t="shared" si="1611"/>
        <v>28.5</v>
      </c>
      <c r="BQ534" s="15" t="str">
        <f t="shared" si="1612"/>
        <v>60.63</v>
      </c>
      <c r="CG534" s="15" t="str">
        <f t="shared" si="1613"/>
        <v>9.75</v>
      </c>
      <c r="CH534" s="15" t="str">
        <f t="shared" si="1614"/>
        <v>0.276</v>
      </c>
      <c r="CI534" s="15" t="s">
        <v>417</v>
      </c>
      <c r="CJ534" s="15" t="s">
        <v>1288</v>
      </c>
      <c r="CK534" s="15" t="s">
        <v>1188</v>
      </c>
      <c r="CL534" s="15" t="s">
        <v>1998</v>
      </c>
      <c r="CM534" s="15" t="s">
        <v>2020</v>
      </c>
      <c r="CN534" s="15" t="s">
        <v>2547</v>
      </c>
      <c r="CO534" s="15" t="s">
        <v>1998</v>
      </c>
      <c r="CZ534" s="15" t="s">
        <v>419</v>
      </c>
      <c r="DA534" s="15">
        <v>0.0</v>
      </c>
      <c r="DB534" s="15" t="s">
        <v>419</v>
      </c>
      <c r="DD534" s="15">
        <v>1.0</v>
      </c>
      <c r="DE534" s="15" t="s">
        <v>426</v>
      </c>
      <c r="DF534" s="15" t="s">
        <v>420</v>
      </c>
      <c r="DG534" s="15" t="s">
        <v>610</v>
      </c>
      <c r="DK534" s="15">
        <v>0.0</v>
      </c>
      <c r="DR534" s="15" t="s">
        <v>471</v>
      </c>
      <c r="DS534" s="15" t="s">
        <v>6167</v>
      </c>
      <c r="DU534" s="15" t="s">
        <v>500</v>
      </c>
      <c r="EU534" s="15" t="s">
        <v>426</v>
      </c>
      <c r="EV534" s="15">
        <v>2.0</v>
      </c>
      <c r="FH534" s="15" t="s">
        <v>1161</v>
      </c>
      <c r="FI534" s="15" t="s">
        <v>1188</v>
      </c>
      <c r="FJ534" s="15" t="s">
        <v>1329</v>
      </c>
      <c r="FO534" s="15" t="s">
        <v>426</v>
      </c>
      <c r="FP534" s="15" t="s">
        <v>785</v>
      </c>
      <c r="FQ534" s="15">
        <v>2.0</v>
      </c>
      <c r="FR534" s="15" t="s">
        <v>614</v>
      </c>
      <c r="FS534" s="15" t="s">
        <v>1045</v>
      </c>
      <c r="FW534" s="15" t="s">
        <v>616</v>
      </c>
    </row>
    <row r="535" ht="17.25" customHeight="1">
      <c r="A535" s="15" t="s">
        <v>6194</v>
      </c>
      <c r="B535" s="15" t="str">
        <f>"801542056049"</f>
        <v>801542056049</v>
      </c>
      <c r="C535" s="15" t="s">
        <v>17620</v>
      </c>
      <c r="D535" s="15" t="str">
        <f t="shared" si="1"/>
        <v>Kelby Closed Media ConsoleVintage Brown</v>
      </c>
      <c r="E535" s="15" t="s">
        <v>6192</v>
      </c>
      <c r="F535" s="15" t="s">
        <v>397</v>
      </c>
      <c r="G535" s="15" t="s">
        <v>6164</v>
      </c>
      <c r="J535" s="15" t="s">
        <v>6164</v>
      </c>
      <c r="K535" s="15" t="s">
        <v>1850</v>
      </c>
      <c r="L535" s="15" t="s">
        <v>6170</v>
      </c>
      <c r="M535" s="15" t="s">
        <v>4600</v>
      </c>
      <c r="N535" s="15" t="s">
        <v>602</v>
      </c>
      <c r="P535" s="15" t="str">
        <f t="shared" ref="P535:P536" si="1615">"79"</f>
        <v>79</v>
      </c>
      <c r="Q535" s="15" t="str">
        <f t="shared" ref="Q535:Q536" si="1616">"18"</f>
        <v>18</v>
      </c>
      <c r="R535" s="15" t="str">
        <f t="shared" ref="R535:R536" si="1617">"28"</f>
        <v>28</v>
      </c>
      <c r="S535" s="15" t="str">
        <f>"147.93"</f>
        <v>147.93</v>
      </c>
      <c r="T535" s="15" t="s">
        <v>4891</v>
      </c>
      <c r="U535" s="15" t="s">
        <v>13228</v>
      </c>
      <c r="V535" s="15" t="s">
        <v>11139</v>
      </c>
      <c r="AA535" s="15" t="s">
        <v>413</v>
      </c>
      <c r="AB535" s="15" t="s">
        <v>413</v>
      </c>
      <c r="AC535" s="15" t="s">
        <v>6197</v>
      </c>
      <c r="AD535" s="15" t="s">
        <v>17621</v>
      </c>
      <c r="AE535" s="15" t="s">
        <v>6196</v>
      </c>
      <c r="AF535" s="15" t="s">
        <v>17622</v>
      </c>
      <c r="AG535" s="15" t="s">
        <v>17623</v>
      </c>
      <c r="AH535" s="15" t="s">
        <v>17624</v>
      </c>
      <c r="AI535" s="15" t="s">
        <v>17625</v>
      </c>
      <c r="AJ535" s="15" t="s">
        <v>17626</v>
      </c>
      <c r="AK535" s="15" t="s">
        <v>17627</v>
      </c>
      <c r="AL535" s="15" t="s">
        <v>17628</v>
      </c>
      <c r="AM535" s="15" t="s">
        <v>17629</v>
      </c>
      <c r="AN535" s="15" t="s">
        <v>17630</v>
      </c>
      <c r="AO535" s="15" t="s">
        <v>17631</v>
      </c>
      <c r="AP535" s="15" t="s">
        <v>17632</v>
      </c>
      <c r="AQ535" s="15" t="s">
        <v>17633</v>
      </c>
      <c r="BH535" s="15" t="s">
        <v>6193</v>
      </c>
      <c r="BI535" s="15" t="str">
        <f t="shared" ref="BI535:BI536" si="1618">"1999"</f>
        <v>1999</v>
      </c>
      <c r="BJ535" s="15" t="str">
        <f t="shared" ref="BJ535:BJ536" si="1619">"840"</f>
        <v>840</v>
      </c>
      <c r="BK535" s="15" t="s">
        <v>1303</v>
      </c>
      <c r="BL535" s="15" t="str">
        <f t="shared" si="1608"/>
        <v>1</v>
      </c>
      <c r="BM535" s="15" t="s">
        <v>416</v>
      </c>
      <c r="BN535" s="15" t="str">
        <f>"82.5"</f>
        <v>82.5</v>
      </c>
      <c r="BO535" s="15" t="str">
        <f>"22.25"</f>
        <v>22.25</v>
      </c>
      <c r="BP535" s="15" t="str">
        <f t="shared" ref="BP535:BP536" si="1620">"31.5"</f>
        <v>31.5</v>
      </c>
      <c r="BQ535" s="15" t="str">
        <f>"172.4"</f>
        <v>172.4</v>
      </c>
      <c r="CG535" s="15" t="str">
        <f>"33.48"</f>
        <v>33.48</v>
      </c>
      <c r="CH535" s="15" t="str">
        <f>"0.948"</f>
        <v>0.948</v>
      </c>
      <c r="CI535" s="15" t="s">
        <v>465</v>
      </c>
      <c r="CJ535" s="15" t="s">
        <v>1161</v>
      </c>
      <c r="CK535" s="15" t="s">
        <v>1188</v>
      </c>
      <c r="CL535" s="15" t="s">
        <v>6201</v>
      </c>
      <c r="CM535" s="15" t="s">
        <v>1161</v>
      </c>
      <c r="CN535" s="15" t="s">
        <v>3241</v>
      </c>
      <c r="CO535" s="15" t="s">
        <v>6201</v>
      </c>
      <c r="CZ535" s="15" t="s">
        <v>419</v>
      </c>
      <c r="DA535" s="15">
        <v>0.0</v>
      </c>
      <c r="DB535" s="15" t="s">
        <v>419</v>
      </c>
      <c r="DD535" s="15">
        <v>2.0</v>
      </c>
      <c r="DE535" s="15" t="s">
        <v>426</v>
      </c>
      <c r="DF535" s="15" t="s">
        <v>420</v>
      </c>
      <c r="DG535" s="15" t="s">
        <v>610</v>
      </c>
      <c r="DI535" s="15">
        <v>18.14</v>
      </c>
      <c r="DJ535" s="15">
        <v>40.0</v>
      </c>
      <c r="DK535" s="15">
        <v>0.0</v>
      </c>
      <c r="DS535" s="15" t="s">
        <v>6167</v>
      </c>
      <c r="EF535" s="15" t="s">
        <v>2402</v>
      </c>
      <c r="EU535" s="15" t="s">
        <v>426</v>
      </c>
      <c r="EV535" s="15">
        <v>4.0</v>
      </c>
      <c r="FH535" s="15" t="s">
        <v>1324</v>
      </c>
      <c r="FI535" s="15" t="s">
        <v>1188</v>
      </c>
      <c r="FJ535" s="15" t="s">
        <v>3748</v>
      </c>
      <c r="FO535" s="15" t="s">
        <v>426</v>
      </c>
      <c r="FP535" s="15" t="s">
        <v>785</v>
      </c>
      <c r="FQ535" s="15">
        <v>4.0</v>
      </c>
      <c r="FR535" s="15" t="s">
        <v>614</v>
      </c>
      <c r="FS535" s="15" t="s">
        <v>615</v>
      </c>
      <c r="FW535" s="15" t="s">
        <v>616</v>
      </c>
      <c r="GM535" s="15">
        <v>0.0</v>
      </c>
    </row>
    <row r="536" ht="17.25" customHeight="1">
      <c r="A536" s="15" t="s">
        <v>6204</v>
      </c>
      <c r="B536" s="15" t="str">
        <f>"801542669584"</f>
        <v>801542669584</v>
      </c>
      <c r="C536" s="15" t="s">
        <v>17634</v>
      </c>
      <c r="D536" s="15" t="str">
        <f t="shared" si="1"/>
        <v>Kelby Media ConsoleCarved Vintage Brown</v>
      </c>
      <c r="E536" s="15" t="s">
        <v>6202</v>
      </c>
      <c r="F536" s="15" t="s">
        <v>397</v>
      </c>
      <c r="G536" s="15" t="s">
        <v>6170</v>
      </c>
      <c r="J536" s="15" t="s">
        <v>6170</v>
      </c>
      <c r="K536" s="15" t="s">
        <v>1850</v>
      </c>
      <c r="M536" s="15" t="s">
        <v>4600</v>
      </c>
      <c r="N536" s="15" t="s">
        <v>602</v>
      </c>
      <c r="P536" s="15" t="str">
        <f t="shared" si="1615"/>
        <v>79</v>
      </c>
      <c r="Q536" s="15" t="str">
        <f t="shared" si="1616"/>
        <v>18</v>
      </c>
      <c r="R536" s="15" t="str">
        <f t="shared" si="1617"/>
        <v>28</v>
      </c>
      <c r="S536" s="15" t="str">
        <f>"164.68"</f>
        <v>164.68</v>
      </c>
      <c r="T536" s="15" t="s">
        <v>4891</v>
      </c>
      <c r="U536" s="15" t="s">
        <v>13228</v>
      </c>
      <c r="V536" s="15" t="s">
        <v>11139</v>
      </c>
      <c r="AA536" s="15" t="s">
        <v>413</v>
      </c>
      <c r="AB536" s="15" t="s">
        <v>413</v>
      </c>
      <c r="AC536" s="15" t="s">
        <v>6207</v>
      </c>
      <c r="AD536" s="15" t="s">
        <v>17635</v>
      </c>
      <c r="AE536" s="15" t="s">
        <v>6206</v>
      </c>
      <c r="AF536" s="15" t="s">
        <v>17636</v>
      </c>
      <c r="AG536" s="15" t="s">
        <v>17637</v>
      </c>
      <c r="AH536" s="15" t="s">
        <v>17638</v>
      </c>
      <c r="AI536" s="15" t="s">
        <v>17639</v>
      </c>
      <c r="AJ536" s="15" t="s">
        <v>17640</v>
      </c>
      <c r="AK536" s="15" t="s">
        <v>17641</v>
      </c>
      <c r="AL536" s="15" t="s">
        <v>17642</v>
      </c>
      <c r="AM536" s="15" t="s">
        <v>17643</v>
      </c>
      <c r="AN536" s="15" t="s">
        <v>17644</v>
      </c>
      <c r="AO536" s="15" t="s">
        <v>17645</v>
      </c>
      <c r="BH536" s="15" t="s">
        <v>6203</v>
      </c>
      <c r="BI536" s="15" t="str">
        <f t="shared" si="1618"/>
        <v>1999</v>
      </c>
      <c r="BJ536" s="15" t="str">
        <f t="shared" si="1619"/>
        <v>840</v>
      </c>
      <c r="BK536" s="15" t="s">
        <v>1303</v>
      </c>
      <c r="BL536" s="15" t="str">
        <f t="shared" si="1608"/>
        <v>1</v>
      </c>
      <c r="BM536" s="15" t="s">
        <v>416</v>
      </c>
      <c r="BN536" s="15" t="str">
        <f>"82"</f>
        <v>82</v>
      </c>
      <c r="BO536" s="15" t="str">
        <f>"22"</f>
        <v>22</v>
      </c>
      <c r="BP536" s="15" t="str">
        <f t="shared" si="1620"/>
        <v>31.5</v>
      </c>
      <c r="BQ536" s="15" t="str">
        <f>"188.49"</f>
        <v>188.49</v>
      </c>
      <c r="CG536" s="15" t="str">
        <f>"32.88"</f>
        <v>32.88</v>
      </c>
      <c r="CH536" s="15" t="str">
        <f>"0.931"</f>
        <v>0.931</v>
      </c>
      <c r="CI536" s="15" t="s">
        <v>465</v>
      </c>
      <c r="CJ536" s="15" t="s">
        <v>2020</v>
      </c>
      <c r="CK536" s="15" t="s">
        <v>1188</v>
      </c>
      <c r="CL536" s="15" t="s">
        <v>5646</v>
      </c>
      <c r="CM536" s="15" t="s">
        <v>4918</v>
      </c>
      <c r="CN536" s="15" t="s">
        <v>475</v>
      </c>
      <c r="CO536" s="15" t="s">
        <v>5646</v>
      </c>
      <c r="CZ536" s="15" t="s">
        <v>1371</v>
      </c>
      <c r="DA536" s="15">
        <v>3.0</v>
      </c>
      <c r="DB536" s="15" t="s">
        <v>1185</v>
      </c>
      <c r="DD536" s="15">
        <v>2.0</v>
      </c>
      <c r="DE536" s="15" t="s">
        <v>426</v>
      </c>
      <c r="DF536" s="15" t="s">
        <v>420</v>
      </c>
      <c r="DG536" s="15" t="s">
        <v>610</v>
      </c>
      <c r="DI536" s="15">
        <v>18.14</v>
      </c>
      <c r="DJ536" s="15">
        <v>40.0</v>
      </c>
      <c r="DK536" s="15">
        <v>0.0</v>
      </c>
      <c r="DS536" s="15" t="s">
        <v>6167</v>
      </c>
      <c r="EF536" s="15" t="s">
        <v>3240</v>
      </c>
      <c r="EU536" s="15" t="s">
        <v>426</v>
      </c>
      <c r="EV536" s="15">
        <v>4.0</v>
      </c>
      <c r="FH536" s="15" t="s">
        <v>1324</v>
      </c>
      <c r="FI536" s="15" t="s">
        <v>1188</v>
      </c>
      <c r="FJ536" s="15" t="s">
        <v>3748</v>
      </c>
      <c r="FO536" s="15" t="s">
        <v>426</v>
      </c>
      <c r="FP536" s="15" t="s">
        <v>785</v>
      </c>
      <c r="FQ536" s="15">
        <v>3.0</v>
      </c>
      <c r="FR536" s="15" t="s">
        <v>614</v>
      </c>
      <c r="FS536" s="15" t="s">
        <v>1045</v>
      </c>
      <c r="FW536" s="15" t="s">
        <v>3722</v>
      </c>
      <c r="FZ536" s="15" t="s">
        <v>3154</v>
      </c>
      <c r="GB536" s="15" t="s">
        <v>6209</v>
      </c>
      <c r="GD536" s="15" t="s">
        <v>4151</v>
      </c>
      <c r="GF536" s="15" t="s">
        <v>838</v>
      </c>
      <c r="GI536" s="15" t="s">
        <v>426</v>
      </c>
      <c r="GJ536" s="15" t="s">
        <v>4918</v>
      </c>
      <c r="GK536" s="15" t="s">
        <v>475</v>
      </c>
      <c r="GL536" s="15" t="s">
        <v>5644</v>
      </c>
      <c r="GM536" s="15">
        <v>0.0</v>
      </c>
      <c r="JU536" s="15" t="s">
        <v>2020</v>
      </c>
      <c r="JV536" s="15" t="s">
        <v>1188</v>
      </c>
      <c r="JW536" s="15" t="s">
        <v>5644</v>
      </c>
    </row>
    <row r="537" ht="17.25" customHeight="1">
      <c r="A537" s="15" t="s">
        <v>6212</v>
      </c>
      <c r="B537" s="15" t="str">
        <f>"801542882655"</f>
        <v>801542882655</v>
      </c>
      <c r="C537" s="15" t="s">
        <v>17646</v>
      </c>
      <c r="D537" s="15" t="str">
        <f t="shared" si="1"/>
        <v>Kelby SideboardLight Wash Mango</v>
      </c>
      <c r="E537" s="15" t="s">
        <v>6210</v>
      </c>
      <c r="F537" s="15" t="s">
        <v>397</v>
      </c>
      <c r="G537" s="15" t="s">
        <v>6182</v>
      </c>
      <c r="J537" s="15" t="s">
        <v>6182</v>
      </c>
      <c r="K537" s="15" t="s">
        <v>1850</v>
      </c>
      <c r="L537" s="15" t="s">
        <v>6217</v>
      </c>
      <c r="M537" s="15" t="s">
        <v>4600</v>
      </c>
      <c r="N537" s="15" t="s">
        <v>664</v>
      </c>
      <c r="P537" s="15" t="str">
        <f>"69"</f>
        <v>69</v>
      </c>
      <c r="Q537" s="15" t="str">
        <f>"16"</f>
        <v>16</v>
      </c>
      <c r="R537" s="15" t="str">
        <f>"30"</f>
        <v>30</v>
      </c>
      <c r="S537" s="15" t="str">
        <f>"114.62"</f>
        <v>114.62</v>
      </c>
      <c r="T537" s="15" t="s">
        <v>4891</v>
      </c>
      <c r="U537" s="15" t="s">
        <v>13228</v>
      </c>
      <c r="V537" s="15" t="s">
        <v>11139</v>
      </c>
      <c r="AA537" s="15" t="s">
        <v>413</v>
      </c>
      <c r="AB537" s="15" t="s">
        <v>413</v>
      </c>
      <c r="AC537" s="15" t="s">
        <v>6218</v>
      </c>
      <c r="AD537" s="15" t="s">
        <v>17647</v>
      </c>
      <c r="AE537" s="15" t="s">
        <v>6214</v>
      </c>
      <c r="AF537" s="15" t="s">
        <v>17648</v>
      </c>
      <c r="AG537" s="15" t="s">
        <v>17649</v>
      </c>
      <c r="AH537" s="15" t="s">
        <v>17650</v>
      </c>
      <c r="AI537" s="15" t="s">
        <v>17651</v>
      </c>
      <c r="AJ537" s="15" t="s">
        <v>17652</v>
      </c>
      <c r="AK537" s="15" t="s">
        <v>17653</v>
      </c>
      <c r="AL537" s="15" t="s">
        <v>17654</v>
      </c>
      <c r="AM537" s="15" t="s">
        <v>17655</v>
      </c>
      <c r="AN537" s="15" t="s">
        <v>17656</v>
      </c>
      <c r="AO537" s="15" t="s">
        <v>17657</v>
      </c>
      <c r="AP537" s="15" t="s">
        <v>17658</v>
      </c>
      <c r="AQ537" s="15" t="s">
        <v>17659</v>
      </c>
      <c r="BH537" s="15" t="s">
        <v>6211</v>
      </c>
      <c r="BI537" s="15" t="str">
        <f>"1699"</f>
        <v>1699</v>
      </c>
      <c r="BJ537" s="15" t="str">
        <f>"715"</f>
        <v>715</v>
      </c>
      <c r="BK537" s="15" t="s">
        <v>1303</v>
      </c>
      <c r="BL537" s="15" t="str">
        <f t="shared" si="1608"/>
        <v>1</v>
      </c>
      <c r="BM537" s="15" t="s">
        <v>416</v>
      </c>
      <c r="BN537" s="15" t="str">
        <f>"74"</f>
        <v>74</v>
      </c>
      <c r="BO537" s="15" t="str">
        <f>"21"</f>
        <v>21</v>
      </c>
      <c r="BP537" s="15" t="str">
        <f>"34.75"</f>
        <v>34.75</v>
      </c>
      <c r="BQ537" s="15" t="str">
        <f>"168.63"</f>
        <v>168.63</v>
      </c>
      <c r="CG537" s="15" t="str">
        <f>"31.25"</f>
        <v>31.25</v>
      </c>
      <c r="CH537" s="15" t="str">
        <f>"0.885"</f>
        <v>0.885</v>
      </c>
      <c r="CI537" s="15" t="s">
        <v>465</v>
      </c>
      <c r="CM537" s="15" t="s">
        <v>1287</v>
      </c>
      <c r="CN537" s="15" t="s">
        <v>1254</v>
      </c>
      <c r="CO537" s="15" t="s">
        <v>4651</v>
      </c>
      <c r="CZ537" s="15" t="s">
        <v>419</v>
      </c>
      <c r="DA537" s="15">
        <v>0.0</v>
      </c>
      <c r="DB537" s="15" t="s">
        <v>419</v>
      </c>
      <c r="DD537" s="15">
        <v>0.0</v>
      </c>
      <c r="DF537" s="15" t="s">
        <v>420</v>
      </c>
      <c r="DG537" s="15" t="s">
        <v>610</v>
      </c>
      <c r="DI537" s="15">
        <v>20.0</v>
      </c>
      <c r="DJ537" s="15">
        <v>44.09</v>
      </c>
      <c r="DK537" s="15">
        <v>2.0</v>
      </c>
      <c r="DS537" s="15" t="s">
        <v>6167</v>
      </c>
      <c r="DU537" s="15" t="s">
        <v>500</v>
      </c>
      <c r="EU537" s="15" t="s">
        <v>426</v>
      </c>
      <c r="EV537" s="15">
        <v>4.0</v>
      </c>
      <c r="FH537" s="15" t="s">
        <v>1324</v>
      </c>
      <c r="FI537" s="15" t="s">
        <v>612</v>
      </c>
      <c r="FJ537" s="15" t="s">
        <v>6018</v>
      </c>
      <c r="FK537" s="15" t="s">
        <v>1996</v>
      </c>
      <c r="FL537" s="15" t="s">
        <v>612</v>
      </c>
      <c r="FM537" s="15" t="s">
        <v>4651</v>
      </c>
      <c r="FN537" s="15">
        <v>0.0</v>
      </c>
      <c r="FO537" s="15" t="s">
        <v>426</v>
      </c>
      <c r="FP537" s="15" t="s">
        <v>785</v>
      </c>
      <c r="FQ537" s="15">
        <v>4.0</v>
      </c>
      <c r="FR537" s="15" t="s">
        <v>614</v>
      </c>
      <c r="FS537" s="15" t="s">
        <v>1045</v>
      </c>
      <c r="FT537" s="15">
        <v>0.0</v>
      </c>
      <c r="FU537" s="15" t="s">
        <v>426</v>
      </c>
    </row>
    <row r="538" ht="17.25" customHeight="1">
      <c r="A538" s="15" t="s">
        <v>6222</v>
      </c>
      <c r="B538" s="15" t="str">
        <f>"801542669591"</f>
        <v>801542669591</v>
      </c>
      <c r="C538" s="15" t="s">
        <v>17660</v>
      </c>
      <c r="D538" s="15" t="str">
        <f t="shared" si="1"/>
        <v>Kelby Small Media CabinetVintage Brown</v>
      </c>
      <c r="E538" s="15" t="s">
        <v>6220</v>
      </c>
      <c r="F538" s="15" t="s">
        <v>397</v>
      </c>
      <c r="G538" s="15" t="s">
        <v>6164</v>
      </c>
      <c r="J538" s="15" t="s">
        <v>6164</v>
      </c>
      <c r="K538" s="15" t="s">
        <v>6170</v>
      </c>
      <c r="L538" s="15" t="s">
        <v>1850</v>
      </c>
      <c r="M538" s="15" t="s">
        <v>4600</v>
      </c>
      <c r="N538" s="15" t="s">
        <v>602</v>
      </c>
      <c r="P538" s="15" t="str">
        <f>"56"</f>
        <v>56</v>
      </c>
      <c r="Q538" s="15" t="str">
        <f>"17"</f>
        <v>17</v>
      </c>
      <c r="R538" s="15" t="str">
        <f>"29"</f>
        <v>29</v>
      </c>
      <c r="S538" s="15" t="str">
        <f>"99.54"</f>
        <v>99.54</v>
      </c>
      <c r="T538" s="15" t="s">
        <v>4891</v>
      </c>
      <c r="U538" s="15" t="s">
        <v>13228</v>
      </c>
      <c r="V538" s="15" t="s">
        <v>11139</v>
      </c>
      <c r="AA538" s="15" t="s">
        <v>413</v>
      </c>
      <c r="AB538" s="15" t="s">
        <v>413</v>
      </c>
      <c r="AC538" s="15" t="s">
        <v>6207</v>
      </c>
      <c r="AD538" s="15" t="s">
        <v>17661</v>
      </c>
      <c r="AE538" s="15" t="s">
        <v>6224</v>
      </c>
      <c r="AF538" s="15" t="s">
        <v>17662</v>
      </c>
      <c r="AG538" s="15" t="s">
        <v>17663</v>
      </c>
      <c r="AH538" s="15" t="s">
        <v>17664</v>
      </c>
      <c r="AI538" s="15" t="s">
        <v>17665</v>
      </c>
      <c r="AJ538" s="15" t="s">
        <v>17666</v>
      </c>
      <c r="AK538" s="15" t="s">
        <v>17667</v>
      </c>
      <c r="AL538" s="15" t="s">
        <v>17668</v>
      </c>
      <c r="AM538" s="15" t="s">
        <v>17669</v>
      </c>
      <c r="AN538" s="15" t="s">
        <v>17670</v>
      </c>
      <c r="AO538" s="15" t="s">
        <v>17671</v>
      </c>
      <c r="AP538" s="15" t="s">
        <v>17672</v>
      </c>
      <c r="BH538" s="15" t="s">
        <v>6221</v>
      </c>
      <c r="BI538" s="15" t="str">
        <f>"1349"</f>
        <v>1349</v>
      </c>
      <c r="BJ538" s="15" t="str">
        <f>"570"</f>
        <v>570</v>
      </c>
      <c r="BK538" s="15" t="s">
        <v>1303</v>
      </c>
      <c r="BL538" s="15" t="str">
        <f t="shared" si="1608"/>
        <v>1</v>
      </c>
      <c r="BM538" s="15" t="s">
        <v>416</v>
      </c>
      <c r="BN538" s="15" t="str">
        <f>"61"</f>
        <v>61</v>
      </c>
      <c r="BO538" s="15" t="str">
        <f>"22"</f>
        <v>22</v>
      </c>
      <c r="BP538" s="15" t="str">
        <f>"33.5"</f>
        <v>33.5</v>
      </c>
      <c r="BQ538" s="15" t="str">
        <f>"137.02"</f>
        <v>137.02</v>
      </c>
      <c r="CG538" s="15" t="str">
        <f>"26.03"</f>
        <v>26.03</v>
      </c>
      <c r="CH538" s="15" t="str">
        <f>"0.737"</f>
        <v>0.737</v>
      </c>
      <c r="CI538" s="15" t="s">
        <v>497</v>
      </c>
      <c r="CJ538" s="15" t="s">
        <v>504</v>
      </c>
      <c r="CK538" s="15" t="s">
        <v>612</v>
      </c>
      <c r="CL538" s="15" t="s">
        <v>1064</v>
      </c>
      <c r="CM538" s="15" t="s">
        <v>504</v>
      </c>
      <c r="CN538" s="15" t="s">
        <v>995</v>
      </c>
      <c r="CO538" s="15" t="s">
        <v>2930</v>
      </c>
      <c r="CZ538" s="15" t="s">
        <v>419</v>
      </c>
      <c r="DA538" s="15">
        <v>0.0</v>
      </c>
      <c r="DB538" s="15" t="s">
        <v>419</v>
      </c>
      <c r="DD538" s="15">
        <v>1.0</v>
      </c>
      <c r="DE538" s="15" t="s">
        <v>426</v>
      </c>
      <c r="DF538" s="15" t="s">
        <v>420</v>
      </c>
      <c r="DG538" s="15" t="s">
        <v>610</v>
      </c>
      <c r="DI538" s="15">
        <v>18.14</v>
      </c>
      <c r="DJ538" s="15">
        <v>40.0</v>
      </c>
      <c r="DK538" s="15">
        <v>0.0</v>
      </c>
      <c r="DS538" s="15" t="s">
        <v>6167</v>
      </c>
      <c r="EU538" s="15" t="s">
        <v>426</v>
      </c>
      <c r="EV538" s="15">
        <v>3.0</v>
      </c>
      <c r="FH538" s="15" t="s">
        <v>1592</v>
      </c>
      <c r="FI538" s="15" t="s">
        <v>1188</v>
      </c>
      <c r="FJ538" s="15" t="s">
        <v>1592</v>
      </c>
      <c r="FO538" s="15" t="s">
        <v>426</v>
      </c>
      <c r="FP538" s="15" t="s">
        <v>785</v>
      </c>
      <c r="FQ538" s="15">
        <v>4.0</v>
      </c>
      <c r="FR538" s="15" t="s">
        <v>614</v>
      </c>
      <c r="FS538" s="15" t="s">
        <v>1045</v>
      </c>
      <c r="FW538" s="15" t="s">
        <v>616</v>
      </c>
      <c r="GJ538" s="15" t="s">
        <v>1213</v>
      </c>
      <c r="GK538" s="15" t="s">
        <v>1592</v>
      </c>
      <c r="GL538" s="15" t="s">
        <v>1064</v>
      </c>
      <c r="GM538" s="15">
        <v>0.0</v>
      </c>
    </row>
    <row r="539" ht="17.25" customHeight="1">
      <c r="A539" s="15" t="s">
        <v>6228</v>
      </c>
      <c r="B539" s="15" t="str">
        <f>"198394062695"</f>
        <v>198394062695</v>
      </c>
      <c r="C539" s="15" t="s">
        <v>17673</v>
      </c>
      <c r="D539" s="15" t="str">
        <f t="shared" si="1"/>
        <v>Kennedy ChairCrypton Nomad Taupe</v>
      </c>
      <c r="E539" s="15" t="s">
        <v>6226</v>
      </c>
      <c r="F539" s="15" t="s">
        <v>397</v>
      </c>
      <c r="G539" s="15" t="s">
        <v>1619</v>
      </c>
      <c r="J539" s="15" t="s">
        <v>1619</v>
      </c>
      <c r="K539" s="15" t="s">
        <v>1850</v>
      </c>
      <c r="L539" s="15" t="s">
        <v>3819</v>
      </c>
      <c r="M539" s="15" t="s">
        <v>1317</v>
      </c>
      <c r="N539" s="15" t="s">
        <v>706</v>
      </c>
      <c r="O539" s="15" t="s">
        <v>707</v>
      </c>
      <c r="P539" s="15" t="str">
        <f t="shared" ref="P539:P543" si="1621">"28.5"</f>
        <v>28.5</v>
      </c>
      <c r="Q539" s="15" t="str">
        <f t="shared" ref="Q539:Q543" si="1622">"36"</f>
        <v>36</v>
      </c>
      <c r="R539" s="15" t="str">
        <f t="shared" ref="R539:R543" si="1623">"33"</f>
        <v>33</v>
      </c>
      <c r="S539" s="15" t="str">
        <f t="shared" ref="S539:S543" si="1624">"44.09"</f>
        <v>44.09</v>
      </c>
      <c r="T539" s="15" t="s">
        <v>6230</v>
      </c>
      <c r="U539" s="15" t="s">
        <v>11858</v>
      </c>
      <c r="V539" s="15" t="s">
        <v>11859</v>
      </c>
      <c r="W539" s="15" t="s">
        <v>11139</v>
      </c>
      <c r="X539" s="15" t="s">
        <v>11138</v>
      </c>
      <c r="AA539" s="15" t="s">
        <v>426</v>
      </c>
      <c r="AB539" s="15" t="s">
        <v>426</v>
      </c>
      <c r="AC539" s="15" t="s">
        <v>6231</v>
      </c>
      <c r="AD539" s="15" t="s">
        <v>17674</v>
      </c>
      <c r="AE539" s="15" t="s">
        <v>6229</v>
      </c>
      <c r="AF539" s="15" t="s">
        <v>17675</v>
      </c>
      <c r="AG539" s="15" t="s">
        <v>17676</v>
      </c>
      <c r="AH539" s="15" t="s">
        <v>17677</v>
      </c>
      <c r="AI539" s="15" t="s">
        <v>17678</v>
      </c>
      <c r="AJ539" s="15" t="s">
        <v>17679</v>
      </c>
      <c r="AK539" s="15" t="s">
        <v>17680</v>
      </c>
      <c r="AL539" s="15" t="s">
        <v>17681</v>
      </c>
      <c r="AM539" s="15" t="s">
        <v>17682</v>
      </c>
      <c r="AN539" s="15" t="s">
        <v>17683</v>
      </c>
      <c r="AO539" s="15" t="s">
        <v>17684</v>
      </c>
      <c r="BH539" s="15" t="s">
        <v>6227</v>
      </c>
      <c r="BI539" s="15" t="str">
        <f t="shared" ref="BI539:BI541" si="1625">"1449"</f>
        <v>1449</v>
      </c>
      <c r="BJ539" s="15" t="str">
        <f t="shared" ref="BJ539:BJ541" si="1626">"610"</f>
        <v>610</v>
      </c>
      <c r="BK539" s="15" t="s">
        <v>709</v>
      </c>
      <c r="BL539" s="15" t="str">
        <f t="shared" si="1608"/>
        <v>1</v>
      </c>
      <c r="BM539" s="15" t="s">
        <v>416</v>
      </c>
      <c r="BN539" s="15" t="str">
        <f>"40.16"</f>
        <v>40.16</v>
      </c>
      <c r="BO539" s="15" t="str">
        <f>"33.86"</f>
        <v>33.86</v>
      </c>
      <c r="BP539" s="15" t="str">
        <f>"31.5"</f>
        <v>31.5</v>
      </c>
      <c r="BQ539" s="15" t="str">
        <f>"66.58"</f>
        <v>66.58</v>
      </c>
      <c r="CG539" s="15" t="str">
        <f>"24.79"</f>
        <v>24.79</v>
      </c>
      <c r="CH539" s="15" t="str">
        <f>"0.702"</f>
        <v>0.702</v>
      </c>
      <c r="CI539" s="15" t="s">
        <v>497</v>
      </c>
      <c r="CP539" s="15" t="s">
        <v>1330</v>
      </c>
      <c r="CQ539" s="15" t="s">
        <v>2116</v>
      </c>
      <c r="CR539" s="15" t="s">
        <v>555</v>
      </c>
      <c r="CS539" s="15" t="s">
        <v>1253</v>
      </c>
      <c r="CT539" s="15" t="s">
        <v>1324</v>
      </c>
      <c r="CV539" s="15">
        <v>0.0</v>
      </c>
      <c r="CW539" s="15">
        <v>1.0</v>
      </c>
      <c r="CX539" s="15" t="s">
        <v>717</v>
      </c>
      <c r="CY539" s="15" t="s">
        <v>897</v>
      </c>
      <c r="DC539" s="15" t="s">
        <v>1066</v>
      </c>
      <c r="DF539" s="15" t="s">
        <v>721</v>
      </c>
      <c r="DG539" s="15" t="s">
        <v>419</v>
      </c>
      <c r="DH539" s="15">
        <v>0.0</v>
      </c>
      <c r="DL539" s="15">
        <v>50000.0</v>
      </c>
      <c r="DM539" s="15" t="s">
        <v>722</v>
      </c>
      <c r="DN539" s="15" t="s">
        <v>723</v>
      </c>
      <c r="DO539" s="15" t="s">
        <v>724</v>
      </c>
      <c r="DP539" s="15">
        <v>1.0</v>
      </c>
      <c r="DQ539" s="15">
        <v>1.0</v>
      </c>
      <c r="DS539" s="15" t="s">
        <v>6232</v>
      </c>
      <c r="DT539" s="15">
        <v>0.0</v>
      </c>
      <c r="DU539" s="15" t="s">
        <v>726</v>
      </c>
      <c r="DV539" s="15" t="s">
        <v>2202</v>
      </c>
      <c r="DW539" s="15" t="s">
        <v>5586</v>
      </c>
      <c r="DX539" s="15" t="s">
        <v>4339</v>
      </c>
      <c r="EB539" s="15" t="s">
        <v>672</v>
      </c>
      <c r="EC539" s="15" t="s">
        <v>2116</v>
      </c>
      <c r="ED539" s="15" t="s">
        <v>1161</v>
      </c>
      <c r="EE539" s="15" t="s">
        <v>1211</v>
      </c>
      <c r="EF539" s="15" t="s">
        <v>531</v>
      </c>
      <c r="EG539" s="15" t="s">
        <v>4895</v>
      </c>
      <c r="EH539" s="15" t="s">
        <v>555</v>
      </c>
      <c r="EI539" s="15" t="s">
        <v>1288</v>
      </c>
      <c r="EL539" s="15" t="s">
        <v>723</v>
      </c>
      <c r="EM539" s="15" t="s">
        <v>724</v>
      </c>
      <c r="EN539" s="15" t="s">
        <v>1289</v>
      </c>
      <c r="EO539" s="15" t="s">
        <v>1290</v>
      </c>
      <c r="EX539" s="15" t="s">
        <v>1211</v>
      </c>
      <c r="EY539" s="15" t="s">
        <v>555</v>
      </c>
      <c r="EZ539" s="15">
        <v>0.0</v>
      </c>
      <c r="FA539" s="15">
        <v>0.0</v>
      </c>
      <c r="FC539" s="15">
        <v>0.0</v>
      </c>
    </row>
    <row r="540" ht="17.25" customHeight="1">
      <c r="A540" s="15" t="s">
        <v>6235</v>
      </c>
      <c r="B540" s="15" t="str">
        <f>"801542672416"</f>
        <v>801542672416</v>
      </c>
      <c r="C540" s="15" t="s">
        <v>17685</v>
      </c>
      <c r="D540" s="15" t="str">
        <f t="shared" si="1"/>
        <v>Kennedy ChairGabardine Grey</v>
      </c>
      <c r="E540" s="15" t="s">
        <v>6226</v>
      </c>
      <c r="F540" s="15" t="s">
        <v>397</v>
      </c>
      <c r="G540" s="15" t="s">
        <v>6234</v>
      </c>
      <c r="J540" s="15" t="s">
        <v>6234</v>
      </c>
      <c r="K540" s="15" t="s">
        <v>1850</v>
      </c>
      <c r="L540" s="15" t="s">
        <v>1087</v>
      </c>
      <c r="M540" s="15" t="s">
        <v>1317</v>
      </c>
      <c r="N540" s="15" t="s">
        <v>706</v>
      </c>
      <c r="O540" s="15" t="s">
        <v>707</v>
      </c>
      <c r="P540" s="15" t="str">
        <f t="shared" si="1621"/>
        <v>28.5</v>
      </c>
      <c r="Q540" s="15" t="str">
        <f t="shared" si="1622"/>
        <v>36</v>
      </c>
      <c r="R540" s="15" t="str">
        <f t="shared" si="1623"/>
        <v>33</v>
      </c>
      <c r="S540" s="15" t="str">
        <f t="shared" si="1624"/>
        <v>44.09</v>
      </c>
      <c r="T540" s="15" t="s">
        <v>6237</v>
      </c>
      <c r="U540" s="15" t="s">
        <v>17686</v>
      </c>
      <c r="V540" s="15" t="s">
        <v>17687</v>
      </c>
      <c r="W540" s="15" t="s">
        <v>11139</v>
      </c>
      <c r="X540" s="15" t="s">
        <v>11210</v>
      </c>
      <c r="AA540" s="15" t="s">
        <v>413</v>
      </c>
      <c r="AB540" s="15" t="s">
        <v>413</v>
      </c>
      <c r="AC540" s="15" t="s">
        <v>6238</v>
      </c>
      <c r="AD540" s="15" t="s">
        <v>17688</v>
      </c>
      <c r="AE540" s="15" t="s">
        <v>6236</v>
      </c>
      <c r="AF540" s="15" t="s">
        <v>17689</v>
      </c>
      <c r="AG540" s="15" t="s">
        <v>17690</v>
      </c>
      <c r="AH540" s="15" t="s">
        <v>17691</v>
      </c>
      <c r="AI540" s="15" t="s">
        <v>17692</v>
      </c>
      <c r="AJ540" s="15" t="s">
        <v>17693</v>
      </c>
      <c r="AK540" s="15" t="s">
        <v>17694</v>
      </c>
      <c r="AL540" s="15" t="s">
        <v>17695</v>
      </c>
      <c r="AM540" s="15" t="s">
        <v>17696</v>
      </c>
      <c r="AN540" s="15" t="s">
        <v>17697</v>
      </c>
      <c r="AO540" s="15" t="s">
        <v>17698</v>
      </c>
      <c r="AP540" s="15" t="s">
        <v>17699</v>
      </c>
      <c r="BH540" s="15" t="s">
        <v>6233</v>
      </c>
      <c r="BI540" s="15" t="str">
        <f t="shared" si="1625"/>
        <v>1449</v>
      </c>
      <c r="BJ540" s="15" t="str">
        <f t="shared" si="1626"/>
        <v>610</v>
      </c>
      <c r="BK540" s="15" t="s">
        <v>709</v>
      </c>
      <c r="BL540" s="15" t="str">
        <f t="shared" si="1608"/>
        <v>1</v>
      </c>
      <c r="BM540" s="15" t="s">
        <v>416</v>
      </c>
      <c r="BN540" s="15" t="str">
        <f>"37.8"</f>
        <v>37.8</v>
      </c>
      <c r="BO540" s="15" t="str">
        <f>"31.5"</f>
        <v>31.5</v>
      </c>
      <c r="BP540" s="15" t="str">
        <f>"32.28"</f>
        <v>32.28</v>
      </c>
      <c r="BQ540" s="15" t="str">
        <f>"70.33"</f>
        <v>70.33</v>
      </c>
      <c r="CG540" s="15" t="str">
        <f>"22.25"</f>
        <v>22.25</v>
      </c>
      <c r="CH540" s="15" t="str">
        <f>"0.63"</f>
        <v>0.63</v>
      </c>
      <c r="CI540" s="15" t="s">
        <v>497</v>
      </c>
      <c r="CP540" s="15" t="s">
        <v>1330</v>
      </c>
      <c r="CQ540" s="15" t="s">
        <v>2116</v>
      </c>
      <c r="CR540" s="15" t="s">
        <v>555</v>
      </c>
      <c r="CS540" s="15" t="s">
        <v>1253</v>
      </c>
      <c r="CT540" s="15" t="s">
        <v>1324</v>
      </c>
      <c r="CV540" s="15">
        <v>0.0</v>
      </c>
      <c r="CW540" s="15">
        <v>1.0</v>
      </c>
      <c r="CX540" s="15" t="s">
        <v>717</v>
      </c>
      <c r="CY540" s="15" t="s">
        <v>855</v>
      </c>
      <c r="DC540" s="15" t="s">
        <v>1066</v>
      </c>
      <c r="DF540" s="15" t="s">
        <v>721</v>
      </c>
      <c r="DG540" s="15" t="s">
        <v>419</v>
      </c>
      <c r="DH540" s="15">
        <v>0.0</v>
      </c>
      <c r="DL540" s="15">
        <v>25000.0</v>
      </c>
      <c r="DM540" s="15" t="s">
        <v>722</v>
      </c>
      <c r="DN540" s="15" t="s">
        <v>723</v>
      </c>
      <c r="DO540" s="15" t="s">
        <v>724</v>
      </c>
      <c r="DP540" s="15">
        <v>1.0</v>
      </c>
      <c r="DQ540" s="15">
        <v>1.0</v>
      </c>
      <c r="DS540" s="15" t="s">
        <v>6232</v>
      </c>
      <c r="DT540" s="15">
        <v>0.0</v>
      </c>
      <c r="DU540" s="15" t="s">
        <v>726</v>
      </c>
      <c r="DV540" s="15" t="s">
        <v>2202</v>
      </c>
      <c r="DW540" s="15" t="s">
        <v>5586</v>
      </c>
      <c r="DX540" s="15" t="s">
        <v>4339</v>
      </c>
      <c r="EB540" s="15" t="s">
        <v>672</v>
      </c>
      <c r="EC540" s="15" t="s">
        <v>2116</v>
      </c>
      <c r="ED540" s="15" t="s">
        <v>1161</v>
      </c>
      <c r="EE540" s="15" t="s">
        <v>1211</v>
      </c>
      <c r="EF540" s="15" t="s">
        <v>531</v>
      </c>
      <c r="EG540" s="15" t="s">
        <v>4895</v>
      </c>
      <c r="EH540" s="15" t="s">
        <v>555</v>
      </c>
      <c r="EI540" s="15" t="s">
        <v>1288</v>
      </c>
      <c r="EL540" s="15" t="s">
        <v>723</v>
      </c>
      <c r="EM540" s="15" t="s">
        <v>724</v>
      </c>
      <c r="EN540" s="15" t="s">
        <v>1289</v>
      </c>
      <c r="EO540" s="15" t="s">
        <v>1290</v>
      </c>
      <c r="EX540" s="15" t="s">
        <v>1211</v>
      </c>
      <c r="EY540" s="15" t="s">
        <v>555</v>
      </c>
      <c r="EZ540" s="15">
        <v>0.0</v>
      </c>
      <c r="FA540" s="15">
        <v>0.0</v>
      </c>
      <c r="FC540" s="15">
        <v>0.0</v>
      </c>
    </row>
    <row r="541" ht="17.25" customHeight="1">
      <c r="A541" s="15" t="s">
        <v>6241</v>
      </c>
      <c r="B541" s="15" t="str">
        <f>"801542719517"</f>
        <v>801542719517</v>
      </c>
      <c r="C541" s="15" t="s">
        <v>17700</v>
      </c>
      <c r="D541" s="15" t="str">
        <f t="shared" si="1"/>
        <v>Kennedy ChairKerbey Ivory</v>
      </c>
      <c r="E541" s="15" t="s">
        <v>6226</v>
      </c>
      <c r="F541" s="15" t="s">
        <v>397</v>
      </c>
      <c r="G541" s="15" t="s">
        <v>2951</v>
      </c>
      <c r="J541" s="15" t="s">
        <v>2951</v>
      </c>
      <c r="K541" s="15" t="s">
        <v>1850</v>
      </c>
      <c r="L541" s="15" t="s">
        <v>3819</v>
      </c>
      <c r="M541" s="15" t="s">
        <v>1317</v>
      </c>
      <c r="N541" s="15" t="s">
        <v>706</v>
      </c>
      <c r="O541" s="15" t="s">
        <v>707</v>
      </c>
      <c r="P541" s="15" t="str">
        <f t="shared" si="1621"/>
        <v>28.5</v>
      </c>
      <c r="Q541" s="15" t="str">
        <f t="shared" si="1622"/>
        <v>36</v>
      </c>
      <c r="R541" s="15" t="str">
        <f t="shared" si="1623"/>
        <v>33</v>
      </c>
      <c r="S541" s="15" t="str">
        <f t="shared" si="1624"/>
        <v>44.09</v>
      </c>
      <c r="T541" s="15" t="s">
        <v>6243</v>
      </c>
      <c r="U541" s="15" t="s">
        <v>12856</v>
      </c>
      <c r="V541" s="15" t="s">
        <v>12857</v>
      </c>
      <c r="W541" s="15" t="s">
        <v>11139</v>
      </c>
      <c r="X541" s="15" t="s">
        <v>11138</v>
      </c>
      <c r="AA541" s="15" t="s">
        <v>426</v>
      </c>
      <c r="AB541" s="15" t="s">
        <v>426</v>
      </c>
      <c r="AC541" s="15" t="s">
        <v>6244</v>
      </c>
      <c r="AD541" s="15" t="s">
        <v>17701</v>
      </c>
      <c r="AE541" s="15" t="s">
        <v>6242</v>
      </c>
      <c r="AF541" s="15" t="s">
        <v>17702</v>
      </c>
      <c r="AG541" s="15" t="s">
        <v>17703</v>
      </c>
      <c r="AH541" s="15" t="s">
        <v>17704</v>
      </c>
      <c r="AI541" s="15" t="s">
        <v>17705</v>
      </c>
      <c r="AJ541" s="15" t="s">
        <v>17706</v>
      </c>
      <c r="AK541" s="15" t="s">
        <v>17707</v>
      </c>
      <c r="AL541" s="15" t="s">
        <v>17708</v>
      </c>
      <c r="AM541" s="15" t="s">
        <v>17709</v>
      </c>
      <c r="AN541" s="15" t="s">
        <v>17710</v>
      </c>
      <c r="AO541" s="15" t="s">
        <v>17711</v>
      </c>
      <c r="AP541" s="15" t="s">
        <v>17712</v>
      </c>
      <c r="BH541" s="15" t="s">
        <v>6240</v>
      </c>
      <c r="BI541" s="15" t="str">
        <f t="shared" si="1625"/>
        <v>1449</v>
      </c>
      <c r="BJ541" s="15" t="str">
        <f t="shared" si="1626"/>
        <v>610</v>
      </c>
      <c r="BK541" s="15" t="s">
        <v>709</v>
      </c>
      <c r="BL541" s="15" t="str">
        <f t="shared" si="1608"/>
        <v>1</v>
      </c>
      <c r="BM541" s="15" t="s">
        <v>416</v>
      </c>
      <c r="BN541" s="15" t="str">
        <f t="shared" ref="BN541:BN543" si="1627">"40.16"</f>
        <v>40.16</v>
      </c>
      <c r="BO541" s="15" t="str">
        <f t="shared" ref="BO541:BO543" si="1628">"33.86"</f>
        <v>33.86</v>
      </c>
      <c r="BP541" s="15" t="str">
        <f t="shared" ref="BP541:BP543" si="1629">"31.5"</f>
        <v>31.5</v>
      </c>
      <c r="BQ541" s="15" t="str">
        <f t="shared" ref="BQ541:BQ543" si="1630">"66.58"</f>
        <v>66.58</v>
      </c>
      <c r="CG541" s="15" t="str">
        <f t="shared" ref="CG541:CG543" si="1631">"24.79"</f>
        <v>24.79</v>
      </c>
      <c r="CH541" s="15" t="str">
        <f t="shared" ref="CH541:CH543" si="1632">"0.702"</f>
        <v>0.702</v>
      </c>
      <c r="CI541" s="15" t="s">
        <v>465</v>
      </c>
      <c r="CP541" s="15" t="s">
        <v>1330</v>
      </c>
      <c r="CQ541" s="15" t="s">
        <v>2116</v>
      </c>
      <c r="CR541" s="15" t="s">
        <v>555</v>
      </c>
      <c r="CS541" s="15" t="s">
        <v>1253</v>
      </c>
      <c r="CT541" s="15" t="s">
        <v>1324</v>
      </c>
      <c r="CV541" s="15">
        <v>0.0</v>
      </c>
      <c r="CW541" s="15">
        <v>1.0</v>
      </c>
      <c r="CX541" s="15" t="s">
        <v>717</v>
      </c>
      <c r="CY541" s="15" t="s">
        <v>855</v>
      </c>
      <c r="DC541" s="15" t="s">
        <v>1066</v>
      </c>
      <c r="DF541" s="15" t="s">
        <v>721</v>
      </c>
      <c r="DG541" s="15" t="s">
        <v>419</v>
      </c>
      <c r="DH541" s="15">
        <v>0.0</v>
      </c>
      <c r="DL541" s="15">
        <v>25000.0</v>
      </c>
      <c r="DM541" s="15" t="s">
        <v>722</v>
      </c>
      <c r="DN541" s="15" t="s">
        <v>723</v>
      </c>
      <c r="DO541" s="15" t="s">
        <v>724</v>
      </c>
      <c r="DP541" s="15">
        <v>1.0</v>
      </c>
      <c r="DQ541" s="15">
        <v>1.0</v>
      </c>
      <c r="DS541" s="15" t="s">
        <v>6232</v>
      </c>
      <c r="DT541" s="15">
        <v>0.0</v>
      </c>
      <c r="DU541" s="15" t="s">
        <v>726</v>
      </c>
      <c r="DV541" s="15" t="s">
        <v>2202</v>
      </c>
      <c r="DW541" s="15" t="s">
        <v>5586</v>
      </c>
      <c r="DX541" s="15" t="s">
        <v>4339</v>
      </c>
      <c r="EB541" s="15" t="s">
        <v>672</v>
      </c>
      <c r="EC541" s="15" t="s">
        <v>2116</v>
      </c>
      <c r="ED541" s="15" t="s">
        <v>1161</v>
      </c>
      <c r="EE541" s="15" t="s">
        <v>1211</v>
      </c>
      <c r="EF541" s="15" t="s">
        <v>531</v>
      </c>
      <c r="EG541" s="15" t="s">
        <v>4895</v>
      </c>
      <c r="EH541" s="15" t="s">
        <v>555</v>
      </c>
      <c r="EI541" s="15" t="s">
        <v>1288</v>
      </c>
      <c r="EL541" s="15" t="s">
        <v>723</v>
      </c>
      <c r="EM541" s="15" t="s">
        <v>724</v>
      </c>
      <c r="EN541" s="15" t="s">
        <v>1289</v>
      </c>
      <c r="EO541" s="15" t="s">
        <v>1290</v>
      </c>
      <c r="EX541" s="15" t="s">
        <v>1211</v>
      </c>
      <c r="EY541" s="15" t="s">
        <v>555</v>
      </c>
      <c r="EZ541" s="15">
        <v>0.0</v>
      </c>
      <c r="FA541" s="15">
        <v>0.0</v>
      </c>
      <c r="FC541" s="15">
        <v>0.0</v>
      </c>
    </row>
    <row r="542" ht="17.25" customHeight="1">
      <c r="A542" s="15" t="s">
        <v>6246</v>
      </c>
      <c r="B542" s="15" t="str">
        <f>"801542032005"</f>
        <v>801542032005</v>
      </c>
      <c r="C542" s="15" t="s">
        <v>17713</v>
      </c>
      <c r="D542" s="15" t="str">
        <f t="shared" si="1"/>
        <v>Kennedy ChairPalermo Cognac</v>
      </c>
      <c r="E542" s="15" t="s">
        <v>6226</v>
      </c>
      <c r="F542" s="15" t="s">
        <v>397</v>
      </c>
      <c r="G542" s="15" t="s">
        <v>2818</v>
      </c>
      <c r="J542" s="15" t="s">
        <v>2818</v>
      </c>
      <c r="K542" s="15" t="s">
        <v>1850</v>
      </c>
      <c r="L542" s="15" t="s">
        <v>3819</v>
      </c>
      <c r="M542" s="15" t="s">
        <v>1317</v>
      </c>
      <c r="N542" s="15" t="s">
        <v>706</v>
      </c>
      <c r="O542" s="15" t="s">
        <v>707</v>
      </c>
      <c r="P542" s="15" t="str">
        <f t="shared" si="1621"/>
        <v>28.5</v>
      </c>
      <c r="Q542" s="15" t="str">
        <f t="shared" si="1622"/>
        <v>36</v>
      </c>
      <c r="R542" s="15" t="str">
        <f t="shared" si="1623"/>
        <v>33</v>
      </c>
      <c r="S542" s="15" t="str">
        <f t="shared" si="1624"/>
        <v>44.09</v>
      </c>
      <c r="T542" s="15" t="s">
        <v>6248</v>
      </c>
      <c r="U542" s="15" t="s">
        <v>11137</v>
      </c>
      <c r="V542" s="15" t="s">
        <v>11139</v>
      </c>
      <c r="W542" s="15" t="s">
        <v>11138</v>
      </c>
      <c r="AA542" s="15" t="s">
        <v>413</v>
      </c>
      <c r="AB542" s="15" t="s">
        <v>413</v>
      </c>
      <c r="AC542" s="15" t="s">
        <v>6249</v>
      </c>
      <c r="AD542" s="15" t="s">
        <v>17714</v>
      </c>
      <c r="AE542" s="15" t="s">
        <v>6247</v>
      </c>
      <c r="AF542" s="15" t="s">
        <v>17715</v>
      </c>
      <c r="AG542" s="15" t="s">
        <v>17716</v>
      </c>
      <c r="AH542" s="15" t="s">
        <v>17717</v>
      </c>
      <c r="AI542" s="15" t="s">
        <v>17718</v>
      </c>
      <c r="AJ542" s="15" t="s">
        <v>17719</v>
      </c>
      <c r="AK542" s="15" t="s">
        <v>17720</v>
      </c>
      <c r="AL542" s="15" t="s">
        <v>17721</v>
      </c>
      <c r="AM542" s="15" t="s">
        <v>17722</v>
      </c>
      <c r="AN542" s="15" t="s">
        <v>17723</v>
      </c>
      <c r="AO542" s="15" t="s">
        <v>17724</v>
      </c>
      <c r="BH542" s="15" t="s">
        <v>6245</v>
      </c>
      <c r="BI542" s="15" t="str">
        <f t="shared" ref="BI542:BI543" si="1633">"1999"</f>
        <v>1999</v>
      </c>
      <c r="BJ542" s="15" t="str">
        <f t="shared" ref="BJ542:BJ543" si="1634">"840"</f>
        <v>840</v>
      </c>
      <c r="BK542" s="15" t="s">
        <v>709</v>
      </c>
      <c r="BL542" s="15" t="str">
        <f t="shared" si="1608"/>
        <v>1</v>
      </c>
      <c r="BM542" s="15" t="s">
        <v>416</v>
      </c>
      <c r="BN542" s="15" t="str">
        <f t="shared" si="1627"/>
        <v>40.16</v>
      </c>
      <c r="BO542" s="15" t="str">
        <f t="shared" si="1628"/>
        <v>33.86</v>
      </c>
      <c r="BP542" s="15" t="str">
        <f t="shared" si="1629"/>
        <v>31.5</v>
      </c>
      <c r="BQ542" s="15" t="str">
        <f t="shared" si="1630"/>
        <v>66.58</v>
      </c>
      <c r="CG542" s="15" t="str">
        <f t="shared" si="1631"/>
        <v>24.79</v>
      </c>
      <c r="CH542" s="15" t="str">
        <f t="shared" si="1632"/>
        <v>0.702</v>
      </c>
      <c r="CI542" s="15" t="s">
        <v>497</v>
      </c>
      <c r="CP542" s="15" t="s">
        <v>1330</v>
      </c>
      <c r="CQ542" s="15" t="s">
        <v>2116</v>
      </c>
      <c r="CR542" s="15" t="s">
        <v>555</v>
      </c>
      <c r="CS542" s="15" t="s">
        <v>1253</v>
      </c>
      <c r="CT542" s="15" t="s">
        <v>1324</v>
      </c>
      <c r="CV542" s="15">
        <v>0.0</v>
      </c>
      <c r="CW542" s="15">
        <v>1.0</v>
      </c>
      <c r="CX542" s="15" t="s">
        <v>717</v>
      </c>
      <c r="CY542" s="15" t="s">
        <v>718</v>
      </c>
      <c r="DC542" s="15" t="s">
        <v>1066</v>
      </c>
      <c r="DF542" s="15" t="s">
        <v>721</v>
      </c>
      <c r="DG542" s="15" t="s">
        <v>419</v>
      </c>
      <c r="DH542" s="15">
        <v>0.0</v>
      </c>
      <c r="DL542" s="15">
        <v>0.0</v>
      </c>
      <c r="DM542" s="15" t="s">
        <v>722</v>
      </c>
      <c r="DN542" s="15" t="s">
        <v>723</v>
      </c>
      <c r="DO542" s="15" t="s">
        <v>724</v>
      </c>
      <c r="DP542" s="15">
        <v>1.0</v>
      </c>
      <c r="DQ542" s="15">
        <v>1.0</v>
      </c>
      <c r="DS542" s="15" t="s">
        <v>6232</v>
      </c>
      <c r="DT542" s="15">
        <v>0.0</v>
      </c>
      <c r="DU542" s="15" t="s">
        <v>726</v>
      </c>
      <c r="DV542" s="15" t="s">
        <v>2202</v>
      </c>
      <c r="DW542" s="15" t="s">
        <v>5586</v>
      </c>
      <c r="DX542" s="15" t="s">
        <v>4339</v>
      </c>
      <c r="EB542" s="15" t="s">
        <v>672</v>
      </c>
      <c r="EC542" s="15" t="s">
        <v>2116</v>
      </c>
      <c r="ED542" s="15" t="s">
        <v>1161</v>
      </c>
      <c r="EE542" s="15" t="s">
        <v>1211</v>
      </c>
      <c r="EF542" s="15" t="s">
        <v>531</v>
      </c>
      <c r="EG542" s="15" t="s">
        <v>4895</v>
      </c>
      <c r="EH542" s="15" t="s">
        <v>555</v>
      </c>
      <c r="EI542" s="15" t="s">
        <v>1288</v>
      </c>
      <c r="EL542" s="15" t="s">
        <v>723</v>
      </c>
      <c r="EM542" s="15" t="s">
        <v>724</v>
      </c>
      <c r="EN542" s="15" t="s">
        <v>1289</v>
      </c>
      <c r="EO542" s="15" t="s">
        <v>1290</v>
      </c>
      <c r="EX542" s="15" t="s">
        <v>1211</v>
      </c>
      <c r="EY542" s="15" t="s">
        <v>555</v>
      </c>
      <c r="EZ542" s="15">
        <v>0.0</v>
      </c>
      <c r="FA542" s="15">
        <v>0.0</v>
      </c>
      <c r="FC542" s="15">
        <v>0.0</v>
      </c>
    </row>
    <row r="543" ht="17.25" customHeight="1">
      <c r="A543" s="15" t="s">
        <v>6251</v>
      </c>
      <c r="B543" s="15" t="str">
        <f>"801542737559"</f>
        <v>801542737559</v>
      </c>
      <c r="C543" s="15" t="s">
        <v>17725</v>
      </c>
      <c r="D543" s="15" t="str">
        <f t="shared" si="1"/>
        <v>Kennedy ChairSonoma Black</v>
      </c>
      <c r="E543" s="15" t="s">
        <v>6226</v>
      </c>
      <c r="F543" s="15" t="s">
        <v>397</v>
      </c>
      <c r="G543" s="15" t="s">
        <v>4231</v>
      </c>
      <c r="J543" s="15" t="s">
        <v>4231</v>
      </c>
      <c r="K543" s="15" t="s">
        <v>1850</v>
      </c>
      <c r="L543" s="15" t="s">
        <v>3819</v>
      </c>
      <c r="M543" s="15" t="s">
        <v>1317</v>
      </c>
      <c r="N543" s="15" t="s">
        <v>706</v>
      </c>
      <c r="O543" s="15" t="s">
        <v>707</v>
      </c>
      <c r="P543" s="15" t="str">
        <f t="shared" si="1621"/>
        <v>28.5</v>
      </c>
      <c r="Q543" s="15" t="str">
        <f t="shared" si="1622"/>
        <v>36</v>
      </c>
      <c r="R543" s="15" t="str">
        <f t="shared" si="1623"/>
        <v>33</v>
      </c>
      <c r="S543" s="15" t="str">
        <f t="shared" si="1624"/>
        <v>44.09</v>
      </c>
      <c r="T543" s="15" t="s">
        <v>6248</v>
      </c>
      <c r="U543" s="15" t="s">
        <v>11137</v>
      </c>
      <c r="V543" s="15" t="s">
        <v>11139</v>
      </c>
      <c r="W543" s="15" t="s">
        <v>11138</v>
      </c>
      <c r="AA543" s="15" t="s">
        <v>413</v>
      </c>
      <c r="AB543" s="15" t="s">
        <v>413</v>
      </c>
      <c r="AC543" s="15" t="s">
        <v>6253</v>
      </c>
      <c r="AD543" s="15" t="s">
        <v>17726</v>
      </c>
      <c r="AE543" s="15" t="s">
        <v>6252</v>
      </c>
      <c r="AF543" s="15" t="s">
        <v>17727</v>
      </c>
      <c r="AG543" s="15" t="s">
        <v>17728</v>
      </c>
      <c r="AH543" s="15" t="s">
        <v>17729</v>
      </c>
      <c r="AI543" s="15" t="s">
        <v>17730</v>
      </c>
      <c r="AJ543" s="15" t="s">
        <v>17731</v>
      </c>
      <c r="AK543" s="15" t="s">
        <v>17732</v>
      </c>
      <c r="AL543" s="15" t="s">
        <v>17733</v>
      </c>
      <c r="AM543" s="15" t="s">
        <v>17734</v>
      </c>
      <c r="BH543" s="15" t="s">
        <v>6250</v>
      </c>
      <c r="BI543" s="15" t="str">
        <f t="shared" si="1633"/>
        <v>1999</v>
      </c>
      <c r="BJ543" s="15" t="str">
        <f t="shared" si="1634"/>
        <v>840</v>
      </c>
      <c r="BK543" s="15" t="s">
        <v>709</v>
      </c>
      <c r="BL543" s="15" t="str">
        <f t="shared" si="1608"/>
        <v>1</v>
      </c>
      <c r="BM543" s="15" t="s">
        <v>416</v>
      </c>
      <c r="BN543" s="15" t="str">
        <f t="shared" si="1627"/>
        <v>40.16</v>
      </c>
      <c r="BO543" s="15" t="str">
        <f t="shared" si="1628"/>
        <v>33.86</v>
      </c>
      <c r="BP543" s="15" t="str">
        <f t="shared" si="1629"/>
        <v>31.5</v>
      </c>
      <c r="BQ543" s="15" t="str">
        <f t="shared" si="1630"/>
        <v>66.58</v>
      </c>
      <c r="CG543" s="15" t="str">
        <f t="shared" si="1631"/>
        <v>24.79</v>
      </c>
      <c r="CH543" s="15" t="str">
        <f t="shared" si="1632"/>
        <v>0.702</v>
      </c>
      <c r="CI543" s="15" t="s">
        <v>465</v>
      </c>
      <c r="CP543" s="15" t="s">
        <v>1330</v>
      </c>
      <c r="CQ543" s="15" t="s">
        <v>2116</v>
      </c>
      <c r="CR543" s="15" t="s">
        <v>555</v>
      </c>
      <c r="CS543" s="15" t="s">
        <v>1253</v>
      </c>
      <c r="CT543" s="15" t="s">
        <v>1324</v>
      </c>
      <c r="CV543" s="15">
        <v>0.0</v>
      </c>
      <c r="CW543" s="15">
        <v>1.0</v>
      </c>
      <c r="CX543" s="15" t="s">
        <v>717</v>
      </c>
      <c r="CY543" s="15" t="s">
        <v>718</v>
      </c>
      <c r="DC543" s="15" t="s">
        <v>1066</v>
      </c>
      <c r="DF543" s="15" t="s">
        <v>721</v>
      </c>
      <c r="DG543" s="15" t="s">
        <v>419</v>
      </c>
      <c r="DH543" s="15">
        <v>0.0</v>
      </c>
      <c r="DL543" s="15">
        <v>0.0</v>
      </c>
      <c r="DM543" s="15" t="s">
        <v>722</v>
      </c>
      <c r="DN543" s="15" t="s">
        <v>723</v>
      </c>
      <c r="DO543" s="15" t="s">
        <v>724</v>
      </c>
      <c r="DP543" s="15">
        <v>1.0</v>
      </c>
      <c r="DQ543" s="15">
        <v>1.0</v>
      </c>
      <c r="DS543" s="15" t="s">
        <v>6232</v>
      </c>
      <c r="DT543" s="15">
        <v>0.0</v>
      </c>
      <c r="DU543" s="15" t="s">
        <v>726</v>
      </c>
      <c r="DV543" s="15" t="s">
        <v>2202</v>
      </c>
      <c r="DW543" s="15" t="s">
        <v>5586</v>
      </c>
      <c r="DX543" s="15" t="s">
        <v>4339</v>
      </c>
      <c r="EB543" s="15" t="s">
        <v>672</v>
      </c>
      <c r="EC543" s="15" t="s">
        <v>2116</v>
      </c>
      <c r="ED543" s="15" t="s">
        <v>1161</v>
      </c>
      <c r="EE543" s="15" t="s">
        <v>1211</v>
      </c>
      <c r="EF543" s="15" t="s">
        <v>531</v>
      </c>
      <c r="EG543" s="15" t="s">
        <v>4895</v>
      </c>
      <c r="EH543" s="15" t="s">
        <v>555</v>
      </c>
      <c r="EI543" s="15" t="s">
        <v>1288</v>
      </c>
      <c r="EL543" s="15" t="s">
        <v>723</v>
      </c>
      <c r="EM543" s="15" t="s">
        <v>724</v>
      </c>
      <c r="EN543" s="15" t="s">
        <v>1289</v>
      </c>
      <c r="EO543" s="15" t="s">
        <v>1290</v>
      </c>
      <c r="EX543" s="15" t="s">
        <v>1211</v>
      </c>
      <c r="EY543" s="15" t="s">
        <v>555</v>
      </c>
      <c r="EZ543" s="15">
        <v>0.0</v>
      </c>
      <c r="FA543" s="15">
        <v>0.0</v>
      </c>
      <c r="FC543" s="15">
        <v>0.0</v>
      </c>
    </row>
    <row r="544" ht="17.25" customHeight="1">
      <c r="A544" s="15" t="s">
        <v>6256</v>
      </c>
      <c r="B544" s="15" t="str">
        <f>"801542529697"</f>
        <v>801542529697</v>
      </c>
      <c r="C544" s="15" t="s">
        <v>17735</v>
      </c>
      <c r="D544" s="15" t="str">
        <f t="shared" si="1"/>
        <v>Kerry Chaise-85"Thames Cream</v>
      </c>
      <c r="E544" s="15" t="s">
        <v>6254</v>
      </c>
      <c r="F544" s="15" t="s">
        <v>397</v>
      </c>
      <c r="G544" s="15" t="s">
        <v>2000</v>
      </c>
      <c r="J544" s="15" t="s">
        <v>2000</v>
      </c>
      <c r="K544" s="15" t="s">
        <v>1087</v>
      </c>
      <c r="L544" s="15" t="s">
        <v>1985</v>
      </c>
      <c r="M544" s="15" t="s">
        <v>915</v>
      </c>
      <c r="N544" s="15" t="s">
        <v>1226</v>
      </c>
      <c r="P544" s="15" t="str">
        <f>"85"</f>
        <v>85</v>
      </c>
      <c r="Q544" s="15" t="str">
        <f>"35"</f>
        <v>35</v>
      </c>
      <c r="R544" s="15" t="str">
        <f>"30"</f>
        <v>30</v>
      </c>
      <c r="S544" s="15" t="str">
        <f>"88.18"</f>
        <v>88.18</v>
      </c>
      <c r="T544" s="15" t="s">
        <v>2003</v>
      </c>
      <c r="U544" s="15" t="s">
        <v>11537</v>
      </c>
      <c r="V544" s="15" t="s">
        <v>11538</v>
      </c>
      <c r="W544" s="15" t="s">
        <v>11539</v>
      </c>
      <c r="X544" s="15" t="s">
        <v>11210</v>
      </c>
      <c r="Y544" s="15" t="s">
        <v>11137</v>
      </c>
      <c r="AA544" s="15" t="s">
        <v>413</v>
      </c>
      <c r="AB544" s="15" t="s">
        <v>426</v>
      </c>
      <c r="AC544" s="15" t="s">
        <v>6258</v>
      </c>
      <c r="AD544" s="15" t="s">
        <v>17736</v>
      </c>
      <c r="AE544" s="15" t="s">
        <v>6257</v>
      </c>
      <c r="AF544" s="15" t="s">
        <v>17737</v>
      </c>
      <c r="AG544" s="15" t="s">
        <v>17738</v>
      </c>
      <c r="AH544" s="15" t="s">
        <v>17739</v>
      </c>
      <c r="AI544" s="15" t="s">
        <v>17740</v>
      </c>
      <c r="AJ544" s="15" t="s">
        <v>17741</v>
      </c>
      <c r="AK544" s="15" t="s">
        <v>17742</v>
      </c>
      <c r="AL544" s="15" t="s">
        <v>17743</v>
      </c>
      <c r="AM544" s="15" t="s">
        <v>17744</v>
      </c>
      <c r="AN544" s="15" t="s">
        <v>17745</v>
      </c>
      <c r="BH544" s="15" t="s">
        <v>6255</v>
      </c>
      <c r="BI544" s="15" t="str">
        <f>"2299"</f>
        <v>2299</v>
      </c>
      <c r="BJ544" s="15" t="str">
        <f>"970"</f>
        <v>970</v>
      </c>
      <c r="BK544" s="15" t="s">
        <v>709</v>
      </c>
      <c r="BL544" s="15" t="str">
        <f t="shared" si="1608"/>
        <v>1</v>
      </c>
      <c r="BM544" s="15" t="s">
        <v>416</v>
      </c>
      <c r="BN544" s="15" t="str">
        <f>"90.16"</f>
        <v>90.16</v>
      </c>
      <c r="BO544" s="15" t="str">
        <f>"38.19"</f>
        <v>38.19</v>
      </c>
      <c r="BP544" s="15" t="str">
        <f>"27.17"</f>
        <v>27.17</v>
      </c>
      <c r="BQ544" s="15" t="str">
        <f>"132.28"</f>
        <v>132.28</v>
      </c>
      <c r="CG544" s="15" t="str">
        <f>"54.14"</f>
        <v>54.14</v>
      </c>
      <c r="CH544" s="15" t="str">
        <f>"1.533"</f>
        <v>1.533</v>
      </c>
      <c r="CI544" s="15" t="s">
        <v>497</v>
      </c>
      <c r="CP544" s="15" t="s">
        <v>2434</v>
      </c>
      <c r="CQ544" s="15" t="s">
        <v>2116</v>
      </c>
      <c r="CR544" s="15" t="s">
        <v>1755</v>
      </c>
      <c r="CS544" s="15" t="s">
        <v>2434</v>
      </c>
      <c r="CT544" s="15" t="s">
        <v>1331</v>
      </c>
      <c r="CU544" s="15" t="s">
        <v>2570</v>
      </c>
      <c r="CV544" s="15">
        <v>2.0</v>
      </c>
      <c r="CW544" s="15">
        <v>0.0</v>
      </c>
      <c r="CX544" s="15" t="s">
        <v>717</v>
      </c>
      <c r="CY544" s="15" t="s">
        <v>855</v>
      </c>
      <c r="DC544" s="15" t="s">
        <v>1066</v>
      </c>
      <c r="DF544" s="15" t="s">
        <v>721</v>
      </c>
      <c r="DG544" s="15" t="s">
        <v>419</v>
      </c>
      <c r="DH544" s="15">
        <v>0.0</v>
      </c>
      <c r="DL544" s="15">
        <v>25000.0</v>
      </c>
      <c r="DM544" s="15" t="s">
        <v>990</v>
      </c>
      <c r="DN544" s="15" t="s">
        <v>723</v>
      </c>
      <c r="DO544" s="15" t="s">
        <v>3306</v>
      </c>
      <c r="DP544" s="15">
        <v>1.0</v>
      </c>
      <c r="DQ544" s="15">
        <v>3.0</v>
      </c>
      <c r="DS544" s="15" t="s">
        <v>6259</v>
      </c>
      <c r="DT544" s="15">
        <v>0.0</v>
      </c>
      <c r="DU544" s="15" t="s">
        <v>473</v>
      </c>
      <c r="DV544" s="15" t="s">
        <v>2384</v>
      </c>
      <c r="DW544" s="15" t="s">
        <v>635</v>
      </c>
      <c r="DX544" s="15" t="s">
        <v>2434</v>
      </c>
      <c r="DY544" s="15" t="s">
        <v>2434</v>
      </c>
      <c r="DZ544" s="15" t="s">
        <v>1592</v>
      </c>
      <c r="EA544" s="15" t="s">
        <v>2116</v>
      </c>
      <c r="EB544" s="15" t="s">
        <v>2402</v>
      </c>
      <c r="EF544" s="15" t="s">
        <v>475</v>
      </c>
      <c r="EG544" s="15" t="s">
        <v>2599</v>
      </c>
      <c r="EH544" s="15" t="s">
        <v>6260</v>
      </c>
      <c r="EJ544" s="15" t="s">
        <v>3306</v>
      </c>
      <c r="EK544" s="15" t="s">
        <v>426</v>
      </c>
      <c r="EN544" s="15" t="s">
        <v>1289</v>
      </c>
      <c r="EO544" s="15" t="s">
        <v>1290</v>
      </c>
    </row>
    <row r="545" ht="17.25" customHeight="1">
      <c r="A545" s="15" t="s">
        <v>6263</v>
      </c>
      <c r="B545" s="15" t="str">
        <f>"801542374730"</f>
        <v>801542374730</v>
      </c>
      <c r="C545" s="15" t="s">
        <v>17746</v>
      </c>
      <c r="D545" s="15" t="str">
        <f t="shared" si="1"/>
        <v>Kickapoo River Cricket TableDistressed Black Veneer</v>
      </c>
      <c r="E545" s="15" t="s">
        <v>6261</v>
      </c>
      <c r="F545" s="15" t="s">
        <v>397</v>
      </c>
      <c r="G545" s="15" t="s">
        <v>5965</v>
      </c>
      <c r="J545" s="15" t="s">
        <v>5965</v>
      </c>
      <c r="M545" s="15" t="s">
        <v>5963</v>
      </c>
      <c r="N545" s="15" t="s">
        <v>1154</v>
      </c>
      <c r="P545" s="15" t="str">
        <f t="shared" ref="P545:R545" si="1635">"25.5"</f>
        <v>25.5</v>
      </c>
      <c r="Q545" s="15" t="str">
        <f t="shared" si="1635"/>
        <v>25.5</v>
      </c>
      <c r="R545" s="15" t="str">
        <f t="shared" si="1635"/>
        <v>25.5</v>
      </c>
      <c r="S545" s="15" t="str">
        <f>"20.5"</f>
        <v>20.5</v>
      </c>
      <c r="T545" s="15" t="s">
        <v>6265</v>
      </c>
      <c r="U545" s="15" t="s">
        <v>17266</v>
      </c>
      <c r="V545" s="15" t="s">
        <v>11386</v>
      </c>
      <c r="AA545" s="15" t="s">
        <v>413</v>
      </c>
      <c r="AB545" s="15" t="s">
        <v>413</v>
      </c>
      <c r="AC545" s="15" t="s">
        <v>6266</v>
      </c>
      <c r="AD545" s="15" t="s">
        <v>17747</v>
      </c>
      <c r="AE545" s="15" t="s">
        <v>6264</v>
      </c>
      <c r="AF545" s="15" t="s">
        <v>17748</v>
      </c>
      <c r="AG545" s="15" t="s">
        <v>17749</v>
      </c>
      <c r="AH545" s="15" t="s">
        <v>17750</v>
      </c>
      <c r="AI545" s="15" t="s">
        <v>17751</v>
      </c>
      <c r="AJ545" s="15" t="s">
        <v>17752</v>
      </c>
      <c r="AK545" s="15" t="s">
        <v>17753</v>
      </c>
      <c r="AL545" s="15" t="s">
        <v>17754</v>
      </c>
      <c r="AM545" s="15" t="s">
        <v>17755</v>
      </c>
      <c r="AN545" s="15" t="s">
        <v>17756</v>
      </c>
      <c r="AO545" s="15" t="s">
        <v>17757</v>
      </c>
      <c r="AP545" s="15" t="s">
        <v>17758</v>
      </c>
      <c r="BH545" s="15" t="s">
        <v>6262</v>
      </c>
      <c r="BI545" s="15" t="str">
        <f>"899"</f>
        <v>899</v>
      </c>
      <c r="BJ545" s="15" t="str">
        <f>"380"</f>
        <v>380</v>
      </c>
      <c r="BK545" s="15" t="s">
        <v>742</v>
      </c>
      <c r="BL545" s="15" t="str">
        <f t="shared" si="1608"/>
        <v>1</v>
      </c>
      <c r="BM545" s="15" t="s">
        <v>416</v>
      </c>
      <c r="BN545" s="15" t="str">
        <f t="shared" ref="BN545:BO545" si="1636">"29"</f>
        <v>29</v>
      </c>
      <c r="BO545" s="15" t="str">
        <f t="shared" si="1636"/>
        <v>29</v>
      </c>
      <c r="BP545" s="15" t="str">
        <f>"30"</f>
        <v>30</v>
      </c>
      <c r="BQ545" s="15" t="str">
        <f>"47.84"</f>
        <v>47.84</v>
      </c>
      <c r="CG545" s="15" t="str">
        <f>"14.58"</f>
        <v>14.58</v>
      </c>
      <c r="CH545" s="15" t="str">
        <f>"0.413"</f>
        <v>0.413</v>
      </c>
      <c r="CI545" s="15" t="s">
        <v>497</v>
      </c>
      <c r="CJ545" s="15" t="s">
        <v>2968</v>
      </c>
      <c r="CK545" s="15" t="s">
        <v>6267</v>
      </c>
      <c r="CL545" s="15" t="s">
        <v>6268</v>
      </c>
      <c r="CM545" s="15" t="s">
        <v>2968</v>
      </c>
      <c r="CN545" s="15" t="s">
        <v>760</v>
      </c>
      <c r="CO545" s="15" t="s">
        <v>6268</v>
      </c>
      <c r="CZ545" s="15" t="s">
        <v>419</v>
      </c>
      <c r="DA545" s="15">
        <v>0.0</v>
      </c>
      <c r="DB545" s="15" t="s">
        <v>419</v>
      </c>
      <c r="DD545" s="15">
        <v>1.0</v>
      </c>
      <c r="DE545" s="15" t="s">
        <v>426</v>
      </c>
      <c r="DF545" s="15" t="s">
        <v>420</v>
      </c>
      <c r="DG545" s="15" t="s">
        <v>1914</v>
      </c>
      <c r="DK545" s="15">
        <v>0.0</v>
      </c>
      <c r="DR545" s="15" t="s">
        <v>1157</v>
      </c>
      <c r="DS545" s="15" t="s">
        <v>6269</v>
      </c>
      <c r="DU545" s="15" t="s">
        <v>500</v>
      </c>
      <c r="EF545" s="15" t="s">
        <v>6270</v>
      </c>
      <c r="EG545" s="15" t="s">
        <v>2348</v>
      </c>
      <c r="EH545" s="15" t="s">
        <v>6271</v>
      </c>
      <c r="EQ545" s="15" t="s">
        <v>6272</v>
      </c>
      <c r="ER545" s="15" t="s">
        <v>555</v>
      </c>
      <c r="ES545" s="15" t="s">
        <v>6273</v>
      </c>
      <c r="ET545" s="15" t="s">
        <v>3132</v>
      </c>
      <c r="EU545" s="15" t="s">
        <v>426</v>
      </c>
      <c r="EV545" s="15">
        <v>1.0</v>
      </c>
      <c r="EW545" s="15">
        <v>0.0</v>
      </c>
      <c r="FF545" s="15" t="s">
        <v>6274</v>
      </c>
    </row>
    <row r="546" ht="17.25" customHeight="1">
      <c r="A546" s="15" t="s">
        <v>6277</v>
      </c>
      <c r="B546" s="15" t="str">
        <f>"801542690649"</f>
        <v>801542690649</v>
      </c>
      <c r="C546" s="15" t="s">
        <v>17759</v>
      </c>
      <c r="D546" s="15" t="str">
        <f t="shared" si="1"/>
        <v>Kiera Swivel ChairPalermo Cognac</v>
      </c>
      <c r="E546" s="15" t="s">
        <v>6275</v>
      </c>
      <c r="F546" s="15" t="s">
        <v>397</v>
      </c>
      <c r="G546" s="15" t="s">
        <v>2818</v>
      </c>
      <c r="J546" s="15" t="s">
        <v>2818</v>
      </c>
      <c r="K546" s="15" t="s">
        <v>4364</v>
      </c>
      <c r="M546" s="15" t="s">
        <v>837</v>
      </c>
      <c r="N546" s="15" t="s">
        <v>706</v>
      </c>
      <c r="O546" s="15" t="s">
        <v>707</v>
      </c>
      <c r="P546" s="15" t="str">
        <f>"32"</f>
        <v>32</v>
      </c>
      <c r="Q546" s="15" t="str">
        <f>"32.75"</f>
        <v>32.75</v>
      </c>
      <c r="R546" s="15" t="str">
        <f>"30.5"</f>
        <v>30.5</v>
      </c>
      <c r="S546" s="15" t="str">
        <f>"87.08"</f>
        <v>87.08</v>
      </c>
      <c r="T546" s="15" t="s">
        <v>975</v>
      </c>
      <c r="U546" s="15" t="s">
        <v>11137</v>
      </c>
      <c r="V546" s="15" t="s">
        <v>11210</v>
      </c>
      <c r="AA546" s="15" t="s">
        <v>413</v>
      </c>
      <c r="AB546" s="15" t="s">
        <v>413</v>
      </c>
      <c r="AC546" s="15" t="s">
        <v>6279</v>
      </c>
      <c r="AD546" s="15" t="s">
        <v>17760</v>
      </c>
      <c r="AE546" s="15" t="s">
        <v>6278</v>
      </c>
      <c r="AF546" s="15" t="s">
        <v>17761</v>
      </c>
      <c r="AG546" s="15" t="s">
        <v>17762</v>
      </c>
      <c r="AH546" s="15" t="s">
        <v>17763</v>
      </c>
      <c r="AI546" s="15" t="s">
        <v>17764</v>
      </c>
      <c r="AJ546" s="15" t="s">
        <v>17765</v>
      </c>
      <c r="AK546" s="15" t="s">
        <v>13142</v>
      </c>
      <c r="AL546" s="15" t="s">
        <v>17766</v>
      </c>
      <c r="AM546" s="15" t="s">
        <v>17767</v>
      </c>
      <c r="AN546" s="15" t="s">
        <v>17768</v>
      </c>
      <c r="AO546" s="15" t="s">
        <v>17769</v>
      </c>
      <c r="AP546" s="15" t="s">
        <v>17770</v>
      </c>
      <c r="BH546" s="15" t="s">
        <v>6276</v>
      </c>
      <c r="BI546" s="15" t="str">
        <f>"1649"</f>
        <v>1649</v>
      </c>
      <c r="BJ546" s="15" t="str">
        <f>"695"</f>
        <v>695</v>
      </c>
      <c r="BK546" s="15" t="s">
        <v>742</v>
      </c>
      <c r="BL546" s="15" t="str">
        <f t="shared" si="1608"/>
        <v>1</v>
      </c>
      <c r="BM546" s="15" t="s">
        <v>2043</v>
      </c>
      <c r="BN546" s="15" t="str">
        <f t="shared" ref="BN546:BO546" si="1637">"33.07"</f>
        <v>33.07</v>
      </c>
      <c r="BO546" s="15" t="str">
        <f t="shared" si="1637"/>
        <v>33.07</v>
      </c>
      <c r="BP546" s="15" t="str">
        <f>"26.38"</f>
        <v>26.38</v>
      </c>
      <c r="BQ546" s="15" t="str">
        <f>"97"</f>
        <v>97</v>
      </c>
      <c r="CG546" s="15" t="str">
        <f>"16.7"</f>
        <v>16.7</v>
      </c>
      <c r="CH546" s="15" t="str">
        <f>"0.473"</f>
        <v>0.473</v>
      </c>
      <c r="CI546" s="15" t="s">
        <v>497</v>
      </c>
      <c r="CS546" s="15" t="s">
        <v>1460</v>
      </c>
      <c r="CT546" s="15" t="s">
        <v>824</v>
      </c>
      <c r="CU546" s="15" t="s">
        <v>1488</v>
      </c>
      <c r="CV546" s="15">
        <v>0.0</v>
      </c>
      <c r="CW546" s="15">
        <v>1.0</v>
      </c>
      <c r="CX546" s="15" t="s">
        <v>717</v>
      </c>
      <c r="CY546" s="15" t="s">
        <v>718</v>
      </c>
      <c r="DF546" s="15" t="s">
        <v>989</v>
      </c>
      <c r="DG546" s="15" t="s">
        <v>1605</v>
      </c>
      <c r="DH546" s="15">
        <v>0.0</v>
      </c>
      <c r="DL546" s="15">
        <v>0.0</v>
      </c>
      <c r="DM546" s="15" t="s">
        <v>722</v>
      </c>
      <c r="DN546" s="15" t="s">
        <v>1016</v>
      </c>
      <c r="DO546" s="15" t="s">
        <v>3514</v>
      </c>
      <c r="DP546" s="15">
        <v>1.0</v>
      </c>
      <c r="DQ546" s="15">
        <v>1.0</v>
      </c>
      <c r="DS546" s="15" t="s">
        <v>6280</v>
      </c>
      <c r="DT546" s="15">
        <v>0.0</v>
      </c>
      <c r="DU546" s="15" t="s">
        <v>726</v>
      </c>
      <c r="DV546" s="15" t="s">
        <v>3361</v>
      </c>
      <c r="DW546" s="15" t="s">
        <v>3052</v>
      </c>
      <c r="DX546" s="15" t="s">
        <v>2101</v>
      </c>
      <c r="EB546" s="15" t="s">
        <v>761</v>
      </c>
      <c r="EC546" s="15" t="s">
        <v>2841</v>
      </c>
      <c r="ED546" s="15" t="s">
        <v>2159</v>
      </c>
      <c r="EE546" s="15" t="s">
        <v>2019</v>
      </c>
      <c r="EF546" s="15" t="s">
        <v>6281</v>
      </c>
      <c r="EI546" s="15" t="s">
        <v>3052</v>
      </c>
      <c r="EL546" s="15" t="s">
        <v>723</v>
      </c>
      <c r="EM546" s="15" t="s">
        <v>724</v>
      </c>
      <c r="EN546" s="15" t="s">
        <v>6282</v>
      </c>
      <c r="EO546" s="15" t="s">
        <v>3747</v>
      </c>
      <c r="EZ546" s="15">
        <v>0.0</v>
      </c>
      <c r="FA546" s="15">
        <v>0.0</v>
      </c>
      <c r="FB546" s="15" t="s">
        <v>3362</v>
      </c>
      <c r="FC546" s="15">
        <v>0.0</v>
      </c>
      <c r="HU546" s="15" t="s">
        <v>1610</v>
      </c>
    </row>
    <row r="547" ht="17.25" customHeight="1">
      <c r="A547" s="15" t="s">
        <v>6285</v>
      </c>
      <c r="B547" s="15" t="str">
        <f>"801542350086"</f>
        <v>801542350086</v>
      </c>
      <c r="C547" s="15" t="s">
        <v>17771</v>
      </c>
      <c r="D547" s="15" t="str">
        <f t="shared" si="1"/>
        <v>Kimble Swivel ChairCrypton Henry Coffee</v>
      </c>
      <c r="E547" s="15" t="s">
        <v>6283</v>
      </c>
      <c r="F547" s="15" t="s">
        <v>397</v>
      </c>
      <c r="G547" s="15" t="s">
        <v>3323</v>
      </c>
      <c r="J547" s="15" t="s">
        <v>3323</v>
      </c>
      <c r="M547" s="15" t="s">
        <v>2374</v>
      </c>
      <c r="N547" s="15" t="s">
        <v>706</v>
      </c>
      <c r="O547" s="15" t="s">
        <v>707</v>
      </c>
      <c r="P547" s="15" t="str">
        <f t="shared" ref="P547:P548" si="1638">"29.5"</f>
        <v>29.5</v>
      </c>
      <c r="Q547" s="15" t="str">
        <f t="shared" ref="Q547:Q548" si="1639">"31.5"</f>
        <v>31.5</v>
      </c>
      <c r="R547" s="15" t="str">
        <f t="shared" ref="R547:R548" si="1640">"34"</f>
        <v>34</v>
      </c>
      <c r="S547" s="15" t="str">
        <f t="shared" ref="S547:S548" si="1641">"52.91"</f>
        <v>52.91</v>
      </c>
      <c r="T547" s="15" t="s">
        <v>1655</v>
      </c>
      <c r="U547" s="15" t="s">
        <v>11209</v>
      </c>
      <c r="AA547" s="15" t="s">
        <v>413</v>
      </c>
      <c r="AB547" s="15" t="s">
        <v>426</v>
      </c>
      <c r="AC547" s="15" t="s">
        <v>6287</v>
      </c>
      <c r="AD547" s="15" t="s">
        <v>17772</v>
      </c>
      <c r="AE547" s="15" t="s">
        <v>6286</v>
      </c>
      <c r="AF547" s="15" t="s">
        <v>17773</v>
      </c>
      <c r="AG547" s="15" t="s">
        <v>17774</v>
      </c>
      <c r="AH547" s="15" t="s">
        <v>17775</v>
      </c>
      <c r="AI547" s="15" t="s">
        <v>17776</v>
      </c>
      <c r="AJ547" s="15" t="s">
        <v>17777</v>
      </c>
      <c r="AK547" s="15" t="s">
        <v>17778</v>
      </c>
      <c r="AL547" s="15" t="s">
        <v>17779</v>
      </c>
      <c r="AM547" s="15" t="s">
        <v>17780</v>
      </c>
      <c r="AN547" s="15" t="s">
        <v>17781</v>
      </c>
      <c r="AO547" s="15" t="s">
        <v>17782</v>
      </c>
      <c r="AP547" s="15" t="s">
        <v>17783</v>
      </c>
      <c r="AQ547" s="15" t="s">
        <v>17784</v>
      </c>
      <c r="AR547" s="15" t="s">
        <v>17785</v>
      </c>
      <c r="AS547" s="15" t="s">
        <v>17786</v>
      </c>
      <c r="AT547" s="15" t="s">
        <v>14951</v>
      </c>
      <c r="BH547" s="15" t="s">
        <v>6284</v>
      </c>
      <c r="BI547" s="15" t="str">
        <f>"1249"</f>
        <v>1249</v>
      </c>
      <c r="BJ547" s="15" t="str">
        <f>"525"</f>
        <v>525</v>
      </c>
      <c r="BK547" s="15" t="s">
        <v>415</v>
      </c>
      <c r="BL547" s="15" t="str">
        <f t="shared" si="1608"/>
        <v>1</v>
      </c>
      <c r="BM547" s="15" t="s">
        <v>416</v>
      </c>
      <c r="BN547" s="15" t="str">
        <f t="shared" ref="BN547:BN548" si="1642">"35"</f>
        <v>35</v>
      </c>
      <c r="BO547" s="15" t="str">
        <f t="shared" ref="BO547:BO548" si="1643">"32"</f>
        <v>32</v>
      </c>
      <c r="BP547" s="15" t="str">
        <f t="shared" ref="BP547:BP548" si="1644">"36"</f>
        <v>36</v>
      </c>
      <c r="BQ547" s="15" t="str">
        <f t="shared" ref="BQ547:BQ548" si="1645">"61.73"</f>
        <v>61.73</v>
      </c>
      <c r="CG547" s="15" t="str">
        <f t="shared" ref="CG547:CG548" si="1646">"23.34"</f>
        <v>23.34</v>
      </c>
      <c r="CH547" s="15" t="str">
        <f t="shared" ref="CH547:CH548" si="1647">"0.661"</f>
        <v>0.661</v>
      </c>
      <c r="CI547" s="15" t="s">
        <v>417</v>
      </c>
      <c r="CS547" s="15" t="s">
        <v>1014</v>
      </c>
      <c r="CT547" s="15" t="s">
        <v>1014</v>
      </c>
      <c r="CU547" s="15" t="s">
        <v>1700</v>
      </c>
      <c r="CV547" s="15">
        <v>0.0</v>
      </c>
      <c r="CW547" s="15">
        <v>1.0</v>
      </c>
      <c r="CX547" s="15" t="s">
        <v>717</v>
      </c>
      <c r="CY547" s="15" t="s">
        <v>934</v>
      </c>
      <c r="DC547" s="15" t="s">
        <v>3843</v>
      </c>
      <c r="DF547" s="15" t="s">
        <v>721</v>
      </c>
      <c r="DG547" s="15" t="s">
        <v>1605</v>
      </c>
      <c r="DH547" s="15">
        <v>1.0</v>
      </c>
      <c r="DL547" s="15">
        <v>100000.0</v>
      </c>
      <c r="DM547" s="15" t="s">
        <v>990</v>
      </c>
      <c r="DN547" s="15" t="s">
        <v>1016</v>
      </c>
      <c r="DO547" s="15" t="s">
        <v>1701</v>
      </c>
      <c r="DP547" s="15">
        <v>1.0</v>
      </c>
      <c r="DQ547" s="15">
        <v>1.0</v>
      </c>
      <c r="DS547" s="15" t="s">
        <v>6288</v>
      </c>
      <c r="DT547" s="15">
        <v>0.0</v>
      </c>
      <c r="DU547" s="15" t="s">
        <v>726</v>
      </c>
      <c r="DV547" s="15" t="s">
        <v>1041</v>
      </c>
      <c r="DW547" s="15" t="s">
        <v>762</v>
      </c>
      <c r="DX547" s="15" t="s">
        <v>3111</v>
      </c>
      <c r="EB547" s="15" t="s">
        <v>2505</v>
      </c>
      <c r="EF547" s="15" t="s">
        <v>1607</v>
      </c>
      <c r="EI547" s="15" t="s">
        <v>1160</v>
      </c>
      <c r="EL547" s="15" t="s">
        <v>1016</v>
      </c>
      <c r="EM547" s="15" t="s">
        <v>1076</v>
      </c>
      <c r="EN547" s="15" t="s">
        <v>3408</v>
      </c>
      <c r="EO547" s="15" t="s">
        <v>3843</v>
      </c>
      <c r="EX547" s="15" t="s">
        <v>1324</v>
      </c>
      <c r="EY547" s="15" t="s">
        <v>6289</v>
      </c>
      <c r="EZ547" s="15">
        <v>0.0</v>
      </c>
      <c r="FA547" s="15">
        <v>0.0</v>
      </c>
      <c r="FC547" s="15">
        <v>0.0</v>
      </c>
      <c r="HU547" s="15" t="s">
        <v>1610</v>
      </c>
      <c r="IP547" s="15" t="s">
        <v>429</v>
      </c>
      <c r="IQ547" s="15" t="s">
        <v>995</v>
      </c>
      <c r="IR547" s="15" t="s">
        <v>1065</v>
      </c>
      <c r="IS547" s="15" t="s">
        <v>1076</v>
      </c>
      <c r="IT547" s="15" t="s">
        <v>426</v>
      </c>
    </row>
    <row r="548" ht="17.25" customHeight="1">
      <c r="A548" s="15" t="s">
        <v>6292</v>
      </c>
      <c r="B548" s="15" t="str">
        <f>"801542592691"</f>
        <v>801542592691</v>
      </c>
      <c r="C548" s="15" t="s">
        <v>17787</v>
      </c>
      <c r="D548" s="15" t="str">
        <f t="shared" si="1"/>
        <v>Kimble Swivel ChairNoble Platinum</v>
      </c>
      <c r="E548" s="15" t="s">
        <v>6283</v>
      </c>
      <c r="F548" s="15" t="s">
        <v>397</v>
      </c>
      <c r="G548" s="15" t="s">
        <v>6291</v>
      </c>
      <c r="J548" s="15" t="s">
        <v>6291</v>
      </c>
      <c r="M548" s="15" t="s">
        <v>2374</v>
      </c>
      <c r="N548" s="15" t="s">
        <v>706</v>
      </c>
      <c r="O548" s="15" t="s">
        <v>707</v>
      </c>
      <c r="P548" s="15" t="str">
        <f t="shared" si="1638"/>
        <v>29.5</v>
      </c>
      <c r="Q548" s="15" t="str">
        <f t="shared" si="1639"/>
        <v>31.5</v>
      </c>
      <c r="R548" s="15" t="str">
        <f t="shared" si="1640"/>
        <v>34</v>
      </c>
      <c r="S548" s="15" t="str">
        <f t="shared" si="1641"/>
        <v>52.91</v>
      </c>
      <c r="T548" s="15" t="s">
        <v>1655</v>
      </c>
      <c r="U548" s="15" t="s">
        <v>11209</v>
      </c>
      <c r="AA548" s="15" t="s">
        <v>413</v>
      </c>
      <c r="AB548" s="15" t="s">
        <v>413</v>
      </c>
      <c r="AC548" s="15" t="s">
        <v>6287</v>
      </c>
      <c r="AD548" s="15" t="s">
        <v>17788</v>
      </c>
      <c r="AE548" s="15" t="s">
        <v>6293</v>
      </c>
      <c r="AF548" s="15" t="s">
        <v>17789</v>
      </c>
      <c r="AG548" s="15" t="s">
        <v>17790</v>
      </c>
      <c r="AH548" s="15" t="s">
        <v>17791</v>
      </c>
      <c r="AI548" s="15" t="s">
        <v>17792</v>
      </c>
      <c r="AJ548" s="15" t="s">
        <v>17793</v>
      </c>
      <c r="AK548" s="15" t="s">
        <v>17794</v>
      </c>
      <c r="AL548" s="15" t="s">
        <v>17795</v>
      </c>
      <c r="AM548" s="15" t="s">
        <v>17796</v>
      </c>
      <c r="AN548" s="15" t="s">
        <v>17797</v>
      </c>
      <c r="AO548" s="15" t="s">
        <v>17798</v>
      </c>
      <c r="AP548" s="15" t="s">
        <v>17799</v>
      </c>
      <c r="AQ548" s="15" t="s">
        <v>17800</v>
      </c>
      <c r="BH548" s="15" t="s">
        <v>6290</v>
      </c>
      <c r="BI548" s="15" t="str">
        <f>"1049"</f>
        <v>1049</v>
      </c>
      <c r="BJ548" s="15" t="str">
        <f>"445"</f>
        <v>445</v>
      </c>
      <c r="BK548" s="15" t="s">
        <v>415</v>
      </c>
      <c r="BL548" s="15" t="str">
        <f t="shared" si="1608"/>
        <v>1</v>
      </c>
      <c r="BM548" s="15" t="s">
        <v>416</v>
      </c>
      <c r="BN548" s="15" t="str">
        <f t="shared" si="1642"/>
        <v>35</v>
      </c>
      <c r="BO548" s="15" t="str">
        <f t="shared" si="1643"/>
        <v>32</v>
      </c>
      <c r="BP548" s="15" t="str">
        <f t="shared" si="1644"/>
        <v>36</v>
      </c>
      <c r="BQ548" s="15" t="str">
        <f t="shared" si="1645"/>
        <v>61.73</v>
      </c>
      <c r="CG548" s="15" t="str">
        <f t="shared" si="1646"/>
        <v>23.34</v>
      </c>
      <c r="CH548" s="15" t="str">
        <f t="shared" si="1647"/>
        <v>0.661</v>
      </c>
      <c r="CI548" s="15" t="s">
        <v>465</v>
      </c>
      <c r="CS548" s="15" t="s">
        <v>1014</v>
      </c>
      <c r="CT548" s="15" t="s">
        <v>1014</v>
      </c>
      <c r="CU548" s="15" t="s">
        <v>1700</v>
      </c>
      <c r="CV548" s="15">
        <v>0.0</v>
      </c>
      <c r="CW548" s="15">
        <v>1.0</v>
      </c>
      <c r="CX548" s="15" t="s">
        <v>717</v>
      </c>
      <c r="CY548" s="15" t="s">
        <v>855</v>
      </c>
      <c r="DC548" s="15" t="s">
        <v>3843</v>
      </c>
      <c r="DF548" s="15" t="s">
        <v>721</v>
      </c>
      <c r="DG548" s="15" t="s">
        <v>1605</v>
      </c>
      <c r="DH548" s="15">
        <v>1.0</v>
      </c>
      <c r="DL548" s="15">
        <v>15000.0</v>
      </c>
      <c r="DM548" s="15" t="s">
        <v>990</v>
      </c>
      <c r="DN548" s="15" t="s">
        <v>1016</v>
      </c>
      <c r="DO548" s="15" t="s">
        <v>1701</v>
      </c>
      <c r="DP548" s="15">
        <v>1.0</v>
      </c>
      <c r="DQ548" s="15">
        <v>1.0</v>
      </c>
      <c r="DS548" s="15" t="s">
        <v>6288</v>
      </c>
      <c r="DT548" s="15">
        <v>0.0</v>
      </c>
      <c r="DU548" s="15" t="s">
        <v>726</v>
      </c>
      <c r="DV548" s="15" t="s">
        <v>1041</v>
      </c>
      <c r="DW548" s="15" t="s">
        <v>762</v>
      </c>
      <c r="DX548" s="15" t="s">
        <v>3111</v>
      </c>
      <c r="EB548" s="15" t="s">
        <v>2505</v>
      </c>
      <c r="EF548" s="15" t="s">
        <v>1607</v>
      </c>
      <c r="EI548" s="15" t="s">
        <v>1160</v>
      </c>
      <c r="EL548" s="15" t="s">
        <v>1016</v>
      </c>
      <c r="EM548" s="15" t="s">
        <v>1076</v>
      </c>
      <c r="EN548" s="15" t="s">
        <v>3408</v>
      </c>
      <c r="EO548" s="15" t="s">
        <v>3843</v>
      </c>
      <c r="EX548" s="15" t="s">
        <v>1324</v>
      </c>
      <c r="EY548" s="15" t="s">
        <v>6289</v>
      </c>
      <c r="EZ548" s="15">
        <v>0.0</v>
      </c>
      <c r="FA548" s="15">
        <v>0.0</v>
      </c>
      <c r="FC548" s="15">
        <v>0.0</v>
      </c>
      <c r="HU548" s="15" t="s">
        <v>1610</v>
      </c>
      <c r="IP548" s="15" t="s">
        <v>429</v>
      </c>
      <c r="IQ548" s="15" t="s">
        <v>995</v>
      </c>
      <c r="IR548" s="15" t="s">
        <v>1065</v>
      </c>
      <c r="IS548" s="15" t="s">
        <v>1076</v>
      </c>
      <c r="IT548" s="15" t="s">
        <v>426</v>
      </c>
    </row>
    <row r="549" ht="17.25" customHeight="1">
      <c r="A549" s="15" t="s">
        <v>6297</v>
      </c>
      <c r="B549" s="15" t="str">
        <f>"801542993054"</f>
        <v>801542993054</v>
      </c>
      <c r="C549" s="15" t="s">
        <v>17801</v>
      </c>
      <c r="D549" s="15" t="str">
        <f t="shared" si="1"/>
        <v>Kipp Coffee TableBurnt Bleached Oak Resawn</v>
      </c>
      <c r="E549" s="15" t="s">
        <v>6294</v>
      </c>
      <c r="F549" s="15" t="s">
        <v>397</v>
      </c>
      <c r="G549" s="15" t="s">
        <v>6296</v>
      </c>
      <c r="J549" s="15" t="s">
        <v>6296</v>
      </c>
      <c r="K549" s="15" t="s">
        <v>1095</v>
      </c>
      <c r="L549" s="15" t="s">
        <v>6300</v>
      </c>
      <c r="M549" s="15" t="s">
        <v>411</v>
      </c>
      <c r="N549" s="15" t="s">
        <v>491</v>
      </c>
      <c r="P549" s="15" t="str">
        <f t="shared" ref="P549:Q549" si="1648">"47.5"</f>
        <v>47.5</v>
      </c>
      <c r="Q549" s="15" t="str">
        <f t="shared" si="1648"/>
        <v>47.5</v>
      </c>
      <c r="R549" s="15" t="str">
        <f>"16"</f>
        <v>16</v>
      </c>
      <c r="S549" s="15" t="str">
        <f>"136.69"</f>
        <v>136.69</v>
      </c>
      <c r="T549" s="15" t="s">
        <v>6299</v>
      </c>
      <c r="U549" s="15" t="s">
        <v>14167</v>
      </c>
      <c r="V549" s="15" t="s">
        <v>11386</v>
      </c>
      <c r="W549" s="15" t="s">
        <v>14078</v>
      </c>
      <c r="AA549" s="15" t="s">
        <v>413</v>
      </c>
      <c r="AB549" s="15" t="s">
        <v>413</v>
      </c>
      <c r="AC549" s="15" t="s">
        <v>6301</v>
      </c>
      <c r="AD549" s="15" t="s">
        <v>17802</v>
      </c>
      <c r="AE549" s="15" t="s">
        <v>6298</v>
      </c>
      <c r="AF549" s="15" t="s">
        <v>17803</v>
      </c>
      <c r="AG549" s="15" t="s">
        <v>17804</v>
      </c>
      <c r="AH549" s="15" t="s">
        <v>17805</v>
      </c>
      <c r="AI549" s="15" t="s">
        <v>17806</v>
      </c>
      <c r="AJ549" s="15" t="s">
        <v>17807</v>
      </c>
      <c r="AK549" s="15" t="s">
        <v>17808</v>
      </c>
      <c r="AL549" s="15" t="s">
        <v>17809</v>
      </c>
      <c r="AM549" s="15" t="s">
        <v>17810</v>
      </c>
      <c r="AN549" s="15" t="s">
        <v>17811</v>
      </c>
      <c r="AO549" s="15" t="s">
        <v>17812</v>
      </c>
      <c r="AP549" s="15" t="s">
        <v>17813</v>
      </c>
      <c r="AQ549" s="15" t="s">
        <v>17814</v>
      </c>
      <c r="BH549" s="15" t="s">
        <v>6295</v>
      </c>
      <c r="BI549" s="15" t="str">
        <f>"2599"</f>
        <v>2599</v>
      </c>
      <c r="BJ549" s="15" t="str">
        <f>"1095"</f>
        <v>1095</v>
      </c>
      <c r="BK549" s="15" t="s">
        <v>415</v>
      </c>
      <c r="BL549" s="15" t="str">
        <f t="shared" si="1608"/>
        <v>1</v>
      </c>
      <c r="BM549" s="15" t="s">
        <v>416</v>
      </c>
      <c r="BN549" s="15" t="str">
        <f>"53.15"</f>
        <v>53.15</v>
      </c>
      <c r="BO549" s="15" t="str">
        <f>"52.36"</f>
        <v>52.36</v>
      </c>
      <c r="BP549" s="15" t="str">
        <f>"22.44"</f>
        <v>22.44</v>
      </c>
      <c r="BQ549" s="15" t="str">
        <f>"190.26"</f>
        <v>190.26</v>
      </c>
      <c r="CG549" s="15" t="str">
        <f>"36.13"</f>
        <v>36.13</v>
      </c>
      <c r="CH549" s="15" t="str">
        <f>"1.023"</f>
        <v>1.023</v>
      </c>
      <c r="CI549" s="15" t="s">
        <v>497</v>
      </c>
      <c r="CZ549" s="15" t="s">
        <v>419</v>
      </c>
      <c r="DA549" s="15">
        <v>0.0</v>
      </c>
      <c r="DB549" s="15" t="s">
        <v>419</v>
      </c>
      <c r="DD549" s="15">
        <v>0.0</v>
      </c>
      <c r="DF549" s="15" t="s">
        <v>420</v>
      </c>
      <c r="DG549" s="15" t="s">
        <v>419</v>
      </c>
      <c r="DK549" s="15">
        <v>0.0</v>
      </c>
      <c r="DR549" s="15" t="s">
        <v>1157</v>
      </c>
      <c r="DS549" s="15" t="s">
        <v>6304</v>
      </c>
      <c r="DU549" s="15" t="s">
        <v>500</v>
      </c>
      <c r="EQ549" s="15" t="s">
        <v>6305</v>
      </c>
      <c r="ER549" s="15" t="s">
        <v>1121</v>
      </c>
      <c r="ES549" s="15" t="s">
        <v>6305</v>
      </c>
      <c r="ET549" s="15" t="s">
        <v>3762</v>
      </c>
      <c r="EU549" s="15" t="s">
        <v>426</v>
      </c>
      <c r="EV549" s="15">
        <v>0.0</v>
      </c>
      <c r="EW549" s="15">
        <v>0.0</v>
      </c>
      <c r="FF549" s="15" t="s">
        <v>1188</v>
      </c>
    </row>
    <row r="550" ht="17.25" customHeight="1">
      <c r="A550" s="15" t="s">
        <v>6309</v>
      </c>
      <c r="B550" s="15" t="str">
        <f>"801542004491"</f>
        <v>801542004491</v>
      </c>
      <c r="C550" s="15" t="s">
        <v>17815</v>
      </c>
      <c r="D550" s="15" t="str">
        <f t="shared" si="1"/>
        <v>Kipton 2-Piece SectionalGibson Mink</v>
      </c>
      <c r="E550" s="15" t="s">
        <v>6306</v>
      </c>
      <c r="F550" s="15" t="s">
        <v>397</v>
      </c>
      <c r="G550" s="15" t="s">
        <v>6308</v>
      </c>
      <c r="J550" s="15" t="s">
        <v>6308</v>
      </c>
      <c r="M550" s="15" t="s">
        <v>6315</v>
      </c>
      <c r="N550" s="15" t="s">
        <v>1629</v>
      </c>
      <c r="O550" s="15" t="s">
        <v>2933</v>
      </c>
      <c r="P550" s="15" t="str">
        <f>"105.5"</f>
        <v>105.5</v>
      </c>
      <c r="Q550" s="15" t="str">
        <f>"71"</f>
        <v>71</v>
      </c>
      <c r="R550" s="15" t="str">
        <f>"28.75"</f>
        <v>28.75</v>
      </c>
      <c r="S550" s="15" t="str">
        <f>"178.57"</f>
        <v>178.57</v>
      </c>
      <c r="T550" s="15" t="s">
        <v>6312</v>
      </c>
      <c r="U550" s="15" t="s">
        <v>12131</v>
      </c>
      <c r="V550" s="15" t="s">
        <v>12132</v>
      </c>
      <c r="AA550" s="15" t="s">
        <v>413</v>
      </c>
      <c r="AB550" s="15" t="s">
        <v>426</v>
      </c>
      <c r="AC550" s="15" t="s">
        <v>6316</v>
      </c>
      <c r="AD550" s="15" t="s">
        <v>17816</v>
      </c>
      <c r="AE550" s="15" t="s">
        <v>6311</v>
      </c>
      <c r="AF550" s="15" t="s">
        <v>17817</v>
      </c>
      <c r="AG550" s="15" t="s">
        <v>17818</v>
      </c>
      <c r="AH550" s="15" t="s">
        <v>17819</v>
      </c>
      <c r="AI550" s="15" t="s">
        <v>17820</v>
      </c>
      <c r="AJ550" s="15" t="s">
        <v>17821</v>
      </c>
      <c r="AK550" s="15" t="s">
        <v>17822</v>
      </c>
      <c r="AL550" s="15" t="s">
        <v>17823</v>
      </c>
      <c r="AM550" s="15" t="s">
        <v>17824</v>
      </c>
      <c r="AN550" s="15" t="s">
        <v>17825</v>
      </c>
      <c r="AO550" s="15" t="s">
        <v>17826</v>
      </c>
      <c r="AP550" s="15" t="s">
        <v>17827</v>
      </c>
      <c r="AQ550" s="15" t="s">
        <v>17828</v>
      </c>
      <c r="AR550" s="15" t="s">
        <v>17829</v>
      </c>
      <c r="AS550" s="15" t="s">
        <v>17830</v>
      </c>
      <c r="BH550" s="15" t="s">
        <v>6307</v>
      </c>
      <c r="BI550" s="15" t="str">
        <f>"3899"</f>
        <v>3899</v>
      </c>
      <c r="BJ550" s="15" t="str">
        <f>"1640"</f>
        <v>1640</v>
      </c>
      <c r="BK550" s="15" t="s">
        <v>742</v>
      </c>
      <c r="BL550" s="15" t="str">
        <f>"2"</f>
        <v>2</v>
      </c>
      <c r="BM550" s="15" t="s">
        <v>6317</v>
      </c>
      <c r="BN550" s="15" t="str">
        <f>"94.29"</f>
        <v>94.29</v>
      </c>
      <c r="BO550" s="15" t="str">
        <f>"44.69"</f>
        <v>44.69</v>
      </c>
      <c r="BP550" s="15" t="str">
        <f>"31.89"</f>
        <v>31.89</v>
      </c>
      <c r="BQ550" s="15" t="str">
        <f>"123.46"</f>
        <v>123.46</v>
      </c>
      <c r="BR550" s="15" t="s">
        <v>6317</v>
      </c>
      <c r="BS550" s="15" t="str">
        <f>"73.23"</f>
        <v>73.23</v>
      </c>
      <c r="BT550" s="15" t="str">
        <f>"39.96"</f>
        <v>39.96</v>
      </c>
      <c r="BU550" s="15" t="str">
        <f>"31.89"</f>
        <v>31.89</v>
      </c>
      <c r="BV550" s="15" t="str">
        <f>"105.82"</f>
        <v>105.82</v>
      </c>
      <c r="CG550" s="15" t="str">
        <f>"131.76"</f>
        <v>131.76</v>
      </c>
      <c r="CH550" s="15" t="str">
        <f>"3.731"</f>
        <v>3.731</v>
      </c>
      <c r="CI550" s="15" t="s">
        <v>497</v>
      </c>
      <c r="CV550" s="15">
        <v>0.0</v>
      </c>
      <c r="CW550" s="15">
        <v>0.0</v>
      </c>
      <c r="CX550" s="15" t="s">
        <v>717</v>
      </c>
      <c r="CY550" s="15" t="s">
        <v>855</v>
      </c>
      <c r="DC550" s="15" t="s">
        <v>6321</v>
      </c>
      <c r="DF550" s="15" t="s">
        <v>721</v>
      </c>
      <c r="DG550" s="15" t="s">
        <v>419</v>
      </c>
      <c r="DH550" s="15">
        <v>0.0</v>
      </c>
      <c r="DL550" s="15">
        <v>25000.0</v>
      </c>
      <c r="DM550" s="15" t="s">
        <v>722</v>
      </c>
      <c r="DP550" s="15">
        <v>0.0</v>
      </c>
      <c r="DQ550" s="15">
        <v>3.0</v>
      </c>
      <c r="DR550" s="15" t="s">
        <v>3405</v>
      </c>
      <c r="DS550" s="15" t="s">
        <v>6322</v>
      </c>
      <c r="DT550" s="15">
        <v>0.0</v>
      </c>
      <c r="DU550" s="15" t="s">
        <v>473</v>
      </c>
      <c r="EN550" s="15" t="s">
        <v>6321</v>
      </c>
      <c r="EO550" s="15" t="s">
        <v>6321</v>
      </c>
      <c r="EU550" s="15" t="s">
        <v>426</v>
      </c>
      <c r="EZ550" s="15">
        <v>0.0</v>
      </c>
      <c r="FA550" s="15">
        <v>0.0</v>
      </c>
      <c r="FC550" s="15">
        <v>0.0</v>
      </c>
      <c r="GX550" s="15" t="s">
        <v>3409</v>
      </c>
      <c r="GY550" s="15" t="s">
        <v>3415</v>
      </c>
    </row>
    <row r="551" ht="17.25" customHeight="1">
      <c r="A551" s="15" t="s">
        <v>6325</v>
      </c>
      <c r="B551" s="15" t="str">
        <f>"198394053952"</f>
        <v>198394053952</v>
      </c>
      <c r="C551" s="15" t="s">
        <v>17831</v>
      </c>
      <c r="D551" s="15" t="str">
        <f t="shared" si="1"/>
        <v>Kirby Accent BenchAlcala Cream</v>
      </c>
      <c r="E551" s="15" t="s">
        <v>6323</v>
      </c>
      <c r="F551" s="15" t="s">
        <v>397</v>
      </c>
      <c r="G551" s="15" t="s">
        <v>5576</v>
      </c>
      <c r="J551" s="15" t="s">
        <v>5576</v>
      </c>
      <c r="K551" s="15" t="s">
        <v>6328</v>
      </c>
      <c r="M551" s="15" t="s">
        <v>915</v>
      </c>
      <c r="N551" s="15" t="s">
        <v>458</v>
      </c>
      <c r="O551" s="15" t="s">
        <v>459</v>
      </c>
      <c r="P551" s="15" t="str">
        <f t="shared" ref="P551:P553" si="1650">"75.5"</f>
        <v>75.5</v>
      </c>
      <c r="Q551" s="15" t="str">
        <f t="shared" ref="Q551:R551" si="1649">"20.5"</f>
        <v>20.5</v>
      </c>
      <c r="R551" s="15" t="str">
        <f t="shared" si="1649"/>
        <v>20.5</v>
      </c>
      <c r="S551" s="15" t="str">
        <f t="shared" ref="S551:S553" si="1652">"67.24"</f>
        <v>67.24</v>
      </c>
      <c r="T551" s="15" t="s">
        <v>5580</v>
      </c>
      <c r="U551" s="15" t="s">
        <v>11356</v>
      </c>
      <c r="V551" s="15" t="s">
        <v>11574</v>
      </c>
      <c r="W551" s="15" t="s">
        <v>11575</v>
      </c>
      <c r="X551" s="15" t="s">
        <v>11210</v>
      </c>
      <c r="AA551" s="15" t="s">
        <v>413</v>
      </c>
      <c r="AB551" s="15" t="s">
        <v>426</v>
      </c>
      <c r="AC551" s="15" t="s">
        <v>6329</v>
      </c>
      <c r="AD551" s="15" t="s">
        <v>17832</v>
      </c>
      <c r="AE551" s="15" t="s">
        <v>6327</v>
      </c>
      <c r="AF551" s="15" t="s">
        <v>17833</v>
      </c>
      <c r="AG551" s="15" t="s">
        <v>17834</v>
      </c>
      <c r="AH551" s="15" t="s">
        <v>17835</v>
      </c>
      <c r="AI551" s="15" t="s">
        <v>17836</v>
      </c>
      <c r="AJ551" s="15" t="s">
        <v>17837</v>
      </c>
      <c r="AK551" s="15" t="s">
        <v>17838</v>
      </c>
      <c r="AL551" s="15" t="s">
        <v>17839</v>
      </c>
      <c r="AM551" s="15" t="s">
        <v>17840</v>
      </c>
      <c r="BH551" s="15" t="s">
        <v>6324</v>
      </c>
      <c r="BI551" s="15" t="str">
        <f>"1049"</f>
        <v>1049</v>
      </c>
      <c r="BJ551" s="15" t="str">
        <f>"445"</f>
        <v>445</v>
      </c>
      <c r="BK551" s="15" t="s">
        <v>709</v>
      </c>
      <c r="BL551" s="15" t="str">
        <f t="shared" ref="BL551:BL560" si="1653">"1"</f>
        <v>1</v>
      </c>
      <c r="BM551" s="15" t="s">
        <v>416</v>
      </c>
      <c r="BN551" s="15" t="str">
        <f t="shared" ref="BN551:BN553" si="1654">"76.38"</f>
        <v>76.38</v>
      </c>
      <c r="BO551" s="15" t="str">
        <f t="shared" ref="BO551:BO553" si="1655">"22.05"</f>
        <v>22.05</v>
      </c>
      <c r="BP551" s="15" t="str">
        <f t="shared" ref="BP551:BP554" si="1656">"22.83"</f>
        <v>22.83</v>
      </c>
      <c r="BQ551" s="15" t="str">
        <f t="shared" ref="BQ551:BQ553" si="1657">"91.49"</f>
        <v>91.49</v>
      </c>
      <c r="CG551" s="15" t="str">
        <f t="shared" ref="CG551:CG553" si="1658">"22.25"</f>
        <v>22.25</v>
      </c>
      <c r="CH551" s="15" t="str">
        <f t="shared" ref="CH551:CH553" si="1659">"0.63"</f>
        <v>0.63</v>
      </c>
      <c r="CI551" s="15" t="s">
        <v>465</v>
      </c>
      <c r="CS551" s="15" t="s">
        <v>1237</v>
      </c>
      <c r="CT551" s="15" t="s">
        <v>1237</v>
      </c>
      <c r="CU551" s="15" t="s">
        <v>6331</v>
      </c>
      <c r="CV551" s="15">
        <v>0.0</v>
      </c>
      <c r="CW551" s="15">
        <v>0.0</v>
      </c>
      <c r="CX551" s="15" t="s">
        <v>469</v>
      </c>
      <c r="CY551" s="15" t="s">
        <v>855</v>
      </c>
      <c r="CZ551" s="15" t="s">
        <v>419</v>
      </c>
      <c r="DA551" s="15">
        <v>0.0</v>
      </c>
      <c r="DB551" s="15" t="s">
        <v>419</v>
      </c>
      <c r="DD551" s="15">
        <v>0.0</v>
      </c>
      <c r="DG551" s="15" t="s">
        <v>419</v>
      </c>
      <c r="DH551" s="15">
        <v>0.0</v>
      </c>
      <c r="DI551" s="15">
        <v>0.0</v>
      </c>
      <c r="DJ551" s="15">
        <v>0.0</v>
      </c>
      <c r="DK551" s="15">
        <v>0.0</v>
      </c>
      <c r="DL551" s="15">
        <v>25000.0</v>
      </c>
      <c r="DM551" s="15" t="s">
        <v>990</v>
      </c>
      <c r="DN551" s="15" t="s">
        <v>1016</v>
      </c>
      <c r="DO551" s="15" t="s">
        <v>724</v>
      </c>
      <c r="DP551" s="15">
        <v>1.0</v>
      </c>
      <c r="DQ551" s="15">
        <v>3.0</v>
      </c>
      <c r="DR551" s="15" t="s">
        <v>1112</v>
      </c>
      <c r="DS551" s="15" t="s">
        <v>6332</v>
      </c>
      <c r="DT551" s="15">
        <v>0.0</v>
      </c>
      <c r="DU551" s="15" t="s">
        <v>473</v>
      </c>
      <c r="EF551" s="15" t="s">
        <v>2402</v>
      </c>
      <c r="EH551" s="15" t="s">
        <v>960</v>
      </c>
      <c r="EO551" s="15" t="s">
        <v>860</v>
      </c>
    </row>
    <row r="552" ht="17.25" customHeight="1">
      <c r="A552" s="15" t="s">
        <v>6334</v>
      </c>
      <c r="B552" s="15" t="str">
        <f>"801542821258"</f>
        <v>801542821258</v>
      </c>
      <c r="C552" s="15" t="s">
        <v>17841</v>
      </c>
      <c r="D552" s="15" t="str">
        <f t="shared" si="1"/>
        <v>Kirby Accent BenchSolema Cream</v>
      </c>
      <c r="E552" s="15" t="s">
        <v>6323</v>
      </c>
      <c r="F552" s="15" t="s">
        <v>397</v>
      </c>
      <c r="G552" s="15" t="s">
        <v>1262</v>
      </c>
      <c r="J552" s="15" t="s">
        <v>1262</v>
      </c>
      <c r="K552" s="15" t="s">
        <v>1087</v>
      </c>
      <c r="M552" s="15" t="s">
        <v>915</v>
      </c>
      <c r="N552" s="15" t="s">
        <v>458</v>
      </c>
      <c r="O552" s="15" t="s">
        <v>459</v>
      </c>
      <c r="P552" s="15" t="str">
        <f t="shared" si="1650"/>
        <v>75.5</v>
      </c>
      <c r="Q552" s="15" t="str">
        <f t="shared" ref="Q552:R552" si="1651">"20.5"</f>
        <v>20.5</v>
      </c>
      <c r="R552" s="15" t="str">
        <f t="shared" si="1651"/>
        <v>20.5</v>
      </c>
      <c r="S552" s="15" t="str">
        <f t="shared" si="1652"/>
        <v>67.24</v>
      </c>
      <c r="T552" s="15" t="s">
        <v>1265</v>
      </c>
      <c r="U552" s="15" t="s">
        <v>11522</v>
      </c>
      <c r="V552" s="15" t="s">
        <v>11523</v>
      </c>
      <c r="W552" s="15" t="s">
        <v>11524</v>
      </c>
      <c r="X552" s="15" t="s">
        <v>11525</v>
      </c>
      <c r="Y552" s="15" t="s">
        <v>11526</v>
      </c>
      <c r="Z552" s="15" t="s">
        <v>11210</v>
      </c>
      <c r="AA552" s="15" t="s">
        <v>413</v>
      </c>
      <c r="AB552" s="15" t="s">
        <v>413</v>
      </c>
      <c r="AC552" s="15" t="s">
        <v>6336</v>
      </c>
      <c r="AD552" s="15" t="s">
        <v>17842</v>
      </c>
      <c r="AE552" s="15" t="s">
        <v>6335</v>
      </c>
      <c r="AF552" s="15" t="s">
        <v>17843</v>
      </c>
      <c r="AG552" s="15" t="s">
        <v>17844</v>
      </c>
      <c r="AH552" s="15" t="s">
        <v>17845</v>
      </c>
      <c r="AI552" s="15" t="s">
        <v>17846</v>
      </c>
      <c r="AJ552" s="15" t="s">
        <v>17847</v>
      </c>
      <c r="AK552" s="15" t="s">
        <v>17848</v>
      </c>
      <c r="AL552" s="15" t="s">
        <v>17849</v>
      </c>
      <c r="AM552" s="15" t="s">
        <v>17850</v>
      </c>
      <c r="AN552" s="15" t="s">
        <v>17851</v>
      </c>
      <c r="BH552" s="15" t="s">
        <v>6333</v>
      </c>
      <c r="BI552" s="15" t="str">
        <f>"1199"</f>
        <v>1199</v>
      </c>
      <c r="BJ552" s="15" t="str">
        <f>"505"</f>
        <v>505</v>
      </c>
      <c r="BK552" s="15" t="s">
        <v>709</v>
      </c>
      <c r="BL552" s="15" t="str">
        <f t="shared" si="1653"/>
        <v>1</v>
      </c>
      <c r="BM552" s="15" t="s">
        <v>416</v>
      </c>
      <c r="BN552" s="15" t="str">
        <f t="shared" si="1654"/>
        <v>76.38</v>
      </c>
      <c r="BO552" s="15" t="str">
        <f t="shared" si="1655"/>
        <v>22.05</v>
      </c>
      <c r="BP552" s="15" t="str">
        <f t="shared" si="1656"/>
        <v>22.83</v>
      </c>
      <c r="BQ552" s="15" t="str">
        <f t="shared" si="1657"/>
        <v>91.49</v>
      </c>
      <c r="CG552" s="15" t="str">
        <f t="shared" si="1658"/>
        <v>22.25</v>
      </c>
      <c r="CH552" s="15" t="str">
        <f t="shared" si="1659"/>
        <v>0.63</v>
      </c>
      <c r="CI552" s="15" t="s">
        <v>497</v>
      </c>
      <c r="CS552" s="15" t="s">
        <v>1237</v>
      </c>
      <c r="CT552" s="15" t="s">
        <v>1237</v>
      </c>
      <c r="CU552" s="15" t="s">
        <v>6331</v>
      </c>
      <c r="CV552" s="15">
        <v>0.0</v>
      </c>
      <c r="CW552" s="15">
        <v>0.0</v>
      </c>
      <c r="CX552" s="15" t="s">
        <v>469</v>
      </c>
      <c r="CY552" s="15" t="s">
        <v>897</v>
      </c>
      <c r="CZ552" s="15" t="s">
        <v>419</v>
      </c>
      <c r="DA552" s="15">
        <v>0.0</v>
      </c>
      <c r="DB552" s="15" t="s">
        <v>419</v>
      </c>
      <c r="DD552" s="15">
        <v>0.0</v>
      </c>
      <c r="DG552" s="15" t="s">
        <v>419</v>
      </c>
      <c r="DH552" s="15">
        <v>0.0</v>
      </c>
      <c r="DI552" s="15">
        <v>0.0</v>
      </c>
      <c r="DJ552" s="15">
        <v>0.0</v>
      </c>
      <c r="DK552" s="15">
        <v>0.0</v>
      </c>
      <c r="DL552" s="15">
        <v>30000.0</v>
      </c>
      <c r="DM552" s="15" t="s">
        <v>990</v>
      </c>
      <c r="DN552" s="15" t="s">
        <v>1016</v>
      </c>
      <c r="DO552" s="15" t="s">
        <v>724</v>
      </c>
      <c r="DP552" s="15">
        <v>1.0</v>
      </c>
      <c r="DQ552" s="15">
        <v>3.0</v>
      </c>
      <c r="DR552" s="15" t="s">
        <v>1112</v>
      </c>
      <c r="DS552" s="15" t="s">
        <v>6332</v>
      </c>
      <c r="DT552" s="15">
        <v>0.0</v>
      </c>
      <c r="DU552" s="15" t="s">
        <v>473</v>
      </c>
      <c r="EF552" s="15" t="s">
        <v>2402</v>
      </c>
      <c r="EH552" s="15" t="s">
        <v>960</v>
      </c>
      <c r="EO552" s="15" t="s">
        <v>860</v>
      </c>
    </row>
    <row r="553" ht="17.25" customHeight="1">
      <c r="A553" s="15" t="s">
        <v>6339</v>
      </c>
      <c r="B553" s="15" t="str">
        <f>"198394027236"</f>
        <v>198394027236</v>
      </c>
      <c r="C553" s="15" t="s">
        <v>17852</v>
      </c>
      <c r="D553" s="15" t="str">
        <f t="shared" si="1"/>
        <v>Kirby Accent BenchSutton Olive</v>
      </c>
      <c r="E553" s="15" t="s">
        <v>6323</v>
      </c>
      <c r="F553" s="15" t="s">
        <v>397</v>
      </c>
      <c r="G553" s="15" t="s">
        <v>6338</v>
      </c>
      <c r="J553" s="15" t="s">
        <v>6338</v>
      </c>
      <c r="K553" s="15" t="s">
        <v>6328</v>
      </c>
      <c r="M553" s="15" t="s">
        <v>915</v>
      </c>
      <c r="N553" s="15" t="s">
        <v>458</v>
      </c>
      <c r="O553" s="15" t="s">
        <v>459</v>
      </c>
      <c r="P553" s="15" t="str">
        <f t="shared" si="1650"/>
        <v>75.5</v>
      </c>
      <c r="Q553" s="15" t="str">
        <f t="shared" ref="Q553:R553" si="1660">"20.5"</f>
        <v>20.5</v>
      </c>
      <c r="R553" s="15" t="str">
        <f t="shared" si="1660"/>
        <v>20.5</v>
      </c>
      <c r="S553" s="15" t="str">
        <f t="shared" si="1652"/>
        <v>67.24</v>
      </c>
      <c r="T553" s="15" t="s">
        <v>832</v>
      </c>
      <c r="U553" s="15" t="s">
        <v>11209</v>
      </c>
      <c r="V553" s="15" t="s">
        <v>11210</v>
      </c>
      <c r="AA553" s="15" t="s">
        <v>413</v>
      </c>
      <c r="AB553" s="15" t="s">
        <v>426</v>
      </c>
      <c r="AC553" s="15" t="s">
        <v>6336</v>
      </c>
      <c r="AD553" s="15" t="s">
        <v>17853</v>
      </c>
      <c r="AE553" s="15" t="s">
        <v>6340</v>
      </c>
      <c r="AF553" s="15" t="s">
        <v>17854</v>
      </c>
      <c r="AG553" s="15" t="s">
        <v>17855</v>
      </c>
      <c r="AH553" s="15" t="s">
        <v>17856</v>
      </c>
      <c r="AI553" s="15" t="s">
        <v>17857</v>
      </c>
      <c r="AJ553" s="15" t="s">
        <v>17858</v>
      </c>
      <c r="AK553" s="15" t="s">
        <v>17859</v>
      </c>
      <c r="AL553" s="15" t="s">
        <v>17860</v>
      </c>
      <c r="BH553" s="15" t="s">
        <v>6337</v>
      </c>
      <c r="BI553" s="15" t="str">
        <f>"1049"</f>
        <v>1049</v>
      </c>
      <c r="BJ553" s="15" t="str">
        <f>"445"</f>
        <v>445</v>
      </c>
      <c r="BK553" s="15" t="s">
        <v>709</v>
      </c>
      <c r="BL553" s="15" t="str">
        <f t="shared" si="1653"/>
        <v>1</v>
      </c>
      <c r="BM553" s="15" t="s">
        <v>416</v>
      </c>
      <c r="BN553" s="15" t="str">
        <f t="shared" si="1654"/>
        <v>76.38</v>
      </c>
      <c r="BO553" s="15" t="str">
        <f t="shared" si="1655"/>
        <v>22.05</v>
      </c>
      <c r="BP553" s="15" t="str">
        <f t="shared" si="1656"/>
        <v>22.83</v>
      </c>
      <c r="BQ553" s="15" t="str">
        <f t="shared" si="1657"/>
        <v>91.49</v>
      </c>
      <c r="CG553" s="15" t="str">
        <f t="shared" si="1658"/>
        <v>22.25</v>
      </c>
      <c r="CH553" s="15" t="str">
        <f t="shared" si="1659"/>
        <v>0.63</v>
      </c>
      <c r="CI553" s="15" t="s">
        <v>497</v>
      </c>
      <c r="CS553" s="15" t="s">
        <v>1237</v>
      </c>
      <c r="CT553" s="15" t="s">
        <v>1237</v>
      </c>
      <c r="CU553" s="15" t="s">
        <v>6331</v>
      </c>
      <c r="CV553" s="15">
        <v>0.0</v>
      </c>
      <c r="CW553" s="15">
        <v>0.0</v>
      </c>
      <c r="CX553" s="15" t="s">
        <v>469</v>
      </c>
      <c r="CY553" s="15" t="s">
        <v>934</v>
      </c>
      <c r="CZ553" s="15" t="s">
        <v>419</v>
      </c>
      <c r="DA553" s="15">
        <v>0.0</v>
      </c>
      <c r="DB553" s="15" t="s">
        <v>419</v>
      </c>
      <c r="DD553" s="15">
        <v>0.0</v>
      </c>
      <c r="DG553" s="15" t="s">
        <v>419</v>
      </c>
      <c r="DH553" s="15">
        <v>0.0</v>
      </c>
      <c r="DI553" s="15">
        <v>0.0</v>
      </c>
      <c r="DJ553" s="15">
        <v>0.0</v>
      </c>
      <c r="DK553" s="15">
        <v>0.0</v>
      </c>
      <c r="DL553" s="15">
        <v>100000.0</v>
      </c>
      <c r="DM553" s="15" t="s">
        <v>990</v>
      </c>
      <c r="DN553" s="15" t="s">
        <v>1016</v>
      </c>
      <c r="DO553" s="15" t="s">
        <v>724</v>
      </c>
      <c r="DP553" s="15">
        <v>1.0</v>
      </c>
      <c r="DQ553" s="15">
        <v>3.0</v>
      </c>
      <c r="DR553" s="15" t="s">
        <v>1112</v>
      </c>
      <c r="DS553" s="15" t="s">
        <v>6332</v>
      </c>
      <c r="DT553" s="15">
        <v>0.0</v>
      </c>
      <c r="DU553" s="15" t="s">
        <v>473</v>
      </c>
      <c r="EF553" s="15" t="s">
        <v>2402</v>
      </c>
      <c r="EH553" s="15" t="s">
        <v>960</v>
      </c>
      <c r="EO553" s="15" t="s">
        <v>860</v>
      </c>
    </row>
    <row r="554" ht="17.25" customHeight="1">
      <c r="A554" s="15" t="s">
        <v>6343</v>
      </c>
      <c r="B554" s="15" t="str">
        <f>"198394028615"</f>
        <v>198394028615</v>
      </c>
      <c r="C554" s="15" t="s">
        <v>17861</v>
      </c>
      <c r="D554" s="15" t="str">
        <f t="shared" si="1"/>
        <v>Kirby Accent StoolAndes Natural</v>
      </c>
      <c r="E554" s="15" t="s">
        <v>6341</v>
      </c>
      <c r="F554" s="15" t="s">
        <v>397</v>
      </c>
      <c r="G554" s="15" t="s">
        <v>1218</v>
      </c>
      <c r="J554" s="15" t="s">
        <v>1218</v>
      </c>
      <c r="K554" s="15" t="s">
        <v>1087</v>
      </c>
      <c r="M554" s="15" t="s">
        <v>915</v>
      </c>
      <c r="N554" s="15" t="s">
        <v>1009</v>
      </c>
      <c r="P554" s="15" t="str">
        <f>"22.5"</f>
        <v>22.5</v>
      </c>
      <c r="Q554" s="15" t="str">
        <f>"20.5"</f>
        <v>20.5</v>
      </c>
      <c r="R554" s="15" t="str">
        <f>"20.25"</f>
        <v>20.25</v>
      </c>
      <c r="S554" s="15" t="str">
        <f>"31.31"</f>
        <v>31.31</v>
      </c>
      <c r="T554" s="15" t="s">
        <v>832</v>
      </c>
      <c r="U554" s="15" t="s">
        <v>11209</v>
      </c>
      <c r="V554" s="15" t="s">
        <v>11210</v>
      </c>
      <c r="AA554" s="15" t="s">
        <v>413</v>
      </c>
      <c r="AB554" s="15" t="s">
        <v>413</v>
      </c>
      <c r="AC554" s="15" t="s">
        <v>6346</v>
      </c>
      <c r="AD554" s="15" t="s">
        <v>17862</v>
      </c>
      <c r="AE554" s="15" t="s">
        <v>6345</v>
      </c>
      <c r="AF554" s="15" t="s">
        <v>17863</v>
      </c>
      <c r="AG554" s="15" t="s">
        <v>17864</v>
      </c>
      <c r="AH554" s="15" t="s">
        <v>17865</v>
      </c>
      <c r="AI554" s="15" t="s">
        <v>17866</v>
      </c>
      <c r="AJ554" s="15" t="s">
        <v>17867</v>
      </c>
      <c r="AK554" s="15" t="s">
        <v>17868</v>
      </c>
      <c r="AL554" s="15" t="s">
        <v>17869</v>
      </c>
      <c r="BH554" s="15" t="s">
        <v>6342</v>
      </c>
      <c r="BI554" s="15" t="str">
        <f>"649"</f>
        <v>649</v>
      </c>
      <c r="BJ554" s="15" t="str">
        <f>"275"</f>
        <v>275</v>
      </c>
      <c r="BK554" s="15" t="s">
        <v>709</v>
      </c>
      <c r="BL554" s="15" t="str">
        <f t="shared" si="1653"/>
        <v>1</v>
      </c>
      <c r="BM554" s="15" t="s">
        <v>416</v>
      </c>
      <c r="BN554" s="15" t="str">
        <f>"24.02"</f>
        <v>24.02</v>
      </c>
      <c r="BO554" s="15" t="str">
        <f>"22.44"</f>
        <v>22.44</v>
      </c>
      <c r="BP554" s="15" t="str">
        <f t="shared" si="1656"/>
        <v>22.83</v>
      </c>
      <c r="BQ554" s="15" t="str">
        <f>"41.23"</f>
        <v>41.23</v>
      </c>
      <c r="CG554" s="15" t="str">
        <f>"7.13"</f>
        <v>7.13</v>
      </c>
      <c r="CH554" s="15" t="str">
        <f>"0.202"</f>
        <v>0.202</v>
      </c>
      <c r="CI554" s="15" t="s">
        <v>497</v>
      </c>
      <c r="CS554" s="15" t="s">
        <v>1237</v>
      </c>
      <c r="CT554" s="15" t="s">
        <v>3203</v>
      </c>
      <c r="CU554" s="15" t="s">
        <v>1253</v>
      </c>
      <c r="CV554" s="15">
        <v>0.0</v>
      </c>
      <c r="CW554" s="15">
        <v>0.0</v>
      </c>
      <c r="CX554" s="15" t="s">
        <v>469</v>
      </c>
      <c r="CY554" s="15" t="s">
        <v>897</v>
      </c>
      <c r="CZ554" s="15" t="s">
        <v>419</v>
      </c>
      <c r="DA554" s="15">
        <v>0.0</v>
      </c>
      <c r="DB554" s="15" t="s">
        <v>419</v>
      </c>
      <c r="DD554" s="15">
        <v>0.0</v>
      </c>
      <c r="DF554" s="15" t="s">
        <v>721</v>
      </c>
      <c r="DG554" s="15" t="s">
        <v>419</v>
      </c>
      <c r="DH554" s="15">
        <v>0.0</v>
      </c>
      <c r="DI554" s="15">
        <v>0.0</v>
      </c>
      <c r="DJ554" s="15">
        <v>0.0</v>
      </c>
      <c r="DK554" s="15">
        <v>0.0</v>
      </c>
      <c r="DL554" s="15">
        <v>100000.0</v>
      </c>
      <c r="DM554" s="15" t="s">
        <v>990</v>
      </c>
      <c r="DP554" s="15">
        <v>0.0</v>
      </c>
      <c r="DQ554" s="15">
        <v>1.0</v>
      </c>
      <c r="DR554" s="15" t="s">
        <v>1112</v>
      </c>
      <c r="DS554" s="15" t="s">
        <v>6332</v>
      </c>
      <c r="DT554" s="15">
        <v>0.0</v>
      </c>
      <c r="DU554" s="15" t="s">
        <v>726</v>
      </c>
      <c r="EF554" s="15" t="s">
        <v>2402</v>
      </c>
      <c r="EH554" s="15" t="s">
        <v>428</v>
      </c>
      <c r="EO554" s="15" t="s">
        <v>860</v>
      </c>
    </row>
    <row r="555" ht="17.25" customHeight="1">
      <c r="A555" s="15" t="s">
        <v>6350</v>
      </c>
      <c r="B555" s="15" t="str">
        <f>"801542377557"</f>
        <v>801542377557</v>
      </c>
      <c r="C555" s="15" t="s">
        <v>17870</v>
      </c>
      <c r="D555" s="15" t="str">
        <f t="shared" si="1"/>
        <v>Kramer End TableBluestone</v>
      </c>
      <c r="E555" s="15" t="s">
        <v>6348</v>
      </c>
      <c r="F555" s="15" t="s">
        <v>397</v>
      </c>
      <c r="G555" s="15" t="s">
        <v>3625</v>
      </c>
      <c r="J555" s="15" t="s">
        <v>3625</v>
      </c>
      <c r="M555" s="15" t="s">
        <v>3185</v>
      </c>
      <c r="N555" s="15" t="s">
        <v>1154</v>
      </c>
      <c r="P555" s="15" t="str">
        <f t="shared" ref="P555:Q555" si="1661">"22"</f>
        <v>22</v>
      </c>
      <c r="Q555" s="15" t="str">
        <f t="shared" si="1661"/>
        <v>22</v>
      </c>
      <c r="R555" s="15" t="str">
        <f>"20"</f>
        <v>20</v>
      </c>
      <c r="S555" s="15" t="str">
        <f>"110.23"</f>
        <v>110.23</v>
      </c>
      <c r="T555" s="15" t="s">
        <v>6352</v>
      </c>
      <c r="U555" s="15" t="s">
        <v>14124</v>
      </c>
      <c r="AA555" s="15" t="s">
        <v>413</v>
      </c>
      <c r="AB555" s="15" t="s">
        <v>413</v>
      </c>
      <c r="AC555" s="15" t="s">
        <v>6353</v>
      </c>
      <c r="AD555" s="15" t="s">
        <v>17871</v>
      </c>
      <c r="AE555" s="15" t="s">
        <v>6351</v>
      </c>
      <c r="AF555" s="15" t="s">
        <v>17872</v>
      </c>
      <c r="AG555" s="15" t="s">
        <v>17873</v>
      </c>
      <c r="AH555" s="15" t="s">
        <v>17874</v>
      </c>
      <c r="AI555" s="15" t="s">
        <v>17875</v>
      </c>
      <c r="AJ555" s="15" t="s">
        <v>17876</v>
      </c>
      <c r="AK555" s="15" t="s">
        <v>17877</v>
      </c>
      <c r="AL555" s="15" t="s">
        <v>17878</v>
      </c>
      <c r="BH555" s="15" t="s">
        <v>6349</v>
      </c>
      <c r="BI555" s="15" t="str">
        <f>"1749"</f>
        <v>1749</v>
      </c>
      <c r="BJ555" s="15" t="str">
        <f>"735"</f>
        <v>735</v>
      </c>
      <c r="BK555" s="15" t="s">
        <v>709</v>
      </c>
      <c r="BL555" s="15" t="str">
        <f t="shared" si="1653"/>
        <v>1</v>
      </c>
      <c r="BM555" s="15" t="s">
        <v>416</v>
      </c>
      <c r="BN555" s="15" t="str">
        <f t="shared" ref="BN555:BO555" si="1662">"28.74"</f>
        <v>28.74</v>
      </c>
      <c r="BO555" s="15" t="str">
        <f t="shared" si="1662"/>
        <v>28.74</v>
      </c>
      <c r="BP555" s="15" t="str">
        <f>"27.36"</f>
        <v>27.36</v>
      </c>
      <c r="BQ555" s="15" t="str">
        <f>"194"</f>
        <v>194</v>
      </c>
      <c r="CG555" s="15" t="str">
        <f>"13.07"</f>
        <v>13.07</v>
      </c>
      <c r="CH555" s="15" t="str">
        <f>"0.37"</f>
        <v>0.37</v>
      </c>
      <c r="CI555" s="15" t="s">
        <v>497</v>
      </c>
      <c r="CZ555" s="15" t="s">
        <v>419</v>
      </c>
      <c r="DA555" s="15">
        <v>0.0</v>
      </c>
      <c r="DB555" s="15" t="s">
        <v>419</v>
      </c>
      <c r="DD555" s="15">
        <v>0.0</v>
      </c>
      <c r="DF555" s="15" t="s">
        <v>1186</v>
      </c>
      <c r="DG555" s="15" t="s">
        <v>419</v>
      </c>
      <c r="DK555" s="15">
        <v>0.0</v>
      </c>
      <c r="DR555" s="15" t="s">
        <v>1157</v>
      </c>
      <c r="DS555" s="15" t="s">
        <v>6354</v>
      </c>
      <c r="DU555" s="15" t="s">
        <v>500</v>
      </c>
      <c r="EF555" s="15" t="s">
        <v>2046</v>
      </c>
      <c r="EQ555" s="15" t="s">
        <v>6355</v>
      </c>
      <c r="ER555" s="15" t="s">
        <v>2046</v>
      </c>
      <c r="ES555" s="15" t="s">
        <v>6355</v>
      </c>
      <c r="ET555" s="15" t="s">
        <v>5003</v>
      </c>
      <c r="EU555" s="15" t="s">
        <v>426</v>
      </c>
      <c r="EV555" s="15">
        <v>0.0</v>
      </c>
      <c r="EW555" s="15">
        <v>0.0</v>
      </c>
      <c r="FF555" s="15" t="s">
        <v>1042</v>
      </c>
    </row>
    <row r="556" ht="17.25" customHeight="1">
      <c r="A556" s="15" t="s">
        <v>6359</v>
      </c>
      <c r="B556" s="15" t="str">
        <f>"801542717278"</f>
        <v>801542717278</v>
      </c>
      <c r="C556" s="15" t="s">
        <v>17879</v>
      </c>
      <c r="D556" s="15" t="str">
        <f t="shared" si="1"/>
        <v>Krista Dining BenchKnoll Charcoal</v>
      </c>
      <c r="E556" s="15" t="s">
        <v>6356</v>
      </c>
      <c r="F556" s="15" t="s">
        <v>397</v>
      </c>
      <c r="G556" s="15" t="s">
        <v>6358</v>
      </c>
      <c r="J556" s="15" t="s">
        <v>6358</v>
      </c>
      <c r="K556" s="15" t="s">
        <v>6362</v>
      </c>
      <c r="M556" s="15" t="s">
        <v>1628</v>
      </c>
      <c r="N556" s="15" t="s">
        <v>458</v>
      </c>
      <c r="O556" s="15" t="s">
        <v>5565</v>
      </c>
      <c r="P556" s="15" t="str">
        <f t="shared" ref="P556:P557" si="1663">"60"</f>
        <v>60</v>
      </c>
      <c r="Q556" s="15" t="str">
        <f t="shared" ref="Q556:Q557" si="1664">"26"</f>
        <v>26</v>
      </c>
      <c r="R556" s="15" t="str">
        <f t="shared" ref="R556:R557" si="1665">"31.5"</f>
        <v>31.5</v>
      </c>
      <c r="S556" s="15" t="str">
        <f t="shared" ref="S556:S557" si="1666">"81.57"</f>
        <v>81.57</v>
      </c>
      <c r="T556" s="15" t="s">
        <v>6361</v>
      </c>
      <c r="U556" s="15" t="s">
        <v>11234</v>
      </c>
      <c r="V556" s="15" t="s">
        <v>11371</v>
      </c>
      <c r="W556" s="15" t="s">
        <v>11149</v>
      </c>
      <c r="AA556" s="15" t="s">
        <v>413</v>
      </c>
      <c r="AB556" s="15" t="s">
        <v>426</v>
      </c>
      <c r="AC556" s="15" t="s">
        <v>6363</v>
      </c>
      <c r="AD556" s="15" t="s">
        <v>17880</v>
      </c>
      <c r="AE556" s="15" t="s">
        <v>6360</v>
      </c>
      <c r="AF556" s="15" t="s">
        <v>17881</v>
      </c>
      <c r="AG556" s="15" t="s">
        <v>17882</v>
      </c>
      <c r="AH556" s="15" t="s">
        <v>17883</v>
      </c>
      <c r="AI556" s="15" t="s">
        <v>17884</v>
      </c>
      <c r="AJ556" s="15" t="s">
        <v>17885</v>
      </c>
      <c r="AK556" s="15" t="s">
        <v>17886</v>
      </c>
      <c r="AL556" s="15" t="s">
        <v>17887</v>
      </c>
      <c r="AM556" s="15" t="s">
        <v>17888</v>
      </c>
      <c r="AN556" s="15" t="s">
        <v>17889</v>
      </c>
      <c r="AO556" s="15" t="s">
        <v>17890</v>
      </c>
      <c r="BH556" s="15" t="s">
        <v>6357</v>
      </c>
      <c r="BI556" s="15" t="str">
        <f t="shared" ref="BI556:BI557" si="1667">"1399"</f>
        <v>1399</v>
      </c>
      <c r="BJ556" s="15" t="str">
        <f t="shared" ref="BJ556:BJ557" si="1668">"590"</f>
        <v>590</v>
      </c>
      <c r="BK556" s="15" t="s">
        <v>709</v>
      </c>
      <c r="BL556" s="15" t="str">
        <f t="shared" si="1653"/>
        <v>1</v>
      </c>
      <c r="BM556" s="15" t="s">
        <v>416</v>
      </c>
      <c r="BN556" s="15" t="str">
        <f t="shared" ref="BN556:BN557" si="1669">"61.42"</f>
        <v>61.42</v>
      </c>
      <c r="BO556" s="15" t="str">
        <f t="shared" ref="BO556:BO557" si="1670">"26.38"</f>
        <v>26.38</v>
      </c>
      <c r="BP556" s="15" t="str">
        <f t="shared" ref="BP556:BP557" si="1671">"33.46"</f>
        <v>33.46</v>
      </c>
      <c r="BQ556" s="15" t="str">
        <f t="shared" ref="BQ556:BQ557" si="1672">"101.41"</f>
        <v>101.41</v>
      </c>
      <c r="CG556" s="15" t="str">
        <f>"31.43"</f>
        <v>31.43</v>
      </c>
      <c r="CH556" s="15" t="str">
        <f>"0.89"</f>
        <v>0.89</v>
      </c>
      <c r="CI556" s="15" t="s">
        <v>465</v>
      </c>
      <c r="CS556" s="15" t="s">
        <v>824</v>
      </c>
      <c r="CT556" s="15" t="s">
        <v>650</v>
      </c>
      <c r="CV556" s="15">
        <v>0.0</v>
      </c>
      <c r="CW556" s="15">
        <v>0.0</v>
      </c>
      <c r="CX556" s="15" t="s">
        <v>469</v>
      </c>
      <c r="CY556" s="15" t="s">
        <v>855</v>
      </c>
      <c r="CZ556" s="15" t="s">
        <v>419</v>
      </c>
      <c r="DA556" s="15">
        <v>0.0</v>
      </c>
      <c r="DB556" s="15" t="s">
        <v>419</v>
      </c>
      <c r="DD556" s="15">
        <v>0.0</v>
      </c>
      <c r="DF556" s="15" t="s">
        <v>721</v>
      </c>
      <c r="DG556" s="15" t="s">
        <v>419</v>
      </c>
      <c r="DH556" s="15">
        <v>0.0</v>
      </c>
      <c r="DI556" s="15">
        <v>0.0</v>
      </c>
      <c r="DJ556" s="15">
        <v>0.0</v>
      </c>
      <c r="DK556" s="15">
        <v>0.0</v>
      </c>
      <c r="DL556" s="15">
        <v>25000.0</v>
      </c>
      <c r="DM556" s="15" t="s">
        <v>990</v>
      </c>
      <c r="DP556" s="15">
        <v>0.0</v>
      </c>
      <c r="DQ556" s="15">
        <v>2.0</v>
      </c>
      <c r="DS556" s="15" t="s">
        <v>6364</v>
      </c>
      <c r="DT556" s="15">
        <v>0.0</v>
      </c>
      <c r="DU556" s="15" t="s">
        <v>1545</v>
      </c>
      <c r="DV556" s="15" t="s">
        <v>734</v>
      </c>
      <c r="DW556" s="15" t="s">
        <v>1996</v>
      </c>
      <c r="DX556" s="15" t="s">
        <v>531</v>
      </c>
      <c r="EB556" s="15" t="s">
        <v>1236</v>
      </c>
      <c r="EI556" s="15" t="s">
        <v>1329</v>
      </c>
      <c r="EO556" s="15" t="s">
        <v>997</v>
      </c>
      <c r="EX556" s="15" t="s">
        <v>3841</v>
      </c>
      <c r="EY556" s="15" t="s">
        <v>2388</v>
      </c>
    </row>
    <row r="557" ht="17.25" customHeight="1">
      <c r="A557" s="15" t="s">
        <v>6366</v>
      </c>
      <c r="B557" s="15" t="str">
        <f>"801542100162"</f>
        <v>801542100162</v>
      </c>
      <c r="C557" s="15" t="s">
        <v>17891</v>
      </c>
      <c r="D557" s="15" t="str">
        <f t="shared" si="1"/>
        <v>Krista Dining BenchKnoll Natural</v>
      </c>
      <c r="E557" s="15" t="s">
        <v>6356</v>
      </c>
      <c r="F557" s="15" t="s">
        <v>397</v>
      </c>
      <c r="G557" s="15" t="s">
        <v>1081</v>
      </c>
      <c r="J557" s="15" t="s">
        <v>1081</v>
      </c>
      <c r="K557" s="15" t="s">
        <v>6362</v>
      </c>
      <c r="M557" s="15" t="s">
        <v>1628</v>
      </c>
      <c r="N557" s="15" t="s">
        <v>458</v>
      </c>
      <c r="O557" s="15" t="s">
        <v>5565</v>
      </c>
      <c r="P557" s="15" t="str">
        <f t="shared" si="1663"/>
        <v>60</v>
      </c>
      <c r="Q557" s="15" t="str">
        <f t="shared" si="1664"/>
        <v>26</v>
      </c>
      <c r="R557" s="15" t="str">
        <f t="shared" si="1665"/>
        <v>31.5</v>
      </c>
      <c r="S557" s="15" t="str">
        <f t="shared" si="1666"/>
        <v>81.57</v>
      </c>
      <c r="T557" s="15" t="s">
        <v>6361</v>
      </c>
      <c r="U557" s="15" t="s">
        <v>11234</v>
      </c>
      <c r="V557" s="15" t="s">
        <v>11371</v>
      </c>
      <c r="W557" s="15" t="s">
        <v>11149</v>
      </c>
      <c r="AA557" s="15" t="s">
        <v>413</v>
      </c>
      <c r="AB557" s="15" t="s">
        <v>426</v>
      </c>
      <c r="AC557" s="15" t="s">
        <v>6368</v>
      </c>
      <c r="AD557" s="15" t="s">
        <v>17892</v>
      </c>
      <c r="AE557" s="15" t="s">
        <v>6367</v>
      </c>
      <c r="AF557" s="15" t="s">
        <v>17893</v>
      </c>
      <c r="AG557" s="15" t="s">
        <v>17894</v>
      </c>
      <c r="AH557" s="15" t="s">
        <v>17895</v>
      </c>
      <c r="AI557" s="15" t="s">
        <v>17896</v>
      </c>
      <c r="AJ557" s="15" t="s">
        <v>17897</v>
      </c>
      <c r="AK557" s="15" t="s">
        <v>17898</v>
      </c>
      <c r="AL557" s="15" t="s">
        <v>17899</v>
      </c>
      <c r="BH557" s="15" t="s">
        <v>6365</v>
      </c>
      <c r="BI557" s="15" t="str">
        <f t="shared" si="1667"/>
        <v>1399</v>
      </c>
      <c r="BJ557" s="15" t="str">
        <f t="shared" si="1668"/>
        <v>590</v>
      </c>
      <c r="BK557" s="15" t="s">
        <v>709</v>
      </c>
      <c r="BL557" s="15" t="str">
        <f t="shared" si="1653"/>
        <v>1</v>
      </c>
      <c r="BM557" s="15" t="s">
        <v>416</v>
      </c>
      <c r="BN557" s="15" t="str">
        <f t="shared" si="1669"/>
        <v>61.42</v>
      </c>
      <c r="BO557" s="15" t="str">
        <f t="shared" si="1670"/>
        <v>26.38</v>
      </c>
      <c r="BP557" s="15" t="str">
        <f t="shared" si="1671"/>
        <v>33.46</v>
      </c>
      <c r="BQ557" s="15" t="str">
        <f t="shared" si="1672"/>
        <v>101.41</v>
      </c>
      <c r="CG557" s="15" t="str">
        <f>"31.36"</f>
        <v>31.36</v>
      </c>
      <c r="CH557" s="15" t="str">
        <f>"0.888"</f>
        <v>0.888</v>
      </c>
      <c r="CI557" s="15" t="s">
        <v>417</v>
      </c>
      <c r="CS557" s="15" t="s">
        <v>824</v>
      </c>
      <c r="CT557" s="15" t="s">
        <v>650</v>
      </c>
      <c r="CV557" s="15">
        <v>0.0</v>
      </c>
      <c r="CW557" s="15">
        <v>0.0</v>
      </c>
      <c r="CX557" s="15" t="s">
        <v>469</v>
      </c>
      <c r="CY557" s="15" t="s">
        <v>855</v>
      </c>
      <c r="CZ557" s="15" t="s">
        <v>419</v>
      </c>
      <c r="DA557" s="15">
        <v>0.0</v>
      </c>
      <c r="DB557" s="15" t="s">
        <v>419</v>
      </c>
      <c r="DD557" s="15">
        <v>0.0</v>
      </c>
      <c r="DF557" s="15" t="s">
        <v>721</v>
      </c>
      <c r="DG557" s="15" t="s">
        <v>419</v>
      </c>
      <c r="DH557" s="15">
        <v>0.0</v>
      </c>
      <c r="DI557" s="15">
        <v>0.0</v>
      </c>
      <c r="DJ557" s="15">
        <v>0.0</v>
      </c>
      <c r="DK557" s="15">
        <v>0.0</v>
      </c>
      <c r="DL557" s="15">
        <v>25000.0</v>
      </c>
      <c r="DM557" s="15" t="s">
        <v>990</v>
      </c>
      <c r="DP557" s="15">
        <v>0.0</v>
      </c>
      <c r="DQ557" s="15">
        <v>2.0</v>
      </c>
      <c r="DS557" s="15" t="s">
        <v>6364</v>
      </c>
      <c r="DT557" s="15">
        <v>0.0</v>
      </c>
      <c r="DU557" s="15" t="s">
        <v>1545</v>
      </c>
      <c r="DV557" s="15" t="s">
        <v>734</v>
      </c>
      <c r="DW557" s="15" t="s">
        <v>1996</v>
      </c>
      <c r="DX557" s="15" t="s">
        <v>531</v>
      </c>
      <c r="EB557" s="15" t="s">
        <v>1236</v>
      </c>
      <c r="EI557" s="15" t="s">
        <v>1329</v>
      </c>
      <c r="EO557" s="15" t="s">
        <v>997</v>
      </c>
      <c r="EX557" s="15" t="s">
        <v>3841</v>
      </c>
      <c r="EY557" s="15" t="s">
        <v>2388</v>
      </c>
    </row>
    <row r="558" ht="17.25" customHeight="1">
      <c r="A558" s="15" t="s">
        <v>6372</v>
      </c>
      <c r="B558" s="15" t="str">
        <f>"801542169121"</f>
        <v>801542169121</v>
      </c>
      <c r="C558" s="15" t="s">
        <v>17900</v>
      </c>
      <c r="D558" s="15" t="str">
        <f t="shared" si="1"/>
        <v>Kyra Outdoor End TableAged Natural Teak</v>
      </c>
      <c r="E558" s="15" t="s">
        <v>6369</v>
      </c>
      <c r="F558" s="15" t="s">
        <v>397</v>
      </c>
      <c r="G558" s="15" t="s">
        <v>6371</v>
      </c>
      <c r="J558" s="15" t="s">
        <v>6371</v>
      </c>
      <c r="M558" s="15" t="s">
        <v>6376</v>
      </c>
      <c r="N558" s="15" t="s">
        <v>6377</v>
      </c>
      <c r="O558" s="15" t="s">
        <v>6378</v>
      </c>
      <c r="P558" s="15" t="str">
        <f t="shared" ref="P558:Q558" si="1673">"11.75"</f>
        <v>11.75</v>
      </c>
      <c r="Q558" s="15" t="str">
        <f t="shared" si="1673"/>
        <v>11.75</v>
      </c>
      <c r="R558" s="15" t="str">
        <f>"15.75"</f>
        <v>15.75</v>
      </c>
      <c r="S558" s="15" t="str">
        <f>"23.81"</f>
        <v>23.81</v>
      </c>
      <c r="T558" s="15" t="s">
        <v>6375</v>
      </c>
      <c r="U558" s="15" t="s">
        <v>17901</v>
      </c>
      <c r="AA558" s="15" t="s">
        <v>413</v>
      </c>
      <c r="AB558" s="15" t="s">
        <v>413</v>
      </c>
      <c r="AC558" s="15" t="s">
        <v>6379</v>
      </c>
      <c r="AD558" s="15" t="s">
        <v>17902</v>
      </c>
      <c r="AE558" s="15" t="s">
        <v>6374</v>
      </c>
      <c r="AF558" s="15" t="s">
        <v>17903</v>
      </c>
      <c r="AG558" s="15" t="s">
        <v>17904</v>
      </c>
      <c r="AH558" s="15" t="s">
        <v>17905</v>
      </c>
      <c r="AI558" s="15" t="s">
        <v>17906</v>
      </c>
      <c r="AJ558" s="15" t="s">
        <v>17907</v>
      </c>
      <c r="AK558" s="15" t="s">
        <v>17908</v>
      </c>
      <c r="AL558" s="15" t="s">
        <v>17909</v>
      </c>
      <c r="AM558" s="15" t="s">
        <v>17910</v>
      </c>
      <c r="AN558" s="15" t="s">
        <v>17911</v>
      </c>
      <c r="AO558" s="15" t="s">
        <v>17912</v>
      </c>
      <c r="AP558" s="15" t="s">
        <v>17913</v>
      </c>
      <c r="AQ558" s="15" t="s">
        <v>17914</v>
      </c>
      <c r="AR558" s="15" t="s">
        <v>17915</v>
      </c>
      <c r="AS558" s="15" t="s">
        <v>17916</v>
      </c>
      <c r="AT558" s="15" t="s">
        <v>17917</v>
      </c>
      <c r="AU558" s="15" t="s">
        <v>17918</v>
      </c>
      <c r="AV558" s="15" t="s">
        <v>17919</v>
      </c>
      <c r="AW558" s="15" t="s">
        <v>17920</v>
      </c>
      <c r="BH558" s="15" t="s">
        <v>6370</v>
      </c>
      <c r="BI558" s="15" t="str">
        <f>"199"</f>
        <v>199</v>
      </c>
      <c r="BJ558" s="15" t="str">
        <f>"85"</f>
        <v>85</v>
      </c>
      <c r="BK558" s="15" t="s">
        <v>1181</v>
      </c>
      <c r="BL558" s="15" t="str">
        <f t="shared" si="1653"/>
        <v>1</v>
      </c>
      <c r="BM558" s="15" t="s">
        <v>416</v>
      </c>
      <c r="BN558" s="15" t="str">
        <f t="shared" ref="BN558:BO558" si="1674">"14.96"</f>
        <v>14.96</v>
      </c>
      <c r="BO558" s="15" t="str">
        <f t="shared" si="1674"/>
        <v>14.96</v>
      </c>
      <c r="BP558" s="15" t="str">
        <f>"19.09"</f>
        <v>19.09</v>
      </c>
      <c r="BQ558" s="15" t="str">
        <f>"31.75"</f>
        <v>31.75</v>
      </c>
      <c r="CG558" s="15" t="str">
        <f>"2.47"</f>
        <v>2.47</v>
      </c>
      <c r="CH558" s="15" t="str">
        <f>"0.07"</f>
        <v>0.07</v>
      </c>
      <c r="CI558" s="15" t="s">
        <v>497</v>
      </c>
      <c r="CZ558" s="15" t="s">
        <v>419</v>
      </c>
      <c r="DA558" s="15">
        <v>0.0</v>
      </c>
      <c r="DB558" s="15" t="s">
        <v>419</v>
      </c>
      <c r="DD558" s="15">
        <v>0.0</v>
      </c>
      <c r="DG558" s="15" t="s">
        <v>419</v>
      </c>
      <c r="DK558" s="15">
        <v>0.0</v>
      </c>
      <c r="DR558" s="15" t="s">
        <v>1157</v>
      </c>
      <c r="DS558" s="15" t="s">
        <v>6381</v>
      </c>
      <c r="DU558" s="15" t="s">
        <v>500</v>
      </c>
      <c r="EF558" s="15" t="s">
        <v>939</v>
      </c>
      <c r="EG558" s="15" t="s">
        <v>477</v>
      </c>
      <c r="EH558" s="15" t="s">
        <v>477</v>
      </c>
      <c r="EQ558" s="15" t="s">
        <v>943</v>
      </c>
      <c r="ER558" s="15" t="s">
        <v>2020</v>
      </c>
      <c r="ES558" s="15" t="s">
        <v>943</v>
      </c>
      <c r="ET558" s="15" t="s">
        <v>429</v>
      </c>
      <c r="EV558" s="15">
        <v>0.0</v>
      </c>
      <c r="EW558" s="15">
        <v>0.0</v>
      </c>
    </row>
    <row r="559" ht="17.25" customHeight="1">
      <c r="A559" s="15" t="s">
        <v>6385</v>
      </c>
      <c r="B559" s="15" t="str">
        <f>"801542170080"</f>
        <v>801542170080</v>
      </c>
      <c r="C559" s="15" t="s">
        <v>17921</v>
      </c>
      <c r="D559" s="15" t="str">
        <f t="shared" si="1"/>
        <v>Laker Media ConsoleBlack Oak Veneer</v>
      </c>
      <c r="E559" s="15" t="s">
        <v>6382</v>
      </c>
      <c r="F559" s="15" t="s">
        <v>397</v>
      </c>
      <c r="G559" s="15" t="s">
        <v>6384</v>
      </c>
      <c r="J559" s="15" t="s">
        <v>6384</v>
      </c>
      <c r="K559" s="15" t="s">
        <v>6391</v>
      </c>
      <c r="M559" s="15" t="s">
        <v>1896</v>
      </c>
      <c r="N559" s="15" t="s">
        <v>602</v>
      </c>
      <c r="P559" s="15" t="str">
        <f>"83.75"</f>
        <v>83.75</v>
      </c>
      <c r="Q559" s="15" t="str">
        <f t="shared" ref="Q559:Q560" si="1675">"18"</f>
        <v>18</v>
      </c>
      <c r="R559" s="15" t="str">
        <f>"25"</f>
        <v>25</v>
      </c>
      <c r="S559" s="15" t="str">
        <f>"159.83"</f>
        <v>159.83</v>
      </c>
      <c r="T559" s="15" t="s">
        <v>6388</v>
      </c>
      <c r="U559" s="15" t="s">
        <v>11553</v>
      </c>
      <c r="V559" s="15" t="s">
        <v>12520</v>
      </c>
      <c r="W559" s="15" t="s">
        <v>11338</v>
      </c>
      <c r="AA559" s="15" t="s">
        <v>413</v>
      </c>
      <c r="AB559" s="15" t="s">
        <v>413</v>
      </c>
      <c r="AC559" s="15" t="s">
        <v>6392</v>
      </c>
      <c r="AD559" s="15" t="s">
        <v>17922</v>
      </c>
      <c r="AE559" s="15" t="s">
        <v>6387</v>
      </c>
      <c r="AF559" s="15" t="s">
        <v>17923</v>
      </c>
      <c r="AG559" s="15" t="s">
        <v>17924</v>
      </c>
      <c r="AH559" s="15" t="s">
        <v>17925</v>
      </c>
      <c r="AI559" s="15" t="s">
        <v>17926</v>
      </c>
      <c r="AJ559" s="15" t="s">
        <v>17927</v>
      </c>
      <c r="AK559" s="15" t="s">
        <v>17928</v>
      </c>
      <c r="AL559" s="15" t="s">
        <v>17929</v>
      </c>
      <c r="AM559" s="15" t="s">
        <v>17930</v>
      </c>
      <c r="AN559" s="15" t="s">
        <v>17931</v>
      </c>
      <c r="AO559" s="15" t="s">
        <v>17932</v>
      </c>
      <c r="AP559" s="15" t="s">
        <v>17933</v>
      </c>
      <c r="BH559" s="15" t="s">
        <v>6383</v>
      </c>
      <c r="BI559" s="15" t="str">
        <f>"1899"</f>
        <v>1899</v>
      </c>
      <c r="BJ559" s="15" t="str">
        <f>"800"</f>
        <v>800</v>
      </c>
      <c r="BK559" s="15" t="s">
        <v>742</v>
      </c>
      <c r="BL559" s="15" t="str">
        <f t="shared" si="1653"/>
        <v>1</v>
      </c>
      <c r="BM559" s="15" t="s">
        <v>2043</v>
      </c>
      <c r="BN559" s="15" t="str">
        <f>"87.6"</f>
        <v>87.6</v>
      </c>
      <c r="BO559" s="15" t="str">
        <f>"21.85"</f>
        <v>21.85</v>
      </c>
      <c r="BP559" s="15" t="str">
        <f>"31.1"</f>
        <v>31.1</v>
      </c>
      <c r="BQ559" s="15" t="str">
        <f>"199.52"</f>
        <v>199.52</v>
      </c>
      <c r="CG559" s="15" t="str">
        <f>"34.47"</f>
        <v>34.47</v>
      </c>
      <c r="CH559" s="15" t="str">
        <f>"0.976"</f>
        <v>0.976</v>
      </c>
      <c r="CI559" s="15" t="s">
        <v>465</v>
      </c>
      <c r="CM559" s="15" t="s">
        <v>2598</v>
      </c>
      <c r="CN559" s="15" t="s">
        <v>6394</v>
      </c>
      <c r="CO559" s="15" t="s">
        <v>6395</v>
      </c>
      <c r="CZ559" s="15" t="s">
        <v>1371</v>
      </c>
      <c r="DA559" s="15">
        <v>2.0</v>
      </c>
      <c r="DB559" s="15" t="s">
        <v>1185</v>
      </c>
      <c r="DD559" s="15">
        <v>0.0</v>
      </c>
      <c r="DF559" s="15" t="s">
        <v>1186</v>
      </c>
      <c r="DG559" s="15" t="s">
        <v>610</v>
      </c>
      <c r="DI559" s="15">
        <v>18.14</v>
      </c>
      <c r="DJ559" s="15">
        <v>40.0</v>
      </c>
      <c r="DK559" s="15">
        <v>2.0</v>
      </c>
      <c r="DS559" s="15" t="s">
        <v>6396</v>
      </c>
      <c r="EF559" s="15" t="s">
        <v>1955</v>
      </c>
      <c r="EU559" s="15" t="s">
        <v>426</v>
      </c>
      <c r="EV559" s="15">
        <v>2.0</v>
      </c>
      <c r="FH559" s="15" t="s">
        <v>6397</v>
      </c>
      <c r="FI559" s="15" t="s">
        <v>3130</v>
      </c>
      <c r="FJ559" s="15" t="s">
        <v>1430</v>
      </c>
      <c r="FK559" s="15" t="s">
        <v>2598</v>
      </c>
      <c r="FL559" s="15" t="s">
        <v>782</v>
      </c>
      <c r="FM559" s="15" t="s">
        <v>6395</v>
      </c>
      <c r="FP559" s="15" t="s">
        <v>785</v>
      </c>
      <c r="FQ559" s="15">
        <v>4.0</v>
      </c>
      <c r="FR559" s="15" t="s">
        <v>614</v>
      </c>
      <c r="FS559" s="15" t="s">
        <v>786</v>
      </c>
      <c r="FU559" s="15" t="s">
        <v>426</v>
      </c>
      <c r="FW559" s="15" t="s">
        <v>3722</v>
      </c>
      <c r="FX559" s="15" t="s">
        <v>426</v>
      </c>
      <c r="FZ559" s="15" t="s">
        <v>3735</v>
      </c>
      <c r="GB559" s="15" t="s">
        <v>1132</v>
      </c>
      <c r="GD559" s="15" t="s">
        <v>6398</v>
      </c>
      <c r="GF559" s="15" t="s">
        <v>838</v>
      </c>
      <c r="GH559" s="15" t="s">
        <v>764</v>
      </c>
      <c r="GI559" s="15" t="s">
        <v>426</v>
      </c>
      <c r="GM559" s="15">
        <v>0.0</v>
      </c>
      <c r="HF559" s="15" t="s">
        <v>1957</v>
      </c>
      <c r="HQ559" s="15" t="s">
        <v>426</v>
      </c>
    </row>
    <row r="560" ht="17.25" customHeight="1">
      <c r="A560" s="15" t="s">
        <v>6401</v>
      </c>
      <c r="B560" s="15" t="str">
        <f>"801542987596"</f>
        <v>801542987596</v>
      </c>
      <c r="C560" s="15" t="s">
        <v>17934</v>
      </c>
      <c r="D560" s="15" t="str">
        <f t="shared" si="1"/>
        <v>Lancaster SideboardDrifted Oak</v>
      </c>
      <c r="E560" s="15" t="s">
        <v>6399</v>
      </c>
      <c r="F560" s="15" t="s">
        <v>397</v>
      </c>
      <c r="G560" s="15" t="s">
        <v>6010</v>
      </c>
      <c r="J560" s="15" t="s">
        <v>6010</v>
      </c>
      <c r="K560" s="15" t="s">
        <v>4670</v>
      </c>
      <c r="L560" s="15" t="s">
        <v>1898</v>
      </c>
      <c r="M560" s="15" t="s">
        <v>2193</v>
      </c>
      <c r="N560" s="15" t="s">
        <v>664</v>
      </c>
      <c r="P560" s="15" t="str">
        <f>"82"</f>
        <v>82</v>
      </c>
      <c r="Q560" s="15" t="str">
        <f t="shared" si="1675"/>
        <v>18</v>
      </c>
      <c r="R560" s="15" t="str">
        <f>"30"</f>
        <v>30</v>
      </c>
      <c r="S560" s="15" t="str">
        <f>"216.05"</f>
        <v>216.05</v>
      </c>
      <c r="T560" s="15" t="s">
        <v>6403</v>
      </c>
      <c r="U560" s="15" t="s">
        <v>11338</v>
      </c>
      <c r="V560" s="15" t="s">
        <v>11553</v>
      </c>
      <c r="W560" s="15" t="s">
        <v>11139</v>
      </c>
      <c r="AA560" s="15" t="s">
        <v>413</v>
      </c>
      <c r="AB560" s="15" t="s">
        <v>413</v>
      </c>
      <c r="AC560" s="15" t="s">
        <v>6404</v>
      </c>
      <c r="AD560" s="15" t="s">
        <v>17935</v>
      </c>
      <c r="AE560" s="15" t="s">
        <v>6402</v>
      </c>
      <c r="AF560" s="15" t="s">
        <v>17936</v>
      </c>
      <c r="AG560" s="15" t="s">
        <v>17937</v>
      </c>
      <c r="AH560" s="15" t="s">
        <v>17938</v>
      </c>
      <c r="AI560" s="15" t="s">
        <v>17939</v>
      </c>
      <c r="AJ560" s="15" t="s">
        <v>17940</v>
      </c>
      <c r="AK560" s="15" t="s">
        <v>17941</v>
      </c>
      <c r="AL560" s="15" t="s">
        <v>17942</v>
      </c>
      <c r="AM560" s="15" t="s">
        <v>17943</v>
      </c>
      <c r="AN560" s="15" t="s">
        <v>17944</v>
      </c>
      <c r="AO560" s="15" t="s">
        <v>17945</v>
      </c>
      <c r="AP560" s="15" t="s">
        <v>17946</v>
      </c>
      <c r="AQ560" s="15" t="s">
        <v>17947</v>
      </c>
      <c r="AR560" s="15" t="s">
        <v>17948</v>
      </c>
      <c r="BH560" s="15" t="s">
        <v>6400</v>
      </c>
      <c r="BI560" s="15" t="str">
        <f>"2299"</f>
        <v>2299</v>
      </c>
      <c r="BJ560" s="15" t="str">
        <f>"970"</f>
        <v>970</v>
      </c>
      <c r="BK560" s="15" t="s">
        <v>709</v>
      </c>
      <c r="BL560" s="15" t="str">
        <f t="shared" si="1653"/>
        <v>1</v>
      </c>
      <c r="BM560" s="15" t="s">
        <v>416</v>
      </c>
      <c r="BN560" s="15" t="str">
        <f>"85.75"</f>
        <v>85.75</v>
      </c>
      <c r="BO560" s="15" t="str">
        <f>"22.44"</f>
        <v>22.44</v>
      </c>
      <c r="BP560" s="15" t="str">
        <f>"33.46"</f>
        <v>33.46</v>
      </c>
      <c r="BQ560" s="15" t="str">
        <f>"268.08"</f>
        <v>268.08</v>
      </c>
      <c r="CG560" s="15" t="str">
        <f>"37.26"</f>
        <v>37.26</v>
      </c>
      <c r="CH560" s="15" t="str">
        <f>"1.055"</f>
        <v>1.055</v>
      </c>
      <c r="CI560" s="15" t="s">
        <v>465</v>
      </c>
      <c r="CM560" s="15" t="s">
        <v>1161</v>
      </c>
      <c r="CN560" s="15" t="s">
        <v>525</v>
      </c>
      <c r="CO560" s="15" t="s">
        <v>6406</v>
      </c>
      <c r="CZ560" s="15" t="s">
        <v>418</v>
      </c>
      <c r="DA560" s="15">
        <v>3.0</v>
      </c>
      <c r="DB560" s="15" t="s">
        <v>419</v>
      </c>
      <c r="DD560" s="15">
        <v>0.0</v>
      </c>
      <c r="DF560" s="15" t="s">
        <v>1388</v>
      </c>
      <c r="DG560" s="15" t="s">
        <v>610</v>
      </c>
      <c r="DI560" s="15">
        <v>18.14</v>
      </c>
      <c r="DJ560" s="15">
        <v>40.0</v>
      </c>
      <c r="DK560" s="15">
        <v>2.0</v>
      </c>
      <c r="DS560" s="15" t="s">
        <v>6407</v>
      </c>
      <c r="DU560" s="15" t="s">
        <v>424</v>
      </c>
      <c r="EF560" s="15" t="s">
        <v>429</v>
      </c>
      <c r="EU560" s="15" t="s">
        <v>426</v>
      </c>
      <c r="EV560" s="15">
        <v>2.0</v>
      </c>
      <c r="FH560" s="15" t="s">
        <v>2732</v>
      </c>
      <c r="FI560" s="15" t="s">
        <v>612</v>
      </c>
      <c r="FJ560" s="15" t="s">
        <v>1160</v>
      </c>
      <c r="FK560" s="15" t="s">
        <v>504</v>
      </c>
      <c r="FL560" s="15" t="s">
        <v>612</v>
      </c>
      <c r="FM560" s="15" t="s">
        <v>6406</v>
      </c>
      <c r="FN560" s="15">
        <v>0.0</v>
      </c>
      <c r="FO560" s="15" t="s">
        <v>426</v>
      </c>
      <c r="FP560" s="15" t="s">
        <v>785</v>
      </c>
      <c r="FQ560" s="15">
        <v>4.0</v>
      </c>
      <c r="FR560" s="15" t="s">
        <v>614</v>
      </c>
      <c r="FS560" s="15" t="s">
        <v>615</v>
      </c>
      <c r="FT560" s="15">
        <v>0.0</v>
      </c>
      <c r="FU560" s="15" t="s">
        <v>426</v>
      </c>
      <c r="FW560" s="15" t="s">
        <v>3722</v>
      </c>
      <c r="FZ560" s="15" t="s">
        <v>3735</v>
      </c>
      <c r="GB560" s="15" t="s">
        <v>1235</v>
      </c>
      <c r="GD560" s="15" t="s">
        <v>1238</v>
      </c>
      <c r="GF560" s="15" t="s">
        <v>838</v>
      </c>
      <c r="GH560" s="15" t="s">
        <v>420</v>
      </c>
      <c r="GJ560" s="15" t="s">
        <v>1161</v>
      </c>
      <c r="GK560" s="15" t="s">
        <v>525</v>
      </c>
      <c r="GL560" s="15" t="s">
        <v>6406</v>
      </c>
      <c r="HF560" s="15" t="s">
        <v>1807</v>
      </c>
      <c r="HQ560" s="15" t="s">
        <v>426</v>
      </c>
    </row>
    <row r="561" ht="17.25" customHeight="1">
      <c r="A561" s="15" t="s">
        <v>6411</v>
      </c>
      <c r="B561" s="15" t="str">
        <f>"801542821302"</f>
        <v>801542821302</v>
      </c>
      <c r="C561" s="15" t="s">
        <v>17949</v>
      </c>
      <c r="D561" s="15" t="str">
        <f t="shared" si="1"/>
        <v>Lara BedImani PebbleQueen</v>
      </c>
      <c r="E561" s="15" t="s">
        <v>6408</v>
      </c>
      <c r="F561" s="15" t="s">
        <v>397</v>
      </c>
      <c r="G561" s="15" t="s">
        <v>6410</v>
      </c>
      <c r="H561" s="15" t="s">
        <v>265</v>
      </c>
      <c r="I561" s="15" t="s">
        <v>877</v>
      </c>
      <c r="J561" s="15" t="s">
        <v>6410</v>
      </c>
      <c r="K561" s="15" t="s">
        <v>3142</v>
      </c>
      <c r="L561" s="15" t="s">
        <v>6419</v>
      </c>
      <c r="M561" s="15" t="s">
        <v>2759</v>
      </c>
      <c r="N561" s="15" t="s">
        <v>839</v>
      </c>
      <c r="O561" s="15" t="s">
        <v>877</v>
      </c>
      <c r="P561" s="15" t="str">
        <f>"102.25"</f>
        <v>102.25</v>
      </c>
      <c r="Q561" s="15" t="str">
        <f t="shared" ref="Q561:Q562" si="1676">"95.5"</f>
        <v>95.5</v>
      </c>
      <c r="R561" s="15" t="str">
        <f>"47.25"</f>
        <v>47.25</v>
      </c>
      <c r="S561" s="15" t="str">
        <f>"488.76"</f>
        <v>488.76</v>
      </c>
      <c r="T561" s="15" t="s">
        <v>6414</v>
      </c>
      <c r="U561" s="15" t="s">
        <v>15479</v>
      </c>
      <c r="V561" s="15" t="s">
        <v>17950</v>
      </c>
      <c r="W561" s="15" t="s">
        <v>13534</v>
      </c>
      <c r="X561" s="15" t="s">
        <v>11553</v>
      </c>
      <c r="AA561" s="15" t="s">
        <v>413</v>
      </c>
      <c r="AB561" s="15" t="s">
        <v>413</v>
      </c>
      <c r="AC561" s="15" t="s">
        <v>6420</v>
      </c>
      <c r="AD561" s="15" t="s">
        <v>17951</v>
      </c>
      <c r="AE561" s="15" t="s">
        <v>6413</v>
      </c>
      <c r="AF561" s="15" t="s">
        <v>17952</v>
      </c>
      <c r="AG561" s="15" t="s">
        <v>17953</v>
      </c>
      <c r="AH561" s="15" t="s">
        <v>17954</v>
      </c>
      <c r="AI561" s="15" t="s">
        <v>17955</v>
      </c>
      <c r="AJ561" s="15" t="s">
        <v>17956</v>
      </c>
      <c r="AK561" s="15" t="s">
        <v>17957</v>
      </c>
      <c r="AL561" s="15" t="s">
        <v>17958</v>
      </c>
      <c r="AM561" s="15" t="s">
        <v>17959</v>
      </c>
      <c r="AN561" s="15" t="s">
        <v>17960</v>
      </c>
      <c r="AO561" s="15" t="s">
        <v>17961</v>
      </c>
      <c r="AP561" s="15" t="s">
        <v>17962</v>
      </c>
      <c r="AQ561" s="15" t="s">
        <v>17963</v>
      </c>
      <c r="BH561" s="15" t="s">
        <v>6409</v>
      </c>
      <c r="BI561" s="15" t="str">
        <f>"5299"</f>
        <v>5299</v>
      </c>
      <c r="BJ561" s="15" t="str">
        <f>"2230"</f>
        <v>2230</v>
      </c>
      <c r="BK561" s="15" t="s">
        <v>742</v>
      </c>
      <c r="BL561" s="15" t="str">
        <f t="shared" ref="BL561:BL562" si="1677">"3"</f>
        <v>3</v>
      </c>
      <c r="BM561" s="15" t="s">
        <v>6421</v>
      </c>
      <c r="BN561" s="15" t="str">
        <f>"52.17"</f>
        <v>52.17</v>
      </c>
      <c r="BO561" s="15" t="str">
        <f>"39.17"</f>
        <v>39.17</v>
      </c>
      <c r="BP561" s="15" t="str">
        <f>"25.79"</f>
        <v>25.79</v>
      </c>
      <c r="BQ561" s="15" t="str">
        <f>"266.76"</f>
        <v>266.76</v>
      </c>
      <c r="BR561" s="15" t="s">
        <v>5335</v>
      </c>
      <c r="BS561" s="15" t="str">
        <f t="shared" ref="BS561:BS562" si="1678">"94.49"</f>
        <v>94.49</v>
      </c>
      <c r="BT561" s="15" t="str">
        <f>"27.76"</f>
        <v>27.76</v>
      </c>
      <c r="BU561" s="15" t="str">
        <f t="shared" ref="BU561:BU562" si="1679">"19.88"</f>
        <v>19.88</v>
      </c>
      <c r="BV561" s="15" t="str">
        <f>"218.26"</f>
        <v>218.26</v>
      </c>
      <c r="BW561" s="15" t="s">
        <v>6425</v>
      </c>
      <c r="BX561" s="15" t="str">
        <f>"84.65"</f>
        <v>84.65</v>
      </c>
      <c r="BY561" s="15" t="str">
        <f>"12.8"</f>
        <v>12.8</v>
      </c>
      <c r="BZ561" s="15" t="str">
        <f t="shared" ref="BZ561:BZ562" si="1680">"20.87"</f>
        <v>20.87</v>
      </c>
      <c r="CA561" s="15" t="str">
        <f>"74.96"</f>
        <v>74.96</v>
      </c>
      <c r="CG561" s="15" t="str">
        <f>"73.74"</f>
        <v>73.74</v>
      </c>
      <c r="CH561" s="15" t="str">
        <f>"2.088"</f>
        <v>2.088</v>
      </c>
      <c r="CI561" s="15" t="s">
        <v>417</v>
      </c>
      <c r="CY561" s="15" t="s">
        <v>855</v>
      </c>
      <c r="CZ561" s="15" t="s">
        <v>419</v>
      </c>
      <c r="DA561" s="15">
        <v>0.0</v>
      </c>
      <c r="DB561" s="15" t="s">
        <v>419</v>
      </c>
      <c r="DD561" s="15">
        <v>0.0</v>
      </c>
      <c r="DF561" s="15" t="s">
        <v>721</v>
      </c>
      <c r="DG561" s="15" t="s">
        <v>419</v>
      </c>
      <c r="DI561" s="15">
        <v>0.0</v>
      </c>
      <c r="DJ561" s="15">
        <v>0.0</v>
      </c>
      <c r="DK561" s="15">
        <v>0.0</v>
      </c>
      <c r="DL561" s="15">
        <v>25000.0</v>
      </c>
      <c r="DS561" s="15" t="s">
        <v>6426</v>
      </c>
      <c r="DU561" s="15" t="s">
        <v>858</v>
      </c>
      <c r="EV561" s="15">
        <v>0.0</v>
      </c>
      <c r="HY561" s="15" t="s">
        <v>6427</v>
      </c>
      <c r="HZ561" s="15" t="s">
        <v>6428</v>
      </c>
      <c r="IA561" s="15" t="s">
        <v>6429</v>
      </c>
      <c r="IB561" s="15" t="s">
        <v>1552</v>
      </c>
      <c r="IC561" s="15" t="s">
        <v>2026</v>
      </c>
      <c r="ID561" s="15" t="s">
        <v>6430</v>
      </c>
      <c r="IE561" s="15" t="s">
        <v>2971</v>
      </c>
      <c r="IF561" s="15" t="s">
        <v>2464</v>
      </c>
      <c r="IG561" s="15" t="s">
        <v>6431</v>
      </c>
      <c r="IH561" s="15" t="s">
        <v>6427</v>
      </c>
      <c r="II561" s="15" t="s">
        <v>6432</v>
      </c>
      <c r="IJ561" s="15" t="s">
        <v>6428</v>
      </c>
      <c r="IK561" s="15" t="s">
        <v>426</v>
      </c>
      <c r="IL561" s="15" t="s">
        <v>2973</v>
      </c>
      <c r="IM561" s="15" t="s">
        <v>2604</v>
      </c>
      <c r="IN561" s="15" t="s">
        <v>873</v>
      </c>
      <c r="IO561" s="15" t="s">
        <v>877</v>
      </c>
      <c r="IU561" s="15" t="s">
        <v>3164</v>
      </c>
      <c r="IV561" s="15" t="s">
        <v>5517</v>
      </c>
      <c r="IX561" s="15" t="s">
        <v>426</v>
      </c>
      <c r="IY561" s="15" t="s">
        <v>2474</v>
      </c>
      <c r="JB561" s="15" t="s">
        <v>6433</v>
      </c>
      <c r="JC561" s="15" t="s">
        <v>6434</v>
      </c>
    </row>
    <row r="562" ht="17.25" customHeight="1">
      <c r="A562" s="15" t="s">
        <v>6436</v>
      </c>
      <c r="B562" s="15" t="str">
        <f>"198394123068"</f>
        <v>198394123068</v>
      </c>
      <c r="C562" s="15" t="s">
        <v>17949</v>
      </c>
      <c r="D562" s="15" t="str">
        <f t="shared" si="1"/>
        <v>Lara BedImani PebbleKing</v>
      </c>
      <c r="E562" s="15" t="s">
        <v>6408</v>
      </c>
      <c r="F562" s="15" t="s">
        <v>397</v>
      </c>
      <c r="G562" s="15" t="s">
        <v>6410</v>
      </c>
      <c r="H562" s="15" t="s">
        <v>265</v>
      </c>
      <c r="I562" s="15" t="s">
        <v>828</v>
      </c>
      <c r="J562" s="15" t="s">
        <v>6410</v>
      </c>
      <c r="K562" s="15" t="s">
        <v>3142</v>
      </c>
      <c r="L562" s="15" t="s">
        <v>6419</v>
      </c>
      <c r="M562" s="15" t="s">
        <v>2759</v>
      </c>
      <c r="N562" s="15" t="s">
        <v>839</v>
      </c>
      <c r="O562" s="15" t="s">
        <v>828</v>
      </c>
      <c r="P562" s="15" t="str">
        <f>"118"</f>
        <v>118</v>
      </c>
      <c r="Q562" s="15" t="str">
        <f t="shared" si="1676"/>
        <v>95.5</v>
      </c>
      <c r="R562" s="15" t="str">
        <f>"47.5"</f>
        <v>47.5</v>
      </c>
      <c r="S562" s="15" t="str">
        <f>"550.05"</f>
        <v>550.05</v>
      </c>
      <c r="T562" s="15" t="s">
        <v>6414</v>
      </c>
      <c r="U562" s="15" t="s">
        <v>15479</v>
      </c>
      <c r="V562" s="15" t="s">
        <v>17950</v>
      </c>
      <c r="W562" s="15" t="s">
        <v>13534</v>
      </c>
      <c r="X562" s="15" t="s">
        <v>11553</v>
      </c>
      <c r="AA562" s="15" t="s">
        <v>413</v>
      </c>
      <c r="AB562" s="15" t="s">
        <v>413</v>
      </c>
      <c r="AC562" s="15" t="s">
        <v>6420</v>
      </c>
      <c r="AD562" s="15" t="s">
        <v>17964</v>
      </c>
      <c r="AE562" s="15" t="s">
        <v>6438</v>
      </c>
      <c r="AF562" s="15" t="s">
        <v>17965</v>
      </c>
      <c r="AG562" s="15" t="s">
        <v>17966</v>
      </c>
      <c r="AH562" s="15" t="s">
        <v>17967</v>
      </c>
      <c r="AI562" s="15" t="s">
        <v>17968</v>
      </c>
      <c r="AJ562" s="15" t="s">
        <v>17969</v>
      </c>
      <c r="AK562" s="15" t="s">
        <v>17970</v>
      </c>
      <c r="AL562" s="15" t="s">
        <v>17971</v>
      </c>
      <c r="AM562" s="15" t="s">
        <v>17972</v>
      </c>
      <c r="AN562" s="15" t="s">
        <v>17973</v>
      </c>
      <c r="AO562" s="15" t="s">
        <v>17974</v>
      </c>
      <c r="AP562" s="15" t="s">
        <v>17975</v>
      </c>
      <c r="BH562" s="15" t="s">
        <v>6435</v>
      </c>
      <c r="BI562" s="15" t="str">
        <f>"5899"</f>
        <v>5899</v>
      </c>
      <c r="BJ562" s="15" t="str">
        <f>"2480"</f>
        <v>2480</v>
      </c>
      <c r="BK562" s="15" t="s">
        <v>742</v>
      </c>
      <c r="BL562" s="15" t="str">
        <f t="shared" si="1677"/>
        <v>3</v>
      </c>
      <c r="BM562" s="15" t="s">
        <v>6441</v>
      </c>
      <c r="BN562" s="15" t="str">
        <f>"52.56"</f>
        <v>52.56</v>
      </c>
      <c r="BO562" s="15" t="str">
        <f>"44.49"</f>
        <v>44.49</v>
      </c>
      <c r="BP562" s="15" t="str">
        <f>"26.18"</f>
        <v>26.18</v>
      </c>
      <c r="BQ562" s="15" t="str">
        <f>"306.44"</f>
        <v>306.44</v>
      </c>
      <c r="BR562" s="15" t="s">
        <v>6445</v>
      </c>
      <c r="BS562" s="15" t="str">
        <f t="shared" si="1678"/>
        <v>94.49</v>
      </c>
      <c r="BT562" s="15" t="str">
        <f>"27.95"</f>
        <v>27.95</v>
      </c>
      <c r="BU562" s="15" t="str">
        <f t="shared" si="1679"/>
        <v>19.88</v>
      </c>
      <c r="BV562" s="15" t="str">
        <f>"224.87"</f>
        <v>224.87</v>
      </c>
      <c r="BW562" s="15" t="s">
        <v>6446</v>
      </c>
      <c r="BX562" s="15" t="str">
        <f>"101.57"</f>
        <v>101.57</v>
      </c>
      <c r="BY562" s="15" t="str">
        <f>"12.99"</f>
        <v>12.99</v>
      </c>
      <c r="BZ562" s="15" t="str">
        <f t="shared" si="1680"/>
        <v>20.87</v>
      </c>
      <c r="CA562" s="15" t="str">
        <f>"85.98"</f>
        <v>85.98</v>
      </c>
      <c r="CG562" s="15" t="str">
        <f>"81.75"</f>
        <v>81.75</v>
      </c>
      <c r="CH562" s="15" t="str">
        <f>"2.315"</f>
        <v>2.315</v>
      </c>
      <c r="CI562" s="15" t="s">
        <v>465</v>
      </c>
      <c r="CY562" s="15" t="s">
        <v>855</v>
      </c>
      <c r="CZ562" s="15" t="s">
        <v>419</v>
      </c>
      <c r="DA562" s="15">
        <v>0.0</v>
      </c>
      <c r="DB562" s="15" t="s">
        <v>419</v>
      </c>
      <c r="DD562" s="15">
        <v>0.0</v>
      </c>
      <c r="DF562" s="15" t="s">
        <v>721</v>
      </c>
      <c r="DG562" s="15" t="s">
        <v>419</v>
      </c>
      <c r="DI562" s="15">
        <v>0.0</v>
      </c>
      <c r="DJ562" s="15">
        <v>0.0</v>
      </c>
      <c r="DK562" s="15">
        <v>0.0</v>
      </c>
      <c r="DL562" s="15">
        <v>25000.0</v>
      </c>
      <c r="DS562" s="15" t="s">
        <v>6426</v>
      </c>
      <c r="DU562" s="15" t="s">
        <v>858</v>
      </c>
      <c r="EV562" s="15">
        <v>0.0</v>
      </c>
      <c r="HY562" s="15" t="s">
        <v>3781</v>
      </c>
      <c r="HZ562" s="15" t="s">
        <v>6428</v>
      </c>
      <c r="IA562" s="15" t="s">
        <v>6449</v>
      </c>
      <c r="IB562" s="15" t="s">
        <v>3290</v>
      </c>
      <c r="IC562" s="15" t="s">
        <v>2026</v>
      </c>
      <c r="ID562" s="15" t="s">
        <v>6450</v>
      </c>
      <c r="IE562" s="15" t="s">
        <v>2971</v>
      </c>
      <c r="IF562" s="15" t="s">
        <v>2464</v>
      </c>
      <c r="IG562" s="15" t="s">
        <v>869</v>
      </c>
      <c r="IH562" s="15" t="s">
        <v>6427</v>
      </c>
      <c r="II562" s="15" t="s">
        <v>6432</v>
      </c>
      <c r="IJ562" s="15" t="s">
        <v>6428</v>
      </c>
      <c r="IK562" s="15" t="s">
        <v>426</v>
      </c>
      <c r="IL562" s="15" t="s">
        <v>2973</v>
      </c>
      <c r="IM562" s="15" t="s">
        <v>2604</v>
      </c>
      <c r="IN562" s="15" t="s">
        <v>873</v>
      </c>
      <c r="IO562" s="15" t="s">
        <v>828</v>
      </c>
      <c r="IU562" s="15" t="s">
        <v>3164</v>
      </c>
      <c r="IV562" s="15" t="s">
        <v>870</v>
      </c>
      <c r="IX562" s="15" t="s">
        <v>426</v>
      </c>
      <c r="IY562" s="15" t="s">
        <v>2474</v>
      </c>
      <c r="JB562" s="15" t="s">
        <v>6433</v>
      </c>
      <c r="JC562" s="15" t="s">
        <v>6451</v>
      </c>
    </row>
    <row r="563" ht="17.25" customHeight="1">
      <c r="A563" s="15" t="s">
        <v>6454</v>
      </c>
      <c r="B563" s="15" t="str">
        <f>"801542849672"</f>
        <v>801542849672</v>
      </c>
      <c r="C563" s="15" t="s">
        <v>17976</v>
      </c>
      <c r="D563" s="15" t="str">
        <f t="shared" si="1"/>
        <v>Larkin Club ChairCigar</v>
      </c>
      <c r="E563" s="15" t="s">
        <v>6452</v>
      </c>
      <c r="F563" s="15" t="s">
        <v>397</v>
      </c>
      <c r="G563" s="15" t="s">
        <v>692</v>
      </c>
      <c r="J563" s="15" t="s">
        <v>692</v>
      </c>
      <c r="K563" s="15" t="s">
        <v>704</v>
      </c>
      <c r="L563" s="15" t="s">
        <v>705</v>
      </c>
      <c r="M563" s="15" t="s">
        <v>703</v>
      </c>
      <c r="N563" s="15" t="s">
        <v>706</v>
      </c>
      <c r="O563" s="15" t="s">
        <v>707</v>
      </c>
      <c r="P563" s="15" t="str">
        <f t="shared" ref="P563:Q563" si="1681">"39.5"</f>
        <v>39.5</v>
      </c>
      <c r="Q563" s="15" t="str">
        <f t="shared" si="1681"/>
        <v>39.5</v>
      </c>
      <c r="R563" s="15" t="str">
        <f t="shared" ref="R563:R564" si="1683">"35"</f>
        <v>35</v>
      </c>
      <c r="S563" s="15" t="str">
        <f>"73.85"</f>
        <v>73.85</v>
      </c>
      <c r="T563" s="15" t="s">
        <v>697</v>
      </c>
      <c r="U563" s="15" t="s">
        <v>11137</v>
      </c>
      <c r="V563" s="15" t="s">
        <v>11138</v>
      </c>
      <c r="W563" s="15" t="s">
        <v>11139</v>
      </c>
      <c r="AA563" s="15" t="s">
        <v>413</v>
      </c>
      <c r="AB563" s="15" t="s">
        <v>413</v>
      </c>
      <c r="AC563" s="15" t="s">
        <v>6456</v>
      </c>
      <c r="AD563" s="15" t="s">
        <v>17977</v>
      </c>
      <c r="AE563" s="15" t="s">
        <v>6455</v>
      </c>
      <c r="AF563" s="15" t="s">
        <v>17978</v>
      </c>
      <c r="AG563" s="15" t="s">
        <v>17979</v>
      </c>
      <c r="AH563" s="15" t="s">
        <v>17980</v>
      </c>
      <c r="AI563" s="15" t="s">
        <v>17981</v>
      </c>
      <c r="AJ563" s="15" t="s">
        <v>17982</v>
      </c>
      <c r="AK563" s="15" t="s">
        <v>17983</v>
      </c>
      <c r="AL563" s="15" t="s">
        <v>17984</v>
      </c>
      <c r="BH563" s="15" t="s">
        <v>6453</v>
      </c>
      <c r="BI563" s="15" t="str">
        <f>"2999"</f>
        <v>2999</v>
      </c>
      <c r="BJ563" s="15" t="str">
        <f>"1260"</f>
        <v>1260</v>
      </c>
      <c r="BK563" s="15" t="s">
        <v>709</v>
      </c>
      <c r="BL563" s="15" t="str">
        <f t="shared" ref="BL563:BL569" si="1684">"1"</f>
        <v>1</v>
      </c>
      <c r="BM563" s="15" t="s">
        <v>416</v>
      </c>
      <c r="BN563" s="15" t="str">
        <f t="shared" ref="BN563:BO563" si="1682">"41.5"</f>
        <v>41.5</v>
      </c>
      <c r="BO563" s="15" t="str">
        <f t="shared" si="1682"/>
        <v>41.5</v>
      </c>
      <c r="BP563" s="15" t="str">
        <f>"27.5"</f>
        <v>27.5</v>
      </c>
      <c r="BQ563" s="15" t="str">
        <f>"91"</f>
        <v>91</v>
      </c>
      <c r="CG563" s="15" t="str">
        <f>"27.4"</f>
        <v>27.4</v>
      </c>
      <c r="CH563" s="15" t="str">
        <f>"0.776"</f>
        <v>0.776</v>
      </c>
      <c r="CI563" s="15" t="s">
        <v>465</v>
      </c>
      <c r="CP563" s="15" t="s">
        <v>4987</v>
      </c>
      <c r="CQ563" s="15" t="s">
        <v>870</v>
      </c>
      <c r="CR563" s="15" t="s">
        <v>4552</v>
      </c>
      <c r="CS563" s="15" t="s">
        <v>2652</v>
      </c>
      <c r="CT563" s="15" t="s">
        <v>2738</v>
      </c>
      <c r="CU563" s="15" t="s">
        <v>4552</v>
      </c>
      <c r="CV563" s="15">
        <v>0.0</v>
      </c>
      <c r="CW563" s="15">
        <v>1.0</v>
      </c>
      <c r="CX563" s="15" t="s">
        <v>717</v>
      </c>
      <c r="CY563" s="15" t="s">
        <v>718</v>
      </c>
      <c r="DC563" s="15" t="s">
        <v>6458</v>
      </c>
      <c r="DF563" s="15" t="s">
        <v>721</v>
      </c>
      <c r="DG563" s="15" t="s">
        <v>419</v>
      </c>
      <c r="DH563" s="15">
        <v>0.0</v>
      </c>
      <c r="DL563" s="15">
        <v>0.0</v>
      </c>
      <c r="DM563" s="15" t="s">
        <v>990</v>
      </c>
      <c r="DN563" s="15" t="s">
        <v>723</v>
      </c>
      <c r="DO563" s="15" t="s">
        <v>724</v>
      </c>
      <c r="DP563" s="15">
        <v>1.0</v>
      </c>
      <c r="DQ563" s="15">
        <v>1.0</v>
      </c>
      <c r="DS563" s="15" t="s">
        <v>6459</v>
      </c>
      <c r="DT563" s="15">
        <v>0.0</v>
      </c>
      <c r="DU563" s="15" t="s">
        <v>726</v>
      </c>
      <c r="DV563" s="15" t="s">
        <v>1068</v>
      </c>
      <c r="DW563" s="15" t="s">
        <v>761</v>
      </c>
      <c r="DX563" s="15" t="s">
        <v>734</v>
      </c>
      <c r="EB563" s="15" t="s">
        <v>732</v>
      </c>
      <c r="EC563" s="15" t="s">
        <v>714</v>
      </c>
      <c r="ED563" s="15" t="s">
        <v>3129</v>
      </c>
      <c r="EE563" s="15" t="s">
        <v>6460</v>
      </c>
      <c r="EF563" s="15" t="s">
        <v>2465</v>
      </c>
      <c r="EG563" s="15" t="s">
        <v>4552</v>
      </c>
      <c r="EH563" s="15" t="s">
        <v>4552</v>
      </c>
      <c r="EI563" s="15" t="s">
        <v>3857</v>
      </c>
      <c r="EL563" s="15" t="s">
        <v>723</v>
      </c>
      <c r="EM563" s="15" t="s">
        <v>724</v>
      </c>
      <c r="EN563" s="15" t="s">
        <v>3408</v>
      </c>
      <c r="EO563" s="15" t="s">
        <v>6461</v>
      </c>
      <c r="EU563" s="15" t="s">
        <v>426</v>
      </c>
      <c r="EZ563" s="15">
        <v>0.0</v>
      </c>
      <c r="FA563" s="15">
        <v>0.0</v>
      </c>
      <c r="FB563" s="15" t="s">
        <v>736</v>
      </c>
      <c r="FC563" s="15">
        <v>0.0</v>
      </c>
    </row>
    <row r="564" ht="17.25" customHeight="1">
      <c r="A564" s="15" t="s">
        <v>6465</v>
      </c>
      <c r="B564" s="15" t="str">
        <f>"801542849696"</f>
        <v>801542849696</v>
      </c>
      <c r="C564" s="15" t="s">
        <v>17985</v>
      </c>
      <c r="D564" s="15" t="str">
        <f t="shared" si="1"/>
        <v>Larkin SofaCigar71.25</v>
      </c>
      <c r="E564" s="15" t="s">
        <v>6462</v>
      </c>
      <c r="F564" s="15" t="s">
        <v>397</v>
      </c>
      <c r="G564" s="15" t="s">
        <v>692</v>
      </c>
      <c r="H564" s="15" t="s">
        <v>265</v>
      </c>
      <c r="I564" s="15" t="s">
        <v>6464</v>
      </c>
      <c r="J564" s="15" t="s">
        <v>692</v>
      </c>
      <c r="K564" s="15" t="s">
        <v>704</v>
      </c>
      <c r="L564" s="15" t="s">
        <v>705</v>
      </c>
      <c r="M564" s="15" t="s">
        <v>703</v>
      </c>
      <c r="N564" s="15" t="s">
        <v>1732</v>
      </c>
      <c r="P564" s="15" t="str">
        <f>"71.25"</f>
        <v>71.25</v>
      </c>
      <c r="Q564" s="15" t="str">
        <f>"39.5"</f>
        <v>39.5</v>
      </c>
      <c r="R564" s="15" t="str">
        <f t="shared" si="1683"/>
        <v>35</v>
      </c>
      <c r="S564" s="15" t="str">
        <f>"127.01"</f>
        <v>127.01</v>
      </c>
      <c r="T564" s="15" t="s">
        <v>697</v>
      </c>
      <c r="U564" s="15" t="s">
        <v>11137</v>
      </c>
      <c r="V564" s="15" t="s">
        <v>11138</v>
      </c>
      <c r="W564" s="15" t="s">
        <v>11139</v>
      </c>
      <c r="AA564" s="15" t="s">
        <v>413</v>
      </c>
      <c r="AB564" s="15" t="s">
        <v>413</v>
      </c>
      <c r="AC564" s="15" t="s">
        <v>6469</v>
      </c>
      <c r="AD564" s="15" t="s">
        <v>17986</v>
      </c>
      <c r="AE564" s="15" t="s">
        <v>6467</v>
      </c>
      <c r="AF564" s="15" t="s">
        <v>17987</v>
      </c>
      <c r="AG564" s="15" t="s">
        <v>17988</v>
      </c>
      <c r="AH564" s="15" t="s">
        <v>17989</v>
      </c>
      <c r="AI564" s="15" t="s">
        <v>17990</v>
      </c>
      <c r="AJ564" s="15" t="s">
        <v>17991</v>
      </c>
      <c r="AK564" s="15" t="s">
        <v>17992</v>
      </c>
      <c r="AL564" s="15" t="s">
        <v>17993</v>
      </c>
      <c r="AM564" s="15" t="s">
        <v>17994</v>
      </c>
      <c r="AN564" s="15" t="s">
        <v>17995</v>
      </c>
      <c r="AO564" s="15" t="s">
        <v>17996</v>
      </c>
      <c r="BH564" s="15" t="s">
        <v>6463</v>
      </c>
      <c r="BI564" s="15" t="str">
        <f>"3699"</f>
        <v>3699</v>
      </c>
      <c r="BJ564" s="15" t="str">
        <f>"1555"</f>
        <v>1555</v>
      </c>
      <c r="BK564" s="15" t="s">
        <v>709</v>
      </c>
      <c r="BL564" s="15" t="str">
        <f t="shared" si="1684"/>
        <v>1</v>
      </c>
      <c r="BM564" s="15" t="s">
        <v>416</v>
      </c>
      <c r="BN564" s="15" t="str">
        <f>"73.43"</f>
        <v>73.43</v>
      </c>
      <c r="BO564" s="15" t="str">
        <f>"40.94"</f>
        <v>40.94</v>
      </c>
      <c r="BP564" s="15" t="str">
        <f>"27.76"</f>
        <v>27.76</v>
      </c>
      <c r="BQ564" s="15" t="str">
        <f>"160.49"</f>
        <v>160.49</v>
      </c>
      <c r="CG564" s="15" t="str">
        <f>"48.28"</f>
        <v>48.28</v>
      </c>
      <c r="CH564" s="15" t="str">
        <f>"1.367"</f>
        <v>1.367</v>
      </c>
      <c r="CI564" s="15" t="s">
        <v>417</v>
      </c>
      <c r="CP564" s="15" t="s">
        <v>673</v>
      </c>
      <c r="CQ564" s="15" t="s">
        <v>870</v>
      </c>
      <c r="CR564" s="15" t="s">
        <v>4058</v>
      </c>
      <c r="CS564" s="15" t="s">
        <v>2652</v>
      </c>
      <c r="CT564" s="15" t="s">
        <v>2738</v>
      </c>
      <c r="CU564" s="15" t="s">
        <v>6471</v>
      </c>
      <c r="CV564" s="15">
        <v>0.0</v>
      </c>
      <c r="CW564" s="15">
        <v>2.0</v>
      </c>
      <c r="CX564" s="15" t="s">
        <v>717</v>
      </c>
      <c r="CY564" s="15" t="s">
        <v>718</v>
      </c>
      <c r="DC564" s="15" t="s">
        <v>6472</v>
      </c>
      <c r="DF564" s="15" t="s">
        <v>721</v>
      </c>
      <c r="DG564" s="15" t="s">
        <v>419</v>
      </c>
      <c r="DH564" s="15">
        <v>0.0</v>
      </c>
      <c r="DL564" s="15">
        <v>0.0</v>
      </c>
      <c r="DM564" s="15" t="s">
        <v>990</v>
      </c>
      <c r="DN564" s="15" t="s">
        <v>723</v>
      </c>
      <c r="DO564" s="15" t="s">
        <v>724</v>
      </c>
      <c r="DP564" s="15">
        <v>2.0</v>
      </c>
      <c r="DQ564" s="15">
        <v>3.0</v>
      </c>
      <c r="DS564" s="15" t="s">
        <v>6459</v>
      </c>
      <c r="DT564" s="15">
        <v>0.0</v>
      </c>
      <c r="DU564" s="15" t="s">
        <v>473</v>
      </c>
      <c r="DV564" s="15" t="s">
        <v>1068</v>
      </c>
      <c r="DW564" s="15" t="s">
        <v>761</v>
      </c>
      <c r="DX564" s="15" t="s">
        <v>6473</v>
      </c>
      <c r="EB564" s="15" t="s">
        <v>732</v>
      </c>
      <c r="EC564" s="15" t="s">
        <v>1070</v>
      </c>
      <c r="ED564" s="15" t="s">
        <v>714</v>
      </c>
      <c r="EE564" s="15" t="s">
        <v>6474</v>
      </c>
      <c r="EF564" s="15" t="s">
        <v>2465</v>
      </c>
      <c r="EG564" s="15" t="s">
        <v>6475</v>
      </c>
      <c r="EH564" s="15" t="s">
        <v>6476</v>
      </c>
      <c r="EI564" s="15" t="s">
        <v>2020</v>
      </c>
      <c r="EL564" s="15" t="s">
        <v>723</v>
      </c>
      <c r="EM564" s="15" t="s">
        <v>724</v>
      </c>
      <c r="EN564" s="15" t="s">
        <v>3408</v>
      </c>
      <c r="EO564" s="15" t="s">
        <v>6461</v>
      </c>
      <c r="EU564" s="15" t="s">
        <v>426</v>
      </c>
      <c r="FB564" s="15" t="s">
        <v>736</v>
      </c>
    </row>
    <row r="565" ht="17.25" customHeight="1">
      <c r="A565" s="15" t="s">
        <v>6479</v>
      </c>
      <c r="B565" s="15" t="str">
        <f>"801542849702"</f>
        <v>801542849702</v>
      </c>
      <c r="C565" s="15" t="s">
        <v>17985</v>
      </c>
      <c r="D565" s="15" t="str">
        <f t="shared" si="1"/>
        <v>Larkin SofaCigar87.75</v>
      </c>
      <c r="E565" s="15" t="s">
        <v>6462</v>
      </c>
      <c r="F565" s="15" t="s">
        <v>397</v>
      </c>
      <c r="G565" s="15" t="s">
        <v>692</v>
      </c>
      <c r="H565" s="15" t="s">
        <v>265</v>
      </c>
      <c r="I565" s="15" t="s">
        <v>6478</v>
      </c>
      <c r="J565" s="15" t="s">
        <v>692</v>
      </c>
      <c r="K565" s="15" t="s">
        <v>704</v>
      </c>
      <c r="L565" s="15" t="s">
        <v>705</v>
      </c>
      <c r="M565" s="15" t="s">
        <v>703</v>
      </c>
      <c r="N565" s="15" t="s">
        <v>1732</v>
      </c>
      <c r="P565" s="15" t="str">
        <f>"87.75"</f>
        <v>87.75</v>
      </c>
      <c r="Q565" s="15" t="str">
        <f>"39.75"</f>
        <v>39.75</v>
      </c>
      <c r="R565" s="15" t="str">
        <f>"34.75"</f>
        <v>34.75</v>
      </c>
      <c r="S565" s="15" t="str">
        <f>"145"</f>
        <v>145</v>
      </c>
      <c r="T565" s="15" t="s">
        <v>697</v>
      </c>
      <c r="U565" s="15" t="s">
        <v>11137</v>
      </c>
      <c r="V565" s="15" t="s">
        <v>11138</v>
      </c>
      <c r="W565" s="15" t="s">
        <v>11139</v>
      </c>
      <c r="AA565" s="15" t="s">
        <v>413</v>
      </c>
      <c r="AB565" s="15" t="s">
        <v>413</v>
      </c>
      <c r="AC565" s="15" t="s">
        <v>6456</v>
      </c>
      <c r="AD565" s="15" t="s">
        <v>17997</v>
      </c>
      <c r="AE565" s="15" t="s">
        <v>6481</v>
      </c>
      <c r="AF565" s="15" t="s">
        <v>17998</v>
      </c>
      <c r="AG565" s="15" t="s">
        <v>17999</v>
      </c>
      <c r="AH565" s="15" t="s">
        <v>18000</v>
      </c>
      <c r="AI565" s="15" t="s">
        <v>18001</v>
      </c>
      <c r="AJ565" s="15" t="s">
        <v>18002</v>
      </c>
      <c r="AK565" s="15" t="s">
        <v>18003</v>
      </c>
      <c r="BH565" s="15" t="s">
        <v>6477</v>
      </c>
      <c r="BI565" s="15" t="str">
        <f>"5199"</f>
        <v>5199</v>
      </c>
      <c r="BJ565" s="15" t="str">
        <f>"2185"</f>
        <v>2185</v>
      </c>
      <c r="BK565" s="15" t="s">
        <v>709</v>
      </c>
      <c r="BL565" s="15" t="str">
        <f t="shared" si="1684"/>
        <v>1</v>
      </c>
      <c r="BM565" s="15" t="s">
        <v>416</v>
      </c>
      <c r="BN565" s="15" t="str">
        <f>"89"</f>
        <v>89</v>
      </c>
      <c r="BO565" s="15" t="str">
        <f>"42"</f>
        <v>42</v>
      </c>
      <c r="BP565" s="15" t="str">
        <f>"27.75"</f>
        <v>27.75</v>
      </c>
      <c r="BQ565" s="15" t="str">
        <f>"182"</f>
        <v>182</v>
      </c>
      <c r="CG565" s="15" t="str">
        <f>"60.03"</f>
        <v>60.03</v>
      </c>
      <c r="CH565" s="15" t="str">
        <f>"1.7"</f>
        <v>1.7</v>
      </c>
      <c r="CI565" s="15" t="s">
        <v>465</v>
      </c>
      <c r="CP565" s="15" t="s">
        <v>4987</v>
      </c>
      <c r="CQ565" s="15" t="s">
        <v>870</v>
      </c>
      <c r="CR565" s="15" t="s">
        <v>6488</v>
      </c>
      <c r="CS565" s="15" t="s">
        <v>1482</v>
      </c>
      <c r="CT565" s="15" t="s">
        <v>2738</v>
      </c>
      <c r="CU565" s="15" t="s">
        <v>6489</v>
      </c>
      <c r="CV565" s="15">
        <v>0.0</v>
      </c>
      <c r="CW565" s="15">
        <v>2.0</v>
      </c>
      <c r="CX565" s="15" t="s">
        <v>717</v>
      </c>
      <c r="CY565" s="15" t="s">
        <v>718</v>
      </c>
      <c r="DC565" s="15" t="s">
        <v>6490</v>
      </c>
      <c r="DF565" s="15" t="s">
        <v>721</v>
      </c>
      <c r="DG565" s="15" t="s">
        <v>419</v>
      </c>
      <c r="DH565" s="15">
        <v>0.0</v>
      </c>
      <c r="DL565" s="15">
        <v>0.0</v>
      </c>
      <c r="DM565" s="15" t="s">
        <v>990</v>
      </c>
      <c r="DN565" s="15" t="s">
        <v>723</v>
      </c>
      <c r="DO565" s="15" t="s">
        <v>724</v>
      </c>
      <c r="DP565" s="15">
        <v>2.0</v>
      </c>
      <c r="DQ565" s="15">
        <v>3.0</v>
      </c>
      <c r="DS565" s="15" t="s">
        <v>6459</v>
      </c>
      <c r="DT565" s="15">
        <v>0.0</v>
      </c>
      <c r="DU565" s="15" t="s">
        <v>473</v>
      </c>
      <c r="DV565" s="15" t="s">
        <v>1068</v>
      </c>
      <c r="DW565" s="15" t="s">
        <v>761</v>
      </c>
      <c r="DX565" s="15" t="s">
        <v>734</v>
      </c>
      <c r="EB565" s="15" t="s">
        <v>732</v>
      </c>
      <c r="EC565" s="15" t="s">
        <v>1070</v>
      </c>
      <c r="ED565" s="15" t="s">
        <v>714</v>
      </c>
      <c r="EE565" s="15" t="s">
        <v>6491</v>
      </c>
      <c r="EF565" s="15" t="s">
        <v>2465</v>
      </c>
      <c r="EG565" s="15" t="s">
        <v>1240</v>
      </c>
      <c r="EH565" s="15" t="s">
        <v>6492</v>
      </c>
      <c r="EI565" s="15" t="s">
        <v>2598</v>
      </c>
      <c r="EL565" s="15" t="s">
        <v>723</v>
      </c>
      <c r="EM565" s="15" t="s">
        <v>724</v>
      </c>
      <c r="EN565" s="15" t="s">
        <v>3408</v>
      </c>
      <c r="EO565" s="15" t="s">
        <v>6493</v>
      </c>
      <c r="EU565" s="15" t="s">
        <v>426</v>
      </c>
      <c r="FB565" s="15" t="s">
        <v>736</v>
      </c>
    </row>
    <row r="566" ht="17.25" customHeight="1">
      <c r="A566" s="15" t="s">
        <v>6497</v>
      </c>
      <c r="B566" s="15" t="str">
        <f>"801542414900"</f>
        <v>801542414900</v>
      </c>
      <c r="C566" s="15" t="s">
        <v>18004</v>
      </c>
      <c r="D566" s="15" t="str">
        <f t="shared" si="1"/>
        <v>Lauren DeskCharcoal Oak Resawn Veneer</v>
      </c>
      <c r="E566" s="15" t="s">
        <v>6494</v>
      </c>
      <c r="F566" s="15" t="s">
        <v>397</v>
      </c>
      <c r="G566" s="15" t="s">
        <v>6496</v>
      </c>
      <c r="J566" s="15" t="s">
        <v>6496</v>
      </c>
      <c r="K566" s="15" t="s">
        <v>6500</v>
      </c>
      <c r="L566" s="15" t="s">
        <v>6501</v>
      </c>
      <c r="M566" s="15" t="s">
        <v>2759</v>
      </c>
      <c r="N566" s="15" t="s">
        <v>2134</v>
      </c>
      <c r="O566" s="15" t="s">
        <v>2135</v>
      </c>
      <c r="P566" s="15" t="str">
        <f t="shared" ref="P566:P568" si="1685">"70.75"</f>
        <v>70.75</v>
      </c>
      <c r="Q566" s="15" t="str">
        <f t="shared" ref="Q566:Q568" si="1686">"27.5"</f>
        <v>27.5</v>
      </c>
      <c r="R566" s="15" t="str">
        <f t="shared" ref="R566:R568" si="1687">"30.75"</f>
        <v>30.75</v>
      </c>
      <c r="S566" s="15" t="str">
        <f t="shared" ref="S566:S568" si="1688">"252.43"</f>
        <v>252.43</v>
      </c>
      <c r="T566" s="15" t="s">
        <v>6499</v>
      </c>
      <c r="U566" s="15" t="s">
        <v>14167</v>
      </c>
      <c r="V566" s="15" t="s">
        <v>11139</v>
      </c>
      <c r="AA566" s="15" t="s">
        <v>413</v>
      </c>
      <c r="AB566" s="15" t="s">
        <v>413</v>
      </c>
      <c r="AC566" s="15" t="s">
        <v>6502</v>
      </c>
      <c r="AD566" s="15" t="s">
        <v>18005</v>
      </c>
      <c r="AE566" s="15" t="s">
        <v>6498</v>
      </c>
      <c r="AF566" s="15" t="s">
        <v>18006</v>
      </c>
      <c r="AG566" s="15" t="s">
        <v>18007</v>
      </c>
      <c r="AH566" s="15" t="s">
        <v>18008</v>
      </c>
      <c r="AI566" s="15" t="s">
        <v>18009</v>
      </c>
      <c r="AJ566" s="15" t="s">
        <v>18010</v>
      </c>
      <c r="AK566" s="15" t="s">
        <v>18011</v>
      </c>
      <c r="AL566" s="15" t="s">
        <v>18012</v>
      </c>
      <c r="AM566" s="15" t="s">
        <v>18013</v>
      </c>
      <c r="AN566" s="15" t="s">
        <v>18014</v>
      </c>
      <c r="AO566" s="15" t="s">
        <v>18015</v>
      </c>
      <c r="AP566" s="15" t="s">
        <v>18016</v>
      </c>
      <c r="AQ566" s="15" t="s">
        <v>18017</v>
      </c>
      <c r="BH566" s="15" t="s">
        <v>6495</v>
      </c>
      <c r="BI566" s="15" t="str">
        <f>"3499"</f>
        <v>3499</v>
      </c>
      <c r="BJ566" s="15" t="str">
        <f>"1470"</f>
        <v>1470</v>
      </c>
      <c r="BK566" s="15" t="s">
        <v>742</v>
      </c>
      <c r="BL566" s="15" t="str">
        <f t="shared" si="1684"/>
        <v>1</v>
      </c>
      <c r="BM566" s="15" t="s">
        <v>416</v>
      </c>
      <c r="BN566" s="15" t="str">
        <f t="shared" ref="BN566:BN568" si="1689">"74.61"</f>
        <v>74.61</v>
      </c>
      <c r="BO566" s="15" t="str">
        <f t="shared" ref="BO566:BO568" si="1690">"31.5"</f>
        <v>31.5</v>
      </c>
      <c r="BP566" s="15" t="str">
        <f t="shared" ref="BP566:BP568" si="1691">"25.59"</f>
        <v>25.59</v>
      </c>
      <c r="BQ566" s="15" t="str">
        <f t="shared" ref="BQ566:BQ568" si="1692">"328.49"</f>
        <v>328.49</v>
      </c>
      <c r="CG566" s="15" t="str">
        <f t="shared" ref="CG566:CG568" si="1693">"34.78"</f>
        <v>34.78</v>
      </c>
      <c r="CH566" s="15" t="str">
        <f t="shared" ref="CH566:CH568" si="1694">"0.985"</f>
        <v>0.985</v>
      </c>
      <c r="CI566" s="15" t="s">
        <v>465</v>
      </c>
      <c r="CM566" s="15" t="s">
        <v>3068</v>
      </c>
      <c r="CN566" s="15" t="s">
        <v>1428</v>
      </c>
      <c r="CO566" s="15" t="s">
        <v>987</v>
      </c>
      <c r="CZ566" s="15" t="s">
        <v>4002</v>
      </c>
      <c r="DA566" s="15">
        <v>4.0</v>
      </c>
      <c r="DB566" s="15" t="s">
        <v>2601</v>
      </c>
      <c r="DD566" s="15">
        <v>0.0</v>
      </c>
      <c r="DF566" s="15" t="s">
        <v>1388</v>
      </c>
      <c r="DG566" s="15" t="s">
        <v>421</v>
      </c>
      <c r="DK566" s="15">
        <v>3.0</v>
      </c>
      <c r="DR566" s="15" t="s">
        <v>2137</v>
      </c>
      <c r="DS566" s="15" t="s">
        <v>6505</v>
      </c>
      <c r="DU566" s="15" t="s">
        <v>424</v>
      </c>
      <c r="EF566" s="15" t="s">
        <v>2651</v>
      </c>
      <c r="EG566" s="15" t="s">
        <v>716</v>
      </c>
      <c r="EH566" s="15" t="s">
        <v>6506</v>
      </c>
      <c r="EQ566" s="15" t="s">
        <v>2046</v>
      </c>
      <c r="ER566" s="15" t="s">
        <v>1118</v>
      </c>
      <c r="ES566" s="15" t="s">
        <v>2046</v>
      </c>
      <c r="ET566" s="15" t="s">
        <v>1517</v>
      </c>
      <c r="EU566" s="15" t="s">
        <v>426</v>
      </c>
      <c r="EV566" s="15">
        <v>3.0</v>
      </c>
      <c r="FE566" s="15" t="s">
        <v>1118</v>
      </c>
      <c r="FK566" s="15" t="s">
        <v>2808</v>
      </c>
      <c r="FL566" s="15" t="s">
        <v>612</v>
      </c>
      <c r="FM566" s="15" t="s">
        <v>1550</v>
      </c>
      <c r="FP566" s="15" t="s">
        <v>785</v>
      </c>
      <c r="FQ566" s="15">
        <v>2.0</v>
      </c>
      <c r="FR566" s="15" t="s">
        <v>614</v>
      </c>
      <c r="FU566" s="15" t="s">
        <v>426</v>
      </c>
      <c r="FW566" s="15" t="s">
        <v>616</v>
      </c>
      <c r="FZ566" s="15" t="s">
        <v>6507</v>
      </c>
      <c r="GA566" s="15" t="s">
        <v>6507</v>
      </c>
      <c r="GB566" s="15" t="s">
        <v>2974</v>
      </c>
      <c r="GC566" s="15" t="s">
        <v>1121</v>
      </c>
      <c r="GD566" s="15" t="s">
        <v>6508</v>
      </c>
      <c r="GE566" s="15" t="s">
        <v>6508</v>
      </c>
      <c r="GF566" s="15" t="s">
        <v>838</v>
      </c>
      <c r="GH566" s="15" t="s">
        <v>764</v>
      </c>
      <c r="GI566" s="15" t="s">
        <v>426</v>
      </c>
      <c r="GJ566" s="15" t="s">
        <v>3068</v>
      </c>
      <c r="GK566" s="15" t="s">
        <v>1428</v>
      </c>
      <c r="GL566" s="15" t="s">
        <v>1550</v>
      </c>
      <c r="GM566" s="15">
        <v>0.0</v>
      </c>
      <c r="GZ566" s="15" t="s">
        <v>3068</v>
      </c>
      <c r="HB566" s="15" t="s">
        <v>1428</v>
      </c>
      <c r="HD566" s="15" t="s">
        <v>1550</v>
      </c>
      <c r="HF566" s="15" t="s">
        <v>789</v>
      </c>
      <c r="HG566" s="15" t="s">
        <v>6507</v>
      </c>
      <c r="HH566" s="15" t="s">
        <v>6507</v>
      </c>
      <c r="HI566" s="15" t="s">
        <v>2144</v>
      </c>
      <c r="HJ566" s="15" t="s">
        <v>526</v>
      </c>
      <c r="HK566" s="15" t="s">
        <v>6508</v>
      </c>
      <c r="HL566" s="15" t="s">
        <v>6508</v>
      </c>
      <c r="HM566" s="15" t="s">
        <v>2808</v>
      </c>
      <c r="HN566" s="15" t="s">
        <v>612</v>
      </c>
      <c r="HO566" s="15" t="s">
        <v>987</v>
      </c>
      <c r="HP566" s="15" t="s">
        <v>426</v>
      </c>
      <c r="HQ566" s="15" t="s">
        <v>426</v>
      </c>
    </row>
    <row r="567" ht="17.25" customHeight="1">
      <c r="A567" s="15" t="s">
        <v>6510</v>
      </c>
      <c r="B567" s="15" t="str">
        <f>"801542081232"</f>
        <v>801542081232</v>
      </c>
      <c r="C567" s="15" t="s">
        <v>18018</v>
      </c>
      <c r="D567" s="15" t="str">
        <f t="shared" si="1"/>
        <v>Lauren DeskNatural Peroba</v>
      </c>
      <c r="E567" s="15" t="s">
        <v>6494</v>
      </c>
      <c r="F567" s="15" t="s">
        <v>397</v>
      </c>
      <c r="G567" s="15" t="s">
        <v>3649</v>
      </c>
      <c r="J567" s="15" t="s">
        <v>3649</v>
      </c>
      <c r="K567" s="15" t="s">
        <v>6500</v>
      </c>
      <c r="L567" s="15" t="s">
        <v>6513</v>
      </c>
      <c r="M567" s="15" t="s">
        <v>2759</v>
      </c>
      <c r="N567" s="15" t="s">
        <v>2134</v>
      </c>
      <c r="O567" s="15" t="s">
        <v>2135</v>
      </c>
      <c r="P567" s="15" t="str">
        <f t="shared" si="1685"/>
        <v>70.75</v>
      </c>
      <c r="Q567" s="15" t="str">
        <f t="shared" si="1686"/>
        <v>27.5</v>
      </c>
      <c r="R567" s="15" t="str">
        <f t="shared" si="1687"/>
        <v>30.75</v>
      </c>
      <c r="S567" s="15" t="str">
        <f t="shared" si="1688"/>
        <v>252.43</v>
      </c>
      <c r="T567" s="15" t="s">
        <v>6512</v>
      </c>
      <c r="U567" s="15" t="s">
        <v>14147</v>
      </c>
      <c r="V567" s="15" t="s">
        <v>11139</v>
      </c>
      <c r="W567" s="15" t="s">
        <v>18019</v>
      </c>
      <c r="AA567" s="15" t="s">
        <v>413</v>
      </c>
      <c r="AB567" s="15" t="s">
        <v>413</v>
      </c>
      <c r="AC567" s="15" t="s">
        <v>6514</v>
      </c>
      <c r="AD567" s="15" t="s">
        <v>18020</v>
      </c>
      <c r="AE567" s="15" t="s">
        <v>6511</v>
      </c>
      <c r="AF567" s="15" t="s">
        <v>18021</v>
      </c>
      <c r="AG567" s="15" t="s">
        <v>18022</v>
      </c>
      <c r="AH567" s="15" t="s">
        <v>18023</v>
      </c>
      <c r="AI567" s="15" t="s">
        <v>18024</v>
      </c>
      <c r="AJ567" s="15" t="s">
        <v>18025</v>
      </c>
      <c r="AK567" s="15" t="s">
        <v>18026</v>
      </c>
      <c r="AL567" s="15" t="s">
        <v>18027</v>
      </c>
      <c r="AM567" s="15" t="s">
        <v>18028</v>
      </c>
      <c r="AN567" s="15" t="s">
        <v>18029</v>
      </c>
      <c r="AO567" s="15" t="s">
        <v>18030</v>
      </c>
      <c r="AP567" s="15" t="s">
        <v>18031</v>
      </c>
      <c r="AQ567" s="15" t="s">
        <v>18032</v>
      </c>
      <c r="AR567" s="15" t="s">
        <v>18033</v>
      </c>
      <c r="AS567" s="15" t="s">
        <v>18034</v>
      </c>
      <c r="AT567" s="15" t="s">
        <v>18035</v>
      </c>
      <c r="AU567" s="15" t="s">
        <v>18036</v>
      </c>
      <c r="AV567" s="15" t="s">
        <v>18037</v>
      </c>
      <c r="AW567" s="15" t="s">
        <v>18038</v>
      </c>
      <c r="AX567" s="15" t="s">
        <v>18039</v>
      </c>
      <c r="AY567" s="15" t="s">
        <v>18040</v>
      </c>
      <c r="AZ567" s="15" t="s">
        <v>18041</v>
      </c>
      <c r="BH567" s="15" t="s">
        <v>6509</v>
      </c>
      <c r="BI567" s="15" t="str">
        <f>"3099"</f>
        <v>3099</v>
      </c>
      <c r="BJ567" s="15" t="str">
        <f>"1305"</f>
        <v>1305</v>
      </c>
      <c r="BK567" s="15" t="s">
        <v>742</v>
      </c>
      <c r="BL567" s="15" t="str">
        <f t="shared" si="1684"/>
        <v>1</v>
      </c>
      <c r="BM567" s="15" t="s">
        <v>416</v>
      </c>
      <c r="BN567" s="15" t="str">
        <f t="shared" si="1689"/>
        <v>74.61</v>
      </c>
      <c r="BO567" s="15" t="str">
        <f t="shared" si="1690"/>
        <v>31.5</v>
      </c>
      <c r="BP567" s="15" t="str">
        <f t="shared" si="1691"/>
        <v>25.59</v>
      </c>
      <c r="BQ567" s="15" t="str">
        <f t="shared" si="1692"/>
        <v>328.49</v>
      </c>
      <c r="CG567" s="15" t="str">
        <f t="shared" si="1693"/>
        <v>34.78</v>
      </c>
      <c r="CH567" s="15" t="str">
        <f t="shared" si="1694"/>
        <v>0.985</v>
      </c>
      <c r="CI567" s="15" t="s">
        <v>465</v>
      </c>
      <c r="CM567" s="15" t="s">
        <v>3068</v>
      </c>
      <c r="CN567" s="15" t="s">
        <v>1428</v>
      </c>
      <c r="CO567" s="15" t="s">
        <v>987</v>
      </c>
      <c r="CZ567" s="15" t="s">
        <v>4002</v>
      </c>
      <c r="DA567" s="15">
        <v>4.0</v>
      </c>
      <c r="DB567" s="15" t="s">
        <v>2601</v>
      </c>
      <c r="DD567" s="15">
        <v>0.0</v>
      </c>
      <c r="DF567" s="15" t="s">
        <v>1388</v>
      </c>
      <c r="DG567" s="15" t="s">
        <v>421</v>
      </c>
      <c r="DK567" s="15">
        <v>3.0</v>
      </c>
      <c r="DR567" s="15" t="s">
        <v>2137</v>
      </c>
      <c r="DS567" s="15" t="s">
        <v>6505</v>
      </c>
      <c r="DU567" s="15" t="s">
        <v>424</v>
      </c>
      <c r="EF567" s="15" t="s">
        <v>2651</v>
      </c>
      <c r="EG567" s="15" t="s">
        <v>716</v>
      </c>
      <c r="EH567" s="15" t="s">
        <v>6506</v>
      </c>
      <c r="EQ567" s="15" t="s">
        <v>2046</v>
      </c>
      <c r="ER567" s="15" t="s">
        <v>1118</v>
      </c>
      <c r="ES567" s="15" t="s">
        <v>2046</v>
      </c>
      <c r="ET567" s="15" t="s">
        <v>1517</v>
      </c>
      <c r="EU567" s="15" t="s">
        <v>426</v>
      </c>
      <c r="EV567" s="15">
        <v>3.0</v>
      </c>
      <c r="FE567" s="15" t="s">
        <v>1118</v>
      </c>
      <c r="FK567" s="15" t="s">
        <v>2808</v>
      </c>
      <c r="FL567" s="15" t="s">
        <v>612</v>
      </c>
      <c r="FM567" s="15" t="s">
        <v>1550</v>
      </c>
      <c r="FP567" s="15" t="s">
        <v>785</v>
      </c>
      <c r="FQ567" s="15">
        <v>2.0</v>
      </c>
      <c r="FR567" s="15" t="s">
        <v>614</v>
      </c>
      <c r="FU567" s="15" t="s">
        <v>426</v>
      </c>
      <c r="FW567" s="15" t="s">
        <v>616</v>
      </c>
      <c r="FZ567" s="15" t="s">
        <v>6507</v>
      </c>
      <c r="GA567" s="15" t="s">
        <v>6507</v>
      </c>
      <c r="GB567" s="15" t="s">
        <v>2974</v>
      </c>
      <c r="GC567" s="15" t="s">
        <v>1121</v>
      </c>
      <c r="GD567" s="15" t="s">
        <v>6508</v>
      </c>
      <c r="GE567" s="15" t="s">
        <v>6508</v>
      </c>
      <c r="GF567" s="15" t="s">
        <v>838</v>
      </c>
      <c r="GH567" s="15" t="s">
        <v>764</v>
      </c>
      <c r="GI567" s="15" t="s">
        <v>426</v>
      </c>
      <c r="GJ567" s="15" t="s">
        <v>3068</v>
      </c>
      <c r="GK567" s="15" t="s">
        <v>1428</v>
      </c>
      <c r="GL567" s="15" t="s">
        <v>1550</v>
      </c>
      <c r="GM567" s="15">
        <v>0.0</v>
      </c>
      <c r="GZ567" s="15" t="s">
        <v>3068</v>
      </c>
      <c r="HB567" s="15" t="s">
        <v>1428</v>
      </c>
      <c r="HD567" s="15" t="s">
        <v>1550</v>
      </c>
      <c r="HF567" s="15" t="s">
        <v>789</v>
      </c>
      <c r="HG567" s="15" t="s">
        <v>6507</v>
      </c>
      <c r="HH567" s="15" t="s">
        <v>6507</v>
      </c>
      <c r="HI567" s="15" t="s">
        <v>2144</v>
      </c>
      <c r="HJ567" s="15" t="s">
        <v>526</v>
      </c>
      <c r="HK567" s="15" t="s">
        <v>6508</v>
      </c>
      <c r="HL567" s="15" t="s">
        <v>6508</v>
      </c>
      <c r="HM567" s="15" t="s">
        <v>2808</v>
      </c>
      <c r="HN567" s="15" t="s">
        <v>612</v>
      </c>
      <c r="HO567" s="15" t="s">
        <v>987</v>
      </c>
      <c r="HP567" s="15" t="s">
        <v>426</v>
      </c>
      <c r="HQ567" s="15" t="s">
        <v>426</v>
      </c>
    </row>
    <row r="568" ht="17.25" customHeight="1">
      <c r="A568" s="15" t="s">
        <v>6516</v>
      </c>
      <c r="B568" s="15" t="str">
        <f>"801542761028"</f>
        <v>801542761028</v>
      </c>
      <c r="C568" s="15" t="s">
        <v>18042</v>
      </c>
      <c r="D568" s="15" t="str">
        <f t="shared" si="1"/>
        <v>Lauren DeskNatural Resawn Oak</v>
      </c>
      <c r="E568" s="15" t="s">
        <v>6494</v>
      </c>
      <c r="F568" s="15" t="s">
        <v>397</v>
      </c>
      <c r="G568" s="15" t="s">
        <v>3670</v>
      </c>
      <c r="J568" s="15" t="s">
        <v>3670</v>
      </c>
      <c r="K568" s="15" t="s">
        <v>6519</v>
      </c>
      <c r="L568" s="15" t="s">
        <v>6520</v>
      </c>
      <c r="M568" s="15" t="s">
        <v>2759</v>
      </c>
      <c r="N568" s="15" t="s">
        <v>2134</v>
      </c>
      <c r="O568" s="15" t="s">
        <v>2135</v>
      </c>
      <c r="P568" s="15" t="str">
        <f t="shared" si="1685"/>
        <v>70.75</v>
      </c>
      <c r="Q568" s="15" t="str">
        <f t="shared" si="1686"/>
        <v>27.5</v>
      </c>
      <c r="R568" s="15" t="str">
        <f t="shared" si="1687"/>
        <v>30.75</v>
      </c>
      <c r="S568" s="15" t="str">
        <f t="shared" si="1688"/>
        <v>252.43</v>
      </c>
      <c r="T568" s="15" t="s">
        <v>6518</v>
      </c>
      <c r="U568" s="15" t="s">
        <v>14167</v>
      </c>
      <c r="V568" s="15" t="s">
        <v>18043</v>
      </c>
      <c r="AA568" s="15" t="s">
        <v>413</v>
      </c>
      <c r="AB568" s="15" t="s">
        <v>413</v>
      </c>
      <c r="AC568" s="15" t="s">
        <v>6521</v>
      </c>
      <c r="AD568" s="15" t="s">
        <v>18044</v>
      </c>
      <c r="AE568" s="15" t="s">
        <v>6517</v>
      </c>
      <c r="AF568" s="15" t="s">
        <v>18045</v>
      </c>
      <c r="AG568" s="15" t="s">
        <v>18046</v>
      </c>
      <c r="AH568" s="15" t="s">
        <v>18047</v>
      </c>
      <c r="AI568" s="15" t="s">
        <v>18048</v>
      </c>
      <c r="AJ568" s="15" t="s">
        <v>18049</v>
      </c>
      <c r="AK568" s="15" t="s">
        <v>18050</v>
      </c>
      <c r="AL568" s="15" t="s">
        <v>18051</v>
      </c>
      <c r="AM568" s="15" t="s">
        <v>18052</v>
      </c>
      <c r="AN568" s="15" t="s">
        <v>18053</v>
      </c>
      <c r="AO568" s="15" t="s">
        <v>18054</v>
      </c>
      <c r="AP568" s="15" t="s">
        <v>18055</v>
      </c>
      <c r="BH568" s="15" t="s">
        <v>6515</v>
      </c>
      <c r="BI568" s="15" t="str">
        <f>"3499"</f>
        <v>3499</v>
      </c>
      <c r="BJ568" s="15" t="str">
        <f>"1470"</f>
        <v>1470</v>
      </c>
      <c r="BK568" s="15" t="s">
        <v>742</v>
      </c>
      <c r="BL568" s="15" t="str">
        <f t="shared" si="1684"/>
        <v>1</v>
      </c>
      <c r="BM568" s="15" t="s">
        <v>416</v>
      </c>
      <c r="BN568" s="15" t="str">
        <f t="shared" si="1689"/>
        <v>74.61</v>
      </c>
      <c r="BO568" s="15" t="str">
        <f t="shared" si="1690"/>
        <v>31.5</v>
      </c>
      <c r="BP568" s="15" t="str">
        <f t="shared" si="1691"/>
        <v>25.59</v>
      </c>
      <c r="BQ568" s="15" t="str">
        <f t="shared" si="1692"/>
        <v>328.49</v>
      </c>
      <c r="CG568" s="15" t="str">
        <f t="shared" si="1693"/>
        <v>34.78</v>
      </c>
      <c r="CH568" s="15" t="str">
        <f t="shared" si="1694"/>
        <v>0.985</v>
      </c>
      <c r="CI568" s="15" t="s">
        <v>465</v>
      </c>
      <c r="CM568" s="15" t="s">
        <v>3068</v>
      </c>
      <c r="CN568" s="15" t="s">
        <v>1428</v>
      </c>
      <c r="CO568" s="15" t="s">
        <v>987</v>
      </c>
      <c r="CZ568" s="15" t="s">
        <v>4002</v>
      </c>
      <c r="DA568" s="15">
        <v>4.0</v>
      </c>
      <c r="DB568" s="15" t="s">
        <v>2601</v>
      </c>
      <c r="DD568" s="15">
        <v>0.0</v>
      </c>
      <c r="DF568" s="15" t="s">
        <v>1388</v>
      </c>
      <c r="DG568" s="15" t="s">
        <v>421</v>
      </c>
      <c r="DK568" s="15">
        <v>3.0</v>
      </c>
      <c r="DR568" s="15" t="s">
        <v>2137</v>
      </c>
      <c r="DS568" s="15" t="s">
        <v>6505</v>
      </c>
      <c r="DU568" s="15" t="s">
        <v>424</v>
      </c>
      <c r="EF568" s="15" t="s">
        <v>2651</v>
      </c>
      <c r="EG568" s="15" t="s">
        <v>716</v>
      </c>
      <c r="EH568" s="15" t="s">
        <v>6506</v>
      </c>
      <c r="EQ568" s="15" t="s">
        <v>2046</v>
      </c>
      <c r="ER568" s="15" t="s">
        <v>1118</v>
      </c>
      <c r="ES568" s="15" t="s">
        <v>2046</v>
      </c>
      <c r="ET568" s="15" t="s">
        <v>1517</v>
      </c>
      <c r="EU568" s="15" t="s">
        <v>426</v>
      </c>
      <c r="EV568" s="15">
        <v>3.0</v>
      </c>
      <c r="FE568" s="15" t="s">
        <v>1118</v>
      </c>
      <c r="FK568" s="15" t="s">
        <v>2808</v>
      </c>
      <c r="FL568" s="15" t="s">
        <v>612</v>
      </c>
      <c r="FM568" s="15" t="s">
        <v>1550</v>
      </c>
      <c r="FP568" s="15" t="s">
        <v>785</v>
      </c>
      <c r="FQ568" s="15">
        <v>2.0</v>
      </c>
      <c r="FR568" s="15" t="s">
        <v>614</v>
      </c>
      <c r="FU568" s="15" t="s">
        <v>426</v>
      </c>
      <c r="FW568" s="15" t="s">
        <v>616</v>
      </c>
      <c r="FZ568" s="15" t="s">
        <v>6507</v>
      </c>
      <c r="GA568" s="15" t="s">
        <v>6507</v>
      </c>
      <c r="GB568" s="15" t="s">
        <v>2974</v>
      </c>
      <c r="GC568" s="15" t="s">
        <v>1121</v>
      </c>
      <c r="GD568" s="15" t="s">
        <v>6508</v>
      </c>
      <c r="GE568" s="15" t="s">
        <v>6508</v>
      </c>
      <c r="GF568" s="15" t="s">
        <v>838</v>
      </c>
      <c r="GH568" s="15" t="s">
        <v>764</v>
      </c>
      <c r="GI568" s="15" t="s">
        <v>426</v>
      </c>
      <c r="GJ568" s="15" t="s">
        <v>3068</v>
      </c>
      <c r="GK568" s="15" t="s">
        <v>1428</v>
      </c>
      <c r="GL568" s="15" t="s">
        <v>1550</v>
      </c>
      <c r="GM568" s="15">
        <v>0.0</v>
      </c>
      <c r="GZ568" s="15" t="s">
        <v>3068</v>
      </c>
      <c r="HB568" s="15" t="s">
        <v>1428</v>
      </c>
      <c r="HD568" s="15" t="s">
        <v>1550</v>
      </c>
      <c r="HF568" s="15" t="s">
        <v>789</v>
      </c>
      <c r="HG568" s="15" t="s">
        <v>6507</v>
      </c>
      <c r="HH568" s="15" t="s">
        <v>6507</v>
      </c>
      <c r="HI568" s="15" t="s">
        <v>2144</v>
      </c>
      <c r="HJ568" s="15" t="s">
        <v>526</v>
      </c>
      <c r="HK568" s="15" t="s">
        <v>6508</v>
      </c>
      <c r="HL568" s="15" t="s">
        <v>6508</v>
      </c>
      <c r="HM568" s="15" t="s">
        <v>2808</v>
      </c>
      <c r="HN568" s="15" t="s">
        <v>612</v>
      </c>
      <c r="HO568" s="15" t="s">
        <v>987</v>
      </c>
      <c r="HP568" s="15" t="s">
        <v>426</v>
      </c>
      <c r="HQ568" s="15" t="s">
        <v>426</v>
      </c>
    </row>
    <row r="569" ht="17.25" customHeight="1">
      <c r="A569" s="15" t="s">
        <v>6524</v>
      </c>
      <c r="B569" s="15" t="str">
        <f>"801542909048"</f>
        <v>801542909048</v>
      </c>
      <c r="C569" s="15" t="s">
        <v>18056</v>
      </c>
      <c r="D569" s="15" t="str">
        <f t="shared" si="1"/>
        <v>Leandro Coffee TableNatural Reclaimed French Oak</v>
      </c>
      <c r="E569" s="15" t="s">
        <v>6522</v>
      </c>
      <c r="F569" s="15" t="s">
        <v>397</v>
      </c>
      <c r="G569" s="15" t="s">
        <v>3142</v>
      </c>
      <c r="J569" s="15" t="s">
        <v>3142</v>
      </c>
      <c r="K569" s="15" t="s">
        <v>6528</v>
      </c>
      <c r="M569" s="15" t="s">
        <v>2759</v>
      </c>
      <c r="N569" s="15" t="s">
        <v>491</v>
      </c>
      <c r="P569" s="15" t="str">
        <f t="shared" ref="P569:Q569" si="1695">"55"</f>
        <v>55</v>
      </c>
      <c r="Q569" s="15" t="str">
        <f t="shared" si="1695"/>
        <v>55</v>
      </c>
      <c r="R569" s="15" t="str">
        <f>"14"</f>
        <v>14</v>
      </c>
      <c r="S569" s="15" t="str">
        <f>"228.4"</f>
        <v>228.4</v>
      </c>
      <c r="T569" s="15" t="s">
        <v>6527</v>
      </c>
      <c r="U569" s="15" t="s">
        <v>13534</v>
      </c>
      <c r="V569" s="15" t="s">
        <v>11338</v>
      </c>
      <c r="AA569" s="15" t="s">
        <v>413</v>
      </c>
      <c r="AB569" s="15" t="s">
        <v>413</v>
      </c>
      <c r="AC569" s="15" t="s">
        <v>6529</v>
      </c>
      <c r="AD569" s="15" t="s">
        <v>18057</v>
      </c>
      <c r="AE569" s="15" t="s">
        <v>6526</v>
      </c>
      <c r="AF569" s="15" t="s">
        <v>18058</v>
      </c>
      <c r="AG569" s="15" t="s">
        <v>18059</v>
      </c>
      <c r="AH569" s="15" t="s">
        <v>18060</v>
      </c>
      <c r="AI569" s="15" t="s">
        <v>18061</v>
      </c>
      <c r="AJ569" s="15" t="s">
        <v>18062</v>
      </c>
      <c r="AK569" s="15" t="s">
        <v>18063</v>
      </c>
      <c r="AL569" s="15" t="s">
        <v>18064</v>
      </c>
      <c r="AM569" s="15" t="s">
        <v>18065</v>
      </c>
      <c r="AN569" s="15" t="s">
        <v>18066</v>
      </c>
      <c r="AO569" s="15" t="s">
        <v>18067</v>
      </c>
      <c r="AP569" s="15" t="s">
        <v>18068</v>
      </c>
      <c r="BH569" s="15" t="s">
        <v>6523</v>
      </c>
      <c r="BI569" s="15" t="str">
        <f>"3999"</f>
        <v>3999</v>
      </c>
      <c r="BJ569" s="15" t="str">
        <f>"1680"</f>
        <v>1680</v>
      </c>
      <c r="BK569" s="15" t="s">
        <v>742</v>
      </c>
      <c r="BL569" s="15" t="str">
        <f t="shared" si="1684"/>
        <v>1</v>
      </c>
      <c r="BM569" s="15" t="s">
        <v>416</v>
      </c>
      <c r="BN569" s="15" t="str">
        <f>"58.66"</f>
        <v>58.66</v>
      </c>
      <c r="BO569" s="15" t="str">
        <f>"58.46"</f>
        <v>58.46</v>
      </c>
      <c r="BP569" s="15" t="str">
        <f>"22.64"</f>
        <v>22.64</v>
      </c>
      <c r="BQ569" s="15" t="str">
        <f>"295.42"</f>
        <v>295.42</v>
      </c>
      <c r="CG569" s="15" t="str">
        <f>"44.92"</f>
        <v>44.92</v>
      </c>
      <c r="CH569" s="15" t="str">
        <f>"1.272"</f>
        <v>1.272</v>
      </c>
      <c r="CI569" s="15" t="s">
        <v>497</v>
      </c>
      <c r="CZ569" s="15" t="s">
        <v>419</v>
      </c>
      <c r="DA569" s="15">
        <v>0.0</v>
      </c>
      <c r="DB569" s="15" t="s">
        <v>419</v>
      </c>
      <c r="DD569" s="15">
        <v>0.0</v>
      </c>
      <c r="DF569" s="15" t="s">
        <v>6531</v>
      </c>
      <c r="DG569" s="15" t="s">
        <v>419</v>
      </c>
      <c r="DK569" s="15">
        <v>0.0</v>
      </c>
      <c r="DR569" s="15" t="s">
        <v>498</v>
      </c>
      <c r="DS569" s="15" t="s">
        <v>6532</v>
      </c>
      <c r="DU569" s="15" t="s">
        <v>500</v>
      </c>
      <c r="EF569" s="15" t="s">
        <v>1444</v>
      </c>
      <c r="EQ569" s="15" t="s">
        <v>6533</v>
      </c>
      <c r="ER569" s="15" t="s">
        <v>1444</v>
      </c>
      <c r="ES569" s="15" t="s">
        <v>6533</v>
      </c>
      <c r="ET569" s="15" t="s">
        <v>1517</v>
      </c>
      <c r="EU569" s="15" t="s">
        <v>426</v>
      </c>
      <c r="EV569" s="15">
        <v>0.0</v>
      </c>
      <c r="EW569" s="15">
        <v>0.0</v>
      </c>
      <c r="FF569" s="15" t="s">
        <v>1512</v>
      </c>
    </row>
    <row r="570" ht="17.25" customHeight="1">
      <c r="A570" s="15" t="s">
        <v>6537</v>
      </c>
      <c r="B570" s="15" t="str">
        <f>"801542735944"</f>
        <v>801542735944</v>
      </c>
      <c r="C570" s="15" t="s">
        <v>18069</v>
      </c>
      <c r="D570" s="15" t="str">
        <f t="shared" si="1"/>
        <v>Leigh Upholstered BedHockney IvoryQueen</v>
      </c>
      <c r="E570" s="15" t="s">
        <v>6534</v>
      </c>
      <c r="F570" s="15" t="s">
        <v>397</v>
      </c>
      <c r="G570" s="15" t="s">
        <v>6536</v>
      </c>
      <c r="H570" s="15" t="s">
        <v>265</v>
      </c>
      <c r="I570" s="15" t="s">
        <v>877</v>
      </c>
      <c r="J570" s="15" t="s">
        <v>6536</v>
      </c>
      <c r="K570" s="15" t="s">
        <v>6545</v>
      </c>
      <c r="L570" s="15" t="s">
        <v>6546</v>
      </c>
      <c r="M570" s="15" t="s">
        <v>1474</v>
      </c>
      <c r="N570" s="15" t="s">
        <v>839</v>
      </c>
      <c r="O570" s="15" t="s">
        <v>877</v>
      </c>
      <c r="P570" s="15" t="str">
        <f>"65"</f>
        <v>65</v>
      </c>
      <c r="Q570" s="15" t="str">
        <f t="shared" ref="Q570:Q575" si="1696">"84.5"</f>
        <v>84.5</v>
      </c>
      <c r="R570" s="15" t="str">
        <f t="shared" ref="R570:R575" si="1697">"60.25"</f>
        <v>60.25</v>
      </c>
      <c r="S570" s="15" t="str">
        <f>"151.67"</f>
        <v>151.67</v>
      </c>
      <c r="T570" s="15" t="s">
        <v>6540</v>
      </c>
      <c r="U570" s="15" t="s">
        <v>14464</v>
      </c>
      <c r="V570" s="15" t="s">
        <v>13687</v>
      </c>
      <c r="W570" s="15" t="s">
        <v>11139</v>
      </c>
      <c r="X570" s="15" t="s">
        <v>18070</v>
      </c>
      <c r="AA570" s="15" t="s">
        <v>426</v>
      </c>
      <c r="AB570" s="15" t="s">
        <v>426</v>
      </c>
      <c r="AC570" s="15" t="s">
        <v>6547</v>
      </c>
      <c r="AD570" s="15" t="s">
        <v>18071</v>
      </c>
      <c r="AE570" s="15" t="s">
        <v>6539</v>
      </c>
      <c r="AF570" s="15" t="s">
        <v>18072</v>
      </c>
      <c r="AG570" s="15" t="s">
        <v>18073</v>
      </c>
      <c r="AH570" s="15" t="s">
        <v>18074</v>
      </c>
      <c r="AI570" s="15" t="s">
        <v>18075</v>
      </c>
      <c r="AJ570" s="15" t="s">
        <v>18076</v>
      </c>
      <c r="AK570" s="15" t="s">
        <v>18077</v>
      </c>
      <c r="AL570" s="15" t="s">
        <v>18078</v>
      </c>
      <c r="AM570" s="15" t="s">
        <v>18079</v>
      </c>
      <c r="BH570" s="15" t="s">
        <v>6535</v>
      </c>
      <c r="BI570" s="15" t="str">
        <f>"2599"</f>
        <v>2599</v>
      </c>
      <c r="BJ570" s="15" t="str">
        <f>"1095"</f>
        <v>1095</v>
      </c>
      <c r="BK570" s="15" t="s">
        <v>709</v>
      </c>
      <c r="BL570" s="15" t="str">
        <f t="shared" ref="BL570:BL575" si="1698">"2"</f>
        <v>2</v>
      </c>
      <c r="BM570" s="15" t="s">
        <v>926</v>
      </c>
      <c r="BN570" s="15" t="str">
        <f>"66.34"</f>
        <v>66.34</v>
      </c>
      <c r="BO570" s="15" t="str">
        <f>"7.68"</f>
        <v>7.68</v>
      </c>
      <c r="BP570" s="15" t="str">
        <f>"66.34"</f>
        <v>66.34</v>
      </c>
      <c r="BQ570" s="15" t="str">
        <f>"106.26"</f>
        <v>106.26</v>
      </c>
      <c r="BR570" s="15" t="s">
        <v>2966</v>
      </c>
      <c r="BS570" s="15" t="str">
        <f t="shared" ref="BS570:BS575" si="1699">"87.01"</f>
        <v>87.01</v>
      </c>
      <c r="BT570" s="15" t="str">
        <f>"13.39"</f>
        <v>13.39</v>
      </c>
      <c r="BU570" s="15" t="str">
        <f t="shared" ref="BU570:BU575" si="1700">"9.06"</f>
        <v>9.06</v>
      </c>
      <c r="BV570" s="15" t="str">
        <f>"84.66"</f>
        <v>84.66</v>
      </c>
      <c r="CG570" s="15" t="str">
        <f>"25.67"</f>
        <v>25.67</v>
      </c>
      <c r="CH570" s="15" t="str">
        <f>"0.727"</f>
        <v>0.727</v>
      </c>
      <c r="CI570" s="15" t="s">
        <v>465</v>
      </c>
      <c r="CY570" s="15" t="s">
        <v>855</v>
      </c>
      <c r="CZ570" s="15" t="s">
        <v>419</v>
      </c>
      <c r="DA570" s="15">
        <v>0.0</v>
      </c>
      <c r="DB570" s="15" t="s">
        <v>419</v>
      </c>
      <c r="DD570" s="15">
        <v>0.0</v>
      </c>
      <c r="DF570" s="15" t="s">
        <v>989</v>
      </c>
      <c r="DG570" s="15" t="s">
        <v>419</v>
      </c>
      <c r="DI570" s="15">
        <v>0.0</v>
      </c>
      <c r="DJ570" s="15">
        <v>0.0</v>
      </c>
      <c r="DK570" s="15">
        <v>0.0</v>
      </c>
      <c r="DL570" s="15">
        <v>25000.0</v>
      </c>
      <c r="DS570" s="15" t="s">
        <v>6552</v>
      </c>
      <c r="DU570" s="15" t="s">
        <v>858</v>
      </c>
      <c r="EO570" s="15" t="s">
        <v>1255</v>
      </c>
      <c r="EV570" s="15">
        <v>0.0</v>
      </c>
      <c r="HV570" s="15" t="s">
        <v>2221</v>
      </c>
      <c r="HW570" s="15" t="s">
        <v>2221</v>
      </c>
      <c r="HX570" s="15" t="s">
        <v>2221</v>
      </c>
      <c r="HY570" s="15" t="s">
        <v>2178</v>
      </c>
      <c r="HZ570" s="15" t="s">
        <v>2162</v>
      </c>
      <c r="IA570" s="15" t="s">
        <v>1134</v>
      </c>
      <c r="IB570" s="15" t="s">
        <v>6553</v>
      </c>
      <c r="IC570" s="15" t="s">
        <v>2498</v>
      </c>
      <c r="ID570" s="15" t="s">
        <v>1134</v>
      </c>
      <c r="IE570" s="15" t="s">
        <v>6554</v>
      </c>
      <c r="IF570" s="15" t="s">
        <v>2974</v>
      </c>
      <c r="IG570" s="15" t="s">
        <v>6555</v>
      </c>
      <c r="IH570" s="15" t="s">
        <v>862</v>
      </c>
      <c r="II570" s="15" t="s">
        <v>6556</v>
      </c>
      <c r="IJ570" s="15" t="s">
        <v>4685</v>
      </c>
      <c r="IK570" s="15" t="s">
        <v>426</v>
      </c>
      <c r="IL570" s="15" t="s">
        <v>2471</v>
      </c>
      <c r="IM570" s="15" t="s">
        <v>872</v>
      </c>
      <c r="IN570" s="15" t="s">
        <v>6557</v>
      </c>
      <c r="IO570" s="15" t="s">
        <v>877</v>
      </c>
    </row>
    <row r="571" ht="17.25" customHeight="1">
      <c r="A571" s="15" t="s">
        <v>6559</v>
      </c>
      <c r="B571" s="15" t="str">
        <f>"801542735913"</f>
        <v>801542735913</v>
      </c>
      <c r="C571" s="15" t="s">
        <v>18069</v>
      </c>
      <c r="D571" s="15" t="str">
        <f t="shared" si="1"/>
        <v>Leigh Upholstered BedHockney IvoryKing</v>
      </c>
      <c r="E571" s="15" t="s">
        <v>6534</v>
      </c>
      <c r="F571" s="15" t="s">
        <v>397</v>
      </c>
      <c r="G571" s="15" t="s">
        <v>6536</v>
      </c>
      <c r="H571" s="15" t="s">
        <v>265</v>
      </c>
      <c r="I571" s="15" t="s">
        <v>828</v>
      </c>
      <c r="J571" s="15" t="s">
        <v>6536</v>
      </c>
      <c r="K571" s="15" t="s">
        <v>6545</v>
      </c>
      <c r="L571" s="15" t="s">
        <v>6546</v>
      </c>
      <c r="M571" s="15" t="s">
        <v>1474</v>
      </c>
      <c r="N571" s="15" t="s">
        <v>839</v>
      </c>
      <c r="O571" s="15" t="s">
        <v>828</v>
      </c>
      <c r="P571" s="15" t="str">
        <f>"80.75"</f>
        <v>80.75</v>
      </c>
      <c r="Q571" s="15" t="str">
        <f t="shared" si="1696"/>
        <v>84.5</v>
      </c>
      <c r="R571" s="15" t="str">
        <f t="shared" si="1697"/>
        <v>60.25</v>
      </c>
      <c r="S571" s="15" t="str">
        <f>"171.3"</f>
        <v>171.3</v>
      </c>
      <c r="T571" s="15" t="s">
        <v>6540</v>
      </c>
      <c r="U571" s="15" t="s">
        <v>14464</v>
      </c>
      <c r="V571" s="15" t="s">
        <v>13687</v>
      </c>
      <c r="W571" s="15" t="s">
        <v>11139</v>
      </c>
      <c r="X571" s="15" t="s">
        <v>18070</v>
      </c>
      <c r="AA571" s="15" t="s">
        <v>426</v>
      </c>
      <c r="AB571" s="15" t="s">
        <v>426</v>
      </c>
      <c r="AC571" s="15" t="s">
        <v>6547</v>
      </c>
      <c r="AD571" s="15" t="s">
        <v>18080</v>
      </c>
      <c r="AE571" s="15" t="s">
        <v>6561</v>
      </c>
      <c r="AF571" s="15" t="s">
        <v>18081</v>
      </c>
      <c r="AG571" s="15" t="s">
        <v>18082</v>
      </c>
      <c r="AH571" s="15" t="s">
        <v>18074</v>
      </c>
      <c r="AI571" s="15" t="s">
        <v>18083</v>
      </c>
      <c r="AJ571" s="15" t="s">
        <v>18084</v>
      </c>
      <c r="AK571" s="15" t="s">
        <v>18085</v>
      </c>
      <c r="AL571" s="15" t="s">
        <v>18086</v>
      </c>
      <c r="BH571" s="15" t="s">
        <v>6558</v>
      </c>
      <c r="BI571" s="15" t="str">
        <f>"2899"</f>
        <v>2899</v>
      </c>
      <c r="BJ571" s="15" t="str">
        <f>"1220"</f>
        <v>1220</v>
      </c>
      <c r="BK571" s="15" t="s">
        <v>709</v>
      </c>
      <c r="BL571" s="15" t="str">
        <f t="shared" si="1698"/>
        <v>2</v>
      </c>
      <c r="BM571" s="15" t="s">
        <v>926</v>
      </c>
      <c r="BN571" s="15" t="str">
        <f>"82.68"</f>
        <v>82.68</v>
      </c>
      <c r="BO571" s="15" t="str">
        <f>"7.09"</f>
        <v>7.09</v>
      </c>
      <c r="BP571" s="15" t="str">
        <f>"65.35"</f>
        <v>65.35</v>
      </c>
      <c r="BQ571" s="15" t="str">
        <f>"115.96"</f>
        <v>115.96</v>
      </c>
      <c r="BR571" s="15" t="s">
        <v>2966</v>
      </c>
      <c r="BS571" s="15" t="str">
        <f t="shared" si="1699"/>
        <v>87.01</v>
      </c>
      <c r="BT571" s="15" t="str">
        <f>"13.78"</f>
        <v>13.78</v>
      </c>
      <c r="BU571" s="15" t="str">
        <f t="shared" si="1700"/>
        <v>9.06</v>
      </c>
      <c r="BV571" s="15" t="str">
        <f>"91.05"</f>
        <v>91.05</v>
      </c>
      <c r="CG571" s="15" t="str">
        <f>"28.43"</f>
        <v>28.43</v>
      </c>
      <c r="CH571" s="15" t="str">
        <f>"0.805"</f>
        <v>0.805</v>
      </c>
      <c r="CI571" s="15" t="s">
        <v>465</v>
      </c>
      <c r="CY571" s="15" t="s">
        <v>855</v>
      </c>
      <c r="CZ571" s="15" t="s">
        <v>419</v>
      </c>
      <c r="DA571" s="15">
        <v>0.0</v>
      </c>
      <c r="DB571" s="15" t="s">
        <v>419</v>
      </c>
      <c r="DD571" s="15">
        <v>0.0</v>
      </c>
      <c r="DF571" s="15" t="s">
        <v>989</v>
      </c>
      <c r="DG571" s="15" t="s">
        <v>419</v>
      </c>
      <c r="DI571" s="15">
        <v>0.0</v>
      </c>
      <c r="DJ571" s="15">
        <v>0.0</v>
      </c>
      <c r="DK571" s="15">
        <v>0.0</v>
      </c>
      <c r="DL571" s="15">
        <v>25000.0</v>
      </c>
      <c r="DS571" s="15" t="s">
        <v>6552</v>
      </c>
      <c r="DU571" s="15" t="s">
        <v>858</v>
      </c>
      <c r="EO571" s="15" t="s">
        <v>1255</v>
      </c>
      <c r="EV571" s="15">
        <v>0.0</v>
      </c>
      <c r="HV571" s="15" t="s">
        <v>2221</v>
      </c>
      <c r="HW571" s="15" t="s">
        <v>2221</v>
      </c>
      <c r="HX571" s="15" t="s">
        <v>2221</v>
      </c>
      <c r="HY571" s="15" t="s">
        <v>2178</v>
      </c>
      <c r="HZ571" s="15" t="s">
        <v>2162</v>
      </c>
      <c r="IA571" s="15" t="s">
        <v>4696</v>
      </c>
      <c r="IB571" s="15" t="s">
        <v>6553</v>
      </c>
      <c r="IC571" s="15" t="s">
        <v>2498</v>
      </c>
      <c r="ID571" s="15" t="s">
        <v>4696</v>
      </c>
      <c r="IE571" s="15" t="s">
        <v>6554</v>
      </c>
      <c r="IF571" s="15" t="s">
        <v>2974</v>
      </c>
      <c r="IG571" s="15" t="s">
        <v>6568</v>
      </c>
      <c r="IH571" s="15" t="s">
        <v>862</v>
      </c>
      <c r="II571" s="15" t="s">
        <v>6556</v>
      </c>
      <c r="IJ571" s="15" t="s">
        <v>4685</v>
      </c>
      <c r="IK571" s="15" t="s">
        <v>426</v>
      </c>
      <c r="IL571" s="15" t="s">
        <v>2471</v>
      </c>
      <c r="IM571" s="15" t="s">
        <v>872</v>
      </c>
      <c r="IN571" s="15" t="s">
        <v>6557</v>
      </c>
      <c r="IO571" s="15" t="s">
        <v>828</v>
      </c>
    </row>
    <row r="572" ht="17.25" customHeight="1">
      <c r="A572" s="15" t="s">
        <v>6571</v>
      </c>
      <c r="B572" s="15" t="str">
        <f>"801542341831"</f>
        <v>801542341831</v>
      </c>
      <c r="C572" s="15" t="s">
        <v>18087</v>
      </c>
      <c r="D572" s="15" t="str">
        <f t="shared" si="1"/>
        <v>Leigh Upholstered BedPalm EcruQueen</v>
      </c>
      <c r="E572" s="15" t="s">
        <v>6534</v>
      </c>
      <c r="F572" s="15" t="s">
        <v>397</v>
      </c>
      <c r="G572" s="15" t="s">
        <v>6570</v>
      </c>
      <c r="H572" s="15" t="s">
        <v>265</v>
      </c>
      <c r="I572" s="15" t="s">
        <v>877</v>
      </c>
      <c r="J572" s="15" t="s">
        <v>6570</v>
      </c>
      <c r="K572" s="15" t="s">
        <v>6545</v>
      </c>
      <c r="L572" s="15" t="s">
        <v>6575</v>
      </c>
      <c r="M572" s="15" t="s">
        <v>1474</v>
      </c>
      <c r="N572" s="15" t="s">
        <v>839</v>
      </c>
      <c r="O572" s="15" t="s">
        <v>877</v>
      </c>
      <c r="P572" s="15" t="str">
        <f>"65"</f>
        <v>65</v>
      </c>
      <c r="Q572" s="15" t="str">
        <f t="shared" si="1696"/>
        <v>84.5</v>
      </c>
      <c r="R572" s="15" t="str">
        <f t="shared" si="1697"/>
        <v>60.25</v>
      </c>
      <c r="S572" s="15" t="str">
        <f>"151.68"</f>
        <v>151.68</v>
      </c>
      <c r="T572" s="15" t="s">
        <v>6574</v>
      </c>
      <c r="U572" s="15" t="s">
        <v>18088</v>
      </c>
      <c r="V572" s="15" t="s">
        <v>11539</v>
      </c>
      <c r="W572" s="15" t="s">
        <v>11139</v>
      </c>
      <c r="X572" s="15" t="s">
        <v>18089</v>
      </c>
      <c r="Y572" s="15" t="s">
        <v>18090</v>
      </c>
      <c r="Z572" s="15" t="s">
        <v>18091</v>
      </c>
      <c r="AA572" s="15" t="s">
        <v>413</v>
      </c>
      <c r="AB572" s="15" t="s">
        <v>413</v>
      </c>
      <c r="AC572" s="15" t="s">
        <v>6576</v>
      </c>
      <c r="AD572" s="15" t="s">
        <v>18092</v>
      </c>
      <c r="AE572" s="15" t="s">
        <v>6573</v>
      </c>
      <c r="AF572" s="15" t="s">
        <v>18093</v>
      </c>
      <c r="AG572" s="15" t="s">
        <v>18094</v>
      </c>
      <c r="AH572" s="15" t="s">
        <v>18095</v>
      </c>
      <c r="AI572" s="15" t="s">
        <v>18096</v>
      </c>
      <c r="AJ572" s="15" t="s">
        <v>18097</v>
      </c>
      <c r="AK572" s="15" t="s">
        <v>18098</v>
      </c>
      <c r="AL572" s="15" t="s">
        <v>18099</v>
      </c>
      <c r="AM572" s="15" t="s">
        <v>18100</v>
      </c>
      <c r="AN572" s="15" t="s">
        <v>18101</v>
      </c>
      <c r="BH572" s="15" t="s">
        <v>6569</v>
      </c>
      <c r="BI572" s="15" t="str">
        <f>"2599"</f>
        <v>2599</v>
      </c>
      <c r="BJ572" s="15" t="str">
        <f>"1095"</f>
        <v>1095</v>
      </c>
      <c r="BK572" s="15" t="s">
        <v>709</v>
      </c>
      <c r="BL572" s="15" t="str">
        <f t="shared" si="1698"/>
        <v>2</v>
      </c>
      <c r="BM572" s="15" t="s">
        <v>926</v>
      </c>
      <c r="BN572" s="15" t="str">
        <f>"66.34"</f>
        <v>66.34</v>
      </c>
      <c r="BO572" s="15" t="str">
        <f>"7.68"</f>
        <v>7.68</v>
      </c>
      <c r="BP572" s="15" t="str">
        <f>"66.34"</f>
        <v>66.34</v>
      </c>
      <c r="BQ572" s="15" t="str">
        <f>"106.26"</f>
        <v>106.26</v>
      </c>
      <c r="BR572" s="15" t="s">
        <v>2966</v>
      </c>
      <c r="BS572" s="15" t="str">
        <f t="shared" si="1699"/>
        <v>87.01</v>
      </c>
      <c r="BT572" s="15" t="str">
        <f>"13.39"</f>
        <v>13.39</v>
      </c>
      <c r="BU572" s="15" t="str">
        <f t="shared" si="1700"/>
        <v>9.06</v>
      </c>
      <c r="BV572" s="15" t="str">
        <f>"84.66"</f>
        <v>84.66</v>
      </c>
      <c r="CG572" s="15" t="str">
        <f>"25.67"</f>
        <v>25.67</v>
      </c>
      <c r="CH572" s="15" t="str">
        <f>"0.727"</f>
        <v>0.727</v>
      </c>
      <c r="CI572" s="15" t="s">
        <v>465</v>
      </c>
      <c r="CY572" s="15" t="s">
        <v>855</v>
      </c>
      <c r="CZ572" s="15" t="s">
        <v>419</v>
      </c>
      <c r="DA572" s="15">
        <v>0.0</v>
      </c>
      <c r="DB572" s="15" t="s">
        <v>419</v>
      </c>
      <c r="DD572" s="15">
        <v>0.0</v>
      </c>
      <c r="DF572" s="15" t="s">
        <v>989</v>
      </c>
      <c r="DG572" s="15" t="s">
        <v>419</v>
      </c>
      <c r="DI572" s="15">
        <v>0.0</v>
      </c>
      <c r="DJ572" s="15">
        <v>0.0</v>
      </c>
      <c r="DK572" s="15">
        <v>0.0</v>
      </c>
      <c r="DL572" s="15">
        <v>100000.0</v>
      </c>
      <c r="DS572" s="15" t="s">
        <v>6552</v>
      </c>
      <c r="DU572" s="15" t="s">
        <v>858</v>
      </c>
      <c r="EO572" s="15" t="s">
        <v>1255</v>
      </c>
      <c r="EV572" s="15">
        <v>0.0</v>
      </c>
      <c r="HV572" s="15" t="s">
        <v>2221</v>
      </c>
      <c r="HW572" s="15" t="s">
        <v>2221</v>
      </c>
      <c r="HX572" s="15" t="s">
        <v>2221</v>
      </c>
      <c r="HY572" s="15" t="s">
        <v>2178</v>
      </c>
      <c r="HZ572" s="15" t="s">
        <v>2162</v>
      </c>
      <c r="IA572" s="15" t="s">
        <v>1134</v>
      </c>
      <c r="IB572" s="15" t="s">
        <v>6553</v>
      </c>
      <c r="IC572" s="15" t="s">
        <v>2498</v>
      </c>
      <c r="ID572" s="15" t="s">
        <v>1134</v>
      </c>
      <c r="IE572" s="15" t="s">
        <v>6554</v>
      </c>
      <c r="IF572" s="15" t="s">
        <v>2974</v>
      </c>
      <c r="IG572" s="15" t="s">
        <v>6555</v>
      </c>
      <c r="IH572" s="15" t="s">
        <v>862</v>
      </c>
      <c r="II572" s="15" t="s">
        <v>6556</v>
      </c>
      <c r="IJ572" s="15" t="s">
        <v>4685</v>
      </c>
      <c r="IK572" s="15" t="s">
        <v>426</v>
      </c>
      <c r="IL572" s="15" t="s">
        <v>2471</v>
      </c>
      <c r="IM572" s="15" t="s">
        <v>872</v>
      </c>
      <c r="IN572" s="15" t="s">
        <v>6557</v>
      </c>
      <c r="IO572" s="15" t="s">
        <v>877</v>
      </c>
    </row>
    <row r="573" ht="17.25" customHeight="1">
      <c r="A573" s="15" t="s">
        <v>6578</v>
      </c>
      <c r="B573" s="15" t="str">
        <f>"801542360689"</f>
        <v>801542360689</v>
      </c>
      <c r="C573" s="15" t="s">
        <v>18087</v>
      </c>
      <c r="D573" s="15" t="str">
        <f t="shared" si="1"/>
        <v>Leigh Upholstered BedPalm EcruKing</v>
      </c>
      <c r="E573" s="15" t="s">
        <v>6534</v>
      </c>
      <c r="F573" s="15" t="s">
        <v>397</v>
      </c>
      <c r="G573" s="15" t="s">
        <v>6570</v>
      </c>
      <c r="H573" s="15" t="s">
        <v>265</v>
      </c>
      <c r="I573" s="15" t="s">
        <v>828</v>
      </c>
      <c r="J573" s="15" t="s">
        <v>6570</v>
      </c>
      <c r="K573" s="15" t="s">
        <v>6545</v>
      </c>
      <c r="L573" s="15" t="s">
        <v>6575</v>
      </c>
      <c r="M573" s="15" t="s">
        <v>1474</v>
      </c>
      <c r="N573" s="15" t="s">
        <v>839</v>
      </c>
      <c r="O573" s="15" t="s">
        <v>828</v>
      </c>
      <c r="P573" s="15" t="str">
        <f t="shared" ref="P573:P574" si="1701">"80.75"</f>
        <v>80.75</v>
      </c>
      <c r="Q573" s="15" t="str">
        <f t="shared" si="1696"/>
        <v>84.5</v>
      </c>
      <c r="R573" s="15" t="str">
        <f t="shared" si="1697"/>
        <v>60.25</v>
      </c>
      <c r="S573" s="15" t="str">
        <f t="shared" ref="S573:S574" si="1702">"171.3"</f>
        <v>171.3</v>
      </c>
      <c r="T573" s="15" t="s">
        <v>6574</v>
      </c>
      <c r="U573" s="15" t="s">
        <v>18088</v>
      </c>
      <c r="V573" s="15" t="s">
        <v>11539</v>
      </c>
      <c r="W573" s="15" t="s">
        <v>11139</v>
      </c>
      <c r="X573" s="15" t="s">
        <v>18089</v>
      </c>
      <c r="Y573" s="15" t="s">
        <v>18090</v>
      </c>
      <c r="Z573" s="15" t="s">
        <v>18091</v>
      </c>
      <c r="AA573" s="15" t="s">
        <v>413</v>
      </c>
      <c r="AB573" s="15" t="s">
        <v>413</v>
      </c>
      <c r="AC573" s="15" t="s">
        <v>6576</v>
      </c>
      <c r="AD573" s="15" t="s">
        <v>18102</v>
      </c>
      <c r="AE573" s="15" t="s">
        <v>6579</v>
      </c>
      <c r="AF573" s="15" t="s">
        <v>18103</v>
      </c>
      <c r="AG573" s="15" t="s">
        <v>18104</v>
      </c>
      <c r="AH573" s="15" t="s">
        <v>18105</v>
      </c>
      <c r="AI573" s="15" t="s">
        <v>18106</v>
      </c>
      <c r="AJ573" s="15" t="s">
        <v>18107</v>
      </c>
      <c r="AK573" s="15" t="s">
        <v>18108</v>
      </c>
      <c r="AL573" s="15" t="s">
        <v>18109</v>
      </c>
      <c r="AM573" s="15" t="s">
        <v>18110</v>
      </c>
      <c r="AN573" s="15" t="s">
        <v>18111</v>
      </c>
      <c r="BH573" s="15" t="s">
        <v>6577</v>
      </c>
      <c r="BI573" s="15" t="str">
        <f t="shared" ref="BI573:BI574" si="1703">"2899"</f>
        <v>2899</v>
      </c>
      <c r="BJ573" s="15" t="str">
        <f t="shared" ref="BJ573:BJ574" si="1704">"1220"</f>
        <v>1220</v>
      </c>
      <c r="BK573" s="15" t="s">
        <v>709</v>
      </c>
      <c r="BL573" s="15" t="str">
        <f t="shared" si="1698"/>
        <v>2</v>
      </c>
      <c r="BM573" s="15" t="s">
        <v>926</v>
      </c>
      <c r="BN573" s="15" t="str">
        <f t="shared" ref="BN573:BN574" si="1705">"82.68"</f>
        <v>82.68</v>
      </c>
      <c r="BO573" s="15" t="str">
        <f t="shared" ref="BO573:BO574" si="1706">"7.09"</f>
        <v>7.09</v>
      </c>
      <c r="BP573" s="15" t="str">
        <f t="shared" ref="BP573:BP574" si="1707">"65.35"</f>
        <v>65.35</v>
      </c>
      <c r="BQ573" s="15" t="str">
        <f t="shared" ref="BQ573:BQ574" si="1708">"115.96"</f>
        <v>115.96</v>
      </c>
      <c r="BR573" s="15" t="s">
        <v>2966</v>
      </c>
      <c r="BS573" s="15" t="str">
        <f t="shared" si="1699"/>
        <v>87.01</v>
      </c>
      <c r="BT573" s="15" t="str">
        <f t="shared" ref="BT573:BT574" si="1709">"13.78"</f>
        <v>13.78</v>
      </c>
      <c r="BU573" s="15" t="str">
        <f t="shared" si="1700"/>
        <v>9.06</v>
      </c>
      <c r="BV573" s="15" t="str">
        <f t="shared" ref="BV573:BV574" si="1710">"91.05"</f>
        <v>91.05</v>
      </c>
      <c r="CG573" s="15" t="str">
        <f t="shared" ref="CG573:CG574" si="1711">"28.43"</f>
        <v>28.43</v>
      </c>
      <c r="CH573" s="15" t="str">
        <f t="shared" ref="CH573:CH574" si="1712">"0.805"</f>
        <v>0.805</v>
      </c>
      <c r="CI573" s="15" t="s">
        <v>465</v>
      </c>
      <c r="CY573" s="15" t="s">
        <v>855</v>
      </c>
      <c r="CZ573" s="15" t="s">
        <v>419</v>
      </c>
      <c r="DA573" s="15">
        <v>0.0</v>
      </c>
      <c r="DB573" s="15" t="s">
        <v>419</v>
      </c>
      <c r="DD573" s="15">
        <v>0.0</v>
      </c>
      <c r="DF573" s="15" t="s">
        <v>989</v>
      </c>
      <c r="DG573" s="15" t="s">
        <v>419</v>
      </c>
      <c r="DI573" s="15">
        <v>0.0</v>
      </c>
      <c r="DJ573" s="15">
        <v>0.0</v>
      </c>
      <c r="DK573" s="15">
        <v>0.0</v>
      </c>
      <c r="DL573" s="15">
        <v>100000.0</v>
      </c>
      <c r="DS573" s="15" t="s">
        <v>6552</v>
      </c>
      <c r="DU573" s="15" t="s">
        <v>858</v>
      </c>
      <c r="EO573" s="15" t="s">
        <v>1255</v>
      </c>
      <c r="EV573" s="15">
        <v>0.0</v>
      </c>
      <c r="HV573" s="15" t="s">
        <v>2221</v>
      </c>
      <c r="HW573" s="15" t="s">
        <v>2221</v>
      </c>
      <c r="HX573" s="15" t="s">
        <v>2221</v>
      </c>
      <c r="HY573" s="15" t="s">
        <v>2178</v>
      </c>
      <c r="HZ573" s="15" t="s">
        <v>2162</v>
      </c>
      <c r="IA573" s="15" t="s">
        <v>4696</v>
      </c>
      <c r="IB573" s="15" t="s">
        <v>6553</v>
      </c>
      <c r="IC573" s="15" t="s">
        <v>2498</v>
      </c>
      <c r="ID573" s="15" t="s">
        <v>4696</v>
      </c>
      <c r="IE573" s="15" t="s">
        <v>6554</v>
      </c>
      <c r="IF573" s="15" t="s">
        <v>2974</v>
      </c>
      <c r="IG573" s="15" t="s">
        <v>6568</v>
      </c>
      <c r="IH573" s="15" t="s">
        <v>862</v>
      </c>
      <c r="II573" s="15" t="s">
        <v>6556</v>
      </c>
      <c r="IJ573" s="15" t="s">
        <v>4685</v>
      </c>
      <c r="IK573" s="15" t="s">
        <v>426</v>
      </c>
      <c r="IL573" s="15" t="s">
        <v>2471</v>
      </c>
      <c r="IM573" s="15" t="s">
        <v>872</v>
      </c>
      <c r="IN573" s="15" t="s">
        <v>6557</v>
      </c>
      <c r="IO573" s="15" t="s">
        <v>828</v>
      </c>
    </row>
    <row r="574" ht="17.25" customHeight="1">
      <c r="A574" s="15" t="s">
        <v>6582</v>
      </c>
      <c r="B574" s="15" t="str">
        <f>"801542531454"</f>
        <v>801542531454</v>
      </c>
      <c r="C574" s="15" t="s">
        <v>18112</v>
      </c>
      <c r="D574" s="15" t="str">
        <f t="shared" si="1"/>
        <v>Leigh Upholstered BedSan Remo AshKing</v>
      </c>
      <c r="E574" s="15" t="s">
        <v>6534</v>
      </c>
      <c r="F574" s="15" t="s">
        <v>397</v>
      </c>
      <c r="G574" s="15" t="s">
        <v>6581</v>
      </c>
      <c r="H574" s="15" t="s">
        <v>265</v>
      </c>
      <c r="I574" s="15" t="s">
        <v>828</v>
      </c>
      <c r="J574" s="15" t="s">
        <v>6581</v>
      </c>
      <c r="K574" s="15" t="s">
        <v>6545</v>
      </c>
      <c r="L574" s="15" t="s">
        <v>5956</v>
      </c>
      <c r="M574" s="15" t="s">
        <v>1474</v>
      </c>
      <c r="N574" s="15" t="s">
        <v>839</v>
      </c>
      <c r="O574" s="15" t="s">
        <v>828</v>
      </c>
      <c r="P574" s="15" t="str">
        <f t="shared" si="1701"/>
        <v>80.75</v>
      </c>
      <c r="Q574" s="15" t="str">
        <f t="shared" si="1696"/>
        <v>84.5</v>
      </c>
      <c r="R574" s="15" t="str">
        <f t="shared" si="1697"/>
        <v>60.25</v>
      </c>
      <c r="S574" s="15" t="str">
        <f t="shared" si="1702"/>
        <v>171.3</v>
      </c>
      <c r="T574" s="15" t="s">
        <v>6584</v>
      </c>
      <c r="U574" s="15" t="s">
        <v>11209</v>
      </c>
      <c r="V574" s="15" t="s">
        <v>11139</v>
      </c>
      <c r="W574" s="15" t="s">
        <v>18088</v>
      </c>
      <c r="X574" s="15" t="s">
        <v>18113</v>
      </c>
      <c r="AA574" s="15" t="s">
        <v>413</v>
      </c>
      <c r="AB574" s="15" t="s">
        <v>413</v>
      </c>
      <c r="AC574" s="15" t="s">
        <v>6585</v>
      </c>
      <c r="AD574" s="15" t="s">
        <v>18114</v>
      </c>
      <c r="AE574" s="15" t="s">
        <v>6583</v>
      </c>
      <c r="AF574" s="15" t="s">
        <v>18115</v>
      </c>
      <c r="AG574" s="15" t="s">
        <v>18116</v>
      </c>
      <c r="AH574" s="15" t="s">
        <v>18117</v>
      </c>
      <c r="AI574" s="15" t="s">
        <v>18118</v>
      </c>
      <c r="AJ574" s="15" t="s">
        <v>18119</v>
      </c>
      <c r="AK574" s="15" t="s">
        <v>18120</v>
      </c>
      <c r="AL574" s="15" t="s">
        <v>18121</v>
      </c>
      <c r="AM574" s="15" t="s">
        <v>18122</v>
      </c>
      <c r="BH574" s="15" t="s">
        <v>6580</v>
      </c>
      <c r="BI574" s="15" t="str">
        <f t="shared" si="1703"/>
        <v>2899</v>
      </c>
      <c r="BJ574" s="15" t="str">
        <f t="shared" si="1704"/>
        <v>1220</v>
      </c>
      <c r="BK574" s="15" t="s">
        <v>709</v>
      </c>
      <c r="BL574" s="15" t="str">
        <f t="shared" si="1698"/>
        <v>2</v>
      </c>
      <c r="BM574" s="15" t="s">
        <v>926</v>
      </c>
      <c r="BN574" s="15" t="str">
        <f t="shared" si="1705"/>
        <v>82.68</v>
      </c>
      <c r="BO574" s="15" t="str">
        <f t="shared" si="1706"/>
        <v>7.09</v>
      </c>
      <c r="BP574" s="15" t="str">
        <f t="shared" si="1707"/>
        <v>65.35</v>
      </c>
      <c r="BQ574" s="15" t="str">
        <f t="shared" si="1708"/>
        <v>115.96</v>
      </c>
      <c r="BR574" s="15" t="s">
        <v>2966</v>
      </c>
      <c r="BS574" s="15" t="str">
        <f t="shared" si="1699"/>
        <v>87.01</v>
      </c>
      <c r="BT574" s="15" t="str">
        <f t="shared" si="1709"/>
        <v>13.78</v>
      </c>
      <c r="BU574" s="15" t="str">
        <f t="shared" si="1700"/>
        <v>9.06</v>
      </c>
      <c r="BV574" s="15" t="str">
        <f t="shared" si="1710"/>
        <v>91.05</v>
      </c>
      <c r="CG574" s="15" t="str">
        <f t="shared" si="1711"/>
        <v>28.43</v>
      </c>
      <c r="CH574" s="15" t="str">
        <f t="shared" si="1712"/>
        <v>0.805</v>
      </c>
      <c r="CI574" s="15" t="s">
        <v>417</v>
      </c>
      <c r="CY574" s="15" t="s">
        <v>855</v>
      </c>
      <c r="CZ574" s="15" t="s">
        <v>419</v>
      </c>
      <c r="DA574" s="15">
        <v>0.0</v>
      </c>
      <c r="DB574" s="15" t="s">
        <v>419</v>
      </c>
      <c r="DD574" s="15">
        <v>0.0</v>
      </c>
      <c r="DF574" s="15" t="s">
        <v>989</v>
      </c>
      <c r="DG574" s="15" t="s">
        <v>419</v>
      </c>
      <c r="DI574" s="15">
        <v>0.0</v>
      </c>
      <c r="DJ574" s="15">
        <v>0.0</v>
      </c>
      <c r="DK574" s="15">
        <v>0.0</v>
      </c>
      <c r="DL574" s="15">
        <v>100000.0</v>
      </c>
      <c r="DS574" s="15" t="s">
        <v>6552</v>
      </c>
      <c r="DU574" s="15" t="s">
        <v>858</v>
      </c>
      <c r="EO574" s="15" t="s">
        <v>1255</v>
      </c>
      <c r="EV574" s="15">
        <v>0.0</v>
      </c>
      <c r="HV574" s="15" t="s">
        <v>2221</v>
      </c>
      <c r="HW574" s="15" t="s">
        <v>2221</v>
      </c>
      <c r="HX574" s="15" t="s">
        <v>2221</v>
      </c>
      <c r="HY574" s="15" t="s">
        <v>2178</v>
      </c>
      <c r="HZ574" s="15" t="s">
        <v>2162</v>
      </c>
      <c r="IA574" s="15" t="s">
        <v>4696</v>
      </c>
      <c r="IB574" s="15" t="s">
        <v>6553</v>
      </c>
      <c r="IC574" s="15" t="s">
        <v>2498</v>
      </c>
      <c r="ID574" s="15" t="s">
        <v>4696</v>
      </c>
      <c r="IE574" s="15" t="s">
        <v>6554</v>
      </c>
      <c r="IF574" s="15" t="s">
        <v>2974</v>
      </c>
      <c r="IG574" s="15" t="s">
        <v>6568</v>
      </c>
      <c r="IH574" s="15" t="s">
        <v>862</v>
      </c>
      <c r="II574" s="15" t="s">
        <v>6556</v>
      </c>
      <c r="IJ574" s="15" t="s">
        <v>4685</v>
      </c>
      <c r="IK574" s="15" t="s">
        <v>426</v>
      </c>
      <c r="IL574" s="15" t="s">
        <v>2471</v>
      </c>
      <c r="IM574" s="15" t="s">
        <v>872</v>
      </c>
      <c r="IN574" s="15" t="s">
        <v>6557</v>
      </c>
      <c r="IO574" s="15" t="s">
        <v>828</v>
      </c>
    </row>
    <row r="575" ht="17.25" customHeight="1">
      <c r="A575" s="15" t="s">
        <v>6587</v>
      </c>
      <c r="B575" s="15" t="str">
        <f>"801542518714"</f>
        <v>801542518714</v>
      </c>
      <c r="C575" s="15" t="s">
        <v>18112</v>
      </c>
      <c r="D575" s="15" t="str">
        <f t="shared" si="1"/>
        <v>Leigh Upholstered BedSan Remo AshQueen</v>
      </c>
      <c r="E575" s="15" t="s">
        <v>6534</v>
      </c>
      <c r="F575" s="15" t="s">
        <v>397</v>
      </c>
      <c r="G575" s="15" t="s">
        <v>6581</v>
      </c>
      <c r="H575" s="15" t="s">
        <v>265</v>
      </c>
      <c r="I575" s="15" t="s">
        <v>877</v>
      </c>
      <c r="J575" s="15" t="s">
        <v>6581</v>
      </c>
      <c r="K575" s="15" t="s">
        <v>6545</v>
      </c>
      <c r="L575" s="15" t="s">
        <v>5956</v>
      </c>
      <c r="M575" s="15" t="s">
        <v>1474</v>
      </c>
      <c r="N575" s="15" t="s">
        <v>839</v>
      </c>
      <c r="O575" s="15" t="s">
        <v>877</v>
      </c>
      <c r="P575" s="15" t="str">
        <f>"65"</f>
        <v>65</v>
      </c>
      <c r="Q575" s="15" t="str">
        <f t="shared" si="1696"/>
        <v>84.5</v>
      </c>
      <c r="R575" s="15" t="str">
        <f t="shared" si="1697"/>
        <v>60.25</v>
      </c>
      <c r="S575" s="15" t="str">
        <f>"122.1"</f>
        <v>122.1</v>
      </c>
      <c r="T575" s="15" t="s">
        <v>6584</v>
      </c>
      <c r="U575" s="15" t="s">
        <v>11209</v>
      </c>
      <c r="V575" s="15" t="s">
        <v>11139</v>
      </c>
      <c r="W575" s="15" t="s">
        <v>18088</v>
      </c>
      <c r="X575" s="15" t="s">
        <v>18113</v>
      </c>
      <c r="AA575" s="15" t="s">
        <v>413</v>
      </c>
      <c r="AB575" s="15" t="s">
        <v>413</v>
      </c>
      <c r="AC575" s="15" t="s">
        <v>6585</v>
      </c>
      <c r="AD575" s="15" t="s">
        <v>18123</v>
      </c>
      <c r="AE575" s="15" t="s">
        <v>6589</v>
      </c>
      <c r="AF575" s="15" t="s">
        <v>18124</v>
      </c>
      <c r="AG575" s="15" t="s">
        <v>18125</v>
      </c>
      <c r="AH575" s="15" t="s">
        <v>18126</v>
      </c>
      <c r="AI575" s="15" t="s">
        <v>18127</v>
      </c>
      <c r="AJ575" s="15" t="s">
        <v>18128</v>
      </c>
      <c r="AK575" s="15" t="s">
        <v>18129</v>
      </c>
      <c r="AL575" s="15" t="s">
        <v>18130</v>
      </c>
      <c r="AM575" s="15" t="s">
        <v>18131</v>
      </c>
      <c r="AN575" s="15" t="s">
        <v>18132</v>
      </c>
      <c r="BH575" s="15" t="s">
        <v>6586</v>
      </c>
      <c r="BI575" s="15" t="str">
        <f>"2599"</f>
        <v>2599</v>
      </c>
      <c r="BJ575" s="15" t="str">
        <f>"1095"</f>
        <v>1095</v>
      </c>
      <c r="BK575" s="15" t="s">
        <v>709</v>
      </c>
      <c r="BL575" s="15" t="str">
        <f t="shared" si="1698"/>
        <v>2</v>
      </c>
      <c r="BM575" s="15" t="s">
        <v>926</v>
      </c>
      <c r="BN575" s="15" t="str">
        <f>"66.34"</f>
        <v>66.34</v>
      </c>
      <c r="BO575" s="15" t="str">
        <f>"7.68"</f>
        <v>7.68</v>
      </c>
      <c r="BP575" s="15" t="str">
        <f>"66.34"</f>
        <v>66.34</v>
      </c>
      <c r="BQ575" s="15" t="str">
        <f>"106"</f>
        <v>106</v>
      </c>
      <c r="BR575" s="15" t="s">
        <v>2966</v>
      </c>
      <c r="BS575" s="15" t="str">
        <f t="shared" si="1699"/>
        <v>87.01</v>
      </c>
      <c r="BT575" s="15" t="str">
        <f>"13.39"</f>
        <v>13.39</v>
      </c>
      <c r="BU575" s="15" t="str">
        <f t="shared" si="1700"/>
        <v>9.06</v>
      </c>
      <c r="BV575" s="15" t="str">
        <f>"84.7"</f>
        <v>84.7</v>
      </c>
      <c r="CG575" s="15" t="str">
        <f>"25.67"</f>
        <v>25.67</v>
      </c>
      <c r="CH575" s="15" t="str">
        <f>"0.727"</f>
        <v>0.727</v>
      </c>
      <c r="CI575" s="15" t="s">
        <v>465</v>
      </c>
      <c r="CY575" s="15" t="s">
        <v>855</v>
      </c>
      <c r="CZ575" s="15" t="s">
        <v>419</v>
      </c>
      <c r="DA575" s="15">
        <v>0.0</v>
      </c>
      <c r="DB575" s="15" t="s">
        <v>419</v>
      </c>
      <c r="DD575" s="15">
        <v>0.0</v>
      </c>
      <c r="DF575" s="15" t="s">
        <v>989</v>
      </c>
      <c r="DG575" s="15" t="s">
        <v>419</v>
      </c>
      <c r="DI575" s="15">
        <v>0.0</v>
      </c>
      <c r="DJ575" s="15">
        <v>0.0</v>
      </c>
      <c r="DK575" s="15">
        <v>0.0</v>
      </c>
      <c r="DL575" s="15">
        <v>100000.0</v>
      </c>
      <c r="DS575" s="15" t="s">
        <v>6552</v>
      </c>
      <c r="DU575" s="15" t="s">
        <v>858</v>
      </c>
      <c r="EO575" s="15" t="s">
        <v>1255</v>
      </c>
      <c r="EV575" s="15">
        <v>0.0</v>
      </c>
      <c r="HV575" s="15" t="s">
        <v>2221</v>
      </c>
      <c r="HW575" s="15" t="s">
        <v>2221</v>
      </c>
      <c r="HX575" s="15" t="s">
        <v>2221</v>
      </c>
      <c r="HY575" s="15" t="s">
        <v>2178</v>
      </c>
      <c r="HZ575" s="15" t="s">
        <v>2162</v>
      </c>
      <c r="IA575" s="15" t="s">
        <v>1134</v>
      </c>
      <c r="IB575" s="15" t="s">
        <v>6553</v>
      </c>
      <c r="IC575" s="15" t="s">
        <v>2498</v>
      </c>
      <c r="ID575" s="15" t="s">
        <v>1134</v>
      </c>
      <c r="IE575" s="15" t="s">
        <v>6554</v>
      </c>
      <c r="IF575" s="15" t="s">
        <v>2974</v>
      </c>
      <c r="IG575" s="15" t="s">
        <v>6555</v>
      </c>
      <c r="IH575" s="15" t="s">
        <v>862</v>
      </c>
      <c r="II575" s="15" t="s">
        <v>6556</v>
      </c>
      <c r="IJ575" s="15" t="s">
        <v>4685</v>
      </c>
      <c r="IK575" s="15" t="s">
        <v>426</v>
      </c>
      <c r="IL575" s="15" t="s">
        <v>2471</v>
      </c>
      <c r="IM575" s="15" t="s">
        <v>872</v>
      </c>
      <c r="IN575" s="15" t="s">
        <v>6557</v>
      </c>
      <c r="IO575" s="15" t="s">
        <v>877</v>
      </c>
    </row>
    <row r="576" ht="17.25" customHeight="1">
      <c r="A576" s="15" t="s">
        <v>6594</v>
      </c>
      <c r="B576" s="15" t="str">
        <f>"801542668334"</f>
        <v>801542668334</v>
      </c>
      <c r="C576" s="15" t="s">
        <v>18133</v>
      </c>
      <c r="D576" s="15" t="str">
        <f t="shared" si="1"/>
        <v>Lennon ChairCambric Ivory</v>
      </c>
      <c r="E576" s="15" t="s">
        <v>6592</v>
      </c>
      <c r="F576" s="15" t="s">
        <v>397</v>
      </c>
      <c r="G576" s="15" t="s">
        <v>1961</v>
      </c>
      <c r="J576" s="15" t="s">
        <v>1961</v>
      </c>
      <c r="K576" s="15" t="s">
        <v>6600</v>
      </c>
      <c r="M576" s="15" t="s">
        <v>1317</v>
      </c>
      <c r="N576" s="15" t="s">
        <v>706</v>
      </c>
      <c r="O576" s="15" t="s">
        <v>707</v>
      </c>
      <c r="P576" s="15" t="str">
        <f t="shared" ref="P576:P578" si="1713">"29"</f>
        <v>29</v>
      </c>
      <c r="Q576" s="15" t="str">
        <f t="shared" ref="Q576:Q578" si="1714">"32.25"</f>
        <v>32.25</v>
      </c>
      <c r="R576" s="15" t="str">
        <f t="shared" ref="R576:R578" si="1715">"37.25"</f>
        <v>37.25</v>
      </c>
      <c r="S576" s="15" t="str">
        <f t="shared" ref="S576:S578" si="1716">"42.77"</f>
        <v>42.77</v>
      </c>
      <c r="T576" s="15" t="s">
        <v>6597</v>
      </c>
      <c r="U576" s="15" t="s">
        <v>12298</v>
      </c>
      <c r="V576" s="15" t="s">
        <v>11575</v>
      </c>
      <c r="W576" s="15" t="s">
        <v>11210</v>
      </c>
      <c r="AA576" s="15" t="s">
        <v>413</v>
      </c>
      <c r="AB576" s="15" t="s">
        <v>426</v>
      </c>
      <c r="AC576" s="15" t="s">
        <v>6601</v>
      </c>
      <c r="AD576" s="15" t="s">
        <v>18134</v>
      </c>
      <c r="AE576" s="15" t="s">
        <v>6596</v>
      </c>
      <c r="AF576" s="15" t="s">
        <v>18135</v>
      </c>
      <c r="AG576" s="15" t="s">
        <v>18136</v>
      </c>
      <c r="AH576" s="15" t="s">
        <v>18137</v>
      </c>
      <c r="AI576" s="15" t="s">
        <v>18138</v>
      </c>
      <c r="AJ576" s="15" t="s">
        <v>18139</v>
      </c>
      <c r="AK576" s="15" t="s">
        <v>18140</v>
      </c>
      <c r="AL576" s="15" t="s">
        <v>18141</v>
      </c>
      <c r="AM576" s="15" t="s">
        <v>18142</v>
      </c>
      <c r="AN576" s="15" t="s">
        <v>18143</v>
      </c>
      <c r="AO576" s="15" t="s">
        <v>18144</v>
      </c>
      <c r="AP576" s="15" t="s">
        <v>18145</v>
      </c>
      <c r="BH576" s="15" t="s">
        <v>6593</v>
      </c>
      <c r="BI576" s="15" t="str">
        <f>"1449"</f>
        <v>1449</v>
      </c>
      <c r="BJ576" s="15" t="str">
        <f>"610"</f>
        <v>610</v>
      </c>
      <c r="BK576" s="15" t="s">
        <v>709</v>
      </c>
      <c r="BL576" s="15" t="str">
        <f t="shared" ref="BL576:BL578" si="1717">"1"</f>
        <v>1</v>
      </c>
      <c r="BM576" s="15" t="s">
        <v>1803</v>
      </c>
      <c r="BN576" s="15" t="str">
        <f t="shared" ref="BN576:BN578" si="1718">"31.69"</f>
        <v>31.69</v>
      </c>
      <c r="BO576" s="15" t="str">
        <f t="shared" ref="BO576:BO578" si="1719">"37.01"</f>
        <v>37.01</v>
      </c>
      <c r="BP576" s="15" t="str">
        <f t="shared" ref="BP576:BP578" si="1720">"40.16"</f>
        <v>40.16</v>
      </c>
      <c r="BQ576" s="15" t="str">
        <f t="shared" ref="BQ576:BQ578" si="1721">"63.71"</f>
        <v>63.71</v>
      </c>
      <c r="CG576" s="15" t="str">
        <f t="shared" ref="CG576:CG578" si="1722">"23.13"</f>
        <v>23.13</v>
      </c>
      <c r="CH576" s="15" t="str">
        <f t="shared" ref="CH576:CH578" si="1723">"0.655"</f>
        <v>0.655</v>
      </c>
      <c r="CI576" s="15" t="s">
        <v>417</v>
      </c>
      <c r="CP576" s="15" t="s">
        <v>1806</v>
      </c>
      <c r="CQ576" s="15" t="s">
        <v>531</v>
      </c>
      <c r="CR576" s="15" t="s">
        <v>1806</v>
      </c>
      <c r="CS576" s="15" t="s">
        <v>1324</v>
      </c>
      <c r="CT576" s="15" t="s">
        <v>1237</v>
      </c>
      <c r="CV576" s="15">
        <v>0.0</v>
      </c>
      <c r="CW576" s="15">
        <v>1.0</v>
      </c>
      <c r="CX576" s="15" t="s">
        <v>717</v>
      </c>
      <c r="CY576" s="15" t="s">
        <v>855</v>
      </c>
      <c r="DC576" s="15" t="s">
        <v>2431</v>
      </c>
      <c r="DF576" s="15" t="s">
        <v>721</v>
      </c>
      <c r="DG576" s="15" t="s">
        <v>419</v>
      </c>
      <c r="DH576" s="15">
        <v>0.0</v>
      </c>
      <c r="DL576" s="15">
        <v>90000.0</v>
      </c>
      <c r="DM576" s="15" t="s">
        <v>722</v>
      </c>
      <c r="DN576" s="15" t="s">
        <v>723</v>
      </c>
      <c r="DO576" s="15" t="s">
        <v>724</v>
      </c>
      <c r="DP576" s="15">
        <v>1.0</v>
      </c>
      <c r="DQ576" s="15">
        <v>1.0</v>
      </c>
      <c r="DS576" s="15" t="s">
        <v>6603</v>
      </c>
      <c r="DT576" s="15">
        <v>0.0</v>
      </c>
      <c r="DU576" s="15" t="s">
        <v>726</v>
      </c>
      <c r="DV576" s="15" t="s">
        <v>1211</v>
      </c>
      <c r="DW576" s="15" t="s">
        <v>635</v>
      </c>
      <c r="DX576" s="15" t="s">
        <v>1331</v>
      </c>
      <c r="EB576" s="15" t="s">
        <v>1607</v>
      </c>
      <c r="EC576" s="15" t="s">
        <v>2116</v>
      </c>
      <c r="ED576" s="15" t="s">
        <v>1072</v>
      </c>
      <c r="EE576" s="15" t="s">
        <v>1072</v>
      </c>
      <c r="EF576" s="15" t="s">
        <v>1738</v>
      </c>
      <c r="EG576" s="15" t="s">
        <v>2384</v>
      </c>
      <c r="EH576" s="15" t="s">
        <v>2384</v>
      </c>
      <c r="EI576" s="15" t="s">
        <v>650</v>
      </c>
      <c r="EL576" s="15" t="s">
        <v>723</v>
      </c>
      <c r="EM576" s="15" t="s">
        <v>1076</v>
      </c>
      <c r="EN576" s="15" t="s">
        <v>3386</v>
      </c>
      <c r="EO576" s="15" t="s">
        <v>1079</v>
      </c>
      <c r="EX576" s="15" t="s">
        <v>1214</v>
      </c>
      <c r="EY576" s="15" t="s">
        <v>1882</v>
      </c>
      <c r="EZ576" s="15">
        <v>0.0</v>
      </c>
      <c r="FA576" s="15">
        <v>0.0</v>
      </c>
      <c r="FB576" s="15" t="s">
        <v>2436</v>
      </c>
      <c r="FC576" s="15">
        <v>0.0</v>
      </c>
    </row>
    <row r="577" ht="17.25" customHeight="1">
      <c r="A577" s="15" t="s">
        <v>6605</v>
      </c>
      <c r="B577" s="15" t="str">
        <f>"801542976750"</f>
        <v>801542976750</v>
      </c>
      <c r="C577" s="15" t="s">
        <v>18146</v>
      </c>
      <c r="D577" s="15" t="str">
        <f t="shared" si="1"/>
        <v>Lennon ChairHeirloom Black</v>
      </c>
      <c r="E577" s="15" t="s">
        <v>6592</v>
      </c>
      <c r="F577" s="15" t="s">
        <v>397</v>
      </c>
      <c r="G577" s="15" t="s">
        <v>2575</v>
      </c>
      <c r="J577" s="15" t="s">
        <v>2575</v>
      </c>
      <c r="K577" s="15" t="s">
        <v>1087</v>
      </c>
      <c r="M577" s="15" t="s">
        <v>1317</v>
      </c>
      <c r="N577" s="15" t="s">
        <v>706</v>
      </c>
      <c r="O577" s="15" t="s">
        <v>707</v>
      </c>
      <c r="P577" s="15" t="str">
        <f t="shared" si="1713"/>
        <v>29</v>
      </c>
      <c r="Q577" s="15" t="str">
        <f t="shared" si="1714"/>
        <v>32.25</v>
      </c>
      <c r="R577" s="15" t="str">
        <f t="shared" si="1715"/>
        <v>37.25</v>
      </c>
      <c r="S577" s="15" t="str">
        <f t="shared" si="1716"/>
        <v>42.77</v>
      </c>
      <c r="T577" s="15" t="s">
        <v>975</v>
      </c>
      <c r="U577" s="15" t="s">
        <v>11137</v>
      </c>
      <c r="V577" s="15" t="s">
        <v>11210</v>
      </c>
      <c r="AA577" s="15" t="s">
        <v>413</v>
      </c>
      <c r="AB577" s="15" t="s">
        <v>413</v>
      </c>
      <c r="AC577" s="15" t="s">
        <v>6607</v>
      </c>
      <c r="AD577" s="15" t="s">
        <v>18147</v>
      </c>
      <c r="AE577" s="15" t="s">
        <v>6606</v>
      </c>
      <c r="AF577" s="15" t="s">
        <v>18148</v>
      </c>
      <c r="AG577" s="15" t="s">
        <v>18149</v>
      </c>
      <c r="AH577" s="15" t="s">
        <v>18150</v>
      </c>
      <c r="AI577" s="15" t="s">
        <v>18151</v>
      </c>
      <c r="AJ577" s="15" t="s">
        <v>18152</v>
      </c>
      <c r="AK577" s="15" t="s">
        <v>18153</v>
      </c>
      <c r="AL577" s="15" t="s">
        <v>18154</v>
      </c>
      <c r="AM577" s="15" t="s">
        <v>18155</v>
      </c>
      <c r="AN577" s="15" t="s">
        <v>18156</v>
      </c>
      <c r="AO577" s="15" t="s">
        <v>18157</v>
      </c>
      <c r="BH577" s="15" t="s">
        <v>6604</v>
      </c>
      <c r="BI577" s="15" t="str">
        <f>"1649"</f>
        <v>1649</v>
      </c>
      <c r="BJ577" s="15" t="str">
        <f>"695"</f>
        <v>695</v>
      </c>
      <c r="BK577" s="15" t="s">
        <v>709</v>
      </c>
      <c r="BL577" s="15" t="str">
        <f t="shared" si="1717"/>
        <v>1</v>
      </c>
      <c r="BM577" s="15" t="s">
        <v>1477</v>
      </c>
      <c r="BN577" s="15" t="str">
        <f t="shared" si="1718"/>
        <v>31.69</v>
      </c>
      <c r="BO577" s="15" t="str">
        <f t="shared" si="1719"/>
        <v>37.01</v>
      </c>
      <c r="BP577" s="15" t="str">
        <f t="shared" si="1720"/>
        <v>40.16</v>
      </c>
      <c r="BQ577" s="15" t="str">
        <f t="shared" si="1721"/>
        <v>63.71</v>
      </c>
      <c r="CG577" s="15" t="str">
        <f t="shared" si="1722"/>
        <v>23.13</v>
      </c>
      <c r="CH577" s="15" t="str">
        <f t="shared" si="1723"/>
        <v>0.655</v>
      </c>
      <c r="CI577" s="15" t="s">
        <v>417</v>
      </c>
      <c r="CP577" s="15" t="s">
        <v>1806</v>
      </c>
      <c r="CQ577" s="15" t="s">
        <v>531</v>
      </c>
      <c r="CR577" s="15" t="s">
        <v>1806</v>
      </c>
      <c r="CS577" s="15" t="s">
        <v>1324</v>
      </c>
      <c r="CT577" s="15" t="s">
        <v>1237</v>
      </c>
      <c r="CV577" s="15">
        <v>0.0</v>
      </c>
      <c r="CW577" s="15">
        <v>1.0</v>
      </c>
      <c r="CX577" s="15" t="s">
        <v>717</v>
      </c>
      <c r="CY577" s="15" t="s">
        <v>718</v>
      </c>
      <c r="DC577" s="15" t="s">
        <v>2431</v>
      </c>
      <c r="DF577" s="15" t="s">
        <v>721</v>
      </c>
      <c r="DG577" s="15" t="s">
        <v>419</v>
      </c>
      <c r="DH577" s="15">
        <v>0.0</v>
      </c>
      <c r="DL577" s="15">
        <v>0.0</v>
      </c>
      <c r="DM577" s="15" t="s">
        <v>722</v>
      </c>
      <c r="DN577" s="15" t="s">
        <v>723</v>
      </c>
      <c r="DO577" s="15" t="s">
        <v>724</v>
      </c>
      <c r="DP577" s="15">
        <v>1.0</v>
      </c>
      <c r="DQ577" s="15">
        <v>1.0</v>
      </c>
      <c r="DS577" s="15" t="s">
        <v>6603</v>
      </c>
      <c r="DT577" s="15">
        <v>0.0</v>
      </c>
      <c r="DU577" s="15" t="s">
        <v>726</v>
      </c>
      <c r="DV577" s="15" t="s">
        <v>1211</v>
      </c>
      <c r="DW577" s="15" t="s">
        <v>635</v>
      </c>
      <c r="DX577" s="15" t="s">
        <v>1331</v>
      </c>
      <c r="EB577" s="15" t="s">
        <v>1607</v>
      </c>
      <c r="EC577" s="15" t="s">
        <v>2116</v>
      </c>
      <c r="ED577" s="15" t="s">
        <v>1072</v>
      </c>
      <c r="EE577" s="15" t="s">
        <v>1072</v>
      </c>
      <c r="EF577" s="15" t="s">
        <v>1738</v>
      </c>
      <c r="EG577" s="15" t="s">
        <v>2384</v>
      </c>
      <c r="EH577" s="15" t="s">
        <v>2384</v>
      </c>
      <c r="EI577" s="15" t="s">
        <v>650</v>
      </c>
      <c r="EL577" s="15" t="s">
        <v>723</v>
      </c>
      <c r="EM577" s="15" t="s">
        <v>1076</v>
      </c>
      <c r="EN577" s="15" t="s">
        <v>3386</v>
      </c>
      <c r="EO577" s="15" t="s">
        <v>1079</v>
      </c>
      <c r="EX577" s="15" t="s">
        <v>1214</v>
      </c>
      <c r="EY577" s="15" t="s">
        <v>1882</v>
      </c>
      <c r="EZ577" s="15">
        <v>0.0</v>
      </c>
      <c r="FA577" s="15">
        <v>0.0</v>
      </c>
      <c r="FB577" s="15" t="s">
        <v>2436</v>
      </c>
      <c r="FC577" s="15">
        <v>0.0</v>
      </c>
    </row>
    <row r="578" ht="17.25" customHeight="1">
      <c r="A578" s="15" t="s">
        <v>6610</v>
      </c>
      <c r="B578" s="15" t="str">
        <f>"801542668174"</f>
        <v>801542668174</v>
      </c>
      <c r="C578" s="15" t="s">
        <v>18158</v>
      </c>
      <c r="D578" s="15" t="str">
        <f t="shared" si="1"/>
        <v>Lennon ChairImperial Mist</v>
      </c>
      <c r="E578" s="15" t="s">
        <v>6592</v>
      </c>
      <c r="F578" s="15" t="s">
        <v>397</v>
      </c>
      <c r="G578" s="15" t="s">
        <v>6609</v>
      </c>
      <c r="J578" s="15" t="s">
        <v>6609</v>
      </c>
      <c r="K578" s="15" t="s">
        <v>6612</v>
      </c>
      <c r="M578" s="15" t="s">
        <v>1317</v>
      </c>
      <c r="N578" s="15" t="s">
        <v>706</v>
      </c>
      <c r="O578" s="15" t="s">
        <v>707</v>
      </c>
      <c r="P578" s="15" t="str">
        <f t="shared" si="1713"/>
        <v>29</v>
      </c>
      <c r="Q578" s="15" t="str">
        <f t="shared" si="1714"/>
        <v>32.25</v>
      </c>
      <c r="R578" s="15" t="str">
        <f t="shared" si="1715"/>
        <v>37.25</v>
      </c>
      <c r="S578" s="15" t="str">
        <f t="shared" si="1716"/>
        <v>42.77</v>
      </c>
      <c r="T578" s="15" t="s">
        <v>832</v>
      </c>
      <c r="U578" s="15" t="s">
        <v>11209</v>
      </c>
      <c r="V578" s="15" t="s">
        <v>11210</v>
      </c>
      <c r="AA578" s="15" t="s">
        <v>413</v>
      </c>
      <c r="AB578" s="15" t="s">
        <v>413</v>
      </c>
      <c r="AC578" s="15" t="s">
        <v>6613</v>
      </c>
      <c r="AD578" s="15" t="s">
        <v>18159</v>
      </c>
      <c r="AE578" s="15" t="s">
        <v>6611</v>
      </c>
      <c r="AF578" s="15" t="s">
        <v>18160</v>
      </c>
      <c r="AG578" s="15" t="s">
        <v>18161</v>
      </c>
      <c r="AH578" s="15" t="s">
        <v>18162</v>
      </c>
      <c r="AI578" s="15" t="s">
        <v>18163</v>
      </c>
      <c r="AJ578" s="15" t="s">
        <v>18164</v>
      </c>
      <c r="AK578" s="15" t="s">
        <v>18165</v>
      </c>
      <c r="AL578" s="15" t="s">
        <v>18166</v>
      </c>
      <c r="AM578" s="15" t="s">
        <v>18167</v>
      </c>
      <c r="AN578" s="15" t="s">
        <v>18168</v>
      </c>
      <c r="BH578" s="15" t="s">
        <v>6608</v>
      </c>
      <c r="BI578" s="15" t="str">
        <f>"1449"</f>
        <v>1449</v>
      </c>
      <c r="BJ578" s="15" t="str">
        <f>"610"</f>
        <v>610</v>
      </c>
      <c r="BK578" s="15" t="s">
        <v>709</v>
      </c>
      <c r="BL578" s="15" t="str">
        <f t="shared" si="1717"/>
        <v>1</v>
      </c>
      <c r="BM578" s="15" t="s">
        <v>1477</v>
      </c>
      <c r="BN578" s="15" t="str">
        <f t="shared" si="1718"/>
        <v>31.69</v>
      </c>
      <c r="BO578" s="15" t="str">
        <f t="shared" si="1719"/>
        <v>37.01</v>
      </c>
      <c r="BP578" s="15" t="str">
        <f t="shared" si="1720"/>
        <v>40.16</v>
      </c>
      <c r="BQ578" s="15" t="str">
        <f t="shared" si="1721"/>
        <v>63.71</v>
      </c>
      <c r="CG578" s="15" t="str">
        <f t="shared" si="1722"/>
        <v>23.13</v>
      </c>
      <c r="CH578" s="15" t="str">
        <f t="shared" si="1723"/>
        <v>0.655</v>
      </c>
      <c r="CI578" s="15" t="s">
        <v>465</v>
      </c>
      <c r="CP578" s="15" t="s">
        <v>1806</v>
      </c>
      <c r="CQ578" s="15" t="s">
        <v>531</v>
      </c>
      <c r="CR578" s="15" t="s">
        <v>1806</v>
      </c>
      <c r="CS578" s="15" t="s">
        <v>1324</v>
      </c>
      <c r="CT578" s="15" t="s">
        <v>1237</v>
      </c>
      <c r="CV578" s="15">
        <v>0.0</v>
      </c>
      <c r="CW578" s="15">
        <v>1.0</v>
      </c>
      <c r="CX578" s="15" t="s">
        <v>717</v>
      </c>
      <c r="CY578" s="15" t="s">
        <v>897</v>
      </c>
      <c r="DC578" s="15" t="s">
        <v>2431</v>
      </c>
      <c r="DF578" s="15" t="s">
        <v>721</v>
      </c>
      <c r="DG578" s="15" t="s">
        <v>419</v>
      </c>
      <c r="DH578" s="15">
        <v>0.0</v>
      </c>
      <c r="DL578" s="15">
        <v>100000.0</v>
      </c>
      <c r="DM578" s="15" t="s">
        <v>722</v>
      </c>
      <c r="DN578" s="15" t="s">
        <v>723</v>
      </c>
      <c r="DO578" s="15" t="s">
        <v>724</v>
      </c>
      <c r="DP578" s="15">
        <v>1.0</v>
      </c>
      <c r="DQ578" s="15">
        <v>1.0</v>
      </c>
      <c r="DS578" s="15" t="s">
        <v>6603</v>
      </c>
      <c r="DT578" s="15">
        <v>0.0</v>
      </c>
      <c r="DU578" s="15" t="s">
        <v>726</v>
      </c>
      <c r="DV578" s="15" t="s">
        <v>1211</v>
      </c>
      <c r="DW578" s="15" t="s">
        <v>635</v>
      </c>
      <c r="DX578" s="15" t="s">
        <v>1331</v>
      </c>
      <c r="EB578" s="15" t="s">
        <v>1607</v>
      </c>
      <c r="EC578" s="15" t="s">
        <v>2116</v>
      </c>
      <c r="ED578" s="15" t="s">
        <v>1072</v>
      </c>
      <c r="EE578" s="15" t="s">
        <v>1072</v>
      </c>
      <c r="EF578" s="15" t="s">
        <v>1738</v>
      </c>
      <c r="EG578" s="15" t="s">
        <v>2384</v>
      </c>
      <c r="EH578" s="15" t="s">
        <v>2384</v>
      </c>
      <c r="EI578" s="15" t="s">
        <v>650</v>
      </c>
      <c r="EL578" s="15" t="s">
        <v>723</v>
      </c>
      <c r="EM578" s="15" t="s">
        <v>1076</v>
      </c>
      <c r="EN578" s="15" t="s">
        <v>3386</v>
      </c>
      <c r="EO578" s="15" t="s">
        <v>1079</v>
      </c>
      <c r="EX578" s="15" t="s">
        <v>1214</v>
      </c>
      <c r="EY578" s="15" t="s">
        <v>1882</v>
      </c>
      <c r="EZ578" s="15">
        <v>0.0</v>
      </c>
      <c r="FA578" s="15">
        <v>0.0</v>
      </c>
      <c r="FB578" s="15" t="s">
        <v>2436</v>
      </c>
      <c r="FC578" s="15">
        <v>0.0</v>
      </c>
    </row>
    <row r="579" ht="17.25" customHeight="1">
      <c r="A579" s="15" t="s">
        <v>6617</v>
      </c>
      <c r="B579" s="15" t="str">
        <f>"801542188436"</f>
        <v>801542188436</v>
      </c>
      <c r="C579" s="15" t="s">
        <v>18169</v>
      </c>
      <c r="D579" s="15" t="str">
        <f t="shared" si="1"/>
        <v>Leo BedRustic GreyQueen</v>
      </c>
      <c r="E579" s="15" t="s">
        <v>6614</v>
      </c>
      <c r="F579" s="15" t="s">
        <v>397</v>
      </c>
      <c r="G579" s="15" t="s">
        <v>6616</v>
      </c>
      <c r="H579" s="15" t="s">
        <v>265</v>
      </c>
      <c r="I579" s="15" t="s">
        <v>877</v>
      </c>
      <c r="J579" s="15" t="s">
        <v>6616</v>
      </c>
      <c r="K579" s="15" t="s">
        <v>5604</v>
      </c>
      <c r="M579" s="15" t="s">
        <v>2759</v>
      </c>
      <c r="N579" s="15" t="s">
        <v>839</v>
      </c>
      <c r="O579" s="15" t="s">
        <v>877</v>
      </c>
      <c r="P579" s="15" t="str">
        <f>"67"</f>
        <v>67</v>
      </c>
      <c r="Q579" s="15" t="str">
        <f t="shared" ref="Q579:Q584" si="1724">"88.5"</f>
        <v>88.5</v>
      </c>
      <c r="R579" s="15" t="str">
        <f t="shared" ref="R579:R584" si="1725">"50"</f>
        <v>50</v>
      </c>
      <c r="S579" s="15" t="str">
        <f>"276.68"</f>
        <v>276.68</v>
      </c>
      <c r="T579" s="15" t="s">
        <v>4874</v>
      </c>
      <c r="U579" s="15" t="s">
        <v>11338</v>
      </c>
      <c r="V579" s="15" t="s">
        <v>10881</v>
      </c>
      <c r="AA579" s="15" t="s">
        <v>413</v>
      </c>
      <c r="AB579" s="15" t="s">
        <v>413</v>
      </c>
      <c r="AC579" s="15" t="s">
        <v>6620</v>
      </c>
      <c r="AD579" s="15" t="s">
        <v>18170</v>
      </c>
      <c r="AE579" s="15" t="s">
        <v>6619</v>
      </c>
      <c r="AF579" s="15" t="s">
        <v>18171</v>
      </c>
      <c r="AG579" s="15" t="s">
        <v>18172</v>
      </c>
      <c r="AH579" s="15" t="s">
        <v>18173</v>
      </c>
      <c r="AI579" s="15" t="s">
        <v>18174</v>
      </c>
      <c r="AJ579" s="15" t="s">
        <v>18175</v>
      </c>
      <c r="AK579" s="15" t="s">
        <v>18176</v>
      </c>
      <c r="AL579" s="15" t="s">
        <v>18177</v>
      </c>
      <c r="AM579" s="15" t="s">
        <v>18178</v>
      </c>
      <c r="AN579" s="15" t="s">
        <v>18179</v>
      </c>
      <c r="AO579" s="15" t="s">
        <v>18180</v>
      </c>
      <c r="AP579" s="15" t="s">
        <v>18181</v>
      </c>
      <c r="AQ579" s="15" t="s">
        <v>18182</v>
      </c>
      <c r="BH579" s="15" t="s">
        <v>6615</v>
      </c>
      <c r="BI579" s="15" t="str">
        <f>"2899"</f>
        <v>2899</v>
      </c>
      <c r="BJ579" s="15" t="str">
        <f>"1220"</f>
        <v>1220</v>
      </c>
      <c r="BK579" s="15" t="s">
        <v>742</v>
      </c>
      <c r="BL579" s="15" t="str">
        <f t="shared" ref="BL579:BL584" si="1726">"3"</f>
        <v>3</v>
      </c>
      <c r="BM579" s="15" t="s">
        <v>841</v>
      </c>
      <c r="BN579" s="15" t="str">
        <f>"71.46"</f>
        <v>71.46</v>
      </c>
      <c r="BO579" s="15" t="str">
        <f>"9.45"</f>
        <v>9.45</v>
      </c>
      <c r="BP579" s="15" t="str">
        <f>"54.72"</f>
        <v>54.72</v>
      </c>
      <c r="BQ579" s="15" t="str">
        <f>"145.51"</f>
        <v>145.51</v>
      </c>
      <c r="BR579" s="15" t="s">
        <v>6623</v>
      </c>
      <c r="BS579" s="15" t="str">
        <f>"71.46"</f>
        <v>71.46</v>
      </c>
      <c r="BT579" s="15" t="str">
        <f t="shared" ref="BT579:BT584" si="1727">"17.32"</f>
        <v>17.32</v>
      </c>
      <c r="BU579" s="15" t="str">
        <f t="shared" ref="BU579:BU584" si="1728">"11.42"</f>
        <v>11.42</v>
      </c>
      <c r="BV579" s="15" t="str">
        <f>"85.98"</f>
        <v>85.98</v>
      </c>
      <c r="BW579" s="15" t="s">
        <v>6624</v>
      </c>
      <c r="BX579" s="15" t="str">
        <f t="shared" ref="BX579:BX584" si="1729">"85.24"</f>
        <v>85.24</v>
      </c>
      <c r="BY579" s="15" t="str">
        <f t="shared" ref="BY579:BY584" si="1730">"17.52"</f>
        <v>17.52</v>
      </c>
      <c r="BZ579" s="15" t="str">
        <f t="shared" ref="BZ579:BZ584" si="1731">"12.2"</f>
        <v>12.2</v>
      </c>
      <c r="CA579" s="15" t="str">
        <f>"98.11"</f>
        <v>98.11</v>
      </c>
      <c r="CG579" s="15" t="str">
        <f>"40.12"</f>
        <v>40.12</v>
      </c>
      <c r="CH579" s="15" t="str">
        <f>"1.136"</f>
        <v>1.136</v>
      </c>
      <c r="CI579" s="15" t="s">
        <v>465</v>
      </c>
      <c r="CZ579" s="15" t="s">
        <v>419</v>
      </c>
      <c r="DA579" s="15">
        <v>0.0</v>
      </c>
      <c r="DB579" s="15" t="s">
        <v>419</v>
      </c>
      <c r="DD579" s="15">
        <v>0.0</v>
      </c>
      <c r="DF579" s="15" t="s">
        <v>1186</v>
      </c>
      <c r="DG579" s="15" t="s">
        <v>419</v>
      </c>
      <c r="DI579" s="15">
        <v>0.0</v>
      </c>
      <c r="DJ579" s="15">
        <v>0.0</v>
      </c>
      <c r="DK579" s="15">
        <v>0.0</v>
      </c>
      <c r="DS579" s="15" t="s">
        <v>6626</v>
      </c>
      <c r="DU579" s="15" t="s">
        <v>858</v>
      </c>
      <c r="EV579" s="15">
        <v>0.0</v>
      </c>
      <c r="HV579" s="15" t="s">
        <v>1042</v>
      </c>
      <c r="HX579" s="15" t="s">
        <v>1042</v>
      </c>
      <c r="HY579" s="15" t="s">
        <v>2156</v>
      </c>
      <c r="HZ579" s="15" t="s">
        <v>2505</v>
      </c>
      <c r="IA579" s="15" t="s">
        <v>3135</v>
      </c>
      <c r="IB579" s="15" t="s">
        <v>1232</v>
      </c>
      <c r="IC579" s="15" t="s">
        <v>429</v>
      </c>
      <c r="ID579" s="15" t="s">
        <v>3135</v>
      </c>
      <c r="IE579" s="15" t="s">
        <v>2971</v>
      </c>
      <c r="IF579" s="15" t="s">
        <v>1957</v>
      </c>
      <c r="IG579" s="15" t="s">
        <v>890</v>
      </c>
      <c r="IH579" s="15" t="s">
        <v>2156</v>
      </c>
      <c r="II579" s="15" t="s">
        <v>2971</v>
      </c>
      <c r="IJ579" s="15" t="s">
        <v>2505</v>
      </c>
      <c r="IK579" s="15" t="s">
        <v>426</v>
      </c>
      <c r="IL579" s="15" t="s">
        <v>2973</v>
      </c>
      <c r="IM579" s="15" t="s">
        <v>2604</v>
      </c>
      <c r="IN579" s="15" t="s">
        <v>873</v>
      </c>
      <c r="IO579" s="15" t="s">
        <v>877</v>
      </c>
      <c r="IU579" s="15" t="s">
        <v>759</v>
      </c>
      <c r="IV579" s="15" t="s">
        <v>2651</v>
      </c>
      <c r="IX579" s="15" t="s">
        <v>426</v>
      </c>
      <c r="IY579" s="15" t="s">
        <v>2474</v>
      </c>
    </row>
    <row r="580" ht="17.25" customHeight="1">
      <c r="A580" s="15" t="s">
        <v>6628</v>
      </c>
      <c r="B580" s="15" t="str">
        <f>"801542188429"</f>
        <v>801542188429</v>
      </c>
      <c r="C580" s="15" t="s">
        <v>18169</v>
      </c>
      <c r="D580" s="15" t="str">
        <f t="shared" si="1"/>
        <v>Leo BedRustic GreyKing</v>
      </c>
      <c r="E580" s="15" t="s">
        <v>6614</v>
      </c>
      <c r="F580" s="15" t="s">
        <v>397</v>
      </c>
      <c r="G580" s="15" t="s">
        <v>6616</v>
      </c>
      <c r="H580" s="15" t="s">
        <v>265</v>
      </c>
      <c r="I580" s="15" t="s">
        <v>828</v>
      </c>
      <c r="J580" s="15" t="s">
        <v>6616</v>
      </c>
      <c r="K580" s="15" t="s">
        <v>5604</v>
      </c>
      <c r="M580" s="15" t="s">
        <v>2759</v>
      </c>
      <c r="N580" s="15" t="s">
        <v>839</v>
      </c>
      <c r="O580" s="15" t="s">
        <v>828</v>
      </c>
      <c r="P580" s="15" t="str">
        <f>"83.25"</f>
        <v>83.25</v>
      </c>
      <c r="Q580" s="15" t="str">
        <f t="shared" si="1724"/>
        <v>88.5</v>
      </c>
      <c r="R580" s="15" t="str">
        <f t="shared" si="1725"/>
        <v>50</v>
      </c>
      <c r="S580" s="15" t="str">
        <f>"310.85"</f>
        <v>310.85</v>
      </c>
      <c r="T580" s="15" t="s">
        <v>4874</v>
      </c>
      <c r="U580" s="15" t="s">
        <v>11338</v>
      </c>
      <c r="V580" s="15" t="s">
        <v>10881</v>
      </c>
      <c r="AA580" s="15" t="s">
        <v>413</v>
      </c>
      <c r="AB580" s="15" t="s">
        <v>413</v>
      </c>
      <c r="AC580" s="15" t="s">
        <v>6620</v>
      </c>
      <c r="AD580" s="15" t="s">
        <v>18183</v>
      </c>
      <c r="AE580" s="15" t="s">
        <v>6630</v>
      </c>
      <c r="AF580" s="15" t="s">
        <v>18184</v>
      </c>
      <c r="AG580" s="15" t="s">
        <v>18185</v>
      </c>
      <c r="AH580" s="15" t="s">
        <v>18173</v>
      </c>
      <c r="AI580" s="15" t="s">
        <v>18186</v>
      </c>
      <c r="AJ580" s="15" t="s">
        <v>18187</v>
      </c>
      <c r="AK580" s="15" t="s">
        <v>18188</v>
      </c>
      <c r="AL580" s="15" t="s">
        <v>18189</v>
      </c>
      <c r="AM580" s="15" t="s">
        <v>18190</v>
      </c>
      <c r="AN580" s="15" t="s">
        <v>18191</v>
      </c>
      <c r="AO580" s="15" t="s">
        <v>18192</v>
      </c>
      <c r="AP580" s="15" t="s">
        <v>18193</v>
      </c>
      <c r="AQ580" s="15" t="s">
        <v>18194</v>
      </c>
      <c r="BH580" s="15" t="s">
        <v>6627</v>
      </c>
      <c r="BI580" s="15" t="str">
        <f>"3399"</f>
        <v>3399</v>
      </c>
      <c r="BJ580" s="15" t="str">
        <f>"1430"</f>
        <v>1430</v>
      </c>
      <c r="BK580" s="15" t="s">
        <v>742</v>
      </c>
      <c r="BL580" s="15" t="str">
        <f t="shared" si="1726"/>
        <v>3</v>
      </c>
      <c r="BM580" s="15" t="s">
        <v>841</v>
      </c>
      <c r="BN580" s="15" t="str">
        <f>"87.6"</f>
        <v>87.6</v>
      </c>
      <c r="BO580" s="15" t="str">
        <f>"54.72"</f>
        <v>54.72</v>
      </c>
      <c r="BP580" s="15" t="str">
        <f>"9.45"</f>
        <v>9.45</v>
      </c>
      <c r="BQ580" s="15" t="str">
        <f>"163.14"</f>
        <v>163.14</v>
      </c>
      <c r="BR580" s="15" t="s">
        <v>6623</v>
      </c>
      <c r="BS580" s="15" t="str">
        <f>"87.6"</f>
        <v>87.6</v>
      </c>
      <c r="BT580" s="15" t="str">
        <f t="shared" si="1727"/>
        <v>17.32</v>
      </c>
      <c r="BU580" s="15" t="str">
        <f t="shared" si="1728"/>
        <v>11.42</v>
      </c>
      <c r="BV580" s="15" t="str">
        <f>"100.31"</f>
        <v>100.31</v>
      </c>
      <c r="BW580" s="15" t="s">
        <v>6624</v>
      </c>
      <c r="BX580" s="15" t="str">
        <f t="shared" si="1729"/>
        <v>85.24</v>
      </c>
      <c r="BY580" s="15" t="str">
        <f t="shared" si="1730"/>
        <v>17.52</v>
      </c>
      <c r="BZ580" s="15" t="str">
        <f t="shared" si="1731"/>
        <v>12.2</v>
      </c>
      <c r="CA580" s="15" t="str">
        <f>"99.21"</f>
        <v>99.21</v>
      </c>
      <c r="CG580" s="15" t="str">
        <f>"46.79"</f>
        <v>46.79</v>
      </c>
      <c r="CH580" s="15" t="str">
        <f>"1.325"</f>
        <v>1.325</v>
      </c>
      <c r="CI580" s="15" t="s">
        <v>497</v>
      </c>
      <c r="CZ580" s="15" t="s">
        <v>419</v>
      </c>
      <c r="DA580" s="15">
        <v>0.0</v>
      </c>
      <c r="DB580" s="15" t="s">
        <v>419</v>
      </c>
      <c r="DD580" s="15">
        <v>0.0</v>
      </c>
      <c r="DF580" s="15" t="s">
        <v>1186</v>
      </c>
      <c r="DG580" s="15" t="s">
        <v>419</v>
      </c>
      <c r="DI580" s="15">
        <v>0.0</v>
      </c>
      <c r="DJ580" s="15">
        <v>0.0</v>
      </c>
      <c r="DK580" s="15">
        <v>0.0</v>
      </c>
      <c r="DS580" s="15" t="s">
        <v>6626</v>
      </c>
      <c r="DU580" s="15" t="s">
        <v>858</v>
      </c>
      <c r="EV580" s="15">
        <v>0.0</v>
      </c>
      <c r="HV580" s="15" t="s">
        <v>1042</v>
      </c>
      <c r="HX580" s="15" t="s">
        <v>1042</v>
      </c>
      <c r="HY580" s="15" t="s">
        <v>2156</v>
      </c>
      <c r="HZ580" s="15" t="s">
        <v>2505</v>
      </c>
      <c r="IA580" s="15" t="s">
        <v>6633</v>
      </c>
      <c r="IB580" s="15" t="s">
        <v>1232</v>
      </c>
      <c r="IC580" s="15" t="s">
        <v>429</v>
      </c>
      <c r="ID580" s="15" t="s">
        <v>6633</v>
      </c>
      <c r="IE580" s="15" t="s">
        <v>2971</v>
      </c>
      <c r="IF580" s="15" t="s">
        <v>1957</v>
      </c>
      <c r="IG580" s="15" t="s">
        <v>6634</v>
      </c>
      <c r="IH580" s="15" t="s">
        <v>2156</v>
      </c>
      <c r="II580" s="15" t="s">
        <v>2971</v>
      </c>
      <c r="IJ580" s="15" t="s">
        <v>2505</v>
      </c>
      <c r="IK580" s="15" t="s">
        <v>426</v>
      </c>
      <c r="IL580" s="15" t="s">
        <v>2973</v>
      </c>
      <c r="IM580" s="15" t="s">
        <v>2604</v>
      </c>
      <c r="IN580" s="15" t="s">
        <v>873</v>
      </c>
      <c r="IO580" s="15" t="s">
        <v>828</v>
      </c>
      <c r="IU580" s="15" t="s">
        <v>759</v>
      </c>
      <c r="IV580" s="15" t="s">
        <v>2651</v>
      </c>
      <c r="IX580" s="15" t="s">
        <v>426</v>
      </c>
      <c r="IY580" s="15" t="s">
        <v>2474</v>
      </c>
    </row>
    <row r="581" ht="17.25" customHeight="1">
      <c r="A581" s="15" t="s">
        <v>6637</v>
      </c>
      <c r="B581" s="15" t="str">
        <f>"198394091169"</f>
        <v>198394091169</v>
      </c>
      <c r="C581" s="15" t="s">
        <v>18195</v>
      </c>
      <c r="D581" s="15" t="str">
        <f t="shared" si="1"/>
        <v>Leo BedRustic Light Natural OakQueen</v>
      </c>
      <c r="E581" s="15" t="s">
        <v>6614</v>
      </c>
      <c r="F581" s="15" t="s">
        <v>397</v>
      </c>
      <c r="G581" s="15" t="s">
        <v>6636</v>
      </c>
      <c r="H581" s="15" t="s">
        <v>265</v>
      </c>
      <c r="I581" s="15" t="s">
        <v>877</v>
      </c>
      <c r="J581" s="15" t="s">
        <v>6636</v>
      </c>
      <c r="K581" s="15" t="s">
        <v>6639</v>
      </c>
      <c r="M581" s="15" t="s">
        <v>2759</v>
      </c>
      <c r="N581" s="15" t="s">
        <v>839</v>
      </c>
      <c r="O581" s="15" t="s">
        <v>877</v>
      </c>
      <c r="P581" s="15" t="str">
        <f>"67"</f>
        <v>67</v>
      </c>
      <c r="Q581" s="15" t="str">
        <f t="shared" si="1724"/>
        <v>88.5</v>
      </c>
      <c r="R581" s="15" t="str">
        <f t="shared" si="1725"/>
        <v>50</v>
      </c>
      <c r="S581" s="15" t="str">
        <f>"276.68"</f>
        <v>276.68</v>
      </c>
      <c r="T581" s="15" t="s">
        <v>4874</v>
      </c>
      <c r="U581" s="15" t="s">
        <v>11338</v>
      </c>
      <c r="V581" s="15" t="s">
        <v>10881</v>
      </c>
      <c r="AA581" s="15" t="s">
        <v>413</v>
      </c>
      <c r="AB581" s="15" t="s">
        <v>413</v>
      </c>
      <c r="AC581" s="15" t="s">
        <v>6640</v>
      </c>
      <c r="AD581" s="15" t="s">
        <v>18196</v>
      </c>
      <c r="AE581" s="15" t="s">
        <v>6638</v>
      </c>
      <c r="AF581" s="15" t="s">
        <v>18197</v>
      </c>
      <c r="AG581" s="15" t="s">
        <v>18198</v>
      </c>
      <c r="AH581" s="15" t="s">
        <v>18199</v>
      </c>
      <c r="AI581" s="15" t="s">
        <v>18200</v>
      </c>
      <c r="AJ581" s="15" t="s">
        <v>18201</v>
      </c>
      <c r="AK581" s="15" t="s">
        <v>18202</v>
      </c>
      <c r="AL581" s="15" t="s">
        <v>18203</v>
      </c>
      <c r="AM581" s="15" t="s">
        <v>18204</v>
      </c>
      <c r="AN581" s="15" t="s">
        <v>18205</v>
      </c>
      <c r="AO581" s="15" t="s">
        <v>18206</v>
      </c>
      <c r="BH581" s="15" t="s">
        <v>6635</v>
      </c>
      <c r="BI581" s="15" t="str">
        <f>"2899"</f>
        <v>2899</v>
      </c>
      <c r="BJ581" s="15" t="str">
        <f>"1220"</f>
        <v>1220</v>
      </c>
      <c r="BK581" s="15" t="s">
        <v>742</v>
      </c>
      <c r="BL581" s="15" t="str">
        <f t="shared" si="1726"/>
        <v>3</v>
      </c>
      <c r="BM581" s="15" t="s">
        <v>841</v>
      </c>
      <c r="BN581" s="15" t="str">
        <f>"71.46"</f>
        <v>71.46</v>
      </c>
      <c r="BO581" s="15" t="str">
        <f>"9.45"</f>
        <v>9.45</v>
      </c>
      <c r="BP581" s="15" t="str">
        <f>"54.72"</f>
        <v>54.72</v>
      </c>
      <c r="BQ581" s="15" t="str">
        <f>"145.51"</f>
        <v>145.51</v>
      </c>
      <c r="BR581" s="15" t="s">
        <v>846</v>
      </c>
      <c r="BS581" s="15" t="str">
        <f>"71.46"</f>
        <v>71.46</v>
      </c>
      <c r="BT581" s="15" t="str">
        <f t="shared" si="1727"/>
        <v>17.32</v>
      </c>
      <c r="BU581" s="15" t="str">
        <f t="shared" si="1728"/>
        <v>11.42</v>
      </c>
      <c r="BV581" s="15" t="str">
        <f>"85.98"</f>
        <v>85.98</v>
      </c>
      <c r="BW581" s="15" t="s">
        <v>6641</v>
      </c>
      <c r="BX581" s="15" t="str">
        <f t="shared" si="1729"/>
        <v>85.24</v>
      </c>
      <c r="BY581" s="15" t="str">
        <f t="shared" si="1730"/>
        <v>17.52</v>
      </c>
      <c r="BZ581" s="15" t="str">
        <f t="shared" si="1731"/>
        <v>12.2</v>
      </c>
      <c r="CA581" s="15" t="str">
        <f>"98.11"</f>
        <v>98.11</v>
      </c>
      <c r="CG581" s="15" t="str">
        <f>"40.12"</f>
        <v>40.12</v>
      </c>
      <c r="CH581" s="15" t="str">
        <f>"1.136"</f>
        <v>1.136</v>
      </c>
      <c r="CI581" s="15" t="s">
        <v>497</v>
      </c>
      <c r="CZ581" s="15" t="s">
        <v>419</v>
      </c>
      <c r="DA581" s="15">
        <v>0.0</v>
      </c>
      <c r="DB581" s="15" t="s">
        <v>419</v>
      </c>
      <c r="DD581" s="15">
        <v>0.0</v>
      </c>
      <c r="DF581" s="15" t="s">
        <v>1186</v>
      </c>
      <c r="DG581" s="15" t="s">
        <v>419</v>
      </c>
      <c r="DI581" s="15">
        <v>0.0</v>
      </c>
      <c r="DJ581" s="15">
        <v>0.0</v>
      </c>
      <c r="DK581" s="15">
        <v>0.0</v>
      </c>
      <c r="DS581" s="15" t="s">
        <v>6626</v>
      </c>
      <c r="DU581" s="15" t="s">
        <v>858</v>
      </c>
      <c r="EV581" s="15">
        <v>0.0</v>
      </c>
      <c r="HV581" s="15" t="s">
        <v>1042</v>
      </c>
      <c r="HX581" s="15" t="s">
        <v>1042</v>
      </c>
      <c r="HY581" s="15" t="s">
        <v>2156</v>
      </c>
      <c r="HZ581" s="15" t="s">
        <v>2505</v>
      </c>
      <c r="IA581" s="15" t="s">
        <v>3135</v>
      </c>
      <c r="IB581" s="15" t="s">
        <v>1232</v>
      </c>
      <c r="IC581" s="15" t="s">
        <v>429</v>
      </c>
      <c r="ID581" s="15" t="s">
        <v>3135</v>
      </c>
      <c r="IE581" s="15" t="s">
        <v>2971</v>
      </c>
      <c r="IF581" s="15" t="s">
        <v>1957</v>
      </c>
      <c r="IG581" s="15" t="s">
        <v>890</v>
      </c>
      <c r="IH581" s="15" t="s">
        <v>2156</v>
      </c>
      <c r="II581" s="15" t="s">
        <v>2971</v>
      </c>
      <c r="IJ581" s="15" t="s">
        <v>2505</v>
      </c>
      <c r="IK581" s="15" t="s">
        <v>426</v>
      </c>
      <c r="IL581" s="15" t="s">
        <v>2973</v>
      </c>
      <c r="IM581" s="15" t="s">
        <v>2604</v>
      </c>
      <c r="IN581" s="15" t="s">
        <v>873</v>
      </c>
      <c r="IO581" s="15" t="s">
        <v>877</v>
      </c>
      <c r="IU581" s="15" t="s">
        <v>759</v>
      </c>
      <c r="IV581" s="15" t="s">
        <v>2651</v>
      </c>
      <c r="IX581" s="15" t="s">
        <v>426</v>
      </c>
      <c r="IY581" s="15" t="s">
        <v>2474</v>
      </c>
    </row>
    <row r="582" ht="17.25" customHeight="1">
      <c r="A582" s="15" t="s">
        <v>6643</v>
      </c>
      <c r="B582" s="15" t="str">
        <f>"198394091152"</f>
        <v>198394091152</v>
      </c>
      <c r="C582" s="15" t="s">
        <v>18195</v>
      </c>
      <c r="D582" s="15" t="str">
        <f t="shared" si="1"/>
        <v>Leo BedRustic Light Natural OakKing</v>
      </c>
      <c r="E582" s="15" t="s">
        <v>6614</v>
      </c>
      <c r="F582" s="15" t="s">
        <v>397</v>
      </c>
      <c r="G582" s="15" t="s">
        <v>6636</v>
      </c>
      <c r="H582" s="15" t="s">
        <v>265</v>
      </c>
      <c r="I582" s="15" t="s">
        <v>828</v>
      </c>
      <c r="J582" s="15" t="s">
        <v>6636</v>
      </c>
      <c r="K582" s="15" t="s">
        <v>6639</v>
      </c>
      <c r="M582" s="15" t="s">
        <v>2759</v>
      </c>
      <c r="N582" s="15" t="s">
        <v>839</v>
      </c>
      <c r="O582" s="15" t="s">
        <v>828</v>
      </c>
      <c r="P582" s="15" t="str">
        <f>"83.25"</f>
        <v>83.25</v>
      </c>
      <c r="Q582" s="15" t="str">
        <f t="shared" si="1724"/>
        <v>88.5</v>
      </c>
      <c r="R582" s="15" t="str">
        <f t="shared" si="1725"/>
        <v>50</v>
      </c>
      <c r="S582" s="15" t="str">
        <f>"310.85"</f>
        <v>310.85</v>
      </c>
      <c r="T582" s="15" t="s">
        <v>4874</v>
      </c>
      <c r="U582" s="15" t="s">
        <v>11338</v>
      </c>
      <c r="V582" s="15" t="s">
        <v>10881</v>
      </c>
      <c r="AA582" s="15" t="s">
        <v>413</v>
      </c>
      <c r="AB582" s="15" t="s">
        <v>413</v>
      </c>
      <c r="AD582" s="15" t="s">
        <v>18207</v>
      </c>
      <c r="AE582" s="15" t="s">
        <v>6644</v>
      </c>
      <c r="AF582" s="15" t="s">
        <v>18208</v>
      </c>
      <c r="AG582" s="15" t="s">
        <v>18209</v>
      </c>
      <c r="AH582" s="15" t="s">
        <v>18210</v>
      </c>
      <c r="AI582" s="15" t="s">
        <v>18211</v>
      </c>
      <c r="AJ582" s="15" t="s">
        <v>18212</v>
      </c>
      <c r="AK582" s="15" t="s">
        <v>18213</v>
      </c>
      <c r="AL582" s="15" t="s">
        <v>18214</v>
      </c>
      <c r="AM582" s="15" t="s">
        <v>18215</v>
      </c>
      <c r="AN582" s="15" t="s">
        <v>18216</v>
      </c>
      <c r="AO582" s="15" t="s">
        <v>18217</v>
      </c>
      <c r="BH582" s="15" t="s">
        <v>6642</v>
      </c>
      <c r="BI582" s="15" t="str">
        <f>"3399"</f>
        <v>3399</v>
      </c>
      <c r="BJ582" s="15" t="str">
        <f>"1430"</f>
        <v>1430</v>
      </c>
      <c r="BK582" s="15" t="s">
        <v>742</v>
      </c>
      <c r="BL582" s="15" t="str">
        <f t="shared" si="1726"/>
        <v>3</v>
      </c>
      <c r="BM582" s="15" t="s">
        <v>841</v>
      </c>
      <c r="BN582" s="15" t="str">
        <f>"87.6"</f>
        <v>87.6</v>
      </c>
      <c r="BO582" s="15" t="str">
        <f>"54.72"</f>
        <v>54.72</v>
      </c>
      <c r="BP582" s="15" t="str">
        <f>"9.45"</f>
        <v>9.45</v>
      </c>
      <c r="BQ582" s="15" t="str">
        <f>"163.14"</f>
        <v>163.14</v>
      </c>
      <c r="BR582" s="15" t="s">
        <v>846</v>
      </c>
      <c r="BS582" s="15" t="str">
        <f>"87.6"</f>
        <v>87.6</v>
      </c>
      <c r="BT582" s="15" t="str">
        <f t="shared" si="1727"/>
        <v>17.32</v>
      </c>
      <c r="BU582" s="15" t="str">
        <f t="shared" si="1728"/>
        <v>11.42</v>
      </c>
      <c r="BV582" s="15" t="str">
        <f>"100.31"</f>
        <v>100.31</v>
      </c>
      <c r="BW582" s="15" t="s">
        <v>6641</v>
      </c>
      <c r="BX582" s="15" t="str">
        <f t="shared" si="1729"/>
        <v>85.24</v>
      </c>
      <c r="BY582" s="15" t="str">
        <f t="shared" si="1730"/>
        <v>17.52</v>
      </c>
      <c r="BZ582" s="15" t="str">
        <f t="shared" si="1731"/>
        <v>12.2</v>
      </c>
      <c r="CA582" s="15" t="str">
        <f>"99.21"</f>
        <v>99.21</v>
      </c>
      <c r="CG582" s="15" t="str">
        <f>"46.79"</f>
        <v>46.79</v>
      </c>
      <c r="CH582" s="15" t="str">
        <f>"1.325"</f>
        <v>1.325</v>
      </c>
      <c r="CI582" s="15" t="s">
        <v>465</v>
      </c>
      <c r="CZ582" s="15" t="s">
        <v>419</v>
      </c>
      <c r="DA582" s="15">
        <v>0.0</v>
      </c>
      <c r="DB582" s="15" t="s">
        <v>419</v>
      </c>
      <c r="DD582" s="15">
        <v>0.0</v>
      </c>
      <c r="DF582" s="15" t="s">
        <v>1186</v>
      </c>
      <c r="DG582" s="15" t="s">
        <v>419</v>
      </c>
      <c r="DI582" s="15">
        <v>0.0</v>
      </c>
      <c r="DJ582" s="15">
        <v>0.0</v>
      </c>
      <c r="DK582" s="15">
        <v>0.0</v>
      </c>
      <c r="DS582" s="15" t="s">
        <v>6626</v>
      </c>
      <c r="DU582" s="15" t="s">
        <v>858</v>
      </c>
      <c r="EV582" s="15">
        <v>0.0</v>
      </c>
      <c r="HV582" s="15" t="s">
        <v>1042</v>
      </c>
      <c r="HX582" s="15" t="s">
        <v>1042</v>
      </c>
      <c r="HY582" s="15" t="s">
        <v>2156</v>
      </c>
      <c r="HZ582" s="15" t="s">
        <v>2505</v>
      </c>
      <c r="IA582" s="15" t="s">
        <v>6633</v>
      </c>
      <c r="IB582" s="15" t="s">
        <v>1232</v>
      </c>
      <c r="IC582" s="15" t="s">
        <v>429</v>
      </c>
      <c r="ID582" s="15" t="s">
        <v>6633</v>
      </c>
      <c r="IE582" s="15" t="s">
        <v>2971</v>
      </c>
      <c r="IF582" s="15" t="s">
        <v>1957</v>
      </c>
      <c r="IG582" s="15" t="s">
        <v>6634</v>
      </c>
      <c r="IH582" s="15" t="s">
        <v>2156</v>
      </c>
      <c r="II582" s="15" t="s">
        <v>2971</v>
      </c>
      <c r="IJ582" s="15" t="s">
        <v>2505</v>
      </c>
      <c r="IK582" s="15" t="s">
        <v>426</v>
      </c>
      <c r="IL582" s="15" t="s">
        <v>2973</v>
      </c>
      <c r="IM582" s="15" t="s">
        <v>2604</v>
      </c>
      <c r="IN582" s="15" t="s">
        <v>873</v>
      </c>
      <c r="IO582" s="15" t="s">
        <v>828</v>
      </c>
      <c r="IU582" s="15" t="s">
        <v>759</v>
      </c>
      <c r="IV582" s="15" t="s">
        <v>2651</v>
      </c>
      <c r="IX582" s="15" t="s">
        <v>426</v>
      </c>
      <c r="IY582" s="15" t="s">
        <v>2474</v>
      </c>
    </row>
    <row r="583" ht="17.25" customHeight="1">
      <c r="A583" s="15" t="s">
        <v>6647</v>
      </c>
      <c r="B583" s="15" t="str">
        <f>"198394016643"</f>
        <v>198394016643</v>
      </c>
      <c r="C583" s="15" t="s">
        <v>18218</v>
      </c>
      <c r="D583" s="15" t="str">
        <f t="shared" si="1"/>
        <v>Leo BedSmoked BlackQueen</v>
      </c>
      <c r="E583" s="15" t="s">
        <v>6614</v>
      </c>
      <c r="F583" s="15" t="s">
        <v>397</v>
      </c>
      <c r="G583" s="15" t="s">
        <v>6646</v>
      </c>
      <c r="H583" s="15" t="s">
        <v>265</v>
      </c>
      <c r="I583" s="15" t="s">
        <v>877</v>
      </c>
      <c r="J583" s="15" t="s">
        <v>6646</v>
      </c>
      <c r="K583" s="15" t="s">
        <v>4815</v>
      </c>
      <c r="M583" s="15" t="s">
        <v>2759</v>
      </c>
      <c r="N583" s="15" t="s">
        <v>839</v>
      </c>
      <c r="O583" s="15" t="s">
        <v>877</v>
      </c>
      <c r="P583" s="15" t="str">
        <f>"67"</f>
        <v>67</v>
      </c>
      <c r="Q583" s="15" t="str">
        <f t="shared" si="1724"/>
        <v>88.5</v>
      </c>
      <c r="R583" s="15" t="str">
        <f t="shared" si="1725"/>
        <v>50</v>
      </c>
      <c r="S583" s="15" t="str">
        <f>"276.68"</f>
        <v>276.68</v>
      </c>
      <c r="T583" s="15" t="s">
        <v>4874</v>
      </c>
      <c r="U583" s="15" t="s">
        <v>11338</v>
      </c>
      <c r="V583" s="15" t="s">
        <v>10881</v>
      </c>
      <c r="AA583" s="15" t="s">
        <v>413</v>
      </c>
      <c r="AB583" s="15" t="s">
        <v>413</v>
      </c>
      <c r="AC583" s="15" t="s">
        <v>6620</v>
      </c>
      <c r="AD583" s="15" t="s">
        <v>18219</v>
      </c>
      <c r="AE583" s="15" t="s">
        <v>6648</v>
      </c>
      <c r="AF583" s="15" t="s">
        <v>18220</v>
      </c>
      <c r="AG583" s="15" t="s">
        <v>18221</v>
      </c>
      <c r="AH583" s="15" t="s">
        <v>18222</v>
      </c>
      <c r="AI583" s="15" t="s">
        <v>18223</v>
      </c>
      <c r="AJ583" s="15" t="s">
        <v>18224</v>
      </c>
      <c r="AK583" s="15" t="s">
        <v>18225</v>
      </c>
      <c r="AL583" s="15" t="s">
        <v>18226</v>
      </c>
      <c r="AM583" s="15" t="s">
        <v>18227</v>
      </c>
      <c r="AN583" s="15" t="s">
        <v>18228</v>
      </c>
      <c r="AO583" s="15" t="s">
        <v>18229</v>
      </c>
      <c r="BH583" s="15" t="s">
        <v>6645</v>
      </c>
      <c r="BI583" s="15" t="str">
        <f>"2899"</f>
        <v>2899</v>
      </c>
      <c r="BJ583" s="15" t="str">
        <f>"1220"</f>
        <v>1220</v>
      </c>
      <c r="BK583" s="15" t="s">
        <v>742</v>
      </c>
      <c r="BL583" s="15" t="str">
        <f t="shared" si="1726"/>
        <v>3</v>
      </c>
      <c r="BM583" s="15" t="s">
        <v>841</v>
      </c>
      <c r="BN583" s="15" t="str">
        <f>"71.46"</f>
        <v>71.46</v>
      </c>
      <c r="BO583" s="15" t="str">
        <f>"9.45"</f>
        <v>9.45</v>
      </c>
      <c r="BP583" s="15" t="str">
        <f>"54.72"</f>
        <v>54.72</v>
      </c>
      <c r="BQ583" s="15" t="str">
        <f>"145.51"</f>
        <v>145.51</v>
      </c>
      <c r="BR583" s="15" t="s">
        <v>6623</v>
      </c>
      <c r="BS583" s="15" t="str">
        <f>"71.46"</f>
        <v>71.46</v>
      </c>
      <c r="BT583" s="15" t="str">
        <f t="shared" si="1727"/>
        <v>17.32</v>
      </c>
      <c r="BU583" s="15" t="str">
        <f t="shared" si="1728"/>
        <v>11.42</v>
      </c>
      <c r="BV583" s="15" t="str">
        <f>"85.98"</f>
        <v>85.98</v>
      </c>
      <c r="BW583" s="15" t="s">
        <v>6624</v>
      </c>
      <c r="BX583" s="15" t="str">
        <f t="shared" si="1729"/>
        <v>85.24</v>
      </c>
      <c r="BY583" s="15" t="str">
        <f t="shared" si="1730"/>
        <v>17.52</v>
      </c>
      <c r="BZ583" s="15" t="str">
        <f t="shared" si="1731"/>
        <v>12.2</v>
      </c>
      <c r="CA583" s="15" t="str">
        <f>"98.11"</f>
        <v>98.11</v>
      </c>
      <c r="CG583" s="15" t="str">
        <f>"40.12"</f>
        <v>40.12</v>
      </c>
      <c r="CH583" s="15" t="str">
        <f>"1.136"</f>
        <v>1.136</v>
      </c>
      <c r="CI583" s="15" t="s">
        <v>417</v>
      </c>
      <c r="CZ583" s="15" t="s">
        <v>419</v>
      </c>
      <c r="DA583" s="15">
        <v>0.0</v>
      </c>
      <c r="DB583" s="15" t="s">
        <v>419</v>
      </c>
      <c r="DD583" s="15">
        <v>0.0</v>
      </c>
      <c r="DF583" s="15" t="s">
        <v>1186</v>
      </c>
      <c r="DG583" s="15" t="s">
        <v>419</v>
      </c>
      <c r="DI583" s="15">
        <v>0.0</v>
      </c>
      <c r="DJ583" s="15">
        <v>0.0</v>
      </c>
      <c r="DK583" s="15">
        <v>0.0</v>
      </c>
      <c r="DS583" s="15" t="s">
        <v>6626</v>
      </c>
      <c r="DU583" s="15" t="s">
        <v>858</v>
      </c>
      <c r="EV583" s="15">
        <v>0.0</v>
      </c>
      <c r="HV583" s="15" t="s">
        <v>1042</v>
      </c>
      <c r="HX583" s="15" t="s">
        <v>1042</v>
      </c>
      <c r="HY583" s="15" t="s">
        <v>2156</v>
      </c>
      <c r="HZ583" s="15" t="s">
        <v>2505</v>
      </c>
      <c r="IA583" s="15" t="s">
        <v>3135</v>
      </c>
      <c r="IB583" s="15" t="s">
        <v>1232</v>
      </c>
      <c r="IC583" s="15" t="s">
        <v>429</v>
      </c>
      <c r="ID583" s="15" t="s">
        <v>3135</v>
      </c>
      <c r="IE583" s="15" t="s">
        <v>2971</v>
      </c>
      <c r="IF583" s="15" t="s">
        <v>1957</v>
      </c>
      <c r="IG583" s="15" t="s">
        <v>890</v>
      </c>
      <c r="IH583" s="15" t="s">
        <v>2156</v>
      </c>
      <c r="II583" s="15" t="s">
        <v>2971</v>
      </c>
      <c r="IJ583" s="15" t="s">
        <v>2505</v>
      </c>
      <c r="IK583" s="15" t="s">
        <v>426</v>
      </c>
      <c r="IL583" s="15" t="s">
        <v>2973</v>
      </c>
      <c r="IM583" s="15" t="s">
        <v>2604</v>
      </c>
      <c r="IN583" s="15" t="s">
        <v>873</v>
      </c>
      <c r="IO583" s="15" t="s">
        <v>877</v>
      </c>
      <c r="IU583" s="15" t="s">
        <v>759</v>
      </c>
      <c r="IV583" s="15" t="s">
        <v>2651</v>
      </c>
      <c r="IX583" s="15" t="s">
        <v>426</v>
      </c>
      <c r="IY583" s="15" t="s">
        <v>2474</v>
      </c>
    </row>
    <row r="584" ht="17.25" customHeight="1">
      <c r="A584" s="15" t="s">
        <v>6650</v>
      </c>
      <c r="B584" s="15" t="str">
        <f>"198394016650"</f>
        <v>198394016650</v>
      </c>
      <c r="C584" s="15" t="s">
        <v>18218</v>
      </c>
      <c r="D584" s="15" t="str">
        <f t="shared" si="1"/>
        <v>Leo BedSmoked BlackKing</v>
      </c>
      <c r="E584" s="15" t="s">
        <v>6614</v>
      </c>
      <c r="F584" s="15" t="s">
        <v>397</v>
      </c>
      <c r="G584" s="15" t="s">
        <v>6646</v>
      </c>
      <c r="H584" s="15" t="s">
        <v>265</v>
      </c>
      <c r="I584" s="15" t="s">
        <v>828</v>
      </c>
      <c r="J584" s="15" t="s">
        <v>6646</v>
      </c>
      <c r="K584" s="15" t="s">
        <v>4815</v>
      </c>
      <c r="M584" s="15" t="s">
        <v>2759</v>
      </c>
      <c r="N584" s="15" t="s">
        <v>839</v>
      </c>
      <c r="O584" s="15" t="s">
        <v>828</v>
      </c>
      <c r="P584" s="15" t="str">
        <f>"83.25"</f>
        <v>83.25</v>
      </c>
      <c r="Q584" s="15" t="str">
        <f t="shared" si="1724"/>
        <v>88.5</v>
      </c>
      <c r="R584" s="15" t="str">
        <f t="shared" si="1725"/>
        <v>50</v>
      </c>
      <c r="S584" s="15" t="str">
        <f>"310.85"</f>
        <v>310.85</v>
      </c>
      <c r="T584" s="15" t="s">
        <v>4874</v>
      </c>
      <c r="U584" s="15" t="s">
        <v>11338</v>
      </c>
      <c r="V584" s="15" t="s">
        <v>10881</v>
      </c>
      <c r="AA584" s="15" t="s">
        <v>413</v>
      </c>
      <c r="AB584" s="15" t="s">
        <v>413</v>
      </c>
      <c r="AC584" s="15" t="s">
        <v>6620</v>
      </c>
      <c r="AD584" s="15" t="s">
        <v>18230</v>
      </c>
      <c r="AE584" s="15" t="s">
        <v>6651</v>
      </c>
      <c r="AF584" s="15" t="s">
        <v>18231</v>
      </c>
      <c r="AG584" s="15" t="s">
        <v>18232</v>
      </c>
      <c r="AH584" s="15" t="s">
        <v>18233</v>
      </c>
      <c r="AI584" s="15" t="s">
        <v>18234</v>
      </c>
      <c r="AJ584" s="15" t="s">
        <v>18235</v>
      </c>
      <c r="AK584" s="15" t="s">
        <v>18236</v>
      </c>
      <c r="AL584" s="15" t="s">
        <v>18237</v>
      </c>
      <c r="AM584" s="15" t="s">
        <v>18238</v>
      </c>
      <c r="AN584" s="15" t="s">
        <v>18239</v>
      </c>
      <c r="AO584" s="15" t="s">
        <v>18240</v>
      </c>
      <c r="BH584" s="15" t="s">
        <v>6649</v>
      </c>
      <c r="BI584" s="15" t="str">
        <f>"3399"</f>
        <v>3399</v>
      </c>
      <c r="BJ584" s="15" t="str">
        <f>"1430"</f>
        <v>1430</v>
      </c>
      <c r="BK584" s="15" t="s">
        <v>742</v>
      </c>
      <c r="BL584" s="15" t="str">
        <f t="shared" si="1726"/>
        <v>3</v>
      </c>
      <c r="BM584" s="15" t="s">
        <v>841</v>
      </c>
      <c r="BN584" s="15" t="str">
        <f>"87.6"</f>
        <v>87.6</v>
      </c>
      <c r="BO584" s="15" t="str">
        <f>"54.72"</f>
        <v>54.72</v>
      </c>
      <c r="BP584" s="15" t="str">
        <f>"9.45"</f>
        <v>9.45</v>
      </c>
      <c r="BQ584" s="15" t="str">
        <f>"163.14"</f>
        <v>163.14</v>
      </c>
      <c r="BR584" s="15" t="s">
        <v>6623</v>
      </c>
      <c r="BS584" s="15" t="str">
        <f>"87.6"</f>
        <v>87.6</v>
      </c>
      <c r="BT584" s="15" t="str">
        <f t="shared" si="1727"/>
        <v>17.32</v>
      </c>
      <c r="BU584" s="15" t="str">
        <f t="shared" si="1728"/>
        <v>11.42</v>
      </c>
      <c r="BV584" s="15" t="str">
        <f>"100.31"</f>
        <v>100.31</v>
      </c>
      <c r="BW584" s="15" t="s">
        <v>6624</v>
      </c>
      <c r="BX584" s="15" t="str">
        <f t="shared" si="1729"/>
        <v>85.24</v>
      </c>
      <c r="BY584" s="15" t="str">
        <f t="shared" si="1730"/>
        <v>17.52</v>
      </c>
      <c r="BZ584" s="15" t="str">
        <f t="shared" si="1731"/>
        <v>12.2</v>
      </c>
      <c r="CA584" s="15" t="str">
        <f>"99.21"</f>
        <v>99.21</v>
      </c>
      <c r="CG584" s="15" t="str">
        <f>"46.79"</f>
        <v>46.79</v>
      </c>
      <c r="CH584" s="15" t="str">
        <f>"1.325"</f>
        <v>1.325</v>
      </c>
      <c r="CI584" s="15" t="s">
        <v>497</v>
      </c>
      <c r="CZ584" s="15" t="s">
        <v>419</v>
      </c>
      <c r="DA584" s="15">
        <v>0.0</v>
      </c>
      <c r="DB584" s="15" t="s">
        <v>419</v>
      </c>
      <c r="DD584" s="15">
        <v>0.0</v>
      </c>
      <c r="DF584" s="15" t="s">
        <v>1186</v>
      </c>
      <c r="DG584" s="15" t="s">
        <v>419</v>
      </c>
      <c r="DI584" s="15">
        <v>0.0</v>
      </c>
      <c r="DJ584" s="15">
        <v>0.0</v>
      </c>
      <c r="DK584" s="15">
        <v>0.0</v>
      </c>
      <c r="DS584" s="15" t="s">
        <v>6626</v>
      </c>
      <c r="DU584" s="15" t="s">
        <v>858</v>
      </c>
      <c r="EV584" s="15">
        <v>0.0</v>
      </c>
      <c r="HV584" s="15" t="s">
        <v>1042</v>
      </c>
      <c r="HX584" s="15" t="s">
        <v>1042</v>
      </c>
      <c r="HY584" s="15" t="s">
        <v>2156</v>
      </c>
      <c r="HZ584" s="15" t="s">
        <v>2505</v>
      </c>
      <c r="IA584" s="15" t="s">
        <v>6633</v>
      </c>
      <c r="IB584" s="15" t="s">
        <v>1232</v>
      </c>
      <c r="IC584" s="15" t="s">
        <v>429</v>
      </c>
      <c r="ID584" s="15" t="s">
        <v>6633</v>
      </c>
      <c r="IE584" s="15" t="s">
        <v>2971</v>
      </c>
      <c r="IF584" s="15" t="s">
        <v>1957</v>
      </c>
      <c r="IG584" s="15" t="s">
        <v>6634</v>
      </c>
      <c r="IH584" s="15" t="s">
        <v>2156</v>
      </c>
      <c r="II584" s="15" t="s">
        <v>2971</v>
      </c>
      <c r="IJ584" s="15" t="s">
        <v>2505</v>
      </c>
      <c r="IK584" s="15" t="s">
        <v>426</v>
      </c>
      <c r="IL584" s="15" t="s">
        <v>2973</v>
      </c>
      <c r="IM584" s="15" t="s">
        <v>2604</v>
      </c>
      <c r="IN584" s="15" t="s">
        <v>873</v>
      </c>
      <c r="IO584" s="15" t="s">
        <v>828</v>
      </c>
      <c r="IU584" s="15" t="s">
        <v>759</v>
      </c>
      <c r="IV584" s="15" t="s">
        <v>2651</v>
      </c>
      <c r="IX584" s="15" t="s">
        <v>426</v>
      </c>
      <c r="IY584" s="15" t="s">
        <v>2474</v>
      </c>
    </row>
    <row r="585" ht="17.25" customHeight="1">
      <c r="A585" s="15" t="s">
        <v>6654</v>
      </c>
      <c r="B585" s="15" t="str">
        <f>"801542188474"</f>
        <v>801542188474</v>
      </c>
      <c r="C585" s="15" t="s">
        <v>18241</v>
      </c>
      <c r="D585" s="15" t="str">
        <f t="shared" si="1"/>
        <v>Leo Console TableRustic Grey</v>
      </c>
      <c r="E585" s="15" t="s">
        <v>6652</v>
      </c>
      <c r="F585" s="15" t="s">
        <v>397</v>
      </c>
      <c r="G585" s="15" t="s">
        <v>6616</v>
      </c>
      <c r="J585" s="15" t="s">
        <v>6616</v>
      </c>
      <c r="K585" s="15" t="s">
        <v>5604</v>
      </c>
      <c r="M585" s="15" t="s">
        <v>2759</v>
      </c>
      <c r="N585" s="15" t="s">
        <v>519</v>
      </c>
      <c r="P585" s="15" t="str">
        <f>"80"</f>
        <v>80</v>
      </c>
      <c r="Q585" s="15" t="str">
        <f>"22"</f>
        <v>22</v>
      </c>
      <c r="R585" s="15" t="str">
        <f>"30"</f>
        <v>30</v>
      </c>
      <c r="S585" s="15" t="str">
        <f>"120.15"</f>
        <v>120.15</v>
      </c>
      <c r="T585" s="15" t="s">
        <v>4874</v>
      </c>
      <c r="U585" s="15" t="s">
        <v>11338</v>
      </c>
      <c r="V585" s="15" t="s">
        <v>10881</v>
      </c>
      <c r="AA585" s="15" t="s">
        <v>413</v>
      </c>
      <c r="AB585" s="15" t="s">
        <v>413</v>
      </c>
      <c r="AC585" s="15" t="s">
        <v>6656</v>
      </c>
      <c r="AD585" s="15" t="s">
        <v>18242</v>
      </c>
      <c r="AE585" s="15" t="s">
        <v>6655</v>
      </c>
      <c r="AF585" s="15" t="s">
        <v>18243</v>
      </c>
      <c r="AG585" s="15" t="s">
        <v>18244</v>
      </c>
      <c r="AH585" s="15" t="s">
        <v>18245</v>
      </c>
      <c r="AI585" s="15" t="s">
        <v>18246</v>
      </c>
      <c r="AJ585" s="15" t="s">
        <v>18247</v>
      </c>
      <c r="AK585" s="15" t="s">
        <v>18248</v>
      </c>
      <c r="AL585" s="15" t="s">
        <v>18249</v>
      </c>
      <c r="AM585" s="15" t="s">
        <v>18250</v>
      </c>
      <c r="AN585" s="15" t="s">
        <v>18251</v>
      </c>
      <c r="BH585" s="15" t="s">
        <v>6653</v>
      </c>
      <c r="BI585" s="15" t="str">
        <f>"1999"</f>
        <v>1999</v>
      </c>
      <c r="BJ585" s="15" t="str">
        <f>"840"</f>
        <v>840</v>
      </c>
      <c r="BK585" s="15" t="s">
        <v>742</v>
      </c>
      <c r="BL585" s="15" t="str">
        <f t="shared" ref="BL585:BL591" si="1732">"1"</f>
        <v>1</v>
      </c>
      <c r="BM585" s="15" t="s">
        <v>416</v>
      </c>
      <c r="BN585" s="15" t="str">
        <f>"83.86"</f>
        <v>83.86</v>
      </c>
      <c r="BO585" s="15" t="str">
        <f>"25.98"</f>
        <v>25.98</v>
      </c>
      <c r="BP585" s="15" t="str">
        <f>"40.55"</f>
        <v>40.55</v>
      </c>
      <c r="BQ585" s="15" t="str">
        <f>"180.78"</f>
        <v>180.78</v>
      </c>
      <c r="CG585" s="15" t="str">
        <f>"51.14"</f>
        <v>51.14</v>
      </c>
      <c r="CH585" s="15" t="str">
        <f>"1.448"</f>
        <v>1.448</v>
      </c>
      <c r="CI585" s="15" t="s">
        <v>497</v>
      </c>
      <c r="CZ585" s="15" t="s">
        <v>419</v>
      </c>
      <c r="DA585" s="15">
        <v>0.0</v>
      </c>
      <c r="DB585" s="15" t="s">
        <v>419</v>
      </c>
      <c r="DD585" s="15">
        <v>0.0</v>
      </c>
      <c r="DF585" s="15" t="s">
        <v>1186</v>
      </c>
      <c r="DG585" s="15" t="s">
        <v>419</v>
      </c>
      <c r="DK585" s="15">
        <v>0.0</v>
      </c>
      <c r="DR585" s="15" t="s">
        <v>471</v>
      </c>
      <c r="DS585" s="15" t="s">
        <v>6626</v>
      </c>
      <c r="DU585" s="15" t="s">
        <v>424</v>
      </c>
      <c r="EF585" s="15" t="s">
        <v>5450</v>
      </c>
      <c r="EH585" s="15" t="s">
        <v>6659</v>
      </c>
      <c r="EQ585" s="15" t="s">
        <v>3924</v>
      </c>
      <c r="ER585" s="15" t="s">
        <v>558</v>
      </c>
      <c r="ES585" s="15" t="s">
        <v>4685</v>
      </c>
      <c r="ET585" s="15" t="s">
        <v>1485</v>
      </c>
      <c r="EU585" s="15" t="s">
        <v>426</v>
      </c>
      <c r="EV585" s="15">
        <v>0.0</v>
      </c>
      <c r="EW585" s="15">
        <v>0.0</v>
      </c>
      <c r="FQ585" s="15">
        <v>0.0</v>
      </c>
      <c r="FR585" s="15" t="s">
        <v>427</v>
      </c>
    </row>
    <row r="586" ht="17.25" customHeight="1">
      <c r="A586" s="15" t="s">
        <v>6662</v>
      </c>
      <c r="B586" s="15" t="str">
        <f>"801542188498"</f>
        <v>801542188498</v>
      </c>
      <c r="C586" s="15" t="s">
        <v>18252</v>
      </c>
      <c r="D586" s="15" t="str">
        <f t="shared" si="1"/>
        <v>Leo NightstandRustic Grey Veneer</v>
      </c>
      <c r="E586" s="15" t="s">
        <v>6660</v>
      </c>
      <c r="F586" s="15" t="s">
        <v>397</v>
      </c>
      <c r="G586" s="15" t="s">
        <v>5604</v>
      </c>
      <c r="J586" s="15" t="s">
        <v>5604</v>
      </c>
      <c r="M586" s="15" t="s">
        <v>2759</v>
      </c>
      <c r="N586" s="15" t="s">
        <v>628</v>
      </c>
      <c r="P586" s="15" t="str">
        <f t="shared" ref="P586:P587" si="1733">"35"</f>
        <v>35</v>
      </c>
      <c r="Q586" s="15" t="str">
        <f t="shared" ref="Q586:Q587" si="1734">"18.25"</f>
        <v>18.25</v>
      </c>
      <c r="R586" s="15" t="str">
        <f t="shared" ref="R586:R587" si="1735">"22"</f>
        <v>22</v>
      </c>
      <c r="S586" s="15" t="str">
        <f t="shared" ref="S586:S587" si="1736">"88.18"</f>
        <v>88.18</v>
      </c>
      <c r="T586" s="15" t="s">
        <v>1025</v>
      </c>
      <c r="U586" s="15" t="s">
        <v>10881</v>
      </c>
      <c r="V586" s="15" t="s">
        <v>11338</v>
      </c>
      <c r="AA586" s="15" t="s">
        <v>413</v>
      </c>
      <c r="AB586" s="15" t="s">
        <v>413</v>
      </c>
      <c r="AC586" s="15" t="s">
        <v>6664</v>
      </c>
      <c r="AD586" s="15" t="s">
        <v>18253</v>
      </c>
      <c r="AE586" s="15" t="s">
        <v>6663</v>
      </c>
      <c r="AF586" s="15" t="s">
        <v>18254</v>
      </c>
      <c r="AG586" s="15" t="s">
        <v>18255</v>
      </c>
      <c r="AH586" s="15" t="s">
        <v>18256</v>
      </c>
      <c r="AI586" s="15" t="s">
        <v>18257</v>
      </c>
      <c r="AJ586" s="15" t="s">
        <v>18258</v>
      </c>
      <c r="AK586" s="15" t="s">
        <v>18259</v>
      </c>
      <c r="AL586" s="15" t="s">
        <v>18260</v>
      </c>
      <c r="AM586" s="15" t="s">
        <v>18261</v>
      </c>
      <c r="AN586" s="15" t="s">
        <v>18262</v>
      </c>
      <c r="AO586" s="15" t="s">
        <v>18263</v>
      </c>
      <c r="AP586" s="15" t="s">
        <v>18264</v>
      </c>
      <c r="AQ586" s="15" t="s">
        <v>18265</v>
      </c>
      <c r="BH586" s="15" t="s">
        <v>6661</v>
      </c>
      <c r="BI586" s="15" t="str">
        <f t="shared" ref="BI586:BI587" si="1737">"1149"</f>
        <v>1149</v>
      </c>
      <c r="BJ586" s="15" t="str">
        <f t="shared" ref="BJ586:BJ587" si="1738">"485"</f>
        <v>485</v>
      </c>
      <c r="BK586" s="15" t="s">
        <v>742</v>
      </c>
      <c r="BL586" s="15" t="str">
        <f t="shared" si="1732"/>
        <v>1</v>
      </c>
      <c r="BM586" s="15" t="s">
        <v>1439</v>
      </c>
      <c r="BN586" s="15" t="str">
        <f t="shared" ref="BN586:BN587" si="1739">"39.57"</f>
        <v>39.57</v>
      </c>
      <c r="BO586" s="15" t="str">
        <f t="shared" ref="BO586:BO587" si="1740">"22.83"</f>
        <v>22.83</v>
      </c>
      <c r="BP586" s="15" t="str">
        <f t="shared" ref="BP586:BP587" si="1741">"28.94"</f>
        <v>28.94</v>
      </c>
      <c r="BQ586" s="15" t="str">
        <f t="shared" ref="BQ586:BQ587" si="1742">"110.23"</f>
        <v>110.23</v>
      </c>
      <c r="CG586" s="15" t="str">
        <f t="shared" ref="CG586:CG587" si="1743">"15.11"</f>
        <v>15.11</v>
      </c>
      <c r="CH586" s="15" t="str">
        <f t="shared" ref="CH586:CH587" si="1744">"0.428"</f>
        <v>0.428</v>
      </c>
      <c r="CI586" s="15" t="s">
        <v>497</v>
      </c>
      <c r="CZ586" s="15" t="s">
        <v>418</v>
      </c>
      <c r="DA586" s="15">
        <v>3.0</v>
      </c>
      <c r="DB586" s="15" t="s">
        <v>419</v>
      </c>
      <c r="DD586" s="15">
        <v>0.0</v>
      </c>
      <c r="DF586" s="15" t="s">
        <v>1186</v>
      </c>
      <c r="DG586" s="15" t="s">
        <v>421</v>
      </c>
      <c r="DK586" s="15">
        <v>0.0</v>
      </c>
      <c r="DR586" s="15" t="s">
        <v>471</v>
      </c>
      <c r="DS586" s="15" t="s">
        <v>6626</v>
      </c>
      <c r="DU586" s="15" t="s">
        <v>500</v>
      </c>
      <c r="EF586" s="15" t="s">
        <v>1042</v>
      </c>
      <c r="EU586" s="15" t="s">
        <v>426</v>
      </c>
      <c r="EV586" s="15">
        <v>0.0</v>
      </c>
      <c r="FQ586" s="15">
        <v>0.0</v>
      </c>
      <c r="FR586" s="15" t="s">
        <v>427</v>
      </c>
      <c r="FX586" s="15" t="s">
        <v>426</v>
      </c>
      <c r="FZ586" s="15" t="s">
        <v>1430</v>
      </c>
      <c r="GB586" s="15" t="s">
        <v>6666</v>
      </c>
      <c r="GD586" s="15" t="s">
        <v>2082</v>
      </c>
      <c r="GF586" s="15" t="s">
        <v>838</v>
      </c>
      <c r="GH586" s="15" t="s">
        <v>764</v>
      </c>
    </row>
    <row r="587" ht="17.25" customHeight="1">
      <c r="A587" s="15" t="s">
        <v>6668</v>
      </c>
      <c r="B587" s="15" t="str">
        <f>"198394017572"</f>
        <v>198394017572</v>
      </c>
      <c r="C587" s="15" t="s">
        <v>18266</v>
      </c>
      <c r="D587" s="15" t="str">
        <f t="shared" si="1"/>
        <v>Leo NightstandSmoked Black Veneer</v>
      </c>
      <c r="E587" s="15" t="s">
        <v>6660</v>
      </c>
      <c r="F587" s="15" t="s">
        <v>397</v>
      </c>
      <c r="G587" s="15" t="s">
        <v>4815</v>
      </c>
      <c r="J587" s="15" t="s">
        <v>4815</v>
      </c>
      <c r="M587" s="15" t="s">
        <v>2759</v>
      </c>
      <c r="N587" s="15" t="s">
        <v>628</v>
      </c>
      <c r="P587" s="15" t="str">
        <f t="shared" si="1733"/>
        <v>35</v>
      </c>
      <c r="Q587" s="15" t="str">
        <f t="shared" si="1734"/>
        <v>18.25</v>
      </c>
      <c r="R587" s="15" t="str">
        <f t="shared" si="1735"/>
        <v>22</v>
      </c>
      <c r="S587" s="15" t="str">
        <f t="shared" si="1736"/>
        <v>88.18</v>
      </c>
      <c r="T587" s="15" t="s">
        <v>1025</v>
      </c>
      <c r="U587" s="15" t="s">
        <v>10881</v>
      </c>
      <c r="V587" s="15" t="s">
        <v>11338</v>
      </c>
      <c r="AA587" s="15" t="s">
        <v>413</v>
      </c>
      <c r="AB587" s="15" t="s">
        <v>413</v>
      </c>
      <c r="AC587" s="15" t="s">
        <v>6664</v>
      </c>
      <c r="AD587" s="15" t="s">
        <v>18267</v>
      </c>
      <c r="AE587" s="15" t="s">
        <v>6669</v>
      </c>
      <c r="AF587" s="15" t="s">
        <v>18268</v>
      </c>
      <c r="AG587" s="15" t="s">
        <v>18269</v>
      </c>
      <c r="AH587" s="15" t="s">
        <v>18270</v>
      </c>
      <c r="AI587" s="15" t="s">
        <v>18271</v>
      </c>
      <c r="AJ587" s="15" t="s">
        <v>18272</v>
      </c>
      <c r="AK587" s="15" t="s">
        <v>18273</v>
      </c>
      <c r="AL587" s="15" t="s">
        <v>18274</v>
      </c>
      <c r="AM587" s="15" t="s">
        <v>18275</v>
      </c>
      <c r="AN587" s="15" t="s">
        <v>18276</v>
      </c>
      <c r="AO587" s="15" t="s">
        <v>18277</v>
      </c>
      <c r="AP587" s="15" t="s">
        <v>18278</v>
      </c>
      <c r="BH587" s="15" t="s">
        <v>6667</v>
      </c>
      <c r="BI587" s="15" t="str">
        <f t="shared" si="1737"/>
        <v>1149</v>
      </c>
      <c r="BJ587" s="15" t="str">
        <f t="shared" si="1738"/>
        <v>485</v>
      </c>
      <c r="BK587" s="15" t="s">
        <v>742</v>
      </c>
      <c r="BL587" s="15" t="str">
        <f t="shared" si="1732"/>
        <v>1</v>
      </c>
      <c r="BM587" s="15" t="s">
        <v>1439</v>
      </c>
      <c r="BN587" s="15" t="str">
        <f t="shared" si="1739"/>
        <v>39.57</v>
      </c>
      <c r="BO587" s="15" t="str">
        <f t="shared" si="1740"/>
        <v>22.83</v>
      </c>
      <c r="BP587" s="15" t="str">
        <f t="shared" si="1741"/>
        <v>28.94</v>
      </c>
      <c r="BQ587" s="15" t="str">
        <f t="shared" si="1742"/>
        <v>110.23</v>
      </c>
      <c r="CG587" s="15" t="str">
        <f t="shared" si="1743"/>
        <v>15.11</v>
      </c>
      <c r="CH587" s="15" t="str">
        <f t="shared" si="1744"/>
        <v>0.428</v>
      </c>
      <c r="CI587" s="15" t="s">
        <v>497</v>
      </c>
      <c r="CZ587" s="15" t="s">
        <v>418</v>
      </c>
      <c r="DA587" s="15">
        <v>3.0</v>
      </c>
      <c r="DB587" s="15" t="s">
        <v>419</v>
      </c>
      <c r="DD587" s="15">
        <v>0.0</v>
      </c>
      <c r="DF587" s="15" t="s">
        <v>1186</v>
      </c>
      <c r="DG587" s="15" t="s">
        <v>421</v>
      </c>
      <c r="DK587" s="15">
        <v>0.0</v>
      </c>
      <c r="DR587" s="15" t="s">
        <v>471</v>
      </c>
      <c r="DS587" s="15" t="s">
        <v>6626</v>
      </c>
      <c r="DU587" s="15" t="s">
        <v>500</v>
      </c>
      <c r="EF587" s="15" t="s">
        <v>1042</v>
      </c>
      <c r="EU587" s="15" t="s">
        <v>426</v>
      </c>
      <c r="EV587" s="15">
        <v>0.0</v>
      </c>
      <c r="FQ587" s="15">
        <v>0.0</v>
      </c>
      <c r="FR587" s="15" t="s">
        <v>427</v>
      </c>
      <c r="FX587" s="15" t="s">
        <v>426</v>
      </c>
      <c r="FZ587" s="15" t="s">
        <v>1430</v>
      </c>
      <c r="GB587" s="15" t="s">
        <v>6666</v>
      </c>
      <c r="GD587" s="15" t="s">
        <v>2082</v>
      </c>
      <c r="GF587" s="15" t="s">
        <v>838</v>
      </c>
      <c r="GH587" s="15" t="s">
        <v>764</v>
      </c>
    </row>
    <row r="588" ht="17.25" customHeight="1">
      <c r="A588" s="15" t="s">
        <v>6672</v>
      </c>
      <c r="B588" s="15" t="str">
        <f>"801542192112"</f>
        <v>801542192112</v>
      </c>
      <c r="C588" s="15" t="s">
        <v>18279</v>
      </c>
      <c r="D588" s="15" t="str">
        <f t="shared" si="1"/>
        <v>Leo SideboardRustic Grey</v>
      </c>
      <c r="E588" s="15" t="s">
        <v>6670</v>
      </c>
      <c r="F588" s="15" t="s">
        <v>397</v>
      </c>
      <c r="G588" s="15" t="s">
        <v>6616</v>
      </c>
      <c r="J588" s="15" t="s">
        <v>6616</v>
      </c>
      <c r="M588" s="15" t="s">
        <v>2759</v>
      </c>
      <c r="N588" s="15" t="s">
        <v>664</v>
      </c>
      <c r="P588" s="15" t="str">
        <f t="shared" ref="P588:P589" si="1745">"82"</f>
        <v>82</v>
      </c>
      <c r="Q588" s="15" t="str">
        <f t="shared" ref="Q588:Q589" si="1746">"22.5"</f>
        <v>22.5</v>
      </c>
      <c r="R588" s="15" t="str">
        <f t="shared" ref="R588:R589" si="1747">"30"</f>
        <v>30</v>
      </c>
      <c r="S588" s="15" t="str">
        <f t="shared" ref="S588:S589" si="1748">"206.13"</f>
        <v>206.13</v>
      </c>
      <c r="T588" s="15" t="s">
        <v>2872</v>
      </c>
      <c r="U588" s="15" t="s">
        <v>11338</v>
      </c>
      <c r="AA588" s="15" t="s">
        <v>413</v>
      </c>
      <c r="AB588" s="15" t="s">
        <v>413</v>
      </c>
      <c r="AC588" s="15" t="s">
        <v>6675</v>
      </c>
      <c r="AD588" s="15" t="s">
        <v>18280</v>
      </c>
      <c r="AE588" s="15" t="s">
        <v>6674</v>
      </c>
      <c r="AF588" s="15" t="s">
        <v>18281</v>
      </c>
      <c r="AG588" s="15" t="s">
        <v>18282</v>
      </c>
      <c r="AH588" s="15" t="s">
        <v>18283</v>
      </c>
      <c r="AI588" s="15" t="s">
        <v>18284</v>
      </c>
      <c r="AJ588" s="15" t="s">
        <v>18285</v>
      </c>
      <c r="AK588" s="15" t="s">
        <v>18286</v>
      </c>
      <c r="AL588" s="15" t="s">
        <v>18287</v>
      </c>
      <c r="AM588" s="15" t="s">
        <v>18288</v>
      </c>
      <c r="AN588" s="15" t="s">
        <v>18289</v>
      </c>
      <c r="AO588" s="15" t="s">
        <v>18290</v>
      </c>
      <c r="AP588" s="15" t="s">
        <v>18291</v>
      </c>
      <c r="AQ588" s="15" t="s">
        <v>18292</v>
      </c>
      <c r="AR588" s="15" t="s">
        <v>18293</v>
      </c>
      <c r="BH588" s="15" t="s">
        <v>6671</v>
      </c>
      <c r="BI588" s="15" t="str">
        <f t="shared" ref="BI588:BI589" si="1749">"2699"</f>
        <v>2699</v>
      </c>
      <c r="BJ588" s="15" t="str">
        <f t="shared" ref="BJ588:BJ589" si="1750">"1135"</f>
        <v>1135</v>
      </c>
      <c r="BK588" s="15" t="s">
        <v>742</v>
      </c>
      <c r="BL588" s="15" t="str">
        <f t="shared" si="1732"/>
        <v>1</v>
      </c>
      <c r="BM588" s="15" t="s">
        <v>416</v>
      </c>
      <c r="BN588" s="15" t="str">
        <f t="shared" ref="BN588:BN589" si="1751">"86.22"</f>
        <v>86.22</v>
      </c>
      <c r="BO588" s="15" t="str">
        <f t="shared" ref="BO588:BO589" si="1752">"25.79"</f>
        <v>25.79</v>
      </c>
      <c r="BP588" s="15" t="str">
        <f t="shared" ref="BP588:BP589" si="1753">"39.76"</f>
        <v>39.76</v>
      </c>
      <c r="BQ588" s="15" t="str">
        <f t="shared" ref="BQ588:BQ589" si="1754">"242.51"</f>
        <v>242.51</v>
      </c>
      <c r="CG588" s="15" t="str">
        <f t="shared" ref="CG588:CG589" si="1755">"51.17"</f>
        <v>51.17</v>
      </c>
      <c r="CH588" s="15" t="str">
        <f t="shared" ref="CH588:CH589" si="1756">"1.449"</f>
        <v>1.449</v>
      </c>
      <c r="CI588" s="15" t="s">
        <v>497</v>
      </c>
      <c r="CM588" s="15" t="s">
        <v>3129</v>
      </c>
      <c r="CN588" s="15" t="s">
        <v>4987</v>
      </c>
      <c r="CO588" s="15" t="s">
        <v>6677</v>
      </c>
      <c r="CZ588" s="15" t="s">
        <v>419</v>
      </c>
      <c r="DA588" s="15">
        <v>0.0</v>
      </c>
      <c r="DB588" s="15" t="s">
        <v>419</v>
      </c>
      <c r="DD588" s="15">
        <v>0.0</v>
      </c>
      <c r="DF588" s="15" t="s">
        <v>1186</v>
      </c>
      <c r="DG588" s="15" t="s">
        <v>610</v>
      </c>
      <c r="DI588" s="15">
        <v>18.14</v>
      </c>
      <c r="DJ588" s="15">
        <v>40.0</v>
      </c>
      <c r="DK588" s="15">
        <v>2.0</v>
      </c>
      <c r="DS588" s="15" t="s">
        <v>6626</v>
      </c>
      <c r="DU588" s="15" t="s">
        <v>424</v>
      </c>
      <c r="EF588" s="15" t="s">
        <v>1042</v>
      </c>
      <c r="EU588" s="15" t="s">
        <v>426</v>
      </c>
      <c r="EV588" s="15">
        <v>2.0</v>
      </c>
      <c r="FH588" s="15" t="s">
        <v>1411</v>
      </c>
      <c r="FI588" s="15" t="s">
        <v>6678</v>
      </c>
      <c r="FJ588" s="15" t="s">
        <v>3165</v>
      </c>
      <c r="FK588" s="15" t="s">
        <v>3129</v>
      </c>
      <c r="FL588" s="15" t="s">
        <v>612</v>
      </c>
      <c r="FM588" s="15" t="s">
        <v>6677</v>
      </c>
      <c r="FN588" s="15">
        <v>0.0</v>
      </c>
      <c r="FO588" s="15" t="s">
        <v>426</v>
      </c>
      <c r="FP588" s="15" t="s">
        <v>1044</v>
      </c>
      <c r="FQ588" s="15">
        <v>4.0</v>
      </c>
      <c r="FR588" s="15" t="s">
        <v>614</v>
      </c>
      <c r="FS588" s="15" t="s">
        <v>615</v>
      </c>
      <c r="FT588" s="15">
        <v>0.0</v>
      </c>
      <c r="FU588" s="15" t="s">
        <v>426</v>
      </c>
      <c r="FW588" s="15" t="s">
        <v>616</v>
      </c>
      <c r="HF588" s="15" t="s">
        <v>1957</v>
      </c>
      <c r="HQ588" s="15" t="s">
        <v>426</v>
      </c>
    </row>
    <row r="589" ht="17.25" customHeight="1">
      <c r="A589" s="15" t="s">
        <v>6680</v>
      </c>
      <c r="B589" s="15" t="str">
        <f>"198394016049"</f>
        <v>198394016049</v>
      </c>
      <c r="C589" s="15" t="s">
        <v>18294</v>
      </c>
      <c r="D589" s="15" t="str">
        <f t="shared" si="1"/>
        <v>Leo SideboardSmoked Black</v>
      </c>
      <c r="E589" s="15" t="s">
        <v>6670</v>
      </c>
      <c r="F589" s="15" t="s">
        <v>397</v>
      </c>
      <c r="G589" s="15" t="s">
        <v>6646</v>
      </c>
      <c r="J589" s="15" t="s">
        <v>6646</v>
      </c>
      <c r="M589" s="15" t="s">
        <v>2759</v>
      </c>
      <c r="N589" s="15" t="s">
        <v>664</v>
      </c>
      <c r="P589" s="15" t="str">
        <f t="shared" si="1745"/>
        <v>82</v>
      </c>
      <c r="Q589" s="15" t="str">
        <f t="shared" si="1746"/>
        <v>22.5</v>
      </c>
      <c r="R589" s="15" t="str">
        <f t="shared" si="1747"/>
        <v>30</v>
      </c>
      <c r="S589" s="15" t="str">
        <f t="shared" si="1748"/>
        <v>206.13</v>
      </c>
      <c r="T589" s="15" t="s">
        <v>2872</v>
      </c>
      <c r="U589" s="15" t="s">
        <v>11338</v>
      </c>
      <c r="AA589" s="15" t="s">
        <v>413</v>
      </c>
      <c r="AB589" s="15" t="s">
        <v>413</v>
      </c>
      <c r="AC589" s="15" t="s">
        <v>6675</v>
      </c>
      <c r="AD589" s="15" t="s">
        <v>18295</v>
      </c>
      <c r="AE589" s="15" t="s">
        <v>6681</v>
      </c>
      <c r="AF589" s="15" t="s">
        <v>18296</v>
      </c>
      <c r="AG589" s="15" t="s">
        <v>18297</v>
      </c>
      <c r="AH589" s="15" t="s">
        <v>18298</v>
      </c>
      <c r="AI589" s="15" t="s">
        <v>18299</v>
      </c>
      <c r="AJ589" s="15" t="s">
        <v>18300</v>
      </c>
      <c r="AK589" s="15" t="s">
        <v>18301</v>
      </c>
      <c r="AL589" s="15" t="s">
        <v>18302</v>
      </c>
      <c r="AM589" s="15" t="s">
        <v>18303</v>
      </c>
      <c r="AN589" s="15" t="s">
        <v>18304</v>
      </c>
      <c r="AO589" s="15" t="s">
        <v>18305</v>
      </c>
      <c r="AP589" s="15" t="s">
        <v>18306</v>
      </c>
      <c r="BH589" s="15" t="s">
        <v>6679</v>
      </c>
      <c r="BI589" s="15" t="str">
        <f t="shared" si="1749"/>
        <v>2699</v>
      </c>
      <c r="BJ589" s="15" t="str">
        <f t="shared" si="1750"/>
        <v>1135</v>
      </c>
      <c r="BK589" s="15" t="s">
        <v>742</v>
      </c>
      <c r="BL589" s="15" t="str">
        <f t="shared" si="1732"/>
        <v>1</v>
      </c>
      <c r="BM589" s="15" t="s">
        <v>416</v>
      </c>
      <c r="BN589" s="15" t="str">
        <f t="shared" si="1751"/>
        <v>86.22</v>
      </c>
      <c r="BO589" s="15" t="str">
        <f t="shared" si="1752"/>
        <v>25.79</v>
      </c>
      <c r="BP589" s="15" t="str">
        <f t="shared" si="1753"/>
        <v>39.76</v>
      </c>
      <c r="BQ589" s="15" t="str">
        <f t="shared" si="1754"/>
        <v>242.51</v>
      </c>
      <c r="CG589" s="15" t="str">
        <f t="shared" si="1755"/>
        <v>51.17</v>
      </c>
      <c r="CH589" s="15" t="str">
        <f t="shared" si="1756"/>
        <v>1.449</v>
      </c>
      <c r="CI589" s="15" t="s">
        <v>465</v>
      </c>
      <c r="CM589" s="15" t="s">
        <v>3129</v>
      </c>
      <c r="CN589" s="15" t="s">
        <v>4987</v>
      </c>
      <c r="CO589" s="15" t="s">
        <v>6677</v>
      </c>
      <c r="CZ589" s="15" t="s">
        <v>419</v>
      </c>
      <c r="DA589" s="15">
        <v>0.0</v>
      </c>
      <c r="DB589" s="15" t="s">
        <v>419</v>
      </c>
      <c r="DD589" s="15">
        <v>0.0</v>
      </c>
      <c r="DF589" s="15" t="s">
        <v>1186</v>
      </c>
      <c r="DG589" s="15" t="s">
        <v>610</v>
      </c>
      <c r="DI589" s="15">
        <v>18.14</v>
      </c>
      <c r="DJ589" s="15">
        <v>40.0</v>
      </c>
      <c r="DK589" s="15">
        <v>2.0</v>
      </c>
      <c r="DS589" s="15" t="s">
        <v>6626</v>
      </c>
      <c r="DU589" s="15" t="s">
        <v>424</v>
      </c>
      <c r="EF589" s="15" t="s">
        <v>1042</v>
      </c>
      <c r="EU589" s="15" t="s">
        <v>426</v>
      </c>
      <c r="EV589" s="15">
        <v>2.0</v>
      </c>
      <c r="FH589" s="15" t="s">
        <v>1411</v>
      </c>
      <c r="FI589" s="15" t="s">
        <v>6678</v>
      </c>
      <c r="FJ589" s="15" t="s">
        <v>3165</v>
      </c>
      <c r="FK589" s="15" t="s">
        <v>3129</v>
      </c>
      <c r="FL589" s="15" t="s">
        <v>612</v>
      </c>
      <c r="FM589" s="15" t="s">
        <v>6677</v>
      </c>
      <c r="FN589" s="15">
        <v>0.0</v>
      </c>
      <c r="FO589" s="15" t="s">
        <v>426</v>
      </c>
      <c r="FP589" s="15" t="s">
        <v>1044</v>
      </c>
      <c r="FQ589" s="15">
        <v>4.0</v>
      </c>
      <c r="FR589" s="15" t="s">
        <v>614</v>
      </c>
      <c r="FS589" s="15" t="s">
        <v>615</v>
      </c>
      <c r="FT589" s="15">
        <v>0.0</v>
      </c>
      <c r="FU589" s="15" t="s">
        <v>426</v>
      </c>
      <c r="FW589" s="15" t="s">
        <v>616</v>
      </c>
      <c r="HF589" s="15" t="s">
        <v>1957</v>
      </c>
      <c r="HQ589" s="15" t="s">
        <v>426</v>
      </c>
    </row>
    <row r="590" ht="17.25" customHeight="1">
      <c r="A590" s="15" t="s">
        <v>6684</v>
      </c>
      <c r="B590" s="15" t="str">
        <f>"801542368876"</f>
        <v>801542368876</v>
      </c>
      <c r="C590" s="15" t="s">
        <v>18307</v>
      </c>
      <c r="D590" s="15" t="str">
        <f t="shared" si="1"/>
        <v>Leonie ChairKnoll Natural</v>
      </c>
      <c r="E590" s="15" t="s">
        <v>6682</v>
      </c>
      <c r="F590" s="15" t="s">
        <v>397</v>
      </c>
      <c r="G590" s="15" t="s">
        <v>1081</v>
      </c>
      <c r="J590" s="15" t="s">
        <v>1081</v>
      </c>
      <c r="K590" s="15" t="s">
        <v>1087</v>
      </c>
      <c r="M590" s="15" t="s">
        <v>915</v>
      </c>
      <c r="N590" s="15" t="s">
        <v>706</v>
      </c>
      <c r="O590" s="15" t="s">
        <v>707</v>
      </c>
      <c r="P590" s="15" t="str">
        <f>"29.75"</f>
        <v>29.75</v>
      </c>
      <c r="Q590" s="15" t="str">
        <f>"32"</f>
        <v>32</v>
      </c>
      <c r="R590" s="15" t="str">
        <f>"28.5"</f>
        <v>28.5</v>
      </c>
      <c r="S590" s="15" t="str">
        <f>"43.21"</f>
        <v>43.21</v>
      </c>
      <c r="T590" s="15" t="s">
        <v>1830</v>
      </c>
      <c r="U590" s="15" t="s">
        <v>11234</v>
      </c>
      <c r="V590" s="15" t="s">
        <v>11371</v>
      </c>
      <c r="W590" s="15" t="s">
        <v>11210</v>
      </c>
      <c r="AA590" s="15" t="s">
        <v>413</v>
      </c>
      <c r="AB590" s="15" t="s">
        <v>426</v>
      </c>
      <c r="AC590" s="15" t="s">
        <v>6687</v>
      </c>
      <c r="AD590" s="15" t="s">
        <v>18308</v>
      </c>
      <c r="AE590" s="15" t="s">
        <v>6686</v>
      </c>
      <c r="AF590" s="15" t="s">
        <v>18309</v>
      </c>
      <c r="AG590" s="15" t="s">
        <v>18310</v>
      </c>
      <c r="AH590" s="15" t="s">
        <v>18311</v>
      </c>
      <c r="AI590" s="15" t="s">
        <v>18312</v>
      </c>
      <c r="AJ590" s="15" t="s">
        <v>18313</v>
      </c>
      <c r="AK590" s="15" t="s">
        <v>18314</v>
      </c>
      <c r="AL590" s="15" t="s">
        <v>18315</v>
      </c>
      <c r="AM590" s="15" t="s">
        <v>18316</v>
      </c>
      <c r="AN590" s="15" t="s">
        <v>18317</v>
      </c>
      <c r="AO590" s="15" t="s">
        <v>18318</v>
      </c>
      <c r="AP590" s="15" t="s">
        <v>18319</v>
      </c>
      <c r="BH590" s="15" t="s">
        <v>6683</v>
      </c>
      <c r="BI590" s="15" t="str">
        <f>"999"</f>
        <v>999</v>
      </c>
      <c r="BJ590" s="15" t="str">
        <f>"420"</f>
        <v>420</v>
      </c>
      <c r="BK590" s="15" t="s">
        <v>709</v>
      </c>
      <c r="BL590" s="15" t="str">
        <f t="shared" si="1732"/>
        <v>1</v>
      </c>
      <c r="BM590" s="15" t="s">
        <v>6688</v>
      </c>
      <c r="BN590" s="15" t="str">
        <f>"32.68"</f>
        <v>32.68</v>
      </c>
      <c r="BO590" s="15" t="str">
        <f>"35.04"</f>
        <v>35.04</v>
      </c>
      <c r="BP590" s="15" t="str">
        <f>"29.72"</f>
        <v>29.72</v>
      </c>
      <c r="BQ590" s="15" t="str">
        <f>"56.66"</f>
        <v>56.66</v>
      </c>
      <c r="CG590" s="15" t="str">
        <f>"16.03"</f>
        <v>16.03</v>
      </c>
      <c r="CH590" s="15" t="str">
        <f>"0.454"</f>
        <v>0.454</v>
      </c>
      <c r="CI590" s="15" t="s">
        <v>417</v>
      </c>
      <c r="CS590" s="15" t="s">
        <v>2732</v>
      </c>
      <c r="CT590" s="15" t="s">
        <v>1161</v>
      </c>
      <c r="CU590" s="15" t="s">
        <v>3546</v>
      </c>
      <c r="CV590" s="15">
        <v>0.0</v>
      </c>
      <c r="CW590" s="15">
        <v>0.0</v>
      </c>
      <c r="CX590" s="15" t="s">
        <v>469</v>
      </c>
      <c r="CY590" s="15" t="s">
        <v>855</v>
      </c>
      <c r="DF590" s="15" t="s">
        <v>721</v>
      </c>
      <c r="DG590" s="15" t="s">
        <v>419</v>
      </c>
      <c r="DH590" s="15">
        <v>0.0</v>
      </c>
      <c r="DL590" s="15">
        <v>25000.0</v>
      </c>
      <c r="DM590" s="15" t="s">
        <v>990</v>
      </c>
      <c r="DP590" s="15">
        <v>0.0</v>
      </c>
      <c r="DQ590" s="15">
        <v>1.0</v>
      </c>
      <c r="DS590" s="15" t="s">
        <v>6690</v>
      </c>
      <c r="DT590" s="15">
        <v>0.0</v>
      </c>
      <c r="DU590" s="15" t="s">
        <v>726</v>
      </c>
      <c r="EG590" s="15" t="s">
        <v>1808</v>
      </c>
      <c r="EH590" s="15" t="s">
        <v>1808</v>
      </c>
      <c r="EI590" s="15" t="s">
        <v>1593</v>
      </c>
      <c r="EO590" s="15" t="s">
        <v>1239</v>
      </c>
      <c r="EZ590" s="15">
        <v>0.0</v>
      </c>
      <c r="FA590" s="15">
        <v>0.0</v>
      </c>
      <c r="FC590" s="15">
        <v>0.0</v>
      </c>
    </row>
    <row r="591" ht="17.25" customHeight="1">
      <c r="A591" s="15" t="s">
        <v>6693</v>
      </c>
      <c r="B591" s="15" t="str">
        <f>"801542086503"</f>
        <v>801542086503</v>
      </c>
      <c r="C591" s="15" t="s">
        <v>18320</v>
      </c>
      <c r="D591" s="15" t="str">
        <f t="shared" si="1"/>
        <v>Leya SideboardWeathered Oak Veneer</v>
      </c>
      <c r="E591" s="15" t="s">
        <v>6691</v>
      </c>
      <c r="F591" s="15" t="s">
        <v>397</v>
      </c>
      <c r="G591" s="15" t="s">
        <v>3217</v>
      </c>
      <c r="J591" s="15" t="s">
        <v>3217</v>
      </c>
      <c r="M591" s="15" t="s">
        <v>5444</v>
      </c>
      <c r="N591" s="15" t="s">
        <v>664</v>
      </c>
      <c r="P591" s="15" t="str">
        <f>"85"</f>
        <v>85</v>
      </c>
      <c r="Q591" s="15" t="str">
        <f>"20.25"</f>
        <v>20.25</v>
      </c>
      <c r="R591" s="15" t="str">
        <f>"34"</f>
        <v>34</v>
      </c>
      <c r="S591" s="15" t="str">
        <f>"240.3"</f>
        <v>240.3</v>
      </c>
      <c r="T591" s="15" t="s">
        <v>1025</v>
      </c>
      <c r="U591" s="15" t="s">
        <v>10881</v>
      </c>
      <c r="V591" s="15" t="s">
        <v>11338</v>
      </c>
      <c r="AA591" s="15" t="s">
        <v>413</v>
      </c>
      <c r="AB591" s="15" t="s">
        <v>413</v>
      </c>
      <c r="AC591" s="15" t="s">
        <v>6696</v>
      </c>
      <c r="AD591" s="15" t="s">
        <v>18321</v>
      </c>
      <c r="AE591" s="15" t="s">
        <v>6695</v>
      </c>
      <c r="AF591" s="15" t="s">
        <v>18322</v>
      </c>
      <c r="AG591" s="15" t="s">
        <v>18323</v>
      </c>
      <c r="AH591" s="15" t="s">
        <v>18324</v>
      </c>
      <c r="AI591" s="15" t="s">
        <v>18325</v>
      </c>
      <c r="AJ591" s="15" t="s">
        <v>18326</v>
      </c>
      <c r="AK591" s="15" t="s">
        <v>18327</v>
      </c>
      <c r="AL591" s="15" t="s">
        <v>18328</v>
      </c>
      <c r="AM591" s="15" t="s">
        <v>18329</v>
      </c>
      <c r="AN591" s="15" t="s">
        <v>18330</v>
      </c>
      <c r="AO591" s="15" t="s">
        <v>18331</v>
      </c>
      <c r="AP591" s="15" t="s">
        <v>18332</v>
      </c>
      <c r="AQ591" s="15" t="s">
        <v>18333</v>
      </c>
      <c r="AR591" s="15" t="s">
        <v>17484</v>
      </c>
      <c r="BH591" s="15" t="s">
        <v>6692</v>
      </c>
      <c r="BI591" s="15" t="str">
        <f>"2599"</f>
        <v>2599</v>
      </c>
      <c r="BJ591" s="15" t="str">
        <f>"1095"</f>
        <v>1095</v>
      </c>
      <c r="BK591" s="15" t="s">
        <v>742</v>
      </c>
      <c r="BL591" s="15" t="str">
        <f t="shared" si="1732"/>
        <v>1</v>
      </c>
      <c r="BM591" s="15" t="s">
        <v>1455</v>
      </c>
      <c r="BN591" s="15" t="str">
        <f>"89.37"</f>
        <v>89.37</v>
      </c>
      <c r="BO591" s="15" t="str">
        <f>"24.61"</f>
        <v>24.61</v>
      </c>
      <c r="BP591" s="15" t="str">
        <f>"44.29"</f>
        <v>44.29</v>
      </c>
      <c r="BQ591" s="15" t="str">
        <f>"308.65"</f>
        <v>308.65</v>
      </c>
      <c r="CG591" s="15" t="str">
        <f>"56.36"</f>
        <v>56.36</v>
      </c>
      <c r="CH591" s="15" t="str">
        <f>"1.596"</f>
        <v>1.596</v>
      </c>
      <c r="CI591" s="15" t="s">
        <v>465</v>
      </c>
      <c r="CM591" s="15" t="s">
        <v>1070</v>
      </c>
      <c r="CN591" s="15" t="s">
        <v>1116</v>
      </c>
      <c r="CO591" s="15" t="s">
        <v>6078</v>
      </c>
      <c r="CZ591" s="15" t="s">
        <v>419</v>
      </c>
      <c r="DA591" s="15">
        <v>0.0</v>
      </c>
      <c r="DB591" s="15" t="s">
        <v>419</v>
      </c>
      <c r="DD591" s="15">
        <v>0.0</v>
      </c>
      <c r="DF591" s="15" t="s">
        <v>1388</v>
      </c>
      <c r="DG591" s="15" t="s">
        <v>610</v>
      </c>
      <c r="DI591" s="15">
        <v>18.14</v>
      </c>
      <c r="DJ591" s="15">
        <v>40.0</v>
      </c>
      <c r="DK591" s="15">
        <v>3.0</v>
      </c>
      <c r="DS591" s="15" t="s">
        <v>6699</v>
      </c>
      <c r="DU591" s="15" t="s">
        <v>424</v>
      </c>
      <c r="EF591" s="15" t="s">
        <v>429</v>
      </c>
      <c r="EU591" s="15" t="s">
        <v>426</v>
      </c>
      <c r="EV591" s="15">
        <v>3.0</v>
      </c>
      <c r="FH591" s="15" t="s">
        <v>6700</v>
      </c>
      <c r="FI591" s="15" t="s">
        <v>2046</v>
      </c>
      <c r="FJ591" s="15" t="s">
        <v>2497</v>
      </c>
      <c r="FK591" s="15" t="s">
        <v>1070</v>
      </c>
      <c r="FL591" s="15" t="s">
        <v>782</v>
      </c>
      <c r="FM591" s="15" t="s">
        <v>6078</v>
      </c>
      <c r="FN591" s="15">
        <v>0.0</v>
      </c>
      <c r="FO591" s="15" t="s">
        <v>426</v>
      </c>
      <c r="FP591" s="15" t="s">
        <v>785</v>
      </c>
      <c r="FQ591" s="15">
        <v>4.0</v>
      </c>
      <c r="FR591" s="15" t="s">
        <v>614</v>
      </c>
      <c r="FS591" s="15" t="s">
        <v>1045</v>
      </c>
      <c r="FT591" s="15">
        <v>0.0</v>
      </c>
      <c r="FU591" s="15" t="s">
        <v>426</v>
      </c>
      <c r="FW591" s="15" t="s">
        <v>616</v>
      </c>
      <c r="GJ591" s="15" t="s">
        <v>1442</v>
      </c>
      <c r="GK591" s="15" t="s">
        <v>1116</v>
      </c>
      <c r="GL591" s="15" t="s">
        <v>3111</v>
      </c>
      <c r="GZ591" s="15" t="s">
        <v>1442</v>
      </c>
      <c r="HB591" s="15" t="s">
        <v>1116</v>
      </c>
      <c r="HD591" s="15" t="s">
        <v>3111</v>
      </c>
      <c r="HF591" s="15" t="s">
        <v>1957</v>
      </c>
      <c r="HM591" s="15" t="s">
        <v>1442</v>
      </c>
      <c r="HN591" s="15" t="s">
        <v>782</v>
      </c>
      <c r="HO591" s="15" t="s">
        <v>3111</v>
      </c>
      <c r="HQ591" s="15" t="s">
        <v>426</v>
      </c>
      <c r="KQ591" s="15" t="s">
        <v>6700</v>
      </c>
      <c r="KR591" s="15" t="s">
        <v>612</v>
      </c>
      <c r="KS591" s="15" t="s">
        <v>6701</v>
      </c>
    </row>
    <row r="592" ht="17.25" customHeight="1">
      <c r="A592" s="15" t="s">
        <v>6704</v>
      </c>
      <c r="B592" s="15" t="str">
        <f>"801542821432"</f>
        <v>801542821432</v>
      </c>
      <c r="C592" s="15" t="s">
        <v>18334</v>
      </c>
      <c r="D592" s="15" t="str">
        <f t="shared" si="1"/>
        <v>Lia BedNatural Reclaimed French OakQueen</v>
      </c>
      <c r="E592" s="15" t="s">
        <v>6702</v>
      </c>
      <c r="F592" s="15" t="s">
        <v>397</v>
      </c>
      <c r="G592" s="15" t="s">
        <v>3142</v>
      </c>
      <c r="H592" s="15" t="s">
        <v>265</v>
      </c>
      <c r="I592" s="15" t="s">
        <v>877</v>
      </c>
      <c r="J592" s="15" t="s">
        <v>3142</v>
      </c>
      <c r="M592" s="15" t="s">
        <v>2759</v>
      </c>
      <c r="N592" s="15" t="s">
        <v>839</v>
      </c>
      <c r="O592" s="15" t="s">
        <v>877</v>
      </c>
      <c r="P592" s="15" t="str">
        <f>"69"</f>
        <v>69</v>
      </c>
      <c r="Q592" s="15" t="str">
        <f t="shared" ref="Q592:Q593" si="1757">"88.5"</f>
        <v>88.5</v>
      </c>
      <c r="R592" s="15" t="str">
        <f t="shared" ref="R592:R593" si="1758">"43.25"</f>
        <v>43.25</v>
      </c>
      <c r="S592" s="15" t="str">
        <f>"412.26"</f>
        <v>412.26</v>
      </c>
      <c r="T592" s="15" t="s">
        <v>6706</v>
      </c>
      <c r="U592" s="15" t="s">
        <v>13534</v>
      </c>
      <c r="AA592" s="15" t="s">
        <v>413</v>
      </c>
      <c r="AB592" s="15" t="s">
        <v>413</v>
      </c>
      <c r="AC592" s="15" t="s">
        <v>6709</v>
      </c>
      <c r="AD592" s="15" t="s">
        <v>18335</v>
      </c>
      <c r="AE592" s="15" t="s">
        <v>6705</v>
      </c>
      <c r="AF592" s="15" t="s">
        <v>18336</v>
      </c>
      <c r="AG592" s="15" t="s">
        <v>18337</v>
      </c>
      <c r="AH592" s="15" t="s">
        <v>18338</v>
      </c>
      <c r="AI592" s="15" t="s">
        <v>18339</v>
      </c>
      <c r="AJ592" s="15" t="s">
        <v>18340</v>
      </c>
      <c r="AK592" s="15" t="s">
        <v>18341</v>
      </c>
      <c r="AL592" s="15" t="s">
        <v>18342</v>
      </c>
      <c r="AM592" s="15" t="s">
        <v>18343</v>
      </c>
      <c r="AN592" s="15" t="s">
        <v>18344</v>
      </c>
      <c r="AO592" s="15" t="s">
        <v>18345</v>
      </c>
      <c r="BH592" s="15" t="s">
        <v>6703</v>
      </c>
      <c r="BI592" s="15" t="str">
        <f>"5299"</f>
        <v>5299</v>
      </c>
      <c r="BJ592" s="15" t="str">
        <f>"2230"</f>
        <v>2230</v>
      </c>
      <c r="BK592" s="15" t="s">
        <v>742</v>
      </c>
      <c r="BL592" s="15" t="str">
        <f t="shared" ref="BL592:BL594" si="1759">"2"</f>
        <v>2</v>
      </c>
      <c r="BM592" s="15" t="s">
        <v>6421</v>
      </c>
      <c r="BN592" s="15" t="str">
        <f>"74.8"</f>
        <v>74.8</v>
      </c>
      <c r="BO592" s="15" t="str">
        <f>"7.48"</f>
        <v>7.48</v>
      </c>
      <c r="BP592" s="15" t="str">
        <f t="shared" ref="BP592:BP593" si="1760">"49.21"</f>
        <v>49.21</v>
      </c>
      <c r="BQ592" s="15" t="str">
        <f>"187.39"</f>
        <v>187.39</v>
      </c>
      <c r="BR592" s="15" t="s">
        <v>6713</v>
      </c>
      <c r="BS592" s="15" t="str">
        <f>"93.31"</f>
        <v>93.31</v>
      </c>
      <c r="BT592" s="15" t="str">
        <f>"24.21"</f>
        <v>24.21</v>
      </c>
      <c r="BU592" s="15" t="str">
        <f>"17.52"</f>
        <v>17.52</v>
      </c>
      <c r="BV592" s="15" t="str">
        <f>"271.17"</f>
        <v>271.17</v>
      </c>
      <c r="CG592" s="15" t="str">
        <f>"38.85"</f>
        <v>38.85</v>
      </c>
      <c r="CH592" s="15" t="str">
        <f>"1.1"</f>
        <v>1.1</v>
      </c>
      <c r="CI592" s="15" t="s">
        <v>417</v>
      </c>
      <c r="CZ592" s="15" t="s">
        <v>419</v>
      </c>
      <c r="DA592" s="15">
        <v>0.0</v>
      </c>
      <c r="DB592" s="15" t="s">
        <v>419</v>
      </c>
      <c r="DD592" s="15">
        <v>0.0</v>
      </c>
      <c r="DF592" s="15" t="s">
        <v>721</v>
      </c>
      <c r="DG592" s="15" t="s">
        <v>419</v>
      </c>
      <c r="DI592" s="15">
        <v>0.0</v>
      </c>
      <c r="DJ592" s="15">
        <v>0.0</v>
      </c>
      <c r="DK592" s="15">
        <v>0.0</v>
      </c>
      <c r="DS592" s="15" t="s">
        <v>6716</v>
      </c>
      <c r="DU592" s="15" t="s">
        <v>858</v>
      </c>
      <c r="EV592" s="15">
        <v>0.0</v>
      </c>
      <c r="HX592" s="15" t="s">
        <v>2464</v>
      </c>
      <c r="HY592" s="15" t="s">
        <v>6717</v>
      </c>
      <c r="HZ592" s="15" t="s">
        <v>2050</v>
      </c>
      <c r="IA592" s="15" t="s">
        <v>6718</v>
      </c>
      <c r="IB592" s="15" t="s">
        <v>6719</v>
      </c>
      <c r="IC592" s="15" t="s">
        <v>2050</v>
      </c>
      <c r="ID592" s="15" t="s">
        <v>6718</v>
      </c>
      <c r="IE592" s="15" t="s">
        <v>2971</v>
      </c>
      <c r="IF592" s="15" t="s">
        <v>1483</v>
      </c>
      <c r="IG592" s="15" t="s">
        <v>6720</v>
      </c>
      <c r="IH592" s="15" t="s">
        <v>6721</v>
      </c>
      <c r="II592" s="15" t="s">
        <v>6722</v>
      </c>
      <c r="IJ592" s="15" t="s">
        <v>2050</v>
      </c>
      <c r="IK592" s="15" t="s">
        <v>426</v>
      </c>
      <c r="IL592" s="15" t="s">
        <v>2973</v>
      </c>
      <c r="IM592" s="15" t="s">
        <v>2604</v>
      </c>
      <c r="IN592" s="15" t="s">
        <v>873</v>
      </c>
      <c r="IO592" s="15" t="s">
        <v>877</v>
      </c>
      <c r="IU592" s="15" t="s">
        <v>2144</v>
      </c>
      <c r="IV592" s="15" t="s">
        <v>5634</v>
      </c>
      <c r="IX592" s="15" t="s">
        <v>426</v>
      </c>
      <c r="IY592" s="15" t="s">
        <v>2474</v>
      </c>
      <c r="JB592" s="15" t="s">
        <v>6723</v>
      </c>
      <c r="JC592" s="15" t="s">
        <v>6724</v>
      </c>
    </row>
    <row r="593" ht="17.25" customHeight="1">
      <c r="A593" s="15" t="s">
        <v>6726</v>
      </c>
      <c r="B593" s="15" t="str">
        <f>"801542805487"</f>
        <v>801542805487</v>
      </c>
      <c r="C593" s="15" t="s">
        <v>18334</v>
      </c>
      <c r="D593" s="15" t="str">
        <f t="shared" si="1"/>
        <v>Lia BedNatural Reclaimed French OakKing</v>
      </c>
      <c r="E593" s="15" t="s">
        <v>6702</v>
      </c>
      <c r="F593" s="15" t="s">
        <v>397</v>
      </c>
      <c r="G593" s="15" t="s">
        <v>3142</v>
      </c>
      <c r="H593" s="15" t="s">
        <v>265</v>
      </c>
      <c r="I593" s="15" t="s">
        <v>828</v>
      </c>
      <c r="J593" s="15" t="s">
        <v>3142</v>
      </c>
      <c r="M593" s="15" t="s">
        <v>2759</v>
      </c>
      <c r="N593" s="15" t="s">
        <v>839</v>
      </c>
      <c r="O593" s="15" t="s">
        <v>828</v>
      </c>
      <c r="P593" s="15" t="str">
        <f>"85"</f>
        <v>85</v>
      </c>
      <c r="Q593" s="15" t="str">
        <f t="shared" si="1757"/>
        <v>88.5</v>
      </c>
      <c r="R593" s="15" t="str">
        <f t="shared" si="1758"/>
        <v>43.25</v>
      </c>
      <c r="S593" s="15" t="str">
        <f>"507.06"</f>
        <v>507.06</v>
      </c>
      <c r="T593" s="15" t="s">
        <v>6706</v>
      </c>
      <c r="U593" s="15" t="s">
        <v>13534</v>
      </c>
      <c r="AA593" s="15" t="s">
        <v>413</v>
      </c>
      <c r="AB593" s="15" t="s">
        <v>413</v>
      </c>
      <c r="AC593" s="15" t="s">
        <v>6709</v>
      </c>
      <c r="AD593" s="15" t="s">
        <v>18346</v>
      </c>
      <c r="AE593" s="15" t="s">
        <v>6728</v>
      </c>
      <c r="AF593" s="15" t="s">
        <v>18347</v>
      </c>
      <c r="AG593" s="15" t="s">
        <v>18348</v>
      </c>
      <c r="AH593" s="15" t="s">
        <v>18349</v>
      </c>
      <c r="AI593" s="15" t="s">
        <v>18338</v>
      </c>
      <c r="AJ593" s="15" t="s">
        <v>18350</v>
      </c>
      <c r="AK593" s="15" t="s">
        <v>18351</v>
      </c>
      <c r="AL593" s="15" t="s">
        <v>18352</v>
      </c>
      <c r="AM593" s="15" t="s">
        <v>18353</v>
      </c>
      <c r="AN593" s="15" t="s">
        <v>18354</v>
      </c>
      <c r="AO593" s="15" t="s">
        <v>18355</v>
      </c>
      <c r="AP593" s="15" t="s">
        <v>18356</v>
      </c>
      <c r="BH593" s="15" t="s">
        <v>6725</v>
      </c>
      <c r="BI593" s="15" t="str">
        <f>"5499"</f>
        <v>5499</v>
      </c>
      <c r="BJ593" s="15" t="str">
        <f>"2310"</f>
        <v>2310</v>
      </c>
      <c r="BK593" s="15" t="s">
        <v>742</v>
      </c>
      <c r="BL593" s="15" t="str">
        <f t="shared" si="1759"/>
        <v>2</v>
      </c>
      <c r="BM593" s="15" t="s">
        <v>6421</v>
      </c>
      <c r="BN593" s="15" t="str">
        <f>"91.34"</f>
        <v>91.34</v>
      </c>
      <c r="BO593" s="15" t="str">
        <f>"7.87"</f>
        <v>7.87</v>
      </c>
      <c r="BP593" s="15" t="str">
        <f t="shared" si="1760"/>
        <v>49.21</v>
      </c>
      <c r="BQ593" s="15" t="str">
        <f>"249.12"</f>
        <v>249.12</v>
      </c>
      <c r="BR593" s="15" t="s">
        <v>6713</v>
      </c>
      <c r="BS593" s="15" t="str">
        <f>"94.49"</f>
        <v>94.49</v>
      </c>
      <c r="BT593" s="15" t="str">
        <f>"24.02"</f>
        <v>24.02</v>
      </c>
      <c r="BU593" s="15" t="str">
        <f>"17.13"</f>
        <v>17.13</v>
      </c>
      <c r="BV593" s="15" t="str">
        <f>"304.24"</f>
        <v>304.24</v>
      </c>
      <c r="CG593" s="15" t="str">
        <f>"42.98"</f>
        <v>42.98</v>
      </c>
      <c r="CH593" s="15" t="str">
        <f>"1.217"</f>
        <v>1.217</v>
      </c>
      <c r="CI593" s="15" t="s">
        <v>497</v>
      </c>
      <c r="CZ593" s="15" t="s">
        <v>419</v>
      </c>
      <c r="DA593" s="15">
        <v>0.0</v>
      </c>
      <c r="DB593" s="15" t="s">
        <v>419</v>
      </c>
      <c r="DD593" s="15">
        <v>0.0</v>
      </c>
      <c r="DF593" s="15" t="s">
        <v>721</v>
      </c>
      <c r="DG593" s="15" t="s">
        <v>419</v>
      </c>
      <c r="DI593" s="15">
        <v>0.0</v>
      </c>
      <c r="DJ593" s="15">
        <v>0.0</v>
      </c>
      <c r="DK593" s="15">
        <v>0.0</v>
      </c>
      <c r="DS593" s="15" t="s">
        <v>6716</v>
      </c>
      <c r="DU593" s="15" t="s">
        <v>858</v>
      </c>
      <c r="EV593" s="15">
        <v>0.0</v>
      </c>
      <c r="HX593" s="15" t="s">
        <v>2464</v>
      </c>
      <c r="HY593" s="15" t="s">
        <v>6717</v>
      </c>
      <c r="HZ593" s="15" t="s">
        <v>2050</v>
      </c>
      <c r="IA593" s="15" t="s">
        <v>6730</v>
      </c>
      <c r="IB593" s="15" t="s">
        <v>6719</v>
      </c>
      <c r="IC593" s="15" t="s">
        <v>2050</v>
      </c>
      <c r="ID593" s="15" t="s">
        <v>6730</v>
      </c>
      <c r="IE593" s="15" t="s">
        <v>2971</v>
      </c>
      <c r="IF593" s="15" t="s">
        <v>1483</v>
      </c>
      <c r="IG593" s="15" t="s">
        <v>869</v>
      </c>
      <c r="IH593" s="15" t="s">
        <v>6721</v>
      </c>
      <c r="II593" s="15" t="s">
        <v>6722</v>
      </c>
      <c r="IJ593" s="15" t="s">
        <v>2050</v>
      </c>
      <c r="IK593" s="15" t="s">
        <v>426</v>
      </c>
      <c r="IL593" s="15" t="s">
        <v>2973</v>
      </c>
      <c r="IM593" s="15" t="s">
        <v>2604</v>
      </c>
      <c r="IN593" s="15" t="s">
        <v>873</v>
      </c>
      <c r="IO593" s="15" t="s">
        <v>828</v>
      </c>
      <c r="IU593" s="15" t="s">
        <v>2144</v>
      </c>
      <c r="IV593" s="15" t="s">
        <v>5634</v>
      </c>
      <c r="IX593" s="15" t="s">
        <v>426</v>
      </c>
      <c r="IY593" s="15" t="s">
        <v>2474</v>
      </c>
      <c r="JB593" s="15" t="s">
        <v>6723</v>
      </c>
      <c r="JC593" s="15" t="s">
        <v>4554</v>
      </c>
    </row>
    <row r="594" ht="17.25" customHeight="1">
      <c r="A594" s="15" t="s">
        <v>6734</v>
      </c>
      <c r="B594" s="15" t="str">
        <f>"801542750251"</f>
        <v>801542750251</v>
      </c>
      <c r="C594" s="15" t="s">
        <v>18357</v>
      </c>
      <c r="D594" s="15" t="str">
        <f t="shared" si="1"/>
        <v>Liad Coffee TableNatural Nettlewood</v>
      </c>
      <c r="E594" s="15" t="s">
        <v>6731</v>
      </c>
      <c r="F594" s="15" t="s">
        <v>397</v>
      </c>
      <c r="G594" s="15" t="s">
        <v>6733</v>
      </c>
      <c r="J594" s="15" t="s">
        <v>6733</v>
      </c>
      <c r="M594" s="15" t="s">
        <v>2594</v>
      </c>
      <c r="N594" s="15" t="s">
        <v>491</v>
      </c>
      <c r="P594" s="15" t="str">
        <f t="shared" ref="P594:Q594" si="1761">"39.25"</f>
        <v>39.25</v>
      </c>
      <c r="Q594" s="15" t="str">
        <f t="shared" si="1761"/>
        <v>39.25</v>
      </c>
      <c r="R594" s="15" t="str">
        <f>"15"</f>
        <v>15</v>
      </c>
      <c r="S594" s="15" t="str">
        <f>"78.04"</f>
        <v>78.04</v>
      </c>
      <c r="T594" s="15" t="s">
        <v>6737</v>
      </c>
      <c r="U594" s="15" t="s">
        <v>14318</v>
      </c>
      <c r="AA594" s="15" t="s">
        <v>413</v>
      </c>
      <c r="AB594" s="15" t="s">
        <v>413</v>
      </c>
      <c r="AC594" s="15" t="s">
        <v>6738</v>
      </c>
      <c r="AD594" s="15" t="s">
        <v>18358</v>
      </c>
      <c r="AE594" s="15" t="s">
        <v>6736</v>
      </c>
      <c r="AF594" s="15" t="s">
        <v>18359</v>
      </c>
      <c r="AG594" s="15" t="s">
        <v>18360</v>
      </c>
      <c r="AH594" s="15" t="s">
        <v>18361</v>
      </c>
      <c r="AI594" s="15" t="s">
        <v>18362</v>
      </c>
      <c r="AJ594" s="15" t="s">
        <v>18363</v>
      </c>
      <c r="AK594" s="15" t="s">
        <v>18364</v>
      </c>
      <c r="AL594" s="15" t="s">
        <v>18365</v>
      </c>
      <c r="AM594" s="15" t="s">
        <v>18366</v>
      </c>
      <c r="AN594" s="15" t="s">
        <v>18367</v>
      </c>
      <c r="BH594" s="15" t="s">
        <v>6732</v>
      </c>
      <c r="BI594" s="15" t="str">
        <f>"1449"</f>
        <v>1449</v>
      </c>
      <c r="BJ594" s="15" t="str">
        <f>"610"</f>
        <v>610</v>
      </c>
      <c r="BK594" s="15" t="s">
        <v>709</v>
      </c>
      <c r="BL594" s="15" t="str">
        <f t="shared" si="1759"/>
        <v>2</v>
      </c>
      <c r="BM594" s="15" t="s">
        <v>1564</v>
      </c>
      <c r="BN594" s="15" t="str">
        <f>"42.72"</f>
        <v>42.72</v>
      </c>
      <c r="BO594" s="15" t="str">
        <f>"4.72"</f>
        <v>4.72</v>
      </c>
      <c r="BP594" s="15" t="str">
        <f>"42.72"</f>
        <v>42.72</v>
      </c>
      <c r="BQ594" s="15" t="str">
        <f>"71.21"</f>
        <v>71.21</v>
      </c>
      <c r="BR594" s="15" t="s">
        <v>2238</v>
      </c>
      <c r="BS594" s="15" t="str">
        <f t="shared" ref="BS594:BT594" si="1762">"26.57"</f>
        <v>26.57</v>
      </c>
      <c r="BT594" s="15" t="str">
        <f t="shared" si="1762"/>
        <v>26.57</v>
      </c>
      <c r="BU594" s="15" t="str">
        <f>"17.72"</f>
        <v>17.72</v>
      </c>
      <c r="BV594" s="15" t="str">
        <f>"35.27"</f>
        <v>35.27</v>
      </c>
      <c r="CG594" s="15" t="str">
        <f>"12.22"</f>
        <v>12.22</v>
      </c>
      <c r="CH594" s="15" t="str">
        <f>"0.346"</f>
        <v>0.346</v>
      </c>
      <c r="CI594" s="15" t="s">
        <v>465</v>
      </c>
      <c r="CZ594" s="15" t="s">
        <v>419</v>
      </c>
      <c r="DA594" s="15">
        <v>0.0</v>
      </c>
      <c r="DB594" s="15" t="s">
        <v>419</v>
      </c>
      <c r="DD594" s="15">
        <v>0.0</v>
      </c>
      <c r="DF594" s="15" t="s">
        <v>1111</v>
      </c>
      <c r="DG594" s="15" t="s">
        <v>419</v>
      </c>
      <c r="DK594" s="15">
        <v>0.0</v>
      </c>
      <c r="DR594" s="15" t="s">
        <v>1157</v>
      </c>
      <c r="DS594" s="15" t="s">
        <v>6742</v>
      </c>
      <c r="DU594" s="15" t="s">
        <v>500</v>
      </c>
      <c r="EF594" s="15" t="s">
        <v>6743</v>
      </c>
      <c r="EQ594" s="15" t="s">
        <v>4552</v>
      </c>
      <c r="ER594" s="15" t="s">
        <v>6743</v>
      </c>
      <c r="ES594" s="15" t="s">
        <v>4552</v>
      </c>
      <c r="ET594" s="15" t="s">
        <v>2144</v>
      </c>
      <c r="EU594" s="15" t="s">
        <v>426</v>
      </c>
      <c r="EV594" s="15">
        <v>0.0</v>
      </c>
      <c r="EW594" s="15">
        <v>0.0</v>
      </c>
      <c r="FF594" s="15" t="s">
        <v>732</v>
      </c>
    </row>
    <row r="595" ht="17.25" customHeight="1">
      <c r="A595" s="15" t="s">
        <v>6747</v>
      </c>
      <c r="B595" s="15" t="str">
        <f>"198394122863"</f>
        <v>198394122863</v>
      </c>
      <c r="C595" s="15" t="s">
        <v>18368</v>
      </c>
      <c r="D595" s="15" t="str">
        <f t="shared" si="1"/>
        <v>Lincoln Sleeper SofaSavoy Parchment</v>
      </c>
      <c r="E595" s="15" t="s">
        <v>6744</v>
      </c>
      <c r="F595" s="15" t="s">
        <v>397</v>
      </c>
      <c r="G595" s="15" t="s">
        <v>6746</v>
      </c>
      <c r="J595" s="15" t="s">
        <v>6746</v>
      </c>
      <c r="K595" s="15" t="s">
        <v>6752</v>
      </c>
      <c r="M595" s="15" t="s">
        <v>6751</v>
      </c>
      <c r="N595" s="15" t="s">
        <v>1732</v>
      </c>
      <c r="P595" s="15" t="str">
        <f>"85.5"</f>
        <v>85.5</v>
      </c>
      <c r="Q595" s="15" t="str">
        <f t="shared" ref="Q595:Q596" si="1763">"36.5"</f>
        <v>36.5</v>
      </c>
      <c r="R595" s="15" t="str">
        <f t="shared" ref="R595:R596" si="1764">"28"</f>
        <v>28</v>
      </c>
      <c r="S595" s="15" t="str">
        <f>"240"</f>
        <v>240</v>
      </c>
      <c r="T595" s="15" t="s">
        <v>6750</v>
      </c>
      <c r="U595" s="15" t="s">
        <v>18369</v>
      </c>
      <c r="V595" s="15" t="s">
        <v>18370</v>
      </c>
      <c r="W595" s="15" t="s">
        <v>11575</v>
      </c>
      <c r="X595" s="15" t="s">
        <v>11138</v>
      </c>
      <c r="AA595" s="15" t="s">
        <v>413</v>
      </c>
      <c r="AB595" s="15" t="s">
        <v>413</v>
      </c>
      <c r="AC595" s="15" t="s">
        <v>6753</v>
      </c>
      <c r="AD595" s="15" t="s">
        <v>18371</v>
      </c>
      <c r="AE595" s="15" t="s">
        <v>6749</v>
      </c>
      <c r="AF595" s="15" t="s">
        <v>18372</v>
      </c>
      <c r="AG595" s="15" t="s">
        <v>18373</v>
      </c>
      <c r="AH595" s="15" t="s">
        <v>18374</v>
      </c>
      <c r="AI595" s="15" t="s">
        <v>18375</v>
      </c>
      <c r="AJ595" s="15" t="s">
        <v>18376</v>
      </c>
      <c r="AK595" s="15" t="s">
        <v>18377</v>
      </c>
      <c r="AL595" s="15" t="s">
        <v>18378</v>
      </c>
      <c r="AM595" s="15" t="s">
        <v>18379</v>
      </c>
      <c r="AN595" s="15" t="s">
        <v>18380</v>
      </c>
      <c r="AO595" s="15" t="s">
        <v>18381</v>
      </c>
      <c r="AP595" s="15" t="s">
        <v>18382</v>
      </c>
      <c r="AQ595" s="15" t="s">
        <v>18383</v>
      </c>
      <c r="AR595" s="15" t="s">
        <v>18384</v>
      </c>
      <c r="AS595" s="15" t="s">
        <v>18385</v>
      </c>
      <c r="AT595" s="15" t="s">
        <v>18386</v>
      </c>
      <c r="AU595" s="15" t="s">
        <v>18387</v>
      </c>
      <c r="BH595" s="15" t="s">
        <v>6745</v>
      </c>
      <c r="BI595" s="15" t="str">
        <f>"3999"</f>
        <v>3999</v>
      </c>
      <c r="BJ595" s="15" t="str">
        <f>"1680"</f>
        <v>1680</v>
      </c>
      <c r="BK595" s="15" t="s">
        <v>3835</v>
      </c>
      <c r="BL595" s="15" t="str">
        <f t="shared" ref="BL595:BL597" si="1765">"1"</f>
        <v>1</v>
      </c>
      <c r="BM595" s="15" t="s">
        <v>6754</v>
      </c>
      <c r="BN595" s="15" t="str">
        <f t="shared" ref="BN595:BN596" si="1766">"92"</f>
        <v>92</v>
      </c>
      <c r="BO595" s="15" t="str">
        <f t="shared" ref="BO595:BO596" si="1767">"38"</f>
        <v>38</v>
      </c>
      <c r="BP595" s="15" t="str">
        <f t="shared" ref="BP595:BP596" si="1768">"32"</f>
        <v>32</v>
      </c>
      <c r="BQ595" s="15" t="str">
        <f>"252"</f>
        <v>252</v>
      </c>
      <c r="CG595" s="15" t="str">
        <f t="shared" ref="CG595:CG596" si="1769">"64.73"</f>
        <v>64.73</v>
      </c>
      <c r="CH595" s="15" t="str">
        <f t="shared" ref="CH595:CH596" si="1770">"1.833"</f>
        <v>1.833</v>
      </c>
      <c r="CI595" s="15" t="s">
        <v>465</v>
      </c>
      <c r="CS595" s="15" t="s">
        <v>1286</v>
      </c>
      <c r="CT595" s="15" t="s">
        <v>466</v>
      </c>
      <c r="CU595" s="15" t="s">
        <v>4590</v>
      </c>
      <c r="CV595" s="15">
        <v>2.0</v>
      </c>
      <c r="CW595" s="15">
        <v>1.0</v>
      </c>
      <c r="CX595" s="15" t="s">
        <v>717</v>
      </c>
      <c r="CY595" s="15" t="s">
        <v>855</v>
      </c>
      <c r="DC595" s="15" t="s">
        <v>2502</v>
      </c>
      <c r="DF595" s="15" t="s">
        <v>1111</v>
      </c>
      <c r="DG595" s="15" t="s">
        <v>2381</v>
      </c>
      <c r="DH595" s="15">
        <v>0.0</v>
      </c>
      <c r="DL595" s="15">
        <v>27000.0</v>
      </c>
      <c r="DM595" s="15" t="s">
        <v>470</v>
      </c>
      <c r="DN595" s="15" t="s">
        <v>1016</v>
      </c>
      <c r="DO595" s="15" t="s">
        <v>724</v>
      </c>
      <c r="DP595" s="15">
        <v>1.0</v>
      </c>
      <c r="DQ595" s="15">
        <v>5.0</v>
      </c>
      <c r="DS595" s="15" t="s">
        <v>6756</v>
      </c>
      <c r="DT595" s="15">
        <v>0.0</v>
      </c>
      <c r="DU595" s="15" t="s">
        <v>1636</v>
      </c>
      <c r="DV595" s="15" t="s">
        <v>1574</v>
      </c>
      <c r="DW595" s="15" t="s">
        <v>3241</v>
      </c>
      <c r="DX595" s="15" t="s">
        <v>5081</v>
      </c>
      <c r="DY595" s="15" t="s">
        <v>2735</v>
      </c>
      <c r="DZ595" s="15" t="s">
        <v>1996</v>
      </c>
      <c r="EA595" s="15" t="s">
        <v>2402</v>
      </c>
      <c r="EB595" s="15" t="s">
        <v>2737</v>
      </c>
      <c r="EC595" s="15" t="s">
        <v>2402</v>
      </c>
      <c r="ED595" s="15" t="s">
        <v>2618</v>
      </c>
      <c r="EE595" s="15" t="s">
        <v>3481</v>
      </c>
      <c r="EF595" s="15" t="s">
        <v>863</v>
      </c>
      <c r="EG595" s="15" t="s">
        <v>2599</v>
      </c>
      <c r="EH595" s="15" t="s">
        <v>6757</v>
      </c>
      <c r="EI595" s="15" t="s">
        <v>3241</v>
      </c>
      <c r="EJ595" s="15" t="s">
        <v>724</v>
      </c>
      <c r="EK595" s="15" t="s">
        <v>426</v>
      </c>
      <c r="EL595" s="15" t="s">
        <v>723</v>
      </c>
      <c r="EM595" s="15" t="s">
        <v>724</v>
      </c>
      <c r="EN595" s="15" t="s">
        <v>2502</v>
      </c>
      <c r="EO595" s="15" t="s">
        <v>2502</v>
      </c>
      <c r="FB595" s="15" t="s">
        <v>2436</v>
      </c>
      <c r="IO595" s="15" t="s">
        <v>877</v>
      </c>
      <c r="JL595" s="15" t="s">
        <v>1065</v>
      </c>
      <c r="JM595" s="15" t="s">
        <v>3023</v>
      </c>
      <c r="JN595" s="15" t="s">
        <v>3481</v>
      </c>
      <c r="LE595" s="15" t="s">
        <v>3023</v>
      </c>
      <c r="LF595" s="15" t="s">
        <v>2116</v>
      </c>
      <c r="LG595" s="15" t="s">
        <v>1576</v>
      </c>
    </row>
    <row r="596" ht="17.25" customHeight="1">
      <c r="A596" s="15" t="s">
        <v>6760</v>
      </c>
      <c r="B596" s="15" t="str">
        <f>"198394122870"</f>
        <v>198394122870</v>
      </c>
      <c r="C596" s="15" t="s">
        <v>18388</v>
      </c>
      <c r="D596" s="15" t="str">
        <f t="shared" si="1"/>
        <v>Lincoln SofaSavoy Parchment</v>
      </c>
      <c r="E596" s="15" t="s">
        <v>6758</v>
      </c>
      <c r="F596" s="15" t="s">
        <v>397</v>
      </c>
      <c r="G596" s="15" t="s">
        <v>6746</v>
      </c>
      <c r="J596" s="15" t="s">
        <v>6746</v>
      </c>
      <c r="K596" s="15" t="s">
        <v>6752</v>
      </c>
      <c r="M596" s="15" t="s">
        <v>6751</v>
      </c>
      <c r="N596" s="15" t="s">
        <v>1732</v>
      </c>
      <c r="P596" s="15" t="str">
        <f>"86"</f>
        <v>86</v>
      </c>
      <c r="Q596" s="15" t="str">
        <f t="shared" si="1763"/>
        <v>36.5</v>
      </c>
      <c r="R596" s="15" t="str">
        <f t="shared" si="1764"/>
        <v>28</v>
      </c>
      <c r="S596" s="15" t="str">
        <f>"166"</f>
        <v>166</v>
      </c>
      <c r="T596" s="15" t="s">
        <v>6750</v>
      </c>
      <c r="U596" s="15" t="s">
        <v>18369</v>
      </c>
      <c r="V596" s="15" t="s">
        <v>18370</v>
      </c>
      <c r="W596" s="15" t="s">
        <v>11575</v>
      </c>
      <c r="X596" s="15" t="s">
        <v>11138</v>
      </c>
      <c r="AA596" s="15" t="s">
        <v>413</v>
      </c>
      <c r="AB596" s="15" t="s">
        <v>413</v>
      </c>
      <c r="AC596" s="15" t="s">
        <v>6763</v>
      </c>
      <c r="AD596" s="15" t="s">
        <v>18389</v>
      </c>
      <c r="AE596" s="15" t="s">
        <v>6762</v>
      </c>
      <c r="AF596" s="15" t="s">
        <v>18390</v>
      </c>
      <c r="AG596" s="15" t="s">
        <v>18391</v>
      </c>
      <c r="AH596" s="15" t="s">
        <v>18392</v>
      </c>
      <c r="AI596" s="15" t="s">
        <v>18393</v>
      </c>
      <c r="AJ596" s="15" t="s">
        <v>18394</v>
      </c>
      <c r="AK596" s="15" t="s">
        <v>18395</v>
      </c>
      <c r="AL596" s="15" t="s">
        <v>18396</v>
      </c>
      <c r="AM596" s="15" t="s">
        <v>18397</v>
      </c>
      <c r="AN596" s="15" t="s">
        <v>18398</v>
      </c>
      <c r="BH596" s="15" t="s">
        <v>6759</v>
      </c>
      <c r="BI596" s="15" t="str">
        <f>"2999"</f>
        <v>2999</v>
      </c>
      <c r="BJ596" s="15" t="str">
        <f>"1260"</f>
        <v>1260</v>
      </c>
      <c r="BK596" s="15" t="s">
        <v>3835</v>
      </c>
      <c r="BL596" s="15" t="str">
        <f t="shared" si="1765"/>
        <v>1</v>
      </c>
      <c r="BM596" s="15" t="s">
        <v>5429</v>
      </c>
      <c r="BN596" s="15" t="str">
        <f t="shared" si="1766"/>
        <v>92</v>
      </c>
      <c r="BO596" s="15" t="str">
        <f t="shared" si="1767"/>
        <v>38</v>
      </c>
      <c r="BP596" s="15" t="str">
        <f t="shared" si="1768"/>
        <v>32</v>
      </c>
      <c r="BQ596" s="15" t="str">
        <f>"178"</f>
        <v>178</v>
      </c>
      <c r="CG596" s="15" t="str">
        <f t="shared" si="1769"/>
        <v>64.73</v>
      </c>
      <c r="CH596" s="15" t="str">
        <f t="shared" si="1770"/>
        <v>1.833</v>
      </c>
      <c r="CI596" s="15" t="s">
        <v>465</v>
      </c>
      <c r="CP596" s="15" t="s">
        <v>2314</v>
      </c>
      <c r="CQ596" s="15" t="s">
        <v>2116</v>
      </c>
      <c r="CR596" s="15" t="s">
        <v>3481</v>
      </c>
      <c r="CS596" s="15" t="s">
        <v>2735</v>
      </c>
      <c r="CT596" s="15" t="s">
        <v>1065</v>
      </c>
      <c r="CU596" s="15" t="s">
        <v>4590</v>
      </c>
      <c r="CV596" s="15">
        <v>2.0</v>
      </c>
      <c r="CW596" s="15">
        <v>1.0</v>
      </c>
      <c r="CX596" s="15" t="s">
        <v>717</v>
      </c>
      <c r="CY596" s="15" t="s">
        <v>855</v>
      </c>
      <c r="DC596" s="15" t="s">
        <v>2502</v>
      </c>
      <c r="DF596" s="15" t="s">
        <v>1111</v>
      </c>
      <c r="DG596" s="15" t="s">
        <v>419</v>
      </c>
      <c r="DH596" s="15">
        <v>0.0</v>
      </c>
      <c r="DL596" s="15">
        <v>27000.0</v>
      </c>
      <c r="DM596" s="15" t="s">
        <v>470</v>
      </c>
      <c r="DN596" s="15" t="s">
        <v>723</v>
      </c>
      <c r="DO596" s="15" t="s">
        <v>724</v>
      </c>
      <c r="DP596" s="15">
        <v>1.0</v>
      </c>
      <c r="DQ596" s="15">
        <v>3.0</v>
      </c>
      <c r="DS596" s="15" t="s">
        <v>6756</v>
      </c>
      <c r="DT596" s="15">
        <v>0.0</v>
      </c>
      <c r="DU596" s="15" t="s">
        <v>473</v>
      </c>
      <c r="DV596" s="15" t="s">
        <v>1574</v>
      </c>
      <c r="DW596" s="15" t="s">
        <v>531</v>
      </c>
      <c r="DX596" s="15" t="s">
        <v>5081</v>
      </c>
      <c r="DY596" s="15" t="s">
        <v>2735</v>
      </c>
      <c r="DZ596" s="15" t="s">
        <v>1576</v>
      </c>
      <c r="EA596" s="15" t="s">
        <v>2402</v>
      </c>
      <c r="EB596" s="15" t="s">
        <v>2737</v>
      </c>
      <c r="EC596" s="15" t="s">
        <v>995</v>
      </c>
      <c r="ED596" s="15" t="s">
        <v>504</v>
      </c>
      <c r="EE596" s="15" t="s">
        <v>3481</v>
      </c>
      <c r="EF596" s="15" t="s">
        <v>5586</v>
      </c>
      <c r="EG596" s="15" t="s">
        <v>1240</v>
      </c>
      <c r="EH596" s="15" t="s">
        <v>6757</v>
      </c>
      <c r="EI596" s="15" t="s">
        <v>531</v>
      </c>
      <c r="EJ596" s="15" t="s">
        <v>724</v>
      </c>
      <c r="EK596" s="15" t="s">
        <v>426</v>
      </c>
      <c r="EL596" s="15" t="s">
        <v>723</v>
      </c>
      <c r="EM596" s="15" t="s">
        <v>724</v>
      </c>
      <c r="EN596" s="15" t="s">
        <v>2502</v>
      </c>
      <c r="EO596" s="15" t="s">
        <v>2502</v>
      </c>
      <c r="FB596" s="15" t="s">
        <v>2436</v>
      </c>
    </row>
    <row r="597" ht="17.25" customHeight="1">
      <c r="A597" s="15" t="s">
        <v>6768</v>
      </c>
      <c r="B597" s="15" t="str">
        <f>"801542308865"</f>
        <v>801542308865</v>
      </c>
      <c r="C597" s="15" t="s">
        <v>18399</v>
      </c>
      <c r="D597" s="15" t="str">
        <f t="shared" si="1"/>
        <v>Live Edge SideboardSmoked Saman</v>
      </c>
      <c r="E597" s="15" t="s">
        <v>6765</v>
      </c>
      <c r="F597" s="15" t="s">
        <v>397</v>
      </c>
      <c r="G597" s="15" t="s">
        <v>6767</v>
      </c>
      <c r="J597" s="15" t="s">
        <v>6767</v>
      </c>
      <c r="K597" s="15" t="s">
        <v>5686</v>
      </c>
      <c r="M597" s="15" t="s">
        <v>411</v>
      </c>
      <c r="N597" s="15" t="s">
        <v>664</v>
      </c>
      <c r="P597" s="15" t="str">
        <f>"70"</f>
        <v>70</v>
      </c>
      <c r="Q597" s="15" t="str">
        <f>"17.75"</f>
        <v>17.75</v>
      </c>
      <c r="R597" s="15" t="str">
        <f>"31.5"</f>
        <v>31.5</v>
      </c>
      <c r="S597" s="15" t="str">
        <f>"146.61"</f>
        <v>146.61</v>
      </c>
      <c r="T597" s="15" t="s">
        <v>6770</v>
      </c>
      <c r="U597" s="15" t="s">
        <v>18400</v>
      </c>
      <c r="V597" s="15" t="s">
        <v>11139</v>
      </c>
      <c r="AA597" s="15" t="s">
        <v>413</v>
      </c>
      <c r="AB597" s="15" t="s">
        <v>413</v>
      </c>
      <c r="AC597" s="15" t="s">
        <v>6771</v>
      </c>
      <c r="AD597" s="15" t="s">
        <v>18401</v>
      </c>
      <c r="AE597" s="15" t="s">
        <v>6769</v>
      </c>
      <c r="AF597" s="15" t="s">
        <v>18402</v>
      </c>
      <c r="AG597" s="15" t="s">
        <v>18403</v>
      </c>
      <c r="AH597" s="15" t="s">
        <v>18404</v>
      </c>
      <c r="AI597" s="15" t="s">
        <v>18405</v>
      </c>
      <c r="AJ597" s="15" t="s">
        <v>18406</v>
      </c>
      <c r="AK597" s="15" t="s">
        <v>18407</v>
      </c>
      <c r="AL597" s="15" t="s">
        <v>18408</v>
      </c>
      <c r="AM597" s="15" t="s">
        <v>18409</v>
      </c>
      <c r="AN597" s="15" t="s">
        <v>18410</v>
      </c>
      <c r="AO597" s="15" t="s">
        <v>18411</v>
      </c>
      <c r="BH597" s="15" t="s">
        <v>6766</v>
      </c>
      <c r="BI597" s="15" t="str">
        <f>"3499"</f>
        <v>3499</v>
      </c>
      <c r="BJ597" s="15" t="str">
        <f>"1470"</f>
        <v>1470</v>
      </c>
      <c r="BK597" s="15" t="s">
        <v>415</v>
      </c>
      <c r="BL597" s="15" t="str">
        <f t="shared" si="1765"/>
        <v>1</v>
      </c>
      <c r="BM597" s="15" t="s">
        <v>416</v>
      </c>
      <c r="BN597" s="15" t="str">
        <f>"77.56"</f>
        <v>77.56</v>
      </c>
      <c r="BO597" s="15" t="str">
        <f>"24.8"</f>
        <v>24.8</v>
      </c>
      <c r="BP597" s="15" t="str">
        <f>"38.58"</f>
        <v>38.58</v>
      </c>
      <c r="BQ597" s="15" t="str">
        <f>"212.3"</f>
        <v>212.3</v>
      </c>
      <c r="CG597" s="15" t="str">
        <f>"42.94"</f>
        <v>42.94</v>
      </c>
      <c r="CH597" s="15" t="str">
        <f>"1.216"</f>
        <v>1.216</v>
      </c>
      <c r="CI597" s="15" t="s">
        <v>417</v>
      </c>
      <c r="CM597" s="15" t="s">
        <v>2020</v>
      </c>
      <c r="CN597" s="15" t="s">
        <v>5754</v>
      </c>
      <c r="CO597" s="15" t="s">
        <v>1739</v>
      </c>
      <c r="CZ597" s="15" t="s">
        <v>419</v>
      </c>
      <c r="DA597" s="15">
        <v>0.0</v>
      </c>
      <c r="DB597" s="15" t="s">
        <v>419</v>
      </c>
      <c r="DD597" s="15">
        <v>0.0</v>
      </c>
      <c r="DF597" s="15" t="s">
        <v>1388</v>
      </c>
      <c r="DG597" s="15" t="s">
        <v>610</v>
      </c>
      <c r="DI597" s="15">
        <v>18.14</v>
      </c>
      <c r="DJ597" s="15">
        <v>40.0</v>
      </c>
      <c r="DK597" s="15">
        <v>2.0</v>
      </c>
      <c r="DS597" s="15" t="s">
        <v>6774</v>
      </c>
      <c r="DU597" s="15" t="s">
        <v>500</v>
      </c>
      <c r="EF597" s="15" t="s">
        <v>429</v>
      </c>
      <c r="EV597" s="15">
        <v>2.0</v>
      </c>
      <c r="FH597" s="15" t="s">
        <v>6775</v>
      </c>
      <c r="FI597" s="15" t="s">
        <v>2046</v>
      </c>
      <c r="FJ597" s="15" t="s">
        <v>1804</v>
      </c>
      <c r="FK597" s="15" t="s">
        <v>2156</v>
      </c>
      <c r="FL597" s="15" t="s">
        <v>4469</v>
      </c>
      <c r="FM597" s="15" t="s">
        <v>6776</v>
      </c>
      <c r="FN597" s="15">
        <v>0.0</v>
      </c>
      <c r="FO597" s="15" t="s">
        <v>426</v>
      </c>
      <c r="FQ597" s="15">
        <v>4.0</v>
      </c>
      <c r="FR597" s="15" t="s">
        <v>614</v>
      </c>
      <c r="FS597" s="15" t="s">
        <v>615</v>
      </c>
      <c r="FT597" s="15">
        <v>0.0</v>
      </c>
      <c r="FU597" s="15" t="s">
        <v>426</v>
      </c>
      <c r="FW597" s="15" t="s">
        <v>616</v>
      </c>
    </row>
    <row r="598" ht="17.25" customHeight="1">
      <c r="A598" s="15" t="s">
        <v>6779</v>
      </c>
      <c r="B598" s="15" t="str">
        <f>"801542759117"</f>
        <v>801542759117</v>
      </c>
      <c r="C598" s="15" t="s">
        <v>18412</v>
      </c>
      <c r="D598" s="15" t="str">
        <f t="shared" si="1"/>
        <v>Liza BedVintage NaturalQueen</v>
      </c>
      <c r="E598" s="15" t="s">
        <v>6777</v>
      </c>
      <c r="F598" s="15" t="s">
        <v>397</v>
      </c>
      <c r="G598" s="15" t="s">
        <v>6328</v>
      </c>
      <c r="H598" s="15" t="s">
        <v>265</v>
      </c>
      <c r="I598" s="15" t="s">
        <v>877</v>
      </c>
      <c r="J598" s="15" t="s">
        <v>6328</v>
      </c>
      <c r="K598" s="15" t="s">
        <v>6786</v>
      </c>
      <c r="M598" s="15" t="s">
        <v>6785</v>
      </c>
      <c r="N598" s="15" t="s">
        <v>839</v>
      </c>
      <c r="O598" s="15" t="s">
        <v>877</v>
      </c>
      <c r="P598" s="15" t="str">
        <f>"64.5"</f>
        <v>64.5</v>
      </c>
      <c r="Q598" s="15" t="str">
        <f t="shared" ref="Q598:Q599" si="1771">"84.5"</f>
        <v>84.5</v>
      </c>
      <c r="R598" s="15" t="str">
        <f t="shared" ref="R598:R599" si="1772">"54"</f>
        <v>54</v>
      </c>
      <c r="S598" s="15" t="str">
        <f>"195.11"</f>
        <v>195.11</v>
      </c>
      <c r="T598" s="15" t="s">
        <v>6782</v>
      </c>
      <c r="U598" s="15" t="s">
        <v>18413</v>
      </c>
      <c r="V598" s="15" t="s">
        <v>18414</v>
      </c>
      <c r="AA598" s="15" t="s">
        <v>413</v>
      </c>
      <c r="AB598" s="15" t="s">
        <v>413</v>
      </c>
      <c r="AC598" s="15" t="s">
        <v>6787</v>
      </c>
      <c r="AD598" s="15" t="s">
        <v>18415</v>
      </c>
      <c r="AE598" s="15" t="s">
        <v>6781</v>
      </c>
      <c r="AF598" s="15" t="s">
        <v>18416</v>
      </c>
      <c r="AG598" s="15" t="s">
        <v>18417</v>
      </c>
      <c r="AH598" s="15" t="s">
        <v>18418</v>
      </c>
      <c r="AI598" s="15" t="s">
        <v>18419</v>
      </c>
      <c r="AJ598" s="15" t="s">
        <v>18420</v>
      </c>
      <c r="AK598" s="15" t="s">
        <v>18421</v>
      </c>
      <c r="AL598" s="15" t="s">
        <v>18422</v>
      </c>
      <c r="AM598" s="15" t="s">
        <v>18423</v>
      </c>
      <c r="AN598" s="15" t="s">
        <v>18424</v>
      </c>
      <c r="AO598" s="15" t="s">
        <v>18425</v>
      </c>
      <c r="AP598" s="15" t="s">
        <v>18426</v>
      </c>
      <c r="AQ598" s="15" t="s">
        <v>18427</v>
      </c>
      <c r="AR598" s="15" t="s">
        <v>18428</v>
      </c>
      <c r="AS598" s="15" t="s">
        <v>18429</v>
      </c>
      <c r="BH598" s="15" t="s">
        <v>6778</v>
      </c>
      <c r="BI598" s="15" t="str">
        <f>"2199"</f>
        <v>2199</v>
      </c>
      <c r="BJ598" s="15" t="str">
        <f>"925"</f>
        <v>925</v>
      </c>
      <c r="BK598" s="15" t="s">
        <v>1181</v>
      </c>
      <c r="BL598" s="15" t="str">
        <f t="shared" ref="BL598:BL599" si="1773">"2"</f>
        <v>2</v>
      </c>
      <c r="BM598" s="15" t="s">
        <v>6788</v>
      </c>
      <c r="BN598" s="15" t="str">
        <f>"90"</f>
        <v>90</v>
      </c>
      <c r="BO598" s="15" t="str">
        <f>"17.75"</f>
        <v>17.75</v>
      </c>
      <c r="BP598" s="15" t="str">
        <f>"15.25"</f>
        <v>15.25</v>
      </c>
      <c r="BQ598" s="15" t="str">
        <f>"158.07"</f>
        <v>158.07</v>
      </c>
      <c r="BR598" s="15" t="s">
        <v>6790</v>
      </c>
      <c r="BS598" s="15" t="str">
        <f>"69.69"</f>
        <v>69.69</v>
      </c>
      <c r="BT598" s="15" t="str">
        <f>"10.24"</f>
        <v>10.24</v>
      </c>
      <c r="BU598" s="15" t="str">
        <f>"58.66"</f>
        <v>58.66</v>
      </c>
      <c r="BV598" s="15" t="str">
        <f>"102.73"</f>
        <v>102.73</v>
      </c>
      <c r="CG598" s="15" t="str">
        <f>"38.32"</f>
        <v>38.32</v>
      </c>
      <c r="CH598" s="15" t="str">
        <f>"1.085"</f>
        <v>1.085</v>
      </c>
      <c r="CI598" s="15" t="s">
        <v>465</v>
      </c>
      <c r="CY598" s="15" t="s">
        <v>718</v>
      </c>
      <c r="CZ598" s="15" t="s">
        <v>419</v>
      </c>
      <c r="DA598" s="15">
        <v>0.0</v>
      </c>
      <c r="DB598" s="15" t="s">
        <v>419</v>
      </c>
      <c r="DD598" s="15">
        <v>0.0</v>
      </c>
      <c r="DF598" s="15" t="s">
        <v>1186</v>
      </c>
      <c r="DG598" s="15" t="s">
        <v>419</v>
      </c>
      <c r="DI598" s="15">
        <v>0.0</v>
      </c>
      <c r="DJ598" s="15">
        <v>0.0</v>
      </c>
      <c r="DK598" s="15">
        <v>0.0</v>
      </c>
      <c r="DL598" s="15">
        <v>0.0</v>
      </c>
      <c r="DS598" s="15" t="s">
        <v>6793</v>
      </c>
      <c r="DU598" s="15" t="s">
        <v>858</v>
      </c>
      <c r="EV598" s="15">
        <v>0.0</v>
      </c>
      <c r="HV598" s="15" t="s">
        <v>2402</v>
      </c>
      <c r="HW598" s="15" t="s">
        <v>2402</v>
      </c>
      <c r="HX598" s="15" t="s">
        <v>2402</v>
      </c>
      <c r="HY598" s="15" t="s">
        <v>555</v>
      </c>
      <c r="HZ598" s="15" t="s">
        <v>672</v>
      </c>
      <c r="IA598" s="15" t="s">
        <v>5184</v>
      </c>
      <c r="IB598" s="15" t="s">
        <v>3338</v>
      </c>
      <c r="IC598" s="15" t="s">
        <v>672</v>
      </c>
      <c r="ID598" s="15" t="s">
        <v>5184</v>
      </c>
      <c r="IE598" s="15" t="s">
        <v>945</v>
      </c>
      <c r="IF598" s="15" t="s">
        <v>2638</v>
      </c>
      <c r="IG598" s="15" t="s">
        <v>1682</v>
      </c>
      <c r="IH598" s="15" t="s">
        <v>475</v>
      </c>
      <c r="II598" s="15" t="s">
        <v>945</v>
      </c>
      <c r="IJ598" s="15" t="s">
        <v>784</v>
      </c>
      <c r="IK598" s="15" t="s">
        <v>426</v>
      </c>
      <c r="IL598" s="15" t="s">
        <v>2973</v>
      </c>
      <c r="IM598" s="15" t="s">
        <v>6794</v>
      </c>
      <c r="IN598" s="15" t="s">
        <v>873</v>
      </c>
      <c r="IO598" s="15" t="s">
        <v>877</v>
      </c>
      <c r="IU598" s="15" t="s">
        <v>940</v>
      </c>
      <c r="IV598" s="15" t="s">
        <v>1160</v>
      </c>
      <c r="IW598" s="15" t="s">
        <v>940</v>
      </c>
      <c r="IX598" s="15" t="s">
        <v>426</v>
      </c>
      <c r="IY598" s="15" t="s">
        <v>2474</v>
      </c>
    </row>
    <row r="599" ht="17.25" customHeight="1">
      <c r="A599" s="15" t="s">
        <v>6796</v>
      </c>
      <c r="B599" s="15" t="str">
        <f>"801542759087"</f>
        <v>801542759087</v>
      </c>
      <c r="C599" s="15" t="s">
        <v>18412</v>
      </c>
      <c r="D599" s="15" t="str">
        <f t="shared" si="1"/>
        <v>Liza BedVintage NaturalKing</v>
      </c>
      <c r="E599" s="15" t="s">
        <v>6777</v>
      </c>
      <c r="F599" s="15" t="s">
        <v>397</v>
      </c>
      <c r="G599" s="15" t="s">
        <v>6328</v>
      </c>
      <c r="H599" s="15" t="s">
        <v>265</v>
      </c>
      <c r="I599" s="15" t="s">
        <v>828</v>
      </c>
      <c r="J599" s="15" t="s">
        <v>6328</v>
      </c>
      <c r="K599" s="15" t="s">
        <v>6786</v>
      </c>
      <c r="M599" s="15" t="s">
        <v>6785</v>
      </c>
      <c r="N599" s="15" t="s">
        <v>839</v>
      </c>
      <c r="O599" s="15" t="s">
        <v>828</v>
      </c>
      <c r="P599" s="15" t="str">
        <f>"80.5"</f>
        <v>80.5</v>
      </c>
      <c r="Q599" s="15" t="str">
        <f t="shared" si="1771"/>
        <v>84.5</v>
      </c>
      <c r="R599" s="15" t="str">
        <f t="shared" si="1772"/>
        <v>54</v>
      </c>
      <c r="S599" s="15" t="str">
        <f>"207.45"</f>
        <v>207.45</v>
      </c>
      <c r="T599" s="15" t="s">
        <v>6782</v>
      </c>
      <c r="U599" s="15" t="s">
        <v>18413</v>
      </c>
      <c r="V599" s="15" t="s">
        <v>18414</v>
      </c>
      <c r="AA599" s="15" t="s">
        <v>413</v>
      </c>
      <c r="AB599" s="15" t="s">
        <v>413</v>
      </c>
      <c r="AC599" s="15" t="s">
        <v>6787</v>
      </c>
      <c r="AD599" s="15" t="s">
        <v>18430</v>
      </c>
      <c r="AE599" s="15" t="s">
        <v>6798</v>
      </c>
      <c r="AF599" s="15" t="s">
        <v>18431</v>
      </c>
      <c r="AG599" s="15" t="s">
        <v>18432</v>
      </c>
      <c r="AH599" s="15" t="s">
        <v>18418</v>
      </c>
      <c r="AI599" s="15" t="s">
        <v>18433</v>
      </c>
      <c r="AJ599" s="15" t="s">
        <v>18434</v>
      </c>
      <c r="AK599" s="15" t="s">
        <v>18435</v>
      </c>
      <c r="AL599" s="15" t="s">
        <v>18436</v>
      </c>
      <c r="AM599" s="15" t="s">
        <v>18437</v>
      </c>
      <c r="AN599" s="15" t="s">
        <v>18438</v>
      </c>
      <c r="AO599" s="15" t="s">
        <v>18439</v>
      </c>
      <c r="AP599" s="15" t="s">
        <v>18440</v>
      </c>
      <c r="AQ599" s="15" t="s">
        <v>18441</v>
      </c>
      <c r="AR599" s="15" t="s">
        <v>18442</v>
      </c>
      <c r="AS599" s="15" t="s">
        <v>18443</v>
      </c>
      <c r="BH599" s="15" t="s">
        <v>6795</v>
      </c>
      <c r="BI599" s="15" t="str">
        <f>"2599"</f>
        <v>2599</v>
      </c>
      <c r="BJ599" s="15" t="str">
        <f>"1095"</f>
        <v>1095</v>
      </c>
      <c r="BK599" s="15" t="s">
        <v>1181</v>
      </c>
      <c r="BL599" s="15" t="str">
        <f t="shared" si="1773"/>
        <v>2</v>
      </c>
      <c r="BM599" s="15" t="s">
        <v>6788</v>
      </c>
      <c r="BN599" s="15" t="str">
        <f>"89.5"</f>
        <v>89.5</v>
      </c>
      <c r="BO599" s="15" t="str">
        <f>"18.5"</f>
        <v>18.5</v>
      </c>
      <c r="BP599" s="15" t="str">
        <f>"14.75"</f>
        <v>14.75</v>
      </c>
      <c r="BQ599" s="15" t="str">
        <f>"154.87"</f>
        <v>154.87</v>
      </c>
      <c r="BR599" s="15" t="s">
        <v>6790</v>
      </c>
      <c r="BS599" s="15" t="str">
        <f>"86.75"</f>
        <v>86.75</v>
      </c>
      <c r="BT599" s="15" t="str">
        <f>"11.5"</f>
        <v>11.5</v>
      </c>
      <c r="BU599" s="15" t="str">
        <f>"60.75"</f>
        <v>60.75</v>
      </c>
      <c r="BV599" s="15" t="str">
        <f>"122.91"</f>
        <v>122.91</v>
      </c>
      <c r="CG599" s="15" t="str">
        <f>"49.19"</f>
        <v>49.19</v>
      </c>
      <c r="CH599" s="15" t="str">
        <f>"1.393"</f>
        <v>1.393</v>
      </c>
      <c r="CI599" s="15" t="s">
        <v>417</v>
      </c>
      <c r="CY599" s="15" t="s">
        <v>718</v>
      </c>
      <c r="CZ599" s="15" t="s">
        <v>419</v>
      </c>
      <c r="DA599" s="15">
        <v>0.0</v>
      </c>
      <c r="DB599" s="15" t="s">
        <v>419</v>
      </c>
      <c r="DD599" s="15">
        <v>0.0</v>
      </c>
      <c r="DF599" s="15" t="s">
        <v>1186</v>
      </c>
      <c r="DG599" s="15" t="s">
        <v>419</v>
      </c>
      <c r="DI599" s="15">
        <v>0.0</v>
      </c>
      <c r="DJ599" s="15">
        <v>0.0</v>
      </c>
      <c r="DK599" s="15">
        <v>0.0</v>
      </c>
      <c r="DL599" s="15">
        <v>0.0</v>
      </c>
      <c r="DS599" s="15" t="s">
        <v>6793</v>
      </c>
      <c r="DU599" s="15" t="s">
        <v>858</v>
      </c>
      <c r="EV599" s="15">
        <v>0.0</v>
      </c>
      <c r="HV599" s="15" t="s">
        <v>2402</v>
      </c>
      <c r="HW599" s="15" t="s">
        <v>2402</v>
      </c>
      <c r="HX599" s="15" t="s">
        <v>2402</v>
      </c>
      <c r="HY599" s="15" t="s">
        <v>555</v>
      </c>
      <c r="HZ599" s="15" t="s">
        <v>672</v>
      </c>
      <c r="IA599" s="15" t="s">
        <v>6260</v>
      </c>
      <c r="IB599" s="15" t="s">
        <v>3338</v>
      </c>
      <c r="IC599" s="15" t="s">
        <v>672</v>
      </c>
      <c r="ID599" s="15" t="s">
        <v>6260</v>
      </c>
      <c r="IE599" s="15" t="s">
        <v>945</v>
      </c>
      <c r="IF599" s="15" t="s">
        <v>2638</v>
      </c>
      <c r="IG599" s="15" t="s">
        <v>1754</v>
      </c>
      <c r="IH599" s="15" t="s">
        <v>475</v>
      </c>
      <c r="II599" s="15" t="s">
        <v>945</v>
      </c>
      <c r="IJ599" s="15" t="s">
        <v>784</v>
      </c>
      <c r="IK599" s="15" t="s">
        <v>426</v>
      </c>
      <c r="IL599" s="15" t="s">
        <v>2973</v>
      </c>
      <c r="IM599" s="15" t="s">
        <v>6794</v>
      </c>
      <c r="IN599" s="15" t="s">
        <v>873</v>
      </c>
      <c r="IO599" s="15" t="s">
        <v>828</v>
      </c>
      <c r="IU599" s="15" t="s">
        <v>940</v>
      </c>
      <c r="IV599" s="15" t="s">
        <v>4943</v>
      </c>
      <c r="IW599" s="15" t="s">
        <v>940</v>
      </c>
      <c r="IX599" s="15" t="s">
        <v>426</v>
      </c>
      <c r="IY599" s="15" t="s">
        <v>2474</v>
      </c>
    </row>
    <row r="600" ht="17.25" customHeight="1">
      <c r="A600" s="15" t="s">
        <v>6811</v>
      </c>
      <c r="B600" s="15" t="str">
        <f>"801542313173"</f>
        <v>801542313173</v>
      </c>
      <c r="C600" s="15" t="s">
        <v>18444</v>
      </c>
      <c r="D600" s="15" t="str">
        <f t="shared" si="1"/>
        <v>Louise Accent StoolOstend Natural</v>
      </c>
      <c r="E600" s="15" t="s">
        <v>6808</v>
      </c>
      <c r="F600" s="15" t="s">
        <v>397</v>
      </c>
      <c r="G600" s="15" t="s">
        <v>6810</v>
      </c>
      <c r="J600" s="15" t="s">
        <v>6810</v>
      </c>
      <c r="K600" s="15" t="s">
        <v>6814</v>
      </c>
      <c r="M600" s="15" t="s">
        <v>2800</v>
      </c>
      <c r="N600" s="15" t="s">
        <v>1009</v>
      </c>
      <c r="P600" s="15" t="str">
        <f t="shared" ref="P600:Q600" si="1774">"19"</f>
        <v>19</v>
      </c>
      <c r="Q600" s="15" t="str">
        <f t="shared" si="1774"/>
        <v>19</v>
      </c>
      <c r="R600" s="15" t="str">
        <f>"19.25"</f>
        <v>19.25</v>
      </c>
      <c r="S600" s="15" t="str">
        <f>"23.81"</f>
        <v>23.81</v>
      </c>
      <c r="T600" s="15" t="s">
        <v>6813</v>
      </c>
      <c r="U600" s="15" t="s">
        <v>18445</v>
      </c>
      <c r="V600" s="15" t="s">
        <v>18446</v>
      </c>
      <c r="W600" s="15" t="s">
        <v>12976</v>
      </c>
      <c r="X600" s="15" t="s">
        <v>11553</v>
      </c>
      <c r="AA600" s="15" t="s">
        <v>413</v>
      </c>
      <c r="AB600" s="15" t="s">
        <v>413</v>
      </c>
      <c r="AC600" s="15" t="s">
        <v>6815</v>
      </c>
      <c r="AD600" s="15" t="s">
        <v>18447</v>
      </c>
      <c r="AE600" s="15" t="s">
        <v>6812</v>
      </c>
      <c r="AF600" s="15" t="s">
        <v>18448</v>
      </c>
      <c r="AG600" s="15" t="s">
        <v>18449</v>
      </c>
      <c r="AH600" s="15" t="s">
        <v>18450</v>
      </c>
      <c r="AI600" s="15" t="s">
        <v>18451</v>
      </c>
      <c r="AJ600" s="15" t="s">
        <v>18452</v>
      </c>
      <c r="AK600" s="15" t="s">
        <v>18453</v>
      </c>
      <c r="AL600" s="15" t="s">
        <v>18454</v>
      </c>
      <c r="BH600" s="15" t="s">
        <v>6809</v>
      </c>
      <c r="BI600" s="15" t="str">
        <f>"649"</f>
        <v>649</v>
      </c>
      <c r="BJ600" s="15" t="str">
        <f>"275"</f>
        <v>275</v>
      </c>
      <c r="BK600" s="15" t="s">
        <v>709</v>
      </c>
      <c r="BL600" s="15" t="str">
        <f t="shared" ref="BL600:BL613" si="1776">"1"</f>
        <v>1</v>
      </c>
      <c r="BM600" s="15" t="s">
        <v>416</v>
      </c>
      <c r="BN600" s="15" t="str">
        <f t="shared" ref="BN600:BO600" si="1775">"20.08"</f>
        <v>20.08</v>
      </c>
      <c r="BO600" s="15" t="str">
        <f t="shared" si="1775"/>
        <v>20.08</v>
      </c>
      <c r="BP600" s="15" t="str">
        <f>"21.46"</f>
        <v>21.46</v>
      </c>
      <c r="BQ600" s="15" t="str">
        <f>"29.76"</f>
        <v>29.76</v>
      </c>
      <c r="CG600" s="15" t="str">
        <f>"5.01"</f>
        <v>5.01</v>
      </c>
      <c r="CH600" s="15" t="str">
        <f>"0.142"</f>
        <v>0.142</v>
      </c>
      <c r="CI600" s="15" t="s">
        <v>465</v>
      </c>
      <c r="CS600" s="15" t="s">
        <v>1065</v>
      </c>
      <c r="CT600" s="15" t="s">
        <v>466</v>
      </c>
      <c r="CU600" s="15" t="s">
        <v>1065</v>
      </c>
      <c r="CV600" s="15">
        <v>0.0</v>
      </c>
      <c r="CW600" s="15">
        <v>0.0</v>
      </c>
      <c r="CX600" s="15" t="s">
        <v>469</v>
      </c>
      <c r="CY600" s="15" t="s">
        <v>934</v>
      </c>
      <c r="CZ600" s="15" t="s">
        <v>419</v>
      </c>
      <c r="DA600" s="15">
        <v>0.0</v>
      </c>
      <c r="DB600" s="15" t="s">
        <v>419</v>
      </c>
      <c r="DC600" s="15" t="s">
        <v>1255</v>
      </c>
      <c r="DD600" s="15">
        <v>0.0</v>
      </c>
      <c r="DF600" s="15" t="s">
        <v>420</v>
      </c>
      <c r="DG600" s="15" t="s">
        <v>419</v>
      </c>
      <c r="DH600" s="15">
        <v>0.0</v>
      </c>
      <c r="DI600" s="15">
        <v>0.0</v>
      </c>
      <c r="DJ600" s="15">
        <v>0.0</v>
      </c>
      <c r="DK600" s="15">
        <v>0.0</v>
      </c>
      <c r="DL600" s="15">
        <v>30000.0</v>
      </c>
      <c r="DM600" s="15" t="s">
        <v>722</v>
      </c>
      <c r="DN600" s="15" t="s">
        <v>1016</v>
      </c>
      <c r="DP600" s="15">
        <v>1.0</v>
      </c>
      <c r="DQ600" s="15">
        <v>1.0</v>
      </c>
      <c r="DR600" s="15" t="s">
        <v>1157</v>
      </c>
      <c r="DS600" s="15" t="s">
        <v>6817</v>
      </c>
      <c r="DT600" s="15">
        <v>0.0</v>
      </c>
      <c r="DU600" s="15" t="s">
        <v>726</v>
      </c>
      <c r="EF600" s="15" t="s">
        <v>6743</v>
      </c>
      <c r="EG600" s="15" t="s">
        <v>2736</v>
      </c>
      <c r="EH600" s="15" t="s">
        <v>2736</v>
      </c>
    </row>
    <row r="601" ht="17.25" customHeight="1">
      <c r="A601" s="15" t="s">
        <v>6821</v>
      </c>
      <c r="B601" s="15" t="str">
        <f>"801542451196"</f>
        <v>801542451196</v>
      </c>
      <c r="C601" s="15" t="s">
        <v>18455</v>
      </c>
      <c r="D601" s="15" t="str">
        <f t="shared" si="1"/>
        <v>Luna ChaiseCapri Oatmeal</v>
      </c>
      <c r="E601" s="15" t="s">
        <v>6818</v>
      </c>
      <c r="F601" s="15" t="s">
        <v>397</v>
      </c>
      <c r="G601" s="15" t="s">
        <v>6820</v>
      </c>
      <c r="J601" s="15" t="s">
        <v>6820</v>
      </c>
      <c r="K601" s="15" t="s">
        <v>2801</v>
      </c>
      <c r="M601" s="15" t="s">
        <v>1628</v>
      </c>
      <c r="N601" s="15" t="s">
        <v>1226</v>
      </c>
      <c r="P601" s="15" t="str">
        <f>"70"</f>
        <v>70</v>
      </c>
      <c r="Q601" s="15" t="str">
        <f>"35"</f>
        <v>35</v>
      </c>
      <c r="R601" s="15" t="str">
        <f>"30"</f>
        <v>30</v>
      </c>
      <c r="S601" s="15" t="str">
        <f>"70.55"</f>
        <v>70.55</v>
      </c>
      <c r="T601" s="15" t="s">
        <v>2527</v>
      </c>
      <c r="U601" s="15" t="s">
        <v>11209</v>
      </c>
      <c r="V601" s="15" t="s">
        <v>11338</v>
      </c>
      <c r="AA601" s="15" t="s">
        <v>413</v>
      </c>
      <c r="AB601" s="15" t="s">
        <v>426</v>
      </c>
      <c r="AC601" s="15" t="s">
        <v>6824</v>
      </c>
      <c r="AD601" s="15" t="s">
        <v>18456</v>
      </c>
      <c r="AE601" s="15" t="s">
        <v>6823</v>
      </c>
      <c r="AF601" s="15" t="s">
        <v>18457</v>
      </c>
      <c r="AG601" s="15" t="s">
        <v>18458</v>
      </c>
      <c r="AH601" s="15" t="s">
        <v>18459</v>
      </c>
      <c r="AI601" s="15" t="s">
        <v>18460</v>
      </c>
      <c r="AJ601" s="15" t="s">
        <v>18461</v>
      </c>
      <c r="AK601" s="15" t="s">
        <v>18462</v>
      </c>
      <c r="AL601" s="15" t="s">
        <v>18463</v>
      </c>
      <c r="AM601" s="15" t="s">
        <v>18464</v>
      </c>
      <c r="AN601" s="15" t="s">
        <v>18465</v>
      </c>
      <c r="AO601" s="15" t="s">
        <v>18466</v>
      </c>
      <c r="AP601" s="15" t="s">
        <v>18467</v>
      </c>
      <c r="AQ601" s="15" t="s">
        <v>18468</v>
      </c>
      <c r="BH601" s="15" t="s">
        <v>6819</v>
      </c>
      <c r="BI601" s="15" t="str">
        <f>"1549"</f>
        <v>1549</v>
      </c>
      <c r="BJ601" s="15" t="str">
        <f>"655"</f>
        <v>655</v>
      </c>
      <c r="BK601" s="15" t="s">
        <v>709</v>
      </c>
      <c r="BL601" s="15" t="str">
        <f t="shared" si="1776"/>
        <v>1</v>
      </c>
      <c r="BM601" s="15" t="s">
        <v>416</v>
      </c>
      <c r="BN601" s="15" t="str">
        <f>"70.28"</f>
        <v>70.28</v>
      </c>
      <c r="BO601" s="15" t="str">
        <f>"36.02"</f>
        <v>36.02</v>
      </c>
      <c r="BP601" s="15" t="str">
        <f>"22.44"</f>
        <v>22.44</v>
      </c>
      <c r="BQ601" s="15" t="str">
        <f>"88.18"</f>
        <v>88.18</v>
      </c>
      <c r="CG601" s="15" t="str">
        <f>"32.88"</f>
        <v>32.88</v>
      </c>
      <c r="CH601" s="15" t="str">
        <f>"0.931"</f>
        <v>0.931</v>
      </c>
      <c r="CI601" s="15" t="s">
        <v>497</v>
      </c>
      <c r="CS601" s="15" t="s">
        <v>1072</v>
      </c>
      <c r="CT601" s="15" t="s">
        <v>1804</v>
      </c>
      <c r="CV601" s="15">
        <v>0.0</v>
      </c>
      <c r="CW601" s="15">
        <v>0.0</v>
      </c>
      <c r="CX601" s="15" t="s">
        <v>469</v>
      </c>
      <c r="CY601" s="15" t="s">
        <v>855</v>
      </c>
      <c r="DF601" s="15" t="s">
        <v>721</v>
      </c>
      <c r="DG601" s="15" t="s">
        <v>419</v>
      </c>
      <c r="DH601" s="15">
        <v>0.0</v>
      </c>
      <c r="DL601" s="15">
        <v>25000.0</v>
      </c>
      <c r="DM601" s="15" t="s">
        <v>990</v>
      </c>
      <c r="DP601" s="15">
        <v>0.0</v>
      </c>
      <c r="DQ601" s="15">
        <v>1.0</v>
      </c>
      <c r="DS601" s="15" t="s">
        <v>6825</v>
      </c>
      <c r="DT601" s="15">
        <v>2.0</v>
      </c>
      <c r="DU601" s="15" t="s">
        <v>726</v>
      </c>
      <c r="DV601" s="15" t="s">
        <v>558</v>
      </c>
      <c r="DW601" s="15" t="s">
        <v>1329</v>
      </c>
      <c r="DX601" s="15" t="s">
        <v>1212</v>
      </c>
      <c r="EB601" s="15" t="s">
        <v>477</v>
      </c>
      <c r="EF601" s="15" t="s">
        <v>475</v>
      </c>
      <c r="EG601" s="15" t="s">
        <v>1253</v>
      </c>
      <c r="EH601" s="15" t="s">
        <v>4528</v>
      </c>
      <c r="EI601" s="15" t="s">
        <v>1329</v>
      </c>
      <c r="EN601" s="15" t="s">
        <v>2028</v>
      </c>
      <c r="EO601" s="15" t="s">
        <v>997</v>
      </c>
      <c r="EP601" s="15" t="s">
        <v>1076</v>
      </c>
      <c r="EX601" s="15" t="s">
        <v>2930</v>
      </c>
      <c r="EY601" s="15" t="s">
        <v>6826</v>
      </c>
      <c r="JF601" s="15" t="s">
        <v>505</v>
      </c>
      <c r="JG601" s="15" t="s">
        <v>1161</v>
      </c>
      <c r="JH601" s="15" t="s">
        <v>1161</v>
      </c>
      <c r="JK601" s="15" t="s">
        <v>426</v>
      </c>
    </row>
    <row r="602" ht="17.25" customHeight="1">
      <c r="A602" s="15" t="s">
        <v>6830</v>
      </c>
      <c r="B602" s="15" t="str">
        <f>"801542663711"</f>
        <v>801542663711</v>
      </c>
      <c r="C602" s="15" t="s">
        <v>18469</v>
      </c>
      <c r="D602" s="15" t="str">
        <f t="shared" si="1"/>
        <v>Lunas SideboardCaramel Guanacaste</v>
      </c>
      <c r="E602" s="15" t="s">
        <v>6827</v>
      </c>
      <c r="F602" s="15" t="s">
        <v>397</v>
      </c>
      <c r="G602" s="15" t="s">
        <v>6829</v>
      </c>
      <c r="J602" s="15" t="s">
        <v>6829</v>
      </c>
      <c r="K602" s="15" t="s">
        <v>5686</v>
      </c>
      <c r="M602" s="15" t="s">
        <v>411</v>
      </c>
      <c r="N602" s="15" t="s">
        <v>664</v>
      </c>
      <c r="P602" s="15" t="str">
        <f>"77"</f>
        <v>77</v>
      </c>
      <c r="Q602" s="15" t="str">
        <f>"18"</f>
        <v>18</v>
      </c>
      <c r="R602" s="15" t="str">
        <f>"30.5"</f>
        <v>30.5</v>
      </c>
      <c r="S602" s="15" t="str">
        <f>"158.51"</f>
        <v>158.51</v>
      </c>
      <c r="T602" s="15" t="s">
        <v>6833</v>
      </c>
      <c r="U602" s="15" t="s">
        <v>12171</v>
      </c>
      <c r="V602" s="15" t="s">
        <v>11139</v>
      </c>
      <c r="AA602" s="15" t="s">
        <v>413</v>
      </c>
      <c r="AB602" s="15" t="s">
        <v>413</v>
      </c>
      <c r="AC602" s="15" t="s">
        <v>6834</v>
      </c>
      <c r="AD602" s="15" t="s">
        <v>18470</v>
      </c>
      <c r="AE602" s="15" t="s">
        <v>6832</v>
      </c>
      <c r="AF602" s="15" t="s">
        <v>18471</v>
      </c>
      <c r="AG602" s="15" t="s">
        <v>18472</v>
      </c>
      <c r="AH602" s="15" t="s">
        <v>18473</v>
      </c>
      <c r="AI602" s="15" t="s">
        <v>18474</v>
      </c>
      <c r="AJ602" s="15" t="s">
        <v>18475</v>
      </c>
      <c r="AK602" s="15" t="s">
        <v>18476</v>
      </c>
      <c r="AL602" s="15" t="s">
        <v>18477</v>
      </c>
      <c r="AM602" s="15" t="s">
        <v>18478</v>
      </c>
      <c r="AN602" s="15" t="s">
        <v>18479</v>
      </c>
      <c r="BH602" s="15" t="s">
        <v>6828</v>
      </c>
      <c r="BI602" s="15" t="str">
        <f>"3999"</f>
        <v>3999</v>
      </c>
      <c r="BJ602" s="15" t="str">
        <f>"1680"</f>
        <v>1680</v>
      </c>
      <c r="BK602" s="15" t="s">
        <v>415</v>
      </c>
      <c r="BL602" s="15" t="str">
        <f t="shared" si="1776"/>
        <v>1</v>
      </c>
      <c r="BM602" s="15" t="s">
        <v>416</v>
      </c>
      <c r="BN602" s="15" t="str">
        <f>"82.48"</f>
        <v>82.48</v>
      </c>
      <c r="BO602" s="15" t="str">
        <f>"23.98"</f>
        <v>23.98</v>
      </c>
      <c r="BP602" s="15" t="str">
        <f>"31.69"</f>
        <v>31.69</v>
      </c>
      <c r="BQ602" s="15" t="str">
        <f>"229.5"</f>
        <v>229.5</v>
      </c>
      <c r="CG602" s="15" t="str">
        <f>"36.27"</f>
        <v>36.27</v>
      </c>
      <c r="CH602" s="15" t="str">
        <f>"1.027"</f>
        <v>1.027</v>
      </c>
      <c r="CI602" s="15" t="s">
        <v>497</v>
      </c>
      <c r="CJ602" s="15" t="s">
        <v>1287</v>
      </c>
      <c r="CK602" s="15" t="s">
        <v>612</v>
      </c>
      <c r="CL602" s="15" t="s">
        <v>1324</v>
      </c>
      <c r="CM602" s="15" t="s">
        <v>1287</v>
      </c>
      <c r="CN602" s="15" t="s">
        <v>939</v>
      </c>
      <c r="CO602" s="15" t="s">
        <v>1324</v>
      </c>
      <c r="CZ602" s="15" t="s">
        <v>419</v>
      </c>
      <c r="DA602" s="15">
        <v>0.0</v>
      </c>
      <c r="DB602" s="15" t="s">
        <v>419</v>
      </c>
      <c r="DD602" s="15">
        <v>2.0</v>
      </c>
      <c r="DE602" s="15" t="s">
        <v>426</v>
      </c>
      <c r="DF602" s="15" t="s">
        <v>1388</v>
      </c>
      <c r="DG602" s="15" t="s">
        <v>610</v>
      </c>
      <c r="DI602" s="15">
        <v>18.14</v>
      </c>
      <c r="DJ602" s="15">
        <v>40.0</v>
      </c>
      <c r="DK602" s="15">
        <v>0.0</v>
      </c>
      <c r="DS602" s="15" t="s">
        <v>6838</v>
      </c>
      <c r="DU602" s="15" t="s">
        <v>424</v>
      </c>
      <c r="EF602" s="15" t="s">
        <v>6839</v>
      </c>
      <c r="EU602" s="15" t="s">
        <v>426</v>
      </c>
      <c r="EV602" s="15">
        <v>4.0</v>
      </c>
      <c r="FH602" s="15" t="s">
        <v>1306</v>
      </c>
      <c r="FI602" s="15" t="s">
        <v>612</v>
      </c>
      <c r="FJ602" s="15" t="s">
        <v>6840</v>
      </c>
      <c r="FN602" s="15">
        <v>0.0</v>
      </c>
      <c r="FO602" s="15" t="s">
        <v>426</v>
      </c>
      <c r="FP602" s="15" t="s">
        <v>1883</v>
      </c>
      <c r="FQ602" s="15">
        <v>2.0</v>
      </c>
      <c r="FR602" s="15" t="s">
        <v>614</v>
      </c>
      <c r="FS602" s="15" t="s">
        <v>615</v>
      </c>
      <c r="FT602" s="15">
        <v>0.0</v>
      </c>
      <c r="FW602" s="15" t="s">
        <v>616</v>
      </c>
      <c r="GJ602" s="15" t="s">
        <v>1287</v>
      </c>
      <c r="GK602" s="15" t="s">
        <v>939</v>
      </c>
      <c r="GL602" s="15" t="s">
        <v>1324</v>
      </c>
      <c r="GZ602" s="15" t="s">
        <v>1287</v>
      </c>
      <c r="HA602" s="15" t="s">
        <v>1287</v>
      </c>
      <c r="HB602" s="15" t="s">
        <v>939</v>
      </c>
      <c r="HC602" s="15" t="s">
        <v>939</v>
      </c>
      <c r="HD602" s="15" t="s">
        <v>1324</v>
      </c>
      <c r="HE602" s="15" t="s">
        <v>1324</v>
      </c>
    </row>
    <row r="603" ht="17.25" customHeight="1">
      <c r="A603" s="15" t="s">
        <v>6844</v>
      </c>
      <c r="B603" s="15" t="str">
        <f>"801542710279"</f>
        <v>801542710279</v>
      </c>
      <c r="C603" s="15" t="s">
        <v>18480</v>
      </c>
      <c r="D603" s="15" t="str">
        <f t="shared" si="1"/>
        <v>Lyla ChairCapri Ebony</v>
      </c>
      <c r="E603" s="15" t="s">
        <v>6841</v>
      </c>
      <c r="F603" s="15" t="s">
        <v>397</v>
      </c>
      <c r="G603" s="15" t="s">
        <v>6843</v>
      </c>
      <c r="J603" s="15" t="s">
        <v>6843</v>
      </c>
      <c r="K603" s="15" t="s">
        <v>1087</v>
      </c>
      <c r="M603" s="15" t="s">
        <v>6068</v>
      </c>
      <c r="N603" s="15" t="s">
        <v>706</v>
      </c>
      <c r="O603" s="15" t="s">
        <v>707</v>
      </c>
      <c r="P603" s="15" t="str">
        <f t="shared" ref="P603:P607" si="1777">"38"</f>
        <v>38</v>
      </c>
      <c r="Q603" s="15" t="str">
        <f t="shared" ref="Q603:Q607" si="1778">"33"</f>
        <v>33</v>
      </c>
      <c r="R603" s="15" t="str">
        <f t="shared" ref="R603:R611" si="1779">"28"</f>
        <v>28</v>
      </c>
      <c r="S603" s="15" t="str">
        <f t="shared" ref="S603:S607" si="1780">"58.2"</f>
        <v>58.2</v>
      </c>
      <c r="T603" s="15" t="s">
        <v>832</v>
      </c>
      <c r="U603" s="15" t="s">
        <v>11209</v>
      </c>
      <c r="V603" s="15" t="s">
        <v>11210</v>
      </c>
      <c r="AA603" s="15" t="s">
        <v>413</v>
      </c>
      <c r="AB603" s="15" t="s">
        <v>426</v>
      </c>
      <c r="AC603" s="15" t="s">
        <v>6847</v>
      </c>
      <c r="AD603" s="15" t="s">
        <v>18481</v>
      </c>
      <c r="AE603" s="15" t="s">
        <v>6846</v>
      </c>
      <c r="AF603" s="15" t="s">
        <v>18482</v>
      </c>
      <c r="AG603" s="15" t="s">
        <v>18483</v>
      </c>
      <c r="AH603" s="15" t="s">
        <v>18484</v>
      </c>
      <c r="AI603" s="15" t="s">
        <v>18485</v>
      </c>
      <c r="AJ603" s="15" t="s">
        <v>18486</v>
      </c>
      <c r="AK603" s="15" t="s">
        <v>18487</v>
      </c>
      <c r="AL603" s="15" t="s">
        <v>18488</v>
      </c>
      <c r="AM603" s="15" t="s">
        <v>18489</v>
      </c>
      <c r="BH603" s="15" t="s">
        <v>6842</v>
      </c>
      <c r="BI603" s="15" t="str">
        <f>"1149"</f>
        <v>1149</v>
      </c>
      <c r="BJ603" s="15" t="str">
        <f>"485"</f>
        <v>485</v>
      </c>
      <c r="BK603" s="15" t="s">
        <v>709</v>
      </c>
      <c r="BL603" s="15" t="str">
        <f t="shared" si="1776"/>
        <v>1</v>
      </c>
      <c r="BM603" s="15" t="s">
        <v>416</v>
      </c>
      <c r="BN603" s="15" t="str">
        <f t="shared" ref="BN603:BN604" si="1781">"38.58"</f>
        <v>38.58</v>
      </c>
      <c r="BO603" s="15" t="str">
        <f t="shared" ref="BO603:BO604" si="1782">"33.86"</f>
        <v>33.86</v>
      </c>
      <c r="BP603" s="15" t="str">
        <f t="shared" ref="BP603:BP607" si="1783">"29.13"</f>
        <v>29.13</v>
      </c>
      <c r="BQ603" s="15" t="str">
        <f t="shared" ref="BQ603:BQ607" si="1784">"77.16"</f>
        <v>77.16</v>
      </c>
      <c r="CG603" s="15" t="str">
        <f t="shared" ref="CG603:CG607" si="1785">"22.04"</f>
        <v>22.04</v>
      </c>
      <c r="CH603" s="15" t="str">
        <f t="shared" ref="CH603:CH607" si="1786">"0.624"</f>
        <v>0.624</v>
      </c>
      <c r="CI603" s="15" t="s">
        <v>465</v>
      </c>
      <c r="CP603" s="15" t="s">
        <v>525</v>
      </c>
      <c r="CQ603" s="15" t="s">
        <v>505</v>
      </c>
      <c r="CR603" s="15" t="s">
        <v>1324</v>
      </c>
      <c r="CS603" s="15" t="s">
        <v>1072</v>
      </c>
      <c r="CT603" s="15" t="s">
        <v>1065</v>
      </c>
      <c r="CV603" s="15">
        <v>0.0</v>
      </c>
      <c r="CW603" s="15">
        <v>1.0</v>
      </c>
      <c r="CX603" s="15" t="s">
        <v>717</v>
      </c>
      <c r="CY603" s="15" t="s">
        <v>855</v>
      </c>
      <c r="DC603" s="15" t="s">
        <v>6848</v>
      </c>
      <c r="DF603" s="15" t="s">
        <v>721</v>
      </c>
      <c r="DG603" s="15" t="s">
        <v>419</v>
      </c>
      <c r="DH603" s="15">
        <v>0.0</v>
      </c>
      <c r="DL603" s="15">
        <v>25000.0</v>
      </c>
      <c r="DM603" s="15" t="s">
        <v>722</v>
      </c>
      <c r="DN603" s="15" t="s">
        <v>723</v>
      </c>
      <c r="DO603" s="15" t="s">
        <v>724</v>
      </c>
      <c r="DP603" s="15">
        <v>1.0</v>
      </c>
      <c r="DQ603" s="15">
        <v>1.0</v>
      </c>
      <c r="DS603" s="15" t="s">
        <v>6849</v>
      </c>
      <c r="DT603" s="15">
        <v>0.0</v>
      </c>
      <c r="DU603" s="15" t="s">
        <v>726</v>
      </c>
      <c r="DV603" s="15" t="s">
        <v>2735</v>
      </c>
      <c r="DW603" s="15" t="s">
        <v>1327</v>
      </c>
      <c r="DX603" s="15" t="s">
        <v>1211</v>
      </c>
      <c r="EB603" s="15" t="s">
        <v>995</v>
      </c>
      <c r="EF603" s="15" t="s">
        <v>1236</v>
      </c>
      <c r="EG603" s="15" t="s">
        <v>2735</v>
      </c>
      <c r="EH603" s="15" t="s">
        <v>1064</v>
      </c>
      <c r="EI603" s="15" t="s">
        <v>1288</v>
      </c>
      <c r="EL603" s="15" t="s">
        <v>1016</v>
      </c>
      <c r="EO603" s="15" t="s">
        <v>1079</v>
      </c>
      <c r="EX603" s="15" t="s">
        <v>1213</v>
      </c>
      <c r="EY603" s="15" t="s">
        <v>650</v>
      </c>
      <c r="EZ603" s="15">
        <v>0.0</v>
      </c>
      <c r="FA603" s="15">
        <v>0.0</v>
      </c>
      <c r="FC603" s="15">
        <v>0.0</v>
      </c>
    </row>
    <row r="604" ht="17.25" customHeight="1">
      <c r="A604" s="15" t="s">
        <v>6851</v>
      </c>
      <c r="B604" s="15" t="str">
        <f>"801542067991"</f>
        <v>801542067991</v>
      </c>
      <c r="C604" s="15" t="s">
        <v>18490</v>
      </c>
      <c r="D604" s="15" t="str">
        <f t="shared" si="1"/>
        <v>Lyla ChairHeirloom Black</v>
      </c>
      <c r="E604" s="15" t="s">
        <v>6841</v>
      </c>
      <c r="F604" s="15" t="s">
        <v>397</v>
      </c>
      <c r="G604" s="15" t="s">
        <v>2575</v>
      </c>
      <c r="J604" s="15" t="s">
        <v>2575</v>
      </c>
      <c r="K604" s="15" t="s">
        <v>3557</v>
      </c>
      <c r="M604" s="15" t="s">
        <v>6068</v>
      </c>
      <c r="N604" s="15" t="s">
        <v>706</v>
      </c>
      <c r="O604" s="15" t="s">
        <v>707</v>
      </c>
      <c r="P604" s="15" t="str">
        <f t="shared" si="1777"/>
        <v>38</v>
      </c>
      <c r="Q604" s="15" t="str">
        <f t="shared" si="1778"/>
        <v>33</v>
      </c>
      <c r="R604" s="15" t="str">
        <f t="shared" si="1779"/>
        <v>28</v>
      </c>
      <c r="S604" s="15" t="str">
        <f t="shared" si="1780"/>
        <v>58.2</v>
      </c>
      <c r="T604" s="15" t="s">
        <v>1341</v>
      </c>
      <c r="U604" s="15" t="s">
        <v>11137</v>
      </c>
      <c r="V604" s="15" t="s">
        <v>11138</v>
      </c>
      <c r="AA604" s="15" t="s">
        <v>413</v>
      </c>
      <c r="AB604" s="15" t="s">
        <v>413</v>
      </c>
      <c r="AC604" s="15" t="s">
        <v>6853</v>
      </c>
      <c r="AD604" s="15" t="s">
        <v>18491</v>
      </c>
      <c r="AE604" s="15" t="s">
        <v>6852</v>
      </c>
      <c r="AF604" s="15" t="s">
        <v>18492</v>
      </c>
      <c r="AG604" s="15" t="s">
        <v>18493</v>
      </c>
      <c r="AH604" s="15" t="s">
        <v>18494</v>
      </c>
      <c r="AI604" s="15" t="s">
        <v>18495</v>
      </c>
      <c r="AJ604" s="15" t="s">
        <v>18496</v>
      </c>
      <c r="AK604" s="15" t="s">
        <v>18497</v>
      </c>
      <c r="AL604" s="15" t="s">
        <v>18498</v>
      </c>
      <c r="AM604" s="15" t="s">
        <v>18499</v>
      </c>
      <c r="AN604" s="15" t="s">
        <v>18500</v>
      </c>
      <c r="AO604" s="15" t="s">
        <v>18501</v>
      </c>
      <c r="BH604" s="15" t="s">
        <v>6850</v>
      </c>
      <c r="BI604" s="15" t="str">
        <f>"2099"</f>
        <v>2099</v>
      </c>
      <c r="BJ604" s="15" t="str">
        <f>"885"</f>
        <v>885</v>
      </c>
      <c r="BK604" s="15" t="s">
        <v>709</v>
      </c>
      <c r="BL604" s="15" t="str">
        <f t="shared" si="1776"/>
        <v>1</v>
      </c>
      <c r="BM604" s="15" t="s">
        <v>416</v>
      </c>
      <c r="BN604" s="15" t="str">
        <f t="shared" si="1781"/>
        <v>38.58</v>
      </c>
      <c r="BO604" s="15" t="str">
        <f t="shared" si="1782"/>
        <v>33.86</v>
      </c>
      <c r="BP604" s="15" t="str">
        <f t="shared" si="1783"/>
        <v>29.13</v>
      </c>
      <c r="BQ604" s="15" t="str">
        <f t="shared" si="1784"/>
        <v>77.16</v>
      </c>
      <c r="CG604" s="15" t="str">
        <f t="shared" si="1785"/>
        <v>22.04</v>
      </c>
      <c r="CH604" s="15" t="str">
        <f t="shared" si="1786"/>
        <v>0.624</v>
      </c>
      <c r="CI604" s="15" t="s">
        <v>465</v>
      </c>
      <c r="CP604" s="15" t="s">
        <v>525</v>
      </c>
      <c r="CQ604" s="15" t="s">
        <v>505</v>
      </c>
      <c r="CR604" s="15" t="s">
        <v>1324</v>
      </c>
      <c r="CS604" s="15" t="s">
        <v>1072</v>
      </c>
      <c r="CT604" s="15" t="s">
        <v>1065</v>
      </c>
      <c r="CV604" s="15">
        <v>0.0</v>
      </c>
      <c r="CW604" s="15">
        <v>1.0</v>
      </c>
      <c r="CX604" s="15" t="s">
        <v>717</v>
      </c>
      <c r="CY604" s="15" t="s">
        <v>718</v>
      </c>
      <c r="DC604" s="15" t="s">
        <v>6848</v>
      </c>
      <c r="DF604" s="15" t="s">
        <v>721</v>
      </c>
      <c r="DG604" s="15" t="s">
        <v>419</v>
      </c>
      <c r="DH604" s="15">
        <v>0.0</v>
      </c>
      <c r="DL604" s="15">
        <v>0.0</v>
      </c>
      <c r="DM604" s="15" t="s">
        <v>722</v>
      </c>
      <c r="DN604" s="15" t="s">
        <v>723</v>
      </c>
      <c r="DO604" s="15" t="s">
        <v>724</v>
      </c>
      <c r="DP604" s="15">
        <v>1.0</v>
      </c>
      <c r="DQ604" s="15">
        <v>1.0</v>
      </c>
      <c r="DS604" s="15" t="s">
        <v>6849</v>
      </c>
      <c r="DT604" s="15">
        <v>0.0</v>
      </c>
      <c r="DU604" s="15" t="s">
        <v>726</v>
      </c>
      <c r="DV604" s="15" t="s">
        <v>2735</v>
      </c>
      <c r="DW604" s="15" t="s">
        <v>1327</v>
      </c>
      <c r="DX604" s="15" t="s">
        <v>1211</v>
      </c>
      <c r="EB604" s="15" t="s">
        <v>995</v>
      </c>
      <c r="EF604" s="15" t="s">
        <v>1236</v>
      </c>
      <c r="EG604" s="15" t="s">
        <v>2735</v>
      </c>
      <c r="EH604" s="15" t="s">
        <v>1064</v>
      </c>
      <c r="EI604" s="15" t="s">
        <v>1288</v>
      </c>
      <c r="EL604" s="15" t="s">
        <v>1016</v>
      </c>
      <c r="EO604" s="15" t="s">
        <v>1079</v>
      </c>
      <c r="EX604" s="15" t="s">
        <v>1213</v>
      </c>
      <c r="EY604" s="15" t="s">
        <v>650</v>
      </c>
      <c r="EZ604" s="15">
        <v>0.0</v>
      </c>
      <c r="FA604" s="15">
        <v>0.0</v>
      </c>
      <c r="FC604" s="15">
        <v>0.0</v>
      </c>
    </row>
    <row r="605" ht="17.25" customHeight="1">
      <c r="A605" s="15" t="s">
        <v>6855</v>
      </c>
      <c r="B605" s="15" t="str">
        <f>"801542710286"</f>
        <v>801542710286</v>
      </c>
      <c r="C605" s="15" t="s">
        <v>18502</v>
      </c>
      <c r="D605" s="15" t="str">
        <f t="shared" si="1"/>
        <v>Lyla ChairKerbey Ivory</v>
      </c>
      <c r="E605" s="15" t="s">
        <v>6841</v>
      </c>
      <c r="F605" s="15" t="s">
        <v>397</v>
      </c>
      <c r="G605" s="15" t="s">
        <v>2951</v>
      </c>
      <c r="J605" s="15" t="s">
        <v>2951</v>
      </c>
      <c r="K605" s="15" t="s">
        <v>1087</v>
      </c>
      <c r="M605" s="15" t="s">
        <v>6068</v>
      </c>
      <c r="N605" s="15" t="s">
        <v>706</v>
      </c>
      <c r="O605" s="15" t="s">
        <v>707</v>
      </c>
      <c r="P605" s="15" t="str">
        <f t="shared" si="1777"/>
        <v>38</v>
      </c>
      <c r="Q605" s="15" t="str">
        <f t="shared" si="1778"/>
        <v>33</v>
      </c>
      <c r="R605" s="15" t="str">
        <f t="shared" si="1779"/>
        <v>28</v>
      </c>
      <c r="S605" s="15" t="str">
        <f t="shared" si="1780"/>
        <v>58.2</v>
      </c>
      <c r="T605" s="15" t="s">
        <v>2540</v>
      </c>
      <c r="U605" s="15" t="s">
        <v>12856</v>
      </c>
      <c r="V605" s="15" t="s">
        <v>12857</v>
      </c>
      <c r="W605" s="15" t="s">
        <v>11210</v>
      </c>
      <c r="AA605" s="15" t="s">
        <v>426</v>
      </c>
      <c r="AB605" s="15" t="s">
        <v>426</v>
      </c>
      <c r="AC605" s="15" t="s">
        <v>6857</v>
      </c>
      <c r="AD605" s="15" t="s">
        <v>18503</v>
      </c>
      <c r="AE605" s="15" t="s">
        <v>6856</v>
      </c>
      <c r="AF605" s="15" t="s">
        <v>18504</v>
      </c>
      <c r="AG605" s="15" t="s">
        <v>18505</v>
      </c>
      <c r="AH605" s="15" t="s">
        <v>18506</v>
      </c>
      <c r="AI605" s="15" t="s">
        <v>18507</v>
      </c>
      <c r="AJ605" s="15" t="s">
        <v>18508</v>
      </c>
      <c r="AK605" s="15" t="s">
        <v>18509</v>
      </c>
      <c r="AL605" s="15" t="s">
        <v>18510</v>
      </c>
      <c r="AM605" s="15" t="s">
        <v>18511</v>
      </c>
      <c r="AN605" s="15" t="s">
        <v>18512</v>
      </c>
      <c r="AO605" s="15" t="s">
        <v>18513</v>
      </c>
      <c r="AP605" s="15" t="s">
        <v>18514</v>
      </c>
      <c r="BH605" s="15" t="s">
        <v>6854</v>
      </c>
      <c r="BI605" s="15" t="str">
        <f t="shared" ref="BI605:BI606" si="1787">"1149"</f>
        <v>1149</v>
      </c>
      <c r="BJ605" s="15" t="str">
        <f t="shared" ref="BJ605:BJ606" si="1788">"485"</f>
        <v>485</v>
      </c>
      <c r="BK605" s="15" t="s">
        <v>709</v>
      </c>
      <c r="BL605" s="15" t="str">
        <f t="shared" si="1776"/>
        <v>1</v>
      </c>
      <c r="BM605" s="15" t="s">
        <v>416</v>
      </c>
      <c r="BN605" s="15" t="str">
        <f>"33.86"</f>
        <v>33.86</v>
      </c>
      <c r="BO605" s="15" t="str">
        <f>"38.58"</f>
        <v>38.58</v>
      </c>
      <c r="BP605" s="15" t="str">
        <f t="shared" si="1783"/>
        <v>29.13</v>
      </c>
      <c r="BQ605" s="15" t="str">
        <f t="shared" si="1784"/>
        <v>77.16</v>
      </c>
      <c r="CG605" s="15" t="str">
        <f t="shared" si="1785"/>
        <v>22.04</v>
      </c>
      <c r="CH605" s="15" t="str">
        <f t="shared" si="1786"/>
        <v>0.624</v>
      </c>
      <c r="CI605" s="15" t="s">
        <v>497</v>
      </c>
      <c r="CP605" s="15" t="s">
        <v>525</v>
      </c>
      <c r="CQ605" s="15" t="s">
        <v>505</v>
      </c>
      <c r="CR605" s="15" t="s">
        <v>1324</v>
      </c>
      <c r="CS605" s="15" t="s">
        <v>1072</v>
      </c>
      <c r="CT605" s="15" t="s">
        <v>1065</v>
      </c>
      <c r="CV605" s="15">
        <v>0.0</v>
      </c>
      <c r="CW605" s="15">
        <v>1.0</v>
      </c>
      <c r="CX605" s="15" t="s">
        <v>717</v>
      </c>
      <c r="CY605" s="15" t="s">
        <v>855</v>
      </c>
      <c r="DC605" s="15" t="s">
        <v>6848</v>
      </c>
      <c r="DF605" s="15" t="s">
        <v>721</v>
      </c>
      <c r="DG605" s="15" t="s">
        <v>419</v>
      </c>
      <c r="DH605" s="15">
        <v>0.0</v>
      </c>
      <c r="DL605" s="15">
        <v>25000.0</v>
      </c>
      <c r="DM605" s="15" t="s">
        <v>722</v>
      </c>
      <c r="DN605" s="15" t="s">
        <v>723</v>
      </c>
      <c r="DO605" s="15" t="s">
        <v>724</v>
      </c>
      <c r="DP605" s="15">
        <v>1.0</v>
      </c>
      <c r="DQ605" s="15">
        <v>1.0</v>
      </c>
      <c r="DS605" s="15" t="s">
        <v>6849</v>
      </c>
      <c r="DT605" s="15">
        <v>0.0</v>
      </c>
      <c r="DU605" s="15" t="s">
        <v>726</v>
      </c>
      <c r="DV605" s="15" t="s">
        <v>2735</v>
      </c>
      <c r="DW605" s="15" t="s">
        <v>1327</v>
      </c>
      <c r="DX605" s="15" t="s">
        <v>1211</v>
      </c>
      <c r="EB605" s="15" t="s">
        <v>995</v>
      </c>
      <c r="EF605" s="15" t="s">
        <v>1236</v>
      </c>
      <c r="EG605" s="15" t="s">
        <v>2735</v>
      </c>
      <c r="EH605" s="15" t="s">
        <v>1064</v>
      </c>
      <c r="EI605" s="15" t="s">
        <v>1288</v>
      </c>
      <c r="EL605" s="15" t="s">
        <v>1016</v>
      </c>
      <c r="EO605" s="15" t="s">
        <v>1079</v>
      </c>
      <c r="EX605" s="15" t="s">
        <v>1213</v>
      </c>
      <c r="EY605" s="15" t="s">
        <v>650</v>
      </c>
      <c r="EZ605" s="15">
        <v>0.0</v>
      </c>
      <c r="FA605" s="15">
        <v>0.0</v>
      </c>
      <c r="FC605" s="15">
        <v>0.0</v>
      </c>
    </row>
    <row r="606" ht="17.25" customHeight="1">
      <c r="A606" s="15" t="s">
        <v>6859</v>
      </c>
      <c r="B606" s="15" t="str">
        <f>"801542035402"</f>
        <v>801542035402</v>
      </c>
      <c r="C606" s="15" t="s">
        <v>18515</v>
      </c>
      <c r="D606" s="15" t="str">
        <f t="shared" si="1"/>
        <v>Lyla ChairSheepskin Camel</v>
      </c>
      <c r="E606" s="15" t="s">
        <v>6841</v>
      </c>
      <c r="F606" s="15" t="s">
        <v>397</v>
      </c>
      <c r="G606" s="15" t="s">
        <v>4322</v>
      </c>
      <c r="J606" s="15" t="s">
        <v>4322</v>
      </c>
      <c r="K606" s="15" t="s">
        <v>1087</v>
      </c>
      <c r="M606" s="15" t="s">
        <v>6068</v>
      </c>
      <c r="N606" s="15" t="s">
        <v>706</v>
      </c>
      <c r="O606" s="15" t="s">
        <v>707</v>
      </c>
      <c r="P606" s="15" t="str">
        <f t="shared" si="1777"/>
        <v>38</v>
      </c>
      <c r="Q606" s="15" t="str">
        <f t="shared" si="1778"/>
        <v>33</v>
      </c>
      <c r="R606" s="15" t="str">
        <f t="shared" si="1779"/>
        <v>28</v>
      </c>
      <c r="S606" s="15" t="str">
        <f t="shared" si="1780"/>
        <v>58.2</v>
      </c>
      <c r="T606" s="15" t="s">
        <v>832</v>
      </c>
      <c r="U606" s="15" t="s">
        <v>11209</v>
      </c>
      <c r="V606" s="15" t="s">
        <v>11210</v>
      </c>
      <c r="AA606" s="15" t="s">
        <v>426</v>
      </c>
      <c r="AB606" s="15" t="s">
        <v>413</v>
      </c>
      <c r="AC606" s="15" t="s">
        <v>6861</v>
      </c>
      <c r="AD606" s="15" t="s">
        <v>18516</v>
      </c>
      <c r="AE606" s="15" t="s">
        <v>6860</v>
      </c>
      <c r="AF606" s="15" t="s">
        <v>18517</v>
      </c>
      <c r="AG606" s="15" t="s">
        <v>18518</v>
      </c>
      <c r="AH606" s="15" t="s">
        <v>18519</v>
      </c>
      <c r="AI606" s="15" t="s">
        <v>18520</v>
      </c>
      <c r="AJ606" s="15" t="s">
        <v>18521</v>
      </c>
      <c r="AK606" s="15" t="s">
        <v>18522</v>
      </c>
      <c r="AL606" s="15" t="s">
        <v>18523</v>
      </c>
      <c r="AM606" s="15" t="s">
        <v>18524</v>
      </c>
      <c r="BH606" s="15" t="s">
        <v>6858</v>
      </c>
      <c r="BI606" s="15" t="str">
        <f t="shared" si="1787"/>
        <v>1149</v>
      </c>
      <c r="BJ606" s="15" t="str">
        <f t="shared" si="1788"/>
        <v>485</v>
      </c>
      <c r="BK606" s="15" t="s">
        <v>709</v>
      </c>
      <c r="BL606" s="15" t="str">
        <f t="shared" si="1776"/>
        <v>1</v>
      </c>
      <c r="BM606" s="15" t="s">
        <v>416</v>
      </c>
      <c r="BN606" s="15" t="str">
        <f t="shared" ref="BN606:BN607" si="1789">"38.58"</f>
        <v>38.58</v>
      </c>
      <c r="BO606" s="15" t="str">
        <f t="shared" ref="BO606:BO607" si="1790">"33.86"</f>
        <v>33.86</v>
      </c>
      <c r="BP606" s="15" t="str">
        <f t="shared" si="1783"/>
        <v>29.13</v>
      </c>
      <c r="BQ606" s="15" t="str">
        <f t="shared" si="1784"/>
        <v>77.16</v>
      </c>
      <c r="CG606" s="15" t="str">
        <f t="shared" si="1785"/>
        <v>22.04</v>
      </c>
      <c r="CH606" s="15" t="str">
        <f t="shared" si="1786"/>
        <v>0.624</v>
      </c>
      <c r="CI606" s="15" t="s">
        <v>497</v>
      </c>
      <c r="CP606" s="15" t="s">
        <v>525</v>
      </c>
      <c r="CQ606" s="15" t="s">
        <v>505</v>
      </c>
      <c r="CR606" s="15" t="s">
        <v>1324</v>
      </c>
      <c r="CS606" s="15" t="s">
        <v>1072</v>
      </c>
      <c r="CT606" s="15" t="s">
        <v>1065</v>
      </c>
      <c r="CV606" s="15">
        <v>0.0</v>
      </c>
      <c r="CW606" s="15">
        <v>1.0</v>
      </c>
      <c r="CX606" s="15" t="s">
        <v>717</v>
      </c>
      <c r="CY606" s="15" t="s">
        <v>897</v>
      </c>
      <c r="DC606" s="15" t="s">
        <v>6848</v>
      </c>
      <c r="DF606" s="15" t="s">
        <v>721</v>
      </c>
      <c r="DG606" s="15" t="s">
        <v>419</v>
      </c>
      <c r="DH606" s="15">
        <v>0.0</v>
      </c>
      <c r="DL606" s="15">
        <v>100000.0</v>
      </c>
      <c r="DM606" s="15" t="s">
        <v>722</v>
      </c>
      <c r="DN606" s="15" t="s">
        <v>723</v>
      </c>
      <c r="DO606" s="15" t="s">
        <v>724</v>
      </c>
      <c r="DP606" s="15">
        <v>1.0</v>
      </c>
      <c r="DQ606" s="15">
        <v>1.0</v>
      </c>
      <c r="DS606" s="15" t="s">
        <v>6849</v>
      </c>
      <c r="DT606" s="15">
        <v>0.0</v>
      </c>
      <c r="DU606" s="15" t="s">
        <v>726</v>
      </c>
      <c r="DV606" s="15" t="s">
        <v>2735</v>
      </c>
      <c r="DW606" s="15" t="s">
        <v>1327</v>
      </c>
      <c r="DX606" s="15" t="s">
        <v>1211</v>
      </c>
      <c r="EB606" s="15" t="s">
        <v>995</v>
      </c>
      <c r="EF606" s="15" t="s">
        <v>1236</v>
      </c>
      <c r="EG606" s="15" t="s">
        <v>2735</v>
      </c>
      <c r="EH606" s="15" t="s">
        <v>1064</v>
      </c>
      <c r="EI606" s="15" t="s">
        <v>1288</v>
      </c>
      <c r="EL606" s="15" t="s">
        <v>1016</v>
      </c>
      <c r="EO606" s="15" t="s">
        <v>1079</v>
      </c>
      <c r="EX606" s="15" t="s">
        <v>1213</v>
      </c>
      <c r="EY606" s="15" t="s">
        <v>650</v>
      </c>
      <c r="EZ606" s="15">
        <v>0.0</v>
      </c>
      <c r="FA606" s="15">
        <v>0.0</v>
      </c>
      <c r="FC606" s="15">
        <v>0.0</v>
      </c>
    </row>
    <row r="607" ht="17.25" customHeight="1">
      <c r="A607" s="15" t="s">
        <v>6864</v>
      </c>
      <c r="B607" s="15" t="str">
        <f>"801542030278"</f>
        <v>801542030278</v>
      </c>
      <c r="C607" s="15" t="s">
        <v>18525</v>
      </c>
      <c r="D607" s="15" t="str">
        <f t="shared" si="1"/>
        <v>Lyla ChairValencia Camel</v>
      </c>
      <c r="E607" s="15" t="s">
        <v>6841</v>
      </c>
      <c r="F607" s="15" t="s">
        <v>397</v>
      </c>
      <c r="G607" s="15" t="s">
        <v>6863</v>
      </c>
      <c r="J607" s="15" t="s">
        <v>6863</v>
      </c>
      <c r="K607" s="15" t="s">
        <v>3557</v>
      </c>
      <c r="M607" s="15" t="s">
        <v>6068</v>
      </c>
      <c r="N607" s="15" t="s">
        <v>706</v>
      </c>
      <c r="O607" s="15" t="s">
        <v>707</v>
      </c>
      <c r="P607" s="15" t="str">
        <f t="shared" si="1777"/>
        <v>38</v>
      </c>
      <c r="Q607" s="15" t="str">
        <f t="shared" si="1778"/>
        <v>33</v>
      </c>
      <c r="R607" s="15" t="str">
        <f t="shared" si="1779"/>
        <v>28</v>
      </c>
      <c r="S607" s="15" t="str">
        <f t="shared" si="1780"/>
        <v>58.2</v>
      </c>
      <c r="T607" s="15" t="s">
        <v>1341</v>
      </c>
      <c r="U607" s="15" t="s">
        <v>11137</v>
      </c>
      <c r="V607" s="15" t="s">
        <v>11138</v>
      </c>
      <c r="AA607" s="15" t="s">
        <v>413</v>
      </c>
      <c r="AB607" s="15" t="s">
        <v>413</v>
      </c>
      <c r="AC607" s="15" t="s">
        <v>6866</v>
      </c>
      <c r="AD607" s="15" t="s">
        <v>18526</v>
      </c>
      <c r="AE607" s="15" t="s">
        <v>6865</v>
      </c>
      <c r="AF607" s="15" t="s">
        <v>18527</v>
      </c>
      <c r="AG607" s="15" t="s">
        <v>18528</v>
      </c>
      <c r="AH607" s="15" t="s">
        <v>18529</v>
      </c>
      <c r="AI607" s="15" t="s">
        <v>18530</v>
      </c>
      <c r="AJ607" s="15" t="s">
        <v>18531</v>
      </c>
      <c r="AK607" s="15" t="s">
        <v>18532</v>
      </c>
      <c r="AL607" s="15" t="s">
        <v>18533</v>
      </c>
      <c r="AM607" s="15" t="s">
        <v>18534</v>
      </c>
      <c r="AN607" s="15" t="s">
        <v>18535</v>
      </c>
      <c r="BH607" s="15" t="s">
        <v>6862</v>
      </c>
      <c r="BI607" s="15" t="str">
        <f>"2099"</f>
        <v>2099</v>
      </c>
      <c r="BJ607" s="15" t="str">
        <f>"885"</f>
        <v>885</v>
      </c>
      <c r="BK607" s="15" t="s">
        <v>709</v>
      </c>
      <c r="BL607" s="15" t="str">
        <f t="shared" si="1776"/>
        <v>1</v>
      </c>
      <c r="BM607" s="15" t="s">
        <v>416</v>
      </c>
      <c r="BN607" s="15" t="str">
        <f t="shared" si="1789"/>
        <v>38.58</v>
      </c>
      <c r="BO607" s="15" t="str">
        <f t="shared" si="1790"/>
        <v>33.86</v>
      </c>
      <c r="BP607" s="15" t="str">
        <f t="shared" si="1783"/>
        <v>29.13</v>
      </c>
      <c r="BQ607" s="15" t="str">
        <f t="shared" si="1784"/>
        <v>77.16</v>
      </c>
      <c r="CG607" s="15" t="str">
        <f t="shared" si="1785"/>
        <v>22.04</v>
      </c>
      <c r="CH607" s="15" t="str">
        <f t="shared" si="1786"/>
        <v>0.624</v>
      </c>
      <c r="CI607" s="15" t="s">
        <v>417</v>
      </c>
      <c r="CP607" s="15" t="s">
        <v>525</v>
      </c>
      <c r="CQ607" s="15" t="s">
        <v>505</v>
      </c>
      <c r="CR607" s="15" t="s">
        <v>1324</v>
      </c>
      <c r="CS607" s="15" t="s">
        <v>1072</v>
      </c>
      <c r="CT607" s="15" t="s">
        <v>1065</v>
      </c>
      <c r="CV607" s="15">
        <v>0.0</v>
      </c>
      <c r="CW607" s="15">
        <v>1.0</v>
      </c>
      <c r="CX607" s="15" t="s">
        <v>717</v>
      </c>
      <c r="CY607" s="15" t="s">
        <v>718</v>
      </c>
      <c r="DC607" s="15" t="s">
        <v>6848</v>
      </c>
      <c r="DF607" s="15" t="s">
        <v>721</v>
      </c>
      <c r="DG607" s="15" t="s">
        <v>419</v>
      </c>
      <c r="DH607" s="15">
        <v>0.0</v>
      </c>
      <c r="DL607" s="15">
        <v>0.0</v>
      </c>
      <c r="DM607" s="15" t="s">
        <v>722</v>
      </c>
      <c r="DN607" s="15" t="s">
        <v>723</v>
      </c>
      <c r="DO607" s="15" t="s">
        <v>724</v>
      </c>
      <c r="DP607" s="15">
        <v>1.0</v>
      </c>
      <c r="DQ607" s="15">
        <v>1.0</v>
      </c>
      <c r="DS607" s="15" t="s">
        <v>6849</v>
      </c>
      <c r="DT607" s="15">
        <v>0.0</v>
      </c>
      <c r="DU607" s="15" t="s">
        <v>726</v>
      </c>
      <c r="DV607" s="15" t="s">
        <v>2735</v>
      </c>
      <c r="DW607" s="15" t="s">
        <v>1327</v>
      </c>
      <c r="DX607" s="15" t="s">
        <v>1211</v>
      </c>
      <c r="EB607" s="15" t="s">
        <v>995</v>
      </c>
      <c r="EF607" s="15" t="s">
        <v>1236</v>
      </c>
      <c r="EG607" s="15" t="s">
        <v>2735</v>
      </c>
      <c r="EH607" s="15" t="s">
        <v>1064</v>
      </c>
      <c r="EI607" s="15" t="s">
        <v>1288</v>
      </c>
      <c r="EL607" s="15" t="s">
        <v>1016</v>
      </c>
      <c r="EO607" s="15" t="s">
        <v>1079</v>
      </c>
      <c r="EX607" s="15" t="s">
        <v>1213</v>
      </c>
      <c r="EY607" s="15" t="s">
        <v>650</v>
      </c>
      <c r="EZ607" s="15">
        <v>0.0</v>
      </c>
      <c r="FA607" s="15">
        <v>0.0</v>
      </c>
      <c r="FC607" s="15">
        <v>0.0</v>
      </c>
    </row>
    <row r="608" ht="17.25" customHeight="1">
      <c r="A608" s="15" t="s">
        <v>6869</v>
      </c>
      <c r="B608" s="15" t="str">
        <f>"801542710316"</f>
        <v>801542710316</v>
      </c>
      <c r="C608" s="15" t="s">
        <v>18536</v>
      </c>
      <c r="D608" s="15" t="str">
        <f t="shared" si="1"/>
        <v>Lyla SofaCapri Ebony</v>
      </c>
      <c r="E608" s="15" t="s">
        <v>6867</v>
      </c>
      <c r="F608" s="15" t="s">
        <v>397</v>
      </c>
      <c r="G608" s="15" t="s">
        <v>6843</v>
      </c>
      <c r="J608" s="15" t="s">
        <v>6843</v>
      </c>
      <c r="K608" s="15" t="s">
        <v>1087</v>
      </c>
      <c r="M608" s="15" t="s">
        <v>6068</v>
      </c>
      <c r="N608" s="15" t="s">
        <v>1732</v>
      </c>
      <c r="P608" s="15" t="str">
        <f t="shared" ref="P608:P611" si="1791">"86.5"</f>
        <v>86.5</v>
      </c>
      <c r="Q608" s="15" t="str">
        <f t="shared" ref="Q608:Q611" si="1792">"34.5"</f>
        <v>34.5</v>
      </c>
      <c r="R608" s="15" t="str">
        <f t="shared" si="1779"/>
        <v>28</v>
      </c>
      <c r="S608" s="15" t="str">
        <f t="shared" ref="S608:S611" si="1793">"110.23"</f>
        <v>110.23</v>
      </c>
      <c r="T608" s="15" t="s">
        <v>832</v>
      </c>
      <c r="U608" s="15" t="s">
        <v>11209</v>
      </c>
      <c r="V608" s="15" t="s">
        <v>11210</v>
      </c>
      <c r="AA608" s="15" t="s">
        <v>413</v>
      </c>
      <c r="AB608" s="15" t="s">
        <v>426</v>
      </c>
      <c r="AC608" s="15" t="s">
        <v>6871</v>
      </c>
      <c r="AD608" s="15" t="s">
        <v>18537</v>
      </c>
      <c r="AE608" s="15" t="s">
        <v>6870</v>
      </c>
      <c r="AF608" s="15" t="s">
        <v>18538</v>
      </c>
      <c r="AG608" s="15" t="s">
        <v>18539</v>
      </c>
      <c r="AH608" s="15" t="s">
        <v>18540</v>
      </c>
      <c r="AI608" s="15" t="s">
        <v>18541</v>
      </c>
      <c r="AJ608" s="15" t="s">
        <v>18542</v>
      </c>
      <c r="AK608" s="15" t="s">
        <v>18543</v>
      </c>
      <c r="AL608" s="15" t="s">
        <v>18544</v>
      </c>
      <c r="AM608" s="15" t="s">
        <v>18545</v>
      </c>
      <c r="BH608" s="15" t="s">
        <v>6868</v>
      </c>
      <c r="BI608" s="15" t="str">
        <f t="shared" ref="BI608:BI610" si="1794">"2199"</f>
        <v>2199</v>
      </c>
      <c r="BJ608" s="15" t="str">
        <f t="shared" ref="BJ608:BJ610" si="1795">"925"</f>
        <v>925</v>
      </c>
      <c r="BK608" s="15" t="s">
        <v>709</v>
      </c>
      <c r="BL608" s="15" t="str">
        <f t="shared" si="1776"/>
        <v>1</v>
      </c>
      <c r="BM608" s="15" t="s">
        <v>416</v>
      </c>
      <c r="BN608" s="15" t="str">
        <f t="shared" ref="BN608:BN611" si="1796">"87.8"</f>
        <v>87.8</v>
      </c>
      <c r="BO608" s="15" t="str">
        <f t="shared" ref="BO608:BO611" si="1797">"35.83"</f>
        <v>35.83</v>
      </c>
      <c r="BP608" s="15" t="str">
        <f t="shared" ref="BP608:BP611" si="1798">"30.31"</f>
        <v>30.31</v>
      </c>
      <c r="BQ608" s="15" t="str">
        <f t="shared" ref="BQ608:BQ611" si="1799">"158.73"</f>
        <v>158.73</v>
      </c>
      <c r="CG608" s="15" t="str">
        <f t="shared" ref="CG608:CG611" si="1800">"55.2"</f>
        <v>55.2</v>
      </c>
      <c r="CH608" s="15" t="str">
        <f t="shared" ref="CH608:CH611" si="1801">"1.563"</f>
        <v>1.563</v>
      </c>
      <c r="CI608" s="15" t="s">
        <v>465</v>
      </c>
      <c r="CP608" s="15" t="s">
        <v>1211</v>
      </c>
      <c r="CQ608" s="15" t="s">
        <v>505</v>
      </c>
      <c r="CR608" s="15" t="s">
        <v>6872</v>
      </c>
      <c r="CS608" s="15" t="s">
        <v>1211</v>
      </c>
      <c r="CT608" s="15" t="s">
        <v>1065</v>
      </c>
      <c r="CU608" s="15" t="s">
        <v>960</v>
      </c>
      <c r="CV608" s="15">
        <v>0.0</v>
      </c>
      <c r="CW608" s="15">
        <v>0.0</v>
      </c>
      <c r="CX608" s="15" t="s">
        <v>717</v>
      </c>
      <c r="CY608" s="15" t="s">
        <v>855</v>
      </c>
      <c r="DC608" s="15" t="s">
        <v>6873</v>
      </c>
      <c r="DF608" s="15" t="s">
        <v>721</v>
      </c>
      <c r="DG608" s="15" t="s">
        <v>419</v>
      </c>
      <c r="DH608" s="15">
        <v>0.0</v>
      </c>
      <c r="DL608" s="15">
        <v>25000.0</v>
      </c>
      <c r="DM608" s="15" t="s">
        <v>722</v>
      </c>
      <c r="DN608" s="15" t="s">
        <v>723</v>
      </c>
      <c r="DO608" s="15" t="s">
        <v>724</v>
      </c>
      <c r="DP608" s="15">
        <v>1.0</v>
      </c>
      <c r="DQ608" s="15">
        <v>3.0</v>
      </c>
      <c r="DS608" s="15" t="s">
        <v>6849</v>
      </c>
      <c r="DT608" s="15">
        <v>0.0</v>
      </c>
      <c r="DU608" s="15" t="s">
        <v>473</v>
      </c>
      <c r="DV608" s="15" t="s">
        <v>2735</v>
      </c>
      <c r="DW608" s="15" t="s">
        <v>1327</v>
      </c>
      <c r="DX608" s="15" t="s">
        <v>555</v>
      </c>
      <c r="EB608" s="15" t="s">
        <v>995</v>
      </c>
      <c r="EF608" s="15" t="s">
        <v>1236</v>
      </c>
      <c r="EG608" s="15" t="s">
        <v>2384</v>
      </c>
      <c r="EH608" s="15" t="s">
        <v>6331</v>
      </c>
      <c r="EI608" s="15" t="s">
        <v>1288</v>
      </c>
      <c r="EO608" s="15" t="s">
        <v>1290</v>
      </c>
    </row>
    <row r="609" ht="17.25" customHeight="1">
      <c r="A609" s="15" t="s">
        <v>6875</v>
      </c>
      <c r="B609" s="15" t="str">
        <f>"801542710323"</f>
        <v>801542710323</v>
      </c>
      <c r="C609" s="15" t="s">
        <v>18546</v>
      </c>
      <c r="D609" s="15" t="str">
        <f t="shared" si="1"/>
        <v>Lyla SofaKerbey Ivory</v>
      </c>
      <c r="E609" s="15" t="s">
        <v>6867</v>
      </c>
      <c r="F609" s="15" t="s">
        <v>397</v>
      </c>
      <c r="G609" s="15" t="s">
        <v>2951</v>
      </c>
      <c r="J609" s="15" t="s">
        <v>2951</v>
      </c>
      <c r="K609" s="15" t="s">
        <v>1087</v>
      </c>
      <c r="M609" s="15" t="s">
        <v>6068</v>
      </c>
      <c r="N609" s="15" t="s">
        <v>1732</v>
      </c>
      <c r="P609" s="15" t="str">
        <f t="shared" si="1791"/>
        <v>86.5</v>
      </c>
      <c r="Q609" s="15" t="str">
        <f t="shared" si="1792"/>
        <v>34.5</v>
      </c>
      <c r="R609" s="15" t="str">
        <f t="shared" si="1779"/>
        <v>28</v>
      </c>
      <c r="S609" s="15" t="str">
        <f t="shared" si="1793"/>
        <v>110.23</v>
      </c>
      <c r="T609" s="15" t="s">
        <v>2540</v>
      </c>
      <c r="U609" s="15" t="s">
        <v>12856</v>
      </c>
      <c r="V609" s="15" t="s">
        <v>12857</v>
      </c>
      <c r="W609" s="15" t="s">
        <v>11210</v>
      </c>
      <c r="AA609" s="15" t="s">
        <v>426</v>
      </c>
      <c r="AB609" s="15" t="s">
        <v>426</v>
      </c>
      <c r="AC609" s="15" t="s">
        <v>6877</v>
      </c>
      <c r="AD609" s="15" t="s">
        <v>18547</v>
      </c>
      <c r="AE609" s="15" t="s">
        <v>6876</v>
      </c>
      <c r="AF609" s="15" t="s">
        <v>18548</v>
      </c>
      <c r="AG609" s="15" t="s">
        <v>18549</v>
      </c>
      <c r="AH609" s="15" t="s">
        <v>18550</v>
      </c>
      <c r="AI609" s="15" t="s">
        <v>18551</v>
      </c>
      <c r="AJ609" s="15" t="s">
        <v>18552</v>
      </c>
      <c r="AK609" s="15" t="s">
        <v>18553</v>
      </c>
      <c r="AL609" s="15" t="s">
        <v>18554</v>
      </c>
      <c r="AM609" s="15" t="s">
        <v>18555</v>
      </c>
      <c r="AN609" s="15" t="s">
        <v>18556</v>
      </c>
      <c r="AO609" s="15" t="s">
        <v>18557</v>
      </c>
      <c r="BH609" s="15" t="s">
        <v>6874</v>
      </c>
      <c r="BI609" s="15" t="str">
        <f t="shared" si="1794"/>
        <v>2199</v>
      </c>
      <c r="BJ609" s="15" t="str">
        <f t="shared" si="1795"/>
        <v>925</v>
      </c>
      <c r="BK609" s="15" t="s">
        <v>709</v>
      </c>
      <c r="BL609" s="15" t="str">
        <f t="shared" si="1776"/>
        <v>1</v>
      </c>
      <c r="BM609" s="15" t="s">
        <v>416</v>
      </c>
      <c r="BN609" s="15" t="str">
        <f t="shared" si="1796"/>
        <v>87.8</v>
      </c>
      <c r="BO609" s="15" t="str">
        <f t="shared" si="1797"/>
        <v>35.83</v>
      </c>
      <c r="BP609" s="15" t="str">
        <f t="shared" si="1798"/>
        <v>30.31</v>
      </c>
      <c r="BQ609" s="15" t="str">
        <f t="shared" si="1799"/>
        <v>158.73</v>
      </c>
      <c r="CG609" s="15" t="str">
        <f t="shared" si="1800"/>
        <v>55.2</v>
      </c>
      <c r="CH609" s="15" t="str">
        <f t="shared" si="1801"/>
        <v>1.563</v>
      </c>
      <c r="CI609" s="15" t="s">
        <v>497</v>
      </c>
      <c r="CP609" s="15" t="s">
        <v>1211</v>
      </c>
      <c r="CQ609" s="15" t="s">
        <v>505</v>
      </c>
      <c r="CR609" s="15" t="s">
        <v>6872</v>
      </c>
      <c r="CS609" s="15" t="s">
        <v>1211</v>
      </c>
      <c r="CT609" s="15" t="s">
        <v>1065</v>
      </c>
      <c r="CU609" s="15" t="s">
        <v>960</v>
      </c>
      <c r="CV609" s="15">
        <v>0.0</v>
      </c>
      <c r="CW609" s="15">
        <v>0.0</v>
      </c>
      <c r="CX609" s="15" t="s">
        <v>717</v>
      </c>
      <c r="CY609" s="15" t="s">
        <v>855</v>
      </c>
      <c r="DC609" s="15" t="s">
        <v>6873</v>
      </c>
      <c r="DF609" s="15" t="s">
        <v>721</v>
      </c>
      <c r="DG609" s="15" t="s">
        <v>419</v>
      </c>
      <c r="DH609" s="15">
        <v>0.0</v>
      </c>
      <c r="DL609" s="15">
        <v>25000.0</v>
      </c>
      <c r="DM609" s="15" t="s">
        <v>722</v>
      </c>
      <c r="DN609" s="15" t="s">
        <v>723</v>
      </c>
      <c r="DO609" s="15" t="s">
        <v>724</v>
      </c>
      <c r="DP609" s="15">
        <v>1.0</v>
      </c>
      <c r="DQ609" s="15">
        <v>3.0</v>
      </c>
      <c r="DS609" s="15" t="s">
        <v>6849</v>
      </c>
      <c r="DT609" s="15">
        <v>0.0</v>
      </c>
      <c r="DU609" s="15" t="s">
        <v>473</v>
      </c>
      <c r="DV609" s="15" t="s">
        <v>2735</v>
      </c>
      <c r="DW609" s="15" t="s">
        <v>1327</v>
      </c>
      <c r="DX609" s="15" t="s">
        <v>555</v>
      </c>
      <c r="EB609" s="15" t="s">
        <v>995</v>
      </c>
      <c r="EF609" s="15" t="s">
        <v>1236</v>
      </c>
      <c r="EG609" s="15" t="s">
        <v>2384</v>
      </c>
      <c r="EH609" s="15" t="s">
        <v>6331</v>
      </c>
      <c r="EI609" s="15" t="s">
        <v>1288</v>
      </c>
      <c r="EO609" s="15" t="s">
        <v>1290</v>
      </c>
    </row>
    <row r="610" ht="17.25" customHeight="1">
      <c r="A610" s="15" t="s">
        <v>6879</v>
      </c>
      <c r="B610" s="15" t="str">
        <f>"801542046699"</f>
        <v>801542046699</v>
      </c>
      <c r="C610" s="15" t="s">
        <v>18558</v>
      </c>
      <c r="D610" s="15" t="str">
        <f t="shared" si="1"/>
        <v>Lyla SofaSheepskin Camel</v>
      </c>
      <c r="E610" s="15" t="s">
        <v>6867</v>
      </c>
      <c r="F610" s="15" t="s">
        <v>397</v>
      </c>
      <c r="G610" s="15" t="s">
        <v>4322</v>
      </c>
      <c r="J610" s="15" t="s">
        <v>4322</v>
      </c>
      <c r="K610" s="15" t="s">
        <v>1087</v>
      </c>
      <c r="M610" s="15" t="s">
        <v>6068</v>
      </c>
      <c r="N610" s="15" t="s">
        <v>1732</v>
      </c>
      <c r="P610" s="15" t="str">
        <f t="shared" si="1791"/>
        <v>86.5</v>
      </c>
      <c r="Q610" s="15" t="str">
        <f t="shared" si="1792"/>
        <v>34.5</v>
      </c>
      <c r="R610" s="15" t="str">
        <f t="shared" si="1779"/>
        <v>28</v>
      </c>
      <c r="S610" s="15" t="str">
        <f t="shared" si="1793"/>
        <v>110.23</v>
      </c>
      <c r="T610" s="15" t="s">
        <v>832</v>
      </c>
      <c r="U610" s="15" t="s">
        <v>11209</v>
      </c>
      <c r="V610" s="15" t="s">
        <v>11210</v>
      </c>
      <c r="AA610" s="15" t="s">
        <v>426</v>
      </c>
      <c r="AB610" s="15" t="s">
        <v>413</v>
      </c>
      <c r="AC610" s="15" t="s">
        <v>6881</v>
      </c>
      <c r="AD610" s="15" t="s">
        <v>18559</v>
      </c>
      <c r="AE610" s="15" t="s">
        <v>6880</v>
      </c>
      <c r="AF610" s="15" t="s">
        <v>18560</v>
      </c>
      <c r="AG610" s="15" t="s">
        <v>18561</v>
      </c>
      <c r="AH610" s="15" t="s">
        <v>18562</v>
      </c>
      <c r="AI610" s="15" t="s">
        <v>18563</v>
      </c>
      <c r="AJ610" s="15" t="s">
        <v>18564</v>
      </c>
      <c r="AK610" s="15" t="s">
        <v>18565</v>
      </c>
      <c r="AL610" s="15" t="s">
        <v>18566</v>
      </c>
      <c r="AM610" s="15" t="s">
        <v>18567</v>
      </c>
      <c r="AN610" s="15" t="s">
        <v>18568</v>
      </c>
      <c r="AO610" s="15" t="s">
        <v>18569</v>
      </c>
      <c r="BH610" s="15" t="s">
        <v>6878</v>
      </c>
      <c r="BI610" s="15" t="str">
        <f t="shared" si="1794"/>
        <v>2199</v>
      </c>
      <c r="BJ610" s="15" t="str">
        <f t="shared" si="1795"/>
        <v>925</v>
      </c>
      <c r="BK610" s="15" t="s">
        <v>709</v>
      </c>
      <c r="BL610" s="15" t="str">
        <f t="shared" si="1776"/>
        <v>1</v>
      </c>
      <c r="BM610" s="15" t="s">
        <v>416</v>
      </c>
      <c r="BN610" s="15" t="str">
        <f t="shared" si="1796"/>
        <v>87.8</v>
      </c>
      <c r="BO610" s="15" t="str">
        <f t="shared" si="1797"/>
        <v>35.83</v>
      </c>
      <c r="BP610" s="15" t="str">
        <f t="shared" si="1798"/>
        <v>30.31</v>
      </c>
      <c r="BQ610" s="15" t="str">
        <f t="shared" si="1799"/>
        <v>158.73</v>
      </c>
      <c r="CG610" s="15" t="str">
        <f t="shared" si="1800"/>
        <v>55.2</v>
      </c>
      <c r="CH610" s="15" t="str">
        <f t="shared" si="1801"/>
        <v>1.563</v>
      </c>
      <c r="CI610" s="15" t="s">
        <v>497</v>
      </c>
      <c r="CP610" s="15" t="s">
        <v>1211</v>
      </c>
      <c r="CQ610" s="15" t="s">
        <v>505</v>
      </c>
      <c r="CR610" s="15" t="s">
        <v>6872</v>
      </c>
      <c r="CS610" s="15" t="s">
        <v>1211</v>
      </c>
      <c r="CT610" s="15" t="s">
        <v>1065</v>
      </c>
      <c r="CU610" s="15" t="s">
        <v>960</v>
      </c>
      <c r="CV610" s="15">
        <v>0.0</v>
      </c>
      <c r="CW610" s="15">
        <v>0.0</v>
      </c>
      <c r="CX610" s="15" t="s">
        <v>717</v>
      </c>
      <c r="CY610" s="15" t="s">
        <v>897</v>
      </c>
      <c r="DC610" s="15" t="s">
        <v>6873</v>
      </c>
      <c r="DF610" s="15" t="s">
        <v>721</v>
      </c>
      <c r="DG610" s="15" t="s">
        <v>419</v>
      </c>
      <c r="DH610" s="15">
        <v>0.0</v>
      </c>
      <c r="DL610" s="15">
        <v>100000.0</v>
      </c>
      <c r="DM610" s="15" t="s">
        <v>722</v>
      </c>
      <c r="DN610" s="15" t="s">
        <v>723</v>
      </c>
      <c r="DO610" s="15" t="s">
        <v>724</v>
      </c>
      <c r="DP610" s="15">
        <v>1.0</v>
      </c>
      <c r="DQ610" s="15">
        <v>3.0</v>
      </c>
      <c r="DS610" s="15" t="s">
        <v>6849</v>
      </c>
      <c r="DT610" s="15">
        <v>0.0</v>
      </c>
      <c r="DU610" s="15" t="s">
        <v>473</v>
      </c>
      <c r="DV610" s="15" t="s">
        <v>2735</v>
      </c>
      <c r="DW610" s="15" t="s">
        <v>1327</v>
      </c>
      <c r="DX610" s="15" t="s">
        <v>555</v>
      </c>
      <c r="EB610" s="15" t="s">
        <v>995</v>
      </c>
      <c r="EF610" s="15" t="s">
        <v>1236</v>
      </c>
      <c r="EG610" s="15" t="s">
        <v>2384</v>
      </c>
      <c r="EH610" s="15" t="s">
        <v>6331</v>
      </c>
      <c r="EI610" s="15" t="s">
        <v>1288</v>
      </c>
      <c r="EO610" s="15" t="s">
        <v>1290</v>
      </c>
    </row>
    <row r="611" ht="17.25" customHeight="1">
      <c r="A611" s="15" t="s">
        <v>6883</v>
      </c>
      <c r="B611" s="15" t="str">
        <f>"801542030285"</f>
        <v>801542030285</v>
      </c>
      <c r="C611" s="15" t="s">
        <v>18570</v>
      </c>
      <c r="D611" s="15" t="str">
        <f t="shared" si="1"/>
        <v>Lyla SofaValencia Camel</v>
      </c>
      <c r="E611" s="15" t="s">
        <v>6867</v>
      </c>
      <c r="F611" s="15" t="s">
        <v>397</v>
      </c>
      <c r="G611" s="15" t="s">
        <v>6863</v>
      </c>
      <c r="J611" s="15" t="s">
        <v>6863</v>
      </c>
      <c r="K611" s="15" t="s">
        <v>3557</v>
      </c>
      <c r="M611" s="15" t="s">
        <v>6068</v>
      </c>
      <c r="N611" s="15" t="s">
        <v>1732</v>
      </c>
      <c r="P611" s="15" t="str">
        <f t="shared" si="1791"/>
        <v>86.5</v>
      </c>
      <c r="Q611" s="15" t="str">
        <f t="shared" si="1792"/>
        <v>34.5</v>
      </c>
      <c r="R611" s="15" t="str">
        <f t="shared" si="1779"/>
        <v>28</v>
      </c>
      <c r="S611" s="15" t="str">
        <f t="shared" si="1793"/>
        <v>110.23</v>
      </c>
      <c r="T611" s="15" t="s">
        <v>1341</v>
      </c>
      <c r="U611" s="15" t="s">
        <v>11137</v>
      </c>
      <c r="V611" s="15" t="s">
        <v>11138</v>
      </c>
      <c r="AA611" s="15" t="s">
        <v>413</v>
      </c>
      <c r="AB611" s="15" t="s">
        <v>413</v>
      </c>
      <c r="AC611" s="15" t="s">
        <v>6885</v>
      </c>
      <c r="AD611" s="15" t="s">
        <v>18571</v>
      </c>
      <c r="AE611" s="15" t="s">
        <v>6884</v>
      </c>
      <c r="AF611" s="15" t="s">
        <v>18572</v>
      </c>
      <c r="AG611" s="15" t="s">
        <v>18573</v>
      </c>
      <c r="AH611" s="15" t="s">
        <v>18574</v>
      </c>
      <c r="AI611" s="15" t="s">
        <v>18575</v>
      </c>
      <c r="AJ611" s="15" t="s">
        <v>18576</v>
      </c>
      <c r="AK611" s="15" t="s">
        <v>18577</v>
      </c>
      <c r="AL611" s="15" t="s">
        <v>18578</v>
      </c>
      <c r="AM611" s="15" t="s">
        <v>18579</v>
      </c>
      <c r="AN611" s="15" t="s">
        <v>18580</v>
      </c>
      <c r="AO611" s="15" t="s">
        <v>18581</v>
      </c>
      <c r="BH611" s="15" t="s">
        <v>6882</v>
      </c>
      <c r="BI611" s="15" t="str">
        <f>"4299"</f>
        <v>4299</v>
      </c>
      <c r="BJ611" s="15" t="str">
        <f>"1810"</f>
        <v>1810</v>
      </c>
      <c r="BK611" s="15" t="s">
        <v>709</v>
      </c>
      <c r="BL611" s="15" t="str">
        <f t="shared" si="1776"/>
        <v>1</v>
      </c>
      <c r="BM611" s="15" t="s">
        <v>416</v>
      </c>
      <c r="BN611" s="15" t="str">
        <f t="shared" si="1796"/>
        <v>87.8</v>
      </c>
      <c r="BO611" s="15" t="str">
        <f t="shared" si="1797"/>
        <v>35.83</v>
      </c>
      <c r="BP611" s="15" t="str">
        <f t="shared" si="1798"/>
        <v>30.31</v>
      </c>
      <c r="BQ611" s="15" t="str">
        <f t="shared" si="1799"/>
        <v>158.73</v>
      </c>
      <c r="CG611" s="15" t="str">
        <f t="shared" si="1800"/>
        <v>55.2</v>
      </c>
      <c r="CH611" s="15" t="str">
        <f t="shared" si="1801"/>
        <v>1.563</v>
      </c>
      <c r="CI611" s="15" t="s">
        <v>497</v>
      </c>
      <c r="CP611" s="15" t="s">
        <v>1211</v>
      </c>
      <c r="CQ611" s="15" t="s">
        <v>505</v>
      </c>
      <c r="CR611" s="15" t="s">
        <v>6872</v>
      </c>
      <c r="CS611" s="15" t="s">
        <v>1211</v>
      </c>
      <c r="CT611" s="15" t="s">
        <v>1065</v>
      </c>
      <c r="CU611" s="15" t="s">
        <v>960</v>
      </c>
      <c r="CV611" s="15">
        <v>0.0</v>
      </c>
      <c r="CW611" s="15">
        <v>0.0</v>
      </c>
      <c r="CX611" s="15" t="s">
        <v>717</v>
      </c>
      <c r="CY611" s="15" t="s">
        <v>718</v>
      </c>
      <c r="DC611" s="15" t="s">
        <v>6873</v>
      </c>
      <c r="DF611" s="15" t="s">
        <v>721</v>
      </c>
      <c r="DG611" s="15" t="s">
        <v>419</v>
      </c>
      <c r="DH611" s="15">
        <v>0.0</v>
      </c>
      <c r="DL611" s="15">
        <v>0.0</v>
      </c>
      <c r="DM611" s="15" t="s">
        <v>722</v>
      </c>
      <c r="DN611" s="15" t="s">
        <v>723</v>
      </c>
      <c r="DO611" s="15" t="s">
        <v>724</v>
      </c>
      <c r="DP611" s="15">
        <v>1.0</v>
      </c>
      <c r="DQ611" s="15">
        <v>3.0</v>
      </c>
      <c r="DS611" s="15" t="s">
        <v>6849</v>
      </c>
      <c r="DT611" s="15">
        <v>0.0</v>
      </c>
      <c r="DU611" s="15" t="s">
        <v>473</v>
      </c>
      <c r="DV611" s="15" t="s">
        <v>2735</v>
      </c>
      <c r="DW611" s="15" t="s">
        <v>1327</v>
      </c>
      <c r="DX611" s="15" t="s">
        <v>555</v>
      </c>
      <c r="EB611" s="15" t="s">
        <v>995</v>
      </c>
      <c r="EF611" s="15" t="s">
        <v>1236</v>
      </c>
      <c r="EG611" s="15" t="s">
        <v>2384</v>
      </c>
      <c r="EH611" s="15" t="s">
        <v>6331</v>
      </c>
      <c r="EI611" s="15" t="s">
        <v>1288</v>
      </c>
      <c r="EO611" s="15" t="s">
        <v>1290</v>
      </c>
    </row>
    <row r="612" ht="17.25" customHeight="1">
      <c r="A612" s="15" t="s">
        <v>6888</v>
      </c>
      <c r="B612" s="15" t="str">
        <f>"801542874988"</f>
        <v>801542874988</v>
      </c>
      <c r="C612" s="15" t="s">
        <v>18582</v>
      </c>
      <c r="D612" s="15" t="str">
        <f t="shared" si="1"/>
        <v>Macklin Media ConsoleNatural Paper Rush</v>
      </c>
      <c r="E612" s="15" t="s">
        <v>6886</v>
      </c>
      <c r="F612" s="15" t="s">
        <v>397</v>
      </c>
      <c r="G612" s="15" t="s">
        <v>2195</v>
      </c>
      <c r="J612" s="15" t="s">
        <v>2195</v>
      </c>
      <c r="K612" s="15" t="s">
        <v>6892</v>
      </c>
      <c r="L612" s="15" t="s">
        <v>6893</v>
      </c>
      <c r="M612" s="15" t="s">
        <v>5804</v>
      </c>
      <c r="N612" s="15" t="s">
        <v>602</v>
      </c>
      <c r="P612" s="15" t="str">
        <f>"78"</f>
        <v>78</v>
      </c>
      <c r="Q612" s="15" t="str">
        <f t="shared" ref="Q612:Q613" si="1802">"18"</f>
        <v>18</v>
      </c>
      <c r="R612" s="15" t="str">
        <f>"24"</f>
        <v>24</v>
      </c>
      <c r="S612" s="15" t="str">
        <f>"180.34"</f>
        <v>180.34</v>
      </c>
      <c r="T612" s="15" t="s">
        <v>6891</v>
      </c>
      <c r="U612" s="15" t="s">
        <v>12520</v>
      </c>
      <c r="V612" s="15" t="s">
        <v>15527</v>
      </c>
      <c r="W612" s="15" t="s">
        <v>16205</v>
      </c>
      <c r="AA612" s="15" t="s">
        <v>413</v>
      </c>
      <c r="AB612" s="15" t="s">
        <v>413</v>
      </c>
      <c r="AC612" s="15" t="s">
        <v>6894</v>
      </c>
      <c r="AD612" s="15" t="s">
        <v>18583</v>
      </c>
      <c r="AE612" s="15" t="s">
        <v>6890</v>
      </c>
      <c r="AF612" s="15" t="s">
        <v>18584</v>
      </c>
      <c r="AG612" s="15" t="s">
        <v>18585</v>
      </c>
      <c r="AH612" s="15" t="s">
        <v>18586</v>
      </c>
      <c r="AI612" s="15" t="s">
        <v>18587</v>
      </c>
      <c r="AJ612" s="15" t="s">
        <v>18588</v>
      </c>
      <c r="AK612" s="15" t="s">
        <v>18589</v>
      </c>
      <c r="AL612" s="15" t="s">
        <v>18590</v>
      </c>
      <c r="AM612" s="15" t="s">
        <v>18591</v>
      </c>
      <c r="AN612" s="15" t="s">
        <v>18592</v>
      </c>
      <c r="AO612" s="15" t="s">
        <v>18593</v>
      </c>
      <c r="BH612" s="15" t="s">
        <v>6887</v>
      </c>
      <c r="BI612" s="15" t="str">
        <f>"2799"</f>
        <v>2799</v>
      </c>
      <c r="BJ612" s="15" t="str">
        <f>"1180"</f>
        <v>1180</v>
      </c>
      <c r="BK612" s="15" t="s">
        <v>1181</v>
      </c>
      <c r="BL612" s="15" t="str">
        <f t="shared" si="1776"/>
        <v>1</v>
      </c>
      <c r="BM612" s="15" t="s">
        <v>416</v>
      </c>
      <c r="BN612" s="15" t="str">
        <f>"82.28"</f>
        <v>82.28</v>
      </c>
      <c r="BO612" s="15" t="str">
        <f>"22.44"</f>
        <v>22.44</v>
      </c>
      <c r="BP612" s="15" t="str">
        <f>"29.92"</f>
        <v>29.92</v>
      </c>
      <c r="BQ612" s="15" t="str">
        <f>"220.46"</f>
        <v>220.46</v>
      </c>
      <c r="CG612" s="15" t="str">
        <f>"31.96"</f>
        <v>31.96</v>
      </c>
      <c r="CH612" s="15" t="str">
        <f>"0.905"</f>
        <v>0.905</v>
      </c>
      <c r="CI612" s="15" t="s">
        <v>465</v>
      </c>
      <c r="CM612" s="15" t="s">
        <v>4918</v>
      </c>
      <c r="CN612" s="15" t="s">
        <v>6895</v>
      </c>
      <c r="CO612" s="15" t="s">
        <v>6896</v>
      </c>
      <c r="CY612" s="15" t="s">
        <v>718</v>
      </c>
      <c r="CZ612" s="15" t="s">
        <v>419</v>
      </c>
      <c r="DA612" s="15">
        <v>0.0</v>
      </c>
      <c r="DB612" s="15" t="s">
        <v>419</v>
      </c>
      <c r="DD612" s="15">
        <v>0.0</v>
      </c>
      <c r="DF612" s="15" t="s">
        <v>1186</v>
      </c>
      <c r="DG612" s="15" t="s">
        <v>610</v>
      </c>
      <c r="DI612" s="15">
        <v>18.14</v>
      </c>
      <c r="DJ612" s="15">
        <v>40.0</v>
      </c>
      <c r="DK612" s="15">
        <v>3.0</v>
      </c>
      <c r="DL612" s="15">
        <v>0.0</v>
      </c>
      <c r="DS612" s="15" t="s">
        <v>6897</v>
      </c>
      <c r="EF612" s="15" t="s">
        <v>1807</v>
      </c>
      <c r="EV612" s="15">
        <v>3.0</v>
      </c>
      <c r="FH612" s="15" t="s">
        <v>6898</v>
      </c>
      <c r="FI612" s="15" t="s">
        <v>1188</v>
      </c>
      <c r="FJ612" s="15" t="s">
        <v>5705</v>
      </c>
      <c r="FK612" s="15" t="s">
        <v>504</v>
      </c>
      <c r="FL612" s="15" t="s">
        <v>1188</v>
      </c>
      <c r="FM612" s="15" t="s">
        <v>6896</v>
      </c>
      <c r="FO612" s="15" t="s">
        <v>426</v>
      </c>
      <c r="FP612" s="15" t="s">
        <v>785</v>
      </c>
      <c r="FQ612" s="15">
        <v>6.0</v>
      </c>
      <c r="FR612" s="15" t="s">
        <v>614</v>
      </c>
      <c r="FS612" s="15" t="s">
        <v>1045</v>
      </c>
      <c r="FU612" s="15" t="s">
        <v>426</v>
      </c>
      <c r="FW612" s="15" t="s">
        <v>616</v>
      </c>
      <c r="GJ612" s="15" t="s">
        <v>4918</v>
      </c>
      <c r="GK612" s="15" t="s">
        <v>6895</v>
      </c>
      <c r="GL612" s="15" t="s">
        <v>1995</v>
      </c>
      <c r="GM612" s="15">
        <v>0.0</v>
      </c>
      <c r="HF612" s="15" t="s">
        <v>1807</v>
      </c>
      <c r="HM612" s="15" t="s">
        <v>504</v>
      </c>
      <c r="HN612" s="15" t="s">
        <v>1188</v>
      </c>
      <c r="HO612" s="15" t="s">
        <v>1995</v>
      </c>
      <c r="HQ612" s="15" t="s">
        <v>426</v>
      </c>
    </row>
    <row r="613" ht="17.25" customHeight="1">
      <c r="A613" s="15" t="s">
        <v>6901</v>
      </c>
      <c r="B613" s="15" t="str">
        <f>"801542090760"</f>
        <v>801542090760</v>
      </c>
      <c r="C613" s="15" t="s">
        <v>18594</v>
      </c>
      <c r="D613" s="15" t="str">
        <f t="shared" si="1"/>
        <v>Macklin SideboardLight Mahogany Veneer</v>
      </c>
      <c r="E613" s="15" t="s">
        <v>6899</v>
      </c>
      <c r="F613" s="15" t="s">
        <v>397</v>
      </c>
      <c r="G613" s="15" t="s">
        <v>6893</v>
      </c>
      <c r="J613" s="15" t="s">
        <v>6893</v>
      </c>
      <c r="K613" s="15" t="s">
        <v>2195</v>
      </c>
      <c r="M613" s="15" t="s">
        <v>5804</v>
      </c>
      <c r="N613" s="15" t="s">
        <v>664</v>
      </c>
      <c r="P613" s="15" t="str">
        <f>"82"</f>
        <v>82</v>
      </c>
      <c r="Q613" s="15" t="str">
        <f t="shared" si="1802"/>
        <v>18</v>
      </c>
      <c r="R613" s="15" t="str">
        <f>"30"</f>
        <v>30</v>
      </c>
      <c r="S613" s="15" t="str">
        <f>"200.18"</f>
        <v>200.18</v>
      </c>
      <c r="T613" s="15" t="s">
        <v>6904</v>
      </c>
      <c r="U613" s="15" t="s">
        <v>16205</v>
      </c>
      <c r="V613" s="15" t="s">
        <v>12520</v>
      </c>
      <c r="W613" s="15" t="s">
        <v>15527</v>
      </c>
      <c r="AA613" s="15" t="s">
        <v>413</v>
      </c>
      <c r="AB613" s="15" t="s">
        <v>413</v>
      </c>
      <c r="AC613" s="15" t="s">
        <v>6894</v>
      </c>
      <c r="AD613" s="15" t="s">
        <v>18595</v>
      </c>
      <c r="AE613" s="15" t="s">
        <v>6903</v>
      </c>
      <c r="AF613" s="15" t="s">
        <v>18596</v>
      </c>
      <c r="AG613" s="15" t="s">
        <v>18597</v>
      </c>
      <c r="AH613" s="15" t="s">
        <v>18598</v>
      </c>
      <c r="AI613" s="15" t="s">
        <v>18599</v>
      </c>
      <c r="AJ613" s="15" t="s">
        <v>18600</v>
      </c>
      <c r="AK613" s="15" t="s">
        <v>18601</v>
      </c>
      <c r="AL613" s="15" t="s">
        <v>18602</v>
      </c>
      <c r="AM613" s="15" t="s">
        <v>18603</v>
      </c>
      <c r="AN613" s="15" t="s">
        <v>18604</v>
      </c>
      <c r="AO613" s="15" t="s">
        <v>18605</v>
      </c>
      <c r="AP613" s="15" t="s">
        <v>18606</v>
      </c>
      <c r="AQ613" s="15" t="s">
        <v>18607</v>
      </c>
      <c r="AR613" s="15" t="s">
        <v>18608</v>
      </c>
      <c r="AS613" s="15" t="s">
        <v>18609</v>
      </c>
      <c r="BH613" s="15" t="s">
        <v>6900</v>
      </c>
      <c r="BI613" s="15" t="str">
        <f>"3299"</f>
        <v>3299</v>
      </c>
      <c r="BJ613" s="15" t="str">
        <f>"1390"</f>
        <v>1390</v>
      </c>
      <c r="BK613" s="15" t="s">
        <v>1181</v>
      </c>
      <c r="BL613" s="15" t="str">
        <f t="shared" si="1776"/>
        <v>1</v>
      </c>
      <c r="BM613" s="15" t="s">
        <v>416</v>
      </c>
      <c r="BN613" s="15" t="str">
        <f>"86.22"</f>
        <v>86.22</v>
      </c>
      <c r="BO613" s="15" t="str">
        <f>"22.64"</f>
        <v>22.64</v>
      </c>
      <c r="BP613" s="15" t="str">
        <f>"35.43"</f>
        <v>35.43</v>
      </c>
      <c r="BQ613" s="15" t="str">
        <f>"246.92"</f>
        <v>246.92</v>
      </c>
      <c r="CG613" s="15" t="str">
        <f>"40.01"</f>
        <v>40.01</v>
      </c>
      <c r="CH613" s="15" t="str">
        <f>"1.133"</f>
        <v>1.133</v>
      </c>
      <c r="CI613" s="15" t="s">
        <v>465</v>
      </c>
      <c r="CM613" s="15" t="s">
        <v>1213</v>
      </c>
      <c r="CN613" s="15" t="s">
        <v>733</v>
      </c>
      <c r="CO613" s="15" t="s">
        <v>3659</v>
      </c>
      <c r="CZ613" s="15" t="s">
        <v>419</v>
      </c>
      <c r="DA613" s="15">
        <v>0.0</v>
      </c>
      <c r="DB613" s="15" t="s">
        <v>419</v>
      </c>
      <c r="DD613" s="15">
        <v>0.0</v>
      </c>
      <c r="DF613" s="15" t="s">
        <v>1186</v>
      </c>
      <c r="DG613" s="15" t="s">
        <v>610</v>
      </c>
      <c r="DI613" s="15">
        <v>18.14</v>
      </c>
      <c r="DJ613" s="15">
        <v>40.0</v>
      </c>
      <c r="DK613" s="15">
        <v>3.0</v>
      </c>
      <c r="DS613" s="15" t="s">
        <v>6897</v>
      </c>
      <c r="DU613" s="15" t="s">
        <v>424</v>
      </c>
      <c r="EU613" s="15" t="s">
        <v>426</v>
      </c>
      <c r="EV613" s="15">
        <v>3.0</v>
      </c>
      <c r="FH613" s="15" t="s">
        <v>1806</v>
      </c>
      <c r="FI613" s="15" t="s">
        <v>612</v>
      </c>
      <c r="FJ613" s="15" t="s">
        <v>3308</v>
      </c>
      <c r="FK613" s="15" t="s">
        <v>2020</v>
      </c>
      <c r="FL613" s="15" t="s">
        <v>612</v>
      </c>
      <c r="FM613" s="15" t="s">
        <v>6906</v>
      </c>
      <c r="FN613" s="15">
        <v>0.0</v>
      </c>
      <c r="FO613" s="15" t="s">
        <v>426</v>
      </c>
      <c r="FP613" s="15" t="s">
        <v>785</v>
      </c>
      <c r="FQ613" s="15">
        <v>6.0</v>
      </c>
      <c r="FR613" s="15" t="s">
        <v>614</v>
      </c>
      <c r="FS613" s="15" t="s">
        <v>6907</v>
      </c>
      <c r="FT613" s="15">
        <v>0.0</v>
      </c>
      <c r="FU613" s="15" t="s">
        <v>426</v>
      </c>
      <c r="FW613" s="15" t="s">
        <v>616</v>
      </c>
      <c r="HF613" s="15" t="s">
        <v>1807</v>
      </c>
      <c r="HQ613" s="15" t="s">
        <v>426</v>
      </c>
    </row>
    <row r="614" ht="17.25" customHeight="1">
      <c r="A614" s="15" t="s">
        <v>6911</v>
      </c>
      <c r="B614" s="15" t="str">
        <f>"198394076128"</f>
        <v>198394076128</v>
      </c>
      <c r="C614" s="15" t="s">
        <v>18610</v>
      </c>
      <c r="D614" s="15" t="str">
        <f t="shared" si="1"/>
        <v>Maeve BedLaken TaupeQueen</v>
      </c>
      <c r="E614" s="15" t="s">
        <v>6908</v>
      </c>
      <c r="F614" s="15" t="s">
        <v>397</v>
      </c>
      <c r="G614" s="15" t="s">
        <v>6910</v>
      </c>
      <c r="H614" s="15" t="s">
        <v>265</v>
      </c>
      <c r="I614" s="15" t="s">
        <v>877</v>
      </c>
      <c r="J614" s="15" t="s">
        <v>6910</v>
      </c>
      <c r="K614" s="15" t="s">
        <v>6520</v>
      </c>
      <c r="M614" s="15" t="s">
        <v>1030</v>
      </c>
      <c r="N614" s="15" t="s">
        <v>839</v>
      </c>
      <c r="O614" s="15" t="s">
        <v>877</v>
      </c>
      <c r="P614" s="15" t="str">
        <f>"70.5"</f>
        <v>70.5</v>
      </c>
      <c r="Q614" s="15" t="str">
        <f t="shared" ref="Q614:Q615" si="1803">"87"</f>
        <v>87</v>
      </c>
      <c r="R614" s="15" t="str">
        <f t="shared" ref="R614:R617" si="1804">"48.5"</f>
        <v>48.5</v>
      </c>
      <c r="S614" s="15" t="str">
        <f>"218.26"</f>
        <v>218.26</v>
      </c>
      <c r="T614" s="15" t="s">
        <v>6914</v>
      </c>
      <c r="U614" s="15" t="s">
        <v>12298</v>
      </c>
      <c r="V614" s="15" t="s">
        <v>18611</v>
      </c>
      <c r="W614" s="15" t="s">
        <v>10881</v>
      </c>
      <c r="AA614" s="15" t="s">
        <v>413</v>
      </c>
      <c r="AB614" s="15" t="s">
        <v>413</v>
      </c>
      <c r="AC614" s="15" t="s">
        <v>6916</v>
      </c>
      <c r="AD614" s="15" t="s">
        <v>18612</v>
      </c>
      <c r="AE614" s="15" t="s">
        <v>6913</v>
      </c>
      <c r="AF614" s="15" t="s">
        <v>18613</v>
      </c>
      <c r="AG614" s="15" t="s">
        <v>18614</v>
      </c>
      <c r="AH614" s="15" t="s">
        <v>18615</v>
      </c>
      <c r="AI614" s="15" t="s">
        <v>18616</v>
      </c>
      <c r="AJ614" s="15" t="s">
        <v>18617</v>
      </c>
      <c r="AK614" s="15" t="s">
        <v>18618</v>
      </c>
      <c r="AL614" s="15" t="s">
        <v>18619</v>
      </c>
      <c r="AM614" s="15" t="s">
        <v>18620</v>
      </c>
      <c r="AN614" s="15" t="s">
        <v>18621</v>
      </c>
      <c r="AO614" s="15" t="s">
        <v>18622</v>
      </c>
      <c r="AP614" s="15" t="s">
        <v>18623</v>
      </c>
      <c r="AQ614" s="15" t="s">
        <v>18624</v>
      </c>
      <c r="BH614" s="15" t="s">
        <v>6909</v>
      </c>
      <c r="BI614" s="15" t="str">
        <f>"2599"</f>
        <v>2599</v>
      </c>
      <c r="BJ614" s="15" t="str">
        <f>"1095"</f>
        <v>1095</v>
      </c>
      <c r="BK614" s="15" t="s">
        <v>742</v>
      </c>
      <c r="BL614" s="15" t="str">
        <f t="shared" ref="BL614:BL617" si="1805">"2"</f>
        <v>2</v>
      </c>
      <c r="BM614" s="15" t="s">
        <v>6917</v>
      </c>
      <c r="BN614" s="15" t="str">
        <f>"76.57"</f>
        <v>76.57</v>
      </c>
      <c r="BO614" s="15" t="str">
        <f>"16.54"</f>
        <v>16.54</v>
      </c>
      <c r="BP614" s="15" t="str">
        <f>"51.97"</f>
        <v>51.97</v>
      </c>
      <c r="BQ614" s="15" t="str">
        <f>"143.3"</f>
        <v>143.3</v>
      </c>
      <c r="BR614" s="15" t="s">
        <v>6921</v>
      </c>
      <c r="BS614" s="15" t="str">
        <f>"88.78"</f>
        <v>88.78</v>
      </c>
      <c r="BT614" s="15" t="str">
        <f>"11.22"</f>
        <v>11.22</v>
      </c>
      <c r="BU614" s="15" t="str">
        <f>"18.11"</f>
        <v>18.11</v>
      </c>
      <c r="BV614" s="15" t="str">
        <f>"121.25"</f>
        <v>121.25</v>
      </c>
      <c r="CG614" s="15" t="str">
        <f>"48.52"</f>
        <v>48.52</v>
      </c>
      <c r="CH614" s="15" t="str">
        <f>"1.374"</f>
        <v>1.374</v>
      </c>
      <c r="CI614" s="15" t="s">
        <v>465</v>
      </c>
      <c r="CY614" s="15" t="s">
        <v>934</v>
      </c>
      <c r="CZ614" s="15" t="s">
        <v>419</v>
      </c>
      <c r="DA614" s="15">
        <v>0.0</v>
      </c>
      <c r="DB614" s="15" t="s">
        <v>419</v>
      </c>
      <c r="DD614" s="15">
        <v>0.0</v>
      </c>
      <c r="DF614" s="15" t="s">
        <v>3952</v>
      </c>
      <c r="DG614" s="15" t="s">
        <v>419</v>
      </c>
      <c r="DI614" s="15">
        <v>0.0</v>
      </c>
      <c r="DJ614" s="15">
        <v>0.0</v>
      </c>
      <c r="DK614" s="15">
        <v>0.0</v>
      </c>
      <c r="DL614" s="15">
        <v>15000.0</v>
      </c>
      <c r="DS614" s="15" t="s">
        <v>6924</v>
      </c>
      <c r="DU614" s="15" t="s">
        <v>858</v>
      </c>
      <c r="EO614" s="15" t="s">
        <v>1239</v>
      </c>
      <c r="EV614" s="15">
        <v>0.0</v>
      </c>
      <c r="HY614" s="15" t="s">
        <v>6925</v>
      </c>
      <c r="HZ614" s="15" t="s">
        <v>2505</v>
      </c>
      <c r="IA614" s="15" t="s">
        <v>6926</v>
      </c>
      <c r="IB614" s="15" t="s">
        <v>6927</v>
      </c>
      <c r="IC614" s="15" t="s">
        <v>1430</v>
      </c>
      <c r="ID614" s="15" t="s">
        <v>6928</v>
      </c>
      <c r="IE614" s="15" t="s">
        <v>2971</v>
      </c>
      <c r="IF614" s="15" t="s">
        <v>1957</v>
      </c>
      <c r="IG614" s="15" t="s">
        <v>890</v>
      </c>
      <c r="IH614" s="15" t="s">
        <v>6925</v>
      </c>
      <c r="II614" s="15" t="s">
        <v>6929</v>
      </c>
      <c r="IJ614" s="15" t="s">
        <v>1042</v>
      </c>
      <c r="IK614" s="15" t="s">
        <v>426</v>
      </c>
      <c r="IL614" s="15" t="s">
        <v>2471</v>
      </c>
      <c r="IM614" s="15" t="s">
        <v>2604</v>
      </c>
      <c r="IN614" s="15" t="s">
        <v>873</v>
      </c>
      <c r="IO614" s="15" t="s">
        <v>877</v>
      </c>
      <c r="IU614" s="15" t="s">
        <v>2505</v>
      </c>
      <c r="IV614" s="15" t="s">
        <v>531</v>
      </c>
      <c r="IX614" s="15" t="s">
        <v>426</v>
      </c>
      <c r="IY614" s="15" t="s">
        <v>2474</v>
      </c>
      <c r="JB614" s="15" t="s">
        <v>3960</v>
      </c>
      <c r="JC614" s="15" t="s">
        <v>3961</v>
      </c>
    </row>
    <row r="615" ht="17.25" customHeight="1">
      <c r="A615" s="15" t="s">
        <v>6931</v>
      </c>
      <c r="B615" s="15" t="str">
        <f>"198394076111"</f>
        <v>198394076111</v>
      </c>
      <c r="C615" s="15" t="s">
        <v>18610</v>
      </c>
      <c r="D615" s="15" t="str">
        <f t="shared" si="1"/>
        <v>Maeve BedLaken TaupeKing</v>
      </c>
      <c r="E615" s="15" t="s">
        <v>6908</v>
      </c>
      <c r="F615" s="15" t="s">
        <v>397</v>
      </c>
      <c r="G615" s="15" t="s">
        <v>6910</v>
      </c>
      <c r="H615" s="15" t="s">
        <v>265</v>
      </c>
      <c r="I615" s="15" t="s">
        <v>828</v>
      </c>
      <c r="J615" s="15" t="s">
        <v>6910</v>
      </c>
      <c r="K615" s="15" t="s">
        <v>6520</v>
      </c>
      <c r="M615" s="15" t="s">
        <v>1030</v>
      </c>
      <c r="N615" s="15" t="s">
        <v>839</v>
      </c>
      <c r="O615" s="15" t="s">
        <v>828</v>
      </c>
      <c r="P615" s="15" t="str">
        <f>"86.5"</f>
        <v>86.5</v>
      </c>
      <c r="Q615" s="15" t="str">
        <f t="shared" si="1803"/>
        <v>87</v>
      </c>
      <c r="R615" s="15" t="str">
        <f t="shared" si="1804"/>
        <v>48.5</v>
      </c>
      <c r="S615" s="15" t="str">
        <f>"273.37"</f>
        <v>273.37</v>
      </c>
      <c r="T615" s="15" t="s">
        <v>6914</v>
      </c>
      <c r="U615" s="15" t="s">
        <v>12298</v>
      </c>
      <c r="V615" s="15" t="s">
        <v>18611</v>
      </c>
      <c r="W615" s="15" t="s">
        <v>10881</v>
      </c>
      <c r="AA615" s="15" t="s">
        <v>413</v>
      </c>
      <c r="AB615" s="15" t="s">
        <v>413</v>
      </c>
      <c r="AC615" s="15" t="s">
        <v>6916</v>
      </c>
      <c r="AD615" s="15" t="s">
        <v>18612</v>
      </c>
      <c r="AE615" s="15" t="s">
        <v>6913</v>
      </c>
      <c r="AF615" s="15" t="s">
        <v>18613</v>
      </c>
      <c r="AG615" s="15" t="s">
        <v>18614</v>
      </c>
      <c r="AH615" s="15" t="s">
        <v>18615</v>
      </c>
      <c r="AI615" s="15" t="s">
        <v>18616</v>
      </c>
      <c r="AJ615" s="15" t="s">
        <v>18617</v>
      </c>
      <c r="AK615" s="15" t="s">
        <v>18618</v>
      </c>
      <c r="AL615" s="15" t="s">
        <v>18619</v>
      </c>
      <c r="AM615" s="15" t="s">
        <v>18620</v>
      </c>
      <c r="AN615" s="15" t="s">
        <v>18621</v>
      </c>
      <c r="AO615" s="15" t="s">
        <v>18622</v>
      </c>
      <c r="AP615" s="15" t="s">
        <v>18623</v>
      </c>
      <c r="AQ615" s="15" t="s">
        <v>18624</v>
      </c>
      <c r="AR615" s="15" t="s">
        <v>18625</v>
      </c>
      <c r="AS615" s="15" t="s">
        <v>18626</v>
      </c>
      <c r="BH615" s="15" t="s">
        <v>6930</v>
      </c>
      <c r="BI615" s="15" t="str">
        <f>"2899"</f>
        <v>2899</v>
      </c>
      <c r="BJ615" s="15" t="str">
        <f>"1220"</f>
        <v>1220</v>
      </c>
      <c r="BK615" s="15" t="s">
        <v>742</v>
      </c>
      <c r="BL615" s="15" t="str">
        <f t="shared" si="1805"/>
        <v>2</v>
      </c>
      <c r="BM615" s="15" t="s">
        <v>6917</v>
      </c>
      <c r="BN615" s="15" t="str">
        <f>"91.93"</f>
        <v>91.93</v>
      </c>
      <c r="BO615" s="15" t="str">
        <f>"15.55"</f>
        <v>15.55</v>
      </c>
      <c r="BP615" s="15" t="str">
        <f>"52.56"</f>
        <v>52.56</v>
      </c>
      <c r="BQ615" s="15" t="str">
        <f>"190.7"</f>
        <v>190.7</v>
      </c>
      <c r="BR615" s="15" t="s">
        <v>6921</v>
      </c>
      <c r="BS615" s="15" t="str">
        <f>"85.83"</f>
        <v>85.83</v>
      </c>
      <c r="BT615" s="15" t="str">
        <f>"12.4"</f>
        <v>12.4</v>
      </c>
      <c r="BU615" s="15" t="str">
        <f>"17.72"</f>
        <v>17.72</v>
      </c>
      <c r="BV615" s="15" t="str">
        <f>"137.79"</f>
        <v>137.79</v>
      </c>
      <c r="CG615" s="15" t="str">
        <f>"54.38"</f>
        <v>54.38</v>
      </c>
      <c r="CH615" s="15" t="str">
        <f>"1.54"</f>
        <v>1.54</v>
      </c>
      <c r="CI615" s="15" t="s">
        <v>465</v>
      </c>
      <c r="CY615" s="15" t="s">
        <v>934</v>
      </c>
      <c r="CZ615" s="15" t="s">
        <v>419</v>
      </c>
      <c r="DA615" s="15">
        <v>0.0</v>
      </c>
      <c r="DB615" s="15" t="s">
        <v>419</v>
      </c>
      <c r="DD615" s="15">
        <v>0.0</v>
      </c>
      <c r="DF615" s="15" t="s">
        <v>3952</v>
      </c>
      <c r="DG615" s="15" t="s">
        <v>419</v>
      </c>
      <c r="DI615" s="15">
        <v>0.0</v>
      </c>
      <c r="DJ615" s="15">
        <v>0.0</v>
      </c>
      <c r="DK615" s="15">
        <v>0.0</v>
      </c>
      <c r="DL615" s="15">
        <v>15000.0</v>
      </c>
      <c r="DS615" s="15" t="s">
        <v>6924</v>
      </c>
      <c r="DU615" s="15" t="s">
        <v>858</v>
      </c>
      <c r="EO615" s="15" t="s">
        <v>1239</v>
      </c>
      <c r="EV615" s="15">
        <v>0.0</v>
      </c>
      <c r="HY615" s="15" t="s">
        <v>6925</v>
      </c>
      <c r="HZ615" s="15" t="s">
        <v>2505</v>
      </c>
      <c r="IA615" s="15" t="s">
        <v>6938</v>
      </c>
      <c r="IB615" s="15" t="s">
        <v>6927</v>
      </c>
      <c r="IC615" s="15" t="s">
        <v>1430</v>
      </c>
      <c r="ID615" s="15" t="s">
        <v>1120</v>
      </c>
      <c r="IE615" s="15" t="s">
        <v>2971</v>
      </c>
      <c r="IF615" s="15" t="s">
        <v>1957</v>
      </c>
      <c r="IG615" s="15" t="s">
        <v>869</v>
      </c>
      <c r="IH615" s="15" t="s">
        <v>6925</v>
      </c>
      <c r="II615" s="15" t="s">
        <v>6929</v>
      </c>
      <c r="IJ615" s="15" t="s">
        <v>1042</v>
      </c>
      <c r="IK615" s="15" t="s">
        <v>426</v>
      </c>
      <c r="IL615" s="15" t="s">
        <v>2471</v>
      </c>
      <c r="IM615" s="15" t="s">
        <v>2604</v>
      </c>
      <c r="IN615" s="15" t="s">
        <v>873</v>
      </c>
      <c r="IO615" s="15" t="s">
        <v>828</v>
      </c>
      <c r="IU615" s="15" t="s">
        <v>2505</v>
      </c>
      <c r="IV615" s="15" t="s">
        <v>531</v>
      </c>
      <c r="IX615" s="15" t="s">
        <v>426</v>
      </c>
      <c r="IY615" s="15" t="s">
        <v>2474</v>
      </c>
      <c r="JB615" s="15" t="s">
        <v>3960</v>
      </c>
      <c r="JC615" s="15" t="s">
        <v>3971</v>
      </c>
    </row>
    <row r="616" ht="17.25" customHeight="1">
      <c r="A616" s="15" t="s">
        <v>6941</v>
      </c>
      <c r="B616" s="15" t="str">
        <f>"198394076180"</f>
        <v>198394076180</v>
      </c>
      <c r="C616" s="15" t="s">
        <v>18627</v>
      </c>
      <c r="D616" s="15" t="str">
        <f t="shared" si="1"/>
        <v>Maeve Upholstered BedLaken TaupeQueen</v>
      </c>
      <c r="E616" s="15" t="s">
        <v>6939</v>
      </c>
      <c r="F616" s="15" t="s">
        <v>397</v>
      </c>
      <c r="G616" s="15" t="s">
        <v>6910</v>
      </c>
      <c r="H616" s="15" t="s">
        <v>265</v>
      </c>
      <c r="I616" s="15" t="s">
        <v>877</v>
      </c>
      <c r="J616" s="15" t="s">
        <v>6910</v>
      </c>
      <c r="K616" s="15" t="s">
        <v>6520</v>
      </c>
      <c r="M616" s="15" t="s">
        <v>1030</v>
      </c>
      <c r="N616" s="15" t="s">
        <v>839</v>
      </c>
      <c r="O616" s="15" t="s">
        <v>877</v>
      </c>
      <c r="P616" s="15" t="str">
        <f>"70.5"</f>
        <v>70.5</v>
      </c>
      <c r="Q616" s="15" t="str">
        <f t="shared" ref="Q616:Q617" si="1806">"88.5"</f>
        <v>88.5</v>
      </c>
      <c r="R616" s="15" t="str">
        <f t="shared" si="1804"/>
        <v>48.5</v>
      </c>
      <c r="S616" s="15" t="str">
        <f>"233.69"</f>
        <v>233.69</v>
      </c>
      <c r="T616" s="15" t="s">
        <v>6914</v>
      </c>
      <c r="U616" s="15" t="s">
        <v>12298</v>
      </c>
      <c r="V616" s="15" t="s">
        <v>18611</v>
      </c>
      <c r="W616" s="15" t="s">
        <v>10881</v>
      </c>
      <c r="AA616" s="15" t="s">
        <v>413</v>
      </c>
      <c r="AB616" s="15" t="s">
        <v>413</v>
      </c>
      <c r="AC616" s="15" t="s">
        <v>6944</v>
      </c>
      <c r="AD616" s="15" t="s">
        <v>18628</v>
      </c>
      <c r="AE616" s="15" t="s">
        <v>6943</v>
      </c>
      <c r="AF616" s="15" t="s">
        <v>18629</v>
      </c>
      <c r="AG616" s="15" t="s">
        <v>18630</v>
      </c>
      <c r="AH616" s="15" t="s">
        <v>18631</v>
      </c>
      <c r="AI616" s="15" t="s">
        <v>18632</v>
      </c>
      <c r="AJ616" s="15" t="s">
        <v>18633</v>
      </c>
      <c r="AK616" s="15" t="s">
        <v>18634</v>
      </c>
      <c r="AL616" s="15" t="s">
        <v>18635</v>
      </c>
      <c r="AM616" s="15" t="s">
        <v>18636</v>
      </c>
      <c r="AN616" s="15" t="s">
        <v>18637</v>
      </c>
      <c r="AO616" s="15" t="s">
        <v>18638</v>
      </c>
      <c r="BH616" s="15" t="s">
        <v>6940</v>
      </c>
      <c r="BI616" s="15" t="str">
        <f>"2399"</f>
        <v>2399</v>
      </c>
      <c r="BJ616" s="15" t="str">
        <f>"1010"</f>
        <v>1010</v>
      </c>
      <c r="BK616" s="15" t="s">
        <v>742</v>
      </c>
      <c r="BL616" s="15" t="str">
        <f t="shared" si="1805"/>
        <v>2</v>
      </c>
      <c r="BM616" s="15" t="s">
        <v>2966</v>
      </c>
      <c r="BN616" s="15" t="str">
        <f>"86.42"</f>
        <v>86.42</v>
      </c>
      <c r="BO616" s="15" t="str">
        <f>"12.4"</f>
        <v>12.4</v>
      </c>
      <c r="BP616" s="15" t="str">
        <f>"17.72"</f>
        <v>17.72</v>
      </c>
      <c r="BQ616" s="15" t="str">
        <f>"127.87"</f>
        <v>127.87</v>
      </c>
      <c r="BR616" s="15" t="s">
        <v>6946</v>
      </c>
      <c r="BS616" s="15" t="str">
        <f>"76.57"</f>
        <v>76.57</v>
      </c>
      <c r="BT616" s="15" t="str">
        <f>"16.54"</f>
        <v>16.54</v>
      </c>
      <c r="BU616" s="15" t="str">
        <f>"51.97"</f>
        <v>51.97</v>
      </c>
      <c r="BV616" s="15" t="str">
        <f>"145.51"</f>
        <v>145.51</v>
      </c>
      <c r="CG616" s="15" t="str">
        <f>"49.05"</f>
        <v>49.05</v>
      </c>
      <c r="CH616" s="15" t="str">
        <f>"1.389"</f>
        <v>1.389</v>
      </c>
      <c r="CI616" s="15" t="s">
        <v>465</v>
      </c>
      <c r="CY616" s="15" t="s">
        <v>934</v>
      </c>
      <c r="CZ616" s="15" t="s">
        <v>419</v>
      </c>
      <c r="DA616" s="15">
        <v>0.0</v>
      </c>
      <c r="DB616" s="15" t="s">
        <v>419</v>
      </c>
      <c r="DD616" s="15">
        <v>0.0</v>
      </c>
      <c r="DF616" s="15" t="s">
        <v>3952</v>
      </c>
      <c r="DG616" s="15" t="s">
        <v>419</v>
      </c>
      <c r="DI616" s="15">
        <v>0.0</v>
      </c>
      <c r="DJ616" s="15">
        <v>0.0</v>
      </c>
      <c r="DK616" s="15">
        <v>0.0</v>
      </c>
      <c r="DL616" s="15">
        <v>15000.0</v>
      </c>
      <c r="DS616" s="15" t="s">
        <v>6924</v>
      </c>
      <c r="DU616" s="15" t="s">
        <v>858</v>
      </c>
      <c r="EO616" s="15" t="s">
        <v>1239</v>
      </c>
      <c r="EV616" s="15">
        <v>0.0</v>
      </c>
      <c r="HY616" s="15" t="s">
        <v>6701</v>
      </c>
      <c r="HZ616" s="15" t="s">
        <v>6947</v>
      </c>
      <c r="IA616" s="15" t="s">
        <v>3691</v>
      </c>
      <c r="IB616" s="15" t="s">
        <v>6927</v>
      </c>
      <c r="IC616" s="15" t="s">
        <v>1459</v>
      </c>
      <c r="ID616" s="15" t="s">
        <v>6928</v>
      </c>
      <c r="IE616" s="15" t="s">
        <v>2971</v>
      </c>
      <c r="IF616" s="15" t="s">
        <v>4376</v>
      </c>
      <c r="IG616" s="15" t="s">
        <v>890</v>
      </c>
      <c r="IH616" s="15" t="s">
        <v>6701</v>
      </c>
      <c r="II616" s="15" t="s">
        <v>6929</v>
      </c>
      <c r="IJ616" s="15" t="s">
        <v>6948</v>
      </c>
      <c r="IK616" s="15" t="s">
        <v>426</v>
      </c>
      <c r="IL616" s="15" t="s">
        <v>2471</v>
      </c>
      <c r="IM616" s="15" t="s">
        <v>872</v>
      </c>
      <c r="IN616" s="15" t="s">
        <v>873</v>
      </c>
      <c r="IO616" s="15" t="s">
        <v>877</v>
      </c>
      <c r="IU616" s="15" t="s">
        <v>2505</v>
      </c>
      <c r="IX616" s="15" t="s">
        <v>426</v>
      </c>
      <c r="IY616" s="15" t="s">
        <v>2474</v>
      </c>
      <c r="JB616" s="15" t="s">
        <v>3960</v>
      </c>
      <c r="JC616" s="15" t="s">
        <v>3961</v>
      </c>
    </row>
    <row r="617" ht="17.25" customHeight="1">
      <c r="A617" s="15" t="s">
        <v>6949</v>
      </c>
      <c r="B617" s="15" t="str">
        <f>"198394076173"</f>
        <v>198394076173</v>
      </c>
      <c r="C617" s="15" t="s">
        <v>18627</v>
      </c>
      <c r="D617" s="15" t="str">
        <f t="shared" si="1"/>
        <v>Maeve Upholstered BedLaken TaupeKing</v>
      </c>
      <c r="E617" s="15" t="s">
        <v>6939</v>
      </c>
      <c r="F617" s="15" t="s">
        <v>397</v>
      </c>
      <c r="G617" s="15" t="s">
        <v>6910</v>
      </c>
      <c r="H617" s="15" t="s">
        <v>265</v>
      </c>
      <c r="I617" s="15" t="s">
        <v>828</v>
      </c>
      <c r="J617" s="15" t="s">
        <v>6910</v>
      </c>
      <c r="K617" s="15" t="s">
        <v>6520</v>
      </c>
      <c r="M617" s="15" t="s">
        <v>1030</v>
      </c>
      <c r="N617" s="15" t="s">
        <v>839</v>
      </c>
      <c r="O617" s="15" t="s">
        <v>828</v>
      </c>
      <c r="P617" s="15" t="str">
        <f>"86.5"</f>
        <v>86.5</v>
      </c>
      <c r="Q617" s="15" t="str">
        <f t="shared" si="1806"/>
        <v>88.5</v>
      </c>
      <c r="R617" s="15" t="str">
        <f t="shared" si="1804"/>
        <v>48.5</v>
      </c>
      <c r="S617" s="15" t="str">
        <f>"255.73"</f>
        <v>255.73</v>
      </c>
      <c r="T617" s="15" t="s">
        <v>6914</v>
      </c>
      <c r="U617" s="15" t="s">
        <v>12298</v>
      </c>
      <c r="V617" s="15" t="s">
        <v>18611</v>
      </c>
      <c r="W617" s="15" t="s">
        <v>10881</v>
      </c>
      <c r="AA617" s="15" t="s">
        <v>413</v>
      </c>
      <c r="AB617" s="15" t="s">
        <v>413</v>
      </c>
      <c r="AC617" s="15" t="s">
        <v>6944</v>
      </c>
      <c r="AD617" s="15" t="s">
        <v>18628</v>
      </c>
      <c r="AE617" s="15" t="s">
        <v>6943</v>
      </c>
      <c r="AF617" s="15" t="s">
        <v>18629</v>
      </c>
      <c r="AG617" s="15" t="s">
        <v>18630</v>
      </c>
      <c r="AH617" s="15" t="s">
        <v>18631</v>
      </c>
      <c r="AI617" s="15" t="s">
        <v>18632</v>
      </c>
      <c r="AJ617" s="15" t="s">
        <v>18633</v>
      </c>
      <c r="AK617" s="15" t="s">
        <v>18634</v>
      </c>
      <c r="AL617" s="15" t="s">
        <v>18635</v>
      </c>
      <c r="AM617" s="15" t="s">
        <v>18636</v>
      </c>
      <c r="AN617" s="15" t="s">
        <v>18637</v>
      </c>
      <c r="AO617" s="15" t="s">
        <v>18638</v>
      </c>
      <c r="BH617" s="15" t="s">
        <v>6940</v>
      </c>
      <c r="BI617" s="15" t="str">
        <f>"2699"</f>
        <v>2699</v>
      </c>
      <c r="BJ617" s="15" t="str">
        <f>"1135"</f>
        <v>1135</v>
      </c>
      <c r="BK617" s="15" t="s">
        <v>742</v>
      </c>
      <c r="BL617" s="15" t="str">
        <f t="shared" si="1805"/>
        <v>2</v>
      </c>
      <c r="BM617" s="15" t="s">
        <v>2966</v>
      </c>
      <c r="BN617" s="15" t="str">
        <f>"88.39"</f>
        <v>88.39</v>
      </c>
      <c r="BO617" s="15" t="str">
        <f>"12.6"</f>
        <v>12.6</v>
      </c>
      <c r="BP617" s="15" t="str">
        <f>"17.91"</f>
        <v>17.91</v>
      </c>
      <c r="BQ617" s="15" t="str">
        <f>"136.69"</f>
        <v>136.69</v>
      </c>
      <c r="BR617" s="15" t="s">
        <v>6946</v>
      </c>
      <c r="BS617" s="15" t="str">
        <f>"91.93"</f>
        <v>91.93</v>
      </c>
      <c r="BT617" s="15" t="str">
        <f>"15.55"</f>
        <v>15.55</v>
      </c>
      <c r="BU617" s="15" t="str">
        <f>"52.56"</f>
        <v>52.56</v>
      </c>
      <c r="BV617" s="15" t="str">
        <f>"170.86"</f>
        <v>170.86</v>
      </c>
      <c r="CG617" s="15" t="str">
        <f>"55.02"</f>
        <v>55.02</v>
      </c>
      <c r="CH617" s="15" t="str">
        <f>"1.558"</f>
        <v>1.558</v>
      </c>
      <c r="CI617" s="15" t="s">
        <v>465</v>
      </c>
      <c r="CY617" s="15" t="s">
        <v>934</v>
      </c>
      <c r="CZ617" s="15" t="s">
        <v>419</v>
      </c>
      <c r="DA617" s="15">
        <v>0.0</v>
      </c>
      <c r="DB617" s="15" t="s">
        <v>419</v>
      </c>
      <c r="DD617" s="15">
        <v>0.0</v>
      </c>
      <c r="DF617" s="15" t="s">
        <v>3952</v>
      </c>
      <c r="DG617" s="15" t="s">
        <v>419</v>
      </c>
      <c r="DI617" s="15">
        <v>0.0</v>
      </c>
      <c r="DJ617" s="15">
        <v>0.0</v>
      </c>
      <c r="DK617" s="15">
        <v>0.0</v>
      </c>
      <c r="DL617" s="15">
        <v>15000.0</v>
      </c>
      <c r="DS617" s="15" t="s">
        <v>6924</v>
      </c>
      <c r="DU617" s="15" t="s">
        <v>858</v>
      </c>
      <c r="EO617" s="15" t="s">
        <v>1239</v>
      </c>
      <c r="EV617" s="15">
        <v>0.0</v>
      </c>
      <c r="HY617" s="15" t="s">
        <v>6701</v>
      </c>
      <c r="HZ617" s="15" t="s">
        <v>6947</v>
      </c>
      <c r="IA617" s="15" t="s">
        <v>6952</v>
      </c>
      <c r="IB617" s="15" t="s">
        <v>6927</v>
      </c>
      <c r="IC617" s="15" t="s">
        <v>1459</v>
      </c>
      <c r="ID617" s="15" t="s">
        <v>1120</v>
      </c>
      <c r="IE617" s="15" t="s">
        <v>2971</v>
      </c>
      <c r="IF617" s="15" t="s">
        <v>4376</v>
      </c>
      <c r="IG617" s="15" t="s">
        <v>869</v>
      </c>
      <c r="IH617" s="15" t="s">
        <v>6701</v>
      </c>
      <c r="II617" s="15" t="s">
        <v>6929</v>
      </c>
      <c r="IJ617" s="15" t="s">
        <v>6948</v>
      </c>
      <c r="IK617" s="15" t="s">
        <v>426</v>
      </c>
      <c r="IL617" s="15" t="s">
        <v>2471</v>
      </c>
      <c r="IM617" s="15" t="s">
        <v>872</v>
      </c>
      <c r="IN617" s="15" t="s">
        <v>873</v>
      </c>
      <c r="IO617" s="15" t="s">
        <v>828</v>
      </c>
      <c r="IU617" s="15" t="s">
        <v>2505</v>
      </c>
      <c r="IX617" s="15" t="s">
        <v>426</v>
      </c>
      <c r="IY617" s="15" t="s">
        <v>2474</v>
      </c>
      <c r="JB617" s="15" t="s">
        <v>3960</v>
      </c>
      <c r="JC617" s="15" t="s">
        <v>3971</v>
      </c>
    </row>
    <row r="618" ht="17.25" customHeight="1">
      <c r="A618" s="15" t="s">
        <v>6956</v>
      </c>
      <c r="B618" s="15" t="str">
        <f>"198394057783"</f>
        <v>198394057783</v>
      </c>
      <c r="C618" s="15" t="s">
        <v>18639</v>
      </c>
      <c r="D618" s="15" t="str">
        <f t="shared" si="1"/>
        <v>Maggie 6 Drawer DresserAged Smoked Oak Resawn</v>
      </c>
      <c r="E618" s="15" t="s">
        <v>6953</v>
      </c>
      <c r="F618" s="15" t="s">
        <v>397</v>
      </c>
      <c r="G618" s="15" t="s">
        <v>6955</v>
      </c>
      <c r="J618" s="15" t="s">
        <v>6955</v>
      </c>
      <c r="M618" s="15" t="s">
        <v>2063</v>
      </c>
      <c r="N618" s="15" t="s">
        <v>412</v>
      </c>
      <c r="P618" s="15" t="str">
        <f t="shared" ref="P618:P619" si="1807">"77"</f>
        <v>77</v>
      </c>
      <c r="Q618" s="15" t="str">
        <f t="shared" ref="Q618:Q619" si="1808">"22.75"</f>
        <v>22.75</v>
      </c>
      <c r="R618" s="15" t="str">
        <f t="shared" ref="R618:R619" si="1809">"36.75"</f>
        <v>36.75</v>
      </c>
      <c r="S618" s="15" t="str">
        <f t="shared" ref="S618:S619" si="1810">"261.248"</f>
        <v>261.248</v>
      </c>
      <c r="T618" s="15" t="s">
        <v>6959</v>
      </c>
      <c r="U618" s="15" t="s">
        <v>14167</v>
      </c>
      <c r="V618" s="15" t="s">
        <v>11338</v>
      </c>
      <c r="AA618" s="15" t="s">
        <v>413</v>
      </c>
      <c r="AB618" s="15" t="s">
        <v>413</v>
      </c>
      <c r="AC618" s="15" t="s">
        <v>6962</v>
      </c>
      <c r="AD618" s="15" t="s">
        <v>18640</v>
      </c>
      <c r="AE618" s="15" t="s">
        <v>6958</v>
      </c>
      <c r="AF618" s="15" t="s">
        <v>18641</v>
      </c>
      <c r="AG618" s="15" t="s">
        <v>18642</v>
      </c>
      <c r="AH618" s="15" t="s">
        <v>18643</v>
      </c>
      <c r="AI618" s="15" t="s">
        <v>18644</v>
      </c>
      <c r="AJ618" s="15" t="s">
        <v>18645</v>
      </c>
      <c r="AK618" s="15" t="s">
        <v>18646</v>
      </c>
      <c r="AL618" s="15" t="s">
        <v>18647</v>
      </c>
      <c r="AM618" s="15" t="s">
        <v>18648</v>
      </c>
      <c r="AN618" s="15" t="s">
        <v>18649</v>
      </c>
      <c r="AO618" s="15" t="s">
        <v>18650</v>
      </c>
      <c r="AP618" s="15" t="s">
        <v>18651</v>
      </c>
      <c r="AQ618" s="15" t="s">
        <v>18652</v>
      </c>
      <c r="AR618" s="15" t="s">
        <v>18653</v>
      </c>
      <c r="AS618" s="15" t="s">
        <v>11476</v>
      </c>
      <c r="BH618" s="15" t="s">
        <v>6954</v>
      </c>
      <c r="BI618" s="15" t="str">
        <f t="shared" ref="BI618:BI619" si="1811">"2499"</f>
        <v>2499</v>
      </c>
      <c r="BJ618" s="15" t="str">
        <f t="shared" ref="BJ618:BJ619" si="1812">"1050"</f>
        <v>1050</v>
      </c>
      <c r="BK618" s="15" t="s">
        <v>742</v>
      </c>
      <c r="BL618" s="15" t="str">
        <f t="shared" ref="BL618:BL621" si="1813">"1"</f>
        <v>1</v>
      </c>
      <c r="BM618" s="15" t="s">
        <v>416</v>
      </c>
      <c r="BN618" s="15" t="str">
        <f t="shared" ref="BN618:BN619" si="1814">"82.87"</f>
        <v>82.87</v>
      </c>
      <c r="BO618" s="15" t="str">
        <f t="shared" ref="BO618:BO619" si="1815">"28.54"</f>
        <v>28.54</v>
      </c>
      <c r="BP618" s="15" t="str">
        <f t="shared" ref="BP618:BP619" si="1816">"43.11"</f>
        <v>43.11</v>
      </c>
      <c r="BQ618" s="15" t="str">
        <f t="shared" ref="BQ618:BQ619" si="1817">"335.1"</f>
        <v>335.1</v>
      </c>
      <c r="CG618" s="15" t="str">
        <f t="shared" ref="CG618:CG619" si="1818">"59.01"</f>
        <v>59.01</v>
      </c>
      <c r="CH618" s="15" t="str">
        <f t="shared" ref="CH618:CH619" si="1819">"1.671"</f>
        <v>1.671</v>
      </c>
      <c r="CI618" s="15" t="s">
        <v>497</v>
      </c>
      <c r="CZ618" s="15" t="s">
        <v>418</v>
      </c>
      <c r="DA618" s="15">
        <v>6.0</v>
      </c>
      <c r="DB618" s="15" t="s">
        <v>419</v>
      </c>
      <c r="DD618" s="15">
        <v>0.0</v>
      </c>
      <c r="DF618" s="15" t="s">
        <v>420</v>
      </c>
      <c r="DG618" s="15" t="s">
        <v>421</v>
      </c>
      <c r="DK618" s="15">
        <v>0.0</v>
      </c>
      <c r="DR618" s="15" t="s">
        <v>422</v>
      </c>
      <c r="DS618" s="15" t="s">
        <v>6964</v>
      </c>
      <c r="DU618" s="15" t="s">
        <v>424</v>
      </c>
      <c r="EF618" s="15" t="s">
        <v>1950</v>
      </c>
      <c r="EU618" s="15" t="s">
        <v>426</v>
      </c>
      <c r="EV618" s="15">
        <v>0.0</v>
      </c>
      <c r="FQ618" s="15">
        <v>0.0</v>
      </c>
      <c r="FR618" s="15" t="s">
        <v>427</v>
      </c>
      <c r="FX618" s="15" t="s">
        <v>426</v>
      </c>
      <c r="FZ618" s="15" t="s">
        <v>2143</v>
      </c>
      <c r="GA618" s="15" t="s">
        <v>2143</v>
      </c>
      <c r="GB618" s="15" t="s">
        <v>6965</v>
      </c>
      <c r="GC618" s="15" t="s">
        <v>6966</v>
      </c>
      <c r="GD618" s="15" t="s">
        <v>6967</v>
      </c>
      <c r="GE618" s="15" t="s">
        <v>6967</v>
      </c>
      <c r="GF618" s="15" t="s">
        <v>431</v>
      </c>
      <c r="GH618" s="15" t="s">
        <v>420</v>
      </c>
    </row>
    <row r="619" ht="17.25" customHeight="1">
      <c r="A619" s="15" t="s">
        <v>6970</v>
      </c>
      <c r="B619" s="15" t="str">
        <f>"801542328719"</f>
        <v>801542328719</v>
      </c>
      <c r="C619" s="15" t="s">
        <v>18654</v>
      </c>
      <c r="D619" s="15" t="str">
        <f t="shared" si="1"/>
        <v>Maggie 6 Drawer DresserSmoked Black Oak Veneer</v>
      </c>
      <c r="E619" s="15" t="s">
        <v>6953</v>
      </c>
      <c r="F619" s="15" t="s">
        <v>397</v>
      </c>
      <c r="G619" s="15" t="s">
        <v>6969</v>
      </c>
      <c r="J619" s="15" t="s">
        <v>6969</v>
      </c>
      <c r="M619" s="15" t="s">
        <v>2063</v>
      </c>
      <c r="N619" s="15" t="s">
        <v>412</v>
      </c>
      <c r="P619" s="15" t="str">
        <f t="shared" si="1807"/>
        <v>77</v>
      </c>
      <c r="Q619" s="15" t="str">
        <f t="shared" si="1808"/>
        <v>22.75</v>
      </c>
      <c r="R619" s="15" t="str">
        <f t="shared" si="1809"/>
        <v>36.75</v>
      </c>
      <c r="S619" s="15" t="str">
        <f t="shared" si="1810"/>
        <v>261.248</v>
      </c>
      <c r="T619" s="15" t="s">
        <v>1025</v>
      </c>
      <c r="U619" s="15" t="s">
        <v>10881</v>
      </c>
      <c r="V619" s="15" t="s">
        <v>11338</v>
      </c>
      <c r="AA619" s="15" t="s">
        <v>413</v>
      </c>
      <c r="AB619" s="15" t="s">
        <v>413</v>
      </c>
      <c r="AC619" s="15" t="s">
        <v>6972</v>
      </c>
      <c r="AD619" s="15" t="s">
        <v>18655</v>
      </c>
      <c r="AE619" s="15" t="s">
        <v>6971</v>
      </c>
      <c r="AF619" s="15" t="s">
        <v>18656</v>
      </c>
      <c r="AG619" s="15" t="s">
        <v>18657</v>
      </c>
      <c r="AH619" s="15" t="s">
        <v>18658</v>
      </c>
      <c r="AI619" s="15" t="s">
        <v>18659</v>
      </c>
      <c r="AJ619" s="15" t="s">
        <v>18660</v>
      </c>
      <c r="AK619" s="15" t="s">
        <v>18661</v>
      </c>
      <c r="AL619" s="15" t="s">
        <v>18662</v>
      </c>
      <c r="AM619" s="15" t="s">
        <v>18663</v>
      </c>
      <c r="AN619" s="15" t="s">
        <v>18664</v>
      </c>
      <c r="AO619" s="15" t="s">
        <v>18665</v>
      </c>
      <c r="AP619" s="15" t="s">
        <v>18666</v>
      </c>
      <c r="AQ619" s="15" t="s">
        <v>18667</v>
      </c>
      <c r="AR619" s="15" t="s">
        <v>18668</v>
      </c>
      <c r="AS619" s="15" t="s">
        <v>18669</v>
      </c>
      <c r="BH619" s="15" t="s">
        <v>6968</v>
      </c>
      <c r="BI619" s="15" t="str">
        <f t="shared" si="1811"/>
        <v>2499</v>
      </c>
      <c r="BJ619" s="15" t="str">
        <f t="shared" si="1812"/>
        <v>1050</v>
      </c>
      <c r="BK619" s="15" t="s">
        <v>742</v>
      </c>
      <c r="BL619" s="15" t="str">
        <f t="shared" si="1813"/>
        <v>1</v>
      </c>
      <c r="BM619" s="15" t="s">
        <v>416</v>
      </c>
      <c r="BN619" s="15" t="str">
        <f t="shared" si="1814"/>
        <v>82.87</v>
      </c>
      <c r="BO619" s="15" t="str">
        <f t="shared" si="1815"/>
        <v>28.54</v>
      </c>
      <c r="BP619" s="15" t="str">
        <f t="shared" si="1816"/>
        <v>43.11</v>
      </c>
      <c r="BQ619" s="15" t="str">
        <f t="shared" si="1817"/>
        <v>335.1</v>
      </c>
      <c r="CG619" s="15" t="str">
        <f t="shared" si="1818"/>
        <v>59.01</v>
      </c>
      <c r="CH619" s="15" t="str">
        <f t="shared" si="1819"/>
        <v>1.671</v>
      </c>
      <c r="CI619" s="15" t="s">
        <v>497</v>
      </c>
      <c r="CZ619" s="15" t="s">
        <v>418</v>
      </c>
      <c r="DA619" s="15">
        <v>6.0</v>
      </c>
      <c r="DB619" s="15" t="s">
        <v>419</v>
      </c>
      <c r="DD619" s="15">
        <v>0.0</v>
      </c>
      <c r="DF619" s="15" t="s">
        <v>420</v>
      </c>
      <c r="DG619" s="15" t="s">
        <v>421</v>
      </c>
      <c r="DK619" s="15">
        <v>0.0</v>
      </c>
      <c r="DR619" s="15" t="s">
        <v>422</v>
      </c>
      <c r="DS619" s="15" t="s">
        <v>6964</v>
      </c>
      <c r="DU619" s="15" t="s">
        <v>424</v>
      </c>
      <c r="EF619" s="15" t="s">
        <v>1950</v>
      </c>
      <c r="EU619" s="15" t="s">
        <v>426</v>
      </c>
      <c r="EV619" s="15">
        <v>0.0</v>
      </c>
      <c r="FQ619" s="15">
        <v>0.0</v>
      </c>
      <c r="FR619" s="15" t="s">
        <v>427</v>
      </c>
      <c r="FX619" s="15" t="s">
        <v>426</v>
      </c>
      <c r="FZ619" s="15" t="s">
        <v>2143</v>
      </c>
      <c r="GA619" s="15" t="s">
        <v>2143</v>
      </c>
      <c r="GB619" s="15" t="s">
        <v>6965</v>
      </c>
      <c r="GC619" s="15" t="s">
        <v>6966</v>
      </c>
      <c r="GD619" s="15" t="s">
        <v>6967</v>
      </c>
      <c r="GE619" s="15" t="s">
        <v>6967</v>
      </c>
      <c r="GF619" s="15" t="s">
        <v>431</v>
      </c>
      <c r="GH619" s="15" t="s">
        <v>420</v>
      </c>
    </row>
    <row r="620" ht="17.25" customHeight="1">
      <c r="A620" s="15" t="s">
        <v>6975</v>
      </c>
      <c r="B620" s="15" t="str">
        <f>"198394057790"</f>
        <v>198394057790</v>
      </c>
      <c r="C620" s="15" t="s">
        <v>18670</v>
      </c>
      <c r="D620" s="15" t="str">
        <f t="shared" si="1"/>
        <v>Maggie NightstandAged Smoked Oak Resawn</v>
      </c>
      <c r="E620" s="15" t="s">
        <v>6973</v>
      </c>
      <c r="F620" s="15" t="s">
        <v>397</v>
      </c>
      <c r="G620" s="15" t="s">
        <v>6955</v>
      </c>
      <c r="J620" s="15" t="s">
        <v>6955</v>
      </c>
      <c r="M620" s="15" t="s">
        <v>2063</v>
      </c>
      <c r="N620" s="15" t="s">
        <v>628</v>
      </c>
      <c r="P620" s="15" t="str">
        <f t="shared" ref="P620:P621" si="1820">"30"</f>
        <v>30</v>
      </c>
      <c r="Q620" s="15" t="str">
        <f t="shared" ref="Q620:Q621" si="1821">"16.75"</f>
        <v>16.75</v>
      </c>
      <c r="R620" s="15" t="str">
        <f t="shared" ref="R620:R621" si="1822">"26"</f>
        <v>26</v>
      </c>
      <c r="S620" s="15" t="str">
        <f t="shared" ref="S620:S621" si="1823">"66.14"</f>
        <v>66.14</v>
      </c>
      <c r="T620" s="15" t="s">
        <v>6959</v>
      </c>
      <c r="U620" s="15" t="s">
        <v>14167</v>
      </c>
      <c r="V620" s="15" t="s">
        <v>11338</v>
      </c>
      <c r="AA620" s="15" t="s">
        <v>413</v>
      </c>
      <c r="AB620" s="15" t="s">
        <v>413</v>
      </c>
      <c r="AC620" s="15" t="s">
        <v>6978</v>
      </c>
      <c r="AD620" s="15" t="s">
        <v>18671</v>
      </c>
      <c r="AE620" s="15" t="s">
        <v>6976</v>
      </c>
      <c r="AF620" s="15" t="s">
        <v>18672</v>
      </c>
      <c r="AG620" s="15" t="s">
        <v>18673</v>
      </c>
      <c r="AH620" s="15" t="s">
        <v>18674</v>
      </c>
      <c r="AI620" s="15" t="s">
        <v>18675</v>
      </c>
      <c r="AJ620" s="15" t="s">
        <v>18676</v>
      </c>
      <c r="AK620" s="15" t="s">
        <v>18677</v>
      </c>
      <c r="AL620" s="15" t="s">
        <v>18678</v>
      </c>
      <c r="AM620" s="15" t="s">
        <v>18679</v>
      </c>
      <c r="AN620" s="15" t="s">
        <v>18680</v>
      </c>
      <c r="AO620" s="15" t="s">
        <v>18681</v>
      </c>
      <c r="AP620" s="15" t="s">
        <v>18682</v>
      </c>
      <c r="AQ620" s="15" t="s">
        <v>18683</v>
      </c>
      <c r="AR620" s="15" t="s">
        <v>18684</v>
      </c>
      <c r="BH620" s="15" t="s">
        <v>6974</v>
      </c>
      <c r="BI620" s="15" t="str">
        <f t="shared" ref="BI620:BI621" si="1824">"749"</f>
        <v>749</v>
      </c>
      <c r="BJ620" s="15" t="str">
        <f t="shared" ref="BJ620:BJ621" si="1825">"315"</f>
        <v>315</v>
      </c>
      <c r="BK620" s="15" t="s">
        <v>742</v>
      </c>
      <c r="BL620" s="15" t="str">
        <f t="shared" si="1813"/>
        <v>1</v>
      </c>
      <c r="BM620" s="15" t="s">
        <v>416</v>
      </c>
      <c r="BN620" s="15" t="str">
        <f t="shared" ref="BN620:BN621" si="1826">"36.02"</f>
        <v>36.02</v>
      </c>
      <c r="BO620" s="15" t="str">
        <f t="shared" ref="BO620:BO621" si="1827">"22.64"</f>
        <v>22.64</v>
      </c>
      <c r="BP620" s="15" t="str">
        <f t="shared" ref="BP620:BP621" si="1828">"32.28"</f>
        <v>32.28</v>
      </c>
      <c r="BQ620" s="15" t="str">
        <f t="shared" ref="BQ620:BQ621" si="1829">"95.9"</f>
        <v>95.9</v>
      </c>
      <c r="CG620" s="15" t="str">
        <f t="shared" ref="CG620:CG621" si="1830">"15.22"</f>
        <v>15.22</v>
      </c>
      <c r="CH620" s="15" t="str">
        <f t="shared" ref="CH620:CH621" si="1831">"0.431"</f>
        <v>0.431</v>
      </c>
      <c r="CI620" s="15" t="s">
        <v>497</v>
      </c>
      <c r="CZ620" s="15" t="s">
        <v>418</v>
      </c>
      <c r="DA620" s="15">
        <v>2.0</v>
      </c>
      <c r="DB620" s="15" t="s">
        <v>419</v>
      </c>
      <c r="DD620" s="15">
        <v>0.0</v>
      </c>
      <c r="DF620" s="15" t="s">
        <v>420</v>
      </c>
      <c r="DG620" s="15" t="s">
        <v>421</v>
      </c>
      <c r="DK620" s="15">
        <v>0.0</v>
      </c>
      <c r="DR620" s="15" t="s">
        <v>471</v>
      </c>
      <c r="DS620" s="15" t="s">
        <v>6964</v>
      </c>
      <c r="DU620" s="15" t="s">
        <v>500</v>
      </c>
      <c r="EF620" s="15" t="s">
        <v>1950</v>
      </c>
      <c r="EU620" s="15" t="s">
        <v>426</v>
      </c>
      <c r="EV620" s="15">
        <v>0.0</v>
      </c>
      <c r="FQ620" s="15">
        <v>0.0</v>
      </c>
      <c r="FR620" s="15" t="s">
        <v>427</v>
      </c>
      <c r="FX620" s="15" t="s">
        <v>426</v>
      </c>
      <c r="FZ620" s="15" t="s">
        <v>1958</v>
      </c>
      <c r="GB620" s="15" t="s">
        <v>5234</v>
      </c>
      <c r="GD620" s="15" t="s">
        <v>6979</v>
      </c>
      <c r="GF620" s="15" t="s">
        <v>431</v>
      </c>
      <c r="GH620" s="15" t="s">
        <v>420</v>
      </c>
    </row>
    <row r="621" ht="17.25" customHeight="1">
      <c r="A621" s="15" t="s">
        <v>6981</v>
      </c>
      <c r="B621" s="15" t="str">
        <f>"801542328726"</f>
        <v>801542328726</v>
      </c>
      <c r="C621" s="15" t="s">
        <v>18685</v>
      </c>
      <c r="D621" s="15" t="str">
        <f t="shared" si="1"/>
        <v>Maggie NightstandSmoked Black Oak Veneer</v>
      </c>
      <c r="E621" s="15" t="s">
        <v>6973</v>
      </c>
      <c r="F621" s="15" t="s">
        <v>397</v>
      </c>
      <c r="G621" s="15" t="s">
        <v>6969</v>
      </c>
      <c r="J621" s="15" t="s">
        <v>6969</v>
      </c>
      <c r="M621" s="15" t="s">
        <v>2063</v>
      </c>
      <c r="N621" s="15" t="s">
        <v>628</v>
      </c>
      <c r="P621" s="15" t="str">
        <f t="shared" si="1820"/>
        <v>30</v>
      </c>
      <c r="Q621" s="15" t="str">
        <f t="shared" si="1821"/>
        <v>16.75</v>
      </c>
      <c r="R621" s="15" t="str">
        <f t="shared" si="1822"/>
        <v>26</v>
      </c>
      <c r="S621" s="15" t="str">
        <f t="shared" si="1823"/>
        <v>66.14</v>
      </c>
      <c r="T621" s="15" t="s">
        <v>1025</v>
      </c>
      <c r="U621" s="15" t="s">
        <v>10881</v>
      </c>
      <c r="V621" s="15" t="s">
        <v>11338</v>
      </c>
      <c r="AA621" s="15" t="s">
        <v>413</v>
      </c>
      <c r="AB621" s="15" t="s">
        <v>413</v>
      </c>
      <c r="AC621" s="15" t="s">
        <v>6983</v>
      </c>
      <c r="AD621" s="15" t="s">
        <v>18686</v>
      </c>
      <c r="AE621" s="15" t="s">
        <v>6982</v>
      </c>
      <c r="AF621" s="15" t="s">
        <v>18687</v>
      </c>
      <c r="AG621" s="15" t="s">
        <v>18688</v>
      </c>
      <c r="AH621" s="15" t="s">
        <v>18689</v>
      </c>
      <c r="AI621" s="15" t="s">
        <v>18690</v>
      </c>
      <c r="AJ621" s="15" t="s">
        <v>18691</v>
      </c>
      <c r="AK621" s="15" t="s">
        <v>18692</v>
      </c>
      <c r="AL621" s="15" t="s">
        <v>18693</v>
      </c>
      <c r="AM621" s="15" t="s">
        <v>18694</v>
      </c>
      <c r="AN621" s="15" t="s">
        <v>18695</v>
      </c>
      <c r="AO621" s="15" t="s">
        <v>18696</v>
      </c>
      <c r="AP621" s="15" t="s">
        <v>18697</v>
      </c>
      <c r="AQ621" s="15" t="s">
        <v>18698</v>
      </c>
      <c r="AR621" s="15" t="s">
        <v>18699</v>
      </c>
      <c r="AS621" s="15" t="s">
        <v>11164</v>
      </c>
      <c r="BH621" s="15" t="s">
        <v>6980</v>
      </c>
      <c r="BI621" s="15" t="str">
        <f t="shared" si="1824"/>
        <v>749</v>
      </c>
      <c r="BJ621" s="15" t="str">
        <f t="shared" si="1825"/>
        <v>315</v>
      </c>
      <c r="BK621" s="15" t="s">
        <v>742</v>
      </c>
      <c r="BL621" s="15" t="str">
        <f t="shared" si="1813"/>
        <v>1</v>
      </c>
      <c r="BM621" s="15" t="s">
        <v>416</v>
      </c>
      <c r="BN621" s="15" t="str">
        <f t="shared" si="1826"/>
        <v>36.02</v>
      </c>
      <c r="BO621" s="15" t="str">
        <f t="shared" si="1827"/>
        <v>22.64</v>
      </c>
      <c r="BP621" s="15" t="str">
        <f t="shared" si="1828"/>
        <v>32.28</v>
      </c>
      <c r="BQ621" s="15" t="str">
        <f t="shared" si="1829"/>
        <v>95.9</v>
      </c>
      <c r="CG621" s="15" t="str">
        <f t="shared" si="1830"/>
        <v>15.22</v>
      </c>
      <c r="CH621" s="15" t="str">
        <f t="shared" si="1831"/>
        <v>0.431</v>
      </c>
      <c r="CI621" s="15" t="s">
        <v>497</v>
      </c>
      <c r="CZ621" s="15" t="s">
        <v>418</v>
      </c>
      <c r="DA621" s="15">
        <v>2.0</v>
      </c>
      <c r="DB621" s="15" t="s">
        <v>419</v>
      </c>
      <c r="DD621" s="15">
        <v>0.0</v>
      </c>
      <c r="DF621" s="15" t="s">
        <v>420</v>
      </c>
      <c r="DG621" s="15" t="s">
        <v>421</v>
      </c>
      <c r="DK621" s="15">
        <v>0.0</v>
      </c>
      <c r="DR621" s="15" t="s">
        <v>471</v>
      </c>
      <c r="DS621" s="15" t="s">
        <v>6964</v>
      </c>
      <c r="DU621" s="15" t="s">
        <v>500</v>
      </c>
      <c r="EF621" s="15" t="s">
        <v>1950</v>
      </c>
      <c r="EU621" s="15" t="s">
        <v>426</v>
      </c>
      <c r="EV621" s="15">
        <v>0.0</v>
      </c>
      <c r="FQ621" s="15">
        <v>0.0</v>
      </c>
      <c r="FR621" s="15" t="s">
        <v>427</v>
      </c>
      <c r="FX621" s="15" t="s">
        <v>426</v>
      </c>
      <c r="FZ621" s="15" t="s">
        <v>1958</v>
      </c>
      <c r="GB621" s="15" t="s">
        <v>5234</v>
      </c>
      <c r="GD621" s="15" t="s">
        <v>6979</v>
      </c>
      <c r="GF621" s="15" t="s">
        <v>431</v>
      </c>
      <c r="GH621" s="15" t="s">
        <v>420</v>
      </c>
    </row>
    <row r="622" ht="17.25" customHeight="1">
      <c r="A622" s="15" t="s">
        <v>6986</v>
      </c>
      <c r="B622" s="15" t="str">
        <f>"801542644468"</f>
        <v>801542644468</v>
      </c>
      <c r="C622" s="15" t="s">
        <v>18700</v>
      </c>
      <c r="D622" s="15" t="str">
        <f t="shared" si="1"/>
        <v>Malia Dining TableNatural Oak</v>
      </c>
      <c r="E622" s="15" t="s">
        <v>6984</v>
      </c>
      <c r="F622" s="15" t="s">
        <v>397</v>
      </c>
      <c r="G622" s="15" t="s">
        <v>2868</v>
      </c>
      <c r="J622" s="15" t="s">
        <v>2868</v>
      </c>
      <c r="K622" s="15" t="s">
        <v>6990</v>
      </c>
      <c r="M622" s="15" t="s">
        <v>2630</v>
      </c>
      <c r="N622" s="15" t="s">
        <v>548</v>
      </c>
      <c r="O622" s="15" t="s">
        <v>549</v>
      </c>
      <c r="P622" s="15" t="str">
        <f>"94"</f>
        <v>94</v>
      </c>
      <c r="Q622" s="15" t="str">
        <f>"39"</f>
        <v>39</v>
      </c>
      <c r="R622" s="15" t="str">
        <f>"30"</f>
        <v>30</v>
      </c>
      <c r="S622" s="15" t="str">
        <f>"306.22"</f>
        <v>306.22</v>
      </c>
      <c r="T622" s="15" t="s">
        <v>6989</v>
      </c>
      <c r="U622" s="15" t="s">
        <v>11338</v>
      </c>
      <c r="V622" s="15" t="s">
        <v>18701</v>
      </c>
      <c r="AA622" s="15" t="s">
        <v>413</v>
      </c>
      <c r="AB622" s="15" t="s">
        <v>413</v>
      </c>
      <c r="AC622" s="15" t="s">
        <v>6991</v>
      </c>
      <c r="AD622" s="15" t="s">
        <v>18702</v>
      </c>
      <c r="AE622" s="15" t="s">
        <v>6988</v>
      </c>
      <c r="AF622" s="15" t="s">
        <v>18703</v>
      </c>
      <c r="AG622" s="15" t="s">
        <v>18704</v>
      </c>
      <c r="AH622" s="15" t="s">
        <v>18705</v>
      </c>
      <c r="AI622" s="15" t="s">
        <v>18706</v>
      </c>
      <c r="AJ622" s="15" t="s">
        <v>18707</v>
      </c>
      <c r="AK622" s="15" t="s">
        <v>18708</v>
      </c>
      <c r="AL622" s="15" t="s">
        <v>18709</v>
      </c>
      <c r="AM622" s="15" t="s">
        <v>18710</v>
      </c>
      <c r="AN622" s="15" t="s">
        <v>18711</v>
      </c>
      <c r="AO622" s="15" t="s">
        <v>18712</v>
      </c>
      <c r="BH622" s="15" t="s">
        <v>6985</v>
      </c>
      <c r="BI622" s="15" t="str">
        <f>"2399"</f>
        <v>2399</v>
      </c>
      <c r="BJ622" s="15" t="str">
        <f>"1010"</f>
        <v>1010</v>
      </c>
      <c r="BK622" s="15" t="s">
        <v>1303</v>
      </c>
      <c r="BL622" s="15" t="str">
        <f>"2"</f>
        <v>2</v>
      </c>
      <c r="BM622" s="15" t="s">
        <v>1564</v>
      </c>
      <c r="BN622" s="15" t="str">
        <f>"97.5"</f>
        <v>97.5</v>
      </c>
      <c r="BO622" s="15" t="str">
        <f>"5.75"</f>
        <v>5.75</v>
      </c>
      <c r="BP622" s="15" t="str">
        <f>"43.5"</f>
        <v>43.5</v>
      </c>
      <c r="BQ622" s="15" t="str">
        <f>"171.29"</f>
        <v>171.29</v>
      </c>
      <c r="BR622" s="15" t="s">
        <v>2238</v>
      </c>
      <c r="BS622" s="15" t="str">
        <f t="shared" ref="BS622:BT622" si="1832">"27.25"</f>
        <v>27.25</v>
      </c>
      <c r="BT622" s="15" t="str">
        <f t="shared" si="1832"/>
        <v>27.25</v>
      </c>
      <c r="BU622" s="15" t="str">
        <f>"38.5"</f>
        <v>38.5</v>
      </c>
      <c r="BV622" s="15" t="str">
        <f>"145.26"</f>
        <v>145.26</v>
      </c>
      <c r="CG622" s="15" t="str">
        <f>"47.25"</f>
        <v>47.25</v>
      </c>
      <c r="CH622" s="15" t="str">
        <f>"1.338"</f>
        <v>1.338</v>
      </c>
      <c r="CI622" s="15" t="s">
        <v>465</v>
      </c>
      <c r="CZ622" s="15" t="s">
        <v>419</v>
      </c>
      <c r="DA622" s="15">
        <v>0.0</v>
      </c>
      <c r="DB622" s="15" t="s">
        <v>419</v>
      </c>
      <c r="DD622" s="15">
        <v>0.0</v>
      </c>
      <c r="DG622" s="15" t="s">
        <v>419</v>
      </c>
      <c r="DI622" s="15">
        <v>0.0</v>
      </c>
      <c r="DJ622" s="15">
        <v>0.0</v>
      </c>
      <c r="DK622" s="15">
        <v>0.0</v>
      </c>
      <c r="DQ622" s="15">
        <v>10.0</v>
      </c>
      <c r="DR622" s="15" t="s">
        <v>471</v>
      </c>
      <c r="DS622" s="15" t="s">
        <v>6996</v>
      </c>
      <c r="DU622" s="15" t="s">
        <v>424</v>
      </c>
      <c r="EF622" s="15" t="s">
        <v>2571</v>
      </c>
      <c r="EH622" s="15" t="s">
        <v>2385</v>
      </c>
      <c r="EQ622" s="15" t="s">
        <v>504</v>
      </c>
      <c r="ER622" s="15" t="s">
        <v>2571</v>
      </c>
      <c r="ES622" s="15" t="s">
        <v>504</v>
      </c>
      <c r="ET622" s="15" t="s">
        <v>425</v>
      </c>
      <c r="EV622" s="15">
        <v>0.0</v>
      </c>
      <c r="EW622" s="15">
        <v>0.0</v>
      </c>
      <c r="FE622" s="15" t="s">
        <v>2571</v>
      </c>
      <c r="FF622" s="15" t="s">
        <v>1288</v>
      </c>
      <c r="FG622" s="15" t="s">
        <v>3694</v>
      </c>
    </row>
    <row r="623" ht="17.25" customHeight="1">
      <c r="A623" s="15" t="s">
        <v>7000</v>
      </c>
      <c r="B623" s="15" t="str">
        <f>"801542965846"</f>
        <v>801542965846</v>
      </c>
      <c r="C623" s="15" t="s">
        <v>18713</v>
      </c>
      <c r="D623" s="15" t="str">
        <f t="shared" si="1"/>
        <v>Malin Accent BenchNatural Paper Cord</v>
      </c>
      <c r="E623" s="15" t="s">
        <v>6997</v>
      </c>
      <c r="F623" s="15" t="s">
        <v>397</v>
      </c>
      <c r="G623" s="15" t="s">
        <v>6999</v>
      </c>
      <c r="J623" s="15" t="s">
        <v>6999</v>
      </c>
      <c r="K623" s="15" t="s">
        <v>7004</v>
      </c>
      <c r="M623" s="15" t="s">
        <v>2193</v>
      </c>
      <c r="N623" s="15" t="s">
        <v>458</v>
      </c>
      <c r="O623" s="15" t="s">
        <v>459</v>
      </c>
      <c r="P623" s="15" t="str">
        <f>"65.25"</f>
        <v>65.25</v>
      </c>
      <c r="Q623" s="15" t="str">
        <f t="shared" ref="Q623:R623" si="1833">"21.25"</f>
        <v>21.25</v>
      </c>
      <c r="R623" s="15" t="str">
        <f t="shared" si="1833"/>
        <v>21.25</v>
      </c>
      <c r="S623" s="15" t="str">
        <f>"59.97"</f>
        <v>59.97</v>
      </c>
      <c r="T623" s="15" t="s">
        <v>7003</v>
      </c>
      <c r="U623" s="15" t="s">
        <v>12520</v>
      </c>
      <c r="V623" s="15" t="s">
        <v>14318</v>
      </c>
      <c r="AA623" s="15" t="s">
        <v>413</v>
      </c>
      <c r="AB623" s="15" t="s">
        <v>413</v>
      </c>
      <c r="AC623" s="15" t="s">
        <v>7005</v>
      </c>
      <c r="AD623" s="15" t="s">
        <v>18714</v>
      </c>
      <c r="AE623" s="15" t="s">
        <v>7002</v>
      </c>
      <c r="AF623" s="15" t="s">
        <v>18715</v>
      </c>
      <c r="AG623" s="15" t="s">
        <v>18716</v>
      </c>
      <c r="AH623" s="15" t="s">
        <v>18717</v>
      </c>
      <c r="AI623" s="15" t="s">
        <v>18718</v>
      </c>
      <c r="AJ623" s="15" t="s">
        <v>18719</v>
      </c>
      <c r="AK623" s="15" t="s">
        <v>18720</v>
      </c>
      <c r="AL623" s="15" t="s">
        <v>18721</v>
      </c>
      <c r="AM623" s="15" t="s">
        <v>18722</v>
      </c>
      <c r="AN623" s="15" t="s">
        <v>18723</v>
      </c>
      <c r="BH623" s="15" t="s">
        <v>6998</v>
      </c>
      <c r="BI623" s="15" t="str">
        <f>"1199"</f>
        <v>1199</v>
      </c>
      <c r="BJ623" s="15" t="str">
        <f>"505"</f>
        <v>505</v>
      </c>
      <c r="BK623" s="15" t="s">
        <v>709</v>
      </c>
      <c r="BL623" s="15" t="str">
        <f t="shared" ref="BL623:BL628" si="1834">"1"</f>
        <v>1</v>
      </c>
      <c r="BM623" s="15" t="s">
        <v>416</v>
      </c>
      <c r="BN623" s="15" t="str">
        <f>"69.29"</f>
        <v>69.29</v>
      </c>
      <c r="BO623" s="15" t="str">
        <f>"24.8"</f>
        <v>24.8</v>
      </c>
      <c r="BP623" s="15" t="str">
        <f>"25.2"</f>
        <v>25.2</v>
      </c>
      <c r="BQ623" s="15" t="str">
        <f>"84.22"</f>
        <v>84.22</v>
      </c>
      <c r="CG623" s="15" t="str">
        <f>"25.07"</f>
        <v>25.07</v>
      </c>
      <c r="CH623" s="15" t="str">
        <f>"0.71"</f>
        <v>0.71</v>
      </c>
      <c r="CI623" s="15" t="s">
        <v>497</v>
      </c>
      <c r="CS623" s="15" t="s">
        <v>824</v>
      </c>
      <c r="CT623" s="15" t="s">
        <v>2312</v>
      </c>
      <c r="CU623" s="15" t="s">
        <v>4074</v>
      </c>
      <c r="CV623" s="15">
        <v>0.0</v>
      </c>
      <c r="CW623" s="15">
        <v>0.0</v>
      </c>
      <c r="CX623" s="15" t="s">
        <v>469</v>
      </c>
      <c r="CY623" s="15" t="s">
        <v>718</v>
      </c>
      <c r="CZ623" s="15" t="s">
        <v>419</v>
      </c>
      <c r="DA623" s="15">
        <v>0.0</v>
      </c>
      <c r="DB623" s="15" t="s">
        <v>419</v>
      </c>
      <c r="DD623" s="15">
        <v>0.0</v>
      </c>
      <c r="DF623" s="15" t="s">
        <v>1111</v>
      </c>
      <c r="DG623" s="15" t="s">
        <v>419</v>
      </c>
      <c r="DH623" s="15">
        <v>0.0</v>
      </c>
      <c r="DI623" s="15">
        <v>0.0</v>
      </c>
      <c r="DJ623" s="15">
        <v>0.0</v>
      </c>
      <c r="DK623" s="15">
        <v>0.0</v>
      </c>
      <c r="DL623" s="15">
        <v>0.0</v>
      </c>
      <c r="DM623" s="15" t="s">
        <v>470</v>
      </c>
      <c r="DP623" s="15">
        <v>0.0</v>
      </c>
      <c r="DQ623" s="15">
        <v>2.0</v>
      </c>
      <c r="DR623" s="15" t="s">
        <v>471</v>
      </c>
      <c r="DS623" s="15" t="s">
        <v>7006</v>
      </c>
      <c r="DT623" s="15">
        <v>0.0</v>
      </c>
      <c r="DU623" s="15" t="s">
        <v>1545</v>
      </c>
      <c r="EF623" s="15" t="s">
        <v>477</v>
      </c>
      <c r="EG623" s="15" t="s">
        <v>3308</v>
      </c>
      <c r="EH623" s="15" t="s">
        <v>7007</v>
      </c>
      <c r="EU623" s="15" t="s">
        <v>426</v>
      </c>
    </row>
    <row r="624" ht="17.25" customHeight="1">
      <c r="A624" s="15" t="s">
        <v>7011</v>
      </c>
      <c r="B624" s="15" t="str">
        <f>"801542250355"</f>
        <v>801542250355</v>
      </c>
      <c r="C624" s="15" t="s">
        <v>18724</v>
      </c>
      <c r="D624" s="15" t="str">
        <f t="shared" si="1"/>
        <v>Malmo SideboardAged Natural Oak</v>
      </c>
      <c r="E624" s="15" t="s">
        <v>7008</v>
      </c>
      <c r="F624" s="15" t="s">
        <v>397</v>
      </c>
      <c r="G624" s="15" t="s">
        <v>7010</v>
      </c>
      <c r="J624" s="15" t="s">
        <v>7010</v>
      </c>
      <c r="K624" s="15" t="s">
        <v>1021</v>
      </c>
      <c r="M624" s="15" t="s">
        <v>2875</v>
      </c>
      <c r="N624" s="15" t="s">
        <v>664</v>
      </c>
      <c r="P624" s="15" t="str">
        <f>"94"</f>
        <v>94</v>
      </c>
      <c r="Q624" s="15" t="str">
        <f>"19"</f>
        <v>19</v>
      </c>
      <c r="R624" s="15" t="str">
        <f>"33"</f>
        <v>33</v>
      </c>
      <c r="S624" s="15" t="str">
        <f>"218.25"</f>
        <v>218.25</v>
      </c>
      <c r="T624" s="15" t="s">
        <v>1532</v>
      </c>
      <c r="U624" s="15" t="s">
        <v>11338</v>
      </c>
      <c r="V624" s="15" t="s">
        <v>11553</v>
      </c>
      <c r="AA624" s="15" t="s">
        <v>413</v>
      </c>
      <c r="AB624" s="15" t="s">
        <v>413</v>
      </c>
      <c r="AC624" s="15" t="s">
        <v>7014</v>
      </c>
      <c r="AD624" s="15" t="s">
        <v>18725</v>
      </c>
      <c r="AE624" s="15" t="s">
        <v>7013</v>
      </c>
      <c r="AF624" s="15" t="s">
        <v>18726</v>
      </c>
      <c r="AG624" s="15" t="s">
        <v>18727</v>
      </c>
      <c r="AH624" s="15" t="s">
        <v>18728</v>
      </c>
      <c r="AI624" s="15" t="s">
        <v>18729</v>
      </c>
      <c r="AJ624" s="15" t="s">
        <v>18730</v>
      </c>
      <c r="AK624" s="15" t="s">
        <v>18731</v>
      </c>
      <c r="AL624" s="15" t="s">
        <v>18732</v>
      </c>
      <c r="AM624" s="15" t="s">
        <v>18733</v>
      </c>
      <c r="AN624" s="15" t="s">
        <v>18734</v>
      </c>
      <c r="AO624" s="15" t="s">
        <v>18735</v>
      </c>
      <c r="AP624" s="15" t="s">
        <v>18736</v>
      </c>
      <c r="AQ624" s="15" t="s">
        <v>18737</v>
      </c>
      <c r="AR624" s="15" t="s">
        <v>18738</v>
      </c>
      <c r="BH624" s="15" t="s">
        <v>7009</v>
      </c>
      <c r="BI624" s="15" t="str">
        <f>"2999"</f>
        <v>2999</v>
      </c>
      <c r="BJ624" s="15" t="str">
        <f>"1260"</f>
        <v>1260</v>
      </c>
      <c r="BK624" s="15" t="s">
        <v>1303</v>
      </c>
      <c r="BL624" s="15" t="str">
        <f t="shared" si="1834"/>
        <v>1</v>
      </c>
      <c r="BM624" s="15" t="s">
        <v>416</v>
      </c>
      <c r="BN624" s="15" t="str">
        <f>"97"</f>
        <v>97</v>
      </c>
      <c r="BO624" s="15" t="str">
        <f>"23.75"</f>
        <v>23.75</v>
      </c>
      <c r="BP624" s="15" t="str">
        <f>"37"</f>
        <v>37</v>
      </c>
      <c r="BQ624" s="15" t="str">
        <f>"253.53"</f>
        <v>253.53</v>
      </c>
      <c r="CG624" s="15" t="str">
        <f>"49.33"</f>
        <v>49.33</v>
      </c>
      <c r="CH624" s="15" t="str">
        <f>"1.397"</f>
        <v>1.397</v>
      </c>
      <c r="CI624" s="15" t="s">
        <v>417</v>
      </c>
      <c r="CM624" s="15" t="s">
        <v>1065</v>
      </c>
      <c r="CN624" s="15" t="s">
        <v>1253</v>
      </c>
      <c r="CO624" s="15" t="s">
        <v>2929</v>
      </c>
      <c r="CZ624" s="15" t="s">
        <v>419</v>
      </c>
      <c r="DA624" s="15">
        <v>0.0</v>
      </c>
      <c r="DB624" s="15" t="s">
        <v>419</v>
      </c>
      <c r="DD624" s="15">
        <v>0.0</v>
      </c>
      <c r="DF624" s="15" t="s">
        <v>1111</v>
      </c>
      <c r="DG624" s="15" t="s">
        <v>610</v>
      </c>
      <c r="DI624" s="15">
        <v>18.14</v>
      </c>
      <c r="DJ624" s="15">
        <v>40.0</v>
      </c>
      <c r="DK624" s="15">
        <v>2.0</v>
      </c>
      <c r="DS624" s="15" t="s">
        <v>7015</v>
      </c>
      <c r="DU624" s="15" t="s">
        <v>424</v>
      </c>
      <c r="EF624" s="15" t="s">
        <v>1236</v>
      </c>
      <c r="EU624" s="15" t="s">
        <v>426</v>
      </c>
      <c r="EV624" s="15">
        <v>2.0</v>
      </c>
      <c r="FH624" s="15" t="s">
        <v>1253</v>
      </c>
      <c r="FI624" s="15" t="s">
        <v>612</v>
      </c>
      <c r="FJ624" s="15" t="s">
        <v>525</v>
      </c>
      <c r="FK624" s="15" t="s">
        <v>1160</v>
      </c>
      <c r="FL624" s="15" t="s">
        <v>612</v>
      </c>
      <c r="FM624" s="15" t="s">
        <v>2929</v>
      </c>
      <c r="FN624" s="15">
        <v>0.0</v>
      </c>
      <c r="FO624" s="15" t="s">
        <v>426</v>
      </c>
      <c r="FQ624" s="15">
        <v>4.0</v>
      </c>
      <c r="FR624" s="15" t="s">
        <v>614</v>
      </c>
      <c r="FS624" s="15" t="s">
        <v>615</v>
      </c>
      <c r="FT624" s="15">
        <v>0.0</v>
      </c>
      <c r="FU624" s="15" t="s">
        <v>426</v>
      </c>
      <c r="FW624" s="15" t="s">
        <v>616</v>
      </c>
    </row>
    <row r="625" ht="17.25" customHeight="1">
      <c r="A625" s="15" t="s">
        <v>7019</v>
      </c>
      <c r="B625" s="15" t="str">
        <f>"801542034719"</f>
        <v>801542034719</v>
      </c>
      <c r="C625" s="15" t="s">
        <v>18739</v>
      </c>
      <c r="D625" s="15" t="str">
        <f t="shared" si="1"/>
        <v>Malta ChairPiermont Oyster</v>
      </c>
      <c r="E625" s="15" t="s">
        <v>7016</v>
      </c>
      <c r="F625" s="15" t="s">
        <v>397</v>
      </c>
      <c r="G625" s="15" t="s">
        <v>7018</v>
      </c>
      <c r="J625" s="15" t="s">
        <v>7018</v>
      </c>
      <c r="K625" s="15" t="s">
        <v>3819</v>
      </c>
      <c r="M625" s="15" t="s">
        <v>1317</v>
      </c>
      <c r="N625" s="15" t="s">
        <v>706</v>
      </c>
      <c r="O625" s="15" t="s">
        <v>707</v>
      </c>
      <c r="P625" s="15" t="str">
        <f>"30.5"</f>
        <v>30.5</v>
      </c>
      <c r="Q625" s="15" t="str">
        <f>"34.5"</f>
        <v>34.5</v>
      </c>
      <c r="R625" s="15" t="str">
        <f>"29"</f>
        <v>29</v>
      </c>
      <c r="S625" s="15" t="str">
        <f>"48.5"</f>
        <v>48.5</v>
      </c>
      <c r="T625" s="15" t="s">
        <v>7021</v>
      </c>
      <c r="U625" s="15" t="s">
        <v>11209</v>
      </c>
      <c r="V625" s="15" t="s">
        <v>11138</v>
      </c>
      <c r="AA625" s="15" t="s">
        <v>413</v>
      </c>
      <c r="AB625" s="15" t="s">
        <v>426</v>
      </c>
      <c r="AC625" s="15" t="s">
        <v>7022</v>
      </c>
      <c r="AD625" s="15" t="s">
        <v>18740</v>
      </c>
      <c r="AE625" s="15" t="s">
        <v>7020</v>
      </c>
      <c r="AF625" s="15" t="s">
        <v>18741</v>
      </c>
      <c r="AG625" s="15" t="s">
        <v>18742</v>
      </c>
      <c r="AH625" s="15" t="s">
        <v>18743</v>
      </c>
      <c r="AI625" s="15" t="s">
        <v>18744</v>
      </c>
      <c r="AJ625" s="15" t="s">
        <v>18745</v>
      </c>
      <c r="AK625" s="15" t="s">
        <v>18746</v>
      </c>
      <c r="AL625" s="15" t="s">
        <v>18747</v>
      </c>
      <c r="AM625" s="15" t="s">
        <v>18748</v>
      </c>
      <c r="AN625" s="15" t="s">
        <v>18749</v>
      </c>
      <c r="AO625" s="15" t="s">
        <v>18750</v>
      </c>
      <c r="AP625" s="15" t="s">
        <v>18751</v>
      </c>
      <c r="AQ625" s="15" t="s">
        <v>18752</v>
      </c>
      <c r="BH625" s="15" t="s">
        <v>7017</v>
      </c>
      <c r="BI625" s="15" t="str">
        <f>"999"</f>
        <v>999</v>
      </c>
      <c r="BJ625" s="15" t="str">
        <f>"420"</f>
        <v>420</v>
      </c>
      <c r="BK625" s="15" t="s">
        <v>709</v>
      </c>
      <c r="BL625" s="15" t="str">
        <f t="shared" si="1834"/>
        <v>1</v>
      </c>
      <c r="BM625" s="15" t="s">
        <v>7023</v>
      </c>
      <c r="BN625" s="15" t="str">
        <f>"33.07"</f>
        <v>33.07</v>
      </c>
      <c r="BO625" s="15" t="str">
        <f>"36.02"</f>
        <v>36.02</v>
      </c>
      <c r="BP625" s="15" t="str">
        <f>"30.71"</f>
        <v>30.71</v>
      </c>
      <c r="BQ625" s="15" t="str">
        <f>"65.04"</f>
        <v>65.04</v>
      </c>
      <c r="CG625" s="15" t="str">
        <f>"16.85"</f>
        <v>16.85</v>
      </c>
      <c r="CH625" s="15" t="str">
        <f>"0.477"</f>
        <v>0.477</v>
      </c>
      <c r="CI625" s="15" t="s">
        <v>465</v>
      </c>
      <c r="CS625" s="15" t="s">
        <v>525</v>
      </c>
      <c r="CT625" s="15" t="s">
        <v>1804</v>
      </c>
      <c r="CU625" s="15" t="s">
        <v>1240</v>
      </c>
      <c r="CV625" s="15">
        <v>0.0</v>
      </c>
      <c r="CW625" s="15">
        <v>1.0</v>
      </c>
      <c r="CX625" s="15" t="s">
        <v>469</v>
      </c>
      <c r="CY625" s="15" t="s">
        <v>855</v>
      </c>
      <c r="DF625" s="15" t="s">
        <v>1111</v>
      </c>
      <c r="DG625" s="15" t="s">
        <v>419</v>
      </c>
      <c r="DH625" s="15">
        <v>0.0</v>
      </c>
      <c r="DL625" s="15">
        <v>90000.0</v>
      </c>
      <c r="DM625" s="15" t="s">
        <v>990</v>
      </c>
      <c r="DN625" s="15" t="s">
        <v>1016</v>
      </c>
      <c r="DP625" s="15">
        <v>1.0</v>
      </c>
      <c r="DQ625" s="15">
        <v>1.0</v>
      </c>
      <c r="DS625" s="15" t="s">
        <v>7024</v>
      </c>
      <c r="DT625" s="15">
        <v>0.0</v>
      </c>
      <c r="DU625" s="15" t="s">
        <v>726</v>
      </c>
      <c r="EF625" s="15" t="s">
        <v>672</v>
      </c>
      <c r="EG625" s="15" t="s">
        <v>555</v>
      </c>
      <c r="EH625" s="15" t="s">
        <v>505</v>
      </c>
      <c r="EI625" s="15" t="s">
        <v>1593</v>
      </c>
      <c r="EL625" s="15" t="s">
        <v>1016</v>
      </c>
      <c r="EO625" s="15" t="s">
        <v>1255</v>
      </c>
      <c r="EZ625" s="15">
        <v>0.0</v>
      </c>
      <c r="FA625" s="15">
        <v>0.0</v>
      </c>
      <c r="FC625" s="15">
        <v>0.0</v>
      </c>
    </row>
    <row r="626" ht="17.25" customHeight="1">
      <c r="A626" s="15" t="s">
        <v>7027</v>
      </c>
      <c r="B626" s="15" t="str">
        <f>"801542964825"</f>
        <v>801542964825</v>
      </c>
      <c r="C626" s="15" t="s">
        <v>18753</v>
      </c>
      <c r="D626" s="15" t="str">
        <f t="shared" si="1"/>
        <v>Marcel Sofa-102"Laken Taupe</v>
      </c>
      <c r="E626" s="15" t="s">
        <v>7025</v>
      </c>
      <c r="F626" s="15" t="s">
        <v>397</v>
      </c>
      <c r="G626" s="15" t="s">
        <v>6910</v>
      </c>
      <c r="J626" s="15" t="s">
        <v>6910</v>
      </c>
      <c r="M626" s="15" t="s">
        <v>2108</v>
      </c>
      <c r="N626" s="15" t="s">
        <v>1732</v>
      </c>
      <c r="P626" s="15" t="str">
        <f>"102"</f>
        <v>102</v>
      </c>
      <c r="Q626" s="15" t="str">
        <f>"45"</f>
        <v>45</v>
      </c>
      <c r="R626" s="15" t="str">
        <f t="shared" ref="R626:R627" si="1835">"30"</f>
        <v>30</v>
      </c>
      <c r="S626" s="15" t="str">
        <f>"191.8"</f>
        <v>191.8</v>
      </c>
      <c r="T626" s="15" t="s">
        <v>7030</v>
      </c>
      <c r="U626" s="15" t="s">
        <v>12298</v>
      </c>
      <c r="V626" s="15" t="s">
        <v>18611</v>
      </c>
      <c r="AA626" s="15" t="s">
        <v>413</v>
      </c>
      <c r="AB626" s="15" t="s">
        <v>413</v>
      </c>
      <c r="AC626" s="15" t="s">
        <v>7033</v>
      </c>
      <c r="AD626" s="15" t="s">
        <v>18754</v>
      </c>
      <c r="AE626" s="15" t="s">
        <v>7029</v>
      </c>
      <c r="AF626" s="15" t="s">
        <v>18755</v>
      </c>
      <c r="AG626" s="15" t="s">
        <v>18756</v>
      </c>
      <c r="AH626" s="15" t="s">
        <v>18757</v>
      </c>
      <c r="AI626" s="15" t="s">
        <v>18758</v>
      </c>
      <c r="AJ626" s="15" t="s">
        <v>18759</v>
      </c>
      <c r="AK626" s="15" t="s">
        <v>18760</v>
      </c>
      <c r="AL626" s="15" t="s">
        <v>18761</v>
      </c>
      <c r="AM626" s="15" t="s">
        <v>18762</v>
      </c>
      <c r="AN626" s="15" t="s">
        <v>18763</v>
      </c>
      <c r="AO626" s="15" t="s">
        <v>18764</v>
      </c>
      <c r="AP626" s="15" t="s">
        <v>18765</v>
      </c>
      <c r="AQ626" s="15" t="s">
        <v>18766</v>
      </c>
      <c r="AR626" s="15" t="s">
        <v>18767</v>
      </c>
      <c r="AS626" s="15" t="s">
        <v>18768</v>
      </c>
      <c r="AT626" s="15" t="s">
        <v>18769</v>
      </c>
      <c r="BH626" s="15" t="s">
        <v>7026</v>
      </c>
      <c r="BI626" s="15" t="str">
        <f>"3099"</f>
        <v>3099</v>
      </c>
      <c r="BJ626" s="15" t="str">
        <f>"1305"</f>
        <v>1305</v>
      </c>
      <c r="BK626" s="15" t="s">
        <v>415</v>
      </c>
      <c r="BL626" s="15" t="str">
        <f t="shared" si="1834"/>
        <v>1</v>
      </c>
      <c r="BM626" s="15" t="s">
        <v>416</v>
      </c>
      <c r="BN626" s="15" t="str">
        <f>"99.21"</f>
        <v>99.21</v>
      </c>
      <c r="BO626" s="15" t="str">
        <f>"44.09"</f>
        <v>44.09</v>
      </c>
      <c r="BP626" s="15" t="str">
        <f>"27.17"</f>
        <v>27.17</v>
      </c>
      <c r="BQ626" s="15" t="str">
        <f>"207.89"</f>
        <v>207.89</v>
      </c>
      <c r="CG626" s="15" t="str">
        <f>"68.76"</f>
        <v>68.76</v>
      </c>
      <c r="CH626" s="15" t="str">
        <f>"1.947"</f>
        <v>1.947</v>
      </c>
      <c r="CI626" s="15" t="s">
        <v>417</v>
      </c>
      <c r="CP626" s="15" t="s">
        <v>3500</v>
      </c>
      <c r="CQ626" s="15" t="s">
        <v>1576</v>
      </c>
      <c r="CR626" s="15" t="s">
        <v>2399</v>
      </c>
      <c r="CS626" s="15" t="s">
        <v>1064</v>
      </c>
      <c r="CT626" s="15" t="s">
        <v>1065</v>
      </c>
      <c r="CU626" s="15" t="s">
        <v>3204</v>
      </c>
      <c r="CV626" s="15">
        <v>2.0</v>
      </c>
      <c r="CW626" s="15">
        <v>2.0</v>
      </c>
      <c r="CX626" s="15" t="s">
        <v>717</v>
      </c>
      <c r="CY626" s="15" t="s">
        <v>934</v>
      </c>
      <c r="DC626" s="15" t="s">
        <v>7035</v>
      </c>
      <c r="DF626" s="15" t="s">
        <v>721</v>
      </c>
      <c r="DG626" s="15" t="s">
        <v>419</v>
      </c>
      <c r="DH626" s="15">
        <v>0.0</v>
      </c>
      <c r="DL626" s="15">
        <v>15000.0</v>
      </c>
      <c r="DM626" s="15" t="s">
        <v>990</v>
      </c>
      <c r="DN626" s="15" t="s">
        <v>2927</v>
      </c>
      <c r="DO626" s="15" t="s">
        <v>724</v>
      </c>
      <c r="DP626" s="15">
        <v>2.0</v>
      </c>
      <c r="DQ626" s="15">
        <v>5.0</v>
      </c>
      <c r="DS626" s="15" t="s">
        <v>7036</v>
      </c>
      <c r="DT626" s="15">
        <v>0.0</v>
      </c>
      <c r="DU626" s="15" t="s">
        <v>1636</v>
      </c>
      <c r="DV626" s="15" t="s">
        <v>2839</v>
      </c>
      <c r="DW626" s="15" t="s">
        <v>1593</v>
      </c>
      <c r="DX626" s="15" t="s">
        <v>1575</v>
      </c>
      <c r="DY626" s="15" t="s">
        <v>2839</v>
      </c>
      <c r="DZ626" s="15" t="s">
        <v>4339</v>
      </c>
      <c r="EA626" s="15" t="s">
        <v>429</v>
      </c>
      <c r="EB626" s="15" t="s">
        <v>505</v>
      </c>
      <c r="EC626" s="15" t="s">
        <v>995</v>
      </c>
      <c r="ED626" s="15" t="s">
        <v>2434</v>
      </c>
      <c r="EE626" s="15" t="s">
        <v>996</v>
      </c>
      <c r="EF626" s="15" t="s">
        <v>672</v>
      </c>
      <c r="EG626" s="15" t="s">
        <v>558</v>
      </c>
      <c r="EH626" s="15" t="s">
        <v>7037</v>
      </c>
      <c r="EI626" s="15" t="s">
        <v>1996</v>
      </c>
      <c r="EJ626" s="15" t="s">
        <v>1076</v>
      </c>
      <c r="EK626" s="15" t="s">
        <v>426</v>
      </c>
      <c r="EL626" s="15" t="s">
        <v>2927</v>
      </c>
      <c r="EM626" s="15" t="s">
        <v>1076</v>
      </c>
      <c r="EN626" s="15" t="s">
        <v>2117</v>
      </c>
      <c r="EO626" s="15" t="s">
        <v>2118</v>
      </c>
      <c r="EP626" s="15" t="s">
        <v>1239</v>
      </c>
      <c r="FC626" s="15" t="s">
        <v>2436</v>
      </c>
    </row>
    <row r="627" ht="17.25" customHeight="1">
      <c r="A627" s="15" t="s">
        <v>7041</v>
      </c>
      <c r="B627" s="15" t="str">
        <f>"801542805630"</f>
        <v>801542805630</v>
      </c>
      <c r="C627" s="15" t="s">
        <v>18770</v>
      </c>
      <c r="D627" s="15" t="str">
        <f t="shared" si="1"/>
        <v>Marcela DeskNatural Morado Veneer</v>
      </c>
      <c r="E627" s="15" t="s">
        <v>7038</v>
      </c>
      <c r="F627" s="15" t="s">
        <v>397</v>
      </c>
      <c r="G627" s="15" t="s">
        <v>7040</v>
      </c>
      <c r="J627" s="15" t="s">
        <v>7040</v>
      </c>
      <c r="K627" s="15" t="s">
        <v>3149</v>
      </c>
      <c r="M627" s="15" t="s">
        <v>2759</v>
      </c>
      <c r="N627" s="15" t="s">
        <v>2134</v>
      </c>
      <c r="O627" s="15" t="s">
        <v>2135</v>
      </c>
      <c r="P627" s="15" t="str">
        <f>"78.25"</f>
        <v>78.25</v>
      </c>
      <c r="Q627" s="15" t="str">
        <f>"26.5"</f>
        <v>26.5</v>
      </c>
      <c r="R627" s="15" t="str">
        <f t="shared" si="1835"/>
        <v>30</v>
      </c>
      <c r="S627" s="15" t="str">
        <f>"186.51"</f>
        <v>186.51</v>
      </c>
      <c r="T627" s="15" t="s">
        <v>7044</v>
      </c>
      <c r="U627" s="15" t="s">
        <v>18771</v>
      </c>
      <c r="V627" s="15" t="s">
        <v>13535</v>
      </c>
      <c r="AA627" s="15" t="s">
        <v>413</v>
      </c>
      <c r="AB627" s="15" t="s">
        <v>413</v>
      </c>
      <c r="AC627" s="15" t="s">
        <v>7047</v>
      </c>
      <c r="AD627" s="15" t="s">
        <v>18772</v>
      </c>
      <c r="AE627" s="15" t="s">
        <v>7043</v>
      </c>
      <c r="AF627" s="15" t="s">
        <v>18773</v>
      </c>
      <c r="AG627" s="15" t="s">
        <v>18774</v>
      </c>
      <c r="AH627" s="15" t="s">
        <v>18775</v>
      </c>
      <c r="AI627" s="15" t="s">
        <v>18776</v>
      </c>
      <c r="AJ627" s="15" t="s">
        <v>18777</v>
      </c>
      <c r="AK627" s="15" t="s">
        <v>18778</v>
      </c>
      <c r="AL627" s="15" t="s">
        <v>18779</v>
      </c>
      <c r="AM627" s="15" t="s">
        <v>18780</v>
      </c>
      <c r="AN627" s="15" t="s">
        <v>18781</v>
      </c>
      <c r="AO627" s="15" t="s">
        <v>18782</v>
      </c>
      <c r="AP627" s="15" t="s">
        <v>18783</v>
      </c>
      <c r="AQ627" s="15" t="s">
        <v>18784</v>
      </c>
      <c r="AR627" s="15" t="s">
        <v>18785</v>
      </c>
      <c r="AS627" s="15" t="s">
        <v>18786</v>
      </c>
      <c r="BH627" s="15" t="s">
        <v>7039</v>
      </c>
      <c r="BI627" s="15" t="str">
        <f>"3999"</f>
        <v>3999</v>
      </c>
      <c r="BJ627" s="15" t="str">
        <f>"1680"</f>
        <v>1680</v>
      </c>
      <c r="BK627" s="15" t="s">
        <v>742</v>
      </c>
      <c r="BL627" s="15" t="str">
        <f t="shared" si="1834"/>
        <v>1</v>
      </c>
      <c r="BM627" s="15" t="s">
        <v>416</v>
      </c>
      <c r="BN627" s="15" t="str">
        <f>"81.5"</f>
        <v>81.5</v>
      </c>
      <c r="BO627" s="15" t="str">
        <f>"30.12"</f>
        <v>30.12</v>
      </c>
      <c r="BP627" s="15" t="str">
        <f>"38.19"</f>
        <v>38.19</v>
      </c>
      <c r="BQ627" s="15" t="str">
        <f>"253.53"</f>
        <v>253.53</v>
      </c>
      <c r="CG627" s="15" t="str">
        <f>"54.24"</f>
        <v>54.24</v>
      </c>
      <c r="CH627" s="15" t="str">
        <f>"1.536"</f>
        <v>1.536</v>
      </c>
      <c r="CI627" s="15" t="s">
        <v>417</v>
      </c>
      <c r="CZ627" s="15" t="s">
        <v>418</v>
      </c>
      <c r="DA627" s="15">
        <v>4.0</v>
      </c>
      <c r="DB627" s="15" t="s">
        <v>419</v>
      </c>
      <c r="DD627" s="15">
        <v>0.0</v>
      </c>
      <c r="DF627" s="15" t="s">
        <v>721</v>
      </c>
      <c r="DG627" s="15" t="s">
        <v>421</v>
      </c>
      <c r="DK627" s="15">
        <v>0.0</v>
      </c>
      <c r="DR627" s="15" t="s">
        <v>2137</v>
      </c>
      <c r="DS627" s="15" t="s">
        <v>7049</v>
      </c>
      <c r="DU627" s="15" t="s">
        <v>424</v>
      </c>
      <c r="EF627" s="15" t="s">
        <v>7050</v>
      </c>
      <c r="EG627" s="15" t="s">
        <v>1432</v>
      </c>
      <c r="EH627" s="15" t="s">
        <v>4508</v>
      </c>
      <c r="ET627" s="15" t="s">
        <v>1042</v>
      </c>
      <c r="EU627" s="15" t="s">
        <v>426</v>
      </c>
      <c r="EV627" s="15">
        <v>0.0</v>
      </c>
      <c r="FE627" s="15" t="s">
        <v>4164</v>
      </c>
      <c r="FQ627" s="15">
        <v>0.0</v>
      </c>
      <c r="FR627" s="15" t="s">
        <v>427</v>
      </c>
      <c r="FX627" s="15" t="s">
        <v>426</v>
      </c>
      <c r="FZ627" s="15" t="s">
        <v>1935</v>
      </c>
      <c r="GA627" s="15" t="s">
        <v>1935</v>
      </c>
      <c r="GB627" s="15" t="s">
        <v>3911</v>
      </c>
      <c r="GC627" s="15" t="s">
        <v>7051</v>
      </c>
      <c r="GD627" s="15" t="s">
        <v>1488</v>
      </c>
      <c r="GE627" s="15" t="s">
        <v>1488</v>
      </c>
      <c r="GF627" s="15" t="s">
        <v>431</v>
      </c>
      <c r="GH627" s="15" t="s">
        <v>1190</v>
      </c>
      <c r="GM627" s="15">
        <v>0.0</v>
      </c>
      <c r="HP627" s="15" t="s">
        <v>426</v>
      </c>
    </row>
    <row r="628" ht="17.25" customHeight="1">
      <c r="A628" s="15" t="s">
        <v>7055</v>
      </c>
      <c r="B628" s="15" t="str">
        <f>"801542805500"</f>
        <v>801542805500</v>
      </c>
      <c r="C628" s="15" t="s">
        <v>18787</v>
      </c>
      <c r="D628" s="15" t="str">
        <f t="shared" si="1"/>
        <v>Marcia Accent BenchNubuck Cigar</v>
      </c>
      <c r="E628" s="15" t="s">
        <v>7052</v>
      </c>
      <c r="F628" s="15" t="s">
        <v>397</v>
      </c>
      <c r="G628" s="15" t="s">
        <v>7054</v>
      </c>
      <c r="J628" s="15" t="s">
        <v>7054</v>
      </c>
      <c r="K628" s="15" t="s">
        <v>6528</v>
      </c>
      <c r="L628" s="15" t="s">
        <v>3142</v>
      </c>
      <c r="M628" s="15" t="s">
        <v>2759</v>
      </c>
      <c r="N628" s="15" t="s">
        <v>458</v>
      </c>
      <c r="O628" s="15" t="s">
        <v>459</v>
      </c>
      <c r="P628" s="15" t="str">
        <f>"94"</f>
        <v>94</v>
      </c>
      <c r="Q628" s="15" t="str">
        <f>"19.75"</f>
        <v>19.75</v>
      </c>
      <c r="R628" s="15" t="str">
        <f>"18.5"</f>
        <v>18.5</v>
      </c>
      <c r="S628" s="15" t="str">
        <f>"111.11"</f>
        <v>111.11</v>
      </c>
      <c r="T628" s="15" t="s">
        <v>7058</v>
      </c>
      <c r="U628" s="15" t="s">
        <v>11137</v>
      </c>
      <c r="V628" s="15" t="s">
        <v>11338</v>
      </c>
      <c r="W628" s="15" t="s">
        <v>13534</v>
      </c>
      <c r="AA628" s="15" t="s">
        <v>413</v>
      </c>
      <c r="AB628" s="15" t="s">
        <v>413</v>
      </c>
      <c r="AC628" s="15" t="s">
        <v>7059</v>
      </c>
      <c r="AD628" s="15" t="s">
        <v>18788</v>
      </c>
      <c r="AE628" s="15" t="s">
        <v>7057</v>
      </c>
      <c r="AF628" s="15" t="s">
        <v>18789</v>
      </c>
      <c r="AG628" s="15" t="s">
        <v>18790</v>
      </c>
      <c r="AH628" s="15" t="s">
        <v>18791</v>
      </c>
      <c r="AI628" s="15" t="s">
        <v>18792</v>
      </c>
      <c r="AJ628" s="15" t="s">
        <v>18793</v>
      </c>
      <c r="AK628" s="15" t="s">
        <v>18794</v>
      </c>
      <c r="AL628" s="15" t="s">
        <v>18795</v>
      </c>
      <c r="AM628" s="15" t="s">
        <v>18796</v>
      </c>
      <c r="AN628" s="15" t="s">
        <v>18797</v>
      </c>
      <c r="AO628" s="15" t="s">
        <v>18798</v>
      </c>
      <c r="AP628" s="15" t="s">
        <v>18799</v>
      </c>
      <c r="BH628" s="15" t="s">
        <v>7053</v>
      </c>
      <c r="BI628" s="15" t="str">
        <f>"2699"</f>
        <v>2699</v>
      </c>
      <c r="BJ628" s="15" t="str">
        <f>"1135"</f>
        <v>1135</v>
      </c>
      <c r="BK628" s="15" t="s">
        <v>742</v>
      </c>
      <c r="BL628" s="15" t="str">
        <f t="shared" si="1834"/>
        <v>1</v>
      </c>
      <c r="BM628" s="15" t="s">
        <v>416</v>
      </c>
      <c r="BN628" s="15" t="str">
        <f>"99.02"</f>
        <v>99.02</v>
      </c>
      <c r="BO628" s="15" t="str">
        <f>"23.23"</f>
        <v>23.23</v>
      </c>
      <c r="BP628" s="15" t="str">
        <f>"21.46"</f>
        <v>21.46</v>
      </c>
      <c r="BQ628" s="15" t="str">
        <f>"150.8"</f>
        <v>150.8</v>
      </c>
      <c r="CG628" s="15" t="str">
        <f>"28.57"</f>
        <v>28.57</v>
      </c>
      <c r="CH628" s="15" t="str">
        <f>"0.809"</f>
        <v>0.809</v>
      </c>
      <c r="CI628" s="15" t="s">
        <v>465</v>
      </c>
      <c r="CP628" s="15" t="s">
        <v>824</v>
      </c>
      <c r="CQ628" s="15" t="s">
        <v>5482</v>
      </c>
      <c r="CR628" s="15" t="s">
        <v>1120</v>
      </c>
      <c r="CS628" s="15" t="s">
        <v>824</v>
      </c>
      <c r="CT628" s="15" t="s">
        <v>7062</v>
      </c>
      <c r="CU628" s="15" t="s">
        <v>1120</v>
      </c>
      <c r="CV628" s="15">
        <v>0.0</v>
      </c>
      <c r="CW628" s="15">
        <v>0.0</v>
      </c>
      <c r="CX628" s="15" t="s">
        <v>469</v>
      </c>
      <c r="CY628" s="15" t="s">
        <v>718</v>
      </c>
      <c r="CZ628" s="15" t="s">
        <v>419</v>
      </c>
      <c r="DA628" s="15">
        <v>0.0</v>
      </c>
      <c r="DB628" s="15" t="s">
        <v>419</v>
      </c>
      <c r="DD628" s="15">
        <v>0.0</v>
      </c>
      <c r="DF628" s="15" t="s">
        <v>1111</v>
      </c>
      <c r="DG628" s="15" t="s">
        <v>419</v>
      </c>
      <c r="DH628" s="15">
        <v>0.0</v>
      </c>
      <c r="DI628" s="15">
        <v>0.0</v>
      </c>
      <c r="DJ628" s="15">
        <v>0.0</v>
      </c>
      <c r="DK628" s="15">
        <v>0.0</v>
      </c>
      <c r="DL628" s="15">
        <v>0.0</v>
      </c>
      <c r="DM628" s="15" t="s">
        <v>470</v>
      </c>
      <c r="DN628" s="15" t="s">
        <v>2927</v>
      </c>
      <c r="DO628" s="15" t="s">
        <v>3514</v>
      </c>
      <c r="DP628" s="15">
        <v>1.0</v>
      </c>
      <c r="DQ628" s="15">
        <v>4.0</v>
      </c>
      <c r="DR628" s="15" t="s">
        <v>471</v>
      </c>
      <c r="DS628" s="15" t="s">
        <v>7063</v>
      </c>
      <c r="DT628" s="15">
        <v>0.0</v>
      </c>
      <c r="DU628" s="15" t="s">
        <v>588</v>
      </c>
      <c r="EF628" s="15" t="s">
        <v>7064</v>
      </c>
      <c r="EG628" s="15" t="s">
        <v>7065</v>
      </c>
      <c r="EH628" s="15" t="s">
        <v>7066</v>
      </c>
      <c r="EX628" s="15" t="s">
        <v>1120</v>
      </c>
      <c r="EY628" s="15" t="s">
        <v>1120</v>
      </c>
      <c r="FB628" s="15" t="s">
        <v>3362</v>
      </c>
    </row>
    <row r="629" ht="17.25" customHeight="1">
      <c r="A629" s="15" t="s">
        <v>7069</v>
      </c>
      <c r="B629" s="15" t="str">
        <f>"801542805548"</f>
        <v>801542805548</v>
      </c>
      <c r="C629" s="15" t="s">
        <v>18800</v>
      </c>
      <c r="D629" s="15" t="str">
        <f t="shared" si="1"/>
        <v>Marcia Dining Table 120"Natural Reclaimed French Oak</v>
      </c>
      <c r="E629" s="15" t="s">
        <v>7067</v>
      </c>
      <c r="F629" s="15" t="s">
        <v>397</v>
      </c>
      <c r="G629" s="15" t="s">
        <v>3142</v>
      </c>
      <c r="J629" s="15" t="s">
        <v>3142</v>
      </c>
      <c r="M629" s="15" t="s">
        <v>2759</v>
      </c>
      <c r="N629" s="15" t="s">
        <v>548</v>
      </c>
      <c r="O629" s="15" t="s">
        <v>549</v>
      </c>
      <c r="P629" s="15" t="str">
        <f>"120"</f>
        <v>120</v>
      </c>
      <c r="Q629" s="15" t="str">
        <f>"43.25"</f>
        <v>43.25</v>
      </c>
      <c r="R629" s="15" t="str">
        <f>"30.5"</f>
        <v>30.5</v>
      </c>
      <c r="S629" s="15" t="str">
        <f>"304.46"</f>
        <v>304.46</v>
      </c>
      <c r="T629" s="15" t="s">
        <v>6706</v>
      </c>
      <c r="U629" s="15" t="s">
        <v>13534</v>
      </c>
      <c r="AA629" s="15" t="s">
        <v>413</v>
      </c>
      <c r="AB629" s="15" t="s">
        <v>413</v>
      </c>
      <c r="AC629" s="15" t="s">
        <v>7072</v>
      </c>
      <c r="AD629" s="15" t="s">
        <v>18801</v>
      </c>
      <c r="AE629" s="15" t="s">
        <v>7071</v>
      </c>
      <c r="AF629" s="15" t="s">
        <v>18802</v>
      </c>
      <c r="AG629" s="15" t="s">
        <v>18803</v>
      </c>
      <c r="AH629" s="15" t="s">
        <v>18804</v>
      </c>
      <c r="AI629" s="15" t="s">
        <v>18805</v>
      </c>
      <c r="AJ629" s="15" t="s">
        <v>18806</v>
      </c>
      <c r="AK629" s="15" t="s">
        <v>18807</v>
      </c>
      <c r="AL629" s="15" t="s">
        <v>18808</v>
      </c>
      <c r="AM629" s="15" t="s">
        <v>18809</v>
      </c>
      <c r="AN629" s="15" t="s">
        <v>18810</v>
      </c>
      <c r="AO629" s="15" t="s">
        <v>18811</v>
      </c>
      <c r="AP629" s="15" t="s">
        <v>18812</v>
      </c>
      <c r="AQ629" s="15" t="s">
        <v>18813</v>
      </c>
      <c r="AR629" s="15" t="s">
        <v>18814</v>
      </c>
      <c r="AS629" s="15" t="s">
        <v>18815</v>
      </c>
      <c r="AT629" s="15" t="s">
        <v>18816</v>
      </c>
      <c r="AU629" s="15" t="s">
        <v>18817</v>
      </c>
      <c r="BH629" s="15" t="s">
        <v>7068</v>
      </c>
      <c r="BI629" s="15" t="str">
        <f>"4899"</f>
        <v>4899</v>
      </c>
      <c r="BJ629" s="15" t="str">
        <f>"2060"</f>
        <v>2060</v>
      </c>
      <c r="BK629" s="15" t="s">
        <v>742</v>
      </c>
      <c r="BL629" s="15" t="str">
        <f>"2"</f>
        <v>2</v>
      </c>
      <c r="BM629" s="15" t="s">
        <v>1564</v>
      </c>
      <c r="BN629" s="15" t="str">
        <f>"124.21"</f>
        <v>124.21</v>
      </c>
      <c r="BO629" s="15" t="str">
        <f>"6.69"</f>
        <v>6.69</v>
      </c>
      <c r="BP629" s="15" t="str">
        <f>"47.83"</f>
        <v>47.83</v>
      </c>
      <c r="BQ629" s="15" t="str">
        <f>"246.48"</f>
        <v>246.48</v>
      </c>
      <c r="BR629" s="15" t="s">
        <v>5617</v>
      </c>
      <c r="BS629" s="15" t="str">
        <f>"67.32"</f>
        <v>67.32</v>
      </c>
      <c r="BT629" s="15" t="str">
        <f>"10.63"</f>
        <v>10.63</v>
      </c>
      <c r="BU629" s="15" t="str">
        <f>"49.8"</f>
        <v>49.8</v>
      </c>
      <c r="BV629" s="15" t="str">
        <f>"111.77"</f>
        <v>111.77</v>
      </c>
      <c r="CG629" s="15" t="str">
        <f>"43.65"</f>
        <v>43.65</v>
      </c>
      <c r="CH629" s="15" t="str">
        <f>"1.236"</f>
        <v>1.236</v>
      </c>
      <c r="CI629" s="15" t="s">
        <v>497</v>
      </c>
      <c r="CZ629" s="15" t="s">
        <v>419</v>
      </c>
      <c r="DA629" s="15">
        <v>0.0</v>
      </c>
      <c r="DB629" s="15" t="s">
        <v>419</v>
      </c>
      <c r="DD629" s="15">
        <v>0.0</v>
      </c>
      <c r="DF629" s="15" t="s">
        <v>721</v>
      </c>
      <c r="DG629" s="15" t="s">
        <v>419</v>
      </c>
      <c r="DI629" s="15">
        <v>0.0</v>
      </c>
      <c r="DJ629" s="15">
        <v>0.0</v>
      </c>
      <c r="DK629" s="15">
        <v>0.0</v>
      </c>
      <c r="DQ629" s="15">
        <v>12.0</v>
      </c>
      <c r="DR629" s="15" t="s">
        <v>471</v>
      </c>
      <c r="DS629" s="15" t="s">
        <v>7063</v>
      </c>
      <c r="DU629" s="15" t="s">
        <v>424</v>
      </c>
      <c r="EF629" s="15" t="s">
        <v>7078</v>
      </c>
      <c r="EG629" s="15" t="s">
        <v>7079</v>
      </c>
      <c r="EH629" s="15" t="s">
        <v>7080</v>
      </c>
      <c r="EQ629" s="15" t="s">
        <v>6719</v>
      </c>
      <c r="ER629" s="15" t="s">
        <v>7081</v>
      </c>
      <c r="ES629" s="15" t="s">
        <v>7082</v>
      </c>
      <c r="ET629" s="15" t="s">
        <v>7083</v>
      </c>
      <c r="EU629" s="15" t="s">
        <v>426</v>
      </c>
      <c r="EV629" s="15">
        <v>0.0</v>
      </c>
      <c r="EW629" s="15">
        <v>0.0</v>
      </c>
      <c r="FD629" s="15" t="s">
        <v>2162</v>
      </c>
      <c r="FE629" s="15" t="s">
        <v>7084</v>
      </c>
      <c r="FG629" s="15" t="s">
        <v>559</v>
      </c>
    </row>
    <row r="630" ht="17.25" customHeight="1">
      <c r="A630" s="15" t="s">
        <v>7087</v>
      </c>
      <c r="B630" s="15" t="str">
        <f>"801542805562"</f>
        <v>801542805562</v>
      </c>
      <c r="C630" s="15" t="s">
        <v>18818</v>
      </c>
      <c r="D630" s="15" t="str">
        <f t="shared" si="1"/>
        <v>Marcia Large Coffee TableNatural Reclaimed French Oak</v>
      </c>
      <c r="E630" s="15" t="s">
        <v>7085</v>
      </c>
      <c r="F630" s="15" t="s">
        <v>397</v>
      </c>
      <c r="G630" s="15" t="s">
        <v>3142</v>
      </c>
      <c r="J630" s="15" t="s">
        <v>3142</v>
      </c>
      <c r="M630" s="15" t="s">
        <v>2759</v>
      </c>
      <c r="N630" s="15" t="s">
        <v>491</v>
      </c>
      <c r="P630" s="15" t="str">
        <f>"70.75"</f>
        <v>70.75</v>
      </c>
      <c r="Q630" s="15" t="str">
        <f>"31.5"</f>
        <v>31.5</v>
      </c>
      <c r="R630" s="15" t="str">
        <f>"13.75"</f>
        <v>13.75</v>
      </c>
      <c r="S630" s="15" t="str">
        <f>"99.21"</f>
        <v>99.21</v>
      </c>
      <c r="T630" s="15" t="s">
        <v>6706</v>
      </c>
      <c r="U630" s="15" t="s">
        <v>13534</v>
      </c>
      <c r="AA630" s="15" t="s">
        <v>413</v>
      </c>
      <c r="AB630" s="15" t="s">
        <v>413</v>
      </c>
      <c r="AC630" s="15" t="s">
        <v>7090</v>
      </c>
      <c r="AD630" s="15" t="s">
        <v>18819</v>
      </c>
      <c r="AE630" s="15" t="s">
        <v>7089</v>
      </c>
      <c r="AF630" s="15" t="s">
        <v>18820</v>
      </c>
      <c r="AG630" s="15" t="s">
        <v>18821</v>
      </c>
      <c r="AH630" s="15" t="s">
        <v>18822</v>
      </c>
      <c r="AI630" s="15" t="s">
        <v>18823</v>
      </c>
      <c r="AJ630" s="15" t="s">
        <v>18824</v>
      </c>
      <c r="AK630" s="15" t="s">
        <v>18825</v>
      </c>
      <c r="AL630" s="15" t="s">
        <v>18826</v>
      </c>
      <c r="AM630" s="15" t="s">
        <v>18827</v>
      </c>
      <c r="AN630" s="15" t="s">
        <v>18828</v>
      </c>
      <c r="AO630" s="15" t="s">
        <v>18829</v>
      </c>
      <c r="BH630" s="15" t="s">
        <v>7086</v>
      </c>
      <c r="BI630" s="15" t="str">
        <f>"1999"</f>
        <v>1999</v>
      </c>
      <c r="BJ630" s="15" t="str">
        <f>"840"</f>
        <v>840</v>
      </c>
      <c r="BK630" s="15" t="s">
        <v>742</v>
      </c>
      <c r="BL630" s="15" t="str">
        <f t="shared" ref="BL630:BL631" si="1836">"1"</f>
        <v>1</v>
      </c>
      <c r="BM630" s="15" t="s">
        <v>416</v>
      </c>
      <c r="BN630" s="15" t="str">
        <f>"74.61"</f>
        <v>74.61</v>
      </c>
      <c r="BO630" s="15" t="str">
        <f>"33.46"</f>
        <v>33.46</v>
      </c>
      <c r="BP630" s="15" t="str">
        <f>"16.93"</f>
        <v>16.93</v>
      </c>
      <c r="BQ630" s="15" t="str">
        <f>"134.48"</f>
        <v>134.48</v>
      </c>
      <c r="CG630" s="15" t="str">
        <f>"24.47"</f>
        <v>24.47</v>
      </c>
      <c r="CH630" s="15" t="str">
        <f>"0.693"</f>
        <v>0.693</v>
      </c>
      <c r="CI630" s="15" t="s">
        <v>465</v>
      </c>
      <c r="CZ630" s="15" t="s">
        <v>419</v>
      </c>
      <c r="DA630" s="15">
        <v>0.0</v>
      </c>
      <c r="DB630" s="15" t="s">
        <v>419</v>
      </c>
      <c r="DD630" s="15">
        <v>0.0</v>
      </c>
      <c r="DF630" s="15" t="s">
        <v>721</v>
      </c>
      <c r="DG630" s="15" t="s">
        <v>419</v>
      </c>
      <c r="DK630" s="15">
        <v>0.0</v>
      </c>
      <c r="DR630" s="15" t="s">
        <v>471</v>
      </c>
      <c r="DS630" s="15" t="s">
        <v>7063</v>
      </c>
      <c r="DU630" s="15" t="s">
        <v>424</v>
      </c>
      <c r="EF630" s="15" t="s">
        <v>1254</v>
      </c>
      <c r="EG630" s="15" t="s">
        <v>1041</v>
      </c>
      <c r="EH630" s="15" t="s">
        <v>7092</v>
      </c>
      <c r="EQ630" s="15" t="s">
        <v>759</v>
      </c>
      <c r="ER630" s="15" t="s">
        <v>7093</v>
      </c>
      <c r="ES630" s="15" t="s">
        <v>2498</v>
      </c>
      <c r="ET630" s="15" t="s">
        <v>4469</v>
      </c>
      <c r="EU630" s="15" t="s">
        <v>426</v>
      </c>
      <c r="EV630" s="15">
        <v>0.0</v>
      </c>
      <c r="EW630" s="15">
        <v>0.0</v>
      </c>
    </row>
    <row r="631" ht="17.25" customHeight="1">
      <c r="A631" s="15" t="s">
        <v>7096</v>
      </c>
      <c r="B631" s="15" t="str">
        <f>"801542805586"</f>
        <v>801542805586</v>
      </c>
      <c r="C631" s="15" t="s">
        <v>18830</v>
      </c>
      <c r="D631" s="15" t="str">
        <f t="shared" si="1"/>
        <v>Marcia Square Coffee TableNatural Reclaimed French Oak</v>
      </c>
      <c r="E631" s="15" t="s">
        <v>7094</v>
      </c>
      <c r="F631" s="15" t="s">
        <v>397</v>
      </c>
      <c r="G631" s="15" t="s">
        <v>3142</v>
      </c>
      <c r="J631" s="15" t="s">
        <v>3142</v>
      </c>
      <c r="M631" s="15" t="s">
        <v>2759</v>
      </c>
      <c r="N631" s="15" t="s">
        <v>491</v>
      </c>
      <c r="P631" s="15" t="str">
        <f>"54.25"</f>
        <v>54.25</v>
      </c>
      <c r="Q631" s="15" t="str">
        <f>"50"</f>
        <v>50</v>
      </c>
      <c r="R631" s="15" t="str">
        <f>"14"</f>
        <v>14</v>
      </c>
      <c r="S631" s="15" t="str">
        <f>"112.43"</f>
        <v>112.43</v>
      </c>
      <c r="T631" s="15" t="s">
        <v>6706</v>
      </c>
      <c r="U631" s="15" t="s">
        <v>13534</v>
      </c>
      <c r="AA631" s="15" t="s">
        <v>413</v>
      </c>
      <c r="AB631" s="15" t="s">
        <v>413</v>
      </c>
      <c r="AC631" s="15" t="s">
        <v>7090</v>
      </c>
      <c r="AD631" s="15" t="s">
        <v>18831</v>
      </c>
      <c r="AE631" s="15" t="s">
        <v>7098</v>
      </c>
      <c r="AF631" s="15" t="s">
        <v>18832</v>
      </c>
      <c r="AG631" s="15" t="s">
        <v>18833</v>
      </c>
      <c r="AH631" s="15" t="s">
        <v>18834</v>
      </c>
      <c r="AI631" s="15" t="s">
        <v>18835</v>
      </c>
      <c r="AJ631" s="15" t="s">
        <v>18836</v>
      </c>
      <c r="AK631" s="15" t="s">
        <v>18837</v>
      </c>
      <c r="AL631" s="15" t="s">
        <v>18838</v>
      </c>
      <c r="AM631" s="15" t="s">
        <v>18839</v>
      </c>
      <c r="AN631" s="15" t="s">
        <v>18840</v>
      </c>
      <c r="AO631" s="15" t="s">
        <v>18841</v>
      </c>
      <c r="BH631" s="15" t="s">
        <v>7095</v>
      </c>
      <c r="BI631" s="15" t="str">
        <f>"2099"</f>
        <v>2099</v>
      </c>
      <c r="BJ631" s="15" t="str">
        <f>"885"</f>
        <v>885</v>
      </c>
      <c r="BK631" s="15" t="s">
        <v>742</v>
      </c>
      <c r="BL631" s="15" t="str">
        <f t="shared" si="1836"/>
        <v>1</v>
      </c>
      <c r="BM631" s="15" t="s">
        <v>416</v>
      </c>
      <c r="BN631" s="15" t="str">
        <f>"58.27"</f>
        <v>58.27</v>
      </c>
      <c r="BO631" s="15" t="str">
        <f>"54.33"</f>
        <v>54.33</v>
      </c>
      <c r="BP631" s="15" t="str">
        <f>"17.91"</f>
        <v>17.91</v>
      </c>
      <c r="BQ631" s="15" t="str">
        <f>"158.73"</f>
        <v>158.73</v>
      </c>
      <c r="CG631" s="15" t="str">
        <f>"32.81"</f>
        <v>32.81</v>
      </c>
      <c r="CH631" s="15" t="str">
        <f>"0.929"</f>
        <v>0.929</v>
      </c>
      <c r="CI631" s="15" t="s">
        <v>497</v>
      </c>
      <c r="CZ631" s="15" t="s">
        <v>419</v>
      </c>
      <c r="DA631" s="15">
        <v>0.0</v>
      </c>
      <c r="DB631" s="15" t="s">
        <v>419</v>
      </c>
      <c r="DD631" s="15">
        <v>0.0</v>
      </c>
      <c r="DF631" s="15" t="s">
        <v>721</v>
      </c>
      <c r="DG631" s="15" t="s">
        <v>419</v>
      </c>
      <c r="DK631" s="15">
        <v>0.0</v>
      </c>
      <c r="DR631" s="15" t="s">
        <v>498</v>
      </c>
      <c r="DS631" s="15" t="s">
        <v>7063</v>
      </c>
      <c r="DU631" s="15" t="s">
        <v>500</v>
      </c>
      <c r="EF631" s="15" t="s">
        <v>1547</v>
      </c>
      <c r="EG631" s="15" t="s">
        <v>7101</v>
      </c>
      <c r="EH631" s="15" t="s">
        <v>7102</v>
      </c>
      <c r="EQ631" s="15" t="s">
        <v>7103</v>
      </c>
      <c r="ER631" s="15" t="s">
        <v>1462</v>
      </c>
      <c r="ES631" s="15" t="s">
        <v>4163</v>
      </c>
      <c r="ET631" s="15" t="s">
        <v>4469</v>
      </c>
      <c r="EU631" s="15" t="s">
        <v>426</v>
      </c>
      <c r="EV631" s="15">
        <v>0.0</v>
      </c>
      <c r="EW631" s="15">
        <v>0.0</v>
      </c>
    </row>
    <row r="632" ht="17.25" customHeight="1">
      <c r="A632" s="15" t="s">
        <v>7106</v>
      </c>
      <c r="B632" s="15" t="str">
        <f>"801542805678"</f>
        <v>801542805678</v>
      </c>
      <c r="C632" s="15" t="s">
        <v>18842</v>
      </c>
      <c r="D632" s="15" t="str">
        <f t="shared" si="1"/>
        <v>Marcon Dining TableNatural Reclaimed French Oak</v>
      </c>
      <c r="E632" s="15" t="s">
        <v>7104</v>
      </c>
      <c r="F632" s="15" t="s">
        <v>397</v>
      </c>
      <c r="G632" s="15" t="s">
        <v>3142</v>
      </c>
      <c r="J632" s="15" t="s">
        <v>3142</v>
      </c>
      <c r="K632" s="15" t="s">
        <v>3149</v>
      </c>
      <c r="M632" s="15" t="s">
        <v>2759</v>
      </c>
      <c r="N632" s="15" t="s">
        <v>548</v>
      </c>
      <c r="O632" s="15" t="s">
        <v>549</v>
      </c>
      <c r="P632" s="15" t="str">
        <f>"118"</f>
        <v>118</v>
      </c>
      <c r="Q632" s="15" t="str">
        <f>"47.25"</f>
        <v>47.25</v>
      </c>
      <c r="R632" s="15" t="str">
        <f>"30"</f>
        <v>30</v>
      </c>
      <c r="S632" s="15" t="str">
        <f>"282.63"</f>
        <v>282.63</v>
      </c>
      <c r="T632" s="15" t="s">
        <v>3146</v>
      </c>
      <c r="U632" s="15" t="s">
        <v>13534</v>
      </c>
      <c r="V632" s="15" t="s">
        <v>13535</v>
      </c>
      <c r="AA632" s="15" t="s">
        <v>413</v>
      </c>
      <c r="AB632" s="15" t="s">
        <v>413</v>
      </c>
      <c r="AC632" s="15" t="s">
        <v>7109</v>
      </c>
      <c r="AD632" s="15" t="s">
        <v>18843</v>
      </c>
      <c r="AE632" s="15" t="s">
        <v>7108</v>
      </c>
      <c r="AF632" s="15" t="s">
        <v>18844</v>
      </c>
      <c r="AG632" s="15" t="s">
        <v>18845</v>
      </c>
      <c r="AH632" s="15" t="s">
        <v>18846</v>
      </c>
      <c r="AI632" s="15" t="s">
        <v>18847</v>
      </c>
      <c r="AJ632" s="15" t="s">
        <v>18848</v>
      </c>
      <c r="AK632" s="15" t="s">
        <v>18849</v>
      </c>
      <c r="AL632" s="15" t="s">
        <v>18850</v>
      </c>
      <c r="AM632" s="15" t="s">
        <v>18851</v>
      </c>
      <c r="AN632" s="15" t="s">
        <v>18852</v>
      </c>
      <c r="AO632" s="15" t="s">
        <v>18853</v>
      </c>
      <c r="AP632" s="15" t="s">
        <v>18854</v>
      </c>
      <c r="AQ632" s="15" t="s">
        <v>18855</v>
      </c>
      <c r="AR632" s="15" t="s">
        <v>18856</v>
      </c>
      <c r="BH632" s="15" t="s">
        <v>7105</v>
      </c>
      <c r="BI632" s="15" t="str">
        <f>"4899"</f>
        <v>4899</v>
      </c>
      <c r="BJ632" s="15" t="str">
        <f>"2060"</f>
        <v>2060</v>
      </c>
      <c r="BK632" s="15" t="s">
        <v>742</v>
      </c>
      <c r="BL632" s="15" t="str">
        <f>"2"</f>
        <v>2</v>
      </c>
      <c r="BM632" s="15" t="s">
        <v>7110</v>
      </c>
      <c r="BN632" s="15" t="str">
        <f>"124.21"</f>
        <v>124.21</v>
      </c>
      <c r="BO632" s="15" t="str">
        <f>"4.72"</f>
        <v>4.72</v>
      </c>
      <c r="BP632" s="15" t="str">
        <f>"53.15"</f>
        <v>53.15</v>
      </c>
      <c r="BQ632" s="15" t="str">
        <f>"235.89"</f>
        <v>235.89</v>
      </c>
      <c r="BR632" s="15" t="s">
        <v>7111</v>
      </c>
      <c r="BS632" s="15" t="str">
        <f>"40.75"</f>
        <v>40.75</v>
      </c>
      <c r="BT632" s="15" t="str">
        <f>"30.71"</f>
        <v>30.71</v>
      </c>
      <c r="BU632" s="15" t="str">
        <f>"32.48"</f>
        <v>32.48</v>
      </c>
      <c r="BV632" s="15" t="str">
        <f>"105.82"</f>
        <v>105.82</v>
      </c>
      <c r="CG632" s="15" t="str">
        <f>"41.57"</f>
        <v>41.57</v>
      </c>
      <c r="CH632" s="15" t="str">
        <f>"1.177"</f>
        <v>1.177</v>
      </c>
      <c r="CI632" s="15" t="s">
        <v>497</v>
      </c>
      <c r="CZ632" s="15" t="s">
        <v>419</v>
      </c>
      <c r="DA632" s="15">
        <v>0.0</v>
      </c>
      <c r="DB632" s="15" t="s">
        <v>419</v>
      </c>
      <c r="DD632" s="15">
        <v>0.0</v>
      </c>
      <c r="DF632" s="15" t="s">
        <v>721</v>
      </c>
      <c r="DG632" s="15" t="s">
        <v>419</v>
      </c>
      <c r="DI632" s="15">
        <v>0.0</v>
      </c>
      <c r="DJ632" s="15">
        <v>0.0</v>
      </c>
      <c r="DK632" s="15">
        <v>0.0</v>
      </c>
      <c r="DQ632" s="15">
        <v>10.0</v>
      </c>
      <c r="DR632" s="15" t="s">
        <v>471</v>
      </c>
      <c r="DS632" s="15" t="s">
        <v>7112</v>
      </c>
      <c r="DU632" s="15" t="s">
        <v>424</v>
      </c>
      <c r="EF632" s="15" t="s">
        <v>7113</v>
      </c>
      <c r="EH632" s="15" t="s">
        <v>7114</v>
      </c>
      <c r="EQ632" s="15" t="s">
        <v>3100</v>
      </c>
      <c r="ER632" s="15" t="s">
        <v>7113</v>
      </c>
      <c r="ES632" s="15" t="s">
        <v>1070</v>
      </c>
      <c r="ET632" s="15" t="s">
        <v>7083</v>
      </c>
      <c r="EU632" s="15" t="s">
        <v>426</v>
      </c>
      <c r="EV632" s="15">
        <v>0.0</v>
      </c>
      <c r="EW632" s="15">
        <v>0.0</v>
      </c>
      <c r="FE632" s="15" t="s">
        <v>7113</v>
      </c>
      <c r="FF632" s="15" t="s">
        <v>7115</v>
      </c>
      <c r="FG632" s="15" t="s">
        <v>3694</v>
      </c>
    </row>
    <row r="633" ht="17.25" customHeight="1">
      <c r="A633" s="15" t="s">
        <v>7119</v>
      </c>
      <c r="B633" s="15" t="str">
        <f>"198394022613"</f>
        <v>198394022613</v>
      </c>
      <c r="C633" s="15" t="s">
        <v>18857</v>
      </c>
      <c r="D633" s="15" t="str">
        <f t="shared" si="1"/>
        <v>Margot Swivel ChairAltair Sienna</v>
      </c>
      <c r="E633" s="15" t="s">
        <v>7116</v>
      </c>
      <c r="F633" s="15" t="s">
        <v>397</v>
      </c>
      <c r="G633" s="15" t="s">
        <v>7118</v>
      </c>
      <c r="J633" s="15" t="s">
        <v>7118</v>
      </c>
      <c r="M633" s="15" t="s">
        <v>6315</v>
      </c>
      <c r="N633" s="15" t="s">
        <v>706</v>
      </c>
      <c r="O633" s="15" t="s">
        <v>707</v>
      </c>
      <c r="P633" s="15" t="str">
        <f t="shared" ref="P633:P635" si="1837">"43.5"</f>
        <v>43.5</v>
      </c>
      <c r="Q633" s="15" t="str">
        <f t="shared" ref="Q633:Q635" si="1838">"36.5"</f>
        <v>36.5</v>
      </c>
      <c r="R633" s="15" t="str">
        <f t="shared" ref="R633:R635" si="1839">"30.5"</f>
        <v>30.5</v>
      </c>
      <c r="S633" s="15" t="str">
        <f t="shared" ref="S633:S635" si="1840">"84.88"</f>
        <v>84.88</v>
      </c>
      <c r="T633" s="15" t="s">
        <v>1655</v>
      </c>
      <c r="U633" s="15" t="s">
        <v>11209</v>
      </c>
      <c r="AA633" s="15" t="s">
        <v>413</v>
      </c>
      <c r="AB633" s="15" t="s">
        <v>413</v>
      </c>
      <c r="AC633" s="15" t="s">
        <v>7122</v>
      </c>
      <c r="AD633" s="15" t="s">
        <v>18858</v>
      </c>
      <c r="AE633" s="15" t="s">
        <v>7121</v>
      </c>
      <c r="AF633" s="15" t="s">
        <v>18859</v>
      </c>
      <c r="AG633" s="15" t="s">
        <v>18860</v>
      </c>
      <c r="AH633" s="15" t="s">
        <v>18861</v>
      </c>
      <c r="AI633" s="15" t="s">
        <v>18862</v>
      </c>
      <c r="AJ633" s="15" t="s">
        <v>18863</v>
      </c>
      <c r="AK633" s="15" t="s">
        <v>18864</v>
      </c>
      <c r="AL633" s="15" t="s">
        <v>18865</v>
      </c>
      <c r="AM633" s="15" t="s">
        <v>18866</v>
      </c>
      <c r="AN633" s="15" t="s">
        <v>18867</v>
      </c>
      <c r="AO633" s="15" t="s">
        <v>18868</v>
      </c>
      <c r="AP633" s="15" t="s">
        <v>18869</v>
      </c>
      <c r="BH633" s="15" t="s">
        <v>7117</v>
      </c>
      <c r="BI633" s="15" t="str">
        <f>"1899"</f>
        <v>1899</v>
      </c>
      <c r="BJ633" s="15" t="str">
        <f>"800"</f>
        <v>800</v>
      </c>
      <c r="BK633" s="15" t="s">
        <v>742</v>
      </c>
      <c r="BL633" s="15" t="str">
        <f t="shared" ref="BL633:BL663" si="1841">"1"</f>
        <v>1</v>
      </c>
      <c r="BM633" s="15" t="s">
        <v>416</v>
      </c>
      <c r="BN633" s="15" t="str">
        <f t="shared" ref="BN633:BN635" si="1842">"44.49"</f>
        <v>44.49</v>
      </c>
      <c r="BO633" s="15" t="str">
        <f t="shared" ref="BO633:BO635" si="1843">"37.6"</f>
        <v>37.6</v>
      </c>
      <c r="BP633" s="15" t="str">
        <f t="shared" ref="BP633:BP635" si="1844">"32.68"</f>
        <v>32.68</v>
      </c>
      <c r="BQ633" s="15" t="str">
        <f t="shared" ref="BQ633:BQ635" si="1845">"103.62"</f>
        <v>103.62</v>
      </c>
      <c r="CG633" s="15" t="str">
        <f t="shared" ref="CG633:CG635" si="1846">"31.64"</f>
        <v>31.64</v>
      </c>
      <c r="CH633" s="15" t="str">
        <f t="shared" ref="CH633:CH635" si="1847">"0.896"</f>
        <v>0.896</v>
      </c>
      <c r="CI633" s="15" t="s">
        <v>465</v>
      </c>
      <c r="CS633" s="15" t="s">
        <v>2652</v>
      </c>
      <c r="CT633" s="15" t="s">
        <v>1604</v>
      </c>
      <c r="CV633" s="15">
        <v>0.0</v>
      </c>
      <c r="CW633" s="15">
        <v>1.0</v>
      </c>
      <c r="CX633" s="15" t="s">
        <v>717</v>
      </c>
      <c r="CY633" s="15" t="s">
        <v>934</v>
      </c>
      <c r="DC633" s="15" t="s">
        <v>3844</v>
      </c>
      <c r="DF633" s="15" t="s">
        <v>721</v>
      </c>
      <c r="DG633" s="15" t="s">
        <v>1605</v>
      </c>
      <c r="DH633" s="15">
        <v>0.0</v>
      </c>
      <c r="DL633" s="15">
        <v>50000.0</v>
      </c>
      <c r="DM633" s="15" t="s">
        <v>990</v>
      </c>
      <c r="DN633" s="15" t="s">
        <v>1016</v>
      </c>
      <c r="DP633" s="15">
        <v>1.0</v>
      </c>
      <c r="DQ633" s="15">
        <v>1.0</v>
      </c>
      <c r="DS633" s="15" t="s">
        <v>7123</v>
      </c>
      <c r="DT633" s="15">
        <v>0.0</v>
      </c>
      <c r="DU633" s="15" t="s">
        <v>726</v>
      </c>
      <c r="DV633" s="15" t="s">
        <v>715</v>
      </c>
      <c r="DW633" s="15" t="s">
        <v>2026</v>
      </c>
      <c r="DX633" s="15" t="s">
        <v>5671</v>
      </c>
      <c r="EB633" s="15" t="s">
        <v>993</v>
      </c>
      <c r="EF633" s="15" t="s">
        <v>3800</v>
      </c>
      <c r="EI633" s="15" t="s">
        <v>7093</v>
      </c>
      <c r="EL633" s="15" t="s">
        <v>1016</v>
      </c>
      <c r="EN633" s="15" t="s">
        <v>3844</v>
      </c>
      <c r="EO633" s="15" t="s">
        <v>3844</v>
      </c>
      <c r="EU633" s="15" t="s">
        <v>426</v>
      </c>
      <c r="EX633" s="15" t="s">
        <v>2652</v>
      </c>
      <c r="EY633" s="15" t="s">
        <v>1116</v>
      </c>
      <c r="EZ633" s="15">
        <v>0.0</v>
      </c>
      <c r="FA633" s="15">
        <v>0.0</v>
      </c>
      <c r="FC633" s="15">
        <v>0.0</v>
      </c>
      <c r="HU633" s="15" t="s">
        <v>1610</v>
      </c>
    </row>
    <row r="634" ht="17.25" customHeight="1">
      <c r="A634" s="15" t="s">
        <v>7125</v>
      </c>
      <c r="B634" s="15" t="str">
        <f>"198394022620"</f>
        <v>198394022620</v>
      </c>
      <c r="C634" s="15" t="s">
        <v>18870</v>
      </c>
      <c r="D634" s="15" t="str">
        <f t="shared" si="1"/>
        <v>Margot Swivel ChairIvan Granite</v>
      </c>
      <c r="E634" s="15" t="s">
        <v>7116</v>
      </c>
      <c r="F634" s="15" t="s">
        <v>397</v>
      </c>
      <c r="G634" s="15" t="s">
        <v>2657</v>
      </c>
      <c r="J634" s="15" t="s">
        <v>2657</v>
      </c>
      <c r="M634" s="15" t="s">
        <v>6315</v>
      </c>
      <c r="N634" s="15" t="s">
        <v>706</v>
      </c>
      <c r="O634" s="15" t="s">
        <v>707</v>
      </c>
      <c r="P634" s="15" t="str">
        <f t="shared" si="1837"/>
        <v>43.5</v>
      </c>
      <c r="Q634" s="15" t="str">
        <f t="shared" si="1838"/>
        <v>36.5</v>
      </c>
      <c r="R634" s="15" t="str">
        <f t="shared" si="1839"/>
        <v>30.5</v>
      </c>
      <c r="S634" s="15" t="str">
        <f t="shared" si="1840"/>
        <v>84.88</v>
      </c>
      <c r="T634" s="15" t="s">
        <v>3352</v>
      </c>
      <c r="U634" s="15" t="s">
        <v>12974</v>
      </c>
      <c r="V634" s="15" t="s">
        <v>12975</v>
      </c>
      <c r="W634" s="15" t="s">
        <v>12976</v>
      </c>
      <c r="AA634" s="15" t="s">
        <v>413</v>
      </c>
      <c r="AB634" s="15" t="s">
        <v>413</v>
      </c>
      <c r="AC634" s="15" t="s">
        <v>7127</v>
      </c>
      <c r="AD634" s="15" t="s">
        <v>18871</v>
      </c>
      <c r="AE634" s="15" t="s">
        <v>7126</v>
      </c>
      <c r="AF634" s="15" t="s">
        <v>18872</v>
      </c>
      <c r="AG634" s="15" t="s">
        <v>18873</v>
      </c>
      <c r="AH634" s="15" t="s">
        <v>18874</v>
      </c>
      <c r="AI634" s="15" t="s">
        <v>18875</v>
      </c>
      <c r="AJ634" s="15" t="s">
        <v>18876</v>
      </c>
      <c r="AK634" s="15" t="s">
        <v>18877</v>
      </c>
      <c r="AL634" s="15" t="s">
        <v>18878</v>
      </c>
      <c r="AM634" s="15" t="s">
        <v>18879</v>
      </c>
      <c r="AN634" s="15" t="s">
        <v>18880</v>
      </c>
      <c r="AO634" s="15" t="s">
        <v>18881</v>
      </c>
      <c r="AP634" s="15" t="s">
        <v>18882</v>
      </c>
      <c r="AQ634" s="15" t="s">
        <v>18883</v>
      </c>
      <c r="BH634" s="15" t="s">
        <v>7124</v>
      </c>
      <c r="BI634" s="15" t="str">
        <f>"2199"</f>
        <v>2199</v>
      </c>
      <c r="BJ634" s="15" t="str">
        <f>"925"</f>
        <v>925</v>
      </c>
      <c r="BK634" s="15" t="s">
        <v>742</v>
      </c>
      <c r="BL634" s="15" t="str">
        <f t="shared" si="1841"/>
        <v>1</v>
      </c>
      <c r="BM634" s="15" t="s">
        <v>416</v>
      </c>
      <c r="BN634" s="15" t="str">
        <f t="shared" si="1842"/>
        <v>44.49</v>
      </c>
      <c r="BO634" s="15" t="str">
        <f t="shared" si="1843"/>
        <v>37.6</v>
      </c>
      <c r="BP634" s="15" t="str">
        <f t="shared" si="1844"/>
        <v>32.68</v>
      </c>
      <c r="BQ634" s="15" t="str">
        <f t="shared" si="1845"/>
        <v>103.62</v>
      </c>
      <c r="CG634" s="15" t="str">
        <f t="shared" si="1846"/>
        <v>31.64</v>
      </c>
      <c r="CH634" s="15" t="str">
        <f t="shared" si="1847"/>
        <v>0.896</v>
      </c>
      <c r="CI634" s="15" t="s">
        <v>497</v>
      </c>
      <c r="CS634" s="15" t="s">
        <v>2652</v>
      </c>
      <c r="CT634" s="15" t="s">
        <v>1604</v>
      </c>
      <c r="CV634" s="15">
        <v>0.0</v>
      </c>
      <c r="CW634" s="15">
        <v>1.0</v>
      </c>
      <c r="CX634" s="15" t="s">
        <v>717</v>
      </c>
      <c r="CY634" s="15" t="s">
        <v>934</v>
      </c>
      <c r="DC634" s="15" t="s">
        <v>3844</v>
      </c>
      <c r="DF634" s="15" t="s">
        <v>721</v>
      </c>
      <c r="DG634" s="15" t="s">
        <v>1605</v>
      </c>
      <c r="DH634" s="15">
        <v>0.0</v>
      </c>
      <c r="DL634" s="15">
        <v>50000.0</v>
      </c>
      <c r="DM634" s="15" t="s">
        <v>990</v>
      </c>
      <c r="DN634" s="15" t="s">
        <v>1016</v>
      </c>
      <c r="DP634" s="15">
        <v>1.0</v>
      </c>
      <c r="DQ634" s="15">
        <v>1.0</v>
      </c>
      <c r="DS634" s="15" t="s">
        <v>7123</v>
      </c>
      <c r="DT634" s="15">
        <v>0.0</v>
      </c>
      <c r="DU634" s="15" t="s">
        <v>726</v>
      </c>
      <c r="DV634" s="15" t="s">
        <v>715</v>
      </c>
      <c r="DW634" s="15" t="s">
        <v>2026</v>
      </c>
      <c r="DX634" s="15" t="s">
        <v>5671</v>
      </c>
      <c r="EB634" s="15" t="s">
        <v>993</v>
      </c>
      <c r="EF634" s="15" t="s">
        <v>3800</v>
      </c>
      <c r="EI634" s="15" t="s">
        <v>7093</v>
      </c>
      <c r="EL634" s="15" t="s">
        <v>1016</v>
      </c>
      <c r="EN634" s="15" t="s">
        <v>3844</v>
      </c>
      <c r="EO634" s="15" t="s">
        <v>3844</v>
      </c>
      <c r="EU634" s="15" t="s">
        <v>426</v>
      </c>
      <c r="EX634" s="15" t="s">
        <v>2652</v>
      </c>
      <c r="EY634" s="15" t="s">
        <v>1116</v>
      </c>
      <c r="EZ634" s="15">
        <v>0.0</v>
      </c>
      <c r="FA634" s="15">
        <v>0.0</v>
      </c>
      <c r="FC634" s="15">
        <v>0.0</v>
      </c>
      <c r="HU634" s="15" t="s">
        <v>1610</v>
      </c>
    </row>
    <row r="635" ht="17.25" customHeight="1">
      <c r="A635" s="15" t="s">
        <v>7129</v>
      </c>
      <c r="B635" s="15" t="str">
        <f>"801542255336"</f>
        <v>801542255336</v>
      </c>
      <c r="C635" s="15" t="s">
        <v>18884</v>
      </c>
      <c r="D635" s="15" t="str">
        <f t="shared" si="1"/>
        <v>Margot Swivel ChairSolema Cream</v>
      </c>
      <c r="E635" s="15" t="s">
        <v>7116</v>
      </c>
      <c r="F635" s="15" t="s">
        <v>397</v>
      </c>
      <c r="G635" s="15" t="s">
        <v>1262</v>
      </c>
      <c r="J635" s="15" t="s">
        <v>1262</v>
      </c>
      <c r="M635" s="15" t="s">
        <v>6315</v>
      </c>
      <c r="N635" s="15" t="s">
        <v>706</v>
      </c>
      <c r="O635" s="15" t="s">
        <v>707</v>
      </c>
      <c r="P635" s="15" t="str">
        <f t="shared" si="1837"/>
        <v>43.5</v>
      </c>
      <c r="Q635" s="15" t="str">
        <f t="shared" si="1838"/>
        <v>36.5</v>
      </c>
      <c r="R635" s="15" t="str">
        <f t="shared" si="1839"/>
        <v>30.5</v>
      </c>
      <c r="S635" s="15" t="str">
        <f t="shared" si="1840"/>
        <v>84.88</v>
      </c>
      <c r="T635" s="15" t="s">
        <v>7131</v>
      </c>
      <c r="U635" s="15" t="s">
        <v>11522</v>
      </c>
      <c r="V635" s="15" t="s">
        <v>11523</v>
      </c>
      <c r="W635" s="15" t="s">
        <v>11524</v>
      </c>
      <c r="X635" s="15" t="s">
        <v>11525</v>
      </c>
      <c r="Y635" s="15" t="s">
        <v>11526</v>
      </c>
      <c r="AA635" s="15" t="s">
        <v>413</v>
      </c>
      <c r="AB635" s="15" t="s">
        <v>413</v>
      </c>
      <c r="AC635" s="15" t="s">
        <v>7127</v>
      </c>
      <c r="AD635" s="15" t="s">
        <v>18885</v>
      </c>
      <c r="AE635" s="15" t="s">
        <v>7130</v>
      </c>
      <c r="AF635" s="15" t="s">
        <v>18886</v>
      </c>
      <c r="AG635" s="15" t="s">
        <v>18887</v>
      </c>
      <c r="AH635" s="15" t="s">
        <v>18888</v>
      </c>
      <c r="AI635" s="15" t="s">
        <v>18889</v>
      </c>
      <c r="AJ635" s="15" t="s">
        <v>18890</v>
      </c>
      <c r="AK635" s="15" t="s">
        <v>18891</v>
      </c>
      <c r="AL635" s="15" t="s">
        <v>18892</v>
      </c>
      <c r="AM635" s="15" t="s">
        <v>18893</v>
      </c>
      <c r="AN635" s="15" t="s">
        <v>18894</v>
      </c>
      <c r="AO635" s="15" t="s">
        <v>18895</v>
      </c>
      <c r="AP635" s="15" t="s">
        <v>18896</v>
      </c>
      <c r="AQ635" s="15" t="s">
        <v>18897</v>
      </c>
      <c r="AR635" s="15" t="s">
        <v>18898</v>
      </c>
      <c r="AS635" s="15" t="s">
        <v>18899</v>
      </c>
      <c r="BH635" s="15" t="s">
        <v>7128</v>
      </c>
      <c r="BI635" s="15" t="str">
        <f>"1999"</f>
        <v>1999</v>
      </c>
      <c r="BJ635" s="15" t="str">
        <f>"840"</f>
        <v>840</v>
      </c>
      <c r="BK635" s="15" t="s">
        <v>742</v>
      </c>
      <c r="BL635" s="15" t="str">
        <f t="shared" si="1841"/>
        <v>1</v>
      </c>
      <c r="BM635" s="15" t="s">
        <v>416</v>
      </c>
      <c r="BN635" s="15" t="str">
        <f t="shared" si="1842"/>
        <v>44.49</v>
      </c>
      <c r="BO635" s="15" t="str">
        <f t="shared" si="1843"/>
        <v>37.6</v>
      </c>
      <c r="BP635" s="15" t="str">
        <f t="shared" si="1844"/>
        <v>32.68</v>
      </c>
      <c r="BQ635" s="15" t="str">
        <f t="shared" si="1845"/>
        <v>103.62</v>
      </c>
      <c r="CG635" s="15" t="str">
        <f t="shared" si="1846"/>
        <v>31.64</v>
      </c>
      <c r="CH635" s="15" t="str">
        <f t="shared" si="1847"/>
        <v>0.896</v>
      </c>
      <c r="CI635" s="15" t="s">
        <v>497</v>
      </c>
      <c r="CS635" s="15" t="s">
        <v>2652</v>
      </c>
      <c r="CT635" s="15" t="s">
        <v>1604</v>
      </c>
      <c r="CV635" s="15">
        <v>0.0</v>
      </c>
      <c r="CW635" s="15">
        <v>1.0</v>
      </c>
      <c r="CX635" s="15" t="s">
        <v>717</v>
      </c>
      <c r="CY635" s="15" t="s">
        <v>897</v>
      </c>
      <c r="DC635" s="15" t="s">
        <v>3844</v>
      </c>
      <c r="DF635" s="15" t="s">
        <v>721</v>
      </c>
      <c r="DG635" s="15" t="s">
        <v>1605</v>
      </c>
      <c r="DH635" s="15">
        <v>0.0</v>
      </c>
      <c r="DL635" s="15">
        <v>30000.0</v>
      </c>
      <c r="DM635" s="15" t="s">
        <v>990</v>
      </c>
      <c r="DN635" s="15" t="s">
        <v>1016</v>
      </c>
      <c r="DP635" s="15">
        <v>1.0</v>
      </c>
      <c r="DQ635" s="15">
        <v>1.0</v>
      </c>
      <c r="DS635" s="15" t="s">
        <v>7123</v>
      </c>
      <c r="DT635" s="15">
        <v>0.0</v>
      </c>
      <c r="DU635" s="15" t="s">
        <v>726</v>
      </c>
      <c r="DV635" s="15" t="s">
        <v>715</v>
      </c>
      <c r="DW635" s="15" t="s">
        <v>2026</v>
      </c>
      <c r="DX635" s="15" t="s">
        <v>5671</v>
      </c>
      <c r="EB635" s="15" t="s">
        <v>993</v>
      </c>
      <c r="EF635" s="15" t="s">
        <v>3800</v>
      </c>
      <c r="EI635" s="15" t="s">
        <v>7093</v>
      </c>
      <c r="EL635" s="15" t="s">
        <v>1016</v>
      </c>
      <c r="EN635" s="15" t="s">
        <v>3844</v>
      </c>
      <c r="EO635" s="15" t="s">
        <v>3844</v>
      </c>
      <c r="EU635" s="15" t="s">
        <v>426</v>
      </c>
      <c r="EX635" s="15" t="s">
        <v>2652</v>
      </c>
      <c r="EY635" s="15" t="s">
        <v>1116</v>
      </c>
      <c r="EZ635" s="15">
        <v>0.0</v>
      </c>
      <c r="FA635" s="15">
        <v>0.0</v>
      </c>
      <c r="FC635" s="15">
        <v>0.0</v>
      </c>
      <c r="HU635" s="15" t="s">
        <v>1610</v>
      </c>
    </row>
    <row r="636" ht="17.25" customHeight="1">
      <c r="A636" s="15" t="s">
        <v>7134</v>
      </c>
      <c r="B636" s="15" t="str">
        <f>"801542805685"</f>
        <v>801542805685</v>
      </c>
      <c r="C636" s="15" t="s">
        <v>18900</v>
      </c>
      <c r="D636" s="15" t="str">
        <f t="shared" si="1"/>
        <v>Mariana SideboardNatural Reclaimed French Oak</v>
      </c>
      <c r="E636" s="15" t="s">
        <v>7132</v>
      </c>
      <c r="F636" s="15" t="s">
        <v>397</v>
      </c>
      <c r="G636" s="15" t="s">
        <v>3142</v>
      </c>
      <c r="J636" s="15" t="s">
        <v>3142</v>
      </c>
      <c r="M636" s="15" t="s">
        <v>2759</v>
      </c>
      <c r="N636" s="15" t="s">
        <v>664</v>
      </c>
      <c r="P636" s="15" t="str">
        <f>"94.5"</f>
        <v>94.5</v>
      </c>
      <c r="Q636" s="15" t="str">
        <f>"19.5"</f>
        <v>19.5</v>
      </c>
      <c r="R636" s="15" t="str">
        <f>"29.5"</f>
        <v>29.5</v>
      </c>
      <c r="S636" s="15" t="str">
        <f>"240.3"</f>
        <v>240.3</v>
      </c>
      <c r="T636" s="15" t="s">
        <v>6706</v>
      </c>
      <c r="U636" s="15" t="s">
        <v>13534</v>
      </c>
      <c r="AA636" s="15" t="s">
        <v>413</v>
      </c>
      <c r="AB636" s="15" t="s">
        <v>413</v>
      </c>
      <c r="AC636" s="15" t="s">
        <v>7137</v>
      </c>
      <c r="AD636" s="15" t="s">
        <v>18901</v>
      </c>
      <c r="AE636" s="15" t="s">
        <v>7135</v>
      </c>
      <c r="AF636" s="15" t="s">
        <v>18902</v>
      </c>
      <c r="AG636" s="15" t="s">
        <v>18903</v>
      </c>
      <c r="AH636" s="15" t="s">
        <v>18904</v>
      </c>
      <c r="AI636" s="15" t="s">
        <v>18905</v>
      </c>
      <c r="AJ636" s="15" t="s">
        <v>18906</v>
      </c>
      <c r="AK636" s="15" t="s">
        <v>18907</v>
      </c>
      <c r="AL636" s="15" t="s">
        <v>18908</v>
      </c>
      <c r="AM636" s="15" t="s">
        <v>18909</v>
      </c>
      <c r="AN636" s="15" t="s">
        <v>18910</v>
      </c>
      <c r="AO636" s="15" t="s">
        <v>18911</v>
      </c>
      <c r="AP636" s="15" t="s">
        <v>18912</v>
      </c>
      <c r="AQ636" s="15" t="s">
        <v>18913</v>
      </c>
      <c r="AR636" s="15" t="s">
        <v>18914</v>
      </c>
      <c r="AS636" s="15" t="s">
        <v>18915</v>
      </c>
      <c r="BH636" s="15" t="s">
        <v>7133</v>
      </c>
      <c r="BI636" s="15" t="str">
        <f>"3999"</f>
        <v>3999</v>
      </c>
      <c r="BJ636" s="15" t="str">
        <f>"1680"</f>
        <v>1680</v>
      </c>
      <c r="BK636" s="15" t="s">
        <v>742</v>
      </c>
      <c r="BL636" s="15" t="str">
        <f t="shared" si="1841"/>
        <v>1</v>
      </c>
      <c r="BM636" s="15" t="s">
        <v>416</v>
      </c>
      <c r="BN636" s="15" t="str">
        <f>"97.83"</f>
        <v>97.83</v>
      </c>
      <c r="BO636" s="15" t="str">
        <f>"23.03"</f>
        <v>23.03</v>
      </c>
      <c r="BP636" s="15" t="str">
        <f>"38.98"</f>
        <v>38.98</v>
      </c>
      <c r="BQ636" s="15" t="str">
        <f>"321.87"</f>
        <v>321.87</v>
      </c>
      <c r="CG636" s="15" t="str">
        <f>"50.82"</f>
        <v>50.82</v>
      </c>
      <c r="CH636" s="15" t="str">
        <f>"1.439"</f>
        <v>1.439</v>
      </c>
      <c r="CI636" s="15" t="s">
        <v>417</v>
      </c>
      <c r="CM636" s="15" t="s">
        <v>607</v>
      </c>
      <c r="CN636" s="15" t="s">
        <v>3955</v>
      </c>
      <c r="CO636" s="15" t="s">
        <v>6273</v>
      </c>
      <c r="CZ636" s="15" t="s">
        <v>419</v>
      </c>
      <c r="DA636" s="15">
        <v>0.0</v>
      </c>
      <c r="DB636" s="15" t="s">
        <v>419</v>
      </c>
      <c r="DD636" s="15">
        <v>0.0</v>
      </c>
      <c r="DF636" s="15" t="s">
        <v>420</v>
      </c>
      <c r="DG636" s="15" t="s">
        <v>610</v>
      </c>
      <c r="DI636" s="15">
        <v>18.14</v>
      </c>
      <c r="DJ636" s="15">
        <v>40.0</v>
      </c>
      <c r="DK636" s="15">
        <v>3.0</v>
      </c>
      <c r="DS636" s="15" t="s">
        <v>7140</v>
      </c>
      <c r="DU636" s="15" t="s">
        <v>424</v>
      </c>
      <c r="EF636" s="15" t="s">
        <v>4375</v>
      </c>
      <c r="EU636" s="15" t="s">
        <v>426</v>
      </c>
      <c r="EV636" s="15">
        <v>3.0</v>
      </c>
      <c r="FH636" s="15" t="s">
        <v>984</v>
      </c>
      <c r="FI636" s="15" t="s">
        <v>782</v>
      </c>
      <c r="FJ636" s="15" t="s">
        <v>2220</v>
      </c>
      <c r="FK636" s="15" t="s">
        <v>607</v>
      </c>
      <c r="FL636" s="15" t="s">
        <v>782</v>
      </c>
      <c r="FM636" s="15" t="s">
        <v>6273</v>
      </c>
      <c r="FN636" s="15">
        <v>0.0</v>
      </c>
      <c r="FQ636" s="15">
        <v>4.0</v>
      </c>
      <c r="FR636" s="15" t="s">
        <v>614</v>
      </c>
      <c r="FS636" s="15" t="s">
        <v>1045</v>
      </c>
      <c r="FT636" s="15">
        <v>0.0</v>
      </c>
      <c r="FU636" s="15" t="s">
        <v>426</v>
      </c>
      <c r="FW636" s="15" t="s">
        <v>616</v>
      </c>
      <c r="GJ636" s="15" t="s">
        <v>607</v>
      </c>
      <c r="GK636" s="15" t="s">
        <v>3955</v>
      </c>
      <c r="GL636" s="15" t="s">
        <v>7141</v>
      </c>
      <c r="HF636" s="15" t="s">
        <v>1957</v>
      </c>
      <c r="HM636" s="15" t="s">
        <v>607</v>
      </c>
      <c r="HN636" s="15" t="s">
        <v>782</v>
      </c>
      <c r="HO636" s="15" t="s">
        <v>7141</v>
      </c>
      <c r="HQ636" s="15" t="s">
        <v>426</v>
      </c>
    </row>
    <row r="637" ht="17.25" customHeight="1">
      <c r="A637" s="15" t="s">
        <v>7145</v>
      </c>
      <c r="B637" s="15" t="str">
        <f>"801542101770"</f>
        <v>801542101770</v>
      </c>
      <c r="C637" s="15" t="s">
        <v>18916</v>
      </c>
      <c r="D637" s="15" t="str">
        <f t="shared" si="1"/>
        <v>Markia ChairBrickhouse Dark Brown</v>
      </c>
      <c r="E637" s="15" t="s">
        <v>7142</v>
      </c>
      <c r="F637" s="15" t="s">
        <v>397</v>
      </c>
      <c r="G637" s="15" t="s">
        <v>7144</v>
      </c>
      <c r="J637" s="15" t="s">
        <v>7144</v>
      </c>
      <c r="K637" s="15" t="s">
        <v>7147</v>
      </c>
      <c r="L637" s="15" t="s">
        <v>4336</v>
      </c>
      <c r="M637" s="15" t="s">
        <v>2193</v>
      </c>
      <c r="N637" s="15" t="s">
        <v>706</v>
      </c>
      <c r="O637" s="15" t="s">
        <v>707</v>
      </c>
      <c r="P637" s="15" t="str">
        <f>"29.5"</f>
        <v>29.5</v>
      </c>
      <c r="Q637" s="15" t="str">
        <f>"31.5"</f>
        <v>31.5</v>
      </c>
      <c r="R637" s="15" t="str">
        <f>"32"</f>
        <v>32</v>
      </c>
      <c r="S637" s="15" t="str">
        <f>"39.68"</f>
        <v>39.68</v>
      </c>
      <c r="T637" s="15" t="s">
        <v>697</v>
      </c>
      <c r="U637" s="15" t="s">
        <v>11137</v>
      </c>
      <c r="V637" s="15" t="s">
        <v>11138</v>
      </c>
      <c r="W637" s="15" t="s">
        <v>11139</v>
      </c>
      <c r="AA637" s="15" t="s">
        <v>413</v>
      </c>
      <c r="AB637" s="15" t="s">
        <v>413</v>
      </c>
      <c r="AC637" s="15" t="s">
        <v>7148</v>
      </c>
      <c r="AD637" s="15" t="s">
        <v>18917</v>
      </c>
      <c r="AE637" s="15" t="s">
        <v>7146</v>
      </c>
      <c r="AF637" s="15" t="s">
        <v>18918</v>
      </c>
      <c r="AG637" s="15" t="s">
        <v>18919</v>
      </c>
      <c r="AH637" s="15" t="s">
        <v>18920</v>
      </c>
      <c r="AI637" s="15" t="s">
        <v>18921</v>
      </c>
      <c r="AJ637" s="15" t="s">
        <v>18922</v>
      </c>
      <c r="AK637" s="15" t="s">
        <v>18923</v>
      </c>
      <c r="AL637" s="15" t="s">
        <v>18924</v>
      </c>
      <c r="AM637" s="15" t="s">
        <v>18925</v>
      </c>
      <c r="AN637" s="15" t="s">
        <v>18926</v>
      </c>
      <c r="AO637" s="15" t="s">
        <v>18927</v>
      </c>
      <c r="BH637" s="15" t="s">
        <v>7143</v>
      </c>
      <c r="BI637" s="15" t="str">
        <f>"1749"</f>
        <v>1749</v>
      </c>
      <c r="BJ637" s="15" t="str">
        <f>"735"</f>
        <v>735</v>
      </c>
      <c r="BK637" s="15" t="s">
        <v>709</v>
      </c>
      <c r="BL637" s="15" t="str">
        <f t="shared" si="1841"/>
        <v>1</v>
      </c>
      <c r="BM637" s="15" t="s">
        <v>416</v>
      </c>
      <c r="BN637" s="15" t="str">
        <f>"33.46"</f>
        <v>33.46</v>
      </c>
      <c r="BO637" s="15" t="str">
        <f>"31.5"</f>
        <v>31.5</v>
      </c>
      <c r="BP637" s="15" t="str">
        <f>"33.66"</f>
        <v>33.66</v>
      </c>
      <c r="BQ637" s="15" t="str">
        <f>"55.12"</f>
        <v>55.12</v>
      </c>
      <c r="CG637" s="15" t="str">
        <f>"20.52"</f>
        <v>20.52</v>
      </c>
      <c r="CH637" s="15" t="str">
        <f>"0.581"</f>
        <v>0.581</v>
      </c>
      <c r="CI637" s="15" t="s">
        <v>465</v>
      </c>
      <c r="CS637" s="15" t="s">
        <v>1072</v>
      </c>
      <c r="CT637" s="15" t="s">
        <v>2292</v>
      </c>
      <c r="CU637" s="15" t="s">
        <v>1212</v>
      </c>
      <c r="CV637" s="15">
        <v>0.0</v>
      </c>
      <c r="CW637" s="15">
        <v>0.0</v>
      </c>
      <c r="CX637" s="15" t="s">
        <v>717</v>
      </c>
      <c r="CY637" s="15" t="s">
        <v>718</v>
      </c>
      <c r="DF637" s="15" t="s">
        <v>721</v>
      </c>
      <c r="DG637" s="15" t="s">
        <v>419</v>
      </c>
      <c r="DH637" s="15">
        <v>0.0</v>
      </c>
      <c r="DL637" s="15">
        <v>0.0</v>
      </c>
      <c r="DM637" s="15" t="s">
        <v>722</v>
      </c>
      <c r="DP637" s="15">
        <v>0.0</v>
      </c>
      <c r="DQ637" s="15">
        <v>1.0</v>
      </c>
      <c r="DS637" s="15" t="s">
        <v>7150</v>
      </c>
      <c r="DT637" s="15">
        <v>0.0</v>
      </c>
      <c r="DU637" s="15" t="s">
        <v>726</v>
      </c>
      <c r="DV637" s="15" t="s">
        <v>1211</v>
      </c>
      <c r="DW637" s="15" t="s">
        <v>2899</v>
      </c>
      <c r="DX637" s="15" t="s">
        <v>1700</v>
      </c>
      <c r="EB637" s="15" t="s">
        <v>672</v>
      </c>
      <c r="EF637" s="15" t="s">
        <v>2739</v>
      </c>
      <c r="EG637" s="15" t="s">
        <v>1064</v>
      </c>
      <c r="EH637" s="15" t="s">
        <v>1064</v>
      </c>
      <c r="EI637" s="15" t="s">
        <v>3735</v>
      </c>
      <c r="EO637" s="15" t="s">
        <v>1239</v>
      </c>
      <c r="EZ637" s="15">
        <v>0.0</v>
      </c>
      <c r="FA637" s="15">
        <v>0.0</v>
      </c>
      <c r="FC637" s="15">
        <v>0.0</v>
      </c>
    </row>
    <row r="638" ht="17.25" customHeight="1">
      <c r="A638" s="15" t="s">
        <v>7154</v>
      </c>
      <c r="B638" s="15" t="str">
        <f>"801542101794"</f>
        <v>801542101794</v>
      </c>
      <c r="C638" s="15" t="s">
        <v>18928</v>
      </c>
      <c r="D638" s="15" t="str">
        <f t="shared" si="1"/>
        <v>Markia DeskAged Oak Veneer</v>
      </c>
      <c r="E638" s="15" t="s">
        <v>7151</v>
      </c>
      <c r="F638" s="15" t="s">
        <v>397</v>
      </c>
      <c r="G638" s="15" t="s">
        <v>7153</v>
      </c>
      <c r="J638" s="15" t="s">
        <v>7153</v>
      </c>
      <c r="M638" s="15" t="s">
        <v>1896</v>
      </c>
      <c r="N638" s="15" t="s">
        <v>2134</v>
      </c>
      <c r="O638" s="15" t="s">
        <v>2171</v>
      </c>
      <c r="P638" s="15" t="str">
        <f>"65"</f>
        <v>65</v>
      </c>
      <c r="Q638" s="15" t="str">
        <f>"27"</f>
        <v>27</v>
      </c>
      <c r="R638" s="15" t="str">
        <f>"31"</f>
        <v>31</v>
      </c>
      <c r="S638" s="15" t="str">
        <f>"108.03"</f>
        <v>108.03</v>
      </c>
      <c r="T638" s="15" t="s">
        <v>2354</v>
      </c>
      <c r="U638" s="15" t="s">
        <v>11553</v>
      </c>
      <c r="V638" s="15" t="s">
        <v>11338</v>
      </c>
      <c r="AA638" s="15" t="s">
        <v>413</v>
      </c>
      <c r="AB638" s="15" t="s">
        <v>413</v>
      </c>
      <c r="AC638" s="15" t="s">
        <v>7156</v>
      </c>
      <c r="AD638" s="15" t="s">
        <v>18929</v>
      </c>
      <c r="AE638" s="15" t="s">
        <v>7155</v>
      </c>
      <c r="AF638" s="15" t="s">
        <v>18930</v>
      </c>
      <c r="AG638" s="15" t="s">
        <v>18931</v>
      </c>
      <c r="AH638" s="15" t="s">
        <v>18932</v>
      </c>
      <c r="AI638" s="15" t="s">
        <v>18933</v>
      </c>
      <c r="AJ638" s="15" t="s">
        <v>18934</v>
      </c>
      <c r="AK638" s="15" t="s">
        <v>18935</v>
      </c>
      <c r="AL638" s="15" t="s">
        <v>18936</v>
      </c>
      <c r="AM638" s="15" t="s">
        <v>18937</v>
      </c>
      <c r="AN638" s="15" t="s">
        <v>18938</v>
      </c>
      <c r="AO638" s="15" t="s">
        <v>18939</v>
      </c>
      <c r="AP638" s="15" t="s">
        <v>18940</v>
      </c>
      <c r="AQ638" s="15" t="s">
        <v>18941</v>
      </c>
      <c r="AR638" s="15" t="s">
        <v>18942</v>
      </c>
      <c r="AS638" s="15" t="s">
        <v>18943</v>
      </c>
      <c r="AT638" s="15" t="s">
        <v>18944</v>
      </c>
      <c r="BH638" s="15" t="s">
        <v>7152</v>
      </c>
      <c r="BI638" s="15" t="str">
        <f>"1599"</f>
        <v>1599</v>
      </c>
      <c r="BJ638" s="15" t="str">
        <f>"675"</f>
        <v>675</v>
      </c>
      <c r="BK638" s="15" t="s">
        <v>742</v>
      </c>
      <c r="BL638" s="15" t="str">
        <f t="shared" si="1841"/>
        <v>1</v>
      </c>
      <c r="BM638" s="15" t="s">
        <v>980</v>
      </c>
      <c r="BN638" s="15" t="str">
        <f>"68.9"</f>
        <v>68.9</v>
      </c>
      <c r="BO638" s="15" t="str">
        <f>"31.1"</f>
        <v>31.1</v>
      </c>
      <c r="BP638" s="15" t="str">
        <f>"37.2"</f>
        <v>37.2</v>
      </c>
      <c r="BQ638" s="15" t="str">
        <f>"135.58"</f>
        <v>135.58</v>
      </c>
      <c r="CG638" s="15" t="str">
        <f>"46.12"</f>
        <v>46.12</v>
      </c>
      <c r="CH638" s="15" t="str">
        <f>"1.306"</f>
        <v>1.306</v>
      </c>
      <c r="CI638" s="15" t="s">
        <v>465</v>
      </c>
      <c r="CZ638" s="15" t="s">
        <v>1371</v>
      </c>
      <c r="DA638" s="15">
        <v>2.0</v>
      </c>
      <c r="DB638" s="15" t="s">
        <v>419</v>
      </c>
      <c r="DD638" s="15">
        <v>0.0</v>
      </c>
      <c r="DF638" s="15" t="s">
        <v>420</v>
      </c>
      <c r="DG638" s="15" t="s">
        <v>421</v>
      </c>
      <c r="DK638" s="15">
        <v>0.0</v>
      </c>
      <c r="DR638" s="15" t="s">
        <v>4768</v>
      </c>
      <c r="DS638" s="15" t="s">
        <v>7150</v>
      </c>
      <c r="DU638" s="15" t="s">
        <v>500</v>
      </c>
      <c r="EF638" s="15" t="s">
        <v>7158</v>
      </c>
      <c r="EG638" s="15" t="s">
        <v>2019</v>
      </c>
      <c r="EH638" s="15" t="s">
        <v>7159</v>
      </c>
      <c r="ET638" s="15" t="s">
        <v>3130</v>
      </c>
      <c r="EU638" s="15" t="s">
        <v>426</v>
      </c>
      <c r="EV638" s="15">
        <v>0.0</v>
      </c>
      <c r="FE638" s="15" t="s">
        <v>7160</v>
      </c>
      <c r="FQ638" s="15">
        <v>0.0</v>
      </c>
      <c r="FR638" s="15" t="s">
        <v>427</v>
      </c>
      <c r="FZ638" s="15" t="s">
        <v>3777</v>
      </c>
      <c r="GB638" s="15" t="s">
        <v>2162</v>
      </c>
      <c r="GD638" s="15" t="s">
        <v>7161</v>
      </c>
      <c r="GF638" s="15" t="s">
        <v>838</v>
      </c>
      <c r="GH638" s="15" t="s">
        <v>764</v>
      </c>
      <c r="GM638" s="15">
        <v>0.0</v>
      </c>
      <c r="HP638" s="15" t="s">
        <v>426</v>
      </c>
    </row>
    <row r="639" ht="17.25" customHeight="1">
      <c r="A639" s="15" t="s">
        <v>7164</v>
      </c>
      <c r="B639" s="15" t="str">
        <f>"801542127633"</f>
        <v>801542127633</v>
      </c>
      <c r="C639" s="15" t="s">
        <v>18945</v>
      </c>
      <c r="D639" s="15" t="str">
        <f t="shared" si="1"/>
        <v>Markia Executive DeskAged Oak Veneer</v>
      </c>
      <c r="E639" s="15" t="s">
        <v>7162</v>
      </c>
      <c r="F639" s="15" t="s">
        <v>397</v>
      </c>
      <c r="G639" s="15" t="s">
        <v>7153</v>
      </c>
      <c r="J639" s="15" t="s">
        <v>7153</v>
      </c>
      <c r="K639" s="15" t="s">
        <v>7166</v>
      </c>
      <c r="M639" s="15" t="s">
        <v>1896</v>
      </c>
      <c r="N639" s="15" t="s">
        <v>2134</v>
      </c>
      <c r="O639" s="15" t="s">
        <v>2135</v>
      </c>
      <c r="P639" s="15" t="str">
        <f>"71"</f>
        <v>71</v>
      </c>
      <c r="Q639" s="15" t="str">
        <f t="shared" ref="Q639:R639" si="1848">"31"</f>
        <v>31</v>
      </c>
      <c r="R639" s="15" t="str">
        <f t="shared" si="1848"/>
        <v>31</v>
      </c>
      <c r="S639" s="15" t="str">
        <f>"208.33"</f>
        <v>208.33</v>
      </c>
      <c r="T639" s="15" t="s">
        <v>4955</v>
      </c>
      <c r="U639" s="15" t="s">
        <v>11553</v>
      </c>
      <c r="V639" s="15" t="s">
        <v>11338</v>
      </c>
      <c r="W639" s="15" t="s">
        <v>11139</v>
      </c>
      <c r="AA639" s="15" t="s">
        <v>413</v>
      </c>
      <c r="AB639" s="15" t="s">
        <v>413</v>
      </c>
      <c r="AC639" s="15" t="s">
        <v>7167</v>
      </c>
      <c r="AD639" s="15" t="s">
        <v>18946</v>
      </c>
      <c r="AE639" s="15" t="s">
        <v>7165</v>
      </c>
      <c r="AF639" s="15" t="s">
        <v>18947</v>
      </c>
      <c r="AG639" s="15" t="s">
        <v>18948</v>
      </c>
      <c r="AH639" s="15" t="s">
        <v>18949</v>
      </c>
      <c r="AI639" s="15" t="s">
        <v>18950</v>
      </c>
      <c r="AJ639" s="15" t="s">
        <v>18951</v>
      </c>
      <c r="AK639" s="15" t="s">
        <v>18952</v>
      </c>
      <c r="AL639" s="15" t="s">
        <v>18953</v>
      </c>
      <c r="AM639" s="15" t="s">
        <v>18954</v>
      </c>
      <c r="AN639" s="15" t="s">
        <v>18955</v>
      </c>
      <c r="AO639" s="15" t="s">
        <v>18956</v>
      </c>
      <c r="AP639" s="15" t="s">
        <v>18957</v>
      </c>
      <c r="AQ639" s="15" t="s">
        <v>18958</v>
      </c>
      <c r="AR639" s="15" t="s">
        <v>18959</v>
      </c>
      <c r="AS639" s="15" t="s">
        <v>18960</v>
      </c>
      <c r="AT639" s="15" t="s">
        <v>18961</v>
      </c>
      <c r="AU639" s="15" t="s">
        <v>18962</v>
      </c>
      <c r="AV639" s="15" t="s">
        <v>18963</v>
      </c>
      <c r="BH639" s="15" t="s">
        <v>7163</v>
      </c>
      <c r="BI639" s="15" t="str">
        <f>"2699"</f>
        <v>2699</v>
      </c>
      <c r="BJ639" s="15" t="str">
        <f>"1135"</f>
        <v>1135</v>
      </c>
      <c r="BK639" s="15" t="s">
        <v>742</v>
      </c>
      <c r="BL639" s="15" t="str">
        <f t="shared" si="1841"/>
        <v>1</v>
      </c>
      <c r="BM639" s="15" t="s">
        <v>980</v>
      </c>
      <c r="BN639" s="15" t="str">
        <f>"74.02"</f>
        <v>74.02</v>
      </c>
      <c r="BO639" s="15" t="str">
        <f>"34.25"</f>
        <v>34.25</v>
      </c>
      <c r="BP639" s="15" t="str">
        <f>"39.49"</f>
        <v>39.49</v>
      </c>
      <c r="BQ639" s="15" t="str">
        <f>"262.35"</f>
        <v>262.35</v>
      </c>
      <c r="CG639" s="15" t="str">
        <f>"57.95"</f>
        <v>57.95</v>
      </c>
      <c r="CH639" s="15" t="str">
        <f>"1.641"</f>
        <v>1.641</v>
      </c>
      <c r="CI639" s="15" t="s">
        <v>465</v>
      </c>
      <c r="CJ639" s="15" t="s">
        <v>7169</v>
      </c>
      <c r="CK639" s="15" t="s">
        <v>782</v>
      </c>
      <c r="CL639" s="15" t="s">
        <v>6508</v>
      </c>
      <c r="CM639" s="15" t="s">
        <v>7169</v>
      </c>
      <c r="CN639" s="15" t="s">
        <v>7170</v>
      </c>
      <c r="CO639" s="15" t="s">
        <v>6508</v>
      </c>
      <c r="CZ639" s="15" t="s">
        <v>1371</v>
      </c>
      <c r="DA639" s="15">
        <v>6.0</v>
      </c>
      <c r="DB639" s="15" t="s">
        <v>419</v>
      </c>
      <c r="DD639" s="15">
        <v>2.0</v>
      </c>
      <c r="DE639" s="15" t="s">
        <v>426</v>
      </c>
      <c r="DF639" s="15" t="s">
        <v>1509</v>
      </c>
      <c r="DG639" s="15" t="s">
        <v>421</v>
      </c>
      <c r="DK639" s="15">
        <v>0.0</v>
      </c>
      <c r="DR639" s="15" t="s">
        <v>2137</v>
      </c>
      <c r="DS639" s="15" t="s">
        <v>7150</v>
      </c>
      <c r="DU639" s="15" t="s">
        <v>424</v>
      </c>
      <c r="EF639" s="15" t="s">
        <v>531</v>
      </c>
      <c r="EG639" s="15" t="s">
        <v>7171</v>
      </c>
      <c r="EH639" s="15" t="s">
        <v>5601</v>
      </c>
      <c r="ET639" s="15" t="s">
        <v>3130</v>
      </c>
      <c r="EU639" s="15" t="s">
        <v>426</v>
      </c>
      <c r="EV639" s="15">
        <v>5.0</v>
      </c>
      <c r="FE639" s="15" t="s">
        <v>3659</v>
      </c>
      <c r="FQ639" s="15">
        <v>0.0</v>
      </c>
      <c r="FR639" s="15" t="s">
        <v>427</v>
      </c>
      <c r="FZ639" s="15" t="s">
        <v>7172</v>
      </c>
      <c r="GA639" s="15" t="s">
        <v>2051</v>
      </c>
      <c r="GB639" s="15" t="s">
        <v>1607</v>
      </c>
      <c r="GC639" s="15" t="s">
        <v>2464</v>
      </c>
      <c r="GD639" s="15" t="s">
        <v>7173</v>
      </c>
      <c r="GE639" s="15" t="s">
        <v>1443</v>
      </c>
      <c r="GF639" s="15" t="s">
        <v>838</v>
      </c>
      <c r="GH639" s="15" t="s">
        <v>764</v>
      </c>
      <c r="GJ639" s="15" t="s">
        <v>7169</v>
      </c>
      <c r="GK639" s="15" t="s">
        <v>7170</v>
      </c>
      <c r="GL639" s="15" t="s">
        <v>6508</v>
      </c>
      <c r="GM639" s="15">
        <v>2.0</v>
      </c>
      <c r="GZ639" s="15" t="s">
        <v>7169</v>
      </c>
      <c r="HA639" s="15" t="s">
        <v>7169</v>
      </c>
      <c r="HB639" s="15" t="s">
        <v>7170</v>
      </c>
      <c r="HC639" s="15" t="s">
        <v>7170</v>
      </c>
      <c r="HD639" s="15" t="s">
        <v>6508</v>
      </c>
      <c r="HE639" s="15" t="s">
        <v>6508</v>
      </c>
      <c r="HG639" s="15" t="s">
        <v>2051</v>
      </c>
      <c r="HI639" s="15" t="s">
        <v>1254</v>
      </c>
      <c r="HK639" s="15" t="s">
        <v>1443</v>
      </c>
      <c r="HP639" s="15" t="s">
        <v>426</v>
      </c>
      <c r="JU639" s="15" t="s">
        <v>7169</v>
      </c>
      <c r="JV639" s="15" t="s">
        <v>782</v>
      </c>
      <c r="JW639" s="15" t="s">
        <v>734</v>
      </c>
      <c r="KG639" s="15" t="s">
        <v>7169</v>
      </c>
      <c r="KH639" s="15" t="s">
        <v>7170</v>
      </c>
      <c r="KI639" s="15" t="s">
        <v>734</v>
      </c>
    </row>
    <row r="640" ht="17.25" customHeight="1">
      <c r="A640" s="15" t="s">
        <v>7177</v>
      </c>
      <c r="B640" s="15" t="str">
        <f>"801542296124"</f>
        <v>801542296124</v>
      </c>
      <c r="C640" s="15" t="s">
        <v>18964</v>
      </c>
      <c r="D640" s="15" t="str">
        <f t="shared" si="1"/>
        <v>Marlow Mod Pedestal TableBrushed Nickel</v>
      </c>
      <c r="E640" s="15" t="s">
        <v>7174</v>
      </c>
      <c r="F640" s="15" t="s">
        <v>397</v>
      </c>
      <c r="G640" s="15" t="s">
        <v>7176</v>
      </c>
      <c r="J640" s="15" t="s">
        <v>7180</v>
      </c>
      <c r="K640" s="15" t="s">
        <v>7176</v>
      </c>
      <c r="M640" s="15" t="s">
        <v>3586</v>
      </c>
      <c r="N640" s="15" t="s">
        <v>1154</v>
      </c>
      <c r="P640" s="15" t="str">
        <f t="shared" ref="P640:Q640" si="1849">"16"</f>
        <v>16</v>
      </c>
      <c r="Q640" s="15" t="str">
        <f t="shared" si="1849"/>
        <v>16</v>
      </c>
      <c r="R640" s="15" t="str">
        <f t="shared" ref="R640:R642" si="1851">"22"</f>
        <v>22</v>
      </c>
      <c r="S640" s="15" t="str">
        <f t="shared" ref="S640:S642" si="1852">"18"</f>
        <v>18</v>
      </c>
      <c r="T640" s="15" t="s">
        <v>7179</v>
      </c>
      <c r="U640" s="15" t="s">
        <v>3722</v>
      </c>
      <c r="V640" s="15" t="s">
        <v>14078</v>
      </c>
      <c r="AA640" s="15" t="s">
        <v>413</v>
      </c>
      <c r="AB640" s="15" t="s">
        <v>413</v>
      </c>
      <c r="AC640" s="15" t="s">
        <v>7181</v>
      </c>
      <c r="AD640" s="15" t="s">
        <v>18965</v>
      </c>
      <c r="AE640" s="15" t="s">
        <v>7178</v>
      </c>
      <c r="AF640" s="15" t="s">
        <v>18966</v>
      </c>
      <c r="AG640" s="15" t="s">
        <v>18967</v>
      </c>
      <c r="AH640" s="15" t="s">
        <v>18968</v>
      </c>
      <c r="AI640" s="15" t="s">
        <v>18969</v>
      </c>
      <c r="AJ640" s="15" t="s">
        <v>18970</v>
      </c>
      <c r="AK640" s="15" t="s">
        <v>18971</v>
      </c>
      <c r="BH640" s="15" t="s">
        <v>7175</v>
      </c>
      <c r="BI640" s="15" t="str">
        <f t="shared" ref="BI640:BI642" si="1853">"349"</f>
        <v>349</v>
      </c>
      <c r="BJ640" s="15" t="str">
        <f t="shared" ref="BJ640:BJ642" si="1854">"150"</f>
        <v>150</v>
      </c>
      <c r="BK640" s="15" t="s">
        <v>1303</v>
      </c>
      <c r="BL640" s="15" t="str">
        <f t="shared" si="1841"/>
        <v>1</v>
      </c>
      <c r="BM640" s="15" t="s">
        <v>416</v>
      </c>
      <c r="BN640" s="15" t="str">
        <f t="shared" ref="BN640:BN642" si="1855">"20"</f>
        <v>20</v>
      </c>
      <c r="BO640" s="15" t="str">
        <f t="shared" ref="BO640:BO642" si="1856">"17"</f>
        <v>17</v>
      </c>
      <c r="BP640" s="15" t="str">
        <f t="shared" ref="BP640:BP642" si="1857">"24"</f>
        <v>24</v>
      </c>
      <c r="BQ640" s="15" t="str">
        <f t="shared" ref="BQ640:BQ642" si="1858">"25"</f>
        <v>25</v>
      </c>
      <c r="CG640" s="15" t="str">
        <f t="shared" ref="CG640:CG642" si="1859">"4.73"</f>
        <v>4.73</v>
      </c>
      <c r="CH640" s="15" t="str">
        <f t="shared" ref="CH640:CH642" si="1860">"0.134"</f>
        <v>0.134</v>
      </c>
      <c r="CI640" s="15" t="s">
        <v>417</v>
      </c>
      <c r="CZ640" s="15" t="s">
        <v>419</v>
      </c>
      <c r="DA640" s="15">
        <v>0.0</v>
      </c>
      <c r="DB640" s="15" t="s">
        <v>419</v>
      </c>
      <c r="DD640" s="15">
        <v>0.0</v>
      </c>
      <c r="DG640" s="15" t="s">
        <v>419</v>
      </c>
      <c r="DK640" s="15">
        <v>0.0</v>
      </c>
      <c r="DR640" s="15" t="s">
        <v>1157</v>
      </c>
      <c r="DS640" s="15" t="s">
        <v>3586</v>
      </c>
      <c r="DU640" s="15" t="s">
        <v>500</v>
      </c>
      <c r="EQ640" s="15" t="s">
        <v>531</v>
      </c>
      <c r="ER640" s="15" t="s">
        <v>1325</v>
      </c>
      <c r="ES640" s="15" t="s">
        <v>531</v>
      </c>
      <c r="ET640" s="15" t="s">
        <v>7183</v>
      </c>
      <c r="EV640" s="15">
        <v>0.0</v>
      </c>
      <c r="EW640" s="15">
        <v>0.0</v>
      </c>
      <c r="FF640" s="15" t="s">
        <v>1236</v>
      </c>
    </row>
    <row r="641" ht="17.25" customHeight="1">
      <c r="A641" s="15" t="s">
        <v>7185</v>
      </c>
      <c r="B641" s="15" t="str">
        <f>"801542296131"</f>
        <v>801542296131</v>
      </c>
      <c r="C641" s="15" t="s">
        <v>18964</v>
      </c>
      <c r="D641" s="15" t="str">
        <f t="shared" si="1"/>
        <v>Marlow Mod Pedestal TableBrushed Bronze</v>
      </c>
      <c r="E641" s="15" t="s">
        <v>7174</v>
      </c>
      <c r="F641" s="15" t="s">
        <v>397</v>
      </c>
      <c r="G641" s="15" t="s">
        <v>4355</v>
      </c>
      <c r="J641" s="15" t="s">
        <v>7180</v>
      </c>
      <c r="K641" s="15" t="s">
        <v>4355</v>
      </c>
      <c r="M641" s="15" t="s">
        <v>3586</v>
      </c>
      <c r="N641" s="15" t="s">
        <v>1154</v>
      </c>
      <c r="P641" s="15" t="str">
        <f t="shared" ref="P641:Q641" si="1850">"16"</f>
        <v>16</v>
      </c>
      <c r="Q641" s="15" t="str">
        <f t="shared" si="1850"/>
        <v>16</v>
      </c>
      <c r="R641" s="15" t="str">
        <f t="shared" si="1851"/>
        <v>22</v>
      </c>
      <c r="S641" s="15" t="str">
        <f t="shared" si="1852"/>
        <v>18</v>
      </c>
      <c r="T641" s="15" t="s">
        <v>7179</v>
      </c>
      <c r="U641" s="15" t="s">
        <v>3722</v>
      </c>
      <c r="V641" s="15" t="s">
        <v>14078</v>
      </c>
      <c r="AA641" s="15" t="s">
        <v>413</v>
      </c>
      <c r="AB641" s="15" t="s">
        <v>413</v>
      </c>
      <c r="AC641" s="15" t="s">
        <v>7187</v>
      </c>
      <c r="AD641" s="15" t="s">
        <v>18972</v>
      </c>
      <c r="AE641" s="15" t="s">
        <v>7186</v>
      </c>
      <c r="AF641" s="15" t="s">
        <v>18973</v>
      </c>
      <c r="AG641" s="15" t="s">
        <v>18974</v>
      </c>
      <c r="AH641" s="15" t="s">
        <v>18975</v>
      </c>
      <c r="AI641" s="15" t="s">
        <v>18976</v>
      </c>
      <c r="AJ641" s="15" t="s">
        <v>18977</v>
      </c>
      <c r="AK641" s="15" t="s">
        <v>18978</v>
      </c>
      <c r="BH641" s="15" t="s">
        <v>7184</v>
      </c>
      <c r="BI641" s="15" t="str">
        <f t="shared" si="1853"/>
        <v>349</v>
      </c>
      <c r="BJ641" s="15" t="str">
        <f t="shared" si="1854"/>
        <v>150</v>
      </c>
      <c r="BK641" s="15" t="s">
        <v>1303</v>
      </c>
      <c r="BL641" s="15" t="str">
        <f t="shared" si="1841"/>
        <v>1</v>
      </c>
      <c r="BM641" s="15" t="s">
        <v>416</v>
      </c>
      <c r="BN641" s="15" t="str">
        <f t="shared" si="1855"/>
        <v>20</v>
      </c>
      <c r="BO641" s="15" t="str">
        <f t="shared" si="1856"/>
        <v>17</v>
      </c>
      <c r="BP641" s="15" t="str">
        <f t="shared" si="1857"/>
        <v>24</v>
      </c>
      <c r="BQ641" s="15" t="str">
        <f t="shared" si="1858"/>
        <v>25</v>
      </c>
      <c r="CG641" s="15" t="str">
        <f t="shared" si="1859"/>
        <v>4.73</v>
      </c>
      <c r="CH641" s="15" t="str">
        <f t="shared" si="1860"/>
        <v>0.134</v>
      </c>
      <c r="CI641" s="15" t="s">
        <v>497</v>
      </c>
      <c r="CZ641" s="15" t="s">
        <v>419</v>
      </c>
      <c r="DA641" s="15">
        <v>0.0</v>
      </c>
      <c r="DB641" s="15" t="s">
        <v>419</v>
      </c>
      <c r="DD641" s="15">
        <v>0.0</v>
      </c>
      <c r="DG641" s="15" t="s">
        <v>419</v>
      </c>
      <c r="DK641" s="15">
        <v>0.0</v>
      </c>
      <c r="DR641" s="15" t="s">
        <v>1157</v>
      </c>
      <c r="DS641" s="15" t="s">
        <v>3586</v>
      </c>
      <c r="DU641" s="15" t="s">
        <v>500</v>
      </c>
      <c r="EQ641" s="15" t="s">
        <v>531</v>
      </c>
      <c r="ER641" s="15" t="s">
        <v>1325</v>
      </c>
      <c r="ES641" s="15" t="s">
        <v>531</v>
      </c>
      <c r="ET641" s="15" t="s">
        <v>7183</v>
      </c>
      <c r="EV641" s="15">
        <v>0.0</v>
      </c>
      <c r="EW641" s="15">
        <v>0.0</v>
      </c>
      <c r="FF641" s="15" t="s">
        <v>1236</v>
      </c>
    </row>
    <row r="642" ht="17.25" customHeight="1">
      <c r="A642" s="15" t="s">
        <v>7189</v>
      </c>
      <c r="B642" s="15" t="str">
        <f>"801542167523"</f>
        <v>801542167523</v>
      </c>
      <c r="C642" s="15" t="s">
        <v>18964</v>
      </c>
      <c r="D642" s="15" t="str">
        <f t="shared" si="1"/>
        <v>Marlow Mod Pedestal TableBrushed Brass</v>
      </c>
      <c r="E642" s="15" t="s">
        <v>7174</v>
      </c>
      <c r="F642" s="15" t="s">
        <v>397</v>
      </c>
      <c r="G642" s="15" t="s">
        <v>3791</v>
      </c>
      <c r="J642" s="15" t="s">
        <v>7180</v>
      </c>
      <c r="K642" s="15" t="s">
        <v>3791</v>
      </c>
      <c r="M642" s="15" t="s">
        <v>3586</v>
      </c>
      <c r="N642" s="15" t="s">
        <v>1154</v>
      </c>
      <c r="P642" s="15" t="str">
        <f t="shared" ref="P642:Q642" si="1861">"16"</f>
        <v>16</v>
      </c>
      <c r="Q642" s="15" t="str">
        <f t="shared" si="1861"/>
        <v>16</v>
      </c>
      <c r="R642" s="15" t="str">
        <f t="shared" si="1851"/>
        <v>22</v>
      </c>
      <c r="S642" s="15" t="str">
        <f t="shared" si="1852"/>
        <v>18</v>
      </c>
      <c r="T642" s="15" t="s">
        <v>7179</v>
      </c>
      <c r="U642" s="15" t="s">
        <v>3722</v>
      </c>
      <c r="V642" s="15" t="s">
        <v>14078</v>
      </c>
      <c r="AA642" s="15" t="s">
        <v>413</v>
      </c>
      <c r="AB642" s="15" t="s">
        <v>413</v>
      </c>
      <c r="AC642" s="15" t="s">
        <v>7191</v>
      </c>
      <c r="AD642" s="15" t="s">
        <v>18979</v>
      </c>
      <c r="AE642" s="15" t="s">
        <v>7190</v>
      </c>
      <c r="AF642" s="15" t="s">
        <v>18980</v>
      </c>
      <c r="AG642" s="15" t="s">
        <v>18981</v>
      </c>
      <c r="AH642" s="15" t="s">
        <v>18982</v>
      </c>
      <c r="AI642" s="15" t="s">
        <v>18983</v>
      </c>
      <c r="AJ642" s="15" t="s">
        <v>18984</v>
      </c>
      <c r="AK642" s="15" t="s">
        <v>18985</v>
      </c>
      <c r="BH642" s="15" t="s">
        <v>7188</v>
      </c>
      <c r="BI642" s="15" t="str">
        <f t="shared" si="1853"/>
        <v>349</v>
      </c>
      <c r="BJ642" s="15" t="str">
        <f t="shared" si="1854"/>
        <v>150</v>
      </c>
      <c r="BK642" s="15" t="s">
        <v>1303</v>
      </c>
      <c r="BL642" s="15" t="str">
        <f t="shared" si="1841"/>
        <v>1</v>
      </c>
      <c r="BM642" s="15" t="s">
        <v>416</v>
      </c>
      <c r="BN642" s="15" t="str">
        <f t="shared" si="1855"/>
        <v>20</v>
      </c>
      <c r="BO642" s="15" t="str">
        <f t="shared" si="1856"/>
        <v>17</v>
      </c>
      <c r="BP642" s="15" t="str">
        <f t="shared" si="1857"/>
        <v>24</v>
      </c>
      <c r="BQ642" s="15" t="str">
        <f t="shared" si="1858"/>
        <v>25</v>
      </c>
      <c r="CG642" s="15" t="str">
        <f t="shared" si="1859"/>
        <v>4.73</v>
      </c>
      <c r="CH642" s="15" t="str">
        <f t="shared" si="1860"/>
        <v>0.134</v>
      </c>
      <c r="CI642" s="15" t="s">
        <v>497</v>
      </c>
      <c r="CZ642" s="15" t="s">
        <v>419</v>
      </c>
      <c r="DA642" s="15">
        <v>0.0</v>
      </c>
      <c r="DB642" s="15" t="s">
        <v>419</v>
      </c>
      <c r="DD642" s="15">
        <v>0.0</v>
      </c>
      <c r="DG642" s="15" t="s">
        <v>419</v>
      </c>
      <c r="DK642" s="15">
        <v>0.0</v>
      </c>
      <c r="DR642" s="15" t="s">
        <v>1157</v>
      </c>
      <c r="DS642" s="15" t="s">
        <v>3586</v>
      </c>
      <c r="DU642" s="15" t="s">
        <v>500</v>
      </c>
      <c r="EQ642" s="15" t="s">
        <v>531</v>
      </c>
      <c r="ER642" s="15" t="s">
        <v>1325</v>
      </c>
      <c r="ES642" s="15" t="s">
        <v>531</v>
      </c>
      <c r="ET642" s="15" t="s">
        <v>7183</v>
      </c>
      <c r="EV642" s="15">
        <v>0.0</v>
      </c>
      <c r="EW642" s="15">
        <v>0.0</v>
      </c>
      <c r="FF642" s="15" t="s">
        <v>1236</v>
      </c>
    </row>
    <row r="643" ht="17.25" customHeight="1">
      <c r="A643" s="15" t="s">
        <v>7195</v>
      </c>
      <c r="B643" s="15" t="str">
        <f>"801542951696"</f>
        <v>801542951696</v>
      </c>
      <c r="C643" s="15" t="s">
        <v>18986</v>
      </c>
      <c r="D643" s="15" t="str">
        <f t="shared" si="1"/>
        <v>Marquez Sleeper ChairAlameda Snow</v>
      </c>
      <c r="E643" s="15" t="s">
        <v>7192</v>
      </c>
      <c r="F643" s="15" t="s">
        <v>397</v>
      </c>
      <c r="G643" s="15" t="s">
        <v>7194</v>
      </c>
      <c r="J643" s="15" t="s">
        <v>7194</v>
      </c>
      <c r="K643" s="15" t="s">
        <v>7198</v>
      </c>
      <c r="M643" s="15" t="s">
        <v>2374</v>
      </c>
      <c r="N643" s="15" t="s">
        <v>706</v>
      </c>
      <c r="O643" s="15" t="s">
        <v>707</v>
      </c>
      <c r="P643" s="15" t="str">
        <f>"53"</f>
        <v>53</v>
      </c>
      <c r="Q643" s="15" t="str">
        <f t="shared" ref="Q643:Q644" si="1862">"38"</f>
        <v>38</v>
      </c>
      <c r="R643" s="15" t="str">
        <f>"34"</f>
        <v>34</v>
      </c>
      <c r="S643" s="15" t="str">
        <f>"114.64"</f>
        <v>114.64</v>
      </c>
      <c r="T643" s="15" t="s">
        <v>7197</v>
      </c>
      <c r="U643" s="15" t="s">
        <v>18987</v>
      </c>
      <c r="V643" s="15" t="s">
        <v>18988</v>
      </c>
      <c r="W643" s="15" t="s">
        <v>18989</v>
      </c>
      <c r="X643" s="15" t="s">
        <v>17219</v>
      </c>
      <c r="AA643" s="15" t="s">
        <v>413</v>
      </c>
      <c r="AB643" s="15" t="s">
        <v>426</v>
      </c>
      <c r="AC643" s="15" t="s">
        <v>7199</v>
      </c>
      <c r="AD643" s="15" t="s">
        <v>18990</v>
      </c>
      <c r="AE643" s="15" t="s">
        <v>7196</v>
      </c>
      <c r="AF643" s="15" t="s">
        <v>18991</v>
      </c>
      <c r="AG643" s="15" t="s">
        <v>18992</v>
      </c>
      <c r="AH643" s="15" t="s">
        <v>18993</v>
      </c>
      <c r="AI643" s="15" t="s">
        <v>18994</v>
      </c>
      <c r="AJ643" s="15" t="s">
        <v>18995</v>
      </c>
      <c r="AK643" s="15" t="s">
        <v>18996</v>
      </c>
      <c r="AL643" s="15" t="s">
        <v>18997</v>
      </c>
      <c r="AM643" s="15" t="s">
        <v>18998</v>
      </c>
      <c r="AN643" s="15" t="s">
        <v>18999</v>
      </c>
      <c r="AO643" s="15" t="s">
        <v>19000</v>
      </c>
      <c r="BH643" s="15" t="s">
        <v>7193</v>
      </c>
      <c r="BI643" s="15" t="str">
        <f>"2599"</f>
        <v>2599</v>
      </c>
      <c r="BJ643" s="15" t="str">
        <f>"1095"</f>
        <v>1095</v>
      </c>
      <c r="BK643" s="15" t="s">
        <v>415</v>
      </c>
      <c r="BL643" s="15" t="str">
        <f t="shared" si="1841"/>
        <v>1</v>
      </c>
      <c r="BM643" s="15" t="s">
        <v>416</v>
      </c>
      <c r="BN643" s="15" t="str">
        <f>"56"</f>
        <v>56</v>
      </c>
      <c r="BO643" s="15" t="str">
        <f t="shared" ref="BO643:BO644" si="1863">"42"</f>
        <v>42</v>
      </c>
      <c r="BP643" s="15" t="str">
        <f t="shared" ref="BP643:BP644" si="1864">"31.5"</f>
        <v>31.5</v>
      </c>
      <c r="BQ643" s="15" t="str">
        <f>"125.66"</f>
        <v>125.66</v>
      </c>
      <c r="CG643" s="15" t="str">
        <f>"42.87"</f>
        <v>42.87</v>
      </c>
      <c r="CH643" s="15" t="str">
        <f>"1.214"</f>
        <v>1.214</v>
      </c>
      <c r="CI643" s="15" t="s">
        <v>417</v>
      </c>
      <c r="CP643" s="15" t="s">
        <v>1064</v>
      </c>
      <c r="CQ643" s="15" t="s">
        <v>2547</v>
      </c>
      <c r="CR643" s="15" t="s">
        <v>3841</v>
      </c>
      <c r="CS643" s="15" t="s">
        <v>504</v>
      </c>
      <c r="CT643" s="15" t="s">
        <v>650</v>
      </c>
      <c r="CU643" s="15" t="s">
        <v>3841</v>
      </c>
      <c r="CV643" s="15">
        <v>0.0</v>
      </c>
      <c r="CW643" s="15">
        <v>1.0</v>
      </c>
      <c r="CX643" s="15" t="s">
        <v>717</v>
      </c>
      <c r="CY643" s="15" t="s">
        <v>934</v>
      </c>
      <c r="DC643" s="15" t="s">
        <v>2380</v>
      </c>
      <c r="DF643" s="15" t="s">
        <v>721</v>
      </c>
      <c r="DG643" s="15" t="s">
        <v>2381</v>
      </c>
      <c r="DH643" s="15">
        <v>0.0</v>
      </c>
      <c r="DL643" s="15">
        <v>33000.0</v>
      </c>
      <c r="DM643" s="15" t="s">
        <v>2382</v>
      </c>
      <c r="DN643" s="15" t="s">
        <v>723</v>
      </c>
      <c r="DO643" s="15" t="s">
        <v>724</v>
      </c>
      <c r="DP643" s="15">
        <v>1.0</v>
      </c>
      <c r="DQ643" s="15">
        <v>2.0</v>
      </c>
      <c r="DS643" s="15" t="s">
        <v>7200</v>
      </c>
      <c r="DT643" s="15">
        <v>0.0</v>
      </c>
      <c r="DU643" s="15" t="s">
        <v>726</v>
      </c>
      <c r="DV643" s="15" t="s">
        <v>2384</v>
      </c>
      <c r="DW643" s="15" t="s">
        <v>429</v>
      </c>
      <c r="DX643" s="15" t="s">
        <v>2385</v>
      </c>
      <c r="EB643" s="15" t="s">
        <v>3305</v>
      </c>
      <c r="EC643" s="15" t="s">
        <v>995</v>
      </c>
      <c r="ED643" s="15" t="s">
        <v>1213</v>
      </c>
      <c r="EE643" s="15" t="s">
        <v>3841</v>
      </c>
      <c r="EF643" s="15" t="s">
        <v>505</v>
      </c>
      <c r="EH643" s="15" t="s">
        <v>2401</v>
      </c>
      <c r="EI643" s="15" t="s">
        <v>1287</v>
      </c>
      <c r="EL643" s="15" t="s">
        <v>723</v>
      </c>
      <c r="EM643" s="15" t="s">
        <v>724</v>
      </c>
      <c r="EN643" s="15" t="s">
        <v>1289</v>
      </c>
      <c r="EO643" s="15" t="s">
        <v>2387</v>
      </c>
      <c r="EZ643" s="15">
        <v>0.0</v>
      </c>
      <c r="FA643" s="15">
        <v>0.0</v>
      </c>
      <c r="FB643" s="15" t="s">
        <v>2436</v>
      </c>
      <c r="FC643" s="15">
        <v>0.0</v>
      </c>
      <c r="IO643" s="15" t="s">
        <v>3025</v>
      </c>
      <c r="JL643" s="15" t="s">
        <v>1331</v>
      </c>
      <c r="JM643" s="15" t="s">
        <v>4591</v>
      </c>
      <c r="JN643" s="15" t="s">
        <v>5081</v>
      </c>
      <c r="LE643" s="15" t="s">
        <v>3799</v>
      </c>
      <c r="LF643" s="15" t="s">
        <v>3305</v>
      </c>
      <c r="LG643" s="15" t="s">
        <v>1160</v>
      </c>
      <c r="LW643" s="15" t="s">
        <v>531</v>
      </c>
    </row>
    <row r="644" ht="17.25" customHeight="1">
      <c r="A644" s="15" t="s">
        <v>7203</v>
      </c>
      <c r="B644" s="15" t="str">
        <f>"801542987633"</f>
        <v>801542987633</v>
      </c>
      <c r="C644" s="15" t="s">
        <v>19001</v>
      </c>
      <c r="D644" s="15" t="str">
        <f t="shared" si="1"/>
        <v>Marquez Sleeper Sofa-76"Alameda Snow</v>
      </c>
      <c r="E644" s="15" t="s">
        <v>7201</v>
      </c>
      <c r="F644" s="15" t="s">
        <v>397</v>
      </c>
      <c r="G644" s="15" t="s">
        <v>7194</v>
      </c>
      <c r="J644" s="15" t="s">
        <v>7194</v>
      </c>
      <c r="K644" s="15" t="s">
        <v>7198</v>
      </c>
      <c r="M644" s="15" t="s">
        <v>2374</v>
      </c>
      <c r="N644" s="15" t="s">
        <v>1732</v>
      </c>
      <c r="P644" s="15" t="str">
        <f>"76"</f>
        <v>76</v>
      </c>
      <c r="Q644" s="15" t="str">
        <f t="shared" si="1862"/>
        <v>38</v>
      </c>
      <c r="R644" s="15" t="str">
        <f>"33"</f>
        <v>33</v>
      </c>
      <c r="S644" s="15" t="str">
        <f>"196.21"</f>
        <v>196.21</v>
      </c>
      <c r="T644" s="15" t="s">
        <v>7197</v>
      </c>
      <c r="U644" s="15" t="s">
        <v>18987</v>
      </c>
      <c r="V644" s="15" t="s">
        <v>18988</v>
      </c>
      <c r="W644" s="15" t="s">
        <v>18989</v>
      </c>
      <c r="X644" s="15" t="s">
        <v>17219</v>
      </c>
      <c r="AA644" s="15" t="s">
        <v>413</v>
      </c>
      <c r="AB644" s="15" t="s">
        <v>426</v>
      </c>
      <c r="AC644" s="15" t="s">
        <v>7206</v>
      </c>
      <c r="AD644" s="15" t="s">
        <v>19002</v>
      </c>
      <c r="AE644" s="15" t="s">
        <v>7205</v>
      </c>
      <c r="AF644" s="15" t="s">
        <v>19003</v>
      </c>
      <c r="AG644" s="15" t="s">
        <v>19004</v>
      </c>
      <c r="AH644" s="15" t="s">
        <v>19005</v>
      </c>
      <c r="AI644" s="15" t="s">
        <v>19006</v>
      </c>
      <c r="AJ644" s="15" t="s">
        <v>19007</v>
      </c>
      <c r="AK644" s="15" t="s">
        <v>19008</v>
      </c>
      <c r="AL644" s="15" t="s">
        <v>19009</v>
      </c>
      <c r="AM644" s="15" t="s">
        <v>19010</v>
      </c>
      <c r="AN644" s="15" t="s">
        <v>19011</v>
      </c>
      <c r="AO644" s="15" t="s">
        <v>19012</v>
      </c>
      <c r="AP644" s="15" t="s">
        <v>19013</v>
      </c>
      <c r="AQ644" s="15" t="s">
        <v>19014</v>
      </c>
      <c r="AR644" s="15" t="s">
        <v>19015</v>
      </c>
      <c r="AS644" s="15" t="s">
        <v>19016</v>
      </c>
      <c r="AT644" s="15" t="s">
        <v>19017</v>
      </c>
      <c r="AU644" s="15" t="s">
        <v>19018</v>
      </c>
      <c r="AV644" s="15" t="s">
        <v>19019</v>
      </c>
      <c r="AW644" s="15" t="s">
        <v>19020</v>
      </c>
      <c r="AX644" s="15" t="s">
        <v>19021</v>
      </c>
      <c r="BH644" s="15" t="s">
        <v>7202</v>
      </c>
      <c r="BI644" s="15" t="str">
        <f>"3499"</f>
        <v>3499</v>
      </c>
      <c r="BJ644" s="15" t="str">
        <f>"1470"</f>
        <v>1470</v>
      </c>
      <c r="BK644" s="15" t="s">
        <v>415</v>
      </c>
      <c r="BL644" s="15" t="str">
        <f t="shared" si="1841"/>
        <v>1</v>
      </c>
      <c r="BM644" s="15" t="s">
        <v>416</v>
      </c>
      <c r="BN644" s="15" t="str">
        <f>"78"</f>
        <v>78</v>
      </c>
      <c r="BO644" s="15" t="str">
        <f t="shared" si="1863"/>
        <v>42</v>
      </c>
      <c r="BP644" s="15" t="str">
        <f t="shared" si="1864"/>
        <v>31.5</v>
      </c>
      <c r="BQ644" s="15" t="str">
        <f>"209.44"</f>
        <v>209.44</v>
      </c>
      <c r="CG644" s="15" t="str">
        <f>"59.72"</f>
        <v>59.72</v>
      </c>
      <c r="CH644" s="15" t="str">
        <f>"1.691"</f>
        <v>1.691</v>
      </c>
      <c r="CI644" s="15" t="s">
        <v>417</v>
      </c>
      <c r="CP644" s="15" t="s">
        <v>1064</v>
      </c>
      <c r="CQ644" s="15" t="s">
        <v>2547</v>
      </c>
      <c r="CR644" s="15" t="s">
        <v>5219</v>
      </c>
      <c r="CS644" s="15" t="s">
        <v>504</v>
      </c>
      <c r="CT644" s="15" t="s">
        <v>650</v>
      </c>
      <c r="CU644" s="15" t="s">
        <v>5219</v>
      </c>
      <c r="CV644" s="15">
        <v>0.0</v>
      </c>
      <c r="CW644" s="15">
        <v>2.0</v>
      </c>
      <c r="CX644" s="15" t="s">
        <v>717</v>
      </c>
      <c r="CY644" s="15" t="s">
        <v>934</v>
      </c>
      <c r="DC644" s="15" t="s">
        <v>2380</v>
      </c>
      <c r="DF644" s="15" t="s">
        <v>721</v>
      </c>
      <c r="DG644" s="15" t="s">
        <v>2381</v>
      </c>
      <c r="DH644" s="15">
        <v>2.0</v>
      </c>
      <c r="DL644" s="15">
        <v>33000.0</v>
      </c>
      <c r="DM644" s="15" t="s">
        <v>2382</v>
      </c>
      <c r="DN644" s="15" t="s">
        <v>723</v>
      </c>
      <c r="DO644" s="15" t="s">
        <v>724</v>
      </c>
      <c r="DP644" s="15">
        <v>1.0</v>
      </c>
      <c r="DQ644" s="15">
        <v>3.0</v>
      </c>
      <c r="DS644" s="15" t="s">
        <v>7200</v>
      </c>
      <c r="DT644" s="15">
        <v>0.0</v>
      </c>
      <c r="DU644" s="15" t="s">
        <v>473</v>
      </c>
      <c r="DV644" s="15" t="s">
        <v>2384</v>
      </c>
      <c r="DW644" s="15" t="s">
        <v>429</v>
      </c>
      <c r="DX644" s="15" t="s">
        <v>2385</v>
      </c>
      <c r="EB644" s="15" t="s">
        <v>3305</v>
      </c>
      <c r="EC644" s="15" t="s">
        <v>995</v>
      </c>
      <c r="ED644" s="15" t="s">
        <v>1213</v>
      </c>
      <c r="EE644" s="15" t="s">
        <v>1739</v>
      </c>
      <c r="EF644" s="15" t="s">
        <v>429</v>
      </c>
      <c r="EH644" s="15" t="s">
        <v>7208</v>
      </c>
      <c r="EI644" s="15" t="s">
        <v>1287</v>
      </c>
      <c r="EL644" s="15" t="s">
        <v>723</v>
      </c>
      <c r="EM644" s="15" t="s">
        <v>724</v>
      </c>
      <c r="EN644" s="15" t="s">
        <v>1289</v>
      </c>
      <c r="EO644" s="15" t="s">
        <v>2387</v>
      </c>
      <c r="FB644" s="15" t="s">
        <v>2436</v>
      </c>
      <c r="IO644" s="15" t="s">
        <v>877</v>
      </c>
      <c r="IP644" s="15" t="s">
        <v>762</v>
      </c>
      <c r="IQ644" s="15" t="s">
        <v>1592</v>
      </c>
      <c r="IR644" s="15" t="s">
        <v>1574</v>
      </c>
      <c r="IS644" s="15" t="s">
        <v>724</v>
      </c>
      <c r="IT644" s="15" t="s">
        <v>426</v>
      </c>
      <c r="JL644" s="15" t="s">
        <v>1331</v>
      </c>
      <c r="JM644" s="15" t="s">
        <v>468</v>
      </c>
      <c r="JN644" s="15" t="s">
        <v>3335</v>
      </c>
      <c r="LE644" s="15" t="s">
        <v>3799</v>
      </c>
      <c r="LF644" s="15" t="s">
        <v>3305</v>
      </c>
      <c r="LG644" s="15" t="s">
        <v>1160</v>
      </c>
      <c r="LW644" s="15" t="s">
        <v>531</v>
      </c>
    </row>
    <row r="645" ht="17.25" customHeight="1">
      <c r="A645" s="15" t="s">
        <v>7212</v>
      </c>
      <c r="B645" s="15" t="str">
        <f>"801542066871"</f>
        <v>801542066871</v>
      </c>
      <c r="C645" s="15" t="s">
        <v>19022</v>
      </c>
      <c r="D645" s="15" t="str">
        <f t="shared" si="1"/>
        <v>Martine Swivel ChairOmari Natural</v>
      </c>
      <c r="E645" s="15" t="s">
        <v>7209</v>
      </c>
      <c r="F645" s="15" t="s">
        <v>397</v>
      </c>
      <c r="G645" s="15" t="s">
        <v>7211</v>
      </c>
      <c r="J645" s="15" t="s">
        <v>7211</v>
      </c>
      <c r="K645" s="15" t="s">
        <v>7216</v>
      </c>
      <c r="M645" s="15" t="s">
        <v>2343</v>
      </c>
      <c r="N645" s="15" t="s">
        <v>706</v>
      </c>
      <c r="O645" s="15" t="s">
        <v>707</v>
      </c>
      <c r="P645" s="15" t="str">
        <f>"28"</f>
        <v>28</v>
      </c>
      <c r="Q645" s="15" t="str">
        <f>"32.75"</f>
        <v>32.75</v>
      </c>
      <c r="R645" s="15" t="str">
        <f>"30"</f>
        <v>30</v>
      </c>
      <c r="S645" s="15" t="str">
        <f>"70.11"</f>
        <v>70.11</v>
      </c>
      <c r="T645" s="15" t="s">
        <v>7215</v>
      </c>
      <c r="U645" s="15" t="s">
        <v>19023</v>
      </c>
      <c r="V645" s="15" t="s">
        <v>19024</v>
      </c>
      <c r="W645" s="15" t="s">
        <v>13832</v>
      </c>
      <c r="X645" s="15" t="s">
        <v>11210</v>
      </c>
      <c r="AA645" s="15" t="s">
        <v>413</v>
      </c>
      <c r="AB645" s="15" t="s">
        <v>426</v>
      </c>
      <c r="AC645" s="15" t="s">
        <v>7217</v>
      </c>
      <c r="AD645" s="15" t="s">
        <v>19025</v>
      </c>
      <c r="AE645" s="15" t="s">
        <v>7214</v>
      </c>
      <c r="AF645" s="15" t="s">
        <v>19026</v>
      </c>
      <c r="AG645" s="15" t="s">
        <v>19027</v>
      </c>
      <c r="AH645" s="15" t="s">
        <v>19028</v>
      </c>
      <c r="AI645" s="15" t="s">
        <v>19029</v>
      </c>
      <c r="AJ645" s="15" t="s">
        <v>19030</v>
      </c>
      <c r="AK645" s="15" t="s">
        <v>19031</v>
      </c>
      <c r="AL645" s="15" t="s">
        <v>19032</v>
      </c>
      <c r="AM645" s="15" t="s">
        <v>19033</v>
      </c>
      <c r="AN645" s="15" t="s">
        <v>19034</v>
      </c>
      <c r="BH645" s="15" t="s">
        <v>7210</v>
      </c>
      <c r="BI645" s="15" t="str">
        <f>"1249"</f>
        <v>1249</v>
      </c>
      <c r="BJ645" s="15" t="str">
        <f>"525"</f>
        <v>525</v>
      </c>
      <c r="BK645" s="15" t="s">
        <v>709</v>
      </c>
      <c r="BL645" s="15" t="str">
        <f t="shared" si="1841"/>
        <v>1</v>
      </c>
      <c r="BM645" s="15" t="s">
        <v>7218</v>
      </c>
      <c r="BN645" s="15" t="str">
        <f>"28.35"</f>
        <v>28.35</v>
      </c>
      <c r="BO645" s="15" t="str">
        <f>"32.68"</f>
        <v>32.68</v>
      </c>
      <c r="BP645" s="15" t="str">
        <f>"31.89"</f>
        <v>31.89</v>
      </c>
      <c r="BQ645" s="15" t="str">
        <f>"86.42"</f>
        <v>86.42</v>
      </c>
      <c r="CG645" s="15" t="str">
        <f>"17.09"</f>
        <v>17.09</v>
      </c>
      <c r="CH645" s="15" t="str">
        <f>"0.484"</f>
        <v>0.484</v>
      </c>
      <c r="CI645" s="15" t="s">
        <v>417</v>
      </c>
      <c r="CS645" s="15" t="s">
        <v>1072</v>
      </c>
      <c r="CT645" s="15" t="s">
        <v>1161</v>
      </c>
      <c r="CU645" s="15" t="s">
        <v>1306</v>
      </c>
      <c r="CV645" s="15">
        <v>0.0</v>
      </c>
      <c r="CW645" s="15">
        <v>0.0</v>
      </c>
      <c r="CX645" s="15" t="s">
        <v>717</v>
      </c>
      <c r="CY645" s="15" t="s">
        <v>897</v>
      </c>
      <c r="DF645" s="15" t="s">
        <v>721</v>
      </c>
      <c r="DG645" s="15" t="s">
        <v>1605</v>
      </c>
      <c r="DH645" s="15">
        <v>0.0</v>
      </c>
      <c r="DL645" s="15">
        <v>15000.0</v>
      </c>
      <c r="DM645" s="15" t="s">
        <v>990</v>
      </c>
      <c r="DP645" s="15">
        <v>0.0</v>
      </c>
      <c r="DQ645" s="15">
        <v>1.0</v>
      </c>
      <c r="DS645" s="15" t="s">
        <v>7220</v>
      </c>
      <c r="DT645" s="15">
        <v>0.0</v>
      </c>
      <c r="DU645" s="15" t="s">
        <v>726</v>
      </c>
      <c r="DV645" s="15" t="s">
        <v>1286</v>
      </c>
      <c r="DW645" s="15" t="s">
        <v>762</v>
      </c>
      <c r="DX645" s="15" t="s">
        <v>1593</v>
      </c>
      <c r="EB645" s="15" t="s">
        <v>6947</v>
      </c>
      <c r="EF645" s="15" t="s">
        <v>784</v>
      </c>
      <c r="EI645" s="15" t="s">
        <v>1288</v>
      </c>
      <c r="EO645" s="15" t="s">
        <v>7221</v>
      </c>
      <c r="EZ645" s="15">
        <v>0.0</v>
      </c>
      <c r="FA645" s="15">
        <v>0.0</v>
      </c>
      <c r="FB645" s="15" t="s">
        <v>1609</v>
      </c>
      <c r="FC645" s="15">
        <v>0.0</v>
      </c>
      <c r="HU645" s="15" t="s">
        <v>1610</v>
      </c>
    </row>
    <row r="646" ht="17.25" customHeight="1">
      <c r="A646" s="15" t="s">
        <v>7224</v>
      </c>
      <c r="B646" s="15" t="str">
        <f>"801542805708"</f>
        <v>801542805708</v>
      </c>
      <c r="C646" s="15" t="s">
        <v>19035</v>
      </c>
      <c r="D646" s="15" t="str">
        <f t="shared" si="1"/>
        <v>Matheus Coffee TableNatural Reclaimed French Oak</v>
      </c>
      <c r="E646" s="15" t="s">
        <v>7222</v>
      </c>
      <c r="F646" s="15" t="s">
        <v>397</v>
      </c>
      <c r="G646" s="15" t="s">
        <v>3142</v>
      </c>
      <c r="J646" s="15" t="s">
        <v>3142</v>
      </c>
      <c r="M646" s="15" t="s">
        <v>2759</v>
      </c>
      <c r="N646" s="15" t="s">
        <v>491</v>
      </c>
      <c r="P646" s="15" t="str">
        <f t="shared" ref="P646:Q646" si="1865">"55"</f>
        <v>55</v>
      </c>
      <c r="Q646" s="15" t="str">
        <f t="shared" si="1865"/>
        <v>55</v>
      </c>
      <c r="R646" s="15" t="str">
        <f>"13.75"</f>
        <v>13.75</v>
      </c>
      <c r="S646" s="15" t="str">
        <f>"189.38"</f>
        <v>189.38</v>
      </c>
      <c r="T646" s="15" t="s">
        <v>6706</v>
      </c>
      <c r="U646" s="15" t="s">
        <v>13534</v>
      </c>
      <c r="AA646" s="15" t="s">
        <v>413</v>
      </c>
      <c r="AB646" s="15" t="s">
        <v>413</v>
      </c>
      <c r="AC646" s="15" t="s">
        <v>7227</v>
      </c>
      <c r="AD646" s="15" t="s">
        <v>19036</v>
      </c>
      <c r="AE646" s="15" t="s">
        <v>7226</v>
      </c>
      <c r="AF646" s="15" t="s">
        <v>19037</v>
      </c>
      <c r="AG646" s="15" t="s">
        <v>19038</v>
      </c>
      <c r="AH646" s="15" t="s">
        <v>19039</v>
      </c>
      <c r="AI646" s="15" t="s">
        <v>19040</v>
      </c>
      <c r="AJ646" s="15" t="s">
        <v>19041</v>
      </c>
      <c r="AK646" s="15" t="s">
        <v>19042</v>
      </c>
      <c r="AL646" s="15" t="s">
        <v>19043</v>
      </c>
      <c r="AM646" s="15" t="s">
        <v>19044</v>
      </c>
      <c r="AN646" s="15" t="s">
        <v>19045</v>
      </c>
      <c r="AO646" s="15" t="s">
        <v>19046</v>
      </c>
      <c r="BH646" s="15" t="s">
        <v>7223</v>
      </c>
      <c r="BI646" s="15" t="str">
        <f>"3599"</f>
        <v>3599</v>
      </c>
      <c r="BJ646" s="15" t="str">
        <f>"1515"</f>
        <v>1515</v>
      </c>
      <c r="BK646" s="15" t="s">
        <v>742</v>
      </c>
      <c r="BL646" s="15" t="str">
        <f t="shared" si="1841"/>
        <v>1</v>
      </c>
      <c r="BM646" s="15" t="s">
        <v>416</v>
      </c>
      <c r="BN646" s="15" t="str">
        <f>"58.27"</f>
        <v>58.27</v>
      </c>
      <c r="BO646" s="15" t="str">
        <f>"57.68"</f>
        <v>57.68</v>
      </c>
      <c r="BP646" s="15" t="str">
        <f>"17.72"</f>
        <v>17.72</v>
      </c>
      <c r="BQ646" s="15" t="str">
        <f>"238.98"</f>
        <v>238.98</v>
      </c>
      <c r="CG646" s="15" t="str">
        <f>"34.47"</f>
        <v>34.47</v>
      </c>
      <c r="CH646" s="15" t="str">
        <f>"0.976"</f>
        <v>0.976</v>
      </c>
      <c r="CI646" s="15" t="s">
        <v>497</v>
      </c>
      <c r="CM646" s="15" t="s">
        <v>4698</v>
      </c>
      <c r="CN646" s="15" t="s">
        <v>3856</v>
      </c>
      <c r="CO646" s="15" t="s">
        <v>7230</v>
      </c>
      <c r="CZ646" s="15" t="s">
        <v>419</v>
      </c>
      <c r="DA646" s="15">
        <v>0.0</v>
      </c>
      <c r="DB646" s="15" t="s">
        <v>419</v>
      </c>
      <c r="DD646" s="15">
        <v>0.0</v>
      </c>
      <c r="DF646" s="15" t="s">
        <v>420</v>
      </c>
      <c r="DG646" s="15" t="s">
        <v>1914</v>
      </c>
      <c r="DK646" s="15">
        <v>0.0</v>
      </c>
      <c r="DR646" s="15" t="s">
        <v>1157</v>
      </c>
      <c r="DS646" s="15" t="s">
        <v>7231</v>
      </c>
      <c r="DU646" s="15" t="s">
        <v>500</v>
      </c>
      <c r="EF646" s="15" t="s">
        <v>1042</v>
      </c>
      <c r="EQ646" s="15" t="s">
        <v>6305</v>
      </c>
      <c r="ER646" s="15" t="s">
        <v>1042</v>
      </c>
      <c r="ES646" s="15" t="s">
        <v>4813</v>
      </c>
      <c r="ET646" s="15" t="s">
        <v>4469</v>
      </c>
      <c r="EU646" s="15" t="s">
        <v>426</v>
      </c>
      <c r="EV646" s="15">
        <v>1.0</v>
      </c>
      <c r="EW646" s="15">
        <v>0.0</v>
      </c>
      <c r="FF646" s="15" t="s">
        <v>7232</v>
      </c>
    </row>
    <row r="647" ht="17.25" customHeight="1">
      <c r="A647" s="15" t="s">
        <v>7235</v>
      </c>
      <c r="B647" s="15" t="str">
        <f>"801542909116"</f>
        <v>801542909116</v>
      </c>
      <c r="C647" s="15" t="s">
        <v>19047</v>
      </c>
      <c r="D647" s="15" t="str">
        <f t="shared" si="1"/>
        <v>Matheus End TableNatural Reclaimed French Oak</v>
      </c>
      <c r="E647" s="15" t="s">
        <v>7233</v>
      </c>
      <c r="F647" s="15" t="s">
        <v>397</v>
      </c>
      <c r="G647" s="15" t="s">
        <v>3142</v>
      </c>
      <c r="J647" s="15" t="s">
        <v>3142</v>
      </c>
      <c r="M647" s="15" t="s">
        <v>2759</v>
      </c>
      <c r="N647" s="15" t="s">
        <v>1154</v>
      </c>
      <c r="P647" s="15" t="str">
        <f t="shared" ref="P647:Q647" si="1866">"26"</f>
        <v>26</v>
      </c>
      <c r="Q647" s="15" t="str">
        <f t="shared" si="1866"/>
        <v>26</v>
      </c>
      <c r="R647" s="15" t="str">
        <f>"21.75"</f>
        <v>21.75</v>
      </c>
      <c r="S647" s="15" t="str">
        <f>"56.44"</f>
        <v>56.44</v>
      </c>
      <c r="T647" s="15" t="s">
        <v>6706</v>
      </c>
      <c r="U647" s="15" t="s">
        <v>13534</v>
      </c>
      <c r="AA647" s="15" t="s">
        <v>413</v>
      </c>
      <c r="AB647" s="15" t="s">
        <v>413</v>
      </c>
      <c r="AC647" s="15" t="s">
        <v>7237</v>
      </c>
      <c r="AD647" s="15" t="s">
        <v>19048</v>
      </c>
      <c r="AE647" s="15" t="s">
        <v>7236</v>
      </c>
      <c r="AF647" s="15" t="s">
        <v>19049</v>
      </c>
      <c r="AG647" s="15" t="s">
        <v>19050</v>
      </c>
      <c r="AH647" s="15" t="s">
        <v>19051</v>
      </c>
      <c r="AI647" s="15" t="s">
        <v>19052</v>
      </c>
      <c r="AJ647" s="15" t="s">
        <v>19053</v>
      </c>
      <c r="AK647" s="15" t="s">
        <v>19054</v>
      </c>
      <c r="AL647" s="15" t="s">
        <v>19055</v>
      </c>
      <c r="AM647" s="15" t="s">
        <v>19056</v>
      </c>
      <c r="AN647" s="15" t="s">
        <v>19057</v>
      </c>
      <c r="AO647" s="15" t="s">
        <v>19058</v>
      </c>
      <c r="BH647" s="15" t="s">
        <v>7234</v>
      </c>
      <c r="BI647" s="15" t="str">
        <f>"1449"</f>
        <v>1449</v>
      </c>
      <c r="BJ647" s="15" t="str">
        <f>"610"</f>
        <v>610</v>
      </c>
      <c r="BK647" s="15" t="s">
        <v>742</v>
      </c>
      <c r="BL647" s="15" t="str">
        <f t="shared" si="1841"/>
        <v>1</v>
      </c>
      <c r="BM647" s="15" t="s">
        <v>416</v>
      </c>
      <c r="BN647" s="15" t="str">
        <f>"28.74"</f>
        <v>28.74</v>
      </c>
      <c r="BO647" s="15" t="str">
        <f>"28.35"</f>
        <v>28.35</v>
      </c>
      <c r="BP647" s="15" t="str">
        <f>"27.56"</f>
        <v>27.56</v>
      </c>
      <c r="BQ647" s="15" t="str">
        <f>"81.79"</f>
        <v>81.79</v>
      </c>
      <c r="CG647" s="15" t="str">
        <f>"13"</f>
        <v>13</v>
      </c>
      <c r="CH647" s="15" t="str">
        <f>"0.368"</f>
        <v>0.368</v>
      </c>
      <c r="CI647" s="15" t="s">
        <v>497</v>
      </c>
      <c r="CM647" s="15" t="s">
        <v>987</v>
      </c>
      <c r="CN647" s="15" t="s">
        <v>5953</v>
      </c>
      <c r="CO647" s="15" t="s">
        <v>779</v>
      </c>
      <c r="CZ647" s="15" t="s">
        <v>419</v>
      </c>
      <c r="DA647" s="15">
        <v>0.0</v>
      </c>
      <c r="DB647" s="15" t="s">
        <v>419</v>
      </c>
      <c r="DD647" s="15">
        <v>0.0</v>
      </c>
      <c r="DF647" s="15" t="s">
        <v>6531</v>
      </c>
      <c r="DG647" s="15" t="s">
        <v>1914</v>
      </c>
      <c r="DK647" s="15">
        <v>0.0</v>
      </c>
      <c r="DR647" s="15" t="s">
        <v>1157</v>
      </c>
      <c r="DS647" s="15" t="s">
        <v>7231</v>
      </c>
      <c r="DU647" s="15" t="s">
        <v>500</v>
      </c>
      <c r="EF647" s="15" t="s">
        <v>1042</v>
      </c>
      <c r="EQ647" s="15" t="s">
        <v>7239</v>
      </c>
      <c r="ER647" s="15" t="s">
        <v>1042</v>
      </c>
      <c r="ES647" s="15" t="s">
        <v>7240</v>
      </c>
      <c r="ET647" s="15" t="s">
        <v>7241</v>
      </c>
      <c r="EU647" s="15" t="s">
        <v>426</v>
      </c>
      <c r="EV647" s="15">
        <v>1.0</v>
      </c>
      <c r="EW647" s="15">
        <v>0.0</v>
      </c>
      <c r="FF647" s="15" t="s">
        <v>7242</v>
      </c>
    </row>
    <row r="648" ht="17.25" customHeight="1">
      <c r="A648" s="15" t="s">
        <v>7245</v>
      </c>
      <c r="B648" s="15" t="str">
        <f>"801542339715"</f>
        <v>801542339715</v>
      </c>
      <c r="C648" s="15" t="s">
        <v>19059</v>
      </c>
      <c r="D648" s="15" t="str">
        <f t="shared" si="1"/>
        <v>Matthes Console TableRustic Grey Veneer</v>
      </c>
      <c r="E648" s="15" t="s">
        <v>7243</v>
      </c>
      <c r="F648" s="15" t="s">
        <v>397</v>
      </c>
      <c r="G648" s="15" t="s">
        <v>5604</v>
      </c>
      <c r="J648" s="15" t="s">
        <v>5604</v>
      </c>
      <c r="M648" s="15" t="s">
        <v>1896</v>
      </c>
      <c r="N648" s="15" t="s">
        <v>519</v>
      </c>
      <c r="P648" s="15" t="str">
        <f t="shared" ref="P648:P650" si="1867">"78.75"</f>
        <v>78.75</v>
      </c>
      <c r="Q648" s="15" t="str">
        <f t="shared" ref="Q648:Q650" si="1868">"15"</f>
        <v>15</v>
      </c>
      <c r="R648" s="15" t="str">
        <f t="shared" ref="R648:R650" si="1869">"30.75"</f>
        <v>30.75</v>
      </c>
      <c r="S648" s="15" t="str">
        <f t="shared" ref="S648:S650" si="1870">"87.08"</f>
        <v>87.08</v>
      </c>
      <c r="T648" s="15" t="s">
        <v>407</v>
      </c>
      <c r="U648" s="15" t="s">
        <v>10881</v>
      </c>
      <c r="AA648" s="15" t="s">
        <v>413</v>
      </c>
      <c r="AB648" s="15" t="s">
        <v>413</v>
      </c>
      <c r="AC648" s="15" t="s">
        <v>7247</v>
      </c>
      <c r="AD648" s="15" t="s">
        <v>19060</v>
      </c>
      <c r="AE648" s="15" t="s">
        <v>7246</v>
      </c>
      <c r="AF648" s="15" t="s">
        <v>19061</v>
      </c>
      <c r="AG648" s="15" t="s">
        <v>19062</v>
      </c>
      <c r="AH648" s="15" t="s">
        <v>19063</v>
      </c>
      <c r="AI648" s="15" t="s">
        <v>19064</v>
      </c>
      <c r="AJ648" s="15" t="s">
        <v>19065</v>
      </c>
      <c r="AK648" s="15" t="s">
        <v>19066</v>
      </c>
      <c r="AL648" s="15" t="s">
        <v>19067</v>
      </c>
      <c r="AM648" s="15" t="s">
        <v>19068</v>
      </c>
      <c r="AN648" s="15" t="s">
        <v>19069</v>
      </c>
      <c r="AO648" s="15" t="s">
        <v>19070</v>
      </c>
      <c r="AP648" s="15" t="s">
        <v>19071</v>
      </c>
      <c r="AQ648" s="15" t="s">
        <v>19072</v>
      </c>
      <c r="AR648" s="15" t="s">
        <v>19073</v>
      </c>
      <c r="AS648" s="15" t="s">
        <v>19074</v>
      </c>
      <c r="BH648" s="15" t="s">
        <v>7244</v>
      </c>
      <c r="BI648" s="15" t="str">
        <f t="shared" ref="BI648:BI649" si="1871">"1299"</f>
        <v>1299</v>
      </c>
      <c r="BJ648" s="15" t="str">
        <f t="shared" ref="BJ648:BJ649" si="1872">"550"</f>
        <v>550</v>
      </c>
      <c r="BK648" s="15" t="s">
        <v>742</v>
      </c>
      <c r="BL648" s="15" t="str">
        <f t="shared" si="1841"/>
        <v>1</v>
      </c>
      <c r="BM648" s="15" t="s">
        <v>5100</v>
      </c>
      <c r="BN648" s="15" t="str">
        <f t="shared" ref="BN648:BN650" si="1873">"84.65"</f>
        <v>84.65</v>
      </c>
      <c r="BO648" s="15" t="str">
        <f t="shared" ref="BO648:BO650" si="1874">"18.9"</f>
        <v>18.9</v>
      </c>
      <c r="BP648" s="15" t="str">
        <f t="shared" ref="BP648:BP650" si="1875">"14.57"</f>
        <v>14.57</v>
      </c>
      <c r="BQ648" s="15" t="str">
        <f t="shared" ref="BQ648:BQ650" si="1876">"114.64"</f>
        <v>114.64</v>
      </c>
      <c r="CG648" s="15" t="str">
        <f t="shared" ref="CG648:CG650" si="1877">"13.49"</f>
        <v>13.49</v>
      </c>
      <c r="CH648" s="15" t="str">
        <f t="shared" ref="CH648:CH650" si="1878">"0.382"</f>
        <v>0.382</v>
      </c>
      <c r="CI648" s="15" t="s">
        <v>497</v>
      </c>
      <c r="CZ648" s="15" t="s">
        <v>419</v>
      </c>
      <c r="DA648" s="15">
        <v>0.0</v>
      </c>
      <c r="DB648" s="15" t="s">
        <v>419</v>
      </c>
      <c r="DD648" s="15">
        <v>0.0</v>
      </c>
      <c r="DF648" s="15" t="s">
        <v>2048</v>
      </c>
      <c r="DG648" s="15" t="s">
        <v>419</v>
      </c>
      <c r="DK648" s="15">
        <v>0.0</v>
      </c>
      <c r="DR648" s="15" t="s">
        <v>471</v>
      </c>
      <c r="DS648" s="15" t="s">
        <v>7249</v>
      </c>
      <c r="DU648" s="15" t="s">
        <v>424</v>
      </c>
      <c r="EF648" s="15" t="s">
        <v>7250</v>
      </c>
      <c r="EH648" s="15" t="s">
        <v>7251</v>
      </c>
      <c r="EQ648" s="15" t="s">
        <v>504</v>
      </c>
      <c r="ER648" s="15" t="s">
        <v>1445</v>
      </c>
      <c r="ES648" s="15" t="s">
        <v>759</v>
      </c>
      <c r="ET648" s="15" t="s">
        <v>759</v>
      </c>
      <c r="EU648" s="15" t="s">
        <v>426</v>
      </c>
      <c r="EV648" s="15">
        <v>0.0</v>
      </c>
      <c r="EW648" s="15">
        <v>0.0</v>
      </c>
      <c r="FQ648" s="15">
        <v>0.0</v>
      </c>
      <c r="FR648" s="15" t="s">
        <v>427</v>
      </c>
    </row>
    <row r="649" ht="17.25" customHeight="1">
      <c r="A649" s="15" t="s">
        <v>7253</v>
      </c>
      <c r="B649" s="15" t="str">
        <f>"801542804657"</f>
        <v>801542804657</v>
      </c>
      <c r="C649" s="15" t="s">
        <v>19075</v>
      </c>
      <c r="D649" s="15" t="str">
        <f t="shared" si="1"/>
        <v>Matthes Console TableSmoked Black Veneer</v>
      </c>
      <c r="E649" s="15" t="s">
        <v>7243</v>
      </c>
      <c r="F649" s="15" t="s">
        <v>397</v>
      </c>
      <c r="G649" s="15" t="s">
        <v>4815</v>
      </c>
      <c r="J649" s="15" t="s">
        <v>4815</v>
      </c>
      <c r="M649" s="15" t="s">
        <v>1896</v>
      </c>
      <c r="N649" s="15" t="s">
        <v>519</v>
      </c>
      <c r="P649" s="15" t="str">
        <f t="shared" si="1867"/>
        <v>78.75</v>
      </c>
      <c r="Q649" s="15" t="str">
        <f t="shared" si="1868"/>
        <v>15</v>
      </c>
      <c r="R649" s="15" t="str">
        <f t="shared" si="1869"/>
        <v>30.75</v>
      </c>
      <c r="S649" s="15" t="str">
        <f t="shared" si="1870"/>
        <v>87.08</v>
      </c>
      <c r="T649" s="15" t="s">
        <v>407</v>
      </c>
      <c r="U649" s="15" t="s">
        <v>10881</v>
      </c>
      <c r="AA649" s="15" t="s">
        <v>413</v>
      </c>
      <c r="AB649" s="15" t="s">
        <v>413</v>
      </c>
      <c r="AC649" s="15" t="s">
        <v>7255</v>
      </c>
      <c r="AD649" s="15" t="s">
        <v>19076</v>
      </c>
      <c r="AE649" s="15" t="s">
        <v>7254</v>
      </c>
      <c r="AF649" s="15" t="s">
        <v>19077</v>
      </c>
      <c r="AG649" s="15" t="s">
        <v>19078</v>
      </c>
      <c r="AH649" s="15" t="s">
        <v>19079</v>
      </c>
      <c r="AI649" s="15" t="s">
        <v>19080</v>
      </c>
      <c r="AJ649" s="15" t="s">
        <v>19081</v>
      </c>
      <c r="AK649" s="15" t="s">
        <v>19082</v>
      </c>
      <c r="AL649" s="15" t="s">
        <v>19083</v>
      </c>
      <c r="AM649" s="15" t="s">
        <v>19084</v>
      </c>
      <c r="AN649" s="15" t="s">
        <v>19085</v>
      </c>
      <c r="AO649" s="15" t="s">
        <v>19086</v>
      </c>
      <c r="AP649" s="15" t="s">
        <v>19087</v>
      </c>
      <c r="AQ649" s="15" t="s">
        <v>19088</v>
      </c>
      <c r="AR649" s="15" t="s">
        <v>19089</v>
      </c>
      <c r="AS649" s="15" t="s">
        <v>19090</v>
      </c>
      <c r="BH649" s="15" t="s">
        <v>7252</v>
      </c>
      <c r="BI649" s="15" t="str">
        <f t="shared" si="1871"/>
        <v>1299</v>
      </c>
      <c r="BJ649" s="15" t="str">
        <f t="shared" si="1872"/>
        <v>550</v>
      </c>
      <c r="BK649" s="15" t="s">
        <v>742</v>
      </c>
      <c r="BL649" s="15" t="str">
        <f t="shared" si="1841"/>
        <v>1</v>
      </c>
      <c r="BM649" s="15" t="s">
        <v>5100</v>
      </c>
      <c r="BN649" s="15" t="str">
        <f t="shared" si="1873"/>
        <v>84.65</v>
      </c>
      <c r="BO649" s="15" t="str">
        <f t="shared" si="1874"/>
        <v>18.9</v>
      </c>
      <c r="BP649" s="15" t="str">
        <f t="shared" si="1875"/>
        <v>14.57</v>
      </c>
      <c r="BQ649" s="15" t="str">
        <f t="shared" si="1876"/>
        <v>114.64</v>
      </c>
      <c r="CG649" s="15" t="str">
        <f t="shared" si="1877"/>
        <v>13.49</v>
      </c>
      <c r="CH649" s="15" t="str">
        <f t="shared" si="1878"/>
        <v>0.382</v>
      </c>
      <c r="CI649" s="15" t="s">
        <v>497</v>
      </c>
      <c r="CZ649" s="15" t="s">
        <v>419</v>
      </c>
      <c r="DA649" s="15">
        <v>0.0</v>
      </c>
      <c r="DB649" s="15" t="s">
        <v>419</v>
      </c>
      <c r="DD649" s="15">
        <v>0.0</v>
      </c>
      <c r="DF649" s="15" t="s">
        <v>2048</v>
      </c>
      <c r="DG649" s="15" t="s">
        <v>419</v>
      </c>
      <c r="DK649" s="15">
        <v>0.0</v>
      </c>
      <c r="DR649" s="15" t="s">
        <v>471</v>
      </c>
      <c r="DS649" s="15" t="s">
        <v>7249</v>
      </c>
      <c r="DU649" s="15" t="s">
        <v>424</v>
      </c>
      <c r="EF649" s="15" t="s">
        <v>7250</v>
      </c>
      <c r="EH649" s="15" t="s">
        <v>7251</v>
      </c>
      <c r="EQ649" s="15" t="s">
        <v>504</v>
      </c>
      <c r="ER649" s="15" t="s">
        <v>1445</v>
      </c>
      <c r="ES649" s="15" t="s">
        <v>759</v>
      </c>
      <c r="ET649" s="15" t="s">
        <v>759</v>
      </c>
      <c r="EU649" s="15" t="s">
        <v>426</v>
      </c>
      <c r="EV649" s="15">
        <v>0.0</v>
      </c>
      <c r="EW649" s="15">
        <v>0.0</v>
      </c>
      <c r="FQ649" s="15">
        <v>0.0</v>
      </c>
      <c r="FR649" s="15" t="s">
        <v>427</v>
      </c>
    </row>
    <row r="650" ht="17.25" customHeight="1">
      <c r="A650" s="15" t="s">
        <v>7257</v>
      </c>
      <c r="B650" s="15" t="str">
        <f>"198394016759"</f>
        <v>198394016759</v>
      </c>
      <c r="C650" s="15" t="s">
        <v>19091</v>
      </c>
      <c r="D650" s="15" t="str">
        <f t="shared" si="1"/>
        <v>Matthes Console TableWorn Oak Veneer</v>
      </c>
      <c r="E650" s="15" t="s">
        <v>7243</v>
      </c>
      <c r="F650" s="15" t="s">
        <v>397</v>
      </c>
      <c r="G650" s="15" t="s">
        <v>2351</v>
      </c>
      <c r="J650" s="15" t="s">
        <v>2351</v>
      </c>
      <c r="M650" s="15" t="s">
        <v>1896</v>
      </c>
      <c r="N650" s="15" t="s">
        <v>519</v>
      </c>
      <c r="P650" s="15" t="str">
        <f t="shared" si="1867"/>
        <v>78.75</v>
      </c>
      <c r="Q650" s="15" t="str">
        <f t="shared" si="1868"/>
        <v>15</v>
      </c>
      <c r="R650" s="15" t="str">
        <f t="shared" si="1869"/>
        <v>30.75</v>
      </c>
      <c r="S650" s="15" t="str">
        <f t="shared" si="1870"/>
        <v>87.08</v>
      </c>
      <c r="T650" s="15" t="s">
        <v>407</v>
      </c>
      <c r="U650" s="15" t="s">
        <v>10881</v>
      </c>
      <c r="AA650" s="15" t="s">
        <v>413</v>
      </c>
      <c r="AB650" s="15" t="s">
        <v>413</v>
      </c>
      <c r="AC650" s="15" t="s">
        <v>7259</v>
      </c>
      <c r="AD650" s="15" t="s">
        <v>19092</v>
      </c>
      <c r="AE650" s="15" t="s">
        <v>7258</v>
      </c>
      <c r="AF650" s="15" t="s">
        <v>19093</v>
      </c>
      <c r="AG650" s="15" t="s">
        <v>19094</v>
      </c>
      <c r="AH650" s="15" t="s">
        <v>19095</v>
      </c>
      <c r="AI650" s="15" t="s">
        <v>19096</v>
      </c>
      <c r="AJ650" s="15" t="s">
        <v>19097</v>
      </c>
      <c r="AK650" s="15" t="s">
        <v>19098</v>
      </c>
      <c r="BH650" s="15" t="s">
        <v>7256</v>
      </c>
      <c r="BI650" s="15" t="str">
        <f>"1399"</f>
        <v>1399</v>
      </c>
      <c r="BJ650" s="15" t="str">
        <f>"590"</f>
        <v>590</v>
      </c>
      <c r="BK650" s="15" t="s">
        <v>742</v>
      </c>
      <c r="BL650" s="15" t="str">
        <f t="shared" si="1841"/>
        <v>1</v>
      </c>
      <c r="BM650" s="15" t="s">
        <v>5100</v>
      </c>
      <c r="BN650" s="15" t="str">
        <f t="shared" si="1873"/>
        <v>84.65</v>
      </c>
      <c r="BO650" s="15" t="str">
        <f t="shared" si="1874"/>
        <v>18.9</v>
      </c>
      <c r="BP650" s="15" t="str">
        <f t="shared" si="1875"/>
        <v>14.57</v>
      </c>
      <c r="BQ650" s="15" t="str">
        <f t="shared" si="1876"/>
        <v>114.64</v>
      </c>
      <c r="CG650" s="15" t="str">
        <f t="shared" si="1877"/>
        <v>13.49</v>
      </c>
      <c r="CH650" s="15" t="str">
        <f t="shared" si="1878"/>
        <v>0.382</v>
      </c>
      <c r="CI650" s="15" t="s">
        <v>497</v>
      </c>
      <c r="CZ650" s="15" t="s">
        <v>419</v>
      </c>
      <c r="DA650" s="15">
        <v>0.0</v>
      </c>
      <c r="DB650" s="15" t="s">
        <v>419</v>
      </c>
      <c r="DD650" s="15">
        <v>0.0</v>
      </c>
      <c r="DF650" s="15" t="s">
        <v>2048</v>
      </c>
      <c r="DG650" s="15" t="s">
        <v>419</v>
      </c>
      <c r="DK650" s="15">
        <v>0.0</v>
      </c>
      <c r="DR650" s="15" t="s">
        <v>471</v>
      </c>
      <c r="DS650" s="15" t="s">
        <v>7249</v>
      </c>
      <c r="DU650" s="15" t="s">
        <v>424</v>
      </c>
      <c r="EF650" s="15" t="s">
        <v>7250</v>
      </c>
      <c r="EH650" s="15" t="s">
        <v>7251</v>
      </c>
      <c r="EQ650" s="15" t="s">
        <v>504</v>
      </c>
      <c r="ER650" s="15" t="s">
        <v>1445</v>
      </c>
      <c r="ES650" s="15" t="s">
        <v>759</v>
      </c>
      <c r="ET650" s="15" t="s">
        <v>759</v>
      </c>
      <c r="EU650" s="15" t="s">
        <v>426</v>
      </c>
      <c r="EV650" s="15">
        <v>0.0</v>
      </c>
      <c r="EW650" s="15">
        <v>0.0</v>
      </c>
      <c r="FQ650" s="15">
        <v>0.0</v>
      </c>
      <c r="FR650" s="15" t="s">
        <v>427</v>
      </c>
    </row>
    <row r="651" ht="17.25" customHeight="1">
      <c r="A651" s="15" t="s">
        <v>7263</v>
      </c>
      <c r="B651" s="15" t="str">
        <f>"801542249281"</f>
        <v>801542249281</v>
      </c>
      <c r="C651" s="15" t="s">
        <v>19099</v>
      </c>
      <c r="D651" s="15" t="str">
        <f t="shared" si="1"/>
        <v>Maxx SofaDestroyed Black</v>
      </c>
      <c r="E651" s="15" t="s">
        <v>7260</v>
      </c>
      <c r="F651" s="15" t="s">
        <v>397</v>
      </c>
      <c r="G651" s="15" t="s">
        <v>7262</v>
      </c>
      <c r="J651" s="15" t="s">
        <v>7262</v>
      </c>
      <c r="K651" s="15" t="s">
        <v>7265</v>
      </c>
      <c r="L651" s="15" t="s">
        <v>7266</v>
      </c>
      <c r="M651" s="15" t="s">
        <v>915</v>
      </c>
      <c r="N651" s="15" t="s">
        <v>1732</v>
      </c>
      <c r="P651" s="15" t="str">
        <f t="shared" ref="P651:P652" si="1879">"95"</f>
        <v>95</v>
      </c>
      <c r="Q651" s="15" t="str">
        <f t="shared" ref="Q651:Q657" si="1880">"34.75"</f>
        <v>34.75</v>
      </c>
      <c r="R651" s="15" t="str">
        <f t="shared" ref="R651:R657" si="1881">"27"</f>
        <v>27</v>
      </c>
      <c r="S651" s="15" t="str">
        <f t="shared" ref="S651:S652" si="1882">"134.48"</f>
        <v>134.48</v>
      </c>
      <c r="T651" s="15" t="s">
        <v>2578</v>
      </c>
      <c r="U651" s="15" t="s">
        <v>11137</v>
      </c>
      <c r="V651" s="15" t="s">
        <v>11210</v>
      </c>
      <c r="W651" s="15" t="s">
        <v>11139</v>
      </c>
      <c r="AA651" s="15" t="s">
        <v>413</v>
      </c>
      <c r="AB651" s="15" t="s">
        <v>413</v>
      </c>
      <c r="AC651" s="15" t="s">
        <v>7267</v>
      </c>
      <c r="AD651" s="15" t="s">
        <v>19100</v>
      </c>
      <c r="AE651" s="15" t="s">
        <v>7264</v>
      </c>
      <c r="AF651" s="15" t="s">
        <v>19101</v>
      </c>
      <c r="AG651" s="15" t="s">
        <v>19102</v>
      </c>
      <c r="AH651" s="15" t="s">
        <v>19103</v>
      </c>
      <c r="AI651" s="15" t="s">
        <v>19104</v>
      </c>
      <c r="AJ651" s="15" t="s">
        <v>19105</v>
      </c>
      <c r="AK651" s="15" t="s">
        <v>19106</v>
      </c>
      <c r="AL651" s="15" t="s">
        <v>19107</v>
      </c>
      <c r="AM651" s="15" t="s">
        <v>19108</v>
      </c>
      <c r="AN651" s="15" t="s">
        <v>19109</v>
      </c>
      <c r="AO651" s="15" t="s">
        <v>19110</v>
      </c>
      <c r="AP651" s="15" t="s">
        <v>19111</v>
      </c>
      <c r="AQ651" s="15" t="s">
        <v>19112</v>
      </c>
      <c r="AR651" s="15" t="s">
        <v>19113</v>
      </c>
      <c r="AS651" s="15" t="s">
        <v>19114</v>
      </c>
      <c r="AT651" s="15" t="s">
        <v>19115</v>
      </c>
      <c r="AU651" s="15" t="s">
        <v>19116</v>
      </c>
      <c r="AV651" s="15" t="s">
        <v>19117</v>
      </c>
      <c r="AW651" s="15" t="s">
        <v>19118</v>
      </c>
      <c r="AX651" s="15" t="s">
        <v>19119</v>
      </c>
      <c r="AY651" s="15" t="s">
        <v>19120</v>
      </c>
      <c r="BH651" s="15" t="s">
        <v>7261</v>
      </c>
      <c r="BI651" s="15" t="str">
        <f>"4199"</f>
        <v>4199</v>
      </c>
      <c r="BJ651" s="15" t="str">
        <f>"1765"</f>
        <v>1765</v>
      </c>
      <c r="BK651" s="15" t="s">
        <v>709</v>
      </c>
      <c r="BL651" s="15" t="str">
        <f t="shared" si="1841"/>
        <v>1</v>
      </c>
      <c r="BM651" s="15" t="s">
        <v>416</v>
      </c>
      <c r="BN651" s="15" t="str">
        <f t="shared" ref="BN651:BN652" si="1883">"97.64"</f>
        <v>97.64</v>
      </c>
      <c r="BO651" s="15" t="str">
        <f t="shared" ref="BO651:BO652" si="1884">"36.61"</f>
        <v>36.61</v>
      </c>
      <c r="BP651" s="15" t="str">
        <f t="shared" ref="BP651:BP652" si="1885">"28.74"</f>
        <v>28.74</v>
      </c>
      <c r="BQ651" s="15" t="str">
        <f t="shared" ref="BQ651:BQ652" si="1886">"159.17"</f>
        <v>159.17</v>
      </c>
      <c r="CG651" s="15" t="str">
        <f t="shared" ref="CG651:CG652" si="1887">"59.47"</f>
        <v>59.47</v>
      </c>
      <c r="CH651" s="15" t="str">
        <f t="shared" ref="CH651:CH652" si="1888">"1.684"</f>
        <v>1.684</v>
      </c>
      <c r="CI651" s="15" t="s">
        <v>497</v>
      </c>
      <c r="CS651" s="15" t="s">
        <v>1212</v>
      </c>
      <c r="CT651" s="15" t="s">
        <v>1161</v>
      </c>
      <c r="CU651" s="15" t="s">
        <v>4844</v>
      </c>
      <c r="CV651" s="15">
        <v>0.0</v>
      </c>
      <c r="CW651" s="15">
        <v>0.0</v>
      </c>
      <c r="CX651" s="15" t="s">
        <v>717</v>
      </c>
      <c r="CY651" s="15" t="s">
        <v>718</v>
      </c>
      <c r="DF651" s="15" t="s">
        <v>721</v>
      </c>
      <c r="DG651" s="15" t="s">
        <v>419</v>
      </c>
      <c r="DH651" s="15">
        <v>0.0</v>
      </c>
      <c r="DL651" s="15">
        <v>0.0</v>
      </c>
      <c r="DM651" s="15" t="s">
        <v>990</v>
      </c>
      <c r="DP651" s="15">
        <v>0.0</v>
      </c>
      <c r="DQ651" s="15">
        <v>3.0</v>
      </c>
      <c r="DS651" s="15" t="s">
        <v>7270</v>
      </c>
      <c r="DT651" s="15">
        <v>0.0</v>
      </c>
      <c r="DU651" s="15" t="s">
        <v>473</v>
      </c>
      <c r="DV651" s="15" t="s">
        <v>1064</v>
      </c>
      <c r="DW651" s="15" t="s">
        <v>531</v>
      </c>
      <c r="DX651" s="15" t="s">
        <v>730</v>
      </c>
      <c r="EB651" s="15" t="s">
        <v>505</v>
      </c>
      <c r="EF651" s="15" t="s">
        <v>1188</v>
      </c>
      <c r="EG651" s="15" t="s">
        <v>2384</v>
      </c>
      <c r="EH651" s="15" t="s">
        <v>3842</v>
      </c>
      <c r="EI651" s="15" t="s">
        <v>531</v>
      </c>
      <c r="EO651" s="15" t="s">
        <v>1255</v>
      </c>
      <c r="FB651" s="15" t="s">
        <v>3362</v>
      </c>
    </row>
    <row r="652" ht="17.25" customHeight="1">
      <c r="A652" s="15" t="s">
        <v>7272</v>
      </c>
      <c r="B652" s="15" t="str">
        <f>"801542864446"</f>
        <v>801542864446</v>
      </c>
      <c r="C652" s="15" t="s">
        <v>19121</v>
      </c>
      <c r="D652" s="15" t="str">
        <f t="shared" si="1"/>
        <v>Maxx SofaHeirloom Black95</v>
      </c>
      <c r="E652" s="15" t="s">
        <v>7260</v>
      </c>
      <c r="F652" s="15" t="s">
        <v>397</v>
      </c>
      <c r="G652" s="15" t="s">
        <v>2575</v>
      </c>
      <c r="H652" s="15" t="s">
        <v>265</v>
      </c>
      <c r="I652" s="15" t="s">
        <v>2370</v>
      </c>
      <c r="J652" s="15" t="s">
        <v>2575</v>
      </c>
      <c r="K652" s="15" t="s">
        <v>6600</v>
      </c>
      <c r="L652" s="15" t="s">
        <v>7266</v>
      </c>
      <c r="M652" s="15" t="s">
        <v>915</v>
      </c>
      <c r="N652" s="15" t="s">
        <v>1732</v>
      </c>
      <c r="P652" s="15" t="str">
        <f t="shared" si="1879"/>
        <v>95</v>
      </c>
      <c r="Q652" s="15" t="str">
        <f t="shared" si="1880"/>
        <v>34.75</v>
      </c>
      <c r="R652" s="15" t="str">
        <f t="shared" si="1881"/>
        <v>27</v>
      </c>
      <c r="S652" s="15" t="str">
        <f t="shared" si="1882"/>
        <v>134.48</v>
      </c>
      <c r="T652" s="15" t="s">
        <v>2578</v>
      </c>
      <c r="U652" s="15" t="s">
        <v>11137</v>
      </c>
      <c r="V652" s="15" t="s">
        <v>11210</v>
      </c>
      <c r="W652" s="15" t="s">
        <v>11139</v>
      </c>
      <c r="AA652" s="15" t="s">
        <v>413</v>
      </c>
      <c r="AB652" s="15" t="s">
        <v>413</v>
      </c>
      <c r="AC652" s="15" t="s">
        <v>7274</v>
      </c>
      <c r="AD652" s="15" t="s">
        <v>19122</v>
      </c>
      <c r="AE652" s="15" t="s">
        <v>7273</v>
      </c>
      <c r="AF652" s="15" t="s">
        <v>19123</v>
      </c>
      <c r="AG652" s="15" t="s">
        <v>19124</v>
      </c>
      <c r="AH652" s="15" t="s">
        <v>19125</v>
      </c>
      <c r="AI652" s="15" t="s">
        <v>19126</v>
      </c>
      <c r="AJ652" s="15" t="s">
        <v>19127</v>
      </c>
      <c r="AK652" s="15" t="s">
        <v>19128</v>
      </c>
      <c r="AL652" s="15" t="s">
        <v>19129</v>
      </c>
      <c r="AM652" s="15" t="s">
        <v>19130</v>
      </c>
      <c r="AN652" s="15" t="s">
        <v>19131</v>
      </c>
      <c r="AO652" s="15" t="s">
        <v>19132</v>
      </c>
      <c r="AP652" s="15" t="s">
        <v>19133</v>
      </c>
      <c r="BH652" s="15" t="s">
        <v>7271</v>
      </c>
      <c r="BI652" s="15" t="str">
        <f>"3699"</f>
        <v>3699</v>
      </c>
      <c r="BJ652" s="15" t="str">
        <f>"1555"</f>
        <v>1555</v>
      </c>
      <c r="BK652" s="15" t="s">
        <v>709</v>
      </c>
      <c r="BL652" s="15" t="str">
        <f t="shared" si="1841"/>
        <v>1</v>
      </c>
      <c r="BM652" s="15" t="s">
        <v>416</v>
      </c>
      <c r="BN652" s="15" t="str">
        <f t="shared" si="1883"/>
        <v>97.64</v>
      </c>
      <c r="BO652" s="15" t="str">
        <f t="shared" si="1884"/>
        <v>36.61</v>
      </c>
      <c r="BP652" s="15" t="str">
        <f t="shared" si="1885"/>
        <v>28.74</v>
      </c>
      <c r="BQ652" s="15" t="str">
        <f t="shared" si="1886"/>
        <v>159.17</v>
      </c>
      <c r="CG652" s="15" t="str">
        <f t="shared" si="1887"/>
        <v>59.47</v>
      </c>
      <c r="CH652" s="15" t="str">
        <f t="shared" si="1888"/>
        <v>1.684</v>
      </c>
      <c r="CI652" s="15" t="s">
        <v>465</v>
      </c>
      <c r="CS652" s="15" t="s">
        <v>1212</v>
      </c>
      <c r="CT652" s="15" t="s">
        <v>1161</v>
      </c>
      <c r="CU652" s="15" t="s">
        <v>4844</v>
      </c>
      <c r="CV652" s="15">
        <v>0.0</v>
      </c>
      <c r="CW652" s="15">
        <v>0.0</v>
      </c>
      <c r="CX652" s="15" t="s">
        <v>717</v>
      </c>
      <c r="CY652" s="15" t="s">
        <v>718</v>
      </c>
      <c r="DF652" s="15" t="s">
        <v>721</v>
      </c>
      <c r="DG652" s="15" t="s">
        <v>419</v>
      </c>
      <c r="DH652" s="15">
        <v>0.0</v>
      </c>
      <c r="DL652" s="15">
        <v>0.0</v>
      </c>
      <c r="DM652" s="15" t="s">
        <v>990</v>
      </c>
      <c r="DP652" s="15">
        <v>0.0</v>
      </c>
      <c r="DQ652" s="15">
        <v>3.0</v>
      </c>
      <c r="DS652" s="15" t="s">
        <v>7270</v>
      </c>
      <c r="DT652" s="15">
        <v>0.0</v>
      </c>
      <c r="DU652" s="15" t="s">
        <v>473</v>
      </c>
      <c r="DV652" s="15" t="s">
        <v>1064</v>
      </c>
      <c r="DW652" s="15" t="s">
        <v>531</v>
      </c>
      <c r="DX652" s="15" t="s">
        <v>730</v>
      </c>
      <c r="EB652" s="15" t="s">
        <v>505</v>
      </c>
      <c r="EF652" s="15" t="s">
        <v>1188</v>
      </c>
      <c r="EG652" s="15" t="s">
        <v>2384</v>
      </c>
      <c r="EH652" s="15" t="s">
        <v>3842</v>
      </c>
      <c r="EI652" s="15" t="s">
        <v>531</v>
      </c>
      <c r="EO652" s="15" t="s">
        <v>1255</v>
      </c>
      <c r="FB652" s="15" t="s">
        <v>3362</v>
      </c>
    </row>
    <row r="653" ht="17.25" customHeight="1">
      <c r="A653" s="15" t="s">
        <v>7276</v>
      </c>
      <c r="B653" s="15" t="str">
        <f>"801542851187"</f>
        <v>801542851187</v>
      </c>
      <c r="C653" s="15" t="s">
        <v>19121</v>
      </c>
      <c r="D653" s="15" t="str">
        <f t="shared" si="1"/>
        <v>Maxx SofaHeirloom Black85.75</v>
      </c>
      <c r="E653" s="15" t="s">
        <v>7260</v>
      </c>
      <c r="F653" s="15" t="s">
        <v>397</v>
      </c>
      <c r="G653" s="15" t="s">
        <v>2575</v>
      </c>
      <c r="H653" s="15" t="s">
        <v>265</v>
      </c>
      <c r="I653" s="15" t="s">
        <v>3092</v>
      </c>
      <c r="J653" s="15" t="s">
        <v>2575</v>
      </c>
      <c r="K653" s="15" t="s">
        <v>6600</v>
      </c>
      <c r="L653" s="15" t="s">
        <v>7266</v>
      </c>
      <c r="M653" s="15" t="s">
        <v>915</v>
      </c>
      <c r="N653" s="15" t="s">
        <v>1732</v>
      </c>
      <c r="P653" s="15" t="str">
        <f>"85.75"</f>
        <v>85.75</v>
      </c>
      <c r="Q653" s="15" t="str">
        <f t="shared" si="1880"/>
        <v>34.75</v>
      </c>
      <c r="R653" s="15" t="str">
        <f t="shared" si="1881"/>
        <v>27</v>
      </c>
      <c r="S653" s="15" t="str">
        <f>"110.23"</f>
        <v>110.23</v>
      </c>
      <c r="T653" s="15" t="s">
        <v>2578</v>
      </c>
      <c r="U653" s="15" t="s">
        <v>11137</v>
      </c>
      <c r="V653" s="15" t="s">
        <v>11210</v>
      </c>
      <c r="W653" s="15" t="s">
        <v>11139</v>
      </c>
      <c r="AA653" s="15" t="s">
        <v>413</v>
      </c>
      <c r="AB653" s="15" t="s">
        <v>413</v>
      </c>
      <c r="AC653" s="15" t="s">
        <v>7274</v>
      </c>
      <c r="AD653" s="15" t="s">
        <v>19134</v>
      </c>
      <c r="AE653" s="15" t="s">
        <v>7277</v>
      </c>
      <c r="AF653" s="15" t="s">
        <v>19135</v>
      </c>
      <c r="AG653" s="15" t="s">
        <v>19136</v>
      </c>
      <c r="AH653" s="15" t="s">
        <v>19137</v>
      </c>
      <c r="AI653" s="15" t="s">
        <v>19138</v>
      </c>
      <c r="AJ653" s="15" t="s">
        <v>19139</v>
      </c>
      <c r="AK653" s="15" t="s">
        <v>19140</v>
      </c>
      <c r="AL653" s="15" t="s">
        <v>19141</v>
      </c>
      <c r="AM653" s="15" t="s">
        <v>19142</v>
      </c>
      <c r="AN653" s="15" t="s">
        <v>19143</v>
      </c>
      <c r="AO653" s="15" t="s">
        <v>19144</v>
      </c>
      <c r="BH653" s="15" t="s">
        <v>7275</v>
      </c>
      <c r="BI653" s="15" t="str">
        <f>"3499"</f>
        <v>3499</v>
      </c>
      <c r="BJ653" s="15" t="str">
        <f>"1470"</f>
        <v>1470</v>
      </c>
      <c r="BK653" s="15" t="s">
        <v>709</v>
      </c>
      <c r="BL653" s="15" t="str">
        <f t="shared" si="1841"/>
        <v>1</v>
      </c>
      <c r="BM653" s="15" t="s">
        <v>416</v>
      </c>
      <c r="BN653" s="15" t="str">
        <f>"88.58"</f>
        <v>88.58</v>
      </c>
      <c r="BO653" s="15" t="str">
        <f>"36.02"</f>
        <v>36.02</v>
      </c>
      <c r="BP653" s="15" t="str">
        <f>"28.35"</f>
        <v>28.35</v>
      </c>
      <c r="BQ653" s="15" t="str">
        <f>"139.99"</f>
        <v>139.99</v>
      </c>
      <c r="CG653" s="15" t="str">
        <f>"52.34"</f>
        <v>52.34</v>
      </c>
      <c r="CH653" s="15" t="str">
        <f>"1.482"</f>
        <v>1.482</v>
      </c>
      <c r="CI653" s="15" t="s">
        <v>465</v>
      </c>
      <c r="CS653" s="15" t="s">
        <v>555</v>
      </c>
      <c r="CT653" s="15" t="s">
        <v>1161</v>
      </c>
      <c r="CU653" s="15" t="s">
        <v>7278</v>
      </c>
      <c r="CV653" s="15">
        <v>0.0</v>
      </c>
      <c r="CW653" s="15">
        <v>0.0</v>
      </c>
      <c r="CX653" s="15" t="s">
        <v>717</v>
      </c>
      <c r="CY653" s="15" t="s">
        <v>718</v>
      </c>
      <c r="DF653" s="15" t="s">
        <v>721</v>
      </c>
      <c r="DG653" s="15" t="s">
        <v>419</v>
      </c>
      <c r="DH653" s="15">
        <v>0.0</v>
      </c>
      <c r="DL653" s="15">
        <v>0.0</v>
      </c>
      <c r="DM653" s="15" t="s">
        <v>990</v>
      </c>
      <c r="DP653" s="15">
        <v>0.0</v>
      </c>
      <c r="DQ653" s="15">
        <v>4.0</v>
      </c>
      <c r="DS653" s="15" t="s">
        <v>7270</v>
      </c>
      <c r="DT653" s="15">
        <v>0.0</v>
      </c>
      <c r="DU653" s="15" t="s">
        <v>588</v>
      </c>
      <c r="DV653" s="15" t="s">
        <v>1064</v>
      </c>
      <c r="DW653" s="15" t="s">
        <v>531</v>
      </c>
      <c r="DX653" s="15" t="s">
        <v>730</v>
      </c>
      <c r="EB653" s="15" t="s">
        <v>505</v>
      </c>
      <c r="EF653" s="15" t="s">
        <v>1188</v>
      </c>
      <c r="EG653" s="15" t="s">
        <v>2384</v>
      </c>
      <c r="EH653" s="15" t="s">
        <v>4508</v>
      </c>
      <c r="EI653" s="15" t="s">
        <v>531</v>
      </c>
      <c r="EO653" s="15" t="s">
        <v>1255</v>
      </c>
      <c r="FB653" s="15" t="s">
        <v>3362</v>
      </c>
    </row>
    <row r="654" ht="17.25" customHeight="1">
      <c r="A654" s="15" t="s">
        <v>7280</v>
      </c>
      <c r="B654" s="15" t="str">
        <f>"801542742706"</f>
        <v>801542742706</v>
      </c>
      <c r="C654" s="15" t="s">
        <v>19145</v>
      </c>
      <c r="D654" s="15" t="str">
        <f t="shared" si="1"/>
        <v>Maxx SofaHeirloom Sienna95</v>
      </c>
      <c r="E654" s="15" t="s">
        <v>7260</v>
      </c>
      <c r="F654" s="15" t="s">
        <v>397</v>
      </c>
      <c r="G654" s="15" t="s">
        <v>1596</v>
      </c>
      <c r="H654" s="15" t="s">
        <v>265</v>
      </c>
      <c r="I654" s="15" t="s">
        <v>2370</v>
      </c>
      <c r="J654" s="15" t="s">
        <v>1596</v>
      </c>
      <c r="K654" s="15" t="s">
        <v>6600</v>
      </c>
      <c r="L654" s="15" t="s">
        <v>7266</v>
      </c>
      <c r="M654" s="15" t="s">
        <v>915</v>
      </c>
      <c r="N654" s="15" t="s">
        <v>1732</v>
      </c>
      <c r="P654" s="15" t="str">
        <f>"95"</f>
        <v>95</v>
      </c>
      <c r="Q654" s="15" t="str">
        <f t="shared" si="1880"/>
        <v>34.75</v>
      </c>
      <c r="R654" s="15" t="str">
        <f t="shared" si="1881"/>
        <v>27</v>
      </c>
      <c r="S654" s="15" t="str">
        <f>"134.48"</f>
        <v>134.48</v>
      </c>
      <c r="T654" s="15" t="s">
        <v>2578</v>
      </c>
      <c r="U654" s="15" t="s">
        <v>11137</v>
      </c>
      <c r="V654" s="15" t="s">
        <v>11210</v>
      </c>
      <c r="W654" s="15" t="s">
        <v>11139</v>
      </c>
      <c r="AA654" s="15" t="s">
        <v>413</v>
      </c>
      <c r="AB654" s="15" t="s">
        <v>413</v>
      </c>
      <c r="AC654" s="15" t="s">
        <v>7282</v>
      </c>
      <c r="AD654" s="15" t="s">
        <v>19146</v>
      </c>
      <c r="AE654" s="15" t="s">
        <v>7281</v>
      </c>
      <c r="AF654" s="15" t="s">
        <v>19147</v>
      </c>
      <c r="AG654" s="15" t="s">
        <v>19148</v>
      </c>
      <c r="AH654" s="15" t="s">
        <v>19149</v>
      </c>
      <c r="AI654" s="15" t="s">
        <v>19150</v>
      </c>
      <c r="AJ654" s="15" t="s">
        <v>19151</v>
      </c>
      <c r="AK654" s="15" t="s">
        <v>11838</v>
      </c>
      <c r="AL654" s="15" t="s">
        <v>19152</v>
      </c>
      <c r="AM654" s="15" t="s">
        <v>19153</v>
      </c>
      <c r="AN654" s="15" t="s">
        <v>19154</v>
      </c>
      <c r="AO654" s="15" t="s">
        <v>19155</v>
      </c>
      <c r="AP654" s="15" t="s">
        <v>19156</v>
      </c>
      <c r="BH654" s="15" t="s">
        <v>7279</v>
      </c>
      <c r="BI654" s="15" t="str">
        <f>"3699"</f>
        <v>3699</v>
      </c>
      <c r="BJ654" s="15" t="str">
        <f>"1555"</f>
        <v>1555</v>
      </c>
      <c r="BK654" s="15" t="s">
        <v>709</v>
      </c>
      <c r="BL654" s="15" t="str">
        <f t="shared" si="1841"/>
        <v>1</v>
      </c>
      <c r="BM654" s="15" t="s">
        <v>416</v>
      </c>
      <c r="BN654" s="15" t="str">
        <f>"97.64"</f>
        <v>97.64</v>
      </c>
      <c r="BO654" s="15" t="str">
        <f>"36.61"</f>
        <v>36.61</v>
      </c>
      <c r="BP654" s="15" t="str">
        <f>"28.74"</f>
        <v>28.74</v>
      </c>
      <c r="BQ654" s="15" t="str">
        <f>"159.17"</f>
        <v>159.17</v>
      </c>
      <c r="CG654" s="15" t="str">
        <f>"59.47"</f>
        <v>59.47</v>
      </c>
      <c r="CH654" s="15" t="str">
        <f>"1.684"</f>
        <v>1.684</v>
      </c>
      <c r="CI654" s="15" t="s">
        <v>497</v>
      </c>
      <c r="CS654" s="15" t="s">
        <v>1212</v>
      </c>
      <c r="CT654" s="15" t="s">
        <v>1161</v>
      </c>
      <c r="CU654" s="15" t="s">
        <v>4844</v>
      </c>
      <c r="CV654" s="15">
        <v>0.0</v>
      </c>
      <c r="CW654" s="15">
        <v>0.0</v>
      </c>
      <c r="CX654" s="15" t="s">
        <v>717</v>
      </c>
      <c r="CY654" s="15" t="s">
        <v>718</v>
      </c>
      <c r="DF654" s="15" t="s">
        <v>721</v>
      </c>
      <c r="DG654" s="15" t="s">
        <v>419</v>
      </c>
      <c r="DH654" s="15">
        <v>0.0</v>
      </c>
      <c r="DL654" s="15">
        <v>0.0</v>
      </c>
      <c r="DM654" s="15" t="s">
        <v>990</v>
      </c>
      <c r="DP654" s="15">
        <v>0.0</v>
      </c>
      <c r="DQ654" s="15">
        <v>3.0</v>
      </c>
      <c r="DS654" s="15" t="s">
        <v>7270</v>
      </c>
      <c r="DT654" s="15">
        <v>0.0</v>
      </c>
      <c r="DU654" s="15" t="s">
        <v>473</v>
      </c>
      <c r="DV654" s="15" t="s">
        <v>1064</v>
      </c>
      <c r="DW654" s="15" t="s">
        <v>531</v>
      </c>
      <c r="DX654" s="15" t="s">
        <v>730</v>
      </c>
      <c r="EB654" s="15" t="s">
        <v>505</v>
      </c>
      <c r="EF654" s="15" t="s">
        <v>1188</v>
      </c>
      <c r="EG654" s="15" t="s">
        <v>2384</v>
      </c>
      <c r="EH654" s="15" t="s">
        <v>3842</v>
      </c>
      <c r="EI654" s="15" t="s">
        <v>531</v>
      </c>
      <c r="EO654" s="15" t="s">
        <v>1255</v>
      </c>
      <c r="FB654" s="15" t="s">
        <v>3362</v>
      </c>
    </row>
    <row r="655" ht="17.25" customHeight="1">
      <c r="A655" s="15" t="s">
        <v>7284</v>
      </c>
      <c r="B655" s="15" t="str">
        <f>"801542851194"</f>
        <v>801542851194</v>
      </c>
      <c r="C655" s="15" t="s">
        <v>19145</v>
      </c>
      <c r="D655" s="15" t="str">
        <f t="shared" si="1"/>
        <v>Maxx SofaHeirloom Sienna85.75</v>
      </c>
      <c r="E655" s="15" t="s">
        <v>7260</v>
      </c>
      <c r="F655" s="15" t="s">
        <v>397</v>
      </c>
      <c r="G655" s="15" t="s">
        <v>1596</v>
      </c>
      <c r="H655" s="15" t="s">
        <v>265</v>
      </c>
      <c r="I655" s="15" t="s">
        <v>3092</v>
      </c>
      <c r="J655" s="15" t="s">
        <v>1596</v>
      </c>
      <c r="K655" s="15" t="s">
        <v>6600</v>
      </c>
      <c r="L655" s="15" t="s">
        <v>7266</v>
      </c>
      <c r="M655" s="15" t="s">
        <v>915</v>
      </c>
      <c r="N655" s="15" t="s">
        <v>1732</v>
      </c>
      <c r="P655" s="15" t="str">
        <f>"85.75"</f>
        <v>85.75</v>
      </c>
      <c r="Q655" s="15" t="str">
        <f t="shared" si="1880"/>
        <v>34.75</v>
      </c>
      <c r="R655" s="15" t="str">
        <f t="shared" si="1881"/>
        <v>27</v>
      </c>
      <c r="S655" s="15" t="str">
        <f>"110.23"</f>
        <v>110.23</v>
      </c>
      <c r="T655" s="15" t="s">
        <v>2578</v>
      </c>
      <c r="U655" s="15" t="s">
        <v>11137</v>
      </c>
      <c r="V655" s="15" t="s">
        <v>11210</v>
      </c>
      <c r="W655" s="15" t="s">
        <v>11139</v>
      </c>
      <c r="AA655" s="15" t="s">
        <v>413</v>
      </c>
      <c r="AB655" s="15" t="s">
        <v>413</v>
      </c>
      <c r="AC655" s="15" t="s">
        <v>7286</v>
      </c>
      <c r="AD655" s="15" t="s">
        <v>19157</v>
      </c>
      <c r="AE655" s="15" t="s">
        <v>7285</v>
      </c>
      <c r="AF655" s="15" t="s">
        <v>19158</v>
      </c>
      <c r="AG655" s="15" t="s">
        <v>19159</v>
      </c>
      <c r="AH655" s="15" t="s">
        <v>19160</v>
      </c>
      <c r="AI655" s="15" t="s">
        <v>19161</v>
      </c>
      <c r="AJ655" s="15" t="s">
        <v>19162</v>
      </c>
      <c r="AK655" s="15" t="s">
        <v>11838</v>
      </c>
      <c r="AL655" s="15" t="s">
        <v>19163</v>
      </c>
      <c r="AM655" s="15" t="s">
        <v>19164</v>
      </c>
      <c r="AN655" s="15" t="s">
        <v>19165</v>
      </c>
      <c r="AO655" s="15" t="s">
        <v>19166</v>
      </c>
      <c r="BH655" s="15" t="s">
        <v>7283</v>
      </c>
      <c r="BI655" s="15" t="str">
        <f>"3499"</f>
        <v>3499</v>
      </c>
      <c r="BJ655" s="15" t="str">
        <f>"1470"</f>
        <v>1470</v>
      </c>
      <c r="BK655" s="15" t="s">
        <v>709</v>
      </c>
      <c r="BL655" s="15" t="str">
        <f t="shared" si="1841"/>
        <v>1</v>
      </c>
      <c r="BM655" s="15" t="s">
        <v>416</v>
      </c>
      <c r="BN655" s="15" t="str">
        <f>"88.58"</f>
        <v>88.58</v>
      </c>
      <c r="BO655" s="15" t="str">
        <f>"36.02"</f>
        <v>36.02</v>
      </c>
      <c r="BP655" s="15" t="str">
        <f>"28.35"</f>
        <v>28.35</v>
      </c>
      <c r="BQ655" s="15" t="str">
        <f>"139.99"</f>
        <v>139.99</v>
      </c>
      <c r="CG655" s="15" t="str">
        <f>"52.34"</f>
        <v>52.34</v>
      </c>
      <c r="CH655" s="15" t="str">
        <f>"1.482"</f>
        <v>1.482</v>
      </c>
      <c r="CI655" s="15" t="s">
        <v>497</v>
      </c>
      <c r="CS655" s="15" t="s">
        <v>555</v>
      </c>
      <c r="CT655" s="15" t="s">
        <v>1161</v>
      </c>
      <c r="CU655" s="15" t="s">
        <v>7278</v>
      </c>
      <c r="CV655" s="15">
        <v>0.0</v>
      </c>
      <c r="CW655" s="15">
        <v>0.0</v>
      </c>
      <c r="CX655" s="15" t="s">
        <v>717</v>
      </c>
      <c r="CY655" s="15" t="s">
        <v>718</v>
      </c>
      <c r="DF655" s="15" t="s">
        <v>721</v>
      </c>
      <c r="DG655" s="15" t="s">
        <v>419</v>
      </c>
      <c r="DH655" s="15">
        <v>0.0</v>
      </c>
      <c r="DL655" s="15">
        <v>0.0</v>
      </c>
      <c r="DM655" s="15" t="s">
        <v>990</v>
      </c>
      <c r="DP655" s="15">
        <v>0.0</v>
      </c>
      <c r="DQ655" s="15">
        <v>4.0</v>
      </c>
      <c r="DS655" s="15" t="s">
        <v>7270</v>
      </c>
      <c r="DT655" s="15">
        <v>0.0</v>
      </c>
      <c r="DU655" s="15" t="s">
        <v>588</v>
      </c>
      <c r="DV655" s="15" t="s">
        <v>1064</v>
      </c>
      <c r="DW655" s="15" t="s">
        <v>531</v>
      </c>
      <c r="DX655" s="15" t="s">
        <v>730</v>
      </c>
      <c r="EB655" s="15" t="s">
        <v>505</v>
      </c>
      <c r="EF655" s="15" t="s">
        <v>1188</v>
      </c>
      <c r="EG655" s="15" t="s">
        <v>2384</v>
      </c>
      <c r="EH655" s="15" t="s">
        <v>4508</v>
      </c>
      <c r="EI655" s="15" t="s">
        <v>531</v>
      </c>
      <c r="EO655" s="15" t="s">
        <v>1255</v>
      </c>
      <c r="FB655" s="15" t="s">
        <v>3362</v>
      </c>
    </row>
    <row r="656" ht="17.25" customHeight="1">
      <c r="A656" s="15" t="s">
        <v>7288</v>
      </c>
      <c r="B656" s="15" t="str">
        <f>"801542382438"</f>
        <v>801542382438</v>
      </c>
      <c r="C656" s="15" t="s">
        <v>19167</v>
      </c>
      <c r="D656" s="15" t="str">
        <f t="shared" si="1"/>
        <v>Maxx SofaSapphire Birch</v>
      </c>
      <c r="E656" s="15" t="s">
        <v>7260</v>
      </c>
      <c r="F656" s="15" t="s">
        <v>397</v>
      </c>
      <c r="G656" s="15" t="s">
        <v>4342</v>
      </c>
      <c r="J656" s="15" t="s">
        <v>4342</v>
      </c>
      <c r="K656" s="15" t="s">
        <v>7265</v>
      </c>
      <c r="L656" s="15" t="s">
        <v>7266</v>
      </c>
      <c r="M656" s="15" t="s">
        <v>915</v>
      </c>
      <c r="N656" s="15" t="s">
        <v>1732</v>
      </c>
      <c r="P656" s="15" t="str">
        <f t="shared" ref="P656:P657" si="1889">"95"</f>
        <v>95</v>
      </c>
      <c r="Q656" s="15" t="str">
        <f t="shared" si="1880"/>
        <v>34.75</v>
      </c>
      <c r="R656" s="15" t="str">
        <f t="shared" si="1881"/>
        <v>27</v>
      </c>
      <c r="S656" s="15" t="str">
        <f t="shared" ref="S656:S657" si="1890">"134.48"</f>
        <v>134.48</v>
      </c>
      <c r="T656" s="15" t="s">
        <v>7290</v>
      </c>
      <c r="U656" s="15" t="s">
        <v>11234</v>
      </c>
      <c r="V656" s="15" t="s">
        <v>11898</v>
      </c>
      <c r="W656" s="15" t="s">
        <v>11210</v>
      </c>
      <c r="X656" s="15" t="s">
        <v>11139</v>
      </c>
      <c r="AA656" s="15" t="s">
        <v>413</v>
      </c>
      <c r="AB656" s="15" t="s">
        <v>413</v>
      </c>
      <c r="AC656" s="15" t="s">
        <v>7291</v>
      </c>
      <c r="AD656" s="15" t="s">
        <v>19168</v>
      </c>
      <c r="AE656" s="15" t="s">
        <v>7289</v>
      </c>
      <c r="AF656" s="15" t="s">
        <v>19169</v>
      </c>
      <c r="AG656" s="15" t="s">
        <v>19170</v>
      </c>
      <c r="AH656" s="15" t="s">
        <v>19171</v>
      </c>
      <c r="AI656" s="15" t="s">
        <v>19172</v>
      </c>
      <c r="AJ656" s="15" t="s">
        <v>19173</v>
      </c>
      <c r="AK656" s="15" t="s">
        <v>15025</v>
      </c>
      <c r="AL656" s="15" t="s">
        <v>19174</v>
      </c>
      <c r="AM656" s="15" t="s">
        <v>19175</v>
      </c>
      <c r="AN656" s="15" t="s">
        <v>19176</v>
      </c>
      <c r="AO656" s="15" t="s">
        <v>19177</v>
      </c>
      <c r="AP656" s="15" t="s">
        <v>19178</v>
      </c>
      <c r="AQ656" s="15" t="s">
        <v>19179</v>
      </c>
      <c r="AR656" s="15" t="s">
        <v>19180</v>
      </c>
      <c r="AS656" s="15" t="s">
        <v>19181</v>
      </c>
      <c r="AT656" s="15" t="s">
        <v>19182</v>
      </c>
      <c r="BH656" s="15" t="s">
        <v>7287</v>
      </c>
      <c r="BI656" s="15" t="str">
        <f>"2299"</f>
        <v>2299</v>
      </c>
      <c r="BJ656" s="15" t="str">
        <f>"970"</f>
        <v>970</v>
      </c>
      <c r="BK656" s="15" t="s">
        <v>709</v>
      </c>
      <c r="BL656" s="15" t="str">
        <f t="shared" si="1841"/>
        <v>1</v>
      </c>
      <c r="BM656" s="15" t="s">
        <v>416</v>
      </c>
      <c r="BN656" s="15" t="str">
        <f t="shared" ref="BN656:BN657" si="1891">"97.64"</f>
        <v>97.64</v>
      </c>
      <c r="BO656" s="15" t="str">
        <f t="shared" ref="BO656:BO657" si="1892">"36.61"</f>
        <v>36.61</v>
      </c>
      <c r="BP656" s="15" t="str">
        <f t="shared" ref="BP656:BP657" si="1893">"28.74"</f>
        <v>28.74</v>
      </c>
      <c r="BQ656" s="15" t="str">
        <f t="shared" ref="BQ656:BQ657" si="1894">"159.17"</f>
        <v>159.17</v>
      </c>
      <c r="CG656" s="15" t="str">
        <f t="shared" ref="CG656:CG657" si="1895">"59.47"</f>
        <v>59.47</v>
      </c>
      <c r="CH656" s="15" t="str">
        <f t="shared" ref="CH656:CH657" si="1896">"1.684"</f>
        <v>1.684</v>
      </c>
      <c r="CI656" s="15" t="s">
        <v>497</v>
      </c>
      <c r="CS656" s="15" t="s">
        <v>1212</v>
      </c>
      <c r="CT656" s="15" t="s">
        <v>1161</v>
      </c>
      <c r="CU656" s="15" t="s">
        <v>4844</v>
      </c>
      <c r="CV656" s="15">
        <v>0.0</v>
      </c>
      <c r="CW656" s="15">
        <v>0.0</v>
      </c>
      <c r="CX656" s="15" t="s">
        <v>717</v>
      </c>
      <c r="CY656" s="15" t="s">
        <v>897</v>
      </c>
      <c r="DF656" s="15" t="s">
        <v>721</v>
      </c>
      <c r="DG656" s="15" t="s">
        <v>419</v>
      </c>
      <c r="DH656" s="15">
        <v>0.0</v>
      </c>
      <c r="DL656" s="15">
        <v>100000.0</v>
      </c>
      <c r="DM656" s="15" t="s">
        <v>990</v>
      </c>
      <c r="DP656" s="15">
        <v>0.0</v>
      </c>
      <c r="DQ656" s="15">
        <v>3.0</v>
      </c>
      <c r="DS656" s="15" t="s">
        <v>7270</v>
      </c>
      <c r="DT656" s="15">
        <v>0.0</v>
      </c>
      <c r="DU656" s="15" t="s">
        <v>473</v>
      </c>
      <c r="DV656" s="15" t="s">
        <v>1064</v>
      </c>
      <c r="DW656" s="15" t="s">
        <v>531</v>
      </c>
      <c r="DX656" s="15" t="s">
        <v>730</v>
      </c>
      <c r="EB656" s="15" t="s">
        <v>505</v>
      </c>
      <c r="EF656" s="15" t="s">
        <v>1188</v>
      </c>
      <c r="EG656" s="15" t="s">
        <v>2384</v>
      </c>
      <c r="EH656" s="15" t="s">
        <v>3842</v>
      </c>
      <c r="EI656" s="15" t="s">
        <v>531</v>
      </c>
      <c r="EO656" s="15" t="s">
        <v>1255</v>
      </c>
      <c r="FB656" s="15" t="s">
        <v>3362</v>
      </c>
    </row>
    <row r="657" ht="17.25" customHeight="1">
      <c r="A657" s="15" t="s">
        <v>7294</v>
      </c>
      <c r="B657" s="15" t="str">
        <f>"801542381035"</f>
        <v>801542381035</v>
      </c>
      <c r="C657" s="15" t="s">
        <v>19183</v>
      </c>
      <c r="D657" s="15" t="str">
        <f t="shared" si="1"/>
        <v>Maxx SofaUmber Grey</v>
      </c>
      <c r="E657" s="15" t="s">
        <v>7260</v>
      </c>
      <c r="F657" s="15" t="s">
        <v>397</v>
      </c>
      <c r="G657" s="15" t="s">
        <v>7293</v>
      </c>
      <c r="J657" s="15" t="s">
        <v>7293</v>
      </c>
      <c r="K657" s="15" t="s">
        <v>7265</v>
      </c>
      <c r="L657" s="15" t="s">
        <v>7266</v>
      </c>
      <c r="M657" s="15" t="s">
        <v>915</v>
      </c>
      <c r="N657" s="15" t="s">
        <v>1732</v>
      </c>
      <c r="P657" s="15" t="str">
        <f t="shared" si="1889"/>
        <v>95</v>
      </c>
      <c r="Q657" s="15" t="str">
        <f t="shared" si="1880"/>
        <v>34.75</v>
      </c>
      <c r="R657" s="15" t="str">
        <f t="shared" si="1881"/>
        <v>27</v>
      </c>
      <c r="S657" s="15" t="str">
        <f t="shared" si="1890"/>
        <v>134.48</v>
      </c>
      <c r="T657" s="15" t="s">
        <v>2578</v>
      </c>
      <c r="U657" s="15" t="s">
        <v>11137</v>
      </c>
      <c r="V657" s="15" t="s">
        <v>11210</v>
      </c>
      <c r="W657" s="15" t="s">
        <v>11139</v>
      </c>
      <c r="AA657" s="15" t="s">
        <v>413</v>
      </c>
      <c r="AB657" s="15" t="s">
        <v>413</v>
      </c>
      <c r="AC657" s="15" t="s">
        <v>7296</v>
      </c>
      <c r="AD657" s="15" t="s">
        <v>19184</v>
      </c>
      <c r="AE657" s="15" t="s">
        <v>7295</v>
      </c>
      <c r="AF657" s="15" t="s">
        <v>19185</v>
      </c>
      <c r="AG657" s="15" t="s">
        <v>19186</v>
      </c>
      <c r="AH657" s="15" t="s">
        <v>19187</v>
      </c>
      <c r="AI657" s="15" t="s">
        <v>19188</v>
      </c>
      <c r="AJ657" s="15" t="s">
        <v>19189</v>
      </c>
      <c r="AK657" s="15" t="s">
        <v>19190</v>
      </c>
      <c r="AL657" s="15" t="s">
        <v>19191</v>
      </c>
      <c r="AM657" s="15" t="s">
        <v>19192</v>
      </c>
      <c r="AN657" s="15" t="s">
        <v>19193</v>
      </c>
      <c r="AO657" s="15" t="s">
        <v>19194</v>
      </c>
      <c r="BH657" s="15" t="s">
        <v>7292</v>
      </c>
      <c r="BI657" s="15" t="str">
        <f>"3199"</f>
        <v>3199</v>
      </c>
      <c r="BJ657" s="15" t="str">
        <f>"1345"</f>
        <v>1345</v>
      </c>
      <c r="BK657" s="15" t="s">
        <v>709</v>
      </c>
      <c r="BL657" s="15" t="str">
        <f t="shared" si="1841"/>
        <v>1</v>
      </c>
      <c r="BM657" s="15" t="s">
        <v>416</v>
      </c>
      <c r="BN657" s="15" t="str">
        <f t="shared" si="1891"/>
        <v>97.64</v>
      </c>
      <c r="BO657" s="15" t="str">
        <f t="shared" si="1892"/>
        <v>36.61</v>
      </c>
      <c r="BP657" s="15" t="str">
        <f t="shared" si="1893"/>
        <v>28.74</v>
      </c>
      <c r="BQ657" s="15" t="str">
        <f t="shared" si="1894"/>
        <v>159.17</v>
      </c>
      <c r="CG657" s="15" t="str">
        <f t="shared" si="1895"/>
        <v>59.47</v>
      </c>
      <c r="CH657" s="15" t="str">
        <f t="shared" si="1896"/>
        <v>1.684</v>
      </c>
      <c r="CI657" s="15" t="s">
        <v>497</v>
      </c>
      <c r="CS657" s="15" t="s">
        <v>1212</v>
      </c>
      <c r="CT657" s="15" t="s">
        <v>1161</v>
      </c>
      <c r="CU657" s="15" t="s">
        <v>4844</v>
      </c>
      <c r="CV657" s="15">
        <v>0.0</v>
      </c>
      <c r="CW657" s="15">
        <v>0.0</v>
      </c>
      <c r="CX657" s="15" t="s">
        <v>717</v>
      </c>
      <c r="CY657" s="15" t="s">
        <v>718</v>
      </c>
      <c r="DF657" s="15" t="s">
        <v>721</v>
      </c>
      <c r="DG657" s="15" t="s">
        <v>419</v>
      </c>
      <c r="DH657" s="15">
        <v>0.0</v>
      </c>
      <c r="DL657" s="15">
        <v>0.0</v>
      </c>
      <c r="DM657" s="15" t="s">
        <v>990</v>
      </c>
      <c r="DP657" s="15">
        <v>0.0</v>
      </c>
      <c r="DQ657" s="15">
        <v>3.0</v>
      </c>
      <c r="DS657" s="15" t="s">
        <v>7270</v>
      </c>
      <c r="DT657" s="15">
        <v>0.0</v>
      </c>
      <c r="DU657" s="15" t="s">
        <v>473</v>
      </c>
      <c r="DV657" s="15" t="s">
        <v>1064</v>
      </c>
      <c r="DW657" s="15" t="s">
        <v>531</v>
      </c>
      <c r="DX657" s="15" t="s">
        <v>730</v>
      </c>
      <c r="EB657" s="15" t="s">
        <v>505</v>
      </c>
      <c r="EF657" s="15" t="s">
        <v>1188</v>
      </c>
      <c r="EG657" s="15" t="s">
        <v>2384</v>
      </c>
      <c r="EH657" s="15" t="s">
        <v>3842</v>
      </c>
      <c r="EI657" s="15" t="s">
        <v>531</v>
      </c>
      <c r="EO657" s="15" t="s">
        <v>1255</v>
      </c>
      <c r="FB657" s="15" t="s">
        <v>3362</v>
      </c>
    </row>
    <row r="658" ht="17.25" customHeight="1">
      <c r="A658" s="15" t="s">
        <v>7299</v>
      </c>
      <c r="B658" s="15" t="str">
        <f>"801542845407"</f>
        <v>801542845407</v>
      </c>
      <c r="C658" s="15" t="s">
        <v>19195</v>
      </c>
      <c r="D658" s="15" t="str">
        <f t="shared" si="1"/>
        <v>Maxx Swivel ChairHeirloom Black</v>
      </c>
      <c r="E658" s="15" t="s">
        <v>7297</v>
      </c>
      <c r="F658" s="15" t="s">
        <v>397</v>
      </c>
      <c r="G658" s="15" t="s">
        <v>2575</v>
      </c>
      <c r="J658" s="15" t="s">
        <v>2575</v>
      </c>
      <c r="K658" s="15" t="s">
        <v>6600</v>
      </c>
      <c r="L658" s="15" t="s">
        <v>7266</v>
      </c>
      <c r="M658" s="15" t="s">
        <v>915</v>
      </c>
      <c r="N658" s="15" t="s">
        <v>706</v>
      </c>
      <c r="O658" s="15" t="s">
        <v>707</v>
      </c>
      <c r="P658" s="15" t="str">
        <f t="shared" ref="P658:P661" si="1897">"33.5"</f>
        <v>33.5</v>
      </c>
      <c r="Q658" s="15" t="str">
        <f t="shared" ref="Q658:Q661" si="1898">"33.75"</f>
        <v>33.75</v>
      </c>
      <c r="R658" s="15" t="str">
        <f t="shared" ref="R658:R661" si="1899">"26"</f>
        <v>26</v>
      </c>
      <c r="S658" s="15" t="str">
        <f t="shared" ref="S658:S661" si="1900">"77.16"</f>
        <v>77.16</v>
      </c>
      <c r="T658" s="15" t="s">
        <v>2578</v>
      </c>
      <c r="U658" s="15" t="s">
        <v>11137</v>
      </c>
      <c r="V658" s="15" t="s">
        <v>11210</v>
      </c>
      <c r="W658" s="15" t="s">
        <v>11139</v>
      </c>
      <c r="AA658" s="15" t="s">
        <v>413</v>
      </c>
      <c r="AB658" s="15" t="s">
        <v>413</v>
      </c>
      <c r="AD658" s="15" t="s">
        <v>19196</v>
      </c>
      <c r="AE658" s="15" t="s">
        <v>7300</v>
      </c>
      <c r="AF658" s="15" t="s">
        <v>19197</v>
      </c>
      <c r="AG658" s="15" t="s">
        <v>19198</v>
      </c>
      <c r="AH658" s="15" t="s">
        <v>19199</v>
      </c>
      <c r="AI658" s="15" t="s">
        <v>19200</v>
      </c>
      <c r="AJ658" s="15" t="s">
        <v>19201</v>
      </c>
      <c r="AK658" s="15" t="s">
        <v>19202</v>
      </c>
      <c r="AL658" s="15" t="s">
        <v>19203</v>
      </c>
      <c r="AM658" s="15" t="s">
        <v>19204</v>
      </c>
      <c r="AN658" s="15" t="s">
        <v>19205</v>
      </c>
      <c r="BH658" s="15" t="s">
        <v>7298</v>
      </c>
      <c r="BI658" s="15" t="str">
        <f t="shared" ref="BI658:BI659" si="1901">"2099"</f>
        <v>2099</v>
      </c>
      <c r="BJ658" s="15" t="str">
        <f t="shared" ref="BJ658:BJ659" si="1902">"885"</f>
        <v>885</v>
      </c>
      <c r="BK658" s="15" t="s">
        <v>709</v>
      </c>
      <c r="BL658" s="15" t="str">
        <f t="shared" si="1841"/>
        <v>1</v>
      </c>
      <c r="BM658" s="15" t="s">
        <v>416</v>
      </c>
      <c r="BN658" s="15" t="str">
        <f t="shared" ref="BN658:BN661" si="1903">"35.83"</f>
        <v>35.83</v>
      </c>
      <c r="BO658" s="15" t="str">
        <f t="shared" ref="BO658:BO661" si="1904">"35.94"</f>
        <v>35.94</v>
      </c>
      <c r="BP658" s="15" t="str">
        <f t="shared" ref="BP658:BP661" si="1905">"26.97"</f>
        <v>26.97</v>
      </c>
      <c r="BQ658" s="15" t="str">
        <f t="shared" ref="BQ658:BQ661" si="1906">"88.18"</f>
        <v>88.18</v>
      </c>
      <c r="CG658" s="15" t="str">
        <f t="shared" ref="CG658:CG661" si="1907">"20.09"</f>
        <v>20.09</v>
      </c>
      <c r="CH658" s="15" t="str">
        <f t="shared" ref="CH658:CH661" si="1908">"0.569"</f>
        <v>0.569</v>
      </c>
      <c r="CI658" s="15" t="s">
        <v>465</v>
      </c>
      <c r="CS658" s="15" t="s">
        <v>555</v>
      </c>
      <c r="CT658" s="15" t="s">
        <v>1213</v>
      </c>
      <c r="CU658" s="15" t="s">
        <v>1237</v>
      </c>
      <c r="CV658" s="15">
        <v>0.0</v>
      </c>
      <c r="CW658" s="15">
        <v>0.0</v>
      </c>
      <c r="CX658" s="15" t="s">
        <v>717</v>
      </c>
      <c r="CY658" s="15" t="s">
        <v>718</v>
      </c>
      <c r="DF658" s="15" t="s">
        <v>721</v>
      </c>
      <c r="DG658" s="15" t="s">
        <v>1605</v>
      </c>
      <c r="DH658" s="15">
        <v>0.0</v>
      </c>
      <c r="DL658" s="15">
        <v>0.0</v>
      </c>
      <c r="DM658" s="15" t="s">
        <v>990</v>
      </c>
      <c r="DP658" s="15">
        <v>0.0</v>
      </c>
      <c r="DQ658" s="15">
        <v>1.0</v>
      </c>
      <c r="DS658" s="15" t="s">
        <v>7270</v>
      </c>
      <c r="DT658" s="15">
        <v>0.0</v>
      </c>
      <c r="DU658" s="15" t="s">
        <v>726</v>
      </c>
      <c r="DV658" s="15" t="s">
        <v>1806</v>
      </c>
      <c r="DW658" s="15" t="s">
        <v>531</v>
      </c>
      <c r="DX658" s="15" t="s">
        <v>4268</v>
      </c>
      <c r="EB658" s="15" t="s">
        <v>505</v>
      </c>
      <c r="EF658" s="15" t="s">
        <v>612</v>
      </c>
      <c r="EI658" s="15" t="s">
        <v>531</v>
      </c>
      <c r="EO658" s="15" t="s">
        <v>860</v>
      </c>
      <c r="EX658" s="15" t="s">
        <v>1237</v>
      </c>
      <c r="EY658" s="15" t="s">
        <v>1237</v>
      </c>
      <c r="EZ658" s="15">
        <v>0.0</v>
      </c>
      <c r="FA658" s="15">
        <v>0.0</v>
      </c>
      <c r="FB658" s="15" t="s">
        <v>3362</v>
      </c>
      <c r="FC658" s="15">
        <v>0.0</v>
      </c>
      <c r="HU658" s="15" t="s">
        <v>1610</v>
      </c>
    </row>
    <row r="659" ht="17.25" customHeight="1">
      <c r="A659" s="15" t="s">
        <v>7303</v>
      </c>
      <c r="B659" s="15" t="str">
        <f>"801542742201"</f>
        <v>801542742201</v>
      </c>
      <c r="C659" s="15" t="s">
        <v>19206</v>
      </c>
      <c r="D659" s="15" t="str">
        <f t="shared" si="1"/>
        <v>Maxx Swivel ChairHeirloom Sienna</v>
      </c>
      <c r="E659" s="15" t="s">
        <v>7297</v>
      </c>
      <c r="F659" s="15" t="s">
        <v>397</v>
      </c>
      <c r="G659" s="15" t="s">
        <v>1596</v>
      </c>
      <c r="J659" s="15" t="s">
        <v>1596</v>
      </c>
      <c r="K659" s="15" t="s">
        <v>6600</v>
      </c>
      <c r="L659" s="15" t="s">
        <v>7266</v>
      </c>
      <c r="M659" s="15" t="s">
        <v>915</v>
      </c>
      <c r="N659" s="15" t="s">
        <v>706</v>
      </c>
      <c r="O659" s="15" t="s">
        <v>707</v>
      </c>
      <c r="P659" s="15" t="str">
        <f t="shared" si="1897"/>
        <v>33.5</v>
      </c>
      <c r="Q659" s="15" t="str">
        <f t="shared" si="1898"/>
        <v>33.75</v>
      </c>
      <c r="R659" s="15" t="str">
        <f t="shared" si="1899"/>
        <v>26</v>
      </c>
      <c r="S659" s="15" t="str">
        <f t="shared" si="1900"/>
        <v>77.16</v>
      </c>
      <c r="T659" s="15" t="s">
        <v>2578</v>
      </c>
      <c r="U659" s="15" t="s">
        <v>11137</v>
      </c>
      <c r="V659" s="15" t="s">
        <v>11210</v>
      </c>
      <c r="W659" s="15" t="s">
        <v>11139</v>
      </c>
      <c r="AA659" s="15" t="s">
        <v>413</v>
      </c>
      <c r="AB659" s="15" t="s">
        <v>413</v>
      </c>
      <c r="AC659" s="15" t="s">
        <v>7305</v>
      </c>
      <c r="AD659" s="15" t="s">
        <v>19207</v>
      </c>
      <c r="AE659" s="15" t="s">
        <v>7304</v>
      </c>
      <c r="AF659" s="15" t="s">
        <v>19208</v>
      </c>
      <c r="AG659" s="15" t="s">
        <v>19209</v>
      </c>
      <c r="AH659" s="15" t="s">
        <v>19210</v>
      </c>
      <c r="AI659" s="15" t="s">
        <v>19211</v>
      </c>
      <c r="AJ659" s="15" t="s">
        <v>19212</v>
      </c>
      <c r="AK659" s="15" t="s">
        <v>11838</v>
      </c>
      <c r="AL659" s="15" t="s">
        <v>19213</v>
      </c>
      <c r="AM659" s="15" t="s">
        <v>19214</v>
      </c>
      <c r="AN659" s="15" t="s">
        <v>19215</v>
      </c>
      <c r="AO659" s="15" t="s">
        <v>19216</v>
      </c>
      <c r="AP659" s="15" t="s">
        <v>19217</v>
      </c>
      <c r="AQ659" s="15" t="s">
        <v>19218</v>
      </c>
      <c r="BH659" s="15" t="s">
        <v>7302</v>
      </c>
      <c r="BI659" s="15" t="str">
        <f t="shared" si="1901"/>
        <v>2099</v>
      </c>
      <c r="BJ659" s="15" t="str">
        <f t="shared" si="1902"/>
        <v>885</v>
      </c>
      <c r="BK659" s="15" t="s">
        <v>709</v>
      </c>
      <c r="BL659" s="15" t="str">
        <f t="shared" si="1841"/>
        <v>1</v>
      </c>
      <c r="BM659" s="15" t="s">
        <v>416</v>
      </c>
      <c r="BN659" s="15" t="str">
        <f t="shared" si="1903"/>
        <v>35.83</v>
      </c>
      <c r="BO659" s="15" t="str">
        <f t="shared" si="1904"/>
        <v>35.94</v>
      </c>
      <c r="BP659" s="15" t="str">
        <f t="shared" si="1905"/>
        <v>26.97</v>
      </c>
      <c r="BQ659" s="15" t="str">
        <f t="shared" si="1906"/>
        <v>88.18</v>
      </c>
      <c r="CG659" s="15" t="str">
        <f t="shared" si="1907"/>
        <v>20.09</v>
      </c>
      <c r="CH659" s="15" t="str">
        <f t="shared" si="1908"/>
        <v>0.569</v>
      </c>
      <c r="CI659" s="15" t="s">
        <v>497</v>
      </c>
      <c r="CS659" s="15" t="s">
        <v>555</v>
      </c>
      <c r="CT659" s="15" t="s">
        <v>1213</v>
      </c>
      <c r="CU659" s="15" t="s">
        <v>1237</v>
      </c>
      <c r="CV659" s="15">
        <v>0.0</v>
      </c>
      <c r="CW659" s="15">
        <v>0.0</v>
      </c>
      <c r="CX659" s="15" t="s">
        <v>717</v>
      </c>
      <c r="CY659" s="15" t="s">
        <v>718</v>
      </c>
      <c r="DF659" s="15" t="s">
        <v>721</v>
      </c>
      <c r="DG659" s="15" t="s">
        <v>1605</v>
      </c>
      <c r="DH659" s="15">
        <v>0.0</v>
      </c>
      <c r="DL659" s="15">
        <v>0.0</v>
      </c>
      <c r="DM659" s="15" t="s">
        <v>990</v>
      </c>
      <c r="DP659" s="15">
        <v>0.0</v>
      </c>
      <c r="DQ659" s="15">
        <v>1.0</v>
      </c>
      <c r="DS659" s="15" t="s">
        <v>7270</v>
      </c>
      <c r="DT659" s="15">
        <v>0.0</v>
      </c>
      <c r="DU659" s="15" t="s">
        <v>726</v>
      </c>
      <c r="DV659" s="15" t="s">
        <v>1806</v>
      </c>
      <c r="DW659" s="15" t="s">
        <v>531</v>
      </c>
      <c r="DX659" s="15" t="s">
        <v>4268</v>
      </c>
      <c r="EB659" s="15" t="s">
        <v>505</v>
      </c>
      <c r="EF659" s="15" t="s">
        <v>612</v>
      </c>
      <c r="EI659" s="15" t="s">
        <v>531</v>
      </c>
      <c r="EO659" s="15" t="s">
        <v>860</v>
      </c>
      <c r="EX659" s="15" t="s">
        <v>1237</v>
      </c>
      <c r="EY659" s="15" t="s">
        <v>1237</v>
      </c>
      <c r="EZ659" s="15">
        <v>0.0</v>
      </c>
      <c r="FA659" s="15">
        <v>0.0</v>
      </c>
      <c r="FB659" s="15" t="s">
        <v>3362</v>
      </c>
      <c r="FC659" s="15">
        <v>0.0</v>
      </c>
      <c r="HU659" s="15" t="s">
        <v>1610</v>
      </c>
    </row>
    <row r="660" ht="17.25" customHeight="1">
      <c r="A660" s="15" t="s">
        <v>7307</v>
      </c>
      <c r="B660" s="15" t="str">
        <f>"801542380861"</f>
        <v>801542380861</v>
      </c>
      <c r="C660" s="15" t="s">
        <v>19219</v>
      </c>
      <c r="D660" s="15" t="str">
        <f t="shared" si="1"/>
        <v>Maxx Swivel ChairSapphire Birch</v>
      </c>
      <c r="E660" s="15" t="s">
        <v>7297</v>
      </c>
      <c r="F660" s="15" t="s">
        <v>397</v>
      </c>
      <c r="G660" s="15" t="s">
        <v>4342</v>
      </c>
      <c r="J660" s="15" t="s">
        <v>4342</v>
      </c>
      <c r="K660" s="15" t="s">
        <v>7265</v>
      </c>
      <c r="L660" s="15" t="s">
        <v>7266</v>
      </c>
      <c r="M660" s="15" t="s">
        <v>915</v>
      </c>
      <c r="N660" s="15" t="s">
        <v>706</v>
      </c>
      <c r="O660" s="15" t="s">
        <v>707</v>
      </c>
      <c r="P660" s="15" t="str">
        <f t="shared" si="1897"/>
        <v>33.5</v>
      </c>
      <c r="Q660" s="15" t="str">
        <f t="shared" si="1898"/>
        <v>33.75</v>
      </c>
      <c r="R660" s="15" t="str">
        <f t="shared" si="1899"/>
        <v>26</v>
      </c>
      <c r="S660" s="15" t="str">
        <f t="shared" si="1900"/>
        <v>77.16</v>
      </c>
      <c r="T660" s="15" t="s">
        <v>7290</v>
      </c>
      <c r="U660" s="15" t="s">
        <v>11234</v>
      </c>
      <c r="V660" s="15" t="s">
        <v>11898</v>
      </c>
      <c r="W660" s="15" t="s">
        <v>11210</v>
      </c>
      <c r="X660" s="15" t="s">
        <v>11139</v>
      </c>
      <c r="AA660" s="15" t="s">
        <v>413</v>
      </c>
      <c r="AB660" s="15" t="s">
        <v>413</v>
      </c>
      <c r="AC660" s="15" t="s">
        <v>7309</v>
      </c>
      <c r="AD660" s="15" t="s">
        <v>19220</v>
      </c>
      <c r="AE660" s="15" t="s">
        <v>7308</v>
      </c>
      <c r="AF660" s="15" t="s">
        <v>19221</v>
      </c>
      <c r="AG660" s="15" t="s">
        <v>19222</v>
      </c>
      <c r="AH660" s="15" t="s">
        <v>19223</v>
      </c>
      <c r="AI660" s="15" t="s">
        <v>19224</v>
      </c>
      <c r="AJ660" s="15" t="s">
        <v>19225</v>
      </c>
      <c r="AK660" s="15" t="s">
        <v>15025</v>
      </c>
      <c r="AL660" s="15" t="s">
        <v>19226</v>
      </c>
      <c r="AM660" s="15" t="s">
        <v>19227</v>
      </c>
      <c r="AN660" s="15" t="s">
        <v>19228</v>
      </c>
      <c r="AO660" s="15" t="s">
        <v>19229</v>
      </c>
      <c r="AP660" s="15" t="s">
        <v>19230</v>
      </c>
      <c r="AQ660" s="15" t="s">
        <v>19231</v>
      </c>
      <c r="AR660" s="15" t="s">
        <v>19232</v>
      </c>
      <c r="BH660" s="15" t="s">
        <v>7306</v>
      </c>
      <c r="BI660" s="15" t="str">
        <f>"1199"</f>
        <v>1199</v>
      </c>
      <c r="BJ660" s="15" t="str">
        <f>"505"</f>
        <v>505</v>
      </c>
      <c r="BK660" s="15" t="s">
        <v>709</v>
      </c>
      <c r="BL660" s="15" t="str">
        <f t="shared" si="1841"/>
        <v>1</v>
      </c>
      <c r="BM660" s="15" t="s">
        <v>416</v>
      </c>
      <c r="BN660" s="15" t="str">
        <f t="shared" si="1903"/>
        <v>35.83</v>
      </c>
      <c r="BO660" s="15" t="str">
        <f t="shared" si="1904"/>
        <v>35.94</v>
      </c>
      <c r="BP660" s="15" t="str">
        <f t="shared" si="1905"/>
        <v>26.97</v>
      </c>
      <c r="BQ660" s="15" t="str">
        <f t="shared" si="1906"/>
        <v>88.18</v>
      </c>
      <c r="CG660" s="15" t="str">
        <f t="shared" si="1907"/>
        <v>20.09</v>
      </c>
      <c r="CH660" s="15" t="str">
        <f t="shared" si="1908"/>
        <v>0.569</v>
      </c>
      <c r="CI660" s="15" t="s">
        <v>497</v>
      </c>
      <c r="CS660" s="15" t="s">
        <v>555</v>
      </c>
      <c r="CT660" s="15" t="s">
        <v>1213</v>
      </c>
      <c r="CU660" s="15" t="s">
        <v>1237</v>
      </c>
      <c r="CV660" s="15">
        <v>0.0</v>
      </c>
      <c r="CW660" s="15">
        <v>0.0</v>
      </c>
      <c r="CX660" s="15" t="s">
        <v>717</v>
      </c>
      <c r="CY660" s="15" t="s">
        <v>897</v>
      </c>
      <c r="DF660" s="15" t="s">
        <v>721</v>
      </c>
      <c r="DG660" s="15" t="s">
        <v>1605</v>
      </c>
      <c r="DH660" s="15">
        <v>0.0</v>
      </c>
      <c r="DL660" s="15">
        <v>100000.0</v>
      </c>
      <c r="DM660" s="15" t="s">
        <v>990</v>
      </c>
      <c r="DP660" s="15">
        <v>0.0</v>
      </c>
      <c r="DQ660" s="15">
        <v>1.0</v>
      </c>
      <c r="DS660" s="15" t="s">
        <v>7270</v>
      </c>
      <c r="DT660" s="15">
        <v>0.0</v>
      </c>
      <c r="DU660" s="15" t="s">
        <v>726</v>
      </c>
      <c r="DV660" s="15" t="s">
        <v>1806</v>
      </c>
      <c r="DW660" s="15" t="s">
        <v>531</v>
      </c>
      <c r="DX660" s="15" t="s">
        <v>4268</v>
      </c>
      <c r="EB660" s="15" t="s">
        <v>505</v>
      </c>
      <c r="EF660" s="15" t="s">
        <v>612</v>
      </c>
      <c r="EI660" s="15" t="s">
        <v>531</v>
      </c>
      <c r="EO660" s="15" t="s">
        <v>860</v>
      </c>
      <c r="EX660" s="15" t="s">
        <v>1237</v>
      </c>
      <c r="EY660" s="15" t="s">
        <v>1237</v>
      </c>
      <c r="EZ660" s="15">
        <v>0.0</v>
      </c>
      <c r="FA660" s="15">
        <v>0.0</v>
      </c>
      <c r="FB660" s="15" t="s">
        <v>3362</v>
      </c>
      <c r="FC660" s="15">
        <v>0.0</v>
      </c>
      <c r="HU660" s="15" t="s">
        <v>1610</v>
      </c>
    </row>
    <row r="661" ht="17.25" customHeight="1">
      <c r="A661" s="15" t="s">
        <v>7311</v>
      </c>
      <c r="B661" s="15" t="str">
        <f>"801542299187"</f>
        <v>801542299187</v>
      </c>
      <c r="C661" s="15" t="s">
        <v>19233</v>
      </c>
      <c r="D661" s="15" t="str">
        <f t="shared" si="1"/>
        <v>Maxx Swivel ChairUmber Grey</v>
      </c>
      <c r="E661" s="15" t="s">
        <v>7297</v>
      </c>
      <c r="F661" s="15" t="s">
        <v>397</v>
      </c>
      <c r="G661" s="15" t="s">
        <v>7293</v>
      </c>
      <c r="J661" s="15" t="s">
        <v>7293</v>
      </c>
      <c r="K661" s="15" t="s">
        <v>7265</v>
      </c>
      <c r="L661" s="15" t="s">
        <v>7266</v>
      </c>
      <c r="M661" s="15" t="s">
        <v>915</v>
      </c>
      <c r="N661" s="15" t="s">
        <v>706</v>
      </c>
      <c r="O661" s="15" t="s">
        <v>707</v>
      </c>
      <c r="P661" s="15" t="str">
        <f t="shared" si="1897"/>
        <v>33.5</v>
      </c>
      <c r="Q661" s="15" t="str">
        <f t="shared" si="1898"/>
        <v>33.75</v>
      </c>
      <c r="R661" s="15" t="str">
        <f t="shared" si="1899"/>
        <v>26</v>
      </c>
      <c r="S661" s="15" t="str">
        <f t="shared" si="1900"/>
        <v>77.16</v>
      </c>
      <c r="T661" s="15" t="s">
        <v>2578</v>
      </c>
      <c r="U661" s="15" t="s">
        <v>11137</v>
      </c>
      <c r="V661" s="15" t="s">
        <v>11210</v>
      </c>
      <c r="W661" s="15" t="s">
        <v>11139</v>
      </c>
      <c r="AA661" s="15" t="s">
        <v>413</v>
      </c>
      <c r="AB661" s="15" t="s">
        <v>413</v>
      </c>
      <c r="AC661" s="15" t="s">
        <v>7313</v>
      </c>
      <c r="AD661" s="15" t="s">
        <v>19234</v>
      </c>
      <c r="AE661" s="15" t="s">
        <v>7312</v>
      </c>
      <c r="AF661" s="15" t="s">
        <v>19235</v>
      </c>
      <c r="AG661" s="15" t="s">
        <v>19236</v>
      </c>
      <c r="AH661" s="15" t="s">
        <v>19237</v>
      </c>
      <c r="AI661" s="15" t="s">
        <v>19238</v>
      </c>
      <c r="AJ661" s="15" t="s">
        <v>19239</v>
      </c>
      <c r="AK661" s="15" t="s">
        <v>19240</v>
      </c>
      <c r="AL661" s="15" t="s">
        <v>19241</v>
      </c>
      <c r="AM661" s="15" t="s">
        <v>19242</v>
      </c>
      <c r="AN661" s="15" t="s">
        <v>19243</v>
      </c>
      <c r="AO661" s="15" t="s">
        <v>19244</v>
      </c>
      <c r="AP661" s="15" t="s">
        <v>19245</v>
      </c>
      <c r="BH661" s="15" t="s">
        <v>7310</v>
      </c>
      <c r="BI661" s="15" t="str">
        <f>"1799"</f>
        <v>1799</v>
      </c>
      <c r="BJ661" s="15" t="str">
        <f>"760"</f>
        <v>760</v>
      </c>
      <c r="BK661" s="15" t="s">
        <v>709</v>
      </c>
      <c r="BL661" s="15" t="str">
        <f t="shared" si="1841"/>
        <v>1</v>
      </c>
      <c r="BM661" s="15" t="s">
        <v>416</v>
      </c>
      <c r="BN661" s="15" t="str">
        <f t="shared" si="1903"/>
        <v>35.83</v>
      </c>
      <c r="BO661" s="15" t="str">
        <f t="shared" si="1904"/>
        <v>35.94</v>
      </c>
      <c r="BP661" s="15" t="str">
        <f t="shared" si="1905"/>
        <v>26.97</v>
      </c>
      <c r="BQ661" s="15" t="str">
        <f t="shared" si="1906"/>
        <v>88.18</v>
      </c>
      <c r="CG661" s="15" t="str">
        <f t="shared" si="1907"/>
        <v>20.09</v>
      </c>
      <c r="CH661" s="15" t="str">
        <f t="shared" si="1908"/>
        <v>0.569</v>
      </c>
      <c r="CI661" s="15" t="s">
        <v>497</v>
      </c>
      <c r="CS661" s="15" t="s">
        <v>555</v>
      </c>
      <c r="CT661" s="15" t="s">
        <v>1213</v>
      </c>
      <c r="CU661" s="15" t="s">
        <v>1237</v>
      </c>
      <c r="CV661" s="15">
        <v>0.0</v>
      </c>
      <c r="CW661" s="15">
        <v>0.0</v>
      </c>
      <c r="CX661" s="15" t="s">
        <v>717</v>
      </c>
      <c r="CY661" s="15" t="s">
        <v>718</v>
      </c>
      <c r="DF661" s="15" t="s">
        <v>721</v>
      </c>
      <c r="DG661" s="15" t="s">
        <v>1605</v>
      </c>
      <c r="DH661" s="15">
        <v>0.0</v>
      </c>
      <c r="DL661" s="15">
        <v>0.0</v>
      </c>
      <c r="DM661" s="15" t="s">
        <v>990</v>
      </c>
      <c r="DP661" s="15">
        <v>0.0</v>
      </c>
      <c r="DQ661" s="15">
        <v>1.0</v>
      </c>
      <c r="DS661" s="15" t="s">
        <v>7270</v>
      </c>
      <c r="DT661" s="15">
        <v>0.0</v>
      </c>
      <c r="DU661" s="15" t="s">
        <v>726</v>
      </c>
      <c r="DV661" s="15" t="s">
        <v>1806</v>
      </c>
      <c r="DW661" s="15" t="s">
        <v>531</v>
      </c>
      <c r="DX661" s="15" t="s">
        <v>4268</v>
      </c>
      <c r="EB661" s="15" t="s">
        <v>505</v>
      </c>
      <c r="EF661" s="15" t="s">
        <v>612</v>
      </c>
      <c r="EI661" s="15" t="s">
        <v>531</v>
      </c>
      <c r="EO661" s="15" t="s">
        <v>860</v>
      </c>
      <c r="EX661" s="15" t="s">
        <v>1237</v>
      </c>
      <c r="EY661" s="15" t="s">
        <v>1237</v>
      </c>
      <c r="EZ661" s="15">
        <v>0.0</v>
      </c>
      <c r="FA661" s="15">
        <v>0.0</v>
      </c>
      <c r="FB661" s="15" t="s">
        <v>3362</v>
      </c>
      <c r="FC661" s="15">
        <v>0.0</v>
      </c>
      <c r="HU661" s="15" t="s">
        <v>1610</v>
      </c>
    </row>
    <row r="662" ht="17.25" customHeight="1">
      <c r="A662" s="15" t="s">
        <v>7316</v>
      </c>
      <c r="B662" s="15" t="str">
        <f>"801542091675"</f>
        <v>801542091675</v>
      </c>
      <c r="C662" s="15" t="s">
        <v>19246</v>
      </c>
      <c r="D662" s="15" t="str">
        <f t="shared" si="1"/>
        <v>Meadow 5 Drawer DresserTawny Oak Veneer</v>
      </c>
      <c r="E662" s="15" t="s">
        <v>7314</v>
      </c>
      <c r="F662" s="15" t="s">
        <v>397</v>
      </c>
      <c r="G662" s="15" t="s">
        <v>4295</v>
      </c>
      <c r="J662" s="15" t="s">
        <v>4295</v>
      </c>
      <c r="M662" s="15" t="s">
        <v>1896</v>
      </c>
      <c r="N662" s="15" t="s">
        <v>412</v>
      </c>
      <c r="P662" s="15" t="str">
        <f>"34"</f>
        <v>34</v>
      </c>
      <c r="Q662" s="15" t="str">
        <f t="shared" ref="Q662:Q663" si="1909">"17.5"</f>
        <v>17.5</v>
      </c>
      <c r="R662" s="15" t="str">
        <f>"44"</f>
        <v>44</v>
      </c>
      <c r="S662" s="15" t="str">
        <f>"159.83"</f>
        <v>159.83</v>
      </c>
      <c r="T662" s="15" t="s">
        <v>2354</v>
      </c>
      <c r="U662" s="15" t="s">
        <v>11553</v>
      </c>
      <c r="V662" s="15" t="s">
        <v>11338</v>
      </c>
      <c r="AA662" s="15" t="s">
        <v>413</v>
      </c>
      <c r="AB662" s="15" t="s">
        <v>413</v>
      </c>
      <c r="AC662" s="15" t="s">
        <v>7318</v>
      </c>
      <c r="AD662" s="15" t="s">
        <v>19247</v>
      </c>
      <c r="AE662" s="15" t="s">
        <v>7317</v>
      </c>
      <c r="AF662" s="15" t="s">
        <v>19248</v>
      </c>
      <c r="AG662" s="15" t="s">
        <v>19249</v>
      </c>
      <c r="AH662" s="15" t="s">
        <v>19250</v>
      </c>
      <c r="AI662" s="15" t="s">
        <v>19251</v>
      </c>
      <c r="AJ662" s="15" t="s">
        <v>19252</v>
      </c>
      <c r="AK662" s="15" t="s">
        <v>19253</v>
      </c>
      <c r="AL662" s="15" t="s">
        <v>19254</v>
      </c>
      <c r="AM662" s="15" t="s">
        <v>19255</v>
      </c>
      <c r="AN662" s="15" t="s">
        <v>19256</v>
      </c>
      <c r="AO662" s="15" t="s">
        <v>19257</v>
      </c>
      <c r="AP662" s="15" t="s">
        <v>19258</v>
      </c>
      <c r="BH662" s="15" t="s">
        <v>7315</v>
      </c>
      <c r="BI662" s="15" t="str">
        <f>"1599"</f>
        <v>1599</v>
      </c>
      <c r="BJ662" s="15" t="str">
        <f>"675"</f>
        <v>675</v>
      </c>
      <c r="BK662" s="15" t="s">
        <v>742</v>
      </c>
      <c r="BL662" s="15" t="str">
        <f t="shared" si="1841"/>
        <v>1</v>
      </c>
      <c r="BM662" s="15" t="s">
        <v>2043</v>
      </c>
      <c r="BN662" s="15" t="str">
        <f>"37.8"</f>
        <v>37.8</v>
      </c>
      <c r="BO662" s="15" t="str">
        <f t="shared" ref="BO662:BO663" si="1910">"21.46"</f>
        <v>21.46</v>
      </c>
      <c r="BP662" s="15" t="str">
        <f>"49.61"</f>
        <v>49.61</v>
      </c>
      <c r="BQ662" s="15" t="str">
        <f>"185.19"</f>
        <v>185.19</v>
      </c>
      <c r="CG662" s="15" t="str">
        <f>"23.27"</f>
        <v>23.27</v>
      </c>
      <c r="CH662" s="15" t="str">
        <f>"0.659"</f>
        <v>0.659</v>
      </c>
      <c r="CI662" s="15" t="s">
        <v>417</v>
      </c>
      <c r="CZ662" s="15" t="s">
        <v>4002</v>
      </c>
      <c r="DA662" s="15">
        <v>5.0</v>
      </c>
      <c r="DB662" s="15" t="s">
        <v>1185</v>
      </c>
      <c r="DD662" s="15">
        <v>0.0</v>
      </c>
      <c r="DF662" s="15" t="s">
        <v>1186</v>
      </c>
      <c r="DG662" s="15" t="s">
        <v>421</v>
      </c>
      <c r="DK662" s="15">
        <v>0.0</v>
      </c>
      <c r="DR662" s="15" t="s">
        <v>2094</v>
      </c>
      <c r="DS662" s="15" t="s">
        <v>7320</v>
      </c>
      <c r="DU662" s="15" t="s">
        <v>500</v>
      </c>
      <c r="EF662" s="15" t="s">
        <v>1483</v>
      </c>
      <c r="EV662" s="15">
        <v>0.0</v>
      </c>
      <c r="FQ662" s="15">
        <v>0.0</v>
      </c>
      <c r="FR662" s="15" t="s">
        <v>427</v>
      </c>
      <c r="FZ662" s="15" t="s">
        <v>5544</v>
      </c>
      <c r="GA662" s="15" t="s">
        <v>5544</v>
      </c>
      <c r="GB662" s="15" t="s">
        <v>7321</v>
      </c>
      <c r="GC662" s="15" t="s">
        <v>7322</v>
      </c>
      <c r="GD662" s="15" t="s">
        <v>430</v>
      </c>
      <c r="GE662" s="15" t="s">
        <v>430</v>
      </c>
      <c r="GF662" s="15" t="s">
        <v>2604</v>
      </c>
      <c r="GH662" s="15" t="s">
        <v>764</v>
      </c>
      <c r="GI662" s="15" t="s">
        <v>426</v>
      </c>
      <c r="HG662" s="15" t="s">
        <v>5544</v>
      </c>
      <c r="HI662" s="15" t="s">
        <v>7323</v>
      </c>
      <c r="HK662" s="15" t="s">
        <v>430</v>
      </c>
    </row>
    <row r="663" ht="17.25" customHeight="1">
      <c r="A663" s="15" t="s">
        <v>7326</v>
      </c>
      <c r="B663" s="15" t="str">
        <f>"801542091682"</f>
        <v>801542091682</v>
      </c>
      <c r="C663" s="15" t="s">
        <v>19259</v>
      </c>
      <c r="D663" s="15" t="str">
        <f t="shared" si="1"/>
        <v>Meadow 6 Drawer DresserTawny Oak Veneer</v>
      </c>
      <c r="E663" s="15" t="s">
        <v>7324</v>
      </c>
      <c r="F663" s="15" t="s">
        <v>397</v>
      </c>
      <c r="G663" s="15" t="s">
        <v>4295</v>
      </c>
      <c r="J663" s="15" t="s">
        <v>4295</v>
      </c>
      <c r="M663" s="15" t="s">
        <v>1896</v>
      </c>
      <c r="N663" s="15" t="s">
        <v>412</v>
      </c>
      <c r="P663" s="15" t="str">
        <f>"68.75"</f>
        <v>68.75</v>
      </c>
      <c r="Q663" s="15" t="str">
        <f t="shared" si="1909"/>
        <v>17.5</v>
      </c>
      <c r="R663" s="15" t="str">
        <f>"34.25"</f>
        <v>34.25</v>
      </c>
      <c r="S663" s="15" t="str">
        <f>"212.74"</f>
        <v>212.74</v>
      </c>
      <c r="T663" s="15" t="s">
        <v>2354</v>
      </c>
      <c r="U663" s="15" t="s">
        <v>11553</v>
      </c>
      <c r="V663" s="15" t="s">
        <v>11338</v>
      </c>
      <c r="AA663" s="15" t="s">
        <v>413</v>
      </c>
      <c r="AB663" s="15" t="s">
        <v>413</v>
      </c>
      <c r="AC663" s="15" t="s">
        <v>7331</v>
      </c>
      <c r="AD663" s="15" t="s">
        <v>19260</v>
      </c>
      <c r="AE663" s="15" t="s">
        <v>7328</v>
      </c>
      <c r="AF663" s="15" t="s">
        <v>19261</v>
      </c>
      <c r="AG663" s="15" t="s">
        <v>19262</v>
      </c>
      <c r="AH663" s="15" t="s">
        <v>19263</v>
      </c>
      <c r="AI663" s="15" t="s">
        <v>19264</v>
      </c>
      <c r="AJ663" s="15" t="s">
        <v>19265</v>
      </c>
      <c r="AK663" s="15" t="s">
        <v>19266</v>
      </c>
      <c r="AL663" s="15" t="s">
        <v>19267</v>
      </c>
      <c r="AM663" s="15" t="s">
        <v>19268</v>
      </c>
      <c r="AN663" s="15" t="s">
        <v>19269</v>
      </c>
      <c r="AO663" s="15" t="s">
        <v>19270</v>
      </c>
      <c r="AP663" s="15" t="s">
        <v>19271</v>
      </c>
      <c r="AQ663" s="15" t="s">
        <v>19272</v>
      </c>
      <c r="AR663" s="15" t="s">
        <v>19273</v>
      </c>
      <c r="AS663" s="15" t="s">
        <v>19274</v>
      </c>
      <c r="AT663" s="15" t="s">
        <v>19275</v>
      </c>
      <c r="AU663" s="15" t="s">
        <v>19276</v>
      </c>
      <c r="AV663" s="15" t="s">
        <v>19277</v>
      </c>
      <c r="AW663" s="15" t="s">
        <v>19278</v>
      </c>
      <c r="AX663" s="15" t="s">
        <v>19279</v>
      </c>
      <c r="AY663" s="15" t="s">
        <v>19280</v>
      </c>
      <c r="AZ663" s="15" t="s">
        <v>19281</v>
      </c>
      <c r="BA663" s="15" t="s">
        <v>19282</v>
      </c>
      <c r="BB663" s="15" t="s">
        <v>19283</v>
      </c>
      <c r="BC663" s="15" t="s">
        <v>19284</v>
      </c>
      <c r="BD663" s="15" t="s">
        <v>19285</v>
      </c>
      <c r="BH663" s="15" t="s">
        <v>7325</v>
      </c>
      <c r="BI663" s="15" t="str">
        <f>"2099"</f>
        <v>2099</v>
      </c>
      <c r="BJ663" s="15" t="str">
        <f>"885"</f>
        <v>885</v>
      </c>
      <c r="BK663" s="15" t="s">
        <v>742</v>
      </c>
      <c r="BL663" s="15" t="str">
        <f t="shared" si="1841"/>
        <v>1</v>
      </c>
      <c r="BM663" s="15" t="s">
        <v>2043</v>
      </c>
      <c r="BN663" s="15" t="str">
        <f>"72.64"</f>
        <v>72.64</v>
      </c>
      <c r="BO663" s="15" t="str">
        <f t="shared" si="1910"/>
        <v>21.46</v>
      </c>
      <c r="BP663" s="15" t="str">
        <f>"39.76"</f>
        <v>39.76</v>
      </c>
      <c r="BQ663" s="15" t="str">
        <f>"249.12"</f>
        <v>249.12</v>
      </c>
      <c r="CG663" s="15" t="str">
        <f>"35.88"</f>
        <v>35.88</v>
      </c>
      <c r="CH663" s="15" t="str">
        <f>"1.016"</f>
        <v>1.016</v>
      </c>
      <c r="CI663" s="15" t="s">
        <v>465</v>
      </c>
      <c r="CZ663" s="15" t="s">
        <v>4002</v>
      </c>
      <c r="DA663" s="15">
        <v>6.0</v>
      </c>
      <c r="DB663" s="15" t="s">
        <v>1185</v>
      </c>
      <c r="DD663" s="15">
        <v>0.0</v>
      </c>
      <c r="DF663" s="15" t="s">
        <v>1186</v>
      </c>
      <c r="DG663" s="15" t="s">
        <v>421</v>
      </c>
      <c r="DK663" s="15">
        <v>0.0</v>
      </c>
      <c r="DR663" s="15" t="s">
        <v>422</v>
      </c>
      <c r="DS663" s="15" t="s">
        <v>7320</v>
      </c>
      <c r="DU663" s="15" t="s">
        <v>500</v>
      </c>
      <c r="EF663" s="15" t="s">
        <v>1955</v>
      </c>
      <c r="EV663" s="15">
        <v>0.0</v>
      </c>
      <c r="FQ663" s="15">
        <v>0.0</v>
      </c>
      <c r="FR663" s="15" t="s">
        <v>427</v>
      </c>
      <c r="FZ663" s="15" t="s">
        <v>5544</v>
      </c>
      <c r="GA663" s="15" t="s">
        <v>5544</v>
      </c>
      <c r="GB663" s="15" t="s">
        <v>7333</v>
      </c>
      <c r="GC663" s="15" t="s">
        <v>7334</v>
      </c>
      <c r="GD663" s="15" t="s">
        <v>3912</v>
      </c>
      <c r="GE663" s="15" t="s">
        <v>3912</v>
      </c>
      <c r="GF663" s="15" t="s">
        <v>2604</v>
      </c>
      <c r="GH663" s="15" t="s">
        <v>764</v>
      </c>
      <c r="GI663" s="15" t="s">
        <v>426</v>
      </c>
      <c r="HG663" s="15" t="s">
        <v>5544</v>
      </c>
      <c r="HI663" s="15" t="s">
        <v>7335</v>
      </c>
      <c r="HK663" s="15" t="s">
        <v>3912</v>
      </c>
    </row>
    <row r="664" ht="17.25" customHeight="1">
      <c r="A664" s="15" t="s">
        <v>7338</v>
      </c>
      <c r="B664" s="15" t="str">
        <f>"801542161972"</f>
        <v>801542161972</v>
      </c>
      <c r="C664" s="15" t="s">
        <v>19286</v>
      </c>
      <c r="D664" s="15" t="str">
        <f t="shared" si="1"/>
        <v>Meadow BedTawny OakKing</v>
      </c>
      <c r="E664" s="15" t="s">
        <v>7336</v>
      </c>
      <c r="F664" s="15" t="s">
        <v>397</v>
      </c>
      <c r="G664" s="15" t="s">
        <v>4289</v>
      </c>
      <c r="H664" s="15" t="s">
        <v>265</v>
      </c>
      <c r="I664" s="15" t="s">
        <v>828</v>
      </c>
      <c r="J664" s="15" t="s">
        <v>4289</v>
      </c>
      <c r="K664" s="15" t="s">
        <v>4295</v>
      </c>
      <c r="M664" s="15" t="s">
        <v>1896</v>
      </c>
      <c r="N664" s="15" t="s">
        <v>839</v>
      </c>
      <c r="O664" s="15" t="s">
        <v>828</v>
      </c>
      <c r="P664" s="15" t="str">
        <f>"79"</f>
        <v>79</v>
      </c>
      <c r="Q664" s="15" t="str">
        <f t="shared" ref="Q664:Q665" si="1912">"84.5"</f>
        <v>84.5</v>
      </c>
      <c r="R664" s="15" t="str">
        <f t="shared" ref="R664:R665" si="1913">"42"</f>
        <v>42</v>
      </c>
      <c r="S664" s="15" t="str">
        <f>"203.93"</f>
        <v>203.93</v>
      </c>
      <c r="T664" s="15" t="s">
        <v>1532</v>
      </c>
      <c r="U664" s="15" t="s">
        <v>11338</v>
      </c>
      <c r="V664" s="15" t="s">
        <v>11553</v>
      </c>
      <c r="AA664" s="15" t="s">
        <v>413</v>
      </c>
      <c r="AB664" s="15" t="s">
        <v>413</v>
      </c>
      <c r="AC664" s="15" t="s">
        <v>7340</v>
      </c>
      <c r="AD664" s="15" t="s">
        <v>19287</v>
      </c>
      <c r="AE664" s="15" t="s">
        <v>7339</v>
      </c>
      <c r="AF664" s="15" t="s">
        <v>19288</v>
      </c>
      <c r="AG664" s="15" t="s">
        <v>19289</v>
      </c>
      <c r="AH664" s="15" t="s">
        <v>19290</v>
      </c>
      <c r="AI664" s="15" t="s">
        <v>19291</v>
      </c>
      <c r="AJ664" s="15" t="s">
        <v>19292</v>
      </c>
      <c r="AK664" s="15" t="s">
        <v>19293</v>
      </c>
      <c r="AL664" s="15" t="s">
        <v>19294</v>
      </c>
      <c r="AM664" s="15" t="s">
        <v>19295</v>
      </c>
      <c r="AN664" s="15" t="s">
        <v>19296</v>
      </c>
      <c r="AO664" s="15" t="s">
        <v>19297</v>
      </c>
      <c r="BH664" s="15" t="s">
        <v>7337</v>
      </c>
      <c r="BI664" s="15" t="str">
        <f>"1999"</f>
        <v>1999</v>
      </c>
      <c r="BJ664" s="15" t="str">
        <f>"840"</f>
        <v>840</v>
      </c>
      <c r="BK664" s="15" t="s">
        <v>742</v>
      </c>
      <c r="BL664" s="15" t="str">
        <f t="shared" ref="BL664:BL665" si="1914">"3"</f>
        <v>3</v>
      </c>
      <c r="BM664" s="15" t="s">
        <v>841</v>
      </c>
      <c r="BN664" s="15" t="str">
        <f>"83.46"</f>
        <v>83.46</v>
      </c>
      <c r="BO664" s="15" t="str">
        <f t="shared" ref="BO664:BO665" si="1915">"46.73"</f>
        <v>46.73</v>
      </c>
      <c r="BP664" s="15" t="str">
        <f t="shared" ref="BP664:BP665" si="1916">"6.1"</f>
        <v>6.1</v>
      </c>
      <c r="BQ664" s="15" t="str">
        <f>"90.39"</f>
        <v>90.39</v>
      </c>
      <c r="BR664" s="15" t="s">
        <v>846</v>
      </c>
      <c r="BS664" s="15" t="str">
        <f>"83.46"</f>
        <v>83.46</v>
      </c>
      <c r="BT664" s="15" t="str">
        <f t="shared" ref="BT664:BT665" si="1917">"24.41"</f>
        <v>24.41</v>
      </c>
      <c r="BU664" s="15" t="str">
        <f t="shared" ref="BU664:BU665" si="1918">"7.28"</f>
        <v>7.28</v>
      </c>
      <c r="BV664" s="15" t="str">
        <f>"111.33"</f>
        <v>111.33</v>
      </c>
      <c r="BW664" s="15" t="s">
        <v>5840</v>
      </c>
      <c r="BX664" s="15" t="str">
        <f t="shared" ref="BX664:BX665" si="1919">"84.06"</f>
        <v>84.06</v>
      </c>
      <c r="BY664" s="15" t="str">
        <f t="shared" ref="BY664:BZ664" si="1911">"10.83"</f>
        <v>10.83</v>
      </c>
      <c r="BZ664" s="15" t="str">
        <f t="shared" si="1911"/>
        <v>10.83</v>
      </c>
      <c r="CA664" s="15" t="str">
        <f t="shared" ref="CA664:CA665" si="1921">"49.6"</f>
        <v>49.6</v>
      </c>
      <c r="CG664" s="15" t="str">
        <f>"28.08"</f>
        <v>28.08</v>
      </c>
      <c r="CH664" s="15" t="str">
        <f>"0.795"</f>
        <v>0.795</v>
      </c>
      <c r="CI664" s="15" t="s">
        <v>465</v>
      </c>
      <c r="CZ664" s="15" t="s">
        <v>419</v>
      </c>
      <c r="DA664" s="15">
        <v>0.0</v>
      </c>
      <c r="DB664" s="15" t="s">
        <v>419</v>
      </c>
      <c r="DD664" s="15">
        <v>0.0</v>
      </c>
      <c r="DF664" s="15" t="s">
        <v>1186</v>
      </c>
      <c r="DG664" s="15" t="s">
        <v>419</v>
      </c>
      <c r="DI664" s="15">
        <v>0.0</v>
      </c>
      <c r="DJ664" s="15">
        <v>0.0</v>
      </c>
      <c r="DK664" s="15">
        <v>0.0</v>
      </c>
      <c r="DS664" s="15" t="s">
        <v>7320</v>
      </c>
      <c r="DU664" s="15" t="s">
        <v>858</v>
      </c>
      <c r="EV664" s="15">
        <v>0.0</v>
      </c>
      <c r="HV664" s="15" t="s">
        <v>1955</v>
      </c>
      <c r="HW664" s="15" t="s">
        <v>1955</v>
      </c>
      <c r="HX664" s="15" t="s">
        <v>1955</v>
      </c>
      <c r="HY664" s="15" t="s">
        <v>1324</v>
      </c>
      <c r="HZ664" s="15" t="s">
        <v>1957</v>
      </c>
      <c r="IA664" s="15" t="s">
        <v>7346</v>
      </c>
      <c r="IB664" s="15" t="s">
        <v>7347</v>
      </c>
      <c r="IC664" s="15" t="s">
        <v>1957</v>
      </c>
      <c r="ID664" s="15" t="s">
        <v>7346</v>
      </c>
      <c r="IE664" s="15" t="s">
        <v>2971</v>
      </c>
      <c r="IF664" s="15" t="s">
        <v>1957</v>
      </c>
      <c r="IG664" s="15" t="s">
        <v>869</v>
      </c>
      <c r="IH664" s="15" t="s">
        <v>5304</v>
      </c>
      <c r="II664" s="15" t="s">
        <v>2971</v>
      </c>
      <c r="IJ664" s="15" t="s">
        <v>1042</v>
      </c>
      <c r="IK664" s="15" t="s">
        <v>426</v>
      </c>
      <c r="IL664" s="15" t="s">
        <v>2973</v>
      </c>
      <c r="IM664" s="15" t="s">
        <v>2604</v>
      </c>
      <c r="IN664" s="15" t="s">
        <v>873</v>
      </c>
      <c r="IO664" s="15" t="s">
        <v>828</v>
      </c>
      <c r="IU664" s="15" t="s">
        <v>759</v>
      </c>
      <c r="IV664" s="15" t="s">
        <v>2651</v>
      </c>
      <c r="IW664" s="15" t="s">
        <v>759</v>
      </c>
      <c r="IX664" s="15" t="s">
        <v>426</v>
      </c>
      <c r="IY664" s="15" t="s">
        <v>2474</v>
      </c>
    </row>
    <row r="665" ht="17.25" customHeight="1">
      <c r="A665" s="15" t="s">
        <v>7349</v>
      </c>
      <c r="B665" s="15" t="str">
        <f>"801542159047"</f>
        <v>801542159047</v>
      </c>
      <c r="C665" s="15" t="s">
        <v>19286</v>
      </c>
      <c r="D665" s="15" t="str">
        <f t="shared" si="1"/>
        <v>Meadow BedTawny OakQueen</v>
      </c>
      <c r="E665" s="15" t="s">
        <v>7336</v>
      </c>
      <c r="F665" s="15" t="s">
        <v>397</v>
      </c>
      <c r="G665" s="15" t="s">
        <v>4289</v>
      </c>
      <c r="H665" s="15" t="s">
        <v>265</v>
      </c>
      <c r="I665" s="15" t="s">
        <v>877</v>
      </c>
      <c r="J665" s="15" t="s">
        <v>4289</v>
      </c>
      <c r="K665" s="15" t="s">
        <v>4295</v>
      </c>
      <c r="M665" s="15" t="s">
        <v>1896</v>
      </c>
      <c r="N665" s="15" t="s">
        <v>839</v>
      </c>
      <c r="O665" s="15" t="s">
        <v>877</v>
      </c>
      <c r="P665" s="15" t="str">
        <f>"63"</f>
        <v>63</v>
      </c>
      <c r="Q665" s="15" t="str">
        <f t="shared" si="1912"/>
        <v>84.5</v>
      </c>
      <c r="R665" s="15" t="str">
        <f t="shared" si="1913"/>
        <v>42</v>
      </c>
      <c r="S665" s="15" t="str">
        <f>"191.8"</f>
        <v>191.8</v>
      </c>
      <c r="T665" s="15" t="s">
        <v>1532</v>
      </c>
      <c r="U665" s="15" t="s">
        <v>11338</v>
      </c>
      <c r="V665" s="15" t="s">
        <v>11553</v>
      </c>
      <c r="AA665" s="15" t="s">
        <v>413</v>
      </c>
      <c r="AB665" s="15" t="s">
        <v>413</v>
      </c>
      <c r="AC665" s="15" t="s">
        <v>7340</v>
      </c>
      <c r="AD665" s="15" t="s">
        <v>19298</v>
      </c>
      <c r="AE665" s="15" t="s">
        <v>7350</v>
      </c>
      <c r="AF665" s="15" t="s">
        <v>19299</v>
      </c>
      <c r="AG665" s="15" t="s">
        <v>19300</v>
      </c>
      <c r="AH665" s="15" t="s">
        <v>19301</v>
      </c>
      <c r="AI665" s="15" t="s">
        <v>19302</v>
      </c>
      <c r="AJ665" s="15" t="s">
        <v>19303</v>
      </c>
      <c r="AK665" s="15" t="s">
        <v>19304</v>
      </c>
      <c r="AL665" s="15" t="s">
        <v>19305</v>
      </c>
      <c r="AM665" s="15" t="s">
        <v>19306</v>
      </c>
      <c r="AN665" s="15" t="s">
        <v>19307</v>
      </c>
      <c r="AO665" s="15" t="s">
        <v>19308</v>
      </c>
      <c r="BH665" s="15" t="s">
        <v>7348</v>
      </c>
      <c r="BI665" s="15" t="str">
        <f>"1799"</f>
        <v>1799</v>
      </c>
      <c r="BJ665" s="15" t="str">
        <f>"760"</f>
        <v>760</v>
      </c>
      <c r="BK665" s="15" t="s">
        <v>742</v>
      </c>
      <c r="BL665" s="15" t="str">
        <f t="shared" si="1914"/>
        <v>3</v>
      </c>
      <c r="BM665" s="15" t="s">
        <v>841</v>
      </c>
      <c r="BN665" s="15" t="str">
        <f>"67.32"</f>
        <v>67.32</v>
      </c>
      <c r="BO665" s="15" t="str">
        <f t="shared" si="1915"/>
        <v>46.73</v>
      </c>
      <c r="BP665" s="15" t="str">
        <f t="shared" si="1916"/>
        <v>6.1</v>
      </c>
      <c r="BQ665" s="15" t="str">
        <f>"80.03"</f>
        <v>80.03</v>
      </c>
      <c r="BR665" s="15" t="s">
        <v>846</v>
      </c>
      <c r="BS665" s="15" t="str">
        <f>"67.32"</f>
        <v>67.32</v>
      </c>
      <c r="BT665" s="15" t="str">
        <f t="shared" si="1917"/>
        <v>24.41</v>
      </c>
      <c r="BU665" s="15" t="str">
        <f t="shared" si="1918"/>
        <v>7.28</v>
      </c>
      <c r="BV665" s="15" t="str">
        <f>"101.41"</f>
        <v>101.41</v>
      </c>
      <c r="BW665" s="15" t="s">
        <v>5840</v>
      </c>
      <c r="BX665" s="15" t="str">
        <f t="shared" si="1919"/>
        <v>84.06</v>
      </c>
      <c r="BY665" s="15" t="str">
        <f t="shared" ref="BY665:BZ665" si="1920">"10.83"</f>
        <v>10.83</v>
      </c>
      <c r="BZ665" s="15" t="str">
        <f t="shared" si="1920"/>
        <v>10.83</v>
      </c>
      <c r="CA665" s="15" t="str">
        <f t="shared" si="1921"/>
        <v>49.6</v>
      </c>
      <c r="CG665" s="15" t="str">
        <f>"23.73"</f>
        <v>23.73</v>
      </c>
      <c r="CH665" s="15" t="str">
        <f>"0.672"</f>
        <v>0.672</v>
      </c>
      <c r="CI665" s="15" t="s">
        <v>417</v>
      </c>
      <c r="CZ665" s="15" t="s">
        <v>419</v>
      </c>
      <c r="DA665" s="15">
        <v>0.0</v>
      </c>
      <c r="DB665" s="15" t="s">
        <v>419</v>
      </c>
      <c r="DD665" s="15">
        <v>0.0</v>
      </c>
      <c r="DF665" s="15" t="s">
        <v>1186</v>
      </c>
      <c r="DG665" s="15" t="s">
        <v>419</v>
      </c>
      <c r="DI665" s="15">
        <v>0.0</v>
      </c>
      <c r="DJ665" s="15">
        <v>0.0</v>
      </c>
      <c r="DK665" s="15">
        <v>0.0</v>
      </c>
      <c r="DS665" s="15" t="s">
        <v>7320</v>
      </c>
      <c r="DU665" s="15" t="s">
        <v>858</v>
      </c>
      <c r="EV665" s="15">
        <v>0.0</v>
      </c>
      <c r="HV665" s="15" t="s">
        <v>1955</v>
      </c>
      <c r="HW665" s="15" t="s">
        <v>1955</v>
      </c>
      <c r="HX665" s="15" t="s">
        <v>1955</v>
      </c>
      <c r="HY665" s="15" t="s">
        <v>1324</v>
      </c>
      <c r="HZ665" s="15" t="s">
        <v>1957</v>
      </c>
      <c r="IA665" s="15" t="s">
        <v>1134</v>
      </c>
      <c r="IB665" s="15" t="s">
        <v>7347</v>
      </c>
      <c r="IC665" s="15" t="s">
        <v>1957</v>
      </c>
      <c r="ID665" s="15" t="s">
        <v>1134</v>
      </c>
      <c r="IE665" s="15" t="s">
        <v>2971</v>
      </c>
      <c r="IF665" s="15" t="s">
        <v>1957</v>
      </c>
      <c r="IG665" s="15" t="s">
        <v>890</v>
      </c>
      <c r="IH665" s="15" t="s">
        <v>5304</v>
      </c>
      <c r="II665" s="15" t="s">
        <v>2971</v>
      </c>
      <c r="IJ665" s="15" t="s">
        <v>1042</v>
      </c>
      <c r="IK665" s="15" t="s">
        <v>426</v>
      </c>
      <c r="IL665" s="15" t="s">
        <v>2973</v>
      </c>
      <c r="IM665" s="15" t="s">
        <v>2604</v>
      </c>
      <c r="IN665" s="15" t="s">
        <v>873</v>
      </c>
      <c r="IO665" s="15" t="s">
        <v>877</v>
      </c>
      <c r="IU665" s="15" t="s">
        <v>759</v>
      </c>
      <c r="IV665" s="15" t="s">
        <v>2651</v>
      </c>
      <c r="IW665" s="15" t="s">
        <v>759</v>
      </c>
      <c r="IX665" s="15" t="s">
        <v>426</v>
      </c>
      <c r="IY665" s="15" t="s">
        <v>2474</v>
      </c>
    </row>
    <row r="666" ht="17.25" customHeight="1">
      <c r="A666" s="15" t="s">
        <v>7354</v>
      </c>
      <c r="B666" s="15" t="str">
        <f>"801542047948"</f>
        <v>801542047948</v>
      </c>
      <c r="C666" s="15" t="s">
        <v>19309</v>
      </c>
      <c r="D666" s="15" t="str">
        <f t="shared" si="1"/>
        <v>Meadow Console TableTawny Oak Veneer</v>
      </c>
      <c r="E666" s="15" t="s">
        <v>7352</v>
      </c>
      <c r="F666" s="15" t="s">
        <v>397</v>
      </c>
      <c r="G666" s="15" t="s">
        <v>4295</v>
      </c>
      <c r="J666" s="15" t="s">
        <v>4295</v>
      </c>
      <c r="M666" s="15" t="s">
        <v>1896</v>
      </c>
      <c r="N666" s="15" t="s">
        <v>519</v>
      </c>
      <c r="P666" s="15" t="str">
        <f>"60"</f>
        <v>60</v>
      </c>
      <c r="Q666" s="15" t="str">
        <f>"16"</f>
        <v>16</v>
      </c>
      <c r="R666" s="15" t="str">
        <f>"30"</f>
        <v>30</v>
      </c>
      <c r="S666" s="15" t="str">
        <f>"84.88"</f>
        <v>84.88</v>
      </c>
      <c r="T666" s="15" t="s">
        <v>2354</v>
      </c>
      <c r="U666" s="15" t="s">
        <v>11553</v>
      </c>
      <c r="V666" s="15" t="s">
        <v>11338</v>
      </c>
      <c r="AA666" s="15" t="s">
        <v>413</v>
      </c>
      <c r="AB666" s="15" t="s">
        <v>413</v>
      </c>
      <c r="AC666" s="15" t="s">
        <v>7356</v>
      </c>
      <c r="AD666" s="15" t="s">
        <v>19310</v>
      </c>
      <c r="AE666" s="15" t="s">
        <v>7355</v>
      </c>
      <c r="AF666" s="15" t="s">
        <v>19311</v>
      </c>
      <c r="AG666" s="15" t="s">
        <v>19312</v>
      </c>
      <c r="AH666" s="15" t="s">
        <v>19313</v>
      </c>
      <c r="AI666" s="15" t="s">
        <v>19314</v>
      </c>
      <c r="AJ666" s="15" t="s">
        <v>19315</v>
      </c>
      <c r="AK666" s="15" t="s">
        <v>19316</v>
      </c>
      <c r="AL666" s="15" t="s">
        <v>19317</v>
      </c>
      <c r="AM666" s="15" t="s">
        <v>19318</v>
      </c>
      <c r="AN666" s="15" t="s">
        <v>19319</v>
      </c>
      <c r="AO666" s="15" t="s">
        <v>19320</v>
      </c>
      <c r="BH666" s="15" t="s">
        <v>7353</v>
      </c>
      <c r="BI666" s="15" t="str">
        <f>"1199"</f>
        <v>1199</v>
      </c>
      <c r="BJ666" s="15" t="str">
        <f>"505"</f>
        <v>505</v>
      </c>
      <c r="BK666" s="15" t="s">
        <v>742</v>
      </c>
      <c r="BL666" s="15" t="str">
        <f t="shared" ref="BL666:BL675" si="1922">"1"</f>
        <v>1</v>
      </c>
      <c r="BM666" s="15" t="s">
        <v>2043</v>
      </c>
      <c r="BN666" s="15" t="str">
        <f>"64.17"</f>
        <v>64.17</v>
      </c>
      <c r="BO666" s="15" t="str">
        <f>"36.02"</f>
        <v>36.02</v>
      </c>
      <c r="BP666" s="15" t="str">
        <f>"20.08"</f>
        <v>20.08</v>
      </c>
      <c r="BQ666" s="15" t="str">
        <f>"114.64"</f>
        <v>114.64</v>
      </c>
      <c r="CG666" s="15" t="str">
        <f>"26.87"</f>
        <v>26.87</v>
      </c>
      <c r="CH666" s="15" t="str">
        <f>"0.761"</f>
        <v>0.761</v>
      </c>
      <c r="CI666" s="15" t="s">
        <v>497</v>
      </c>
      <c r="CJ666" s="15" t="s">
        <v>2051</v>
      </c>
      <c r="CK666" s="15" t="s">
        <v>784</v>
      </c>
      <c r="CL666" s="15" t="s">
        <v>7357</v>
      </c>
      <c r="CM666" s="15" t="s">
        <v>2051</v>
      </c>
      <c r="CN666" s="15" t="s">
        <v>7358</v>
      </c>
      <c r="CO666" s="15" t="s">
        <v>7357</v>
      </c>
      <c r="CZ666" s="15" t="s">
        <v>4002</v>
      </c>
      <c r="DA666" s="15">
        <v>3.0</v>
      </c>
      <c r="DB666" s="15" t="s">
        <v>1185</v>
      </c>
      <c r="DD666" s="15">
        <v>1.0</v>
      </c>
      <c r="DE666" s="15" t="s">
        <v>426</v>
      </c>
      <c r="DF666" s="15" t="s">
        <v>1186</v>
      </c>
      <c r="DG666" s="15" t="s">
        <v>421</v>
      </c>
      <c r="DK666" s="15">
        <v>0.0</v>
      </c>
      <c r="DR666" s="15" t="s">
        <v>471</v>
      </c>
      <c r="DS666" s="15" t="s">
        <v>7320</v>
      </c>
      <c r="DU666" s="15" t="s">
        <v>500</v>
      </c>
      <c r="EF666" s="15" t="s">
        <v>1483</v>
      </c>
      <c r="EG666" s="15" t="s">
        <v>7172</v>
      </c>
      <c r="EH666" s="15" t="s">
        <v>7357</v>
      </c>
      <c r="EQ666" s="15" t="s">
        <v>2051</v>
      </c>
      <c r="ER666" s="15" t="s">
        <v>558</v>
      </c>
      <c r="ES666" s="15" t="s">
        <v>2388</v>
      </c>
      <c r="ET666" s="15" t="s">
        <v>1512</v>
      </c>
      <c r="EU666" s="15" t="s">
        <v>426</v>
      </c>
      <c r="EV666" s="15">
        <v>1.0</v>
      </c>
      <c r="EW666" s="15">
        <v>0.0</v>
      </c>
      <c r="FQ666" s="15">
        <v>0.0</v>
      </c>
      <c r="FR666" s="15" t="s">
        <v>427</v>
      </c>
      <c r="FZ666" s="15" t="s">
        <v>1608</v>
      </c>
      <c r="GA666" s="15" t="s">
        <v>1608</v>
      </c>
      <c r="GB666" s="15" t="s">
        <v>5122</v>
      </c>
      <c r="GC666" s="15" t="s">
        <v>5122</v>
      </c>
      <c r="GD666" s="15" t="s">
        <v>7359</v>
      </c>
      <c r="GE666" s="15" t="s">
        <v>5558</v>
      </c>
      <c r="GF666" s="15" t="s">
        <v>2604</v>
      </c>
      <c r="GH666" s="15" t="s">
        <v>764</v>
      </c>
      <c r="GI666" s="15" t="s">
        <v>426</v>
      </c>
    </row>
    <row r="667" ht="17.25" customHeight="1">
      <c r="A667" s="15" t="s">
        <v>7362</v>
      </c>
      <c r="B667" s="15" t="str">
        <f>"801542091699"</f>
        <v>801542091699</v>
      </c>
      <c r="C667" s="15" t="s">
        <v>19321</v>
      </c>
      <c r="D667" s="15" t="str">
        <f t="shared" si="1"/>
        <v>Meadow NightstandTawny Oak Veneer</v>
      </c>
      <c r="E667" s="15" t="s">
        <v>7360</v>
      </c>
      <c r="F667" s="15" t="s">
        <v>397</v>
      </c>
      <c r="G667" s="15" t="s">
        <v>4295</v>
      </c>
      <c r="J667" s="15" t="s">
        <v>4295</v>
      </c>
      <c r="M667" s="15" t="s">
        <v>1896</v>
      </c>
      <c r="N667" s="15" t="s">
        <v>628</v>
      </c>
      <c r="P667" s="15" t="str">
        <f>"22"</f>
        <v>22</v>
      </c>
      <c r="Q667" s="15" t="str">
        <f t="shared" ref="Q667:Q668" si="1923">"17.75"</f>
        <v>17.75</v>
      </c>
      <c r="R667" s="15" t="str">
        <f>"25"</f>
        <v>25</v>
      </c>
      <c r="S667" s="15" t="str">
        <f>"52.91"</f>
        <v>52.91</v>
      </c>
      <c r="T667" s="15" t="s">
        <v>2354</v>
      </c>
      <c r="U667" s="15" t="s">
        <v>11553</v>
      </c>
      <c r="V667" s="15" t="s">
        <v>11338</v>
      </c>
      <c r="AA667" s="15" t="s">
        <v>413</v>
      </c>
      <c r="AB667" s="15" t="s">
        <v>413</v>
      </c>
      <c r="AC667" s="15" t="s">
        <v>7364</v>
      </c>
      <c r="AD667" s="15" t="s">
        <v>19322</v>
      </c>
      <c r="AE667" s="15" t="s">
        <v>7363</v>
      </c>
      <c r="AF667" s="15" t="s">
        <v>19323</v>
      </c>
      <c r="AG667" s="15" t="s">
        <v>19324</v>
      </c>
      <c r="AH667" s="15" t="s">
        <v>19325</v>
      </c>
      <c r="AI667" s="15" t="s">
        <v>19326</v>
      </c>
      <c r="AJ667" s="15" t="s">
        <v>19327</v>
      </c>
      <c r="AK667" s="15" t="s">
        <v>19328</v>
      </c>
      <c r="AL667" s="15" t="s">
        <v>19329</v>
      </c>
      <c r="AM667" s="15" t="s">
        <v>19330</v>
      </c>
      <c r="AN667" s="15" t="s">
        <v>19331</v>
      </c>
      <c r="AO667" s="15" t="s">
        <v>19332</v>
      </c>
      <c r="AP667" s="15" t="s">
        <v>19333</v>
      </c>
      <c r="BH667" s="15" t="s">
        <v>7361</v>
      </c>
      <c r="BI667" s="15" t="str">
        <f>"699"</f>
        <v>699</v>
      </c>
      <c r="BJ667" s="15" t="str">
        <f>"295"</f>
        <v>295</v>
      </c>
      <c r="BK667" s="15" t="s">
        <v>742</v>
      </c>
      <c r="BL667" s="15" t="str">
        <f t="shared" si="1922"/>
        <v>1</v>
      </c>
      <c r="BM667" s="15" t="s">
        <v>2043</v>
      </c>
      <c r="BN667" s="15" t="str">
        <f>"25.98"</f>
        <v>25.98</v>
      </c>
      <c r="BO667" s="15" t="str">
        <f t="shared" ref="BO667:BO668" si="1924">"21.46"</f>
        <v>21.46</v>
      </c>
      <c r="BP667" s="15" t="str">
        <f>"30.91"</f>
        <v>30.91</v>
      </c>
      <c r="BQ667" s="15" t="str">
        <f>"68.34"</f>
        <v>68.34</v>
      </c>
      <c r="CG667" s="15" t="str">
        <f>"9.96"</f>
        <v>9.96</v>
      </c>
      <c r="CH667" s="15" t="str">
        <f>"0.282"</f>
        <v>0.282</v>
      </c>
      <c r="CI667" s="15" t="s">
        <v>465</v>
      </c>
      <c r="CZ667" s="15" t="s">
        <v>4002</v>
      </c>
      <c r="DA667" s="15">
        <v>2.0</v>
      </c>
      <c r="DB667" s="15" t="s">
        <v>2604</v>
      </c>
      <c r="DD667" s="15">
        <v>0.0</v>
      </c>
      <c r="DF667" s="15" t="s">
        <v>1186</v>
      </c>
      <c r="DG667" s="15" t="s">
        <v>421</v>
      </c>
      <c r="DK667" s="15">
        <v>0.0</v>
      </c>
      <c r="DR667" s="15" t="s">
        <v>471</v>
      </c>
      <c r="DS667" s="15" t="s">
        <v>7320</v>
      </c>
      <c r="DU667" s="15" t="s">
        <v>500</v>
      </c>
      <c r="EF667" s="15" t="s">
        <v>1483</v>
      </c>
      <c r="EV667" s="15">
        <v>0.0</v>
      </c>
      <c r="FQ667" s="15">
        <v>0.0</v>
      </c>
      <c r="FR667" s="15" t="s">
        <v>427</v>
      </c>
      <c r="FZ667" s="15" t="s">
        <v>5544</v>
      </c>
      <c r="GA667" s="15" t="s">
        <v>6427</v>
      </c>
      <c r="GB667" s="15" t="s">
        <v>2947</v>
      </c>
      <c r="GC667" s="15" t="s">
        <v>731</v>
      </c>
      <c r="GD667" s="15" t="s">
        <v>6271</v>
      </c>
      <c r="GE667" s="15" t="s">
        <v>6271</v>
      </c>
      <c r="GF667" s="15" t="s">
        <v>2604</v>
      </c>
      <c r="GH667" s="15" t="s">
        <v>764</v>
      </c>
      <c r="GI667" s="15" t="s">
        <v>426</v>
      </c>
    </row>
    <row r="668" ht="17.25" customHeight="1">
      <c r="A668" s="15" t="s">
        <v>7367</v>
      </c>
      <c r="B668" s="15" t="str">
        <f>"801542066109"</f>
        <v>801542066109</v>
      </c>
      <c r="C668" s="15" t="s">
        <v>19334</v>
      </c>
      <c r="D668" s="15" t="str">
        <f t="shared" si="1"/>
        <v>Meadow SideboardTawny Oak Veneer</v>
      </c>
      <c r="E668" s="15" t="s">
        <v>7365</v>
      </c>
      <c r="F668" s="15" t="s">
        <v>397</v>
      </c>
      <c r="G668" s="15" t="s">
        <v>4295</v>
      </c>
      <c r="J668" s="15" t="s">
        <v>4295</v>
      </c>
      <c r="M668" s="15" t="s">
        <v>1896</v>
      </c>
      <c r="N668" s="15" t="s">
        <v>664</v>
      </c>
      <c r="P668" s="15" t="str">
        <f>"72"</f>
        <v>72</v>
      </c>
      <c r="Q668" s="15" t="str">
        <f t="shared" si="1923"/>
        <v>17.75</v>
      </c>
      <c r="R668" s="15" t="str">
        <f>"31.5"</f>
        <v>31.5</v>
      </c>
      <c r="S668" s="15" t="str">
        <f>"184.08"</f>
        <v>184.08</v>
      </c>
      <c r="T668" s="15" t="s">
        <v>2354</v>
      </c>
      <c r="U668" s="15" t="s">
        <v>11553</v>
      </c>
      <c r="V668" s="15" t="s">
        <v>11338</v>
      </c>
      <c r="AA668" s="15" t="s">
        <v>413</v>
      </c>
      <c r="AB668" s="15" t="s">
        <v>413</v>
      </c>
      <c r="AC668" s="15" t="s">
        <v>7369</v>
      </c>
      <c r="AD668" s="15" t="s">
        <v>19335</v>
      </c>
      <c r="AE668" s="15" t="s">
        <v>7368</v>
      </c>
      <c r="AF668" s="15" t="s">
        <v>19336</v>
      </c>
      <c r="AG668" s="15" t="s">
        <v>19337</v>
      </c>
      <c r="AH668" s="15" t="s">
        <v>19338</v>
      </c>
      <c r="AI668" s="15" t="s">
        <v>19339</v>
      </c>
      <c r="AJ668" s="15" t="s">
        <v>19340</v>
      </c>
      <c r="AK668" s="15" t="s">
        <v>19341</v>
      </c>
      <c r="AL668" s="15" t="s">
        <v>19342</v>
      </c>
      <c r="AM668" s="15" t="s">
        <v>19343</v>
      </c>
      <c r="AN668" s="15" t="s">
        <v>19344</v>
      </c>
      <c r="AO668" s="15" t="s">
        <v>19345</v>
      </c>
      <c r="AP668" s="15" t="s">
        <v>19346</v>
      </c>
      <c r="BH668" s="15" t="s">
        <v>7366</v>
      </c>
      <c r="BI668" s="15" t="str">
        <f>"1899"</f>
        <v>1899</v>
      </c>
      <c r="BJ668" s="15" t="str">
        <f>"800"</f>
        <v>800</v>
      </c>
      <c r="BK668" s="15" t="s">
        <v>742</v>
      </c>
      <c r="BL668" s="15" t="str">
        <f t="shared" si="1922"/>
        <v>1</v>
      </c>
      <c r="BM668" s="15" t="s">
        <v>2043</v>
      </c>
      <c r="BN668" s="15" t="str">
        <f>"75.98"</f>
        <v>75.98</v>
      </c>
      <c r="BO668" s="15" t="str">
        <f t="shared" si="1924"/>
        <v>21.46</v>
      </c>
      <c r="BP668" s="15" t="str">
        <f>"36.61"</f>
        <v>36.61</v>
      </c>
      <c r="BQ668" s="15" t="str">
        <f>"216.05"</f>
        <v>216.05</v>
      </c>
      <c r="CG668" s="15" t="str">
        <f>"34.54"</f>
        <v>34.54</v>
      </c>
      <c r="CH668" s="15" t="str">
        <f>"0.978"</f>
        <v>0.978</v>
      </c>
      <c r="CI668" s="15" t="s">
        <v>417</v>
      </c>
      <c r="CM668" s="15" t="s">
        <v>2348</v>
      </c>
      <c r="CN668" s="15" t="s">
        <v>7371</v>
      </c>
      <c r="CO668" s="15" t="s">
        <v>7372</v>
      </c>
      <c r="CZ668" s="15" t="s">
        <v>4002</v>
      </c>
      <c r="DA668" s="15">
        <v>6.0</v>
      </c>
      <c r="DB668" s="15" t="s">
        <v>1185</v>
      </c>
      <c r="DD668" s="15">
        <v>0.0</v>
      </c>
      <c r="DF668" s="15" t="s">
        <v>1186</v>
      </c>
      <c r="DG668" s="15" t="s">
        <v>610</v>
      </c>
      <c r="DI668" s="15">
        <v>18.14</v>
      </c>
      <c r="DJ668" s="15">
        <v>40.0</v>
      </c>
      <c r="DK668" s="15">
        <v>1.0</v>
      </c>
      <c r="DS668" s="15" t="s">
        <v>7320</v>
      </c>
      <c r="DU668" s="15" t="s">
        <v>424</v>
      </c>
      <c r="EF668" s="15" t="s">
        <v>1483</v>
      </c>
      <c r="EU668" s="15" t="s">
        <v>426</v>
      </c>
      <c r="EV668" s="15">
        <v>1.0</v>
      </c>
      <c r="FH668" s="15" t="s">
        <v>3746</v>
      </c>
      <c r="FI668" s="15" t="s">
        <v>782</v>
      </c>
      <c r="FJ668" s="15" t="s">
        <v>7373</v>
      </c>
      <c r="FK668" s="15" t="s">
        <v>2348</v>
      </c>
      <c r="FL668" s="15" t="s">
        <v>782</v>
      </c>
      <c r="FM668" s="15" t="s">
        <v>7372</v>
      </c>
      <c r="FN668" s="15">
        <v>0.0</v>
      </c>
      <c r="FO668" s="15" t="s">
        <v>426</v>
      </c>
      <c r="FQ668" s="15">
        <v>2.0</v>
      </c>
      <c r="FR668" s="15" t="s">
        <v>614</v>
      </c>
      <c r="FS668" s="15" t="s">
        <v>615</v>
      </c>
      <c r="FT668" s="15">
        <v>0.0</v>
      </c>
      <c r="FU668" s="15" t="s">
        <v>426</v>
      </c>
      <c r="FW668" s="15" t="s">
        <v>616</v>
      </c>
      <c r="FZ668" s="15" t="s">
        <v>5544</v>
      </c>
      <c r="GA668" s="15" t="s">
        <v>5544</v>
      </c>
      <c r="GB668" s="15" t="s">
        <v>2275</v>
      </c>
      <c r="GC668" s="15" t="s">
        <v>7374</v>
      </c>
      <c r="GD668" s="15" t="s">
        <v>7375</v>
      </c>
      <c r="GE668" s="15" t="s">
        <v>7375</v>
      </c>
      <c r="GF668" s="15" t="s">
        <v>2604</v>
      </c>
      <c r="GH668" s="15" t="s">
        <v>764</v>
      </c>
      <c r="HF668" s="15" t="s">
        <v>1957</v>
      </c>
      <c r="HG668" s="15" t="s">
        <v>5544</v>
      </c>
      <c r="HI668" s="15" t="s">
        <v>7232</v>
      </c>
      <c r="HK668" s="15" t="s">
        <v>7375</v>
      </c>
      <c r="HQ668" s="15" t="s">
        <v>426</v>
      </c>
    </row>
    <row r="669" ht="17.25" customHeight="1">
      <c r="A669" s="15" t="s">
        <v>7379</v>
      </c>
      <c r="B669" s="15" t="str">
        <f>"801542967840"</f>
        <v>801542967840</v>
      </c>
      <c r="C669" s="15" t="s">
        <v>19347</v>
      </c>
      <c r="D669" s="15" t="str">
        <f t="shared" si="1"/>
        <v>Melle SofaLipari Camel</v>
      </c>
      <c r="E669" s="15" t="s">
        <v>7376</v>
      </c>
      <c r="F669" s="15" t="s">
        <v>397</v>
      </c>
      <c r="G669" s="15" t="s">
        <v>7378</v>
      </c>
      <c r="J669" s="15" t="s">
        <v>7378</v>
      </c>
      <c r="K669" s="15" t="s">
        <v>7387</v>
      </c>
      <c r="M669" s="15" t="s">
        <v>3277</v>
      </c>
      <c r="N669" s="15" t="s">
        <v>1732</v>
      </c>
      <c r="P669" s="15" t="str">
        <f t="shared" ref="P669:P670" si="1925">"87.5"</f>
        <v>87.5</v>
      </c>
      <c r="Q669" s="15" t="str">
        <f t="shared" ref="Q669:Q670" si="1926">"41.25"</f>
        <v>41.25</v>
      </c>
      <c r="R669" s="15" t="str">
        <f t="shared" ref="R669:R670" si="1927">"33"</f>
        <v>33</v>
      </c>
      <c r="S669" s="15" t="str">
        <f t="shared" ref="S669:S670" si="1928">"130.07"</f>
        <v>130.07</v>
      </c>
      <c r="T669" s="15" t="s">
        <v>7382</v>
      </c>
      <c r="U669" s="15" t="s">
        <v>11137</v>
      </c>
      <c r="V669" s="15" t="s">
        <v>18043</v>
      </c>
      <c r="AA669" s="15" t="s">
        <v>413</v>
      </c>
      <c r="AB669" s="15" t="s">
        <v>413</v>
      </c>
      <c r="AC669" s="15" t="s">
        <v>7388</v>
      </c>
      <c r="AD669" s="15" t="s">
        <v>19348</v>
      </c>
      <c r="AE669" s="15" t="s">
        <v>7381</v>
      </c>
      <c r="AF669" s="15" t="s">
        <v>19349</v>
      </c>
      <c r="AG669" s="15" t="s">
        <v>19350</v>
      </c>
      <c r="AH669" s="15" t="s">
        <v>19351</v>
      </c>
      <c r="AI669" s="15" t="s">
        <v>19352</v>
      </c>
      <c r="AJ669" s="15" t="s">
        <v>19353</v>
      </c>
      <c r="AK669" s="15" t="s">
        <v>19354</v>
      </c>
      <c r="AL669" s="15" t="s">
        <v>19355</v>
      </c>
      <c r="AM669" s="15" t="s">
        <v>19356</v>
      </c>
      <c r="AN669" s="15" t="s">
        <v>19357</v>
      </c>
      <c r="AO669" s="15" t="s">
        <v>19358</v>
      </c>
      <c r="AP669" s="15" t="s">
        <v>19359</v>
      </c>
      <c r="AQ669" s="15" t="s">
        <v>17814</v>
      </c>
      <c r="BH669" s="15" t="s">
        <v>7377</v>
      </c>
      <c r="BI669" s="15" t="str">
        <f>"4199"</f>
        <v>4199</v>
      </c>
      <c r="BJ669" s="15" t="str">
        <f>"1765"</f>
        <v>1765</v>
      </c>
      <c r="BK669" s="15" t="s">
        <v>742</v>
      </c>
      <c r="BL669" s="15" t="str">
        <f t="shared" si="1922"/>
        <v>1</v>
      </c>
      <c r="BM669" s="15" t="s">
        <v>7389</v>
      </c>
      <c r="BN669" s="15" t="str">
        <f t="shared" ref="BN669:BN670" si="1929">"88.39"</f>
        <v>88.39</v>
      </c>
      <c r="BO669" s="15" t="str">
        <f t="shared" ref="BO669:BO670" si="1930">"41.93"</f>
        <v>41.93</v>
      </c>
      <c r="BP669" s="15" t="str">
        <f t="shared" ref="BP669:BP670" si="1931">"21.26"</f>
        <v>21.26</v>
      </c>
      <c r="BQ669" s="15" t="str">
        <f t="shared" ref="BQ669:BQ670" si="1932">"163.14"</f>
        <v>163.14</v>
      </c>
      <c r="CG669" s="15" t="str">
        <f t="shared" ref="CG669:CG670" si="1933">"45.59"</f>
        <v>45.59</v>
      </c>
      <c r="CH669" s="15" t="str">
        <f t="shared" ref="CH669:CH670" si="1934">"1.291"</f>
        <v>1.291</v>
      </c>
      <c r="CI669" s="15" t="s">
        <v>417</v>
      </c>
      <c r="CP669" s="15" t="s">
        <v>734</v>
      </c>
      <c r="CQ669" s="15" t="s">
        <v>714</v>
      </c>
      <c r="CR669" s="15" t="s">
        <v>7391</v>
      </c>
      <c r="CS669" s="15" t="s">
        <v>555</v>
      </c>
      <c r="CT669" s="15" t="s">
        <v>1604</v>
      </c>
      <c r="CU669" s="15" t="s">
        <v>7392</v>
      </c>
      <c r="CV669" s="15">
        <v>0.0</v>
      </c>
      <c r="CW669" s="15">
        <v>2.0</v>
      </c>
      <c r="CX669" s="15" t="s">
        <v>717</v>
      </c>
      <c r="CY669" s="15" t="s">
        <v>1837</v>
      </c>
      <c r="DC669" s="15" t="s">
        <v>7393</v>
      </c>
      <c r="DG669" s="15" t="s">
        <v>419</v>
      </c>
      <c r="DH669" s="15">
        <v>0.0</v>
      </c>
      <c r="DL669" s="15">
        <v>500.0</v>
      </c>
      <c r="DM669" s="15" t="s">
        <v>722</v>
      </c>
      <c r="DN669" s="15" t="s">
        <v>723</v>
      </c>
      <c r="DO669" s="15" t="s">
        <v>724</v>
      </c>
      <c r="DP669" s="15">
        <v>2.0</v>
      </c>
      <c r="DQ669" s="15">
        <v>4.0</v>
      </c>
      <c r="DS669" s="15" t="s">
        <v>7394</v>
      </c>
      <c r="DT669" s="15">
        <v>0.0</v>
      </c>
      <c r="DU669" s="15" t="s">
        <v>588</v>
      </c>
      <c r="DV669" s="15" t="s">
        <v>1482</v>
      </c>
      <c r="DW669" s="15" t="s">
        <v>6046</v>
      </c>
      <c r="DX669" s="15" t="s">
        <v>7395</v>
      </c>
      <c r="EB669" s="15" t="s">
        <v>3164</v>
      </c>
      <c r="EC669" s="15" t="s">
        <v>1254</v>
      </c>
      <c r="ED669" s="15" t="s">
        <v>5633</v>
      </c>
      <c r="EE669" s="15" t="s">
        <v>7391</v>
      </c>
      <c r="EF669" s="15" t="s">
        <v>762</v>
      </c>
      <c r="EG669" s="15" t="s">
        <v>7396</v>
      </c>
      <c r="EH669" s="15" t="s">
        <v>7397</v>
      </c>
      <c r="EI669" s="15" t="s">
        <v>6046</v>
      </c>
      <c r="EL669" s="15" t="s">
        <v>723</v>
      </c>
      <c r="EM669" s="15" t="s">
        <v>724</v>
      </c>
      <c r="EN669" s="15" t="s">
        <v>7398</v>
      </c>
      <c r="EO669" s="15" t="s">
        <v>7399</v>
      </c>
      <c r="EX669" s="15" t="s">
        <v>7392</v>
      </c>
      <c r="EY669" s="15" t="s">
        <v>7392</v>
      </c>
    </row>
    <row r="670" ht="17.25" customHeight="1">
      <c r="A670" s="15" t="s">
        <v>7401</v>
      </c>
      <c r="B670" s="15" t="str">
        <f>"801542967857"</f>
        <v>801542967857</v>
      </c>
      <c r="C670" s="15" t="s">
        <v>19360</v>
      </c>
      <c r="D670" s="15" t="str">
        <f t="shared" si="1"/>
        <v>Melle SofaOmari Natural</v>
      </c>
      <c r="E670" s="15" t="s">
        <v>7376</v>
      </c>
      <c r="F670" s="15" t="s">
        <v>397</v>
      </c>
      <c r="G670" s="15" t="s">
        <v>7211</v>
      </c>
      <c r="J670" s="15" t="s">
        <v>7211</v>
      </c>
      <c r="K670" s="15" t="s">
        <v>7387</v>
      </c>
      <c r="M670" s="15" t="s">
        <v>3277</v>
      </c>
      <c r="N670" s="15" t="s">
        <v>1732</v>
      </c>
      <c r="P670" s="15" t="str">
        <f t="shared" si="1925"/>
        <v>87.5</v>
      </c>
      <c r="Q670" s="15" t="str">
        <f t="shared" si="1926"/>
        <v>41.25</v>
      </c>
      <c r="R670" s="15" t="str">
        <f t="shared" si="1927"/>
        <v>33</v>
      </c>
      <c r="S670" s="15" t="str">
        <f t="shared" si="1928"/>
        <v>130.07</v>
      </c>
      <c r="T670" s="15" t="s">
        <v>7403</v>
      </c>
      <c r="U670" s="15" t="s">
        <v>19023</v>
      </c>
      <c r="V670" s="15" t="s">
        <v>19024</v>
      </c>
      <c r="W670" s="15" t="s">
        <v>13832</v>
      </c>
      <c r="X670" s="15" t="s">
        <v>18043</v>
      </c>
      <c r="AA670" s="15" t="s">
        <v>413</v>
      </c>
      <c r="AB670" s="15" t="s">
        <v>426</v>
      </c>
      <c r="AC670" s="15" t="s">
        <v>7404</v>
      </c>
      <c r="AD670" s="15" t="s">
        <v>19361</v>
      </c>
      <c r="AE670" s="15" t="s">
        <v>7402</v>
      </c>
      <c r="AF670" s="15" t="s">
        <v>19362</v>
      </c>
      <c r="AG670" s="15" t="s">
        <v>19363</v>
      </c>
      <c r="AH670" s="15" t="s">
        <v>19364</v>
      </c>
      <c r="AI670" s="15" t="s">
        <v>19365</v>
      </c>
      <c r="AJ670" s="15" t="s">
        <v>19366</v>
      </c>
      <c r="AK670" s="15" t="s">
        <v>19367</v>
      </c>
      <c r="AL670" s="15" t="s">
        <v>19368</v>
      </c>
      <c r="AM670" s="15" t="s">
        <v>19369</v>
      </c>
      <c r="AN670" s="15" t="s">
        <v>19370</v>
      </c>
      <c r="BH670" s="15" t="s">
        <v>7400</v>
      </c>
      <c r="BI670" s="15" t="str">
        <f>"2299"</f>
        <v>2299</v>
      </c>
      <c r="BJ670" s="15" t="str">
        <f>"970"</f>
        <v>970</v>
      </c>
      <c r="BK670" s="15" t="s">
        <v>742</v>
      </c>
      <c r="BL670" s="15" t="str">
        <f t="shared" si="1922"/>
        <v>1</v>
      </c>
      <c r="BM670" s="15" t="s">
        <v>7389</v>
      </c>
      <c r="BN670" s="15" t="str">
        <f t="shared" si="1929"/>
        <v>88.39</v>
      </c>
      <c r="BO670" s="15" t="str">
        <f t="shared" si="1930"/>
        <v>41.93</v>
      </c>
      <c r="BP670" s="15" t="str">
        <f t="shared" si="1931"/>
        <v>21.26</v>
      </c>
      <c r="BQ670" s="15" t="str">
        <f t="shared" si="1932"/>
        <v>163.14</v>
      </c>
      <c r="CG670" s="15" t="str">
        <f t="shared" si="1933"/>
        <v>45.59</v>
      </c>
      <c r="CH670" s="15" t="str">
        <f t="shared" si="1934"/>
        <v>1.291</v>
      </c>
      <c r="CI670" s="15" t="s">
        <v>417</v>
      </c>
      <c r="CP670" s="15" t="s">
        <v>734</v>
      </c>
      <c r="CQ670" s="15" t="s">
        <v>714</v>
      </c>
      <c r="CR670" s="15" t="s">
        <v>7391</v>
      </c>
      <c r="CS670" s="15" t="s">
        <v>555</v>
      </c>
      <c r="CT670" s="15" t="s">
        <v>1604</v>
      </c>
      <c r="CU670" s="15" t="s">
        <v>7392</v>
      </c>
      <c r="CV670" s="15">
        <v>0.0</v>
      </c>
      <c r="CW670" s="15">
        <v>2.0</v>
      </c>
      <c r="CX670" s="15" t="s">
        <v>717</v>
      </c>
      <c r="CY670" s="15" t="s">
        <v>897</v>
      </c>
      <c r="DC670" s="15" t="s">
        <v>7393</v>
      </c>
      <c r="DG670" s="15" t="s">
        <v>419</v>
      </c>
      <c r="DH670" s="15">
        <v>0.0</v>
      </c>
      <c r="DL670" s="15">
        <v>15000.0</v>
      </c>
      <c r="DM670" s="15" t="s">
        <v>722</v>
      </c>
      <c r="DN670" s="15" t="s">
        <v>723</v>
      </c>
      <c r="DO670" s="15" t="s">
        <v>724</v>
      </c>
      <c r="DP670" s="15">
        <v>2.0</v>
      </c>
      <c r="DQ670" s="15">
        <v>4.0</v>
      </c>
      <c r="DS670" s="15" t="s">
        <v>7394</v>
      </c>
      <c r="DT670" s="15">
        <v>0.0</v>
      </c>
      <c r="DU670" s="15" t="s">
        <v>588</v>
      </c>
      <c r="DV670" s="15" t="s">
        <v>1482</v>
      </c>
      <c r="DW670" s="15" t="s">
        <v>6046</v>
      </c>
      <c r="DX670" s="15" t="s">
        <v>7395</v>
      </c>
      <c r="EB670" s="15" t="s">
        <v>3164</v>
      </c>
      <c r="EC670" s="15" t="s">
        <v>1254</v>
      </c>
      <c r="ED670" s="15" t="s">
        <v>5633</v>
      </c>
      <c r="EE670" s="15" t="s">
        <v>7391</v>
      </c>
      <c r="EF670" s="15" t="s">
        <v>762</v>
      </c>
      <c r="EG670" s="15" t="s">
        <v>7396</v>
      </c>
      <c r="EH670" s="15" t="s">
        <v>7397</v>
      </c>
      <c r="EI670" s="15" t="s">
        <v>6046</v>
      </c>
      <c r="EL670" s="15" t="s">
        <v>723</v>
      </c>
      <c r="EM670" s="15" t="s">
        <v>724</v>
      </c>
      <c r="EN670" s="15" t="s">
        <v>7398</v>
      </c>
      <c r="EO670" s="15" t="s">
        <v>7399</v>
      </c>
      <c r="EX670" s="15" t="s">
        <v>7392</v>
      </c>
      <c r="EY670" s="15" t="s">
        <v>7392</v>
      </c>
    </row>
    <row r="671" ht="17.25" customHeight="1">
      <c r="A671" s="15" t="s">
        <v>7407</v>
      </c>
      <c r="B671" s="15" t="str">
        <f>"801542375072"</f>
        <v>801542375072</v>
      </c>
      <c r="C671" s="15" t="s">
        <v>19371</v>
      </c>
      <c r="D671" s="15" t="str">
        <f t="shared" si="1"/>
        <v>Mercantile Shop Store CabinetAged Brown</v>
      </c>
      <c r="E671" s="15" t="s">
        <v>7405</v>
      </c>
      <c r="F671" s="15" t="s">
        <v>397</v>
      </c>
      <c r="G671" s="15" t="s">
        <v>3974</v>
      </c>
      <c r="J671" s="15" t="s">
        <v>3974</v>
      </c>
      <c r="K671" s="15" t="s">
        <v>7413</v>
      </c>
      <c r="L671" s="15" t="s">
        <v>7414</v>
      </c>
      <c r="M671" s="15" t="s">
        <v>5963</v>
      </c>
      <c r="N671" s="15" t="s">
        <v>2891</v>
      </c>
      <c r="O671" s="15" t="s">
        <v>5805</v>
      </c>
      <c r="P671" s="15" t="str">
        <f>"48"</f>
        <v>48</v>
      </c>
      <c r="Q671" s="15" t="str">
        <f>"12"</f>
        <v>12</v>
      </c>
      <c r="R671" s="15" t="str">
        <f>"40"</f>
        <v>40</v>
      </c>
      <c r="S671" s="15" t="str">
        <f>"98.1"</f>
        <v>98.1</v>
      </c>
      <c r="T671" s="15" t="s">
        <v>7410</v>
      </c>
      <c r="U671" s="15" t="s">
        <v>11386</v>
      </c>
      <c r="V671" s="15" t="s">
        <v>17266</v>
      </c>
      <c r="AA671" s="15" t="s">
        <v>413</v>
      </c>
      <c r="AB671" s="15" t="s">
        <v>413</v>
      </c>
      <c r="AC671" s="15" t="s">
        <v>7415</v>
      </c>
      <c r="AD671" s="15" t="s">
        <v>19372</v>
      </c>
      <c r="AE671" s="15" t="s">
        <v>7409</v>
      </c>
      <c r="AF671" s="15" t="s">
        <v>19373</v>
      </c>
      <c r="AG671" s="15" t="s">
        <v>19374</v>
      </c>
      <c r="AH671" s="15" t="s">
        <v>19375</v>
      </c>
      <c r="AI671" s="15" t="s">
        <v>19376</v>
      </c>
      <c r="AJ671" s="15" t="s">
        <v>19377</v>
      </c>
      <c r="AK671" s="15" t="s">
        <v>19378</v>
      </c>
      <c r="AL671" s="15" t="s">
        <v>19379</v>
      </c>
      <c r="AM671" s="15" t="s">
        <v>19380</v>
      </c>
      <c r="AN671" s="15" t="s">
        <v>19381</v>
      </c>
      <c r="AO671" s="15" t="s">
        <v>19382</v>
      </c>
      <c r="AP671" s="15" t="s">
        <v>19383</v>
      </c>
      <c r="AQ671" s="15" t="s">
        <v>19384</v>
      </c>
      <c r="BH671" s="15" t="s">
        <v>7406</v>
      </c>
      <c r="BI671" s="15" t="str">
        <f>"1699"</f>
        <v>1699</v>
      </c>
      <c r="BJ671" s="15" t="str">
        <f>"715"</f>
        <v>715</v>
      </c>
      <c r="BK671" s="15" t="s">
        <v>742</v>
      </c>
      <c r="BL671" s="15" t="str">
        <f t="shared" si="1922"/>
        <v>1</v>
      </c>
      <c r="BM671" s="15" t="s">
        <v>416</v>
      </c>
      <c r="BN671" s="15" t="str">
        <f>"52"</f>
        <v>52</v>
      </c>
      <c r="BO671" s="15" t="str">
        <f>"15.75"</f>
        <v>15.75</v>
      </c>
      <c r="BP671" s="15" t="str">
        <f>"45"</f>
        <v>45</v>
      </c>
      <c r="BQ671" s="15" t="str">
        <f>"126.77"</f>
        <v>126.77</v>
      </c>
      <c r="CG671" s="15" t="str">
        <f>"21.33"</f>
        <v>21.33</v>
      </c>
      <c r="CH671" s="15" t="str">
        <f>"0.604"</f>
        <v>0.604</v>
      </c>
      <c r="CI671" s="15" t="s">
        <v>465</v>
      </c>
      <c r="CJ671" s="15" t="s">
        <v>2651</v>
      </c>
      <c r="CK671" s="15" t="s">
        <v>1512</v>
      </c>
      <c r="CL671" s="15" t="s">
        <v>7417</v>
      </c>
      <c r="CM671" s="15" t="s">
        <v>2651</v>
      </c>
      <c r="CN671" s="15" t="s">
        <v>3622</v>
      </c>
      <c r="CO671" s="15" t="s">
        <v>7417</v>
      </c>
      <c r="CZ671" s="15" t="s">
        <v>419</v>
      </c>
      <c r="DA671" s="15">
        <v>0.0</v>
      </c>
      <c r="DB671" s="15" t="s">
        <v>419</v>
      </c>
      <c r="DD671" s="15">
        <v>2.0</v>
      </c>
      <c r="DE671" s="15" t="s">
        <v>426</v>
      </c>
      <c r="DF671" s="15" t="s">
        <v>420</v>
      </c>
      <c r="DG671" s="15" t="s">
        <v>1914</v>
      </c>
      <c r="DI671" s="15">
        <v>18.14</v>
      </c>
      <c r="DJ671" s="15">
        <v>40.0</v>
      </c>
      <c r="DK671" s="15">
        <v>0.0</v>
      </c>
      <c r="DR671" s="15" t="s">
        <v>1906</v>
      </c>
      <c r="DS671" s="15" t="s">
        <v>7418</v>
      </c>
      <c r="EF671" s="15" t="s">
        <v>4683</v>
      </c>
      <c r="EU671" s="15" t="s">
        <v>426</v>
      </c>
      <c r="EV671" s="15">
        <v>12.0</v>
      </c>
      <c r="FN671" s="15">
        <v>0.0</v>
      </c>
      <c r="FQ671" s="15">
        <v>0.0</v>
      </c>
      <c r="FR671" s="15" t="s">
        <v>427</v>
      </c>
      <c r="FT671" s="15">
        <v>0.0</v>
      </c>
      <c r="FV671" s="15" t="s">
        <v>5816</v>
      </c>
      <c r="FY671" s="15">
        <v>0.0</v>
      </c>
      <c r="GJ671" s="15" t="s">
        <v>2651</v>
      </c>
      <c r="GK671" s="15" t="s">
        <v>3622</v>
      </c>
      <c r="GL671" s="15" t="s">
        <v>7417</v>
      </c>
      <c r="GZ671" s="15" t="s">
        <v>2651</v>
      </c>
      <c r="HA671" s="15" t="s">
        <v>2651</v>
      </c>
      <c r="HB671" s="15" t="s">
        <v>3622</v>
      </c>
      <c r="HC671" s="15" t="s">
        <v>3622</v>
      </c>
      <c r="HD671" s="15" t="s">
        <v>7417</v>
      </c>
      <c r="HE671" s="15" t="s">
        <v>7417</v>
      </c>
      <c r="KG671" s="15" t="s">
        <v>2651</v>
      </c>
      <c r="KH671" s="15" t="s">
        <v>1608</v>
      </c>
      <c r="KI671" s="15" t="s">
        <v>7417</v>
      </c>
      <c r="KT671" s="15" t="s">
        <v>2651</v>
      </c>
      <c r="KU671" s="15" t="s">
        <v>2651</v>
      </c>
      <c r="KV671" s="15" t="s">
        <v>1608</v>
      </c>
      <c r="KW671" s="15" t="s">
        <v>1608</v>
      </c>
      <c r="KX671" s="15" t="s">
        <v>7417</v>
      </c>
      <c r="KY671" s="15" t="s">
        <v>7417</v>
      </c>
      <c r="LH671" s="15" t="s">
        <v>2651</v>
      </c>
      <c r="LI671" s="15" t="s">
        <v>2651</v>
      </c>
      <c r="LJ671" s="15" t="s">
        <v>2651</v>
      </c>
      <c r="LK671" s="15" t="s">
        <v>2651</v>
      </c>
      <c r="LL671" s="15" t="s">
        <v>2651</v>
      </c>
      <c r="LM671" s="15" t="s">
        <v>7419</v>
      </c>
      <c r="LN671" s="15" t="s">
        <v>7419</v>
      </c>
      <c r="LO671" s="15" t="s">
        <v>7419</v>
      </c>
      <c r="LP671" s="15" t="s">
        <v>1608</v>
      </c>
      <c r="LQ671" s="15" t="s">
        <v>7419</v>
      </c>
      <c r="LR671" s="15" t="s">
        <v>7417</v>
      </c>
      <c r="LS671" s="15" t="s">
        <v>7417</v>
      </c>
      <c r="LT671" s="15" t="s">
        <v>7417</v>
      </c>
      <c r="LU671" s="15" t="s">
        <v>7417</v>
      </c>
      <c r="LV671" s="15" t="s">
        <v>7417</v>
      </c>
    </row>
    <row r="672" ht="17.25" customHeight="1">
      <c r="A672" s="15" t="s">
        <v>7423</v>
      </c>
      <c r="B672" s="15" t="str">
        <f>"801542331610"</f>
        <v>801542331610</v>
      </c>
      <c r="C672" s="15" t="s">
        <v>19385</v>
      </c>
      <c r="D672" s="15" t="str">
        <f t="shared" si="1"/>
        <v>Micah ChaiseOland Linen</v>
      </c>
      <c r="E672" s="15" t="s">
        <v>7420</v>
      </c>
      <c r="F672" s="15" t="s">
        <v>397</v>
      </c>
      <c r="G672" s="15" t="s">
        <v>7422</v>
      </c>
      <c r="J672" s="15" t="s">
        <v>7422</v>
      </c>
      <c r="M672" s="15" t="s">
        <v>2374</v>
      </c>
      <c r="N672" s="15" t="s">
        <v>1226</v>
      </c>
      <c r="P672" s="15" t="str">
        <f>"58"</f>
        <v>58</v>
      </c>
      <c r="Q672" s="15" t="str">
        <f>"56"</f>
        <v>56</v>
      </c>
      <c r="R672" s="15" t="str">
        <f>"36.5"</f>
        <v>36.5</v>
      </c>
      <c r="S672" s="15" t="str">
        <f>"72.75"</f>
        <v>72.75</v>
      </c>
      <c r="T672" s="15" t="s">
        <v>7425</v>
      </c>
      <c r="U672" s="15" t="s">
        <v>19386</v>
      </c>
      <c r="AA672" s="15" t="s">
        <v>413</v>
      </c>
      <c r="AB672" s="15" t="s">
        <v>426</v>
      </c>
      <c r="AC672" s="15" t="s">
        <v>7428</v>
      </c>
      <c r="AD672" s="15" t="s">
        <v>19387</v>
      </c>
      <c r="AE672" s="15" t="s">
        <v>7424</v>
      </c>
      <c r="AF672" s="15" t="s">
        <v>19388</v>
      </c>
      <c r="AG672" s="15" t="s">
        <v>19389</v>
      </c>
      <c r="AH672" s="15" t="s">
        <v>19390</v>
      </c>
      <c r="AI672" s="15" t="s">
        <v>19391</v>
      </c>
      <c r="AJ672" s="15" t="s">
        <v>19392</v>
      </c>
      <c r="AK672" s="15" t="s">
        <v>19393</v>
      </c>
      <c r="AL672" s="15" t="s">
        <v>19394</v>
      </c>
      <c r="AM672" s="15" t="s">
        <v>19395</v>
      </c>
      <c r="AN672" s="15" t="s">
        <v>19396</v>
      </c>
      <c r="AO672" s="15" t="s">
        <v>19397</v>
      </c>
      <c r="AP672" s="15" t="s">
        <v>19398</v>
      </c>
      <c r="BH672" s="15" t="s">
        <v>7421</v>
      </c>
      <c r="BI672" s="15" t="str">
        <f>"2399"</f>
        <v>2399</v>
      </c>
      <c r="BJ672" s="15" t="str">
        <f>"1010"</f>
        <v>1010</v>
      </c>
      <c r="BK672" s="15" t="s">
        <v>415</v>
      </c>
      <c r="BL672" s="15" t="str">
        <f t="shared" si="1922"/>
        <v>1</v>
      </c>
      <c r="BM672" s="15" t="s">
        <v>416</v>
      </c>
      <c r="BN672" s="15" t="str">
        <f>"57.5"</f>
        <v>57.5</v>
      </c>
      <c r="BO672" s="15" t="str">
        <f>"60"</f>
        <v>60</v>
      </c>
      <c r="BP672" s="15" t="str">
        <f>"30"</f>
        <v>30</v>
      </c>
      <c r="BQ672" s="15" t="str">
        <f>"84.88"</f>
        <v>84.88</v>
      </c>
      <c r="CG672" s="15" t="str">
        <f>"59.89"</f>
        <v>59.89</v>
      </c>
      <c r="CH672" s="15" t="str">
        <f>"1.696"</f>
        <v>1.696</v>
      </c>
      <c r="CI672" s="15" t="s">
        <v>465</v>
      </c>
      <c r="CS672" s="15" t="s">
        <v>3500</v>
      </c>
      <c r="CT672" s="15" t="s">
        <v>824</v>
      </c>
      <c r="CU672" s="15" t="s">
        <v>4074</v>
      </c>
      <c r="CV672" s="15">
        <v>0.0</v>
      </c>
      <c r="CW672" s="15">
        <v>3.0</v>
      </c>
      <c r="CX672" s="15" t="s">
        <v>469</v>
      </c>
      <c r="CY672" s="15" t="s">
        <v>934</v>
      </c>
      <c r="DC672" s="15" t="s">
        <v>3333</v>
      </c>
      <c r="DF672" s="15" t="s">
        <v>1509</v>
      </c>
      <c r="DH672" s="15">
        <v>0.0</v>
      </c>
      <c r="DL672" s="15">
        <v>51000.0</v>
      </c>
      <c r="DM672" s="15" t="s">
        <v>990</v>
      </c>
      <c r="DP672" s="15">
        <v>0.0</v>
      </c>
      <c r="DQ672" s="15">
        <v>3.0</v>
      </c>
      <c r="DS672" s="15" t="s">
        <v>7429</v>
      </c>
      <c r="DT672" s="15">
        <v>0.0</v>
      </c>
      <c r="DU672" s="15" t="s">
        <v>473</v>
      </c>
      <c r="EC672" s="15" t="s">
        <v>2547</v>
      </c>
      <c r="ED672" s="15" t="s">
        <v>1700</v>
      </c>
      <c r="EE672" s="15" t="s">
        <v>1700</v>
      </c>
      <c r="EG672" s="15" t="s">
        <v>1739</v>
      </c>
      <c r="EH672" s="15" t="s">
        <v>7430</v>
      </c>
      <c r="EI672" s="15" t="s">
        <v>1738</v>
      </c>
      <c r="EL672" s="15" t="s">
        <v>723</v>
      </c>
      <c r="EM672" s="15" t="s">
        <v>1076</v>
      </c>
      <c r="EN672" s="15" t="s">
        <v>1289</v>
      </c>
      <c r="EO672" s="15" t="s">
        <v>3843</v>
      </c>
      <c r="FB672" s="15" t="s">
        <v>2436</v>
      </c>
    </row>
    <row r="673" ht="17.25" customHeight="1">
      <c r="A673" s="15" t="s">
        <v>7434</v>
      </c>
      <c r="B673" s="15" t="str">
        <f>"801542535667"</f>
        <v>801542535667</v>
      </c>
      <c r="C673" s="15" t="s">
        <v>19399</v>
      </c>
      <c r="D673" s="15" t="str">
        <f t="shared" si="1"/>
        <v>Mika Dining SideboardWhitewash Oak</v>
      </c>
      <c r="E673" s="15" t="s">
        <v>7431</v>
      </c>
      <c r="F673" s="15" t="s">
        <v>397</v>
      </c>
      <c r="G673" s="15" t="s">
        <v>7433</v>
      </c>
      <c r="J673" s="15" t="s">
        <v>7433</v>
      </c>
      <c r="K673" s="15" t="s">
        <v>7436</v>
      </c>
      <c r="M673" s="15" t="s">
        <v>5444</v>
      </c>
      <c r="N673" s="15" t="s">
        <v>664</v>
      </c>
      <c r="P673" s="15" t="str">
        <f>"72"</f>
        <v>72</v>
      </c>
      <c r="Q673" s="15" t="str">
        <f>"16"</f>
        <v>16</v>
      </c>
      <c r="R673" s="15" t="str">
        <f t="shared" ref="R673:R674" si="1935">"30"</f>
        <v>30</v>
      </c>
      <c r="S673" s="15" t="str">
        <f>"149.91"</f>
        <v>149.91</v>
      </c>
      <c r="T673" s="15" t="s">
        <v>1532</v>
      </c>
      <c r="U673" s="15" t="s">
        <v>11338</v>
      </c>
      <c r="V673" s="15" t="s">
        <v>11553</v>
      </c>
      <c r="AA673" s="15" t="s">
        <v>413</v>
      </c>
      <c r="AB673" s="15" t="s">
        <v>413</v>
      </c>
      <c r="AC673" s="15" t="s">
        <v>7437</v>
      </c>
      <c r="AD673" s="15" t="s">
        <v>19400</v>
      </c>
      <c r="AE673" s="15" t="s">
        <v>7435</v>
      </c>
      <c r="AF673" s="15" t="s">
        <v>19401</v>
      </c>
      <c r="AG673" s="15" t="s">
        <v>19402</v>
      </c>
      <c r="AH673" s="15" t="s">
        <v>19403</v>
      </c>
      <c r="AI673" s="15" t="s">
        <v>19404</v>
      </c>
      <c r="AJ673" s="15" t="s">
        <v>19405</v>
      </c>
      <c r="AK673" s="15" t="s">
        <v>19406</v>
      </c>
      <c r="AL673" s="15" t="s">
        <v>19407</v>
      </c>
      <c r="AM673" s="15" t="s">
        <v>19408</v>
      </c>
      <c r="AN673" s="15" t="s">
        <v>19409</v>
      </c>
      <c r="AO673" s="15" t="s">
        <v>19410</v>
      </c>
      <c r="AP673" s="15" t="s">
        <v>19411</v>
      </c>
      <c r="BH673" s="15" t="s">
        <v>7432</v>
      </c>
      <c r="BI673" s="15" t="str">
        <f>"1599"</f>
        <v>1599</v>
      </c>
      <c r="BJ673" s="15" t="str">
        <f>"675"</f>
        <v>675</v>
      </c>
      <c r="BK673" s="15" t="s">
        <v>742</v>
      </c>
      <c r="BL673" s="15" t="str">
        <f t="shared" si="1922"/>
        <v>1</v>
      </c>
      <c r="BM673" s="15" t="s">
        <v>416</v>
      </c>
      <c r="BN673" s="15" t="str">
        <f>"76.38"</f>
        <v>76.38</v>
      </c>
      <c r="BO673" s="15" t="str">
        <f>"20.87"</f>
        <v>20.87</v>
      </c>
      <c r="BP673" s="15" t="str">
        <f>"29.92"</f>
        <v>29.92</v>
      </c>
      <c r="BQ673" s="15" t="str">
        <f>"180.78"</f>
        <v>180.78</v>
      </c>
      <c r="CG673" s="15" t="str">
        <f>"27.58"</f>
        <v>27.58</v>
      </c>
      <c r="CH673" s="15" t="str">
        <f>"0.781"</f>
        <v>0.781</v>
      </c>
      <c r="CI673" s="15" t="s">
        <v>497</v>
      </c>
      <c r="CM673" s="15" t="s">
        <v>1459</v>
      </c>
      <c r="CN673" s="15" t="s">
        <v>3857</v>
      </c>
      <c r="CO673" s="15" t="s">
        <v>7438</v>
      </c>
      <c r="CZ673" s="15" t="s">
        <v>419</v>
      </c>
      <c r="DA673" s="15">
        <v>0.0</v>
      </c>
      <c r="DB673" s="15" t="s">
        <v>419</v>
      </c>
      <c r="DD673" s="15">
        <v>0.0</v>
      </c>
      <c r="DF673" s="15" t="s">
        <v>420</v>
      </c>
      <c r="DG673" s="15" t="s">
        <v>610</v>
      </c>
      <c r="DI673" s="15">
        <v>18.14</v>
      </c>
      <c r="DJ673" s="15">
        <v>40.0</v>
      </c>
      <c r="DK673" s="15">
        <v>2.0</v>
      </c>
      <c r="DS673" s="15" t="s">
        <v>7439</v>
      </c>
      <c r="DU673" s="15" t="s">
        <v>424</v>
      </c>
      <c r="EF673" s="15" t="s">
        <v>1955</v>
      </c>
      <c r="EU673" s="15" t="s">
        <v>426</v>
      </c>
      <c r="EV673" s="15">
        <v>2.0</v>
      </c>
      <c r="FH673" s="15" t="s">
        <v>2652</v>
      </c>
      <c r="FI673" s="15" t="s">
        <v>782</v>
      </c>
      <c r="FJ673" s="15" t="s">
        <v>2165</v>
      </c>
      <c r="FK673" s="15" t="s">
        <v>3781</v>
      </c>
      <c r="FL673" s="15" t="s">
        <v>782</v>
      </c>
      <c r="FM673" s="15" t="s">
        <v>7440</v>
      </c>
      <c r="FN673" s="15">
        <v>0.0</v>
      </c>
      <c r="FO673" s="15" t="s">
        <v>426</v>
      </c>
      <c r="FP673" s="15" t="s">
        <v>785</v>
      </c>
      <c r="FQ673" s="15">
        <v>4.0</v>
      </c>
      <c r="FR673" s="15" t="s">
        <v>614</v>
      </c>
      <c r="FS673" s="15" t="s">
        <v>615</v>
      </c>
      <c r="FT673" s="15">
        <v>0.0</v>
      </c>
      <c r="FU673" s="15" t="s">
        <v>426</v>
      </c>
      <c r="FW673" s="15" t="s">
        <v>616</v>
      </c>
      <c r="HF673" s="15" t="s">
        <v>1607</v>
      </c>
      <c r="HQ673" s="15" t="s">
        <v>426</v>
      </c>
    </row>
    <row r="674" ht="17.25" customHeight="1">
      <c r="A674" s="15" t="s">
        <v>7443</v>
      </c>
      <c r="B674" s="15" t="str">
        <f>"801542435646"</f>
        <v>801542435646</v>
      </c>
      <c r="C674" s="15" t="s">
        <v>19412</v>
      </c>
      <c r="D674" s="15" t="str">
        <f t="shared" si="1"/>
        <v>Mika Dining TableWhitewashed Oak Veneer</v>
      </c>
      <c r="E674" s="15" t="s">
        <v>7441</v>
      </c>
      <c r="F674" s="15" t="s">
        <v>397</v>
      </c>
      <c r="G674" s="15" t="s">
        <v>7436</v>
      </c>
      <c r="J674" s="15" t="s">
        <v>7436</v>
      </c>
      <c r="M674" s="15" t="s">
        <v>5444</v>
      </c>
      <c r="N674" s="15" t="s">
        <v>548</v>
      </c>
      <c r="O674" s="15" t="s">
        <v>549</v>
      </c>
      <c r="P674" s="15" t="str">
        <f>"84"</f>
        <v>84</v>
      </c>
      <c r="Q674" s="15" t="str">
        <f>"36"</f>
        <v>36</v>
      </c>
      <c r="R674" s="15" t="str">
        <f t="shared" si="1935"/>
        <v>30</v>
      </c>
      <c r="S674" s="15" t="str">
        <f>"119.05"</f>
        <v>119.05</v>
      </c>
      <c r="T674" s="15" t="s">
        <v>2354</v>
      </c>
      <c r="U674" s="15" t="s">
        <v>11553</v>
      </c>
      <c r="V674" s="15" t="s">
        <v>11338</v>
      </c>
      <c r="AA674" s="15" t="s">
        <v>413</v>
      </c>
      <c r="AB674" s="15" t="s">
        <v>413</v>
      </c>
      <c r="AC674" s="15" t="s">
        <v>7445</v>
      </c>
      <c r="AD674" s="15" t="s">
        <v>19413</v>
      </c>
      <c r="AE674" s="15" t="s">
        <v>7444</v>
      </c>
      <c r="AF674" s="15" t="s">
        <v>19414</v>
      </c>
      <c r="AG674" s="15" t="s">
        <v>19415</v>
      </c>
      <c r="AH674" s="15" t="s">
        <v>19416</v>
      </c>
      <c r="AI674" s="15" t="s">
        <v>19417</v>
      </c>
      <c r="AJ674" s="15" t="s">
        <v>19418</v>
      </c>
      <c r="AK674" s="15" t="s">
        <v>19419</v>
      </c>
      <c r="AL674" s="15" t="s">
        <v>19420</v>
      </c>
      <c r="BH674" s="15" t="s">
        <v>7442</v>
      </c>
      <c r="BI674" s="15" t="str">
        <f>"1299"</f>
        <v>1299</v>
      </c>
      <c r="BJ674" s="15" t="str">
        <f>"550"</f>
        <v>550</v>
      </c>
      <c r="BK674" s="15" t="s">
        <v>742</v>
      </c>
      <c r="BL674" s="15" t="str">
        <f t="shared" si="1922"/>
        <v>1</v>
      </c>
      <c r="BM674" s="15" t="s">
        <v>7446</v>
      </c>
      <c r="BN674" s="15" t="str">
        <f>"90"</f>
        <v>90</v>
      </c>
      <c r="BO674" s="15" t="str">
        <f>"10.35"</f>
        <v>10.35</v>
      </c>
      <c r="BP674" s="15" t="str">
        <f>"41.14"</f>
        <v>41.14</v>
      </c>
      <c r="BQ674" s="15" t="str">
        <f>"149.91"</f>
        <v>149.91</v>
      </c>
      <c r="CG674" s="15" t="str">
        <f>"22.18"</f>
        <v>22.18</v>
      </c>
      <c r="CH674" s="15" t="str">
        <f>"0.628"</f>
        <v>0.628</v>
      </c>
      <c r="CI674" s="15" t="s">
        <v>465</v>
      </c>
      <c r="CZ674" s="15" t="s">
        <v>419</v>
      </c>
      <c r="DA674" s="15">
        <v>0.0</v>
      </c>
      <c r="DB674" s="15" t="s">
        <v>419</v>
      </c>
      <c r="DD674" s="15">
        <v>0.0</v>
      </c>
      <c r="DF674" s="15" t="s">
        <v>1509</v>
      </c>
      <c r="DG674" s="15" t="s">
        <v>419</v>
      </c>
      <c r="DI674" s="15">
        <v>0.0</v>
      </c>
      <c r="DJ674" s="15">
        <v>0.0</v>
      </c>
      <c r="DK674" s="15">
        <v>0.0</v>
      </c>
      <c r="DQ674" s="15">
        <v>8.0</v>
      </c>
      <c r="DR674" s="15" t="s">
        <v>471</v>
      </c>
      <c r="DS674" s="15" t="s">
        <v>7439</v>
      </c>
      <c r="DU674" s="15" t="s">
        <v>424</v>
      </c>
      <c r="EF674" s="15" t="s">
        <v>1330</v>
      </c>
      <c r="EG674" s="15" t="s">
        <v>2160</v>
      </c>
      <c r="EH674" s="15" t="s">
        <v>6724</v>
      </c>
      <c r="EQ674" s="15" t="s">
        <v>7448</v>
      </c>
      <c r="ER674" s="15" t="s">
        <v>2422</v>
      </c>
      <c r="ES674" s="15" t="s">
        <v>7449</v>
      </c>
      <c r="ET674" s="15" t="s">
        <v>784</v>
      </c>
      <c r="EU674" s="15" t="s">
        <v>426</v>
      </c>
      <c r="EV674" s="15">
        <v>0.0</v>
      </c>
      <c r="EW674" s="15">
        <v>0.0</v>
      </c>
      <c r="FD674" s="15" t="s">
        <v>759</v>
      </c>
      <c r="FE674" s="15" t="s">
        <v>1330</v>
      </c>
      <c r="FF674" s="15" t="s">
        <v>7450</v>
      </c>
      <c r="FG674" s="15" t="s">
        <v>1123</v>
      </c>
    </row>
    <row r="675" ht="17.25" customHeight="1">
      <c r="A675" s="15" t="s">
        <v>7453</v>
      </c>
      <c r="B675" s="15" t="str">
        <f>"801542962562"</f>
        <v>801542962562</v>
      </c>
      <c r="C675" s="15" t="s">
        <v>19421</v>
      </c>
      <c r="D675" s="15" t="str">
        <f t="shared" si="1"/>
        <v>Miko Media ConsoleFawn Oak Veneer</v>
      </c>
      <c r="E675" s="15" t="s">
        <v>7451</v>
      </c>
      <c r="F675" s="15" t="s">
        <v>397</v>
      </c>
      <c r="G675" s="15" t="s">
        <v>5440</v>
      </c>
      <c r="J675" s="15" t="s">
        <v>5440</v>
      </c>
      <c r="M675" s="15" t="s">
        <v>1896</v>
      </c>
      <c r="N675" s="15" t="s">
        <v>602</v>
      </c>
      <c r="P675" s="15" t="str">
        <f>"78"</f>
        <v>78</v>
      </c>
      <c r="Q675" s="15" t="str">
        <f>"18"</f>
        <v>18</v>
      </c>
      <c r="R675" s="15" t="str">
        <f>"25.75"</f>
        <v>25.75</v>
      </c>
      <c r="S675" s="15" t="str">
        <f>"205.03"</f>
        <v>205.03</v>
      </c>
      <c r="T675" s="15" t="s">
        <v>2354</v>
      </c>
      <c r="U675" s="15" t="s">
        <v>11553</v>
      </c>
      <c r="V675" s="15" t="s">
        <v>11338</v>
      </c>
      <c r="AA675" s="15" t="s">
        <v>413</v>
      </c>
      <c r="AB675" s="15" t="s">
        <v>413</v>
      </c>
      <c r="AC675" s="15" t="s">
        <v>7455</v>
      </c>
      <c r="AD675" s="15" t="s">
        <v>19422</v>
      </c>
      <c r="AE675" s="15" t="s">
        <v>7454</v>
      </c>
      <c r="AF675" s="15" t="s">
        <v>19423</v>
      </c>
      <c r="AG675" s="15" t="s">
        <v>19424</v>
      </c>
      <c r="AH675" s="15" t="s">
        <v>19425</v>
      </c>
      <c r="AI675" s="15" t="s">
        <v>19426</v>
      </c>
      <c r="AJ675" s="15" t="s">
        <v>19427</v>
      </c>
      <c r="AK675" s="15" t="s">
        <v>19428</v>
      </c>
      <c r="AL675" s="15" t="s">
        <v>19429</v>
      </c>
      <c r="AM675" s="15" t="s">
        <v>19430</v>
      </c>
      <c r="AN675" s="15" t="s">
        <v>19431</v>
      </c>
      <c r="AO675" s="15" t="s">
        <v>19432</v>
      </c>
      <c r="AP675" s="15" t="s">
        <v>19433</v>
      </c>
      <c r="AQ675" s="15" t="s">
        <v>19434</v>
      </c>
      <c r="AR675" s="15" t="s">
        <v>19435</v>
      </c>
      <c r="AS675" s="15" t="s">
        <v>19436</v>
      </c>
      <c r="BH675" s="15" t="s">
        <v>7452</v>
      </c>
      <c r="BI675" s="15" t="str">
        <f>"1999"</f>
        <v>1999</v>
      </c>
      <c r="BJ675" s="15" t="str">
        <f>"840"</f>
        <v>840</v>
      </c>
      <c r="BK675" s="15" t="s">
        <v>742</v>
      </c>
      <c r="BL675" s="15" t="str">
        <f t="shared" si="1922"/>
        <v>1</v>
      </c>
      <c r="BM675" s="15" t="s">
        <v>1421</v>
      </c>
      <c r="BN675" s="15" t="str">
        <f>"83.46"</f>
        <v>83.46</v>
      </c>
      <c r="BO675" s="15" t="str">
        <f>"23.23"</f>
        <v>23.23</v>
      </c>
      <c r="BP675" s="15" t="str">
        <f>"33.27"</f>
        <v>33.27</v>
      </c>
      <c r="BQ675" s="15" t="str">
        <f>"245.82"</f>
        <v>245.82</v>
      </c>
      <c r="CG675" s="15" t="str">
        <f>"37.33"</f>
        <v>37.33</v>
      </c>
      <c r="CH675" s="15" t="str">
        <f>"1.057"</f>
        <v>1.057</v>
      </c>
      <c r="CI675" s="15" t="s">
        <v>465</v>
      </c>
      <c r="CM675" s="15" t="s">
        <v>7457</v>
      </c>
      <c r="CN675" s="15" t="s">
        <v>2842</v>
      </c>
      <c r="CO675" s="15" t="s">
        <v>7458</v>
      </c>
      <c r="CZ675" s="15" t="s">
        <v>418</v>
      </c>
      <c r="DA675" s="15">
        <v>8.0</v>
      </c>
      <c r="DB675" s="15" t="s">
        <v>419</v>
      </c>
      <c r="DD675" s="15">
        <v>0.0</v>
      </c>
      <c r="DF675" s="15" t="s">
        <v>1388</v>
      </c>
      <c r="DG675" s="15" t="s">
        <v>421</v>
      </c>
      <c r="DI675" s="15">
        <v>18.14</v>
      </c>
      <c r="DJ675" s="15">
        <v>40.0</v>
      </c>
      <c r="DK675" s="15">
        <v>1.0</v>
      </c>
      <c r="DS675" s="15" t="s">
        <v>7459</v>
      </c>
      <c r="EF675" s="15" t="s">
        <v>7460</v>
      </c>
      <c r="EU675" s="15" t="s">
        <v>426</v>
      </c>
      <c r="EV675" s="15">
        <v>1.0</v>
      </c>
      <c r="FH675" s="15" t="s">
        <v>7461</v>
      </c>
      <c r="FI675" s="15" t="s">
        <v>2046</v>
      </c>
      <c r="FJ675" s="15" t="s">
        <v>7462</v>
      </c>
      <c r="FK675" s="15" t="s">
        <v>7457</v>
      </c>
      <c r="FL675" s="15" t="s">
        <v>782</v>
      </c>
      <c r="FM675" s="15" t="s">
        <v>7458</v>
      </c>
      <c r="FO675" s="15" t="s">
        <v>426</v>
      </c>
      <c r="FQ675" s="15">
        <v>2.0</v>
      </c>
      <c r="FR675" s="15" t="s">
        <v>4948</v>
      </c>
      <c r="FU675" s="15" t="s">
        <v>426</v>
      </c>
      <c r="FW675" s="15" t="s">
        <v>616</v>
      </c>
      <c r="FX675" s="15" t="s">
        <v>426</v>
      </c>
      <c r="FZ675" s="15" t="s">
        <v>3622</v>
      </c>
      <c r="GA675" s="15" t="s">
        <v>3622</v>
      </c>
      <c r="GB675" s="15" t="s">
        <v>2881</v>
      </c>
      <c r="GC675" s="15" t="s">
        <v>2841</v>
      </c>
      <c r="GD675" s="15" t="s">
        <v>1931</v>
      </c>
      <c r="GE675" s="15" t="s">
        <v>1931</v>
      </c>
      <c r="GF675" s="15" t="s">
        <v>431</v>
      </c>
      <c r="GH675" s="15" t="s">
        <v>764</v>
      </c>
      <c r="GM675" s="15">
        <v>0.0</v>
      </c>
      <c r="HF675" s="15" t="s">
        <v>1957</v>
      </c>
      <c r="HQ675" s="15" t="s">
        <v>426</v>
      </c>
      <c r="KO675" s="15" t="s">
        <v>1185</v>
      </c>
    </row>
    <row r="676" ht="17.25" customHeight="1">
      <c r="A676" s="15" t="s">
        <v>7466</v>
      </c>
      <c r="B676" s="15" t="str">
        <f>"198394091374"</f>
        <v>198394091374</v>
      </c>
      <c r="C676" s="15" t="s">
        <v>19437</v>
      </c>
      <c r="D676" s="15" t="str">
        <f t="shared" si="1"/>
        <v>Miles 5Pc SectionalBoden Pewter</v>
      </c>
      <c r="E676" s="15" t="s">
        <v>7463</v>
      </c>
      <c r="F676" s="15" t="s">
        <v>397</v>
      </c>
      <c r="G676" s="15" t="s">
        <v>7465</v>
      </c>
      <c r="J676" s="15" t="s">
        <v>7465</v>
      </c>
      <c r="K676" s="15" t="s">
        <v>2014</v>
      </c>
      <c r="M676" s="15" t="s">
        <v>703</v>
      </c>
      <c r="N676" s="15" t="s">
        <v>1629</v>
      </c>
      <c r="P676" s="15" t="str">
        <f t="shared" ref="P676:Q676" si="1936">"125.75"</f>
        <v>125.75</v>
      </c>
      <c r="Q676" s="15" t="str">
        <f t="shared" si="1936"/>
        <v>125.75</v>
      </c>
      <c r="R676" s="15" t="str">
        <f>"28.25"</f>
        <v>28.25</v>
      </c>
      <c r="S676" s="15" t="str">
        <f>"365"</f>
        <v>365</v>
      </c>
      <c r="T676" s="15" t="s">
        <v>7021</v>
      </c>
      <c r="U676" s="15" t="s">
        <v>11209</v>
      </c>
      <c r="V676" s="15" t="s">
        <v>11138</v>
      </c>
      <c r="AA676" s="15" t="s">
        <v>413</v>
      </c>
      <c r="AB676" s="15" t="s">
        <v>413</v>
      </c>
      <c r="AC676" s="15" t="s">
        <v>7471</v>
      </c>
      <c r="AD676" s="15" t="s">
        <v>19438</v>
      </c>
      <c r="AE676" s="15" t="s">
        <v>7468</v>
      </c>
      <c r="AF676" s="15" t="s">
        <v>19439</v>
      </c>
      <c r="AG676" s="15" t="s">
        <v>19440</v>
      </c>
      <c r="AH676" s="15" t="s">
        <v>19441</v>
      </c>
      <c r="AI676" s="15" t="s">
        <v>19442</v>
      </c>
      <c r="AJ676" s="15" t="s">
        <v>19443</v>
      </c>
      <c r="AK676" s="15" t="s">
        <v>19444</v>
      </c>
      <c r="AL676" s="15" t="s">
        <v>19445</v>
      </c>
      <c r="AM676" s="15" t="s">
        <v>19446</v>
      </c>
      <c r="AN676" s="15" t="s">
        <v>19447</v>
      </c>
      <c r="AO676" s="15" t="s">
        <v>19448</v>
      </c>
      <c r="AP676" s="15" t="s">
        <v>19449</v>
      </c>
      <c r="AQ676" s="15" t="s">
        <v>19450</v>
      </c>
      <c r="BH676" s="15" t="s">
        <v>7464</v>
      </c>
      <c r="BI676" s="15" t="str">
        <f>"11199"</f>
        <v>11199</v>
      </c>
      <c r="BJ676" s="15" t="str">
        <f>"4705"</f>
        <v>4705</v>
      </c>
      <c r="BK676" s="15" t="s">
        <v>709</v>
      </c>
      <c r="BL676" s="15" t="str">
        <f>"2"</f>
        <v>2</v>
      </c>
      <c r="BM676" s="15" t="s">
        <v>416</v>
      </c>
      <c r="BN676" s="15" t="str">
        <f>"46.5"</f>
        <v>46.5</v>
      </c>
      <c r="BO676" s="15" t="str">
        <f>"39"</f>
        <v>39</v>
      </c>
      <c r="BP676" s="15" t="str">
        <f>"30.5"</f>
        <v>30.5</v>
      </c>
      <c r="BQ676" s="15" t="str">
        <f>"68"</f>
        <v>68</v>
      </c>
      <c r="BR676" s="15" t="s">
        <v>416</v>
      </c>
      <c r="BS676" s="15" t="str">
        <f>"46"</f>
        <v>46</v>
      </c>
      <c r="BT676" s="15" t="str">
        <f>"45.5"</f>
        <v>45.5</v>
      </c>
      <c r="BU676" s="15" t="str">
        <f>"29.5"</f>
        <v>29.5</v>
      </c>
      <c r="BV676" s="15" t="str">
        <f>"106"</f>
        <v>106</v>
      </c>
      <c r="CG676" s="15" t="str">
        <f>"171.21"</f>
        <v>171.21</v>
      </c>
      <c r="CH676" s="15" t="str">
        <f>"4.848"</f>
        <v>4.848</v>
      </c>
      <c r="CI676" s="15" t="s">
        <v>465</v>
      </c>
      <c r="CX676" s="15" t="s">
        <v>469</v>
      </c>
      <c r="CY676" s="15" t="s">
        <v>1837</v>
      </c>
      <c r="DF676" s="15" t="s">
        <v>721</v>
      </c>
      <c r="DG676" s="15" t="s">
        <v>419</v>
      </c>
      <c r="DL676" s="15">
        <v>0.0</v>
      </c>
      <c r="DM676" s="15" t="s">
        <v>990</v>
      </c>
      <c r="DN676" s="15" t="s">
        <v>1016</v>
      </c>
      <c r="DQ676" s="15">
        <v>5.0</v>
      </c>
      <c r="DR676" s="15" t="s">
        <v>7473</v>
      </c>
      <c r="DS676" s="15" t="s">
        <v>7475</v>
      </c>
      <c r="DU676" s="15" t="s">
        <v>1636</v>
      </c>
      <c r="EL676" s="15" t="s">
        <v>1016</v>
      </c>
      <c r="EO676" s="15" t="s">
        <v>7476</v>
      </c>
      <c r="FB676" s="15" t="s">
        <v>3561</v>
      </c>
      <c r="GX676" s="15" t="s">
        <v>1638</v>
      </c>
    </row>
    <row r="677" ht="17.25" customHeight="1">
      <c r="A677" s="15" t="s">
        <v>7480</v>
      </c>
      <c r="B677" s="15" t="str">
        <f>"801542993078"</f>
        <v>801542993078</v>
      </c>
      <c r="C677" s="15" t="s">
        <v>19451</v>
      </c>
      <c r="D677" s="15" t="str">
        <f t="shared" si="1"/>
        <v>Millbrook Console TableNatural Light Oak Veneer</v>
      </c>
      <c r="E677" s="15" t="s">
        <v>7477</v>
      </c>
      <c r="F677" s="15" t="s">
        <v>397</v>
      </c>
      <c r="G677" s="15" t="s">
        <v>7479</v>
      </c>
      <c r="J677" s="15" t="s">
        <v>7479</v>
      </c>
      <c r="M677" s="15" t="s">
        <v>4400</v>
      </c>
      <c r="N677" s="15" t="s">
        <v>519</v>
      </c>
      <c r="P677" s="15" t="str">
        <f>"96"</f>
        <v>96</v>
      </c>
      <c r="Q677" s="15" t="str">
        <f t="shared" ref="Q677:Q679" si="1937">"22"</f>
        <v>22</v>
      </c>
      <c r="R677" s="15" t="str">
        <f t="shared" ref="R677:R678" si="1938">"33"</f>
        <v>33</v>
      </c>
      <c r="S677" s="15" t="str">
        <f>"188.23"</f>
        <v>188.23</v>
      </c>
      <c r="T677" s="15" t="s">
        <v>2354</v>
      </c>
      <c r="U677" s="15" t="s">
        <v>11553</v>
      </c>
      <c r="V677" s="15" t="s">
        <v>11338</v>
      </c>
      <c r="AA677" s="15" t="s">
        <v>413</v>
      </c>
      <c r="AB677" s="15" t="s">
        <v>413</v>
      </c>
      <c r="AC677" s="15" t="s">
        <v>7483</v>
      </c>
      <c r="AD677" s="15" t="s">
        <v>19452</v>
      </c>
      <c r="AE677" s="15" t="s">
        <v>7482</v>
      </c>
      <c r="AF677" s="15" t="s">
        <v>19453</v>
      </c>
      <c r="AG677" s="15" t="s">
        <v>19454</v>
      </c>
      <c r="AH677" s="15" t="s">
        <v>19455</v>
      </c>
      <c r="AI677" s="15" t="s">
        <v>19456</v>
      </c>
      <c r="AJ677" s="15" t="s">
        <v>19457</v>
      </c>
      <c r="AK677" s="15" t="s">
        <v>19458</v>
      </c>
      <c r="AL677" s="15" t="s">
        <v>19459</v>
      </c>
      <c r="AM677" s="15" t="s">
        <v>19460</v>
      </c>
      <c r="AN677" s="15" t="s">
        <v>19461</v>
      </c>
      <c r="AO677" s="15" t="s">
        <v>19462</v>
      </c>
      <c r="AP677" s="15" t="s">
        <v>19463</v>
      </c>
      <c r="AQ677" s="15" t="s">
        <v>19464</v>
      </c>
      <c r="AR677" s="15" t="s">
        <v>19465</v>
      </c>
      <c r="AS677" s="15" t="s">
        <v>19466</v>
      </c>
      <c r="AT677" s="15" t="s">
        <v>19467</v>
      </c>
      <c r="BH677" s="15" t="s">
        <v>7478</v>
      </c>
      <c r="BI677" s="15" t="str">
        <f>"2699"</f>
        <v>2699</v>
      </c>
      <c r="BJ677" s="15" t="str">
        <f>"1135"</f>
        <v>1135</v>
      </c>
      <c r="BK677" s="15" t="s">
        <v>1303</v>
      </c>
      <c r="BL677" s="15" t="str">
        <f t="shared" ref="BL677:BL689" si="1939">"1"</f>
        <v>1</v>
      </c>
      <c r="BM677" s="15" t="s">
        <v>416</v>
      </c>
      <c r="BN677" s="15" t="str">
        <f>"101.25"</f>
        <v>101.25</v>
      </c>
      <c r="BO677" s="15" t="str">
        <f>"27.5"</f>
        <v>27.5</v>
      </c>
      <c r="BP677" s="15" t="str">
        <f>"36.25"</f>
        <v>36.25</v>
      </c>
      <c r="BQ677" s="15" t="str">
        <f>"249.78"</f>
        <v>249.78</v>
      </c>
      <c r="CG677" s="15" t="str">
        <f>"58.41"</f>
        <v>58.41</v>
      </c>
      <c r="CH677" s="15" t="str">
        <f>"1.654"</f>
        <v>1.654</v>
      </c>
      <c r="CI677" s="15" t="s">
        <v>417</v>
      </c>
      <c r="CZ677" s="15" t="s">
        <v>1371</v>
      </c>
      <c r="DA677" s="15">
        <v>7.0</v>
      </c>
      <c r="DB677" s="15" t="s">
        <v>2601</v>
      </c>
      <c r="DD677" s="15">
        <v>0.0</v>
      </c>
      <c r="DF677" s="15" t="s">
        <v>1509</v>
      </c>
      <c r="DG677" s="15" t="s">
        <v>421</v>
      </c>
      <c r="DK677" s="15">
        <v>0.0</v>
      </c>
      <c r="DR677" s="15" t="s">
        <v>471</v>
      </c>
      <c r="DS677" s="15" t="s">
        <v>7485</v>
      </c>
      <c r="DU677" s="15" t="s">
        <v>424</v>
      </c>
      <c r="EF677" s="15" t="s">
        <v>1804</v>
      </c>
      <c r="EG677" s="15" t="s">
        <v>1576</v>
      </c>
      <c r="EH677" s="15" t="s">
        <v>3204</v>
      </c>
      <c r="EQ677" s="15" t="s">
        <v>1236</v>
      </c>
      <c r="ER677" s="15" t="s">
        <v>734</v>
      </c>
      <c r="ES677" s="15" t="s">
        <v>1236</v>
      </c>
      <c r="ET677" s="15" t="s">
        <v>2638</v>
      </c>
      <c r="EU677" s="15" t="s">
        <v>426</v>
      </c>
      <c r="EV677" s="15">
        <v>0.0</v>
      </c>
      <c r="EW677" s="15">
        <v>0.0</v>
      </c>
      <c r="FF677" s="15" t="s">
        <v>995</v>
      </c>
      <c r="FQ677" s="15">
        <v>0.0</v>
      </c>
      <c r="FR677" s="15" t="s">
        <v>427</v>
      </c>
      <c r="FZ677" s="15" t="s">
        <v>3308</v>
      </c>
      <c r="GA677" s="15" t="s">
        <v>3308</v>
      </c>
      <c r="GB677" s="15" t="s">
        <v>477</v>
      </c>
      <c r="GC677" s="15" t="s">
        <v>477</v>
      </c>
      <c r="GD677" s="15" t="s">
        <v>2312</v>
      </c>
      <c r="GE677" s="15" t="s">
        <v>428</v>
      </c>
      <c r="GF677" s="15" t="s">
        <v>838</v>
      </c>
      <c r="GH677" s="15" t="s">
        <v>420</v>
      </c>
      <c r="GI677" s="15" t="s">
        <v>426</v>
      </c>
    </row>
    <row r="678" ht="17.25" customHeight="1">
      <c r="A678" s="15" t="s">
        <v>7488</v>
      </c>
      <c r="B678" s="15" t="str">
        <f>"801542993085"</f>
        <v>801542993085</v>
      </c>
      <c r="C678" s="15" t="s">
        <v>19468</v>
      </c>
      <c r="D678" s="15" t="str">
        <f t="shared" si="1"/>
        <v>Millbrook DresserNatural Light Oak Veneer</v>
      </c>
      <c r="E678" s="15" t="s">
        <v>7486</v>
      </c>
      <c r="F678" s="15" t="s">
        <v>397</v>
      </c>
      <c r="G678" s="15" t="s">
        <v>7479</v>
      </c>
      <c r="J678" s="15" t="s">
        <v>7479</v>
      </c>
      <c r="M678" s="15" t="s">
        <v>4400</v>
      </c>
      <c r="N678" s="15" t="s">
        <v>412</v>
      </c>
      <c r="P678" s="15" t="str">
        <f>"85"</f>
        <v>85</v>
      </c>
      <c r="Q678" s="15" t="str">
        <f t="shared" si="1937"/>
        <v>22</v>
      </c>
      <c r="R678" s="15" t="str">
        <f t="shared" si="1938"/>
        <v>33</v>
      </c>
      <c r="S678" s="15" t="str">
        <f>"280.93"</f>
        <v>280.93</v>
      </c>
      <c r="T678" s="15" t="s">
        <v>2354</v>
      </c>
      <c r="U678" s="15" t="s">
        <v>11553</v>
      </c>
      <c r="V678" s="15" t="s">
        <v>11338</v>
      </c>
      <c r="AA678" s="15" t="s">
        <v>413</v>
      </c>
      <c r="AB678" s="15" t="s">
        <v>413</v>
      </c>
      <c r="AC678" s="15" t="s">
        <v>7491</v>
      </c>
      <c r="AD678" s="15" t="s">
        <v>19469</v>
      </c>
      <c r="AE678" s="15" t="s">
        <v>7490</v>
      </c>
      <c r="AF678" s="15" t="s">
        <v>19470</v>
      </c>
      <c r="AG678" s="15" t="s">
        <v>19471</v>
      </c>
      <c r="AH678" s="15" t="s">
        <v>19472</v>
      </c>
      <c r="AI678" s="15" t="s">
        <v>19473</v>
      </c>
      <c r="AJ678" s="15" t="s">
        <v>19474</v>
      </c>
      <c r="AK678" s="15" t="s">
        <v>19475</v>
      </c>
      <c r="AL678" s="15" t="s">
        <v>19476</v>
      </c>
      <c r="AM678" s="15" t="s">
        <v>19477</v>
      </c>
      <c r="AN678" s="15" t="s">
        <v>19478</v>
      </c>
      <c r="AO678" s="15" t="s">
        <v>19479</v>
      </c>
      <c r="AP678" s="15" t="s">
        <v>19480</v>
      </c>
      <c r="AQ678" s="15" t="s">
        <v>19481</v>
      </c>
      <c r="AR678" s="15" t="s">
        <v>19482</v>
      </c>
      <c r="BH678" s="15" t="s">
        <v>7487</v>
      </c>
      <c r="BI678" s="15" t="str">
        <f>"3199"</f>
        <v>3199</v>
      </c>
      <c r="BJ678" s="15" t="str">
        <f>"1345"</f>
        <v>1345</v>
      </c>
      <c r="BK678" s="15" t="s">
        <v>1303</v>
      </c>
      <c r="BL678" s="15" t="str">
        <f t="shared" si="1939"/>
        <v>1</v>
      </c>
      <c r="BM678" s="15" t="s">
        <v>416</v>
      </c>
      <c r="BN678" s="15" t="str">
        <f>"89"</f>
        <v>89</v>
      </c>
      <c r="BO678" s="15" t="str">
        <f>"26"</f>
        <v>26</v>
      </c>
      <c r="BP678" s="15" t="str">
        <f>"37"</f>
        <v>37</v>
      </c>
      <c r="BQ678" s="15" t="str">
        <f>"335.1"</f>
        <v>335.1</v>
      </c>
      <c r="CG678" s="15" t="str">
        <f>"49.55"</f>
        <v>49.55</v>
      </c>
      <c r="CH678" s="15" t="str">
        <f>"1.403"</f>
        <v>1.403</v>
      </c>
      <c r="CI678" s="15" t="s">
        <v>465</v>
      </c>
      <c r="CZ678" s="15" t="s">
        <v>1371</v>
      </c>
      <c r="DA678" s="15">
        <v>10.0</v>
      </c>
      <c r="DB678" s="15" t="s">
        <v>2601</v>
      </c>
      <c r="DD678" s="15">
        <v>0.0</v>
      </c>
      <c r="DF678" s="15" t="s">
        <v>1509</v>
      </c>
      <c r="DG678" s="15" t="s">
        <v>421</v>
      </c>
      <c r="DK678" s="15">
        <v>0.0</v>
      </c>
      <c r="DR678" s="15" t="s">
        <v>422</v>
      </c>
      <c r="DS678" s="15" t="s">
        <v>7485</v>
      </c>
      <c r="DU678" s="15" t="s">
        <v>424</v>
      </c>
      <c r="EF678" s="15" t="s">
        <v>635</v>
      </c>
      <c r="EG678" s="15" t="s">
        <v>1576</v>
      </c>
      <c r="EH678" s="15" t="s">
        <v>3204</v>
      </c>
      <c r="EQ678" s="15" t="s">
        <v>1236</v>
      </c>
      <c r="ER678" s="15" t="s">
        <v>4895</v>
      </c>
      <c r="ES678" s="15" t="s">
        <v>1236</v>
      </c>
      <c r="ET678" s="15" t="s">
        <v>2638</v>
      </c>
      <c r="EU678" s="15" t="s">
        <v>426</v>
      </c>
      <c r="EV678" s="15">
        <v>0.0</v>
      </c>
      <c r="FF678" s="15" t="s">
        <v>505</v>
      </c>
      <c r="FQ678" s="15">
        <v>0.0</v>
      </c>
      <c r="FR678" s="15" t="s">
        <v>427</v>
      </c>
      <c r="FZ678" s="15" t="s">
        <v>1238</v>
      </c>
      <c r="GA678" s="15" t="s">
        <v>1238</v>
      </c>
      <c r="GB678" s="15" t="s">
        <v>1069</v>
      </c>
      <c r="GC678" s="15" t="s">
        <v>1069</v>
      </c>
      <c r="GD678" s="15" t="s">
        <v>428</v>
      </c>
      <c r="GE678" s="15" t="s">
        <v>2312</v>
      </c>
      <c r="GF678" s="15" t="s">
        <v>838</v>
      </c>
      <c r="GH678" s="15" t="s">
        <v>420</v>
      </c>
      <c r="GI678" s="15" t="s">
        <v>426</v>
      </c>
    </row>
    <row r="679" ht="17.25" customHeight="1">
      <c r="A679" s="15" t="s">
        <v>7495</v>
      </c>
      <c r="B679" s="15" t="str">
        <f>"801542982027"</f>
        <v>801542982027</v>
      </c>
      <c r="C679" s="15" t="s">
        <v>19483</v>
      </c>
      <c r="D679" s="15" t="str">
        <f t="shared" si="1"/>
        <v>Millbrook Media ConsoleNatural Light Oak</v>
      </c>
      <c r="E679" s="15" t="s">
        <v>7492</v>
      </c>
      <c r="F679" s="15" t="s">
        <v>397</v>
      </c>
      <c r="G679" s="15" t="s">
        <v>7494</v>
      </c>
      <c r="J679" s="15" t="s">
        <v>7494</v>
      </c>
      <c r="K679" s="15" t="s">
        <v>7479</v>
      </c>
      <c r="M679" s="15" t="s">
        <v>4400</v>
      </c>
      <c r="N679" s="15" t="s">
        <v>602</v>
      </c>
      <c r="P679" s="15" t="str">
        <f>"92"</f>
        <v>92</v>
      </c>
      <c r="Q679" s="15" t="str">
        <f t="shared" si="1937"/>
        <v>22</v>
      </c>
      <c r="R679" s="15" t="str">
        <f>"30"</f>
        <v>30</v>
      </c>
      <c r="S679" s="15" t="str">
        <f>"215.17"</f>
        <v>215.17</v>
      </c>
      <c r="T679" s="15" t="s">
        <v>1532</v>
      </c>
      <c r="U679" s="15" t="s">
        <v>11338</v>
      </c>
      <c r="V679" s="15" t="s">
        <v>11553</v>
      </c>
      <c r="AA679" s="15" t="s">
        <v>413</v>
      </c>
      <c r="AB679" s="15" t="s">
        <v>413</v>
      </c>
      <c r="AC679" s="15" t="s">
        <v>7483</v>
      </c>
      <c r="AD679" s="15" t="s">
        <v>19484</v>
      </c>
      <c r="AE679" s="15" t="s">
        <v>7497</v>
      </c>
      <c r="AF679" s="15" t="s">
        <v>19485</v>
      </c>
      <c r="AG679" s="15" t="s">
        <v>19486</v>
      </c>
      <c r="AH679" s="15" t="s">
        <v>19487</v>
      </c>
      <c r="AI679" s="15" t="s">
        <v>19488</v>
      </c>
      <c r="AJ679" s="15" t="s">
        <v>19489</v>
      </c>
      <c r="AK679" s="15" t="s">
        <v>19490</v>
      </c>
      <c r="AL679" s="15" t="s">
        <v>19491</v>
      </c>
      <c r="AM679" s="15" t="s">
        <v>19492</v>
      </c>
      <c r="AN679" s="15" t="s">
        <v>19493</v>
      </c>
      <c r="AO679" s="15" t="s">
        <v>19494</v>
      </c>
      <c r="AP679" s="15" t="s">
        <v>19495</v>
      </c>
      <c r="AQ679" s="15" t="s">
        <v>19496</v>
      </c>
      <c r="AR679" s="15" t="s">
        <v>19497</v>
      </c>
      <c r="AS679" s="15" t="s">
        <v>19498</v>
      </c>
      <c r="BH679" s="15" t="s">
        <v>7493</v>
      </c>
      <c r="BI679" s="15" t="str">
        <f>"2999"</f>
        <v>2999</v>
      </c>
      <c r="BJ679" s="15" t="str">
        <f>"1260"</f>
        <v>1260</v>
      </c>
      <c r="BK679" s="15" t="s">
        <v>1303</v>
      </c>
      <c r="BL679" s="15" t="str">
        <f t="shared" si="1939"/>
        <v>1</v>
      </c>
      <c r="BM679" s="15" t="s">
        <v>416</v>
      </c>
      <c r="BN679" s="15" t="str">
        <f>"97.25"</f>
        <v>97.25</v>
      </c>
      <c r="BO679" s="15" t="str">
        <f>"27.5"</f>
        <v>27.5</v>
      </c>
      <c r="BP679" s="15" t="str">
        <f>"35.5"</f>
        <v>35.5</v>
      </c>
      <c r="BQ679" s="15" t="str">
        <f>"269.52"</f>
        <v>269.52</v>
      </c>
      <c r="CG679" s="15" t="str">
        <f>"54.95"</f>
        <v>54.95</v>
      </c>
      <c r="CH679" s="15" t="str">
        <f>"1.556"</f>
        <v>1.556</v>
      </c>
      <c r="CI679" s="15" t="s">
        <v>417</v>
      </c>
      <c r="CJ679" s="15" t="s">
        <v>1075</v>
      </c>
      <c r="CK679" s="15" t="s">
        <v>612</v>
      </c>
      <c r="CL679" s="15" t="s">
        <v>7500</v>
      </c>
      <c r="CM679" s="15" t="s">
        <v>1075</v>
      </c>
      <c r="CN679" s="15" t="s">
        <v>995</v>
      </c>
      <c r="CO679" s="15" t="s">
        <v>7500</v>
      </c>
      <c r="CZ679" s="15" t="s">
        <v>1371</v>
      </c>
      <c r="DA679" s="15">
        <v>4.0</v>
      </c>
      <c r="DB679" s="15" t="s">
        <v>2601</v>
      </c>
      <c r="DD679" s="15">
        <v>1.0</v>
      </c>
      <c r="DE679" s="15" t="s">
        <v>426</v>
      </c>
      <c r="DF679" s="15" t="s">
        <v>2048</v>
      </c>
      <c r="DG679" s="15" t="s">
        <v>610</v>
      </c>
      <c r="DI679" s="15">
        <v>18.14</v>
      </c>
      <c r="DJ679" s="15">
        <v>40.0</v>
      </c>
      <c r="DK679" s="15">
        <v>0.0</v>
      </c>
      <c r="DS679" s="15" t="s">
        <v>7485</v>
      </c>
      <c r="EF679" s="15" t="s">
        <v>1254</v>
      </c>
      <c r="EU679" s="15" t="s">
        <v>426</v>
      </c>
      <c r="EV679" s="15">
        <v>2.0</v>
      </c>
      <c r="FH679" s="15" t="s">
        <v>6018</v>
      </c>
      <c r="FI679" s="15" t="s">
        <v>1188</v>
      </c>
      <c r="FJ679" s="15" t="s">
        <v>1592</v>
      </c>
      <c r="FO679" s="15" t="s">
        <v>426</v>
      </c>
      <c r="FQ679" s="15">
        <v>2.0</v>
      </c>
      <c r="FR679" s="15" t="s">
        <v>614</v>
      </c>
      <c r="FS679" s="15" t="s">
        <v>615</v>
      </c>
      <c r="FW679" s="15" t="s">
        <v>616</v>
      </c>
      <c r="FX679" s="15" t="s">
        <v>426</v>
      </c>
      <c r="FZ679" s="15" t="s">
        <v>3308</v>
      </c>
      <c r="GB679" s="15" t="s">
        <v>762</v>
      </c>
      <c r="GD679" s="15" t="s">
        <v>3748</v>
      </c>
      <c r="GF679" s="15" t="s">
        <v>838</v>
      </c>
      <c r="GH679" s="15" t="s">
        <v>420</v>
      </c>
      <c r="GI679" s="15" t="s">
        <v>426</v>
      </c>
      <c r="GJ679" s="15" t="s">
        <v>1160</v>
      </c>
      <c r="GK679" s="15" t="s">
        <v>2805</v>
      </c>
      <c r="GL679" s="15" t="s">
        <v>7500</v>
      </c>
      <c r="GM679" s="15">
        <v>0.0</v>
      </c>
    </row>
    <row r="680" ht="17.25" customHeight="1">
      <c r="A680" s="15" t="s">
        <v>7504</v>
      </c>
      <c r="B680" s="15" t="str">
        <f>"801542028749"</f>
        <v>801542028749</v>
      </c>
      <c r="C680" s="15" t="s">
        <v>19499</v>
      </c>
      <c r="D680" s="15" t="str">
        <f t="shared" si="1"/>
        <v>Millie 6 Drawer DresserDrifted Matte Black Veneer</v>
      </c>
      <c r="E680" s="15" t="s">
        <v>7501</v>
      </c>
      <c r="F680" s="15" t="s">
        <v>397</v>
      </c>
      <c r="G680" s="15" t="s">
        <v>7503</v>
      </c>
      <c r="J680" s="15" t="s">
        <v>7503</v>
      </c>
      <c r="K680" s="15" t="s">
        <v>7510</v>
      </c>
      <c r="M680" s="15" t="s">
        <v>1474</v>
      </c>
      <c r="N680" s="15" t="s">
        <v>412</v>
      </c>
      <c r="P680" s="15" t="str">
        <f t="shared" ref="P680:P681" si="1940">"75"</f>
        <v>75</v>
      </c>
      <c r="Q680" s="15" t="str">
        <f t="shared" ref="Q680:Q683" si="1941">"17"</f>
        <v>17</v>
      </c>
      <c r="R680" s="15" t="str">
        <f t="shared" ref="R680:R683" si="1942">"33"</f>
        <v>33</v>
      </c>
      <c r="S680" s="15" t="str">
        <f t="shared" ref="S680:S681" si="1943">"260.14"</f>
        <v>260.14</v>
      </c>
      <c r="T680" s="15" t="s">
        <v>7507</v>
      </c>
      <c r="U680" s="15" t="s">
        <v>11553</v>
      </c>
      <c r="V680" s="15" t="s">
        <v>11210</v>
      </c>
      <c r="AA680" s="15" t="s">
        <v>413</v>
      </c>
      <c r="AB680" s="15" t="s">
        <v>413</v>
      </c>
      <c r="AC680" s="15" t="s">
        <v>7511</v>
      </c>
      <c r="AD680" s="15" t="s">
        <v>19500</v>
      </c>
      <c r="AE680" s="15" t="s">
        <v>7506</v>
      </c>
      <c r="AF680" s="15" t="s">
        <v>19501</v>
      </c>
      <c r="AG680" s="15" t="s">
        <v>19502</v>
      </c>
      <c r="AH680" s="15" t="s">
        <v>19503</v>
      </c>
      <c r="AI680" s="15" t="s">
        <v>19504</v>
      </c>
      <c r="AJ680" s="15" t="s">
        <v>19505</v>
      </c>
      <c r="AK680" s="15" t="s">
        <v>19506</v>
      </c>
      <c r="AL680" s="15" t="s">
        <v>19507</v>
      </c>
      <c r="AM680" s="15" t="s">
        <v>19508</v>
      </c>
      <c r="AN680" s="15" t="s">
        <v>19509</v>
      </c>
      <c r="AO680" s="15" t="s">
        <v>19510</v>
      </c>
      <c r="AP680" s="15" t="s">
        <v>19511</v>
      </c>
      <c r="AQ680" s="15" t="s">
        <v>19512</v>
      </c>
      <c r="AR680" s="15" t="s">
        <v>19513</v>
      </c>
      <c r="AS680" s="15" t="s">
        <v>19514</v>
      </c>
      <c r="BH680" s="15" t="s">
        <v>7502</v>
      </c>
      <c r="BI680" s="15" t="str">
        <f t="shared" ref="BI680:BI681" si="1944">"2399"</f>
        <v>2399</v>
      </c>
      <c r="BJ680" s="15" t="str">
        <f t="shared" ref="BJ680:BJ681" si="1945">"1010"</f>
        <v>1010</v>
      </c>
      <c r="BK680" s="15" t="s">
        <v>742</v>
      </c>
      <c r="BL680" s="15" t="str">
        <f t="shared" si="1939"/>
        <v>1</v>
      </c>
      <c r="BM680" s="15" t="s">
        <v>2943</v>
      </c>
      <c r="BN680" s="15" t="str">
        <f t="shared" ref="BN680:BN681" si="1946">"79.53"</f>
        <v>79.53</v>
      </c>
      <c r="BO680" s="15" t="str">
        <f t="shared" ref="BO680:BO683" si="1947">"21.65"</f>
        <v>21.65</v>
      </c>
      <c r="BP680" s="15" t="str">
        <f t="shared" ref="BP680:BP683" si="1948">"36.61"</f>
        <v>36.61</v>
      </c>
      <c r="BQ680" s="15" t="str">
        <f t="shared" ref="BQ680:BQ681" si="1949">"308.65"</f>
        <v>308.65</v>
      </c>
      <c r="CG680" s="15" t="str">
        <f t="shared" ref="CG680:CG681" si="1950">"36.48"</f>
        <v>36.48</v>
      </c>
      <c r="CH680" s="15" t="str">
        <f t="shared" ref="CH680:CH681" si="1951">"1.033"</f>
        <v>1.033</v>
      </c>
      <c r="CI680" s="15" t="s">
        <v>497</v>
      </c>
      <c r="CZ680" s="15" t="s">
        <v>1371</v>
      </c>
      <c r="DA680" s="15">
        <v>6.0</v>
      </c>
      <c r="DB680" s="15" t="s">
        <v>1185</v>
      </c>
      <c r="DD680" s="15">
        <v>0.0</v>
      </c>
      <c r="DF680" s="15" t="s">
        <v>1186</v>
      </c>
      <c r="DG680" s="15" t="s">
        <v>421</v>
      </c>
      <c r="DK680" s="15">
        <v>0.0</v>
      </c>
      <c r="DR680" s="15" t="s">
        <v>422</v>
      </c>
      <c r="DS680" s="15" t="s">
        <v>7512</v>
      </c>
      <c r="DU680" s="15" t="s">
        <v>424</v>
      </c>
      <c r="EF680" s="15" t="s">
        <v>2144</v>
      </c>
      <c r="EU680" s="15" t="s">
        <v>426</v>
      </c>
      <c r="EV680" s="15">
        <v>0.0</v>
      </c>
      <c r="FQ680" s="15">
        <v>0.0</v>
      </c>
      <c r="FR680" s="15" t="s">
        <v>427</v>
      </c>
      <c r="FX680" s="15" t="s">
        <v>426</v>
      </c>
      <c r="FZ680" s="15" t="s">
        <v>4470</v>
      </c>
      <c r="GB680" s="15" t="s">
        <v>5481</v>
      </c>
      <c r="GD680" s="15" t="s">
        <v>7513</v>
      </c>
      <c r="GF680" s="15" t="s">
        <v>431</v>
      </c>
      <c r="GH680" s="15" t="s">
        <v>420</v>
      </c>
      <c r="GI680" s="15" t="s">
        <v>426</v>
      </c>
    </row>
    <row r="681" ht="17.25" customHeight="1">
      <c r="A681" s="15" t="s">
        <v>7516</v>
      </c>
      <c r="B681" s="15" t="str">
        <f>"198394020336"</f>
        <v>198394020336</v>
      </c>
      <c r="C681" s="15" t="s">
        <v>19515</v>
      </c>
      <c r="D681" s="15" t="str">
        <f t="shared" si="1"/>
        <v>Millie 6 Drawer DresserLight Bleach Oak Veneer</v>
      </c>
      <c r="E681" s="15" t="s">
        <v>7501</v>
      </c>
      <c r="F681" s="15" t="s">
        <v>397</v>
      </c>
      <c r="G681" s="15" t="s">
        <v>7515</v>
      </c>
      <c r="J681" s="15" t="s">
        <v>7515</v>
      </c>
      <c r="K681" s="15" t="s">
        <v>7518</v>
      </c>
      <c r="M681" s="15" t="s">
        <v>1474</v>
      </c>
      <c r="N681" s="15" t="s">
        <v>412</v>
      </c>
      <c r="P681" s="15" t="str">
        <f t="shared" si="1940"/>
        <v>75</v>
      </c>
      <c r="Q681" s="15" t="str">
        <f t="shared" si="1941"/>
        <v>17</v>
      </c>
      <c r="R681" s="15" t="str">
        <f t="shared" si="1942"/>
        <v>33</v>
      </c>
      <c r="S681" s="15" t="str">
        <f t="shared" si="1943"/>
        <v>260.14</v>
      </c>
      <c r="T681" s="15" t="s">
        <v>7507</v>
      </c>
      <c r="U681" s="15" t="s">
        <v>11553</v>
      </c>
      <c r="V681" s="15" t="s">
        <v>11210</v>
      </c>
      <c r="AA681" s="15" t="s">
        <v>413</v>
      </c>
      <c r="AB681" s="15" t="s">
        <v>413</v>
      </c>
      <c r="AC681" s="15" t="s">
        <v>7519</v>
      </c>
      <c r="AD681" s="15" t="s">
        <v>19516</v>
      </c>
      <c r="AE681" s="15" t="s">
        <v>7517</v>
      </c>
      <c r="AF681" s="15" t="s">
        <v>19517</v>
      </c>
      <c r="AG681" s="15" t="s">
        <v>19518</v>
      </c>
      <c r="AH681" s="15" t="s">
        <v>19519</v>
      </c>
      <c r="AI681" s="15" t="s">
        <v>19520</v>
      </c>
      <c r="AJ681" s="15" t="s">
        <v>19521</v>
      </c>
      <c r="AK681" s="15" t="s">
        <v>19522</v>
      </c>
      <c r="AL681" s="15" t="s">
        <v>19523</v>
      </c>
      <c r="AM681" s="15" t="s">
        <v>19524</v>
      </c>
      <c r="AN681" s="15" t="s">
        <v>19525</v>
      </c>
      <c r="AO681" s="15" t="s">
        <v>19526</v>
      </c>
      <c r="AP681" s="15" t="s">
        <v>19527</v>
      </c>
      <c r="AQ681" s="15" t="s">
        <v>19528</v>
      </c>
      <c r="AR681" s="15" t="s">
        <v>19529</v>
      </c>
      <c r="BH681" s="15" t="s">
        <v>7514</v>
      </c>
      <c r="BI681" s="15" t="str">
        <f t="shared" si="1944"/>
        <v>2399</v>
      </c>
      <c r="BJ681" s="15" t="str">
        <f t="shared" si="1945"/>
        <v>1010</v>
      </c>
      <c r="BK681" s="15" t="s">
        <v>742</v>
      </c>
      <c r="BL681" s="15" t="str">
        <f t="shared" si="1939"/>
        <v>1</v>
      </c>
      <c r="BM681" s="15" t="s">
        <v>416</v>
      </c>
      <c r="BN681" s="15" t="str">
        <f t="shared" si="1946"/>
        <v>79.53</v>
      </c>
      <c r="BO681" s="15" t="str">
        <f t="shared" si="1947"/>
        <v>21.65</v>
      </c>
      <c r="BP681" s="15" t="str">
        <f t="shared" si="1948"/>
        <v>36.61</v>
      </c>
      <c r="BQ681" s="15" t="str">
        <f t="shared" si="1949"/>
        <v>308.65</v>
      </c>
      <c r="CG681" s="15" t="str">
        <f t="shared" si="1950"/>
        <v>36.48</v>
      </c>
      <c r="CH681" s="15" t="str">
        <f t="shared" si="1951"/>
        <v>1.033</v>
      </c>
      <c r="CI681" s="15" t="s">
        <v>465</v>
      </c>
      <c r="CZ681" s="15" t="s">
        <v>1371</v>
      </c>
      <c r="DA681" s="15">
        <v>6.0</v>
      </c>
      <c r="DB681" s="15" t="s">
        <v>1185</v>
      </c>
      <c r="DD681" s="15">
        <v>0.0</v>
      </c>
      <c r="DF681" s="15" t="s">
        <v>1186</v>
      </c>
      <c r="DG681" s="15" t="s">
        <v>421</v>
      </c>
      <c r="DK681" s="15">
        <v>0.0</v>
      </c>
      <c r="DR681" s="15" t="s">
        <v>422</v>
      </c>
      <c r="DS681" s="15" t="s">
        <v>7512</v>
      </c>
      <c r="DU681" s="15" t="s">
        <v>424</v>
      </c>
      <c r="EF681" s="15" t="s">
        <v>2144</v>
      </c>
      <c r="EU681" s="15" t="s">
        <v>426</v>
      </c>
      <c r="EV681" s="15">
        <v>0.0</v>
      </c>
      <c r="FQ681" s="15">
        <v>0.0</v>
      </c>
      <c r="FR681" s="15" t="s">
        <v>427</v>
      </c>
      <c r="FX681" s="15" t="s">
        <v>426</v>
      </c>
      <c r="FZ681" s="15" t="s">
        <v>4470</v>
      </c>
      <c r="GB681" s="15" t="s">
        <v>5481</v>
      </c>
      <c r="GD681" s="15" t="s">
        <v>7513</v>
      </c>
      <c r="GF681" s="15" t="s">
        <v>431</v>
      </c>
      <c r="GH681" s="15" t="s">
        <v>420</v>
      </c>
      <c r="GI681" s="15" t="s">
        <v>426</v>
      </c>
    </row>
    <row r="682" ht="17.25" customHeight="1">
      <c r="A682" s="15" t="s">
        <v>7522</v>
      </c>
      <c r="B682" s="15" t="str">
        <f>"801542028756"</f>
        <v>801542028756</v>
      </c>
      <c r="C682" s="15" t="s">
        <v>19530</v>
      </c>
      <c r="D682" s="15" t="str">
        <f t="shared" si="1"/>
        <v>Millie 9 Drawer DresserDrifted Matte Black Veneer</v>
      </c>
      <c r="E682" s="15" t="s">
        <v>7520</v>
      </c>
      <c r="F682" s="15" t="s">
        <v>397</v>
      </c>
      <c r="G682" s="15" t="s">
        <v>7503</v>
      </c>
      <c r="J682" s="15" t="s">
        <v>7503</v>
      </c>
      <c r="K682" s="15" t="s">
        <v>7510</v>
      </c>
      <c r="M682" s="15" t="s">
        <v>1474</v>
      </c>
      <c r="N682" s="15" t="s">
        <v>412</v>
      </c>
      <c r="P682" s="15" t="str">
        <f t="shared" ref="P682:P683" si="1952">"88"</f>
        <v>88</v>
      </c>
      <c r="Q682" s="15" t="str">
        <f t="shared" si="1941"/>
        <v>17</v>
      </c>
      <c r="R682" s="15" t="str">
        <f t="shared" si="1942"/>
        <v>33</v>
      </c>
      <c r="S682" s="15" t="str">
        <f t="shared" ref="S682:S683" si="1953">"321.87"</f>
        <v>321.87</v>
      </c>
      <c r="T682" s="15" t="s">
        <v>7507</v>
      </c>
      <c r="U682" s="15" t="s">
        <v>11553</v>
      </c>
      <c r="V682" s="15" t="s">
        <v>11210</v>
      </c>
      <c r="AA682" s="15" t="s">
        <v>413</v>
      </c>
      <c r="AB682" s="15" t="s">
        <v>413</v>
      </c>
      <c r="AC682" s="15" t="s">
        <v>7524</v>
      </c>
      <c r="AD682" s="15" t="s">
        <v>19531</v>
      </c>
      <c r="AE682" s="15" t="s">
        <v>7523</v>
      </c>
      <c r="AF682" s="15" t="s">
        <v>19532</v>
      </c>
      <c r="AG682" s="15" t="s">
        <v>19533</v>
      </c>
      <c r="AH682" s="15" t="s">
        <v>19534</v>
      </c>
      <c r="AI682" s="15" t="s">
        <v>19535</v>
      </c>
      <c r="AJ682" s="15" t="s">
        <v>19536</v>
      </c>
      <c r="AK682" s="15" t="s">
        <v>19537</v>
      </c>
      <c r="AL682" s="15" t="s">
        <v>19538</v>
      </c>
      <c r="AM682" s="15" t="s">
        <v>19539</v>
      </c>
      <c r="AN682" s="15" t="s">
        <v>19540</v>
      </c>
      <c r="AO682" s="15" t="s">
        <v>19541</v>
      </c>
      <c r="AP682" s="15" t="s">
        <v>19542</v>
      </c>
      <c r="AQ682" s="15" t="s">
        <v>19543</v>
      </c>
      <c r="AR682" s="15" t="s">
        <v>19544</v>
      </c>
      <c r="AS682" s="15" t="s">
        <v>19545</v>
      </c>
      <c r="AT682" s="15" t="s">
        <v>19546</v>
      </c>
      <c r="AU682" s="15" t="s">
        <v>19547</v>
      </c>
      <c r="BH682" s="15" t="s">
        <v>7521</v>
      </c>
      <c r="BI682" s="15" t="str">
        <f t="shared" ref="BI682:BI683" si="1954">"2999"</f>
        <v>2999</v>
      </c>
      <c r="BJ682" s="15" t="str">
        <f t="shared" ref="BJ682:BJ683" si="1955">"1260"</f>
        <v>1260</v>
      </c>
      <c r="BK682" s="15" t="s">
        <v>742</v>
      </c>
      <c r="BL682" s="15" t="str">
        <f t="shared" si="1939"/>
        <v>1</v>
      </c>
      <c r="BM682" s="15" t="s">
        <v>7525</v>
      </c>
      <c r="BN682" s="15" t="str">
        <f t="shared" ref="BN682:BN683" si="1956">"92.52"</f>
        <v>92.52</v>
      </c>
      <c r="BO682" s="15" t="str">
        <f t="shared" si="1947"/>
        <v>21.65</v>
      </c>
      <c r="BP682" s="15" t="str">
        <f t="shared" si="1948"/>
        <v>36.61</v>
      </c>
      <c r="BQ682" s="15" t="str">
        <f t="shared" ref="BQ682:BQ683" si="1957">"370.38"</f>
        <v>370.38</v>
      </c>
      <c r="CG682" s="15" t="str">
        <f t="shared" ref="CG682:CG683" si="1958">"42.45"</f>
        <v>42.45</v>
      </c>
      <c r="CH682" s="15" t="str">
        <f t="shared" ref="CH682:CH683" si="1959">"1.202"</f>
        <v>1.202</v>
      </c>
      <c r="CI682" s="15" t="s">
        <v>497</v>
      </c>
      <c r="CZ682" s="15" t="s">
        <v>1371</v>
      </c>
      <c r="DA682" s="15">
        <v>9.0</v>
      </c>
      <c r="DB682" s="15" t="s">
        <v>1185</v>
      </c>
      <c r="DD682" s="15">
        <v>0.0</v>
      </c>
      <c r="DF682" s="15" t="s">
        <v>1186</v>
      </c>
      <c r="DG682" s="15" t="s">
        <v>421</v>
      </c>
      <c r="DK682" s="15">
        <v>0.0</v>
      </c>
      <c r="DR682" s="15" t="s">
        <v>422</v>
      </c>
      <c r="DS682" s="15" t="s">
        <v>7512</v>
      </c>
      <c r="DU682" s="15" t="s">
        <v>424</v>
      </c>
      <c r="EF682" s="15" t="s">
        <v>2144</v>
      </c>
      <c r="EU682" s="15" t="s">
        <v>426</v>
      </c>
      <c r="EV682" s="15">
        <v>0.0</v>
      </c>
      <c r="FQ682" s="15">
        <v>0.0</v>
      </c>
      <c r="FR682" s="15" t="s">
        <v>427</v>
      </c>
      <c r="FX682" s="15" t="s">
        <v>426</v>
      </c>
      <c r="FZ682" s="15" t="s">
        <v>4470</v>
      </c>
      <c r="GB682" s="15" t="s">
        <v>5481</v>
      </c>
      <c r="GD682" s="15" t="s">
        <v>7528</v>
      </c>
      <c r="GF682" s="15" t="s">
        <v>431</v>
      </c>
      <c r="GH682" s="15" t="s">
        <v>420</v>
      </c>
      <c r="GI682" s="15" t="s">
        <v>426</v>
      </c>
    </row>
    <row r="683" ht="17.25" customHeight="1">
      <c r="A683" s="15" t="s">
        <v>7530</v>
      </c>
      <c r="B683" s="15" t="str">
        <f>"198394020343"</f>
        <v>198394020343</v>
      </c>
      <c r="C683" s="15" t="s">
        <v>19548</v>
      </c>
      <c r="D683" s="15" t="str">
        <f t="shared" si="1"/>
        <v>Millie 9 Drawer DresserLight Bleach Oak Veneer</v>
      </c>
      <c r="E683" s="15" t="s">
        <v>7520</v>
      </c>
      <c r="F683" s="15" t="s">
        <v>397</v>
      </c>
      <c r="G683" s="15" t="s">
        <v>7515</v>
      </c>
      <c r="J683" s="15" t="s">
        <v>7515</v>
      </c>
      <c r="K683" s="15" t="s">
        <v>7518</v>
      </c>
      <c r="M683" s="15" t="s">
        <v>1474</v>
      </c>
      <c r="N683" s="15" t="s">
        <v>412</v>
      </c>
      <c r="P683" s="15" t="str">
        <f t="shared" si="1952"/>
        <v>88</v>
      </c>
      <c r="Q683" s="15" t="str">
        <f t="shared" si="1941"/>
        <v>17</v>
      </c>
      <c r="R683" s="15" t="str">
        <f t="shared" si="1942"/>
        <v>33</v>
      </c>
      <c r="S683" s="15" t="str">
        <f t="shared" si="1953"/>
        <v>321.87</v>
      </c>
      <c r="T683" s="15" t="s">
        <v>7507</v>
      </c>
      <c r="U683" s="15" t="s">
        <v>11553</v>
      </c>
      <c r="V683" s="15" t="s">
        <v>11210</v>
      </c>
      <c r="AA683" s="15" t="s">
        <v>413</v>
      </c>
      <c r="AB683" s="15" t="s">
        <v>413</v>
      </c>
      <c r="AC683" s="15" t="s">
        <v>7532</v>
      </c>
      <c r="AD683" s="15" t="s">
        <v>19549</v>
      </c>
      <c r="AE683" s="15" t="s">
        <v>7531</v>
      </c>
      <c r="AF683" s="15" t="s">
        <v>19550</v>
      </c>
      <c r="AG683" s="15" t="s">
        <v>19551</v>
      </c>
      <c r="AH683" s="15" t="s">
        <v>19552</v>
      </c>
      <c r="AI683" s="15" t="s">
        <v>19553</v>
      </c>
      <c r="AJ683" s="15" t="s">
        <v>19554</v>
      </c>
      <c r="AK683" s="15" t="s">
        <v>19555</v>
      </c>
      <c r="AL683" s="15" t="s">
        <v>19556</v>
      </c>
      <c r="AM683" s="15" t="s">
        <v>19557</v>
      </c>
      <c r="AN683" s="15" t="s">
        <v>19558</v>
      </c>
      <c r="AO683" s="15" t="s">
        <v>19559</v>
      </c>
      <c r="AP683" s="15" t="s">
        <v>19560</v>
      </c>
      <c r="AQ683" s="15" t="s">
        <v>19561</v>
      </c>
      <c r="AR683" s="15" t="s">
        <v>19562</v>
      </c>
      <c r="BH683" s="15" t="s">
        <v>7529</v>
      </c>
      <c r="BI683" s="15" t="str">
        <f t="shared" si="1954"/>
        <v>2999</v>
      </c>
      <c r="BJ683" s="15" t="str">
        <f t="shared" si="1955"/>
        <v>1260</v>
      </c>
      <c r="BK683" s="15" t="s">
        <v>742</v>
      </c>
      <c r="BL683" s="15" t="str">
        <f t="shared" si="1939"/>
        <v>1</v>
      </c>
      <c r="BM683" s="15" t="s">
        <v>416</v>
      </c>
      <c r="BN683" s="15" t="str">
        <f t="shared" si="1956"/>
        <v>92.52</v>
      </c>
      <c r="BO683" s="15" t="str">
        <f t="shared" si="1947"/>
        <v>21.65</v>
      </c>
      <c r="BP683" s="15" t="str">
        <f t="shared" si="1948"/>
        <v>36.61</v>
      </c>
      <c r="BQ683" s="15" t="str">
        <f t="shared" si="1957"/>
        <v>370.38</v>
      </c>
      <c r="CG683" s="15" t="str">
        <f t="shared" si="1958"/>
        <v>42.45</v>
      </c>
      <c r="CH683" s="15" t="str">
        <f t="shared" si="1959"/>
        <v>1.202</v>
      </c>
      <c r="CI683" s="15" t="s">
        <v>465</v>
      </c>
      <c r="CZ683" s="15" t="s">
        <v>1371</v>
      </c>
      <c r="DA683" s="15">
        <v>9.0</v>
      </c>
      <c r="DB683" s="15" t="s">
        <v>1185</v>
      </c>
      <c r="DD683" s="15">
        <v>0.0</v>
      </c>
      <c r="DF683" s="15" t="s">
        <v>1186</v>
      </c>
      <c r="DG683" s="15" t="s">
        <v>421</v>
      </c>
      <c r="DK683" s="15">
        <v>0.0</v>
      </c>
      <c r="DR683" s="15" t="s">
        <v>422</v>
      </c>
      <c r="DS683" s="15" t="s">
        <v>7512</v>
      </c>
      <c r="DU683" s="15" t="s">
        <v>424</v>
      </c>
      <c r="EF683" s="15" t="s">
        <v>2144</v>
      </c>
      <c r="EU683" s="15" t="s">
        <v>426</v>
      </c>
      <c r="EV683" s="15">
        <v>0.0</v>
      </c>
      <c r="FQ683" s="15">
        <v>0.0</v>
      </c>
      <c r="FR683" s="15" t="s">
        <v>427</v>
      </c>
      <c r="FX683" s="15" t="s">
        <v>426</v>
      </c>
      <c r="FZ683" s="15" t="s">
        <v>4470</v>
      </c>
      <c r="GB683" s="15" t="s">
        <v>5481</v>
      </c>
      <c r="GD683" s="15" t="s">
        <v>7528</v>
      </c>
      <c r="GF683" s="15" t="s">
        <v>431</v>
      </c>
      <c r="GH683" s="15" t="s">
        <v>420</v>
      </c>
      <c r="GI683" s="15" t="s">
        <v>426</v>
      </c>
    </row>
    <row r="684" ht="17.25" customHeight="1">
      <c r="A684" s="15" t="s">
        <v>7535</v>
      </c>
      <c r="B684" s="15" t="str">
        <f>"801542812584"</f>
        <v>801542812584</v>
      </c>
      <c r="C684" s="15" t="s">
        <v>19563</v>
      </c>
      <c r="D684" s="15" t="str">
        <f t="shared" si="1"/>
        <v>Millie BookcaseDrifted Matte Black</v>
      </c>
      <c r="E684" s="15" t="s">
        <v>7533</v>
      </c>
      <c r="F684" s="15" t="s">
        <v>397</v>
      </c>
      <c r="G684" s="15" t="s">
        <v>1490</v>
      </c>
      <c r="J684" s="15" t="s">
        <v>1490</v>
      </c>
      <c r="K684" s="15" t="s">
        <v>4670</v>
      </c>
      <c r="L684" s="15" t="s">
        <v>7503</v>
      </c>
      <c r="M684" s="15" t="s">
        <v>1474</v>
      </c>
      <c r="N684" s="15" t="s">
        <v>1899</v>
      </c>
      <c r="P684" s="15" t="str">
        <f t="shared" ref="P684:P685" si="1960">"48"</f>
        <v>48</v>
      </c>
      <c r="Q684" s="15" t="str">
        <f t="shared" ref="Q684:Q685" si="1961">"18"</f>
        <v>18</v>
      </c>
      <c r="R684" s="15" t="str">
        <f t="shared" ref="R684:R685" si="1962">"91"</f>
        <v>91</v>
      </c>
      <c r="S684" s="15" t="str">
        <f t="shared" ref="S684:S685" si="1963">"229.28"</f>
        <v>229.28</v>
      </c>
      <c r="T684" s="15" t="s">
        <v>1532</v>
      </c>
      <c r="U684" s="15" t="s">
        <v>11338</v>
      </c>
      <c r="V684" s="15" t="s">
        <v>11553</v>
      </c>
      <c r="AA684" s="15" t="s">
        <v>413</v>
      </c>
      <c r="AB684" s="15" t="s">
        <v>413</v>
      </c>
      <c r="AC684" s="15" t="s">
        <v>7537</v>
      </c>
      <c r="AD684" s="15" t="s">
        <v>19564</v>
      </c>
      <c r="AE684" s="15" t="s">
        <v>7536</v>
      </c>
      <c r="AF684" s="15" t="s">
        <v>19565</v>
      </c>
      <c r="AG684" s="15" t="s">
        <v>19566</v>
      </c>
      <c r="AH684" s="15" t="s">
        <v>19567</v>
      </c>
      <c r="AI684" s="15" t="s">
        <v>19568</v>
      </c>
      <c r="AJ684" s="15" t="s">
        <v>19569</v>
      </c>
      <c r="AK684" s="15" t="s">
        <v>19570</v>
      </c>
      <c r="AL684" s="15" t="s">
        <v>19571</v>
      </c>
      <c r="AM684" s="15" t="s">
        <v>19572</v>
      </c>
      <c r="AN684" s="15" t="s">
        <v>19573</v>
      </c>
      <c r="AO684" s="15" t="s">
        <v>19574</v>
      </c>
      <c r="AP684" s="15" t="s">
        <v>19575</v>
      </c>
      <c r="AQ684" s="15" t="s">
        <v>19576</v>
      </c>
      <c r="AR684" s="15" t="s">
        <v>15848</v>
      </c>
      <c r="AS684" s="15" t="s">
        <v>19577</v>
      </c>
      <c r="BH684" s="15" t="s">
        <v>7534</v>
      </c>
      <c r="BI684" s="15" t="str">
        <f t="shared" ref="BI684:BI685" si="1964">"3699"</f>
        <v>3699</v>
      </c>
      <c r="BJ684" s="15" t="str">
        <f t="shared" ref="BJ684:BJ685" si="1965">"1555"</f>
        <v>1555</v>
      </c>
      <c r="BK684" s="15" t="s">
        <v>709</v>
      </c>
      <c r="BL684" s="15" t="str">
        <f t="shared" si="1939"/>
        <v>1</v>
      </c>
      <c r="BM684" s="15" t="s">
        <v>416</v>
      </c>
      <c r="BN684" s="15" t="str">
        <f t="shared" ref="BN684:BN685" si="1966">"51.97"</f>
        <v>51.97</v>
      </c>
      <c r="BO684" s="15" t="str">
        <f t="shared" ref="BO684:BO685" si="1967">"21.85"</f>
        <v>21.85</v>
      </c>
      <c r="BP684" s="15" t="str">
        <f t="shared" ref="BP684:BP685" si="1968">"97.05"</f>
        <v>97.05</v>
      </c>
      <c r="BQ684" s="15" t="str">
        <f t="shared" ref="BQ684:BQ685" si="1969">"275.58"</f>
        <v>275.58</v>
      </c>
      <c r="CG684" s="15" t="str">
        <f t="shared" ref="CG684:CG685" si="1970">"63.78"</f>
        <v>63.78</v>
      </c>
      <c r="CH684" s="15" t="str">
        <f t="shared" ref="CH684:CH685" si="1971">"1.806"</f>
        <v>1.806</v>
      </c>
      <c r="CI684" s="15" t="s">
        <v>497</v>
      </c>
      <c r="CJ684" s="15" t="s">
        <v>1804</v>
      </c>
      <c r="CK684" s="15" t="s">
        <v>2638</v>
      </c>
      <c r="CL684" s="15" t="s">
        <v>4653</v>
      </c>
      <c r="CM684" s="15" t="s">
        <v>3238</v>
      </c>
      <c r="CN684" s="15" t="s">
        <v>2839</v>
      </c>
      <c r="CO684" s="15" t="s">
        <v>4653</v>
      </c>
      <c r="CZ684" s="15" t="s">
        <v>1371</v>
      </c>
      <c r="DA684" s="15">
        <v>2.0</v>
      </c>
      <c r="DB684" s="15" t="s">
        <v>419</v>
      </c>
      <c r="DD684" s="15">
        <v>2.0</v>
      </c>
      <c r="DE684" s="15" t="s">
        <v>426</v>
      </c>
      <c r="DF684" s="15" t="s">
        <v>721</v>
      </c>
      <c r="DG684" s="15" t="s">
        <v>610</v>
      </c>
      <c r="DI684" s="15">
        <v>18.14</v>
      </c>
      <c r="DJ684" s="15">
        <v>40.0</v>
      </c>
      <c r="DK684" s="15">
        <v>2.0</v>
      </c>
      <c r="DR684" s="15" t="s">
        <v>1906</v>
      </c>
      <c r="DS684" s="15" t="s">
        <v>7512</v>
      </c>
      <c r="EF684" s="15" t="s">
        <v>425</v>
      </c>
      <c r="EU684" s="15" t="s">
        <v>426</v>
      </c>
      <c r="EV684" s="15">
        <v>2.0</v>
      </c>
      <c r="FK684" s="15" t="s">
        <v>1804</v>
      </c>
      <c r="FL684" s="15" t="s">
        <v>2638</v>
      </c>
      <c r="FM684" s="15" t="s">
        <v>4653</v>
      </c>
      <c r="FQ684" s="15">
        <v>0.0</v>
      </c>
      <c r="FR684" s="15" t="s">
        <v>427</v>
      </c>
      <c r="FU684" s="15" t="s">
        <v>426</v>
      </c>
      <c r="FX684" s="15" t="s">
        <v>426</v>
      </c>
      <c r="FZ684" s="15" t="s">
        <v>1593</v>
      </c>
      <c r="GB684" s="15" t="s">
        <v>2116</v>
      </c>
      <c r="GD684" s="15" t="s">
        <v>7539</v>
      </c>
      <c r="GF684" s="15" t="s">
        <v>838</v>
      </c>
      <c r="GH684" s="15" t="s">
        <v>764</v>
      </c>
      <c r="GJ684" s="15" t="s">
        <v>1804</v>
      </c>
      <c r="GK684" s="15" t="s">
        <v>1574</v>
      </c>
      <c r="GL684" s="15" t="s">
        <v>4653</v>
      </c>
      <c r="HF684" s="15" t="s">
        <v>1807</v>
      </c>
      <c r="HQ684" s="15" t="s">
        <v>426</v>
      </c>
      <c r="JU684" s="15" t="s">
        <v>3238</v>
      </c>
      <c r="JV684" s="15" t="s">
        <v>2638</v>
      </c>
      <c r="JW684" s="15" t="s">
        <v>4653</v>
      </c>
    </row>
    <row r="685" ht="17.25" customHeight="1">
      <c r="A685" s="15" t="s">
        <v>7541</v>
      </c>
      <c r="B685" s="15" t="str">
        <f>"801542812751"</f>
        <v>801542812751</v>
      </c>
      <c r="C685" s="15" t="s">
        <v>19578</v>
      </c>
      <c r="D685" s="15" t="str">
        <f t="shared" si="1"/>
        <v>Millie BookcaseDrifted Oak Solid</v>
      </c>
      <c r="E685" s="15" t="s">
        <v>7533</v>
      </c>
      <c r="F685" s="15" t="s">
        <v>397</v>
      </c>
      <c r="G685" s="15" t="s">
        <v>1465</v>
      </c>
      <c r="J685" s="15" t="s">
        <v>1465</v>
      </c>
      <c r="K685" s="15" t="s">
        <v>4670</v>
      </c>
      <c r="M685" s="15" t="s">
        <v>1474</v>
      </c>
      <c r="N685" s="15" t="s">
        <v>1899</v>
      </c>
      <c r="P685" s="15" t="str">
        <f t="shared" si="1960"/>
        <v>48</v>
      </c>
      <c r="Q685" s="15" t="str">
        <f t="shared" si="1961"/>
        <v>18</v>
      </c>
      <c r="R685" s="15" t="str">
        <f t="shared" si="1962"/>
        <v>91</v>
      </c>
      <c r="S685" s="15" t="str">
        <f t="shared" si="1963"/>
        <v>229.28</v>
      </c>
      <c r="T685" s="15" t="s">
        <v>1532</v>
      </c>
      <c r="U685" s="15" t="s">
        <v>11338</v>
      </c>
      <c r="V685" s="15" t="s">
        <v>11553</v>
      </c>
      <c r="AA685" s="15" t="s">
        <v>413</v>
      </c>
      <c r="AB685" s="15" t="s">
        <v>413</v>
      </c>
      <c r="AC685" s="15" t="s">
        <v>7543</v>
      </c>
      <c r="AD685" s="15" t="s">
        <v>19579</v>
      </c>
      <c r="AE685" s="15" t="s">
        <v>7542</v>
      </c>
      <c r="AF685" s="15" t="s">
        <v>19580</v>
      </c>
      <c r="AG685" s="15" t="s">
        <v>19581</v>
      </c>
      <c r="AH685" s="15" t="s">
        <v>19582</v>
      </c>
      <c r="AI685" s="15" t="s">
        <v>19583</v>
      </c>
      <c r="AJ685" s="15" t="s">
        <v>19584</v>
      </c>
      <c r="AK685" s="15" t="s">
        <v>19585</v>
      </c>
      <c r="AL685" s="15" t="s">
        <v>19586</v>
      </c>
      <c r="AM685" s="15" t="s">
        <v>19587</v>
      </c>
      <c r="AN685" s="15" t="s">
        <v>19588</v>
      </c>
      <c r="AO685" s="15" t="s">
        <v>19589</v>
      </c>
      <c r="AP685" s="15" t="s">
        <v>19590</v>
      </c>
      <c r="AQ685" s="15" t="s">
        <v>19591</v>
      </c>
      <c r="AR685" s="15" t="s">
        <v>19592</v>
      </c>
      <c r="BH685" s="15" t="s">
        <v>7540</v>
      </c>
      <c r="BI685" s="15" t="str">
        <f t="shared" si="1964"/>
        <v>3699</v>
      </c>
      <c r="BJ685" s="15" t="str">
        <f t="shared" si="1965"/>
        <v>1555</v>
      </c>
      <c r="BK685" s="15" t="s">
        <v>709</v>
      </c>
      <c r="BL685" s="15" t="str">
        <f t="shared" si="1939"/>
        <v>1</v>
      </c>
      <c r="BM685" s="15" t="s">
        <v>416</v>
      </c>
      <c r="BN685" s="15" t="str">
        <f t="shared" si="1966"/>
        <v>51.97</v>
      </c>
      <c r="BO685" s="15" t="str">
        <f t="shared" si="1967"/>
        <v>21.85</v>
      </c>
      <c r="BP685" s="15" t="str">
        <f t="shared" si="1968"/>
        <v>97.05</v>
      </c>
      <c r="BQ685" s="15" t="str">
        <f t="shared" si="1969"/>
        <v>275.58</v>
      </c>
      <c r="CG685" s="15" t="str">
        <f t="shared" si="1970"/>
        <v>63.78</v>
      </c>
      <c r="CH685" s="15" t="str">
        <f t="shared" si="1971"/>
        <v>1.806</v>
      </c>
      <c r="CI685" s="15" t="s">
        <v>465</v>
      </c>
      <c r="CJ685" s="15" t="s">
        <v>1804</v>
      </c>
      <c r="CK685" s="15" t="s">
        <v>2638</v>
      </c>
      <c r="CL685" s="15" t="s">
        <v>4653</v>
      </c>
      <c r="CM685" s="15" t="s">
        <v>3238</v>
      </c>
      <c r="CN685" s="15" t="s">
        <v>2839</v>
      </c>
      <c r="CO685" s="15" t="s">
        <v>4653</v>
      </c>
      <c r="CZ685" s="15" t="s">
        <v>1371</v>
      </c>
      <c r="DA685" s="15">
        <v>2.0</v>
      </c>
      <c r="DB685" s="15" t="s">
        <v>419</v>
      </c>
      <c r="DD685" s="15">
        <v>2.0</v>
      </c>
      <c r="DE685" s="15" t="s">
        <v>426</v>
      </c>
      <c r="DF685" s="15" t="s">
        <v>721</v>
      </c>
      <c r="DG685" s="15" t="s">
        <v>610</v>
      </c>
      <c r="DI685" s="15">
        <v>18.14</v>
      </c>
      <c r="DJ685" s="15">
        <v>40.0</v>
      </c>
      <c r="DK685" s="15">
        <v>2.0</v>
      </c>
      <c r="DR685" s="15" t="s">
        <v>1906</v>
      </c>
      <c r="DS685" s="15" t="s">
        <v>7512</v>
      </c>
      <c r="EF685" s="15" t="s">
        <v>425</v>
      </c>
      <c r="EU685" s="15" t="s">
        <v>426</v>
      </c>
      <c r="EV685" s="15">
        <v>2.0</v>
      </c>
      <c r="FK685" s="15" t="s">
        <v>1804</v>
      </c>
      <c r="FL685" s="15" t="s">
        <v>2638</v>
      </c>
      <c r="FM685" s="15" t="s">
        <v>4653</v>
      </c>
      <c r="FQ685" s="15">
        <v>0.0</v>
      </c>
      <c r="FR685" s="15" t="s">
        <v>427</v>
      </c>
      <c r="FU685" s="15" t="s">
        <v>426</v>
      </c>
      <c r="FX685" s="15" t="s">
        <v>426</v>
      </c>
      <c r="FZ685" s="15" t="s">
        <v>1593</v>
      </c>
      <c r="GB685" s="15" t="s">
        <v>2116</v>
      </c>
      <c r="GD685" s="15" t="s">
        <v>7539</v>
      </c>
      <c r="GF685" s="15" t="s">
        <v>838</v>
      </c>
      <c r="GH685" s="15" t="s">
        <v>764</v>
      </c>
      <c r="GJ685" s="15" t="s">
        <v>1804</v>
      </c>
      <c r="GK685" s="15" t="s">
        <v>1574</v>
      </c>
      <c r="GL685" s="15" t="s">
        <v>4653</v>
      </c>
      <c r="HF685" s="15" t="s">
        <v>1807</v>
      </c>
      <c r="HQ685" s="15" t="s">
        <v>426</v>
      </c>
      <c r="JU685" s="15" t="s">
        <v>3238</v>
      </c>
      <c r="JV685" s="15" t="s">
        <v>2638</v>
      </c>
      <c r="JW685" s="15" t="s">
        <v>4653</v>
      </c>
    </row>
    <row r="686" ht="17.25" customHeight="1">
      <c r="A686" s="15" t="s">
        <v>7546</v>
      </c>
      <c r="B686" s="15" t="str">
        <f>"801542024307"</f>
        <v>801542024307</v>
      </c>
      <c r="C686" s="15" t="s">
        <v>19593</v>
      </c>
      <c r="D686" s="15" t="str">
        <f t="shared" si="1"/>
        <v>Millie Large SideboardDrifted Oak Solid</v>
      </c>
      <c r="E686" s="15" t="s">
        <v>7544</v>
      </c>
      <c r="F686" s="15" t="s">
        <v>397</v>
      </c>
      <c r="G686" s="15" t="s">
        <v>1465</v>
      </c>
      <c r="J686" s="15" t="s">
        <v>1465</v>
      </c>
      <c r="K686" s="15" t="s">
        <v>4670</v>
      </c>
      <c r="L686" s="15" t="s">
        <v>7503</v>
      </c>
      <c r="M686" s="15" t="s">
        <v>1474</v>
      </c>
      <c r="N686" s="15" t="s">
        <v>664</v>
      </c>
      <c r="P686" s="15" t="str">
        <f>"78"</f>
        <v>78</v>
      </c>
      <c r="Q686" s="15" t="str">
        <f>"17.75"</f>
        <v>17.75</v>
      </c>
      <c r="R686" s="15" t="str">
        <f>"34.75"</f>
        <v>34.75</v>
      </c>
      <c r="S686" s="15" t="str">
        <f>"205.03"</f>
        <v>205.03</v>
      </c>
      <c r="T686" s="15" t="s">
        <v>1532</v>
      </c>
      <c r="U686" s="15" t="s">
        <v>11338</v>
      </c>
      <c r="V686" s="15" t="s">
        <v>11553</v>
      </c>
      <c r="AA686" s="15" t="s">
        <v>426</v>
      </c>
      <c r="AB686" s="15" t="s">
        <v>413</v>
      </c>
      <c r="AC686" s="15" t="s">
        <v>7548</v>
      </c>
      <c r="AD686" s="15" t="s">
        <v>19594</v>
      </c>
      <c r="AE686" s="15" t="s">
        <v>7547</v>
      </c>
      <c r="AF686" s="15" t="s">
        <v>19595</v>
      </c>
      <c r="AG686" s="15" t="s">
        <v>19596</v>
      </c>
      <c r="AH686" s="15" t="s">
        <v>19597</v>
      </c>
      <c r="AI686" s="15" t="s">
        <v>19598</v>
      </c>
      <c r="AJ686" s="15" t="s">
        <v>19599</v>
      </c>
      <c r="AK686" s="15" t="s">
        <v>19600</v>
      </c>
      <c r="BH686" s="15" t="s">
        <v>7545</v>
      </c>
      <c r="BI686" s="15" t="str">
        <f>"3499"</f>
        <v>3499</v>
      </c>
      <c r="BJ686" s="15" t="str">
        <f>"1470"</f>
        <v>1470</v>
      </c>
      <c r="BK686" s="15" t="s">
        <v>709</v>
      </c>
      <c r="BL686" s="15" t="str">
        <f t="shared" si="1939"/>
        <v>1</v>
      </c>
      <c r="BM686" s="15" t="s">
        <v>416</v>
      </c>
      <c r="BN686" s="15" t="str">
        <f>"82.28"</f>
        <v>82.28</v>
      </c>
      <c r="BO686" s="15" t="str">
        <f t="shared" ref="BO686:BO688" si="1972">"21.65"</f>
        <v>21.65</v>
      </c>
      <c r="BP686" s="15" t="str">
        <f>"38.19"</f>
        <v>38.19</v>
      </c>
      <c r="BQ686" s="15" t="str">
        <f>"244.71"</f>
        <v>244.71</v>
      </c>
      <c r="CG686" s="15" t="str">
        <f>"39.38"</f>
        <v>39.38</v>
      </c>
      <c r="CH686" s="15" t="str">
        <f>"1.115"</f>
        <v>1.115</v>
      </c>
      <c r="CI686" s="15" t="s">
        <v>465</v>
      </c>
      <c r="CM686" s="15" t="s">
        <v>2179</v>
      </c>
      <c r="CN686" s="15" t="s">
        <v>6273</v>
      </c>
      <c r="CO686" s="15" t="s">
        <v>986</v>
      </c>
      <c r="CZ686" s="15" t="s">
        <v>1371</v>
      </c>
      <c r="DA686" s="15">
        <v>2.0</v>
      </c>
      <c r="DB686" s="15" t="s">
        <v>419</v>
      </c>
      <c r="DD686" s="15">
        <v>0.0</v>
      </c>
      <c r="DF686" s="15" t="s">
        <v>721</v>
      </c>
      <c r="DG686" s="15" t="s">
        <v>610</v>
      </c>
      <c r="DI686" s="15">
        <v>18.14</v>
      </c>
      <c r="DJ686" s="15">
        <v>40.0</v>
      </c>
      <c r="DK686" s="15">
        <v>2.0</v>
      </c>
      <c r="DS686" s="15" t="s">
        <v>7512</v>
      </c>
      <c r="DU686" s="15" t="s">
        <v>424</v>
      </c>
      <c r="EF686" s="15" t="s">
        <v>2144</v>
      </c>
      <c r="EU686" s="15" t="s">
        <v>426</v>
      </c>
      <c r="EV686" s="15">
        <v>2.0</v>
      </c>
      <c r="FH686" s="15" t="s">
        <v>4552</v>
      </c>
      <c r="FI686" s="15" t="s">
        <v>1121</v>
      </c>
      <c r="FJ686" s="15" t="s">
        <v>5005</v>
      </c>
      <c r="FK686" s="15" t="s">
        <v>2179</v>
      </c>
      <c r="FL686" s="15" t="s">
        <v>4469</v>
      </c>
      <c r="FM686" s="15" t="s">
        <v>986</v>
      </c>
      <c r="FN686" s="15">
        <v>0.0</v>
      </c>
      <c r="FO686" s="15" t="s">
        <v>426</v>
      </c>
      <c r="FP686" s="15" t="s">
        <v>785</v>
      </c>
      <c r="FQ686" s="15">
        <v>4.0</v>
      </c>
      <c r="FR686" s="15" t="s">
        <v>614</v>
      </c>
      <c r="FS686" s="15" t="s">
        <v>786</v>
      </c>
      <c r="FT686" s="15">
        <v>0.0</v>
      </c>
      <c r="FU686" s="15" t="s">
        <v>426</v>
      </c>
      <c r="FW686" s="15" t="s">
        <v>3722</v>
      </c>
      <c r="FZ686" s="15" t="s">
        <v>1374</v>
      </c>
      <c r="GB686" s="15" t="s">
        <v>2498</v>
      </c>
      <c r="GD686" s="15" t="s">
        <v>734</v>
      </c>
      <c r="GF686" s="15" t="s">
        <v>838</v>
      </c>
      <c r="GH686" s="15" t="s">
        <v>764</v>
      </c>
      <c r="GJ686" s="15" t="s">
        <v>2179</v>
      </c>
      <c r="GK686" s="15" t="s">
        <v>6273</v>
      </c>
      <c r="GL686" s="15" t="s">
        <v>986</v>
      </c>
      <c r="HF686" s="15" t="s">
        <v>789</v>
      </c>
      <c r="HQ686" s="15" t="s">
        <v>426</v>
      </c>
    </row>
    <row r="687" ht="17.25" customHeight="1">
      <c r="A687" s="15" t="s">
        <v>7552</v>
      </c>
      <c r="B687" s="15" t="str">
        <f>"801542824525"</f>
        <v>801542824525</v>
      </c>
      <c r="C687" s="15" t="s">
        <v>19601</v>
      </c>
      <c r="D687" s="15" t="str">
        <f t="shared" si="1"/>
        <v>Millie NightstandDrifted Matte Black Veneer</v>
      </c>
      <c r="E687" s="15" t="s">
        <v>7550</v>
      </c>
      <c r="F687" s="15" t="s">
        <v>397</v>
      </c>
      <c r="G687" s="15" t="s">
        <v>7503</v>
      </c>
      <c r="J687" s="15" t="s">
        <v>7503</v>
      </c>
      <c r="K687" s="15" t="s">
        <v>7510</v>
      </c>
      <c r="M687" s="15" t="s">
        <v>1474</v>
      </c>
      <c r="N687" s="15" t="s">
        <v>628</v>
      </c>
      <c r="P687" s="15" t="str">
        <f t="shared" ref="P687:P688" si="1973">"32"</f>
        <v>32</v>
      </c>
      <c r="Q687" s="15" t="str">
        <f t="shared" ref="Q687:Q688" si="1974">"17"</f>
        <v>17</v>
      </c>
      <c r="R687" s="15" t="str">
        <f t="shared" ref="R687:R688" si="1975">"26.5"</f>
        <v>26.5</v>
      </c>
      <c r="S687" s="15" t="str">
        <f t="shared" ref="S687:S688" si="1976">"92.59"</f>
        <v>92.59</v>
      </c>
      <c r="T687" s="15" t="s">
        <v>7507</v>
      </c>
      <c r="U687" s="15" t="s">
        <v>11553</v>
      </c>
      <c r="V687" s="15" t="s">
        <v>11210</v>
      </c>
      <c r="AA687" s="15" t="s">
        <v>413</v>
      </c>
      <c r="AB687" s="15" t="s">
        <v>413</v>
      </c>
      <c r="AC687" s="15" t="s">
        <v>7555</v>
      </c>
      <c r="AD687" s="15" t="s">
        <v>19602</v>
      </c>
      <c r="AE687" s="15" t="s">
        <v>7554</v>
      </c>
      <c r="AF687" s="15" t="s">
        <v>19603</v>
      </c>
      <c r="AG687" s="15" t="s">
        <v>19604</v>
      </c>
      <c r="AH687" s="15" t="s">
        <v>19605</v>
      </c>
      <c r="AI687" s="15" t="s">
        <v>19606</v>
      </c>
      <c r="AJ687" s="15" t="s">
        <v>19607</v>
      </c>
      <c r="AK687" s="15" t="s">
        <v>19608</v>
      </c>
      <c r="AL687" s="15" t="s">
        <v>19609</v>
      </c>
      <c r="AM687" s="15" t="s">
        <v>19610</v>
      </c>
      <c r="AN687" s="15" t="s">
        <v>19611</v>
      </c>
      <c r="AO687" s="15" t="s">
        <v>19612</v>
      </c>
      <c r="AP687" s="15" t="s">
        <v>19613</v>
      </c>
      <c r="AQ687" s="15" t="s">
        <v>19614</v>
      </c>
      <c r="AR687" s="15" t="s">
        <v>19615</v>
      </c>
      <c r="AS687" s="15" t="s">
        <v>19616</v>
      </c>
      <c r="AT687" s="15" t="s">
        <v>19617</v>
      </c>
      <c r="AU687" s="15" t="s">
        <v>19618</v>
      </c>
      <c r="AV687" s="15" t="s">
        <v>19619</v>
      </c>
      <c r="AW687" s="15" t="s">
        <v>19620</v>
      </c>
      <c r="AX687" s="15" t="s">
        <v>19621</v>
      </c>
      <c r="AY687" s="15" t="s">
        <v>19622</v>
      </c>
      <c r="AZ687" s="15" t="s">
        <v>19623</v>
      </c>
      <c r="BA687" s="15" t="s">
        <v>19624</v>
      </c>
      <c r="BB687" s="15" t="s">
        <v>19625</v>
      </c>
      <c r="BC687" s="15" t="s">
        <v>19626</v>
      </c>
      <c r="BD687" s="15" t="s">
        <v>19627</v>
      </c>
      <c r="BE687" s="15" t="s">
        <v>19628</v>
      </c>
      <c r="BF687" s="15" t="s">
        <v>19629</v>
      </c>
      <c r="BG687" s="15" t="s">
        <v>19630</v>
      </c>
      <c r="BH687" s="15" t="s">
        <v>7551</v>
      </c>
      <c r="BI687" s="15" t="str">
        <f t="shared" ref="BI687:BI688" si="1977">"1049"</f>
        <v>1049</v>
      </c>
      <c r="BJ687" s="15" t="str">
        <f t="shared" ref="BJ687:BJ688" si="1978">"445"</f>
        <v>445</v>
      </c>
      <c r="BK687" s="15" t="s">
        <v>742</v>
      </c>
      <c r="BL687" s="15" t="str">
        <f t="shared" si="1939"/>
        <v>1</v>
      </c>
      <c r="BM687" s="15" t="s">
        <v>416</v>
      </c>
      <c r="BN687" s="15" t="str">
        <f t="shared" ref="BN687:BN688" si="1979">"36.61"</f>
        <v>36.61</v>
      </c>
      <c r="BO687" s="15" t="str">
        <f t="shared" si="1972"/>
        <v>21.65</v>
      </c>
      <c r="BP687" s="15" t="str">
        <f t="shared" ref="BP687:BP688" si="1980">"30.31"</f>
        <v>30.31</v>
      </c>
      <c r="BQ687" s="15" t="str">
        <f t="shared" ref="BQ687:BQ688" si="1981">"119.05"</f>
        <v>119.05</v>
      </c>
      <c r="CG687" s="15" t="str">
        <f t="shared" ref="CG687:CG688" si="1982">"13.91"</f>
        <v>13.91</v>
      </c>
      <c r="CH687" s="15" t="str">
        <f t="shared" ref="CH687:CH688" si="1983">"0.394"</f>
        <v>0.394</v>
      </c>
      <c r="CI687" s="15" t="s">
        <v>465</v>
      </c>
      <c r="CZ687" s="15" t="s">
        <v>1371</v>
      </c>
      <c r="DA687" s="15">
        <v>2.0</v>
      </c>
      <c r="DB687" s="15" t="s">
        <v>419</v>
      </c>
      <c r="DD687" s="15">
        <v>0.0</v>
      </c>
      <c r="DF687" s="15" t="s">
        <v>1186</v>
      </c>
      <c r="DG687" s="15" t="s">
        <v>421</v>
      </c>
      <c r="DK687" s="15">
        <v>0.0</v>
      </c>
      <c r="DR687" s="15" t="s">
        <v>471</v>
      </c>
      <c r="DS687" s="15" t="s">
        <v>7512</v>
      </c>
      <c r="DU687" s="15" t="s">
        <v>500</v>
      </c>
      <c r="EF687" s="15" t="s">
        <v>2144</v>
      </c>
      <c r="EV687" s="15">
        <v>0.0</v>
      </c>
      <c r="FQ687" s="15">
        <v>0.0</v>
      </c>
      <c r="FR687" s="15" t="s">
        <v>427</v>
      </c>
      <c r="FZ687" s="15" t="s">
        <v>3068</v>
      </c>
      <c r="GB687" s="15" t="s">
        <v>7556</v>
      </c>
      <c r="GD687" s="15" t="s">
        <v>3659</v>
      </c>
      <c r="GF687" s="15" t="s">
        <v>431</v>
      </c>
      <c r="GH687" s="15" t="s">
        <v>1190</v>
      </c>
    </row>
    <row r="688" ht="17.25" customHeight="1">
      <c r="A688" s="15" t="s">
        <v>7558</v>
      </c>
      <c r="B688" s="15" t="str">
        <f>"198394020411"</f>
        <v>198394020411</v>
      </c>
      <c r="C688" s="15" t="s">
        <v>19631</v>
      </c>
      <c r="D688" s="15" t="str">
        <f t="shared" si="1"/>
        <v>Millie NightstandLight Bleach Oak Veneer</v>
      </c>
      <c r="E688" s="15" t="s">
        <v>7550</v>
      </c>
      <c r="F688" s="15" t="s">
        <v>397</v>
      </c>
      <c r="G688" s="15" t="s">
        <v>7515</v>
      </c>
      <c r="J688" s="15" t="s">
        <v>7515</v>
      </c>
      <c r="K688" s="15" t="s">
        <v>7518</v>
      </c>
      <c r="M688" s="15" t="s">
        <v>1474</v>
      </c>
      <c r="N688" s="15" t="s">
        <v>628</v>
      </c>
      <c r="P688" s="15" t="str">
        <f t="shared" si="1973"/>
        <v>32</v>
      </c>
      <c r="Q688" s="15" t="str">
        <f t="shared" si="1974"/>
        <v>17</v>
      </c>
      <c r="R688" s="15" t="str">
        <f t="shared" si="1975"/>
        <v>26.5</v>
      </c>
      <c r="S688" s="15" t="str">
        <f t="shared" si="1976"/>
        <v>92.59</v>
      </c>
      <c r="T688" s="15" t="s">
        <v>7507</v>
      </c>
      <c r="U688" s="15" t="s">
        <v>11553</v>
      </c>
      <c r="V688" s="15" t="s">
        <v>11210</v>
      </c>
      <c r="AA688" s="15" t="s">
        <v>413</v>
      </c>
      <c r="AB688" s="15" t="s">
        <v>413</v>
      </c>
      <c r="AC688" s="15" t="s">
        <v>7560</v>
      </c>
      <c r="AD688" s="15" t="s">
        <v>19632</v>
      </c>
      <c r="AE688" s="15" t="s">
        <v>7559</v>
      </c>
      <c r="AF688" s="15" t="s">
        <v>19633</v>
      </c>
      <c r="AG688" s="15" t="s">
        <v>19634</v>
      </c>
      <c r="AH688" s="15" t="s">
        <v>19635</v>
      </c>
      <c r="AI688" s="15" t="s">
        <v>19636</v>
      </c>
      <c r="AJ688" s="15" t="s">
        <v>19637</v>
      </c>
      <c r="AK688" s="15" t="s">
        <v>19638</v>
      </c>
      <c r="AL688" s="15" t="s">
        <v>19639</v>
      </c>
      <c r="AM688" s="15" t="s">
        <v>19640</v>
      </c>
      <c r="AN688" s="15" t="s">
        <v>19641</v>
      </c>
      <c r="AO688" s="15" t="s">
        <v>19642</v>
      </c>
      <c r="AP688" s="15" t="s">
        <v>19643</v>
      </c>
      <c r="AQ688" s="15" t="s">
        <v>19644</v>
      </c>
      <c r="BH688" s="15" t="s">
        <v>7557</v>
      </c>
      <c r="BI688" s="15" t="str">
        <f t="shared" si="1977"/>
        <v>1049</v>
      </c>
      <c r="BJ688" s="15" t="str">
        <f t="shared" si="1978"/>
        <v>445</v>
      </c>
      <c r="BK688" s="15" t="s">
        <v>742</v>
      </c>
      <c r="BL688" s="15" t="str">
        <f t="shared" si="1939"/>
        <v>1</v>
      </c>
      <c r="BM688" s="15" t="s">
        <v>416</v>
      </c>
      <c r="BN688" s="15" t="str">
        <f t="shared" si="1979"/>
        <v>36.61</v>
      </c>
      <c r="BO688" s="15" t="str">
        <f t="shared" si="1972"/>
        <v>21.65</v>
      </c>
      <c r="BP688" s="15" t="str">
        <f t="shared" si="1980"/>
        <v>30.31</v>
      </c>
      <c r="BQ688" s="15" t="str">
        <f t="shared" si="1981"/>
        <v>119.05</v>
      </c>
      <c r="CG688" s="15" t="str">
        <f t="shared" si="1982"/>
        <v>13.91</v>
      </c>
      <c r="CH688" s="15" t="str">
        <f t="shared" si="1983"/>
        <v>0.394</v>
      </c>
      <c r="CI688" s="15" t="s">
        <v>465</v>
      </c>
      <c r="CZ688" s="15" t="s">
        <v>1371</v>
      </c>
      <c r="DA688" s="15">
        <v>2.0</v>
      </c>
      <c r="DB688" s="15" t="s">
        <v>419</v>
      </c>
      <c r="DD688" s="15">
        <v>0.0</v>
      </c>
      <c r="DF688" s="15" t="s">
        <v>1186</v>
      </c>
      <c r="DG688" s="15" t="s">
        <v>421</v>
      </c>
      <c r="DK688" s="15">
        <v>0.0</v>
      </c>
      <c r="DR688" s="15" t="s">
        <v>471</v>
      </c>
      <c r="DS688" s="15" t="s">
        <v>7512</v>
      </c>
      <c r="DU688" s="15" t="s">
        <v>500</v>
      </c>
      <c r="EF688" s="15" t="s">
        <v>2144</v>
      </c>
      <c r="EV688" s="15">
        <v>0.0</v>
      </c>
      <c r="FQ688" s="15">
        <v>0.0</v>
      </c>
      <c r="FR688" s="15" t="s">
        <v>427</v>
      </c>
      <c r="FZ688" s="15" t="s">
        <v>3068</v>
      </c>
      <c r="GB688" s="15" t="s">
        <v>7556</v>
      </c>
      <c r="GD688" s="15" t="s">
        <v>3659</v>
      </c>
      <c r="GF688" s="15" t="s">
        <v>431</v>
      </c>
      <c r="GH688" s="15" t="s">
        <v>1190</v>
      </c>
    </row>
    <row r="689" ht="17.25" customHeight="1">
      <c r="A689" s="15" t="s">
        <v>7563</v>
      </c>
      <c r="B689" s="15" t="str">
        <f>"801542726218"</f>
        <v>801542726218</v>
      </c>
      <c r="C689" s="15" t="s">
        <v>19645</v>
      </c>
      <c r="D689" s="15" t="str">
        <f t="shared" si="1"/>
        <v>Millie Small CabinetDrifted Matte Black</v>
      </c>
      <c r="E689" s="15" t="s">
        <v>7561</v>
      </c>
      <c r="F689" s="15" t="s">
        <v>397</v>
      </c>
      <c r="G689" s="15" t="s">
        <v>1490</v>
      </c>
      <c r="J689" s="15" t="s">
        <v>1490</v>
      </c>
      <c r="K689" s="15" t="s">
        <v>1465</v>
      </c>
      <c r="M689" s="15" t="s">
        <v>1474</v>
      </c>
      <c r="N689" s="15" t="s">
        <v>2891</v>
      </c>
      <c r="O689" s="15" t="s">
        <v>5805</v>
      </c>
      <c r="P689" s="15" t="str">
        <f>"35"</f>
        <v>35</v>
      </c>
      <c r="Q689" s="15" t="str">
        <f>"16"</f>
        <v>16</v>
      </c>
      <c r="R689" s="15" t="str">
        <f>"34.75"</f>
        <v>34.75</v>
      </c>
      <c r="S689" s="15" t="str">
        <f>"74.96"</f>
        <v>74.96</v>
      </c>
      <c r="T689" s="15" t="s">
        <v>2872</v>
      </c>
      <c r="U689" s="15" t="s">
        <v>11338</v>
      </c>
      <c r="AA689" s="15" t="s">
        <v>413</v>
      </c>
      <c r="AB689" s="15" t="s">
        <v>413</v>
      </c>
      <c r="AC689" s="15" t="s">
        <v>7565</v>
      </c>
      <c r="AD689" s="15" t="s">
        <v>19646</v>
      </c>
      <c r="AE689" s="15" t="s">
        <v>7564</v>
      </c>
      <c r="AF689" s="15" t="s">
        <v>19647</v>
      </c>
      <c r="AG689" s="15" t="s">
        <v>19648</v>
      </c>
      <c r="AH689" s="15" t="s">
        <v>19649</v>
      </c>
      <c r="AI689" s="15" t="s">
        <v>19650</v>
      </c>
      <c r="AJ689" s="15" t="s">
        <v>19651</v>
      </c>
      <c r="AK689" s="15" t="s">
        <v>19652</v>
      </c>
      <c r="AL689" s="15" t="s">
        <v>19653</v>
      </c>
      <c r="AM689" s="15" t="s">
        <v>19654</v>
      </c>
      <c r="AN689" s="15" t="s">
        <v>19655</v>
      </c>
      <c r="AO689" s="15" t="s">
        <v>19656</v>
      </c>
      <c r="AP689" s="15" t="s">
        <v>19657</v>
      </c>
      <c r="AQ689" s="15" t="s">
        <v>19658</v>
      </c>
      <c r="AR689" s="15" t="s">
        <v>19659</v>
      </c>
      <c r="AS689" s="15" t="s">
        <v>19660</v>
      </c>
      <c r="BH689" s="15" t="s">
        <v>7562</v>
      </c>
      <c r="BI689" s="15" t="str">
        <f>"1449"</f>
        <v>1449</v>
      </c>
      <c r="BJ689" s="15" t="str">
        <f>"610"</f>
        <v>610</v>
      </c>
      <c r="BK689" s="15" t="s">
        <v>709</v>
      </c>
      <c r="BL689" s="15" t="str">
        <f t="shared" si="1939"/>
        <v>1</v>
      </c>
      <c r="BM689" s="15" t="s">
        <v>416</v>
      </c>
      <c r="BN689" s="15" t="str">
        <f>"38.19"</f>
        <v>38.19</v>
      </c>
      <c r="BO689" s="15" t="str">
        <f>"19.29"</f>
        <v>19.29</v>
      </c>
      <c r="BP689" s="15" t="str">
        <f>"38.98"</f>
        <v>38.98</v>
      </c>
      <c r="BQ689" s="15" t="str">
        <f>"92.59"</f>
        <v>92.59</v>
      </c>
      <c r="CG689" s="15" t="str">
        <f>"16.63"</f>
        <v>16.63</v>
      </c>
      <c r="CH689" s="15" t="str">
        <f>"0.471"</f>
        <v>0.471</v>
      </c>
      <c r="CI689" s="15" t="s">
        <v>465</v>
      </c>
      <c r="CM689" s="15" t="s">
        <v>1592</v>
      </c>
      <c r="CN689" s="15" t="s">
        <v>2637</v>
      </c>
      <c r="CO689" s="15" t="s">
        <v>7566</v>
      </c>
      <c r="CZ689" s="15" t="s">
        <v>419</v>
      </c>
      <c r="DA689" s="15">
        <v>0.0</v>
      </c>
      <c r="DB689" s="15" t="s">
        <v>419</v>
      </c>
      <c r="DD689" s="15">
        <v>0.0</v>
      </c>
      <c r="DF689" s="15" t="s">
        <v>721</v>
      </c>
      <c r="DG689" s="15" t="s">
        <v>610</v>
      </c>
      <c r="DI689" s="15">
        <v>18.14</v>
      </c>
      <c r="DJ689" s="15">
        <v>40.0</v>
      </c>
      <c r="DK689" s="15">
        <v>1.0</v>
      </c>
      <c r="DR689" s="15" t="s">
        <v>1906</v>
      </c>
      <c r="DS689" s="15" t="s">
        <v>7512</v>
      </c>
      <c r="EF689" s="15" t="s">
        <v>2144</v>
      </c>
      <c r="EU689" s="15" t="s">
        <v>426</v>
      </c>
      <c r="EV689" s="15">
        <v>1.0</v>
      </c>
      <c r="FH689" s="15" t="s">
        <v>5054</v>
      </c>
      <c r="FI689" s="15" t="s">
        <v>4469</v>
      </c>
      <c r="FJ689" s="15" t="s">
        <v>7567</v>
      </c>
      <c r="FK689" s="15" t="s">
        <v>1592</v>
      </c>
      <c r="FL689" s="15" t="s">
        <v>2638</v>
      </c>
      <c r="FM689" s="15" t="s">
        <v>7566</v>
      </c>
      <c r="FN689" s="15">
        <v>0.0</v>
      </c>
      <c r="FO689" s="15" t="s">
        <v>426</v>
      </c>
      <c r="FP689" s="15" t="s">
        <v>785</v>
      </c>
      <c r="FQ689" s="15">
        <v>2.0</v>
      </c>
      <c r="FR689" s="15" t="s">
        <v>614</v>
      </c>
      <c r="FS689" s="15" t="s">
        <v>786</v>
      </c>
      <c r="FT689" s="15">
        <v>0.0</v>
      </c>
      <c r="FU689" s="15" t="s">
        <v>426</v>
      </c>
      <c r="FV689" s="15" t="s">
        <v>5816</v>
      </c>
      <c r="FW689" s="15" t="s">
        <v>3722</v>
      </c>
      <c r="FY689" s="15">
        <v>0.0</v>
      </c>
      <c r="HQ689" s="15" t="s">
        <v>426</v>
      </c>
      <c r="JR689" s="15" t="s">
        <v>789</v>
      </c>
    </row>
    <row r="690" ht="17.25" customHeight="1">
      <c r="A690" s="15" t="s">
        <v>7570</v>
      </c>
      <c r="B690" s="15" t="str">
        <f>"801542158552"</f>
        <v>801542158552</v>
      </c>
      <c r="C690" s="15" t="s">
        <v>19661</v>
      </c>
      <c r="D690" s="15" t="str">
        <f t="shared" si="1"/>
        <v>Monette Slipcover SofaBrussels Natural</v>
      </c>
      <c r="E690" s="15" t="s">
        <v>7568</v>
      </c>
      <c r="F690" s="15" t="s">
        <v>397</v>
      </c>
      <c r="G690" s="15" t="s">
        <v>963</v>
      </c>
      <c r="J690" s="15" t="s">
        <v>963</v>
      </c>
      <c r="M690" s="15" t="s">
        <v>915</v>
      </c>
      <c r="N690" s="15" t="s">
        <v>1732</v>
      </c>
      <c r="P690" s="15" t="str">
        <f>"94"</f>
        <v>94</v>
      </c>
      <c r="Q690" s="15" t="str">
        <f>"40"</f>
        <v>40</v>
      </c>
      <c r="R690" s="15" t="str">
        <f>"34"</f>
        <v>34</v>
      </c>
      <c r="S690" s="15" t="str">
        <f>"131.84"</f>
        <v>131.84</v>
      </c>
      <c r="T690" s="15" t="s">
        <v>908</v>
      </c>
      <c r="U690" s="15" t="s">
        <v>11257</v>
      </c>
      <c r="AA690" s="15" t="s">
        <v>413</v>
      </c>
      <c r="AB690" s="15" t="s">
        <v>413</v>
      </c>
      <c r="AC690" s="15" t="s">
        <v>7573</v>
      </c>
      <c r="AD690" s="15" t="s">
        <v>19662</v>
      </c>
      <c r="AE690" s="15" t="s">
        <v>7572</v>
      </c>
      <c r="AF690" s="15" t="s">
        <v>19663</v>
      </c>
      <c r="AG690" s="15" t="s">
        <v>19664</v>
      </c>
      <c r="AH690" s="15" t="s">
        <v>19665</v>
      </c>
      <c r="AI690" s="15" t="s">
        <v>19666</v>
      </c>
      <c r="AJ690" s="15" t="s">
        <v>19667</v>
      </c>
      <c r="AK690" s="15" t="s">
        <v>19668</v>
      </c>
      <c r="AL690" s="15" t="s">
        <v>19669</v>
      </c>
      <c r="AM690" s="15" t="s">
        <v>19670</v>
      </c>
      <c r="AN690" s="15" t="s">
        <v>19671</v>
      </c>
      <c r="AO690" s="15" t="s">
        <v>19672</v>
      </c>
      <c r="AP690" s="15" t="s">
        <v>19673</v>
      </c>
      <c r="BH690" s="15" t="s">
        <v>7569</v>
      </c>
      <c r="BI690" s="15" t="str">
        <f>"4199"</f>
        <v>4199</v>
      </c>
      <c r="BJ690" s="15" t="str">
        <f>"1765"</f>
        <v>1765</v>
      </c>
      <c r="BK690" s="15" t="s">
        <v>709</v>
      </c>
      <c r="BL690" s="15" t="str">
        <f>"2"</f>
        <v>2</v>
      </c>
      <c r="BM690" s="15" t="s">
        <v>4730</v>
      </c>
      <c r="BN690" s="15" t="str">
        <f>"95.28"</f>
        <v>95.28</v>
      </c>
      <c r="BO690" s="15" t="str">
        <f>"40.94"</f>
        <v>40.94</v>
      </c>
      <c r="BP690" s="15" t="str">
        <f>"32.68"</f>
        <v>32.68</v>
      </c>
      <c r="BQ690" s="15" t="str">
        <f>"138.89"</f>
        <v>138.89</v>
      </c>
      <c r="BR690" s="15" t="s">
        <v>7575</v>
      </c>
      <c r="BS690" s="15" t="str">
        <f>"40.16"</f>
        <v>40.16</v>
      </c>
      <c r="BT690" s="15" t="str">
        <f>"8.66"</f>
        <v>8.66</v>
      </c>
      <c r="BU690" s="15" t="str">
        <f>"29.53"</f>
        <v>29.53</v>
      </c>
      <c r="BV690" s="15" t="str">
        <f>"102.51"</f>
        <v>102.51</v>
      </c>
      <c r="CG690" s="15" t="str">
        <f>"74.97"</f>
        <v>74.97</v>
      </c>
      <c r="CH690" s="15" t="str">
        <f>"2.123"</f>
        <v>2.123</v>
      </c>
      <c r="CI690" s="15" t="s">
        <v>417</v>
      </c>
      <c r="CP690" s="15" t="s">
        <v>1574</v>
      </c>
      <c r="CQ690" s="15" t="s">
        <v>2402</v>
      </c>
      <c r="CR690" s="15" t="s">
        <v>7577</v>
      </c>
      <c r="CS690" s="15" t="s">
        <v>1072</v>
      </c>
      <c r="CT690" s="15" t="s">
        <v>824</v>
      </c>
      <c r="CV690" s="15">
        <v>0.0</v>
      </c>
      <c r="CW690" s="15">
        <v>2.0</v>
      </c>
      <c r="CX690" s="15" t="s">
        <v>717</v>
      </c>
      <c r="CY690" s="15" t="s">
        <v>934</v>
      </c>
      <c r="DC690" s="15" t="s">
        <v>6848</v>
      </c>
      <c r="DF690" s="15" t="s">
        <v>721</v>
      </c>
      <c r="DG690" s="15" t="s">
        <v>936</v>
      </c>
      <c r="DH690" s="15">
        <v>0.0</v>
      </c>
      <c r="DL690" s="15">
        <v>25000.0</v>
      </c>
      <c r="DM690" s="15" t="s">
        <v>990</v>
      </c>
      <c r="DN690" s="15" t="s">
        <v>723</v>
      </c>
      <c r="DO690" s="15" t="s">
        <v>724</v>
      </c>
      <c r="DP690" s="15">
        <v>1.0</v>
      </c>
      <c r="DQ690" s="15">
        <v>4.0</v>
      </c>
      <c r="DS690" s="15" t="s">
        <v>7578</v>
      </c>
      <c r="DT690" s="15">
        <v>0.0</v>
      </c>
      <c r="DU690" s="15" t="s">
        <v>588</v>
      </c>
      <c r="DV690" s="15" t="s">
        <v>1211</v>
      </c>
      <c r="DW690" s="15" t="s">
        <v>1069</v>
      </c>
      <c r="DX690" s="15" t="s">
        <v>1330</v>
      </c>
      <c r="EB690" s="15" t="s">
        <v>1236</v>
      </c>
      <c r="EC690" s="15" t="s">
        <v>475</v>
      </c>
      <c r="ED690" s="15" t="s">
        <v>1324</v>
      </c>
      <c r="EE690" s="15" t="s">
        <v>3332</v>
      </c>
      <c r="EG690" s="15" t="s">
        <v>1328</v>
      </c>
      <c r="EH690" s="15" t="s">
        <v>1737</v>
      </c>
      <c r="EI690" s="15" t="s">
        <v>1160</v>
      </c>
      <c r="EL690" s="15" t="s">
        <v>723</v>
      </c>
      <c r="EM690" s="15" t="s">
        <v>724</v>
      </c>
      <c r="EN690" s="15" t="s">
        <v>1066</v>
      </c>
      <c r="EO690" s="15" t="s">
        <v>997</v>
      </c>
      <c r="EX690" s="15" t="s">
        <v>7579</v>
      </c>
      <c r="EY690" s="15" t="s">
        <v>7577</v>
      </c>
      <c r="FB690" s="15" t="s">
        <v>2436</v>
      </c>
    </row>
    <row r="691" ht="17.25" customHeight="1">
      <c r="A691" s="15" t="s">
        <v>7582</v>
      </c>
      <c r="B691" s="15" t="str">
        <f>"801542650797"</f>
        <v>801542650797</v>
      </c>
      <c r="C691" s="15" t="s">
        <v>19674</v>
      </c>
      <c r="D691" s="15" t="str">
        <f t="shared" si="1"/>
        <v>Montana BedAltro SnowQueen</v>
      </c>
      <c r="E691" s="15" t="s">
        <v>7580</v>
      </c>
      <c r="F691" s="15" t="s">
        <v>397</v>
      </c>
      <c r="G691" s="15" t="s">
        <v>3895</v>
      </c>
      <c r="H691" s="15" t="s">
        <v>265</v>
      </c>
      <c r="I691" s="15" t="s">
        <v>877</v>
      </c>
      <c r="J691" s="15" t="s">
        <v>3895</v>
      </c>
      <c r="K691" s="15" t="s">
        <v>7587</v>
      </c>
      <c r="M691" s="15" t="s">
        <v>5444</v>
      </c>
      <c r="N691" s="15" t="s">
        <v>839</v>
      </c>
      <c r="O691" s="15" t="s">
        <v>877</v>
      </c>
      <c r="P691" s="15" t="str">
        <f>"67"</f>
        <v>67</v>
      </c>
      <c r="Q691" s="15" t="str">
        <f t="shared" ref="Q691:Q692" si="1984">"86.25"</f>
        <v>86.25</v>
      </c>
      <c r="R691" s="15" t="str">
        <f t="shared" ref="R691:R692" si="1985">"50.25"</f>
        <v>50.25</v>
      </c>
      <c r="S691" s="15" t="str">
        <f>"192.9"</f>
        <v>192.9</v>
      </c>
      <c r="T691" s="15" t="s">
        <v>3898</v>
      </c>
      <c r="U691" s="15" t="s">
        <v>11234</v>
      </c>
      <c r="V691" s="15" t="s">
        <v>11371</v>
      </c>
      <c r="W691" s="15" t="s">
        <v>11338</v>
      </c>
      <c r="AA691" s="15" t="s">
        <v>413</v>
      </c>
      <c r="AB691" s="15" t="s">
        <v>413</v>
      </c>
      <c r="AC691" s="15" t="s">
        <v>7588</v>
      </c>
      <c r="AD691" s="15" t="s">
        <v>19675</v>
      </c>
      <c r="AE691" s="15" t="s">
        <v>7584</v>
      </c>
      <c r="AF691" s="15" t="s">
        <v>19676</v>
      </c>
      <c r="AG691" s="15" t="s">
        <v>19677</v>
      </c>
      <c r="AH691" s="15" t="s">
        <v>19678</v>
      </c>
      <c r="AI691" s="15" t="s">
        <v>19679</v>
      </c>
      <c r="AJ691" s="15" t="s">
        <v>19680</v>
      </c>
      <c r="AK691" s="15" t="s">
        <v>19681</v>
      </c>
      <c r="AL691" s="15" t="s">
        <v>19682</v>
      </c>
      <c r="AM691" s="15" t="s">
        <v>19683</v>
      </c>
      <c r="AN691" s="15" t="s">
        <v>19684</v>
      </c>
      <c r="AO691" s="15" t="s">
        <v>19685</v>
      </c>
      <c r="AP691" s="15" t="s">
        <v>19686</v>
      </c>
      <c r="BH691" s="15" t="s">
        <v>7581</v>
      </c>
      <c r="BI691" s="15" t="str">
        <f>"2399"</f>
        <v>2399</v>
      </c>
      <c r="BJ691" s="15" t="str">
        <f>"1010"</f>
        <v>1010</v>
      </c>
      <c r="BK691" s="15" t="s">
        <v>742</v>
      </c>
      <c r="BL691" s="15" t="str">
        <f t="shared" ref="BL691:BL696" si="1986">"3"</f>
        <v>3</v>
      </c>
      <c r="BM691" s="15" t="s">
        <v>6421</v>
      </c>
      <c r="BN691" s="15" t="str">
        <f>"72.24"</f>
        <v>72.24</v>
      </c>
      <c r="BO691" s="15" t="str">
        <f>"55.12"</f>
        <v>55.12</v>
      </c>
      <c r="BP691" s="15" t="str">
        <f>"8.66"</f>
        <v>8.66</v>
      </c>
      <c r="BQ691" s="15" t="str">
        <f>"114.64"</f>
        <v>114.64</v>
      </c>
      <c r="BR691" s="15" t="s">
        <v>7590</v>
      </c>
      <c r="BS691" s="15" t="str">
        <f>"69.29"</f>
        <v>69.29</v>
      </c>
      <c r="BT691" s="15" t="str">
        <f>"17.13"</f>
        <v>17.13</v>
      </c>
      <c r="BU691" s="15" t="str">
        <f>"10.24"</f>
        <v>10.24</v>
      </c>
      <c r="BV691" s="15" t="str">
        <f>"63.93"</f>
        <v>63.93</v>
      </c>
      <c r="BW691" s="15" t="s">
        <v>7591</v>
      </c>
      <c r="BX691" s="15" t="str">
        <f>"87.6"</f>
        <v>87.6</v>
      </c>
      <c r="BY691" s="15" t="str">
        <f>"11.81"</f>
        <v>11.81</v>
      </c>
      <c r="BZ691" s="15" t="str">
        <f>"8.27"</f>
        <v>8.27</v>
      </c>
      <c r="CA691" s="15" t="str">
        <f>"59.52"</f>
        <v>59.52</v>
      </c>
      <c r="CG691" s="15" t="str">
        <f>"31.96"</f>
        <v>31.96</v>
      </c>
      <c r="CH691" s="15" t="str">
        <f>"0.905"</f>
        <v>0.905</v>
      </c>
      <c r="CI691" s="15" t="s">
        <v>465</v>
      </c>
      <c r="CY691" s="15" t="s">
        <v>855</v>
      </c>
      <c r="CZ691" s="15" t="s">
        <v>419</v>
      </c>
      <c r="DA691" s="15">
        <v>0.0</v>
      </c>
      <c r="DB691" s="15" t="s">
        <v>419</v>
      </c>
      <c r="DD691" s="15">
        <v>0.0</v>
      </c>
      <c r="DF691" s="15" t="s">
        <v>1111</v>
      </c>
      <c r="DG691" s="15" t="s">
        <v>419</v>
      </c>
      <c r="DI691" s="15">
        <v>0.0</v>
      </c>
      <c r="DJ691" s="15">
        <v>0.0</v>
      </c>
      <c r="DK691" s="15">
        <v>0.0</v>
      </c>
      <c r="DL691" s="15">
        <v>79000.0</v>
      </c>
      <c r="DS691" s="15" t="s">
        <v>7592</v>
      </c>
      <c r="DU691" s="15" t="s">
        <v>858</v>
      </c>
      <c r="EO691" s="15" t="s">
        <v>1079</v>
      </c>
      <c r="EV691" s="15">
        <v>0.0</v>
      </c>
      <c r="HV691" s="15" t="s">
        <v>5796</v>
      </c>
      <c r="HW691" s="15" t="s">
        <v>5796</v>
      </c>
      <c r="HX691" s="15" t="s">
        <v>5796</v>
      </c>
      <c r="HY691" s="15" t="s">
        <v>4470</v>
      </c>
      <c r="HZ691" s="15" t="s">
        <v>2969</v>
      </c>
      <c r="IA691" s="15" t="s">
        <v>7593</v>
      </c>
      <c r="IB691" s="15" t="s">
        <v>7594</v>
      </c>
      <c r="IC691" s="15" t="s">
        <v>2969</v>
      </c>
      <c r="ID691" s="15" t="s">
        <v>7595</v>
      </c>
      <c r="IE691" s="15" t="s">
        <v>7596</v>
      </c>
      <c r="IF691" s="15" t="s">
        <v>2046</v>
      </c>
      <c r="IG691" s="15" t="s">
        <v>6720</v>
      </c>
      <c r="IH691" s="15" t="s">
        <v>5304</v>
      </c>
      <c r="II691" s="15" t="s">
        <v>7597</v>
      </c>
      <c r="IJ691" s="15" t="s">
        <v>4469</v>
      </c>
      <c r="IK691" s="15" t="s">
        <v>426</v>
      </c>
      <c r="IL691" s="15" t="s">
        <v>2973</v>
      </c>
      <c r="IM691" s="15" t="s">
        <v>872</v>
      </c>
      <c r="IN691" s="15" t="s">
        <v>873</v>
      </c>
      <c r="IO691" s="15" t="s">
        <v>877</v>
      </c>
      <c r="IU691" s="15" t="s">
        <v>759</v>
      </c>
      <c r="IV691" s="15" t="s">
        <v>2651</v>
      </c>
      <c r="IW691" s="15" t="s">
        <v>759</v>
      </c>
      <c r="IX691" s="15" t="s">
        <v>426</v>
      </c>
      <c r="IY691" s="15" t="s">
        <v>2474</v>
      </c>
    </row>
    <row r="692" ht="17.25" customHeight="1">
      <c r="A692" s="15" t="s">
        <v>7599</v>
      </c>
      <c r="B692" s="15" t="str">
        <f>"801542650759"</f>
        <v>801542650759</v>
      </c>
      <c r="C692" s="15" t="s">
        <v>19674</v>
      </c>
      <c r="D692" s="15" t="str">
        <f t="shared" si="1"/>
        <v>Montana BedAltro SnowKing</v>
      </c>
      <c r="E692" s="15" t="s">
        <v>7580</v>
      </c>
      <c r="F692" s="15" t="s">
        <v>397</v>
      </c>
      <c r="G692" s="15" t="s">
        <v>3895</v>
      </c>
      <c r="H692" s="15" t="s">
        <v>265</v>
      </c>
      <c r="I692" s="15" t="s">
        <v>828</v>
      </c>
      <c r="J692" s="15" t="s">
        <v>3895</v>
      </c>
      <c r="K692" s="15" t="s">
        <v>7587</v>
      </c>
      <c r="M692" s="15" t="s">
        <v>5444</v>
      </c>
      <c r="N692" s="15" t="s">
        <v>839</v>
      </c>
      <c r="O692" s="15" t="s">
        <v>828</v>
      </c>
      <c r="P692" s="15" t="str">
        <f>"82.75"</f>
        <v>82.75</v>
      </c>
      <c r="Q692" s="15" t="str">
        <f t="shared" si="1984"/>
        <v>86.25</v>
      </c>
      <c r="R692" s="15" t="str">
        <f t="shared" si="1985"/>
        <v>50.25</v>
      </c>
      <c r="S692" s="15" t="str">
        <f>"200"</f>
        <v>200</v>
      </c>
      <c r="T692" s="15" t="s">
        <v>3898</v>
      </c>
      <c r="U692" s="15" t="s">
        <v>11234</v>
      </c>
      <c r="V692" s="15" t="s">
        <v>11371</v>
      </c>
      <c r="W692" s="15" t="s">
        <v>11338</v>
      </c>
      <c r="AA692" s="15" t="s">
        <v>413</v>
      </c>
      <c r="AB692" s="15" t="s">
        <v>413</v>
      </c>
      <c r="AD692" s="15" t="s">
        <v>19687</v>
      </c>
      <c r="AE692" s="15" t="s">
        <v>7601</v>
      </c>
      <c r="AF692" s="15" t="s">
        <v>19688</v>
      </c>
      <c r="AG692" s="15" t="s">
        <v>19689</v>
      </c>
      <c r="AH692" s="15" t="s">
        <v>19690</v>
      </c>
      <c r="AI692" s="15" t="s">
        <v>19691</v>
      </c>
      <c r="AJ692" s="15" t="s">
        <v>19692</v>
      </c>
      <c r="AK692" s="15" t="s">
        <v>19693</v>
      </c>
      <c r="AL692" s="15" t="s">
        <v>19694</v>
      </c>
      <c r="AM692" s="15" t="s">
        <v>19695</v>
      </c>
      <c r="AN692" s="15" t="s">
        <v>19696</v>
      </c>
      <c r="AO692" s="15" t="s">
        <v>19697</v>
      </c>
      <c r="AP692" s="15" t="s">
        <v>19698</v>
      </c>
      <c r="BH692" s="15" t="s">
        <v>7598</v>
      </c>
      <c r="BI692" s="15" t="str">
        <f>"2699"</f>
        <v>2699</v>
      </c>
      <c r="BJ692" s="15" t="str">
        <f>"1135"</f>
        <v>1135</v>
      </c>
      <c r="BK692" s="15" t="s">
        <v>742</v>
      </c>
      <c r="BL692" s="15" t="str">
        <f t="shared" si="1986"/>
        <v>3</v>
      </c>
      <c r="BM692" s="15" t="s">
        <v>6421</v>
      </c>
      <c r="BN692" s="15" t="str">
        <f>"88.19"</f>
        <v>88.19</v>
      </c>
      <c r="BO692" s="15" t="str">
        <f>"56.3"</f>
        <v>56.3</v>
      </c>
      <c r="BP692" s="15" t="str">
        <f>"7.68"</f>
        <v>7.68</v>
      </c>
      <c r="BQ692" s="15" t="str">
        <f>"132.28"</f>
        <v>132.28</v>
      </c>
      <c r="BR692" s="15" t="s">
        <v>7590</v>
      </c>
      <c r="BS692" s="15" t="str">
        <f>"85.43"</f>
        <v>85.43</v>
      </c>
      <c r="BT692" s="15" t="str">
        <f>"17.72"</f>
        <v>17.72</v>
      </c>
      <c r="BU692" s="15" t="str">
        <f>"9.06"</f>
        <v>9.06</v>
      </c>
      <c r="BV692" s="15" t="str">
        <f>"76.06"</f>
        <v>76.06</v>
      </c>
      <c r="BW692" s="15" t="s">
        <v>7591</v>
      </c>
      <c r="BX692" s="15" t="str">
        <f>"88.19"</f>
        <v>88.19</v>
      </c>
      <c r="BY692" s="15" t="str">
        <f t="shared" ref="BY692:BY696" si="1987">"12.99"</f>
        <v>12.99</v>
      </c>
      <c r="BZ692" s="15" t="str">
        <f t="shared" ref="BZ692:BZ696" si="1988">"7.87"</f>
        <v>7.87</v>
      </c>
      <c r="CA692" s="15" t="str">
        <f>"57.32"</f>
        <v>57.32</v>
      </c>
      <c r="CG692" s="15" t="str">
        <f>"35.24"</f>
        <v>35.24</v>
      </c>
      <c r="CH692" s="15" t="str">
        <f>"0.998"</f>
        <v>0.998</v>
      </c>
      <c r="CI692" s="15" t="s">
        <v>497</v>
      </c>
      <c r="CY692" s="15" t="s">
        <v>855</v>
      </c>
      <c r="CZ692" s="15" t="s">
        <v>419</v>
      </c>
      <c r="DA692" s="15">
        <v>0.0</v>
      </c>
      <c r="DB692" s="15" t="s">
        <v>419</v>
      </c>
      <c r="DD692" s="15">
        <v>0.0</v>
      </c>
      <c r="DF692" s="15" t="s">
        <v>1111</v>
      </c>
      <c r="DG692" s="15" t="s">
        <v>419</v>
      </c>
      <c r="DI692" s="15">
        <v>0.0</v>
      </c>
      <c r="DJ692" s="15">
        <v>0.0</v>
      </c>
      <c r="DK692" s="15">
        <v>0.0</v>
      </c>
      <c r="DL692" s="15">
        <v>79000.0</v>
      </c>
      <c r="DS692" s="15" t="s">
        <v>7592</v>
      </c>
      <c r="DU692" s="15" t="s">
        <v>858</v>
      </c>
      <c r="EO692" s="15" t="s">
        <v>1079</v>
      </c>
      <c r="EV692" s="15">
        <v>0.0</v>
      </c>
      <c r="HV692" s="15" t="s">
        <v>5796</v>
      </c>
      <c r="HW692" s="15" t="s">
        <v>5796</v>
      </c>
      <c r="HX692" s="15" t="s">
        <v>5796</v>
      </c>
      <c r="HY692" s="15" t="s">
        <v>4470</v>
      </c>
      <c r="HZ692" s="15" t="s">
        <v>2969</v>
      </c>
      <c r="IA692" s="15" t="s">
        <v>7602</v>
      </c>
      <c r="IB692" s="15" t="s">
        <v>7594</v>
      </c>
      <c r="IC692" s="15" t="s">
        <v>2969</v>
      </c>
      <c r="ID692" s="15" t="s">
        <v>7603</v>
      </c>
      <c r="IE692" s="15" t="s">
        <v>7596</v>
      </c>
      <c r="IF692" s="15" t="s">
        <v>2046</v>
      </c>
      <c r="IG692" s="15" t="s">
        <v>7604</v>
      </c>
      <c r="IH692" s="15" t="s">
        <v>5304</v>
      </c>
      <c r="II692" s="15" t="s">
        <v>7597</v>
      </c>
      <c r="IJ692" s="15" t="s">
        <v>4469</v>
      </c>
      <c r="IK692" s="15" t="s">
        <v>426</v>
      </c>
      <c r="IL692" s="15" t="s">
        <v>2973</v>
      </c>
      <c r="IM692" s="15" t="s">
        <v>872</v>
      </c>
      <c r="IN692" s="15" t="s">
        <v>873</v>
      </c>
      <c r="IO692" s="15" t="s">
        <v>828</v>
      </c>
      <c r="IU692" s="15" t="s">
        <v>759</v>
      </c>
      <c r="IV692" s="15" t="s">
        <v>2651</v>
      </c>
      <c r="IW692" s="15" t="s">
        <v>759</v>
      </c>
      <c r="IX692" s="15" t="s">
        <v>426</v>
      </c>
      <c r="IY692" s="15" t="s">
        <v>2474</v>
      </c>
    </row>
    <row r="693" ht="17.25" customHeight="1">
      <c r="A693" s="15" t="s">
        <v>7608</v>
      </c>
      <c r="B693" s="15" t="str">
        <f>"801542732585"</f>
        <v>801542732585</v>
      </c>
      <c r="C693" s="15" t="s">
        <v>19699</v>
      </c>
      <c r="D693" s="15" t="str">
        <f t="shared" si="1"/>
        <v>Montgomery BedSavile FlannelQueen</v>
      </c>
      <c r="E693" s="15" t="s">
        <v>7605</v>
      </c>
      <c r="F693" s="15" t="s">
        <v>397</v>
      </c>
      <c r="G693" s="15" t="s">
        <v>7607</v>
      </c>
      <c r="H693" s="15" t="s">
        <v>265</v>
      </c>
      <c r="I693" s="15" t="s">
        <v>877</v>
      </c>
      <c r="J693" s="15" t="s">
        <v>7607</v>
      </c>
      <c r="K693" s="15" t="s">
        <v>4364</v>
      </c>
      <c r="M693" s="15" t="s">
        <v>837</v>
      </c>
      <c r="N693" s="15" t="s">
        <v>839</v>
      </c>
      <c r="O693" s="15" t="s">
        <v>877</v>
      </c>
      <c r="P693" s="15" t="str">
        <f>"65"</f>
        <v>65</v>
      </c>
      <c r="Q693" s="15" t="str">
        <f t="shared" ref="Q693:Q696" si="1989">"86"</f>
        <v>86</v>
      </c>
      <c r="R693" s="15" t="str">
        <f t="shared" ref="R693:R696" si="1990">"46.5"</f>
        <v>46.5</v>
      </c>
      <c r="S693" s="15" t="str">
        <f>"194"</f>
        <v>194</v>
      </c>
      <c r="T693" s="15" t="s">
        <v>3272</v>
      </c>
      <c r="U693" s="15" t="s">
        <v>11858</v>
      </c>
      <c r="V693" s="15" t="s">
        <v>11859</v>
      </c>
      <c r="W693" s="15" t="s">
        <v>11210</v>
      </c>
      <c r="AA693" s="15" t="s">
        <v>413</v>
      </c>
      <c r="AB693" s="15" t="s">
        <v>426</v>
      </c>
      <c r="AC693" s="15" t="s">
        <v>7610</v>
      </c>
      <c r="AD693" s="15" t="s">
        <v>19700</v>
      </c>
      <c r="AE693" s="15" t="s">
        <v>7609</v>
      </c>
      <c r="AF693" s="15" t="s">
        <v>19701</v>
      </c>
      <c r="AG693" s="15" t="s">
        <v>19702</v>
      </c>
      <c r="AH693" s="15" t="s">
        <v>19703</v>
      </c>
      <c r="AI693" s="15" t="s">
        <v>19704</v>
      </c>
      <c r="AJ693" s="15" t="s">
        <v>19705</v>
      </c>
      <c r="AK693" s="15" t="s">
        <v>19706</v>
      </c>
      <c r="AL693" s="15" t="s">
        <v>19707</v>
      </c>
      <c r="AM693" s="15" t="s">
        <v>19708</v>
      </c>
      <c r="AN693" s="15" t="s">
        <v>19709</v>
      </c>
      <c r="AO693" s="15" t="s">
        <v>19710</v>
      </c>
      <c r="AP693" s="15" t="s">
        <v>19711</v>
      </c>
      <c r="AQ693" s="15" t="s">
        <v>19712</v>
      </c>
      <c r="BH693" s="15" t="s">
        <v>7606</v>
      </c>
      <c r="BI693" s="15" t="str">
        <f>"1799"</f>
        <v>1799</v>
      </c>
      <c r="BJ693" s="15" t="str">
        <f>"760"</f>
        <v>760</v>
      </c>
      <c r="BK693" s="15" t="s">
        <v>742</v>
      </c>
      <c r="BL693" s="15" t="str">
        <f t="shared" si="1986"/>
        <v>3</v>
      </c>
      <c r="BM693" s="15" t="s">
        <v>841</v>
      </c>
      <c r="BN693" s="15" t="str">
        <f>"66.73"</f>
        <v>66.73</v>
      </c>
      <c r="BO693" s="15" t="str">
        <f t="shared" ref="BO693:BO696" si="1991">"48.43"</f>
        <v>48.43</v>
      </c>
      <c r="BP693" s="15" t="str">
        <f t="shared" ref="BP693:BP696" si="1992">"7.87"</f>
        <v>7.87</v>
      </c>
      <c r="BQ693" s="15" t="str">
        <f>"102.51"</f>
        <v>102.51</v>
      </c>
      <c r="BR693" s="15" t="s">
        <v>2962</v>
      </c>
      <c r="BS693" s="15" t="str">
        <f>"66.73"</f>
        <v>66.73</v>
      </c>
      <c r="BT693" s="15" t="str">
        <f>"12.99"</f>
        <v>12.99</v>
      </c>
      <c r="BU693" s="15" t="str">
        <f>"5.91"</f>
        <v>5.91</v>
      </c>
      <c r="BV693" s="15" t="str">
        <f>"55.12"</f>
        <v>55.12</v>
      </c>
      <c r="BW693" s="15" t="s">
        <v>2966</v>
      </c>
      <c r="BX693" s="15" t="str">
        <f t="shared" ref="BX693:BX696" si="1993">"83.07"</f>
        <v>83.07</v>
      </c>
      <c r="BY693" s="15" t="str">
        <f t="shared" si="1987"/>
        <v>12.99</v>
      </c>
      <c r="BZ693" s="15" t="str">
        <f t="shared" si="1988"/>
        <v>7.87</v>
      </c>
      <c r="CA693" s="15" t="str">
        <f>"61.73"</f>
        <v>61.73</v>
      </c>
      <c r="CG693" s="15" t="str">
        <f>"22.6"</f>
        <v>22.6</v>
      </c>
      <c r="CH693" s="15" t="str">
        <f>"0.64"</f>
        <v>0.64</v>
      </c>
      <c r="CI693" s="15" t="s">
        <v>497</v>
      </c>
      <c r="CY693" s="15" t="s">
        <v>855</v>
      </c>
      <c r="CZ693" s="15" t="s">
        <v>419</v>
      </c>
      <c r="DA693" s="15">
        <v>0.0</v>
      </c>
      <c r="DB693" s="15" t="s">
        <v>419</v>
      </c>
      <c r="DD693" s="15">
        <v>0.0</v>
      </c>
      <c r="DF693" s="15" t="s">
        <v>989</v>
      </c>
      <c r="DG693" s="15" t="s">
        <v>419</v>
      </c>
      <c r="DI693" s="15">
        <v>0.0</v>
      </c>
      <c r="DJ693" s="15">
        <v>0.0</v>
      </c>
      <c r="DK693" s="15">
        <v>0.0</v>
      </c>
      <c r="DL693" s="15">
        <v>15000.0</v>
      </c>
      <c r="DS693" s="15" t="s">
        <v>7614</v>
      </c>
      <c r="DU693" s="15" t="s">
        <v>858</v>
      </c>
      <c r="EO693" s="15" t="s">
        <v>3747</v>
      </c>
      <c r="EV693" s="15">
        <v>0.0</v>
      </c>
      <c r="FB693" s="15" t="s">
        <v>1609</v>
      </c>
      <c r="HV693" s="15" t="s">
        <v>2505</v>
      </c>
      <c r="HW693" s="15" t="s">
        <v>2505</v>
      </c>
      <c r="HX693" s="15" t="s">
        <v>2505</v>
      </c>
      <c r="HY693" s="15" t="s">
        <v>7417</v>
      </c>
      <c r="HZ693" s="15" t="s">
        <v>2465</v>
      </c>
      <c r="IA693" s="15" t="s">
        <v>7615</v>
      </c>
      <c r="IB693" s="15" t="s">
        <v>7616</v>
      </c>
      <c r="IC693" s="15" t="s">
        <v>3856</v>
      </c>
      <c r="ID693" s="15" t="s">
        <v>7615</v>
      </c>
      <c r="IE693" s="15" t="s">
        <v>2971</v>
      </c>
      <c r="IF693" s="15" t="s">
        <v>759</v>
      </c>
      <c r="IG693" s="15" t="s">
        <v>890</v>
      </c>
      <c r="IH693" s="15" t="s">
        <v>1950</v>
      </c>
      <c r="II693" s="15" t="s">
        <v>7604</v>
      </c>
      <c r="IJ693" s="15" t="s">
        <v>2465</v>
      </c>
      <c r="IK693" s="15" t="s">
        <v>426</v>
      </c>
      <c r="IL693" s="15" t="s">
        <v>947</v>
      </c>
      <c r="IM693" s="15" t="s">
        <v>872</v>
      </c>
      <c r="IN693" s="15" t="s">
        <v>873</v>
      </c>
      <c r="IO693" s="15" t="s">
        <v>877</v>
      </c>
      <c r="IU693" s="15" t="s">
        <v>759</v>
      </c>
      <c r="IV693" s="15" t="s">
        <v>874</v>
      </c>
      <c r="IW693" s="15" t="s">
        <v>759</v>
      </c>
      <c r="IX693" s="15" t="s">
        <v>426</v>
      </c>
      <c r="IY693" s="15" t="s">
        <v>2474</v>
      </c>
    </row>
    <row r="694" ht="17.25" customHeight="1">
      <c r="A694" s="15" t="s">
        <v>7618</v>
      </c>
      <c r="B694" s="15" t="str">
        <f>"801542732547"</f>
        <v>801542732547</v>
      </c>
      <c r="C694" s="15" t="s">
        <v>19699</v>
      </c>
      <c r="D694" s="15" t="str">
        <f t="shared" si="1"/>
        <v>Montgomery BedSavile FlannelKing</v>
      </c>
      <c r="E694" s="15" t="s">
        <v>7605</v>
      </c>
      <c r="F694" s="15" t="s">
        <v>397</v>
      </c>
      <c r="G694" s="15" t="s">
        <v>7607</v>
      </c>
      <c r="H694" s="15" t="s">
        <v>265</v>
      </c>
      <c r="I694" s="15" t="s">
        <v>828</v>
      </c>
      <c r="J694" s="15" t="s">
        <v>7607</v>
      </c>
      <c r="K694" s="15" t="s">
        <v>4364</v>
      </c>
      <c r="M694" s="15" t="s">
        <v>837</v>
      </c>
      <c r="N694" s="15" t="s">
        <v>839</v>
      </c>
      <c r="O694" s="15" t="s">
        <v>828</v>
      </c>
      <c r="P694" s="15" t="str">
        <f>"81"</f>
        <v>81</v>
      </c>
      <c r="Q694" s="15" t="str">
        <f t="shared" si="1989"/>
        <v>86</v>
      </c>
      <c r="R694" s="15" t="str">
        <f t="shared" si="1990"/>
        <v>46.5</v>
      </c>
      <c r="S694" s="15" t="str">
        <f>"228.18"</f>
        <v>228.18</v>
      </c>
      <c r="T694" s="15" t="s">
        <v>3272</v>
      </c>
      <c r="U694" s="15" t="s">
        <v>11858</v>
      </c>
      <c r="V694" s="15" t="s">
        <v>11859</v>
      </c>
      <c r="W694" s="15" t="s">
        <v>11210</v>
      </c>
      <c r="AA694" s="15" t="s">
        <v>413</v>
      </c>
      <c r="AB694" s="15" t="s">
        <v>426</v>
      </c>
      <c r="AC694" s="15" t="s">
        <v>7610</v>
      </c>
      <c r="AD694" s="15" t="s">
        <v>19713</v>
      </c>
      <c r="AE694" s="15" t="s">
        <v>7619</v>
      </c>
      <c r="AF694" s="15" t="s">
        <v>19714</v>
      </c>
      <c r="AG694" s="15" t="s">
        <v>19715</v>
      </c>
      <c r="AH694" s="15" t="s">
        <v>19703</v>
      </c>
      <c r="AI694" s="15" t="s">
        <v>19716</v>
      </c>
      <c r="AJ694" s="15" t="s">
        <v>19717</v>
      </c>
      <c r="AK694" s="15" t="s">
        <v>19718</v>
      </c>
      <c r="AL694" s="15" t="s">
        <v>19719</v>
      </c>
      <c r="AM694" s="15" t="s">
        <v>19720</v>
      </c>
      <c r="AN694" s="15" t="s">
        <v>19721</v>
      </c>
      <c r="AO694" s="15" t="s">
        <v>19722</v>
      </c>
      <c r="AP694" s="15" t="s">
        <v>19723</v>
      </c>
      <c r="AQ694" s="15" t="s">
        <v>19724</v>
      </c>
      <c r="BH694" s="15" t="s">
        <v>7617</v>
      </c>
      <c r="BI694" s="15" t="str">
        <f>"1999"</f>
        <v>1999</v>
      </c>
      <c r="BJ694" s="15" t="str">
        <f>"840"</f>
        <v>840</v>
      </c>
      <c r="BK694" s="15" t="s">
        <v>742</v>
      </c>
      <c r="BL694" s="15" t="str">
        <f t="shared" si="1986"/>
        <v>3</v>
      </c>
      <c r="BM694" s="15" t="s">
        <v>841</v>
      </c>
      <c r="BN694" s="15" t="str">
        <f>"82.87"</f>
        <v>82.87</v>
      </c>
      <c r="BO694" s="15" t="str">
        <f t="shared" si="1991"/>
        <v>48.43</v>
      </c>
      <c r="BP694" s="15" t="str">
        <f t="shared" si="1992"/>
        <v>7.87</v>
      </c>
      <c r="BQ694" s="15" t="str">
        <f>"112.43"</f>
        <v>112.43</v>
      </c>
      <c r="BR694" s="15" t="s">
        <v>2962</v>
      </c>
      <c r="BS694" s="15" t="str">
        <f>"82.87"</f>
        <v>82.87</v>
      </c>
      <c r="BT694" s="15" t="str">
        <f>"5.91"</f>
        <v>5.91</v>
      </c>
      <c r="BU694" s="15" t="str">
        <f>"12.99"</f>
        <v>12.99</v>
      </c>
      <c r="BV694" s="15" t="str">
        <f>"72.75"</f>
        <v>72.75</v>
      </c>
      <c r="BW694" s="15" t="s">
        <v>2966</v>
      </c>
      <c r="BX694" s="15" t="str">
        <f t="shared" si="1993"/>
        <v>83.07</v>
      </c>
      <c r="BY694" s="15" t="str">
        <f t="shared" si="1987"/>
        <v>12.99</v>
      </c>
      <c r="BZ694" s="15" t="str">
        <f t="shared" si="1988"/>
        <v>7.87</v>
      </c>
      <c r="CA694" s="15" t="str">
        <f>"70.55"</f>
        <v>70.55</v>
      </c>
      <c r="CG694" s="15" t="str">
        <f>"26.87"</f>
        <v>26.87</v>
      </c>
      <c r="CH694" s="15" t="str">
        <f>"0.761"</f>
        <v>0.761</v>
      </c>
      <c r="CI694" s="15" t="s">
        <v>497</v>
      </c>
      <c r="CY694" s="15" t="s">
        <v>855</v>
      </c>
      <c r="CZ694" s="15" t="s">
        <v>419</v>
      </c>
      <c r="DA694" s="15">
        <v>0.0</v>
      </c>
      <c r="DB694" s="15" t="s">
        <v>419</v>
      </c>
      <c r="DD694" s="15">
        <v>0.0</v>
      </c>
      <c r="DF694" s="15" t="s">
        <v>989</v>
      </c>
      <c r="DG694" s="15" t="s">
        <v>419</v>
      </c>
      <c r="DI694" s="15">
        <v>0.0</v>
      </c>
      <c r="DJ694" s="15">
        <v>0.0</v>
      </c>
      <c r="DK694" s="15">
        <v>0.0</v>
      </c>
      <c r="DL694" s="15">
        <v>15000.0</v>
      </c>
      <c r="DS694" s="15" t="s">
        <v>7614</v>
      </c>
      <c r="DU694" s="15" t="s">
        <v>858</v>
      </c>
      <c r="EO694" s="15" t="s">
        <v>3747</v>
      </c>
      <c r="EV694" s="15">
        <v>0.0</v>
      </c>
      <c r="FB694" s="15" t="s">
        <v>1609</v>
      </c>
      <c r="HV694" s="15" t="s">
        <v>2505</v>
      </c>
      <c r="HW694" s="15" t="s">
        <v>2505</v>
      </c>
      <c r="HX694" s="15" t="s">
        <v>2505</v>
      </c>
      <c r="HY694" s="15" t="s">
        <v>7417</v>
      </c>
      <c r="HZ694" s="15" t="s">
        <v>2465</v>
      </c>
      <c r="IA694" s="15" t="s">
        <v>7621</v>
      </c>
      <c r="IB694" s="15" t="s">
        <v>7616</v>
      </c>
      <c r="IC694" s="15" t="s">
        <v>3856</v>
      </c>
      <c r="ID694" s="15" t="s">
        <v>7621</v>
      </c>
      <c r="IE694" s="15" t="s">
        <v>2971</v>
      </c>
      <c r="IF694" s="15" t="s">
        <v>759</v>
      </c>
      <c r="IG694" s="15" t="s">
        <v>869</v>
      </c>
      <c r="IH694" s="15" t="s">
        <v>1950</v>
      </c>
      <c r="II694" s="15" t="s">
        <v>7604</v>
      </c>
      <c r="IJ694" s="15" t="s">
        <v>2465</v>
      </c>
      <c r="IK694" s="15" t="s">
        <v>426</v>
      </c>
      <c r="IL694" s="15" t="s">
        <v>947</v>
      </c>
      <c r="IM694" s="15" t="s">
        <v>872</v>
      </c>
      <c r="IN694" s="15" t="s">
        <v>873</v>
      </c>
      <c r="IO694" s="15" t="s">
        <v>828</v>
      </c>
      <c r="IU694" s="15" t="s">
        <v>759</v>
      </c>
      <c r="IV694" s="15" t="s">
        <v>874</v>
      </c>
      <c r="IW694" s="15" t="s">
        <v>759</v>
      </c>
      <c r="IX694" s="15" t="s">
        <v>426</v>
      </c>
      <c r="IY694" s="15" t="s">
        <v>2474</v>
      </c>
    </row>
    <row r="695" ht="17.25" customHeight="1">
      <c r="A695" s="15" t="s">
        <v>7623</v>
      </c>
      <c r="B695" s="15" t="str">
        <f>"801542965938"</f>
        <v>801542965938</v>
      </c>
      <c r="C695" s="15" t="s">
        <v>19725</v>
      </c>
      <c r="D695" s="15" t="str">
        <f t="shared" si="1"/>
        <v>Montgomery BedThames CreamQueen</v>
      </c>
      <c r="E695" s="15" t="s">
        <v>7605</v>
      </c>
      <c r="F695" s="15" t="s">
        <v>397</v>
      </c>
      <c r="G695" s="15" t="s">
        <v>2000</v>
      </c>
      <c r="H695" s="15" t="s">
        <v>265</v>
      </c>
      <c r="I695" s="15" t="s">
        <v>877</v>
      </c>
      <c r="J695" s="15" t="s">
        <v>2000</v>
      </c>
      <c r="K695" s="15" t="s">
        <v>4364</v>
      </c>
      <c r="M695" s="15" t="s">
        <v>837</v>
      </c>
      <c r="N695" s="15" t="s">
        <v>839</v>
      </c>
      <c r="O695" s="15" t="s">
        <v>877</v>
      </c>
      <c r="P695" s="15" t="str">
        <f>"65"</f>
        <v>65</v>
      </c>
      <c r="Q695" s="15" t="str">
        <f t="shared" si="1989"/>
        <v>86</v>
      </c>
      <c r="R695" s="15" t="str">
        <f t="shared" si="1990"/>
        <v>46.5</v>
      </c>
      <c r="S695" s="15" t="str">
        <f>"194"</f>
        <v>194</v>
      </c>
      <c r="T695" s="15" t="s">
        <v>1273</v>
      </c>
      <c r="U695" s="15" t="s">
        <v>11537</v>
      </c>
      <c r="V695" s="15" t="s">
        <v>11538</v>
      </c>
      <c r="W695" s="15" t="s">
        <v>11539</v>
      </c>
      <c r="X695" s="15" t="s">
        <v>11210</v>
      </c>
      <c r="AA695" s="15" t="s">
        <v>413</v>
      </c>
      <c r="AB695" s="15" t="s">
        <v>426</v>
      </c>
      <c r="AC695" s="15" t="s">
        <v>7625</v>
      </c>
      <c r="AD695" s="15" t="s">
        <v>19726</v>
      </c>
      <c r="AE695" s="15" t="s">
        <v>7624</v>
      </c>
      <c r="AF695" s="15" t="s">
        <v>19727</v>
      </c>
      <c r="AG695" s="15" t="s">
        <v>19728</v>
      </c>
      <c r="AH695" s="15" t="s">
        <v>19729</v>
      </c>
      <c r="AI695" s="15" t="s">
        <v>19730</v>
      </c>
      <c r="AJ695" s="15" t="s">
        <v>19731</v>
      </c>
      <c r="AK695" s="15" t="s">
        <v>19732</v>
      </c>
      <c r="AL695" s="15" t="s">
        <v>19733</v>
      </c>
      <c r="AM695" s="15" t="s">
        <v>19734</v>
      </c>
      <c r="AN695" s="15" t="s">
        <v>19735</v>
      </c>
      <c r="AO695" s="15" t="s">
        <v>19736</v>
      </c>
      <c r="BH695" s="15" t="s">
        <v>7622</v>
      </c>
      <c r="BI695" s="15" t="str">
        <f>"1799"</f>
        <v>1799</v>
      </c>
      <c r="BJ695" s="15" t="str">
        <f>"760"</f>
        <v>760</v>
      </c>
      <c r="BK695" s="15" t="s">
        <v>742</v>
      </c>
      <c r="BL695" s="15" t="str">
        <f t="shared" si="1986"/>
        <v>3</v>
      </c>
      <c r="BM695" s="15" t="s">
        <v>841</v>
      </c>
      <c r="BN695" s="15" t="str">
        <f>"66.73"</f>
        <v>66.73</v>
      </c>
      <c r="BO695" s="15" t="str">
        <f t="shared" si="1991"/>
        <v>48.43</v>
      </c>
      <c r="BP695" s="15" t="str">
        <f t="shared" si="1992"/>
        <v>7.87</v>
      </c>
      <c r="BQ695" s="15" t="str">
        <f>"102.51"</f>
        <v>102.51</v>
      </c>
      <c r="BR695" s="15" t="s">
        <v>2962</v>
      </c>
      <c r="BS695" s="15" t="str">
        <f>"66.73"</f>
        <v>66.73</v>
      </c>
      <c r="BT695" s="15" t="str">
        <f t="shared" ref="BT695:BT696" si="1994">"12.99"</f>
        <v>12.99</v>
      </c>
      <c r="BU695" s="15" t="str">
        <f t="shared" ref="BU695:BU696" si="1995">"5.91"</f>
        <v>5.91</v>
      </c>
      <c r="BV695" s="15" t="str">
        <f>"55.12"</f>
        <v>55.12</v>
      </c>
      <c r="BW695" s="15" t="s">
        <v>2966</v>
      </c>
      <c r="BX695" s="15" t="str">
        <f t="shared" si="1993"/>
        <v>83.07</v>
      </c>
      <c r="BY695" s="15" t="str">
        <f t="shared" si="1987"/>
        <v>12.99</v>
      </c>
      <c r="BZ695" s="15" t="str">
        <f t="shared" si="1988"/>
        <v>7.87</v>
      </c>
      <c r="CA695" s="15" t="str">
        <f>"61.73"</f>
        <v>61.73</v>
      </c>
      <c r="CG695" s="15" t="str">
        <f>"22.6"</f>
        <v>22.6</v>
      </c>
      <c r="CH695" s="15" t="str">
        <f>"0.64"</f>
        <v>0.64</v>
      </c>
      <c r="CI695" s="15" t="s">
        <v>465</v>
      </c>
      <c r="CY695" s="15" t="s">
        <v>855</v>
      </c>
      <c r="CZ695" s="15" t="s">
        <v>419</v>
      </c>
      <c r="DA695" s="15">
        <v>0.0</v>
      </c>
      <c r="DB695" s="15" t="s">
        <v>419</v>
      </c>
      <c r="DD695" s="15">
        <v>0.0</v>
      </c>
      <c r="DF695" s="15" t="s">
        <v>989</v>
      </c>
      <c r="DG695" s="15" t="s">
        <v>419</v>
      </c>
      <c r="DI695" s="15">
        <v>0.0</v>
      </c>
      <c r="DJ695" s="15">
        <v>0.0</v>
      </c>
      <c r="DK695" s="15">
        <v>0.0</v>
      </c>
      <c r="DL695" s="15">
        <v>25000.0</v>
      </c>
      <c r="DS695" s="15" t="s">
        <v>7614</v>
      </c>
      <c r="DU695" s="15" t="s">
        <v>858</v>
      </c>
      <c r="EO695" s="15" t="s">
        <v>3747</v>
      </c>
      <c r="EV695" s="15">
        <v>0.0</v>
      </c>
      <c r="FB695" s="15" t="s">
        <v>1609</v>
      </c>
      <c r="HV695" s="15" t="s">
        <v>2505</v>
      </c>
      <c r="HW695" s="15" t="s">
        <v>2505</v>
      </c>
      <c r="HX695" s="15" t="s">
        <v>2505</v>
      </c>
      <c r="HY695" s="15" t="s">
        <v>7417</v>
      </c>
      <c r="HZ695" s="15" t="s">
        <v>2465</v>
      </c>
      <c r="IA695" s="15" t="s">
        <v>7615</v>
      </c>
      <c r="IB695" s="15" t="s">
        <v>7616</v>
      </c>
      <c r="IC695" s="15" t="s">
        <v>3856</v>
      </c>
      <c r="ID695" s="15" t="s">
        <v>7615</v>
      </c>
      <c r="IE695" s="15" t="s">
        <v>2971</v>
      </c>
      <c r="IF695" s="15" t="s">
        <v>759</v>
      </c>
      <c r="IG695" s="15" t="s">
        <v>890</v>
      </c>
      <c r="IH695" s="15" t="s">
        <v>1950</v>
      </c>
      <c r="II695" s="15" t="s">
        <v>7604</v>
      </c>
      <c r="IJ695" s="15" t="s">
        <v>2465</v>
      </c>
      <c r="IK695" s="15" t="s">
        <v>426</v>
      </c>
      <c r="IL695" s="15" t="s">
        <v>947</v>
      </c>
      <c r="IM695" s="15" t="s">
        <v>872</v>
      </c>
      <c r="IN695" s="15" t="s">
        <v>873</v>
      </c>
      <c r="IO695" s="15" t="s">
        <v>877</v>
      </c>
      <c r="IU695" s="15" t="s">
        <v>759</v>
      </c>
      <c r="IV695" s="15" t="s">
        <v>874</v>
      </c>
      <c r="IW695" s="15" t="s">
        <v>759</v>
      </c>
      <c r="IX695" s="15" t="s">
        <v>426</v>
      </c>
      <c r="IY695" s="15" t="s">
        <v>2474</v>
      </c>
    </row>
    <row r="696" ht="17.25" customHeight="1">
      <c r="A696" s="15" t="s">
        <v>7627</v>
      </c>
      <c r="B696" s="15" t="str">
        <f>"801542965921"</f>
        <v>801542965921</v>
      </c>
      <c r="C696" s="15" t="s">
        <v>19725</v>
      </c>
      <c r="D696" s="15" t="str">
        <f t="shared" si="1"/>
        <v>Montgomery BedThames CreamKing</v>
      </c>
      <c r="E696" s="15" t="s">
        <v>7605</v>
      </c>
      <c r="F696" s="15" t="s">
        <v>397</v>
      </c>
      <c r="G696" s="15" t="s">
        <v>2000</v>
      </c>
      <c r="H696" s="15" t="s">
        <v>265</v>
      </c>
      <c r="I696" s="15" t="s">
        <v>828</v>
      </c>
      <c r="J696" s="15" t="s">
        <v>2000</v>
      </c>
      <c r="K696" s="15" t="s">
        <v>4364</v>
      </c>
      <c r="M696" s="15" t="s">
        <v>837</v>
      </c>
      <c r="N696" s="15" t="s">
        <v>839</v>
      </c>
      <c r="O696" s="15" t="s">
        <v>828</v>
      </c>
      <c r="P696" s="15" t="str">
        <f>"81"</f>
        <v>81</v>
      </c>
      <c r="Q696" s="15" t="str">
        <f t="shared" si="1989"/>
        <v>86</v>
      </c>
      <c r="R696" s="15" t="str">
        <f t="shared" si="1990"/>
        <v>46.5</v>
      </c>
      <c r="S696" s="15" t="str">
        <f>"228.18"</f>
        <v>228.18</v>
      </c>
      <c r="T696" s="15" t="s">
        <v>1273</v>
      </c>
      <c r="U696" s="15" t="s">
        <v>11537</v>
      </c>
      <c r="V696" s="15" t="s">
        <v>11538</v>
      </c>
      <c r="W696" s="15" t="s">
        <v>11539</v>
      </c>
      <c r="X696" s="15" t="s">
        <v>11210</v>
      </c>
      <c r="AA696" s="15" t="s">
        <v>413</v>
      </c>
      <c r="AB696" s="15" t="s">
        <v>426</v>
      </c>
      <c r="AC696" s="15" t="s">
        <v>7629</v>
      </c>
      <c r="AD696" s="15" t="s">
        <v>19737</v>
      </c>
      <c r="AE696" s="15" t="s">
        <v>7628</v>
      </c>
      <c r="AF696" s="15" t="s">
        <v>19738</v>
      </c>
      <c r="AG696" s="15" t="s">
        <v>19739</v>
      </c>
      <c r="AH696" s="15" t="s">
        <v>19740</v>
      </c>
      <c r="AI696" s="15" t="s">
        <v>19741</v>
      </c>
      <c r="AJ696" s="15" t="s">
        <v>19742</v>
      </c>
      <c r="AK696" s="15" t="s">
        <v>19743</v>
      </c>
      <c r="AL696" s="15" t="s">
        <v>19744</v>
      </c>
      <c r="AM696" s="15" t="s">
        <v>19745</v>
      </c>
      <c r="AN696" s="15" t="s">
        <v>19746</v>
      </c>
      <c r="AO696" s="15" t="s">
        <v>19747</v>
      </c>
      <c r="AP696" s="15" t="s">
        <v>19748</v>
      </c>
      <c r="BH696" s="15" t="s">
        <v>7626</v>
      </c>
      <c r="BI696" s="15" t="str">
        <f>"1999"</f>
        <v>1999</v>
      </c>
      <c r="BJ696" s="15" t="str">
        <f>"840"</f>
        <v>840</v>
      </c>
      <c r="BK696" s="15" t="s">
        <v>742</v>
      </c>
      <c r="BL696" s="15" t="str">
        <f t="shared" si="1986"/>
        <v>3</v>
      </c>
      <c r="BM696" s="15" t="s">
        <v>841</v>
      </c>
      <c r="BN696" s="15" t="str">
        <f>"82.87"</f>
        <v>82.87</v>
      </c>
      <c r="BO696" s="15" t="str">
        <f t="shared" si="1991"/>
        <v>48.43</v>
      </c>
      <c r="BP696" s="15" t="str">
        <f t="shared" si="1992"/>
        <v>7.87</v>
      </c>
      <c r="BQ696" s="15" t="str">
        <f>"112.44"</f>
        <v>112.44</v>
      </c>
      <c r="BR696" s="15" t="s">
        <v>2962</v>
      </c>
      <c r="BS696" s="15" t="str">
        <f>"82.87"</f>
        <v>82.87</v>
      </c>
      <c r="BT696" s="15" t="str">
        <f t="shared" si="1994"/>
        <v>12.99</v>
      </c>
      <c r="BU696" s="15" t="str">
        <f t="shared" si="1995"/>
        <v>5.91</v>
      </c>
      <c r="BV696" s="15" t="str">
        <f>"72.75"</f>
        <v>72.75</v>
      </c>
      <c r="BW696" s="15" t="s">
        <v>2966</v>
      </c>
      <c r="BX696" s="15" t="str">
        <f t="shared" si="1993"/>
        <v>83.07</v>
      </c>
      <c r="BY696" s="15" t="str">
        <f t="shared" si="1987"/>
        <v>12.99</v>
      </c>
      <c r="BZ696" s="15" t="str">
        <f t="shared" si="1988"/>
        <v>7.87</v>
      </c>
      <c r="CA696" s="15" t="str">
        <f>"70.55"</f>
        <v>70.55</v>
      </c>
      <c r="CG696" s="15" t="str">
        <f>"26.87"</f>
        <v>26.87</v>
      </c>
      <c r="CH696" s="15" t="str">
        <f>"0.761"</f>
        <v>0.761</v>
      </c>
      <c r="CI696" s="15" t="s">
        <v>497</v>
      </c>
      <c r="CY696" s="15" t="s">
        <v>855</v>
      </c>
      <c r="CZ696" s="15" t="s">
        <v>419</v>
      </c>
      <c r="DA696" s="15">
        <v>0.0</v>
      </c>
      <c r="DB696" s="15" t="s">
        <v>419</v>
      </c>
      <c r="DD696" s="15">
        <v>0.0</v>
      </c>
      <c r="DF696" s="15" t="s">
        <v>989</v>
      </c>
      <c r="DG696" s="15" t="s">
        <v>419</v>
      </c>
      <c r="DI696" s="15">
        <v>0.0</v>
      </c>
      <c r="DJ696" s="15">
        <v>0.0</v>
      </c>
      <c r="DK696" s="15">
        <v>0.0</v>
      </c>
      <c r="DL696" s="15">
        <v>25000.0</v>
      </c>
      <c r="DS696" s="15" t="s">
        <v>7614</v>
      </c>
      <c r="DU696" s="15" t="s">
        <v>858</v>
      </c>
      <c r="EO696" s="15" t="s">
        <v>3747</v>
      </c>
      <c r="EV696" s="15">
        <v>0.0</v>
      </c>
      <c r="FB696" s="15" t="s">
        <v>1609</v>
      </c>
      <c r="HV696" s="15" t="s">
        <v>2505</v>
      </c>
      <c r="HW696" s="15" t="s">
        <v>2505</v>
      </c>
      <c r="HX696" s="15" t="s">
        <v>2505</v>
      </c>
      <c r="HY696" s="15" t="s">
        <v>7417</v>
      </c>
      <c r="HZ696" s="15" t="s">
        <v>2465</v>
      </c>
      <c r="IA696" s="15" t="s">
        <v>7621</v>
      </c>
      <c r="IB696" s="15" t="s">
        <v>7616</v>
      </c>
      <c r="IC696" s="15" t="s">
        <v>3856</v>
      </c>
      <c r="ID696" s="15" t="s">
        <v>7621</v>
      </c>
      <c r="IE696" s="15" t="s">
        <v>2971</v>
      </c>
      <c r="IF696" s="15" t="s">
        <v>759</v>
      </c>
      <c r="IG696" s="15" t="s">
        <v>869</v>
      </c>
      <c r="IH696" s="15" t="s">
        <v>1950</v>
      </c>
      <c r="II696" s="15" t="s">
        <v>7604</v>
      </c>
      <c r="IJ696" s="15" t="s">
        <v>2465</v>
      </c>
      <c r="IK696" s="15" t="s">
        <v>426</v>
      </c>
      <c r="IL696" s="15" t="s">
        <v>947</v>
      </c>
      <c r="IM696" s="15" t="s">
        <v>872</v>
      </c>
      <c r="IN696" s="15" t="s">
        <v>873</v>
      </c>
      <c r="IO696" s="15" t="s">
        <v>828</v>
      </c>
      <c r="IU696" s="15" t="s">
        <v>759</v>
      </c>
      <c r="IV696" s="15" t="s">
        <v>874</v>
      </c>
      <c r="IW696" s="15" t="s">
        <v>759</v>
      </c>
      <c r="IX696" s="15" t="s">
        <v>426</v>
      </c>
      <c r="IY696" s="15" t="s">
        <v>2474</v>
      </c>
    </row>
    <row r="697" ht="17.25" customHeight="1">
      <c r="A697" s="15" t="s">
        <v>7633</v>
      </c>
      <c r="B697" s="15" t="str">
        <f>"801542954789"</f>
        <v>801542954789</v>
      </c>
      <c r="C697" s="15" t="s">
        <v>19749</v>
      </c>
      <c r="D697" s="15" t="str">
        <f t="shared" si="1"/>
        <v>Myakka Bar + Counter TableWorn Oak42</v>
      </c>
      <c r="E697" s="15" t="s">
        <v>7630</v>
      </c>
      <c r="F697" s="15" t="s">
        <v>397</v>
      </c>
      <c r="G697" s="15" t="s">
        <v>7632</v>
      </c>
      <c r="H697" s="15" t="s">
        <v>265</v>
      </c>
      <c r="I697" s="15" t="s">
        <v>2557</v>
      </c>
      <c r="J697" s="15" t="s">
        <v>7632</v>
      </c>
      <c r="M697" s="15" t="s">
        <v>2612</v>
      </c>
      <c r="N697" s="15" t="s">
        <v>548</v>
      </c>
      <c r="O697" s="15" t="s">
        <v>4401</v>
      </c>
      <c r="P697" s="15" t="str">
        <f t="shared" ref="P697:P698" si="1996">"70"</f>
        <v>70</v>
      </c>
      <c r="Q697" s="15" t="str">
        <f t="shared" ref="Q697:Q698" si="1997">"35"</f>
        <v>35</v>
      </c>
      <c r="R697" s="15" t="str">
        <f>"42"</f>
        <v>42</v>
      </c>
      <c r="S697" s="15" t="str">
        <f>"127.65"</f>
        <v>127.65</v>
      </c>
      <c r="T697" s="15" t="s">
        <v>2872</v>
      </c>
      <c r="U697" s="15" t="s">
        <v>11338</v>
      </c>
      <c r="AA697" s="15" t="s">
        <v>413</v>
      </c>
      <c r="AB697" s="15" t="s">
        <v>413</v>
      </c>
      <c r="AC697" s="15" t="s">
        <v>7636</v>
      </c>
      <c r="AD697" s="15" t="s">
        <v>19750</v>
      </c>
      <c r="AE697" s="15" t="s">
        <v>7635</v>
      </c>
      <c r="AF697" s="15" t="s">
        <v>19751</v>
      </c>
      <c r="AG697" s="15" t="s">
        <v>19752</v>
      </c>
      <c r="AH697" s="15" t="s">
        <v>19753</v>
      </c>
      <c r="AI697" s="15" t="s">
        <v>19754</v>
      </c>
      <c r="AJ697" s="15" t="s">
        <v>19755</v>
      </c>
      <c r="AK697" s="15" t="s">
        <v>19756</v>
      </c>
      <c r="AL697" s="15" t="s">
        <v>19757</v>
      </c>
      <c r="AM697" s="15" t="s">
        <v>19758</v>
      </c>
      <c r="AN697" s="15" t="s">
        <v>19759</v>
      </c>
      <c r="AO697" s="15" t="s">
        <v>19760</v>
      </c>
      <c r="AP697" s="15" t="s">
        <v>19761</v>
      </c>
      <c r="BH697" s="15" t="s">
        <v>7631</v>
      </c>
      <c r="BI697" s="15" t="str">
        <f>"2299"</f>
        <v>2299</v>
      </c>
      <c r="BJ697" s="15" t="str">
        <f>"970"</f>
        <v>970</v>
      </c>
      <c r="BK697" s="15" t="s">
        <v>709</v>
      </c>
      <c r="BL697" s="15" t="str">
        <f t="shared" ref="BL697:BL698" si="1998">"2"</f>
        <v>2</v>
      </c>
      <c r="BM697" s="15" t="s">
        <v>7637</v>
      </c>
      <c r="BN697" s="15" t="str">
        <f t="shared" ref="BN697:BN698" si="1999">"74.41"</f>
        <v>74.41</v>
      </c>
      <c r="BO697" s="15" t="str">
        <f t="shared" ref="BO697:BO698" si="2000">"39.37"</f>
        <v>39.37</v>
      </c>
      <c r="BP697" s="15" t="str">
        <f t="shared" ref="BP697:BP698" si="2001">"9.84"</f>
        <v>9.84</v>
      </c>
      <c r="BQ697" s="15" t="str">
        <f t="shared" ref="BQ697:BQ698" si="2002">"91.49"</f>
        <v>91.49</v>
      </c>
      <c r="BR697" s="15" t="s">
        <v>2238</v>
      </c>
      <c r="BS697" s="15" t="str">
        <f>"46.85"</f>
        <v>46.85</v>
      </c>
      <c r="BT697" s="15" t="str">
        <f t="shared" ref="BT697:BT698" si="2003">"11.81"</f>
        <v>11.81</v>
      </c>
      <c r="BU697" s="15" t="str">
        <f t="shared" ref="BU697:BU698" si="2004">"30.31"</f>
        <v>30.31</v>
      </c>
      <c r="BV697" s="15" t="str">
        <f>"68.78"</f>
        <v>68.78</v>
      </c>
      <c r="CG697" s="15" t="str">
        <f>"26.42"</f>
        <v>26.42</v>
      </c>
      <c r="CH697" s="15" t="str">
        <f>"0.748"</f>
        <v>0.748</v>
      </c>
      <c r="CI697" s="15" t="s">
        <v>417</v>
      </c>
      <c r="CZ697" s="15" t="s">
        <v>419</v>
      </c>
      <c r="DA697" s="15">
        <v>0.0</v>
      </c>
      <c r="DB697" s="15" t="s">
        <v>419</v>
      </c>
      <c r="DD697" s="15">
        <v>0.0</v>
      </c>
      <c r="DF697" s="15" t="s">
        <v>1111</v>
      </c>
      <c r="DG697" s="15" t="s">
        <v>419</v>
      </c>
      <c r="DI697" s="15">
        <v>0.0</v>
      </c>
      <c r="DJ697" s="15">
        <v>0.0</v>
      </c>
      <c r="DK697" s="15">
        <v>0.0</v>
      </c>
      <c r="DQ697" s="15">
        <v>6.0</v>
      </c>
      <c r="DR697" s="15" t="s">
        <v>471</v>
      </c>
      <c r="DS697" s="15" t="s">
        <v>7639</v>
      </c>
      <c r="DU697" s="15" t="s">
        <v>500</v>
      </c>
      <c r="EF697" s="15" t="s">
        <v>7158</v>
      </c>
      <c r="EG697" s="15" t="s">
        <v>1014</v>
      </c>
      <c r="EH697" s="15" t="s">
        <v>7640</v>
      </c>
      <c r="EQ697" s="15" t="s">
        <v>555</v>
      </c>
      <c r="ER697" s="15" t="s">
        <v>2157</v>
      </c>
      <c r="ES697" s="15" t="s">
        <v>2388</v>
      </c>
      <c r="ET697" s="15" t="s">
        <v>784</v>
      </c>
      <c r="EU697" s="15" t="s">
        <v>426</v>
      </c>
      <c r="EV697" s="15">
        <v>0.0</v>
      </c>
      <c r="EW697" s="15">
        <v>0.0</v>
      </c>
      <c r="FD697" s="15" t="s">
        <v>7641</v>
      </c>
      <c r="FF697" s="15" t="s">
        <v>429</v>
      </c>
      <c r="IO697" s="15" t="s">
        <v>4412</v>
      </c>
    </row>
    <row r="698" ht="17.25" customHeight="1">
      <c r="A698" s="15" t="s">
        <v>7643</v>
      </c>
      <c r="B698" s="15" t="str">
        <f>"801542954796"</f>
        <v>801542954796</v>
      </c>
      <c r="C698" s="15" t="s">
        <v>19749</v>
      </c>
      <c r="D698" s="15" t="str">
        <f t="shared" si="1"/>
        <v>Myakka Bar + Counter TableWorn Oak36</v>
      </c>
      <c r="E698" s="15" t="s">
        <v>7630</v>
      </c>
      <c r="F698" s="15" t="s">
        <v>397</v>
      </c>
      <c r="G698" s="15" t="s">
        <v>7632</v>
      </c>
      <c r="H698" s="15" t="s">
        <v>265</v>
      </c>
      <c r="I698" s="15" t="s">
        <v>622</v>
      </c>
      <c r="J698" s="15" t="s">
        <v>7632</v>
      </c>
      <c r="M698" s="15" t="s">
        <v>2612</v>
      </c>
      <c r="N698" s="15" t="s">
        <v>548</v>
      </c>
      <c r="O698" s="15" t="s">
        <v>4401</v>
      </c>
      <c r="P698" s="15" t="str">
        <f t="shared" si="1996"/>
        <v>70</v>
      </c>
      <c r="Q698" s="15" t="str">
        <f t="shared" si="1997"/>
        <v>35</v>
      </c>
      <c r="R698" s="15" t="str">
        <f>"36"</f>
        <v>36</v>
      </c>
      <c r="S698" s="15" t="str">
        <f>"119.93"</f>
        <v>119.93</v>
      </c>
      <c r="T698" s="15" t="s">
        <v>2872</v>
      </c>
      <c r="U698" s="15" t="s">
        <v>11338</v>
      </c>
      <c r="AA698" s="15" t="s">
        <v>413</v>
      </c>
      <c r="AB698" s="15" t="s">
        <v>413</v>
      </c>
      <c r="AC698" s="15" t="s">
        <v>7646</v>
      </c>
      <c r="AD698" s="15" t="s">
        <v>19762</v>
      </c>
      <c r="AE698" s="15" t="s">
        <v>7645</v>
      </c>
      <c r="AF698" s="15" t="s">
        <v>19763</v>
      </c>
      <c r="AG698" s="15" t="s">
        <v>19764</v>
      </c>
      <c r="AH698" s="15" t="s">
        <v>19765</v>
      </c>
      <c r="AI698" s="15" t="s">
        <v>19766</v>
      </c>
      <c r="AJ698" s="15" t="s">
        <v>19767</v>
      </c>
      <c r="AK698" s="15" t="s">
        <v>19768</v>
      </c>
      <c r="AL698" s="15" t="s">
        <v>19769</v>
      </c>
      <c r="AM698" s="15" t="s">
        <v>19770</v>
      </c>
      <c r="AN698" s="15" t="s">
        <v>19771</v>
      </c>
      <c r="AO698" s="15" t="s">
        <v>19772</v>
      </c>
      <c r="AP698" s="15" t="s">
        <v>19773</v>
      </c>
      <c r="AQ698" s="15" t="s">
        <v>19774</v>
      </c>
      <c r="BH698" s="15" t="s">
        <v>7642</v>
      </c>
      <c r="BI698" s="15" t="str">
        <f>"2199"</f>
        <v>2199</v>
      </c>
      <c r="BJ698" s="15" t="str">
        <f>"925"</f>
        <v>925</v>
      </c>
      <c r="BK698" s="15" t="s">
        <v>709</v>
      </c>
      <c r="BL698" s="15" t="str">
        <f t="shared" si="1998"/>
        <v>2</v>
      </c>
      <c r="BM698" s="15" t="s">
        <v>7637</v>
      </c>
      <c r="BN698" s="15" t="str">
        <f t="shared" si="1999"/>
        <v>74.41</v>
      </c>
      <c r="BO698" s="15" t="str">
        <f t="shared" si="2000"/>
        <v>39.37</v>
      </c>
      <c r="BP698" s="15" t="str">
        <f t="shared" si="2001"/>
        <v>9.84</v>
      </c>
      <c r="BQ698" s="15" t="str">
        <f t="shared" si="2002"/>
        <v>91.49</v>
      </c>
      <c r="BR698" s="15" t="s">
        <v>2238</v>
      </c>
      <c r="BS698" s="15" t="str">
        <f>"39.37"</f>
        <v>39.37</v>
      </c>
      <c r="BT698" s="15" t="str">
        <f t="shared" si="2003"/>
        <v>11.81</v>
      </c>
      <c r="BU698" s="15" t="str">
        <f t="shared" si="2004"/>
        <v>30.31</v>
      </c>
      <c r="BV698" s="15" t="str">
        <f>"60.19"</f>
        <v>60.19</v>
      </c>
      <c r="CG698" s="15" t="str">
        <f>"24.86"</f>
        <v>24.86</v>
      </c>
      <c r="CH698" s="15" t="str">
        <f>"0.704"</f>
        <v>0.704</v>
      </c>
      <c r="CI698" s="15" t="s">
        <v>465</v>
      </c>
      <c r="CZ698" s="15" t="s">
        <v>419</v>
      </c>
      <c r="DA698" s="15">
        <v>0.0</v>
      </c>
      <c r="DB698" s="15" t="s">
        <v>419</v>
      </c>
      <c r="DD698" s="15">
        <v>0.0</v>
      </c>
      <c r="DF698" s="15" t="s">
        <v>1111</v>
      </c>
      <c r="DG698" s="15" t="s">
        <v>419</v>
      </c>
      <c r="DI698" s="15">
        <v>0.0</v>
      </c>
      <c r="DJ698" s="15">
        <v>0.0</v>
      </c>
      <c r="DK698" s="15">
        <v>0.0</v>
      </c>
      <c r="DQ698" s="15">
        <v>6.0</v>
      </c>
      <c r="DR698" s="15" t="s">
        <v>471</v>
      </c>
      <c r="DS698" s="15" t="s">
        <v>7639</v>
      </c>
      <c r="DU698" s="15" t="s">
        <v>500</v>
      </c>
      <c r="EF698" s="15" t="s">
        <v>7158</v>
      </c>
      <c r="EG698" s="15" t="s">
        <v>1014</v>
      </c>
      <c r="EH698" s="15" t="s">
        <v>7640</v>
      </c>
      <c r="EQ698" s="15" t="s">
        <v>555</v>
      </c>
      <c r="ER698" s="15" t="s">
        <v>7647</v>
      </c>
      <c r="ES698" s="15" t="s">
        <v>2388</v>
      </c>
      <c r="ET698" s="15" t="s">
        <v>784</v>
      </c>
      <c r="EU698" s="15" t="s">
        <v>426</v>
      </c>
      <c r="EV698" s="15">
        <v>0.0</v>
      </c>
      <c r="EW698" s="15">
        <v>0.0</v>
      </c>
      <c r="FD698" s="15" t="s">
        <v>7641</v>
      </c>
      <c r="FF698" s="15" t="s">
        <v>429</v>
      </c>
      <c r="IO698" s="15" t="s">
        <v>4593</v>
      </c>
    </row>
    <row r="699" ht="17.25" customHeight="1">
      <c r="A699" s="15" t="s">
        <v>7650</v>
      </c>
      <c r="B699" s="15" t="str">
        <f>"801542054892"</f>
        <v>801542054892</v>
      </c>
      <c r="C699" s="15" t="s">
        <v>19775</v>
      </c>
      <c r="D699" s="15" t="str">
        <f t="shared" si="1"/>
        <v>Myla Coffee TableAged Brown</v>
      </c>
      <c r="E699" s="15" t="s">
        <v>7648</v>
      </c>
      <c r="F699" s="15" t="s">
        <v>397</v>
      </c>
      <c r="G699" s="15" t="s">
        <v>3974</v>
      </c>
      <c r="J699" s="15" t="s">
        <v>3974</v>
      </c>
      <c r="M699" s="15" t="s">
        <v>2231</v>
      </c>
      <c r="N699" s="15" t="s">
        <v>491</v>
      </c>
      <c r="P699" s="15" t="str">
        <f>"49.25"</f>
        <v>49.25</v>
      </c>
      <c r="Q699" s="15" t="str">
        <f>"23.5"</f>
        <v>23.5</v>
      </c>
      <c r="R699" s="15" t="str">
        <f>"18.25"</f>
        <v>18.25</v>
      </c>
      <c r="S699" s="15" t="str">
        <f>"79.79"</f>
        <v>79.79</v>
      </c>
      <c r="T699" s="15" t="s">
        <v>3369</v>
      </c>
      <c r="U699" s="15" t="s">
        <v>13228</v>
      </c>
      <c r="AA699" s="15" t="s">
        <v>413</v>
      </c>
      <c r="AB699" s="15" t="s">
        <v>413</v>
      </c>
      <c r="AC699" s="15" t="s">
        <v>7655</v>
      </c>
      <c r="AD699" s="15" t="s">
        <v>19776</v>
      </c>
      <c r="AE699" s="15" t="s">
        <v>7652</v>
      </c>
      <c r="AF699" s="15" t="s">
        <v>19777</v>
      </c>
      <c r="AG699" s="15" t="s">
        <v>19778</v>
      </c>
      <c r="AH699" s="15" t="s">
        <v>19779</v>
      </c>
      <c r="AI699" s="15" t="s">
        <v>19780</v>
      </c>
      <c r="AJ699" s="15" t="s">
        <v>19781</v>
      </c>
      <c r="AK699" s="15" t="s">
        <v>19782</v>
      </c>
      <c r="AL699" s="15" t="s">
        <v>19783</v>
      </c>
      <c r="BH699" s="15" t="s">
        <v>7649</v>
      </c>
      <c r="BI699" s="15" t="str">
        <f>"1199"</f>
        <v>1199</v>
      </c>
      <c r="BJ699" s="15" t="str">
        <f>"505"</f>
        <v>505</v>
      </c>
      <c r="BK699" s="15" t="s">
        <v>1303</v>
      </c>
      <c r="BL699" s="15" t="str">
        <f>"3"</f>
        <v>3</v>
      </c>
      <c r="BM699" s="15" t="s">
        <v>1564</v>
      </c>
      <c r="BN699" s="15" t="str">
        <f>"52"</f>
        <v>52</v>
      </c>
      <c r="BO699" s="15" t="str">
        <f>"26.5"</f>
        <v>26.5</v>
      </c>
      <c r="BP699" s="15" t="str">
        <f>"5.25"</f>
        <v>5.25</v>
      </c>
      <c r="BQ699" s="15" t="str">
        <f>"55.01"</f>
        <v>55.01</v>
      </c>
      <c r="BR699" s="15" t="s">
        <v>2238</v>
      </c>
      <c r="BS699" s="15" t="str">
        <f>"16"</f>
        <v>16</v>
      </c>
      <c r="BT699" s="15" t="str">
        <f>"15"</f>
        <v>15</v>
      </c>
      <c r="BU699" s="15" t="str">
        <f>"20"</f>
        <v>20</v>
      </c>
      <c r="BV699" s="15" t="str">
        <f>"29.88"</f>
        <v>29.88</v>
      </c>
      <c r="BW699" s="15" t="s">
        <v>2238</v>
      </c>
      <c r="BX699" s="15" t="str">
        <f>"16"</f>
        <v>16</v>
      </c>
      <c r="BY699" s="15" t="str">
        <f>"15"</f>
        <v>15</v>
      </c>
      <c r="BZ699" s="15" t="str">
        <f>"20"</f>
        <v>20</v>
      </c>
      <c r="CA699" s="15" t="str">
        <f>"29.88"</f>
        <v>29.88</v>
      </c>
      <c r="CG699" s="15" t="str">
        <f>"9.78"</f>
        <v>9.78</v>
      </c>
      <c r="CH699" s="15" t="str">
        <f>"0.277"</f>
        <v>0.277</v>
      </c>
      <c r="CI699" s="15" t="s">
        <v>465</v>
      </c>
      <c r="CZ699" s="15" t="s">
        <v>419</v>
      </c>
      <c r="DA699" s="15">
        <v>0.0</v>
      </c>
      <c r="DB699" s="15" t="s">
        <v>419</v>
      </c>
      <c r="DD699" s="15">
        <v>0.0</v>
      </c>
      <c r="DG699" s="15" t="s">
        <v>419</v>
      </c>
      <c r="DK699" s="15">
        <v>0.0</v>
      </c>
      <c r="DR699" s="15" t="s">
        <v>471</v>
      </c>
      <c r="DS699" s="15" t="s">
        <v>7658</v>
      </c>
      <c r="DU699" s="15" t="s">
        <v>500</v>
      </c>
      <c r="EF699" s="15" t="s">
        <v>7659</v>
      </c>
      <c r="EH699" s="15" t="s">
        <v>467</v>
      </c>
      <c r="EQ699" s="15" t="s">
        <v>1576</v>
      </c>
      <c r="ER699" s="15" t="s">
        <v>7659</v>
      </c>
      <c r="ES699" s="15" t="s">
        <v>7660</v>
      </c>
      <c r="ET699" s="15" t="s">
        <v>1071</v>
      </c>
      <c r="EV699" s="15">
        <v>0.0</v>
      </c>
      <c r="EW699" s="15">
        <v>0.0</v>
      </c>
      <c r="FF699" s="15" t="s">
        <v>2498</v>
      </c>
    </row>
    <row r="700" ht="17.25" customHeight="1">
      <c r="A700" s="15" t="s">
        <v>7664</v>
      </c>
      <c r="B700" s="15" t="str">
        <f>"801542880804"</f>
        <v>801542880804</v>
      </c>
      <c r="C700" s="15" t="s">
        <v>19784</v>
      </c>
      <c r="D700" s="15" t="str">
        <f t="shared" si="1"/>
        <v>Neda End TableEbony Marble</v>
      </c>
      <c r="E700" s="15" t="s">
        <v>7661</v>
      </c>
      <c r="F700" s="15" t="s">
        <v>397</v>
      </c>
      <c r="G700" s="15" t="s">
        <v>7663</v>
      </c>
      <c r="J700" s="15" t="s">
        <v>7663</v>
      </c>
      <c r="K700" s="15" t="s">
        <v>7668</v>
      </c>
      <c r="M700" s="15" t="s">
        <v>3586</v>
      </c>
      <c r="N700" s="15" t="s">
        <v>1154</v>
      </c>
      <c r="P700" s="15" t="str">
        <f t="shared" ref="P700:Q700" si="2005">"18"</f>
        <v>18</v>
      </c>
      <c r="Q700" s="15" t="str">
        <f t="shared" si="2005"/>
        <v>18</v>
      </c>
      <c r="R700" s="15" t="str">
        <f t="shared" ref="R700:R701" si="2008">"18.5"</f>
        <v>18.5</v>
      </c>
      <c r="S700" s="15" t="str">
        <f t="shared" ref="S700:S701" si="2009">"100.53"</f>
        <v>100.53</v>
      </c>
      <c r="T700" s="15" t="s">
        <v>7667</v>
      </c>
      <c r="U700" s="15" t="s">
        <v>11754</v>
      </c>
      <c r="AA700" s="15" t="s">
        <v>413</v>
      </c>
      <c r="AB700" s="15" t="s">
        <v>413</v>
      </c>
      <c r="AD700" s="15" t="s">
        <v>19785</v>
      </c>
      <c r="AE700" s="15" t="s">
        <v>7666</v>
      </c>
      <c r="AF700" s="15" t="s">
        <v>19786</v>
      </c>
      <c r="AG700" s="15" t="s">
        <v>19787</v>
      </c>
      <c r="AH700" s="15" t="s">
        <v>19788</v>
      </c>
      <c r="AI700" s="15" t="s">
        <v>19789</v>
      </c>
      <c r="AJ700" s="15" t="s">
        <v>19790</v>
      </c>
      <c r="AK700" s="15" t="s">
        <v>19791</v>
      </c>
      <c r="AL700" s="15" t="s">
        <v>19792</v>
      </c>
      <c r="AM700" s="15" t="s">
        <v>19793</v>
      </c>
      <c r="AN700" s="15" t="s">
        <v>19794</v>
      </c>
      <c r="BH700" s="15" t="s">
        <v>7662</v>
      </c>
      <c r="BI700" s="15" t="str">
        <f t="shared" ref="BI700:BI701" si="2010">"649"</f>
        <v>649</v>
      </c>
      <c r="BJ700" s="15" t="str">
        <f t="shared" ref="BJ700:BJ701" si="2011">"275"</f>
        <v>275</v>
      </c>
      <c r="BK700" s="15" t="s">
        <v>1303</v>
      </c>
      <c r="BL700" s="15" t="str">
        <f t="shared" ref="BL700:BL701" si="2012">"1"</f>
        <v>1</v>
      </c>
      <c r="BM700" s="15" t="s">
        <v>416</v>
      </c>
      <c r="BN700" s="15" t="str">
        <f t="shared" ref="BN700:BO700" si="2006">"26"</f>
        <v>26</v>
      </c>
      <c r="BO700" s="15" t="str">
        <f t="shared" si="2006"/>
        <v>26</v>
      </c>
      <c r="BP700" s="15" t="str">
        <f t="shared" ref="BP700:BP701" si="2014">"20.5"</f>
        <v>20.5</v>
      </c>
      <c r="BQ700" s="15" t="str">
        <f t="shared" ref="BQ700:BQ701" si="2015">"155.03"</f>
        <v>155.03</v>
      </c>
      <c r="CG700" s="15" t="str">
        <f t="shared" ref="CG700:CG701" si="2016">"8.02"</f>
        <v>8.02</v>
      </c>
      <c r="CH700" s="15" t="str">
        <f t="shared" ref="CH700:CH701" si="2017">"0.227"</f>
        <v>0.227</v>
      </c>
      <c r="CI700" s="15" t="s">
        <v>417</v>
      </c>
      <c r="CZ700" s="15" t="s">
        <v>419</v>
      </c>
      <c r="DA700" s="15">
        <v>0.0</v>
      </c>
      <c r="DB700" s="15" t="s">
        <v>419</v>
      </c>
      <c r="DD700" s="15">
        <v>0.0</v>
      </c>
      <c r="DG700" s="15" t="s">
        <v>419</v>
      </c>
      <c r="DK700" s="15">
        <v>0.0</v>
      </c>
      <c r="DR700" s="15" t="s">
        <v>1157</v>
      </c>
      <c r="DS700" s="15" t="s">
        <v>7670</v>
      </c>
      <c r="DU700" s="15" t="s">
        <v>500</v>
      </c>
      <c r="EF700" s="15" t="s">
        <v>2292</v>
      </c>
      <c r="EQ700" s="15" t="s">
        <v>531</v>
      </c>
      <c r="ER700" s="15" t="s">
        <v>2292</v>
      </c>
      <c r="ES700" s="15" t="s">
        <v>531</v>
      </c>
      <c r="ET700" s="15" t="s">
        <v>612</v>
      </c>
      <c r="EV700" s="15">
        <v>0.0</v>
      </c>
      <c r="EW700" s="15">
        <v>0.0</v>
      </c>
      <c r="FF700" s="15" t="s">
        <v>477</v>
      </c>
    </row>
    <row r="701" ht="17.25" customHeight="1">
      <c r="A701" s="15" t="s">
        <v>7672</v>
      </c>
      <c r="B701" s="15" t="str">
        <f>"801542880811"</f>
        <v>801542880811</v>
      </c>
      <c r="C701" s="15" t="s">
        <v>19795</v>
      </c>
      <c r="D701" s="15" t="str">
        <f t="shared" si="1"/>
        <v>Neda End TablePolished White Marble</v>
      </c>
      <c r="E701" s="15" t="s">
        <v>7661</v>
      </c>
      <c r="F701" s="15" t="s">
        <v>397</v>
      </c>
      <c r="G701" s="15" t="s">
        <v>4577</v>
      </c>
      <c r="J701" s="15" t="s">
        <v>4577</v>
      </c>
      <c r="K701" s="15" t="s">
        <v>7674</v>
      </c>
      <c r="M701" s="15" t="s">
        <v>3586</v>
      </c>
      <c r="N701" s="15" t="s">
        <v>1154</v>
      </c>
      <c r="P701" s="15" t="str">
        <f t="shared" ref="P701:Q701" si="2007">"18"</f>
        <v>18</v>
      </c>
      <c r="Q701" s="15" t="str">
        <f t="shared" si="2007"/>
        <v>18</v>
      </c>
      <c r="R701" s="15" t="str">
        <f t="shared" si="2008"/>
        <v>18.5</v>
      </c>
      <c r="S701" s="15" t="str">
        <f t="shared" si="2009"/>
        <v>100.53</v>
      </c>
      <c r="T701" s="15" t="s">
        <v>7667</v>
      </c>
      <c r="U701" s="15" t="s">
        <v>11754</v>
      </c>
      <c r="AA701" s="15" t="s">
        <v>413</v>
      </c>
      <c r="AB701" s="15" t="s">
        <v>413</v>
      </c>
      <c r="AC701" s="15" t="s">
        <v>7675</v>
      </c>
      <c r="AD701" s="15" t="s">
        <v>19796</v>
      </c>
      <c r="AE701" s="15" t="s">
        <v>7673</v>
      </c>
      <c r="AF701" s="15" t="s">
        <v>19797</v>
      </c>
      <c r="AG701" s="15" t="s">
        <v>19798</v>
      </c>
      <c r="AH701" s="15" t="s">
        <v>19799</v>
      </c>
      <c r="AI701" s="15" t="s">
        <v>19800</v>
      </c>
      <c r="AJ701" s="15" t="s">
        <v>19801</v>
      </c>
      <c r="AK701" s="15" t="s">
        <v>19802</v>
      </c>
      <c r="AL701" s="15" t="s">
        <v>19803</v>
      </c>
      <c r="AM701" s="15" t="s">
        <v>19804</v>
      </c>
      <c r="AN701" s="15" t="s">
        <v>19805</v>
      </c>
      <c r="BH701" s="15" t="s">
        <v>7671</v>
      </c>
      <c r="BI701" s="15" t="str">
        <f t="shared" si="2010"/>
        <v>649</v>
      </c>
      <c r="BJ701" s="15" t="str">
        <f t="shared" si="2011"/>
        <v>275</v>
      </c>
      <c r="BK701" s="15" t="s">
        <v>1303</v>
      </c>
      <c r="BL701" s="15" t="str">
        <f t="shared" si="2012"/>
        <v>1</v>
      </c>
      <c r="BM701" s="15" t="s">
        <v>416</v>
      </c>
      <c r="BN701" s="15" t="str">
        <f t="shared" ref="BN701:BO701" si="2013">"26"</f>
        <v>26</v>
      </c>
      <c r="BO701" s="15" t="str">
        <f t="shared" si="2013"/>
        <v>26</v>
      </c>
      <c r="BP701" s="15" t="str">
        <f t="shared" si="2014"/>
        <v>20.5</v>
      </c>
      <c r="BQ701" s="15" t="str">
        <f t="shared" si="2015"/>
        <v>155.03</v>
      </c>
      <c r="CG701" s="15" t="str">
        <f t="shared" si="2016"/>
        <v>8.02</v>
      </c>
      <c r="CH701" s="15" t="str">
        <f t="shared" si="2017"/>
        <v>0.227</v>
      </c>
      <c r="CI701" s="15" t="s">
        <v>497</v>
      </c>
      <c r="CZ701" s="15" t="s">
        <v>419</v>
      </c>
      <c r="DA701" s="15">
        <v>0.0</v>
      </c>
      <c r="DB701" s="15" t="s">
        <v>419</v>
      </c>
      <c r="DD701" s="15">
        <v>0.0</v>
      </c>
      <c r="DG701" s="15" t="s">
        <v>419</v>
      </c>
      <c r="DK701" s="15">
        <v>0.0</v>
      </c>
      <c r="DR701" s="15" t="s">
        <v>1157</v>
      </c>
      <c r="DS701" s="15" t="s">
        <v>7670</v>
      </c>
      <c r="DU701" s="15" t="s">
        <v>500</v>
      </c>
      <c r="EF701" s="15" t="s">
        <v>2292</v>
      </c>
      <c r="EQ701" s="15" t="s">
        <v>531</v>
      </c>
      <c r="ER701" s="15" t="s">
        <v>2292</v>
      </c>
      <c r="ES701" s="15" t="s">
        <v>531</v>
      </c>
      <c r="ET701" s="15" t="s">
        <v>612</v>
      </c>
      <c r="EV701" s="15">
        <v>0.0</v>
      </c>
      <c r="EW701" s="15">
        <v>0.0</v>
      </c>
      <c r="FF701" s="15" t="s">
        <v>477</v>
      </c>
    </row>
    <row r="702" ht="17.25" customHeight="1">
      <c r="A702" s="15" t="s">
        <v>7678</v>
      </c>
      <c r="B702" s="15" t="str">
        <f>"801542688929"</f>
        <v>801542688929</v>
      </c>
      <c r="C702" s="15" t="s">
        <v>19806</v>
      </c>
      <c r="D702" s="15" t="str">
        <f t="shared" si="1"/>
        <v>Newhall Bed - 55"Light GunmetalKing</v>
      </c>
      <c r="E702" s="15" t="s">
        <v>7676</v>
      </c>
      <c r="F702" s="15" t="s">
        <v>397</v>
      </c>
      <c r="G702" s="15" t="s">
        <v>3770</v>
      </c>
      <c r="H702" s="15" t="s">
        <v>265</v>
      </c>
      <c r="I702" s="15" t="s">
        <v>828</v>
      </c>
      <c r="J702" s="15" t="s">
        <v>892</v>
      </c>
      <c r="K702" s="15" t="s">
        <v>3770</v>
      </c>
      <c r="M702" s="15" t="s">
        <v>837</v>
      </c>
      <c r="N702" s="15" t="s">
        <v>839</v>
      </c>
      <c r="O702" s="15" t="s">
        <v>828</v>
      </c>
      <c r="P702" s="15" t="str">
        <f>"81"</f>
        <v>81</v>
      </c>
      <c r="Q702" s="15" t="str">
        <f t="shared" ref="Q702:Q707" si="2018">"87.75"</f>
        <v>87.75</v>
      </c>
      <c r="R702" s="15" t="str">
        <f t="shared" ref="R702:R703" si="2019">"55"</f>
        <v>55</v>
      </c>
      <c r="S702" s="15" t="str">
        <f>"201.72"</f>
        <v>201.72</v>
      </c>
      <c r="T702" s="15" t="s">
        <v>7681</v>
      </c>
      <c r="U702" s="15" t="s">
        <v>11234</v>
      </c>
      <c r="V702" s="15" t="s">
        <v>11235</v>
      </c>
      <c r="W702" s="15" t="s">
        <v>11139</v>
      </c>
      <c r="AA702" s="15" t="s">
        <v>413</v>
      </c>
      <c r="AB702" s="15" t="s">
        <v>413</v>
      </c>
      <c r="AC702" s="15" t="s">
        <v>7682</v>
      </c>
      <c r="AD702" s="15" t="s">
        <v>19807</v>
      </c>
      <c r="AE702" s="15" t="s">
        <v>7680</v>
      </c>
      <c r="AF702" s="15" t="s">
        <v>19808</v>
      </c>
      <c r="AG702" s="15" t="s">
        <v>19809</v>
      </c>
      <c r="AH702" s="15" t="s">
        <v>19810</v>
      </c>
      <c r="AI702" s="15" t="s">
        <v>19811</v>
      </c>
      <c r="AJ702" s="15" t="s">
        <v>19812</v>
      </c>
      <c r="AK702" s="15" t="s">
        <v>19813</v>
      </c>
      <c r="AL702" s="15" t="s">
        <v>19814</v>
      </c>
      <c r="AM702" s="15" t="s">
        <v>19815</v>
      </c>
      <c r="BH702" s="15" t="s">
        <v>7677</v>
      </c>
      <c r="BI702" s="15" t="str">
        <f>"1699"</f>
        <v>1699</v>
      </c>
      <c r="BJ702" s="15" t="str">
        <f>"715"</f>
        <v>715</v>
      </c>
      <c r="BK702" s="15" t="s">
        <v>742</v>
      </c>
      <c r="BL702" s="15" t="str">
        <f t="shared" ref="BL702:BL707" si="2020">"3"</f>
        <v>3</v>
      </c>
      <c r="BM702" s="15" t="s">
        <v>841</v>
      </c>
      <c r="BN702" s="15" t="str">
        <f>"82.48"</f>
        <v>82.48</v>
      </c>
      <c r="BO702" s="15" t="str">
        <f>"56.69"</f>
        <v>56.69</v>
      </c>
      <c r="BP702" s="15" t="str">
        <f t="shared" ref="BP702:BP707" si="2021">"8.07"</f>
        <v>8.07</v>
      </c>
      <c r="BQ702" s="15" t="str">
        <f>"104.72"</f>
        <v>104.72</v>
      </c>
      <c r="BR702" s="15" t="s">
        <v>2966</v>
      </c>
      <c r="BS702" s="15" t="str">
        <f t="shared" ref="BS702:BS707" si="2022">"87.2"</f>
        <v>87.2</v>
      </c>
      <c r="BT702" s="15" t="str">
        <f t="shared" ref="BT702:BT707" si="2023">"12.4"</f>
        <v>12.4</v>
      </c>
      <c r="BU702" s="15" t="str">
        <f t="shared" ref="BU702:BU707" si="2024">"6.5"</f>
        <v>6.5</v>
      </c>
      <c r="BV702" s="15" t="str">
        <f>"63.93"</f>
        <v>63.93</v>
      </c>
      <c r="BW702" s="15" t="s">
        <v>2962</v>
      </c>
      <c r="BX702" s="15" t="str">
        <f>"82.48"</f>
        <v>82.48</v>
      </c>
      <c r="BY702" s="15" t="str">
        <f t="shared" ref="BY702:BY707" si="2025">"14.76"</f>
        <v>14.76</v>
      </c>
      <c r="BZ702" s="15" t="str">
        <f t="shared" ref="BZ702:BZ707" si="2026">"6.5"</f>
        <v>6.5</v>
      </c>
      <c r="CA702" s="15" t="str">
        <f>"70.55"</f>
        <v>70.55</v>
      </c>
      <c r="CG702" s="15" t="str">
        <f>"30.48"</f>
        <v>30.48</v>
      </c>
      <c r="CH702" s="15" t="str">
        <f>"0.863"</f>
        <v>0.863</v>
      </c>
      <c r="CI702" s="15" t="s">
        <v>497</v>
      </c>
      <c r="CY702" s="15" t="s">
        <v>897</v>
      </c>
      <c r="CZ702" s="15" t="s">
        <v>419</v>
      </c>
      <c r="DA702" s="15">
        <v>0.0</v>
      </c>
      <c r="DB702" s="15" t="s">
        <v>419</v>
      </c>
      <c r="DD702" s="15">
        <v>0.0</v>
      </c>
      <c r="DF702" s="15" t="s">
        <v>989</v>
      </c>
      <c r="DG702" s="15" t="s">
        <v>419</v>
      </c>
      <c r="DI702" s="15">
        <v>0.0</v>
      </c>
      <c r="DJ702" s="15">
        <v>0.0</v>
      </c>
      <c r="DK702" s="15">
        <v>0.0</v>
      </c>
      <c r="DL702" s="15">
        <v>15000.0</v>
      </c>
      <c r="DS702" s="15" t="s">
        <v>7687</v>
      </c>
      <c r="DU702" s="15" t="s">
        <v>858</v>
      </c>
      <c r="EO702" s="15" t="s">
        <v>860</v>
      </c>
      <c r="EV702" s="15">
        <v>0.0</v>
      </c>
      <c r="FB702" s="15" t="s">
        <v>3362</v>
      </c>
      <c r="HV702" s="15" t="s">
        <v>7688</v>
      </c>
      <c r="HW702" s="15" t="s">
        <v>7688</v>
      </c>
      <c r="HX702" s="15" t="s">
        <v>7688</v>
      </c>
      <c r="HY702" s="15" t="s">
        <v>2156</v>
      </c>
      <c r="HZ702" s="15" t="s">
        <v>4685</v>
      </c>
      <c r="IA702" s="15" t="s">
        <v>7621</v>
      </c>
      <c r="IB702" s="15" t="s">
        <v>2337</v>
      </c>
      <c r="IC702" s="15" t="s">
        <v>3856</v>
      </c>
      <c r="ID702" s="15" t="s">
        <v>7621</v>
      </c>
      <c r="IE702" s="15" t="s">
        <v>2971</v>
      </c>
      <c r="IF702" s="15" t="s">
        <v>7689</v>
      </c>
      <c r="IG702" s="15" t="s">
        <v>4384</v>
      </c>
      <c r="IH702" s="15" t="s">
        <v>5304</v>
      </c>
      <c r="II702" s="15" t="s">
        <v>7690</v>
      </c>
      <c r="IJ702" s="15" t="s">
        <v>4685</v>
      </c>
      <c r="IK702" s="15" t="s">
        <v>426</v>
      </c>
      <c r="IL702" s="15" t="s">
        <v>871</v>
      </c>
      <c r="IM702" s="15" t="s">
        <v>872</v>
      </c>
      <c r="IN702" s="15" t="s">
        <v>873</v>
      </c>
      <c r="IO702" s="15" t="s">
        <v>828</v>
      </c>
      <c r="IU702" s="15" t="s">
        <v>759</v>
      </c>
      <c r="IV702" s="15" t="s">
        <v>7691</v>
      </c>
      <c r="IW702" s="15" t="s">
        <v>759</v>
      </c>
      <c r="IX702" s="15" t="s">
        <v>426</v>
      </c>
      <c r="IY702" s="15" t="s">
        <v>875</v>
      </c>
    </row>
    <row r="703" ht="17.25" customHeight="1">
      <c r="A703" s="15" t="s">
        <v>7693</v>
      </c>
      <c r="B703" s="15" t="str">
        <f>"801542689087"</f>
        <v>801542689087</v>
      </c>
      <c r="C703" s="15" t="s">
        <v>19806</v>
      </c>
      <c r="D703" s="15" t="str">
        <f t="shared" si="1"/>
        <v>Newhall Bed - 55"Light GunmetalQueen</v>
      </c>
      <c r="E703" s="15" t="s">
        <v>7676</v>
      </c>
      <c r="F703" s="15" t="s">
        <v>397</v>
      </c>
      <c r="G703" s="15" t="s">
        <v>3770</v>
      </c>
      <c r="H703" s="15" t="s">
        <v>265</v>
      </c>
      <c r="I703" s="15" t="s">
        <v>877</v>
      </c>
      <c r="J703" s="15" t="s">
        <v>892</v>
      </c>
      <c r="K703" s="15" t="s">
        <v>3770</v>
      </c>
      <c r="M703" s="15" t="s">
        <v>837</v>
      </c>
      <c r="N703" s="15" t="s">
        <v>839</v>
      </c>
      <c r="O703" s="15" t="s">
        <v>877</v>
      </c>
      <c r="P703" s="15" t="str">
        <f>"65"</f>
        <v>65</v>
      </c>
      <c r="Q703" s="15" t="str">
        <f t="shared" si="2018"/>
        <v>87.75</v>
      </c>
      <c r="R703" s="15" t="str">
        <f t="shared" si="2019"/>
        <v>55</v>
      </c>
      <c r="S703" s="15" t="str">
        <f>"171.96"</f>
        <v>171.96</v>
      </c>
      <c r="T703" s="15" t="s">
        <v>7681</v>
      </c>
      <c r="U703" s="15" t="s">
        <v>11234</v>
      </c>
      <c r="V703" s="15" t="s">
        <v>11235</v>
      </c>
      <c r="W703" s="15" t="s">
        <v>11139</v>
      </c>
      <c r="AA703" s="15" t="s">
        <v>413</v>
      </c>
      <c r="AB703" s="15" t="s">
        <v>413</v>
      </c>
      <c r="AC703" s="15" t="s">
        <v>7682</v>
      </c>
      <c r="AD703" s="15" t="s">
        <v>19816</v>
      </c>
      <c r="AE703" s="15" t="s">
        <v>7694</v>
      </c>
      <c r="AF703" s="15" t="s">
        <v>19817</v>
      </c>
      <c r="AG703" s="15" t="s">
        <v>19818</v>
      </c>
      <c r="AH703" s="15" t="s">
        <v>19819</v>
      </c>
      <c r="AI703" s="15" t="s">
        <v>19820</v>
      </c>
      <c r="AJ703" s="15" t="s">
        <v>19821</v>
      </c>
      <c r="AK703" s="15" t="s">
        <v>19822</v>
      </c>
      <c r="AL703" s="15" t="s">
        <v>19823</v>
      </c>
      <c r="AM703" s="15" t="s">
        <v>19824</v>
      </c>
      <c r="BH703" s="15" t="s">
        <v>7692</v>
      </c>
      <c r="BI703" s="15" t="str">
        <f t="shared" ref="BI703:BI704" si="2027">"1599"</f>
        <v>1599</v>
      </c>
      <c r="BJ703" s="15" t="str">
        <f t="shared" ref="BJ703:BJ704" si="2028">"675"</f>
        <v>675</v>
      </c>
      <c r="BK703" s="15" t="s">
        <v>742</v>
      </c>
      <c r="BL703" s="15" t="str">
        <f t="shared" si="2020"/>
        <v>3</v>
      </c>
      <c r="BM703" s="15" t="s">
        <v>841</v>
      </c>
      <c r="BN703" s="15" t="str">
        <f>"66.34"</f>
        <v>66.34</v>
      </c>
      <c r="BO703" s="15" t="str">
        <f>"57.09"</f>
        <v>57.09</v>
      </c>
      <c r="BP703" s="15" t="str">
        <f t="shared" si="2021"/>
        <v>8.07</v>
      </c>
      <c r="BQ703" s="15" t="str">
        <f>"85.98"</f>
        <v>85.98</v>
      </c>
      <c r="BR703" s="15" t="s">
        <v>2966</v>
      </c>
      <c r="BS703" s="15" t="str">
        <f t="shared" si="2022"/>
        <v>87.2</v>
      </c>
      <c r="BT703" s="15" t="str">
        <f t="shared" si="2023"/>
        <v>12.4</v>
      </c>
      <c r="BU703" s="15" t="str">
        <f t="shared" si="2024"/>
        <v>6.5</v>
      </c>
      <c r="BV703" s="15" t="str">
        <f t="shared" ref="BV703:BV704" si="2029">"58.42"</f>
        <v>58.42</v>
      </c>
      <c r="BW703" s="15" t="s">
        <v>2962</v>
      </c>
      <c r="BX703" s="15" t="str">
        <f>"66.34"</f>
        <v>66.34</v>
      </c>
      <c r="BY703" s="15" t="str">
        <f t="shared" si="2025"/>
        <v>14.76</v>
      </c>
      <c r="BZ703" s="15" t="str">
        <f t="shared" si="2026"/>
        <v>6.5</v>
      </c>
      <c r="CA703" s="15" t="str">
        <f>"52.91"</f>
        <v>52.91</v>
      </c>
      <c r="CG703" s="15" t="str">
        <f>"25.43"</f>
        <v>25.43</v>
      </c>
      <c r="CH703" s="15" t="str">
        <f>"0.72"</f>
        <v>0.72</v>
      </c>
      <c r="CI703" s="15" t="s">
        <v>497</v>
      </c>
      <c r="CY703" s="15" t="s">
        <v>897</v>
      </c>
      <c r="CZ703" s="15" t="s">
        <v>419</v>
      </c>
      <c r="DA703" s="15">
        <v>0.0</v>
      </c>
      <c r="DB703" s="15" t="s">
        <v>419</v>
      </c>
      <c r="DD703" s="15">
        <v>0.0</v>
      </c>
      <c r="DF703" s="15" t="s">
        <v>989</v>
      </c>
      <c r="DG703" s="15" t="s">
        <v>419</v>
      </c>
      <c r="DI703" s="15">
        <v>0.0</v>
      </c>
      <c r="DJ703" s="15">
        <v>0.0</v>
      </c>
      <c r="DK703" s="15">
        <v>0.0</v>
      </c>
      <c r="DL703" s="15">
        <v>15000.0</v>
      </c>
      <c r="DS703" s="15" t="s">
        <v>7687</v>
      </c>
      <c r="DU703" s="15" t="s">
        <v>858</v>
      </c>
      <c r="EO703" s="15" t="s">
        <v>860</v>
      </c>
      <c r="EV703" s="15">
        <v>0.0</v>
      </c>
      <c r="FB703" s="15" t="s">
        <v>3362</v>
      </c>
      <c r="HV703" s="15" t="s">
        <v>7688</v>
      </c>
      <c r="HW703" s="15" t="s">
        <v>7688</v>
      </c>
      <c r="HX703" s="15" t="s">
        <v>7688</v>
      </c>
      <c r="HY703" s="15" t="s">
        <v>2156</v>
      </c>
      <c r="HZ703" s="15" t="s">
        <v>4685</v>
      </c>
      <c r="IA703" s="15" t="s">
        <v>7615</v>
      </c>
      <c r="IB703" s="15" t="s">
        <v>2337</v>
      </c>
      <c r="IC703" s="15" t="s">
        <v>3856</v>
      </c>
      <c r="ID703" s="15" t="s">
        <v>7615</v>
      </c>
      <c r="IE703" s="15" t="s">
        <v>2971</v>
      </c>
      <c r="IF703" s="15" t="s">
        <v>7689</v>
      </c>
      <c r="IG703" s="15" t="s">
        <v>5852</v>
      </c>
      <c r="IH703" s="15" t="s">
        <v>5304</v>
      </c>
      <c r="II703" s="15" t="s">
        <v>7690</v>
      </c>
      <c r="IJ703" s="15" t="s">
        <v>4685</v>
      </c>
      <c r="IK703" s="15" t="s">
        <v>426</v>
      </c>
      <c r="IL703" s="15" t="s">
        <v>871</v>
      </c>
      <c r="IM703" s="15" t="s">
        <v>872</v>
      </c>
      <c r="IN703" s="15" t="s">
        <v>873</v>
      </c>
      <c r="IO703" s="15" t="s">
        <v>877</v>
      </c>
      <c r="IU703" s="15" t="s">
        <v>759</v>
      </c>
      <c r="IV703" s="15" t="s">
        <v>7691</v>
      </c>
      <c r="IW703" s="15" t="s">
        <v>759</v>
      </c>
      <c r="IX703" s="15" t="s">
        <v>426</v>
      </c>
      <c r="IY703" s="15" t="s">
        <v>875</v>
      </c>
    </row>
    <row r="704" ht="17.25" customHeight="1">
      <c r="A704" s="15" t="s">
        <v>7698</v>
      </c>
      <c r="B704" s="15" t="str">
        <f>"801542740238"</f>
        <v>801542740238</v>
      </c>
      <c r="C704" s="15" t="s">
        <v>19825</v>
      </c>
      <c r="D704" s="15" t="str">
        <f t="shared" si="1"/>
        <v>Newhall BedPlushtone LinenKing</v>
      </c>
      <c r="E704" s="15" t="s">
        <v>7696</v>
      </c>
      <c r="F704" s="15" t="s">
        <v>397</v>
      </c>
      <c r="G704" s="15" t="s">
        <v>827</v>
      </c>
      <c r="H704" s="15" t="s">
        <v>265</v>
      </c>
      <c r="I704" s="15" t="s">
        <v>828</v>
      </c>
      <c r="J704" s="15" t="s">
        <v>827</v>
      </c>
      <c r="K704" s="15" t="s">
        <v>3770</v>
      </c>
      <c r="M704" s="15" t="s">
        <v>837</v>
      </c>
      <c r="N704" s="15" t="s">
        <v>839</v>
      </c>
      <c r="O704" s="15" t="s">
        <v>828</v>
      </c>
      <c r="P704" s="15" t="str">
        <f>"81"</f>
        <v>81</v>
      </c>
      <c r="Q704" s="15" t="str">
        <f t="shared" si="2018"/>
        <v>87.75</v>
      </c>
      <c r="R704" s="15" t="str">
        <f t="shared" ref="R704:R707" si="2030">"40.25"</f>
        <v>40.25</v>
      </c>
      <c r="S704" s="15" t="str">
        <f>"175.27"</f>
        <v>175.27</v>
      </c>
      <c r="T704" s="15" t="s">
        <v>5213</v>
      </c>
      <c r="U704" s="15" t="s">
        <v>11209</v>
      </c>
      <c r="V704" s="15" t="s">
        <v>11139</v>
      </c>
      <c r="AA704" s="15" t="s">
        <v>426</v>
      </c>
      <c r="AB704" s="15" t="s">
        <v>426</v>
      </c>
      <c r="AC704" s="15" t="s">
        <v>7701</v>
      </c>
      <c r="AD704" s="15" t="s">
        <v>19826</v>
      </c>
      <c r="AE704" s="15" t="s">
        <v>7700</v>
      </c>
      <c r="AF704" s="15" t="s">
        <v>19827</v>
      </c>
      <c r="AG704" s="15" t="s">
        <v>19828</v>
      </c>
      <c r="AH704" s="15" t="s">
        <v>19829</v>
      </c>
      <c r="AI704" s="15" t="s">
        <v>19830</v>
      </c>
      <c r="AJ704" s="15" t="s">
        <v>19831</v>
      </c>
      <c r="AK704" s="15" t="s">
        <v>19832</v>
      </c>
      <c r="AL704" s="15" t="s">
        <v>19833</v>
      </c>
      <c r="AM704" s="15" t="s">
        <v>19834</v>
      </c>
      <c r="BH704" s="15" t="s">
        <v>7697</v>
      </c>
      <c r="BI704" s="15" t="str">
        <f t="shared" si="2027"/>
        <v>1599</v>
      </c>
      <c r="BJ704" s="15" t="str">
        <f t="shared" si="2028"/>
        <v>675</v>
      </c>
      <c r="BK704" s="15" t="s">
        <v>742</v>
      </c>
      <c r="BL704" s="15" t="str">
        <f t="shared" si="2020"/>
        <v>3</v>
      </c>
      <c r="BM704" s="15" t="s">
        <v>841</v>
      </c>
      <c r="BN704" s="15" t="str">
        <f>"82.48"</f>
        <v>82.48</v>
      </c>
      <c r="BO704" s="15" t="str">
        <f t="shared" ref="BO704:BO707" si="2031">"41.93"</f>
        <v>41.93</v>
      </c>
      <c r="BP704" s="15" t="str">
        <f t="shared" si="2021"/>
        <v>8.07</v>
      </c>
      <c r="BQ704" s="15" t="str">
        <f>"79.37"</f>
        <v>79.37</v>
      </c>
      <c r="BR704" s="15" t="s">
        <v>7702</v>
      </c>
      <c r="BS704" s="15" t="str">
        <f t="shared" si="2022"/>
        <v>87.2</v>
      </c>
      <c r="BT704" s="15" t="str">
        <f t="shared" si="2023"/>
        <v>12.4</v>
      </c>
      <c r="BU704" s="15" t="str">
        <f t="shared" si="2024"/>
        <v>6.5</v>
      </c>
      <c r="BV704" s="15" t="str">
        <f t="shared" si="2029"/>
        <v>58.42</v>
      </c>
      <c r="BW704" s="15" t="s">
        <v>7703</v>
      </c>
      <c r="BX704" s="15" t="str">
        <f>"82.48"</f>
        <v>82.48</v>
      </c>
      <c r="BY704" s="15" t="str">
        <f t="shared" si="2025"/>
        <v>14.76</v>
      </c>
      <c r="BZ704" s="15" t="str">
        <f t="shared" si="2026"/>
        <v>6.5</v>
      </c>
      <c r="CA704" s="15" t="str">
        <f>"70.55"</f>
        <v>70.55</v>
      </c>
      <c r="CG704" s="15" t="str">
        <f>"24.79"</f>
        <v>24.79</v>
      </c>
      <c r="CH704" s="15" t="str">
        <f>"0.702"</f>
        <v>0.702</v>
      </c>
      <c r="CI704" s="15" t="s">
        <v>465</v>
      </c>
      <c r="CY704" s="15" t="s">
        <v>855</v>
      </c>
      <c r="CZ704" s="15" t="s">
        <v>419</v>
      </c>
      <c r="DA704" s="15">
        <v>0.0</v>
      </c>
      <c r="DB704" s="15" t="s">
        <v>419</v>
      </c>
      <c r="DD704" s="15">
        <v>0.0</v>
      </c>
      <c r="DF704" s="15" t="s">
        <v>989</v>
      </c>
      <c r="DG704" s="15" t="s">
        <v>419</v>
      </c>
      <c r="DI704" s="15">
        <v>0.0</v>
      </c>
      <c r="DJ704" s="15">
        <v>0.0</v>
      </c>
      <c r="DK704" s="15">
        <v>0.0</v>
      </c>
      <c r="DL704" s="15">
        <v>15000.0</v>
      </c>
      <c r="DS704" s="15" t="s">
        <v>7687</v>
      </c>
      <c r="DU704" s="15" t="s">
        <v>858</v>
      </c>
      <c r="EO704" s="15" t="s">
        <v>860</v>
      </c>
      <c r="EV704" s="15">
        <v>0.0</v>
      </c>
      <c r="FB704" s="15" t="s">
        <v>3362</v>
      </c>
      <c r="HV704" s="15" t="s">
        <v>7688</v>
      </c>
      <c r="HW704" s="15" t="s">
        <v>7688</v>
      </c>
      <c r="HX704" s="15" t="s">
        <v>7688</v>
      </c>
      <c r="HY704" s="15" t="s">
        <v>2156</v>
      </c>
      <c r="HZ704" s="15" t="s">
        <v>4685</v>
      </c>
      <c r="IA704" s="15" t="s">
        <v>7621</v>
      </c>
      <c r="IB704" s="15" t="s">
        <v>7704</v>
      </c>
      <c r="IC704" s="15" t="s">
        <v>3856</v>
      </c>
      <c r="ID704" s="15" t="s">
        <v>7621</v>
      </c>
      <c r="IE704" s="15" t="s">
        <v>2971</v>
      </c>
      <c r="IF704" s="15" t="s">
        <v>7689</v>
      </c>
      <c r="IG704" s="15" t="s">
        <v>4384</v>
      </c>
      <c r="IH704" s="15" t="s">
        <v>5304</v>
      </c>
      <c r="II704" s="15" t="s">
        <v>7690</v>
      </c>
      <c r="IJ704" s="15" t="s">
        <v>4685</v>
      </c>
      <c r="IK704" s="15" t="s">
        <v>426</v>
      </c>
      <c r="IL704" s="15" t="s">
        <v>871</v>
      </c>
      <c r="IM704" s="15" t="s">
        <v>872</v>
      </c>
      <c r="IN704" s="15" t="s">
        <v>873</v>
      </c>
      <c r="IO704" s="15" t="s">
        <v>828</v>
      </c>
      <c r="IU704" s="15" t="s">
        <v>759</v>
      </c>
      <c r="IV704" s="15" t="s">
        <v>7691</v>
      </c>
      <c r="IW704" s="15" t="s">
        <v>759</v>
      </c>
      <c r="IX704" s="15" t="s">
        <v>426</v>
      </c>
      <c r="IY704" s="15" t="s">
        <v>875</v>
      </c>
    </row>
    <row r="705" ht="17.25" customHeight="1">
      <c r="A705" s="15" t="s">
        <v>7706</v>
      </c>
      <c r="B705" s="15" t="str">
        <f>"801542688844"</f>
        <v>801542688844</v>
      </c>
      <c r="C705" s="15" t="s">
        <v>19825</v>
      </c>
      <c r="D705" s="15" t="str">
        <f t="shared" si="1"/>
        <v>Newhall BedPlushtone LinenQueen</v>
      </c>
      <c r="E705" s="15" t="s">
        <v>7696</v>
      </c>
      <c r="F705" s="15" t="s">
        <v>397</v>
      </c>
      <c r="G705" s="15" t="s">
        <v>827</v>
      </c>
      <c r="H705" s="15" t="s">
        <v>265</v>
      </c>
      <c r="I705" s="15" t="s">
        <v>877</v>
      </c>
      <c r="J705" s="15" t="s">
        <v>827</v>
      </c>
      <c r="K705" s="15" t="s">
        <v>3770</v>
      </c>
      <c r="M705" s="15" t="s">
        <v>837</v>
      </c>
      <c r="N705" s="15" t="s">
        <v>839</v>
      </c>
      <c r="O705" s="15" t="s">
        <v>877</v>
      </c>
      <c r="P705" s="15" t="str">
        <f>"65"</f>
        <v>65</v>
      </c>
      <c r="Q705" s="15" t="str">
        <f t="shared" si="2018"/>
        <v>87.75</v>
      </c>
      <c r="R705" s="15" t="str">
        <f t="shared" si="2030"/>
        <v>40.25</v>
      </c>
      <c r="S705" s="15" t="str">
        <f>"151.02"</f>
        <v>151.02</v>
      </c>
      <c r="T705" s="15" t="s">
        <v>5213</v>
      </c>
      <c r="U705" s="15" t="s">
        <v>11209</v>
      </c>
      <c r="V705" s="15" t="s">
        <v>11139</v>
      </c>
      <c r="AA705" s="15" t="s">
        <v>426</v>
      </c>
      <c r="AB705" s="15" t="s">
        <v>426</v>
      </c>
      <c r="AC705" s="15" t="s">
        <v>7701</v>
      </c>
      <c r="AD705" s="15" t="s">
        <v>19835</v>
      </c>
      <c r="AE705" s="15" t="s">
        <v>7708</v>
      </c>
      <c r="AF705" s="15" t="s">
        <v>19836</v>
      </c>
      <c r="AG705" s="15" t="s">
        <v>19837</v>
      </c>
      <c r="AH705" s="15" t="s">
        <v>19838</v>
      </c>
      <c r="AI705" s="15" t="s">
        <v>19839</v>
      </c>
      <c r="AJ705" s="15" t="s">
        <v>19840</v>
      </c>
      <c r="AK705" s="15" t="s">
        <v>19841</v>
      </c>
      <c r="AL705" s="15" t="s">
        <v>19842</v>
      </c>
      <c r="AM705" s="15" t="s">
        <v>19843</v>
      </c>
      <c r="AN705" s="15" t="s">
        <v>19844</v>
      </c>
      <c r="BH705" s="15" t="s">
        <v>7705</v>
      </c>
      <c r="BI705" s="15" t="str">
        <f>"1399"</f>
        <v>1399</v>
      </c>
      <c r="BJ705" s="15" t="str">
        <f>"590"</f>
        <v>590</v>
      </c>
      <c r="BK705" s="15" t="s">
        <v>742</v>
      </c>
      <c r="BL705" s="15" t="str">
        <f t="shared" si="2020"/>
        <v>3</v>
      </c>
      <c r="BM705" s="15" t="s">
        <v>841</v>
      </c>
      <c r="BN705" s="15" t="str">
        <f>"66.34"</f>
        <v>66.34</v>
      </c>
      <c r="BO705" s="15" t="str">
        <f t="shared" si="2031"/>
        <v>41.93</v>
      </c>
      <c r="BP705" s="15" t="str">
        <f t="shared" si="2021"/>
        <v>8.07</v>
      </c>
      <c r="BQ705" s="15" t="str">
        <f>"66.14"</f>
        <v>66.14</v>
      </c>
      <c r="BR705" s="15" t="s">
        <v>7702</v>
      </c>
      <c r="BS705" s="15" t="str">
        <f t="shared" si="2022"/>
        <v>87.2</v>
      </c>
      <c r="BT705" s="15" t="str">
        <f t="shared" si="2023"/>
        <v>12.4</v>
      </c>
      <c r="BU705" s="15" t="str">
        <f t="shared" si="2024"/>
        <v>6.5</v>
      </c>
      <c r="BV705" s="15" t="str">
        <f>"56.66"</f>
        <v>56.66</v>
      </c>
      <c r="BW705" s="15" t="s">
        <v>7703</v>
      </c>
      <c r="BX705" s="15" t="str">
        <f>"66.34"</f>
        <v>66.34</v>
      </c>
      <c r="BY705" s="15" t="str">
        <f t="shared" si="2025"/>
        <v>14.76</v>
      </c>
      <c r="BZ705" s="15" t="str">
        <f t="shared" si="2026"/>
        <v>6.5</v>
      </c>
      <c r="CA705" s="15" t="str">
        <f>"56.66"</f>
        <v>56.66</v>
      </c>
      <c r="CG705" s="15" t="str">
        <f>"20.73"</f>
        <v>20.73</v>
      </c>
      <c r="CH705" s="15" t="str">
        <f>"0.587"</f>
        <v>0.587</v>
      </c>
      <c r="CI705" s="15" t="s">
        <v>497</v>
      </c>
      <c r="CY705" s="15" t="s">
        <v>855</v>
      </c>
      <c r="CZ705" s="15" t="s">
        <v>419</v>
      </c>
      <c r="DA705" s="15">
        <v>0.0</v>
      </c>
      <c r="DB705" s="15" t="s">
        <v>419</v>
      </c>
      <c r="DD705" s="15">
        <v>0.0</v>
      </c>
      <c r="DF705" s="15" t="s">
        <v>989</v>
      </c>
      <c r="DG705" s="15" t="s">
        <v>419</v>
      </c>
      <c r="DI705" s="15">
        <v>0.0</v>
      </c>
      <c r="DJ705" s="15">
        <v>0.0</v>
      </c>
      <c r="DK705" s="15">
        <v>0.0</v>
      </c>
      <c r="DL705" s="15">
        <v>15000.0</v>
      </c>
      <c r="DS705" s="15" t="s">
        <v>7687</v>
      </c>
      <c r="DU705" s="15" t="s">
        <v>858</v>
      </c>
      <c r="EO705" s="15" t="s">
        <v>860</v>
      </c>
      <c r="EV705" s="15">
        <v>0.0</v>
      </c>
      <c r="FB705" s="15" t="s">
        <v>3362</v>
      </c>
      <c r="HV705" s="15" t="s">
        <v>7688</v>
      </c>
      <c r="HW705" s="15" t="s">
        <v>7688</v>
      </c>
      <c r="HX705" s="15" t="s">
        <v>7688</v>
      </c>
      <c r="HY705" s="15" t="s">
        <v>2156</v>
      </c>
      <c r="HZ705" s="15" t="s">
        <v>4685</v>
      </c>
      <c r="IA705" s="15" t="s">
        <v>7615</v>
      </c>
      <c r="IB705" s="15" t="s">
        <v>7704</v>
      </c>
      <c r="IC705" s="15" t="s">
        <v>3856</v>
      </c>
      <c r="ID705" s="15" t="s">
        <v>7615</v>
      </c>
      <c r="IE705" s="15" t="s">
        <v>2971</v>
      </c>
      <c r="IF705" s="15" t="s">
        <v>7689</v>
      </c>
      <c r="IG705" s="15" t="s">
        <v>5852</v>
      </c>
      <c r="IH705" s="15" t="s">
        <v>5304</v>
      </c>
      <c r="II705" s="15" t="s">
        <v>7690</v>
      </c>
      <c r="IJ705" s="15" t="s">
        <v>4685</v>
      </c>
      <c r="IK705" s="15" t="s">
        <v>426</v>
      </c>
      <c r="IL705" s="15" t="s">
        <v>871</v>
      </c>
      <c r="IM705" s="15" t="s">
        <v>872</v>
      </c>
      <c r="IN705" s="15" t="s">
        <v>873</v>
      </c>
      <c r="IO705" s="15" t="s">
        <v>877</v>
      </c>
      <c r="IU705" s="15" t="s">
        <v>759</v>
      </c>
      <c r="IV705" s="15" t="s">
        <v>7691</v>
      </c>
      <c r="IW705" s="15" t="s">
        <v>759</v>
      </c>
      <c r="IX705" s="15" t="s">
        <v>426</v>
      </c>
      <c r="IY705" s="15" t="s">
        <v>875</v>
      </c>
    </row>
    <row r="706" ht="17.25" customHeight="1">
      <c r="A706" s="15" t="s">
        <v>7710</v>
      </c>
      <c r="B706" s="15" t="str">
        <f>"801542688721"</f>
        <v>801542688721</v>
      </c>
      <c r="C706" s="15" t="s">
        <v>19845</v>
      </c>
      <c r="D706" s="15" t="str">
        <f t="shared" si="1"/>
        <v>Newhall BedLight GunmetalKing</v>
      </c>
      <c r="E706" s="15" t="s">
        <v>7696</v>
      </c>
      <c r="F706" s="15" t="s">
        <v>397</v>
      </c>
      <c r="G706" s="15" t="s">
        <v>3770</v>
      </c>
      <c r="H706" s="15" t="s">
        <v>265</v>
      </c>
      <c r="I706" s="15" t="s">
        <v>828</v>
      </c>
      <c r="J706" s="15" t="s">
        <v>892</v>
      </c>
      <c r="K706" s="15" t="s">
        <v>3770</v>
      </c>
      <c r="M706" s="15" t="s">
        <v>837</v>
      </c>
      <c r="N706" s="15" t="s">
        <v>839</v>
      </c>
      <c r="O706" s="15" t="s">
        <v>828</v>
      </c>
      <c r="P706" s="15" t="str">
        <f>"81"</f>
        <v>81</v>
      </c>
      <c r="Q706" s="15" t="str">
        <f t="shared" si="2018"/>
        <v>87.75</v>
      </c>
      <c r="R706" s="15" t="str">
        <f t="shared" si="2030"/>
        <v>40.25</v>
      </c>
      <c r="S706" s="15" t="str">
        <f>"175.27"</f>
        <v>175.27</v>
      </c>
      <c r="T706" s="15" t="s">
        <v>7681</v>
      </c>
      <c r="U706" s="15" t="s">
        <v>11234</v>
      </c>
      <c r="V706" s="15" t="s">
        <v>11235</v>
      </c>
      <c r="W706" s="15" t="s">
        <v>11139</v>
      </c>
      <c r="AA706" s="15" t="s">
        <v>413</v>
      </c>
      <c r="AB706" s="15" t="s">
        <v>413</v>
      </c>
      <c r="AC706" s="15" t="s">
        <v>7712</v>
      </c>
      <c r="AD706" s="15" t="s">
        <v>19846</v>
      </c>
      <c r="AE706" s="15" t="s">
        <v>7711</v>
      </c>
      <c r="AF706" s="15" t="s">
        <v>19847</v>
      </c>
      <c r="AG706" s="15" t="s">
        <v>19848</v>
      </c>
      <c r="AH706" s="15" t="s">
        <v>19849</v>
      </c>
      <c r="AI706" s="15" t="s">
        <v>19850</v>
      </c>
      <c r="AJ706" s="15" t="s">
        <v>19851</v>
      </c>
      <c r="AK706" s="15" t="s">
        <v>19852</v>
      </c>
      <c r="AL706" s="15" t="s">
        <v>19853</v>
      </c>
      <c r="AM706" s="15" t="s">
        <v>19854</v>
      </c>
      <c r="AN706" s="15" t="s">
        <v>19855</v>
      </c>
      <c r="AO706" s="15" t="s">
        <v>19856</v>
      </c>
      <c r="BH706" s="15" t="s">
        <v>7709</v>
      </c>
      <c r="BI706" s="15" t="str">
        <f>"1599"</f>
        <v>1599</v>
      </c>
      <c r="BJ706" s="15" t="str">
        <f>"675"</f>
        <v>675</v>
      </c>
      <c r="BK706" s="15" t="s">
        <v>742</v>
      </c>
      <c r="BL706" s="15" t="str">
        <f t="shared" si="2020"/>
        <v>3</v>
      </c>
      <c r="BM706" s="15" t="s">
        <v>841</v>
      </c>
      <c r="BN706" s="15" t="str">
        <f>"82.48"</f>
        <v>82.48</v>
      </c>
      <c r="BO706" s="15" t="str">
        <f t="shared" si="2031"/>
        <v>41.93</v>
      </c>
      <c r="BP706" s="15" t="str">
        <f t="shared" si="2021"/>
        <v>8.07</v>
      </c>
      <c r="BQ706" s="15" t="str">
        <f>"79.37"</f>
        <v>79.37</v>
      </c>
      <c r="BR706" s="15" t="s">
        <v>7702</v>
      </c>
      <c r="BS706" s="15" t="str">
        <f t="shared" si="2022"/>
        <v>87.2</v>
      </c>
      <c r="BT706" s="15" t="str">
        <f t="shared" si="2023"/>
        <v>12.4</v>
      </c>
      <c r="BU706" s="15" t="str">
        <f t="shared" si="2024"/>
        <v>6.5</v>
      </c>
      <c r="BV706" s="15" t="str">
        <f>"58.42"</f>
        <v>58.42</v>
      </c>
      <c r="BW706" s="15" t="s">
        <v>7703</v>
      </c>
      <c r="BX706" s="15" t="str">
        <f>"82.48"</f>
        <v>82.48</v>
      </c>
      <c r="BY706" s="15" t="str">
        <f t="shared" si="2025"/>
        <v>14.76</v>
      </c>
      <c r="BZ706" s="15" t="str">
        <f t="shared" si="2026"/>
        <v>6.5</v>
      </c>
      <c r="CA706" s="15" t="str">
        <f>"70.55"</f>
        <v>70.55</v>
      </c>
      <c r="CG706" s="15" t="str">
        <f>"24.79"</f>
        <v>24.79</v>
      </c>
      <c r="CH706" s="15" t="str">
        <f>"0.702"</f>
        <v>0.702</v>
      </c>
      <c r="CI706" s="15" t="s">
        <v>465</v>
      </c>
      <c r="CY706" s="15" t="s">
        <v>897</v>
      </c>
      <c r="CZ706" s="15" t="s">
        <v>419</v>
      </c>
      <c r="DA706" s="15">
        <v>0.0</v>
      </c>
      <c r="DB706" s="15" t="s">
        <v>419</v>
      </c>
      <c r="DD706" s="15">
        <v>0.0</v>
      </c>
      <c r="DF706" s="15" t="s">
        <v>989</v>
      </c>
      <c r="DG706" s="15" t="s">
        <v>419</v>
      </c>
      <c r="DI706" s="15">
        <v>0.0</v>
      </c>
      <c r="DJ706" s="15">
        <v>0.0</v>
      </c>
      <c r="DK706" s="15">
        <v>0.0</v>
      </c>
      <c r="DL706" s="15">
        <v>15000.0</v>
      </c>
      <c r="DS706" s="15" t="s">
        <v>7687</v>
      </c>
      <c r="DU706" s="15" t="s">
        <v>858</v>
      </c>
      <c r="EO706" s="15" t="s">
        <v>860</v>
      </c>
      <c r="EV706" s="15">
        <v>0.0</v>
      </c>
      <c r="FB706" s="15" t="s">
        <v>3362</v>
      </c>
      <c r="HV706" s="15" t="s">
        <v>7688</v>
      </c>
      <c r="HW706" s="15" t="s">
        <v>7688</v>
      </c>
      <c r="HX706" s="15" t="s">
        <v>7688</v>
      </c>
      <c r="HY706" s="15" t="s">
        <v>2156</v>
      </c>
      <c r="HZ706" s="15" t="s">
        <v>4685</v>
      </c>
      <c r="IA706" s="15" t="s">
        <v>7621</v>
      </c>
      <c r="IB706" s="15" t="s">
        <v>7704</v>
      </c>
      <c r="IC706" s="15" t="s">
        <v>3856</v>
      </c>
      <c r="ID706" s="15" t="s">
        <v>7621</v>
      </c>
      <c r="IE706" s="15" t="s">
        <v>2971</v>
      </c>
      <c r="IF706" s="15" t="s">
        <v>7689</v>
      </c>
      <c r="IG706" s="15" t="s">
        <v>4384</v>
      </c>
      <c r="IH706" s="15" t="s">
        <v>5304</v>
      </c>
      <c r="II706" s="15" t="s">
        <v>7690</v>
      </c>
      <c r="IJ706" s="15" t="s">
        <v>4685</v>
      </c>
      <c r="IK706" s="15" t="s">
        <v>426</v>
      </c>
      <c r="IL706" s="15" t="s">
        <v>871</v>
      </c>
      <c r="IM706" s="15" t="s">
        <v>872</v>
      </c>
      <c r="IN706" s="15" t="s">
        <v>873</v>
      </c>
      <c r="IO706" s="15" t="s">
        <v>828</v>
      </c>
      <c r="IU706" s="15" t="s">
        <v>759</v>
      </c>
      <c r="IV706" s="15" t="s">
        <v>7691</v>
      </c>
      <c r="IW706" s="15" t="s">
        <v>759</v>
      </c>
      <c r="IX706" s="15" t="s">
        <v>426</v>
      </c>
      <c r="IY706" s="15" t="s">
        <v>875</v>
      </c>
    </row>
    <row r="707" ht="17.25" customHeight="1">
      <c r="A707" s="15" t="s">
        <v>7714</v>
      </c>
      <c r="B707" s="15" t="str">
        <f>"801542688806"</f>
        <v>801542688806</v>
      </c>
      <c r="C707" s="15" t="s">
        <v>19845</v>
      </c>
      <c r="D707" s="15" t="str">
        <f t="shared" si="1"/>
        <v>Newhall BedLight GunmetalQueen</v>
      </c>
      <c r="E707" s="15" t="s">
        <v>7696</v>
      </c>
      <c r="F707" s="15" t="s">
        <v>397</v>
      </c>
      <c r="G707" s="15" t="s">
        <v>3770</v>
      </c>
      <c r="H707" s="15" t="s">
        <v>265</v>
      </c>
      <c r="I707" s="15" t="s">
        <v>877</v>
      </c>
      <c r="J707" s="15" t="s">
        <v>892</v>
      </c>
      <c r="K707" s="15" t="s">
        <v>3770</v>
      </c>
      <c r="M707" s="15" t="s">
        <v>837</v>
      </c>
      <c r="N707" s="15" t="s">
        <v>839</v>
      </c>
      <c r="O707" s="15" t="s">
        <v>877</v>
      </c>
      <c r="P707" s="15" t="str">
        <f>"65"</f>
        <v>65</v>
      </c>
      <c r="Q707" s="15" t="str">
        <f t="shared" si="2018"/>
        <v>87.75</v>
      </c>
      <c r="R707" s="15" t="str">
        <f t="shared" si="2030"/>
        <v>40.25</v>
      </c>
      <c r="S707" s="15" t="str">
        <f>"151.02"</f>
        <v>151.02</v>
      </c>
      <c r="T707" s="15" t="s">
        <v>7681</v>
      </c>
      <c r="U707" s="15" t="s">
        <v>11234</v>
      </c>
      <c r="V707" s="15" t="s">
        <v>11235</v>
      </c>
      <c r="W707" s="15" t="s">
        <v>11139</v>
      </c>
      <c r="AA707" s="15" t="s">
        <v>413</v>
      </c>
      <c r="AB707" s="15" t="s">
        <v>413</v>
      </c>
      <c r="AC707" s="15" t="s">
        <v>7716</v>
      </c>
      <c r="AD707" s="15" t="s">
        <v>19857</v>
      </c>
      <c r="AE707" s="15" t="s">
        <v>7715</v>
      </c>
      <c r="AF707" s="15" t="s">
        <v>19858</v>
      </c>
      <c r="AG707" s="15" t="s">
        <v>19859</v>
      </c>
      <c r="AH707" s="15" t="s">
        <v>19860</v>
      </c>
      <c r="AI707" s="15" t="s">
        <v>19861</v>
      </c>
      <c r="AJ707" s="15" t="s">
        <v>19862</v>
      </c>
      <c r="AK707" s="15" t="s">
        <v>19863</v>
      </c>
      <c r="AL707" s="15" t="s">
        <v>19864</v>
      </c>
      <c r="AM707" s="15" t="s">
        <v>19865</v>
      </c>
      <c r="AN707" s="15" t="s">
        <v>19866</v>
      </c>
      <c r="AO707" s="15" t="s">
        <v>19867</v>
      </c>
      <c r="BH707" s="15" t="s">
        <v>7713</v>
      </c>
      <c r="BI707" s="15" t="str">
        <f>"1399"</f>
        <v>1399</v>
      </c>
      <c r="BJ707" s="15" t="str">
        <f>"590"</f>
        <v>590</v>
      </c>
      <c r="BK707" s="15" t="s">
        <v>742</v>
      </c>
      <c r="BL707" s="15" t="str">
        <f t="shared" si="2020"/>
        <v>3</v>
      </c>
      <c r="BM707" s="15" t="s">
        <v>841</v>
      </c>
      <c r="BN707" s="15" t="str">
        <f>"66.34"</f>
        <v>66.34</v>
      </c>
      <c r="BO707" s="15" t="str">
        <f t="shared" si="2031"/>
        <v>41.93</v>
      </c>
      <c r="BP707" s="15" t="str">
        <f t="shared" si="2021"/>
        <v>8.07</v>
      </c>
      <c r="BQ707" s="15" t="str">
        <f>"66.14"</f>
        <v>66.14</v>
      </c>
      <c r="BR707" s="15" t="s">
        <v>7702</v>
      </c>
      <c r="BS707" s="15" t="str">
        <f t="shared" si="2022"/>
        <v>87.2</v>
      </c>
      <c r="BT707" s="15" t="str">
        <f t="shared" si="2023"/>
        <v>12.4</v>
      </c>
      <c r="BU707" s="15" t="str">
        <f t="shared" si="2024"/>
        <v>6.5</v>
      </c>
      <c r="BV707" s="15" t="str">
        <f>"56.66"</f>
        <v>56.66</v>
      </c>
      <c r="BW707" s="15" t="s">
        <v>7703</v>
      </c>
      <c r="BX707" s="15" t="str">
        <f>"66.34"</f>
        <v>66.34</v>
      </c>
      <c r="BY707" s="15" t="str">
        <f t="shared" si="2025"/>
        <v>14.76</v>
      </c>
      <c r="BZ707" s="15" t="str">
        <f t="shared" si="2026"/>
        <v>6.5</v>
      </c>
      <c r="CA707" s="15" t="str">
        <f>"56.66"</f>
        <v>56.66</v>
      </c>
      <c r="CG707" s="15" t="str">
        <f>"20.73"</f>
        <v>20.73</v>
      </c>
      <c r="CH707" s="15" t="str">
        <f>"0.587"</f>
        <v>0.587</v>
      </c>
      <c r="CI707" s="15" t="s">
        <v>497</v>
      </c>
      <c r="CY707" s="15" t="s">
        <v>897</v>
      </c>
      <c r="CZ707" s="15" t="s">
        <v>419</v>
      </c>
      <c r="DA707" s="15">
        <v>0.0</v>
      </c>
      <c r="DB707" s="15" t="s">
        <v>419</v>
      </c>
      <c r="DD707" s="15">
        <v>0.0</v>
      </c>
      <c r="DF707" s="15" t="s">
        <v>989</v>
      </c>
      <c r="DG707" s="15" t="s">
        <v>419</v>
      </c>
      <c r="DI707" s="15">
        <v>0.0</v>
      </c>
      <c r="DJ707" s="15">
        <v>0.0</v>
      </c>
      <c r="DK707" s="15">
        <v>0.0</v>
      </c>
      <c r="DL707" s="15">
        <v>15000.0</v>
      </c>
      <c r="DS707" s="15" t="s">
        <v>7687</v>
      </c>
      <c r="DU707" s="15" t="s">
        <v>858</v>
      </c>
      <c r="EO707" s="15" t="s">
        <v>860</v>
      </c>
      <c r="EV707" s="15">
        <v>0.0</v>
      </c>
      <c r="FB707" s="15" t="s">
        <v>3362</v>
      </c>
      <c r="HV707" s="15" t="s">
        <v>7688</v>
      </c>
      <c r="HW707" s="15" t="s">
        <v>7688</v>
      </c>
      <c r="HX707" s="15" t="s">
        <v>7688</v>
      </c>
      <c r="HY707" s="15" t="s">
        <v>2156</v>
      </c>
      <c r="HZ707" s="15" t="s">
        <v>4685</v>
      </c>
      <c r="IA707" s="15" t="s">
        <v>7615</v>
      </c>
      <c r="IB707" s="15" t="s">
        <v>7704</v>
      </c>
      <c r="IC707" s="15" t="s">
        <v>3856</v>
      </c>
      <c r="ID707" s="15" t="s">
        <v>7615</v>
      </c>
      <c r="IE707" s="15" t="s">
        <v>2971</v>
      </c>
      <c r="IF707" s="15" t="s">
        <v>7689</v>
      </c>
      <c r="IG707" s="15" t="s">
        <v>5852</v>
      </c>
      <c r="IH707" s="15" t="s">
        <v>5304</v>
      </c>
      <c r="II707" s="15" t="s">
        <v>7690</v>
      </c>
      <c r="IJ707" s="15" t="s">
        <v>4685</v>
      </c>
      <c r="IK707" s="15" t="s">
        <v>426</v>
      </c>
      <c r="IL707" s="15" t="s">
        <v>871</v>
      </c>
      <c r="IM707" s="15" t="s">
        <v>872</v>
      </c>
      <c r="IN707" s="15" t="s">
        <v>873</v>
      </c>
      <c r="IO707" s="15" t="s">
        <v>877</v>
      </c>
      <c r="IU707" s="15" t="s">
        <v>759</v>
      </c>
      <c r="IV707" s="15" t="s">
        <v>7691</v>
      </c>
      <c r="IW707" s="15" t="s">
        <v>759</v>
      </c>
      <c r="IX707" s="15" t="s">
        <v>426</v>
      </c>
      <c r="IY707" s="15" t="s">
        <v>875</v>
      </c>
    </row>
    <row r="708" ht="17.25" customHeight="1">
      <c r="A708" s="15" t="s">
        <v>7719</v>
      </c>
      <c r="B708" s="15" t="str">
        <f>"801542245498"</f>
        <v>801542245498</v>
      </c>
      <c r="C708" s="15" t="s">
        <v>19868</v>
      </c>
      <c r="D708" s="15" t="str">
        <f t="shared" si="1"/>
        <v>Newton Media ConsoleBrown</v>
      </c>
      <c r="E708" s="15" t="s">
        <v>7717</v>
      </c>
      <c r="F708" s="15" t="s">
        <v>397</v>
      </c>
      <c r="G708" s="15" t="s">
        <v>4887</v>
      </c>
      <c r="J708" s="15" t="s">
        <v>4887</v>
      </c>
      <c r="M708" s="15" t="s">
        <v>3494</v>
      </c>
      <c r="N708" s="15" t="s">
        <v>602</v>
      </c>
      <c r="P708" s="15" t="str">
        <f>"92"</f>
        <v>92</v>
      </c>
      <c r="Q708" s="15" t="str">
        <f>"18.5"</f>
        <v>18.5</v>
      </c>
      <c r="R708" s="15" t="str">
        <f>"26"</f>
        <v>26</v>
      </c>
      <c r="S708" s="15" t="str">
        <f>"189.59"</f>
        <v>189.59</v>
      </c>
      <c r="T708" s="15" t="s">
        <v>3369</v>
      </c>
      <c r="U708" s="15" t="s">
        <v>13228</v>
      </c>
      <c r="AA708" s="15" t="s">
        <v>413</v>
      </c>
      <c r="AB708" s="15" t="s">
        <v>413</v>
      </c>
      <c r="AC708" s="15" t="s">
        <v>7722</v>
      </c>
      <c r="AD708" s="15" t="s">
        <v>19869</v>
      </c>
      <c r="AE708" s="15" t="s">
        <v>7721</v>
      </c>
      <c r="AF708" s="15" t="s">
        <v>19870</v>
      </c>
      <c r="AG708" s="15" t="s">
        <v>19871</v>
      </c>
      <c r="AH708" s="15" t="s">
        <v>19872</v>
      </c>
      <c r="AI708" s="15" t="s">
        <v>19873</v>
      </c>
      <c r="AJ708" s="15" t="s">
        <v>19874</v>
      </c>
      <c r="AK708" s="15" t="s">
        <v>19875</v>
      </c>
      <c r="AL708" s="15" t="s">
        <v>19876</v>
      </c>
      <c r="AM708" s="15" t="s">
        <v>19877</v>
      </c>
      <c r="AN708" s="15" t="s">
        <v>19878</v>
      </c>
      <c r="AO708" s="15" t="s">
        <v>19879</v>
      </c>
      <c r="AP708" s="15" t="s">
        <v>19880</v>
      </c>
      <c r="AQ708" s="15" t="s">
        <v>19881</v>
      </c>
      <c r="AR708" s="15" t="s">
        <v>19882</v>
      </c>
      <c r="BH708" s="15" t="s">
        <v>7718</v>
      </c>
      <c r="BI708" s="15" t="str">
        <f>"1699"</f>
        <v>1699</v>
      </c>
      <c r="BJ708" s="15" t="str">
        <f>"715"</f>
        <v>715</v>
      </c>
      <c r="BK708" s="15" t="s">
        <v>1303</v>
      </c>
      <c r="BL708" s="15" t="str">
        <f t="shared" ref="BL708:BL722" si="2032">"1"</f>
        <v>1</v>
      </c>
      <c r="BM708" s="15" t="s">
        <v>416</v>
      </c>
      <c r="BN708" s="15" t="str">
        <f>"95"</f>
        <v>95</v>
      </c>
      <c r="BO708" s="15" t="str">
        <f>"22.5"</f>
        <v>22.5</v>
      </c>
      <c r="BP708" s="15" t="str">
        <f>"29"</f>
        <v>29</v>
      </c>
      <c r="BQ708" s="15" t="str">
        <f>"213.84"</f>
        <v>213.84</v>
      </c>
      <c r="CG708" s="15" t="str">
        <f>"35.88"</f>
        <v>35.88</v>
      </c>
      <c r="CH708" s="15" t="str">
        <f>"1.016"</f>
        <v>1.016</v>
      </c>
      <c r="CI708" s="15" t="s">
        <v>465</v>
      </c>
      <c r="CJ708" s="15" t="s">
        <v>2020</v>
      </c>
      <c r="CK708" s="15" t="s">
        <v>1188</v>
      </c>
      <c r="CL708" s="15" t="s">
        <v>7724</v>
      </c>
      <c r="CM708" s="15" t="s">
        <v>2020</v>
      </c>
      <c r="CN708" s="15" t="s">
        <v>1593</v>
      </c>
      <c r="CO708" s="15" t="s">
        <v>3203</v>
      </c>
      <c r="CZ708" s="15" t="s">
        <v>419</v>
      </c>
      <c r="DA708" s="15">
        <v>0.0</v>
      </c>
      <c r="DB708" s="15" t="s">
        <v>419</v>
      </c>
      <c r="DD708" s="15">
        <v>3.0</v>
      </c>
      <c r="DE708" s="15" t="s">
        <v>426</v>
      </c>
      <c r="DF708" s="15" t="s">
        <v>1111</v>
      </c>
      <c r="DG708" s="15" t="s">
        <v>610</v>
      </c>
      <c r="DI708" s="15">
        <v>18.14</v>
      </c>
      <c r="DJ708" s="15">
        <v>40.0</v>
      </c>
      <c r="DK708" s="15">
        <v>0.0</v>
      </c>
      <c r="DS708" s="15" t="s">
        <v>7725</v>
      </c>
      <c r="EV708" s="15">
        <v>6.0</v>
      </c>
      <c r="FH708" s="15" t="s">
        <v>1700</v>
      </c>
      <c r="FI708" s="15" t="s">
        <v>1188</v>
      </c>
      <c r="FJ708" s="15" t="s">
        <v>1213</v>
      </c>
      <c r="FO708" s="15" t="s">
        <v>426</v>
      </c>
      <c r="FQ708" s="15">
        <v>4.0</v>
      </c>
      <c r="FR708" s="15" t="s">
        <v>614</v>
      </c>
      <c r="FS708" s="15" t="s">
        <v>615</v>
      </c>
      <c r="FW708" s="15" t="s">
        <v>616</v>
      </c>
      <c r="GJ708" s="15" t="s">
        <v>2020</v>
      </c>
      <c r="GK708" s="15" t="s">
        <v>1738</v>
      </c>
      <c r="GL708" s="15" t="s">
        <v>3203</v>
      </c>
      <c r="GM708" s="15">
        <v>0.0</v>
      </c>
      <c r="GZ708" s="15" t="s">
        <v>2020</v>
      </c>
      <c r="HA708" s="15" t="s">
        <v>2020</v>
      </c>
      <c r="HB708" s="15" t="s">
        <v>1593</v>
      </c>
      <c r="HC708" s="15" t="s">
        <v>1738</v>
      </c>
      <c r="HD708" s="15" t="s">
        <v>7724</v>
      </c>
      <c r="HE708" s="15" t="s">
        <v>7724</v>
      </c>
      <c r="JU708" s="15" t="s">
        <v>2020</v>
      </c>
      <c r="JV708" s="15" t="s">
        <v>1188</v>
      </c>
      <c r="JW708" s="15" t="s">
        <v>3203</v>
      </c>
      <c r="KG708" s="15" t="s">
        <v>2020</v>
      </c>
      <c r="KH708" s="15" t="s">
        <v>1593</v>
      </c>
      <c r="KI708" s="15" t="s">
        <v>3203</v>
      </c>
      <c r="KQ708" s="15" t="s">
        <v>1700</v>
      </c>
      <c r="KR708" s="15" t="s">
        <v>1188</v>
      </c>
      <c r="KS708" s="15" t="s">
        <v>7726</v>
      </c>
      <c r="KT708" s="15" t="s">
        <v>2020</v>
      </c>
      <c r="KV708" s="15" t="s">
        <v>1738</v>
      </c>
      <c r="KX708" s="15" t="s">
        <v>3203</v>
      </c>
    </row>
    <row r="709" ht="17.25" customHeight="1">
      <c r="A709" s="15" t="s">
        <v>7730</v>
      </c>
      <c r="B709" s="15" t="str">
        <f>"801542920920"</f>
        <v>801542920920</v>
      </c>
      <c r="C709" s="15" t="s">
        <v>19883</v>
      </c>
      <c r="D709" s="15" t="str">
        <f t="shared" si="1"/>
        <v>Nigel 6 Drawer DresserRustic Brown Acacia</v>
      </c>
      <c r="E709" s="15" t="s">
        <v>7727</v>
      </c>
      <c r="F709" s="15" t="s">
        <v>397</v>
      </c>
      <c r="G709" s="15" t="s">
        <v>7729</v>
      </c>
      <c r="J709" s="15" t="s">
        <v>7729</v>
      </c>
      <c r="M709" s="15" t="s">
        <v>2875</v>
      </c>
      <c r="N709" s="15" t="s">
        <v>412</v>
      </c>
      <c r="P709" s="15" t="str">
        <f>"69.5"</f>
        <v>69.5</v>
      </c>
      <c r="Q709" s="15" t="str">
        <f>"20"</f>
        <v>20</v>
      </c>
      <c r="R709" s="15" t="str">
        <f>"35.25"</f>
        <v>35.25</v>
      </c>
      <c r="S709" s="15" t="str">
        <f>"278.22"</f>
        <v>278.22</v>
      </c>
      <c r="T709" s="15" t="s">
        <v>7733</v>
      </c>
      <c r="U709" s="15" t="s">
        <v>14148</v>
      </c>
      <c r="AA709" s="15" t="s">
        <v>413</v>
      </c>
      <c r="AB709" s="15" t="s">
        <v>413</v>
      </c>
      <c r="AC709" s="15" t="s">
        <v>7736</v>
      </c>
      <c r="AD709" s="15" t="s">
        <v>19884</v>
      </c>
      <c r="AE709" s="15" t="s">
        <v>7732</v>
      </c>
      <c r="AF709" s="15" t="s">
        <v>19885</v>
      </c>
      <c r="AG709" s="15" t="s">
        <v>19886</v>
      </c>
      <c r="AH709" s="15" t="s">
        <v>19887</v>
      </c>
      <c r="AI709" s="15" t="s">
        <v>19888</v>
      </c>
      <c r="AJ709" s="15" t="s">
        <v>19889</v>
      </c>
      <c r="AK709" s="15" t="s">
        <v>19890</v>
      </c>
      <c r="AL709" s="15" t="s">
        <v>19891</v>
      </c>
      <c r="AM709" s="15" t="s">
        <v>19892</v>
      </c>
      <c r="AN709" s="15" t="s">
        <v>19893</v>
      </c>
      <c r="AO709" s="15" t="s">
        <v>19894</v>
      </c>
      <c r="AP709" s="15" t="s">
        <v>19895</v>
      </c>
      <c r="AQ709" s="15" t="s">
        <v>19896</v>
      </c>
      <c r="BH709" s="15" t="s">
        <v>7728</v>
      </c>
      <c r="BI709" s="15" t="str">
        <f>"2299"</f>
        <v>2299</v>
      </c>
      <c r="BJ709" s="15" t="str">
        <f>"970"</f>
        <v>970</v>
      </c>
      <c r="BK709" s="15" t="s">
        <v>1303</v>
      </c>
      <c r="BL709" s="15" t="str">
        <f t="shared" si="2032"/>
        <v>1</v>
      </c>
      <c r="BM709" s="15" t="s">
        <v>416</v>
      </c>
      <c r="BN709" s="15" t="str">
        <f>"73"</f>
        <v>73</v>
      </c>
      <c r="BO709" s="15" t="str">
        <f>"24.5"</f>
        <v>24.5</v>
      </c>
      <c r="BP709" s="15" t="str">
        <f>"39.5"</f>
        <v>39.5</v>
      </c>
      <c r="BQ709" s="15" t="str">
        <f>"313.71"</f>
        <v>313.71</v>
      </c>
      <c r="CG709" s="15" t="str">
        <f>"40.89"</f>
        <v>40.89</v>
      </c>
      <c r="CH709" s="15" t="str">
        <f>"1.158"</f>
        <v>1.158</v>
      </c>
      <c r="CI709" s="15" t="s">
        <v>465</v>
      </c>
      <c r="CZ709" s="15" t="s">
        <v>1371</v>
      </c>
      <c r="DA709" s="15">
        <v>6.0</v>
      </c>
      <c r="DB709" s="15" t="s">
        <v>419</v>
      </c>
      <c r="DD709" s="15">
        <v>0.0</v>
      </c>
      <c r="DF709" s="15" t="s">
        <v>420</v>
      </c>
      <c r="DG709" s="15" t="s">
        <v>421</v>
      </c>
      <c r="DK709" s="15">
        <v>0.0</v>
      </c>
      <c r="DR709" s="15" t="s">
        <v>422</v>
      </c>
      <c r="DS709" s="15" t="s">
        <v>7738</v>
      </c>
      <c r="DU709" s="15" t="s">
        <v>500</v>
      </c>
      <c r="EF709" s="15" t="s">
        <v>526</v>
      </c>
      <c r="EU709" s="15" t="s">
        <v>426</v>
      </c>
      <c r="EV709" s="15">
        <v>0.0</v>
      </c>
      <c r="FQ709" s="15">
        <v>0.0</v>
      </c>
      <c r="FR709" s="15" t="s">
        <v>427</v>
      </c>
      <c r="FX709" s="15" t="s">
        <v>426</v>
      </c>
      <c r="FZ709" s="15" t="s">
        <v>3735</v>
      </c>
      <c r="GB709" s="15" t="s">
        <v>2899</v>
      </c>
      <c r="GD709" s="15" t="s">
        <v>7739</v>
      </c>
      <c r="GF709" s="15" t="s">
        <v>431</v>
      </c>
      <c r="GH709" s="15" t="s">
        <v>420</v>
      </c>
    </row>
    <row r="710" ht="17.25" customHeight="1">
      <c r="A710" s="15" t="s">
        <v>7743</v>
      </c>
      <c r="B710" s="15" t="str">
        <f>"801542978563"</f>
        <v>801542978563</v>
      </c>
      <c r="C710" s="15" t="s">
        <v>19897</v>
      </c>
      <c r="D710" s="15" t="str">
        <f t="shared" si="1"/>
        <v>Noeline 6-Drawer DresserResawn Worn Oak</v>
      </c>
      <c r="E710" s="15" t="s">
        <v>7740</v>
      </c>
      <c r="F710" s="15" t="s">
        <v>397</v>
      </c>
      <c r="G710" s="15" t="s">
        <v>7742</v>
      </c>
      <c r="J710" s="15" t="s">
        <v>7742</v>
      </c>
      <c r="M710" s="15" t="s">
        <v>1896</v>
      </c>
      <c r="N710" s="15" t="s">
        <v>412</v>
      </c>
      <c r="P710" s="15" t="str">
        <f t="shared" ref="P710:P711" si="2033">"75"</f>
        <v>75</v>
      </c>
      <c r="Q710" s="15" t="str">
        <f t="shared" ref="Q710:Q714" si="2034">"19.5"</f>
        <v>19.5</v>
      </c>
      <c r="R710" s="15" t="str">
        <f t="shared" ref="R710:R711" si="2035">"32.5"</f>
        <v>32.5</v>
      </c>
      <c r="S710" s="15" t="str">
        <f t="shared" ref="S710:S711" si="2036">"274.476"</f>
        <v>274.476</v>
      </c>
      <c r="T710" s="15" t="s">
        <v>6959</v>
      </c>
      <c r="U710" s="15" t="s">
        <v>14167</v>
      </c>
      <c r="V710" s="15" t="s">
        <v>11338</v>
      </c>
      <c r="AA710" s="15" t="s">
        <v>413</v>
      </c>
      <c r="AB710" s="15" t="s">
        <v>413</v>
      </c>
      <c r="AC710" s="15" t="s">
        <v>7746</v>
      </c>
      <c r="AD710" s="15" t="s">
        <v>19898</v>
      </c>
      <c r="AE710" s="15" t="s">
        <v>7745</v>
      </c>
      <c r="AF710" s="15" t="s">
        <v>19899</v>
      </c>
      <c r="AG710" s="15" t="s">
        <v>19900</v>
      </c>
      <c r="AH710" s="15" t="s">
        <v>19901</v>
      </c>
      <c r="AI710" s="15" t="s">
        <v>19902</v>
      </c>
      <c r="AJ710" s="15" t="s">
        <v>19903</v>
      </c>
      <c r="AK710" s="15" t="s">
        <v>19904</v>
      </c>
      <c r="AL710" s="15" t="s">
        <v>19905</v>
      </c>
      <c r="AM710" s="15" t="s">
        <v>19906</v>
      </c>
      <c r="AN710" s="15" t="s">
        <v>19907</v>
      </c>
      <c r="AO710" s="15" t="s">
        <v>19908</v>
      </c>
      <c r="BH710" s="15" t="s">
        <v>7741</v>
      </c>
      <c r="BI710" s="15" t="str">
        <f t="shared" ref="BI710:BI711" si="2037">"2499"</f>
        <v>2499</v>
      </c>
      <c r="BJ710" s="15" t="str">
        <f t="shared" ref="BJ710:BJ711" si="2038">"1050"</f>
        <v>1050</v>
      </c>
      <c r="BK710" s="15" t="s">
        <v>742</v>
      </c>
      <c r="BL710" s="15" t="str">
        <f t="shared" si="2032"/>
        <v>1</v>
      </c>
      <c r="BM710" s="15" t="s">
        <v>7747</v>
      </c>
      <c r="BN710" s="15" t="str">
        <f t="shared" ref="BN710:BN711" si="2039">"78.94"</f>
        <v>78.94</v>
      </c>
      <c r="BO710" s="15" t="str">
        <f t="shared" ref="BO710:BO713" si="2040">"23.62"</f>
        <v>23.62</v>
      </c>
      <c r="BP710" s="15" t="str">
        <f t="shared" ref="BP710:BP711" si="2041">"39.57"</f>
        <v>39.57</v>
      </c>
      <c r="BQ710" s="15" t="str">
        <f t="shared" ref="BQ710:BQ711" si="2042">"328.49"</f>
        <v>328.49</v>
      </c>
      <c r="CG710" s="15" t="str">
        <f t="shared" ref="CG710:CG711" si="2043">"42.7"</f>
        <v>42.7</v>
      </c>
      <c r="CH710" s="15" t="str">
        <f t="shared" ref="CH710:CH711" si="2044">"1.209"</f>
        <v>1.209</v>
      </c>
      <c r="CI710" s="15" t="s">
        <v>465</v>
      </c>
      <c r="CZ710" s="15" t="s">
        <v>418</v>
      </c>
      <c r="DA710" s="15">
        <v>6.0</v>
      </c>
      <c r="DB710" s="15" t="s">
        <v>419</v>
      </c>
      <c r="DD710" s="15">
        <v>0.0</v>
      </c>
      <c r="DF710" s="15" t="s">
        <v>1186</v>
      </c>
      <c r="DG710" s="15" t="s">
        <v>421</v>
      </c>
      <c r="DK710" s="15">
        <v>0.0</v>
      </c>
      <c r="DR710" s="15" t="s">
        <v>422</v>
      </c>
      <c r="DS710" s="15" t="s">
        <v>7749</v>
      </c>
      <c r="DU710" s="15" t="s">
        <v>424</v>
      </c>
      <c r="EF710" s="15" t="s">
        <v>7750</v>
      </c>
      <c r="EU710" s="15" t="s">
        <v>426</v>
      </c>
      <c r="EV710" s="15">
        <v>0.0</v>
      </c>
      <c r="FQ710" s="15">
        <v>0.0</v>
      </c>
      <c r="FR710" s="15" t="s">
        <v>427</v>
      </c>
      <c r="FZ710" s="15" t="s">
        <v>504</v>
      </c>
      <c r="GB710" s="15" t="s">
        <v>1115</v>
      </c>
      <c r="GD710" s="15" t="s">
        <v>7751</v>
      </c>
      <c r="GF710" s="15" t="s">
        <v>431</v>
      </c>
    </row>
    <row r="711" ht="17.25" customHeight="1">
      <c r="A711" s="15" t="s">
        <v>7753</v>
      </c>
      <c r="B711" s="15" t="str">
        <f>"801542313203"</f>
        <v>801542313203</v>
      </c>
      <c r="C711" s="15" t="s">
        <v>19909</v>
      </c>
      <c r="D711" s="15" t="str">
        <f t="shared" si="1"/>
        <v>Noeline 6-Drawer DresserSmoked Black Oak Veneer</v>
      </c>
      <c r="E711" s="15" t="s">
        <v>7740</v>
      </c>
      <c r="F711" s="15" t="s">
        <v>397</v>
      </c>
      <c r="G711" s="15" t="s">
        <v>6969</v>
      </c>
      <c r="J711" s="15" t="s">
        <v>6969</v>
      </c>
      <c r="M711" s="15" t="s">
        <v>2063</v>
      </c>
      <c r="N711" s="15" t="s">
        <v>412</v>
      </c>
      <c r="P711" s="15" t="str">
        <f t="shared" si="2033"/>
        <v>75</v>
      </c>
      <c r="Q711" s="15" t="str">
        <f t="shared" si="2034"/>
        <v>19.5</v>
      </c>
      <c r="R711" s="15" t="str">
        <f t="shared" si="2035"/>
        <v>32.5</v>
      </c>
      <c r="S711" s="15" t="str">
        <f t="shared" si="2036"/>
        <v>274.476</v>
      </c>
      <c r="T711" s="15" t="s">
        <v>1025</v>
      </c>
      <c r="U711" s="15" t="s">
        <v>10881</v>
      </c>
      <c r="V711" s="15" t="s">
        <v>11338</v>
      </c>
      <c r="AA711" s="15" t="s">
        <v>413</v>
      </c>
      <c r="AB711" s="15" t="s">
        <v>413</v>
      </c>
      <c r="AC711" s="15" t="s">
        <v>7755</v>
      </c>
      <c r="AD711" s="15" t="s">
        <v>19910</v>
      </c>
      <c r="AE711" s="15" t="s">
        <v>7754</v>
      </c>
      <c r="AF711" s="15" t="s">
        <v>19911</v>
      </c>
      <c r="AG711" s="15" t="s">
        <v>19912</v>
      </c>
      <c r="AH711" s="15" t="s">
        <v>19913</v>
      </c>
      <c r="AI711" s="15" t="s">
        <v>19914</v>
      </c>
      <c r="AJ711" s="15" t="s">
        <v>19915</v>
      </c>
      <c r="AK711" s="15" t="s">
        <v>19916</v>
      </c>
      <c r="AL711" s="15" t="s">
        <v>19917</v>
      </c>
      <c r="AM711" s="15" t="s">
        <v>19918</v>
      </c>
      <c r="AN711" s="15" t="s">
        <v>19919</v>
      </c>
      <c r="AO711" s="15" t="s">
        <v>19920</v>
      </c>
      <c r="AP711" s="15" t="s">
        <v>19921</v>
      </c>
      <c r="BH711" s="15" t="s">
        <v>7752</v>
      </c>
      <c r="BI711" s="15" t="str">
        <f t="shared" si="2037"/>
        <v>2499</v>
      </c>
      <c r="BJ711" s="15" t="str">
        <f t="shared" si="2038"/>
        <v>1050</v>
      </c>
      <c r="BK711" s="15" t="s">
        <v>742</v>
      </c>
      <c r="BL711" s="15" t="str">
        <f t="shared" si="2032"/>
        <v>1</v>
      </c>
      <c r="BM711" s="15" t="s">
        <v>7747</v>
      </c>
      <c r="BN711" s="15" t="str">
        <f t="shared" si="2039"/>
        <v>78.94</v>
      </c>
      <c r="BO711" s="15" t="str">
        <f t="shared" si="2040"/>
        <v>23.62</v>
      </c>
      <c r="BP711" s="15" t="str">
        <f t="shared" si="2041"/>
        <v>39.57</v>
      </c>
      <c r="BQ711" s="15" t="str">
        <f t="shared" si="2042"/>
        <v>328.49</v>
      </c>
      <c r="CG711" s="15" t="str">
        <f t="shared" si="2043"/>
        <v>42.7</v>
      </c>
      <c r="CH711" s="15" t="str">
        <f t="shared" si="2044"/>
        <v>1.209</v>
      </c>
      <c r="CI711" s="15" t="s">
        <v>417</v>
      </c>
      <c r="CZ711" s="15" t="s">
        <v>418</v>
      </c>
      <c r="DA711" s="15">
        <v>6.0</v>
      </c>
      <c r="DB711" s="15" t="s">
        <v>419</v>
      </c>
      <c r="DD711" s="15">
        <v>0.0</v>
      </c>
      <c r="DF711" s="15" t="s">
        <v>1186</v>
      </c>
      <c r="DG711" s="15" t="s">
        <v>421</v>
      </c>
      <c r="DK711" s="15">
        <v>0.0</v>
      </c>
      <c r="DR711" s="15" t="s">
        <v>422</v>
      </c>
      <c r="DS711" s="15" t="s">
        <v>7749</v>
      </c>
      <c r="DU711" s="15" t="s">
        <v>424</v>
      </c>
      <c r="EF711" s="15" t="s">
        <v>7750</v>
      </c>
      <c r="EU711" s="15" t="s">
        <v>426</v>
      </c>
      <c r="EV711" s="15">
        <v>0.0</v>
      </c>
      <c r="FQ711" s="15">
        <v>0.0</v>
      </c>
      <c r="FR711" s="15" t="s">
        <v>427</v>
      </c>
      <c r="FZ711" s="15" t="s">
        <v>504</v>
      </c>
      <c r="GB711" s="15" t="s">
        <v>1115</v>
      </c>
      <c r="GD711" s="15" t="s">
        <v>7751</v>
      </c>
      <c r="GF711" s="15" t="s">
        <v>431</v>
      </c>
    </row>
    <row r="712" ht="17.25" customHeight="1">
      <c r="A712" s="15" t="s">
        <v>7758</v>
      </c>
      <c r="B712" s="15" t="str">
        <f>"801542978631"</f>
        <v>801542978631</v>
      </c>
      <c r="C712" s="15" t="s">
        <v>19922</v>
      </c>
      <c r="D712" s="15" t="str">
        <f t="shared" si="1"/>
        <v>Noeline NightstandResawn Worn Oak</v>
      </c>
      <c r="E712" s="15" t="s">
        <v>7756</v>
      </c>
      <c r="F712" s="15" t="s">
        <v>397</v>
      </c>
      <c r="G712" s="15" t="s">
        <v>7742</v>
      </c>
      <c r="J712" s="15" t="s">
        <v>7742</v>
      </c>
      <c r="K712" s="15" t="s">
        <v>2351</v>
      </c>
      <c r="M712" s="15" t="s">
        <v>2063</v>
      </c>
      <c r="N712" s="15" t="s">
        <v>628</v>
      </c>
      <c r="P712" s="15" t="str">
        <f t="shared" ref="P712:P713" si="2045">"34"</f>
        <v>34</v>
      </c>
      <c r="Q712" s="15" t="str">
        <f t="shared" si="2034"/>
        <v>19.5</v>
      </c>
      <c r="R712" s="15" t="str">
        <f t="shared" ref="R712:R713" si="2046">"24.75"</f>
        <v>24.75</v>
      </c>
      <c r="S712" s="15" t="str">
        <f t="shared" ref="S712:S713" si="2047">"108.027"</f>
        <v>108.027</v>
      </c>
      <c r="T712" s="15" t="s">
        <v>6959</v>
      </c>
      <c r="U712" s="15" t="s">
        <v>14167</v>
      </c>
      <c r="V712" s="15" t="s">
        <v>11338</v>
      </c>
      <c r="AA712" s="15" t="s">
        <v>413</v>
      </c>
      <c r="AB712" s="15" t="s">
        <v>413</v>
      </c>
      <c r="AC712" s="15" t="s">
        <v>7762</v>
      </c>
      <c r="AD712" s="15" t="s">
        <v>19923</v>
      </c>
      <c r="AE712" s="15" t="s">
        <v>7760</v>
      </c>
      <c r="AF712" s="15" t="s">
        <v>19924</v>
      </c>
      <c r="AG712" s="15" t="s">
        <v>19925</v>
      </c>
      <c r="AH712" s="15" t="s">
        <v>19926</v>
      </c>
      <c r="AI712" s="15" t="s">
        <v>19927</v>
      </c>
      <c r="AJ712" s="15" t="s">
        <v>19928</v>
      </c>
      <c r="AK712" s="15" t="s">
        <v>19929</v>
      </c>
      <c r="AL712" s="15" t="s">
        <v>19930</v>
      </c>
      <c r="AM712" s="15" t="s">
        <v>19931</v>
      </c>
      <c r="AN712" s="15" t="s">
        <v>19932</v>
      </c>
      <c r="AO712" s="15" t="s">
        <v>19933</v>
      </c>
      <c r="BH712" s="15" t="s">
        <v>7757</v>
      </c>
      <c r="BI712" s="15" t="str">
        <f t="shared" ref="BI712:BI713" si="2048">"1049"</f>
        <v>1049</v>
      </c>
      <c r="BJ712" s="15" t="str">
        <f t="shared" ref="BJ712:BJ713" si="2049">"445"</f>
        <v>445</v>
      </c>
      <c r="BK712" s="15" t="s">
        <v>742</v>
      </c>
      <c r="BL712" s="15" t="str">
        <f t="shared" si="2032"/>
        <v>1</v>
      </c>
      <c r="BM712" s="15" t="s">
        <v>7763</v>
      </c>
      <c r="BN712" s="15" t="str">
        <f t="shared" ref="BN712:BN713" si="2050">"37.99"</f>
        <v>37.99</v>
      </c>
      <c r="BO712" s="15" t="str">
        <f t="shared" si="2040"/>
        <v>23.62</v>
      </c>
      <c r="BP712" s="15" t="str">
        <f t="shared" ref="BP712:BP713" si="2051">"31.89"</f>
        <v>31.89</v>
      </c>
      <c r="BQ712" s="15" t="str">
        <f t="shared" ref="BQ712:BQ713" si="2052">"136.69"</f>
        <v>136.69</v>
      </c>
      <c r="CG712" s="15" t="str">
        <f t="shared" ref="CG712:CG713" si="2053">"16.56"</f>
        <v>16.56</v>
      </c>
      <c r="CH712" s="15" t="str">
        <f t="shared" ref="CH712:CH713" si="2054">"0.469"</f>
        <v>0.469</v>
      </c>
      <c r="CI712" s="15" t="s">
        <v>465</v>
      </c>
      <c r="CZ712" s="15" t="s">
        <v>418</v>
      </c>
      <c r="DA712" s="15">
        <v>2.0</v>
      </c>
      <c r="DB712" s="15" t="s">
        <v>419</v>
      </c>
      <c r="DD712" s="15">
        <v>0.0</v>
      </c>
      <c r="DF712" s="15" t="s">
        <v>1186</v>
      </c>
      <c r="DG712" s="15" t="s">
        <v>421</v>
      </c>
      <c r="DK712" s="15">
        <v>0.0</v>
      </c>
      <c r="DR712" s="15" t="s">
        <v>471</v>
      </c>
      <c r="DS712" s="15" t="s">
        <v>7749</v>
      </c>
      <c r="DU712" s="15" t="s">
        <v>500</v>
      </c>
      <c r="EF712" s="15" t="s">
        <v>526</v>
      </c>
      <c r="EU712" s="15" t="s">
        <v>426</v>
      </c>
      <c r="EV712" s="15">
        <v>0.0</v>
      </c>
      <c r="FQ712" s="15">
        <v>0.0</v>
      </c>
      <c r="FR712" s="15" t="s">
        <v>427</v>
      </c>
      <c r="FZ712" s="15" t="s">
        <v>504</v>
      </c>
      <c r="GB712" s="15" t="s">
        <v>1428</v>
      </c>
      <c r="GD712" s="15" t="s">
        <v>7764</v>
      </c>
      <c r="GF712" s="15" t="s">
        <v>431</v>
      </c>
    </row>
    <row r="713" ht="17.25" customHeight="1">
      <c r="A713" s="15" t="s">
        <v>7766</v>
      </c>
      <c r="B713" s="15" t="str">
        <f>"801542313227"</f>
        <v>801542313227</v>
      </c>
      <c r="C713" s="15" t="s">
        <v>19934</v>
      </c>
      <c r="D713" s="15" t="str">
        <f t="shared" si="1"/>
        <v>Noeline NightstandSmoked Black Oak Veneer</v>
      </c>
      <c r="E713" s="15" t="s">
        <v>7756</v>
      </c>
      <c r="F713" s="15" t="s">
        <v>397</v>
      </c>
      <c r="G713" s="15" t="s">
        <v>6969</v>
      </c>
      <c r="J713" s="15" t="s">
        <v>6969</v>
      </c>
      <c r="M713" s="15" t="s">
        <v>2063</v>
      </c>
      <c r="N713" s="15" t="s">
        <v>628</v>
      </c>
      <c r="P713" s="15" t="str">
        <f t="shared" si="2045"/>
        <v>34</v>
      </c>
      <c r="Q713" s="15" t="str">
        <f t="shared" si="2034"/>
        <v>19.5</v>
      </c>
      <c r="R713" s="15" t="str">
        <f t="shared" si="2046"/>
        <v>24.75</v>
      </c>
      <c r="S713" s="15" t="str">
        <f t="shared" si="2047"/>
        <v>108.027</v>
      </c>
      <c r="T713" s="15" t="s">
        <v>1025</v>
      </c>
      <c r="U713" s="15" t="s">
        <v>10881</v>
      </c>
      <c r="V713" s="15" t="s">
        <v>11338</v>
      </c>
      <c r="AA713" s="15" t="s">
        <v>413</v>
      </c>
      <c r="AB713" s="15" t="s">
        <v>413</v>
      </c>
      <c r="AC713" s="15" t="s">
        <v>7768</v>
      </c>
      <c r="AD713" s="15" t="s">
        <v>19935</v>
      </c>
      <c r="AE713" s="15" t="s">
        <v>7767</v>
      </c>
      <c r="AF713" s="15" t="s">
        <v>19936</v>
      </c>
      <c r="AG713" s="15" t="s">
        <v>19937</v>
      </c>
      <c r="AH713" s="15" t="s">
        <v>19938</v>
      </c>
      <c r="AI713" s="15" t="s">
        <v>19939</v>
      </c>
      <c r="AJ713" s="15" t="s">
        <v>19940</v>
      </c>
      <c r="AK713" s="15" t="s">
        <v>19941</v>
      </c>
      <c r="AL713" s="15" t="s">
        <v>19942</v>
      </c>
      <c r="AM713" s="15" t="s">
        <v>19943</v>
      </c>
      <c r="AN713" s="15" t="s">
        <v>19944</v>
      </c>
      <c r="AO713" s="15" t="s">
        <v>19945</v>
      </c>
      <c r="AP713" s="15" t="s">
        <v>19946</v>
      </c>
      <c r="AQ713" s="15" t="s">
        <v>19947</v>
      </c>
      <c r="AR713" s="15" t="s">
        <v>19948</v>
      </c>
      <c r="AS713" s="15" t="s">
        <v>19949</v>
      </c>
      <c r="BH713" s="15" t="s">
        <v>7765</v>
      </c>
      <c r="BI713" s="15" t="str">
        <f t="shared" si="2048"/>
        <v>1049</v>
      </c>
      <c r="BJ713" s="15" t="str">
        <f t="shared" si="2049"/>
        <v>445</v>
      </c>
      <c r="BK713" s="15" t="s">
        <v>742</v>
      </c>
      <c r="BL713" s="15" t="str">
        <f t="shared" si="2032"/>
        <v>1</v>
      </c>
      <c r="BM713" s="15" t="s">
        <v>7763</v>
      </c>
      <c r="BN713" s="15" t="str">
        <f t="shared" si="2050"/>
        <v>37.99</v>
      </c>
      <c r="BO713" s="15" t="str">
        <f t="shared" si="2040"/>
        <v>23.62</v>
      </c>
      <c r="BP713" s="15" t="str">
        <f t="shared" si="2051"/>
        <v>31.89</v>
      </c>
      <c r="BQ713" s="15" t="str">
        <f t="shared" si="2052"/>
        <v>136.69</v>
      </c>
      <c r="CG713" s="15" t="str">
        <f t="shared" si="2053"/>
        <v>16.56</v>
      </c>
      <c r="CH713" s="15" t="str">
        <f t="shared" si="2054"/>
        <v>0.469</v>
      </c>
      <c r="CI713" s="15" t="s">
        <v>465</v>
      </c>
      <c r="CZ713" s="15" t="s">
        <v>418</v>
      </c>
      <c r="DA713" s="15">
        <v>2.0</v>
      </c>
      <c r="DB713" s="15" t="s">
        <v>419</v>
      </c>
      <c r="DD713" s="15">
        <v>0.0</v>
      </c>
      <c r="DF713" s="15" t="s">
        <v>1186</v>
      </c>
      <c r="DG713" s="15" t="s">
        <v>421</v>
      </c>
      <c r="DK713" s="15">
        <v>0.0</v>
      </c>
      <c r="DR713" s="15" t="s">
        <v>471</v>
      </c>
      <c r="DS713" s="15" t="s">
        <v>7749</v>
      </c>
      <c r="DU713" s="15" t="s">
        <v>500</v>
      </c>
      <c r="EF713" s="15" t="s">
        <v>526</v>
      </c>
      <c r="EU713" s="15" t="s">
        <v>426</v>
      </c>
      <c r="EV713" s="15">
        <v>0.0</v>
      </c>
      <c r="FQ713" s="15">
        <v>0.0</v>
      </c>
      <c r="FR713" s="15" t="s">
        <v>427</v>
      </c>
      <c r="FZ713" s="15" t="s">
        <v>504</v>
      </c>
      <c r="GB713" s="15" t="s">
        <v>1428</v>
      </c>
      <c r="GD713" s="15" t="s">
        <v>7764</v>
      </c>
      <c r="GF713" s="15" t="s">
        <v>431</v>
      </c>
    </row>
    <row r="714" ht="17.25" customHeight="1">
      <c r="A714" s="15" t="s">
        <v>7771</v>
      </c>
      <c r="B714" s="15" t="str">
        <f>"801542370312"</f>
        <v>801542370312</v>
      </c>
      <c r="C714" s="15" t="s">
        <v>19950</v>
      </c>
      <c r="D714" s="15" t="str">
        <f t="shared" si="1"/>
        <v>Noeline SideboardCracked Smoked Black Veneer</v>
      </c>
      <c r="E714" s="15" t="s">
        <v>7769</v>
      </c>
      <c r="F714" s="15" t="s">
        <v>397</v>
      </c>
      <c r="G714" s="15" t="s">
        <v>5008</v>
      </c>
      <c r="J714" s="15" t="s">
        <v>5008</v>
      </c>
      <c r="K714" s="15" t="s">
        <v>5012</v>
      </c>
      <c r="M714" s="15" t="s">
        <v>2063</v>
      </c>
      <c r="N714" s="15" t="s">
        <v>664</v>
      </c>
      <c r="P714" s="15" t="str">
        <f>"94"</f>
        <v>94</v>
      </c>
      <c r="Q714" s="15" t="str">
        <f t="shared" si="2034"/>
        <v>19.5</v>
      </c>
      <c r="R714" s="15" t="str">
        <f>"32"</f>
        <v>32</v>
      </c>
      <c r="S714" s="15" t="str">
        <f>"220.46"</f>
        <v>220.46</v>
      </c>
      <c r="T714" s="15" t="s">
        <v>1025</v>
      </c>
      <c r="U714" s="15" t="s">
        <v>10881</v>
      </c>
      <c r="V714" s="15" t="s">
        <v>11338</v>
      </c>
      <c r="AA714" s="15" t="s">
        <v>413</v>
      </c>
      <c r="AB714" s="15" t="s">
        <v>413</v>
      </c>
      <c r="AC714" s="15" t="s">
        <v>7773</v>
      </c>
      <c r="AD714" s="15" t="s">
        <v>19951</v>
      </c>
      <c r="AE714" s="15" t="s">
        <v>7772</v>
      </c>
      <c r="AF714" s="15" t="s">
        <v>19952</v>
      </c>
      <c r="AG714" s="15" t="s">
        <v>19953</v>
      </c>
      <c r="AH714" s="15" t="s">
        <v>19954</v>
      </c>
      <c r="AI714" s="15" t="s">
        <v>19955</v>
      </c>
      <c r="AJ714" s="15" t="s">
        <v>19956</v>
      </c>
      <c r="AK714" s="15" t="s">
        <v>19957</v>
      </c>
      <c r="AL714" s="15" t="s">
        <v>19958</v>
      </c>
      <c r="AM714" s="15" t="s">
        <v>19959</v>
      </c>
      <c r="AN714" s="15" t="s">
        <v>19960</v>
      </c>
      <c r="AO714" s="15" t="s">
        <v>19961</v>
      </c>
      <c r="AP714" s="15" t="s">
        <v>19962</v>
      </c>
      <c r="BH714" s="15" t="s">
        <v>7770</v>
      </c>
      <c r="BI714" s="15" t="str">
        <f>"2599"</f>
        <v>2599</v>
      </c>
      <c r="BJ714" s="15" t="str">
        <f>"1095"</f>
        <v>1095</v>
      </c>
      <c r="BK714" s="15" t="s">
        <v>742</v>
      </c>
      <c r="BL714" s="15" t="str">
        <f t="shared" si="2032"/>
        <v>1</v>
      </c>
      <c r="BM714" s="15" t="s">
        <v>416</v>
      </c>
      <c r="BN714" s="15" t="str">
        <f>"99.61"</f>
        <v>99.61</v>
      </c>
      <c r="BO714" s="15" t="str">
        <f>"25.2"</f>
        <v>25.2</v>
      </c>
      <c r="BP714" s="15" t="str">
        <f>"39.37"</f>
        <v>39.37</v>
      </c>
      <c r="BQ714" s="15" t="str">
        <f>"294.32"</f>
        <v>294.32</v>
      </c>
      <c r="CG714" s="15" t="str">
        <f>"57.17"</f>
        <v>57.17</v>
      </c>
      <c r="CH714" s="15" t="str">
        <f>"1.619"</f>
        <v>1.619</v>
      </c>
      <c r="CI714" s="15" t="s">
        <v>497</v>
      </c>
      <c r="CM714" s="15" t="s">
        <v>7567</v>
      </c>
      <c r="CN714" s="15" t="s">
        <v>7775</v>
      </c>
      <c r="CO714" s="15" t="s">
        <v>7776</v>
      </c>
      <c r="CZ714" s="15" t="s">
        <v>419</v>
      </c>
      <c r="DA714" s="15">
        <v>0.0</v>
      </c>
      <c r="DB714" s="15" t="s">
        <v>419</v>
      </c>
      <c r="DD714" s="15">
        <v>0.0</v>
      </c>
      <c r="DF714" s="15" t="s">
        <v>721</v>
      </c>
      <c r="DG714" s="15" t="s">
        <v>610</v>
      </c>
      <c r="DI714" s="15">
        <v>18.14</v>
      </c>
      <c r="DJ714" s="15">
        <v>40.0</v>
      </c>
      <c r="DK714" s="15">
        <v>2.0</v>
      </c>
      <c r="DS714" s="15" t="s">
        <v>7749</v>
      </c>
      <c r="DU714" s="15" t="s">
        <v>424</v>
      </c>
      <c r="EF714" s="15" t="s">
        <v>7777</v>
      </c>
      <c r="EU714" s="15" t="s">
        <v>426</v>
      </c>
      <c r="EV714" s="15">
        <v>2.0</v>
      </c>
      <c r="FH714" s="15" t="s">
        <v>4147</v>
      </c>
      <c r="FI714" s="15" t="s">
        <v>612</v>
      </c>
      <c r="FJ714" s="15" t="s">
        <v>7778</v>
      </c>
      <c r="FK714" s="15" t="s">
        <v>7567</v>
      </c>
      <c r="FL714" s="15" t="s">
        <v>612</v>
      </c>
      <c r="FM714" s="15" t="s">
        <v>7776</v>
      </c>
      <c r="FN714" s="15">
        <v>0.0</v>
      </c>
      <c r="FO714" s="15" t="s">
        <v>426</v>
      </c>
      <c r="FP714" s="15" t="s">
        <v>1883</v>
      </c>
      <c r="FQ714" s="15">
        <v>4.0</v>
      </c>
      <c r="FR714" s="15" t="s">
        <v>614</v>
      </c>
      <c r="FS714" s="15" t="s">
        <v>615</v>
      </c>
      <c r="FT714" s="15">
        <v>0.0</v>
      </c>
      <c r="FU714" s="15" t="s">
        <v>426</v>
      </c>
      <c r="GJ714" s="15" t="s">
        <v>7567</v>
      </c>
      <c r="GK714" s="15" t="s">
        <v>7775</v>
      </c>
      <c r="GL714" s="15" t="s">
        <v>7776</v>
      </c>
      <c r="HF714" s="15" t="s">
        <v>1957</v>
      </c>
      <c r="HQ714" s="15" t="s">
        <v>426</v>
      </c>
    </row>
    <row r="715" ht="17.25" customHeight="1">
      <c r="A715" s="15" t="s">
        <v>7782</v>
      </c>
      <c r="B715" s="15" t="str">
        <f>"801542352776"</f>
        <v>801542352776</v>
      </c>
      <c r="C715" s="15" t="s">
        <v>19963</v>
      </c>
      <c r="D715" s="15" t="str">
        <f t="shared" si="1"/>
        <v>Nolita Reverse Stitch SofaNatural Washed Sand</v>
      </c>
      <c r="E715" s="15" t="s">
        <v>7779</v>
      </c>
      <c r="F715" s="15" t="s">
        <v>397</v>
      </c>
      <c r="G715" s="15" t="s">
        <v>7781</v>
      </c>
      <c r="J715" s="15" t="s">
        <v>7781</v>
      </c>
      <c r="K715" s="15" t="s">
        <v>2014</v>
      </c>
      <c r="M715" s="15" t="s">
        <v>703</v>
      </c>
      <c r="N715" s="15" t="s">
        <v>1732</v>
      </c>
      <c r="P715" s="15" t="str">
        <f>"99.25"</f>
        <v>99.25</v>
      </c>
      <c r="Q715" s="15" t="str">
        <f>"43"</f>
        <v>43</v>
      </c>
      <c r="R715" s="15" t="str">
        <f>"28.75"</f>
        <v>28.75</v>
      </c>
      <c r="S715" s="15" t="str">
        <f>"189.6"</f>
        <v>189.6</v>
      </c>
      <c r="T715" s="15" t="s">
        <v>1341</v>
      </c>
      <c r="U715" s="15" t="s">
        <v>11137</v>
      </c>
      <c r="V715" s="15" t="s">
        <v>11138</v>
      </c>
      <c r="AA715" s="15" t="s">
        <v>413</v>
      </c>
      <c r="AB715" s="15" t="s">
        <v>413</v>
      </c>
      <c r="AC715" s="15" t="s">
        <v>7786</v>
      </c>
      <c r="AD715" s="15" t="s">
        <v>19964</v>
      </c>
      <c r="AE715" s="15" t="s">
        <v>7783</v>
      </c>
      <c r="AF715" s="15" t="s">
        <v>19965</v>
      </c>
      <c r="AG715" s="15" t="s">
        <v>19966</v>
      </c>
      <c r="AH715" s="15" t="s">
        <v>19967</v>
      </c>
      <c r="AI715" s="15" t="s">
        <v>19968</v>
      </c>
      <c r="AJ715" s="15" t="s">
        <v>19969</v>
      </c>
      <c r="AK715" s="15" t="s">
        <v>19970</v>
      </c>
      <c r="AL715" s="15" t="s">
        <v>19971</v>
      </c>
      <c r="AM715" s="15" t="s">
        <v>19972</v>
      </c>
      <c r="AN715" s="15" t="s">
        <v>19973</v>
      </c>
      <c r="AO715" s="15" t="s">
        <v>19974</v>
      </c>
      <c r="AP715" s="15" t="s">
        <v>19975</v>
      </c>
      <c r="BH715" s="15" t="s">
        <v>7780</v>
      </c>
      <c r="BI715" s="15" t="str">
        <f>"5999"</f>
        <v>5999</v>
      </c>
      <c r="BJ715" s="15" t="str">
        <f>"2520"</f>
        <v>2520</v>
      </c>
      <c r="BK715" s="15" t="s">
        <v>709</v>
      </c>
      <c r="BL715" s="15" t="str">
        <f t="shared" si="2032"/>
        <v>1</v>
      </c>
      <c r="BM715" s="15" t="s">
        <v>416</v>
      </c>
      <c r="BN715" s="15" t="str">
        <f>"101.25"</f>
        <v>101.25</v>
      </c>
      <c r="BO715" s="15" t="str">
        <f>"45.5"</f>
        <v>45.5</v>
      </c>
      <c r="BP715" s="15" t="str">
        <f>"29.5"</f>
        <v>29.5</v>
      </c>
      <c r="BQ715" s="15" t="str">
        <f>"235.89"</f>
        <v>235.89</v>
      </c>
      <c r="CG715" s="15" t="str">
        <f>"78.75"</f>
        <v>78.75</v>
      </c>
      <c r="CH715" s="15" t="str">
        <f>"2.23"</f>
        <v>2.23</v>
      </c>
      <c r="CI715" s="15" t="s">
        <v>465</v>
      </c>
      <c r="CS715" s="15" t="s">
        <v>2839</v>
      </c>
      <c r="CT715" s="15" t="s">
        <v>1065</v>
      </c>
      <c r="CU715" s="15" t="s">
        <v>7787</v>
      </c>
      <c r="CV715" s="15">
        <v>0.0</v>
      </c>
      <c r="CW715" s="15">
        <v>0.0</v>
      </c>
      <c r="CX715" s="15" t="s">
        <v>717</v>
      </c>
      <c r="CY715" s="15" t="s">
        <v>718</v>
      </c>
      <c r="DF715" s="15" t="s">
        <v>721</v>
      </c>
      <c r="DG715" s="15" t="s">
        <v>419</v>
      </c>
      <c r="DH715" s="15">
        <v>0.0</v>
      </c>
      <c r="DL715" s="15">
        <v>0.0</v>
      </c>
      <c r="DM715" s="15" t="s">
        <v>7788</v>
      </c>
      <c r="DP715" s="15">
        <v>0.0</v>
      </c>
      <c r="DQ715" s="15">
        <v>4.0</v>
      </c>
      <c r="DS715" s="15" t="s">
        <v>7789</v>
      </c>
      <c r="DT715" s="15">
        <v>0.0</v>
      </c>
      <c r="DU715" s="15" t="s">
        <v>588</v>
      </c>
      <c r="DV715" s="15" t="s">
        <v>2637</v>
      </c>
      <c r="DW715" s="15" t="s">
        <v>939</v>
      </c>
      <c r="DX715" s="15" t="s">
        <v>7790</v>
      </c>
      <c r="EB715" s="15" t="s">
        <v>5705</v>
      </c>
      <c r="EG715" s="15" t="s">
        <v>6473</v>
      </c>
      <c r="EH715" s="15" t="s">
        <v>3288</v>
      </c>
      <c r="EI715" s="15" t="s">
        <v>939</v>
      </c>
      <c r="EO715" s="15" t="s">
        <v>7791</v>
      </c>
    </row>
    <row r="716" ht="17.25" customHeight="1">
      <c r="A716" s="15" t="s">
        <v>7795</v>
      </c>
      <c r="B716" s="15" t="str">
        <f>"801542462178"</f>
        <v>801542462178</v>
      </c>
      <c r="C716" s="15" t="s">
        <v>19976</v>
      </c>
      <c r="D716" s="15" t="str">
        <f t="shared" si="1"/>
        <v>Odessa End TableDistressed Bronze</v>
      </c>
      <c r="E716" s="15" t="s">
        <v>7792</v>
      </c>
      <c r="F716" s="15" t="s">
        <v>397</v>
      </c>
      <c r="G716" s="15" t="s">
        <v>7794</v>
      </c>
      <c r="J716" s="15" t="s">
        <v>7794</v>
      </c>
      <c r="M716" s="15" t="s">
        <v>3586</v>
      </c>
      <c r="N716" s="15" t="s">
        <v>1154</v>
      </c>
      <c r="P716" s="15" t="str">
        <f t="shared" ref="P716:Q716" si="2055">"17.75"</f>
        <v>17.75</v>
      </c>
      <c r="Q716" s="15" t="str">
        <f t="shared" si="2055"/>
        <v>17.75</v>
      </c>
      <c r="R716" s="15" t="str">
        <f>"20"</f>
        <v>20</v>
      </c>
      <c r="S716" s="15" t="str">
        <f>"24.16"</f>
        <v>24.16</v>
      </c>
      <c r="T716" s="15" t="s">
        <v>3701</v>
      </c>
      <c r="U716" s="15" t="s">
        <v>14078</v>
      </c>
      <c r="AA716" s="15" t="s">
        <v>413</v>
      </c>
      <c r="AB716" s="15" t="s">
        <v>413</v>
      </c>
      <c r="AC716" s="15" t="s">
        <v>7798</v>
      </c>
      <c r="AD716" s="15" t="s">
        <v>19977</v>
      </c>
      <c r="AE716" s="15" t="s">
        <v>7797</v>
      </c>
      <c r="AF716" s="15" t="s">
        <v>19978</v>
      </c>
      <c r="AG716" s="15" t="s">
        <v>19979</v>
      </c>
      <c r="AH716" s="15" t="s">
        <v>19980</v>
      </c>
      <c r="AI716" s="15" t="s">
        <v>19981</v>
      </c>
      <c r="AJ716" s="15" t="s">
        <v>19982</v>
      </c>
      <c r="AK716" s="15" t="s">
        <v>19983</v>
      </c>
      <c r="AL716" s="15" t="s">
        <v>19984</v>
      </c>
      <c r="AM716" s="15" t="s">
        <v>19985</v>
      </c>
      <c r="AN716" s="15" t="s">
        <v>19986</v>
      </c>
      <c r="AO716" s="15" t="s">
        <v>19987</v>
      </c>
      <c r="AP716" s="15" t="s">
        <v>19988</v>
      </c>
      <c r="AQ716" s="15" t="s">
        <v>19989</v>
      </c>
      <c r="BH716" s="15" t="s">
        <v>7793</v>
      </c>
      <c r="BI716" s="15" t="str">
        <f>"399"</f>
        <v>399</v>
      </c>
      <c r="BJ716" s="15" t="str">
        <f>"170"</f>
        <v>170</v>
      </c>
      <c r="BK716" s="15" t="s">
        <v>1303</v>
      </c>
      <c r="BL716" s="15" t="str">
        <f t="shared" si="2032"/>
        <v>1</v>
      </c>
      <c r="BM716" s="15" t="s">
        <v>416</v>
      </c>
      <c r="BN716" s="15" t="str">
        <f>"21"</f>
        <v>21</v>
      </c>
      <c r="BO716" s="15" t="str">
        <f>"21.5"</f>
        <v>21.5</v>
      </c>
      <c r="BP716" s="15" t="str">
        <f>"23"</f>
        <v>23</v>
      </c>
      <c r="BQ716" s="15" t="str">
        <f>"31.88"</f>
        <v>31.88</v>
      </c>
      <c r="CG716" s="15" t="str">
        <f>"6"</f>
        <v>6</v>
      </c>
      <c r="CH716" s="15" t="str">
        <f>"0.17"</f>
        <v>0.17</v>
      </c>
      <c r="CI716" s="15" t="s">
        <v>497</v>
      </c>
      <c r="CZ716" s="15" t="s">
        <v>419</v>
      </c>
      <c r="DA716" s="15">
        <v>0.0</v>
      </c>
      <c r="DB716" s="15" t="s">
        <v>419</v>
      </c>
      <c r="DD716" s="15">
        <v>0.0</v>
      </c>
      <c r="DG716" s="15" t="s">
        <v>419</v>
      </c>
      <c r="DK716" s="15">
        <v>0.0</v>
      </c>
      <c r="DR716" s="15" t="s">
        <v>1157</v>
      </c>
      <c r="DS716" s="15" t="s">
        <v>7800</v>
      </c>
      <c r="DU716" s="15" t="s">
        <v>500</v>
      </c>
      <c r="EF716" s="15" t="s">
        <v>467</v>
      </c>
      <c r="EQ716" s="15" t="s">
        <v>1254</v>
      </c>
      <c r="ER716" s="15" t="s">
        <v>1213</v>
      </c>
      <c r="ES716" s="15" t="s">
        <v>1254</v>
      </c>
      <c r="ET716" s="15" t="s">
        <v>1188</v>
      </c>
      <c r="EV716" s="15">
        <v>0.0</v>
      </c>
      <c r="EW716" s="15">
        <v>0.0</v>
      </c>
    </row>
    <row r="717" ht="17.25" customHeight="1">
      <c r="A717" s="15" t="s">
        <v>7803</v>
      </c>
      <c r="B717" s="15" t="str">
        <f>"801542535681"</f>
        <v>801542535681</v>
      </c>
      <c r="C717" s="15" t="s">
        <v>19990</v>
      </c>
      <c r="D717" s="15" t="str">
        <f t="shared" si="1"/>
        <v>Olia ChairPalermo Cigar</v>
      </c>
      <c r="E717" s="15" t="s">
        <v>7801</v>
      </c>
      <c r="F717" s="15" t="s">
        <v>397</v>
      </c>
      <c r="G717" s="15" t="s">
        <v>2412</v>
      </c>
      <c r="J717" s="15" t="s">
        <v>2412</v>
      </c>
      <c r="K717" s="15" t="s">
        <v>7806</v>
      </c>
      <c r="M717" s="15" t="s">
        <v>2193</v>
      </c>
      <c r="N717" s="15" t="s">
        <v>706</v>
      </c>
      <c r="O717" s="15" t="s">
        <v>707</v>
      </c>
      <c r="P717" s="15" t="str">
        <f>"34.75"</f>
        <v>34.75</v>
      </c>
      <c r="Q717" s="15" t="str">
        <f>"34.25"</f>
        <v>34.25</v>
      </c>
      <c r="R717" s="15" t="str">
        <f>"29.75"</f>
        <v>29.75</v>
      </c>
      <c r="S717" s="15" t="str">
        <f>"52.91"</f>
        <v>52.91</v>
      </c>
      <c r="T717" s="15" t="s">
        <v>7805</v>
      </c>
      <c r="U717" s="15" t="s">
        <v>11137</v>
      </c>
      <c r="V717" s="15" t="s">
        <v>14318</v>
      </c>
      <c r="AA717" s="15" t="s">
        <v>413</v>
      </c>
      <c r="AB717" s="15" t="s">
        <v>413</v>
      </c>
      <c r="AC717" s="15" t="s">
        <v>7807</v>
      </c>
      <c r="AD717" s="15" t="s">
        <v>19991</v>
      </c>
      <c r="AE717" s="15" t="s">
        <v>7804</v>
      </c>
      <c r="AF717" s="15" t="s">
        <v>19992</v>
      </c>
      <c r="AG717" s="15" t="s">
        <v>19993</v>
      </c>
      <c r="AH717" s="15" t="s">
        <v>19994</v>
      </c>
      <c r="AI717" s="15" t="s">
        <v>19995</v>
      </c>
      <c r="AJ717" s="15" t="s">
        <v>19996</v>
      </c>
      <c r="AK717" s="15" t="s">
        <v>19997</v>
      </c>
      <c r="AL717" s="15" t="s">
        <v>19998</v>
      </c>
      <c r="AM717" s="15" t="s">
        <v>19999</v>
      </c>
      <c r="AN717" s="15" t="s">
        <v>20000</v>
      </c>
      <c r="AO717" s="15" t="s">
        <v>19989</v>
      </c>
      <c r="BH717" s="15" t="s">
        <v>7802</v>
      </c>
      <c r="BI717" s="15" t="str">
        <f>"1699"</f>
        <v>1699</v>
      </c>
      <c r="BJ717" s="15" t="str">
        <f>"715"</f>
        <v>715</v>
      </c>
      <c r="BK717" s="15" t="s">
        <v>709</v>
      </c>
      <c r="BL717" s="15" t="str">
        <f t="shared" si="2032"/>
        <v>1</v>
      </c>
      <c r="BM717" s="15" t="s">
        <v>1208</v>
      </c>
      <c r="BN717" s="15" t="str">
        <f>"36.22"</f>
        <v>36.22</v>
      </c>
      <c r="BO717" s="15" t="str">
        <f>"35.83"</f>
        <v>35.83</v>
      </c>
      <c r="BP717" s="15" t="str">
        <f>"33.86"</f>
        <v>33.86</v>
      </c>
      <c r="BQ717" s="15" t="str">
        <f>"73.85"</f>
        <v>73.85</v>
      </c>
      <c r="CG717" s="15" t="str">
        <f>"22.6"</f>
        <v>22.6</v>
      </c>
      <c r="CH717" s="15" t="str">
        <f>"0.64"</f>
        <v>0.64</v>
      </c>
      <c r="CI717" s="15" t="s">
        <v>417</v>
      </c>
      <c r="CS717" s="15" t="s">
        <v>525</v>
      </c>
      <c r="CT717" s="15" t="s">
        <v>1161</v>
      </c>
      <c r="CV717" s="15">
        <v>0.0</v>
      </c>
      <c r="CW717" s="15">
        <v>1.0</v>
      </c>
      <c r="CX717" s="15" t="s">
        <v>717</v>
      </c>
      <c r="CY717" s="15" t="s">
        <v>718</v>
      </c>
      <c r="DF717" s="15" t="s">
        <v>1111</v>
      </c>
      <c r="DG717" s="15" t="s">
        <v>419</v>
      </c>
      <c r="DH717" s="15">
        <v>0.0</v>
      </c>
      <c r="DL717" s="15">
        <v>0.0</v>
      </c>
      <c r="DM717" s="15" t="s">
        <v>722</v>
      </c>
      <c r="DP717" s="15">
        <v>0.0</v>
      </c>
      <c r="DQ717" s="15">
        <v>1.0</v>
      </c>
      <c r="DS717" s="15" t="s">
        <v>7809</v>
      </c>
      <c r="DT717" s="15">
        <v>0.0</v>
      </c>
      <c r="DU717" s="15" t="s">
        <v>726</v>
      </c>
      <c r="DV717" s="15" t="s">
        <v>2732</v>
      </c>
      <c r="DW717" s="15" t="s">
        <v>1235</v>
      </c>
      <c r="DX717" s="15" t="s">
        <v>525</v>
      </c>
      <c r="EB717" s="15" t="s">
        <v>505</v>
      </c>
      <c r="EF717" s="15" t="s">
        <v>2547</v>
      </c>
      <c r="EG717" s="15" t="s">
        <v>1574</v>
      </c>
      <c r="EH717" s="15" t="s">
        <v>555</v>
      </c>
      <c r="EI717" s="15" t="s">
        <v>1982</v>
      </c>
      <c r="EL717" s="15" t="s">
        <v>1016</v>
      </c>
      <c r="EO717" s="15" t="s">
        <v>1079</v>
      </c>
      <c r="EX717" s="15" t="s">
        <v>1324</v>
      </c>
      <c r="EY717" s="15" t="s">
        <v>1331</v>
      </c>
      <c r="EZ717" s="15">
        <v>0.0</v>
      </c>
      <c r="FA717" s="15">
        <v>0.0</v>
      </c>
      <c r="FC717" s="15">
        <v>0.0</v>
      </c>
    </row>
    <row r="718" ht="17.25" customHeight="1">
      <c r="A718" s="15" t="s">
        <v>7813</v>
      </c>
      <c r="B718" s="15" t="str">
        <f>"801542719562"</f>
        <v>801542719562</v>
      </c>
      <c r="C718" s="15" t="s">
        <v>20001</v>
      </c>
      <c r="D718" s="15" t="str">
        <f t="shared" si="1"/>
        <v>Olson ChairEmerald Worn Velvet</v>
      </c>
      <c r="E718" s="15" t="s">
        <v>7810</v>
      </c>
      <c r="F718" s="15" t="s">
        <v>397</v>
      </c>
      <c r="G718" s="15" t="s">
        <v>7812</v>
      </c>
      <c r="J718" s="15" t="s">
        <v>7812</v>
      </c>
      <c r="K718" s="15" t="s">
        <v>2801</v>
      </c>
      <c r="M718" s="15" t="s">
        <v>1628</v>
      </c>
      <c r="N718" s="15" t="s">
        <v>706</v>
      </c>
      <c r="O718" s="15" t="s">
        <v>707</v>
      </c>
      <c r="P718" s="15" t="str">
        <f t="shared" ref="P718:P722" si="2056">"30"</f>
        <v>30</v>
      </c>
      <c r="Q718" s="15" t="str">
        <f t="shared" ref="Q718:Q722" si="2057">"36"</f>
        <v>36</v>
      </c>
      <c r="R718" s="15" t="str">
        <f t="shared" ref="R718:R719" si="2058">"34"</f>
        <v>34</v>
      </c>
      <c r="S718" s="15" t="str">
        <f t="shared" ref="S718:S719" si="2059">"43.87"</f>
        <v>43.87</v>
      </c>
      <c r="T718" s="15" t="s">
        <v>2527</v>
      </c>
      <c r="U718" s="15" t="s">
        <v>11209</v>
      </c>
      <c r="V718" s="15" t="s">
        <v>11338</v>
      </c>
      <c r="AA718" s="15" t="s">
        <v>413</v>
      </c>
      <c r="AB718" s="15" t="s">
        <v>426</v>
      </c>
      <c r="AC718" s="15" t="s">
        <v>7815</v>
      </c>
      <c r="AD718" s="15" t="s">
        <v>20002</v>
      </c>
      <c r="AE718" s="15" t="s">
        <v>7814</v>
      </c>
      <c r="AF718" s="15" t="s">
        <v>20003</v>
      </c>
      <c r="AG718" s="15" t="s">
        <v>20004</v>
      </c>
      <c r="AH718" s="15" t="s">
        <v>20005</v>
      </c>
      <c r="AI718" s="15" t="s">
        <v>20006</v>
      </c>
      <c r="AJ718" s="15" t="s">
        <v>20007</v>
      </c>
      <c r="AK718" s="15" t="s">
        <v>20008</v>
      </c>
      <c r="AL718" s="15" t="s">
        <v>20009</v>
      </c>
      <c r="AM718" s="15" t="s">
        <v>20010</v>
      </c>
      <c r="AN718" s="15" t="s">
        <v>20011</v>
      </c>
      <c r="AO718" s="15" t="s">
        <v>20012</v>
      </c>
      <c r="AP718" s="15" t="s">
        <v>20013</v>
      </c>
      <c r="BH718" s="15" t="s">
        <v>7811</v>
      </c>
      <c r="BI718" s="15" t="str">
        <f>"1149"</f>
        <v>1149</v>
      </c>
      <c r="BJ718" s="15" t="str">
        <f>"485"</f>
        <v>485</v>
      </c>
      <c r="BK718" s="15" t="s">
        <v>709</v>
      </c>
      <c r="BL718" s="15" t="str">
        <f t="shared" si="2032"/>
        <v>1</v>
      </c>
      <c r="BM718" s="15" t="s">
        <v>7816</v>
      </c>
      <c r="BN718" s="15" t="str">
        <f t="shared" ref="BN718:BN719" si="2060">"30.71"</f>
        <v>30.71</v>
      </c>
      <c r="BO718" s="15" t="str">
        <f t="shared" ref="BO718:BO719" si="2061">"37.4"</f>
        <v>37.4</v>
      </c>
      <c r="BP718" s="15" t="str">
        <f t="shared" ref="BP718:BP719" si="2062">"23.62"</f>
        <v>23.62</v>
      </c>
      <c r="BQ718" s="15" t="str">
        <f t="shared" ref="BQ718:BQ719" si="2063">"56.22"</f>
        <v>56.22</v>
      </c>
      <c r="CG718" s="15" t="str">
        <f t="shared" ref="CG718:CG719" si="2064">"13.74"</f>
        <v>13.74</v>
      </c>
      <c r="CH718" s="15" t="str">
        <f t="shared" ref="CH718:CH719" si="2065">"0.389"</f>
        <v>0.389</v>
      </c>
      <c r="CI718" s="15" t="s">
        <v>465</v>
      </c>
      <c r="CP718" s="15" t="s">
        <v>1574</v>
      </c>
      <c r="CQ718" s="15" t="s">
        <v>505</v>
      </c>
      <c r="CR718" s="15" t="s">
        <v>555</v>
      </c>
      <c r="CS718" s="15" t="s">
        <v>1072</v>
      </c>
      <c r="CT718" s="15" t="s">
        <v>1324</v>
      </c>
      <c r="CU718" s="15" t="s">
        <v>555</v>
      </c>
      <c r="CV718" s="15">
        <v>0.0</v>
      </c>
      <c r="CW718" s="15">
        <v>1.0</v>
      </c>
      <c r="CX718" s="15" t="s">
        <v>717</v>
      </c>
      <c r="CY718" s="15" t="s">
        <v>855</v>
      </c>
      <c r="DC718" s="15" t="s">
        <v>7817</v>
      </c>
      <c r="DF718" s="15" t="s">
        <v>721</v>
      </c>
      <c r="DG718" s="15" t="s">
        <v>419</v>
      </c>
      <c r="DH718" s="15">
        <v>0.0</v>
      </c>
      <c r="DL718" s="15">
        <v>25000.0</v>
      </c>
      <c r="DM718" s="15" t="s">
        <v>990</v>
      </c>
      <c r="DN718" s="15" t="s">
        <v>723</v>
      </c>
      <c r="DO718" s="15" t="s">
        <v>724</v>
      </c>
      <c r="DP718" s="15">
        <v>1.0</v>
      </c>
      <c r="DQ718" s="15">
        <v>1.0</v>
      </c>
      <c r="DS718" s="15" t="s">
        <v>7818</v>
      </c>
      <c r="DT718" s="15">
        <v>0.0</v>
      </c>
      <c r="DU718" s="15" t="s">
        <v>726</v>
      </c>
      <c r="DV718" s="15" t="s">
        <v>1806</v>
      </c>
      <c r="DW718" s="15" t="s">
        <v>505</v>
      </c>
      <c r="DX718" s="15" t="s">
        <v>1739</v>
      </c>
      <c r="EB718" s="15" t="s">
        <v>1236</v>
      </c>
      <c r="EC718" s="15" t="s">
        <v>2116</v>
      </c>
      <c r="ED718" s="15" t="s">
        <v>1213</v>
      </c>
      <c r="EE718" s="15" t="s">
        <v>555</v>
      </c>
      <c r="EF718" s="15" t="s">
        <v>3011</v>
      </c>
      <c r="EG718" s="15" t="s">
        <v>558</v>
      </c>
      <c r="EH718" s="15" t="s">
        <v>1806</v>
      </c>
      <c r="EI718" s="15" t="s">
        <v>1592</v>
      </c>
      <c r="EL718" s="15" t="s">
        <v>723</v>
      </c>
      <c r="EM718" s="15" t="s">
        <v>724</v>
      </c>
      <c r="EN718" s="15" t="s">
        <v>2028</v>
      </c>
      <c r="EO718" s="15" t="s">
        <v>997</v>
      </c>
      <c r="EZ718" s="15">
        <v>0.0</v>
      </c>
      <c r="FA718" s="15">
        <v>0.0</v>
      </c>
      <c r="FC718" s="15">
        <v>0.0</v>
      </c>
    </row>
    <row r="719" ht="17.25" customHeight="1">
      <c r="A719" s="15" t="s">
        <v>7820</v>
      </c>
      <c r="B719" s="15" t="str">
        <f>"801542725129"</f>
        <v>801542725129</v>
      </c>
      <c r="C719" s="15" t="s">
        <v>20014</v>
      </c>
      <c r="D719" s="15" t="str">
        <f t="shared" si="1"/>
        <v>Olson ChairSonoma Black</v>
      </c>
      <c r="E719" s="15" t="s">
        <v>7810</v>
      </c>
      <c r="F719" s="15" t="s">
        <v>397</v>
      </c>
      <c r="G719" s="15" t="s">
        <v>4231</v>
      </c>
      <c r="J719" s="15" t="s">
        <v>4231</v>
      </c>
      <c r="K719" s="15" t="s">
        <v>7823</v>
      </c>
      <c r="M719" s="15" t="s">
        <v>1628</v>
      </c>
      <c r="N719" s="15" t="s">
        <v>706</v>
      </c>
      <c r="O719" s="15" t="s">
        <v>707</v>
      </c>
      <c r="P719" s="15" t="str">
        <f t="shared" si="2056"/>
        <v>30</v>
      </c>
      <c r="Q719" s="15" t="str">
        <f t="shared" si="2057"/>
        <v>36</v>
      </c>
      <c r="R719" s="15" t="str">
        <f t="shared" si="2058"/>
        <v>34</v>
      </c>
      <c r="S719" s="15" t="str">
        <f t="shared" si="2059"/>
        <v>43.87</v>
      </c>
      <c r="T719" s="15" t="s">
        <v>7822</v>
      </c>
      <c r="U719" s="15" t="s">
        <v>11137</v>
      </c>
      <c r="V719" s="15" t="s">
        <v>20015</v>
      </c>
      <c r="AA719" s="15" t="s">
        <v>413</v>
      </c>
      <c r="AB719" s="15" t="s">
        <v>413</v>
      </c>
      <c r="AD719" s="15" t="s">
        <v>20016</v>
      </c>
      <c r="AE719" s="15" t="s">
        <v>7821</v>
      </c>
      <c r="AF719" s="15" t="s">
        <v>20017</v>
      </c>
      <c r="AG719" s="15" t="s">
        <v>20018</v>
      </c>
      <c r="AH719" s="15" t="s">
        <v>20019</v>
      </c>
      <c r="AI719" s="15" t="s">
        <v>20020</v>
      </c>
      <c r="AJ719" s="15" t="s">
        <v>20021</v>
      </c>
      <c r="AK719" s="15" t="s">
        <v>20022</v>
      </c>
      <c r="AL719" s="15" t="s">
        <v>20023</v>
      </c>
      <c r="BH719" s="15" t="s">
        <v>7819</v>
      </c>
      <c r="BI719" s="15" t="str">
        <f>"2099"</f>
        <v>2099</v>
      </c>
      <c r="BJ719" s="15" t="str">
        <f>"885"</f>
        <v>885</v>
      </c>
      <c r="BK719" s="15" t="s">
        <v>709</v>
      </c>
      <c r="BL719" s="15" t="str">
        <f t="shared" si="2032"/>
        <v>1</v>
      </c>
      <c r="BM719" s="15" t="s">
        <v>6688</v>
      </c>
      <c r="BN719" s="15" t="str">
        <f t="shared" si="2060"/>
        <v>30.71</v>
      </c>
      <c r="BO719" s="15" t="str">
        <f t="shared" si="2061"/>
        <v>37.4</v>
      </c>
      <c r="BP719" s="15" t="str">
        <f t="shared" si="2062"/>
        <v>23.62</v>
      </c>
      <c r="BQ719" s="15" t="str">
        <f t="shared" si="2063"/>
        <v>56.22</v>
      </c>
      <c r="CG719" s="15" t="str">
        <f t="shared" si="2064"/>
        <v>13.74</v>
      </c>
      <c r="CH719" s="15" t="str">
        <f t="shared" si="2065"/>
        <v>0.389</v>
      </c>
      <c r="CI719" s="15" t="s">
        <v>417</v>
      </c>
      <c r="CP719" s="15" t="s">
        <v>1574</v>
      </c>
      <c r="CQ719" s="15" t="s">
        <v>505</v>
      </c>
      <c r="CR719" s="15" t="s">
        <v>555</v>
      </c>
      <c r="CS719" s="15" t="s">
        <v>1072</v>
      </c>
      <c r="CT719" s="15" t="s">
        <v>1324</v>
      </c>
      <c r="CU719" s="15" t="s">
        <v>555</v>
      </c>
      <c r="CV719" s="15">
        <v>0.0</v>
      </c>
      <c r="CW719" s="15">
        <v>1.0</v>
      </c>
      <c r="CX719" s="15" t="s">
        <v>717</v>
      </c>
      <c r="CY719" s="15" t="s">
        <v>718</v>
      </c>
      <c r="DC719" s="15" t="s">
        <v>7817</v>
      </c>
      <c r="DF719" s="15" t="s">
        <v>721</v>
      </c>
      <c r="DG719" s="15" t="s">
        <v>419</v>
      </c>
      <c r="DH719" s="15">
        <v>0.0</v>
      </c>
      <c r="DL719" s="15">
        <v>0.0</v>
      </c>
      <c r="DM719" s="15" t="s">
        <v>990</v>
      </c>
      <c r="DN719" s="15" t="s">
        <v>723</v>
      </c>
      <c r="DO719" s="15" t="s">
        <v>724</v>
      </c>
      <c r="DP719" s="15">
        <v>1.0</v>
      </c>
      <c r="DQ719" s="15">
        <v>1.0</v>
      </c>
      <c r="DS719" s="15" t="s">
        <v>7818</v>
      </c>
      <c r="DT719" s="15">
        <v>0.0</v>
      </c>
      <c r="DU719" s="15" t="s">
        <v>726</v>
      </c>
      <c r="DV719" s="15" t="s">
        <v>1806</v>
      </c>
      <c r="DW719" s="15" t="s">
        <v>505</v>
      </c>
      <c r="DX719" s="15" t="s">
        <v>1739</v>
      </c>
      <c r="EB719" s="15" t="s">
        <v>1236</v>
      </c>
      <c r="EC719" s="15" t="s">
        <v>2116</v>
      </c>
      <c r="ED719" s="15" t="s">
        <v>1213</v>
      </c>
      <c r="EE719" s="15" t="s">
        <v>555</v>
      </c>
      <c r="EF719" s="15" t="s">
        <v>3011</v>
      </c>
      <c r="EG719" s="15" t="s">
        <v>558</v>
      </c>
      <c r="EH719" s="15" t="s">
        <v>1806</v>
      </c>
      <c r="EI719" s="15" t="s">
        <v>1592</v>
      </c>
      <c r="EL719" s="15" t="s">
        <v>723</v>
      </c>
      <c r="EM719" s="15" t="s">
        <v>724</v>
      </c>
      <c r="EN719" s="15" t="s">
        <v>2028</v>
      </c>
      <c r="EO719" s="15" t="s">
        <v>997</v>
      </c>
      <c r="EZ719" s="15">
        <v>0.0</v>
      </c>
      <c r="FA719" s="15">
        <v>0.0</v>
      </c>
      <c r="FC719" s="15">
        <v>0.0</v>
      </c>
    </row>
    <row r="720" ht="17.25" customHeight="1">
      <c r="A720" s="15" t="s">
        <v>7826</v>
      </c>
      <c r="B720" s="15" t="str">
        <f>"801542081218"</f>
        <v>801542081218</v>
      </c>
      <c r="C720" s="15" t="s">
        <v>20024</v>
      </c>
      <c r="D720" s="15" t="str">
        <f t="shared" si="1"/>
        <v>Olson Swivel ChairEmerald Worn Velvet</v>
      </c>
      <c r="E720" s="15" t="s">
        <v>7824</v>
      </c>
      <c r="F720" s="15" t="s">
        <v>397</v>
      </c>
      <c r="G720" s="15" t="s">
        <v>7812</v>
      </c>
      <c r="J720" s="15" t="s">
        <v>7812</v>
      </c>
      <c r="M720" s="15" t="s">
        <v>1628</v>
      </c>
      <c r="N720" s="15" t="s">
        <v>706</v>
      </c>
      <c r="O720" s="15" t="s">
        <v>707</v>
      </c>
      <c r="P720" s="15" t="str">
        <f t="shared" si="2056"/>
        <v>30</v>
      </c>
      <c r="Q720" s="15" t="str">
        <f t="shared" si="2057"/>
        <v>36</v>
      </c>
      <c r="R720" s="15" t="str">
        <f t="shared" ref="R720:R724" si="2066">"32"</f>
        <v>32</v>
      </c>
      <c r="S720" s="15" t="str">
        <f t="shared" ref="S720:S722" si="2067">"70.55"</f>
        <v>70.55</v>
      </c>
      <c r="T720" s="15" t="s">
        <v>1655</v>
      </c>
      <c r="U720" s="15" t="s">
        <v>11209</v>
      </c>
      <c r="AA720" s="15" t="s">
        <v>413</v>
      </c>
      <c r="AB720" s="15" t="s">
        <v>426</v>
      </c>
      <c r="AC720" s="15" t="s">
        <v>7828</v>
      </c>
      <c r="AD720" s="15" t="s">
        <v>20025</v>
      </c>
      <c r="AE720" s="15" t="s">
        <v>7827</v>
      </c>
      <c r="AF720" s="15" t="s">
        <v>20026</v>
      </c>
      <c r="AG720" s="15" t="s">
        <v>20027</v>
      </c>
      <c r="AH720" s="15" t="s">
        <v>20028</v>
      </c>
      <c r="AI720" s="15" t="s">
        <v>20029</v>
      </c>
      <c r="AJ720" s="15" t="s">
        <v>20030</v>
      </c>
      <c r="AK720" s="15" t="s">
        <v>20031</v>
      </c>
      <c r="AL720" s="15" t="s">
        <v>20032</v>
      </c>
      <c r="AM720" s="15" t="s">
        <v>20033</v>
      </c>
      <c r="AN720" s="15" t="s">
        <v>20034</v>
      </c>
      <c r="AO720" s="15" t="s">
        <v>20035</v>
      </c>
      <c r="BH720" s="15" t="s">
        <v>7825</v>
      </c>
      <c r="BI720" s="15" t="str">
        <f>"1249"</f>
        <v>1249</v>
      </c>
      <c r="BJ720" s="15" t="str">
        <f>"525"</f>
        <v>525</v>
      </c>
      <c r="BK720" s="15" t="s">
        <v>709</v>
      </c>
      <c r="BL720" s="15" t="str">
        <f t="shared" si="2032"/>
        <v>1</v>
      </c>
      <c r="BM720" s="15" t="s">
        <v>7829</v>
      </c>
      <c r="BN720" s="15" t="str">
        <f t="shared" ref="BN720:BN722" si="2068">"31.89"</f>
        <v>31.89</v>
      </c>
      <c r="BO720" s="15" t="str">
        <f t="shared" ref="BO720:BO722" si="2069">"36.61"</f>
        <v>36.61</v>
      </c>
      <c r="BP720" s="15" t="str">
        <f t="shared" ref="BP720:BP722" si="2070">"31.1"</f>
        <v>31.1</v>
      </c>
      <c r="BQ720" s="15" t="str">
        <f t="shared" ref="BQ720:BQ722" si="2071">"92.59"</f>
        <v>92.59</v>
      </c>
      <c r="CG720" s="15" t="str">
        <f t="shared" ref="CG720:CG722" si="2072">"19.03"</f>
        <v>19.03</v>
      </c>
      <c r="CH720" s="15" t="str">
        <f t="shared" ref="CH720:CH722" si="2073">"0.539"</f>
        <v>0.539</v>
      </c>
      <c r="CI720" s="15" t="s">
        <v>465</v>
      </c>
      <c r="CP720" s="15" t="s">
        <v>1574</v>
      </c>
      <c r="CQ720" s="15" t="s">
        <v>1213</v>
      </c>
      <c r="CR720" s="15" t="s">
        <v>555</v>
      </c>
      <c r="CS720" s="15" t="s">
        <v>1072</v>
      </c>
      <c r="CT720" s="15" t="s">
        <v>1065</v>
      </c>
      <c r="CU720" s="15" t="s">
        <v>555</v>
      </c>
      <c r="CV720" s="15">
        <v>0.0</v>
      </c>
      <c r="CW720" s="15">
        <v>1.0</v>
      </c>
      <c r="CX720" s="15" t="s">
        <v>717</v>
      </c>
      <c r="CY720" s="15" t="s">
        <v>855</v>
      </c>
      <c r="DC720" s="15" t="s">
        <v>3543</v>
      </c>
      <c r="DF720" s="15" t="s">
        <v>721</v>
      </c>
      <c r="DG720" s="15" t="s">
        <v>1605</v>
      </c>
      <c r="DH720" s="15">
        <v>0.0</v>
      </c>
      <c r="DL720" s="15">
        <v>25000.0</v>
      </c>
      <c r="DM720" s="15" t="s">
        <v>990</v>
      </c>
      <c r="DN720" s="15" t="s">
        <v>723</v>
      </c>
      <c r="DO720" s="15" t="s">
        <v>724</v>
      </c>
      <c r="DP720" s="15">
        <v>1.0</v>
      </c>
      <c r="DQ720" s="15">
        <v>1.0</v>
      </c>
      <c r="DS720" s="15" t="s">
        <v>7818</v>
      </c>
      <c r="DT720" s="15">
        <v>0.0</v>
      </c>
      <c r="DU720" s="15" t="s">
        <v>726</v>
      </c>
      <c r="DV720" s="15" t="s">
        <v>1286</v>
      </c>
      <c r="DW720" s="15" t="s">
        <v>1069</v>
      </c>
      <c r="DX720" s="15" t="s">
        <v>1739</v>
      </c>
      <c r="EB720" s="15" t="s">
        <v>1236</v>
      </c>
      <c r="EC720" s="15" t="s">
        <v>2116</v>
      </c>
      <c r="ED720" s="15" t="s">
        <v>1065</v>
      </c>
      <c r="EE720" s="15" t="s">
        <v>555</v>
      </c>
      <c r="EF720" s="15" t="s">
        <v>672</v>
      </c>
      <c r="EG720" s="15" t="s">
        <v>1808</v>
      </c>
      <c r="EH720" s="15" t="s">
        <v>1808</v>
      </c>
      <c r="EI720" s="15" t="s">
        <v>1592</v>
      </c>
      <c r="EL720" s="15" t="s">
        <v>723</v>
      </c>
      <c r="EM720" s="15" t="s">
        <v>724</v>
      </c>
      <c r="EN720" s="15" t="s">
        <v>2028</v>
      </c>
      <c r="EO720" s="15" t="s">
        <v>1290</v>
      </c>
      <c r="EZ720" s="15">
        <v>0.0</v>
      </c>
      <c r="FA720" s="15">
        <v>0.0</v>
      </c>
      <c r="FC720" s="15">
        <v>0.0</v>
      </c>
      <c r="HU720" s="15" t="s">
        <v>1610</v>
      </c>
    </row>
    <row r="721" ht="17.25" customHeight="1">
      <c r="A721" s="15" t="s">
        <v>7831</v>
      </c>
      <c r="B721" s="15" t="str">
        <f>"801542183677"</f>
        <v>801542183677</v>
      </c>
      <c r="C721" s="15" t="s">
        <v>20036</v>
      </c>
      <c r="D721" s="15" t="str">
        <f t="shared" si="1"/>
        <v>Olson Swivel ChairSonoma Black</v>
      </c>
      <c r="E721" s="15" t="s">
        <v>7824</v>
      </c>
      <c r="F721" s="15" t="s">
        <v>397</v>
      </c>
      <c r="G721" s="15" t="s">
        <v>4231</v>
      </c>
      <c r="J721" s="15" t="s">
        <v>4231</v>
      </c>
      <c r="M721" s="15" t="s">
        <v>1628</v>
      </c>
      <c r="N721" s="15" t="s">
        <v>706</v>
      </c>
      <c r="O721" s="15" t="s">
        <v>707</v>
      </c>
      <c r="P721" s="15" t="str">
        <f t="shared" si="2056"/>
        <v>30</v>
      </c>
      <c r="Q721" s="15" t="str">
        <f t="shared" si="2057"/>
        <v>36</v>
      </c>
      <c r="R721" s="15" t="str">
        <f t="shared" si="2066"/>
        <v>32</v>
      </c>
      <c r="S721" s="15" t="str">
        <f t="shared" si="2067"/>
        <v>70.55</v>
      </c>
      <c r="T721" s="15" t="s">
        <v>1600</v>
      </c>
      <c r="U721" s="15" t="s">
        <v>11137</v>
      </c>
      <c r="AA721" s="15" t="s">
        <v>413</v>
      </c>
      <c r="AB721" s="15" t="s">
        <v>413</v>
      </c>
      <c r="AC721" s="15" t="s">
        <v>7833</v>
      </c>
      <c r="AD721" s="15" t="s">
        <v>20037</v>
      </c>
      <c r="AE721" s="15" t="s">
        <v>7832</v>
      </c>
      <c r="AF721" s="15" t="s">
        <v>20038</v>
      </c>
      <c r="AG721" s="15" t="s">
        <v>20039</v>
      </c>
      <c r="AH721" s="15" t="s">
        <v>20040</v>
      </c>
      <c r="AI721" s="15" t="s">
        <v>20041</v>
      </c>
      <c r="AJ721" s="15" t="s">
        <v>20042</v>
      </c>
      <c r="AK721" s="15" t="s">
        <v>20043</v>
      </c>
      <c r="AL721" s="15" t="s">
        <v>20044</v>
      </c>
      <c r="AM721" s="15" t="s">
        <v>20045</v>
      </c>
      <c r="BH721" s="15" t="s">
        <v>7830</v>
      </c>
      <c r="BI721" s="15" t="str">
        <f t="shared" ref="BI721:BI722" si="2074">"2299"</f>
        <v>2299</v>
      </c>
      <c r="BJ721" s="15" t="str">
        <f t="shared" ref="BJ721:BJ722" si="2075">"970"</f>
        <v>970</v>
      </c>
      <c r="BK721" s="15" t="s">
        <v>709</v>
      </c>
      <c r="BL721" s="15" t="str">
        <f t="shared" si="2032"/>
        <v>1</v>
      </c>
      <c r="BM721" s="15" t="s">
        <v>7829</v>
      </c>
      <c r="BN721" s="15" t="str">
        <f t="shared" si="2068"/>
        <v>31.89</v>
      </c>
      <c r="BO721" s="15" t="str">
        <f t="shared" si="2069"/>
        <v>36.61</v>
      </c>
      <c r="BP721" s="15" t="str">
        <f t="shared" si="2070"/>
        <v>31.1</v>
      </c>
      <c r="BQ721" s="15" t="str">
        <f t="shared" si="2071"/>
        <v>92.59</v>
      </c>
      <c r="CG721" s="15" t="str">
        <f t="shared" si="2072"/>
        <v>19.03</v>
      </c>
      <c r="CH721" s="15" t="str">
        <f t="shared" si="2073"/>
        <v>0.539</v>
      </c>
      <c r="CI721" s="15" t="s">
        <v>465</v>
      </c>
      <c r="CP721" s="15" t="s">
        <v>1574</v>
      </c>
      <c r="CQ721" s="15" t="s">
        <v>1213</v>
      </c>
      <c r="CR721" s="15" t="s">
        <v>555</v>
      </c>
      <c r="CS721" s="15" t="s">
        <v>1072</v>
      </c>
      <c r="CT721" s="15" t="s">
        <v>1065</v>
      </c>
      <c r="CU721" s="15" t="s">
        <v>555</v>
      </c>
      <c r="CV721" s="15">
        <v>0.0</v>
      </c>
      <c r="CW721" s="15">
        <v>1.0</v>
      </c>
      <c r="CX721" s="15" t="s">
        <v>717</v>
      </c>
      <c r="CY721" s="15" t="s">
        <v>718</v>
      </c>
      <c r="DC721" s="15" t="s">
        <v>3543</v>
      </c>
      <c r="DF721" s="15" t="s">
        <v>721</v>
      </c>
      <c r="DG721" s="15" t="s">
        <v>1605</v>
      </c>
      <c r="DH721" s="15">
        <v>0.0</v>
      </c>
      <c r="DL721" s="15">
        <v>0.0</v>
      </c>
      <c r="DM721" s="15" t="s">
        <v>990</v>
      </c>
      <c r="DN721" s="15" t="s">
        <v>723</v>
      </c>
      <c r="DO721" s="15" t="s">
        <v>724</v>
      </c>
      <c r="DP721" s="15">
        <v>1.0</v>
      </c>
      <c r="DQ721" s="15">
        <v>1.0</v>
      </c>
      <c r="DS721" s="15" t="s">
        <v>7818</v>
      </c>
      <c r="DT721" s="15">
        <v>0.0</v>
      </c>
      <c r="DU721" s="15" t="s">
        <v>726</v>
      </c>
      <c r="DV721" s="15" t="s">
        <v>1286</v>
      </c>
      <c r="DW721" s="15" t="s">
        <v>1069</v>
      </c>
      <c r="DX721" s="15" t="s">
        <v>1739</v>
      </c>
      <c r="EB721" s="15" t="s">
        <v>1236</v>
      </c>
      <c r="EC721" s="15" t="s">
        <v>2116</v>
      </c>
      <c r="ED721" s="15" t="s">
        <v>1065</v>
      </c>
      <c r="EE721" s="15" t="s">
        <v>555</v>
      </c>
      <c r="EF721" s="15" t="s">
        <v>672</v>
      </c>
      <c r="EG721" s="15" t="s">
        <v>1808</v>
      </c>
      <c r="EH721" s="15" t="s">
        <v>1808</v>
      </c>
      <c r="EI721" s="15" t="s">
        <v>1592</v>
      </c>
      <c r="EL721" s="15" t="s">
        <v>723</v>
      </c>
      <c r="EM721" s="15" t="s">
        <v>724</v>
      </c>
      <c r="EN721" s="15" t="s">
        <v>2028</v>
      </c>
      <c r="EO721" s="15" t="s">
        <v>1290</v>
      </c>
      <c r="EZ721" s="15">
        <v>0.0</v>
      </c>
      <c r="FA721" s="15">
        <v>0.0</v>
      </c>
      <c r="FC721" s="15">
        <v>0.0</v>
      </c>
      <c r="HU721" s="15" t="s">
        <v>1610</v>
      </c>
    </row>
    <row r="722" ht="17.25" customHeight="1">
      <c r="A722" s="15" t="s">
        <v>7835</v>
      </c>
      <c r="B722" s="15" t="str">
        <f>"801542081249"</f>
        <v>801542081249</v>
      </c>
      <c r="C722" s="15" t="s">
        <v>20046</v>
      </c>
      <c r="D722" s="15" t="str">
        <f t="shared" si="1"/>
        <v>Olson Swivel ChairSonoma Butterscotch</v>
      </c>
      <c r="E722" s="15" t="s">
        <v>7824</v>
      </c>
      <c r="F722" s="15" t="s">
        <v>397</v>
      </c>
      <c r="G722" s="15" t="s">
        <v>3874</v>
      </c>
      <c r="J722" s="15" t="s">
        <v>3874</v>
      </c>
      <c r="M722" s="15" t="s">
        <v>1628</v>
      </c>
      <c r="N722" s="15" t="s">
        <v>706</v>
      </c>
      <c r="O722" s="15" t="s">
        <v>707</v>
      </c>
      <c r="P722" s="15" t="str">
        <f t="shared" si="2056"/>
        <v>30</v>
      </c>
      <c r="Q722" s="15" t="str">
        <f t="shared" si="2057"/>
        <v>36</v>
      </c>
      <c r="R722" s="15" t="str">
        <f t="shared" si="2066"/>
        <v>32</v>
      </c>
      <c r="S722" s="15" t="str">
        <f t="shared" si="2067"/>
        <v>70.55</v>
      </c>
      <c r="T722" s="15" t="s">
        <v>1600</v>
      </c>
      <c r="U722" s="15" t="s">
        <v>11137</v>
      </c>
      <c r="AA722" s="15" t="s">
        <v>413</v>
      </c>
      <c r="AB722" s="15" t="s">
        <v>413</v>
      </c>
      <c r="AC722" s="15" t="s">
        <v>7837</v>
      </c>
      <c r="AD722" s="15" t="s">
        <v>20047</v>
      </c>
      <c r="AE722" s="15" t="s">
        <v>7836</v>
      </c>
      <c r="AF722" s="15" t="s">
        <v>20048</v>
      </c>
      <c r="AG722" s="15" t="s">
        <v>20049</v>
      </c>
      <c r="AH722" s="15" t="s">
        <v>20050</v>
      </c>
      <c r="AI722" s="15" t="s">
        <v>20051</v>
      </c>
      <c r="AJ722" s="15" t="s">
        <v>20052</v>
      </c>
      <c r="AK722" s="15" t="s">
        <v>20053</v>
      </c>
      <c r="AL722" s="15" t="s">
        <v>20054</v>
      </c>
      <c r="AM722" s="15" t="s">
        <v>20055</v>
      </c>
      <c r="AN722" s="15" t="s">
        <v>20056</v>
      </c>
      <c r="AO722" s="15" t="s">
        <v>20057</v>
      </c>
      <c r="BH722" s="15" t="s">
        <v>7834</v>
      </c>
      <c r="BI722" s="15" t="str">
        <f t="shared" si="2074"/>
        <v>2299</v>
      </c>
      <c r="BJ722" s="15" t="str">
        <f t="shared" si="2075"/>
        <v>970</v>
      </c>
      <c r="BK722" s="15" t="s">
        <v>709</v>
      </c>
      <c r="BL722" s="15" t="str">
        <f t="shared" si="2032"/>
        <v>1</v>
      </c>
      <c r="BM722" s="15" t="s">
        <v>7838</v>
      </c>
      <c r="BN722" s="15" t="str">
        <f t="shared" si="2068"/>
        <v>31.89</v>
      </c>
      <c r="BO722" s="15" t="str">
        <f t="shared" si="2069"/>
        <v>36.61</v>
      </c>
      <c r="BP722" s="15" t="str">
        <f t="shared" si="2070"/>
        <v>31.1</v>
      </c>
      <c r="BQ722" s="15" t="str">
        <f t="shared" si="2071"/>
        <v>92.59</v>
      </c>
      <c r="CG722" s="15" t="str">
        <f t="shared" si="2072"/>
        <v>19.03</v>
      </c>
      <c r="CH722" s="15" t="str">
        <f t="shared" si="2073"/>
        <v>0.539</v>
      </c>
      <c r="CI722" s="15" t="s">
        <v>497</v>
      </c>
      <c r="CP722" s="15" t="s">
        <v>1574</v>
      </c>
      <c r="CQ722" s="15" t="s">
        <v>1213</v>
      </c>
      <c r="CR722" s="15" t="s">
        <v>555</v>
      </c>
      <c r="CS722" s="15" t="s">
        <v>1072</v>
      </c>
      <c r="CT722" s="15" t="s">
        <v>1065</v>
      </c>
      <c r="CU722" s="15" t="s">
        <v>555</v>
      </c>
      <c r="CV722" s="15">
        <v>0.0</v>
      </c>
      <c r="CW722" s="15">
        <v>1.0</v>
      </c>
      <c r="CX722" s="15" t="s">
        <v>717</v>
      </c>
      <c r="CY722" s="15" t="s">
        <v>718</v>
      </c>
      <c r="DC722" s="15" t="s">
        <v>3543</v>
      </c>
      <c r="DF722" s="15" t="s">
        <v>721</v>
      </c>
      <c r="DG722" s="15" t="s">
        <v>1605</v>
      </c>
      <c r="DH722" s="15">
        <v>0.0</v>
      </c>
      <c r="DL722" s="15">
        <v>0.0</v>
      </c>
      <c r="DM722" s="15" t="s">
        <v>990</v>
      </c>
      <c r="DN722" s="15" t="s">
        <v>723</v>
      </c>
      <c r="DO722" s="15" t="s">
        <v>724</v>
      </c>
      <c r="DP722" s="15">
        <v>1.0</v>
      </c>
      <c r="DQ722" s="15">
        <v>1.0</v>
      </c>
      <c r="DS722" s="15" t="s">
        <v>7818</v>
      </c>
      <c r="DT722" s="15">
        <v>0.0</v>
      </c>
      <c r="DU722" s="15" t="s">
        <v>726</v>
      </c>
      <c r="DV722" s="15" t="s">
        <v>1286</v>
      </c>
      <c r="DW722" s="15" t="s">
        <v>1069</v>
      </c>
      <c r="DX722" s="15" t="s">
        <v>1739</v>
      </c>
      <c r="EB722" s="15" t="s">
        <v>1236</v>
      </c>
      <c r="EC722" s="15" t="s">
        <v>2116</v>
      </c>
      <c r="ED722" s="15" t="s">
        <v>1065</v>
      </c>
      <c r="EE722" s="15" t="s">
        <v>555</v>
      </c>
      <c r="EF722" s="15" t="s">
        <v>672</v>
      </c>
      <c r="EG722" s="15" t="s">
        <v>1808</v>
      </c>
      <c r="EH722" s="15" t="s">
        <v>1808</v>
      </c>
      <c r="EI722" s="15" t="s">
        <v>1592</v>
      </c>
      <c r="EL722" s="15" t="s">
        <v>723</v>
      </c>
      <c r="EM722" s="15" t="s">
        <v>724</v>
      </c>
      <c r="EN722" s="15" t="s">
        <v>2028</v>
      </c>
      <c r="EO722" s="15" t="s">
        <v>1290</v>
      </c>
      <c r="EZ722" s="15">
        <v>0.0</v>
      </c>
      <c r="FA722" s="15">
        <v>0.0</v>
      </c>
      <c r="FC722" s="15">
        <v>0.0</v>
      </c>
      <c r="HU722" s="15" t="s">
        <v>1610</v>
      </c>
    </row>
    <row r="723" ht="17.25" customHeight="1">
      <c r="A723" s="15" t="s">
        <v>7842</v>
      </c>
      <c r="B723" s="15" t="str">
        <f>"801542377816"</f>
        <v>801542377816</v>
      </c>
      <c r="C723" s="15" t="s">
        <v>20058</v>
      </c>
      <c r="D723" s="15" t="str">
        <f t="shared" si="1"/>
        <v>Olympia Console TableWhite Carrara Marble</v>
      </c>
      <c r="E723" s="15" t="s">
        <v>7839</v>
      </c>
      <c r="F723" s="15" t="s">
        <v>397</v>
      </c>
      <c r="G723" s="15" t="s">
        <v>7841</v>
      </c>
      <c r="J723" s="15" t="s">
        <v>7841</v>
      </c>
      <c r="K723" s="15" t="s">
        <v>2938</v>
      </c>
      <c r="M723" s="15" t="s">
        <v>3185</v>
      </c>
      <c r="N723" s="15" t="s">
        <v>519</v>
      </c>
      <c r="P723" s="15" t="str">
        <f>"86"</f>
        <v>86</v>
      </c>
      <c r="Q723" s="15" t="str">
        <f>"19"</f>
        <v>19</v>
      </c>
      <c r="R723" s="15" t="str">
        <f t="shared" si="2066"/>
        <v>32</v>
      </c>
      <c r="S723" s="15" t="str">
        <f>"240.3"</f>
        <v>240.3</v>
      </c>
      <c r="T723" s="15" t="s">
        <v>7844</v>
      </c>
      <c r="U723" s="15" t="s">
        <v>20059</v>
      </c>
      <c r="V723" s="15" t="s">
        <v>10881</v>
      </c>
      <c r="AA723" s="15" t="s">
        <v>413</v>
      </c>
      <c r="AB723" s="15" t="s">
        <v>413</v>
      </c>
      <c r="AC723" s="15" t="s">
        <v>7845</v>
      </c>
      <c r="AD723" s="15" t="s">
        <v>20060</v>
      </c>
      <c r="AE723" s="15" t="s">
        <v>7843</v>
      </c>
      <c r="AF723" s="15" t="s">
        <v>20061</v>
      </c>
      <c r="AG723" s="15" t="s">
        <v>20062</v>
      </c>
      <c r="AH723" s="15" t="s">
        <v>20063</v>
      </c>
      <c r="AI723" s="15" t="s">
        <v>20064</v>
      </c>
      <c r="AJ723" s="15" t="s">
        <v>20065</v>
      </c>
      <c r="AK723" s="15" t="s">
        <v>20066</v>
      </c>
      <c r="AL723" s="15" t="s">
        <v>20067</v>
      </c>
      <c r="AM723" s="15" t="s">
        <v>20068</v>
      </c>
      <c r="AN723" s="15" t="s">
        <v>20069</v>
      </c>
      <c r="AO723" s="15" t="s">
        <v>20070</v>
      </c>
      <c r="AP723" s="15" t="s">
        <v>20071</v>
      </c>
      <c r="BH723" s="15" t="s">
        <v>7840</v>
      </c>
      <c r="BI723" s="15" t="str">
        <f>"3699"</f>
        <v>3699</v>
      </c>
      <c r="BJ723" s="15" t="str">
        <f>"1555"</f>
        <v>1555</v>
      </c>
      <c r="BK723" s="15" t="s">
        <v>709</v>
      </c>
      <c r="BL723" s="15" t="str">
        <f>"2"</f>
        <v>2</v>
      </c>
      <c r="BM723" s="15" t="s">
        <v>1564</v>
      </c>
      <c r="BN723" s="15" t="str">
        <f>"93.11"</f>
        <v>93.11</v>
      </c>
      <c r="BO723" s="15" t="str">
        <f>"8.46"</f>
        <v>8.46</v>
      </c>
      <c r="BP723" s="15" t="str">
        <f>"26.18"</f>
        <v>26.18</v>
      </c>
      <c r="BQ723" s="15" t="str">
        <f>"295.42"</f>
        <v>295.42</v>
      </c>
      <c r="BR723" s="15" t="s">
        <v>2238</v>
      </c>
      <c r="BS723" s="15" t="str">
        <f>"76.18"</f>
        <v>76.18</v>
      </c>
      <c r="BT723" s="15" t="str">
        <f>"10.24"</f>
        <v>10.24</v>
      </c>
      <c r="BU723" s="15" t="str">
        <f>"24.61"</f>
        <v>24.61</v>
      </c>
      <c r="BV723" s="15" t="str">
        <f>"90.39"</f>
        <v>90.39</v>
      </c>
      <c r="CG723" s="15" t="str">
        <f>"23.06"</f>
        <v>23.06</v>
      </c>
      <c r="CH723" s="15" t="str">
        <f>"0.653"</f>
        <v>0.653</v>
      </c>
      <c r="CI723" s="15" t="s">
        <v>465</v>
      </c>
      <c r="CZ723" s="15" t="s">
        <v>419</v>
      </c>
      <c r="DA723" s="15">
        <v>0.0</v>
      </c>
      <c r="DB723" s="15" t="s">
        <v>419</v>
      </c>
      <c r="DD723" s="15">
        <v>0.0</v>
      </c>
      <c r="DF723" s="15" t="s">
        <v>1388</v>
      </c>
      <c r="DG723" s="15" t="s">
        <v>419</v>
      </c>
      <c r="DK723" s="15">
        <v>0.0</v>
      </c>
      <c r="DR723" s="15" t="s">
        <v>471</v>
      </c>
      <c r="DS723" s="15" t="s">
        <v>7849</v>
      </c>
      <c r="DU723" s="15" t="s">
        <v>424</v>
      </c>
      <c r="EF723" s="15" t="s">
        <v>7850</v>
      </c>
      <c r="EH723" s="15" t="s">
        <v>7851</v>
      </c>
      <c r="EQ723" s="15" t="s">
        <v>5533</v>
      </c>
      <c r="ER723" s="15" t="s">
        <v>7852</v>
      </c>
      <c r="ES723" s="15" t="s">
        <v>759</v>
      </c>
      <c r="ET723" s="15" t="s">
        <v>1444</v>
      </c>
      <c r="EU723" s="15" t="s">
        <v>426</v>
      </c>
      <c r="EV723" s="15">
        <v>0.0</v>
      </c>
      <c r="EW723" s="15">
        <v>0.0</v>
      </c>
      <c r="FF723" s="15" t="s">
        <v>670</v>
      </c>
      <c r="FQ723" s="15">
        <v>0.0</v>
      </c>
      <c r="FR723" s="15" t="s">
        <v>427</v>
      </c>
    </row>
    <row r="724" ht="17.25" customHeight="1">
      <c r="A724" s="15" t="s">
        <v>7856</v>
      </c>
      <c r="B724" s="15" t="str">
        <f>"801542373191"</f>
        <v>801542373191</v>
      </c>
      <c r="C724" s="15" t="s">
        <v>20072</v>
      </c>
      <c r="D724" s="15" t="str">
        <f t="shared" si="1"/>
        <v>Oman Console TableRustic Black Veneer</v>
      </c>
      <c r="E724" s="15" t="s">
        <v>7853</v>
      </c>
      <c r="F724" s="15" t="s">
        <v>397</v>
      </c>
      <c r="G724" s="15" t="s">
        <v>7855</v>
      </c>
      <c r="J724" s="15" t="s">
        <v>7855</v>
      </c>
      <c r="M724" s="15" t="s">
        <v>751</v>
      </c>
      <c r="N724" s="15" t="s">
        <v>519</v>
      </c>
      <c r="P724" s="15" t="str">
        <f>"78"</f>
        <v>78</v>
      </c>
      <c r="Q724" s="15" t="str">
        <f>"18"</f>
        <v>18</v>
      </c>
      <c r="R724" s="15" t="str">
        <f t="shared" si="2066"/>
        <v>32</v>
      </c>
      <c r="S724" s="15" t="str">
        <f>"108.03"</f>
        <v>108.03</v>
      </c>
      <c r="T724" s="15" t="s">
        <v>7858</v>
      </c>
      <c r="U724" s="15" t="s">
        <v>11553</v>
      </c>
      <c r="V724" s="15" t="s">
        <v>11138</v>
      </c>
      <c r="AA724" s="15" t="s">
        <v>413</v>
      </c>
      <c r="AB724" s="15" t="s">
        <v>413</v>
      </c>
      <c r="AC724" s="15" t="s">
        <v>7859</v>
      </c>
      <c r="AD724" s="15" t="s">
        <v>20073</v>
      </c>
      <c r="AE724" s="15" t="s">
        <v>7857</v>
      </c>
      <c r="AF724" s="15" t="s">
        <v>20074</v>
      </c>
      <c r="AG724" s="15" t="s">
        <v>20075</v>
      </c>
      <c r="AH724" s="15" t="s">
        <v>20076</v>
      </c>
      <c r="AI724" s="15" t="s">
        <v>20077</v>
      </c>
      <c r="AJ724" s="15" t="s">
        <v>20078</v>
      </c>
      <c r="AK724" s="15" t="s">
        <v>20079</v>
      </c>
      <c r="AL724" s="15" t="s">
        <v>20080</v>
      </c>
      <c r="AM724" s="15" t="s">
        <v>20081</v>
      </c>
      <c r="BH724" s="15" t="s">
        <v>7854</v>
      </c>
      <c r="BI724" s="15" t="str">
        <f>"1899"</f>
        <v>1899</v>
      </c>
      <c r="BJ724" s="15" t="str">
        <f>"800"</f>
        <v>800</v>
      </c>
      <c r="BK724" s="15" t="s">
        <v>742</v>
      </c>
      <c r="BL724" s="15" t="str">
        <f t="shared" ref="BL724:BL736" si="2076">"1"</f>
        <v>1</v>
      </c>
      <c r="BM724" s="15" t="s">
        <v>416</v>
      </c>
      <c r="BN724" s="15" t="str">
        <f>"82.68"</f>
        <v>82.68</v>
      </c>
      <c r="BO724" s="15" t="str">
        <f>"21.65"</f>
        <v>21.65</v>
      </c>
      <c r="BP724" s="15" t="str">
        <f>"13.98"</f>
        <v>13.98</v>
      </c>
      <c r="BQ724" s="15" t="str">
        <f>"134.48"</f>
        <v>134.48</v>
      </c>
      <c r="CG724" s="15" t="str">
        <f>"14.48"</f>
        <v>14.48</v>
      </c>
      <c r="CH724" s="15" t="str">
        <f>"0.41"</f>
        <v>0.41</v>
      </c>
      <c r="CI724" s="15" t="s">
        <v>465</v>
      </c>
      <c r="CZ724" s="15" t="s">
        <v>419</v>
      </c>
      <c r="DA724" s="15">
        <v>0.0</v>
      </c>
      <c r="DB724" s="15" t="s">
        <v>419</v>
      </c>
      <c r="DD724" s="15">
        <v>0.0</v>
      </c>
      <c r="DF724" s="15" t="s">
        <v>420</v>
      </c>
      <c r="DG724" s="15" t="s">
        <v>419</v>
      </c>
      <c r="DK724" s="15">
        <v>0.0</v>
      </c>
      <c r="DR724" s="15" t="s">
        <v>471</v>
      </c>
      <c r="DS724" s="15" t="s">
        <v>7860</v>
      </c>
      <c r="DU724" s="15" t="s">
        <v>424</v>
      </c>
      <c r="EF724" s="15" t="s">
        <v>4946</v>
      </c>
      <c r="EG724" s="15" t="s">
        <v>1549</v>
      </c>
      <c r="EH724" s="15" t="s">
        <v>7861</v>
      </c>
      <c r="EQ724" s="15" t="s">
        <v>7862</v>
      </c>
      <c r="ER724" s="15" t="s">
        <v>7863</v>
      </c>
      <c r="ES724" s="15" t="s">
        <v>7862</v>
      </c>
      <c r="ET724" s="15" t="s">
        <v>784</v>
      </c>
      <c r="EU724" s="15" t="s">
        <v>426</v>
      </c>
      <c r="EV724" s="15">
        <v>0.0</v>
      </c>
      <c r="EW724" s="15">
        <v>0.0</v>
      </c>
      <c r="FQ724" s="15">
        <v>0.0</v>
      </c>
      <c r="FR724" s="15" t="s">
        <v>427</v>
      </c>
    </row>
    <row r="725" ht="17.25" customHeight="1">
      <c r="A725" s="15" t="s">
        <v>7866</v>
      </c>
      <c r="B725" s="15" t="str">
        <f>"198394058599"</f>
        <v>198394058599</v>
      </c>
      <c r="C725" s="15" t="s">
        <v>20082</v>
      </c>
      <c r="D725" s="15" t="str">
        <f t="shared" si="1"/>
        <v>Oman Dining TableRustic Black Veneer</v>
      </c>
      <c r="E725" s="15" t="s">
        <v>7864</v>
      </c>
      <c r="F725" s="15" t="s">
        <v>397</v>
      </c>
      <c r="G725" s="15" t="s">
        <v>7855</v>
      </c>
      <c r="J725" s="15" t="s">
        <v>7855</v>
      </c>
      <c r="M725" s="15" t="s">
        <v>751</v>
      </c>
      <c r="N725" s="15" t="s">
        <v>548</v>
      </c>
      <c r="O725" s="15" t="s">
        <v>549</v>
      </c>
      <c r="P725" s="15" t="str">
        <f>"96"</f>
        <v>96</v>
      </c>
      <c r="Q725" s="15" t="str">
        <f>"42"</f>
        <v>42</v>
      </c>
      <c r="R725" s="15" t="str">
        <f>"30"</f>
        <v>30</v>
      </c>
      <c r="S725" s="15" t="str">
        <f>"159.83"</f>
        <v>159.83</v>
      </c>
      <c r="T725" s="15" t="s">
        <v>7858</v>
      </c>
      <c r="U725" s="15" t="s">
        <v>11553</v>
      </c>
      <c r="V725" s="15" t="s">
        <v>11138</v>
      </c>
      <c r="AA725" s="15" t="s">
        <v>413</v>
      </c>
      <c r="AB725" s="15" t="s">
        <v>413</v>
      </c>
      <c r="AC725" s="15" t="s">
        <v>7868</v>
      </c>
      <c r="AD725" s="15" t="s">
        <v>20083</v>
      </c>
      <c r="AE725" s="15" t="s">
        <v>7867</v>
      </c>
      <c r="AF725" s="15" t="s">
        <v>20084</v>
      </c>
      <c r="AG725" s="15" t="s">
        <v>20085</v>
      </c>
      <c r="AH725" s="15" t="s">
        <v>20086</v>
      </c>
      <c r="AI725" s="15" t="s">
        <v>20087</v>
      </c>
      <c r="AJ725" s="15" t="s">
        <v>20088</v>
      </c>
      <c r="AK725" s="15" t="s">
        <v>20089</v>
      </c>
      <c r="AL725" s="15" t="s">
        <v>20090</v>
      </c>
      <c r="AM725" s="15" t="s">
        <v>20091</v>
      </c>
      <c r="AN725" s="15" t="s">
        <v>20092</v>
      </c>
      <c r="AO725" s="15" t="s">
        <v>20093</v>
      </c>
      <c r="BH725" s="15" t="s">
        <v>7865</v>
      </c>
      <c r="BI725" s="15" t="str">
        <f>"2999"</f>
        <v>2999</v>
      </c>
      <c r="BJ725" s="15" t="str">
        <f>"1260"</f>
        <v>1260</v>
      </c>
      <c r="BK725" s="15" t="s">
        <v>742</v>
      </c>
      <c r="BL725" s="15" t="str">
        <f t="shared" si="2076"/>
        <v>1</v>
      </c>
      <c r="BM725" s="15" t="s">
        <v>7869</v>
      </c>
      <c r="BN725" s="15" t="str">
        <f>"102.95"</f>
        <v>102.95</v>
      </c>
      <c r="BO725" s="15" t="str">
        <f>"8.66"</f>
        <v>8.66</v>
      </c>
      <c r="BP725" s="15" t="str">
        <f>"46.65"</f>
        <v>46.65</v>
      </c>
      <c r="BQ725" s="15" t="str">
        <f>"205.03"</f>
        <v>205.03</v>
      </c>
      <c r="CG725" s="15" t="str">
        <f>"24.08"</f>
        <v>24.08</v>
      </c>
      <c r="CH725" s="15" t="str">
        <f>"0.682"</f>
        <v>0.682</v>
      </c>
      <c r="CI725" s="15" t="s">
        <v>497</v>
      </c>
      <c r="CZ725" s="15" t="s">
        <v>419</v>
      </c>
      <c r="DA725" s="15">
        <v>0.0</v>
      </c>
      <c r="DB725" s="15" t="s">
        <v>419</v>
      </c>
      <c r="DD725" s="15">
        <v>0.0</v>
      </c>
      <c r="DF725" s="15" t="s">
        <v>420</v>
      </c>
      <c r="DG725" s="15" t="s">
        <v>419</v>
      </c>
      <c r="DI725" s="15">
        <v>0.0</v>
      </c>
      <c r="DJ725" s="15">
        <v>0.0</v>
      </c>
      <c r="DK725" s="15">
        <v>0.0</v>
      </c>
      <c r="DQ725" s="15">
        <v>10.0</v>
      </c>
      <c r="DR725" s="15" t="s">
        <v>471</v>
      </c>
      <c r="DS725" s="15" t="s">
        <v>7860</v>
      </c>
      <c r="DU725" s="15" t="s">
        <v>424</v>
      </c>
      <c r="EF725" s="15" t="s">
        <v>7872</v>
      </c>
      <c r="EG725" s="15" t="s">
        <v>7873</v>
      </c>
      <c r="EH725" s="15" t="s">
        <v>7874</v>
      </c>
      <c r="EQ725" s="15" t="s">
        <v>7875</v>
      </c>
      <c r="ER725" s="15" t="s">
        <v>3720</v>
      </c>
      <c r="ES725" s="15" t="s">
        <v>7875</v>
      </c>
      <c r="ET725" s="15" t="s">
        <v>784</v>
      </c>
      <c r="EU725" s="15" t="s">
        <v>426</v>
      </c>
      <c r="EV725" s="15">
        <v>0.0</v>
      </c>
      <c r="EW725" s="15">
        <v>0.0</v>
      </c>
      <c r="FD725" s="15" t="s">
        <v>759</v>
      </c>
      <c r="FE725" s="15" t="s">
        <v>7872</v>
      </c>
      <c r="FG725" s="15" t="s">
        <v>559</v>
      </c>
    </row>
    <row r="726" ht="17.25" customHeight="1">
      <c r="A726" s="15" t="s">
        <v>7878</v>
      </c>
      <c r="B726" s="15" t="str">
        <f>"801542129347"</f>
        <v>801542129347</v>
      </c>
      <c r="C726" s="15" t="s">
        <v>20094</v>
      </c>
      <c r="D726" s="15" t="str">
        <f t="shared" si="1"/>
        <v>Ophelia ArmoireAged Brown</v>
      </c>
      <c r="E726" s="15" t="s">
        <v>7876</v>
      </c>
      <c r="F726" s="15" t="s">
        <v>397</v>
      </c>
      <c r="G726" s="15" t="s">
        <v>3974</v>
      </c>
      <c r="J726" s="15" t="s">
        <v>3974</v>
      </c>
      <c r="M726" s="15" t="s">
        <v>2677</v>
      </c>
      <c r="N726" s="15" t="s">
        <v>412</v>
      </c>
      <c r="P726" s="15" t="str">
        <f>"40"</f>
        <v>40</v>
      </c>
      <c r="Q726" s="15" t="str">
        <f>"26"</f>
        <v>26</v>
      </c>
      <c r="R726" s="15" t="str">
        <f>"68"</f>
        <v>68</v>
      </c>
      <c r="S726" s="15" t="str">
        <f>"226.3"</f>
        <v>226.3</v>
      </c>
      <c r="T726" s="15" t="s">
        <v>3369</v>
      </c>
      <c r="U726" s="15" t="s">
        <v>13228</v>
      </c>
      <c r="AA726" s="15" t="s">
        <v>413</v>
      </c>
      <c r="AB726" s="15" t="s">
        <v>413</v>
      </c>
      <c r="AC726" s="15" t="s">
        <v>7881</v>
      </c>
      <c r="AD726" s="15" t="s">
        <v>20095</v>
      </c>
      <c r="AE726" s="15" t="s">
        <v>7880</v>
      </c>
      <c r="AF726" s="15" t="s">
        <v>20096</v>
      </c>
      <c r="AG726" s="15" t="s">
        <v>20097</v>
      </c>
      <c r="AH726" s="15" t="s">
        <v>20098</v>
      </c>
      <c r="AI726" s="15" t="s">
        <v>20099</v>
      </c>
      <c r="AJ726" s="15" t="s">
        <v>20100</v>
      </c>
      <c r="AK726" s="15" t="s">
        <v>20101</v>
      </c>
      <c r="AL726" s="15" t="s">
        <v>20102</v>
      </c>
      <c r="AM726" s="15" t="s">
        <v>20103</v>
      </c>
      <c r="AN726" s="15" t="s">
        <v>20104</v>
      </c>
      <c r="AO726" s="15" t="s">
        <v>20105</v>
      </c>
      <c r="AP726" s="15" t="s">
        <v>20106</v>
      </c>
      <c r="BH726" s="15" t="s">
        <v>7877</v>
      </c>
      <c r="BI726" s="15" t="str">
        <f>"2599"</f>
        <v>2599</v>
      </c>
      <c r="BJ726" s="15" t="str">
        <f>"1095"</f>
        <v>1095</v>
      </c>
      <c r="BK726" s="15" t="s">
        <v>1303</v>
      </c>
      <c r="BL726" s="15" t="str">
        <f t="shared" si="2076"/>
        <v>1</v>
      </c>
      <c r="BM726" s="15" t="s">
        <v>416</v>
      </c>
      <c r="BN726" s="15" t="str">
        <f>"43"</f>
        <v>43</v>
      </c>
      <c r="BO726" s="15" t="str">
        <f>"29.5"</f>
        <v>29.5</v>
      </c>
      <c r="BP726" s="15" t="str">
        <f>"64.25"</f>
        <v>64.25</v>
      </c>
      <c r="BQ726" s="15" t="str">
        <f>"260.55"</f>
        <v>260.55</v>
      </c>
      <c r="CG726" s="15" t="str">
        <f>"47.18"</f>
        <v>47.18</v>
      </c>
      <c r="CH726" s="15" t="str">
        <f>"1.336"</f>
        <v>1.336</v>
      </c>
      <c r="CI726" s="15" t="s">
        <v>497</v>
      </c>
      <c r="CM726" s="15" t="s">
        <v>636</v>
      </c>
      <c r="CN726" s="15" t="s">
        <v>7883</v>
      </c>
      <c r="CO726" s="15" t="s">
        <v>7884</v>
      </c>
      <c r="CZ726" s="15" t="s">
        <v>4002</v>
      </c>
      <c r="DA726" s="15">
        <v>2.0</v>
      </c>
      <c r="DB726" s="15" t="s">
        <v>2604</v>
      </c>
      <c r="DD726" s="15">
        <v>0.0</v>
      </c>
      <c r="DF726" s="15" t="s">
        <v>420</v>
      </c>
      <c r="DG726" s="15" t="s">
        <v>610</v>
      </c>
      <c r="DK726" s="15">
        <v>1.0</v>
      </c>
      <c r="DS726" s="15" t="s">
        <v>7885</v>
      </c>
      <c r="EF726" s="15" t="s">
        <v>2498</v>
      </c>
      <c r="EH726" s="15" t="s">
        <v>2403</v>
      </c>
      <c r="EU726" s="15" t="s">
        <v>426</v>
      </c>
      <c r="EV726" s="15">
        <v>2.0</v>
      </c>
      <c r="FH726" s="15" t="s">
        <v>7886</v>
      </c>
      <c r="FI726" s="15" t="s">
        <v>1188</v>
      </c>
      <c r="FJ726" s="15" t="s">
        <v>466</v>
      </c>
      <c r="FK726" s="15" t="s">
        <v>555</v>
      </c>
      <c r="FL726" s="15" t="s">
        <v>1188</v>
      </c>
      <c r="FM726" s="15" t="s">
        <v>467</v>
      </c>
      <c r="FN726" s="15">
        <v>0.0</v>
      </c>
      <c r="FP726" s="15" t="s">
        <v>785</v>
      </c>
      <c r="FQ726" s="15">
        <v>2.0</v>
      </c>
      <c r="FR726" s="15" t="s">
        <v>614</v>
      </c>
      <c r="FS726" s="15" t="s">
        <v>786</v>
      </c>
      <c r="FT726" s="15">
        <v>0.0</v>
      </c>
      <c r="FU726" s="15" t="s">
        <v>426</v>
      </c>
      <c r="FW726" s="15" t="s">
        <v>616</v>
      </c>
      <c r="FX726" s="15" t="s">
        <v>426</v>
      </c>
      <c r="FZ726" s="15" t="s">
        <v>2618</v>
      </c>
      <c r="GA726" s="15" t="s">
        <v>2618</v>
      </c>
      <c r="GB726" s="15" t="s">
        <v>1069</v>
      </c>
      <c r="GC726" s="15" t="s">
        <v>2116</v>
      </c>
      <c r="GD726" s="15" t="s">
        <v>6018</v>
      </c>
      <c r="GE726" s="15" t="s">
        <v>6018</v>
      </c>
      <c r="GF726" s="15" t="s">
        <v>2604</v>
      </c>
      <c r="GH726" s="15" t="s">
        <v>764</v>
      </c>
      <c r="GI726" s="15" t="s">
        <v>426</v>
      </c>
      <c r="GJ726" s="15" t="s">
        <v>555</v>
      </c>
      <c r="GK726" s="15" t="s">
        <v>1213</v>
      </c>
      <c r="GL726" s="15" t="s">
        <v>467</v>
      </c>
      <c r="KQ726" s="15" t="s">
        <v>7887</v>
      </c>
      <c r="KR726" s="15" t="s">
        <v>1188</v>
      </c>
      <c r="KS726" s="15" t="s">
        <v>466</v>
      </c>
    </row>
    <row r="727" ht="17.25" customHeight="1">
      <c r="A727" s="15" t="s">
        <v>7891</v>
      </c>
      <c r="B727" s="15" t="str">
        <f>"801542639143"</f>
        <v>801542639143</v>
      </c>
      <c r="C727" s="15" t="s">
        <v>20107</v>
      </c>
      <c r="D727" s="15" t="str">
        <f t="shared" si="1"/>
        <v>Ortega Wine RackSmoked Mango</v>
      </c>
      <c r="E727" s="15" t="s">
        <v>7888</v>
      </c>
      <c r="F727" s="15" t="s">
        <v>397</v>
      </c>
      <c r="G727" s="15" t="s">
        <v>7890</v>
      </c>
      <c r="J727" s="15" t="s">
        <v>7890</v>
      </c>
      <c r="K727" s="15" t="s">
        <v>1850</v>
      </c>
      <c r="M727" s="15" t="s">
        <v>2630</v>
      </c>
      <c r="N727" s="15" t="s">
        <v>1914</v>
      </c>
      <c r="P727" s="15" t="str">
        <f>"37"</f>
        <v>37</v>
      </c>
      <c r="Q727" s="15" t="str">
        <f>"6.5"</f>
        <v>6.5</v>
      </c>
      <c r="R727" s="15" t="str">
        <f>"72"</f>
        <v>72</v>
      </c>
      <c r="S727" s="15" t="str">
        <f>"88.31"</f>
        <v>88.31</v>
      </c>
      <c r="T727" s="15" t="s">
        <v>4891</v>
      </c>
      <c r="U727" s="15" t="s">
        <v>13228</v>
      </c>
      <c r="V727" s="15" t="s">
        <v>11139</v>
      </c>
      <c r="AA727" s="15" t="s">
        <v>413</v>
      </c>
      <c r="AB727" s="15" t="s">
        <v>413</v>
      </c>
      <c r="AC727" s="15" t="s">
        <v>7895</v>
      </c>
      <c r="AD727" s="15" t="s">
        <v>20108</v>
      </c>
      <c r="AE727" s="15" t="s">
        <v>7893</v>
      </c>
      <c r="AF727" s="15" t="s">
        <v>20109</v>
      </c>
      <c r="AG727" s="15" t="s">
        <v>20110</v>
      </c>
      <c r="AH727" s="15" t="s">
        <v>20111</v>
      </c>
      <c r="AI727" s="15" t="s">
        <v>20112</v>
      </c>
      <c r="AJ727" s="15" t="s">
        <v>20113</v>
      </c>
      <c r="AK727" s="15" t="s">
        <v>20114</v>
      </c>
      <c r="AL727" s="15" t="s">
        <v>20115</v>
      </c>
      <c r="AM727" s="15" t="s">
        <v>20116</v>
      </c>
      <c r="AN727" s="15" t="s">
        <v>20117</v>
      </c>
      <c r="AO727" s="15" t="s">
        <v>20118</v>
      </c>
      <c r="AP727" s="15" t="s">
        <v>20119</v>
      </c>
      <c r="BH727" s="15" t="s">
        <v>7889</v>
      </c>
      <c r="BI727" s="15" t="str">
        <f>"949"</f>
        <v>949</v>
      </c>
      <c r="BJ727" s="15" t="str">
        <f>"400"</f>
        <v>400</v>
      </c>
      <c r="BK727" s="15" t="s">
        <v>1303</v>
      </c>
      <c r="BL727" s="15" t="str">
        <f t="shared" si="2076"/>
        <v>1</v>
      </c>
      <c r="BM727" s="15" t="s">
        <v>416</v>
      </c>
      <c r="BN727" s="15" t="str">
        <f>"75.5"</f>
        <v>75.5</v>
      </c>
      <c r="BO727" s="15" t="str">
        <f>"11"</f>
        <v>11</v>
      </c>
      <c r="BP727" s="15" t="str">
        <f>"41"</f>
        <v>41</v>
      </c>
      <c r="BQ727" s="15" t="str">
        <f>"115"</f>
        <v>115</v>
      </c>
      <c r="CG727" s="15" t="str">
        <f>"19.71"</f>
        <v>19.71</v>
      </c>
      <c r="CH727" s="15" t="str">
        <f>"0.558"</f>
        <v>0.558</v>
      </c>
      <c r="CI727" s="15" t="s">
        <v>497</v>
      </c>
      <c r="DS727" s="15" t="s">
        <v>7897</v>
      </c>
      <c r="KJ727" s="15" t="s">
        <v>762</v>
      </c>
      <c r="KK727" s="15" t="s">
        <v>4591</v>
      </c>
      <c r="KL727" s="15" t="s">
        <v>2403</v>
      </c>
      <c r="KM727" s="15">
        <v>1.0</v>
      </c>
    </row>
    <row r="728" ht="17.25" customHeight="1">
      <c r="A728" s="15" t="s">
        <v>7900</v>
      </c>
      <c r="B728" s="15" t="str">
        <f>"801542991661"</f>
        <v>801542991661</v>
      </c>
      <c r="C728" s="15" t="s">
        <v>20120</v>
      </c>
      <c r="D728" s="15" t="str">
        <f t="shared" si="1"/>
        <v>Orwin Wide BookshelfSmoked Black Oak</v>
      </c>
      <c r="E728" s="15" t="s">
        <v>7898</v>
      </c>
      <c r="F728" s="15" t="s">
        <v>397</v>
      </c>
      <c r="G728" s="15" t="s">
        <v>5012</v>
      </c>
      <c r="J728" s="15" t="s">
        <v>5012</v>
      </c>
      <c r="K728" s="15" t="s">
        <v>6969</v>
      </c>
      <c r="M728" s="15" t="s">
        <v>2063</v>
      </c>
      <c r="N728" s="15" t="s">
        <v>1899</v>
      </c>
      <c r="P728" s="15" t="str">
        <f t="shared" ref="P728:P729" si="2077">"84"</f>
        <v>84</v>
      </c>
      <c r="Q728" s="15" t="str">
        <f t="shared" ref="Q728:Q729" si="2078">"18"</f>
        <v>18</v>
      </c>
      <c r="R728" s="15" t="str">
        <f t="shared" ref="R728:R729" si="2079">"77"</f>
        <v>77</v>
      </c>
      <c r="S728" s="15" t="str">
        <f t="shared" ref="S728:S729" si="2080">"326.28"</f>
        <v>326.28</v>
      </c>
      <c r="T728" s="15" t="s">
        <v>4874</v>
      </c>
      <c r="U728" s="15" t="s">
        <v>11338</v>
      </c>
      <c r="V728" s="15" t="s">
        <v>10881</v>
      </c>
      <c r="AA728" s="15" t="s">
        <v>413</v>
      </c>
      <c r="AB728" s="15" t="s">
        <v>413</v>
      </c>
      <c r="AC728" s="15" t="s">
        <v>7903</v>
      </c>
      <c r="AD728" s="15" t="s">
        <v>20121</v>
      </c>
      <c r="AE728" s="15" t="s">
        <v>7902</v>
      </c>
      <c r="AF728" s="15" t="s">
        <v>20122</v>
      </c>
      <c r="AG728" s="15" t="s">
        <v>20123</v>
      </c>
      <c r="AH728" s="15" t="s">
        <v>20124</v>
      </c>
      <c r="AI728" s="15" t="s">
        <v>20125</v>
      </c>
      <c r="AJ728" s="15" t="s">
        <v>20126</v>
      </c>
      <c r="AK728" s="15" t="s">
        <v>20127</v>
      </c>
      <c r="AL728" s="15" t="s">
        <v>20128</v>
      </c>
      <c r="AM728" s="15" t="s">
        <v>20129</v>
      </c>
      <c r="AN728" s="15" t="s">
        <v>20130</v>
      </c>
      <c r="AO728" s="15" t="s">
        <v>20131</v>
      </c>
      <c r="BH728" s="15" t="s">
        <v>7899</v>
      </c>
      <c r="BI728" s="15" t="str">
        <f>"4499"</f>
        <v>4499</v>
      </c>
      <c r="BJ728" s="15" t="str">
        <f>"1890"</f>
        <v>1890</v>
      </c>
      <c r="BK728" s="15" t="s">
        <v>742</v>
      </c>
      <c r="BL728" s="15" t="str">
        <f t="shared" si="2076"/>
        <v>1</v>
      </c>
      <c r="BM728" s="15" t="s">
        <v>416</v>
      </c>
      <c r="BN728" s="15" t="str">
        <f t="shared" ref="BN728:BN729" si="2081">"89.76"</f>
        <v>89.76</v>
      </c>
      <c r="BO728" s="15" t="str">
        <f t="shared" ref="BO728:BO729" si="2082">"23.62"</f>
        <v>23.62</v>
      </c>
      <c r="BP728" s="15" t="str">
        <f t="shared" ref="BP728:BP729" si="2083">"82.28"</f>
        <v>82.28</v>
      </c>
      <c r="BQ728" s="15" t="str">
        <f t="shared" ref="BQ728:BQ729" si="2084">"455.25"</f>
        <v>455.25</v>
      </c>
      <c r="CG728" s="15" t="str">
        <f t="shared" ref="CG728:CG729" si="2085">"100.96"</f>
        <v>100.96</v>
      </c>
      <c r="CH728" s="15" t="str">
        <f t="shared" ref="CH728:CH729" si="2086">"2.859"</f>
        <v>2.859</v>
      </c>
      <c r="CI728" s="15" t="s">
        <v>497</v>
      </c>
      <c r="CJ728" s="15" t="s">
        <v>2648</v>
      </c>
      <c r="CK728" s="15" t="s">
        <v>4685</v>
      </c>
      <c r="CL728" s="15" t="s">
        <v>3958</v>
      </c>
      <c r="CM728" s="15" t="s">
        <v>2648</v>
      </c>
      <c r="CN728" s="15" t="s">
        <v>2143</v>
      </c>
      <c r="CO728" s="15" t="s">
        <v>3958</v>
      </c>
      <c r="CZ728" s="15" t="s">
        <v>419</v>
      </c>
      <c r="DA728" s="15">
        <v>0.0</v>
      </c>
      <c r="DB728" s="15" t="s">
        <v>419</v>
      </c>
      <c r="DD728" s="15">
        <v>2.0</v>
      </c>
      <c r="DE728" s="15" t="s">
        <v>426</v>
      </c>
      <c r="DF728" s="15" t="s">
        <v>420</v>
      </c>
      <c r="DG728" s="15" t="s">
        <v>610</v>
      </c>
      <c r="DI728" s="15">
        <v>18.14</v>
      </c>
      <c r="DJ728" s="15">
        <v>40.0</v>
      </c>
      <c r="DK728" s="15">
        <v>0.0</v>
      </c>
      <c r="DR728" s="15" t="s">
        <v>1915</v>
      </c>
      <c r="DS728" s="15" t="s">
        <v>7906</v>
      </c>
      <c r="EF728" s="15" t="s">
        <v>1955</v>
      </c>
      <c r="EU728" s="15" t="s">
        <v>426</v>
      </c>
      <c r="EV728" s="15">
        <v>3.0</v>
      </c>
      <c r="FH728" s="15" t="s">
        <v>1604</v>
      </c>
      <c r="FI728" s="15" t="s">
        <v>612</v>
      </c>
      <c r="FJ728" s="15" t="s">
        <v>7907</v>
      </c>
      <c r="FP728" s="15" t="s">
        <v>1883</v>
      </c>
      <c r="FQ728" s="15">
        <v>8.0</v>
      </c>
      <c r="FR728" s="15" t="s">
        <v>614</v>
      </c>
      <c r="FS728" s="15" t="s">
        <v>615</v>
      </c>
      <c r="GJ728" s="15" t="s">
        <v>2648</v>
      </c>
      <c r="GK728" s="15" t="s">
        <v>2143</v>
      </c>
      <c r="GL728" s="15" t="s">
        <v>3958</v>
      </c>
      <c r="GZ728" s="15" t="s">
        <v>2648</v>
      </c>
      <c r="HA728" s="15" t="s">
        <v>5532</v>
      </c>
      <c r="HB728" s="15" t="s">
        <v>2143</v>
      </c>
      <c r="HC728" s="15" t="s">
        <v>3053</v>
      </c>
      <c r="HD728" s="15" t="s">
        <v>3958</v>
      </c>
      <c r="HE728" s="15" t="s">
        <v>2622</v>
      </c>
      <c r="HP728" s="15" t="s">
        <v>426</v>
      </c>
      <c r="KG728" s="15" t="s">
        <v>5532</v>
      </c>
      <c r="KH728" s="15" t="s">
        <v>3053</v>
      </c>
      <c r="KI728" s="15" t="s">
        <v>2622</v>
      </c>
    </row>
    <row r="729" ht="17.25" customHeight="1">
      <c r="A729" s="15" t="s">
        <v>7909</v>
      </c>
      <c r="B729" s="15" t="str">
        <f>"198394013185"</f>
        <v>198394013185</v>
      </c>
      <c r="C729" s="15" t="s">
        <v>20132</v>
      </c>
      <c r="D729" s="15" t="str">
        <f t="shared" si="1"/>
        <v>Orwin Wide BookshelfWorn Oak</v>
      </c>
      <c r="E729" s="15" t="s">
        <v>7898</v>
      </c>
      <c r="F729" s="15" t="s">
        <v>397</v>
      </c>
      <c r="G729" s="15" t="s">
        <v>7632</v>
      </c>
      <c r="J729" s="15" t="s">
        <v>7632</v>
      </c>
      <c r="K729" s="15" t="s">
        <v>2351</v>
      </c>
      <c r="M729" s="15" t="s">
        <v>2063</v>
      </c>
      <c r="N729" s="15" t="s">
        <v>1899</v>
      </c>
      <c r="P729" s="15" t="str">
        <f t="shared" si="2077"/>
        <v>84</v>
      </c>
      <c r="Q729" s="15" t="str">
        <f t="shared" si="2078"/>
        <v>18</v>
      </c>
      <c r="R729" s="15" t="str">
        <f t="shared" si="2079"/>
        <v>77</v>
      </c>
      <c r="S729" s="15" t="str">
        <f t="shared" si="2080"/>
        <v>326.28</v>
      </c>
      <c r="T729" s="15" t="s">
        <v>1532</v>
      </c>
      <c r="U729" s="15" t="s">
        <v>11338</v>
      </c>
      <c r="V729" s="15" t="s">
        <v>11553</v>
      </c>
      <c r="AA729" s="15" t="s">
        <v>413</v>
      </c>
      <c r="AB729" s="15" t="s">
        <v>413</v>
      </c>
      <c r="AC729" s="15" t="s">
        <v>7911</v>
      </c>
      <c r="AD729" s="15" t="s">
        <v>20133</v>
      </c>
      <c r="AE729" s="15" t="s">
        <v>7910</v>
      </c>
      <c r="AF729" s="15" t="s">
        <v>20134</v>
      </c>
      <c r="AG729" s="15" t="s">
        <v>20135</v>
      </c>
      <c r="AH729" s="15" t="s">
        <v>20136</v>
      </c>
      <c r="AI729" s="15" t="s">
        <v>20137</v>
      </c>
      <c r="AJ729" s="15" t="s">
        <v>20138</v>
      </c>
      <c r="AK729" s="15" t="s">
        <v>20139</v>
      </c>
      <c r="AL729" s="15" t="s">
        <v>20140</v>
      </c>
      <c r="AM729" s="15" t="s">
        <v>20141</v>
      </c>
      <c r="AN729" s="15" t="s">
        <v>20142</v>
      </c>
      <c r="AO729" s="15" t="s">
        <v>20143</v>
      </c>
      <c r="AP729" s="15" t="s">
        <v>20144</v>
      </c>
      <c r="BH729" s="15" t="s">
        <v>7908</v>
      </c>
      <c r="BI729" s="15" t="str">
        <f>"4599"</f>
        <v>4599</v>
      </c>
      <c r="BJ729" s="15" t="str">
        <f>"1935"</f>
        <v>1935</v>
      </c>
      <c r="BK729" s="15" t="s">
        <v>742</v>
      </c>
      <c r="BL729" s="15" t="str">
        <f t="shared" si="2076"/>
        <v>1</v>
      </c>
      <c r="BM729" s="15" t="s">
        <v>416</v>
      </c>
      <c r="BN729" s="15" t="str">
        <f t="shared" si="2081"/>
        <v>89.76</v>
      </c>
      <c r="BO729" s="15" t="str">
        <f t="shared" si="2082"/>
        <v>23.62</v>
      </c>
      <c r="BP729" s="15" t="str">
        <f t="shared" si="2083"/>
        <v>82.28</v>
      </c>
      <c r="BQ729" s="15" t="str">
        <f t="shared" si="2084"/>
        <v>455.25</v>
      </c>
      <c r="CG729" s="15" t="str">
        <f t="shared" si="2085"/>
        <v>100.96</v>
      </c>
      <c r="CH729" s="15" t="str">
        <f t="shared" si="2086"/>
        <v>2.859</v>
      </c>
      <c r="CI729" s="15" t="s">
        <v>465</v>
      </c>
      <c r="CJ729" s="15" t="s">
        <v>2648</v>
      </c>
      <c r="CK729" s="15" t="s">
        <v>4685</v>
      </c>
      <c r="CL729" s="15" t="s">
        <v>3958</v>
      </c>
      <c r="CM729" s="15" t="s">
        <v>2648</v>
      </c>
      <c r="CN729" s="15" t="s">
        <v>2143</v>
      </c>
      <c r="CO729" s="15" t="s">
        <v>3958</v>
      </c>
      <c r="CZ729" s="15" t="s">
        <v>419</v>
      </c>
      <c r="DA729" s="15">
        <v>0.0</v>
      </c>
      <c r="DB729" s="15" t="s">
        <v>419</v>
      </c>
      <c r="DD729" s="15">
        <v>2.0</v>
      </c>
      <c r="DE729" s="15" t="s">
        <v>426</v>
      </c>
      <c r="DF729" s="15" t="s">
        <v>420</v>
      </c>
      <c r="DG729" s="15" t="s">
        <v>610</v>
      </c>
      <c r="DI729" s="15">
        <v>18.14</v>
      </c>
      <c r="DJ729" s="15">
        <v>40.0</v>
      </c>
      <c r="DK729" s="15">
        <v>0.0</v>
      </c>
      <c r="DR729" s="15" t="s">
        <v>1915</v>
      </c>
      <c r="DS729" s="15" t="s">
        <v>7906</v>
      </c>
      <c r="EF729" s="15" t="s">
        <v>1955</v>
      </c>
      <c r="EU729" s="15" t="s">
        <v>426</v>
      </c>
      <c r="EV729" s="15">
        <v>3.0</v>
      </c>
      <c r="FH729" s="15" t="s">
        <v>1604</v>
      </c>
      <c r="FI729" s="15" t="s">
        <v>612</v>
      </c>
      <c r="FJ729" s="15" t="s">
        <v>7907</v>
      </c>
      <c r="FP729" s="15" t="s">
        <v>1883</v>
      </c>
      <c r="FQ729" s="15">
        <v>8.0</v>
      </c>
      <c r="FR729" s="15" t="s">
        <v>614</v>
      </c>
      <c r="FS729" s="15" t="s">
        <v>615</v>
      </c>
      <c r="GJ729" s="15" t="s">
        <v>2648</v>
      </c>
      <c r="GK729" s="15" t="s">
        <v>2143</v>
      </c>
      <c r="GL729" s="15" t="s">
        <v>3958</v>
      </c>
      <c r="GZ729" s="15" t="s">
        <v>2648</v>
      </c>
      <c r="HA729" s="15" t="s">
        <v>5532</v>
      </c>
      <c r="HB729" s="15" t="s">
        <v>2143</v>
      </c>
      <c r="HC729" s="15" t="s">
        <v>3053</v>
      </c>
      <c r="HD729" s="15" t="s">
        <v>3958</v>
      </c>
      <c r="HE729" s="15" t="s">
        <v>2622</v>
      </c>
      <c r="HP729" s="15" t="s">
        <v>426</v>
      </c>
      <c r="KG729" s="15" t="s">
        <v>5532</v>
      </c>
      <c r="KH729" s="15" t="s">
        <v>3053</v>
      </c>
      <c r="KI729" s="15" t="s">
        <v>2622</v>
      </c>
    </row>
    <row r="730" ht="17.25" customHeight="1">
      <c r="A730" s="15" t="s">
        <v>7914</v>
      </c>
      <c r="B730" s="15" t="str">
        <f>"801542821524"</f>
        <v>801542821524</v>
      </c>
      <c r="C730" s="15" t="s">
        <v>20145</v>
      </c>
      <c r="D730" s="15" t="str">
        <f t="shared" si="1"/>
        <v>Otto Dining TableBlack Pine86.5</v>
      </c>
      <c r="E730" s="15" t="s">
        <v>7912</v>
      </c>
      <c r="F730" s="15" t="s">
        <v>397</v>
      </c>
      <c r="G730" s="15" t="s">
        <v>1095</v>
      </c>
      <c r="H730" s="15" t="s">
        <v>265</v>
      </c>
      <c r="I730" s="15" t="s">
        <v>1125</v>
      </c>
      <c r="J730" s="15" t="s">
        <v>1095</v>
      </c>
      <c r="M730" s="15" t="s">
        <v>1101</v>
      </c>
      <c r="N730" s="15" t="s">
        <v>548</v>
      </c>
      <c r="O730" s="15" t="s">
        <v>549</v>
      </c>
      <c r="P730" s="15" t="str">
        <f>"86.5"</f>
        <v>86.5</v>
      </c>
      <c r="Q730" s="15" t="str">
        <f t="shared" ref="Q730:Q733" si="2087">"39.25"</f>
        <v>39.25</v>
      </c>
      <c r="R730" s="15" t="str">
        <f t="shared" ref="R730:R733" si="2088">"30"</f>
        <v>30</v>
      </c>
      <c r="S730" s="15" t="str">
        <f>"157.63"</f>
        <v>157.63</v>
      </c>
      <c r="T730" s="15" t="s">
        <v>1099</v>
      </c>
      <c r="U730" s="15" t="s">
        <v>11386</v>
      </c>
      <c r="AA730" s="15" t="s">
        <v>413</v>
      </c>
      <c r="AB730" s="15" t="s">
        <v>413</v>
      </c>
      <c r="AC730" s="15" t="s">
        <v>7916</v>
      </c>
      <c r="AD730" s="15" t="s">
        <v>20146</v>
      </c>
      <c r="AE730" s="15" t="s">
        <v>7915</v>
      </c>
      <c r="AF730" s="15" t="s">
        <v>20147</v>
      </c>
      <c r="AG730" s="15" t="s">
        <v>20148</v>
      </c>
      <c r="AH730" s="15" t="s">
        <v>20149</v>
      </c>
      <c r="AI730" s="15" t="s">
        <v>20150</v>
      </c>
      <c r="AJ730" s="15" t="s">
        <v>20151</v>
      </c>
      <c r="AK730" s="15" t="s">
        <v>20152</v>
      </c>
      <c r="AL730" s="15" t="s">
        <v>20153</v>
      </c>
      <c r="AM730" s="15" t="s">
        <v>20154</v>
      </c>
      <c r="AN730" s="15" t="s">
        <v>20155</v>
      </c>
      <c r="BH730" s="15" t="s">
        <v>7913</v>
      </c>
      <c r="BI730" s="15" t="str">
        <f>"1699"</f>
        <v>1699</v>
      </c>
      <c r="BJ730" s="15" t="str">
        <f>"715"</f>
        <v>715</v>
      </c>
      <c r="BK730" s="15" t="s">
        <v>742</v>
      </c>
      <c r="BL730" s="15" t="str">
        <f t="shared" si="2076"/>
        <v>1</v>
      </c>
      <c r="BM730" s="15" t="s">
        <v>7917</v>
      </c>
      <c r="BN730" s="15" t="str">
        <f>"91.73"</f>
        <v>91.73</v>
      </c>
      <c r="BO730" s="15" t="str">
        <f t="shared" ref="BO730:BO731" si="2089">"8.86"</f>
        <v>8.86</v>
      </c>
      <c r="BP730" s="15" t="str">
        <f t="shared" ref="BP730:BP731" si="2090">"42.91"</f>
        <v>42.91</v>
      </c>
      <c r="BQ730" s="15" t="str">
        <f>"186.29"</f>
        <v>186.29</v>
      </c>
      <c r="CG730" s="15" t="str">
        <f>"20.16"</f>
        <v>20.16</v>
      </c>
      <c r="CH730" s="15" t="str">
        <f>"0.571"</f>
        <v>0.571</v>
      </c>
      <c r="CI730" s="15" t="s">
        <v>417</v>
      </c>
      <c r="CZ730" s="15" t="s">
        <v>419</v>
      </c>
      <c r="DA730" s="15">
        <v>0.0</v>
      </c>
      <c r="DB730" s="15" t="s">
        <v>419</v>
      </c>
      <c r="DD730" s="15">
        <v>0.0</v>
      </c>
      <c r="DF730" s="15" t="s">
        <v>1111</v>
      </c>
      <c r="DG730" s="15" t="s">
        <v>419</v>
      </c>
      <c r="DI730" s="15">
        <v>0.0</v>
      </c>
      <c r="DJ730" s="15">
        <v>0.0</v>
      </c>
      <c r="DK730" s="15">
        <v>0.0</v>
      </c>
      <c r="DQ730" s="15">
        <v>8.0</v>
      </c>
      <c r="DR730" s="15" t="s">
        <v>471</v>
      </c>
      <c r="DS730" s="15" t="s">
        <v>7921</v>
      </c>
      <c r="DU730" s="15" t="s">
        <v>424</v>
      </c>
      <c r="EF730" s="15" t="s">
        <v>7922</v>
      </c>
      <c r="EH730" s="15" t="s">
        <v>7923</v>
      </c>
      <c r="EQ730" s="15" t="s">
        <v>7924</v>
      </c>
      <c r="ER730" s="15" t="s">
        <v>7922</v>
      </c>
      <c r="ES730" s="15" t="s">
        <v>4551</v>
      </c>
      <c r="ET730" s="15" t="s">
        <v>4685</v>
      </c>
      <c r="EU730" s="15" t="s">
        <v>426</v>
      </c>
      <c r="EV730" s="15">
        <v>0.0</v>
      </c>
      <c r="EW730" s="15">
        <v>0.0</v>
      </c>
      <c r="FD730" s="15" t="s">
        <v>2505</v>
      </c>
      <c r="FE730" s="15" t="s">
        <v>7922</v>
      </c>
      <c r="FF730" s="15" t="s">
        <v>2651</v>
      </c>
      <c r="FG730" s="15" t="s">
        <v>1123</v>
      </c>
    </row>
    <row r="731" ht="17.25" customHeight="1">
      <c r="A731" s="15" t="s">
        <v>7927</v>
      </c>
      <c r="B731" s="15" t="str">
        <f>"801542821517"</f>
        <v>801542821517</v>
      </c>
      <c r="C731" s="15" t="s">
        <v>20145</v>
      </c>
      <c r="D731" s="15" t="str">
        <f t="shared" si="1"/>
        <v>Otto Dining TableBlack Pine110</v>
      </c>
      <c r="E731" s="15" t="s">
        <v>7912</v>
      </c>
      <c r="F731" s="15" t="s">
        <v>397</v>
      </c>
      <c r="G731" s="15" t="s">
        <v>1095</v>
      </c>
      <c r="H731" s="15" t="s">
        <v>265</v>
      </c>
      <c r="I731" s="15" t="s">
        <v>7926</v>
      </c>
      <c r="J731" s="15" t="s">
        <v>1095</v>
      </c>
      <c r="M731" s="15" t="s">
        <v>1101</v>
      </c>
      <c r="N731" s="15" t="s">
        <v>548</v>
      </c>
      <c r="O731" s="15" t="s">
        <v>549</v>
      </c>
      <c r="P731" s="15" t="str">
        <f>"110"</f>
        <v>110</v>
      </c>
      <c r="Q731" s="15" t="str">
        <f t="shared" si="2087"/>
        <v>39.25</v>
      </c>
      <c r="R731" s="15" t="str">
        <f t="shared" si="2088"/>
        <v>30</v>
      </c>
      <c r="S731" s="15" t="str">
        <f>"194"</f>
        <v>194</v>
      </c>
      <c r="T731" s="15" t="s">
        <v>1099</v>
      </c>
      <c r="U731" s="15" t="s">
        <v>11386</v>
      </c>
      <c r="AA731" s="15" t="s">
        <v>413</v>
      </c>
      <c r="AB731" s="15" t="s">
        <v>413</v>
      </c>
      <c r="AC731" s="15" t="s">
        <v>7930</v>
      </c>
      <c r="AD731" s="15" t="s">
        <v>20156</v>
      </c>
      <c r="AE731" s="15" t="s">
        <v>7928</v>
      </c>
      <c r="AF731" s="15" t="s">
        <v>20157</v>
      </c>
      <c r="AG731" s="15" t="s">
        <v>20158</v>
      </c>
      <c r="AH731" s="15" t="s">
        <v>20159</v>
      </c>
      <c r="AI731" s="15" t="s">
        <v>20160</v>
      </c>
      <c r="AJ731" s="15" t="s">
        <v>20161</v>
      </c>
      <c r="AK731" s="15" t="s">
        <v>20162</v>
      </c>
      <c r="AL731" s="15" t="s">
        <v>20163</v>
      </c>
      <c r="AM731" s="15" t="s">
        <v>20164</v>
      </c>
      <c r="AN731" s="15" t="s">
        <v>20165</v>
      </c>
      <c r="BH731" s="15" t="s">
        <v>7925</v>
      </c>
      <c r="BI731" s="15" t="str">
        <f>"1999"</f>
        <v>1999</v>
      </c>
      <c r="BJ731" s="15" t="str">
        <f>"840"</f>
        <v>840</v>
      </c>
      <c r="BK731" s="15" t="s">
        <v>742</v>
      </c>
      <c r="BL731" s="15" t="str">
        <f t="shared" si="2076"/>
        <v>1</v>
      </c>
      <c r="BM731" s="15" t="s">
        <v>7917</v>
      </c>
      <c r="BN731" s="15" t="str">
        <f>"115.16"</f>
        <v>115.16</v>
      </c>
      <c r="BO731" s="15" t="str">
        <f t="shared" si="2089"/>
        <v>8.86</v>
      </c>
      <c r="BP731" s="15" t="str">
        <f t="shared" si="2090"/>
        <v>42.91</v>
      </c>
      <c r="BQ731" s="15" t="str">
        <f>"238.1"</f>
        <v>238.1</v>
      </c>
      <c r="CG731" s="15" t="str">
        <f>"25.32"</f>
        <v>25.32</v>
      </c>
      <c r="CH731" s="15" t="str">
        <f>"0.717"</f>
        <v>0.717</v>
      </c>
      <c r="CI731" s="15" t="s">
        <v>417</v>
      </c>
      <c r="CZ731" s="15" t="s">
        <v>419</v>
      </c>
      <c r="DA731" s="15">
        <v>0.0</v>
      </c>
      <c r="DB731" s="15" t="s">
        <v>419</v>
      </c>
      <c r="DD731" s="15">
        <v>0.0</v>
      </c>
      <c r="DF731" s="15" t="s">
        <v>1111</v>
      </c>
      <c r="DG731" s="15" t="s">
        <v>419</v>
      </c>
      <c r="DI731" s="15">
        <v>0.0</v>
      </c>
      <c r="DJ731" s="15">
        <v>0.0</v>
      </c>
      <c r="DK731" s="15">
        <v>0.0</v>
      </c>
      <c r="DQ731" s="15">
        <v>12.0</v>
      </c>
      <c r="DR731" s="15" t="s">
        <v>471</v>
      </c>
      <c r="DS731" s="15" t="s">
        <v>7921</v>
      </c>
      <c r="DU731" s="15" t="s">
        <v>424</v>
      </c>
      <c r="EF731" s="15" t="s">
        <v>7922</v>
      </c>
      <c r="EH731" s="15" t="s">
        <v>7933</v>
      </c>
      <c r="EQ731" s="15" t="s">
        <v>7924</v>
      </c>
      <c r="ER731" s="15" t="s">
        <v>7922</v>
      </c>
      <c r="ES731" s="15" t="s">
        <v>7934</v>
      </c>
      <c r="ET731" s="15" t="s">
        <v>4685</v>
      </c>
      <c r="EU731" s="15" t="s">
        <v>426</v>
      </c>
      <c r="EV731" s="15">
        <v>0.0</v>
      </c>
      <c r="EW731" s="15">
        <v>0.0</v>
      </c>
      <c r="FD731" s="15" t="s">
        <v>2505</v>
      </c>
      <c r="FE731" s="15" t="s">
        <v>7922</v>
      </c>
      <c r="FF731" s="15" t="s">
        <v>2651</v>
      </c>
      <c r="FG731" s="15" t="s">
        <v>1123</v>
      </c>
    </row>
    <row r="732" ht="17.25" customHeight="1">
      <c r="A732" s="15" t="s">
        <v>7936</v>
      </c>
      <c r="B732" s="15" t="str">
        <f>"801542010942"</f>
        <v>801542010942</v>
      </c>
      <c r="C732" s="15" t="s">
        <v>20166</v>
      </c>
      <c r="D732" s="15" t="str">
        <f t="shared" si="1"/>
        <v>Otto Dining TableWaxed Pine86.5</v>
      </c>
      <c r="E732" s="15" t="s">
        <v>7912</v>
      </c>
      <c r="F732" s="15" t="s">
        <v>397</v>
      </c>
      <c r="G732" s="15" t="s">
        <v>1136</v>
      </c>
      <c r="H732" s="15" t="s">
        <v>265</v>
      </c>
      <c r="I732" s="15" t="s">
        <v>1125</v>
      </c>
      <c r="J732" s="15" t="s">
        <v>1136</v>
      </c>
      <c r="K732" s="15" t="s">
        <v>1139</v>
      </c>
      <c r="M732" s="15" t="s">
        <v>1101</v>
      </c>
      <c r="N732" s="15" t="s">
        <v>548</v>
      </c>
      <c r="O732" s="15" t="s">
        <v>549</v>
      </c>
      <c r="P732" s="15" t="str">
        <f>"86.5"</f>
        <v>86.5</v>
      </c>
      <c r="Q732" s="15" t="str">
        <f t="shared" si="2087"/>
        <v>39.25</v>
      </c>
      <c r="R732" s="15" t="str">
        <f t="shared" si="2088"/>
        <v>30</v>
      </c>
      <c r="S732" s="15" t="str">
        <f>"157.63"</f>
        <v>157.63</v>
      </c>
      <c r="T732" s="15" t="s">
        <v>1099</v>
      </c>
      <c r="U732" s="15" t="s">
        <v>11386</v>
      </c>
      <c r="AA732" s="15" t="s">
        <v>413</v>
      </c>
      <c r="AB732" s="15" t="s">
        <v>413</v>
      </c>
      <c r="AC732" s="15" t="s">
        <v>7938</v>
      </c>
      <c r="AD732" s="15" t="s">
        <v>20167</v>
      </c>
      <c r="AE732" s="15" t="s">
        <v>7937</v>
      </c>
      <c r="AF732" s="15" t="s">
        <v>20168</v>
      </c>
      <c r="AG732" s="15" t="s">
        <v>20169</v>
      </c>
      <c r="AH732" s="15" t="s">
        <v>20170</v>
      </c>
      <c r="AI732" s="15" t="s">
        <v>20171</v>
      </c>
      <c r="AJ732" s="15" t="s">
        <v>20172</v>
      </c>
      <c r="AK732" s="15" t="s">
        <v>20173</v>
      </c>
      <c r="AL732" s="15" t="s">
        <v>20174</v>
      </c>
      <c r="AM732" s="15" t="s">
        <v>20175</v>
      </c>
      <c r="AN732" s="15" t="s">
        <v>20176</v>
      </c>
      <c r="AO732" s="15" t="s">
        <v>20177</v>
      </c>
      <c r="AP732" s="15" t="s">
        <v>20178</v>
      </c>
      <c r="BH732" s="15" t="s">
        <v>7935</v>
      </c>
      <c r="BI732" s="15" t="str">
        <f>"1599"</f>
        <v>1599</v>
      </c>
      <c r="BJ732" s="15" t="str">
        <f>"675"</f>
        <v>675</v>
      </c>
      <c r="BK732" s="15" t="s">
        <v>742</v>
      </c>
      <c r="BL732" s="15" t="str">
        <f t="shared" si="2076"/>
        <v>1</v>
      </c>
      <c r="BM732" s="15" t="s">
        <v>7917</v>
      </c>
      <c r="BN732" s="15" t="str">
        <f>"91.73"</f>
        <v>91.73</v>
      </c>
      <c r="BO732" s="15" t="str">
        <f t="shared" ref="BO732:BO733" si="2091">"42.91"</f>
        <v>42.91</v>
      </c>
      <c r="BP732" s="15" t="str">
        <f t="shared" ref="BP732:BP733" si="2092">"8.86"</f>
        <v>8.86</v>
      </c>
      <c r="BQ732" s="15" t="str">
        <f>"186.29"</f>
        <v>186.29</v>
      </c>
      <c r="CG732" s="15" t="str">
        <f>"20.16"</f>
        <v>20.16</v>
      </c>
      <c r="CH732" s="15" t="str">
        <f>"0.571"</f>
        <v>0.571</v>
      </c>
      <c r="CI732" s="15" t="s">
        <v>465</v>
      </c>
      <c r="CZ732" s="15" t="s">
        <v>419</v>
      </c>
      <c r="DA732" s="15">
        <v>0.0</v>
      </c>
      <c r="DB732" s="15" t="s">
        <v>419</v>
      </c>
      <c r="DD732" s="15">
        <v>0.0</v>
      </c>
      <c r="DF732" s="15" t="s">
        <v>1111</v>
      </c>
      <c r="DG732" s="15" t="s">
        <v>419</v>
      </c>
      <c r="DI732" s="15">
        <v>0.0</v>
      </c>
      <c r="DJ732" s="15">
        <v>0.0</v>
      </c>
      <c r="DK732" s="15">
        <v>0.0</v>
      </c>
      <c r="DQ732" s="15">
        <v>8.0</v>
      </c>
      <c r="DR732" s="15" t="s">
        <v>471</v>
      </c>
      <c r="DS732" s="15" t="s">
        <v>7921</v>
      </c>
      <c r="DU732" s="15" t="s">
        <v>424</v>
      </c>
      <c r="EF732" s="15" t="s">
        <v>7922</v>
      </c>
      <c r="EH732" s="15" t="s">
        <v>7923</v>
      </c>
      <c r="EQ732" s="15" t="s">
        <v>7924</v>
      </c>
      <c r="ER732" s="15" t="s">
        <v>7922</v>
      </c>
      <c r="ES732" s="15" t="s">
        <v>4551</v>
      </c>
      <c r="ET732" s="15" t="s">
        <v>4685</v>
      </c>
      <c r="EU732" s="15" t="s">
        <v>426</v>
      </c>
      <c r="EV732" s="15">
        <v>0.0</v>
      </c>
      <c r="EW732" s="15">
        <v>0.0</v>
      </c>
      <c r="FD732" s="15" t="s">
        <v>2505</v>
      </c>
      <c r="FE732" s="15" t="s">
        <v>7922</v>
      </c>
      <c r="FF732" s="15" t="s">
        <v>2651</v>
      </c>
      <c r="FG732" s="15" t="s">
        <v>1123</v>
      </c>
    </row>
    <row r="733" ht="17.25" customHeight="1">
      <c r="A733" s="15" t="s">
        <v>7940</v>
      </c>
      <c r="B733" s="15" t="str">
        <f>"801542010935"</f>
        <v>801542010935</v>
      </c>
      <c r="C733" s="15" t="s">
        <v>20166</v>
      </c>
      <c r="D733" s="15" t="str">
        <f t="shared" si="1"/>
        <v>Otto Dining TableWaxed Pine110</v>
      </c>
      <c r="E733" s="15" t="s">
        <v>7912</v>
      </c>
      <c r="F733" s="15" t="s">
        <v>397</v>
      </c>
      <c r="G733" s="15" t="s">
        <v>1136</v>
      </c>
      <c r="H733" s="15" t="s">
        <v>265</v>
      </c>
      <c r="I733" s="15" t="s">
        <v>7926</v>
      </c>
      <c r="J733" s="15" t="s">
        <v>1136</v>
      </c>
      <c r="K733" s="15" t="s">
        <v>1139</v>
      </c>
      <c r="M733" s="15" t="s">
        <v>1101</v>
      </c>
      <c r="N733" s="15" t="s">
        <v>548</v>
      </c>
      <c r="O733" s="15" t="s">
        <v>549</v>
      </c>
      <c r="P733" s="15" t="str">
        <f>"110"</f>
        <v>110</v>
      </c>
      <c r="Q733" s="15" t="str">
        <f t="shared" si="2087"/>
        <v>39.25</v>
      </c>
      <c r="R733" s="15" t="str">
        <f t="shared" si="2088"/>
        <v>30</v>
      </c>
      <c r="S733" s="15" t="str">
        <f>"194"</f>
        <v>194</v>
      </c>
      <c r="T733" s="15" t="s">
        <v>1099</v>
      </c>
      <c r="U733" s="15" t="s">
        <v>11386</v>
      </c>
      <c r="AA733" s="15" t="s">
        <v>413</v>
      </c>
      <c r="AB733" s="15" t="s">
        <v>413</v>
      </c>
      <c r="AC733" s="15" t="s">
        <v>7938</v>
      </c>
      <c r="AD733" s="15" t="s">
        <v>20179</v>
      </c>
      <c r="AE733" s="15" t="s">
        <v>7941</v>
      </c>
      <c r="AF733" s="15" t="s">
        <v>20180</v>
      </c>
      <c r="AG733" s="15" t="s">
        <v>20181</v>
      </c>
      <c r="AH733" s="15" t="s">
        <v>20182</v>
      </c>
      <c r="AI733" s="15" t="s">
        <v>20183</v>
      </c>
      <c r="AJ733" s="15" t="s">
        <v>20184</v>
      </c>
      <c r="AK733" s="15" t="s">
        <v>20185</v>
      </c>
      <c r="AL733" s="15" t="s">
        <v>20186</v>
      </c>
      <c r="AM733" s="15" t="s">
        <v>20187</v>
      </c>
      <c r="AN733" s="15" t="s">
        <v>20188</v>
      </c>
      <c r="AO733" s="15" t="s">
        <v>20189</v>
      </c>
      <c r="BH733" s="15" t="s">
        <v>7939</v>
      </c>
      <c r="BI733" s="15" t="str">
        <f>"1899"</f>
        <v>1899</v>
      </c>
      <c r="BJ733" s="15" t="str">
        <f>"800"</f>
        <v>800</v>
      </c>
      <c r="BK733" s="15" t="s">
        <v>742</v>
      </c>
      <c r="BL733" s="15" t="str">
        <f t="shared" si="2076"/>
        <v>1</v>
      </c>
      <c r="BM733" s="15" t="s">
        <v>7917</v>
      </c>
      <c r="BN733" s="15" t="str">
        <f>"115.16"</f>
        <v>115.16</v>
      </c>
      <c r="BO733" s="15" t="str">
        <f t="shared" si="2091"/>
        <v>42.91</v>
      </c>
      <c r="BP733" s="15" t="str">
        <f t="shared" si="2092"/>
        <v>8.86</v>
      </c>
      <c r="BQ733" s="15" t="str">
        <f>"238.1"</f>
        <v>238.1</v>
      </c>
      <c r="CG733" s="15" t="str">
        <f>"25.32"</f>
        <v>25.32</v>
      </c>
      <c r="CH733" s="15" t="str">
        <f>"0.717"</f>
        <v>0.717</v>
      </c>
      <c r="CI733" s="15" t="s">
        <v>497</v>
      </c>
      <c r="CZ733" s="15" t="s">
        <v>419</v>
      </c>
      <c r="DA733" s="15">
        <v>0.0</v>
      </c>
      <c r="DB733" s="15" t="s">
        <v>419</v>
      </c>
      <c r="DD733" s="15">
        <v>0.0</v>
      </c>
      <c r="DF733" s="15" t="s">
        <v>1111</v>
      </c>
      <c r="DG733" s="15" t="s">
        <v>419</v>
      </c>
      <c r="DI733" s="15">
        <v>0.0</v>
      </c>
      <c r="DJ733" s="15">
        <v>0.0</v>
      </c>
      <c r="DK733" s="15">
        <v>0.0</v>
      </c>
      <c r="DQ733" s="15">
        <v>12.0</v>
      </c>
      <c r="DR733" s="15" t="s">
        <v>471</v>
      </c>
      <c r="DS733" s="15" t="s">
        <v>7921</v>
      </c>
      <c r="DU733" s="15" t="s">
        <v>424</v>
      </c>
      <c r="EF733" s="15" t="s">
        <v>7922</v>
      </c>
      <c r="EH733" s="15" t="s">
        <v>7933</v>
      </c>
      <c r="EQ733" s="15" t="s">
        <v>7924</v>
      </c>
      <c r="ER733" s="15" t="s">
        <v>7922</v>
      </c>
      <c r="ES733" s="15" t="s">
        <v>7934</v>
      </c>
      <c r="ET733" s="15" t="s">
        <v>4685</v>
      </c>
      <c r="EU733" s="15" t="s">
        <v>426</v>
      </c>
      <c r="EV733" s="15">
        <v>0.0</v>
      </c>
      <c r="EW733" s="15">
        <v>0.0</v>
      </c>
      <c r="FD733" s="15" t="s">
        <v>2505</v>
      </c>
      <c r="FE733" s="15" t="s">
        <v>7922</v>
      </c>
      <c r="FF733" s="15" t="s">
        <v>2651</v>
      </c>
      <c r="FG733" s="15" t="s">
        <v>1123</v>
      </c>
    </row>
    <row r="734" ht="17.25" customHeight="1">
      <c r="A734" s="15" t="s">
        <v>7944</v>
      </c>
      <c r="B734" s="15" t="str">
        <f>"801542230326"</f>
        <v>801542230326</v>
      </c>
      <c r="C734" s="15" t="s">
        <v>20190</v>
      </c>
      <c r="D734" s="15" t="str">
        <f t="shared" si="1"/>
        <v>Oxford Accent StoolRialto Ebony</v>
      </c>
      <c r="E734" s="15" t="s">
        <v>7942</v>
      </c>
      <c r="F734" s="15" t="s">
        <v>397</v>
      </c>
      <c r="G734" s="15" t="s">
        <v>2741</v>
      </c>
      <c r="J734" s="15" t="s">
        <v>2741</v>
      </c>
      <c r="K734" s="15" t="s">
        <v>4336</v>
      </c>
      <c r="M734" s="15" t="s">
        <v>1474</v>
      </c>
      <c r="N734" s="15" t="s">
        <v>1009</v>
      </c>
      <c r="P734" s="15" t="str">
        <f>"23.5"</f>
        <v>23.5</v>
      </c>
      <c r="Q734" s="15" t="str">
        <f>"19.75"</f>
        <v>19.75</v>
      </c>
      <c r="R734" s="15" t="str">
        <f t="shared" ref="R734:R735" si="2093">"17"</f>
        <v>17</v>
      </c>
      <c r="S734" s="15" t="str">
        <f>"18.52"</f>
        <v>18.52</v>
      </c>
      <c r="T734" s="15" t="s">
        <v>808</v>
      </c>
      <c r="U734" s="15" t="s">
        <v>11137</v>
      </c>
      <c r="V734" s="15" t="s">
        <v>11139</v>
      </c>
      <c r="AA734" s="15" t="s">
        <v>413</v>
      </c>
      <c r="AB734" s="15" t="s">
        <v>413</v>
      </c>
      <c r="AC734" s="15" t="s">
        <v>7947</v>
      </c>
      <c r="AD734" s="15" t="s">
        <v>20191</v>
      </c>
      <c r="AE734" s="15" t="s">
        <v>7946</v>
      </c>
      <c r="AF734" s="15" t="s">
        <v>20192</v>
      </c>
      <c r="AG734" s="15" t="s">
        <v>20193</v>
      </c>
      <c r="AH734" s="15" t="s">
        <v>20194</v>
      </c>
      <c r="AI734" s="15" t="s">
        <v>20195</v>
      </c>
      <c r="AJ734" s="15" t="s">
        <v>20196</v>
      </c>
      <c r="AK734" s="15" t="s">
        <v>20197</v>
      </c>
      <c r="AL734" s="15" t="s">
        <v>20198</v>
      </c>
      <c r="BH734" s="15" t="s">
        <v>7943</v>
      </c>
      <c r="BI734" s="15" t="str">
        <f>"699"</f>
        <v>699</v>
      </c>
      <c r="BJ734" s="15" t="str">
        <f>"295"</f>
        <v>295</v>
      </c>
      <c r="BK734" s="15" t="s">
        <v>709</v>
      </c>
      <c r="BL734" s="15" t="str">
        <f t="shared" si="2076"/>
        <v>1</v>
      </c>
      <c r="BM734" s="15" t="s">
        <v>416</v>
      </c>
      <c r="BN734" s="15" t="str">
        <f>"25.79"</f>
        <v>25.79</v>
      </c>
      <c r="BO734" s="15" t="str">
        <f>"22.44"</f>
        <v>22.44</v>
      </c>
      <c r="BP734" s="15" t="str">
        <f>"20.28"</f>
        <v>20.28</v>
      </c>
      <c r="BQ734" s="15" t="str">
        <f>"27.12"</f>
        <v>27.12</v>
      </c>
      <c r="CG734" s="15" t="str">
        <f>"6.78"</f>
        <v>6.78</v>
      </c>
      <c r="CH734" s="15" t="str">
        <f>"0.192"</f>
        <v>0.192</v>
      </c>
      <c r="CI734" s="15" t="s">
        <v>465</v>
      </c>
      <c r="CS734" s="15" t="s">
        <v>3129</v>
      </c>
      <c r="CT734" s="15" t="s">
        <v>1604</v>
      </c>
      <c r="CU734" s="15" t="s">
        <v>713</v>
      </c>
      <c r="CV734" s="15">
        <v>0.0</v>
      </c>
      <c r="CW734" s="15">
        <v>0.0</v>
      </c>
      <c r="CX734" s="15" t="s">
        <v>469</v>
      </c>
      <c r="CY734" s="15" t="s">
        <v>718</v>
      </c>
      <c r="CZ734" s="15" t="s">
        <v>419</v>
      </c>
      <c r="DA734" s="15">
        <v>0.0</v>
      </c>
      <c r="DB734" s="15" t="s">
        <v>419</v>
      </c>
      <c r="DC734" s="15" t="s">
        <v>7949</v>
      </c>
      <c r="DD734" s="15">
        <v>0.0</v>
      </c>
      <c r="DF734" s="15" t="s">
        <v>989</v>
      </c>
      <c r="DG734" s="15" t="s">
        <v>419</v>
      </c>
      <c r="DH734" s="15">
        <v>0.0</v>
      </c>
      <c r="DI734" s="15">
        <v>0.0</v>
      </c>
      <c r="DJ734" s="15">
        <v>0.0</v>
      </c>
      <c r="DK734" s="15">
        <v>0.0</v>
      </c>
      <c r="DL734" s="15">
        <v>0.0</v>
      </c>
      <c r="DM734" s="15" t="s">
        <v>5001</v>
      </c>
      <c r="DN734" s="15" t="s">
        <v>1016</v>
      </c>
      <c r="DP734" s="15">
        <v>1.0</v>
      </c>
      <c r="DQ734" s="15">
        <v>1.0</v>
      </c>
      <c r="DR734" s="15" t="s">
        <v>471</v>
      </c>
      <c r="DS734" s="15" t="s">
        <v>7950</v>
      </c>
      <c r="DT734" s="15">
        <v>0.0</v>
      </c>
      <c r="DU734" s="15" t="s">
        <v>726</v>
      </c>
      <c r="EG734" s="15" t="s">
        <v>824</v>
      </c>
      <c r="EH734" s="15" t="s">
        <v>3927</v>
      </c>
      <c r="FB734" s="15" t="s">
        <v>3561</v>
      </c>
    </row>
    <row r="735" ht="17.25" customHeight="1">
      <c r="A735" s="15" t="s">
        <v>7953</v>
      </c>
      <c r="B735" s="15" t="str">
        <f>"801542154875"</f>
        <v>801542154875</v>
      </c>
      <c r="C735" s="15" t="s">
        <v>20199</v>
      </c>
      <c r="D735" s="15" t="str">
        <f t="shared" si="1"/>
        <v>Oxford BenchRialto Ebony</v>
      </c>
      <c r="E735" s="15" t="s">
        <v>7951</v>
      </c>
      <c r="F735" s="15" t="s">
        <v>397</v>
      </c>
      <c r="G735" s="15" t="s">
        <v>2741</v>
      </c>
      <c r="J735" s="15" t="s">
        <v>2741</v>
      </c>
      <c r="K735" s="15" t="s">
        <v>4336</v>
      </c>
      <c r="M735" s="15" t="s">
        <v>1474</v>
      </c>
      <c r="N735" s="15" t="s">
        <v>458</v>
      </c>
      <c r="O735" s="15" t="s">
        <v>459</v>
      </c>
      <c r="P735" s="15" t="str">
        <f>"43.25"</f>
        <v>43.25</v>
      </c>
      <c r="Q735" s="15" t="str">
        <f>"13.75"</f>
        <v>13.75</v>
      </c>
      <c r="R735" s="15" t="str">
        <f t="shared" si="2093"/>
        <v>17</v>
      </c>
      <c r="S735" s="15" t="str">
        <f>"24.91"</f>
        <v>24.91</v>
      </c>
      <c r="T735" s="15" t="s">
        <v>808</v>
      </c>
      <c r="U735" s="15" t="s">
        <v>11137</v>
      </c>
      <c r="V735" s="15" t="s">
        <v>11139</v>
      </c>
      <c r="AA735" s="15" t="s">
        <v>413</v>
      </c>
      <c r="AB735" s="15" t="s">
        <v>413</v>
      </c>
      <c r="AC735" s="15" t="s">
        <v>7955</v>
      </c>
      <c r="AD735" s="15" t="s">
        <v>20200</v>
      </c>
      <c r="AE735" s="15" t="s">
        <v>7954</v>
      </c>
      <c r="AF735" s="15" t="s">
        <v>20201</v>
      </c>
      <c r="AG735" s="15" t="s">
        <v>20202</v>
      </c>
      <c r="AH735" s="15" t="s">
        <v>20203</v>
      </c>
      <c r="AI735" s="15" t="s">
        <v>20204</v>
      </c>
      <c r="AJ735" s="15" t="s">
        <v>20205</v>
      </c>
      <c r="AK735" s="15" t="s">
        <v>20206</v>
      </c>
      <c r="AL735" s="15" t="s">
        <v>20207</v>
      </c>
      <c r="AM735" s="15" t="s">
        <v>20208</v>
      </c>
      <c r="BH735" s="15" t="s">
        <v>7952</v>
      </c>
      <c r="BI735" s="15" t="str">
        <f>"949"</f>
        <v>949</v>
      </c>
      <c r="BJ735" s="15" t="str">
        <f>"400"</f>
        <v>400</v>
      </c>
      <c r="BK735" s="15" t="s">
        <v>709</v>
      </c>
      <c r="BL735" s="15" t="str">
        <f t="shared" si="2076"/>
        <v>1</v>
      </c>
      <c r="BM735" s="15" t="s">
        <v>416</v>
      </c>
      <c r="BN735" s="15" t="str">
        <f>"46.46"</f>
        <v>46.46</v>
      </c>
      <c r="BO735" s="15" t="str">
        <f>"16.93"</f>
        <v>16.93</v>
      </c>
      <c r="BP735" s="15" t="str">
        <f>"20.67"</f>
        <v>20.67</v>
      </c>
      <c r="BQ735" s="15" t="str">
        <f>"36.82"</f>
        <v>36.82</v>
      </c>
      <c r="CG735" s="15" t="str">
        <f>"9.39"</f>
        <v>9.39</v>
      </c>
      <c r="CH735" s="15" t="str">
        <f>"0.266"</f>
        <v>0.266</v>
      </c>
      <c r="CI735" s="15" t="s">
        <v>497</v>
      </c>
      <c r="CS735" s="15" t="s">
        <v>2159</v>
      </c>
      <c r="CT735" s="15" t="s">
        <v>1604</v>
      </c>
      <c r="CU735" s="15" t="s">
        <v>6719</v>
      </c>
      <c r="CV735" s="15">
        <v>0.0</v>
      </c>
      <c r="CW735" s="15">
        <v>0.0</v>
      </c>
      <c r="CX735" s="15" t="s">
        <v>469</v>
      </c>
      <c r="CY735" s="15" t="s">
        <v>718</v>
      </c>
      <c r="CZ735" s="15" t="s">
        <v>419</v>
      </c>
      <c r="DA735" s="15">
        <v>0.0</v>
      </c>
      <c r="DB735" s="15" t="s">
        <v>419</v>
      </c>
      <c r="DC735" s="15" t="s">
        <v>1239</v>
      </c>
      <c r="DD735" s="15">
        <v>0.0</v>
      </c>
      <c r="DF735" s="15" t="s">
        <v>989</v>
      </c>
      <c r="DG735" s="15" t="s">
        <v>419</v>
      </c>
      <c r="DH735" s="15">
        <v>0.0</v>
      </c>
      <c r="DI735" s="15">
        <v>0.0</v>
      </c>
      <c r="DJ735" s="15">
        <v>0.0</v>
      </c>
      <c r="DK735" s="15">
        <v>0.0</v>
      </c>
      <c r="DL735" s="15">
        <v>0.0</v>
      </c>
      <c r="DM735" s="15" t="s">
        <v>5001</v>
      </c>
      <c r="DN735" s="15" t="s">
        <v>1016</v>
      </c>
      <c r="DP735" s="15">
        <v>1.0</v>
      </c>
      <c r="DQ735" s="15">
        <v>2.0</v>
      </c>
      <c r="DR735" s="15" t="s">
        <v>471</v>
      </c>
      <c r="DS735" s="15" t="s">
        <v>7950</v>
      </c>
      <c r="DT735" s="15">
        <v>0.0</v>
      </c>
      <c r="DU735" s="15" t="s">
        <v>1545</v>
      </c>
      <c r="FB735" s="15" t="s">
        <v>3561</v>
      </c>
    </row>
    <row r="736" ht="17.25" customHeight="1">
      <c r="A736" s="15" t="s">
        <v>7959</v>
      </c>
      <c r="B736" s="15" t="str">
        <f>"801542240813"</f>
        <v>801542240813</v>
      </c>
      <c r="C736" s="15" t="s">
        <v>20209</v>
      </c>
      <c r="D736" s="15" t="str">
        <f t="shared" si="1"/>
        <v>Oxford Small Coffee TableRialto Ebony</v>
      </c>
      <c r="E736" s="15" t="s">
        <v>7957</v>
      </c>
      <c r="F736" s="15" t="s">
        <v>397</v>
      </c>
      <c r="G736" s="15" t="s">
        <v>2741</v>
      </c>
      <c r="J736" s="15" t="s">
        <v>2741</v>
      </c>
      <c r="K736" s="15" t="s">
        <v>4336</v>
      </c>
      <c r="M736" s="15" t="s">
        <v>1474</v>
      </c>
      <c r="N736" s="15" t="s">
        <v>1009</v>
      </c>
      <c r="P736" s="15" t="str">
        <f>"50"</f>
        <v>50</v>
      </c>
      <c r="Q736" s="15" t="str">
        <f>"32"</f>
        <v>32</v>
      </c>
      <c r="R736" s="15" t="str">
        <f>"15.25"</f>
        <v>15.25</v>
      </c>
      <c r="S736" s="15" t="str">
        <f>"51.59"</f>
        <v>51.59</v>
      </c>
      <c r="T736" s="15" t="s">
        <v>808</v>
      </c>
      <c r="U736" s="15" t="s">
        <v>11137</v>
      </c>
      <c r="V736" s="15" t="s">
        <v>11139</v>
      </c>
      <c r="AA736" s="15" t="s">
        <v>413</v>
      </c>
      <c r="AB736" s="15" t="s">
        <v>413</v>
      </c>
      <c r="AC736" s="15" t="s">
        <v>7955</v>
      </c>
      <c r="AD736" s="15" t="s">
        <v>20210</v>
      </c>
      <c r="AE736" s="15" t="s">
        <v>7961</v>
      </c>
      <c r="AF736" s="15" t="s">
        <v>20211</v>
      </c>
      <c r="AG736" s="15" t="s">
        <v>20212</v>
      </c>
      <c r="AH736" s="15" t="s">
        <v>20213</v>
      </c>
      <c r="AI736" s="15" t="s">
        <v>20214</v>
      </c>
      <c r="AJ736" s="15" t="s">
        <v>20215</v>
      </c>
      <c r="BH736" s="15" t="s">
        <v>7958</v>
      </c>
      <c r="BI736" s="15" t="str">
        <f>"1999"</f>
        <v>1999</v>
      </c>
      <c r="BJ736" s="15" t="str">
        <f>"840"</f>
        <v>840</v>
      </c>
      <c r="BK736" s="15" t="s">
        <v>709</v>
      </c>
      <c r="BL736" s="15" t="str">
        <f t="shared" si="2076"/>
        <v>1</v>
      </c>
      <c r="BM736" s="15" t="s">
        <v>416</v>
      </c>
      <c r="BN736" s="15" t="str">
        <f>"52.76"</f>
        <v>52.76</v>
      </c>
      <c r="BO736" s="15" t="str">
        <f>"35.04"</f>
        <v>35.04</v>
      </c>
      <c r="BP736" s="15" t="str">
        <f>"19.29"</f>
        <v>19.29</v>
      </c>
      <c r="BQ736" s="15" t="str">
        <f>"69.67"</f>
        <v>69.67</v>
      </c>
      <c r="CG736" s="15" t="str">
        <f>"20.62"</f>
        <v>20.62</v>
      </c>
      <c r="CH736" s="15" t="str">
        <f>"0.584"</f>
        <v>0.584</v>
      </c>
      <c r="CI736" s="15" t="s">
        <v>497</v>
      </c>
      <c r="CS736" s="15" t="s">
        <v>7962</v>
      </c>
      <c r="CT736" s="15" t="s">
        <v>2598</v>
      </c>
      <c r="CU736" s="15" t="s">
        <v>1232</v>
      </c>
      <c r="CW736" s="15">
        <v>0.0</v>
      </c>
      <c r="CY736" s="15" t="s">
        <v>718</v>
      </c>
      <c r="DF736" s="15" t="s">
        <v>989</v>
      </c>
      <c r="DG736" s="15" t="s">
        <v>419</v>
      </c>
      <c r="DH736" s="15">
        <v>0.0</v>
      </c>
      <c r="DL736" s="15">
        <v>0.0</v>
      </c>
      <c r="DM736" s="15" t="s">
        <v>5001</v>
      </c>
      <c r="DN736" s="15" t="s">
        <v>1016</v>
      </c>
      <c r="DP736" s="15">
        <v>1.0</v>
      </c>
      <c r="DQ736" s="15">
        <v>2.0</v>
      </c>
      <c r="DR736" s="15" t="s">
        <v>471</v>
      </c>
      <c r="DS736" s="15" t="s">
        <v>7950</v>
      </c>
      <c r="DT736" s="15">
        <v>0.0</v>
      </c>
      <c r="DU736" s="15" t="s">
        <v>1545</v>
      </c>
      <c r="EO736" s="15" t="s">
        <v>7949</v>
      </c>
      <c r="FB736" s="15" t="s">
        <v>3561</v>
      </c>
    </row>
    <row r="737" ht="17.25" customHeight="1">
      <c r="A737" s="15" t="s">
        <v>7966</v>
      </c>
      <c r="B737" s="15" t="str">
        <f>"801542060176"</f>
        <v>801542060176</v>
      </c>
      <c r="C737" s="15" t="s">
        <v>20216</v>
      </c>
      <c r="D737" s="15" t="str">
        <f t="shared" si="1"/>
        <v>Paden Coffee TableAged Black Acacia51</v>
      </c>
      <c r="E737" s="15" t="s">
        <v>7963</v>
      </c>
      <c r="F737" s="15" t="s">
        <v>397</v>
      </c>
      <c r="G737" s="15" t="s">
        <v>7965</v>
      </c>
      <c r="H737" s="15" t="s">
        <v>265</v>
      </c>
      <c r="I737" s="15" t="s">
        <v>4424</v>
      </c>
      <c r="J737" s="15" t="s">
        <v>7965</v>
      </c>
      <c r="K737" s="15" t="s">
        <v>7969</v>
      </c>
      <c r="M737" s="15" t="s">
        <v>1896</v>
      </c>
      <c r="N737" s="15" t="s">
        <v>491</v>
      </c>
      <c r="P737" s="15" t="str">
        <f>"51"</f>
        <v>51</v>
      </c>
      <c r="Q737" s="15" t="str">
        <f>"27"</f>
        <v>27</v>
      </c>
      <c r="R737" s="15" t="str">
        <f t="shared" ref="R737:R743" si="2095">"17"</f>
        <v>17</v>
      </c>
      <c r="S737" s="15" t="str">
        <f>"52.91"</f>
        <v>52.91</v>
      </c>
      <c r="T737" s="15" t="s">
        <v>7968</v>
      </c>
      <c r="U737" s="15" t="s">
        <v>16557</v>
      </c>
      <c r="V737" s="15" t="s">
        <v>14148</v>
      </c>
      <c r="AA737" s="15" t="s">
        <v>426</v>
      </c>
      <c r="AB737" s="15" t="s">
        <v>413</v>
      </c>
      <c r="AC737" s="15" t="s">
        <v>7970</v>
      </c>
      <c r="AD737" s="15" t="s">
        <v>20217</v>
      </c>
      <c r="AE737" s="15" t="s">
        <v>7967</v>
      </c>
      <c r="AF737" s="15" t="s">
        <v>20218</v>
      </c>
      <c r="AG737" s="15" t="s">
        <v>20219</v>
      </c>
      <c r="AH737" s="15" t="s">
        <v>20220</v>
      </c>
      <c r="AI737" s="15" t="s">
        <v>20221</v>
      </c>
      <c r="AJ737" s="15" t="s">
        <v>20222</v>
      </c>
      <c r="AK737" s="15" t="s">
        <v>20223</v>
      </c>
      <c r="AL737" s="15" t="s">
        <v>20224</v>
      </c>
      <c r="AM737" s="15" t="s">
        <v>20225</v>
      </c>
      <c r="BH737" s="15" t="s">
        <v>7964</v>
      </c>
      <c r="BI737" s="15" t="str">
        <f>"799"</f>
        <v>799</v>
      </c>
      <c r="BJ737" s="15" t="str">
        <f>"340"</f>
        <v>340</v>
      </c>
      <c r="BK737" s="15" t="s">
        <v>742</v>
      </c>
      <c r="BL737" s="15" t="str">
        <f t="shared" ref="BL737:BL758" si="2096">"2"</f>
        <v>2</v>
      </c>
      <c r="BM737" s="15" t="s">
        <v>1564</v>
      </c>
      <c r="BN737" s="15" t="str">
        <f>"55.12"</f>
        <v>55.12</v>
      </c>
      <c r="BO737" s="15" t="str">
        <f t="shared" ref="BO737:BO746" si="2097">"4.72"</f>
        <v>4.72</v>
      </c>
      <c r="BP737" s="15" t="str">
        <f>"31.1"</f>
        <v>31.1</v>
      </c>
      <c r="BQ737" s="15" t="str">
        <f>"37.48"</f>
        <v>37.48</v>
      </c>
      <c r="BR737" s="15" t="s">
        <v>5617</v>
      </c>
      <c r="BS737" s="15" t="str">
        <f t="shared" ref="BS737:BT737" si="2094">"21.65"</f>
        <v>21.65</v>
      </c>
      <c r="BT737" s="15" t="str">
        <f t="shared" si="2094"/>
        <v>21.65</v>
      </c>
      <c r="BU737" s="15" t="str">
        <f>"19.69"</f>
        <v>19.69</v>
      </c>
      <c r="BV737" s="15" t="str">
        <f>"31.97"</f>
        <v>31.97</v>
      </c>
      <c r="CG737" s="15" t="str">
        <f>"10.03"</f>
        <v>10.03</v>
      </c>
      <c r="CH737" s="15" t="str">
        <f>"0.284"</f>
        <v>0.284</v>
      </c>
      <c r="CI737" s="15" t="s">
        <v>465</v>
      </c>
      <c r="CZ737" s="15" t="s">
        <v>419</v>
      </c>
      <c r="DA737" s="15">
        <v>0.0</v>
      </c>
      <c r="DB737" s="15" t="s">
        <v>419</v>
      </c>
      <c r="DD737" s="15">
        <v>0.0</v>
      </c>
      <c r="DF737" s="15" t="s">
        <v>420</v>
      </c>
      <c r="DG737" s="15" t="s">
        <v>419</v>
      </c>
      <c r="DK737" s="15">
        <v>0.0</v>
      </c>
      <c r="DR737" s="15" t="s">
        <v>1112</v>
      </c>
      <c r="DS737" s="15" t="s">
        <v>7972</v>
      </c>
      <c r="DU737" s="15" t="s">
        <v>500</v>
      </c>
      <c r="EF737" s="15" t="s">
        <v>4943</v>
      </c>
      <c r="EG737" s="15" t="s">
        <v>1956</v>
      </c>
      <c r="EH737" s="15" t="s">
        <v>2648</v>
      </c>
      <c r="EQ737" s="15" t="s">
        <v>1956</v>
      </c>
      <c r="ER737" s="15" t="s">
        <v>4943</v>
      </c>
      <c r="ES737" s="15" t="s">
        <v>993</v>
      </c>
      <c r="ET737" s="15" t="s">
        <v>5972</v>
      </c>
      <c r="EU737" s="15" t="s">
        <v>426</v>
      </c>
      <c r="EV737" s="15">
        <v>0.0</v>
      </c>
      <c r="EW737" s="15">
        <v>0.0</v>
      </c>
      <c r="FF737" s="15" t="s">
        <v>5058</v>
      </c>
    </row>
    <row r="738" ht="17.25" customHeight="1">
      <c r="A738" s="15" t="s">
        <v>7974</v>
      </c>
      <c r="B738" s="15" t="str">
        <f>"801542184575"</f>
        <v>801542184575</v>
      </c>
      <c r="C738" s="15" t="s">
        <v>20216</v>
      </c>
      <c r="D738" s="15" t="str">
        <f t="shared" si="1"/>
        <v>Paden Coffee TableAged Black Acacia65</v>
      </c>
      <c r="E738" s="15" t="s">
        <v>7963</v>
      </c>
      <c r="F738" s="15" t="s">
        <v>397</v>
      </c>
      <c r="G738" s="15" t="s">
        <v>7965</v>
      </c>
      <c r="H738" s="15" t="s">
        <v>265</v>
      </c>
      <c r="I738" s="15" t="s">
        <v>1224</v>
      </c>
      <c r="J738" s="15" t="s">
        <v>7965</v>
      </c>
      <c r="K738" s="15" t="s">
        <v>7969</v>
      </c>
      <c r="M738" s="15" t="s">
        <v>1896</v>
      </c>
      <c r="N738" s="15" t="s">
        <v>491</v>
      </c>
      <c r="P738" s="15" t="str">
        <f>"65"</f>
        <v>65</v>
      </c>
      <c r="Q738" s="15" t="str">
        <f>"35"</f>
        <v>35</v>
      </c>
      <c r="R738" s="15" t="str">
        <f t="shared" si="2095"/>
        <v>17</v>
      </c>
      <c r="S738" s="15" t="str">
        <f>"72.75"</f>
        <v>72.75</v>
      </c>
      <c r="T738" s="15" t="s">
        <v>7968</v>
      </c>
      <c r="U738" s="15" t="s">
        <v>16557</v>
      </c>
      <c r="V738" s="15" t="s">
        <v>14148</v>
      </c>
      <c r="AA738" s="15" t="s">
        <v>413</v>
      </c>
      <c r="AB738" s="15" t="s">
        <v>413</v>
      </c>
      <c r="AD738" s="15" t="s">
        <v>20226</v>
      </c>
      <c r="AE738" s="15" t="s">
        <v>7975</v>
      </c>
      <c r="AF738" s="15" t="s">
        <v>20227</v>
      </c>
      <c r="AG738" s="15" t="s">
        <v>20228</v>
      </c>
      <c r="AH738" s="15" t="s">
        <v>20229</v>
      </c>
      <c r="AI738" s="15" t="s">
        <v>20230</v>
      </c>
      <c r="AJ738" s="15" t="s">
        <v>20231</v>
      </c>
      <c r="AK738" s="15" t="s">
        <v>20232</v>
      </c>
      <c r="AL738" s="15" t="s">
        <v>20233</v>
      </c>
      <c r="AM738" s="15" t="s">
        <v>20234</v>
      </c>
      <c r="AN738" s="15" t="s">
        <v>20235</v>
      </c>
      <c r="BH738" s="15" t="s">
        <v>7973</v>
      </c>
      <c r="BI738" s="15" t="str">
        <f>"999"</f>
        <v>999</v>
      </c>
      <c r="BJ738" s="15" t="str">
        <f>"420"</f>
        <v>420</v>
      </c>
      <c r="BK738" s="15" t="s">
        <v>742</v>
      </c>
      <c r="BL738" s="15" t="str">
        <f t="shared" si="2096"/>
        <v>2</v>
      </c>
      <c r="BM738" s="15" t="s">
        <v>1564</v>
      </c>
      <c r="BN738" s="15" t="str">
        <f>"68.5"</f>
        <v>68.5</v>
      </c>
      <c r="BO738" s="15" t="str">
        <f t="shared" si="2097"/>
        <v>4.72</v>
      </c>
      <c r="BP738" s="15" t="str">
        <f>"38.7"</f>
        <v>38.7</v>
      </c>
      <c r="BQ738" s="15" t="str">
        <f>"61.73"</f>
        <v>61.73</v>
      </c>
      <c r="BR738" s="15" t="s">
        <v>2238</v>
      </c>
      <c r="BS738" s="15" t="str">
        <f>"27.56"</f>
        <v>27.56</v>
      </c>
      <c r="BT738" s="15" t="str">
        <f>"26.38"</f>
        <v>26.38</v>
      </c>
      <c r="BU738" s="15" t="str">
        <f>"20.08"</f>
        <v>20.08</v>
      </c>
      <c r="BV738" s="15" t="str">
        <f>"38.58"</f>
        <v>38.58</v>
      </c>
      <c r="CG738" s="15" t="str">
        <f>"15.68"</f>
        <v>15.68</v>
      </c>
      <c r="CH738" s="15" t="str">
        <f>"0.444"</f>
        <v>0.444</v>
      </c>
      <c r="CI738" s="15" t="s">
        <v>417</v>
      </c>
      <c r="CZ738" s="15" t="s">
        <v>419</v>
      </c>
      <c r="DA738" s="15">
        <v>0.0</v>
      </c>
      <c r="DB738" s="15" t="s">
        <v>419</v>
      </c>
      <c r="DD738" s="15">
        <v>0.0</v>
      </c>
      <c r="DF738" s="15" t="s">
        <v>420</v>
      </c>
      <c r="DG738" s="15" t="s">
        <v>419</v>
      </c>
      <c r="DK738" s="15">
        <v>0.0</v>
      </c>
      <c r="DR738" s="15" t="s">
        <v>1112</v>
      </c>
      <c r="DS738" s="15" t="s">
        <v>7972</v>
      </c>
      <c r="DU738" s="15" t="s">
        <v>500</v>
      </c>
      <c r="EF738" s="15" t="s">
        <v>7358</v>
      </c>
      <c r="EH738" s="15" t="s">
        <v>7977</v>
      </c>
      <c r="EQ738" s="15" t="s">
        <v>6289</v>
      </c>
      <c r="ER738" s="15" t="s">
        <v>7358</v>
      </c>
      <c r="ES738" s="15" t="s">
        <v>1593</v>
      </c>
      <c r="ET738" s="15" t="s">
        <v>5972</v>
      </c>
      <c r="EU738" s="15" t="s">
        <v>426</v>
      </c>
      <c r="EV738" s="15">
        <v>0.0</v>
      </c>
      <c r="EW738" s="15">
        <v>0.0</v>
      </c>
      <c r="FF738" s="15" t="s">
        <v>993</v>
      </c>
    </row>
    <row r="739" ht="17.25" customHeight="1">
      <c r="A739" s="15" t="s">
        <v>7980</v>
      </c>
      <c r="B739" s="15" t="str">
        <f>"801542763206"</f>
        <v>801542763206</v>
      </c>
      <c r="C739" s="15" t="s">
        <v>20236</v>
      </c>
      <c r="D739" s="15" t="str">
        <f t="shared" si="1"/>
        <v>Paden Coffee TableSandy Acacia</v>
      </c>
      <c r="E739" s="15" t="s">
        <v>7963</v>
      </c>
      <c r="F739" s="15" t="s">
        <v>397</v>
      </c>
      <c r="G739" s="15" t="s">
        <v>7979</v>
      </c>
      <c r="J739" s="15" t="s">
        <v>7979</v>
      </c>
      <c r="K739" s="15" t="s">
        <v>7982</v>
      </c>
      <c r="M739" s="15" t="s">
        <v>1896</v>
      </c>
      <c r="N739" s="15" t="s">
        <v>491</v>
      </c>
      <c r="P739" s="15" t="str">
        <f t="shared" ref="P739:P740" si="2099">"51"</f>
        <v>51</v>
      </c>
      <c r="Q739" s="15" t="str">
        <f t="shared" ref="Q739:Q740" si="2100">"27"</f>
        <v>27</v>
      </c>
      <c r="R739" s="15" t="str">
        <f t="shared" si="2095"/>
        <v>17</v>
      </c>
      <c r="S739" s="15" t="str">
        <f t="shared" ref="S739:S740" si="2101">"52.91"</f>
        <v>52.91</v>
      </c>
      <c r="T739" s="15" t="s">
        <v>7968</v>
      </c>
      <c r="U739" s="15" t="s">
        <v>16557</v>
      </c>
      <c r="V739" s="15" t="s">
        <v>14148</v>
      </c>
      <c r="AA739" s="15" t="s">
        <v>426</v>
      </c>
      <c r="AB739" s="15" t="s">
        <v>413</v>
      </c>
      <c r="AC739" s="15" t="s">
        <v>7983</v>
      </c>
      <c r="AD739" s="15" t="s">
        <v>20237</v>
      </c>
      <c r="AE739" s="15" t="s">
        <v>7981</v>
      </c>
      <c r="AF739" s="15" t="s">
        <v>20238</v>
      </c>
      <c r="AG739" s="15" t="s">
        <v>20239</v>
      </c>
      <c r="AH739" s="15" t="s">
        <v>20240</v>
      </c>
      <c r="AI739" s="15" t="s">
        <v>20241</v>
      </c>
      <c r="AJ739" s="15" t="s">
        <v>20242</v>
      </c>
      <c r="AK739" s="15" t="s">
        <v>20243</v>
      </c>
      <c r="AL739" s="15" t="s">
        <v>20244</v>
      </c>
      <c r="AM739" s="15" t="s">
        <v>20245</v>
      </c>
      <c r="BH739" s="15" t="s">
        <v>7978</v>
      </c>
      <c r="BI739" s="15" t="str">
        <f t="shared" ref="BI739:BI740" si="2102">"799"</f>
        <v>799</v>
      </c>
      <c r="BJ739" s="15" t="str">
        <f t="shared" ref="BJ739:BJ740" si="2103">"340"</f>
        <v>340</v>
      </c>
      <c r="BK739" s="15" t="s">
        <v>742</v>
      </c>
      <c r="BL739" s="15" t="str">
        <f t="shared" si="2096"/>
        <v>2</v>
      </c>
      <c r="BM739" s="15" t="s">
        <v>1564</v>
      </c>
      <c r="BN739" s="15" t="str">
        <f t="shared" ref="BN739:BN740" si="2104">"55.12"</f>
        <v>55.12</v>
      </c>
      <c r="BO739" s="15" t="str">
        <f t="shared" si="2097"/>
        <v>4.72</v>
      </c>
      <c r="BP739" s="15" t="str">
        <f t="shared" ref="BP739:BP740" si="2105">"31.1"</f>
        <v>31.1</v>
      </c>
      <c r="BQ739" s="15" t="str">
        <f t="shared" ref="BQ739:BQ740" si="2106">"37.48"</f>
        <v>37.48</v>
      </c>
      <c r="BR739" s="15" t="s">
        <v>5617</v>
      </c>
      <c r="BS739" s="15" t="str">
        <f t="shared" ref="BS739:BT739" si="2098">"21.65"</f>
        <v>21.65</v>
      </c>
      <c r="BT739" s="15" t="str">
        <f t="shared" si="2098"/>
        <v>21.65</v>
      </c>
      <c r="BU739" s="15" t="str">
        <f t="shared" ref="BU739:BU740" si="2108">"19.69"</f>
        <v>19.69</v>
      </c>
      <c r="BV739" s="15" t="str">
        <f t="shared" ref="BV739:BV740" si="2109">"31.97"</f>
        <v>31.97</v>
      </c>
      <c r="CG739" s="15" t="str">
        <f t="shared" ref="CG739:CG740" si="2110">"10.03"</f>
        <v>10.03</v>
      </c>
      <c r="CH739" s="15" t="str">
        <f t="shared" ref="CH739:CH740" si="2111">"0.284"</f>
        <v>0.284</v>
      </c>
      <c r="CI739" s="15" t="s">
        <v>465</v>
      </c>
      <c r="CZ739" s="15" t="s">
        <v>419</v>
      </c>
      <c r="DA739" s="15">
        <v>0.0</v>
      </c>
      <c r="DB739" s="15" t="s">
        <v>419</v>
      </c>
      <c r="DD739" s="15">
        <v>0.0</v>
      </c>
      <c r="DF739" s="15" t="s">
        <v>420</v>
      </c>
      <c r="DG739" s="15" t="s">
        <v>419</v>
      </c>
      <c r="DK739" s="15">
        <v>0.0</v>
      </c>
      <c r="DR739" s="15" t="s">
        <v>1112</v>
      </c>
      <c r="DS739" s="15" t="s">
        <v>7972</v>
      </c>
      <c r="DU739" s="15" t="s">
        <v>500</v>
      </c>
      <c r="EF739" s="15" t="s">
        <v>4943</v>
      </c>
      <c r="EG739" s="15" t="s">
        <v>1956</v>
      </c>
      <c r="EH739" s="15" t="s">
        <v>2648</v>
      </c>
      <c r="EQ739" s="15" t="s">
        <v>1956</v>
      </c>
      <c r="ER739" s="15" t="s">
        <v>4943</v>
      </c>
      <c r="ES739" s="15" t="s">
        <v>993</v>
      </c>
      <c r="ET739" s="15" t="s">
        <v>5972</v>
      </c>
      <c r="EU739" s="15" t="s">
        <v>426</v>
      </c>
      <c r="EV739" s="15">
        <v>0.0</v>
      </c>
      <c r="EW739" s="15">
        <v>0.0</v>
      </c>
      <c r="FF739" s="15" t="s">
        <v>5058</v>
      </c>
    </row>
    <row r="740" ht="17.25" customHeight="1">
      <c r="A740" s="15" t="s">
        <v>7986</v>
      </c>
      <c r="B740" s="15" t="str">
        <f>"801542729417"</f>
        <v>801542729417</v>
      </c>
      <c r="C740" s="15" t="s">
        <v>20246</v>
      </c>
      <c r="D740" s="15" t="str">
        <f t="shared" si="1"/>
        <v>Paden Coffee TableSeasoned Brown Acacia51</v>
      </c>
      <c r="E740" s="15" t="s">
        <v>7963</v>
      </c>
      <c r="F740" s="15" t="s">
        <v>397</v>
      </c>
      <c r="G740" s="15" t="s">
        <v>7985</v>
      </c>
      <c r="H740" s="15" t="s">
        <v>265</v>
      </c>
      <c r="I740" s="15" t="s">
        <v>4424</v>
      </c>
      <c r="J740" s="15" t="s">
        <v>7985</v>
      </c>
      <c r="K740" s="15" t="s">
        <v>7988</v>
      </c>
      <c r="M740" s="15" t="s">
        <v>1896</v>
      </c>
      <c r="N740" s="15" t="s">
        <v>491</v>
      </c>
      <c r="P740" s="15" t="str">
        <f t="shared" si="2099"/>
        <v>51</v>
      </c>
      <c r="Q740" s="15" t="str">
        <f t="shared" si="2100"/>
        <v>27</v>
      </c>
      <c r="R740" s="15" t="str">
        <f t="shared" si="2095"/>
        <v>17</v>
      </c>
      <c r="S740" s="15" t="str">
        <f t="shared" si="2101"/>
        <v>52.91</v>
      </c>
      <c r="T740" s="15" t="s">
        <v>7968</v>
      </c>
      <c r="U740" s="15" t="s">
        <v>16557</v>
      </c>
      <c r="V740" s="15" t="s">
        <v>14148</v>
      </c>
      <c r="AA740" s="15" t="s">
        <v>426</v>
      </c>
      <c r="AB740" s="15" t="s">
        <v>413</v>
      </c>
      <c r="AC740" s="15" t="s">
        <v>7989</v>
      </c>
      <c r="AD740" s="15" t="s">
        <v>20247</v>
      </c>
      <c r="AE740" s="15" t="s">
        <v>7987</v>
      </c>
      <c r="AF740" s="15" t="s">
        <v>20248</v>
      </c>
      <c r="AG740" s="15" t="s">
        <v>20249</v>
      </c>
      <c r="AH740" s="15" t="s">
        <v>20250</v>
      </c>
      <c r="AI740" s="15" t="s">
        <v>20251</v>
      </c>
      <c r="AJ740" s="15" t="s">
        <v>20252</v>
      </c>
      <c r="AK740" s="15" t="s">
        <v>20253</v>
      </c>
      <c r="AL740" s="15" t="s">
        <v>20254</v>
      </c>
      <c r="AM740" s="15" t="s">
        <v>20255</v>
      </c>
      <c r="BH740" s="15" t="s">
        <v>7984</v>
      </c>
      <c r="BI740" s="15" t="str">
        <f t="shared" si="2102"/>
        <v>799</v>
      </c>
      <c r="BJ740" s="15" t="str">
        <f t="shared" si="2103"/>
        <v>340</v>
      </c>
      <c r="BK740" s="15" t="s">
        <v>742</v>
      </c>
      <c r="BL740" s="15" t="str">
        <f t="shared" si="2096"/>
        <v>2</v>
      </c>
      <c r="BM740" s="15" t="s">
        <v>1564</v>
      </c>
      <c r="BN740" s="15" t="str">
        <f t="shared" si="2104"/>
        <v>55.12</v>
      </c>
      <c r="BO740" s="15" t="str">
        <f t="shared" si="2097"/>
        <v>4.72</v>
      </c>
      <c r="BP740" s="15" t="str">
        <f t="shared" si="2105"/>
        <v>31.1</v>
      </c>
      <c r="BQ740" s="15" t="str">
        <f t="shared" si="2106"/>
        <v>37.48</v>
      </c>
      <c r="BR740" s="15" t="s">
        <v>5617</v>
      </c>
      <c r="BS740" s="15" t="str">
        <f t="shared" ref="BS740:BT740" si="2107">"21.65"</f>
        <v>21.65</v>
      </c>
      <c r="BT740" s="15" t="str">
        <f t="shared" si="2107"/>
        <v>21.65</v>
      </c>
      <c r="BU740" s="15" t="str">
        <f t="shared" si="2108"/>
        <v>19.69</v>
      </c>
      <c r="BV740" s="15" t="str">
        <f t="shared" si="2109"/>
        <v>31.97</v>
      </c>
      <c r="CG740" s="15" t="str">
        <f t="shared" si="2110"/>
        <v>10.03</v>
      </c>
      <c r="CH740" s="15" t="str">
        <f t="shared" si="2111"/>
        <v>0.284</v>
      </c>
      <c r="CI740" s="15" t="s">
        <v>497</v>
      </c>
      <c r="CZ740" s="15" t="s">
        <v>419</v>
      </c>
      <c r="DA740" s="15">
        <v>0.0</v>
      </c>
      <c r="DB740" s="15" t="s">
        <v>419</v>
      </c>
      <c r="DD740" s="15">
        <v>0.0</v>
      </c>
      <c r="DF740" s="15" t="s">
        <v>420</v>
      </c>
      <c r="DG740" s="15" t="s">
        <v>419</v>
      </c>
      <c r="DK740" s="15">
        <v>0.0</v>
      </c>
      <c r="DR740" s="15" t="s">
        <v>1112</v>
      </c>
      <c r="DS740" s="15" t="s">
        <v>7972</v>
      </c>
      <c r="DU740" s="15" t="s">
        <v>500</v>
      </c>
      <c r="EF740" s="15" t="s">
        <v>4943</v>
      </c>
      <c r="EG740" s="15" t="s">
        <v>1956</v>
      </c>
      <c r="EH740" s="15" t="s">
        <v>2648</v>
      </c>
      <c r="EQ740" s="15" t="s">
        <v>1956</v>
      </c>
      <c r="ER740" s="15" t="s">
        <v>4943</v>
      </c>
      <c r="ES740" s="15" t="s">
        <v>993</v>
      </c>
      <c r="ET740" s="15" t="s">
        <v>5972</v>
      </c>
      <c r="EU740" s="15" t="s">
        <v>426</v>
      </c>
      <c r="EV740" s="15">
        <v>0.0</v>
      </c>
      <c r="EW740" s="15">
        <v>0.0</v>
      </c>
      <c r="FF740" s="15" t="s">
        <v>5058</v>
      </c>
    </row>
    <row r="741" ht="17.25" customHeight="1">
      <c r="A741" s="15" t="s">
        <v>7991</v>
      </c>
      <c r="B741" s="15" t="str">
        <f>"801542158095"</f>
        <v>801542158095</v>
      </c>
      <c r="C741" s="15" t="s">
        <v>20246</v>
      </c>
      <c r="D741" s="15" t="str">
        <f t="shared" si="1"/>
        <v>Paden Coffee TableSeasoned Brown Acacia65</v>
      </c>
      <c r="E741" s="15" t="s">
        <v>7963</v>
      </c>
      <c r="F741" s="15" t="s">
        <v>397</v>
      </c>
      <c r="G741" s="15" t="s">
        <v>7985</v>
      </c>
      <c r="H741" s="15" t="s">
        <v>265</v>
      </c>
      <c r="I741" s="15" t="s">
        <v>1224</v>
      </c>
      <c r="J741" s="15" t="s">
        <v>7985</v>
      </c>
      <c r="K741" s="15" t="s">
        <v>7988</v>
      </c>
      <c r="M741" s="15" t="s">
        <v>1896</v>
      </c>
      <c r="N741" s="15" t="s">
        <v>491</v>
      </c>
      <c r="P741" s="15" t="str">
        <f>"65"</f>
        <v>65</v>
      </c>
      <c r="Q741" s="15" t="str">
        <f>"35"</f>
        <v>35</v>
      </c>
      <c r="R741" s="15" t="str">
        <f t="shared" si="2095"/>
        <v>17</v>
      </c>
      <c r="S741" s="15" t="str">
        <f>"72.75"</f>
        <v>72.75</v>
      </c>
      <c r="T741" s="15" t="s">
        <v>7968</v>
      </c>
      <c r="U741" s="15" t="s">
        <v>16557</v>
      </c>
      <c r="V741" s="15" t="s">
        <v>14148</v>
      </c>
      <c r="AA741" s="15" t="s">
        <v>413</v>
      </c>
      <c r="AB741" s="15" t="s">
        <v>413</v>
      </c>
      <c r="AC741" s="15" t="s">
        <v>7993</v>
      </c>
      <c r="AD741" s="15" t="s">
        <v>20256</v>
      </c>
      <c r="AE741" s="15" t="s">
        <v>7992</v>
      </c>
      <c r="AF741" s="15" t="s">
        <v>20257</v>
      </c>
      <c r="AG741" s="15" t="s">
        <v>20258</v>
      </c>
      <c r="AH741" s="15" t="s">
        <v>20259</v>
      </c>
      <c r="AI741" s="15" t="s">
        <v>20260</v>
      </c>
      <c r="AJ741" s="15" t="s">
        <v>20261</v>
      </c>
      <c r="AK741" s="15" t="s">
        <v>20262</v>
      </c>
      <c r="AL741" s="15" t="s">
        <v>20263</v>
      </c>
      <c r="AM741" s="15" t="s">
        <v>20264</v>
      </c>
      <c r="BH741" s="15" t="s">
        <v>7990</v>
      </c>
      <c r="BI741" s="15" t="str">
        <f>"999"</f>
        <v>999</v>
      </c>
      <c r="BJ741" s="15" t="str">
        <f>"420"</f>
        <v>420</v>
      </c>
      <c r="BK741" s="15" t="s">
        <v>742</v>
      </c>
      <c r="BL741" s="15" t="str">
        <f t="shared" si="2096"/>
        <v>2</v>
      </c>
      <c r="BM741" s="15" t="s">
        <v>1564</v>
      </c>
      <c r="BN741" s="15" t="str">
        <f>"68.5"</f>
        <v>68.5</v>
      </c>
      <c r="BO741" s="15" t="str">
        <f t="shared" si="2097"/>
        <v>4.72</v>
      </c>
      <c r="BP741" s="15" t="str">
        <f>"38.7"</f>
        <v>38.7</v>
      </c>
      <c r="BQ741" s="15" t="str">
        <f>"61.73"</f>
        <v>61.73</v>
      </c>
      <c r="BR741" s="15" t="s">
        <v>2238</v>
      </c>
      <c r="BS741" s="15" t="str">
        <f>"27.56"</f>
        <v>27.56</v>
      </c>
      <c r="BT741" s="15" t="str">
        <f>"26.38"</f>
        <v>26.38</v>
      </c>
      <c r="BU741" s="15" t="str">
        <f>"20.08"</f>
        <v>20.08</v>
      </c>
      <c r="BV741" s="15" t="str">
        <f>"38.58"</f>
        <v>38.58</v>
      </c>
      <c r="CG741" s="15" t="str">
        <f>"15.68"</f>
        <v>15.68</v>
      </c>
      <c r="CH741" s="15" t="str">
        <f>"0.444"</f>
        <v>0.444</v>
      </c>
      <c r="CI741" s="15" t="s">
        <v>417</v>
      </c>
      <c r="CZ741" s="15" t="s">
        <v>419</v>
      </c>
      <c r="DA741" s="15">
        <v>0.0</v>
      </c>
      <c r="DB741" s="15" t="s">
        <v>419</v>
      </c>
      <c r="DD741" s="15">
        <v>0.0</v>
      </c>
      <c r="DF741" s="15" t="s">
        <v>420</v>
      </c>
      <c r="DG741" s="15" t="s">
        <v>419</v>
      </c>
      <c r="DK741" s="15">
        <v>0.0</v>
      </c>
      <c r="DR741" s="15" t="s">
        <v>1112</v>
      </c>
      <c r="DS741" s="15" t="s">
        <v>7972</v>
      </c>
      <c r="DU741" s="15" t="s">
        <v>500</v>
      </c>
      <c r="EF741" s="15" t="s">
        <v>7358</v>
      </c>
      <c r="EH741" s="15" t="s">
        <v>7977</v>
      </c>
      <c r="EQ741" s="15" t="s">
        <v>6289</v>
      </c>
      <c r="ER741" s="15" t="s">
        <v>7358</v>
      </c>
      <c r="ES741" s="15" t="s">
        <v>1593</v>
      </c>
      <c r="ET741" s="15" t="s">
        <v>5972</v>
      </c>
      <c r="EU741" s="15" t="s">
        <v>426</v>
      </c>
      <c r="EV741" s="15">
        <v>0.0</v>
      </c>
      <c r="EW741" s="15">
        <v>0.0</v>
      </c>
      <c r="FF741" s="15" t="s">
        <v>993</v>
      </c>
    </row>
    <row r="742" ht="17.25" customHeight="1">
      <c r="A742" s="15" t="s">
        <v>7995</v>
      </c>
      <c r="B742" s="15" t="str">
        <f>"198394019699"</f>
        <v>198394019699</v>
      </c>
      <c r="C742" s="15" t="s">
        <v>20265</v>
      </c>
      <c r="D742" s="15" t="str">
        <f t="shared" si="1"/>
        <v>Paden Coffee TableWorn Oak Veneer51</v>
      </c>
      <c r="E742" s="15" t="s">
        <v>7963</v>
      </c>
      <c r="F742" s="15" t="s">
        <v>397</v>
      </c>
      <c r="G742" s="15" t="s">
        <v>2351</v>
      </c>
      <c r="H742" s="15" t="s">
        <v>265</v>
      </c>
      <c r="I742" s="15" t="s">
        <v>4424</v>
      </c>
      <c r="J742" s="15" t="s">
        <v>2351</v>
      </c>
      <c r="M742" s="15" t="s">
        <v>1896</v>
      </c>
      <c r="N742" s="15" t="s">
        <v>491</v>
      </c>
      <c r="P742" s="15" t="str">
        <f>"51"</f>
        <v>51</v>
      </c>
      <c r="Q742" s="15" t="str">
        <f>"27"</f>
        <v>27</v>
      </c>
      <c r="R742" s="15" t="str">
        <f t="shared" si="2095"/>
        <v>17</v>
      </c>
      <c r="S742" s="15" t="str">
        <f>"71.65"</f>
        <v>71.65</v>
      </c>
      <c r="T742" s="15" t="s">
        <v>1025</v>
      </c>
      <c r="U742" s="15" t="s">
        <v>10881</v>
      </c>
      <c r="V742" s="15" t="s">
        <v>11338</v>
      </c>
      <c r="AA742" s="15" t="s">
        <v>426</v>
      </c>
      <c r="AB742" s="15" t="s">
        <v>413</v>
      </c>
      <c r="AC742" s="15" t="s">
        <v>7997</v>
      </c>
      <c r="AD742" s="15" t="s">
        <v>20266</v>
      </c>
      <c r="AE742" s="15" t="s">
        <v>7996</v>
      </c>
      <c r="AF742" s="15" t="s">
        <v>20267</v>
      </c>
      <c r="AG742" s="15" t="s">
        <v>20268</v>
      </c>
      <c r="AH742" s="15" t="s">
        <v>20269</v>
      </c>
      <c r="AI742" s="15" t="s">
        <v>20270</v>
      </c>
      <c r="AJ742" s="15" t="s">
        <v>20271</v>
      </c>
      <c r="AK742" s="15" t="s">
        <v>20272</v>
      </c>
      <c r="AL742" s="15" t="s">
        <v>20273</v>
      </c>
      <c r="AM742" s="15" t="s">
        <v>20274</v>
      </c>
      <c r="BH742" s="15" t="s">
        <v>7994</v>
      </c>
      <c r="BI742" s="15" t="str">
        <f>"899"</f>
        <v>899</v>
      </c>
      <c r="BJ742" s="15" t="str">
        <f>"380"</f>
        <v>380</v>
      </c>
      <c r="BK742" s="15" t="s">
        <v>742</v>
      </c>
      <c r="BL742" s="15" t="str">
        <f t="shared" si="2096"/>
        <v>2</v>
      </c>
      <c r="BM742" s="15" t="s">
        <v>1564</v>
      </c>
      <c r="BN742" s="15" t="str">
        <f>"55.12"</f>
        <v>55.12</v>
      </c>
      <c r="BO742" s="15" t="str">
        <f t="shared" si="2097"/>
        <v>4.72</v>
      </c>
      <c r="BP742" s="15" t="str">
        <f>"31.1"</f>
        <v>31.1</v>
      </c>
      <c r="BQ742" s="15" t="str">
        <f>"51.81"</f>
        <v>51.81</v>
      </c>
      <c r="BR742" s="15" t="s">
        <v>5617</v>
      </c>
      <c r="BS742" s="15" t="str">
        <f t="shared" ref="BS742:BT742" si="2112">"21.65"</f>
        <v>21.65</v>
      </c>
      <c r="BT742" s="15" t="str">
        <f t="shared" si="2112"/>
        <v>21.65</v>
      </c>
      <c r="BU742" s="15" t="str">
        <f>"19.69"</f>
        <v>19.69</v>
      </c>
      <c r="BV742" s="15" t="str">
        <f>"36.38"</f>
        <v>36.38</v>
      </c>
      <c r="CG742" s="15" t="str">
        <f>"10.03"</f>
        <v>10.03</v>
      </c>
      <c r="CH742" s="15" t="str">
        <f>"0.284"</f>
        <v>0.284</v>
      </c>
      <c r="CI742" s="15" t="s">
        <v>465</v>
      </c>
      <c r="CZ742" s="15" t="s">
        <v>419</v>
      </c>
      <c r="DA742" s="15">
        <v>0.0</v>
      </c>
      <c r="DB742" s="15" t="s">
        <v>419</v>
      </c>
      <c r="DD742" s="15">
        <v>0.0</v>
      </c>
      <c r="DF742" s="15" t="s">
        <v>420</v>
      </c>
      <c r="DG742" s="15" t="s">
        <v>419</v>
      </c>
      <c r="DK742" s="15">
        <v>0.0</v>
      </c>
      <c r="DR742" s="15" t="s">
        <v>1112</v>
      </c>
      <c r="DS742" s="15" t="s">
        <v>7972</v>
      </c>
      <c r="DU742" s="15" t="s">
        <v>500</v>
      </c>
      <c r="EF742" s="15" t="s">
        <v>4943</v>
      </c>
      <c r="EG742" s="15" t="s">
        <v>1956</v>
      </c>
      <c r="EH742" s="15" t="s">
        <v>2648</v>
      </c>
      <c r="EQ742" s="15" t="s">
        <v>1956</v>
      </c>
      <c r="ER742" s="15" t="s">
        <v>4943</v>
      </c>
      <c r="ES742" s="15" t="s">
        <v>993</v>
      </c>
      <c r="ET742" s="15" t="s">
        <v>5972</v>
      </c>
      <c r="EU742" s="15" t="s">
        <v>426</v>
      </c>
      <c r="EV742" s="15">
        <v>0.0</v>
      </c>
      <c r="EW742" s="15">
        <v>0.0</v>
      </c>
      <c r="FF742" s="15" t="s">
        <v>5058</v>
      </c>
    </row>
    <row r="743" ht="17.25" customHeight="1">
      <c r="A743" s="15" t="s">
        <v>8000</v>
      </c>
      <c r="B743" s="15" t="str">
        <f>"198394019750"</f>
        <v>198394019750</v>
      </c>
      <c r="C743" s="15" t="s">
        <v>20265</v>
      </c>
      <c r="D743" s="15" t="str">
        <f t="shared" si="1"/>
        <v>Paden Coffee TableWorn Oak Veneer65</v>
      </c>
      <c r="E743" s="15" t="s">
        <v>7963</v>
      </c>
      <c r="F743" s="15" t="s">
        <v>397</v>
      </c>
      <c r="G743" s="15" t="s">
        <v>2351</v>
      </c>
      <c r="H743" s="15" t="s">
        <v>265</v>
      </c>
      <c r="I743" s="15" t="s">
        <v>1224</v>
      </c>
      <c r="J743" s="15" t="s">
        <v>2351</v>
      </c>
      <c r="M743" s="15" t="s">
        <v>1896</v>
      </c>
      <c r="N743" s="15" t="s">
        <v>491</v>
      </c>
      <c r="P743" s="15" t="str">
        <f t="shared" ref="P743:P745" si="2113">"65"</f>
        <v>65</v>
      </c>
      <c r="Q743" s="15" t="str">
        <f>"35"</f>
        <v>35</v>
      </c>
      <c r="R743" s="15" t="str">
        <f t="shared" si="2095"/>
        <v>17</v>
      </c>
      <c r="S743" s="15" t="str">
        <f>"94.8"</f>
        <v>94.8</v>
      </c>
      <c r="T743" s="15" t="s">
        <v>1025</v>
      </c>
      <c r="U743" s="15" t="s">
        <v>10881</v>
      </c>
      <c r="V743" s="15" t="s">
        <v>11338</v>
      </c>
      <c r="AA743" s="15" t="s">
        <v>413</v>
      </c>
      <c r="AB743" s="15" t="s">
        <v>413</v>
      </c>
      <c r="AC743" s="15" t="s">
        <v>8003</v>
      </c>
      <c r="AD743" s="15" t="s">
        <v>20275</v>
      </c>
      <c r="AE743" s="15" t="s">
        <v>8002</v>
      </c>
      <c r="AF743" s="15" t="s">
        <v>20276</v>
      </c>
      <c r="AG743" s="15" t="s">
        <v>20277</v>
      </c>
      <c r="AH743" s="15" t="s">
        <v>20278</v>
      </c>
      <c r="AI743" s="15" t="s">
        <v>20279</v>
      </c>
      <c r="AJ743" s="15" t="s">
        <v>20280</v>
      </c>
      <c r="AK743" s="15" t="s">
        <v>20281</v>
      </c>
      <c r="AL743" s="15" t="s">
        <v>20282</v>
      </c>
      <c r="AM743" s="15" t="s">
        <v>20283</v>
      </c>
      <c r="BH743" s="15" t="s">
        <v>7999</v>
      </c>
      <c r="BI743" s="15" t="str">
        <f>"1199"</f>
        <v>1199</v>
      </c>
      <c r="BJ743" s="15" t="str">
        <f>"505"</f>
        <v>505</v>
      </c>
      <c r="BK743" s="15" t="s">
        <v>742</v>
      </c>
      <c r="BL743" s="15" t="str">
        <f t="shared" si="2096"/>
        <v>2</v>
      </c>
      <c r="BM743" s="15" t="s">
        <v>1564</v>
      </c>
      <c r="BN743" s="15" t="str">
        <f>"68.5"</f>
        <v>68.5</v>
      </c>
      <c r="BO743" s="15" t="str">
        <f t="shared" si="2097"/>
        <v>4.72</v>
      </c>
      <c r="BP743" s="15" t="str">
        <f>"38.7"</f>
        <v>38.7</v>
      </c>
      <c r="BQ743" s="15" t="str">
        <f>"80.47"</f>
        <v>80.47</v>
      </c>
      <c r="BR743" s="15" t="s">
        <v>2238</v>
      </c>
      <c r="BS743" s="15" t="str">
        <f>"27.56"</f>
        <v>27.56</v>
      </c>
      <c r="BT743" s="15" t="str">
        <f>"26.38"</f>
        <v>26.38</v>
      </c>
      <c r="BU743" s="15" t="str">
        <f>"20.08"</f>
        <v>20.08</v>
      </c>
      <c r="BV743" s="15" t="str">
        <f>"41.89"</f>
        <v>41.89</v>
      </c>
      <c r="CG743" s="15" t="str">
        <f>"15.68"</f>
        <v>15.68</v>
      </c>
      <c r="CH743" s="15" t="str">
        <f>"0.444"</f>
        <v>0.444</v>
      </c>
      <c r="CI743" s="15" t="s">
        <v>465</v>
      </c>
      <c r="CZ743" s="15" t="s">
        <v>419</v>
      </c>
      <c r="DA743" s="15">
        <v>0.0</v>
      </c>
      <c r="DB743" s="15" t="s">
        <v>419</v>
      </c>
      <c r="DD743" s="15">
        <v>0.0</v>
      </c>
      <c r="DF743" s="15" t="s">
        <v>420</v>
      </c>
      <c r="DG743" s="15" t="s">
        <v>419</v>
      </c>
      <c r="DK743" s="15">
        <v>0.0</v>
      </c>
      <c r="DR743" s="15" t="s">
        <v>1112</v>
      </c>
      <c r="DS743" s="15" t="s">
        <v>7972</v>
      </c>
      <c r="DU743" s="15" t="s">
        <v>500</v>
      </c>
      <c r="EF743" s="15" t="s">
        <v>7358</v>
      </c>
      <c r="EH743" s="15" t="s">
        <v>7977</v>
      </c>
      <c r="EQ743" s="15" t="s">
        <v>6289</v>
      </c>
      <c r="ER743" s="15" t="s">
        <v>7358</v>
      </c>
      <c r="ES743" s="15" t="s">
        <v>1593</v>
      </c>
      <c r="ET743" s="15" t="s">
        <v>5972</v>
      </c>
      <c r="EU743" s="15" t="s">
        <v>426</v>
      </c>
      <c r="EV743" s="15">
        <v>0.0</v>
      </c>
      <c r="EW743" s="15">
        <v>0.0</v>
      </c>
      <c r="FF743" s="15" t="s">
        <v>993</v>
      </c>
    </row>
    <row r="744" ht="17.25" customHeight="1">
      <c r="A744" s="15" t="s">
        <v>8006</v>
      </c>
      <c r="B744" s="15" t="str">
        <f>"198394025713"</f>
        <v>198394025713</v>
      </c>
      <c r="C744" s="15" t="s">
        <v>20284</v>
      </c>
      <c r="D744" s="15" t="str">
        <f t="shared" si="1"/>
        <v>Paden DeskAged Black Acacia</v>
      </c>
      <c r="E744" s="15" t="s">
        <v>8004</v>
      </c>
      <c r="F744" s="15" t="s">
        <v>397</v>
      </c>
      <c r="G744" s="15" t="s">
        <v>7965</v>
      </c>
      <c r="J744" s="15" t="s">
        <v>7965</v>
      </c>
      <c r="K744" s="15" t="s">
        <v>7969</v>
      </c>
      <c r="M744" s="15" t="s">
        <v>1896</v>
      </c>
      <c r="N744" s="15" t="s">
        <v>2134</v>
      </c>
      <c r="O744" s="15" t="s">
        <v>2171</v>
      </c>
      <c r="P744" s="15" t="str">
        <f t="shared" si="2113"/>
        <v>65</v>
      </c>
      <c r="Q744" s="15" t="str">
        <f t="shared" ref="Q744:Q745" si="2114">"27"</f>
        <v>27</v>
      </c>
      <c r="R744" s="15" t="str">
        <f t="shared" ref="R744:R752" si="2115">"30"</f>
        <v>30</v>
      </c>
      <c r="S744" s="15" t="str">
        <f>"97"</f>
        <v>97</v>
      </c>
      <c r="T744" s="15" t="s">
        <v>7968</v>
      </c>
      <c r="U744" s="15" t="s">
        <v>16557</v>
      </c>
      <c r="V744" s="15" t="s">
        <v>14148</v>
      </c>
      <c r="AA744" s="15" t="s">
        <v>426</v>
      </c>
      <c r="AB744" s="15" t="s">
        <v>413</v>
      </c>
      <c r="AC744" s="15" t="s">
        <v>8008</v>
      </c>
      <c r="AD744" s="15" t="s">
        <v>20285</v>
      </c>
      <c r="AE744" s="15" t="s">
        <v>8007</v>
      </c>
      <c r="AF744" s="15" t="s">
        <v>20286</v>
      </c>
      <c r="AG744" s="15" t="s">
        <v>20287</v>
      </c>
      <c r="AH744" s="15" t="s">
        <v>20288</v>
      </c>
      <c r="AI744" s="15" t="s">
        <v>20289</v>
      </c>
      <c r="AJ744" s="15" t="s">
        <v>20290</v>
      </c>
      <c r="AK744" s="15" t="s">
        <v>20291</v>
      </c>
      <c r="AL744" s="15" t="s">
        <v>20292</v>
      </c>
      <c r="AM744" s="15" t="s">
        <v>20293</v>
      </c>
      <c r="AN744" s="15" t="s">
        <v>20294</v>
      </c>
      <c r="AO744" s="15" t="s">
        <v>20295</v>
      </c>
      <c r="BH744" s="15" t="s">
        <v>8005</v>
      </c>
      <c r="BI744" s="15" t="str">
        <f>"1049"</f>
        <v>1049</v>
      </c>
      <c r="BJ744" s="15" t="str">
        <f>"445"</f>
        <v>445</v>
      </c>
      <c r="BK744" s="15" t="s">
        <v>742</v>
      </c>
      <c r="BL744" s="15" t="str">
        <f t="shared" si="2096"/>
        <v>2</v>
      </c>
      <c r="BM744" s="15" t="s">
        <v>8009</v>
      </c>
      <c r="BN744" s="15" t="str">
        <f t="shared" ref="BN744:BN745" si="2116">"70.08"</f>
        <v>70.08</v>
      </c>
      <c r="BO744" s="15" t="str">
        <f t="shared" si="2097"/>
        <v>4.72</v>
      </c>
      <c r="BP744" s="15" t="str">
        <f t="shared" ref="BP744:BP745" si="2117">"30.91"</f>
        <v>30.91</v>
      </c>
      <c r="BQ744" s="15" t="str">
        <f>"60.63"</f>
        <v>60.63</v>
      </c>
      <c r="BR744" s="15" t="s">
        <v>8010</v>
      </c>
      <c r="BS744" s="15" t="str">
        <f t="shared" ref="BS744:BS745" si="2118">"22.44"</f>
        <v>22.44</v>
      </c>
      <c r="BT744" s="15" t="str">
        <f t="shared" ref="BT744:BT745" si="2119">"21.46"</f>
        <v>21.46</v>
      </c>
      <c r="BU744" s="15" t="str">
        <f t="shared" ref="BU744:BU745" si="2120">"33.27"</f>
        <v>33.27</v>
      </c>
      <c r="BV744" s="15" t="str">
        <f>"60.63"</f>
        <v>60.63</v>
      </c>
      <c r="CG744" s="15" t="str">
        <f t="shared" ref="CG744:CG745" si="2121">"15.19"</f>
        <v>15.19</v>
      </c>
      <c r="CH744" s="15" t="str">
        <f t="shared" ref="CH744:CH745" si="2122">"0.43"</f>
        <v>0.43</v>
      </c>
      <c r="CI744" s="15" t="s">
        <v>497</v>
      </c>
      <c r="CZ744" s="15" t="s">
        <v>419</v>
      </c>
      <c r="DA744" s="15">
        <v>0.0</v>
      </c>
      <c r="DB744" s="15" t="s">
        <v>419</v>
      </c>
      <c r="DD744" s="15">
        <v>0.0</v>
      </c>
      <c r="DF744" s="15" t="s">
        <v>1388</v>
      </c>
      <c r="DG744" s="15" t="s">
        <v>419</v>
      </c>
      <c r="DK744" s="15">
        <v>0.0</v>
      </c>
      <c r="DR744" s="15" t="s">
        <v>4768</v>
      </c>
      <c r="DS744" s="15" t="s">
        <v>7972</v>
      </c>
      <c r="DU744" s="15" t="s">
        <v>500</v>
      </c>
      <c r="EF744" s="15" t="s">
        <v>5235</v>
      </c>
      <c r="EH744" s="15" t="s">
        <v>5103</v>
      </c>
      <c r="ET744" s="15" t="s">
        <v>5972</v>
      </c>
      <c r="EU744" s="15" t="s">
        <v>426</v>
      </c>
      <c r="EV744" s="15">
        <v>0.0</v>
      </c>
      <c r="FE744" s="15" t="s">
        <v>5235</v>
      </c>
      <c r="FQ744" s="15">
        <v>0.0</v>
      </c>
      <c r="FR744" s="15" t="s">
        <v>427</v>
      </c>
      <c r="GM744" s="15">
        <v>0.0</v>
      </c>
      <c r="HP744" s="15" t="s">
        <v>426</v>
      </c>
    </row>
    <row r="745" ht="17.25" customHeight="1">
      <c r="A745" s="15" t="s">
        <v>8012</v>
      </c>
      <c r="B745" s="15" t="str">
        <f>"198394025744"</f>
        <v>198394025744</v>
      </c>
      <c r="C745" s="15" t="s">
        <v>20296</v>
      </c>
      <c r="D745" s="15" t="str">
        <f t="shared" si="1"/>
        <v>Paden DeskWorn Oak</v>
      </c>
      <c r="E745" s="15" t="s">
        <v>8004</v>
      </c>
      <c r="F745" s="15" t="s">
        <v>397</v>
      </c>
      <c r="G745" s="15" t="s">
        <v>7632</v>
      </c>
      <c r="J745" s="15" t="s">
        <v>7632</v>
      </c>
      <c r="K745" s="15" t="s">
        <v>2351</v>
      </c>
      <c r="M745" s="15" t="s">
        <v>1896</v>
      </c>
      <c r="N745" s="15" t="s">
        <v>2134</v>
      </c>
      <c r="O745" s="15" t="s">
        <v>2171</v>
      </c>
      <c r="P745" s="15" t="str">
        <f t="shared" si="2113"/>
        <v>65</v>
      </c>
      <c r="Q745" s="15" t="str">
        <f t="shared" si="2114"/>
        <v>27</v>
      </c>
      <c r="R745" s="15" t="str">
        <f t="shared" si="2115"/>
        <v>30</v>
      </c>
      <c r="S745" s="15" t="str">
        <f>"106.92"</f>
        <v>106.92</v>
      </c>
      <c r="T745" s="15" t="s">
        <v>4874</v>
      </c>
      <c r="U745" s="15" t="s">
        <v>11338</v>
      </c>
      <c r="V745" s="15" t="s">
        <v>10881</v>
      </c>
      <c r="AA745" s="15" t="s">
        <v>426</v>
      </c>
      <c r="AB745" s="15" t="s">
        <v>413</v>
      </c>
      <c r="AC745" s="15" t="s">
        <v>8015</v>
      </c>
      <c r="AD745" s="15" t="s">
        <v>20297</v>
      </c>
      <c r="AE745" s="15" t="s">
        <v>8014</v>
      </c>
      <c r="AF745" s="15" t="s">
        <v>20298</v>
      </c>
      <c r="AG745" s="15" t="s">
        <v>20299</v>
      </c>
      <c r="AH745" s="15" t="s">
        <v>20300</v>
      </c>
      <c r="AI745" s="15" t="s">
        <v>20301</v>
      </c>
      <c r="AJ745" s="15" t="s">
        <v>20302</v>
      </c>
      <c r="AK745" s="15" t="s">
        <v>20303</v>
      </c>
      <c r="AL745" s="15" t="s">
        <v>20304</v>
      </c>
      <c r="AM745" s="15" t="s">
        <v>20305</v>
      </c>
      <c r="AN745" s="15" t="s">
        <v>20306</v>
      </c>
      <c r="AO745" s="15" t="s">
        <v>20307</v>
      </c>
      <c r="AP745" s="15" t="s">
        <v>20308</v>
      </c>
      <c r="AQ745" s="15" t="s">
        <v>20309</v>
      </c>
      <c r="AR745" s="15" t="s">
        <v>20310</v>
      </c>
      <c r="AS745" s="15" t="s">
        <v>20311</v>
      </c>
      <c r="AT745" s="15" t="s">
        <v>20312</v>
      </c>
      <c r="BH745" s="15" t="s">
        <v>8011</v>
      </c>
      <c r="BI745" s="15" t="str">
        <f t="shared" ref="BI745:BI746" si="2123">"1299"</f>
        <v>1299</v>
      </c>
      <c r="BJ745" s="15" t="str">
        <f t="shared" ref="BJ745:BJ746" si="2124">"550"</f>
        <v>550</v>
      </c>
      <c r="BK745" s="15" t="s">
        <v>742</v>
      </c>
      <c r="BL745" s="15" t="str">
        <f t="shared" si="2096"/>
        <v>2</v>
      </c>
      <c r="BM745" s="15" t="s">
        <v>8009</v>
      </c>
      <c r="BN745" s="15" t="str">
        <f t="shared" si="2116"/>
        <v>70.08</v>
      </c>
      <c r="BO745" s="15" t="str">
        <f t="shared" si="2097"/>
        <v>4.72</v>
      </c>
      <c r="BP745" s="15" t="str">
        <f t="shared" si="2117"/>
        <v>30.91</v>
      </c>
      <c r="BQ745" s="15" t="str">
        <f>"65.04"</f>
        <v>65.04</v>
      </c>
      <c r="BR745" s="15" t="s">
        <v>8010</v>
      </c>
      <c r="BS745" s="15" t="str">
        <f t="shared" si="2118"/>
        <v>22.44</v>
      </c>
      <c r="BT745" s="15" t="str">
        <f t="shared" si="2119"/>
        <v>21.46</v>
      </c>
      <c r="BU745" s="15" t="str">
        <f t="shared" si="2120"/>
        <v>33.27</v>
      </c>
      <c r="BV745" s="15" t="str">
        <f>"66.14"</f>
        <v>66.14</v>
      </c>
      <c r="CG745" s="15" t="str">
        <f t="shared" si="2121"/>
        <v>15.19</v>
      </c>
      <c r="CH745" s="15" t="str">
        <f t="shared" si="2122"/>
        <v>0.43</v>
      </c>
      <c r="CI745" s="15" t="s">
        <v>465</v>
      </c>
      <c r="CZ745" s="15" t="s">
        <v>419</v>
      </c>
      <c r="DA745" s="15">
        <v>0.0</v>
      </c>
      <c r="DB745" s="15" t="s">
        <v>419</v>
      </c>
      <c r="DD745" s="15">
        <v>0.0</v>
      </c>
      <c r="DF745" s="15" t="s">
        <v>1388</v>
      </c>
      <c r="DG745" s="15" t="s">
        <v>419</v>
      </c>
      <c r="DK745" s="15">
        <v>0.0</v>
      </c>
      <c r="DR745" s="15" t="s">
        <v>4768</v>
      </c>
      <c r="DS745" s="15" t="s">
        <v>7972</v>
      </c>
      <c r="DU745" s="15" t="s">
        <v>500</v>
      </c>
      <c r="EF745" s="15" t="s">
        <v>5235</v>
      </c>
      <c r="EH745" s="15" t="s">
        <v>5103</v>
      </c>
      <c r="ET745" s="15" t="s">
        <v>5972</v>
      </c>
      <c r="EU745" s="15" t="s">
        <v>426</v>
      </c>
      <c r="EV745" s="15">
        <v>0.0</v>
      </c>
      <c r="FE745" s="15" t="s">
        <v>5235</v>
      </c>
      <c r="FQ745" s="15">
        <v>0.0</v>
      </c>
      <c r="FR745" s="15" t="s">
        <v>427</v>
      </c>
      <c r="GM745" s="15">
        <v>0.0</v>
      </c>
      <c r="HP745" s="15" t="s">
        <v>426</v>
      </c>
    </row>
    <row r="746" ht="17.25" customHeight="1">
      <c r="A746" s="15" t="s">
        <v>8018</v>
      </c>
      <c r="B746" s="15" t="str">
        <f>"801542099114"</f>
        <v>801542099114</v>
      </c>
      <c r="C746" s="15" t="s">
        <v>20313</v>
      </c>
      <c r="D746" s="15" t="str">
        <f t="shared" si="1"/>
        <v>Paden Dining TableAged Black Acacia94</v>
      </c>
      <c r="E746" s="15" t="s">
        <v>8016</v>
      </c>
      <c r="F746" s="15" t="s">
        <v>397</v>
      </c>
      <c r="G746" s="15" t="s">
        <v>7965</v>
      </c>
      <c r="H746" s="15" t="s">
        <v>265</v>
      </c>
      <c r="I746" s="15" t="s">
        <v>770</v>
      </c>
      <c r="J746" s="15" t="s">
        <v>7965</v>
      </c>
      <c r="K746" s="15" t="s">
        <v>7969</v>
      </c>
      <c r="M746" s="15" t="s">
        <v>1896</v>
      </c>
      <c r="N746" s="15" t="s">
        <v>548</v>
      </c>
      <c r="O746" s="15" t="s">
        <v>549</v>
      </c>
      <c r="P746" s="15" t="str">
        <f>"94"</f>
        <v>94</v>
      </c>
      <c r="Q746" s="15" t="str">
        <f t="shared" ref="Q746:Q752" si="2125">"42"</f>
        <v>42</v>
      </c>
      <c r="R746" s="15" t="str">
        <f t="shared" si="2115"/>
        <v>30</v>
      </c>
      <c r="S746" s="15" t="str">
        <f>"139.33"</f>
        <v>139.33</v>
      </c>
      <c r="T746" s="15" t="s">
        <v>7968</v>
      </c>
      <c r="U746" s="15" t="s">
        <v>16557</v>
      </c>
      <c r="V746" s="15" t="s">
        <v>14148</v>
      </c>
      <c r="AA746" s="15" t="s">
        <v>426</v>
      </c>
      <c r="AB746" s="15" t="s">
        <v>413</v>
      </c>
      <c r="AC746" s="15" t="s">
        <v>8021</v>
      </c>
      <c r="AD746" s="15" t="s">
        <v>20314</v>
      </c>
      <c r="AE746" s="15" t="s">
        <v>8020</v>
      </c>
      <c r="AF746" s="15" t="s">
        <v>20315</v>
      </c>
      <c r="AG746" s="15" t="s">
        <v>20316</v>
      </c>
      <c r="AH746" s="15" t="s">
        <v>20317</v>
      </c>
      <c r="AI746" s="15" t="s">
        <v>20318</v>
      </c>
      <c r="AJ746" s="15" t="s">
        <v>20319</v>
      </c>
      <c r="AK746" s="15" t="s">
        <v>20320</v>
      </c>
      <c r="AL746" s="15" t="s">
        <v>20321</v>
      </c>
      <c r="AM746" s="15" t="s">
        <v>20322</v>
      </c>
      <c r="AN746" s="15" t="s">
        <v>20323</v>
      </c>
      <c r="BH746" s="15" t="s">
        <v>8017</v>
      </c>
      <c r="BI746" s="15" t="str">
        <f t="shared" si="2123"/>
        <v>1299</v>
      </c>
      <c r="BJ746" s="15" t="str">
        <f t="shared" si="2124"/>
        <v>550</v>
      </c>
      <c r="BK746" s="15" t="s">
        <v>742</v>
      </c>
      <c r="BL746" s="15" t="str">
        <f t="shared" si="2096"/>
        <v>2</v>
      </c>
      <c r="BM746" s="15" t="s">
        <v>1564</v>
      </c>
      <c r="BN746" s="15" t="str">
        <f>"99.21"</f>
        <v>99.21</v>
      </c>
      <c r="BO746" s="15" t="str">
        <f t="shared" si="2097"/>
        <v>4.72</v>
      </c>
      <c r="BP746" s="15" t="str">
        <f t="shared" ref="BP746:BP752" si="2126">"46.26"</f>
        <v>46.26</v>
      </c>
      <c r="BQ746" s="15" t="str">
        <f>"103.62"</f>
        <v>103.62</v>
      </c>
      <c r="BR746" s="15" t="s">
        <v>2238</v>
      </c>
      <c r="BS746" s="15" t="str">
        <f t="shared" ref="BS746:BS752" si="2127">"23.03"</f>
        <v>23.03</v>
      </c>
      <c r="BT746" s="15" t="str">
        <f t="shared" ref="BT746:BT752" si="2128">"22.24"</f>
        <v>22.24</v>
      </c>
      <c r="BU746" s="15" t="str">
        <f t="shared" ref="BU746:BU752" si="2129">"31.1"</f>
        <v>31.1</v>
      </c>
      <c r="BV746" s="15" t="str">
        <f t="shared" ref="BV746:BV752" si="2130">"82.67"</f>
        <v>82.67</v>
      </c>
      <c r="CG746" s="15" t="str">
        <f>"21.75"</f>
        <v>21.75</v>
      </c>
      <c r="CH746" s="15" t="str">
        <f>"0.616"</f>
        <v>0.616</v>
      </c>
      <c r="CI746" s="15" t="s">
        <v>497</v>
      </c>
      <c r="CZ746" s="15" t="s">
        <v>419</v>
      </c>
      <c r="DA746" s="15">
        <v>0.0</v>
      </c>
      <c r="DB746" s="15" t="s">
        <v>419</v>
      </c>
      <c r="DD746" s="15">
        <v>0.0</v>
      </c>
      <c r="DF746" s="15" t="s">
        <v>420</v>
      </c>
      <c r="DG746" s="15" t="s">
        <v>419</v>
      </c>
      <c r="DI746" s="15">
        <v>0.0</v>
      </c>
      <c r="DJ746" s="15">
        <v>0.0</v>
      </c>
      <c r="DK746" s="15">
        <v>0.0</v>
      </c>
      <c r="DQ746" s="15">
        <v>10.0</v>
      </c>
      <c r="DR746" s="15" t="s">
        <v>1112</v>
      </c>
      <c r="DS746" s="15" t="s">
        <v>7972</v>
      </c>
      <c r="DU746" s="15" t="s">
        <v>424</v>
      </c>
      <c r="EF746" s="15" t="s">
        <v>5235</v>
      </c>
      <c r="EH746" s="15" t="s">
        <v>8023</v>
      </c>
      <c r="EQ746" s="15" t="s">
        <v>1484</v>
      </c>
      <c r="ER746" s="15" t="s">
        <v>5235</v>
      </c>
      <c r="ES746" s="15" t="s">
        <v>531</v>
      </c>
      <c r="ET746" s="15" t="s">
        <v>5972</v>
      </c>
      <c r="EU746" s="15" t="s">
        <v>426</v>
      </c>
      <c r="EV746" s="15">
        <v>0.0</v>
      </c>
      <c r="EW746" s="15">
        <v>0.0</v>
      </c>
      <c r="FE746" s="15" t="s">
        <v>5235</v>
      </c>
      <c r="FF746" s="15" t="s">
        <v>1514</v>
      </c>
      <c r="FG746" s="15" t="s">
        <v>3694</v>
      </c>
    </row>
    <row r="747" ht="17.25" customHeight="1">
      <c r="A747" s="15" t="s">
        <v>8025</v>
      </c>
      <c r="B747" s="15" t="str">
        <f>"198394000550"</f>
        <v>198394000550</v>
      </c>
      <c r="C747" s="15" t="s">
        <v>20313</v>
      </c>
      <c r="D747" s="15" t="str">
        <f t="shared" si="1"/>
        <v>Paden Dining TableAged Black Acacia118</v>
      </c>
      <c r="E747" s="15" t="s">
        <v>8016</v>
      </c>
      <c r="F747" s="15" t="s">
        <v>397</v>
      </c>
      <c r="G747" s="15" t="s">
        <v>7965</v>
      </c>
      <c r="H747" s="15" t="s">
        <v>265</v>
      </c>
      <c r="I747" s="15" t="s">
        <v>6439</v>
      </c>
      <c r="J747" s="15" t="s">
        <v>7965</v>
      </c>
      <c r="K747" s="15" t="s">
        <v>7969</v>
      </c>
      <c r="M747" s="15" t="s">
        <v>1896</v>
      </c>
      <c r="N747" s="15" t="s">
        <v>548</v>
      </c>
      <c r="O747" s="15" t="s">
        <v>549</v>
      </c>
      <c r="P747" s="15" t="str">
        <f>"118"</f>
        <v>118</v>
      </c>
      <c r="Q747" s="15" t="str">
        <f t="shared" si="2125"/>
        <v>42</v>
      </c>
      <c r="R747" s="15" t="str">
        <f t="shared" si="2115"/>
        <v>30</v>
      </c>
      <c r="S747" s="15" t="str">
        <f>"173.06"</f>
        <v>173.06</v>
      </c>
      <c r="T747" s="15" t="s">
        <v>7968</v>
      </c>
      <c r="U747" s="15" t="s">
        <v>16557</v>
      </c>
      <c r="V747" s="15" t="s">
        <v>14148</v>
      </c>
      <c r="AA747" s="15" t="s">
        <v>426</v>
      </c>
      <c r="AB747" s="15" t="s">
        <v>413</v>
      </c>
      <c r="AC747" s="15" t="s">
        <v>8028</v>
      </c>
      <c r="AD747" s="15" t="s">
        <v>20324</v>
      </c>
      <c r="AE747" s="15" t="s">
        <v>8027</v>
      </c>
      <c r="AF747" s="15" t="s">
        <v>20325</v>
      </c>
      <c r="AG747" s="15" t="s">
        <v>20326</v>
      </c>
      <c r="AH747" s="15" t="s">
        <v>20327</v>
      </c>
      <c r="AI747" s="15" t="s">
        <v>20328</v>
      </c>
      <c r="AJ747" s="15" t="s">
        <v>20329</v>
      </c>
      <c r="AK747" s="15" t="s">
        <v>20330</v>
      </c>
      <c r="AL747" s="15" t="s">
        <v>20331</v>
      </c>
      <c r="AM747" s="15" t="s">
        <v>20332</v>
      </c>
      <c r="AN747" s="15" t="s">
        <v>20333</v>
      </c>
      <c r="BH747" s="15" t="s">
        <v>8024</v>
      </c>
      <c r="BI747" s="15" t="str">
        <f>"1999"</f>
        <v>1999</v>
      </c>
      <c r="BJ747" s="15" t="str">
        <f>"840"</f>
        <v>840</v>
      </c>
      <c r="BK747" s="15" t="s">
        <v>742</v>
      </c>
      <c r="BL747" s="15" t="str">
        <f t="shared" si="2096"/>
        <v>2</v>
      </c>
      <c r="BM747" s="15" t="s">
        <v>8029</v>
      </c>
      <c r="BN747" s="15" t="str">
        <f>"123.23"</f>
        <v>123.23</v>
      </c>
      <c r="BO747" s="15" t="str">
        <f>"4.92"</f>
        <v>4.92</v>
      </c>
      <c r="BP747" s="15" t="str">
        <f t="shared" si="2126"/>
        <v>46.26</v>
      </c>
      <c r="BQ747" s="15" t="str">
        <f>"147.71"</f>
        <v>147.71</v>
      </c>
      <c r="BR747" s="15" t="s">
        <v>5617</v>
      </c>
      <c r="BS747" s="15" t="str">
        <f t="shared" si="2127"/>
        <v>23.03</v>
      </c>
      <c r="BT747" s="15" t="str">
        <f t="shared" si="2128"/>
        <v>22.24</v>
      </c>
      <c r="BU747" s="15" t="str">
        <f t="shared" si="2129"/>
        <v>31.1</v>
      </c>
      <c r="BV747" s="15" t="str">
        <f t="shared" si="2130"/>
        <v>82.67</v>
      </c>
      <c r="CG747" s="15" t="str">
        <f>"25.46"</f>
        <v>25.46</v>
      </c>
      <c r="CH747" s="15" t="str">
        <f>"0.721"</f>
        <v>0.721</v>
      </c>
      <c r="CI747" s="15" t="s">
        <v>497</v>
      </c>
      <c r="CZ747" s="15" t="s">
        <v>419</v>
      </c>
      <c r="DA747" s="15">
        <v>0.0</v>
      </c>
      <c r="DB747" s="15" t="s">
        <v>419</v>
      </c>
      <c r="DD747" s="15">
        <v>0.0</v>
      </c>
      <c r="DF747" s="15" t="s">
        <v>1388</v>
      </c>
      <c r="DG747" s="15" t="s">
        <v>419</v>
      </c>
      <c r="DI747" s="15">
        <v>0.0</v>
      </c>
      <c r="DJ747" s="15">
        <v>0.0</v>
      </c>
      <c r="DK747" s="15">
        <v>0.0</v>
      </c>
      <c r="DQ747" s="15">
        <v>12.0</v>
      </c>
      <c r="DR747" s="15" t="s">
        <v>1112</v>
      </c>
      <c r="DS747" s="15" t="s">
        <v>7972</v>
      </c>
      <c r="DU747" s="15" t="s">
        <v>424</v>
      </c>
      <c r="EF747" s="15" t="s">
        <v>5235</v>
      </c>
      <c r="EH747" s="15" t="s">
        <v>8031</v>
      </c>
      <c r="EQ747" s="15" t="s">
        <v>1484</v>
      </c>
      <c r="ER747" s="15" t="s">
        <v>5235</v>
      </c>
      <c r="ES747" s="15" t="s">
        <v>531</v>
      </c>
      <c r="ET747" s="15" t="s">
        <v>5972</v>
      </c>
      <c r="EU747" s="15" t="s">
        <v>426</v>
      </c>
      <c r="EV747" s="15">
        <v>0.0</v>
      </c>
      <c r="EW747" s="15">
        <v>0.0</v>
      </c>
      <c r="FE747" s="15" t="s">
        <v>5235</v>
      </c>
      <c r="FF747" s="15" t="s">
        <v>8032</v>
      </c>
      <c r="FG747" s="15" t="s">
        <v>3694</v>
      </c>
    </row>
    <row r="748" ht="17.25" customHeight="1">
      <c r="A748" s="15" t="s">
        <v>8034</v>
      </c>
      <c r="B748" s="15" t="str">
        <f>"801542667412"</f>
        <v>801542667412</v>
      </c>
      <c r="C748" s="15" t="s">
        <v>20334</v>
      </c>
      <c r="D748" s="15" t="str">
        <f t="shared" si="1"/>
        <v>Paden Dining TableSandy Acacia94</v>
      </c>
      <c r="E748" s="15" t="s">
        <v>8016</v>
      </c>
      <c r="F748" s="15" t="s">
        <v>397</v>
      </c>
      <c r="G748" s="15" t="s">
        <v>7979</v>
      </c>
      <c r="H748" s="15" t="s">
        <v>265</v>
      </c>
      <c r="I748" s="15" t="s">
        <v>770</v>
      </c>
      <c r="J748" s="15" t="s">
        <v>7979</v>
      </c>
      <c r="K748" s="15" t="s">
        <v>7982</v>
      </c>
      <c r="M748" s="15" t="s">
        <v>1896</v>
      </c>
      <c r="N748" s="15" t="s">
        <v>548</v>
      </c>
      <c r="O748" s="15" t="s">
        <v>549</v>
      </c>
      <c r="P748" s="15" t="str">
        <f>"94"</f>
        <v>94</v>
      </c>
      <c r="Q748" s="15" t="str">
        <f t="shared" si="2125"/>
        <v>42</v>
      </c>
      <c r="R748" s="15" t="str">
        <f t="shared" si="2115"/>
        <v>30</v>
      </c>
      <c r="S748" s="15" t="str">
        <f>"139.33"</f>
        <v>139.33</v>
      </c>
      <c r="T748" s="15" t="s">
        <v>7968</v>
      </c>
      <c r="U748" s="15" t="s">
        <v>16557</v>
      </c>
      <c r="V748" s="15" t="s">
        <v>14148</v>
      </c>
      <c r="AA748" s="15" t="s">
        <v>426</v>
      </c>
      <c r="AB748" s="15" t="s">
        <v>413</v>
      </c>
      <c r="AC748" s="15" t="s">
        <v>8036</v>
      </c>
      <c r="AD748" s="15" t="s">
        <v>20335</v>
      </c>
      <c r="AE748" s="15" t="s">
        <v>8035</v>
      </c>
      <c r="AF748" s="15" t="s">
        <v>20336</v>
      </c>
      <c r="AG748" s="15" t="s">
        <v>20337</v>
      </c>
      <c r="AH748" s="15" t="s">
        <v>20338</v>
      </c>
      <c r="AI748" s="15" t="s">
        <v>20339</v>
      </c>
      <c r="AJ748" s="15" t="s">
        <v>20340</v>
      </c>
      <c r="AK748" s="15" t="s">
        <v>20341</v>
      </c>
      <c r="AL748" s="15" t="s">
        <v>20342</v>
      </c>
      <c r="AM748" s="15" t="s">
        <v>20343</v>
      </c>
      <c r="AN748" s="15" t="s">
        <v>20344</v>
      </c>
      <c r="BH748" s="15" t="s">
        <v>8033</v>
      </c>
      <c r="BI748" s="15" t="str">
        <f>"1299"</f>
        <v>1299</v>
      </c>
      <c r="BJ748" s="15" t="str">
        <f>"550"</f>
        <v>550</v>
      </c>
      <c r="BK748" s="15" t="s">
        <v>742</v>
      </c>
      <c r="BL748" s="15" t="str">
        <f t="shared" si="2096"/>
        <v>2</v>
      </c>
      <c r="BM748" s="15" t="s">
        <v>1564</v>
      </c>
      <c r="BN748" s="15" t="str">
        <f>"99.21"</f>
        <v>99.21</v>
      </c>
      <c r="BO748" s="15" t="str">
        <f>"4.72"</f>
        <v>4.72</v>
      </c>
      <c r="BP748" s="15" t="str">
        <f t="shared" si="2126"/>
        <v>46.26</v>
      </c>
      <c r="BQ748" s="15" t="str">
        <f>"103.62"</f>
        <v>103.62</v>
      </c>
      <c r="BR748" s="15" t="s">
        <v>2238</v>
      </c>
      <c r="BS748" s="15" t="str">
        <f t="shared" si="2127"/>
        <v>23.03</v>
      </c>
      <c r="BT748" s="15" t="str">
        <f t="shared" si="2128"/>
        <v>22.24</v>
      </c>
      <c r="BU748" s="15" t="str">
        <f t="shared" si="2129"/>
        <v>31.1</v>
      </c>
      <c r="BV748" s="15" t="str">
        <f t="shared" si="2130"/>
        <v>82.67</v>
      </c>
      <c r="CG748" s="15" t="str">
        <f>"21.75"</f>
        <v>21.75</v>
      </c>
      <c r="CH748" s="15" t="str">
        <f>"0.616"</f>
        <v>0.616</v>
      </c>
      <c r="CI748" s="15" t="s">
        <v>497</v>
      </c>
      <c r="CZ748" s="15" t="s">
        <v>419</v>
      </c>
      <c r="DA748" s="15">
        <v>0.0</v>
      </c>
      <c r="DB748" s="15" t="s">
        <v>419</v>
      </c>
      <c r="DD748" s="15">
        <v>0.0</v>
      </c>
      <c r="DF748" s="15" t="s">
        <v>420</v>
      </c>
      <c r="DG748" s="15" t="s">
        <v>419</v>
      </c>
      <c r="DI748" s="15">
        <v>0.0</v>
      </c>
      <c r="DJ748" s="15">
        <v>0.0</v>
      </c>
      <c r="DK748" s="15">
        <v>0.0</v>
      </c>
      <c r="DQ748" s="15">
        <v>10.0</v>
      </c>
      <c r="DR748" s="15" t="s">
        <v>1112</v>
      </c>
      <c r="DS748" s="15" t="s">
        <v>7972</v>
      </c>
      <c r="DU748" s="15" t="s">
        <v>424</v>
      </c>
      <c r="EF748" s="15" t="s">
        <v>5235</v>
      </c>
      <c r="EH748" s="15" t="s">
        <v>8023</v>
      </c>
      <c r="EQ748" s="15" t="s">
        <v>1484</v>
      </c>
      <c r="ER748" s="15" t="s">
        <v>5235</v>
      </c>
      <c r="ES748" s="15" t="s">
        <v>531</v>
      </c>
      <c r="ET748" s="15" t="s">
        <v>5972</v>
      </c>
      <c r="EU748" s="15" t="s">
        <v>426</v>
      </c>
      <c r="EV748" s="15">
        <v>0.0</v>
      </c>
      <c r="EW748" s="15">
        <v>0.0</v>
      </c>
      <c r="FE748" s="15" t="s">
        <v>5235</v>
      </c>
      <c r="FF748" s="15" t="s">
        <v>1514</v>
      </c>
      <c r="FG748" s="15" t="s">
        <v>3694</v>
      </c>
    </row>
    <row r="749" ht="17.25" customHeight="1">
      <c r="A749" s="15" t="s">
        <v>8038</v>
      </c>
      <c r="B749" s="15" t="str">
        <f>"198394000567"</f>
        <v>198394000567</v>
      </c>
      <c r="C749" s="15" t="s">
        <v>20334</v>
      </c>
      <c r="D749" s="15" t="str">
        <f t="shared" si="1"/>
        <v>Paden Dining TableSandy Acacia118</v>
      </c>
      <c r="E749" s="15" t="s">
        <v>8016</v>
      </c>
      <c r="F749" s="15" t="s">
        <v>397</v>
      </c>
      <c r="G749" s="15" t="s">
        <v>7979</v>
      </c>
      <c r="H749" s="15" t="s">
        <v>265</v>
      </c>
      <c r="I749" s="15" t="s">
        <v>6439</v>
      </c>
      <c r="J749" s="15" t="s">
        <v>7979</v>
      </c>
      <c r="K749" s="15" t="s">
        <v>7982</v>
      </c>
      <c r="M749" s="15" t="s">
        <v>1896</v>
      </c>
      <c r="N749" s="15" t="s">
        <v>548</v>
      </c>
      <c r="O749" s="15" t="s">
        <v>549</v>
      </c>
      <c r="P749" s="15" t="str">
        <f>"118"</f>
        <v>118</v>
      </c>
      <c r="Q749" s="15" t="str">
        <f t="shared" si="2125"/>
        <v>42</v>
      </c>
      <c r="R749" s="15" t="str">
        <f t="shared" si="2115"/>
        <v>30</v>
      </c>
      <c r="S749" s="15" t="str">
        <f>"173.06"</f>
        <v>173.06</v>
      </c>
      <c r="T749" s="15" t="s">
        <v>7968</v>
      </c>
      <c r="U749" s="15" t="s">
        <v>16557</v>
      </c>
      <c r="V749" s="15" t="s">
        <v>14148</v>
      </c>
      <c r="AA749" s="15" t="s">
        <v>426</v>
      </c>
      <c r="AB749" s="15" t="s">
        <v>413</v>
      </c>
      <c r="AC749" s="15" t="s">
        <v>8040</v>
      </c>
      <c r="AD749" s="15" t="s">
        <v>20345</v>
      </c>
      <c r="AE749" s="15" t="s">
        <v>8039</v>
      </c>
      <c r="AF749" s="15" t="s">
        <v>20346</v>
      </c>
      <c r="AG749" s="15" t="s">
        <v>20347</v>
      </c>
      <c r="AH749" s="15" t="s">
        <v>20348</v>
      </c>
      <c r="AI749" s="15" t="s">
        <v>20349</v>
      </c>
      <c r="AJ749" s="15" t="s">
        <v>20350</v>
      </c>
      <c r="AK749" s="15" t="s">
        <v>20351</v>
      </c>
      <c r="AL749" s="15" t="s">
        <v>20352</v>
      </c>
      <c r="AM749" s="15" t="s">
        <v>20353</v>
      </c>
      <c r="AN749" s="15" t="s">
        <v>20354</v>
      </c>
      <c r="BH749" s="15" t="s">
        <v>8037</v>
      </c>
      <c r="BI749" s="15" t="str">
        <f>"1999"</f>
        <v>1999</v>
      </c>
      <c r="BJ749" s="15" t="str">
        <f>"840"</f>
        <v>840</v>
      </c>
      <c r="BK749" s="15" t="s">
        <v>742</v>
      </c>
      <c r="BL749" s="15" t="str">
        <f t="shared" si="2096"/>
        <v>2</v>
      </c>
      <c r="BM749" s="15" t="s">
        <v>8029</v>
      </c>
      <c r="BN749" s="15" t="str">
        <f>"123.23"</f>
        <v>123.23</v>
      </c>
      <c r="BO749" s="15" t="str">
        <f>"4.92"</f>
        <v>4.92</v>
      </c>
      <c r="BP749" s="15" t="str">
        <f t="shared" si="2126"/>
        <v>46.26</v>
      </c>
      <c r="BQ749" s="15" t="str">
        <f>"147.71"</f>
        <v>147.71</v>
      </c>
      <c r="BR749" s="15" t="s">
        <v>5617</v>
      </c>
      <c r="BS749" s="15" t="str">
        <f t="shared" si="2127"/>
        <v>23.03</v>
      </c>
      <c r="BT749" s="15" t="str">
        <f t="shared" si="2128"/>
        <v>22.24</v>
      </c>
      <c r="BU749" s="15" t="str">
        <f t="shared" si="2129"/>
        <v>31.1</v>
      </c>
      <c r="BV749" s="15" t="str">
        <f t="shared" si="2130"/>
        <v>82.67</v>
      </c>
      <c r="CG749" s="15" t="str">
        <f>"25.46"</f>
        <v>25.46</v>
      </c>
      <c r="CH749" s="15" t="str">
        <f>"0.721"</f>
        <v>0.721</v>
      </c>
      <c r="CI749" s="15" t="s">
        <v>497</v>
      </c>
      <c r="CZ749" s="15" t="s">
        <v>419</v>
      </c>
      <c r="DA749" s="15">
        <v>0.0</v>
      </c>
      <c r="DB749" s="15" t="s">
        <v>419</v>
      </c>
      <c r="DD749" s="15">
        <v>0.0</v>
      </c>
      <c r="DF749" s="15" t="s">
        <v>1388</v>
      </c>
      <c r="DG749" s="15" t="s">
        <v>419</v>
      </c>
      <c r="DI749" s="15">
        <v>0.0</v>
      </c>
      <c r="DJ749" s="15">
        <v>0.0</v>
      </c>
      <c r="DK749" s="15">
        <v>0.0</v>
      </c>
      <c r="DQ749" s="15">
        <v>12.0</v>
      </c>
      <c r="DR749" s="15" t="s">
        <v>1112</v>
      </c>
      <c r="DS749" s="15" t="s">
        <v>7972</v>
      </c>
      <c r="DU749" s="15" t="s">
        <v>424</v>
      </c>
      <c r="EF749" s="15" t="s">
        <v>5235</v>
      </c>
      <c r="EH749" s="15" t="s">
        <v>8031</v>
      </c>
      <c r="EQ749" s="15" t="s">
        <v>1484</v>
      </c>
      <c r="ER749" s="15" t="s">
        <v>5235</v>
      </c>
      <c r="ES749" s="15" t="s">
        <v>531</v>
      </c>
      <c r="ET749" s="15" t="s">
        <v>5972</v>
      </c>
      <c r="EU749" s="15" t="s">
        <v>426</v>
      </c>
      <c r="EV749" s="15">
        <v>0.0</v>
      </c>
      <c r="EW749" s="15">
        <v>0.0</v>
      </c>
      <c r="FE749" s="15" t="s">
        <v>5235</v>
      </c>
      <c r="FF749" s="15" t="s">
        <v>8032</v>
      </c>
      <c r="FG749" s="15" t="s">
        <v>3694</v>
      </c>
    </row>
    <row r="750" ht="17.25" customHeight="1">
      <c r="A750" s="15" t="s">
        <v>8042</v>
      </c>
      <c r="B750" s="15" t="str">
        <f>"801542517649"</f>
        <v>801542517649</v>
      </c>
      <c r="C750" s="15" t="s">
        <v>20355</v>
      </c>
      <c r="D750" s="15" t="str">
        <f t="shared" si="1"/>
        <v>Paden Dining TableSeasoned Brown Acacia</v>
      </c>
      <c r="E750" s="15" t="s">
        <v>8016</v>
      </c>
      <c r="F750" s="15" t="s">
        <v>397</v>
      </c>
      <c r="G750" s="15" t="s">
        <v>7985</v>
      </c>
      <c r="J750" s="15" t="s">
        <v>7985</v>
      </c>
      <c r="K750" s="15" t="s">
        <v>7988</v>
      </c>
      <c r="M750" s="15" t="s">
        <v>1896</v>
      </c>
      <c r="N750" s="15" t="s">
        <v>548</v>
      </c>
      <c r="O750" s="15" t="s">
        <v>549</v>
      </c>
      <c r="P750" s="15" t="str">
        <f t="shared" ref="P750:P751" si="2131">"94"</f>
        <v>94</v>
      </c>
      <c r="Q750" s="15" t="str">
        <f t="shared" si="2125"/>
        <v>42</v>
      </c>
      <c r="R750" s="15" t="str">
        <f t="shared" si="2115"/>
        <v>30</v>
      </c>
      <c r="S750" s="15" t="str">
        <f t="shared" ref="S750:S751" si="2132">"139.33"</f>
        <v>139.33</v>
      </c>
      <c r="T750" s="15" t="s">
        <v>7968</v>
      </c>
      <c r="U750" s="15" t="s">
        <v>16557</v>
      </c>
      <c r="V750" s="15" t="s">
        <v>14148</v>
      </c>
      <c r="AA750" s="15" t="s">
        <v>413</v>
      </c>
      <c r="AB750" s="15" t="s">
        <v>413</v>
      </c>
      <c r="AC750" s="15" t="s">
        <v>8044</v>
      </c>
      <c r="AD750" s="15" t="s">
        <v>20356</v>
      </c>
      <c r="AE750" s="15" t="s">
        <v>8043</v>
      </c>
      <c r="AF750" s="15" t="s">
        <v>20357</v>
      </c>
      <c r="AG750" s="15" t="s">
        <v>20358</v>
      </c>
      <c r="AH750" s="15" t="s">
        <v>20359</v>
      </c>
      <c r="AI750" s="15" t="s">
        <v>20360</v>
      </c>
      <c r="AJ750" s="15" t="s">
        <v>20361</v>
      </c>
      <c r="AK750" s="15" t="s">
        <v>20362</v>
      </c>
      <c r="AL750" s="15" t="s">
        <v>20363</v>
      </c>
      <c r="AM750" s="15" t="s">
        <v>20364</v>
      </c>
      <c r="AN750" s="15" t="s">
        <v>20365</v>
      </c>
      <c r="AO750" s="15" t="s">
        <v>20366</v>
      </c>
      <c r="AP750" s="15" t="s">
        <v>20367</v>
      </c>
      <c r="BH750" s="15" t="s">
        <v>8041</v>
      </c>
      <c r="BI750" s="15" t="str">
        <f>"1299"</f>
        <v>1299</v>
      </c>
      <c r="BJ750" s="15" t="str">
        <f>"550"</f>
        <v>550</v>
      </c>
      <c r="BK750" s="15" t="s">
        <v>742</v>
      </c>
      <c r="BL750" s="15" t="str">
        <f t="shared" si="2096"/>
        <v>2</v>
      </c>
      <c r="BM750" s="15" t="s">
        <v>1564</v>
      </c>
      <c r="BN750" s="15" t="str">
        <f t="shared" ref="BN750:BN751" si="2133">"99.21"</f>
        <v>99.21</v>
      </c>
      <c r="BO750" s="15" t="str">
        <f t="shared" ref="BO750:BO751" si="2134">"4.72"</f>
        <v>4.72</v>
      </c>
      <c r="BP750" s="15" t="str">
        <f t="shared" si="2126"/>
        <v>46.26</v>
      </c>
      <c r="BQ750" s="15" t="str">
        <f t="shared" ref="BQ750:BQ751" si="2135">"103.62"</f>
        <v>103.62</v>
      </c>
      <c r="BR750" s="15" t="s">
        <v>2238</v>
      </c>
      <c r="BS750" s="15" t="str">
        <f t="shared" si="2127"/>
        <v>23.03</v>
      </c>
      <c r="BT750" s="15" t="str">
        <f t="shared" si="2128"/>
        <v>22.24</v>
      </c>
      <c r="BU750" s="15" t="str">
        <f t="shared" si="2129"/>
        <v>31.1</v>
      </c>
      <c r="BV750" s="15" t="str">
        <f t="shared" si="2130"/>
        <v>82.67</v>
      </c>
      <c r="CG750" s="15" t="str">
        <f t="shared" ref="CG750:CG751" si="2136">"21.75"</f>
        <v>21.75</v>
      </c>
      <c r="CH750" s="15" t="str">
        <f t="shared" ref="CH750:CH751" si="2137">"0.616"</f>
        <v>0.616</v>
      </c>
      <c r="CI750" s="15" t="s">
        <v>497</v>
      </c>
      <c r="CZ750" s="15" t="s">
        <v>419</v>
      </c>
      <c r="DA750" s="15">
        <v>0.0</v>
      </c>
      <c r="DB750" s="15" t="s">
        <v>419</v>
      </c>
      <c r="DD750" s="15">
        <v>0.0</v>
      </c>
      <c r="DF750" s="15" t="s">
        <v>420</v>
      </c>
      <c r="DG750" s="15" t="s">
        <v>419</v>
      </c>
      <c r="DI750" s="15">
        <v>0.0</v>
      </c>
      <c r="DJ750" s="15">
        <v>0.0</v>
      </c>
      <c r="DK750" s="15">
        <v>0.0</v>
      </c>
      <c r="DQ750" s="15">
        <v>10.0</v>
      </c>
      <c r="DR750" s="15" t="s">
        <v>1112</v>
      </c>
      <c r="DS750" s="15" t="s">
        <v>7972</v>
      </c>
      <c r="DU750" s="15" t="s">
        <v>424</v>
      </c>
      <c r="EF750" s="15" t="s">
        <v>5235</v>
      </c>
      <c r="EH750" s="15" t="s">
        <v>8023</v>
      </c>
      <c r="EQ750" s="15" t="s">
        <v>1484</v>
      </c>
      <c r="ER750" s="15" t="s">
        <v>5235</v>
      </c>
      <c r="ES750" s="15" t="s">
        <v>531</v>
      </c>
      <c r="ET750" s="15" t="s">
        <v>5972</v>
      </c>
      <c r="EU750" s="15" t="s">
        <v>426</v>
      </c>
      <c r="EV750" s="15">
        <v>0.0</v>
      </c>
      <c r="EW750" s="15">
        <v>0.0</v>
      </c>
      <c r="FE750" s="15" t="s">
        <v>5235</v>
      </c>
      <c r="FF750" s="15" t="s">
        <v>1514</v>
      </c>
      <c r="FG750" s="15" t="s">
        <v>3694</v>
      </c>
    </row>
    <row r="751" ht="17.25" customHeight="1">
      <c r="A751" s="15" t="s">
        <v>8046</v>
      </c>
      <c r="B751" s="15" t="str">
        <f>"801542992637"</f>
        <v>801542992637</v>
      </c>
      <c r="C751" s="15" t="s">
        <v>20368</v>
      </c>
      <c r="D751" s="15" t="str">
        <f t="shared" si="1"/>
        <v>Paden Dining TableWorn Oak Veneer94</v>
      </c>
      <c r="E751" s="15" t="s">
        <v>8016</v>
      </c>
      <c r="F751" s="15" t="s">
        <v>397</v>
      </c>
      <c r="G751" s="15" t="s">
        <v>2351</v>
      </c>
      <c r="H751" s="15" t="s">
        <v>265</v>
      </c>
      <c r="I751" s="15" t="s">
        <v>770</v>
      </c>
      <c r="J751" s="15" t="s">
        <v>2351</v>
      </c>
      <c r="M751" s="15" t="s">
        <v>1896</v>
      </c>
      <c r="N751" s="15" t="s">
        <v>548</v>
      </c>
      <c r="O751" s="15" t="s">
        <v>549</v>
      </c>
      <c r="P751" s="15" t="str">
        <f t="shared" si="2131"/>
        <v>94</v>
      </c>
      <c r="Q751" s="15" t="str">
        <f t="shared" si="2125"/>
        <v>42</v>
      </c>
      <c r="R751" s="15" t="str">
        <f t="shared" si="2115"/>
        <v>30</v>
      </c>
      <c r="S751" s="15" t="str">
        <f t="shared" si="2132"/>
        <v>139.33</v>
      </c>
      <c r="T751" s="15" t="s">
        <v>1025</v>
      </c>
      <c r="U751" s="15" t="s">
        <v>10881</v>
      </c>
      <c r="V751" s="15" t="s">
        <v>11338</v>
      </c>
      <c r="AA751" s="15" t="s">
        <v>426</v>
      </c>
      <c r="AB751" s="15" t="s">
        <v>413</v>
      </c>
      <c r="AC751" s="15" t="s">
        <v>8048</v>
      </c>
      <c r="AD751" s="15" t="s">
        <v>20369</v>
      </c>
      <c r="AE751" s="15" t="s">
        <v>8047</v>
      </c>
      <c r="AF751" s="15" t="s">
        <v>20370</v>
      </c>
      <c r="AG751" s="15" t="s">
        <v>20371</v>
      </c>
      <c r="AH751" s="15" t="s">
        <v>20372</v>
      </c>
      <c r="AI751" s="15" t="s">
        <v>20373</v>
      </c>
      <c r="AJ751" s="15" t="s">
        <v>20374</v>
      </c>
      <c r="AK751" s="15" t="s">
        <v>20375</v>
      </c>
      <c r="AL751" s="15" t="s">
        <v>20376</v>
      </c>
      <c r="BH751" s="15" t="s">
        <v>8045</v>
      </c>
      <c r="BI751" s="15" t="str">
        <f>"1999"</f>
        <v>1999</v>
      </c>
      <c r="BJ751" s="15" t="str">
        <f>"840"</f>
        <v>840</v>
      </c>
      <c r="BK751" s="15" t="s">
        <v>742</v>
      </c>
      <c r="BL751" s="15" t="str">
        <f t="shared" si="2096"/>
        <v>2</v>
      </c>
      <c r="BM751" s="15" t="s">
        <v>1564</v>
      </c>
      <c r="BN751" s="15" t="str">
        <f t="shared" si="2133"/>
        <v>99.21</v>
      </c>
      <c r="BO751" s="15" t="str">
        <f t="shared" si="2134"/>
        <v>4.72</v>
      </c>
      <c r="BP751" s="15" t="str">
        <f t="shared" si="2126"/>
        <v>46.26</v>
      </c>
      <c r="BQ751" s="15" t="str">
        <f t="shared" si="2135"/>
        <v>103.62</v>
      </c>
      <c r="BR751" s="15" t="s">
        <v>2238</v>
      </c>
      <c r="BS751" s="15" t="str">
        <f t="shared" si="2127"/>
        <v>23.03</v>
      </c>
      <c r="BT751" s="15" t="str">
        <f t="shared" si="2128"/>
        <v>22.24</v>
      </c>
      <c r="BU751" s="15" t="str">
        <f t="shared" si="2129"/>
        <v>31.1</v>
      </c>
      <c r="BV751" s="15" t="str">
        <f t="shared" si="2130"/>
        <v>82.67</v>
      </c>
      <c r="CG751" s="15" t="str">
        <f t="shared" si="2136"/>
        <v>21.75</v>
      </c>
      <c r="CH751" s="15" t="str">
        <f t="shared" si="2137"/>
        <v>0.616</v>
      </c>
      <c r="CI751" s="15" t="s">
        <v>497</v>
      </c>
      <c r="CZ751" s="15" t="s">
        <v>419</v>
      </c>
      <c r="DA751" s="15">
        <v>0.0</v>
      </c>
      <c r="DB751" s="15" t="s">
        <v>419</v>
      </c>
      <c r="DD751" s="15">
        <v>0.0</v>
      </c>
      <c r="DF751" s="15" t="s">
        <v>420</v>
      </c>
      <c r="DG751" s="15" t="s">
        <v>419</v>
      </c>
      <c r="DI751" s="15">
        <v>0.0</v>
      </c>
      <c r="DJ751" s="15">
        <v>0.0</v>
      </c>
      <c r="DK751" s="15">
        <v>0.0</v>
      </c>
      <c r="DQ751" s="15">
        <v>10.0</v>
      </c>
      <c r="DR751" s="15" t="s">
        <v>1112</v>
      </c>
      <c r="DS751" s="15" t="s">
        <v>7972</v>
      </c>
      <c r="DU751" s="15" t="s">
        <v>424</v>
      </c>
      <c r="EF751" s="15" t="s">
        <v>5235</v>
      </c>
      <c r="EH751" s="15" t="s">
        <v>8023</v>
      </c>
      <c r="EQ751" s="15" t="s">
        <v>1484</v>
      </c>
      <c r="ER751" s="15" t="s">
        <v>5235</v>
      </c>
      <c r="ES751" s="15" t="s">
        <v>531</v>
      </c>
      <c r="ET751" s="15" t="s">
        <v>5972</v>
      </c>
      <c r="EU751" s="15" t="s">
        <v>426</v>
      </c>
      <c r="EV751" s="15">
        <v>0.0</v>
      </c>
      <c r="EW751" s="15">
        <v>0.0</v>
      </c>
      <c r="FE751" s="15" t="s">
        <v>5235</v>
      </c>
      <c r="FF751" s="15" t="s">
        <v>1514</v>
      </c>
      <c r="FG751" s="15" t="s">
        <v>3694</v>
      </c>
    </row>
    <row r="752" ht="17.25" customHeight="1">
      <c r="A752" s="15" t="s">
        <v>8050</v>
      </c>
      <c r="B752" s="15" t="str">
        <f>"801542992606"</f>
        <v>801542992606</v>
      </c>
      <c r="C752" s="15" t="s">
        <v>20368</v>
      </c>
      <c r="D752" s="15" t="str">
        <f t="shared" si="1"/>
        <v>Paden Dining TableWorn Oak Veneer118</v>
      </c>
      <c r="E752" s="15" t="s">
        <v>8016</v>
      </c>
      <c r="F752" s="15" t="s">
        <v>397</v>
      </c>
      <c r="G752" s="15" t="s">
        <v>2351</v>
      </c>
      <c r="H752" s="15" t="s">
        <v>265</v>
      </c>
      <c r="I752" s="15" t="s">
        <v>6439</v>
      </c>
      <c r="J752" s="15" t="s">
        <v>2351</v>
      </c>
      <c r="M752" s="15" t="s">
        <v>1896</v>
      </c>
      <c r="N752" s="15" t="s">
        <v>548</v>
      </c>
      <c r="O752" s="15" t="s">
        <v>549</v>
      </c>
      <c r="P752" s="15" t="str">
        <f>"118"</f>
        <v>118</v>
      </c>
      <c r="Q752" s="15" t="str">
        <f t="shared" si="2125"/>
        <v>42</v>
      </c>
      <c r="R752" s="15" t="str">
        <f t="shared" si="2115"/>
        <v>30</v>
      </c>
      <c r="S752" s="15" t="str">
        <f>"173.06"</f>
        <v>173.06</v>
      </c>
      <c r="T752" s="15" t="s">
        <v>1025</v>
      </c>
      <c r="U752" s="15" t="s">
        <v>10881</v>
      </c>
      <c r="V752" s="15" t="s">
        <v>11338</v>
      </c>
      <c r="AA752" s="15" t="s">
        <v>426</v>
      </c>
      <c r="AB752" s="15" t="s">
        <v>413</v>
      </c>
      <c r="AC752" s="15" t="s">
        <v>8048</v>
      </c>
      <c r="AD752" s="15" t="s">
        <v>20377</v>
      </c>
      <c r="AE752" s="15" t="s">
        <v>8051</v>
      </c>
      <c r="AF752" s="15" t="s">
        <v>20378</v>
      </c>
      <c r="AG752" s="15" t="s">
        <v>20379</v>
      </c>
      <c r="AH752" s="15" t="s">
        <v>20380</v>
      </c>
      <c r="AI752" s="15" t="s">
        <v>20381</v>
      </c>
      <c r="AJ752" s="15" t="s">
        <v>20382</v>
      </c>
      <c r="AK752" s="15" t="s">
        <v>20383</v>
      </c>
      <c r="AL752" s="15" t="s">
        <v>20384</v>
      </c>
      <c r="AM752" s="15" t="s">
        <v>20385</v>
      </c>
      <c r="BH752" s="15" t="s">
        <v>8049</v>
      </c>
      <c r="BI752" s="15" t="str">
        <f>"2399"</f>
        <v>2399</v>
      </c>
      <c r="BJ752" s="15" t="str">
        <f>"1010"</f>
        <v>1010</v>
      </c>
      <c r="BK752" s="15" t="s">
        <v>742</v>
      </c>
      <c r="BL752" s="15" t="str">
        <f t="shared" si="2096"/>
        <v>2</v>
      </c>
      <c r="BM752" s="15" t="s">
        <v>8029</v>
      </c>
      <c r="BN752" s="15" t="str">
        <f>"123.23"</f>
        <v>123.23</v>
      </c>
      <c r="BO752" s="15" t="str">
        <f>"4.92"</f>
        <v>4.92</v>
      </c>
      <c r="BP752" s="15" t="str">
        <f t="shared" si="2126"/>
        <v>46.26</v>
      </c>
      <c r="BQ752" s="15" t="str">
        <f>"147.71"</f>
        <v>147.71</v>
      </c>
      <c r="BR752" s="15" t="s">
        <v>5617</v>
      </c>
      <c r="BS752" s="15" t="str">
        <f t="shared" si="2127"/>
        <v>23.03</v>
      </c>
      <c r="BT752" s="15" t="str">
        <f t="shared" si="2128"/>
        <v>22.24</v>
      </c>
      <c r="BU752" s="15" t="str">
        <f t="shared" si="2129"/>
        <v>31.1</v>
      </c>
      <c r="BV752" s="15" t="str">
        <f t="shared" si="2130"/>
        <v>82.67</v>
      </c>
      <c r="CG752" s="15" t="str">
        <f>"25.46"</f>
        <v>25.46</v>
      </c>
      <c r="CH752" s="15" t="str">
        <f>"0.721"</f>
        <v>0.721</v>
      </c>
      <c r="CI752" s="15" t="s">
        <v>497</v>
      </c>
      <c r="CZ752" s="15" t="s">
        <v>419</v>
      </c>
      <c r="DA752" s="15">
        <v>0.0</v>
      </c>
      <c r="DB752" s="15" t="s">
        <v>419</v>
      </c>
      <c r="DD752" s="15">
        <v>0.0</v>
      </c>
      <c r="DF752" s="15" t="s">
        <v>1388</v>
      </c>
      <c r="DG752" s="15" t="s">
        <v>419</v>
      </c>
      <c r="DI752" s="15">
        <v>0.0</v>
      </c>
      <c r="DJ752" s="15">
        <v>0.0</v>
      </c>
      <c r="DK752" s="15">
        <v>0.0</v>
      </c>
      <c r="DQ752" s="15">
        <v>12.0</v>
      </c>
      <c r="DR752" s="15" t="s">
        <v>1112</v>
      </c>
      <c r="DS752" s="15" t="s">
        <v>7972</v>
      </c>
      <c r="DU752" s="15" t="s">
        <v>424</v>
      </c>
      <c r="EF752" s="15" t="s">
        <v>5235</v>
      </c>
      <c r="EH752" s="15" t="s">
        <v>8031</v>
      </c>
      <c r="EQ752" s="15" t="s">
        <v>1484</v>
      </c>
      <c r="ER752" s="15" t="s">
        <v>5235</v>
      </c>
      <c r="ES752" s="15" t="s">
        <v>531</v>
      </c>
      <c r="ET752" s="15" t="s">
        <v>5972</v>
      </c>
      <c r="EU752" s="15" t="s">
        <v>426</v>
      </c>
      <c r="EV752" s="15">
        <v>0.0</v>
      </c>
      <c r="EW752" s="15">
        <v>0.0</v>
      </c>
      <c r="FE752" s="15" t="s">
        <v>5235</v>
      </c>
      <c r="FF752" s="15" t="s">
        <v>8032</v>
      </c>
      <c r="FG752" s="15" t="s">
        <v>3694</v>
      </c>
    </row>
    <row r="753" ht="17.25" customHeight="1">
      <c r="A753" s="15" t="s">
        <v>8054</v>
      </c>
      <c r="B753" s="15" t="str">
        <f>"801542060237"</f>
        <v>801542060237</v>
      </c>
      <c r="C753" s="15" t="s">
        <v>20386</v>
      </c>
      <c r="D753" s="15" t="str">
        <f t="shared" si="1"/>
        <v>Paden End TableAged Black Acacia</v>
      </c>
      <c r="E753" s="15" t="s">
        <v>8052</v>
      </c>
      <c r="F753" s="15" t="s">
        <v>397</v>
      </c>
      <c r="G753" s="15" t="s">
        <v>7965</v>
      </c>
      <c r="J753" s="15" t="s">
        <v>7965</v>
      </c>
      <c r="K753" s="15" t="s">
        <v>7969</v>
      </c>
      <c r="M753" s="15" t="s">
        <v>1896</v>
      </c>
      <c r="N753" s="15" t="s">
        <v>1154</v>
      </c>
      <c r="P753" s="15" t="str">
        <f t="shared" ref="P753:R753" si="2138">"22"</f>
        <v>22</v>
      </c>
      <c r="Q753" s="15" t="str">
        <f t="shared" si="2138"/>
        <v>22</v>
      </c>
      <c r="R753" s="15" t="str">
        <f t="shared" si="2138"/>
        <v>22</v>
      </c>
      <c r="S753" s="15" t="str">
        <f>"25.35"</f>
        <v>25.35</v>
      </c>
      <c r="T753" s="15" t="s">
        <v>7968</v>
      </c>
      <c r="U753" s="15" t="s">
        <v>16557</v>
      </c>
      <c r="V753" s="15" t="s">
        <v>14148</v>
      </c>
      <c r="AA753" s="15" t="s">
        <v>426</v>
      </c>
      <c r="AB753" s="15" t="s">
        <v>413</v>
      </c>
      <c r="AC753" s="15" t="s">
        <v>8056</v>
      </c>
      <c r="AD753" s="15" t="s">
        <v>20387</v>
      </c>
      <c r="AE753" s="15" t="s">
        <v>8055</v>
      </c>
      <c r="AF753" s="15" t="s">
        <v>20388</v>
      </c>
      <c r="AG753" s="15" t="s">
        <v>20389</v>
      </c>
      <c r="AH753" s="15" t="s">
        <v>20390</v>
      </c>
      <c r="AI753" s="15" t="s">
        <v>20391</v>
      </c>
      <c r="AJ753" s="15" t="s">
        <v>20392</v>
      </c>
      <c r="AK753" s="15" t="s">
        <v>20393</v>
      </c>
      <c r="AL753" s="15" t="s">
        <v>20394</v>
      </c>
      <c r="BH753" s="15" t="s">
        <v>8053</v>
      </c>
      <c r="BI753" s="15" t="str">
        <f>"479"</f>
        <v>479</v>
      </c>
      <c r="BJ753" s="15" t="str">
        <f>"205"</f>
        <v>205</v>
      </c>
      <c r="BK753" s="15" t="s">
        <v>742</v>
      </c>
      <c r="BL753" s="15" t="str">
        <f t="shared" si="2096"/>
        <v>2</v>
      </c>
      <c r="BM753" s="15" t="s">
        <v>8029</v>
      </c>
      <c r="BN753" s="15" t="str">
        <f t="shared" ref="BN753:BN754" si="2141">"25.98"</f>
        <v>25.98</v>
      </c>
      <c r="BO753" s="15" t="str">
        <f t="shared" ref="BO753:BO754" si="2142">"4.72"</f>
        <v>4.72</v>
      </c>
      <c r="BP753" s="15" t="str">
        <f t="shared" ref="BP753:BP754" si="2143">"25.98"</f>
        <v>25.98</v>
      </c>
      <c r="BQ753" s="15" t="str">
        <f>"15.43"</f>
        <v>15.43</v>
      </c>
      <c r="BR753" s="15" t="s">
        <v>5617</v>
      </c>
      <c r="BS753" s="15" t="str">
        <f t="shared" ref="BS753:BT753" si="2139">"14.57"</f>
        <v>14.57</v>
      </c>
      <c r="BT753" s="15" t="str">
        <f t="shared" si="2139"/>
        <v>14.57</v>
      </c>
      <c r="BU753" s="15" t="str">
        <f t="shared" ref="BU753:BU754" si="2145">"24.8"</f>
        <v>24.8</v>
      </c>
      <c r="BV753" s="15" t="str">
        <f>"22.05"</f>
        <v>22.05</v>
      </c>
      <c r="CG753" s="15" t="str">
        <f t="shared" ref="CG753:CG754" si="2146">"4.87"</f>
        <v>4.87</v>
      </c>
      <c r="CH753" s="15" t="str">
        <f t="shared" ref="CH753:CH754" si="2147">"0.138"</f>
        <v>0.138</v>
      </c>
      <c r="CI753" s="15" t="s">
        <v>465</v>
      </c>
      <c r="CZ753" s="15" t="s">
        <v>419</v>
      </c>
      <c r="DA753" s="15">
        <v>0.0</v>
      </c>
      <c r="DB753" s="15" t="s">
        <v>419</v>
      </c>
      <c r="DD753" s="15">
        <v>0.0</v>
      </c>
      <c r="DF753" s="15" t="s">
        <v>420</v>
      </c>
      <c r="DG753" s="15" t="s">
        <v>419</v>
      </c>
      <c r="DK753" s="15">
        <v>0.0</v>
      </c>
      <c r="DR753" s="15" t="s">
        <v>1112</v>
      </c>
      <c r="DS753" s="15" t="s">
        <v>7972</v>
      </c>
      <c r="DU753" s="15" t="s">
        <v>500</v>
      </c>
      <c r="EF753" s="15" t="s">
        <v>779</v>
      </c>
      <c r="EH753" s="15" t="s">
        <v>3164</v>
      </c>
      <c r="EQ753" s="15" t="s">
        <v>2651</v>
      </c>
      <c r="ER753" s="15" t="s">
        <v>8058</v>
      </c>
      <c r="ES753" s="15" t="s">
        <v>2163</v>
      </c>
      <c r="ET753" s="15" t="s">
        <v>5972</v>
      </c>
      <c r="EU753" s="15" t="s">
        <v>426</v>
      </c>
      <c r="EV753" s="15">
        <v>0.0</v>
      </c>
      <c r="EW753" s="15">
        <v>0.0</v>
      </c>
      <c r="FF753" s="15" t="s">
        <v>8059</v>
      </c>
    </row>
    <row r="754" ht="17.25" customHeight="1">
      <c r="A754" s="15" t="s">
        <v>8061</v>
      </c>
      <c r="B754" s="15" t="str">
        <f>"198394019729"</f>
        <v>198394019729</v>
      </c>
      <c r="C754" s="15" t="s">
        <v>20395</v>
      </c>
      <c r="D754" s="15" t="str">
        <f t="shared" si="1"/>
        <v>Paden End TableWorn Oak Veneer</v>
      </c>
      <c r="E754" s="15" t="s">
        <v>8052</v>
      </c>
      <c r="F754" s="15" t="s">
        <v>397</v>
      </c>
      <c r="G754" s="15" t="s">
        <v>2351</v>
      </c>
      <c r="J754" s="15" t="s">
        <v>2351</v>
      </c>
      <c r="M754" s="15" t="s">
        <v>1896</v>
      </c>
      <c r="N754" s="15" t="s">
        <v>1154</v>
      </c>
      <c r="P754" s="15" t="str">
        <f t="shared" ref="P754:R754" si="2140">"22"</f>
        <v>22</v>
      </c>
      <c r="Q754" s="15" t="str">
        <f t="shared" si="2140"/>
        <v>22</v>
      </c>
      <c r="R754" s="15" t="str">
        <f t="shared" si="2140"/>
        <v>22</v>
      </c>
      <c r="S754" s="15" t="str">
        <f>"33.07"</f>
        <v>33.07</v>
      </c>
      <c r="T754" s="15" t="s">
        <v>1025</v>
      </c>
      <c r="U754" s="15" t="s">
        <v>10881</v>
      </c>
      <c r="V754" s="15" t="s">
        <v>11338</v>
      </c>
      <c r="AA754" s="15" t="s">
        <v>426</v>
      </c>
      <c r="AB754" s="15" t="s">
        <v>413</v>
      </c>
      <c r="AC754" s="15" t="s">
        <v>8063</v>
      </c>
      <c r="AD754" s="15" t="s">
        <v>20396</v>
      </c>
      <c r="AE754" s="15" t="s">
        <v>8062</v>
      </c>
      <c r="AF754" s="15" t="s">
        <v>20397</v>
      </c>
      <c r="AG754" s="15" t="s">
        <v>20398</v>
      </c>
      <c r="AH754" s="15" t="s">
        <v>20399</v>
      </c>
      <c r="AI754" s="15" t="s">
        <v>20400</v>
      </c>
      <c r="AJ754" s="15" t="s">
        <v>20401</v>
      </c>
      <c r="AK754" s="15" t="s">
        <v>20402</v>
      </c>
      <c r="AL754" s="15" t="s">
        <v>20403</v>
      </c>
      <c r="BH754" s="15" t="s">
        <v>8060</v>
      </c>
      <c r="BI754" s="15" t="str">
        <f>"549"</f>
        <v>549</v>
      </c>
      <c r="BJ754" s="15" t="str">
        <f>"235"</f>
        <v>235</v>
      </c>
      <c r="BK754" s="15" t="s">
        <v>742</v>
      </c>
      <c r="BL754" s="15" t="str">
        <f t="shared" si="2096"/>
        <v>2</v>
      </c>
      <c r="BM754" s="15" t="s">
        <v>8029</v>
      </c>
      <c r="BN754" s="15" t="str">
        <f t="shared" si="2141"/>
        <v>25.98</v>
      </c>
      <c r="BO754" s="15" t="str">
        <f t="shared" si="2142"/>
        <v>4.72</v>
      </c>
      <c r="BP754" s="15" t="str">
        <f t="shared" si="2143"/>
        <v>25.98</v>
      </c>
      <c r="BQ754" s="15" t="str">
        <f>"19.84"</f>
        <v>19.84</v>
      </c>
      <c r="BR754" s="15" t="s">
        <v>5617</v>
      </c>
      <c r="BS754" s="15" t="str">
        <f t="shared" ref="BS754:BT754" si="2144">"14.57"</f>
        <v>14.57</v>
      </c>
      <c r="BT754" s="15" t="str">
        <f t="shared" si="2144"/>
        <v>14.57</v>
      </c>
      <c r="BU754" s="15" t="str">
        <f t="shared" si="2145"/>
        <v>24.8</v>
      </c>
      <c r="BV754" s="15" t="str">
        <f>"25.35"</f>
        <v>25.35</v>
      </c>
      <c r="CG754" s="15" t="str">
        <f t="shared" si="2146"/>
        <v>4.87</v>
      </c>
      <c r="CH754" s="15" t="str">
        <f t="shared" si="2147"/>
        <v>0.138</v>
      </c>
      <c r="CI754" s="15" t="s">
        <v>465</v>
      </c>
      <c r="CZ754" s="15" t="s">
        <v>419</v>
      </c>
      <c r="DA754" s="15">
        <v>0.0</v>
      </c>
      <c r="DB754" s="15" t="s">
        <v>419</v>
      </c>
      <c r="DD754" s="15">
        <v>0.0</v>
      </c>
      <c r="DF754" s="15" t="s">
        <v>420</v>
      </c>
      <c r="DG754" s="15" t="s">
        <v>419</v>
      </c>
      <c r="DK754" s="15">
        <v>0.0</v>
      </c>
      <c r="DR754" s="15" t="s">
        <v>1112</v>
      </c>
      <c r="DS754" s="15" t="s">
        <v>7972</v>
      </c>
      <c r="DU754" s="15" t="s">
        <v>500</v>
      </c>
      <c r="EF754" s="15" t="s">
        <v>779</v>
      </c>
      <c r="EH754" s="15" t="s">
        <v>3164</v>
      </c>
      <c r="EQ754" s="15" t="s">
        <v>2651</v>
      </c>
      <c r="ER754" s="15" t="s">
        <v>8058</v>
      </c>
      <c r="ES754" s="15" t="s">
        <v>2163</v>
      </c>
      <c r="ET754" s="15" t="s">
        <v>5972</v>
      </c>
      <c r="EU754" s="15" t="s">
        <v>426</v>
      </c>
      <c r="EV754" s="15">
        <v>0.0</v>
      </c>
      <c r="EW754" s="15">
        <v>0.0</v>
      </c>
      <c r="FF754" s="15" t="s">
        <v>8059</v>
      </c>
    </row>
    <row r="755" ht="17.25" customHeight="1">
      <c r="A755" s="15" t="s">
        <v>8069</v>
      </c>
      <c r="B755" s="15" t="str">
        <f>"801542154707"</f>
        <v>801542154707</v>
      </c>
      <c r="C755" s="15" t="s">
        <v>20404</v>
      </c>
      <c r="D755" s="15" t="str">
        <f t="shared" si="1"/>
        <v>Paden Large Console TableItalian White Marble</v>
      </c>
      <c r="E755" s="15" t="s">
        <v>8066</v>
      </c>
      <c r="F755" s="15" t="s">
        <v>397</v>
      </c>
      <c r="G755" s="15" t="s">
        <v>8068</v>
      </c>
      <c r="J755" s="15" t="s">
        <v>8068</v>
      </c>
      <c r="K755" s="15" t="s">
        <v>7985</v>
      </c>
      <c r="L755" s="15" t="s">
        <v>7988</v>
      </c>
      <c r="M755" s="15" t="s">
        <v>1896</v>
      </c>
      <c r="N755" s="15" t="s">
        <v>519</v>
      </c>
      <c r="P755" s="15" t="str">
        <f t="shared" ref="P755:P758" si="2148">"78"</f>
        <v>78</v>
      </c>
      <c r="Q755" s="15" t="str">
        <f t="shared" ref="Q755:Q758" si="2149">"22"</f>
        <v>22</v>
      </c>
      <c r="R755" s="15" t="str">
        <f t="shared" ref="R755:R758" si="2150">"31"</f>
        <v>31</v>
      </c>
      <c r="S755" s="15" t="str">
        <f>"171.96"</f>
        <v>171.96</v>
      </c>
      <c r="T755" s="15" t="s">
        <v>8071</v>
      </c>
      <c r="U755" s="15" t="s">
        <v>11754</v>
      </c>
      <c r="V755" s="15" t="s">
        <v>16557</v>
      </c>
      <c r="W755" s="15" t="s">
        <v>14148</v>
      </c>
      <c r="AA755" s="15" t="s">
        <v>413</v>
      </c>
      <c r="AB755" s="15" t="s">
        <v>413</v>
      </c>
      <c r="AC755" s="15" t="s">
        <v>8072</v>
      </c>
      <c r="AD755" s="15" t="s">
        <v>20405</v>
      </c>
      <c r="AE755" s="15" t="s">
        <v>8070</v>
      </c>
      <c r="AF755" s="15" t="s">
        <v>20406</v>
      </c>
      <c r="AG755" s="15" t="s">
        <v>20407</v>
      </c>
      <c r="AH755" s="15" t="s">
        <v>20408</v>
      </c>
      <c r="AI755" s="15" t="s">
        <v>20409</v>
      </c>
      <c r="AJ755" s="15" t="s">
        <v>20410</v>
      </c>
      <c r="AK755" s="15" t="s">
        <v>20411</v>
      </c>
      <c r="AL755" s="15" t="s">
        <v>20412</v>
      </c>
      <c r="AM755" s="15" t="s">
        <v>20413</v>
      </c>
      <c r="AN755" s="15" t="s">
        <v>20414</v>
      </c>
      <c r="AO755" s="15" t="s">
        <v>20415</v>
      </c>
      <c r="AP755" s="15" t="s">
        <v>20416</v>
      </c>
      <c r="BH755" s="15" t="s">
        <v>8067</v>
      </c>
      <c r="BI755" s="15" t="str">
        <f>"1899"</f>
        <v>1899</v>
      </c>
      <c r="BJ755" s="15" t="str">
        <f>"800"</f>
        <v>800</v>
      </c>
      <c r="BK755" s="15" t="s">
        <v>742</v>
      </c>
      <c r="BL755" s="15" t="str">
        <f t="shared" si="2096"/>
        <v>2</v>
      </c>
      <c r="BM755" s="15" t="s">
        <v>1564</v>
      </c>
      <c r="BN755" s="15" t="str">
        <f>"83.66"</f>
        <v>83.66</v>
      </c>
      <c r="BO755" s="15" t="str">
        <f>"27.76"</f>
        <v>27.76</v>
      </c>
      <c r="BP755" s="15" t="str">
        <f>"5.91"</f>
        <v>5.91</v>
      </c>
      <c r="BQ755" s="15" t="str">
        <f>"187.39"</f>
        <v>187.39</v>
      </c>
      <c r="BR755" s="15" t="s">
        <v>2238</v>
      </c>
      <c r="BS755" s="15" t="str">
        <f t="shared" ref="BS755:BS758" si="2151">"18.5"</f>
        <v>18.5</v>
      </c>
      <c r="BT755" s="15" t="str">
        <f t="shared" ref="BT755:BT758" si="2152">"18.9"</f>
        <v>18.9</v>
      </c>
      <c r="BU755" s="15" t="str">
        <f t="shared" ref="BU755:BU758" si="2153">"34.65"</f>
        <v>34.65</v>
      </c>
      <c r="BV755" s="15" t="str">
        <f t="shared" ref="BV755:BV757" si="2154">"38.58"</f>
        <v>38.58</v>
      </c>
      <c r="CG755" s="15" t="str">
        <f>"14.97"</f>
        <v>14.97</v>
      </c>
      <c r="CH755" s="15" t="str">
        <f>"0.424"</f>
        <v>0.424</v>
      </c>
      <c r="CI755" s="15" t="s">
        <v>417</v>
      </c>
      <c r="CZ755" s="15" t="s">
        <v>419</v>
      </c>
      <c r="DA755" s="15">
        <v>0.0</v>
      </c>
      <c r="DB755" s="15" t="s">
        <v>419</v>
      </c>
      <c r="DD755" s="15">
        <v>0.0</v>
      </c>
      <c r="DF755" s="15" t="s">
        <v>420</v>
      </c>
      <c r="DG755" s="15" t="s">
        <v>419</v>
      </c>
      <c r="DK755" s="15">
        <v>0.0</v>
      </c>
      <c r="DR755" s="15" t="s">
        <v>1112</v>
      </c>
      <c r="DS755" s="15" t="s">
        <v>7972</v>
      </c>
      <c r="DU755" s="15" t="s">
        <v>424</v>
      </c>
      <c r="EF755" s="15" t="s">
        <v>8074</v>
      </c>
      <c r="EH755" s="15" t="s">
        <v>8075</v>
      </c>
      <c r="EQ755" s="15" t="s">
        <v>504</v>
      </c>
      <c r="ER755" s="15" t="s">
        <v>8074</v>
      </c>
      <c r="ES755" s="15" t="s">
        <v>6046</v>
      </c>
      <c r="ET755" s="15" t="s">
        <v>5972</v>
      </c>
      <c r="EU755" s="15" t="s">
        <v>426</v>
      </c>
      <c r="EV755" s="15">
        <v>0.0</v>
      </c>
      <c r="EW755" s="15">
        <v>0.0</v>
      </c>
      <c r="FF755" s="15" t="s">
        <v>531</v>
      </c>
      <c r="FQ755" s="15">
        <v>0.0</v>
      </c>
      <c r="FR755" s="15" t="s">
        <v>427</v>
      </c>
    </row>
    <row r="756" ht="17.25" customHeight="1">
      <c r="A756" s="15" t="s">
        <v>8077</v>
      </c>
      <c r="B756" s="15" t="str">
        <f>"801542203887"</f>
        <v>801542203887</v>
      </c>
      <c r="C756" s="15" t="s">
        <v>20417</v>
      </c>
      <c r="D756" s="15" t="str">
        <f t="shared" si="1"/>
        <v>Paden Large Console TableSandy Acacia</v>
      </c>
      <c r="E756" s="15" t="s">
        <v>8066</v>
      </c>
      <c r="F756" s="15" t="s">
        <v>397</v>
      </c>
      <c r="G756" s="15" t="s">
        <v>7979</v>
      </c>
      <c r="J756" s="15" t="s">
        <v>7979</v>
      </c>
      <c r="K756" s="15" t="s">
        <v>7982</v>
      </c>
      <c r="M756" s="15" t="s">
        <v>1896</v>
      </c>
      <c r="N756" s="15" t="s">
        <v>519</v>
      </c>
      <c r="P756" s="15" t="str">
        <f t="shared" si="2148"/>
        <v>78</v>
      </c>
      <c r="Q756" s="15" t="str">
        <f t="shared" si="2149"/>
        <v>22</v>
      </c>
      <c r="R756" s="15" t="str">
        <f t="shared" si="2150"/>
        <v>31</v>
      </c>
      <c r="S756" s="15" t="str">
        <f t="shared" ref="S756:S757" si="2155">"61.73"</f>
        <v>61.73</v>
      </c>
      <c r="T756" s="15" t="s">
        <v>7968</v>
      </c>
      <c r="U756" s="15" t="s">
        <v>16557</v>
      </c>
      <c r="V756" s="15" t="s">
        <v>14148</v>
      </c>
      <c r="AA756" s="15" t="s">
        <v>413</v>
      </c>
      <c r="AB756" s="15" t="s">
        <v>413</v>
      </c>
      <c r="AD756" s="15" t="s">
        <v>20418</v>
      </c>
      <c r="AE756" s="15" t="s">
        <v>8078</v>
      </c>
      <c r="AF756" s="15" t="s">
        <v>20419</v>
      </c>
      <c r="AG756" s="15" t="s">
        <v>20420</v>
      </c>
      <c r="AH756" s="15" t="s">
        <v>20421</v>
      </c>
      <c r="AI756" s="15" t="s">
        <v>20422</v>
      </c>
      <c r="AJ756" s="15" t="s">
        <v>20423</v>
      </c>
      <c r="AK756" s="15" t="s">
        <v>20424</v>
      </c>
      <c r="AL756" s="15" t="s">
        <v>20425</v>
      </c>
      <c r="AM756" s="15" t="s">
        <v>20426</v>
      </c>
      <c r="AN756" s="15" t="s">
        <v>20427</v>
      </c>
      <c r="BH756" s="15" t="s">
        <v>8076</v>
      </c>
      <c r="BI756" s="15" t="str">
        <f t="shared" ref="BI756:BI757" si="2156">"999"</f>
        <v>999</v>
      </c>
      <c r="BJ756" s="15" t="str">
        <f t="shared" ref="BJ756:BJ757" si="2157">"420"</f>
        <v>420</v>
      </c>
      <c r="BK756" s="15" t="s">
        <v>742</v>
      </c>
      <c r="BL756" s="15" t="str">
        <f t="shared" si="2096"/>
        <v>2</v>
      </c>
      <c r="BM756" s="15" t="s">
        <v>1564</v>
      </c>
      <c r="BN756" s="15" t="str">
        <f t="shared" ref="BN756:BN758" si="2158">"81.89"</f>
        <v>81.89</v>
      </c>
      <c r="BO756" s="15" t="str">
        <f t="shared" ref="BO756:BO758" si="2159">"4.92"</f>
        <v>4.92</v>
      </c>
      <c r="BP756" s="15" t="str">
        <f t="shared" ref="BP756:BP758" si="2160">"25.79"</f>
        <v>25.79</v>
      </c>
      <c r="BQ756" s="15" t="str">
        <f t="shared" ref="BQ756:BQ757" si="2161">"45.19"</f>
        <v>45.19</v>
      </c>
      <c r="BR756" s="15" t="s">
        <v>2238</v>
      </c>
      <c r="BS756" s="15" t="str">
        <f t="shared" si="2151"/>
        <v>18.5</v>
      </c>
      <c r="BT756" s="15" t="str">
        <f t="shared" si="2152"/>
        <v>18.9</v>
      </c>
      <c r="BU756" s="15" t="str">
        <f t="shared" si="2153"/>
        <v>34.65</v>
      </c>
      <c r="BV756" s="15" t="str">
        <f t="shared" si="2154"/>
        <v>38.58</v>
      </c>
      <c r="CG756" s="15" t="str">
        <f t="shared" ref="CG756:CG758" si="2162">"13.03"</f>
        <v>13.03</v>
      </c>
      <c r="CH756" s="15" t="str">
        <f t="shared" ref="CH756:CH758" si="2163">"0.369"</f>
        <v>0.369</v>
      </c>
      <c r="CI756" s="15" t="s">
        <v>417</v>
      </c>
      <c r="CZ756" s="15" t="s">
        <v>419</v>
      </c>
      <c r="DA756" s="15">
        <v>0.0</v>
      </c>
      <c r="DB756" s="15" t="s">
        <v>419</v>
      </c>
      <c r="DD756" s="15">
        <v>0.0</v>
      </c>
      <c r="DF756" s="15" t="s">
        <v>420</v>
      </c>
      <c r="DG756" s="15" t="s">
        <v>419</v>
      </c>
      <c r="DK756" s="15">
        <v>0.0</v>
      </c>
      <c r="DR756" s="15" t="s">
        <v>1112</v>
      </c>
      <c r="DS756" s="15" t="s">
        <v>7972</v>
      </c>
      <c r="DU756" s="15" t="s">
        <v>424</v>
      </c>
      <c r="EF756" s="15" t="s">
        <v>8074</v>
      </c>
      <c r="EH756" s="15" t="s">
        <v>8075</v>
      </c>
      <c r="EQ756" s="15" t="s">
        <v>504</v>
      </c>
      <c r="ER756" s="15" t="s">
        <v>8074</v>
      </c>
      <c r="ES756" s="15" t="s">
        <v>6046</v>
      </c>
      <c r="ET756" s="15" t="s">
        <v>5972</v>
      </c>
      <c r="EU756" s="15" t="s">
        <v>426</v>
      </c>
      <c r="EV756" s="15">
        <v>0.0</v>
      </c>
      <c r="EW756" s="15">
        <v>0.0</v>
      </c>
      <c r="FF756" s="15" t="s">
        <v>531</v>
      </c>
      <c r="FQ756" s="15">
        <v>0.0</v>
      </c>
      <c r="FR756" s="15" t="s">
        <v>427</v>
      </c>
    </row>
    <row r="757" ht="17.25" customHeight="1">
      <c r="A757" s="15" t="s">
        <v>8080</v>
      </c>
      <c r="B757" s="15" t="str">
        <f>"801542154714"</f>
        <v>801542154714</v>
      </c>
      <c r="C757" s="15" t="s">
        <v>20428</v>
      </c>
      <c r="D757" s="15" t="str">
        <f t="shared" si="1"/>
        <v>Paden Large Console TableSeasoned Brown Acacia</v>
      </c>
      <c r="E757" s="15" t="s">
        <v>8066</v>
      </c>
      <c r="F757" s="15" t="s">
        <v>397</v>
      </c>
      <c r="G757" s="15" t="s">
        <v>7985</v>
      </c>
      <c r="J757" s="15" t="s">
        <v>7985</v>
      </c>
      <c r="K757" s="15" t="s">
        <v>7988</v>
      </c>
      <c r="M757" s="15" t="s">
        <v>1896</v>
      </c>
      <c r="N757" s="15" t="s">
        <v>519</v>
      </c>
      <c r="P757" s="15" t="str">
        <f t="shared" si="2148"/>
        <v>78</v>
      </c>
      <c r="Q757" s="15" t="str">
        <f t="shared" si="2149"/>
        <v>22</v>
      </c>
      <c r="R757" s="15" t="str">
        <f t="shared" si="2150"/>
        <v>31</v>
      </c>
      <c r="S757" s="15" t="str">
        <f t="shared" si="2155"/>
        <v>61.73</v>
      </c>
      <c r="T757" s="15" t="s">
        <v>7968</v>
      </c>
      <c r="U757" s="15" t="s">
        <v>16557</v>
      </c>
      <c r="V757" s="15" t="s">
        <v>14148</v>
      </c>
      <c r="AA757" s="15" t="s">
        <v>413</v>
      </c>
      <c r="AB757" s="15" t="s">
        <v>413</v>
      </c>
      <c r="AC757" s="15" t="s">
        <v>8082</v>
      </c>
      <c r="AD757" s="15" t="s">
        <v>20429</v>
      </c>
      <c r="AE757" s="15" t="s">
        <v>8081</v>
      </c>
      <c r="AF757" s="15" t="s">
        <v>20430</v>
      </c>
      <c r="AG757" s="15" t="s">
        <v>20431</v>
      </c>
      <c r="AH757" s="15" t="s">
        <v>20432</v>
      </c>
      <c r="AI757" s="15" t="s">
        <v>20433</v>
      </c>
      <c r="AJ757" s="15" t="s">
        <v>20434</v>
      </c>
      <c r="AK757" s="15" t="s">
        <v>20435</v>
      </c>
      <c r="AL757" s="15" t="s">
        <v>20436</v>
      </c>
      <c r="AM757" s="15" t="s">
        <v>20437</v>
      </c>
      <c r="AN757" s="15" t="s">
        <v>20438</v>
      </c>
      <c r="BH757" s="15" t="s">
        <v>8079</v>
      </c>
      <c r="BI757" s="15" t="str">
        <f t="shared" si="2156"/>
        <v>999</v>
      </c>
      <c r="BJ757" s="15" t="str">
        <f t="shared" si="2157"/>
        <v>420</v>
      </c>
      <c r="BK757" s="15" t="s">
        <v>742</v>
      </c>
      <c r="BL757" s="15" t="str">
        <f t="shared" si="2096"/>
        <v>2</v>
      </c>
      <c r="BM757" s="15" t="s">
        <v>1564</v>
      </c>
      <c r="BN757" s="15" t="str">
        <f t="shared" si="2158"/>
        <v>81.89</v>
      </c>
      <c r="BO757" s="15" t="str">
        <f t="shared" si="2159"/>
        <v>4.92</v>
      </c>
      <c r="BP757" s="15" t="str">
        <f t="shared" si="2160"/>
        <v>25.79</v>
      </c>
      <c r="BQ757" s="15" t="str">
        <f t="shared" si="2161"/>
        <v>45.19</v>
      </c>
      <c r="BR757" s="15" t="s">
        <v>2238</v>
      </c>
      <c r="BS757" s="15" t="str">
        <f t="shared" si="2151"/>
        <v>18.5</v>
      </c>
      <c r="BT757" s="15" t="str">
        <f t="shared" si="2152"/>
        <v>18.9</v>
      </c>
      <c r="BU757" s="15" t="str">
        <f t="shared" si="2153"/>
        <v>34.65</v>
      </c>
      <c r="BV757" s="15" t="str">
        <f t="shared" si="2154"/>
        <v>38.58</v>
      </c>
      <c r="CG757" s="15" t="str">
        <f t="shared" si="2162"/>
        <v>13.03</v>
      </c>
      <c r="CH757" s="15" t="str">
        <f t="shared" si="2163"/>
        <v>0.369</v>
      </c>
      <c r="CI757" s="15" t="s">
        <v>417</v>
      </c>
      <c r="CZ757" s="15" t="s">
        <v>419</v>
      </c>
      <c r="DA757" s="15">
        <v>0.0</v>
      </c>
      <c r="DB757" s="15" t="s">
        <v>419</v>
      </c>
      <c r="DD757" s="15">
        <v>0.0</v>
      </c>
      <c r="DF757" s="15" t="s">
        <v>420</v>
      </c>
      <c r="DG757" s="15" t="s">
        <v>419</v>
      </c>
      <c r="DK757" s="15">
        <v>0.0</v>
      </c>
      <c r="DR757" s="15" t="s">
        <v>1112</v>
      </c>
      <c r="DS757" s="15" t="s">
        <v>7972</v>
      </c>
      <c r="DU757" s="15" t="s">
        <v>424</v>
      </c>
      <c r="EF757" s="15" t="s">
        <v>8074</v>
      </c>
      <c r="EH757" s="15" t="s">
        <v>8075</v>
      </c>
      <c r="EQ757" s="15" t="s">
        <v>504</v>
      </c>
      <c r="ER757" s="15" t="s">
        <v>8074</v>
      </c>
      <c r="ES757" s="15" t="s">
        <v>6046</v>
      </c>
      <c r="ET757" s="15" t="s">
        <v>5972</v>
      </c>
      <c r="EU757" s="15" t="s">
        <v>426</v>
      </c>
      <c r="EV757" s="15">
        <v>0.0</v>
      </c>
      <c r="EW757" s="15">
        <v>0.0</v>
      </c>
      <c r="FF757" s="15" t="s">
        <v>531</v>
      </c>
      <c r="FQ757" s="15">
        <v>0.0</v>
      </c>
      <c r="FR757" s="15" t="s">
        <v>427</v>
      </c>
    </row>
    <row r="758" ht="17.25" customHeight="1">
      <c r="A758" s="15" t="s">
        <v>8084</v>
      </c>
      <c r="B758" s="15" t="str">
        <f>"198394019781"</f>
        <v>198394019781</v>
      </c>
      <c r="C758" s="15" t="s">
        <v>20439</v>
      </c>
      <c r="D758" s="15" t="str">
        <f t="shared" si="1"/>
        <v>Paden Large Console TableWorn Oak</v>
      </c>
      <c r="E758" s="15" t="s">
        <v>8066</v>
      </c>
      <c r="F758" s="15" t="s">
        <v>397</v>
      </c>
      <c r="G758" s="15" t="s">
        <v>7632</v>
      </c>
      <c r="J758" s="15" t="s">
        <v>7632</v>
      </c>
      <c r="K758" s="15" t="s">
        <v>2351</v>
      </c>
      <c r="M758" s="15" t="s">
        <v>1896</v>
      </c>
      <c r="N758" s="15" t="s">
        <v>519</v>
      </c>
      <c r="P758" s="15" t="str">
        <f t="shared" si="2148"/>
        <v>78</v>
      </c>
      <c r="Q758" s="15" t="str">
        <f t="shared" si="2149"/>
        <v>22</v>
      </c>
      <c r="R758" s="15" t="str">
        <f t="shared" si="2150"/>
        <v>31</v>
      </c>
      <c r="S758" s="15" t="str">
        <f>"71.65"</f>
        <v>71.65</v>
      </c>
      <c r="T758" s="15" t="s">
        <v>4874</v>
      </c>
      <c r="U758" s="15" t="s">
        <v>11338</v>
      </c>
      <c r="V758" s="15" t="s">
        <v>10881</v>
      </c>
      <c r="AA758" s="15" t="s">
        <v>413</v>
      </c>
      <c r="AB758" s="15" t="s">
        <v>413</v>
      </c>
      <c r="AC758" s="15" t="s">
        <v>8086</v>
      </c>
      <c r="AD758" s="15" t="s">
        <v>20440</v>
      </c>
      <c r="AE758" s="15" t="s">
        <v>8085</v>
      </c>
      <c r="AF758" s="15" t="s">
        <v>20441</v>
      </c>
      <c r="AG758" s="15" t="s">
        <v>20442</v>
      </c>
      <c r="AH758" s="15" t="s">
        <v>20443</v>
      </c>
      <c r="AI758" s="15" t="s">
        <v>20444</v>
      </c>
      <c r="AJ758" s="15" t="s">
        <v>20445</v>
      </c>
      <c r="AK758" s="15" t="s">
        <v>20446</v>
      </c>
      <c r="AL758" s="15" t="s">
        <v>20447</v>
      </c>
      <c r="AM758" s="15" t="s">
        <v>20448</v>
      </c>
      <c r="BH758" s="15" t="s">
        <v>8083</v>
      </c>
      <c r="BI758" s="15" t="str">
        <f>"1199"</f>
        <v>1199</v>
      </c>
      <c r="BJ758" s="15" t="str">
        <f>"505"</f>
        <v>505</v>
      </c>
      <c r="BK758" s="15" t="s">
        <v>742</v>
      </c>
      <c r="BL758" s="15" t="str">
        <f t="shared" si="2096"/>
        <v>2</v>
      </c>
      <c r="BM758" s="15" t="s">
        <v>1564</v>
      </c>
      <c r="BN758" s="15" t="str">
        <f t="shared" si="2158"/>
        <v>81.89</v>
      </c>
      <c r="BO758" s="15" t="str">
        <f t="shared" si="2159"/>
        <v>4.92</v>
      </c>
      <c r="BP758" s="15" t="str">
        <f t="shared" si="2160"/>
        <v>25.79</v>
      </c>
      <c r="BQ758" s="15" t="str">
        <f>"50.71"</f>
        <v>50.71</v>
      </c>
      <c r="BR758" s="15" t="s">
        <v>2238</v>
      </c>
      <c r="BS758" s="15" t="str">
        <f t="shared" si="2151"/>
        <v>18.5</v>
      </c>
      <c r="BT758" s="15" t="str">
        <f t="shared" si="2152"/>
        <v>18.9</v>
      </c>
      <c r="BU758" s="15" t="str">
        <f t="shared" si="2153"/>
        <v>34.65</v>
      </c>
      <c r="BV758" s="15" t="str">
        <f>"42.99"</f>
        <v>42.99</v>
      </c>
      <c r="CG758" s="15" t="str">
        <f t="shared" si="2162"/>
        <v>13.03</v>
      </c>
      <c r="CH758" s="15" t="str">
        <f t="shared" si="2163"/>
        <v>0.369</v>
      </c>
      <c r="CI758" s="15" t="s">
        <v>417</v>
      </c>
      <c r="CZ758" s="15" t="s">
        <v>419</v>
      </c>
      <c r="DA758" s="15">
        <v>0.0</v>
      </c>
      <c r="DB758" s="15" t="s">
        <v>419</v>
      </c>
      <c r="DD758" s="15">
        <v>0.0</v>
      </c>
      <c r="DF758" s="15" t="s">
        <v>420</v>
      </c>
      <c r="DG758" s="15" t="s">
        <v>419</v>
      </c>
      <c r="DK758" s="15">
        <v>0.0</v>
      </c>
      <c r="DR758" s="15" t="s">
        <v>1112</v>
      </c>
      <c r="DS758" s="15" t="s">
        <v>7972</v>
      </c>
      <c r="DU758" s="15" t="s">
        <v>424</v>
      </c>
      <c r="EF758" s="15" t="s">
        <v>8074</v>
      </c>
      <c r="EH758" s="15" t="s">
        <v>8075</v>
      </c>
      <c r="EQ758" s="15" t="s">
        <v>504</v>
      </c>
      <c r="ER758" s="15" t="s">
        <v>8074</v>
      </c>
      <c r="ES758" s="15" t="s">
        <v>6046</v>
      </c>
      <c r="ET758" s="15" t="s">
        <v>5972</v>
      </c>
      <c r="EU758" s="15" t="s">
        <v>426</v>
      </c>
      <c r="EV758" s="15">
        <v>0.0</v>
      </c>
      <c r="EW758" s="15">
        <v>0.0</v>
      </c>
      <c r="FF758" s="15" t="s">
        <v>531</v>
      </c>
      <c r="FQ758" s="15">
        <v>0.0</v>
      </c>
      <c r="FR758" s="15" t="s">
        <v>427</v>
      </c>
    </row>
    <row r="759" ht="17.25" customHeight="1">
      <c r="A759" s="15" t="s">
        <v>8090</v>
      </c>
      <c r="B759" s="15" t="str">
        <f>"801542394363"</f>
        <v>801542394363</v>
      </c>
      <c r="C759" s="15" t="s">
        <v>20449</v>
      </c>
      <c r="D759" s="15" t="str">
        <f t="shared" si="1"/>
        <v>Paden SideboardWorn Oak</v>
      </c>
      <c r="E759" s="15" t="s">
        <v>8088</v>
      </c>
      <c r="F759" s="15" t="s">
        <v>397</v>
      </c>
      <c r="G759" s="15" t="s">
        <v>7632</v>
      </c>
      <c r="J759" s="15" t="s">
        <v>7632</v>
      </c>
      <c r="K759" s="15" t="s">
        <v>2351</v>
      </c>
      <c r="M759" s="15" t="s">
        <v>1896</v>
      </c>
      <c r="N759" s="15" t="s">
        <v>664</v>
      </c>
      <c r="P759" s="15" t="str">
        <f>"94"</f>
        <v>94</v>
      </c>
      <c r="Q759" s="15" t="str">
        <f>"23"</f>
        <v>23</v>
      </c>
      <c r="R759" s="15" t="str">
        <f>"33"</f>
        <v>33</v>
      </c>
      <c r="S759" s="15" t="str">
        <f>"220.46"</f>
        <v>220.46</v>
      </c>
      <c r="T759" s="15" t="s">
        <v>4874</v>
      </c>
      <c r="U759" s="15" t="s">
        <v>11338</v>
      </c>
      <c r="V759" s="15" t="s">
        <v>10881</v>
      </c>
      <c r="AA759" s="15" t="s">
        <v>426</v>
      </c>
      <c r="AB759" s="15" t="s">
        <v>413</v>
      </c>
      <c r="AC759" s="15" t="s">
        <v>8092</v>
      </c>
      <c r="AD759" s="15" t="s">
        <v>20450</v>
      </c>
      <c r="AE759" s="15" t="s">
        <v>8091</v>
      </c>
      <c r="AF759" s="15" t="s">
        <v>20451</v>
      </c>
      <c r="AG759" s="15" t="s">
        <v>20452</v>
      </c>
      <c r="AH759" s="15" t="s">
        <v>20453</v>
      </c>
      <c r="AI759" s="15" t="s">
        <v>20454</v>
      </c>
      <c r="AJ759" s="15" t="s">
        <v>20455</v>
      </c>
      <c r="AK759" s="15" t="s">
        <v>20456</v>
      </c>
      <c r="AL759" s="15" t="s">
        <v>20457</v>
      </c>
      <c r="AM759" s="15" t="s">
        <v>20458</v>
      </c>
      <c r="AN759" s="15" t="s">
        <v>20459</v>
      </c>
      <c r="AO759" s="15" t="s">
        <v>20460</v>
      </c>
      <c r="AP759" s="15" t="s">
        <v>20461</v>
      </c>
      <c r="BH759" s="15" t="s">
        <v>8089</v>
      </c>
      <c r="BI759" s="15" t="str">
        <f>"2599"</f>
        <v>2599</v>
      </c>
      <c r="BJ759" s="15" t="str">
        <f>"1095"</f>
        <v>1095</v>
      </c>
      <c r="BK759" s="15" t="s">
        <v>742</v>
      </c>
      <c r="BL759" s="15" t="str">
        <f>"1"</f>
        <v>1</v>
      </c>
      <c r="BM759" s="15" t="s">
        <v>1455</v>
      </c>
      <c r="BN759" s="15" t="str">
        <f>"97.83"</f>
        <v>97.83</v>
      </c>
      <c r="BO759" s="15" t="str">
        <f>"26.77"</f>
        <v>26.77</v>
      </c>
      <c r="BP759" s="15" t="str">
        <f>"32.87"</f>
        <v>32.87</v>
      </c>
      <c r="BQ759" s="15" t="str">
        <f>"272.27"</f>
        <v>272.27</v>
      </c>
      <c r="CG759" s="15" t="str">
        <f>"49.83"</f>
        <v>49.83</v>
      </c>
      <c r="CH759" s="15" t="str">
        <f>"1.411"</f>
        <v>1.411</v>
      </c>
      <c r="CI759" s="15" t="s">
        <v>497</v>
      </c>
      <c r="CM759" s="15" t="s">
        <v>2160</v>
      </c>
      <c r="CN759" s="15" t="s">
        <v>8094</v>
      </c>
      <c r="CO759" s="15" t="s">
        <v>8095</v>
      </c>
      <c r="CZ759" s="15" t="s">
        <v>419</v>
      </c>
      <c r="DA759" s="15">
        <v>0.0</v>
      </c>
      <c r="DB759" s="15" t="s">
        <v>419</v>
      </c>
      <c r="DD759" s="15">
        <v>0.0</v>
      </c>
      <c r="DF759" s="15" t="s">
        <v>721</v>
      </c>
      <c r="DG759" s="15" t="s">
        <v>610</v>
      </c>
      <c r="DI759" s="15">
        <v>18.14</v>
      </c>
      <c r="DJ759" s="15">
        <v>40.0</v>
      </c>
      <c r="DK759" s="15">
        <v>2.0</v>
      </c>
      <c r="DS759" s="15" t="s">
        <v>7972</v>
      </c>
      <c r="DU759" s="15" t="s">
        <v>424</v>
      </c>
      <c r="EF759" s="15" t="s">
        <v>1955</v>
      </c>
      <c r="EU759" s="15" t="s">
        <v>426</v>
      </c>
      <c r="EV759" s="15">
        <v>2.0</v>
      </c>
      <c r="FH759" s="15" t="s">
        <v>8096</v>
      </c>
      <c r="FI759" s="15" t="s">
        <v>782</v>
      </c>
      <c r="FJ759" s="15" t="s">
        <v>824</v>
      </c>
      <c r="FK759" s="15" t="s">
        <v>2160</v>
      </c>
      <c r="FL759" s="15" t="s">
        <v>782</v>
      </c>
      <c r="FM759" s="15" t="s">
        <v>8095</v>
      </c>
      <c r="FN759" s="15">
        <v>0.0</v>
      </c>
      <c r="FP759" s="15" t="s">
        <v>1883</v>
      </c>
      <c r="FQ759" s="15">
        <v>4.0</v>
      </c>
      <c r="FR759" s="15" t="s">
        <v>614</v>
      </c>
      <c r="FS759" s="15" t="s">
        <v>1045</v>
      </c>
      <c r="FT759" s="15">
        <v>0.0</v>
      </c>
      <c r="FU759" s="15" t="s">
        <v>426</v>
      </c>
      <c r="FW759" s="15" t="s">
        <v>616</v>
      </c>
      <c r="GJ759" s="15" t="s">
        <v>2160</v>
      </c>
      <c r="GK759" s="15" t="s">
        <v>8094</v>
      </c>
      <c r="GL759" s="15" t="s">
        <v>8095</v>
      </c>
      <c r="HF759" s="15" t="s">
        <v>1957</v>
      </c>
      <c r="HQ759" s="15" t="s">
        <v>426</v>
      </c>
      <c r="KO759" s="15" t="s">
        <v>2604</v>
      </c>
    </row>
    <row r="760" ht="17.25" customHeight="1">
      <c r="A760" s="15" t="s">
        <v>8099</v>
      </c>
      <c r="B760" s="15" t="str">
        <f>"198394124515"</f>
        <v>198394124515</v>
      </c>
      <c r="C760" s="15" t="s">
        <v>20462</v>
      </c>
      <c r="D760" s="15" t="str">
        <f t="shared" si="1"/>
        <v>Paloma BedSattley FogKing</v>
      </c>
      <c r="E760" s="15" t="s">
        <v>8097</v>
      </c>
      <c r="F760" s="15" t="s">
        <v>397</v>
      </c>
      <c r="G760" s="15" t="s">
        <v>2536</v>
      </c>
      <c r="H760" s="15" t="s">
        <v>265</v>
      </c>
      <c r="I760" s="15" t="s">
        <v>828</v>
      </c>
      <c r="J760" s="15" t="s">
        <v>2536</v>
      </c>
      <c r="M760" s="15" t="s">
        <v>2759</v>
      </c>
      <c r="N760" s="15" t="s">
        <v>839</v>
      </c>
      <c r="O760" s="15" t="s">
        <v>828</v>
      </c>
      <c r="P760" s="15" t="str">
        <f>"88"</f>
        <v>88</v>
      </c>
      <c r="Q760" s="15" t="str">
        <f t="shared" ref="Q760:Q761" si="2164">"93"</f>
        <v>93</v>
      </c>
      <c r="R760" s="15" t="str">
        <f t="shared" ref="R760:R761" si="2165">"45.5"</f>
        <v>45.5</v>
      </c>
      <c r="S760" s="15" t="str">
        <f>"272.27"</f>
        <v>272.27</v>
      </c>
      <c r="T760" s="15" t="s">
        <v>8101</v>
      </c>
      <c r="U760" s="15" t="s">
        <v>12856</v>
      </c>
      <c r="V760" s="15" t="s">
        <v>12857</v>
      </c>
      <c r="AA760" s="15" t="s">
        <v>413</v>
      </c>
      <c r="AB760" s="15" t="s">
        <v>426</v>
      </c>
      <c r="AD760" s="15" t="s">
        <v>20463</v>
      </c>
      <c r="AE760" s="15" t="s">
        <v>8100</v>
      </c>
      <c r="AF760" s="15" t="s">
        <v>20464</v>
      </c>
      <c r="AG760" s="15" t="s">
        <v>20465</v>
      </c>
      <c r="AH760" s="15" t="s">
        <v>20466</v>
      </c>
      <c r="AI760" s="15" t="s">
        <v>20467</v>
      </c>
      <c r="AJ760" s="15" t="s">
        <v>20468</v>
      </c>
      <c r="AK760" s="15" t="s">
        <v>20469</v>
      </c>
      <c r="AL760" s="15" t="s">
        <v>20470</v>
      </c>
      <c r="AM760" s="15" t="s">
        <v>20471</v>
      </c>
      <c r="AN760" s="15" t="s">
        <v>20472</v>
      </c>
      <c r="AO760" s="15" t="s">
        <v>20473</v>
      </c>
      <c r="AP760" s="15" t="s">
        <v>20474</v>
      </c>
      <c r="AQ760" s="15" t="s">
        <v>20475</v>
      </c>
      <c r="AR760" s="15" t="s">
        <v>20476</v>
      </c>
      <c r="AS760" s="15" t="s">
        <v>20477</v>
      </c>
      <c r="AT760" s="15" t="s">
        <v>20478</v>
      </c>
      <c r="AU760" s="15" t="s">
        <v>20479</v>
      </c>
      <c r="AV760" s="15" t="s">
        <v>20480</v>
      </c>
      <c r="AW760" s="15" t="s">
        <v>20481</v>
      </c>
      <c r="AX760" s="15" t="s">
        <v>20482</v>
      </c>
      <c r="AY760" s="15" t="s">
        <v>20483</v>
      </c>
      <c r="AZ760" s="15" t="s">
        <v>20484</v>
      </c>
      <c r="BH760" s="15" t="s">
        <v>8098</v>
      </c>
      <c r="BI760" s="15" t="str">
        <f>"2699"</f>
        <v>2699</v>
      </c>
      <c r="BJ760" s="15" t="str">
        <f>"1135"</f>
        <v>1135</v>
      </c>
      <c r="BK760" s="15" t="s">
        <v>742</v>
      </c>
      <c r="BL760" s="15" t="str">
        <f t="shared" ref="BL760:BL761" si="2166">"3"</f>
        <v>3</v>
      </c>
      <c r="BM760" s="15" t="s">
        <v>6421</v>
      </c>
      <c r="BN760" s="15" t="str">
        <f>"90.16"</f>
        <v>90.16</v>
      </c>
      <c r="BO760" s="15" t="str">
        <f t="shared" ref="BO760:BO761" si="2167">"23.23"</f>
        <v>23.23</v>
      </c>
      <c r="BP760" s="15" t="str">
        <f t="shared" ref="BP760:BP761" si="2168">"49.02"</f>
        <v>49.02</v>
      </c>
      <c r="BQ760" s="15" t="str">
        <f>"157.63"</f>
        <v>157.63</v>
      </c>
      <c r="BR760" s="15" t="s">
        <v>5335</v>
      </c>
      <c r="BS760" s="15" t="str">
        <f t="shared" ref="BS760:BS761" si="2169">"85.63"</f>
        <v>85.63</v>
      </c>
      <c r="BT760" s="15" t="str">
        <f t="shared" ref="BT760:BT761" si="2170">"14.76"</f>
        <v>14.76</v>
      </c>
      <c r="BU760" s="15" t="str">
        <f t="shared" ref="BU760:BU761" si="2171">"18.11"</f>
        <v>18.11</v>
      </c>
      <c r="BV760" s="15" t="str">
        <f>"112.44"</f>
        <v>112.44</v>
      </c>
      <c r="BW760" s="15" t="s">
        <v>6425</v>
      </c>
      <c r="BX760" s="15" t="str">
        <f>"87.4"</f>
        <v>87.4</v>
      </c>
      <c r="BY760" s="15" t="str">
        <f t="shared" ref="BY760:BY761" si="2172">"12.01"</f>
        <v>12.01</v>
      </c>
      <c r="BZ760" s="15" t="str">
        <f t="shared" ref="BZ760:BZ761" si="2173">"13.78"</f>
        <v>13.78</v>
      </c>
      <c r="CA760" s="15" t="str">
        <f>"97"</f>
        <v>97</v>
      </c>
      <c r="CG760" s="15" t="str">
        <f>"81.01"</f>
        <v>81.01</v>
      </c>
      <c r="CH760" s="15" t="str">
        <f>"2.294"</f>
        <v>2.294</v>
      </c>
      <c r="CI760" s="15" t="s">
        <v>417</v>
      </c>
      <c r="CY760" s="15" t="s">
        <v>855</v>
      </c>
      <c r="CZ760" s="15" t="s">
        <v>419</v>
      </c>
      <c r="DA760" s="15">
        <v>0.0</v>
      </c>
      <c r="DB760" s="15" t="s">
        <v>419</v>
      </c>
      <c r="DD760" s="15">
        <v>0.0</v>
      </c>
      <c r="DF760" s="15" t="s">
        <v>3952</v>
      </c>
      <c r="DG760" s="15" t="s">
        <v>419</v>
      </c>
      <c r="DI760" s="15">
        <v>0.0</v>
      </c>
      <c r="DJ760" s="15">
        <v>0.0</v>
      </c>
      <c r="DK760" s="15">
        <v>0.0</v>
      </c>
      <c r="DL760" s="15">
        <v>25000.0</v>
      </c>
      <c r="DS760" s="15" t="s">
        <v>8107</v>
      </c>
      <c r="DU760" s="15" t="s">
        <v>858</v>
      </c>
      <c r="EV760" s="15">
        <v>0.0</v>
      </c>
      <c r="HY760" s="15" t="s">
        <v>8108</v>
      </c>
      <c r="HZ760" s="15" t="s">
        <v>761</v>
      </c>
      <c r="IA760" s="15" t="s">
        <v>2843</v>
      </c>
      <c r="IB760" s="15" t="s">
        <v>8109</v>
      </c>
      <c r="IC760" s="15" t="s">
        <v>8110</v>
      </c>
      <c r="ID760" s="15" t="s">
        <v>8111</v>
      </c>
      <c r="IE760" s="15" t="s">
        <v>2971</v>
      </c>
      <c r="IF760" s="15" t="s">
        <v>8112</v>
      </c>
      <c r="IG760" s="15" t="s">
        <v>869</v>
      </c>
      <c r="IH760" s="15" t="s">
        <v>504</v>
      </c>
      <c r="II760" s="15" t="s">
        <v>8113</v>
      </c>
      <c r="IJ760" s="15" t="s">
        <v>761</v>
      </c>
      <c r="IK760" s="15" t="s">
        <v>426</v>
      </c>
      <c r="IL760" s="15" t="s">
        <v>2973</v>
      </c>
      <c r="IM760" s="15" t="s">
        <v>872</v>
      </c>
      <c r="IN760" s="15" t="s">
        <v>873</v>
      </c>
      <c r="IO760" s="15" t="s">
        <v>828</v>
      </c>
      <c r="IU760" s="15" t="s">
        <v>759</v>
      </c>
      <c r="IV760" s="15" t="s">
        <v>8114</v>
      </c>
      <c r="IX760" s="15" t="s">
        <v>426</v>
      </c>
      <c r="IY760" s="15" t="s">
        <v>2474</v>
      </c>
      <c r="JB760" s="15" t="s">
        <v>3960</v>
      </c>
      <c r="JC760" s="15" t="s">
        <v>8115</v>
      </c>
    </row>
    <row r="761" ht="17.25" customHeight="1">
      <c r="A761" s="15" t="s">
        <v>8117</v>
      </c>
      <c r="B761" s="15" t="str">
        <f>"198394124522"</f>
        <v>198394124522</v>
      </c>
      <c r="C761" s="15" t="s">
        <v>20462</v>
      </c>
      <c r="D761" s="15" t="str">
        <f t="shared" si="1"/>
        <v>Paloma BedSattley FogQueen</v>
      </c>
      <c r="E761" s="15" t="s">
        <v>8097</v>
      </c>
      <c r="F761" s="15" t="s">
        <v>397</v>
      </c>
      <c r="G761" s="15" t="s">
        <v>2536</v>
      </c>
      <c r="H761" s="15" t="s">
        <v>265</v>
      </c>
      <c r="I761" s="15" t="s">
        <v>877</v>
      </c>
      <c r="J761" s="15" t="s">
        <v>2536</v>
      </c>
      <c r="M761" s="15" t="s">
        <v>2759</v>
      </c>
      <c r="N761" s="15" t="s">
        <v>839</v>
      </c>
      <c r="O761" s="15" t="s">
        <v>877</v>
      </c>
      <c r="P761" s="15" t="str">
        <f>"72"</f>
        <v>72</v>
      </c>
      <c r="Q761" s="15" t="str">
        <f t="shared" si="2164"/>
        <v>93</v>
      </c>
      <c r="R761" s="15" t="str">
        <f t="shared" si="2165"/>
        <v>45.5</v>
      </c>
      <c r="S761" s="15" t="str">
        <f>"241.4"</f>
        <v>241.4</v>
      </c>
      <c r="T761" s="15" t="s">
        <v>8101</v>
      </c>
      <c r="U761" s="15" t="s">
        <v>12856</v>
      </c>
      <c r="V761" s="15" t="s">
        <v>12857</v>
      </c>
      <c r="AA761" s="15" t="s">
        <v>413</v>
      </c>
      <c r="AB761" s="15" t="s">
        <v>426</v>
      </c>
      <c r="AD761" s="15" t="s">
        <v>20485</v>
      </c>
      <c r="AE761" s="15" t="s">
        <v>8100</v>
      </c>
      <c r="AF761" s="15" t="s">
        <v>20486</v>
      </c>
      <c r="AG761" s="15" t="s">
        <v>20487</v>
      </c>
      <c r="AH761" s="15" t="s">
        <v>20466</v>
      </c>
      <c r="AI761" s="15" t="s">
        <v>20467</v>
      </c>
      <c r="AJ761" s="15" t="s">
        <v>20488</v>
      </c>
      <c r="AK761" s="15" t="s">
        <v>20489</v>
      </c>
      <c r="AL761" s="15" t="s">
        <v>20490</v>
      </c>
      <c r="AM761" s="15" t="s">
        <v>20471</v>
      </c>
      <c r="AN761" s="15" t="s">
        <v>20491</v>
      </c>
      <c r="AO761" s="15" t="s">
        <v>20473</v>
      </c>
      <c r="AP761" s="15" t="s">
        <v>20474</v>
      </c>
      <c r="AQ761" s="15" t="s">
        <v>20492</v>
      </c>
      <c r="AR761" s="15" t="s">
        <v>20477</v>
      </c>
      <c r="AS761" s="15" t="s">
        <v>20493</v>
      </c>
      <c r="AT761" s="15" t="s">
        <v>20494</v>
      </c>
      <c r="AU761" s="15" t="s">
        <v>20478</v>
      </c>
      <c r="AV761" s="15" t="s">
        <v>20495</v>
      </c>
      <c r="AW761" s="15" t="s">
        <v>20481</v>
      </c>
      <c r="AX761" s="15" t="s">
        <v>20483</v>
      </c>
      <c r="AY761" s="15" t="s">
        <v>20496</v>
      </c>
      <c r="AZ761" s="15" t="s">
        <v>20497</v>
      </c>
      <c r="BA761" s="15" t="s">
        <v>20498</v>
      </c>
      <c r="BH761" s="15" t="s">
        <v>8116</v>
      </c>
      <c r="BI761" s="15" t="str">
        <f>"2399"</f>
        <v>2399</v>
      </c>
      <c r="BJ761" s="15" t="str">
        <f>"1010"</f>
        <v>1010</v>
      </c>
      <c r="BK761" s="15" t="s">
        <v>742</v>
      </c>
      <c r="BL761" s="15" t="str">
        <f t="shared" si="2166"/>
        <v>3</v>
      </c>
      <c r="BM761" s="15" t="s">
        <v>6421</v>
      </c>
      <c r="BN761" s="15" t="str">
        <f>"74.02"</f>
        <v>74.02</v>
      </c>
      <c r="BO761" s="15" t="str">
        <f t="shared" si="2167"/>
        <v>23.23</v>
      </c>
      <c r="BP761" s="15" t="str">
        <f t="shared" si="2168"/>
        <v>49.02</v>
      </c>
      <c r="BQ761" s="15" t="str">
        <f>"123.46"</f>
        <v>123.46</v>
      </c>
      <c r="BR761" s="15" t="s">
        <v>5335</v>
      </c>
      <c r="BS761" s="15" t="str">
        <f t="shared" si="2169"/>
        <v>85.63</v>
      </c>
      <c r="BT761" s="15" t="str">
        <f t="shared" si="2170"/>
        <v>14.76</v>
      </c>
      <c r="BU761" s="15" t="str">
        <f t="shared" si="2171"/>
        <v>18.11</v>
      </c>
      <c r="BV761" s="15" t="str">
        <f>"103.62"</f>
        <v>103.62</v>
      </c>
      <c r="BW761" s="15" t="s">
        <v>6425</v>
      </c>
      <c r="BX761" s="15" t="str">
        <f>"71.26"</f>
        <v>71.26</v>
      </c>
      <c r="BY761" s="15" t="str">
        <f t="shared" si="2172"/>
        <v>12.01</v>
      </c>
      <c r="BZ761" s="15" t="str">
        <f t="shared" si="2173"/>
        <v>13.78</v>
      </c>
      <c r="CA761" s="15" t="str">
        <f>"74.96"</f>
        <v>74.96</v>
      </c>
      <c r="CG761" s="15" t="str">
        <f>"68.83"</f>
        <v>68.83</v>
      </c>
      <c r="CH761" s="15" t="str">
        <f>"1.949"</f>
        <v>1.949</v>
      </c>
      <c r="CI761" s="15" t="s">
        <v>417</v>
      </c>
      <c r="CY761" s="15" t="s">
        <v>855</v>
      </c>
      <c r="CZ761" s="15" t="s">
        <v>419</v>
      </c>
      <c r="DA761" s="15">
        <v>0.0</v>
      </c>
      <c r="DB761" s="15" t="s">
        <v>419</v>
      </c>
      <c r="DD761" s="15">
        <v>0.0</v>
      </c>
      <c r="DF761" s="15" t="s">
        <v>3952</v>
      </c>
      <c r="DG761" s="15" t="s">
        <v>419</v>
      </c>
      <c r="DI761" s="15">
        <v>0.0</v>
      </c>
      <c r="DJ761" s="15">
        <v>0.0</v>
      </c>
      <c r="DK761" s="15">
        <v>0.0</v>
      </c>
      <c r="DL761" s="15">
        <v>25000.0</v>
      </c>
      <c r="DS761" s="15" t="s">
        <v>8107</v>
      </c>
      <c r="DU761" s="15" t="s">
        <v>858</v>
      </c>
      <c r="EV761" s="15">
        <v>0.0</v>
      </c>
      <c r="HY761" s="15" t="s">
        <v>8108</v>
      </c>
      <c r="HZ761" s="15" t="s">
        <v>761</v>
      </c>
      <c r="IA761" s="15" t="s">
        <v>8119</v>
      </c>
      <c r="IB761" s="15" t="s">
        <v>8109</v>
      </c>
      <c r="IC761" s="15" t="s">
        <v>8110</v>
      </c>
      <c r="ID761" s="15" t="s">
        <v>8120</v>
      </c>
      <c r="IE761" s="15" t="s">
        <v>2971</v>
      </c>
      <c r="IF761" s="15" t="s">
        <v>8112</v>
      </c>
      <c r="IG761" s="15" t="s">
        <v>890</v>
      </c>
      <c r="IH761" s="15" t="s">
        <v>504</v>
      </c>
      <c r="II761" s="15" t="s">
        <v>8113</v>
      </c>
      <c r="IJ761" s="15" t="s">
        <v>761</v>
      </c>
      <c r="IK761" s="15" t="s">
        <v>426</v>
      </c>
      <c r="IL761" s="15" t="s">
        <v>2973</v>
      </c>
      <c r="IM761" s="15" t="s">
        <v>872</v>
      </c>
      <c r="IN761" s="15" t="s">
        <v>873</v>
      </c>
      <c r="IO761" s="15" t="s">
        <v>877</v>
      </c>
      <c r="IU761" s="15" t="s">
        <v>759</v>
      </c>
      <c r="IV761" s="15" t="s">
        <v>8114</v>
      </c>
      <c r="IX761" s="15" t="s">
        <v>426</v>
      </c>
      <c r="IY761" s="15" t="s">
        <v>2474</v>
      </c>
      <c r="JB761" s="15" t="s">
        <v>3960</v>
      </c>
      <c r="JC761" s="15" t="s">
        <v>8121</v>
      </c>
    </row>
    <row r="762" ht="17.25" customHeight="1">
      <c r="A762" s="15" t="s">
        <v>8125</v>
      </c>
      <c r="B762" s="15" t="str">
        <f>"801542133504"</f>
        <v>801542133504</v>
      </c>
      <c r="C762" s="15" t="s">
        <v>20499</v>
      </c>
      <c r="D762" s="15" t="str">
        <f t="shared" si="1"/>
        <v>Papile ChairCream Shearling</v>
      </c>
      <c r="E762" s="15" t="s">
        <v>8122</v>
      </c>
      <c r="F762" s="15" t="s">
        <v>397</v>
      </c>
      <c r="G762" s="15" t="s">
        <v>8124</v>
      </c>
      <c r="J762" s="15" t="s">
        <v>8124</v>
      </c>
      <c r="K762" s="15" t="s">
        <v>3902</v>
      </c>
      <c r="M762" s="15" t="s">
        <v>2492</v>
      </c>
      <c r="N762" s="15" t="s">
        <v>706</v>
      </c>
      <c r="O762" s="15" t="s">
        <v>707</v>
      </c>
      <c r="P762" s="15" t="str">
        <f>"28.25"</f>
        <v>28.25</v>
      </c>
      <c r="Q762" s="15" t="str">
        <f>"32"</f>
        <v>32</v>
      </c>
      <c r="R762" s="15" t="str">
        <f>"30.25"</f>
        <v>30.25</v>
      </c>
      <c r="S762" s="15" t="str">
        <f>"30.86"</f>
        <v>30.86</v>
      </c>
      <c r="T762" s="15" t="s">
        <v>8128</v>
      </c>
      <c r="U762" s="15" t="s">
        <v>20500</v>
      </c>
      <c r="V762" s="15" t="s">
        <v>11338</v>
      </c>
      <c r="AA762" s="15" t="s">
        <v>413</v>
      </c>
      <c r="AB762" s="15" t="s">
        <v>413</v>
      </c>
      <c r="AC762" s="15" t="s">
        <v>8129</v>
      </c>
      <c r="AD762" s="15" t="s">
        <v>20501</v>
      </c>
      <c r="AE762" s="15" t="s">
        <v>8127</v>
      </c>
      <c r="AF762" s="15" t="s">
        <v>20502</v>
      </c>
      <c r="AG762" s="15" t="s">
        <v>20503</v>
      </c>
      <c r="AH762" s="15" t="s">
        <v>20504</v>
      </c>
      <c r="AI762" s="15" t="s">
        <v>20505</v>
      </c>
      <c r="AJ762" s="15" t="s">
        <v>20506</v>
      </c>
      <c r="AK762" s="15" t="s">
        <v>20507</v>
      </c>
      <c r="AL762" s="15" t="s">
        <v>20508</v>
      </c>
      <c r="AM762" s="15" t="s">
        <v>20509</v>
      </c>
      <c r="AN762" s="15" t="s">
        <v>20510</v>
      </c>
      <c r="AO762" s="15" t="s">
        <v>20511</v>
      </c>
      <c r="AP762" s="15" t="s">
        <v>20512</v>
      </c>
      <c r="AQ762" s="15" t="s">
        <v>20513</v>
      </c>
      <c r="BH762" s="15" t="s">
        <v>8123</v>
      </c>
      <c r="BI762" s="15" t="str">
        <f>"2099"</f>
        <v>2099</v>
      </c>
      <c r="BJ762" s="15" t="str">
        <f>"885"</f>
        <v>885</v>
      </c>
      <c r="BK762" s="15" t="s">
        <v>709</v>
      </c>
      <c r="BL762" s="15" t="str">
        <f t="shared" ref="BL762:BL773" si="2174">"1"</f>
        <v>1</v>
      </c>
      <c r="BM762" s="15" t="s">
        <v>1477</v>
      </c>
      <c r="BN762" s="15" t="str">
        <f>"29.53"</f>
        <v>29.53</v>
      </c>
      <c r="BO762" s="15" t="str">
        <f>"33.07"</f>
        <v>33.07</v>
      </c>
      <c r="BP762" s="15" t="str">
        <f>"34.65"</f>
        <v>34.65</v>
      </c>
      <c r="BQ762" s="15" t="str">
        <f>"51.59"</f>
        <v>51.59</v>
      </c>
      <c r="CG762" s="15" t="str">
        <f>"17.52"</f>
        <v>17.52</v>
      </c>
      <c r="CH762" s="15" t="str">
        <f>"0.496"</f>
        <v>0.496</v>
      </c>
      <c r="CI762" s="15" t="s">
        <v>465</v>
      </c>
      <c r="CS762" s="15" t="s">
        <v>2647</v>
      </c>
      <c r="CT762" s="15" t="s">
        <v>6018</v>
      </c>
      <c r="CV762" s="15">
        <v>0.0</v>
      </c>
      <c r="CW762" s="15">
        <v>1.0</v>
      </c>
      <c r="CX762" s="15" t="s">
        <v>717</v>
      </c>
      <c r="CY762" s="15" t="s">
        <v>718</v>
      </c>
      <c r="DF762" s="15" t="s">
        <v>1111</v>
      </c>
      <c r="DG762" s="15" t="s">
        <v>419</v>
      </c>
      <c r="DH762" s="15">
        <v>0.0</v>
      </c>
      <c r="DL762" s="15">
        <v>15000.0</v>
      </c>
      <c r="DM762" s="15" t="s">
        <v>722</v>
      </c>
      <c r="DN762" s="15" t="s">
        <v>1016</v>
      </c>
      <c r="DP762" s="15">
        <v>1.0</v>
      </c>
      <c r="DQ762" s="15">
        <v>1.0</v>
      </c>
      <c r="DS762" s="15" t="s">
        <v>8131</v>
      </c>
      <c r="DT762" s="15">
        <v>0.0</v>
      </c>
      <c r="DU762" s="15" t="s">
        <v>726</v>
      </c>
      <c r="DV762" s="15" t="s">
        <v>1211</v>
      </c>
      <c r="DW762" s="15" t="s">
        <v>2736</v>
      </c>
      <c r="DX762" s="15" t="s">
        <v>5536</v>
      </c>
      <c r="EB762" s="15" t="s">
        <v>635</v>
      </c>
      <c r="EF762" s="15" t="s">
        <v>6046</v>
      </c>
      <c r="EG762" s="15" t="s">
        <v>8132</v>
      </c>
      <c r="EH762" s="15" t="s">
        <v>2837</v>
      </c>
      <c r="EI762" s="15" t="s">
        <v>1288</v>
      </c>
      <c r="EL762" s="15" t="s">
        <v>1016</v>
      </c>
      <c r="EM762" s="15" t="s">
        <v>1701</v>
      </c>
      <c r="EO762" s="15" t="s">
        <v>2502</v>
      </c>
      <c r="EX762" s="15" t="s">
        <v>2732</v>
      </c>
      <c r="EY762" s="15" t="s">
        <v>525</v>
      </c>
      <c r="EZ762" s="15">
        <v>0.0</v>
      </c>
      <c r="FA762" s="15">
        <v>0.0</v>
      </c>
      <c r="FC762" s="15">
        <v>0.0</v>
      </c>
    </row>
    <row r="763" ht="17.25" customHeight="1">
      <c r="A763" s="15" t="s">
        <v>8135</v>
      </c>
      <c r="B763" s="15" t="str">
        <f>"801542621100"</f>
        <v>801542621100</v>
      </c>
      <c r="C763" s="15" t="s">
        <v>20514</v>
      </c>
      <c r="D763" s="15" t="str">
        <f t="shared" si="1"/>
        <v>Parker TrunkOrly Natural</v>
      </c>
      <c r="E763" s="15" t="s">
        <v>8133</v>
      </c>
      <c r="F763" s="15" t="s">
        <v>397</v>
      </c>
      <c r="G763" s="15" t="s">
        <v>1652</v>
      </c>
      <c r="J763" s="15" t="s">
        <v>1652</v>
      </c>
      <c r="M763" s="15" t="s">
        <v>2492</v>
      </c>
      <c r="N763" s="15" t="s">
        <v>4009</v>
      </c>
      <c r="P763" s="15" t="str">
        <f>"55"</f>
        <v>55</v>
      </c>
      <c r="Q763" s="15" t="str">
        <f>"16"</f>
        <v>16</v>
      </c>
      <c r="R763" s="15" t="str">
        <f>"20"</f>
        <v>20</v>
      </c>
      <c r="S763" s="15" t="str">
        <f>"41.3"</f>
        <v>41.3</v>
      </c>
      <c r="T763" s="15" t="s">
        <v>1655</v>
      </c>
      <c r="U763" s="15" t="s">
        <v>11209</v>
      </c>
      <c r="AA763" s="15" t="s">
        <v>413</v>
      </c>
      <c r="AB763" s="15" t="s">
        <v>413</v>
      </c>
      <c r="AC763" s="15" t="s">
        <v>8138</v>
      </c>
      <c r="AD763" s="15" t="s">
        <v>20515</v>
      </c>
      <c r="AE763" s="15" t="s">
        <v>8137</v>
      </c>
      <c r="AF763" s="15" t="s">
        <v>20516</v>
      </c>
      <c r="AG763" s="15" t="s">
        <v>20517</v>
      </c>
      <c r="AH763" s="15" t="s">
        <v>20518</v>
      </c>
      <c r="AI763" s="15" t="s">
        <v>20519</v>
      </c>
      <c r="AJ763" s="15" t="s">
        <v>20520</v>
      </c>
      <c r="AK763" s="15" t="s">
        <v>20521</v>
      </c>
      <c r="AL763" s="15" t="s">
        <v>20522</v>
      </c>
      <c r="AM763" s="15" t="s">
        <v>20523</v>
      </c>
      <c r="AN763" s="15" t="s">
        <v>20524</v>
      </c>
      <c r="AO763" s="15" t="s">
        <v>20525</v>
      </c>
      <c r="BH763" s="15" t="s">
        <v>8134</v>
      </c>
      <c r="BI763" s="15" t="str">
        <f>"749"</f>
        <v>749</v>
      </c>
      <c r="BJ763" s="15" t="str">
        <f>"315"</f>
        <v>315</v>
      </c>
      <c r="BK763" s="15" t="s">
        <v>709</v>
      </c>
      <c r="BL763" s="15" t="str">
        <f t="shared" si="2174"/>
        <v>1</v>
      </c>
      <c r="BM763" s="15" t="s">
        <v>416</v>
      </c>
      <c r="BN763" s="15" t="str">
        <f>"56.5"</f>
        <v>56.5</v>
      </c>
      <c r="BO763" s="15" t="str">
        <f>"17.72"</f>
        <v>17.72</v>
      </c>
      <c r="BP763" s="15" t="str">
        <f>"21.65"</f>
        <v>21.65</v>
      </c>
      <c r="BQ763" s="15" t="str">
        <f>"57.1"</f>
        <v>57.1</v>
      </c>
      <c r="CG763" s="15" t="str">
        <f>"12.54"</f>
        <v>12.54</v>
      </c>
      <c r="CH763" s="15" t="str">
        <f>"0.355"</f>
        <v>0.355</v>
      </c>
      <c r="CI763" s="15" t="s">
        <v>465</v>
      </c>
      <c r="CY763" s="15" t="s">
        <v>855</v>
      </c>
      <c r="DF763" s="15" t="s">
        <v>989</v>
      </c>
      <c r="DG763" s="15" t="s">
        <v>419</v>
      </c>
      <c r="DL763" s="15">
        <v>25000.0</v>
      </c>
      <c r="DM763" s="15" t="s">
        <v>470</v>
      </c>
      <c r="DS763" s="15" t="s">
        <v>8140</v>
      </c>
      <c r="EF763" s="15" t="s">
        <v>870</v>
      </c>
      <c r="EO763" s="15" t="s">
        <v>2502</v>
      </c>
      <c r="FS763" s="15" t="s">
        <v>786</v>
      </c>
      <c r="HR763" s="15" t="s">
        <v>4181</v>
      </c>
      <c r="HS763" s="15" t="s">
        <v>2026</v>
      </c>
      <c r="HT763" s="15" t="s">
        <v>2467</v>
      </c>
    </row>
    <row r="764" ht="17.25" customHeight="1">
      <c r="A764" s="15" t="s">
        <v>8144</v>
      </c>
      <c r="B764" s="15" t="str">
        <f>"801542296148"</f>
        <v>801542296148</v>
      </c>
      <c r="C764" s="15" t="s">
        <v>20526</v>
      </c>
      <c r="D764" s="15" t="str">
        <f t="shared" si="1"/>
        <v>Pascal Coffee TableLight Natural</v>
      </c>
      <c r="E764" s="15" t="s">
        <v>8141</v>
      </c>
      <c r="F764" s="15" t="s">
        <v>397</v>
      </c>
      <c r="G764" s="15" t="s">
        <v>8143</v>
      </c>
      <c r="J764" s="15" t="s">
        <v>8143</v>
      </c>
      <c r="M764" s="15" t="s">
        <v>6785</v>
      </c>
      <c r="N764" s="15" t="s">
        <v>491</v>
      </c>
      <c r="P764" s="15" t="str">
        <f t="shared" ref="P764:Q764" si="2175">"42"</f>
        <v>42</v>
      </c>
      <c r="Q764" s="15" t="str">
        <f t="shared" si="2175"/>
        <v>42</v>
      </c>
      <c r="R764" s="15" t="str">
        <f>"15.5"</f>
        <v>15.5</v>
      </c>
      <c r="S764" s="15" t="str">
        <f>"35.71"</f>
        <v>35.71</v>
      </c>
      <c r="T764" s="15" t="s">
        <v>8147</v>
      </c>
      <c r="U764" s="15" t="s">
        <v>20527</v>
      </c>
      <c r="AA764" s="15" t="s">
        <v>413</v>
      </c>
      <c r="AB764" s="15" t="s">
        <v>413</v>
      </c>
      <c r="AC764" s="15" t="s">
        <v>8148</v>
      </c>
      <c r="AD764" s="15" t="s">
        <v>20528</v>
      </c>
      <c r="AE764" s="15" t="s">
        <v>8146</v>
      </c>
      <c r="AF764" s="15" t="s">
        <v>20529</v>
      </c>
      <c r="AG764" s="15" t="s">
        <v>20530</v>
      </c>
      <c r="AH764" s="15" t="s">
        <v>20531</v>
      </c>
      <c r="AI764" s="15" t="s">
        <v>20532</v>
      </c>
      <c r="AJ764" s="15" t="s">
        <v>20533</v>
      </c>
      <c r="AK764" s="15" t="s">
        <v>20534</v>
      </c>
      <c r="AL764" s="15" t="s">
        <v>20535</v>
      </c>
      <c r="BH764" s="15" t="s">
        <v>8142</v>
      </c>
      <c r="BI764" s="15" t="str">
        <f>"999"</f>
        <v>999</v>
      </c>
      <c r="BJ764" s="15" t="str">
        <f>"420"</f>
        <v>420</v>
      </c>
      <c r="BK764" s="15" t="s">
        <v>1181</v>
      </c>
      <c r="BL764" s="15" t="str">
        <f t="shared" si="2174"/>
        <v>1</v>
      </c>
      <c r="BM764" s="15" t="s">
        <v>416</v>
      </c>
      <c r="BN764" s="15" t="str">
        <f t="shared" ref="BN764:BO764" si="2176">"46"</f>
        <v>46</v>
      </c>
      <c r="BO764" s="15" t="str">
        <f t="shared" si="2176"/>
        <v>46</v>
      </c>
      <c r="BP764" s="15" t="str">
        <f>"19"</f>
        <v>19</v>
      </c>
      <c r="BQ764" s="15" t="str">
        <f>"54.67"</f>
        <v>54.67</v>
      </c>
      <c r="CG764" s="15" t="str">
        <f>"23.27"</f>
        <v>23.27</v>
      </c>
      <c r="CH764" s="15" t="str">
        <f>"0.659"</f>
        <v>0.659</v>
      </c>
      <c r="CI764" s="15" t="s">
        <v>497</v>
      </c>
      <c r="CY764" s="15" t="s">
        <v>718</v>
      </c>
      <c r="CZ764" s="15" t="s">
        <v>419</v>
      </c>
      <c r="DA764" s="15">
        <v>0.0</v>
      </c>
      <c r="DB764" s="15" t="s">
        <v>419</v>
      </c>
      <c r="DD764" s="15">
        <v>0.0</v>
      </c>
      <c r="DF764" s="15" t="s">
        <v>989</v>
      </c>
      <c r="DG764" s="15" t="s">
        <v>419</v>
      </c>
      <c r="DK764" s="15">
        <v>0.0</v>
      </c>
      <c r="DL764" s="15">
        <v>0.0</v>
      </c>
      <c r="DR764" s="15" t="s">
        <v>1157</v>
      </c>
      <c r="DS764" s="15" t="s">
        <v>8149</v>
      </c>
      <c r="DU764" s="15" t="s">
        <v>500</v>
      </c>
      <c r="EF764" s="15" t="s">
        <v>1808</v>
      </c>
      <c r="EQ764" s="15" t="s">
        <v>3332</v>
      </c>
      <c r="ER764" s="15" t="s">
        <v>1160</v>
      </c>
      <c r="ES764" s="15" t="s">
        <v>3332</v>
      </c>
      <c r="ET764" s="15" t="s">
        <v>1807</v>
      </c>
      <c r="EV764" s="15">
        <v>0.0</v>
      </c>
      <c r="EW764" s="15">
        <v>0.0</v>
      </c>
    </row>
    <row r="765" ht="17.25" customHeight="1">
      <c r="A765" s="15" t="s">
        <v>8153</v>
      </c>
      <c r="B765" s="15" t="str">
        <f>"801542146320"</f>
        <v>801542146320</v>
      </c>
      <c r="C765" s="15" t="s">
        <v>20536</v>
      </c>
      <c r="D765" s="15" t="str">
        <f t="shared" si="1"/>
        <v>Paul Swivel ChairRaleigh Cigar</v>
      </c>
      <c r="E765" s="15" t="s">
        <v>8150</v>
      </c>
      <c r="F765" s="15" t="s">
        <v>397</v>
      </c>
      <c r="G765" s="15" t="s">
        <v>8152</v>
      </c>
      <c r="J765" s="15" t="s">
        <v>8152</v>
      </c>
      <c r="M765" s="15" t="s">
        <v>915</v>
      </c>
      <c r="N765" s="15" t="s">
        <v>706</v>
      </c>
      <c r="O765" s="15" t="s">
        <v>707</v>
      </c>
      <c r="P765" s="15" t="str">
        <f>"37.5"</f>
        <v>37.5</v>
      </c>
      <c r="Q765" s="15" t="str">
        <f>"38.75"</f>
        <v>38.75</v>
      </c>
      <c r="R765" s="15" t="str">
        <f>"29.75"</f>
        <v>29.75</v>
      </c>
      <c r="S765" s="15" t="str">
        <f>"88.18"</f>
        <v>88.18</v>
      </c>
      <c r="T765" s="15" t="s">
        <v>1600</v>
      </c>
      <c r="U765" s="15" t="s">
        <v>11137</v>
      </c>
      <c r="AA765" s="15" t="s">
        <v>413</v>
      </c>
      <c r="AB765" s="15" t="s">
        <v>413</v>
      </c>
      <c r="AC765" s="15" t="s">
        <v>8155</v>
      </c>
      <c r="AD765" s="15" t="s">
        <v>20537</v>
      </c>
      <c r="AE765" s="15" t="s">
        <v>8154</v>
      </c>
      <c r="AF765" s="15" t="s">
        <v>20538</v>
      </c>
      <c r="AG765" s="15" t="s">
        <v>20539</v>
      </c>
      <c r="AH765" s="15" t="s">
        <v>20539</v>
      </c>
      <c r="AI765" s="15" t="s">
        <v>20540</v>
      </c>
      <c r="AJ765" s="15" t="s">
        <v>20541</v>
      </c>
      <c r="AK765" s="15" t="s">
        <v>20542</v>
      </c>
      <c r="AL765" s="15" t="s">
        <v>20543</v>
      </c>
      <c r="AM765" s="15" t="s">
        <v>20544</v>
      </c>
      <c r="AN765" s="15" t="s">
        <v>20545</v>
      </c>
      <c r="AO765" s="15" t="s">
        <v>20546</v>
      </c>
      <c r="AP765" s="15" t="s">
        <v>20547</v>
      </c>
      <c r="AQ765" s="15" t="s">
        <v>20548</v>
      </c>
      <c r="AR765" s="15" t="s">
        <v>20549</v>
      </c>
      <c r="BH765" s="15" t="s">
        <v>8151</v>
      </c>
      <c r="BI765" s="15" t="str">
        <f>"2699"</f>
        <v>2699</v>
      </c>
      <c r="BJ765" s="15" t="str">
        <f>"1135"</f>
        <v>1135</v>
      </c>
      <c r="BK765" s="15" t="s">
        <v>709</v>
      </c>
      <c r="BL765" s="15" t="str">
        <f t="shared" si="2174"/>
        <v>1</v>
      </c>
      <c r="BM765" s="15" t="s">
        <v>416</v>
      </c>
      <c r="BN765" s="15" t="str">
        <f>"38.58"</f>
        <v>38.58</v>
      </c>
      <c r="BO765" s="15" t="str">
        <f>"38.19"</f>
        <v>38.19</v>
      </c>
      <c r="BP765" s="15" t="str">
        <f>"30.71"</f>
        <v>30.71</v>
      </c>
      <c r="BQ765" s="15" t="str">
        <f>"101.41"</f>
        <v>101.41</v>
      </c>
      <c r="CG765" s="15" t="str">
        <f>"26.17"</f>
        <v>26.17</v>
      </c>
      <c r="CH765" s="15" t="str">
        <f>"0.741"</f>
        <v>0.741</v>
      </c>
      <c r="CI765" s="15" t="s">
        <v>497</v>
      </c>
      <c r="CP765" s="15" t="s">
        <v>2384</v>
      </c>
      <c r="CQ765" s="15" t="s">
        <v>2116</v>
      </c>
      <c r="CR765" s="15" t="s">
        <v>3336</v>
      </c>
      <c r="CS765" s="15" t="s">
        <v>2384</v>
      </c>
      <c r="CT765" s="15" t="s">
        <v>6018</v>
      </c>
      <c r="CV765" s="15">
        <v>0.0</v>
      </c>
      <c r="CW765" s="15">
        <v>0.0</v>
      </c>
      <c r="CX765" s="15" t="s">
        <v>717</v>
      </c>
      <c r="CY765" s="15" t="s">
        <v>718</v>
      </c>
      <c r="DF765" s="15" t="s">
        <v>721</v>
      </c>
      <c r="DG765" s="15" t="s">
        <v>1605</v>
      </c>
      <c r="DH765" s="15">
        <v>0.0</v>
      </c>
      <c r="DL765" s="15">
        <v>0.0</v>
      </c>
      <c r="DM765" s="15" t="s">
        <v>990</v>
      </c>
      <c r="DN765" s="15" t="s">
        <v>2927</v>
      </c>
      <c r="DO765" s="15" t="s">
        <v>3514</v>
      </c>
      <c r="DP765" s="15">
        <v>1.0</v>
      </c>
      <c r="DQ765" s="15">
        <v>1.0</v>
      </c>
      <c r="DS765" s="15" t="s">
        <v>8156</v>
      </c>
      <c r="DT765" s="15">
        <v>0.0</v>
      </c>
      <c r="DU765" s="15" t="s">
        <v>726</v>
      </c>
      <c r="DV765" s="15" t="s">
        <v>1330</v>
      </c>
      <c r="DW765" s="15" t="s">
        <v>3498</v>
      </c>
      <c r="DX765" s="15" t="s">
        <v>525</v>
      </c>
      <c r="EB765" s="15" t="s">
        <v>2116</v>
      </c>
      <c r="EF765" s="15" t="s">
        <v>784</v>
      </c>
      <c r="EI765" s="15" t="s">
        <v>1329</v>
      </c>
      <c r="EO765" s="15" t="s">
        <v>860</v>
      </c>
      <c r="EX765" s="15" t="s">
        <v>1211</v>
      </c>
      <c r="EY765" s="15" t="s">
        <v>3336</v>
      </c>
      <c r="EZ765" s="15">
        <v>0.0</v>
      </c>
      <c r="FA765" s="15">
        <v>0.0</v>
      </c>
      <c r="FB765" s="15" t="s">
        <v>3362</v>
      </c>
      <c r="FC765" s="15">
        <v>0.0</v>
      </c>
      <c r="HU765" s="15" t="s">
        <v>1610</v>
      </c>
    </row>
    <row r="766" ht="17.25" customHeight="1">
      <c r="A766" s="15" t="s">
        <v>8160</v>
      </c>
      <c r="B766" s="15" t="str">
        <f>"198394060189"</f>
        <v>198394060189</v>
      </c>
      <c r="C766" s="15" t="s">
        <v>20550</v>
      </c>
      <c r="D766" s="15" t="str">
        <f t="shared" si="1"/>
        <v>Perot 6 Drawer DresserLight Blonde Pine</v>
      </c>
      <c r="E766" s="15" t="s">
        <v>8157</v>
      </c>
      <c r="F766" s="15" t="s">
        <v>397</v>
      </c>
      <c r="G766" s="15" t="s">
        <v>8159</v>
      </c>
      <c r="J766" s="15" t="s">
        <v>8159</v>
      </c>
      <c r="M766" s="15" t="s">
        <v>1896</v>
      </c>
      <c r="N766" s="15" t="s">
        <v>412</v>
      </c>
      <c r="P766" s="15" t="str">
        <f>"76"</f>
        <v>76</v>
      </c>
      <c r="Q766" s="15" t="str">
        <f>"23"</f>
        <v>23</v>
      </c>
      <c r="R766" s="15" t="str">
        <f>"32.25"</f>
        <v>32.25</v>
      </c>
      <c r="S766" s="15" t="str">
        <f>"211.644"</f>
        <v>211.644</v>
      </c>
      <c r="T766" s="15" t="s">
        <v>2036</v>
      </c>
      <c r="U766" s="15" t="s">
        <v>12377</v>
      </c>
      <c r="AA766" s="15" t="s">
        <v>413</v>
      </c>
      <c r="AB766" s="15" t="s">
        <v>413</v>
      </c>
      <c r="AC766" s="15" t="s">
        <v>8163</v>
      </c>
      <c r="AD766" s="15" t="s">
        <v>20551</v>
      </c>
      <c r="AE766" s="15" t="s">
        <v>8162</v>
      </c>
      <c r="AF766" s="15" t="s">
        <v>20552</v>
      </c>
      <c r="AG766" s="15" t="s">
        <v>20553</v>
      </c>
      <c r="AH766" s="15" t="s">
        <v>20554</v>
      </c>
      <c r="AI766" s="15" t="s">
        <v>20555</v>
      </c>
      <c r="AJ766" s="15" t="s">
        <v>20556</v>
      </c>
      <c r="AK766" s="15" t="s">
        <v>20557</v>
      </c>
      <c r="AL766" s="15" t="s">
        <v>20558</v>
      </c>
      <c r="AM766" s="15" t="s">
        <v>20559</v>
      </c>
      <c r="AN766" s="15" t="s">
        <v>20560</v>
      </c>
      <c r="AO766" s="15" t="s">
        <v>20561</v>
      </c>
      <c r="AP766" s="15" t="s">
        <v>20562</v>
      </c>
      <c r="AQ766" s="15" t="s">
        <v>20563</v>
      </c>
      <c r="AR766" s="15" t="s">
        <v>20564</v>
      </c>
      <c r="BH766" s="15" t="s">
        <v>8158</v>
      </c>
      <c r="BI766" s="15" t="str">
        <f>"2399"</f>
        <v>2399</v>
      </c>
      <c r="BJ766" s="15" t="str">
        <f>"1010"</f>
        <v>1010</v>
      </c>
      <c r="BK766" s="15" t="s">
        <v>742</v>
      </c>
      <c r="BL766" s="15" t="str">
        <f t="shared" si="2174"/>
        <v>1</v>
      </c>
      <c r="BM766" s="15" t="s">
        <v>416</v>
      </c>
      <c r="BN766" s="15" t="str">
        <f>"81.1"</f>
        <v>81.1</v>
      </c>
      <c r="BO766" s="15" t="str">
        <f>"28.15"</f>
        <v>28.15</v>
      </c>
      <c r="BP766" s="15" t="str">
        <f>"39.57"</f>
        <v>39.57</v>
      </c>
      <c r="BQ766" s="15" t="str">
        <f>"255.74"</f>
        <v>255.74</v>
      </c>
      <c r="CG766" s="15" t="str">
        <f>"52.27"</f>
        <v>52.27</v>
      </c>
      <c r="CH766" s="15" t="str">
        <f>"1.48"</f>
        <v>1.48</v>
      </c>
      <c r="CI766" s="15" t="s">
        <v>465</v>
      </c>
      <c r="CZ766" s="15" t="s">
        <v>418</v>
      </c>
      <c r="DA766" s="15">
        <v>6.0</v>
      </c>
      <c r="DB766" s="15" t="s">
        <v>419</v>
      </c>
      <c r="DD766" s="15">
        <v>0.0</v>
      </c>
      <c r="DF766" s="15" t="s">
        <v>2048</v>
      </c>
      <c r="DG766" s="15" t="s">
        <v>421</v>
      </c>
      <c r="DK766" s="15">
        <v>0.0</v>
      </c>
      <c r="DR766" s="15" t="s">
        <v>422</v>
      </c>
      <c r="DS766" s="15" t="s">
        <v>8165</v>
      </c>
      <c r="DU766" s="15" t="s">
        <v>424</v>
      </c>
      <c r="EF766" s="15" t="s">
        <v>2050</v>
      </c>
      <c r="EU766" s="15" t="s">
        <v>426</v>
      </c>
      <c r="EV766" s="15">
        <v>0.0</v>
      </c>
      <c r="FQ766" s="15">
        <v>0.0</v>
      </c>
      <c r="FR766" s="15" t="s">
        <v>427</v>
      </c>
      <c r="FZ766" s="15" t="s">
        <v>1931</v>
      </c>
      <c r="GB766" s="15" t="s">
        <v>8166</v>
      </c>
      <c r="GD766" s="15" t="s">
        <v>8167</v>
      </c>
      <c r="GF766" s="15" t="s">
        <v>8168</v>
      </c>
      <c r="GH766" s="15" t="s">
        <v>764</v>
      </c>
    </row>
    <row r="767" ht="17.25" customHeight="1">
      <c r="A767" s="15" t="s">
        <v>8171</v>
      </c>
      <c r="B767" s="15" t="str">
        <f>"198394060219"</f>
        <v>198394060219</v>
      </c>
      <c r="C767" s="15" t="s">
        <v>20565</v>
      </c>
      <c r="D767" s="15" t="str">
        <f t="shared" si="1"/>
        <v>Perot Console TableLight Blonde Pine</v>
      </c>
      <c r="E767" s="15" t="s">
        <v>8169</v>
      </c>
      <c r="F767" s="15" t="s">
        <v>397</v>
      </c>
      <c r="G767" s="15" t="s">
        <v>8159</v>
      </c>
      <c r="J767" s="15" t="s">
        <v>8159</v>
      </c>
      <c r="M767" s="15" t="s">
        <v>1896</v>
      </c>
      <c r="N767" s="15" t="s">
        <v>519</v>
      </c>
      <c r="P767" s="15" t="str">
        <f>"78"</f>
        <v>78</v>
      </c>
      <c r="Q767" s="15" t="str">
        <f>"18"</f>
        <v>18</v>
      </c>
      <c r="R767" s="15" t="str">
        <f>"32"</f>
        <v>32</v>
      </c>
      <c r="S767" s="15" t="str">
        <f>"88.18"</f>
        <v>88.18</v>
      </c>
      <c r="T767" s="15" t="s">
        <v>2036</v>
      </c>
      <c r="U767" s="15" t="s">
        <v>12377</v>
      </c>
      <c r="AA767" s="15" t="s">
        <v>413</v>
      </c>
      <c r="AB767" s="15" t="s">
        <v>413</v>
      </c>
      <c r="AC767" s="15" t="s">
        <v>8173</v>
      </c>
      <c r="AD767" s="15" t="s">
        <v>20566</v>
      </c>
      <c r="AE767" s="15" t="s">
        <v>8172</v>
      </c>
      <c r="AF767" s="15" t="s">
        <v>20567</v>
      </c>
      <c r="AG767" s="15" t="s">
        <v>20568</v>
      </c>
      <c r="AH767" s="15" t="s">
        <v>20569</v>
      </c>
      <c r="AI767" s="15" t="s">
        <v>20570</v>
      </c>
      <c r="AJ767" s="15" t="s">
        <v>20571</v>
      </c>
      <c r="AK767" s="15" t="s">
        <v>20572</v>
      </c>
      <c r="AL767" s="15" t="s">
        <v>20573</v>
      </c>
      <c r="AM767" s="15" t="s">
        <v>20574</v>
      </c>
      <c r="AN767" s="15" t="s">
        <v>20575</v>
      </c>
      <c r="BH767" s="15" t="s">
        <v>8170</v>
      </c>
      <c r="BI767" s="15" t="str">
        <f>"1049"</f>
        <v>1049</v>
      </c>
      <c r="BJ767" s="15" t="str">
        <f>"445"</f>
        <v>445</v>
      </c>
      <c r="BK767" s="15" t="s">
        <v>742</v>
      </c>
      <c r="BL767" s="15" t="str">
        <f t="shared" si="2174"/>
        <v>1</v>
      </c>
      <c r="BM767" s="15" t="s">
        <v>416</v>
      </c>
      <c r="BN767" s="15" t="str">
        <f>"82.09"</f>
        <v>82.09</v>
      </c>
      <c r="BO767" s="15" t="str">
        <f>"21.85"</f>
        <v>21.85</v>
      </c>
      <c r="BP767" s="15" t="str">
        <f>"22.05"</f>
        <v>22.05</v>
      </c>
      <c r="BQ767" s="15" t="str">
        <f>"125.66"</f>
        <v>125.66</v>
      </c>
      <c r="CG767" s="15" t="str">
        <f>"22.88"</f>
        <v>22.88</v>
      </c>
      <c r="CH767" s="15" t="str">
        <f>"0.648"</f>
        <v>0.648</v>
      </c>
      <c r="CI767" s="15" t="s">
        <v>465</v>
      </c>
      <c r="CZ767" s="15" t="s">
        <v>419</v>
      </c>
      <c r="DA767" s="15">
        <v>0.0</v>
      </c>
      <c r="DB767" s="15" t="s">
        <v>419</v>
      </c>
      <c r="DD767" s="15">
        <v>0.0</v>
      </c>
      <c r="DF767" s="15" t="s">
        <v>2048</v>
      </c>
      <c r="DG767" s="15" t="s">
        <v>419</v>
      </c>
      <c r="DK767" s="15">
        <v>0.0</v>
      </c>
      <c r="DR767" s="15" t="s">
        <v>471</v>
      </c>
      <c r="DS767" s="15" t="s">
        <v>8165</v>
      </c>
      <c r="DU767" s="15" t="s">
        <v>424</v>
      </c>
      <c r="EF767" s="15" t="s">
        <v>1041</v>
      </c>
      <c r="EH767" s="15" t="s">
        <v>5320</v>
      </c>
      <c r="EQ767" s="15" t="s">
        <v>1014</v>
      </c>
      <c r="ER767" s="15" t="s">
        <v>2101</v>
      </c>
      <c r="ES767" s="15" t="s">
        <v>429</v>
      </c>
      <c r="ET767" s="15" t="s">
        <v>789</v>
      </c>
      <c r="EU767" s="15" t="s">
        <v>426</v>
      </c>
      <c r="EV767" s="15">
        <v>0.0</v>
      </c>
      <c r="EW767" s="15">
        <v>0.0</v>
      </c>
      <c r="FF767" s="15" t="s">
        <v>531</v>
      </c>
      <c r="FQ767" s="15">
        <v>0.0</v>
      </c>
      <c r="FR767" s="15" t="s">
        <v>427</v>
      </c>
    </row>
    <row r="768" ht="17.25" customHeight="1">
      <c r="A768" s="15" t="s">
        <v>8176</v>
      </c>
      <c r="B768" s="15" t="str">
        <f>"198394060196"</f>
        <v>198394060196</v>
      </c>
      <c r="C768" s="15" t="s">
        <v>20576</v>
      </c>
      <c r="D768" s="15" t="str">
        <f t="shared" si="1"/>
        <v>Perot NightstandLight Blonde Pine</v>
      </c>
      <c r="E768" s="15" t="s">
        <v>8174</v>
      </c>
      <c r="F768" s="15" t="s">
        <v>397</v>
      </c>
      <c r="G768" s="15" t="s">
        <v>8159</v>
      </c>
      <c r="J768" s="15" t="s">
        <v>8159</v>
      </c>
      <c r="M768" s="15" t="s">
        <v>1896</v>
      </c>
      <c r="N768" s="15" t="s">
        <v>628</v>
      </c>
      <c r="P768" s="15" t="str">
        <f>"34"</f>
        <v>34</v>
      </c>
      <c r="Q768" s="15" t="str">
        <f>"22"</f>
        <v>22</v>
      </c>
      <c r="R768" s="15" t="str">
        <f>"24.75"</f>
        <v>24.75</v>
      </c>
      <c r="S768" s="15" t="str">
        <f>"73.85"</f>
        <v>73.85</v>
      </c>
      <c r="T768" s="15" t="s">
        <v>2036</v>
      </c>
      <c r="U768" s="15" t="s">
        <v>12377</v>
      </c>
      <c r="AA768" s="15" t="s">
        <v>413</v>
      </c>
      <c r="AB768" s="15" t="s">
        <v>413</v>
      </c>
      <c r="AC768" s="15" t="s">
        <v>8178</v>
      </c>
      <c r="AD768" s="15" t="s">
        <v>20577</v>
      </c>
      <c r="AE768" s="15" t="s">
        <v>8177</v>
      </c>
      <c r="AF768" s="15" t="s">
        <v>20578</v>
      </c>
      <c r="AG768" s="15" t="s">
        <v>20579</v>
      </c>
      <c r="AH768" s="15" t="s">
        <v>20580</v>
      </c>
      <c r="AI768" s="15" t="s">
        <v>20581</v>
      </c>
      <c r="AJ768" s="15" t="s">
        <v>20582</v>
      </c>
      <c r="AK768" s="15" t="s">
        <v>20583</v>
      </c>
      <c r="AL768" s="15" t="s">
        <v>20584</v>
      </c>
      <c r="AM768" s="15" t="s">
        <v>20585</v>
      </c>
      <c r="AN768" s="15" t="s">
        <v>20586</v>
      </c>
      <c r="AO768" s="15" t="s">
        <v>20587</v>
      </c>
      <c r="AP768" s="15" t="s">
        <v>20588</v>
      </c>
      <c r="AQ768" s="15" t="s">
        <v>20589</v>
      </c>
      <c r="BH768" s="15" t="s">
        <v>8175</v>
      </c>
      <c r="BI768" s="15" t="str">
        <f>"899"</f>
        <v>899</v>
      </c>
      <c r="BJ768" s="15" t="str">
        <f>"380"</f>
        <v>380</v>
      </c>
      <c r="BK768" s="15" t="s">
        <v>742</v>
      </c>
      <c r="BL768" s="15" t="str">
        <f t="shared" si="2174"/>
        <v>1</v>
      </c>
      <c r="BM768" s="15" t="s">
        <v>416</v>
      </c>
      <c r="BN768" s="15" t="str">
        <f>"37.8"</f>
        <v>37.8</v>
      </c>
      <c r="BO768" s="15" t="str">
        <f>"25.79"</f>
        <v>25.79</v>
      </c>
      <c r="BP768" s="15" t="str">
        <f>"30.71"</f>
        <v>30.71</v>
      </c>
      <c r="BQ768" s="15" t="str">
        <f>"97"</f>
        <v>97</v>
      </c>
      <c r="CG768" s="15" t="str">
        <f>"17.3"</f>
        <v>17.3</v>
      </c>
      <c r="CH768" s="15" t="str">
        <f>"0.49"</f>
        <v>0.49</v>
      </c>
      <c r="CI768" s="15" t="s">
        <v>465</v>
      </c>
      <c r="CZ768" s="15" t="s">
        <v>418</v>
      </c>
      <c r="DA768" s="15">
        <v>2.0</v>
      </c>
      <c r="DB768" s="15" t="s">
        <v>419</v>
      </c>
      <c r="DD768" s="15">
        <v>0.0</v>
      </c>
      <c r="DF768" s="15" t="s">
        <v>1111</v>
      </c>
      <c r="DG768" s="15" t="s">
        <v>421</v>
      </c>
      <c r="DK768" s="15">
        <v>0.0</v>
      </c>
      <c r="DR768" s="15" t="s">
        <v>471</v>
      </c>
      <c r="DS768" s="15" t="s">
        <v>8165</v>
      </c>
      <c r="DU768" s="15" t="s">
        <v>500</v>
      </c>
      <c r="EF768" s="15" t="s">
        <v>761</v>
      </c>
      <c r="EU768" s="15" t="s">
        <v>426</v>
      </c>
      <c r="EV768" s="15">
        <v>0.0</v>
      </c>
      <c r="FQ768" s="15">
        <v>0.0</v>
      </c>
      <c r="FR768" s="15" t="s">
        <v>427</v>
      </c>
      <c r="FZ768" s="15" t="s">
        <v>1430</v>
      </c>
      <c r="GB768" s="15" t="s">
        <v>8179</v>
      </c>
      <c r="GD768" s="15" t="s">
        <v>8180</v>
      </c>
      <c r="GF768" s="15" t="s">
        <v>8168</v>
      </c>
      <c r="GH768" s="15" t="s">
        <v>764</v>
      </c>
    </row>
    <row r="769" ht="17.25" customHeight="1">
      <c r="A769" s="15" t="s">
        <v>8183</v>
      </c>
      <c r="B769" s="15" t="str">
        <f>"198394060226"</f>
        <v>198394060226</v>
      </c>
      <c r="C769" s="15" t="s">
        <v>20590</v>
      </c>
      <c r="D769" s="15" t="str">
        <f t="shared" si="1"/>
        <v>Perot SideboardLight Blonde Pine</v>
      </c>
      <c r="E769" s="15" t="s">
        <v>8181</v>
      </c>
      <c r="F769" s="15" t="s">
        <v>397</v>
      </c>
      <c r="G769" s="15" t="s">
        <v>8159</v>
      </c>
      <c r="J769" s="15" t="s">
        <v>8159</v>
      </c>
      <c r="M769" s="15" t="s">
        <v>1896</v>
      </c>
      <c r="N769" s="15" t="s">
        <v>664</v>
      </c>
      <c r="P769" s="15" t="str">
        <f>"94"</f>
        <v>94</v>
      </c>
      <c r="Q769" s="15" t="str">
        <f t="shared" ref="Q769:Q770" si="2177">"20"</f>
        <v>20</v>
      </c>
      <c r="R769" s="15" t="str">
        <f>"32"</f>
        <v>32</v>
      </c>
      <c r="S769" s="15" t="str">
        <f>"191.8"</f>
        <v>191.8</v>
      </c>
      <c r="T769" s="15" t="s">
        <v>2036</v>
      </c>
      <c r="U769" s="15" t="s">
        <v>12377</v>
      </c>
      <c r="AA769" s="15" t="s">
        <v>413</v>
      </c>
      <c r="AB769" s="15" t="s">
        <v>413</v>
      </c>
      <c r="AC769" s="15" t="s">
        <v>8185</v>
      </c>
      <c r="AD769" s="15" t="s">
        <v>20591</v>
      </c>
      <c r="AE769" s="15" t="s">
        <v>8184</v>
      </c>
      <c r="AF769" s="15" t="s">
        <v>20592</v>
      </c>
      <c r="AG769" s="15" t="s">
        <v>20593</v>
      </c>
      <c r="AH769" s="15" t="s">
        <v>20594</v>
      </c>
      <c r="AI769" s="15" t="s">
        <v>20595</v>
      </c>
      <c r="AJ769" s="15" t="s">
        <v>20596</v>
      </c>
      <c r="AK769" s="15" t="s">
        <v>20597</v>
      </c>
      <c r="AL769" s="15" t="s">
        <v>20598</v>
      </c>
      <c r="AM769" s="15" t="s">
        <v>20599</v>
      </c>
      <c r="AN769" s="15" t="s">
        <v>20600</v>
      </c>
      <c r="AO769" s="15" t="s">
        <v>20601</v>
      </c>
      <c r="AP769" s="15" t="s">
        <v>20602</v>
      </c>
      <c r="AQ769" s="15" t="s">
        <v>20603</v>
      </c>
      <c r="BH769" s="15" t="s">
        <v>8182</v>
      </c>
      <c r="BI769" s="15" t="str">
        <f>"2199"</f>
        <v>2199</v>
      </c>
      <c r="BJ769" s="15" t="str">
        <f>"925"</f>
        <v>925</v>
      </c>
      <c r="BK769" s="15" t="s">
        <v>742</v>
      </c>
      <c r="BL769" s="15" t="str">
        <f t="shared" si="2174"/>
        <v>1</v>
      </c>
      <c r="BM769" s="15" t="s">
        <v>416</v>
      </c>
      <c r="BN769" s="15" t="str">
        <f>"99.41"</f>
        <v>99.41</v>
      </c>
      <c r="BO769" s="15" t="str">
        <f>"25.39"</f>
        <v>25.39</v>
      </c>
      <c r="BP769" s="15" t="str">
        <f>"39.57"</f>
        <v>39.57</v>
      </c>
      <c r="BQ769" s="15" t="str">
        <f>"237"</f>
        <v>237</v>
      </c>
      <c r="CG769" s="15" t="str">
        <f>"57.81"</f>
        <v>57.81</v>
      </c>
      <c r="CH769" s="15" t="str">
        <f>"1.637"</f>
        <v>1.637</v>
      </c>
      <c r="CI769" s="15" t="s">
        <v>497</v>
      </c>
      <c r="CM769" s="15" t="s">
        <v>2348</v>
      </c>
      <c r="CN769" s="15" t="s">
        <v>2273</v>
      </c>
      <c r="CO769" s="15" t="s">
        <v>8188</v>
      </c>
      <c r="CZ769" s="15" t="s">
        <v>419</v>
      </c>
      <c r="DA769" s="15">
        <v>0.0</v>
      </c>
      <c r="DB769" s="15" t="s">
        <v>419</v>
      </c>
      <c r="DD769" s="15">
        <v>0.0</v>
      </c>
      <c r="DF769" s="15" t="s">
        <v>1388</v>
      </c>
      <c r="DG769" s="15" t="s">
        <v>610</v>
      </c>
      <c r="DI769" s="15">
        <v>18.14</v>
      </c>
      <c r="DJ769" s="15">
        <v>40.0</v>
      </c>
      <c r="DK769" s="15">
        <v>2.0</v>
      </c>
      <c r="DS769" s="15" t="s">
        <v>8165</v>
      </c>
      <c r="DU769" s="15" t="s">
        <v>424</v>
      </c>
      <c r="EF769" s="15" t="s">
        <v>3954</v>
      </c>
      <c r="EU769" s="15" t="s">
        <v>426</v>
      </c>
      <c r="EV769" s="15">
        <v>2.0</v>
      </c>
      <c r="FH769" s="15" t="s">
        <v>1445</v>
      </c>
      <c r="FI769" s="15" t="s">
        <v>782</v>
      </c>
      <c r="FJ769" s="15" t="s">
        <v>8189</v>
      </c>
      <c r="FK769" s="15" t="s">
        <v>2348</v>
      </c>
      <c r="FL769" s="15" t="s">
        <v>782</v>
      </c>
      <c r="FM769" s="15" t="s">
        <v>8188</v>
      </c>
      <c r="FN769" s="15">
        <v>0.0</v>
      </c>
      <c r="FP769" s="15" t="s">
        <v>1883</v>
      </c>
      <c r="FQ769" s="15">
        <v>4.0</v>
      </c>
      <c r="FR769" s="15" t="s">
        <v>614</v>
      </c>
      <c r="FS769" s="15" t="s">
        <v>1045</v>
      </c>
      <c r="FT769" s="15">
        <v>0.0</v>
      </c>
      <c r="FU769" s="15" t="s">
        <v>426</v>
      </c>
      <c r="FW769" s="15" t="s">
        <v>616</v>
      </c>
      <c r="GJ769" s="15" t="s">
        <v>2348</v>
      </c>
      <c r="GK769" s="15" t="s">
        <v>2273</v>
      </c>
      <c r="GL769" s="15" t="s">
        <v>8188</v>
      </c>
      <c r="HF769" s="15" t="s">
        <v>1957</v>
      </c>
      <c r="HQ769" s="15" t="s">
        <v>426</v>
      </c>
    </row>
    <row r="770" ht="17.25" customHeight="1">
      <c r="A770" s="15" t="s">
        <v>8193</v>
      </c>
      <c r="B770" s="15" t="str">
        <f>"801542739768"</f>
        <v>801542739768</v>
      </c>
      <c r="C770" s="15" t="s">
        <v>20604</v>
      </c>
      <c r="D770" s="15" t="str">
        <f t="shared" si="1"/>
        <v>Perrin 6 Drawer DresserRustic Fawn</v>
      </c>
      <c r="E770" s="15" t="s">
        <v>8190</v>
      </c>
      <c r="F770" s="15" t="s">
        <v>397</v>
      </c>
      <c r="G770" s="15" t="s">
        <v>8192</v>
      </c>
      <c r="J770" s="15" t="s">
        <v>8192</v>
      </c>
      <c r="K770" s="15" t="s">
        <v>8196</v>
      </c>
      <c r="M770" s="15" t="s">
        <v>2759</v>
      </c>
      <c r="N770" s="15" t="s">
        <v>412</v>
      </c>
      <c r="P770" s="15" t="str">
        <f>"60"</f>
        <v>60</v>
      </c>
      <c r="Q770" s="15" t="str">
        <f t="shared" si="2177"/>
        <v>20</v>
      </c>
      <c r="R770" s="15" t="str">
        <f>"31"</f>
        <v>31</v>
      </c>
      <c r="S770" s="15" t="str">
        <f>"282.19"</f>
        <v>282.19</v>
      </c>
      <c r="T770" s="15" t="s">
        <v>4874</v>
      </c>
      <c r="U770" s="15" t="s">
        <v>11338</v>
      </c>
      <c r="V770" s="15" t="s">
        <v>10881</v>
      </c>
      <c r="AA770" s="15" t="s">
        <v>413</v>
      </c>
      <c r="AB770" s="15" t="s">
        <v>413</v>
      </c>
      <c r="AC770" s="15" t="s">
        <v>8197</v>
      </c>
      <c r="AD770" s="15" t="s">
        <v>20605</v>
      </c>
      <c r="AE770" s="15" t="s">
        <v>8195</v>
      </c>
      <c r="AF770" s="15" t="s">
        <v>20606</v>
      </c>
      <c r="AG770" s="15" t="s">
        <v>20607</v>
      </c>
      <c r="AH770" s="15" t="s">
        <v>20608</v>
      </c>
      <c r="AI770" s="15" t="s">
        <v>20609</v>
      </c>
      <c r="AJ770" s="15" t="s">
        <v>20610</v>
      </c>
      <c r="AK770" s="15" t="s">
        <v>20611</v>
      </c>
      <c r="AL770" s="15" t="s">
        <v>20612</v>
      </c>
      <c r="AM770" s="15" t="s">
        <v>20613</v>
      </c>
      <c r="AN770" s="15" t="s">
        <v>20614</v>
      </c>
      <c r="AO770" s="15" t="s">
        <v>20615</v>
      </c>
      <c r="AP770" s="15" t="s">
        <v>20616</v>
      </c>
      <c r="AQ770" s="15" t="s">
        <v>20617</v>
      </c>
      <c r="BH770" s="15" t="s">
        <v>8191</v>
      </c>
      <c r="BI770" s="15" t="str">
        <f>"2499"</f>
        <v>2499</v>
      </c>
      <c r="BJ770" s="15" t="str">
        <f>"1050"</f>
        <v>1050</v>
      </c>
      <c r="BK770" s="15" t="s">
        <v>742</v>
      </c>
      <c r="BL770" s="15" t="str">
        <f t="shared" si="2174"/>
        <v>1</v>
      </c>
      <c r="BM770" s="15" t="s">
        <v>8198</v>
      </c>
      <c r="BN770" s="15" t="str">
        <f>"62.99"</f>
        <v>62.99</v>
      </c>
      <c r="BO770" s="15" t="str">
        <f>"23.43"</f>
        <v>23.43</v>
      </c>
      <c r="BP770" s="15" t="str">
        <f>"36.02"</f>
        <v>36.02</v>
      </c>
      <c r="BQ770" s="15" t="str">
        <f>"326.28"</f>
        <v>326.28</v>
      </c>
      <c r="CG770" s="15" t="str">
        <f>"30.76"</f>
        <v>30.76</v>
      </c>
      <c r="CH770" s="15" t="str">
        <f>"0.871"</f>
        <v>0.871</v>
      </c>
      <c r="CI770" s="15" t="s">
        <v>465</v>
      </c>
      <c r="CZ770" s="15" t="s">
        <v>418</v>
      </c>
      <c r="DA770" s="15">
        <v>6.0</v>
      </c>
      <c r="DB770" s="15" t="s">
        <v>419</v>
      </c>
      <c r="DD770" s="15">
        <v>0.0</v>
      </c>
      <c r="DF770" s="15" t="s">
        <v>420</v>
      </c>
      <c r="DG770" s="15" t="s">
        <v>421</v>
      </c>
      <c r="DK770" s="15">
        <v>0.0</v>
      </c>
      <c r="DR770" s="15" t="s">
        <v>422</v>
      </c>
      <c r="DS770" s="15" t="s">
        <v>8199</v>
      </c>
      <c r="DU770" s="15" t="s">
        <v>500</v>
      </c>
      <c r="EF770" s="15" t="s">
        <v>2505</v>
      </c>
      <c r="EU770" s="15" t="s">
        <v>426</v>
      </c>
      <c r="EV770" s="15">
        <v>0.0</v>
      </c>
      <c r="FQ770" s="15">
        <v>0.0</v>
      </c>
      <c r="FR770" s="15" t="s">
        <v>427</v>
      </c>
      <c r="FX770" s="15" t="s">
        <v>426</v>
      </c>
      <c r="FZ770" s="15" t="s">
        <v>2348</v>
      </c>
      <c r="GB770" s="15" t="s">
        <v>4375</v>
      </c>
      <c r="GD770" s="15" t="s">
        <v>8200</v>
      </c>
      <c r="GF770" s="15" t="s">
        <v>431</v>
      </c>
      <c r="GH770" s="15" t="s">
        <v>764</v>
      </c>
    </row>
    <row r="771" ht="17.25" customHeight="1">
      <c r="A771" s="15" t="s">
        <v>8203</v>
      </c>
      <c r="B771" s="15" t="str">
        <f>"801542731427"</f>
        <v>801542731427</v>
      </c>
      <c r="C771" s="15" t="s">
        <v>20618</v>
      </c>
      <c r="D771" s="15" t="str">
        <f t="shared" si="1"/>
        <v>Perrin NightstandRustic Fawn Veneer</v>
      </c>
      <c r="E771" s="15" t="s">
        <v>8201</v>
      </c>
      <c r="F771" s="15" t="s">
        <v>397</v>
      </c>
      <c r="G771" s="15" t="s">
        <v>8196</v>
      </c>
      <c r="J771" s="15" t="s">
        <v>8196</v>
      </c>
      <c r="M771" s="15" t="s">
        <v>2759</v>
      </c>
      <c r="N771" s="15" t="s">
        <v>628</v>
      </c>
      <c r="P771" s="15" t="str">
        <f>"26"</f>
        <v>26</v>
      </c>
      <c r="Q771" s="15" t="str">
        <f>"18"</f>
        <v>18</v>
      </c>
      <c r="R771" s="15" t="str">
        <f>"22.25"</f>
        <v>22.25</v>
      </c>
      <c r="S771" s="15" t="str">
        <f>"62.83"</f>
        <v>62.83</v>
      </c>
      <c r="T771" s="15" t="s">
        <v>1025</v>
      </c>
      <c r="U771" s="15" t="s">
        <v>10881</v>
      </c>
      <c r="V771" s="15" t="s">
        <v>11338</v>
      </c>
      <c r="AA771" s="15" t="s">
        <v>413</v>
      </c>
      <c r="AB771" s="15" t="s">
        <v>413</v>
      </c>
      <c r="AC771" s="15" t="s">
        <v>8206</v>
      </c>
      <c r="AD771" s="15" t="s">
        <v>20619</v>
      </c>
      <c r="AE771" s="15" t="s">
        <v>8204</v>
      </c>
      <c r="AF771" s="15" t="s">
        <v>20620</v>
      </c>
      <c r="AG771" s="15" t="s">
        <v>20621</v>
      </c>
      <c r="AH771" s="15" t="s">
        <v>20622</v>
      </c>
      <c r="AI771" s="15" t="s">
        <v>20623</v>
      </c>
      <c r="AJ771" s="15" t="s">
        <v>20624</v>
      </c>
      <c r="AK771" s="15" t="s">
        <v>20625</v>
      </c>
      <c r="AL771" s="15" t="s">
        <v>20626</v>
      </c>
      <c r="AM771" s="15" t="s">
        <v>20627</v>
      </c>
      <c r="AN771" s="15" t="s">
        <v>20628</v>
      </c>
      <c r="AO771" s="15" t="s">
        <v>20629</v>
      </c>
      <c r="AP771" s="15" t="s">
        <v>20630</v>
      </c>
      <c r="AQ771" s="15" t="s">
        <v>20631</v>
      </c>
      <c r="BH771" s="15" t="s">
        <v>8202</v>
      </c>
      <c r="BI771" s="15" t="str">
        <f>"749"</f>
        <v>749</v>
      </c>
      <c r="BJ771" s="15" t="str">
        <f>"315"</f>
        <v>315</v>
      </c>
      <c r="BK771" s="15" t="s">
        <v>742</v>
      </c>
      <c r="BL771" s="15" t="str">
        <f t="shared" si="2174"/>
        <v>1</v>
      </c>
      <c r="BM771" s="15" t="s">
        <v>8207</v>
      </c>
      <c r="BN771" s="15" t="str">
        <f>"29.13"</f>
        <v>29.13</v>
      </c>
      <c r="BO771" s="15" t="str">
        <f>"20.87"</f>
        <v>20.87</v>
      </c>
      <c r="BP771" s="15" t="str">
        <f>"26.57"</f>
        <v>26.57</v>
      </c>
      <c r="BQ771" s="15" t="str">
        <f>"81.57"</f>
        <v>81.57</v>
      </c>
      <c r="CG771" s="15" t="str">
        <f>"9.36"</f>
        <v>9.36</v>
      </c>
      <c r="CH771" s="15" t="str">
        <f>"0.265"</f>
        <v>0.265</v>
      </c>
      <c r="CI771" s="15" t="s">
        <v>465</v>
      </c>
      <c r="CZ771" s="15" t="s">
        <v>418</v>
      </c>
      <c r="DA771" s="15">
        <v>1.0</v>
      </c>
      <c r="DB771" s="15" t="s">
        <v>419</v>
      </c>
      <c r="DD771" s="15">
        <v>0.0</v>
      </c>
      <c r="DF771" s="15" t="s">
        <v>420</v>
      </c>
      <c r="DG771" s="15" t="s">
        <v>421</v>
      </c>
      <c r="DK771" s="15">
        <v>0.0</v>
      </c>
      <c r="DR771" s="15" t="s">
        <v>471</v>
      </c>
      <c r="DS771" s="15" t="s">
        <v>8199</v>
      </c>
      <c r="DU771" s="15" t="s">
        <v>500</v>
      </c>
      <c r="EF771" s="15" t="s">
        <v>4128</v>
      </c>
      <c r="EU771" s="15" t="s">
        <v>426</v>
      </c>
      <c r="EV771" s="15">
        <v>0.0</v>
      </c>
      <c r="FQ771" s="15">
        <v>0.0</v>
      </c>
      <c r="FR771" s="15" t="s">
        <v>427</v>
      </c>
      <c r="FX771" s="15" t="s">
        <v>426</v>
      </c>
      <c r="FZ771" s="15" t="s">
        <v>8209</v>
      </c>
      <c r="GB771" s="15" t="s">
        <v>5622</v>
      </c>
      <c r="GD771" s="15" t="s">
        <v>5633</v>
      </c>
      <c r="GF771" s="15" t="s">
        <v>431</v>
      </c>
      <c r="GH771" s="15" t="s">
        <v>764</v>
      </c>
    </row>
    <row r="772" ht="17.25" customHeight="1">
      <c r="A772" s="15" t="s">
        <v>8212</v>
      </c>
      <c r="B772" s="15" t="str">
        <f>"801542734534"</f>
        <v>801542734534</v>
      </c>
      <c r="C772" s="15" t="s">
        <v>20632</v>
      </c>
      <c r="D772" s="15" t="str">
        <f t="shared" si="1"/>
        <v>Perrin SideboardRustic Fawn Veneer</v>
      </c>
      <c r="E772" s="15" t="s">
        <v>8210</v>
      </c>
      <c r="F772" s="15" t="s">
        <v>397</v>
      </c>
      <c r="G772" s="15" t="s">
        <v>8196</v>
      </c>
      <c r="J772" s="15" t="s">
        <v>8196</v>
      </c>
      <c r="M772" s="15" t="s">
        <v>2759</v>
      </c>
      <c r="N772" s="15" t="s">
        <v>664</v>
      </c>
      <c r="P772" s="15" t="str">
        <f>"75"</f>
        <v>75</v>
      </c>
      <c r="Q772" s="15" t="str">
        <f>"20"</f>
        <v>20</v>
      </c>
      <c r="R772" s="15" t="str">
        <f>"33.25"</f>
        <v>33.25</v>
      </c>
      <c r="S772" s="15" t="str">
        <f>"251.32"</f>
        <v>251.32</v>
      </c>
      <c r="T772" s="15" t="s">
        <v>407</v>
      </c>
      <c r="U772" s="15" t="s">
        <v>10881</v>
      </c>
      <c r="AA772" s="15" t="s">
        <v>413</v>
      </c>
      <c r="AB772" s="15" t="s">
        <v>413</v>
      </c>
      <c r="AC772" s="15" t="s">
        <v>8215</v>
      </c>
      <c r="AD772" s="15" t="s">
        <v>20633</v>
      </c>
      <c r="AE772" s="15" t="s">
        <v>8214</v>
      </c>
      <c r="AF772" s="15" t="s">
        <v>20634</v>
      </c>
      <c r="AG772" s="15" t="s">
        <v>20635</v>
      </c>
      <c r="AH772" s="15" t="s">
        <v>20636</v>
      </c>
      <c r="AI772" s="15" t="s">
        <v>20637</v>
      </c>
      <c r="AJ772" s="15" t="s">
        <v>20638</v>
      </c>
      <c r="AK772" s="15" t="s">
        <v>20639</v>
      </c>
      <c r="AL772" s="15" t="s">
        <v>20640</v>
      </c>
      <c r="AM772" s="15" t="s">
        <v>20641</v>
      </c>
      <c r="AN772" s="15" t="s">
        <v>20642</v>
      </c>
      <c r="AO772" s="15" t="s">
        <v>20643</v>
      </c>
      <c r="BH772" s="15" t="s">
        <v>8211</v>
      </c>
      <c r="BI772" s="15" t="str">
        <f>"2999"</f>
        <v>2999</v>
      </c>
      <c r="BJ772" s="15" t="str">
        <f>"1260"</f>
        <v>1260</v>
      </c>
      <c r="BK772" s="15" t="s">
        <v>742</v>
      </c>
      <c r="BL772" s="15" t="str">
        <f t="shared" si="2174"/>
        <v>1</v>
      </c>
      <c r="BM772" s="15" t="s">
        <v>6317</v>
      </c>
      <c r="BN772" s="15" t="str">
        <f>"78.35"</f>
        <v>78.35</v>
      </c>
      <c r="BO772" s="15" t="str">
        <f>"23.43"</f>
        <v>23.43</v>
      </c>
      <c r="BP772" s="15" t="str">
        <f>"39.57"</f>
        <v>39.57</v>
      </c>
      <c r="BQ772" s="15" t="str">
        <f>"297.62"</f>
        <v>297.62</v>
      </c>
      <c r="CG772" s="15" t="str">
        <f>"42.02"</f>
        <v>42.02</v>
      </c>
      <c r="CH772" s="15" t="str">
        <f>"1.19"</f>
        <v>1.19</v>
      </c>
      <c r="CI772" s="15" t="s">
        <v>417</v>
      </c>
      <c r="CM772" s="15" t="s">
        <v>8216</v>
      </c>
      <c r="CN772" s="15" t="s">
        <v>3690</v>
      </c>
      <c r="CO772" s="15" t="s">
        <v>8217</v>
      </c>
      <c r="CZ772" s="15" t="s">
        <v>419</v>
      </c>
      <c r="DA772" s="15">
        <v>0.0</v>
      </c>
      <c r="DB772" s="15" t="s">
        <v>419</v>
      </c>
      <c r="DD772" s="15">
        <v>0.0</v>
      </c>
      <c r="DF772" s="15" t="s">
        <v>420</v>
      </c>
      <c r="DG772" s="15" t="s">
        <v>610</v>
      </c>
      <c r="DI772" s="15">
        <v>18.14</v>
      </c>
      <c r="DJ772" s="15">
        <v>40.0</v>
      </c>
      <c r="DK772" s="15">
        <v>4.0</v>
      </c>
      <c r="DS772" s="15" t="s">
        <v>8199</v>
      </c>
      <c r="DU772" s="15" t="s">
        <v>424</v>
      </c>
      <c r="EF772" s="15" t="s">
        <v>2505</v>
      </c>
      <c r="EU772" s="15" t="s">
        <v>426</v>
      </c>
      <c r="EV772" s="15">
        <v>2.0</v>
      </c>
      <c r="FH772" s="15" t="s">
        <v>558</v>
      </c>
      <c r="FI772" s="15" t="s">
        <v>1042</v>
      </c>
      <c r="FJ772" s="15" t="s">
        <v>1065</v>
      </c>
      <c r="FK772" s="15" t="s">
        <v>8216</v>
      </c>
      <c r="FL772" s="15" t="s">
        <v>2046</v>
      </c>
      <c r="FM772" s="15" t="s">
        <v>8217</v>
      </c>
      <c r="FN772" s="15">
        <v>0.0</v>
      </c>
      <c r="FO772" s="15" t="s">
        <v>426</v>
      </c>
      <c r="FP772" s="15" t="s">
        <v>785</v>
      </c>
      <c r="FQ772" s="15">
        <v>4.0</v>
      </c>
      <c r="FR772" s="15" t="s">
        <v>614</v>
      </c>
      <c r="FS772" s="15" t="s">
        <v>615</v>
      </c>
      <c r="FT772" s="15">
        <v>0.0</v>
      </c>
      <c r="FU772" s="15" t="s">
        <v>426</v>
      </c>
      <c r="FW772" s="15" t="s">
        <v>616</v>
      </c>
      <c r="HF772" s="15" t="s">
        <v>2144</v>
      </c>
      <c r="HQ772" s="15" t="s">
        <v>426</v>
      </c>
      <c r="KO772" s="15" t="s">
        <v>1185</v>
      </c>
    </row>
    <row r="773" ht="17.25" customHeight="1">
      <c r="A773" s="15" t="s">
        <v>8221</v>
      </c>
      <c r="B773" s="15" t="str">
        <f>"801542418748"</f>
        <v>801542418748</v>
      </c>
      <c r="C773" s="15" t="s">
        <v>20644</v>
      </c>
      <c r="D773" s="15" t="str">
        <f t="shared" si="1"/>
        <v>Phoenix Outdoor Coffee TableVintage White</v>
      </c>
      <c r="E773" s="15" t="s">
        <v>8218</v>
      </c>
      <c r="F773" s="15" t="s">
        <v>397</v>
      </c>
      <c r="G773" s="15" t="s">
        <v>8220</v>
      </c>
      <c r="J773" s="15" t="s">
        <v>8220</v>
      </c>
      <c r="K773" s="15" t="s">
        <v>8224</v>
      </c>
      <c r="M773" s="15" t="s">
        <v>6785</v>
      </c>
      <c r="N773" s="15" t="s">
        <v>6377</v>
      </c>
      <c r="O773" s="15" t="s">
        <v>8225</v>
      </c>
      <c r="P773" s="15" t="str">
        <f t="shared" ref="P773:Q773" si="2178">"36"</f>
        <v>36</v>
      </c>
      <c r="Q773" s="15" t="str">
        <f t="shared" si="2178"/>
        <v>36</v>
      </c>
      <c r="R773" s="15" t="str">
        <f>"15.5"</f>
        <v>15.5</v>
      </c>
      <c r="S773" s="15" t="str">
        <f>"16.75"</f>
        <v>16.75</v>
      </c>
      <c r="T773" s="15" t="s">
        <v>8223</v>
      </c>
      <c r="U773" s="15" t="s">
        <v>18413</v>
      </c>
      <c r="V773" s="15" t="s">
        <v>14078</v>
      </c>
      <c r="AA773" s="15" t="s">
        <v>413</v>
      </c>
      <c r="AB773" s="15" t="s">
        <v>413</v>
      </c>
      <c r="AC773" s="15" t="s">
        <v>8226</v>
      </c>
      <c r="AD773" s="15" t="s">
        <v>20645</v>
      </c>
      <c r="AE773" s="15" t="s">
        <v>8222</v>
      </c>
      <c r="AF773" s="15" t="s">
        <v>20646</v>
      </c>
      <c r="AG773" s="15" t="s">
        <v>20647</v>
      </c>
      <c r="AH773" s="15" t="s">
        <v>20648</v>
      </c>
      <c r="AI773" s="15" t="s">
        <v>20649</v>
      </c>
      <c r="AJ773" s="15" t="s">
        <v>20650</v>
      </c>
      <c r="AK773" s="15" t="s">
        <v>20651</v>
      </c>
      <c r="AL773" s="15" t="s">
        <v>20652</v>
      </c>
      <c r="BH773" s="15" t="s">
        <v>8219</v>
      </c>
      <c r="BI773" s="15" t="str">
        <f>"699"</f>
        <v>699</v>
      </c>
      <c r="BJ773" s="15" t="str">
        <f>"295"</f>
        <v>295</v>
      </c>
      <c r="BK773" s="15" t="s">
        <v>1181</v>
      </c>
      <c r="BL773" s="15" t="str">
        <f t="shared" si="2174"/>
        <v>1</v>
      </c>
      <c r="BM773" s="15" t="s">
        <v>416</v>
      </c>
      <c r="BN773" s="15" t="str">
        <f t="shared" ref="BN773:BO773" si="2179">"41"</f>
        <v>41</v>
      </c>
      <c r="BO773" s="15" t="str">
        <f t="shared" si="2179"/>
        <v>41</v>
      </c>
      <c r="BP773" s="15" t="str">
        <f>"20.25"</f>
        <v>20.25</v>
      </c>
      <c r="BQ773" s="15" t="str">
        <f>"31.31"</f>
        <v>31.31</v>
      </c>
      <c r="CG773" s="15" t="str">
        <f>"19.71"</f>
        <v>19.71</v>
      </c>
      <c r="CH773" s="15" t="str">
        <f>"0.558"</f>
        <v>0.558</v>
      </c>
      <c r="CI773" s="15" t="s">
        <v>497</v>
      </c>
      <c r="CY773" s="15" t="s">
        <v>718</v>
      </c>
      <c r="CZ773" s="15" t="s">
        <v>419</v>
      </c>
      <c r="DA773" s="15">
        <v>0.0</v>
      </c>
      <c r="DB773" s="15" t="s">
        <v>419</v>
      </c>
      <c r="DD773" s="15">
        <v>0.0</v>
      </c>
      <c r="DG773" s="15" t="s">
        <v>419</v>
      </c>
      <c r="DK773" s="15">
        <v>0.0</v>
      </c>
      <c r="DL773" s="15">
        <v>0.0</v>
      </c>
      <c r="DR773" s="15" t="s">
        <v>1157</v>
      </c>
      <c r="DS773" s="15" t="s">
        <v>8228</v>
      </c>
      <c r="DU773" s="15" t="s">
        <v>500</v>
      </c>
      <c r="EQ773" s="15" t="s">
        <v>4339</v>
      </c>
      <c r="ER773" s="15" t="s">
        <v>1160</v>
      </c>
      <c r="ES773" s="15" t="s">
        <v>4339</v>
      </c>
      <c r="EV773" s="15">
        <v>0.0</v>
      </c>
      <c r="EW773" s="15">
        <v>0.0</v>
      </c>
    </row>
    <row r="774" ht="17.25" customHeight="1">
      <c r="A774" s="15" t="s">
        <v>8232</v>
      </c>
      <c r="B774" s="15" t="str">
        <f>"198394138642"</f>
        <v>198394138642</v>
      </c>
      <c r="C774" s="15" t="s">
        <v>20653</v>
      </c>
      <c r="D774" s="15" t="str">
        <f t="shared" si="1"/>
        <v>Ping Pong TableAged Metal</v>
      </c>
      <c r="E774" s="15" t="s">
        <v>8229</v>
      </c>
      <c r="F774" s="15" t="s">
        <v>397</v>
      </c>
      <c r="G774" s="15" t="s">
        <v>8231</v>
      </c>
      <c r="J774" s="15" t="s">
        <v>8231</v>
      </c>
      <c r="K774" s="15" t="s">
        <v>8240</v>
      </c>
      <c r="M774" s="15" t="s">
        <v>411</v>
      </c>
      <c r="N774" s="15" t="s">
        <v>3792</v>
      </c>
      <c r="P774" s="15" t="str">
        <f t="shared" ref="P774:P775" si="2180">"107.75"</f>
        <v>107.75</v>
      </c>
      <c r="Q774" s="15" t="str">
        <f t="shared" ref="Q774:Q775" si="2181">"58.25"</f>
        <v>58.25</v>
      </c>
      <c r="R774" s="15" t="str">
        <f t="shared" ref="R774:R775" si="2182">"36.25"</f>
        <v>36.25</v>
      </c>
      <c r="S774" s="15" t="str">
        <f t="shared" ref="S774:S775" si="2183">"280.87"</f>
        <v>280.87</v>
      </c>
      <c r="T774" s="15" t="s">
        <v>8235</v>
      </c>
      <c r="U774" s="15" t="s">
        <v>11139</v>
      </c>
      <c r="V774" s="15" t="s">
        <v>12171</v>
      </c>
      <c r="AA774" s="15" t="s">
        <v>413</v>
      </c>
      <c r="AB774" s="15" t="s">
        <v>413</v>
      </c>
      <c r="AC774" s="15" t="s">
        <v>8241</v>
      </c>
      <c r="AD774" s="15" t="s">
        <v>20654</v>
      </c>
      <c r="AE774" s="15" t="s">
        <v>8234</v>
      </c>
      <c r="AF774" s="15" t="s">
        <v>20655</v>
      </c>
      <c r="AG774" s="15" t="s">
        <v>20656</v>
      </c>
      <c r="AH774" s="15" t="s">
        <v>20657</v>
      </c>
      <c r="AI774" s="15" t="s">
        <v>20658</v>
      </c>
      <c r="AJ774" s="15" t="s">
        <v>20659</v>
      </c>
      <c r="AK774" s="15" t="s">
        <v>20660</v>
      </c>
      <c r="AL774" s="15" t="s">
        <v>20661</v>
      </c>
      <c r="AM774" s="15" t="s">
        <v>20662</v>
      </c>
      <c r="AN774" s="15" t="s">
        <v>20663</v>
      </c>
      <c r="AO774" s="15" t="s">
        <v>20664</v>
      </c>
      <c r="AP774" s="15" t="s">
        <v>20665</v>
      </c>
      <c r="AQ774" s="15" t="s">
        <v>20666</v>
      </c>
      <c r="AR774" s="15" t="s">
        <v>20667</v>
      </c>
      <c r="AS774" s="15" t="s">
        <v>20668</v>
      </c>
      <c r="BH774" s="15" t="s">
        <v>8230</v>
      </c>
      <c r="BI774" s="15" t="str">
        <f t="shared" ref="BI774:BI775" si="2184">"8999"</f>
        <v>8999</v>
      </c>
      <c r="BJ774" s="15" t="str">
        <f t="shared" ref="BJ774:BJ775" si="2185">"3780"</f>
        <v>3780</v>
      </c>
      <c r="BK774" s="15" t="s">
        <v>415</v>
      </c>
      <c r="BL774" s="15" t="str">
        <f t="shared" ref="BL774:BL775" si="2186">"2"</f>
        <v>2</v>
      </c>
      <c r="BM774" s="15" t="s">
        <v>8242</v>
      </c>
      <c r="BN774" s="15" t="str">
        <f t="shared" ref="BN774:BN775" si="2187">"122.05"</f>
        <v>122.05</v>
      </c>
      <c r="BO774" s="15" t="str">
        <f t="shared" ref="BO774:BO775" si="2188">"6.69"</f>
        <v>6.69</v>
      </c>
      <c r="BP774" s="15" t="str">
        <f t="shared" ref="BP774:BP775" si="2189">"64.57"</f>
        <v>64.57</v>
      </c>
      <c r="BQ774" s="15" t="str">
        <f t="shared" ref="BQ774:BQ775" si="2190">"335.98"</f>
        <v>335.98</v>
      </c>
      <c r="BR774" s="15" t="s">
        <v>8246</v>
      </c>
      <c r="BS774" s="15" t="str">
        <f t="shared" ref="BS774:BS775" si="2191">"53.15"</f>
        <v>53.15</v>
      </c>
      <c r="BT774" s="15" t="str">
        <f t="shared" ref="BT774:BT775" si="2192">"44.88"</f>
        <v>44.88</v>
      </c>
      <c r="BU774" s="15" t="str">
        <f t="shared" ref="BU774:BU775" si="2193">"37.4"</f>
        <v>37.4</v>
      </c>
      <c r="BV774" s="15" t="str">
        <f t="shared" ref="BV774:BV775" si="2194">"166.89"</f>
        <v>166.89</v>
      </c>
      <c r="CG774" s="15" t="str">
        <f t="shared" ref="CG774:CG775" si="2195">"82.14"</f>
        <v>82.14</v>
      </c>
      <c r="CH774" s="15" t="str">
        <f t="shared" ref="CH774:CH775" si="2196">"2.326"</f>
        <v>2.326</v>
      </c>
      <c r="CI774" s="15" t="s">
        <v>465</v>
      </c>
      <c r="DS774" s="15" t="s">
        <v>8248</v>
      </c>
      <c r="EF774" s="15" t="s">
        <v>1574</v>
      </c>
      <c r="EQ774" s="15" t="s">
        <v>8249</v>
      </c>
      <c r="ER774" s="15" t="s">
        <v>1574</v>
      </c>
      <c r="ES774" s="15" t="s">
        <v>2931</v>
      </c>
      <c r="EU774" s="15" t="s">
        <v>426</v>
      </c>
      <c r="FF774" s="15" t="s">
        <v>8250</v>
      </c>
      <c r="MD774" s="15">
        <v>4.0</v>
      </c>
      <c r="ME774" s="15">
        <v>0.0</v>
      </c>
      <c r="MG774" s="15">
        <v>0.0</v>
      </c>
      <c r="MH774" s="15">
        <v>0.0</v>
      </c>
      <c r="MI774" s="15">
        <v>0.0</v>
      </c>
      <c r="MJ774" s="15" t="s">
        <v>8251</v>
      </c>
      <c r="MK774" s="15">
        <v>4.0</v>
      </c>
      <c r="ML774" s="15">
        <v>0.0</v>
      </c>
      <c r="MM774" s="15">
        <v>0.0</v>
      </c>
      <c r="MN774" s="15">
        <v>0.0</v>
      </c>
      <c r="MO774" s="15">
        <v>0.0</v>
      </c>
      <c r="MQ774" s="15" t="s">
        <v>1607</v>
      </c>
      <c r="MR774" s="15" t="s">
        <v>8252</v>
      </c>
      <c r="MS774" s="15" t="s">
        <v>3635</v>
      </c>
      <c r="MT774" s="15" t="s">
        <v>1235</v>
      </c>
      <c r="MU774" s="15" t="s">
        <v>2899</v>
      </c>
      <c r="MV774" s="15" t="s">
        <v>8253</v>
      </c>
    </row>
    <row r="775" ht="17.25" customHeight="1">
      <c r="A775" s="15" t="s">
        <v>8256</v>
      </c>
      <c r="B775" s="15" t="str">
        <f>"198394138659"</f>
        <v>198394138659</v>
      </c>
      <c r="C775" s="15" t="s">
        <v>20669</v>
      </c>
      <c r="D775" s="15" t="str">
        <f t="shared" si="1"/>
        <v>Ping Pong TableNatural Brown Oyster Guanacaste</v>
      </c>
      <c r="E775" s="15" t="s">
        <v>8229</v>
      </c>
      <c r="F775" s="15" t="s">
        <v>397</v>
      </c>
      <c r="G775" s="15" t="s">
        <v>8255</v>
      </c>
      <c r="J775" s="15" t="s">
        <v>8255</v>
      </c>
      <c r="K775" s="15" t="s">
        <v>8231</v>
      </c>
      <c r="L775" s="15" t="s">
        <v>8258</v>
      </c>
      <c r="M775" s="15" t="s">
        <v>411</v>
      </c>
      <c r="N775" s="15" t="s">
        <v>3792</v>
      </c>
      <c r="P775" s="15" t="str">
        <f t="shared" si="2180"/>
        <v>107.75</v>
      </c>
      <c r="Q775" s="15" t="str">
        <f t="shared" si="2181"/>
        <v>58.25</v>
      </c>
      <c r="R775" s="15" t="str">
        <f t="shared" si="2182"/>
        <v>36.25</v>
      </c>
      <c r="S775" s="15" t="str">
        <f t="shared" si="2183"/>
        <v>280.87</v>
      </c>
      <c r="T775" s="15" t="s">
        <v>1845</v>
      </c>
      <c r="U775" s="15" t="s">
        <v>12170</v>
      </c>
      <c r="V775" s="15" t="s">
        <v>11139</v>
      </c>
      <c r="W775" s="15" t="s">
        <v>12171</v>
      </c>
      <c r="AA775" s="15" t="s">
        <v>413</v>
      </c>
      <c r="AB775" s="15" t="s">
        <v>413</v>
      </c>
      <c r="AC775" s="15" t="s">
        <v>8259</v>
      </c>
      <c r="AD775" s="15" t="s">
        <v>20670</v>
      </c>
      <c r="AE775" s="15" t="s">
        <v>8257</v>
      </c>
      <c r="AF775" s="15" t="s">
        <v>20671</v>
      </c>
      <c r="AG775" s="15" t="s">
        <v>20672</v>
      </c>
      <c r="AH775" s="15" t="s">
        <v>20673</v>
      </c>
      <c r="AI775" s="15" t="s">
        <v>20674</v>
      </c>
      <c r="AJ775" s="15" t="s">
        <v>20675</v>
      </c>
      <c r="AK775" s="15" t="s">
        <v>20676</v>
      </c>
      <c r="AL775" s="15" t="s">
        <v>20677</v>
      </c>
      <c r="AM775" s="15" t="s">
        <v>20678</v>
      </c>
      <c r="AN775" s="15" t="s">
        <v>20679</v>
      </c>
      <c r="AO775" s="15" t="s">
        <v>20680</v>
      </c>
      <c r="AP775" s="15" t="s">
        <v>20681</v>
      </c>
      <c r="AQ775" s="15" t="s">
        <v>20682</v>
      </c>
      <c r="AR775" s="15" t="s">
        <v>20683</v>
      </c>
      <c r="AS775" s="15" t="s">
        <v>20684</v>
      </c>
      <c r="BH775" s="15" t="s">
        <v>8254</v>
      </c>
      <c r="BI775" s="15" t="str">
        <f t="shared" si="2184"/>
        <v>8999</v>
      </c>
      <c r="BJ775" s="15" t="str">
        <f t="shared" si="2185"/>
        <v>3780</v>
      </c>
      <c r="BK775" s="15" t="s">
        <v>415</v>
      </c>
      <c r="BL775" s="15" t="str">
        <f t="shared" si="2186"/>
        <v>2</v>
      </c>
      <c r="BM775" s="15" t="s">
        <v>8242</v>
      </c>
      <c r="BN775" s="15" t="str">
        <f t="shared" si="2187"/>
        <v>122.05</v>
      </c>
      <c r="BO775" s="15" t="str">
        <f t="shared" si="2188"/>
        <v>6.69</v>
      </c>
      <c r="BP775" s="15" t="str">
        <f t="shared" si="2189"/>
        <v>64.57</v>
      </c>
      <c r="BQ775" s="15" t="str">
        <f t="shared" si="2190"/>
        <v>335.98</v>
      </c>
      <c r="BR775" s="15" t="s">
        <v>8246</v>
      </c>
      <c r="BS775" s="15" t="str">
        <f t="shared" si="2191"/>
        <v>53.15</v>
      </c>
      <c r="BT775" s="15" t="str">
        <f t="shared" si="2192"/>
        <v>44.88</v>
      </c>
      <c r="BU775" s="15" t="str">
        <f t="shared" si="2193"/>
        <v>37.4</v>
      </c>
      <c r="BV775" s="15" t="str">
        <f t="shared" si="2194"/>
        <v>166.89</v>
      </c>
      <c r="CG775" s="15" t="str">
        <f t="shared" si="2195"/>
        <v>82.14</v>
      </c>
      <c r="CH775" s="15" t="str">
        <f t="shared" si="2196"/>
        <v>2.326</v>
      </c>
      <c r="CI775" s="15" t="s">
        <v>497</v>
      </c>
      <c r="DS775" s="15" t="s">
        <v>8248</v>
      </c>
      <c r="EF775" s="15" t="s">
        <v>1574</v>
      </c>
      <c r="EQ775" s="15" t="s">
        <v>8249</v>
      </c>
      <c r="ER775" s="15" t="s">
        <v>1574</v>
      </c>
      <c r="ES775" s="15" t="s">
        <v>2931</v>
      </c>
      <c r="EU775" s="15" t="s">
        <v>426</v>
      </c>
      <c r="FF775" s="15" t="s">
        <v>8250</v>
      </c>
      <c r="MD775" s="15">
        <v>4.0</v>
      </c>
      <c r="ME775" s="15">
        <v>0.0</v>
      </c>
      <c r="MG775" s="15">
        <v>0.0</v>
      </c>
      <c r="MH775" s="15">
        <v>0.0</v>
      </c>
      <c r="MI775" s="15">
        <v>0.0</v>
      </c>
      <c r="MJ775" s="15" t="s">
        <v>8251</v>
      </c>
      <c r="MK775" s="15">
        <v>4.0</v>
      </c>
      <c r="ML775" s="15">
        <v>0.0</v>
      </c>
      <c r="MM775" s="15">
        <v>0.0</v>
      </c>
      <c r="MN775" s="15">
        <v>0.0</v>
      </c>
      <c r="MO775" s="15">
        <v>0.0</v>
      </c>
      <c r="MQ775" s="15" t="s">
        <v>1607</v>
      </c>
      <c r="MR775" s="15" t="s">
        <v>8252</v>
      </c>
      <c r="MS775" s="15" t="s">
        <v>3635</v>
      </c>
      <c r="MT775" s="15" t="s">
        <v>1235</v>
      </c>
      <c r="MU775" s="15" t="s">
        <v>2899</v>
      </c>
      <c r="MV775" s="15" t="s">
        <v>8253</v>
      </c>
    </row>
    <row r="776" ht="17.25" customHeight="1">
      <c r="A776" s="15" t="s">
        <v>8262</v>
      </c>
      <c r="B776" s="15" t="str">
        <f>"801542106515"</f>
        <v>801542106515</v>
      </c>
      <c r="C776" s="15" t="s">
        <v>20685</v>
      </c>
      <c r="D776" s="15" t="str">
        <f t="shared" si="1"/>
        <v>Pollard Media ConsoleBrushed Ebony Oak Veneer</v>
      </c>
      <c r="E776" s="15" t="s">
        <v>8260</v>
      </c>
      <c r="F776" s="15" t="s">
        <v>397</v>
      </c>
      <c r="G776" s="15" t="s">
        <v>5649</v>
      </c>
      <c r="J776" s="15" t="s">
        <v>5649</v>
      </c>
      <c r="M776" s="15" t="s">
        <v>1317</v>
      </c>
      <c r="N776" s="15" t="s">
        <v>602</v>
      </c>
      <c r="P776" s="15" t="str">
        <f t="shared" ref="P776:P777" si="2197">"78"</f>
        <v>78</v>
      </c>
      <c r="Q776" s="15" t="str">
        <f t="shared" ref="Q776:Q778" si="2198">"18"</f>
        <v>18</v>
      </c>
      <c r="R776" s="15" t="str">
        <f>"28"</f>
        <v>28</v>
      </c>
      <c r="S776" s="15" t="str">
        <f>"184.97"</f>
        <v>184.97</v>
      </c>
      <c r="T776" s="15" t="s">
        <v>2354</v>
      </c>
      <c r="U776" s="15" t="s">
        <v>11553</v>
      </c>
      <c r="V776" s="15" t="s">
        <v>11338</v>
      </c>
      <c r="AA776" s="15" t="s">
        <v>413</v>
      </c>
      <c r="AB776" s="15" t="s">
        <v>413</v>
      </c>
      <c r="AC776" s="15" t="s">
        <v>8265</v>
      </c>
      <c r="AD776" s="15" t="s">
        <v>20686</v>
      </c>
      <c r="AE776" s="15" t="s">
        <v>8264</v>
      </c>
      <c r="AF776" s="15" t="s">
        <v>20687</v>
      </c>
      <c r="AG776" s="15" t="s">
        <v>20688</v>
      </c>
      <c r="AH776" s="15" t="s">
        <v>20689</v>
      </c>
      <c r="AI776" s="15" t="s">
        <v>20690</v>
      </c>
      <c r="AJ776" s="15" t="s">
        <v>20691</v>
      </c>
      <c r="AK776" s="15" t="s">
        <v>20692</v>
      </c>
      <c r="AL776" s="15" t="s">
        <v>20693</v>
      </c>
      <c r="AM776" s="15" t="s">
        <v>20694</v>
      </c>
      <c r="AN776" s="15" t="s">
        <v>20695</v>
      </c>
      <c r="AO776" s="15" t="s">
        <v>20696</v>
      </c>
      <c r="AP776" s="15" t="s">
        <v>20697</v>
      </c>
      <c r="BH776" s="15" t="s">
        <v>8261</v>
      </c>
      <c r="BI776" s="15" t="str">
        <f>"3099"</f>
        <v>3099</v>
      </c>
      <c r="BJ776" s="15" t="str">
        <f>"1305"</f>
        <v>1305</v>
      </c>
      <c r="BK776" s="15" t="s">
        <v>709</v>
      </c>
      <c r="BL776" s="15" t="str">
        <f t="shared" ref="BL776:BL778" si="2199">"1"</f>
        <v>1</v>
      </c>
      <c r="BM776" s="15" t="s">
        <v>416</v>
      </c>
      <c r="BN776" s="15" t="str">
        <f>"81.1"</f>
        <v>81.1</v>
      </c>
      <c r="BO776" s="15" t="str">
        <f>"21.26"</f>
        <v>21.26</v>
      </c>
      <c r="BP776" s="15" t="str">
        <f>"31.1"</f>
        <v>31.1</v>
      </c>
      <c r="BQ776" s="15" t="str">
        <f>"208.78"</f>
        <v>208.78</v>
      </c>
      <c r="CG776" s="15" t="str">
        <f>"31.04"</f>
        <v>31.04</v>
      </c>
      <c r="CH776" s="15" t="str">
        <f>"0.879"</f>
        <v>0.879</v>
      </c>
      <c r="CI776" s="15" t="s">
        <v>465</v>
      </c>
      <c r="CM776" s="15" t="s">
        <v>2618</v>
      </c>
      <c r="CN776" s="15" t="s">
        <v>2312</v>
      </c>
      <c r="CO776" s="15" t="s">
        <v>2384</v>
      </c>
      <c r="CZ776" s="15" t="s">
        <v>418</v>
      </c>
      <c r="DA776" s="15">
        <v>6.0</v>
      </c>
      <c r="DB776" s="15" t="s">
        <v>419</v>
      </c>
      <c r="DD776" s="15">
        <v>0.0</v>
      </c>
      <c r="DF776" s="15" t="s">
        <v>420</v>
      </c>
      <c r="DG776" s="15" t="s">
        <v>610</v>
      </c>
      <c r="DI776" s="15">
        <v>18.14</v>
      </c>
      <c r="DJ776" s="15">
        <v>40.0</v>
      </c>
      <c r="DK776" s="15">
        <v>1.0</v>
      </c>
      <c r="DS776" s="15" t="s">
        <v>8267</v>
      </c>
      <c r="EF776" s="15" t="s">
        <v>1235</v>
      </c>
      <c r="EU776" s="15" t="s">
        <v>426</v>
      </c>
      <c r="EV776" s="15">
        <v>1.0</v>
      </c>
      <c r="FH776" s="15" t="s">
        <v>2198</v>
      </c>
      <c r="FI776" s="15" t="s">
        <v>612</v>
      </c>
      <c r="FJ776" s="15" t="s">
        <v>1982</v>
      </c>
      <c r="FK776" s="15" t="s">
        <v>2618</v>
      </c>
      <c r="FL776" s="15" t="s">
        <v>612</v>
      </c>
      <c r="FM776" s="15" t="s">
        <v>2384</v>
      </c>
      <c r="FO776" s="15" t="s">
        <v>426</v>
      </c>
      <c r="FP776" s="15" t="s">
        <v>785</v>
      </c>
      <c r="FQ776" s="15">
        <v>2.0</v>
      </c>
      <c r="FR776" s="15" t="s">
        <v>614</v>
      </c>
      <c r="FS776" s="15" t="s">
        <v>615</v>
      </c>
      <c r="FU776" s="15" t="s">
        <v>426</v>
      </c>
      <c r="FW776" s="15" t="s">
        <v>616</v>
      </c>
      <c r="FZ776" s="15" t="s">
        <v>1329</v>
      </c>
      <c r="GB776" s="15" t="s">
        <v>477</v>
      </c>
      <c r="GD776" s="15" t="s">
        <v>1214</v>
      </c>
      <c r="GF776" s="15" t="s">
        <v>431</v>
      </c>
      <c r="GH776" s="15" t="s">
        <v>420</v>
      </c>
      <c r="GM776" s="15">
        <v>0.0</v>
      </c>
      <c r="HF776" s="15" t="s">
        <v>1807</v>
      </c>
      <c r="HQ776" s="15" t="s">
        <v>426</v>
      </c>
    </row>
    <row r="777" ht="17.25" customHeight="1">
      <c r="A777" s="15" t="s">
        <v>8270</v>
      </c>
      <c r="B777" s="15" t="str">
        <f>"801542192129"</f>
        <v>801542192129</v>
      </c>
      <c r="C777" s="15" t="s">
        <v>20698</v>
      </c>
      <c r="D777" s="15" t="str">
        <f t="shared" si="1"/>
        <v>Posada Media ConsoleAmber Oak Veneer</v>
      </c>
      <c r="E777" s="15" t="s">
        <v>8268</v>
      </c>
      <c r="F777" s="15" t="s">
        <v>397</v>
      </c>
      <c r="G777" s="15" t="s">
        <v>4875</v>
      </c>
      <c r="J777" s="15" t="s">
        <v>4875</v>
      </c>
      <c r="K777" s="15" t="s">
        <v>2818</v>
      </c>
      <c r="M777" s="15" t="s">
        <v>2063</v>
      </c>
      <c r="N777" s="15" t="s">
        <v>602</v>
      </c>
      <c r="P777" s="15" t="str">
        <f t="shared" si="2197"/>
        <v>78</v>
      </c>
      <c r="Q777" s="15" t="str">
        <f t="shared" si="2198"/>
        <v>18</v>
      </c>
      <c r="R777" s="15" t="str">
        <f>"26"</f>
        <v>26</v>
      </c>
      <c r="S777" s="15" t="str">
        <f>"170.42"</f>
        <v>170.42</v>
      </c>
      <c r="T777" s="15" t="s">
        <v>8273</v>
      </c>
      <c r="U777" s="15" t="s">
        <v>11553</v>
      </c>
      <c r="V777" s="15" t="s">
        <v>11137</v>
      </c>
      <c r="W777" s="15" t="s">
        <v>11338</v>
      </c>
      <c r="AA777" s="15" t="s">
        <v>413</v>
      </c>
      <c r="AB777" s="15" t="s">
        <v>413</v>
      </c>
      <c r="AC777" s="15" t="s">
        <v>8274</v>
      </c>
      <c r="AD777" s="15" t="s">
        <v>20699</v>
      </c>
      <c r="AE777" s="15" t="s">
        <v>8272</v>
      </c>
      <c r="AF777" s="15" t="s">
        <v>20700</v>
      </c>
      <c r="AG777" s="15" t="s">
        <v>20701</v>
      </c>
      <c r="AH777" s="15" t="s">
        <v>20702</v>
      </c>
      <c r="AI777" s="15" t="s">
        <v>20703</v>
      </c>
      <c r="AJ777" s="15" t="s">
        <v>20704</v>
      </c>
      <c r="AK777" s="15" t="s">
        <v>20705</v>
      </c>
      <c r="AL777" s="15" t="s">
        <v>20706</v>
      </c>
      <c r="AM777" s="15" t="s">
        <v>20707</v>
      </c>
      <c r="AN777" s="15" t="s">
        <v>20708</v>
      </c>
      <c r="AO777" s="15" t="s">
        <v>20709</v>
      </c>
      <c r="AP777" s="15" t="s">
        <v>20710</v>
      </c>
      <c r="AQ777" s="15" t="s">
        <v>20711</v>
      </c>
      <c r="AR777" s="15" t="s">
        <v>20712</v>
      </c>
      <c r="AS777" s="15" t="s">
        <v>20713</v>
      </c>
      <c r="BH777" s="15" t="s">
        <v>8269</v>
      </c>
      <c r="BI777" s="15" t="str">
        <f>"2299"</f>
        <v>2299</v>
      </c>
      <c r="BJ777" s="15" t="str">
        <f>"970"</f>
        <v>970</v>
      </c>
      <c r="BK777" s="15" t="s">
        <v>742</v>
      </c>
      <c r="BL777" s="15" t="str">
        <f t="shared" si="2199"/>
        <v>1</v>
      </c>
      <c r="BM777" s="15" t="s">
        <v>1421</v>
      </c>
      <c r="BN777" s="15" t="str">
        <f>"81.69"</f>
        <v>81.69</v>
      </c>
      <c r="BO777" s="15" t="str">
        <f>"26.77"</f>
        <v>26.77</v>
      </c>
      <c r="BP777" s="15" t="str">
        <f>"21.65"</f>
        <v>21.65</v>
      </c>
      <c r="BQ777" s="15" t="str">
        <f>"211.2"</f>
        <v>211.2</v>
      </c>
      <c r="CG777" s="15" t="str">
        <f>"27.4"</f>
        <v>27.4</v>
      </c>
      <c r="CH777" s="15" t="str">
        <f>"0.776"</f>
        <v>0.776</v>
      </c>
      <c r="CI777" s="15" t="s">
        <v>497</v>
      </c>
      <c r="CM777" s="15" t="s">
        <v>8277</v>
      </c>
      <c r="CN777" s="15" t="s">
        <v>824</v>
      </c>
      <c r="CO777" s="15" t="s">
        <v>984</v>
      </c>
      <c r="CZ777" s="15" t="s">
        <v>419</v>
      </c>
      <c r="DA777" s="15">
        <v>0.0</v>
      </c>
      <c r="DB777" s="15" t="s">
        <v>419</v>
      </c>
      <c r="DD777" s="15">
        <v>0.0</v>
      </c>
      <c r="DF777" s="15" t="s">
        <v>1186</v>
      </c>
      <c r="DG777" s="15" t="s">
        <v>610</v>
      </c>
      <c r="DI777" s="15">
        <v>18.14</v>
      </c>
      <c r="DJ777" s="15">
        <v>40.0</v>
      </c>
      <c r="DK777" s="15">
        <v>3.0</v>
      </c>
      <c r="DS777" s="15" t="s">
        <v>8278</v>
      </c>
      <c r="EF777" s="15" t="s">
        <v>1955</v>
      </c>
      <c r="EU777" s="15" t="s">
        <v>426</v>
      </c>
      <c r="EV777" s="15">
        <v>3.0</v>
      </c>
      <c r="FH777" s="15" t="s">
        <v>8279</v>
      </c>
      <c r="FI777" s="15" t="s">
        <v>612</v>
      </c>
      <c r="FJ777" s="15" t="s">
        <v>8280</v>
      </c>
      <c r="FK777" s="15" t="s">
        <v>8277</v>
      </c>
      <c r="FL777" s="15" t="s">
        <v>612</v>
      </c>
      <c r="FM777" s="15" t="s">
        <v>984</v>
      </c>
      <c r="FO777" s="15" t="s">
        <v>426</v>
      </c>
      <c r="FP777" s="15" t="s">
        <v>785</v>
      </c>
      <c r="FQ777" s="15">
        <v>6.0</v>
      </c>
      <c r="FR777" s="15" t="s">
        <v>614</v>
      </c>
      <c r="FS777" s="15" t="s">
        <v>1045</v>
      </c>
      <c r="FU777" s="15" t="s">
        <v>426</v>
      </c>
      <c r="FW777" s="15" t="s">
        <v>616</v>
      </c>
      <c r="GJ777" s="15" t="s">
        <v>8277</v>
      </c>
      <c r="GK777" s="15" t="s">
        <v>824</v>
      </c>
      <c r="GL777" s="15" t="s">
        <v>8094</v>
      </c>
      <c r="GM777" s="15">
        <v>0.0</v>
      </c>
      <c r="HF777" s="15" t="s">
        <v>789</v>
      </c>
      <c r="HM777" s="15" t="s">
        <v>8277</v>
      </c>
      <c r="HN777" s="15" t="s">
        <v>612</v>
      </c>
      <c r="HO777" s="15" t="s">
        <v>8094</v>
      </c>
      <c r="HQ777" s="15" t="s">
        <v>426</v>
      </c>
    </row>
    <row r="778" ht="17.25" customHeight="1">
      <c r="A778" s="15" t="s">
        <v>8283</v>
      </c>
      <c r="B778" s="15" t="str">
        <f>"801542331665"</f>
        <v>801542331665</v>
      </c>
      <c r="C778" s="15" t="s">
        <v>20714</v>
      </c>
      <c r="D778" s="15" t="str">
        <f t="shared" si="1"/>
        <v>Posada Small CabinetAmber Oak Veneer</v>
      </c>
      <c r="E778" s="15" t="s">
        <v>8281</v>
      </c>
      <c r="F778" s="15" t="s">
        <v>397</v>
      </c>
      <c r="G778" s="15" t="s">
        <v>4875</v>
      </c>
      <c r="J778" s="15" t="s">
        <v>4875</v>
      </c>
      <c r="K778" s="15" t="s">
        <v>2818</v>
      </c>
      <c r="M778" s="15" t="s">
        <v>2063</v>
      </c>
      <c r="N778" s="15" t="s">
        <v>2891</v>
      </c>
      <c r="P778" s="15" t="str">
        <f>"35"</f>
        <v>35</v>
      </c>
      <c r="Q778" s="15" t="str">
        <f t="shared" si="2198"/>
        <v>18</v>
      </c>
      <c r="R778" s="15" t="str">
        <f>"35"</f>
        <v>35</v>
      </c>
      <c r="S778" s="15" t="str">
        <f>"100.09"</f>
        <v>100.09</v>
      </c>
      <c r="T778" s="15" t="s">
        <v>8273</v>
      </c>
      <c r="U778" s="15" t="s">
        <v>11553</v>
      </c>
      <c r="V778" s="15" t="s">
        <v>11137</v>
      </c>
      <c r="W778" s="15" t="s">
        <v>11338</v>
      </c>
      <c r="AA778" s="15" t="s">
        <v>413</v>
      </c>
      <c r="AB778" s="15" t="s">
        <v>413</v>
      </c>
      <c r="AC778" s="15" t="s">
        <v>8286</v>
      </c>
      <c r="AD778" s="15" t="s">
        <v>20715</v>
      </c>
      <c r="AE778" s="15" t="s">
        <v>8285</v>
      </c>
      <c r="AF778" s="15" t="s">
        <v>20716</v>
      </c>
      <c r="AG778" s="15" t="s">
        <v>20717</v>
      </c>
      <c r="AH778" s="15" t="s">
        <v>20718</v>
      </c>
      <c r="AI778" s="15" t="s">
        <v>20719</v>
      </c>
      <c r="AJ778" s="15" t="s">
        <v>20720</v>
      </c>
      <c r="AK778" s="15" t="s">
        <v>20721</v>
      </c>
      <c r="AL778" s="15" t="s">
        <v>20722</v>
      </c>
      <c r="AM778" s="15" t="s">
        <v>20723</v>
      </c>
      <c r="AN778" s="15" t="s">
        <v>20724</v>
      </c>
      <c r="AO778" s="15" t="s">
        <v>20725</v>
      </c>
      <c r="AP778" s="15" t="s">
        <v>20726</v>
      </c>
      <c r="BH778" s="15" t="s">
        <v>8282</v>
      </c>
      <c r="BI778" s="15" t="str">
        <f>"999"</f>
        <v>999</v>
      </c>
      <c r="BJ778" s="15" t="str">
        <f>"420"</f>
        <v>420</v>
      </c>
      <c r="BK778" s="15" t="s">
        <v>742</v>
      </c>
      <c r="BL778" s="15" t="str">
        <f t="shared" si="2199"/>
        <v>1</v>
      </c>
      <c r="BM778" s="15" t="s">
        <v>8281</v>
      </c>
      <c r="BN778" s="15" t="str">
        <f>"38.98"</f>
        <v>38.98</v>
      </c>
      <c r="BO778" s="15" t="str">
        <f>"22.05"</f>
        <v>22.05</v>
      </c>
      <c r="BP778" s="15" t="str">
        <f>"36.22"</f>
        <v>36.22</v>
      </c>
      <c r="BQ778" s="15" t="str">
        <f>"126.99"</f>
        <v>126.99</v>
      </c>
      <c r="CG778" s="15" t="str">
        <f>"18.01"</f>
        <v>18.01</v>
      </c>
      <c r="CH778" s="15" t="str">
        <f>"0.51"</f>
        <v>0.51</v>
      </c>
      <c r="CI778" s="15" t="s">
        <v>417</v>
      </c>
      <c r="CM778" s="15" t="s">
        <v>8277</v>
      </c>
      <c r="CN778" s="15" t="s">
        <v>673</v>
      </c>
      <c r="CO778" s="15" t="s">
        <v>8288</v>
      </c>
      <c r="CZ778" s="15" t="s">
        <v>419</v>
      </c>
      <c r="DA778" s="15">
        <v>0.0</v>
      </c>
      <c r="DB778" s="15" t="s">
        <v>419</v>
      </c>
      <c r="DD778" s="15">
        <v>0.0</v>
      </c>
      <c r="DF778" s="15" t="s">
        <v>1186</v>
      </c>
      <c r="DG778" s="15" t="s">
        <v>610</v>
      </c>
      <c r="DI778" s="15">
        <v>18.14</v>
      </c>
      <c r="DJ778" s="15">
        <v>40.0</v>
      </c>
      <c r="DK778" s="15">
        <v>1.0</v>
      </c>
      <c r="DR778" s="15" t="s">
        <v>1906</v>
      </c>
      <c r="DS778" s="15" t="s">
        <v>8278</v>
      </c>
      <c r="EF778" s="15" t="s">
        <v>4553</v>
      </c>
      <c r="EU778" s="15" t="s">
        <v>426</v>
      </c>
      <c r="EV778" s="15">
        <v>1.0</v>
      </c>
      <c r="FH778" s="15" t="s">
        <v>8289</v>
      </c>
      <c r="FI778" s="15" t="s">
        <v>612</v>
      </c>
      <c r="FJ778" s="15" t="s">
        <v>788</v>
      </c>
      <c r="FK778" s="15" t="s">
        <v>8277</v>
      </c>
      <c r="FL778" s="15" t="s">
        <v>612</v>
      </c>
      <c r="FM778" s="15" t="s">
        <v>8288</v>
      </c>
      <c r="FN778" s="15">
        <v>0.0</v>
      </c>
      <c r="FP778" s="15" t="s">
        <v>785</v>
      </c>
      <c r="FQ778" s="15">
        <v>2.0</v>
      </c>
      <c r="FR778" s="15" t="s">
        <v>614</v>
      </c>
      <c r="FS778" s="15" t="s">
        <v>1045</v>
      </c>
      <c r="FT778" s="15">
        <v>0.0</v>
      </c>
      <c r="FU778" s="15" t="s">
        <v>426</v>
      </c>
      <c r="FV778" s="15" t="s">
        <v>2898</v>
      </c>
      <c r="FW778" s="15" t="s">
        <v>616</v>
      </c>
      <c r="FY778" s="15">
        <v>0.0</v>
      </c>
      <c r="HF778" s="15" t="s">
        <v>789</v>
      </c>
      <c r="HQ778" s="15" t="s">
        <v>426</v>
      </c>
    </row>
    <row r="779" ht="17.25" customHeight="1">
      <c r="A779" s="15" t="s">
        <v>8292</v>
      </c>
      <c r="B779" s="15" t="str">
        <f>"801542627898"</f>
        <v>801542627898</v>
      </c>
      <c r="C779" s="15" t="s">
        <v>20727</v>
      </c>
      <c r="D779" s="15" t="str">
        <f t="shared" si="1"/>
        <v>Potter BedDover CrescentKing</v>
      </c>
      <c r="E779" s="15" t="s">
        <v>8290</v>
      </c>
      <c r="F779" s="15" t="s">
        <v>397</v>
      </c>
      <c r="G779" s="15" t="s">
        <v>1646</v>
      </c>
      <c r="H779" s="15" t="s">
        <v>265</v>
      </c>
      <c r="I779" s="15" t="s">
        <v>828</v>
      </c>
      <c r="J779" s="15" t="s">
        <v>1646</v>
      </c>
      <c r="K779" s="15" t="s">
        <v>1087</v>
      </c>
      <c r="M779" s="15" t="s">
        <v>915</v>
      </c>
      <c r="N779" s="15" t="s">
        <v>839</v>
      </c>
      <c r="O779" s="15" t="s">
        <v>828</v>
      </c>
      <c r="P779" s="15" t="str">
        <f>"82.5"</f>
        <v>82.5</v>
      </c>
      <c r="Q779" s="15" t="str">
        <f t="shared" ref="Q779:Q780" si="2200">"90"</f>
        <v>90</v>
      </c>
      <c r="R779" s="15" t="str">
        <f t="shared" ref="R779:R785" si="2201">"55"</f>
        <v>55</v>
      </c>
      <c r="S779" s="15" t="str">
        <f>"165.35"</f>
        <v>165.35</v>
      </c>
      <c r="T779" s="15" t="s">
        <v>8295</v>
      </c>
      <c r="U779" s="15" t="s">
        <v>11873</v>
      </c>
      <c r="V779" s="15" t="s">
        <v>11874</v>
      </c>
      <c r="W779" s="15" t="s">
        <v>11875</v>
      </c>
      <c r="X779" s="15" t="s">
        <v>11210</v>
      </c>
      <c r="AA779" s="15" t="s">
        <v>426</v>
      </c>
      <c r="AB779" s="15" t="s">
        <v>426</v>
      </c>
      <c r="AC779" s="15" t="s">
        <v>8297</v>
      </c>
      <c r="AD779" s="15" t="s">
        <v>20728</v>
      </c>
      <c r="AE779" s="15" t="s">
        <v>8294</v>
      </c>
      <c r="AF779" s="15" t="s">
        <v>20729</v>
      </c>
      <c r="AG779" s="15" t="s">
        <v>20730</v>
      </c>
      <c r="AH779" s="15" t="s">
        <v>20731</v>
      </c>
      <c r="AI779" s="15" t="s">
        <v>20732</v>
      </c>
      <c r="AJ779" s="15" t="s">
        <v>20733</v>
      </c>
      <c r="AK779" s="15" t="s">
        <v>20734</v>
      </c>
      <c r="AL779" s="15" t="s">
        <v>20735</v>
      </c>
      <c r="AM779" s="15" t="s">
        <v>20736</v>
      </c>
      <c r="AN779" s="15" t="s">
        <v>20737</v>
      </c>
      <c r="AO779" s="15" t="s">
        <v>20738</v>
      </c>
      <c r="AP779" s="15" t="s">
        <v>20739</v>
      </c>
      <c r="AQ779" s="15" t="s">
        <v>20740</v>
      </c>
      <c r="AR779" s="15" t="s">
        <v>20741</v>
      </c>
      <c r="BH779" s="15" t="s">
        <v>8291</v>
      </c>
      <c r="BI779" s="15" t="str">
        <f>"2399"</f>
        <v>2399</v>
      </c>
      <c r="BJ779" s="15" t="str">
        <f>"1010"</f>
        <v>1010</v>
      </c>
      <c r="BK779" s="15" t="s">
        <v>709</v>
      </c>
      <c r="BL779" s="15" t="str">
        <f t="shared" ref="BL779:BL785" si="2202">"3"</f>
        <v>3</v>
      </c>
      <c r="BM779" s="15" t="s">
        <v>926</v>
      </c>
      <c r="BN779" s="15" t="str">
        <f>"83.86"</f>
        <v>83.86</v>
      </c>
      <c r="BO779" s="15" t="str">
        <f>"14.17"</f>
        <v>14.17</v>
      </c>
      <c r="BP779" s="15" t="str">
        <f>"50.98"</f>
        <v>50.98</v>
      </c>
      <c r="BQ779" s="15" t="str">
        <f>"110.23"</f>
        <v>110.23</v>
      </c>
      <c r="BR779" s="15" t="s">
        <v>5840</v>
      </c>
      <c r="BS779" s="15" t="str">
        <f t="shared" ref="BS779:BS780" si="2203">"85.75"</f>
        <v>85.75</v>
      </c>
      <c r="BT779" s="15" t="str">
        <f t="shared" ref="BT779:BT785" si="2204">"9.06"</f>
        <v>9.06</v>
      </c>
      <c r="BU779" s="15" t="str">
        <f t="shared" ref="BU779:BU780" si="2205">"10.24"</f>
        <v>10.24</v>
      </c>
      <c r="BV779" s="15" t="str">
        <f t="shared" ref="BV779:BV780" si="2206">"47.84"</f>
        <v>47.84</v>
      </c>
      <c r="BW779" s="15" t="s">
        <v>917</v>
      </c>
      <c r="BX779" s="15" t="str">
        <f t="shared" ref="BX779:BX780" si="2207">"81.73"</f>
        <v>81.73</v>
      </c>
      <c r="BY779" s="15" t="str">
        <f t="shared" ref="BY779:BY780" si="2208">"5.39"</f>
        <v>5.39</v>
      </c>
      <c r="BZ779" s="15" t="str">
        <f>"40.35"</f>
        <v>40.35</v>
      </c>
      <c r="CA779" s="15" t="str">
        <f>"52.91"</f>
        <v>52.91</v>
      </c>
      <c r="CG779" s="15" t="str">
        <f>"49.97"</f>
        <v>49.97</v>
      </c>
      <c r="CH779" s="15" t="str">
        <f>"1.415"</f>
        <v>1.415</v>
      </c>
      <c r="CI779" s="15" t="s">
        <v>497</v>
      </c>
      <c r="CY779" s="15" t="s">
        <v>855</v>
      </c>
      <c r="CZ779" s="15" t="s">
        <v>419</v>
      </c>
      <c r="DA779" s="15">
        <v>0.0</v>
      </c>
      <c r="DB779" s="15" t="s">
        <v>419</v>
      </c>
      <c r="DD779" s="15">
        <v>0.0</v>
      </c>
      <c r="DF779" s="15" t="s">
        <v>721</v>
      </c>
      <c r="DG779" s="15" t="s">
        <v>419</v>
      </c>
      <c r="DI779" s="15">
        <v>0.0</v>
      </c>
      <c r="DJ779" s="15">
        <v>0.0</v>
      </c>
      <c r="DK779" s="15">
        <v>0.0</v>
      </c>
      <c r="DL779" s="15">
        <v>25000.0</v>
      </c>
      <c r="DS779" s="15" t="s">
        <v>8300</v>
      </c>
      <c r="DU779" s="15" t="s">
        <v>858</v>
      </c>
      <c r="EO779" s="15" t="s">
        <v>8301</v>
      </c>
      <c r="EV779" s="15">
        <v>0.0</v>
      </c>
      <c r="HV779" s="15" t="s">
        <v>505</v>
      </c>
      <c r="HW779" s="15" t="s">
        <v>505</v>
      </c>
      <c r="HX779" s="15" t="s">
        <v>505</v>
      </c>
      <c r="HY779" s="15" t="s">
        <v>1288</v>
      </c>
      <c r="HZ779" s="15" t="s">
        <v>1807</v>
      </c>
      <c r="IA779" s="15" t="s">
        <v>4844</v>
      </c>
      <c r="IB779" s="15" t="s">
        <v>2337</v>
      </c>
      <c r="IC779" s="15" t="s">
        <v>1329</v>
      </c>
      <c r="ID779" s="15" t="s">
        <v>4844</v>
      </c>
      <c r="IE779" s="15" t="s">
        <v>6260</v>
      </c>
      <c r="IF779" s="15" t="s">
        <v>672</v>
      </c>
      <c r="IG779" s="15" t="s">
        <v>3007</v>
      </c>
      <c r="IH779" s="15" t="s">
        <v>2116</v>
      </c>
      <c r="II779" s="15" t="s">
        <v>4508</v>
      </c>
      <c r="IJ779" s="15" t="s">
        <v>1807</v>
      </c>
      <c r="IK779" s="15" t="s">
        <v>426</v>
      </c>
      <c r="IL779" s="15" t="s">
        <v>871</v>
      </c>
      <c r="IM779" s="15" t="s">
        <v>872</v>
      </c>
      <c r="IN779" s="15" t="s">
        <v>873</v>
      </c>
      <c r="IO779" s="15" t="s">
        <v>828</v>
      </c>
      <c r="IU779" s="15" t="s">
        <v>635</v>
      </c>
      <c r="IV779" s="15" t="s">
        <v>1576</v>
      </c>
      <c r="IX779" s="15" t="s">
        <v>426</v>
      </c>
      <c r="IY779" s="15" t="s">
        <v>875</v>
      </c>
      <c r="JB779" s="15" t="s">
        <v>6260</v>
      </c>
      <c r="JC779" s="15" t="s">
        <v>6331</v>
      </c>
    </row>
    <row r="780" ht="17.25" customHeight="1">
      <c r="A780" s="15" t="s">
        <v>8303</v>
      </c>
      <c r="B780" s="15" t="str">
        <f>"801542618544"</f>
        <v>801542618544</v>
      </c>
      <c r="C780" s="15" t="s">
        <v>20727</v>
      </c>
      <c r="D780" s="15" t="str">
        <f t="shared" si="1"/>
        <v>Potter BedDover CrescentQueen</v>
      </c>
      <c r="E780" s="15" t="s">
        <v>8290</v>
      </c>
      <c r="F780" s="15" t="s">
        <v>397</v>
      </c>
      <c r="G780" s="15" t="s">
        <v>1646</v>
      </c>
      <c r="H780" s="15" t="s">
        <v>265</v>
      </c>
      <c r="I780" s="15" t="s">
        <v>877</v>
      </c>
      <c r="J780" s="15" t="s">
        <v>1646</v>
      </c>
      <c r="K780" s="15" t="s">
        <v>1087</v>
      </c>
      <c r="M780" s="15" t="s">
        <v>915</v>
      </c>
      <c r="N780" s="15" t="s">
        <v>839</v>
      </c>
      <c r="O780" s="15" t="s">
        <v>877</v>
      </c>
      <c r="P780" s="15" t="str">
        <f>"66"</f>
        <v>66</v>
      </c>
      <c r="Q780" s="15" t="str">
        <f t="shared" si="2200"/>
        <v>90</v>
      </c>
      <c r="R780" s="15" t="str">
        <f t="shared" si="2201"/>
        <v>55</v>
      </c>
      <c r="S780" s="15" t="str">
        <f>"156.53"</f>
        <v>156.53</v>
      </c>
      <c r="T780" s="15" t="s">
        <v>8295</v>
      </c>
      <c r="U780" s="15" t="s">
        <v>11873</v>
      </c>
      <c r="V780" s="15" t="s">
        <v>11874</v>
      </c>
      <c r="W780" s="15" t="s">
        <v>11875</v>
      </c>
      <c r="X780" s="15" t="s">
        <v>11210</v>
      </c>
      <c r="AA780" s="15" t="s">
        <v>426</v>
      </c>
      <c r="AB780" s="15" t="s">
        <v>426</v>
      </c>
      <c r="AC780" s="15" t="s">
        <v>8297</v>
      </c>
      <c r="AD780" s="15" t="s">
        <v>20742</v>
      </c>
      <c r="AE780" s="15" t="s">
        <v>8304</v>
      </c>
      <c r="AF780" s="15" t="s">
        <v>20743</v>
      </c>
      <c r="AG780" s="15" t="s">
        <v>20744</v>
      </c>
      <c r="AH780" s="15" t="s">
        <v>20731</v>
      </c>
      <c r="AI780" s="15" t="s">
        <v>20745</v>
      </c>
      <c r="AJ780" s="15" t="s">
        <v>20746</v>
      </c>
      <c r="AK780" s="15" t="s">
        <v>20747</v>
      </c>
      <c r="AL780" s="15" t="s">
        <v>20748</v>
      </c>
      <c r="AM780" s="15" t="s">
        <v>20749</v>
      </c>
      <c r="AN780" s="15" t="s">
        <v>20750</v>
      </c>
      <c r="AO780" s="15" t="s">
        <v>20751</v>
      </c>
      <c r="AP780" s="15" t="s">
        <v>20752</v>
      </c>
      <c r="AQ780" s="15" t="s">
        <v>20753</v>
      </c>
      <c r="AR780" s="15" t="s">
        <v>20754</v>
      </c>
      <c r="BH780" s="15" t="s">
        <v>8302</v>
      </c>
      <c r="BI780" s="15" t="str">
        <f>"2099"</f>
        <v>2099</v>
      </c>
      <c r="BJ780" s="15" t="str">
        <f>"885"</f>
        <v>885</v>
      </c>
      <c r="BK780" s="15" t="s">
        <v>709</v>
      </c>
      <c r="BL780" s="15" t="str">
        <f t="shared" si="2202"/>
        <v>3</v>
      </c>
      <c r="BM780" s="15" t="s">
        <v>8305</v>
      </c>
      <c r="BN780" s="15" t="str">
        <f>"67.32"</f>
        <v>67.32</v>
      </c>
      <c r="BO780" s="15" t="str">
        <f>"50.98"</f>
        <v>50.98</v>
      </c>
      <c r="BP780" s="15" t="str">
        <f>"14.17"</f>
        <v>14.17</v>
      </c>
      <c r="BQ780" s="15" t="str">
        <f>"99.65"</f>
        <v>99.65</v>
      </c>
      <c r="BR780" s="15" t="s">
        <v>2966</v>
      </c>
      <c r="BS780" s="15" t="str">
        <f t="shared" si="2203"/>
        <v>85.75</v>
      </c>
      <c r="BT780" s="15" t="str">
        <f t="shared" si="2204"/>
        <v>9.06</v>
      </c>
      <c r="BU780" s="15" t="str">
        <f t="shared" si="2205"/>
        <v>10.24</v>
      </c>
      <c r="BV780" s="15" t="str">
        <f t="shared" si="2206"/>
        <v>47.84</v>
      </c>
      <c r="BW780" s="15" t="s">
        <v>917</v>
      </c>
      <c r="BX780" s="15" t="str">
        <f t="shared" si="2207"/>
        <v>81.73</v>
      </c>
      <c r="BY780" s="15" t="str">
        <f t="shared" si="2208"/>
        <v>5.39</v>
      </c>
      <c r="BZ780" s="15" t="str">
        <f>"32.28"</f>
        <v>32.28</v>
      </c>
      <c r="CA780" s="15" t="str">
        <f>"43.87"</f>
        <v>43.87</v>
      </c>
      <c r="CG780" s="15" t="str">
        <f>"40.97"</f>
        <v>40.97</v>
      </c>
      <c r="CH780" s="15" t="str">
        <f>"1.16"</f>
        <v>1.16</v>
      </c>
      <c r="CI780" s="15" t="s">
        <v>497</v>
      </c>
      <c r="CY780" s="15" t="s">
        <v>855</v>
      </c>
      <c r="CZ780" s="15" t="s">
        <v>419</v>
      </c>
      <c r="DA780" s="15">
        <v>0.0</v>
      </c>
      <c r="DB780" s="15" t="s">
        <v>419</v>
      </c>
      <c r="DD780" s="15">
        <v>0.0</v>
      </c>
      <c r="DF780" s="15" t="s">
        <v>721</v>
      </c>
      <c r="DG780" s="15" t="s">
        <v>419</v>
      </c>
      <c r="DI780" s="15">
        <v>0.0</v>
      </c>
      <c r="DJ780" s="15">
        <v>0.0</v>
      </c>
      <c r="DK780" s="15">
        <v>0.0</v>
      </c>
      <c r="DL780" s="15">
        <v>25000.0</v>
      </c>
      <c r="DS780" s="15" t="s">
        <v>8300</v>
      </c>
      <c r="DU780" s="15" t="s">
        <v>858</v>
      </c>
      <c r="EO780" s="15" t="s">
        <v>8301</v>
      </c>
      <c r="EV780" s="15">
        <v>0.0</v>
      </c>
      <c r="HV780" s="15" t="s">
        <v>505</v>
      </c>
      <c r="HW780" s="15" t="s">
        <v>505</v>
      </c>
      <c r="HX780" s="15" t="s">
        <v>505</v>
      </c>
      <c r="HY780" s="15" t="s">
        <v>1288</v>
      </c>
      <c r="HZ780" s="15" t="s">
        <v>1807</v>
      </c>
      <c r="IA780" s="15" t="s">
        <v>2570</v>
      </c>
      <c r="IB780" s="15" t="s">
        <v>2337</v>
      </c>
      <c r="IC780" s="15" t="s">
        <v>1329</v>
      </c>
      <c r="ID780" s="15" t="s">
        <v>2570</v>
      </c>
      <c r="IE780" s="15" t="s">
        <v>6260</v>
      </c>
      <c r="IF780" s="15" t="s">
        <v>672</v>
      </c>
      <c r="IG780" s="15" t="s">
        <v>1682</v>
      </c>
      <c r="IH780" s="15" t="s">
        <v>2116</v>
      </c>
      <c r="II780" s="15" t="s">
        <v>4508</v>
      </c>
      <c r="IJ780" s="15" t="s">
        <v>1807</v>
      </c>
      <c r="IK780" s="15" t="s">
        <v>426</v>
      </c>
      <c r="IL780" s="15" t="s">
        <v>871</v>
      </c>
      <c r="IM780" s="15" t="s">
        <v>872</v>
      </c>
      <c r="IN780" s="15" t="s">
        <v>873</v>
      </c>
      <c r="IO780" s="15" t="s">
        <v>877</v>
      </c>
      <c r="IU780" s="15" t="s">
        <v>635</v>
      </c>
      <c r="IV780" s="15" t="s">
        <v>1576</v>
      </c>
      <c r="IX780" s="15" t="s">
        <v>426</v>
      </c>
      <c r="IY780" s="15" t="s">
        <v>875</v>
      </c>
      <c r="JB780" s="15" t="s">
        <v>6260</v>
      </c>
      <c r="JC780" s="15" t="s">
        <v>6826</v>
      </c>
    </row>
    <row r="781" ht="17.25" customHeight="1">
      <c r="A781" s="15" t="s">
        <v>8308</v>
      </c>
      <c r="B781" s="15" t="str">
        <f>"198394083386"</f>
        <v>198394083386</v>
      </c>
      <c r="C781" s="15" t="s">
        <v>20727</v>
      </c>
      <c r="D781" s="15" t="str">
        <f t="shared" si="1"/>
        <v>Potter BedDover CrescentTwin</v>
      </c>
      <c r="E781" s="15" t="s">
        <v>8290</v>
      </c>
      <c r="F781" s="15" t="s">
        <v>397</v>
      </c>
      <c r="G781" s="15" t="s">
        <v>1646</v>
      </c>
      <c r="H781" s="15" t="s">
        <v>265</v>
      </c>
      <c r="I781" s="15" t="s">
        <v>3025</v>
      </c>
      <c r="J781" s="15" t="s">
        <v>1646</v>
      </c>
      <c r="K781" s="15" t="s">
        <v>1087</v>
      </c>
      <c r="M781" s="15" t="s">
        <v>915</v>
      </c>
      <c r="N781" s="15" t="s">
        <v>839</v>
      </c>
      <c r="O781" s="15" t="s">
        <v>3025</v>
      </c>
      <c r="P781" s="15" t="str">
        <f>"45"</f>
        <v>45</v>
      </c>
      <c r="Q781" s="15" t="str">
        <f>"85.5"</f>
        <v>85.5</v>
      </c>
      <c r="R781" s="15" t="str">
        <f t="shared" si="2201"/>
        <v>55</v>
      </c>
      <c r="S781" s="15" t="str">
        <f>"114.42"</f>
        <v>114.42</v>
      </c>
      <c r="T781" s="15" t="s">
        <v>8295</v>
      </c>
      <c r="U781" s="15" t="s">
        <v>11873</v>
      </c>
      <c r="V781" s="15" t="s">
        <v>11874</v>
      </c>
      <c r="W781" s="15" t="s">
        <v>11875</v>
      </c>
      <c r="X781" s="15" t="s">
        <v>11210</v>
      </c>
      <c r="AA781" s="15" t="s">
        <v>426</v>
      </c>
      <c r="AB781" s="15" t="s">
        <v>426</v>
      </c>
      <c r="AC781" s="15" t="s">
        <v>8311</v>
      </c>
      <c r="AD781" s="15" t="s">
        <v>20755</v>
      </c>
      <c r="AE781" s="15" t="s">
        <v>8310</v>
      </c>
      <c r="AF781" s="15" t="s">
        <v>20756</v>
      </c>
      <c r="AG781" s="15" t="s">
        <v>20757</v>
      </c>
      <c r="AH781" s="15" t="s">
        <v>20758</v>
      </c>
      <c r="AI781" s="15" t="s">
        <v>20759</v>
      </c>
      <c r="AJ781" s="15" t="s">
        <v>20760</v>
      </c>
      <c r="AK781" s="15" t="s">
        <v>20761</v>
      </c>
      <c r="AL781" s="15" t="s">
        <v>20762</v>
      </c>
      <c r="AM781" s="15" t="s">
        <v>20763</v>
      </c>
      <c r="AN781" s="15" t="s">
        <v>20764</v>
      </c>
      <c r="AO781" s="15" t="s">
        <v>20765</v>
      </c>
      <c r="AP781" s="15" t="s">
        <v>20766</v>
      </c>
      <c r="BH781" s="15" t="s">
        <v>8307</v>
      </c>
      <c r="BI781" s="15" t="str">
        <f>"1449"</f>
        <v>1449</v>
      </c>
      <c r="BJ781" s="15" t="str">
        <f>"610"</f>
        <v>610</v>
      </c>
      <c r="BK781" s="15" t="s">
        <v>709</v>
      </c>
      <c r="BL781" s="15" t="str">
        <f t="shared" si="2202"/>
        <v>3</v>
      </c>
      <c r="BM781" s="15" t="s">
        <v>926</v>
      </c>
      <c r="BN781" s="15" t="str">
        <f>"45.28"</f>
        <v>45.28</v>
      </c>
      <c r="BO781" s="15" t="str">
        <f>"14.17"</f>
        <v>14.17</v>
      </c>
      <c r="BP781" s="15" t="str">
        <f>"50.98"</f>
        <v>50.98</v>
      </c>
      <c r="BQ781" s="15" t="str">
        <f>"74.3"</f>
        <v>74.3</v>
      </c>
      <c r="BR781" s="15" t="s">
        <v>2966</v>
      </c>
      <c r="BS781" s="15" t="str">
        <f>"70.87"</f>
        <v>70.87</v>
      </c>
      <c r="BT781" s="15" t="str">
        <f t="shared" si="2204"/>
        <v>9.06</v>
      </c>
      <c r="BU781" s="15" t="str">
        <f>"9.06"</f>
        <v>9.06</v>
      </c>
      <c r="BV781" s="15" t="str">
        <f>"33.51"</f>
        <v>33.51</v>
      </c>
      <c r="BW781" s="15" t="s">
        <v>917</v>
      </c>
      <c r="BX781" s="15" t="str">
        <f>"75.98"</f>
        <v>75.98</v>
      </c>
      <c r="BY781" s="15" t="str">
        <f>"3.94"</f>
        <v>3.94</v>
      </c>
      <c r="BZ781" s="15" t="str">
        <f>"40.55"</f>
        <v>40.55</v>
      </c>
      <c r="CA781" s="15" t="str">
        <f>"32.41"</f>
        <v>32.41</v>
      </c>
      <c r="CG781" s="15" t="str">
        <f>"29.31"</f>
        <v>29.31</v>
      </c>
      <c r="CH781" s="15" t="str">
        <f>"0.83"</f>
        <v>0.83</v>
      </c>
      <c r="CI781" s="15" t="s">
        <v>465</v>
      </c>
      <c r="CY781" s="15" t="s">
        <v>855</v>
      </c>
      <c r="CZ781" s="15" t="s">
        <v>419</v>
      </c>
      <c r="DA781" s="15">
        <v>0.0</v>
      </c>
      <c r="DB781" s="15" t="s">
        <v>419</v>
      </c>
      <c r="DD781" s="15">
        <v>0.0</v>
      </c>
      <c r="DF781" s="15" t="s">
        <v>721</v>
      </c>
      <c r="DG781" s="15" t="s">
        <v>419</v>
      </c>
      <c r="DI781" s="15">
        <v>0.0</v>
      </c>
      <c r="DJ781" s="15">
        <v>0.0</v>
      </c>
      <c r="DK781" s="15">
        <v>0.0</v>
      </c>
      <c r="DL781" s="15">
        <v>25000.0</v>
      </c>
      <c r="DS781" s="15" t="s">
        <v>8300</v>
      </c>
      <c r="DU781" s="15" t="s">
        <v>858</v>
      </c>
      <c r="EO781" s="15" t="s">
        <v>8301</v>
      </c>
      <c r="EV781" s="15">
        <v>0.0</v>
      </c>
      <c r="HV781" s="15" t="s">
        <v>505</v>
      </c>
      <c r="HW781" s="15" t="s">
        <v>505</v>
      </c>
      <c r="HX781" s="15" t="s">
        <v>505</v>
      </c>
      <c r="HY781" s="15" t="s">
        <v>1288</v>
      </c>
      <c r="HZ781" s="15" t="s">
        <v>1807</v>
      </c>
      <c r="IA781" s="15" t="s">
        <v>996</v>
      </c>
      <c r="IB781" s="15" t="s">
        <v>2337</v>
      </c>
      <c r="IC781" s="15" t="s">
        <v>1329</v>
      </c>
      <c r="ID781" s="15" t="s">
        <v>996</v>
      </c>
      <c r="IE781" s="15" t="s">
        <v>6331</v>
      </c>
      <c r="IF781" s="15" t="s">
        <v>672</v>
      </c>
      <c r="IG781" s="15" t="s">
        <v>671</v>
      </c>
      <c r="IH781" s="15" t="s">
        <v>2116</v>
      </c>
      <c r="II781" s="15" t="s">
        <v>4508</v>
      </c>
      <c r="IJ781" s="15" t="s">
        <v>1807</v>
      </c>
      <c r="IK781" s="15" t="s">
        <v>426</v>
      </c>
      <c r="IL781" s="15" t="s">
        <v>871</v>
      </c>
      <c r="IM781" s="15" t="s">
        <v>872</v>
      </c>
      <c r="IN781" s="15" t="s">
        <v>873</v>
      </c>
      <c r="IO781" s="15" t="s">
        <v>3025</v>
      </c>
      <c r="IU781" s="15" t="s">
        <v>635</v>
      </c>
      <c r="IV781" s="15" t="s">
        <v>1576</v>
      </c>
      <c r="IX781" s="15" t="s">
        <v>426</v>
      </c>
      <c r="IY781" s="15" t="s">
        <v>875</v>
      </c>
      <c r="JB781" s="15" t="s">
        <v>6331</v>
      </c>
      <c r="JC781" s="15" t="s">
        <v>2403</v>
      </c>
    </row>
    <row r="782" ht="17.25" customHeight="1">
      <c r="A782" s="15" t="s">
        <v>8317</v>
      </c>
      <c r="B782" s="15" t="str">
        <f>"801542678401"</f>
        <v>801542678401</v>
      </c>
      <c r="C782" s="15" t="s">
        <v>20767</v>
      </c>
      <c r="D782" s="15" t="str">
        <f t="shared" si="1"/>
        <v>Potter BedManor GreyQueen</v>
      </c>
      <c r="E782" s="15" t="s">
        <v>8290</v>
      </c>
      <c r="F782" s="15" t="s">
        <v>397</v>
      </c>
      <c r="G782" s="15" t="s">
        <v>8316</v>
      </c>
      <c r="H782" s="15" t="s">
        <v>265</v>
      </c>
      <c r="I782" s="15" t="s">
        <v>877</v>
      </c>
      <c r="J782" s="15" t="s">
        <v>8316</v>
      </c>
      <c r="K782" s="15" t="s">
        <v>1087</v>
      </c>
      <c r="M782" s="15" t="s">
        <v>915</v>
      </c>
      <c r="N782" s="15" t="s">
        <v>839</v>
      </c>
      <c r="O782" s="15" t="s">
        <v>877</v>
      </c>
      <c r="P782" s="15" t="str">
        <f>"66"</f>
        <v>66</v>
      </c>
      <c r="Q782" s="15" t="str">
        <f t="shared" ref="Q782:Q785" si="2209">"90"</f>
        <v>90</v>
      </c>
      <c r="R782" s="15" t="str">
        <f t="shared" si="2201"/>
        <v>55</v>
      </c>
      <c r="S782" s="15" t="str">
        <f>"156.53"</f>
        <v>156.53</v>
      </c>
      <c r="T782" s="15" t="s">
        <v>832</v>
      </c>
      <c r="U782" s="15" t="s">
        <v>11209</v>
      </c>
      <c r="V782" s="15" t="s">
        <v>11210</v>
      </c>
      <c r="AA782" s="15" t="s">
        <v>413</v>
      </c>
      <c r="AB782" s="15" t="s">
        <v>413</v>
      </c>
      <c r="AC782" s="15" t="s">
        <v>8319</v>
      </c>
      <c r="AD782" s="15" t="s">
        <v>20768</v>
      </c>
      <c r="AE782" s="15" t="s">
        <v>8318</v>
      </c>
      <c r="AF782" s="15" t="s">
        <v>20769</v>
      </c>
      <c r="AG782" s="15" t="s">
        <v>20770</v>
      </c>
      <c r="AH782" s="15" t="s">
        <v>20771</v>
      </c>
      <c r="AI782" s="15" t="s">
        <v>20772</v>
      </c>
      <c r="AJ782" s="15" t="s">
        <v>20773</v>
      </c>
      <c r="AK782" s="15" t="s">
        <v>20774</v>
      </c>
      <c r="AL782" s="15" t="s">
        <v>20775</v>
      </c>
      <c r="AM782" s="15" t="s">
        <v>20776</v>
      </c>
      <c r="AN782" s="15" t="s">
        <v>20777</v>
      </c>
      <c r="AO782" s="15" t="s">
        <v>20778</v>
      </c>
      <c r="BH782" s="15" t="s">
        <v>8315</v>
      </c>
      <c r="BI782" s="15" t="str">
        <f>"2099"</f>
        <v>2099</v>
      </c>
      <c r="BJ782" s="15" t="str">
        <f>"885"</f>
        <v>885</v>
      </c>
      <c r="BK782" s="15" t="s">
        <v>709</v>
      </c>
      <c r="BL782" s="15" t="str">
        <f t="shared" si="2202"/>
        <v>3</v>
      </c>
      <c r="BM782" s="15" t="s">
        <v>926</v>
      </c>
      <c r="BN782" s="15" t="str">
        <f>"67.32"</f>
        <v>67.32</v>
      </c>
      <c r="BO782" s="15" t="str">
        <f>"50.98"</f>
        <v>50.98</v>
      </c>
      <c r="BP782" s="15" t="str">
        <f>"14.17"</f>
        <v>14.17</v>
      </c>
      <c r="BQ782" s="15" t="str">
        <f>"99.65"</f>
        <v>99.65</v>
      </c>
      <c r="BR782" s="15" t="s">
        <v>5840</v>
      </c>
      <c r="BS782" s="15" t="str">
        <f t="shared" ref="BS782:BS785" si="2210">"85.75"</f>
        <v>85.75</v>
      </c>
      <c r="BT782" s="15" t="str">
        <f t="shared" si="2204"/>
        <v>9.06</v>
      </c>
      <c r="BU782" s="15" t="str">
        <f t="shared" ref="BU782:BU785" si="2211">"10.24"</f>
        <v>10.24</v>
      </c>
      <c r="BV782" s="15" t="str">
        <f t="shared" ref="BV782:BV785" si="2212">"47.84"</f>
        <v>47.84</v>
      </c>
      <c r="BW782" s="15" t="s">
        <v>917</v>
      </c>
      <c r="BX782" s="15" t="str">
        <f t="shared" ref="BX782:BX785" si="2213">"81.73"</f>
        <v>81.73</v>
      </c>
      <c r="BY782" s="15" t="str">
        <f t="shared" ref="BY782:BY785" si="2214">"5.39"</f>
        <v>5.39</v>
      </c>
      <c r="BZ782" s="15" t="str">
        <f>"32.28"</f>
        <v>32.28</v>
      </c>
      <c r="CA782" s="15" t="str">
        <f>"43.87"</f>
        <v>43.87</v>
      </c>
      <c r="CG782" s="15" t="str">
        <f>"40.97"</f>
        <v>40.97</v>
      </c>
      <c r="CH782" s="15" t="str">
        <f>"1.16"</f>
        <v>1.16</v>
      </c>
      <c r="CI782" s="15" t="s">
        <v>417</v>
      </c>
      <c r="CY782" s="15" t="s">
        <v>897</v>
      </c>
      <c r="CZ782" s="15" t="s">
        <v>419</v>
      </c>
      <c r="DA782" s="15">
        <v>0.0</v>
      </c>
      <c r="DB782" s="15" t="s">
        <v>419</v>
      </c>
      <c r="DD782" s="15">
        <v>0.0</v>
      </c>
      <c r="DF782" s="15" t="s">
        <v>721</v>
      </c>
      <c r="DG782" s="15" t="s">
        <v>419</v>
      </c>
      <c r="DI782" s="15">
        <v>0.0</v>
      </c>
      <c r="DJ782" s="15">
        <v>0.0</v>
      </c>
      <c r="DK782" s="15">
        <v>0.0</v>
      </c>
      <c r="DL782" s="15">
        <v>25000.0</v>
      </c>
      <c r="DS782" s="15" t="s">
        <v>8300</v>
      </c>
      <c r="DU782" s="15" t="s">
        <v>858</v>
      </c>
      <c r="EO782" s="15" t="s">
        <v>8301</v>
      </c>
      <c r="EV782" s="15">
        <v>0.0</v>
      </c>
      <c r="HV782" s="15" t="s">
        <v>505</v>
      </c>
      <c r="HW782" s="15" t="s">
        <v>505</v>
      </c>
      <c r="HX782" s="15" t="s">
        <v>505</v>
      </c>
      <c r="HY782" s="15" t="s">
        <v>1288</v>
      </c>
      <c r="HZ782" s="15" t="s">
        <v>1807</v>
      </c>
      <c r="IA782" s="15" t="s">
        <v>2570</v>
      </c>
      <c r="IB782" s="15" t="s">
        <v>2337</v>
      </c>
      <c r="IC782" s="15" t="s">
        <v>1329</v>
      </c>
      <c r="ID782" s="15" t="s">
        <v>2570</v>
      </c>
      <c r="IE782" s="15" t="s">
        <v>6260</v>
      </c>
      <c r="IF782" s="15" t="s">
        <v>672</v>
      </c>
      <c r="IG782" s="15" t="s">
        <v>1682</v>
      </c>
      <c r="IH782" s="15" t="s">
        <v>2116</v>
      </c>
      <c r="II782" s="15" t="s">
        <v>4508</v>
      </c>
      <c r="IJ782" s="15" t="s">
        <v>1807</v>
      </c>
      <c r="IK782" s="15" t="s">
        <v>426</v>
      </c>
      <c r="IL782" s="15" t="s">
        <v>871</v>
      </c>
      <c r="IM782" s="15" t="s">
        <v>872</v>
      </c>
      <c r="IN782" s="15" t="s">
        <v>873</v>
      </c>
      <c r="IO782" s="15" t="s">
        <v>877</v>
      </c>
      <c r="IU782" s="15" t="s">
        <v>635</v>
      </c>
      <c r="IV782" s="15" t="s">
        <v>1576</v>
      </c>
      <c r="IX782" s="15" t="s">
        <v>426</v>
      </c>
      <c r="IY782" s="15" t="s">
        <v>875</v>
      </c>
      <c r="JB782" s="15" t="s">
        <v>6260</v>
      </c>
      <c r="JC782" s="15" t="s">
        <v>6826</v>
      </c>
    </row>
    <row r="783" ht="17.25" customHeight="1">
      <c r="A783" s="15" t="s">
        <v>8321</v>
      </c>
      <c r="B783" s="15" t="str">
        <f>"801542678371"</f>
        <v>801542678371</v>
      </c>
      <c r="C783" s="15" t="s">
        <v>20767</v>
      </c>
      <c r="D783" s="15" t="str">
        <f t="shared" si="1"/>
        <v>Potter BedManor GreyKing</v>
      </c>
      <c r="E783" s="15" t="s">
        <v>8290</v>
      </c>
      <c r="F783" s="15" t="s">
        <v>397</v>
      </c>
      <c r="G783" s="15" t="s">
        <v>8316</v>
      </c>
      <c r="H783" s="15" t="s">
        <v>265</v>
      </c>
      <c r="I783" s="15" t="s">
        <v>828</v>
      </c>
      <c r="J783" s="15" t="s">
        <v>8316</v>
      </c>
      <c r="K783" s="15" t="s">
        <v>1087</v>
      </c>
      <c r="M783" s="15" t="s">
        <v>915</v>
      </c>
      <c r="N783" s="15" t="s">
        <v>839</v>
      </c>
      <c r="O783" s="15" t="s">
        <v>828</v>
      </c>
      <c r="P783" s="15" t="str">
        <f t="shared" ref="P783:P784" si="2215">"82.5"</f>
        <v>82.5</v>
      </c>
      <c r="Q783" s="15" t="str">
        <f t="shared" si="2209"/>
        <v>90</v>
      </c>
      <c r="R783" s="15" t="str">
        <f t="shared" si="2201"/>
        <v>55</v>
      </c>
      <c r="S783" s="15" t="str">
        <f t="shared" ref="S783:S784" si="2216">"165.35"</f>
        <v>165.35</v>
      </c>
      <c r="T783" s="15" t="s">
        <v>832</v>
      </c>
      <c r="U783" s="15" t="s">
        <v>11209</v>
      </c>
      <c r="V783" s="15" t="s">
        <v>11210</v>
      </c>
      <c r="AA783" s="15" t="s">
        <v>413</v>
      </c>
      <c r="AB783" s="15" t="s">
        <v>413</v>
      </c>
      <c r="AC783" s="15" t="s">
        <v>8319</v>
      </c>
      <c r="AD783" s="15" t="s">
        <v>20779</v>
      </c>
      <c r="AE783" s="15" t="s">
        <v>8322</v>
      </c>
      <c r="AF783" s="15" t="s">
        <v>20780</v>
      </c>
      <c r="AG783" s="15" t="s">
        <v>20781</v>
      </c>
      <c r="AH783" s="15" t="s">
        <v>20771</v>
      </c>
      <c r="AI783" s="15" t="s">
        <v>20782</v>
      </c>
      <c r="AJ783" s="15" t="s">
        <v>20783</v>
      </c>
      <c r="AK783" s="15" t="s">
        <v>20784</v>
      </c>
      <c r="AL783" s="15" t="s">
        <v>20785</v>
      </c>
      <c r="AM783" s="15" t="s">
        <v>20786</v>
      </c>
      <c r="AN783" s="15" t="s">
        <v>20787</v>
      </c>
      <c r="AO783" s="15" t="s">
        <v>20788</v>
      </c>
      <c r="AP783" s="15" t="s">
        <v>20789</v>
      </c>
      <c r="BH783" s="15" t="s">
        <v>8320</v>
      </c>
      <c r="BI783" s="15" t="str">
        <f t="shared" ref="BI783:BI784" si="2217">"2399"</f>
        <v>2399</v>
      </c>
      <c r="BJ783" s="15" t="str">
        <f t="shared" ref="BJ783:BJ784" si="2218">"1010"</f>
        <v>1010</v>
      </c>
      <c r="BK783" s="15" t="s">
        <v>709</v>
      </c>
      <c r="BL783" s="15" t="str">
        <f t="shared" si="2202"/>
        <v>3</v>
      </c>
      <c r="BM783" s="15" t="s">
        <v>926</v>
      </c>
      <c r="BN783" s="15" t="str">
        <f t="shared" ref="BN783:BN784" si="2219">"83.86"</f>
        <v>83.86</v>
      </c>
      <c r="BO783" s="15" t="str">
        <f t="shared" ref="BO783:BO784" si="2220">"14.17"</f>
        <v>14.17</v>
      </c>
      <c r="BP783" s="15" t="str">
        <f t="shared" ref="BP783:BP784" si="2221">"50.98"</f>
        <v>50.98</v>
      </c>
      <c r="BQ783" s="15" t="str">
        <f t="shared" ref="BQ783:BQ784" si="2222">"110.23"</f>
        <v>110.23</v>
      </c>
      <c r="BR783" s="15" t="s">
        <v>5840</v>
      </c>
      <c r="BS783" s="15" t="str">
        <f t="shared" si="2210"/>
        <v>85.75</v>
      </c>
      <c r="BT783" s="15" t="str">
        <f t="shared" si="2204"/>
        <v>9.06</v>
      </c>
      <c r="BU783" s="15" t="str">
        <f t="shared" si="2211"/>
        <v>10.24</v>
      </c>
      <c r="BV783" s="15" t="str">
        <f t="shared" si="2212"/>
        <v>47.84</v>
      </c>
      <c r="BW783" s="15" t="s">
        <v>917</v>
      </c>
      <c r="BX783" s="15" t="str">
        <f t="shared" si="2213"/>
        <v>81.73</v>
      </c>
      <c r="BY783" s="15" t="str">
        <f t="shared" si="2214"/>
        <v>5.39</v>
      </c>
      <c r="BZ783" s="15" t="str">
        <f t="shared" ref="BZ783:BZ784" si="2223">"40.35"</f>
        <v>40.35</v>
      </c>
      <c r="CA783" s="15" t="str">
        <f t="shared" ref="CA783:CA784" si="2224">"52.91"</f>
        <v>52.91</v>
      </c>
      <c r="CG783" s="15" t="str">
        <f t="shared" ref="CG783:CG784" si="2225">"49.97"</f>
        <v>49.97</v>
      </c>
      <c r="CH783" s="15" t="str">
        <f t="shared" ref="CH783:CH784" si="2226">"1.415"</f>
        <v>1.415</v>
      </c>
      <c r="CI783" s="15" t="s">
        <v>417</v>
      </c>
      <c r="CY783" s="15" t="s">
        <v>897</v>
      </c>
      <c r="CZ783" s="15" t="s">
        <v>419</v>
      </c>
      <c r="DA783" s="15">
        <v>0.0</v>
      </c>
      <c r="DB783" s="15" t="s">
        <v>419</v>
      </c>
      <c r="DD783" s="15">
        <v>0.0</v>
      </c>
      <c r="DF783" s="15" t="s">
        <v>721</v>
      </c>
      <c r="DG783" s="15" t="s">
        <v>419</v>
      </c>
      <c r="DI783" s="15">
        <v>0.0</v>
      </c>
      <c r="DJ783" s="15">
        <v>0.0</v>
      </c>
      <c r="DK783" s="15">
        <v>0.0</v>
      </c>
      <c r="DL783" s="15">
        <v>25000.0</v>
      </c>
      <c r="DS783" s="15" t="s">
        <v>8300</v>
      </c>
      <c r="DU783" s="15" t="s">
        <v>858</v>
      </c>
      <c r="EO783" s="15" t="s">
        <v>8301</v>
      </c>
      <c r="EV783" s="15">
        <v>0.0</v>
      </c>
      <c r="HV783" s="15" t="s">
        <v>505</v>
      </c>
      <c r="HW783" s="15" t="s">
        <v>505</v>
      </c>
      <c r="HX783" s="15" t="s">
        <v>505</v>
      </c>
      <c r="HY783" s="15" t="s">
        <v>1288</v>
      </c>
      <c r="HZ783" s="15" t="s">
        <v>1807</v>
      </c>
      <c r="IA783" s="15" t="s">
        <v>4844</v>
      </c>
      <c r="IB783" s="15" t="s">
        <v>2337</v>
      </c>
      <c r="IC783" s="15" t="s">
        <v>1329</v>
      </c>
      <c r="ID783" s="15" t="s">
        <v>4844</v>
      </c>
      <c r="IE783" s="15" t="s">
        <v>6260</v>
      </c>
      <c r="IF783" s="15" t="s">
        <v>672</v>
      </c>
      <c r="IG783" s="15" t="s">
        <v>3007</v>
      </c>
      <c r="IH783" s="15" t="s">
        <v>2116</v>
      </c>
      <c r="II783" s="15" t="s">
        <v>4508</v>
      </c>
      <c r="IJ783" s="15" t="s">
        <v>1807</v>
      </c>
      <c r="IK783" s="15" t="s">
        <v>426</v>
      </c>
      <c r="IL783" s="15" t="s">
        <v>871</v>
      </c>
      <c r="IM783" s="15" t="s">
        <v>872</v>
      </c>
      <c r="IN783" s="15" t="s">
        <v>873</v>
      </c>
      <c r="IO783" s="15" t="s">
        <v>828</v>
      </c>
      <c r="IU783" s="15" t="s">
        <v>635</v>
      </c>
      <c r="IV783" s="15" t="s">
        <v>1576</v>
      </c>
      <c r="IX783" s="15" t="s">
        <v>426</v>
      </c>
      <c r="IY783" s="15" t="s">
        <v>875</v>
      </c>
      <c r="JB783" s="15" t="s">
        <v>6260</v>
      </c>
      <c r="JC783" s="15" t="s">
        <v>6331</v>
      </c>
    </row>
    <row r="784" ht="17.25" customHeight="1">
      <c r="A784" s="15" t="s">
        <v>8324</v>
      </c>
      <c r="B784" s="15" t="str">
        <f>"801542058524"</f>
        <v>801542058524</v>
      </c>
      <c r="C784" s="15" t="s">
        <v>20790</v>
      </c>
      <c r="D784" s="15" t="str">
        <f t="shared" si="1"/>
        <v>Potter BedSurrey OliveKing</v>
      </c>
      <c r="E784" s="15" t="s">
        <v>8290</v>
      </c>
      <c r="F784" s="15" t="s">
        <v>397</v>
      </c>
      <c r="G784" s="15" t="s">
        <v>1612</v>
      </c>
      <c r="H784" s="15" t="s">
        <v>265</v>
      </c>
      <c r="I784" s="15" t="s">
        <v>828</v>
      </c>
      <c r="J784" s="15" t="s">
        <v>1612</v>
      </c>
      <c r="K784" s="15" t="s">
        <v>8327</v>
      </c>
      <c r="M784" s="15" t="s">
        <v>915</v>
      </c>
      <c r="N784" s="15" t="s">
        <v>839</v>
      </c>
      <c r="O784" s="15" t="s">
        <v>828</v>
      </c>
      <c r="P784" s="15" t="str">
        <f t="shared" si="2215"/>
        <v>82.5</v>
      </c>
      <c r="Q784" s="15" t="str">
        <f t="shared" si="2209"/>
        <v>90</v>
      </c>
      <c r="R784" s="15" t="str">
        <f t="shared" si="2201"/>
        <v>55</v>
      </c>
      <c r="S784" s="15" t="str">
        <f t="shared" si="2216"/>
        <v>165.35</v>
      </c>
      <c r="T784" s="15" t="s">
        <v>8326</v>
      </c>
      <c r="U784" s="15" t="s">
        <v>11845</v>
      </c>
      <c r="V784" s="15" t="s">
        <v>11846</v>
      </c>
      <c r="W784" s="15" t="s">
        <v>11338</v>
      </c>
      <c r="AA784" s="15" t="s">
        <v>426</v>
      </c>
      <c r="AB784" s="15" t="s">
        <v>413</v>
      </c>
      <c r="AC784" s="15" t="s">
        <v>8328</v>
      </c>
      <c r="AD784" s="15" t="s">
        <v>20791</v>
      </c>
      <c r="AE784" s="15" t="s">
        <v>8325</v>
      </c>
      <c r="AF784" s="15" t="s">
        <v>20792</v>
      </c>
      <c r="AG784" s="15" t="s">
        <v>20793</v>
      </c>
      <c r="AH784" s="15" t="s">
        <v>20794</v>
      </c>
      <c r="AI784" s="15" t="s">
        <v>20795</v>
      </c>
      <c r="AJ784" s="15" t="s">
        <v>20796</v>
      </c>
      <c r="AK784" s="15" t="s">
        <v>20797</v>
      </c>
      <c r="BH784" s="15" t="s">
        <v>8323</v>
      </c>
      <c r="BI784" s="15" t="str">
        <f t="shared" si="2217"/>
        <v>2399</v>
      </c>
      <c r="BJ784" s="15" t="str">
        <f t="shared" si="2218"/>
        <v>1010</v>
      </c>
      <c r="BK784" s="15" t="s">
        <v>709</v>
      </c>
      <c r="BL784" s="15" t="str">
        <f t="shared" si="2202"/>
        <v>3</v>
      </c>
      <c r="BM784" s="15" t="s">
        <v>926</v>
      </c>
      <c r="BN784" s="15" t="str">
        <f t="shared" si="2219"/>
        <v>83.86</v>
      </c>
      <c r="BO784" s="15" t="str">
        <f t="shared" si="2220"/>
        <v>14.17</v>
      </c>
      <c r="BP784" s="15" t="str">
        <f t="shared" si="2221"/>
        <v>50.98</v>
      </c>
      <c r="BQ784" s="15" t="str">
        <f t="shared" si="2222"/>
        <v>110.23</v>
      </c>
      <c r="BR784" s="15" t="s">
        <v>5840</v>
      </c>
      <c r="BS784" s="15" t="str">
        <f t="shared" si="2210"/>
        <v>85.75</v>
      </c>
      <c r="BT784" s="15" t="str">
        <f t="shared" si="2204"/>
        <v>9.06</v>
      </c>
      <c r="BU784" s="15" t="str">
        <f t="shared" si="2211"/>
        <v>10.24</v>
      </c>
      <c r="BV784" s="15" t="str">
        <f t="shared" si="2212"/>
        <v>47.84</v>
      </c>
      <c r="BW784" s="15" t="s">
        <v>917</v>
      </c>
      <c r="BX784" s="15" t="str">
        <f t="shared" si="2213"/>
        <v>81.73</v>
      </c>
      <c r="BY784" s="15" t="str">
        <f t="shared" si="2214"/>
        <v>5.39</v>
      </c>
      <c r="BZ784" s="15" t="str">
        <f t="shared" si="2223"/>
        <v>40.35</v>
      </c>
      <c r="CA784" s="15" t="str">
        <f t="shared" si="2224"/>
        <v>52.91</v>
      </c>
      <c r="CG784" s="15" t="str">
        <f t="shared" si="2225"/>
        <v>49.97</v>
      </c>
      <c r="CH784" s="15" t="str">
        <f t="shared" si="2226"/>
        <v>1.415</v>
      </c>
      <c r="CI784" s="15" t="s">
        <v>497</v>
      </c>
      <c r="CY784" s="15" t="s">
        <v>718</v>
      </c>
      <c r="CZ784" s="15" t="s">
        <v>419</v>
      </c>
      <c r="DA784" s="15">
        <v>0.0</v>
      </c>
      <c r="DB784" s="15" t="s">
        <v>419</v>
      </c>
      <c r="DD784" s="15">
        <v>0.0</v>
      </c>
      <c r="DF784" s="15" t="s">
        <v>721</v>
      </c>
      <c r="DG784" s="15" t="s">
        <v>419</v>
      </c>
      <c r="DI784" s="15">
        <v>0.0</v>
      </c>
      <c r="DJ784" s="15">
        <v>0.0</v>
      </c>
      <c r="DK784" s="15">
        <v>0.0</v>
      </c>
      <c r="DL784" s="15">
        <v>30000.0</v>
      </c>
      <c r="DS784" s="15" t="s">
        <v>8300</v>
      </c>
      <c r="DU784" s="15" t="s">
        <v>858</v>
      </c>
      <c r="EO784" s="15" t="s">
        <v>8301</v>
      </c>
      <c r="EV784" s="15">
        <v>0.0</v>
      </c>
      <c r="HV784" s="15" t="s">
        <v>505</v>
      </c>
      <c r="HW784" s="15" t="s">
        <v>505</v>
      </c>
      <c r="HX784" s="15" t="s">
        <v>505</v>
      </c>
      <c r="HY784" s="15" t="s">
        <v>1288</v>
      </c>
      <c r="HZ784" s="15" t="s">
        <v>1807</v>
      </c>
      <c r="IA784" s="15" t="s">
        <v>4844</v>
      </c>
      <c r="IB784" s="15" t="s">
        <v>2337</v>
      </c>
      <c r="IC784" s="15" t="s">
        <v>1329</v>
      </c>
      <c r="ID784" s="15" t="s">
        <v>4844</v>
      </c>
      <c r="IE784" s="15" t="s">
        <v>6260</v>
      </c>
      <c r="IF784" s="15" t="s">
        <v>672</v>
      </c>
      <c r="IG784" s="15" t="s">
        <v>3007</v>
      </c>
      <c r="IH784" s="15" t="s">
        <v>2116</v>
      </c>
      <c r="II784" s="15" t="s">
        <v>4508</v>
      </c>
      <c r="IJ784" s="15" t="s">
        <v>1807</v>
      </c>
      <c r="IK784" s="15" t="s">
        <v>426</v>
      </c>
      <c r="IL784" s="15" t="s">
        <v>871</v>
      </c>
      <c r="IM784" s="15" t="s">
        <v>872</v>
      </c>
      <c r="IN784" s="15" t="s">
        <v>873</v>
      </c>
      <c r="IO784" s="15" t="s">
        <v>828</v>
      </c>
      <c r="IU784" s="15" t="s">
        <v>635</v>
      </c>
      <c r="IV784" s="15" t="s">
        <v>1576</v>
      </c>
      <c r="IX784" s="15" t="s">
        <v>426</v>
      </c>
      <c r="IY784" s="15" t="s">
        <v>875</v>
      </c>
      <c r="JB784" s="15" t="s">
        <v>6260</v>
      </c>
      <c r="JC784" s="15" t="s">
        <v>6331</v>
      </c>
    </row>
    <row r="785" ht="17.25" customHeight="1">
      <c r="A785" s="15" t="s">
        <v>8330</v>
      </c>
      <c r="B785" s="15" t="str">
        <f>"801542058555"</f>
        <v>801542058555</v>
      </c>
      <c r="C785" s="15" t="s">
        <v>20790</v>
      </c>
      <c r="D785" s="15" t="str">
        <f t="shared" si="1"/>
        <v>Potter BedSurrey OliveQueen</v>
      </c>
      <c r="E785" s="15" t="s">
        <v>8290</v>
      </c>
      <c r="F785" s="15" t="s">
        <v>397</v>
      </c>
      <c r="G785" s="15" t="s">
        <v>1612</v>
      </c>
      <c r="H785" s="15" t="s">
        <v>265</v>
      </c>
      <c r="I785" s="15" t="s">
        <v>877</v>
      </c>
      <c r="J785" s="15" t="s">
        <v>1612</v>
      </c>
      <c r="K785" s="15" t="s">
        <v>8327</v>
      </c>
      <c r="M785" s="15" t="s">
        <v>915</v>
      </c>
      <c r="N785" s="15" t="s">
        <v>839</v>
      </c>
      <c r="O785" s="15" t="s">
        <v>877</v>
      </c>
      <c r="P785" s="15" t="str">
        <f>"66"</f>
        <v>66</v>
      </c>
      <c r="Q785" s="15" t="str">
        <f t="shared" si="2209"/>
        <v>90</v>
      </c>
      <c r="R785" s="15" t="str">
        <f t="shared" si="2201"/>
        <v>55</v>
      </c>
      <c r="S785" s="15" t="str">
        <f>"156.53"</f>
        <v>156.53</v>
      </c>
      <c r="T785" s="15" t="s">
        <v>8326</v>
      </c>
      <c r="U785" s="15" t="s">
        <v>11845</v>
      </c>
      <c r="V785" s="15" t="s">
        <v>11846</v>
      </c>
      <c r="W785" s="15" t="s">
        <v>11338</v>
      </c>
      <c r="AA785" s="15" t="s">
        <v>426</v>
      </c>
      <c r="AB785" s="15" t="s">
        <v>413</v>
      </c>
      <c r="AC785" s="15" t="s">
        <v>8328</v>
      </c>
      <c r="AD785" s="15" t="s">
        <v>20798</v>
      </c>
      <c r="AE785" s="15" t="s">
        <v>8331</v>
      </c>
      <c r="AF785" s="15" t="s">
        <v>20799</v>
      </c>
      <c r="AG785" s="15" t="s">
        <v>20800</v>
      </c>
      <c r="AH785" s="15" t="s">
        <v>20801</v>
      </c>
      <c r="AI785" s="15" t="s">
        <v>20802</v>
      </c>
      <c r="AJ785" s="15" t="s">
        <v>20803</v>
      </c>
      <c r="AK785" s="15" t="s">
        <v>20804</v>
      </c>
      <c r="AL785" s="15" t="s">
        <v>20805</v>
      </c>
      <c r="BH785" s="15" t="s">
        <v>8329</v>
      </c>
      <c r="BI785" s="15" t="str">
        <f>"2099"</f>
        <v>2099</v>
      </c>
      <c r="BJ785" s="15" t="str">
        <f>"885"</f>
        <v>885</v>
      </c>
      <c r="BK785" s="15" t="s">
        <v>709</v>
      </c>
      <c r="BL785" s="15" t="str">
        <f t="shared" si="2202"/>
        <v>3</v>
      </c>
      <c r="BM785" s="15" t="s">
        <v>926</v>
      </c>
      <c r="BN785" s="15" t="str">
        <f>"67.32"</f>
        <v>67.32</v>
      </c>
      <c r="BO785" s="15" t="str">
        <f>"50.98"</f>
        <v>50.98</v>
      </c>
      <c r="BP785" s="15" t="str">
        <f>"14.17"</f>
        <v>14.17</v>
      </c>
      <c r="BQ785" s="15" t="str">
        <f>"99.65"</f>
        <v>99.65</v>
      </c>
      <c r="BR785" s="15" t="s">
        <v>5840</v>
      </c>
      <c r="BS785" s="15" t="str">
        <f t="shared" si="2210"/>
        <v>85.75</v>
      </c>
      <c r="BT785" s="15" t="str">
        <f t="shared" si="2204"/>
        <v>9.06</v>
      </c>
      <c r="BU785" s="15" t="str">
        <f t="shared" si="2211"/>
        <v>10.24</v>
      </c>
      <c r="BV785" s="15" t="str">
        <f t="shared" si="2212"/>
        <v>47.84</v>
      </c>
      <c r="BW785" s="15" t="s">
        <v>917</v>
      </c>
      <c r="BX785" s="15" t="str">
        <f t="shared" si="2213"/>
        <v>81.73</v>
      </c>
      <c r="BY785" s="15" t="str">
        <f t="shared" si="2214"/>
        <v>5.39</v>
      </c>
      <c r="BZ785" s="15" t="str">
        <f>"32.28"</f>
        <v>32.28</v>
      </c>
      <c r="CA785" s="15" t="str">
        <f>"43.87"</f>
        <v>43.87</v>
      </c>
      <c r="CG785" s="15" t="str">
        <f>"40.97"</f>
        <v>40.97</v>
      </c>
      <c r="CH785" s="15" t="str">
        <f>"1.16"</f>
        <v>1.16</v>
      </c>
      <c r="CI785" s="15" t="s">
        <v>465</v>
      </c>
      <c r="CY785" s="15" t="s">
        <v>718</v>
      </c>
      <c r="CZ785" s="15" t="s">
        <v>419</v>
      </c>
      <c r="DA785" s="15">
        <v>0.0</v>
      </c>
      <c r="DB785" s="15" t="s">
        <v>419</v>
      </c>
      <c r="DD785" s="15">
        <v>0.0</v>
      </c>
      <c r="DF785" s="15" t="s">
        <v>721</v>
      </c>
      <c r="DG785" s="15" t="s">
        <v>419</v>
      </c>
      <c r="DI785" s="15">
        <v>0.0</v>
      </c>
      <c r="DJ785" s="15">
        <v>0.0</v>
      </c>
      <c r="DK785" s="15">
        <v>0.0</v>
      </c>
      <c r="DL785" s="15">
        <v>30000.0</v>
      </c>
      <c r="DS785" s="15" t="s">
        <v>8300</v>
      </c>
      <c r="DU785" s="15" t="s">
        <v>858</v>
      </c>
      <c r="EO785" s="15" t="s">
        <v>8301</v>
      </c>
      <c r="EV785" s="15">
        <v>0.0</v>
      </c>
      <c r="HV785" s="15" t="s">
        <v>505</v>
      </c>
      <c r="HW785" s="15" t="s">
        <v>505</v>
      </c>
      <c r="HX785" s="15" t="s">
        <v>505</v>
      </c>
      <c r="HY785" s="15" t="s">
        <v>1288</v>
      </c>
      <c r="HZ785" s="15" t="s">
        <v>1807</v>
      </c>
      <c r="IA785" s="15" t="s">
        <v>2570</v>
      </c>
      <c r="IB785" s="15" t="s">
        <v>2337</v>
      </c>
      <c r="IC785" s="15" t="s">
        <v>1329</v>
      </c>
      <c r="ID785" s="15" t="s">
        <v>2570</v>
      </c>
      <c r="IE785" s="15" t="s">
        <v>6260</v>
      </c>
      <c r="IF785" s="15" t="s">
        <v>672</v>
      </c>
      <c r="IG785" s="15" t="s">
        <v>1682</v>
      </c>
      <c r="IH785" s="15" t="s">
        <v>2116</v>
      </c>
      <c r="II785" s="15" t="s">
        <v>4508</v>
      </c>
      <c r="IJ785" s="15" t="s">
        <v>1807</v>
      </c>
      <c r="IK785" s="15" t="s">
        <v>426</v>
      </c>
      <c r="IL785" s="15" t="s">
        <v>871</v>
      </c>
      <c r="IM785" s="15" t="s">
        <v>872</v>
      </c>
      <c r="IN785" s="15" t="s">
        <v>873</v>
      </c>
      <c r="IO785" s="15" t="s">
        <v>877</v>
      </c>
      <c r="IU785" s="15" t="s">
        <v>635</v>
      </c>
      <c r="IV785" s="15" t="s">
        <v>1576</v>
      </c>
      <c r="IX785" s="15" t="s">
        <v>426</v>
      </c>
      <c r="IY785" s="15" t="s">
        <v>875</v>
      </c>
      <c r="JB785" s="15" t="s">
        <v>6260</v>
      </c>
      <c r="JC785" s="15" t="s">
        <v>6826</v>
      </c>
    </row>
    <row r="786" ht="17.25" customHeight="1">
      <c r="A786" s="15" t="s">
        <v>8334</v>
      </c>
      <c r="B786" s="15" t="str">
        <f>"801542456740"</f>
        <v>801542456740</v>
      </c>
      <c r="C786" s="15" t="s">
        <v>20806</v>
      </c>
      <c r="D786" s="15" t="str">
        <f t="shared" si="1"/>
        <v>Powell Dining TableBluestone42</v>
      </c>
      <c r="E786" s="15" t="s">
        <v>8332</v>
      </c>
      <c r="F786" s="15" t="s">
        <v>397</v>
      </c>
      <c r="G786" s="15" t="s">
        <v>3625</v>
      </c>
      <c r="H786" s="15" t="s">
        <v>265</v>
      </c>
      <c r="I786" s="15" t="s">
        <v>2557</v>
      </c>
      <c r="J786" s="15" t="s">
        <v>3625</v>
      </c>
      <c r="K786" s="15" t="s">
        <v>8338</v>
      </c>
      <c r="L786" s="15" t="s">
        <v>8339</v>
      </c>
      <c r="M786" s="15" t="s">
        <v>3185</v>
      </c>
      <c r="N786" s="15" t="s">
        <v>548</v>
      </c>
      <c r="O786" s="15" t="s">
        <v>549</v>
      </c>
      <c r="P786" s="15" t="str">
        <f t="shared" ref="P786:Q786" si="2227">"42"</f>
        <v>42</v>
      </c>
      <c r="Q786" s="15" t="str">
        <f t="shared" si="2227"/>
        <v>42</v>
      </c>
      <c r="R786" s="15" t="str">
        <f t="shared" ref="R786:R787" si="2230">"29.5"</f>
        <v>29.5</v>
      </c>
      <c r="S786" s="15" t="str">
        <f>"163.14"</f>
        <v>163.14</v>
      </c>
      <c r="T786" s="15" t="s">
        <v>8337</v>
      </c>
      <c r="U786" s="15" t="s">
        <v>14124</v>
      </c>
      <c r="V786" s="15" t="s">
        <v>11139</v>
      </c>
      <c r="W786" s="15" t="s">
        <v>11338</v>
      </c>
      <c r="AA786" s="15" t="s">
        <v>413</v>
      </c>
      <c r="AB786" s="15" t="s">
        <v>413</v>
      </c>
      <c r="AC786" s="15" t="s">
        <v>8340</v>
      </c>
      <c r="AD786" s="15" t="s">
        <v>20807</v>
      </c>
      <c r="AE786" s="15" t="s">
        <v>8336</v>
      </c>
      <c r="AF786" s="15" t="s">
        <v>20808</v>
      </c>
      <c r="AG786" s="15" t="s">
        <v>20809</v>
      </c>
      <c r="AH786" s="15" t="s">
        <v>20810</v>
      </c>
      <c r="AI786" s="15" t="s">
        <v>20811</v>
      </c>
      <c r="AJ786" s="15" t="s">
        <v>20812</v>
      </c>
      <c r="AK786" s="15" t="s">
        <v>20813</v>
      </c>
      <c r="AL786" s="15" t="s">
        <v>20814</v>
      </c>
      <c r="BH786" s="15" t="s">
        <v>8333</v>
      </c>
      <c r="BI786" s="15" t="str">
        <f>"2399"</f>
        <v>2399</v>
      </c>
      <c r="BJ786" s="15" t="str">
        <f>"1010"</f>
        <v>1010</v>
      </c>
      <c r="BK786" s="15" t="s">
        <v>709</v>
      </c>
      <c r="BL786" s="15" t="str">
        <f t="shared" ref="BL786:BL791" si="2231">"2"</f>
        <v>2</v>
      </c>
      <c r="BM786" s="15" t="s">
        <v>2238</v>
      </c>
      <c r="BN786" s="15" t="str">
        <f t="shared" ref="BN786:BO786" si="2228">"25.59"</f>
        <v>25.59</v>
      </c>
      <c r="BO786" s="15" t="str">
        <f t="shared" si="2228"/>
        <v>25.59</v>
      </c>
      <c r="BP786" s="15" t="str">
        <f t="shared" ref="BP786:BP787" si="2232">"33.46"</f>
        <v>33.46</v>
      </c>
      <c r="BQ786" s="15" t="str">
        <f>"72.75"</f>
        <v>72.75</v>
      </c>
      <c r="BR786" s="15" t="s">
        <v>1564</v>
      </c>
      <c r="BS786" s="15" t="str">
        <f>"47.24"</f>
        <v>47.24</v>
      </c>
      <c r="BT786" s="15" t="str">
        <f t="shared" ref="BT786:BT787" si="2233">"6.89"</f>
        <v>6.89</v>
      </c>
      <c r="BU786" s="15" t="str">
        <f>"47.24"</f>
        <v>47.24</v>
      </c>
      <c r="BV786" s="15" t="str">
        <f>"167.77"</f>
        <v>167.77</v>
      </c>
      <c r="CG786" s="15" t="str">
        <f>"21.58"</f>
        <v>21.58</v>
      </c>
      <c r="CH786" s="15" t="str">
        <f>"0.611"</f>
        <v>0.611</v>
      </c>
      <c r="CI786" s="15" t="s">
        <v>497</v>
      </c>
      <c r="CZ786" s="15" t="s">
        <v>419</v>
      </c>
      <c r="DA786" s="15">
        <v>0.0</v>
      </c>
      <c r="DB786" s="15" t="s">
        <v>419</v>
      </c>
      <c r="DD786" s="15">
        <v>0.0</v>
      </c>
      <c r="DF786" s="15" t="s">
        <v>1186</v>
      </c>
      <c r="DG786" s="15" t="s">
        <v>419</v>
      </c>
      <c r="DI786" s="15">
        <v>0.0</v>
      </c>
      <c r="DJ786" s="15">
        <v>0.0</v>
      </c>
      <c r="DK786" s="15">
        <v>0.0</v>
      </c>
      <c r="DQ786" s="15">
        <v>4.0</v>
      </c>
      <c r="DR786" s="15" t="s">
        <v>1157</v>
      </c>
      <c r="DS786" s="15" t="s">
        <v>8342</v>
      </c>
      <c r="DU786" s="15" t="s">
        <v>500</v>
      </c>
      <c r="EF786" s="15" t="s">
        <v>1445</v>
      </c>
      <c r="EQ786" s="15" t="s">
        <v>3165</v>
      </c>
      <c r="ER786" s="15" t="s">
        <v>1445</v>
      </c>
      <c r="ES786" s="15" t="s">
        <v>3165</v>
      </c>
      <c r="ET786" s="15" t="s">
        <v>1957</v>
      </c>
      <c r="EU786" s="15" t="s">
        <v>426</v>
      </c>
      <c r="EV786" s="15">
        <v>0.0</v>
      </c>
      <c r="EW786" s="15">
        <v>0.0</v>
      </c>
      <c r="FE786" s="15" t="s">
        <v>1445</v>
      </c>
      <c r="FF786" s="15" t="s">
        <v>8343</v>
      </c>
      <c r="FG786" s="15" t="s">
        <v>2244</v>
      </c>
    </row>
    <row r="787" ht="17.25" customHeight="1">
      <c r="A787" s="15" t="s">
        <v>8345</v>
      </c>
      <c r="B787" s="15" t="str">
        <f>"801542456788"</f>
        <v>801542456788</v>
      </c>
      <c r="C787" s="15" t="s">
        <v>20806</v>
      </c>
      <c r="D787" s="15" t="str">
        <f t="shared" si="1"/>
        <v>Powell Dining TableBluestone55</v>
      </c>
      <c r="E787" s="15" t="s">
        <v>8332</v>
      </c>
      <c r="F787" s="15" t="s">
        <v>397</v>
      </c>
      <c r="G787" s="15" t="s">
        <v>3625</v>
      </c>
      <c r="H787" s="15" t="s">
        <v>265</v>
      </c>
      <c r="I787" s="15" t="s">
        <v>487</v>
      </c>
      <c r="J787" s="15" t="s">
        <v>3625</v>
      </c>
      <c r="K787" s="15" t="s">
        <v>8338</v>
      </c>
      <c r="L787" s="15" t="s">
        <v>8339</v>
      </c>
      <c r="M787" s="15" t="s">
        <v>3185</v>
      </c>
      <c r="N787" s="15" t="s">
        <v>548</v>
      </c>
      <c r="O787" s="15" t="s">
        <v>549</v>
      </c>
      <c r="P787" s="15" t="str">
        <f t="shared" ref="P787:Q787" si="2229">"55"</f>
        <v>55</v>
      </c>
      <c r="Q787" s="15" t="str">
        <f t="shared" si="2229"/>
        <v>55</v>
      </c>
      <c r="R787" s="15" t="str">
        <f t="shared" si="2230"/>
        <v>29.5</v>
      </c>
      <c r="S787" s="15" t="str">
        <f>"306.44"</f>
        <v>306.44</v>
      </c>
      <c r="T787" s="15" t="s">
        <v>8337</v>
      </c>
      <c r="U787" s="15" t="s">
        <v>14124</v>
      </c>
      <c r="V787" s="15" t="s">
        <v>11139</v>
      </c>
      <c r="W787" s="15" t="s">
        <v>11338</v>
      </c>
      <c r="AA787" s="15" t="s">
        <v>413</v>
      </c>
      <c r="AB787" s="15" t="s">
        <v>413</v>
      </c>
      <c r="AC787" s="15" t="s">
        <v>8347</v>
      </c>
      <c r="AD787" s="15" t="s">
        <v>20815</v>
      </c>
      <c r="AE787" s="15" t="s">
        <v>8346</v>
      </c>
      <c r="AF787" s="15" t="s">
        <v>20816</v>
      </c>
      <c r="AG787" s="15" t="s">
        <v>20817</v>
      </c>
      <c r="AH787" s="15" t="s">
        <v>20818</v>
      </c>
      <c r="AI787" s="15" t="s">
        <v>20819</v>
      </c>
      <c r="AJ787" s="15" t="s">
        <v>20820</v>
      </c>
      <c r="AK787" s="15" t="s">
        <v>20821</v>
      </c>
      <c r="AL787" s="15" t="s">
        <v>20822</v>
      </c>
      <c r="BH787" s="15" t="s">
        <v>8344</v>
      </c>
      <c r="BI787" s="15" t="str">
        <f>"3499"</f>
        <v>3499</v>
      </c>
      <c r="BJ787" s="15" t="str">
        <f>"1470"</f>
        <v>1470</v>
      </c>
      <c r="BK787" s="15" t="s">
        <v>709</v>
      </c>
      <c r="BL787" s="15" t="str">
        <f t="shared" si="2231"/>
        <v>2</v>
      </c>
      <c r="BM787" s="15" t="s">
        <v>2238</v>
      </c>
      <c r="BN787" s="15" t="str">
        <f>"31.1"</f>
        <v>31.1</v>
      </c>
      <c r="BO787" s="15" t="str">
        <f>"31.5"</f>
        <v>31.5</v>
      </c>
      <c r="BP787" s="15" t="str">
        <f t="shared" si="2232"/>
        <v>33.46</v>
      </c>
      <c r="BQ787" s="15" t="str">
        <f>"134.48"</f>
        <v>134.48</v>
      </c>
      <c r="BR787" s="15" t="s">
        <v>1564</v>
      </c>
      <c r="BS787" s="15" t="str">
        <f>"60.24"</f>
        <v>60.24</v>
      </c>
      <c r="BT787" s="15" t="str">
        <f t="shared" si="2233"/>
        <v>6.89</v>
      </c>
      <c r="BU787" s="15" t="str">
        <f>"60.24"</f>
        <v>60.24</v>
      </c>
      <c r="BV787" s="15" t="str">
        <f>"266.76"</f>
        <v>266.76</v>
      </c>
      <c r="CG787" s="15" t="str">
        <f>"33.44"</f>
        <v>33.44</v>
      </c>
      <c r="CH787" s="15" t="str">
        <f>"0.947"</f>
        <v>0.947</v>
      </c>
      <c r="CI787" s="15" t="s">
        <v>465</v>
      </c>
      <c r="CZ787" s="15" t="s">
        <v>419</v>
      </c>
      <c r="DA787" s="15">
        <v>0.0</v>
      </c>
      <c r="DB787" s="15" t="s">
        <v>419</v>
      </c>
      <c r="DD787" s="15">
        <v>0.0</v>
      </c>
      <c r="DF787" s="15" t="s">
        <v>1186</v>
      </c>
      <c r="DG787" s="15" t="s">
        <v>419</v>
      </c>
      <c r="DI787" s="15">
        <v>0.0</v>
      </c>
      <c r="DJ787" s="15">
        <v>0.0</v>
      </c>
      <c r="DK787" s="15">
        <v>0.0</v>
      </c>
      <c r="DQ787" s="15">
        <v>6.0</v>
      </c>
      <c r="DR787" s="15" t="s">
        <v>1157</v>
      </c>
      <c r="DS787" s="15" t="s">
        <v>8342</v>
      </c>
      <c r="DU787" s="15" t="s">
        <v>500</v>
      </c>
      <c r="EF787" s="15" t="s">
        <v>1411</v>
      </c>
      <c r="EQ787" s="15" t="s">
        <v>1116</v>
      </c>
      <c r="ER787" s="15" t="s">
        <v>1411</v>
      </c>
      <c r="ES787" s="15" t="s">
        <v>1116</v>
      </c>
      <c r="ET787" s="15" t="s">
        <v>5972</v>
      </c>
      <c r="EU787" s="15" t="s">
        <v>426</v>
      </c>
      <c r="EV787" s="15">
        <v>0.0</v>
      </c>
      <c r="EW787" s="15">
        <v>0.0</v>
      </c>
      <c r="FE787" s="15" t="s">
        <v>1411</v>
      </c>
      <c r="FF787" s="15" t="s">
        <v>8348</v>
      </c>
      <c r="FG787" s="15" t="s">
        <v>2244</v>
      </c>
    </row>
    <row r="788" ht="17.25" customHeight="1">
      <c r="A788" s="15" t="s">
        <v>8351</v>
      </c>
      <c r="B788" s="15" t="str">
        <f>"801542718497"</f>
        <v>801542718497</v>
      </c>
      <c r="C788" s="15" t="s">
        <v>20823</v>
      </c>
      <c r="D788" s="15" t="str">
        <f t="shared" si="1"/>
        <v>Powell Dining TableEnglish Brown Oak Veneer42</v>
      </c>
      <c r="E788" s="15" t="s">
        <v>8332</v>
      </c>
      <c r="F788" s="15" t="s">
        <v>397</v>
      </c>
      <c r="G788" s="15" t="s">
        <v>8350</v>
      </c>
      <c r="H788" s="15" t="s">
        <v>265</v>
      </c>
      <c r="I788" s="15" t="s">
        <v>2557</v>
      </c>
      <c r="J788" s="15" t="s">
        <v>8350</v>
      </c>
      <c r="K788" s="15" t="s">
        <v>8338</v>
      </c>
      <c r="M788" s="15" t="s">
        <v>3185</v>
      </c>
      <c r="N788" s="15" t="s">
        <v>548</v>
      </c>
      <c r="O788" s="15" t="s">
        <v>549</v>
      </c>
      <c r="P788" s="15" t="str">
        <f t="shared" ref="P788:Q788" si="2234">"42"</f>
        <v>42</v>
      </c>
      <c r="Q788" s="15" t="str">
        <f t="shared" si="2234"/>
        <v>42</v>
      </c>
      <c r="R788" s="15" t="str">
        <f t="shared" ref="R788:R789" si="2237">"30"</f>
        <v>30</v>
      </c>
      <c r="S788" s="15" t="str">
        <f>"116.84"</f>
        <v>116.84</v>
      </c>
      <c r="T788" s="15" t="s">
        <v>8353</v>
      </c>
      <c r="U788" s="15" t="s">
        <v>11553</v>
      </c>
      <c r="V788" s="15" t="s">
        <v>11139</v>
      </c>
      <c r="W788" s="15" t="s">
        <v>11338</v>
      </c>
      <c r="AA788" s="15" t="s">
        <v>413</v>
      </c>
      <c r="AB788" s="15" t="s">
        <v>413</v>
      </c>
      <c r="AC788" s="15" t="s">
        <v>8354</v>
      </c>
      <c r="AD788" s="15" t="s">
        <v>20824</v>
      </c>
      <c r="AE788" s="15" t="s">
        <v>8352</v>
      </c>
      <c r="AF788" s="15" t="s">
        <v>20825</v>
      </c>
      <c r="AG788" s="15" t="s">
        <v>20826</v>
      </c>
      <c r="AH788" s="15" t="s">
        <v>20827</v>
      </c>
      <c r="AI788" s="15" t="s">
        <v>20828</v>
      </c>
      <c r="AJ788" s="15" t="s">
        <v>20829</v>
      </c>
      <c r="AK788" s="15" t="s">
        <v>20830</v>
      </c>
      <c r="BH788" s="15" t="s">
        <v>8349</v>
      </c>
      <c r="BI788" s="15" t="str">
        <f>"1699"</f>
        <v>1699</v>
      </c>
      <c r="BJ788" s="15" t="str">
        <f>"715"</f>
        <v>715</v>
      </c>
      <c r="BK788" s="15" t="s">
        <v>709</v>
      </c>
      <c r="BL788" s="15" t="str">
        <f t="shared" si="2231"/>
        <v>2</v>
      </c>
      <c r="BM788" s="15" t="s">
        <v>1564</v>
      </c>
      <c r="BN788" s="15" t="str">
        <f>"47.24"</f>
        <v>47.24</v>
      </c>
      <c r="BO788" s="15" t="str">
        <f>"3.15"</f>
        <v>3.15</v>
      </c>
      <c r="BP788" s="15" t="str">
        <f>"47.24"</f>
        <v>47.24</v>
      </c>
      <c r="BQ788" s="15" t="str">
        <f>"72.75"</f>
        <v>72.75</v>
      </c>
      <c r="BR788" s="15" t="s">
        <v>2238</v>
      </c>
      <c r="BS788" s="15" t="str">
        <f t="shared" ref="BS788:BT788" si="2235">"25.2"</f>
        <v>25.2</v>
      </c>
      <c r="BT788" s="15" t="str">
        <f t="shared" si="2235"/>
        <v>25.2</v>
      </c>
      <c r="BU788" s="15" t="str">
        <f>"33.46"</f>
        <v>33.46</v>
      </c>
      <c r="BV788" s="15" t="str">
        <f>"70.55"</f>
        <v>70.55</v>
      </c>
      <c r="CG788" s="15" t="str">
        <f>"16.35"</f>
        <v>16.35</v>
      </c>
      <c r="CH788" s="15" t="str">
        <f>"0.463"</f>
        <v>0.463</v>
      </c>
      <c r="CI788" s="15" t="s">
        <v>465</v>
      </c>
      <c r="CZ788" s="15" t="s">
        <v>419</v>
      </c>
      <c r="DA788" s="15">
        <v>0.0</v>
      </c>
      <c r="DB788" s="15" t="s">
        <v>419</v>
      </c>
      <c r="DD788" s="15">
        <v>0.0</v>
      </c>
      <c r="DF788" s="15" t="s">
        <v>1186</v>
      </c>
      <c r="DG788" s="15" t="s">
        <v>419</v>
      </c>
      <c r="DI788" s="15">
        <v>0.0</v>
      </c>
      <c r="DJ788" s="15">
        <v>0.0</v>
      </c>
      <c r="DK788" s="15">
        <v>0.0</v>
      </c>
      <c r="DQ788" s="15">
        <v>4.0</v>
      </c>
      <c r="DR788" s="15" t="s">
        <v>1157</v>
      </c>
      <c r="DS788" s="15" t="s">
        <v>8342</v>
      </c>
      <c r="DU788" s="15" t="s">
        <v>500</v>
      </c>
      <c r="EF788" s="15" t="s">
        <v>1445</v>
      </c>
      <c r="EQ788" s="15" t="s">
        <v>3165</v>
      </c>
      <c r="ER788" s="15" t="s">
        <v>1445</v>
      </c>
      <c r="ES788" s="15" t="s">
        <v>3165</v>
      </c>
      <c r="ET788" s="15" t="s">
        <v>1957</v>
      </c>
      <c r="EU788" s="15" t="s">
        <v>426</v>
      </c>
      <c r="EV788" s="15">
        <v>0.0</v>
      </c>
      <c r="EW788" s="15">
        <v>0.0</v>
      </c>
      <c r="FE788" s="15" t="s">
        <v>1445</v>
      </c>
      <c r="FF788" s="15" t="s">
        <v>8343</v>
      </c>
      <c r="FG788" s="15" t="s">
        <v>2244</v>
      </c>
    </row>
    <row r="789" ht="17.25" customHeight="1">
      <c r="A789" s="15" t="s">
        <v>8357</v>
      </c>
      <c r="B789" s="15" t="str">
        <f>"801542323738"</f>
        <v>801542323738</v>
      </c>
      <c r="C789" s="15" t="s">
        <v>20823</v>
      </c>
      <c r="D789" s="15" t="str">
        <f t="shared" si="1"/>
        <v>Powell Dining TableEnglish Brown Oak Veneer55</v>
      </c>
      <c r="E789" s="15" t="s">
        <v>8332</v>
      </c>
      <c r="F789" s="15" t="s">
        <v>397</v>
      </c>
      <c r="G789" s="15" t="s">
        <v>8350</v>
      </c>
      <c r="H789" s="15" t="s">
        <v>265</v>
      </c>
      <c r="I789" s="15" t="s">
        <v>487</v>
      </c>
      <c r="J789" s="15" t="s">
        <v>8350</v>
      </c>
      <c r="K789" s="15" t="s">
        <v>8338</v>
      </c>
      <c r="M789" s="15" t="s">
        <v>3185</v>
      </c>
      <c r="N789" s="15" t="s">
        <v>548</v>
      </c>
      <c r="O789" s="15" t="s">
        <v>549</v>
      </c>
      <c r="P789" s="15" t="str">
        <f t="shared" ref="P789:Q789" si="2236">"55"</f>
        <v>55</v>
      </c>
      <c r="Q789" s="15" t="str">
        <f t="shared" si="2236"/>
        <v>55</v>
      </c>
      <c r="R789" s="15" t="str">
        <f t="shared" si="2237"/>
        <v>30</v>
      </c>
      <c r="S789" s="15" t="str">
        <f>"176.37"</f>
        <v>176.37</v>
      </c>
      <c r="T789" s="15" t="s">
        <v>8353</v>
      </c>
      <c r="U789" s="15" t="s">
        <v>11553</v>
      </c>
      <c r="V789" s="15" t="s">
        <v>11139</v>
      </c>
      <c r="W789" s="15" t="s">
        <v>11338</v>
      </c>
      <c r="AA789" s="15" t="s">
        <v>413</v>
      </c>
      <c r="AB789" s="15" t="s">
        <v>413</v>
      </c>
      <c r="AC789" s="15" t="s">
        <v>8354</v>
      </c>
      <c r="AD789" s="15" t="s">
        <v>20831</v>
      </c>
      <c r="AE789" s="15" t="s">
        <v>8359</v>
      </c>
      <c r="AF789" s="15" t="s">
        <v>20832</v>
      </c>
      <c r="AG789" s="15" t="s">
        <v>20833</v>
      </c>
      <c r="AH789" s="15" t="s">
        <v>20834</v>
      </c>
      <c r="AI789" s="15" t="s">
        <v>20835</v>
      </c>
      <c r="AJ789" s="15" t="s">
        <v>20836</v>
      </c>
      <c r="AK789" s="15" t="s">
        <v>20837</v>
      </c>
      <c r="AL789" s="15" t="s">
        <v>20838</v>
      </c>
      <c r="BH789" s="15" t="s">
        <v>8356</v>
      </c>
      <c r="BI789" s="15" t="str">
        <f>"2499"</f>
        <v>2499</v>
      </c>
      <c r="BJ789" s="15" t="str">
        <f>"1050"</f>
        <v>1050</v>
      </c>
      <c r="BK789" s="15" t="s">
        <v>709</v>
      </c>
      <c r="BL789" s="15" t="str">
        <f t="shared" si="2231"/>
        <v>2</v>
      </c>
      <c r="BM789" s="15" t="s">
        <v>2238</v>
      </c>
      <c r="BN789" s="15" t="str">
        <f t="shared" ref="BN789:BO789" si="2238">"31.5"</f>
        <v>31.5</v>
      </c>
      <c r="BO789" s="15" t="str">
        <f t="shared" si="2238"/>
        <v>31.5</v>
      </c>
      <c r="BP789" s="15" t="str">
        <f>"33.86"</f>
        <v>33.86</v>
      </c>
      <c r="BQ789" s="15" t="str">
        <f>"130.07"</f>
        <v>130.07</v>
      </c>
      <c r="BR789" s="15" t="s">
        <v>1564</v>
      </c>
      <c r="BS789" s="15" t="str">
        <f>"60.24"</f>
        <v>60.24</v>
      </c>
      <c r="BT789" s="15" t="str">
        <f>"59.84"</f>
        <v>59.84</v>
      </c>
      <c r="BU789" s="15" t="str">
        <f>"3.15"</f>
        <v>3.15</v>
      </c>
      <c r="BV789" s="15" t="str">
        <f>"77.16"</f>
        <v>77.16</v>
      </c>
      <c r="CG789" s="15" t="str">
        <f>"25.99"</f>
        <v>25.99</v>
      </c>
      <c r="CH789" s="15" t="str">
        <f>"0.736"</f>
        <v>0.736</v>
      </c>
      <c r="CI789" s="15" t="s">
        <v>465</v>
      </c>
      <c r="CZ789" s="15" t="s">
        <v>419</v>
      </c>
      <c r="DA789" s="15">
        <v>0.0</v>
      </c>
      <c r="DB789" s="15" t="s">
        <v>419</v>
      </c>
      <c r="DD789" s="15">
        <v>0.0</v>
      </c>
      <c r="DF789" s="15" t="s">
        <v>1186</v>
      </c>
      <c r="DG789" s="15" t="s">
        <v>419</v>
      </c>
      <c r="DI789" s="15">
        <v>0.0</v>
      </c>
      <c r="DJ789" s="15">
        <v>0.0</v>
      </c>
      <c r="DK789" s="15">
        <v>0.0</v>
      </c>
      <c r="DQ789" s="15">
        <v>6.0</v>
      </c>
      <c r="DR789" s="15" t="s">
        <v>1157</v>
      </c>
      <c r="DS789" s="15" t="s">
        <v>8342</v>
      </c>
      <c r="DU789" s="15" t="s">
        <v>500</v>
      </c>
      <c r="EF789" s="15" t="s">
        <v>1411</v>
      </c>
      <c r="EQ789" s="15" t="s">
        <v>1116</v>
      </c>
      <c r="ER789" s="15" t="s">
        <v>1411</v>
      </c>
      <c r="ES789" s="15" t="s">
        <v>1116</v>
      </c>
      <c r="ET789" s="15" t="s">
        <v>5972</v>
      </c>
      <c r="EU789" s="15" t="s">
        <v>426</v>
      </c>
      <c r="EV789" s="15">
        <v>0.0</v>
      </c>
      <c r="EW789" s="15">
        <v>0.0</v>
      </c>
      <c r="FE789" s="15" t="s">
        <v>1411</v>
      </c>
      <c r="FF789" s="15" t="s">
        <v>8348</v>
      </c>
      <c r="FG789" s="15" t="s">
        <v>2244</v>
      </c>
    </row>
    <row r="790" ht="17.25" customHeight="1">
      <c r="A790" s="15" t="s">
        <v>8361</v>
      </c>
      <c r="B790" s="15" t="str">
        <f>"801542460549"</f>
        <v>801542460549</v>
      </c>
      <c r="C790" s="15" t="s">
        <v>20839</v>
      </c>
      <c r="D790" s="15" t="str">
        <f t="shared" si="1"/>
        <v>Powell Dining TableWhite Marble42</v>
      </c>
      <c r="E790" s="15" t="s">
        <v>8332</v>
      </c>
      <c r="F790" s="15" t="s">
        <v>397</v>
      </c>
      <c r="G790" s="15" t="s">
        <v>4941</v>
      </c>
      <c r="H790" s="15" t="s">
        <v>265</v>
      </c>
      <c r="I790" s="15" t="s">
        <v>2557</v>
      </c>
      <c r="J790" s="15" t="s">
        <v>4941</v>
      </c>
      <c r="K790" s="15" t="s">
        <v>8338</v>
      </c>
      <c r="L790" s="15" t="s">
        <v>2014</v>
      </c>
      <c r="M790" s="15" t="s">
        <v>3185</v>
      </c>
      <c r="N790" s="15" t="s">
        <v>548</v>
      </c>
      <c r="O790" s="15" t="s">
        <v>549</v>
      </c>
      <c r="P790" s="15" t="str">
        <f t="shared" ref="P790:Q790" si="2239">"42"</f>
        <v>42</v>
      </c>
      <c r="Q790" s="15" t="str">
        <f t="shared" si="2239"/>
        <v>42</v>
      </c>
      <c r="R790" s="15" t="str">
        <f t="shared" ref="R790:R791" si="2242">"29.5"</f>
        <v>29.5</v>
      </c>
      <c r="S790" s="15" t="str">
        <f>"163.14"</f>
        <v>163.14</v>
      </c>
      <c r="T790" s="15" t="s">
        <v>8363</v>
      </c>
      <c r="U790" s="15" t="s">
        <v>11754</v>
      </c>
      <c r="V790" s="15" t="s">
        <v>11139</v>
      </c>
      <c r="W790" s="15" t="s">
        <v>11338</v>
      </c>
      <c r="AA790" s="15" t="s">
        <v>413</v>
      </c>
      <c r="AB790" s="15" t="s">
        <v>413</v>
      </c>
      <c r="AC790" s="15" t="s">
        <v>8364</v>
      </c>
      <c r="AD790" s="15" t="s">
        <v>20840</v>
      </c>
      <c r="AE790" s="15" t="s">
        <v>8362</v>
      </c>
      <c r="AF790" s="15" t="s">
        <v>20841</v>
      </c>
      <c r="AG790" s="15" t="s">
        <v>20842</v>
      </c>
      <c r="AH790" s="15" t="s">
        <v>20843</v>
      </c>
      <c r="AI790" s="15" t="s">
        <v>20844</v>
      </c>
      <c r="AJ790" s="15" t="s">
        <v>20845</v>
      </c>
      <c r="AK790" s="15" t="s">
        <v>20846</v>
      </c>
      <c r="BH790" s="15" t="s">
        <v>8360</v>
      </c>
      <c r="BI790" s="15" t="str">
        <f>"2399"</f>
        <v>2399</v>
      </c>
      <c r="BJ790" s="15" t="str">
        <f>"1010"</f>
        <v>1010</v>
      </c>
      <c r="BK790" s="15" t="s">
        <v>709</v>
      </c>
      <c r="BL790" s="15" t="str">
        <f t="shared" si="2231"/>
        <v>2</v>
      </c>
      <c r="BM790" s="15" t="s">
        <v>2238</v>
      </c>
      <c r="BN790" s="15" t="str">
        <f t="shared" ref="BN790:BO790" si="2240">"25.59"</f>
        <v>25.59</v>
      </c>
      <c r="BO790" s="15" t="str">
        <f t="shared" si="2240"/>
        <v>25.59</v>
      </c>
      <c r="BP790" s="15" t="str">
        <f t="shared" ref="BP790:BP791" si="2243">"33.46"</f>
        <v>33.46</v>
      </c>
      <c r="BQ790" s="15" t="str">
        <f>"72.75"</f>
        <v>72.75</v>
      </c>
      <c r="BR790" s="15" t="s">
        <v>1564</v>
      </c>
      <c r="BS790" s="15" t="str">
        <f>"47.24"</f>
        <v>47.24</v>
      </c>
      <c r="BT790" s="15" t="str">
        <f t="shared" ref="BT790:BT791" si="2244">"6.89"</f>
        <v>6.89</v>
      </c>
      <c r="BU790" s="15" t="str">
        <f>"47.24"</f>
        <v>47.24</v>
      </c>
      <c r="BV790" s="15" t="str">
        <f>"167.77"</f>
        <v>167.77</v>
      </c>
      <c r="CG790" s="15" t="str">
        <f>"21.58"</f>
        <v>21.58</v>
      </c>
      <c r="CH790" s="15" t="str">
        <f>"0.611"</f>
        <v>0.611</v>
      </c>
      <c r="CI790" s="15" t="s">
        <v>497</v>
      </c>
      <c r="CZ790" s="15" t="s">
        <v>419</v>
      </c>
      <c r="DA790" s="15">
        <v>0.0</v>
      </c>
      <c r="DB790" s="15" t="s">
        <v>419</v>
      </c>
      <c r="DD790" s="15">
        <v>0.0</v>
      </c>
      <c r="DF790" s="15" t="s">
        <v>1186</v>
      </c>
      <c r="DG790" s="15" t="s">
        <v>419</v>
      </c>
      <c r="DI790" s="15">
        <v>0.0</v>
      </c>
      <c r="DJ790" s="15">
        <v>0.0</v>
      </c>
      <c r="DK790" s="15">
        <v>0.0</v>
      </c>
      <c r="DQ790" s="15">
        <v>4.0</v>
      </c>
      <c r="DR790" s="15" t="s">
        <v>1157</v>
      </c>
      <c r="DS790" s="15" t="s">
        <v>8342</v>
      </c>
      <c r="DU790" s="15" t="s">
        <v>500</v>
      </c>
      <c r="EF790" s="15" t="s">
        <v>1445</v>
      </c>
      <c r="EQ790" s="15" t="s">
        <v>3165</v>
      </c>
      <c r="ER790" s="15" t="s">
        <v>1445</v>
      </c>
      <c r="ES790" s="15" t="s">
        <v>3165</v>
      </c>
      <c r="ET790" s="15" t="s">
        <v>1957</v>
      </c>
      <c r="EU790" s="15" t="s">
        <v>426</v>
      </c>
      <c r="EV790" s="15">
        <v>0.0</v>
      </c>
      <c r="EW790" s="15">
        <v>0.0</v>
      </c>
      <c r="FE790" s="15" t="s">
        <v>1445</v>
      </c>
      <c r="FF790" s="15" t="s">
        <v>8343</v>
      </c>
      <c r="FG790" s="15" t="s">
        <v>2244</v>
      </c>
    </row>
    <row r="791" ht="17.25" customHeight="1">
      <c r="A791" s="15" t="s">
        <v>8366</v>
      </c>
      <c r="B791" s="15" t="str">
        <f>"801542456771"</f>
        <v>801542456771</v>
      </c>
      <c r="C791" s="15" t="s">
        <v>20839</v>
      </c>
      <c r="D791" s="15" t="str">
        <f t="shared" si="1"/>
        <v>Powell Dining TableWhite Marble55</v>
      </c>
      <c r="E791" s="15" t="s">
        <v>8332</v>
      </c>
      <c r="F791" s="15" t="s">
        <v>397</v>
      </c>
      <c r="G791" s="15" t="s">
        <v>4941</v>
      </c>
      <c r="H791" s="15" t="s">
        <v>265</v>
      </c>
      <c r="I791" s="15" t="s">
        <v>487</v>
      </c>
      <c r="J791" s="15" t="s">
        <v>4941</v>
      </c>
      <c r="K791" s="15" t="s">
        <v>8338</v>
      </c>
      <c r="L791" s="15" t="s">
        <v>2014</v>
      </c>
      <c r="M791" s="15" t="s">
        <v>3185</v>
      </c>
      <c r="N791" s="15" t="s">
        <v>548</v>
      </c>
      <c r="O791" s="15" t="s">
        <v>549</v>
      </c>
      <c r="P791" s="15" t="str">
        <f t="shared" ref="P791:Q791" si="2241">"55"</f>
        <v>55</v>
      </c>
      <c r="Q791" s="15" t="str">
        <f t="shared" si="2241"/>
        <v>55</v>
      </c>
      <c r="R791" s="15" t="str">
        <f t="shared" si="2242"/>
        <v>29.5</v>
      </c>
      <c r="S791" s="15" t="str">
        <f>"295.42"</f>
        <v>295.42</v>
      </c>
      <c r="T791" s="15" t="s">
        <v>8363</v>
      </c>
      <c r="U791" s="15" t="s">
        <v>11754</v>
      </c>
      <c r="V791" s="15" t="s">
        <v>11139</v>
      </c>
      <c r="W791" s="15" t="s">
        <v>11338</v>
      </c>
      <c r="AA791" s="15" t="s">
        <v>413</v>
      </c>
      <c r="AB791" s="15" t="s">
        <v>413</v>
      </c>
      <c r="AC791" s="15" t="s">
        <v>8368</v>
      </c>
      <c r="AD791" s="15" t="s">
        <v>20847</v>
      </c>
      <c r="AE791" s="15" t="s">
        <v>8367</v>
      </c>
      <c r="AF791" s="15" t="s">
        <v>20848</v>
      </c>
      <c r="AG791" s="15" t="s">
        <v>20849</v>
      </c>
      <c r="AH791" s="15" t="s">
        <v>20850</v>
      </c>
      <c r="AI791" s="15" t="s">
        <v>20851</v>
      </c>
      <c r="AJ791" s="15" t="s">
        <v>20852</v>
      </c>
      <c r="AK791" s="15" t="s">
        <v>20853</v>
      </c>
      <c r="BH791" s="15" t="s">
        <v>8365</v>
      </c>
      <c r="BI791" s="15" t="str">
        <f>"3499"</f>
        <v>3499</v>
      </c>
      <c r="BJ791" s="15" t="str">
        <f>"1470"</f>
        <v>1470</v>
      </c>
      <c r="BK791" s="15" t="s">
        <v>709</v>
      </c>
      <c r="BL791" s="15" t="str">
        <f t="shared" si="2231"/>
        <v>2</v>
      </c>
      <c r="BM791" s="15" t="s">
        <v>2238</v>
      </c>
      <c r="BN791" s="15" t="str">
        <f>"31.1"</f>
        <v>31.1</v>
      </c>
      <c r="BO791" s="15" t="str">
        <f>"31.5"</f>
        <v>31.5</v>
      </c>
      <c r="BP791" s="15" t="str">
        <f t="shared" si="2243"/>
        <v>33.46</v>
      </c>
      <c r="BQ791" s="15" t="str">
        <f>"134.48"</f>
        <v>134.48</v>
      </c>
      <c r="BR791" s="15" t="s">
        <v>1564</v>
      </c>
      <c r="BS791" s="15" t="str">
        <f>"60.24"</f>
        <v>60.24</v>
      </c>
      <c r="BT791" s="15" t="str">
        <f t="shared" si="2244"/>
        <v>6.89</v>
      </c>
      <c r="BU791" s="15" t="str">
        <f>"60.24"</f>
        <v>60.24</v>
      </c>
      <c r="BV791" s="15" t="str">
        <f>"266.76"</f>
        <v>266.76</v>
      </c>
      <c r="CG791" s="15" t="str">
        <f>"33.44"</f>
        <v>33.44</v>
      </c>
      <c r="CH791" s="15" t="str">
        <f>"0.947"</f>
        <v>0.947</v>
      </c>
      <c r="CI791" s="15" t="s">
        <v>465</v>
      </c>
      <c r="CZ791" s="15" t="s">
        <v>419</v>
      </c>
      <c r="DA791" s="15">
        <v>0.0</v>
      </c>
      <c r="DB791" s="15" t="s">
        <v>419</v>
      </c>
      <c r="DD791" s="15">
        <v>0.0</v>
      </c>
      <c r="DF791" s="15" t="s">
        <v>1186</v>
      </c>
      <c r="DG791" s="15" t="s">
        <v>419</v>
      </c>
      <c r="DI791" s="15">
        <v>0.0</v>
      </c>
      <c r="DJ791" s="15">
        <v>0.0</v>
      </c>
      <c r="DK791" s="15">
        <v>0.0</v>
      </c>
      <c r="DQ791" s="15">
        <v>6.0</v>
      </c>
      <c r="DR791" s="15" t="s">
        <v>1157</v>
      </c>
      <c r="DS791" s="15" t="s">
        <v>8342</v>
      </c>
      <c r="DU791" s="15" t="s">
        <v>500</v>
      </c>
      <c r="EF791" s="15" t="s">
        <v>1411</v>
      </c>
      <c r="EQ791" s="15" t="s">
        <v>1116</v>
      </c>
      <c r="ER791" s="15" t="s">
        <v>1411</v>
      </c>
      <c r="ES791" s="15" t="s">
        <v>1116</v>
      </c>
      <c r="ET791" s="15" t="s">
        <v>5972</v>
      </c>
      <c r="EU791" s="15" t="s">
        <v>426</v>
      </c>
      <c r="EV791" s="15">
        <v>0.0</v>
      </c>
      <c r="EW791" s="15">
        <v>0.0</v>
      </c>
      <c r="FE791" s="15" t="s">
        <v>1411</v>
      </c>
      <c r="FF791" s="15" t="s">
        <v>8348</v>
      </c>
      <c r="FG791" s="15" t="s">
        <v>2244</v>
      </c>
    </row>
    <row r="792" ht="17.25" customHeight="1">
      <c r="A792" s="15" t="s">
        <v>8372</v>
      </c>
      <c r="B792" s="15" t="str">
        <f>"801542172930"</f>
        <v>801542172930</v>
      </c>
      <c r="C792" s="15" t="s">
        <v>20854</v>
      </c>
      <c r="D792" s="15" t="str">
        <f t="shared" si="1"/>
        <v>Quincy BedLisbon CharcoalQueen</v>
      </c>
      <c r="E792" s="15" t="s">
        <v>8369</v>
      </c>
      <c r="F792" s="15" t="s">
        <v>397</v>
      </c>
      <c r="G792" s="15" t="s">
        <v>8371</v>
      </c>
      <c r="H792" s="15" t="s">
        <v>265</v>
      </c>
      <c r="I792" s="15" t="s">
        <v>877</v>
      </c>
      <c r="J792" s="15" t="s">
        <v>8371</v>
      </c>
      <c r="K792" s="15" t="s">
        <v>838</v>
      </c>
      <c r="M792" s="15" t="s">
        <v>837</v>
      </c>
      <c r="N792" s="15" t="s">
        <v>839</v>
      </c>
      <c r="O792" s="15" t="s">
        <v>877</v>
      </c>
      <c r="P792" s="15" t="str">
        <f>"73"</f>
        <v>73</v>
      </c>
      <c r="Q792" s="15" t="str">
        <f t="shared" ref="Q792:Q797" si="2245">"92.25"</f>
        <v>92.25</v>
      </c>
      <c r="R792" s="15" t="str">
        <f t="shared" ref="R792:R797" si="2246">"48"</f>
        <v>48</v>
      </c>
      <c r="S792" s="15" t="str">
        <f>"188.38"</f>
        <v>188.38</v>
      </c>
      <c r="T792" s="15" t="s">
        <v>8375</v>
      </c>
      <c r="U792" s="15" t="s">
        <v>20855</v>
      </c>
      <c r="V792" s="15" t="s">
        <v>11538</v>
      </c>
      <c r="W792" s="15" t="s">
        <v>11210</v>
      </c>
      <c r="AA792" s="15" t="s">
        <v>413</v>
      </c>
      <c r="AB792" s="15" t="s">
        <v>426</v>
      </c>
      <c r="AC792" s="15" t="s">
        <v>8378</v>
      </c>
      <c r="AD792" s="15" t="s">
        <v>20856</v>
      </c>
      <c r="AE792" s="15" t="s">
        <v>8374</v>
      </c>
      <c r="AF792" s="15" t="s">
        <v>20857</v>
      </c>
      <c r="AG792" s="15" t="s">
        <v>20858</v>
      </c>
      <c r="AH792" s="15" t="s">
        <v>20859</v>
      </c>
      <c r="AI792" s="15" t="s">
        <v>20860</v>
      </c>
      <c r="AJ792" s="15" t="s">
        <v>20861</v>
      </c>
      <c r="AK792" s="15" t="s">
        <v>20862</v>
      </c>
      <c r="AL792" s="15" t="s">
        <v>20863</v>
      </c>
      <c r="AM792" s="15" t="s">
        <v>20864</v>
      </c>
      <c r="AN792" s="15" t="s">
        <v>20865</v>
      </c>
      <c r="AO792" s="15" t="s">
        <v>20866</v>
      </c>
      <c r="AP792" s="15" t="s">
        <v>20867</v>
      </c>
      <c r="AQ792" s="15" t="s">
        <v>20868</v>
      </c>
      <c r="AR792" s="15" t="s">
        <v>20869</v>
      </c>
      <c r="AS792" s="15" t="s">
        <v>20870</v>
      </c>
      <c r="BH792" s="15" t="s">
        <v>8370</v>
      </c>
      <c r="BI792" s="15" t="str">
        <f>"1599"</f>
        <v>1599</v>
      </c>
      <c r="BJ792" s="15" t="str">
        <f>"675"</f>
        <v>675</v>
      </c>
      <c r="BK792" s="15" t="s">
        <v>742</v>
      </c>
      <c r="BL792" s="15" t="str">
        <f t="shared" ref="BL792:BL797" si="2247">"3"</f>
        <v>3</v>
      </c>
      <c r="BM792" s="15" t="s">
        <v>8379</v>
      </c>
      <c r="BN792" s="15" t="str">
        <f>"74.02"</f>
        <v>74.02</v>
      </c>
      <c r="BO792" s="15" t="str">
        <f>"49.61"</f>
        <v>49.61</v>
      </c>
      <c r="BP792" s="15" t="str">
        <f t="shared" ref="BP792:BP797" si="2248">"5.91"</f>
        <v>5.91</v>
      </c>
      <c r="BQ792" s="15" t="str">
        <f>"68.34"</f>
        <v>68.34</v>
      </c>
      <c r="BR792" s="15" t="s">
        <v>8380</v>
      </c>
      <c r="BS792" s="15" t="str">
        <f>"71.85"</f>
        <v>71.85</v>
      </c>
      <c r="BT792" s="15" t="str">
        <f t="shared" ref="BT792:BT797" si="2249">"15.94"</f>
        <v>15.94</v>
      </c>
      <c r="BU792" s="15" t="str">
        <f t="shared" ref="BU792:BU797" si="2250">"8.86"</f>
        <v>8.86</v>
      </c>
      <c r="BV792" s="15" t="str">
        <f>"67.68"</f>
        <v>67.68</v>
      </c>
      <c r="BW792" s="15" t="s">
        <v>8384</v>
      </c>
      <c r="BX792" s="15" t="str">
        <f t="shared" ref="BX792:BX797" si="2251">"85.43"</f>
        <v>85.43</v>
      </c>
      <c r="BY792" s="15" t="str">
        <f t="shared" ref="BY792:BY797" si="2252">"15.16"</f>
        <v>15.16</v>
      </c>
      <c r="BZ792" s="15" t="str">
        <f t="shared" ref="BZ792:BZ797" si="2253">"14.17"</f>
        <v>14.17</v>
      </c>
      <c r="CA792" s="15" t="str">
        <f>"86.86"</f>
        <v>86.86</v>
      </c>
      <c r="CG792" s="15" t="str">
        <f>"29.03"</f>
        <v>29.03</v>
      </c>
      <c r="CH792" s="15" t="str">
        <f>"0.822"</f>
        <v>0.822</v>
      </c>
      <c r="CI792" s="15" t="s">
        <v>497</v>
      </c>
      <c r="CY792" s="15" t="s">
        <v>855</v>
      </c>
      <c r="CZ792" s="15" t="s">
        <v>419</v>
      </c>
      <c r="DA792" s="15">
        <v>0.0</v>
      </c>
      <c r="DB792" s="15" t="s">
        <v>419</v>
      </c>
      <c r="DD792" s="15">
        <v>0.0</v>
      </c>
      <c r="DF792" s="15" t="s">
        <v>989</v>
      </c>
      <c r="DG792" s="15" t="s">
        <v>419</v>
      </c>
      <c r="DI792" s="15">
        <v>0.0</v>
      </c>
      <c r="DJ792" s="15">
        <v>0.0</v>
      </c>
      <c r="DK792" s="15">
        <v>0.0</v>
      </c>
      <c r="DL792" s="15">
        <v>25000.0</v>
      </c>
      <c r="DS792" s="15" t="s">
        <v>8386</v>
      </c>
      <c r="DU792" s="15" t="s">
        <v>858</v>
      </c>
      <c r="EO792" s="15" t="s">
        <v>860</v>
      </c>
      <c r="EV792" s="15">
        <v>0.0</v>
      </c>
      <c r="HV792" s="15" t="s">
        <v>8387</v>
      </c>
      <c r="HW792" s="15" t="s">
        <v>8387</v>
      </c>
      <c r="HX792" s="15" t="s">
        <v>8387</v>
      </c>
      <c r="HY792" s="15" t="s">
        <v>5940</v>
      </c>
      <c r="HZ792" s="15" t="s">
        <v>5481</v>
      </c>
      <c r="IA792" s="15" t="s">
        <v>8388</v>
      </c>
      <c r="IB792" s="15" t="s">
        <v>2467</v>
      </c>
      <c r="IC792" s="15" t="s">
        <v>761</v>
      </c>
      <c r="ID792" s="15" t="s">
        <v>8389</v>
      </c>
      <c r="IE792" s="15" t="s">
        <v>2971</v>
      </c>
      <c r="IF792" s="15" t="s">
        <v>5722</v>
      </c>
      <c r="IG792" s="15" t="s">
        <v>5852</v>
      </c>
      <c r="IH792" s="15" t="s">
        <v>4827</v>
      </c>
      <c r="II792" s="15" t="s">
        <v>8390</v>
      </c>
      <c r="IJ792" s="15" t="s">
        <v>5481</v>
      </c>
      <c r="IK792" s="15" t="s">
        <v>426</v>
      </c>
      <c r="IL792" s="15" t="s">
        <v>947</v>
      </c>
      <c r="IM792" s="15" t="s">
        <v>872</v>
      </c>
      <c r="IN792" s="15" t="s">
        <v>873</v>
      </c>
      <c r="IO792" s="15" t="s">
        <v>877</v>
      </c>
      <c r="IU792" s="15" t="s">
        <v>759</v>
      </c>
      <c r="IV792" s="15" t="s">
        <v>8391</v>
      </c>
      <c r="IX792" s="15" t="s">
        <v>426</v>
      </c>
      <c r="IY792" s="15" t="s">
        <v>2474</v>
      </c>
    </row>
    <row r="793" ht="17.25" customHeight="1">
      <c r="A793" s="15" t="s">
        <v>8393</v>
      </c>
      <c r="B793" s="15" t="str">
        <f>"801542172923"</f>
        <v>801542172923</v>
      </c>
      <c r="C793" s="15" t="s">
        <v>20854</v>
      </c>
      <c r="D793" s="15" t="str">
        <f t="shared" si="1"/>
        <v>Quincy BedLisbon CharcoalKing</v>
      </c>
      <c r="E793" s="15" t="s">
        <v>8369</v>
      </c>
      <c r="F793" s="15" t="s">
        <v>397</v>
      </c>
      <c r="G793" s="15" t="s">
        <v>8371</v>
      </c>
      <c r="H793" s="15" t="s">
        <v>265</v>
      </c>
      <c r="I793" s="15" t="s">
        <v>828</v>
      </c>
      <c r="J793" s="15" t="s">
        <v>8371</v>
      </c>
      <c r="K793" s="15" t="s">
        <v>838</v>
      </c>
      <c r="M793" s="15" t="s">
        <v>837</v>
      </c>
      <c r="N793" s="15" t="s">
        <v>839</v>
      </c>
      <c r="O793" s="15" t="s">
        <v>828</v>
      </c>
      <c r="P793" s="15" t="str">
        <f>"89.25"</f>
        <v>89.25</v>
      </c>
      <c r="Q793" s="15" t="str">
        <f t="shared" si="2245"/>
        <v>92.25</v>
      </c>
      <c r="R793" s="15" t="str">
        <f t="shared" si="2246"/>
        <v>48</v>
      </c>
      <c r="S793" s="15" t="str">
        <f>"234.79"</f>
        <v>234.79</v>
      </c>
      <c r="T793" s="15" t="s">
        <v>8375</v>
      </c>
      <c r="U793" s="15" t="s">
        <v>20855</v>
      </c>
      <c r="V793" s="15" t="s">
        <v>11538</v>
      </c>
      <c r="W793" s="15" t="s">
        <v>11210</v>
      </c>
      <c r="AA793" s="15" t="s">
        <v>413</v>
      </c>
      <c r="AB793" s="15" t="s">
        <v>426</v>
      </c>
      <c r="AC793" s="15" t="s">
        <v>8378</v>
      </c>
      <c r="AD793" s="15" t="s">
        <v>20871</v>
      </c>
      <c r="AE793" s="15" t="s">
        <v>8395</v>
      </c>
      <c r="AF793" s="15" t="s">
        <v>20872</v>
      </c>
      <c r="AG793" s="15" t="s">
        <v>20873</v>
      </c>
      <c r="AH793" s="15" t="s">
        <v>20874</v>
      </c>
      <c r="AI793" s="15" t="s">
        <v>20875</v>
      </c>
      <c r="AJ793" s="15" t="s">
        <v>20876</v>
      </c>
      <c r="AK793" s="15" t="s">
        <v>20877</v>
      </c>
      <c r="AL793" s="15" t="s">
        <v>20878</v>
      </c>
      <c r="AM793" s="15" t="s">
        <v>20879</v>
      </c>
      <c r="AN793" s="15" t="s">
        <v>20880</v>
      </c>
      <c r="AO793" s="15" t="s">
        <v>20881</v>
      </c>
      <c r="AP793" s="15" t="s">
        <v>20882</v>
      </c>
      <c r="AQ793" s="15" t="s">
        <v>20883</v>
      </c>
      <c r="BH793" s="15" t="s">
        <v>8392</v>
      </c>
      <c r="BI793" s="15" t="str">
        <f>"1699"</f>
        <v>1699</v>
      </c>
      <c r="BJ793" s="15" t="str">
        <f>"715"</f>
        <v>715</v>
      </c>
      <c r="BK793" s="15" t="s">
        <v>742</v>
      </c>
      <c r="BL793" s="15" t="str">
        <f t="shared" si="2247"/>
        <v>3</v>
      </c>
      <c r="BM793" s="15" t="s">
        <v>8379</v>
      </c>
      <c r="BN793" s="15" t="str">
        <f>"90.16"</f>
        <v>90.16</v>
      </c>
      <c r="BO793" s="15" t="str">
        <f>"49.41"</f>
        <v>49.41</v>
      </c>
      <c r="BP793" s="15" t="str">
        <f t="shared" si="2248"/>
        <v>5.91</v>
      </c>
      <c r="BQ793" s="15" t="str">
        <f>"94.8"</f>
        <v>94.8</v>
      </c>
      <c r="BR793" s="15" t="s">
        <v>8380</v>
      </c>
      <c r="BS793" s="15" t="str">
        <f>"88.78"</f>
        <v>88.78</v>
      </c>
      <c r="BT793" s="15" t="str">
        <f t="shared" si="2249"/>
        <v>15.94</v>
      </c>
      <c r="BU793" s="15" t="str">
        <f t="shared" si="2250"/>
        <v>8.86</v>
      </c>
      <c r="BV793" s="15" t="str">
        <f>"85.98"</f>
        <v>85.98</v>
      </c>
      <c r="BW793" s="15" t="s">
        <v>8384</v>
      </c>
      <c r="BX793" s="15" t="str">
        <f t="shared" si="2251"/>
        <v>85.43</v>
      </c>
      <c r="BY793" s="15" t="str">
        <f t="shared" si="2252"/>
        <v>15.16</v>
      </c>
      <c r="BZ793" s="15" t="str">
        <f t="shared" si="2253"/>
        <v>14.17</v>
      </c>
      <c r="CA793" s="15" t="str">
        <f>"94.8"</f>
        <v>94.8</v>
      </c>
      <c r="CG793" s="15" t="str">
        <f>"33.09"</f>
        <v>33.09</v>
      </c>
      <c r="CH793" s="15" t="str">
        <f>"0.937"</f>
        <v>0.937</v>
      </c>
      <c r="CI793" s="15" t="s">
        <v>497</v>
      </c>
      <c r="CY793" s="15" t="s">
        <v>855</v>
      </c>
      <c r="CZ793" s="15" t="s">
        <v>419</v>
      </c>
      <c r="DA793" s="15">
        <v>0.0</v>
      </c>
      <c r="DB793" s="15" t="s">
        <v>419</v>
      </c>
      <c r="DD793" s="15">
        <v>0.0</v>
      </c>
      <c r="DF793" s="15" t="s">
        <v>989</v>
      </c>
      <c r="DG793" s="15" t="s">
        <v>419</v>
      </c>
      <c r="DI793" s="15">
        <v>0.0</v>
      </c>
      <c r="DJ793" s="15">
        <v>0.0</v>
      </c>
      <c r="DK793" s="15">
        <v>0.0</v>
      </c>
      <c r="DL793" s="15">
        <v>25000.0</v>
      </c>
      <c r="DS793" s="15" t="s">
        <v>8386</v>
      </c>
      <c r="DU793" s="15" t="s">
        <v>858</v>
      </c>
      <c r="EO793" s="15" t="s">
        <v>860</v>
      </c>
      <c r="EV793" s="15">
        <v>0.0</v>
      </c>
      <c r="HV793" s="15" t="s">
        <v>8387</v>
      </c>
      <c r="HW793" s="15" t="s">
        <v>8387</v>
      </c>
      <c r="HX793" s="15" t="s">
        <v>8387</v>
      </c>
      <c r="HY793" s="15" t="s">
        <v>5940</v>
      </c>
      <c r="HZ793" s="15" t="s">
        <v>5481</v>
      </c>
      <c r="IA793" s="15" t="s">
        <v>8399</v>
      </c>
      <c r="IB793" s="15" t="s">
        <v>2467</v>
      </c>
      <c r="IC793" s="15" t="s">
        <v>761</v>
      </c>
      <c r="ID793" s="15" t="s">
        <v>8400</v>
      </c>
      <c r="IE793" s="15" t="s">
        <v>2971</v>
      </c>
      <c r="IF793" s="15" t="s">
        <v>5722</v>
      </c>
      <c r="IG793" s="15" t="s">
        <v>4384</v>
      </c>
      <c r="IH793" s="15" t="s">
        <v>4827</v>
      </c>
      <c r="II793" s="15" t="s">
        <v>8390</v>
      </c>
      <c r="IJ793" s="15" t="s">
        <v>5481</v>
      </c>
      <c r="IK793" s="15" t="s">
        <v>426</v>
      </c>
      <c r="IL793" s="15" t="s">
        <v>947</v>
      </c>
      <c r="IM793" s="15" t="s">
        <v>872</v>
      </c>
      <c r="IN793" s="15" t="s">
        <v>873</v>
      </c>
      <c r="IO793" s="15" t="s">
        <v>828</v>
      </c>
      <c r="IU793" s="15" t="s">
        <v>759</v>
      </c>
      <c r="IV793" s="15" t="s">
        <v>8391</v>
      </c>
      <c r="IX793" s="15" t="s">
        <v>426</v>
      </c>
      <c r="IY793" s="15" t="s">
        <v>2474</v>
      </c>
    </row>
    <row r="794" ht="17.25" customHeight="1">
      <c r="A794" s="15" t="s">
        <v>8403</v>
      </c>
      <c r="B794" s="15" t="str">
        <f>"801542172954"</f>
        <v>801542172954</v>
      </c>
      <c r="C794" s="15" t="s">
        <v>20884</v>
      </c>
      <c r="D794" s="15" t="str">
        <f t="shared" si="1"/>
        <v>Quincy BedLisbon CreamQueen</v>
      </c>
      <c r="E794" s="15" t="s">
        <v>8369</v>
      </c>
      <c r="F794" s="15" t="s">
        <v>397</v>
      </c>
      <c r="G794" s="15" t="s">
        <v>8402</v>
      </c>
      <c r="H794" s="15" t="s">
        <v>265</v>
      </c>
      <c r="I794" s="15" t="s">
        <v>877</v>
      </c>
      <c r="J794" s="15" t="s">
        <v>8402</v>
      </c>
      <c r="K794" s="15" t="s">
        <v>838</v>
      </c>
      <c r="M794" s="15" t="s">
        <v>837</v>
      </c>
      <c r="N794" s="15" t="s">
        <v>839</v>
      </c>
      <c r="O794" s="15" t="s">
        <v>877</v>
      </c>
      <c r="P794" s="15" t="str">
        <f>"73"</f>
        <v>73</v>
      </c>
      <c r="Q794" s="15" t="str">
        <f t="shared" si="2245"/>
        <v>92.25</v>
      </c>
      <c r="R794" s="15" t="str">
        <f t="shared" si="2246"/>
        <v>48</v>
      </c>
      <c r="S794" s="15" t="str">
        <f>"188.38"</f>
        <v>188.38</v>
      </c>
      <c r="T794" s="15" t="s">
        <v>8405</v>
      </c>
      <c r="U794" s="15" t="s">
        <v>17686</v>
      </c>
      <c r="V794" s="15" t="s">
        <v>11538</v>
      </c>
      <c r="W794" s="15" t="s">
        <v>11859</v>
      </c>
      <c r="X794" s="15" t="s">
        <v>11210</v>
      </c>
      <c r="AA794" s="15" t="s">
        <v>413</v>
      </c>
      <c r="AB794" s="15" t="s">
        <v>426</v>
      </c>
      <c r="AC794" s="15" t="s">
        <v>8378</v>
      </c>
      <c r="AD794" s="15" t="s">
        <v>20885</v>
      </c>
      <c r="AE794" s="15" t="s">
        <v>8404</v>
      </c>
      <c r="AF794" s="15" t="s">
        <v>20886</v>
      </c>
      <c r="AG794" s="15" t="s">
        <v>20887</v>
      </c>
      <c r="AH794" s="15" t="s">
        <v>20888</v>
      </c>
      <c r="AI794" s="15" t="s">
        <v>20889</v>
      </c>
      <c r="AJ794" s="15" t="s">
        <v>20890</v>
      </c>
      <c r="AK794" s="15" t="s">
        <v>20891</v>
      </c>
      <c r="AL794" s="15" t="s">
        <v>20892</v>
      </c>
      <c r="AM794" s="15" t="s">
        <v>20893</v>
      </c>
      <c r="AN794" s="15" t="s">
        <v>20894</v>
      </c>
      <c r="AO794" s="15" t="s">
        <v>20895</v>
      </c>
      <c r="AP794" s="15" t="s">
        <v>20896</v>
      </c>
      <c r="AQ794" s="15" t="s">
        <v>20897</v>
      </c>
      <c r="AR794" s="15" t="s">
        <v>20898</v>
      </c>
      <c r="AS794" s="15" t="s">
        <v>20899</v>
      </c>
      <c r="BH794" s="15" t="s">
        <v>8401</v>
      </c>
      <c r="BI794" s="15" t="str">
        <f>"1599"</f>
        <v>1599</v>
      </c>
      <c r="BJ794" s="15" t="str">
        <f>"675"</f>
        <v>675</v>
      </c>
      <c r="BK794" s="15" t="s">
        <v>742</v>
      </c>
      <c r="BL794" s="15" t="str">
        <f t="shared" si="2247"/>
        <v>3</v>
      </c>
      <c r="BM794" s="15" t="s">
        <v>8379</v>
      </c>
      <c r="BN794" s="15" t="str">
        <f>"74.02"</f>
        <v>74.02</v>
      </c>
      <c r="BO794" s="15" t="str">
        <f>"49.61"</f>
        <v>49.61</v>
      </c>
      <c r="BP794" s="15" t="str">
        <f t="shared" si="2248"/>
        <v>5.91</v>
      </c>
      <c r="BQ794" s="15" t="str">
        <f>"68.34"</f>
        <v>68.34</v>
      </c>
      <c r="BR794" s="15" t="s">
        <v>8380</v>
      </c>
      <c r="BS794" s="15" t="str">
        <f>"71.85"</f>
        <v>71.85</v>
      </c>
      <c r="BT794" s="15" t="str">
        <f t="shared" si="2249"/>
        <v>15.94</v>
      </c>
      <c r="BU794" s="15" t="str">
        <f t="shared" si="2250"/>
        <v>8.86</v>
      </c>
      <c r="BV794" s="15" t="str">
        <f>"67.68"</f>
        <v>67.68</v>
      </c>
      <c r="BW794" s="15" t="s">
        <v>8384</v>
      </c>
      <c r="BX794" s="15" t="str">
        <f t="shared" si="2251"/>
        <v>85.43</v>
      </c>
      <c r="BY794" s="15" t="str">
        <f t="shared" si="2252"/>
        <v>15.16</v>
      </c>
      <c r="BZ794" s="15" t="str">
        <f t="shared" si="2253"/>
        <v>14.17</v>
      </c>
      <c r="CA794" s="15" t="str">
        <f>"86.86"</f>
        <v>86.86</v>
      </c>
      <c r="CG794" s="15" t="str">
        <f>"29.03"</f>
        <v>29.03</v>
      </c>
      <c r="CH794" s="15" t="str">
        <f>"0.822"</f>
        <v>0.822</v>
      </c>
      <c r="CI794" s="15" t="s">
        <v>497</v>
      </c>
      <c r="CY794" s="15" t="s">
        <v>855</v>
      </c>
      <c r="CZ794" s="15" t="s">
        <v>419</v>
      </c>
      <c r="DA794" s="15">
        <v>0.0</v>
      </c>
      <c r="DB794" s="15" t="s">
        <v>419</v>
      </c>
      <c r="DD794" s="15">
        <v>0.0</v>
      </c>
      <c r="DF794" s="15" t="s">
        <v>989</v>
      </c>
      <c r="DG794" s="15" t="s">
        <v>419</v>
      </c>
      <c r="DI794" s="15">
        <v>0.0</v>
      </c>
      <c r="DJ794" s="15">
        <v>0.0</v>
      </c>
      <c r="DK794" s="15">
        <v>0.0</v>
      </c>
      <c r="DL794" s="15">
        <v>25000.0</v>
      </c>
      <c r="DS794" s="15" t="s">
        <v>8386</v>
      </c>
      <c r="DU794" s="15" t="s">
        <v>858</v>
      </c>
      <c r="EO794" s="15" t="s">
        <v>860</v>
      </c>
      <c r="EV794" s="15">
        <v>0.0</v>
      </c>
      <c r="HV794" s="15" t="s">
        <v>8387</v>
      </c>
      <c r="HW794" s="15" t="s">
        <v>8387</v>
      </c>
      <c r="HX794" s="15" t="s">
        <v>8387</v>
      </c>
      <c r="HY794" s="15" t="s">
        <v>5940</v>
      </c>
      <c r="HZ794" s="15" t="s">
        <v>5481</v>
      </c>
      <c r="IA794" s="15" t="s">
        <v>8388</v>
      </c>
      <c r="IB794" s="15" t="s">
        <v>2467</v>
      </c>
      <c r="IC794" s="15" t="s">
        <v>761</v>
      </c>
      <c r="ID794" s="15" t="s">
        <v>8389</v>
      </c>
      <c r="IE794" s="15" t="s">
        <v>2971</v>
      </c>
      <c r="IF794" s="15" t="s">
        <v>5722</v>
      </c>
      <c r="IG794" s="15" t="s">
        <v>5852</v>
      </c>
      <c r="IH794" s="15" t="s">
        <v>4827</v>
      </c>
      <c r="II794" s="15" t="s">
        <v>8390</v>
      </c>
      <c r="IJ794" s="15" t="s">
        <v>5481</v>
      </c>
      <c r="IK794" s="15" t="s">
        <v>426</v>
      </c>
      <c r="IL794" s="15" t="s">
        <v>947</v>
      </c>
      <c r="IM794" s="15" t="s">
        <v>872</v>
      </c>
      <c r="IN794" s="15" t="s">
        <v>873</v>
      </c>
      <c r="IO794" s="15" t="s">
        <v>877</v>
      </c>
      <c r="IU794" s="15" t="s">
        <v>759</v>
      </c>
      <c r="IV794" s="15" t="s">
        <v>8391</v>
      </c>
      <c r="IX794" s="15" t="s">
        <v>426</v>
      </c>
      <c r="IY794" s="15" t="s">
        <v>2474</v>
      </c>
    </row>
    <row r="795" ht="17.25" customHeight="1">
      <c r="A795" s="15" t="s">
        <v>8407</v>
      </c>
      <c r="B795" s="15" t="str">
        <f>"801542172947"</f>
        <v>801542172947</v>
      </c>
      <c r="C795" s="15" t="s">
        <v>20884</v>
      </c>
      <c r="D795" s="15" t="str">
        <f t="shared" si="1"/>
        <v>Quincy BedLisbon CreamKing</v>
      </c>
      <c r="E795" s="15" t="s">
        <v>8369</v>
      </c>
      <c r="F795" s="15" t="s">
        <v>397</v>
      </c>
      <c r="G795" s="15" t="s">
        <v>8402</v>
      </c>
      <c r="H795" s="15" t="s">
        <v>265</v>
      </c>
      <c r="I795" s="15" t="s">
        <v>828</v>
      </c>
      <c r="J795" s="15" t="s">
        <v>8402</v>
      </c>
      <c r="K795" s="15" t="s">
        <v>838</v>
      </c>
      <c r="M795" s="15" t="s">
        <v>837</v>
      </c>
      <c r="N795" s="15" t="s">
        <v>839</v>
      </c>
      <c r="O795" s="15" t="s">
        <v>828</v>
      </c>
      <c r="P795" s="15" t="str">
        <f>"89.25"</f>
        <v>89.25</v>
      </c>
      <c r="Q795" s="15" t="str">
        <f t="shared" si="2245"/>
        <v>92.25</v>
      </c>
      <c r="R795" s="15" t="str">
        <f t="shared" si="2246"/>
        <v>48</v>
      </c>
      <c r="S795" s="15" t="str">
        <f>"234.79"</f>
        <v>234.79</v>
      </c>
      <c r="T795" s="15" t="s">
        <v>8405</v>
      </c>
      <c r="U795" s="15" t="s">
        <v>17686</v>
      </c>
      <c r="V795" s="15" t="s">
        <v>11538</v>
      </c>
      <c r="W795" s="15" t="s">
        <v>11859</v>
      </c>
      <c r="X795" s="15" t="s">
        <v>11210</v>
      </c>
      <c r="AA795" s="15" t="s">
        <v>413</v>
      </c>
      <c r="AB795" s="15" t="s">
        <v>426</v>
      </c>
      <c r="AC795" s="15" t="s">
        <v>8378</v>
      </c>
      <c r="AD795" s="15" t="s">
        <v>20900</v>
      </c>
      <c r="AE795" s="15" t="s">
        <v>8408</v>
      </c>
      <c r="AF795" s="15" t="s">
        <v>20901</v>
      </c>
      <c r="AG795" s="15" t="s">
        <v>20902</v>
      </c>
      <c r="AH795" s="15" t="s">
        <v>20903</v>
      </c>
      <c r="AI795" s="15" t="s">
        <v>20904</v>
      </c>
      <c r="AJ795" s="15" t="s">
        <v>20905</v>
      </c>
      <c r="AK795" s="15" t="s">
        <v>20906</v>
      </c>
      <c r="AL795" s="15" t="s">
        <v>20907</v>
      </c>
      <c r="AM795" s="15" t="s">
        <v>20908</v>
      </c>
      <c r="AN795" s="15" t="s">
        <v>20909</v>
      </c>
      <c r="AO795" s="15" t="s">
        <v>20910</v>
      </c>
      <c r="AP795" s="15" t="s">
        <v>20911</v>
      </c>
      <c r="AQ795" s="15" t="s">
        <v>20912</v>
      </c>
      <c r="BH795" s="15" t="s">
        <v>8406</v>
      </c>
      <c r="BI795" s="15" t="str">
        <f>"1699"</f>
        <v>1699</v>
      </c>
      <c r="BJ795" s="15" t="str">
        <f>"715"</f>
        <v>715</v>
      </c>
      <c r="BK795" s="15" t="s">
        <v>742</v>
      </c>
      <c r="BL795" s="15" t="str">
        <f t="shared" si="2247"/>
        <v>3</v>
      </c>
      <c r="BM795" s="15" t="s">
        <v>8379</v>
      </c>
      <c r="BN795" s="15" t="str">
        <f>"90.16"</f>
        <v>90.16</v>
      </c>
      <c r="BO795" s="15" t="str">
        <f>"49.41"</f>
        <v>49.41</v>
      </c>
      <c r="BP795" s="15" t="str">
        <f t="shared" si="2248"/>
        <v>5.91</v>
      </c>
      <c r="BQ795" s="15" t="str">
        <f>"94.8"</f>
        <v>94.8</v>
      </c>
      <c r="BR795" s="15" t="s">
        <v>8380</v>
      </c>
      <c r="BS795" s="15" t="str">
        <f>"88.78"</f>
        <v>88.78</v>
      </c>
      <c r="BT795" s="15" t="str">
        <f t="shared" si="2249"/>
        <v>15.94</v>
      </c>
      <c r="BU795" s="15" t="str">
        <f t="shared" si="2250"/>
        <v>8.86</v>
      </c>
      <c r="BV795" s="15" t="str">
        <f>"85.98"</f>
        <v>85.98</v>
      </c>
      <c r="BW795" s="15" t="s">
        <v>8384</v>
      </c>
      <c r="BX795" s="15" t="str">
        <f t="shared" si="2251"/>
        <v>85.43</v>
      </c>
      <c r="BY795" s="15" t="str">
        <f t="shared" si="2252"/>
        <v>15.16</v>
      </c>
      <c r="BZ795" s="15" t="str">
        <f t="shared" si="2253"/>
        <v>14.17</v>
      </c>
      <c r="CA795" s="15" t="str">
        <f>"94.8"</f>
        <v>94.8</v>
      </c>
      <c r="CG795" s="15" t="str">
        <f>"33.09"</f>
        <v>33.09</v>
      </c>
      <c r="CH795" s="15" t="str">
        <f>"0.937"</f>
        <v>0.937</v>
      </c>
      <c r="CI795" s="15" t="s">
        <v>497</v>
      </c>
      <c r="CY795" s="15" t="s">
        <v>855</v>
      </c>
      <c r="CZ795" s="15" t="s">
        <v>419</v>
      </c>
      <c r="DA795" s="15">
        <v>0.0</v>
      </c>
      <c r="DB795" s="15" t="s">
        <v>419</v>
      </c>
      <c r="DD795" s="15">
        <v>0.0</v>
      </c>
      <c r="DF795" s="15" t="s">
        <v>989</v>
      </c>
      <c r="DG795" s="15" t="s">
        <v>419</v>
      </c>
      <c r="DI795" s="15">
        <v>0.0</v>
      </c>
      <c r="DJ795" s="15">
        <v>0.0</v>
      </c>
      <c r="DK795" s="15">
        <v>0.0</v>
      </c>
      <c r="DL795" s="15">
        <v>25000.0</v>
      </c>
      <c r="DS795" s="15" t="s">
        <v>8386</v>
      </c>
      <c r="DU795" s="15" t="s">
        <v>858</v>
      </c>
      <c r="EO795" s="15" t="s">
        <v>860</v>
      </c>
      <c r="EV795" s="15">
        <v>0.0</v>
      </c>
      <c r="HV795" s="15" t="s">
        <v>8387</v>
      </c>
      <c r="HW795" s="15" t="s">
        <v>8387</v>
      </c>
      <c r="HX795" s="15" t="s">
        <v>8387</v>
      </c>
      <c r="HY795" s="15" t="s">
        <v>5940</v>
      </c>
      <c r="HZ795" s="15" t="s">
        <v>5481</v>
      </c>
      <c r="IA795" s="15" t="s">
        <v>8399</v>
      </c>
      <c r="IB795" s="15" t="s">
        <v>2467</v>
      </c>
      <c r="IC795" s="15" t="s">
        <v>761</v>
      </c>
      <c r="ID795" s="15" t="s">
        <v>8400</v>
      </c>
      <c r="IE795" s="15" t="s">
        <v>2971</v>
      </c>
      <c r="IF795" s="15" t="s">
        <v>5722</v>
      </c>
      <c r="IG795" s="15" t="s">
        <v>4384</v>
      </c>
      <c r="IH795" s="15" t="s">
        <v>4827</v>
      </c>
      <c r="II795" s="15" t="s">
        <v>8390</v>
      </c>
      <c r="IJ795" s="15" t="s">
        <v>5481</v>
      </c>
      <c r="IK795" s="15" t="s">
        <v>426</v>
      </c>
      <c r="IL795" s="15" t="s">
        <v>947</v>
      </c>
      <c r="IM795" s="15" t="s">
        <v>872</v>
      </c>
      <c r="IN795" s="15" t="s">
        <v>873</v>
      </c>
      <c r="IO795" s="15" t="s">
        <v>828</v>
      </c>
      <c r="IU795" s="15" t="s">
        <v>759</v>
      </c>
      <c r="IV795" s="15" t="s">
        <v>8391</v>
      </c>
      <c r="IX795" s="15" t="s">
        <v>426</v>
      </c>
      <c r="IY795" s="15" t="s">
        <v>2474</v>
      </c>
    </row>
    <row r="796" ht="17.25" customHeight="1">
      <c r="A796" s="15" t="s">
        <v>8410</v>
      </c>
      <c r="B796" s="15" t="str">
        <f>"198394018715"</f>
        <v>198394018715</v>
      </c>
      <c r="C796" s="15" t="s">
        <v>20913</v>
      </c>
      <c r="D796" s="15" t="str">
        <f t="shared" si="1"/>
        <v>Quincy BedPlushtone LinenQueen</v>
      </c>
      <c r="E796" s="15" t="s">
        <v>8369</v>
      </c>
      <c r="F796" s="15" t="s">
        <v>397</v>
      </c>
      <c r="G796" s="15" t="s">
        <v>827</v>
      </c>
      <c r="H796" s="15" t="s">
        <v>265</v>
      </c>
      <c r="I796" s="15" t="s">
        <v>877</v>
      </c>
      <c r="J796" s="15" t="s">
        <v>827</v>
      </c>
      <c r="K796" s="15" t="s">
        <v>838</v>
      </c>
      <c r="M796" s="15" t="s">
        <v>837</v>
      </c>
      <c r="N796" s="15" t="s">
        <v>839</v>
      </c>
      <c r="O796" s="15" t="s">
        <v>877</v>
      </c>
      <c r="P796" s="15" t="str">
        <f>"73"</f>
        <v>73</v>
      </c>
      <c r="Q796" s="15" t="str">
        <f t="shared" si="2245"/>
        <v>92.25</v>
      </c>
      <c r="R796" s="15" t="str">
        <f t="shared" si="2246"/>
        <v>48</v>
      </c>
      <c r="S796" s="15" t="str">
        <f>"188.38"</f>
        <v>188.38</v>
      </c>
      <c r="T796" s="15" t="s">
        <v>832</v>
      </c>
      <c r="U796" s="15" t="s">
        <v>11209</v>
      </c>
      <c r="V796" s="15" t="s">
        <v>11210</v>
      </c>
      <c r="AA796" s="15" t="s">
        <v>413</v>
      </c>
      <c r="AB796" s="15" t="s">
        <v>426</v>
      </c>
      <c r="AC796" s="15" t="s">
        <v>8378</v>
      </c>
      <c r="AD796" s="15" t="s">
        <v>20914</v>
      </c>
      <c r="AE796" s="15" t="s">
        <v>8411</v>
      </c>
      <c r="AF796" s="15" t="s">
        <v>20915</v>
      </c>
      <c r="AG796" s="15" t="s">
        <v>20916</v>
      </c>
      <c r="AH796" s="15" t="s">
        <v>20917</v>
      </c>
      <c r="AI796" s="15" t="s">
        <v>20918</v>
      </c>
      <c r="AJ796" s="15" t="s">
        <v>20919</v>
      </c>
      <c r="AK796" s="15" t="s">
        <v>20920</v>
      </c>
      <c r="AL796" s="15" t="s">
        <v>20921</v>
      </c>
      <c r="AM796" s="15" t="s">
        <v>20922</v>
      </c>
      <c r="AN796" s="15" t="s">
        <v>20923</v>
      </c>
      <c r="BH796" s="15" t="s">
        <v>8409</v>
      </c>
      <c r="BI796" s="15" t="str">
        <f>"1499"</f>
        <v>1499</v>
      </c>
      <c r="BJ796" s="15" t="str">
        <f>"630"</f>
        <v>630</v>
      </c>
      <c r="BK796" s="15" t="s">
        <v>742</v>
      </c>
      <c r="BL796" s="15" t="str">
        <f t="shared" si="2247"/>
        <v>3</v>
      </c>
      <c r="BM796" s="15" t="s">
        <v>8379</v>
      </c>
      <c r="BN796" s="15" t="str">
        <f>"74.02"</f>
        <v>74.02</v>
      </c>
      <c r="BO796" s="15" t="str">
        <f>"49.61"</f>
        <v>49.61</v>
      </c>
      <c r="BP796" s="15" t="str">
        <f t="shared" si="2248"/>
        <v>5.91</v>
      </c>
      <c r="BQ796" s="15" t="str">
        <f>"68.34"</f>
        <v>68.34</v>
      </c>
      <c r="BR796" s="15" t="s">
        <v>8380</v>
      </c>
      <c r="BS796" s="15" t="str">
        <f>"71.85"</f>
        <v>71.85</v>
      </c>
      <c r="BT796" s="15" t="str">
        <f t="shared" si="2249"/>
        <v>15.94</v>
      </c>
      <c r="BU796" s="15" t="str">
        <f t="shared" si="2250"/>
        <v>8.86</v>
      </c>
      <c r="BV796" s="15" t="str">
        <f>"67.68"</f>
        <v>67.68</v>
      </c>
      <c r="BW796" s="15" t="s">
        <v>8384</v>
      </c>
      <c r="BX796" s="15" t="str">
        <f t="shared" si="2251"/>
        <v>85.43</v>
      </c>
      <c r="BY796" s="15" t="str">
        <f t="shared" si="2252"/>
        <v>15.16</v>
      </c>
      <c r="BZ796" s="15" t="str">
        <f t="shared" si="2253"/>
        <v>14.17</v>
      </c>
      <c r="CA796" s="15" t="str">
        <f>"86.86"</f>
        <v>86.86</v>
      </c>
      <c r="CG796" s="15" t="str">
        <f>"29.03"</f>
        <v>29.03</v>
      </c>
      <c r="CH796" s="15" t="str">
        <f>"0.822"</f>
        <v>0.822</v>
      </c>
      <c r="CI796" s="15" t="s">
        <v>417</v>
      </c>
      <c r="CY796" s="15" t="s">
        <v>855</v>
      </c>
      <c r="CZ796" s="15" t="s">
        <v>419</v>
      </c>
      <c r="DA796" s="15">
        <v>0.0</v>
      </c>
      <c r="DB796" s="15" t="s">
        <v>419</v>
      </c>
      <c r="DD796" s="15">
        <v>0.0</v>
      </c>
      <c r="DF796" s="15" t="s">
        <v>989</v>
      </c>
      <c r="DG796" s="15" t="s">
        <v>419</v>
      </c>
      <c r="DI796" s="15">
        <v>0.0</v>
      </c>
      <c r="DJ796" s="15">
        <v>0.0</v>
      </c>
      <c r="DK796" s="15">
        <v>0.0</v>
      </c>
      <c r="DL796" s="15">
        <v>15000.0</v>
      </c>
      <c r="DS796" s="15" t="s">
        <v>8386</v>
      </c>
      <c r="DU796" s="15" t="s">
        <v>858</v>
      </c>
      <c r="EO796" s="15" t="s">
        <v>860</v>
      </c>
      <c r="EV796" s="15">
        <v>0.0</v>
      </c>
      <c r="HV796" s="15" t="s">
        <v>8387</v>
      </c>
      <c r="HW796" s="15" t="s">
        <v>8387</v>
      </c>
      <c r="HX796" s="15" t="s">
        <v>8387</v>
      </c>
      <c r="HY796" s="15" t="s">
        <v>5940</v>
      </c>
      <c r="HZ796" s="15" t="s">
        <v>5481</v>
      </c>
      <c r="IA796" s="15" t="s">
        <v>8388</v>
      </c>
      <c r="IB796" s="15" t="s">
        <v>2467</v>
      </c>
      <c r="IC796" s="15" t="s">
        <v>761</v>
      </c>
      <c r="ID796" s="15" t="s">
        <v>8389</v>
      </c>
      <c r="IE796" s="15" t="s">
        <v>2971</v>
      </c>
      <c r="IF796" s="15" t="s">
        <v>5722</v>
      </c>
      <c r="IG796" s="15" t="s">
        <v>5852</v>
      </c>
      <c r="IH796" s="15" t="s">
        <v>4827</v>
      </c>
      <c r="II796" s="15" t="s">
        <v>8390</v>
      </c>
      <c r="IJ796" s="15" t="s">
        <v>5481</v>
      </c>
      <c r="IK796" s="15" t="s">
        <v>426</v>
      </c>
      <c r="IL796" s="15" t="s">
        <v>947</v>
      </c>
      <c r="IM796" s="15" t="s">
        <v>872</v>
      </c>
      <c r="IN796" s="15" t="s">
        <v>873</v>
      </c>
      <c r="IO796" s="15" t="s">
        <v>877</v>
      </c>
      <c r="IU796" s="15" t="s">
        <v>759</v>
      </c>
      <c r="IV796" s="15" t="s">
        <v>8391</v>
      </c>
      <c r="IX796" s="15" t="s">
        <v>426</v>
      </c>
      <c r="IY796" s="15" t="s">
        <v>2474</v>
      </c>
    </row>
    <row r="797" ht="17.25" customHeight="1">
      <c r="A797" s="15" t="s">
        <v>8413</v>
      </c>
      <c r="B797" s="15" t="str">
        <f>"198394018708"</f>
        <v>198394018708</v>
      </c>
      <c r="C797" s="15" t="s">
        <v>20913</v>
      </c>
      <c r="D797" s="15" t="str">
        <f t="shared" si="1"/>
        <v>Quincy BedPlushtone LinenKing</v>
      </c>
      <c r="E797" s="15" t="s">
        <v>8369</v>
      </c>
      <c r="F797" s="15" t="s">
        <v>397</v>
      </c>
      <c r="G797" s="15" t="s">
        <v>827</v>
      </c>
      <c r="H797" s="15" t="s">
        <v>265</v>
      </c>
      <c r="I797" s="15" t="s">
        <v>828</v>
      </c>
      <c r="J797" s="15" t="s">
        <v>827</v>
      </c>
      <c r="K797" s="15" t="s">
        <v>838</v>
      </c>
      <c r="M797" s="15" t="s">
        <v>837</v>
      </c>
      <c r="N797" s="15" t="s">
        <v>839</v>
      </c>
      <c r="O797" s="15" t="s">
        <v>828</v>
      </c>
      <c r="P797" s="15" t="str">
        <f>"89.25"</f>
        <v>89.25</v>
      </c>
      <c r="Q797" s="15" t="str">
        <f t="shared" si="2245"/>
        <v>92.25</v>
      </c>
      <c r="R797" s="15" t="str">
        <f t="shared" si="2246"/>
        <v>48</v>
      </c>
      <c r="S797" s="15" t="str">
        <f>"234.79"</f>
        <v>234.79</v>
      </c>
      <c r="T797" s="15" t="s">
        <v>832</v>
      </c>
      <c r="U797" s="15" t="s">
        <v>11209</v>
      </c>
      <c r="V797" s="15" t="s">
        <v>11210</v>
      </c>
      <c r="AA797" s="15" t="s">
        <v>413</v>
      </c>
      <c r="AB797" s="15" t="s">
        <v>426</v>
      </c>
      <c r="AC797" s="15" t="s">
        <v>8378</v>
      </c>
      <c r="AD797" s="15" t="s">
        <v>20924</v>
      </c>
      <c r="AE797" s="15" t="s">
        <v>8414</v>
      </c>
      <c r="AF797" s="15" t="s">
        <v>20925</v>
      </c>
      <c r="AG797" s="15" t="s">
        <v>20926</v>
      </c>
      <c r="AH797" s="15" t="s">
        <v>20927</v>
      </c>
      <c r="AI797" s="15" t="s">
        <v>20928</v>
      </c>
      <c r="AJ797" s="15" t="s">
        <v>20929</v>
      </c>
      <c r="AK797" s="15" t="s">
        <v>20930</v>
      </c>
      <c r="AL797" s="15" t="s">
        <v>20931</v>
      </c>
      <c r="AM797" s="15" t="s">
        <v>20932</v>
      </c>
      <c r="AN797" s="15" t="s">
        <v>20933</v>
      </c>
      <c r="BH797" s="15" t="s">
        <v>8412</v>
      </c>
      <c r="BI797" s="15" t="str">
        <f>"1599"</f>
        <v>1599</v>
      </c>
      <c r="BJ797" s="15" t="str">
        <f>"675"</f>
        <v>675</v>
      </c>
      <c r="BK797" s="15" t="s">
        <v>742</v>
      </c>
      <c r="BL797" s="15" t="str">
        <f t="shared" si="2247"/>
        <v>3</v>
      </c>
      <c r="BM797" s="15" t="s">
        <v>8379</v>
      </c>
      <c r="BN797" s="15" t="str">
        <f>"90.16"</f>
        <v>90.16</v>
      </c>
      <c r="BO797" s="15" t="str">
        <f>"49.41"</f>
        <v>49.41</v>
      </c>
      <c r="BP797" s="15" t="str">
        <f t="shared" si="2248"/>
        <v>5.91</v>
      </c>
      <c r="BQ797" s="15" t="str">
        <f>"94.8"</f>
        <v>94.8</v>
      </c>
      <c r="BR797" s="15" t="s">
        <v>8380</v>
      </c>
      <c r="BS797" s="15" t="str">
        <f>"88.78"</f>
        <v>88.78</v>
      </c>
      <c r="BT797" s="15" t="str">
        <f t="shared" si="2249"/>
        <v>15.94</v>
      </c>
      <c r="BU797" s="15" t="str">
        <f t="shared" si="2250"/>
        <v>8.86</v>
      </c>
      <c r="BV797" s="15" t="str">
        <f>"85.98"</f>
        <v>85.98</v>
      </c>
      <c r="BW797" s="15" t="s">
        <v>8384</v>
      </c>
      <c r="BX797" s="15" t="str">
        <f t="shared" si="2251"/>
        <v>85.43</v>
      </c>
      <c r="BY797" s="15" t="str">
        <f t="shared" si="2252"/>
        <v>15.16</v>
      </c>
      <c r="BZ797" s="15" t="str">
        <f t="shared" si="2253"/>
        <v>14.17</v>
      </c>
      <c r="CA797" s="15" t="str">
        <f>"94.8"</f>
        <v>94.8</v>
      </c>
      <c r="CG797" s="15" t="str">
        <f>"33.09"</f>
        <v>33.09</v>
      </c>
      <c r="CH797" s="15" t="str">
        <f>"0.937"</f>
        <v>0.937</v>
      </c>
      <c r="CI797" s="15" t="s">
        <v>465</v>
      </c>
      <c r="CY797" s="15" t="s">
        <v>855</v>
      </c>
      <c r="CZ797" s="15" t="s">
        <v>419</v>
      </c>
      <c r="DA797" s="15">
        <v>0.0</v>
      </c>
      <c r="DB797" s="15" t="s">
        <v>419</v>
      </c>
      <c r="DD797" s="15">
        <v>0.0</v>
      </c>
      <c r="DF797" s="15" t="s">
        <v>989</v>
      </c>
      <c r="DG797" s="15" t="s">
        <v>419</v>
      </c>
      <c r="DI797" s="15">
        <v>0.0</v>
      </c>
      <c r="DJ797" s="15">
        <v>0.0</v>
      </c>
      <c r="DK797" s="15">
        <v>0.0</v>
      </c>
      <c r="DL797" s="15">
        <v>15000.0</v>
      </c>
      <c r="DS797" s="15" t="s">
        <v>8386</v>
      </c>
      <c r="DU797" s="15" t="s">
        <v>858</v>
      </c>
      <c r="EO797" s="15" t="s">
        <v>860</v>
      </c>
      <c r="EV797" s="15">
        <v>0.0</v>
      </c>
      <c r="HV797" s="15" t="s">
        <v>8387</v>
      </c>
      <c r="HW797" s="15" t="s">
        <v>8387</v>
      </c>
      <c r="HX797" s="15" t="s">
        <v>8387</v>
      </c>
      <c r="HY797" s="15" t="s">
        <v>5940</v>
      </c>
      <c r="HZ797" s="15" t="s">
        <v>5481</v>
      </c>
      <c r="IA797" s="15" t="s">
        <v>8399</v>
      </c>
      <c r="IB797" s="15" t="s">
        <v>2467</v>
      </c>
      <c r="IC797" s="15" t="s">
        <v>761</v>
      </c>
      <c r="ID797" s="15" t="s">
        <v>8400</v>
      </c>
      <c r="IE797" s="15" t="s">
        <v>2971</v>
      </c>
      <c r="IF797" s="15" t="s">
        <v>5722</v>
      </c>
      <c r="IG797" s="15" t="s">
        <v>4384</v>
      </c>
      <c r="IH797" s="15" t="s">
        <v>4827</v>
      </c>
      <c r="II797" s="15" t="s">
        <v>8390</v>
      </c>
      <c r="IJ797" s="15" t="s">
        <v>5481</v>
      </c>
      <c r="IK797" s="15" t="s">
        <v>426</v>
      </c>
      <c r="IL797" s="15" t="s">
        <v>947</v>
      </c>
      <c r="IM797" s="15" t="s">
        <v>872</v>
      </c>
      <c r="IN797" s="15" t="s">
        <v>873</v>
      </c>
      <c r="IO797" s="15" t="s">
        <v>828</v>
      </c>
      <c r="IU797" s="15" t="s">
        <v>759</v>
      </c>
      <c r="IV797" s="15" t="s">
        <v>8391</v>
      </c>
      <c r="IX797" s="15" t="s">
        <v>426</v>
      </c>
      <c r="IY797" s="15" t="s">
        <v>2474</v>
      </c>
    </row>
    <row r="798" ht="17.25" customHeight="1">
      <c r="A798" s="15" t="s">
        <v>8418</v>
      </c>
      <c r="B798" s="15" t="str">
        <f>"801542152604"</f>
        <v>801542152604</v>
      </c>
      <c r="C798" s="15" t="s">
        <v>20934</v>
      </c>
      <c r="D798" s="15" t="str">
        <f t="shared" si="1"/>
        <v>Radley Power Recliner 2-Piece SectionalAntigo Natural</v>
      </c>
      <c r="E798" s="15" t="s">
        <v>8415</v>
      </c>
      <c r="F798" s="15" t="s">
        <v>397</v>
      </c>
      <c r="G798" s="15" t="s">
        <v>8417</v>
      </c>
      <c r="J798" s="15" t="s">
        <v>8417</v>
      </c>
      <c r="M798" s="15" t="s">
        <v>2343</v>
      </c>
      <c r="N798" s="15" t="s">
        <v>1629</v>
      </c>
      <c r="O798" s="15" t="s">
        <v>7473</v>
      </c>
      <c r="P798" s="15" t="str">
        <f t="shared" ref="P798:P802" si="2254">"89"</f>
        <v>89</v>
      </c>
      <c r="Q798" s="15" t="str">
        <f t="shared" ref="Q798:Q803" si="2255">"45.25"</f>
        <v>45.25</v>
      </c>
      <c r="R798" s="15" t="str">
        <f t="shared" ref="R798:R803" si="2256">"30"</f>
        <v>30</v>
      </c>
      <c r="S798" s="15" t="str">
        <f t="shared" ref="S798:S802" si="2257">"308.64"</f>
        <v>308.64</v>
      </c>
      <c r="T798" s="15" t="s">
        <v>8421</v>
      </c>
      <c r="U798" s="15" t="s">
        <v>16235</v>
      </c>
      <c r="V798" s="15" t="s">
        <v>20935</v>
      </c>
      <c r="W798" s="15" t="s">
        <v>20936</v>
      </c>
      <c r="AA798" s="15" t="s">
        <v>413</v>
      </c>
      <c r="AB798" s="15" t="s">
        <v>426</v>
      </c>
      <c r="AC798" s="15" t="s">
        <v>8425</v>
      </c>
      <c r="AD798" s="15" t="s">
        <v>20937</v>
      </c>
      <c r="AE798" s="15" t="s">
        <v>8420</v>
      </c>
      <c r="AF798" s="15" t="s">
        <v>20938</v>
      </c>
      <c r="AG798" s="15" t="s">
        <v>20939</v>
      </c>
      <c r="AH798" s="15" t="s">
        <v>20940</v>
      </c>
      <c r="AI798" s="15" t="s">
        <v>20941</v>
      </c>
      <c r="AJ798" s="15" t="s">
        <v>20942</v>
      </c>
      <c r="AK798" s="15" t="s">
        <v>20943</v>
      </c>
      <c r="AL798" s="15" t="s">
        <v>20944</v>
      </c>
      <c r="AM798" s="15" t="s">
        <v>20945</v>
      </c>
      <c r="AN798" s="15" t="s">
        <v>20946</v>
      </c>
      <c r="AO798" s="15" t="s">
        <v>20947</v>
      </c>
      <c r="BH798" s="15" t="s">
        <v>8416</v>
      </c>
      <c r="BI798" s="15" t="str">
        <f t="shared" ref="BI798:BI800" si="2258">"3799"</f>
        <v>3799</v>
      </c>
      <c r="BJ798" s="15" t="str">
        <f t="shared" ref="BJ798:BJ800" si="2259">"1600"</f>
        <v>1600</v>
      </c>
      <c r="BK798" s="15" t="s">
        <v>709</v>
      </c>
      <c r="BL798" s="15" t="str">
        <f t="shared" ref="BL798:BL802" si="2260">"2"</f>
        <v>2</v>
      </c>
      <c r="BM798" s="15" t="s">
        <v>416</v>
      </c>
      <c r="BN798" s="15" t="str">
        <f t="shared" ref="BN798:BN803" si="2261">"45.67"</f>
        <v>45.67</v>
      </c>
      <c r="BO798" s="15" t="str">
        <f t="shared" ref="BO798:BO803" si="2262">"44.88"</f>
        <v>44.88</v>
      </c>
      <c r="BP798" s="15" t="str">
        <f t="shared" ref="BP798:BP803" si="2263">"31.1"</f>
        <v>31.1</v>
      </c>
      <c r="BQ798" s="15" t="str">
        <f t="shared" ref="BQ798:BQ803" si="2264">"183.42"</f>
        <v>183.42</v>
      </c>
      <c r="BR798" s="15" t="s">
        <v>416</v>
      </c>
      <c r="BS798" s="15" t="str">
        <f t="shared" ref="BS798:BS803" si="2265">"45.67"</f>
        <v>45.67</v>
      </c>
      <c r="BT798" s="15" t="str">
        <f t="shared" ref="BT798:BT803" si="2266">"44.88"</f>
        <v>44.88</v>
      </c>
      <c r="BU798" s="15" t="str">
        <f t="shared" ref="BU798:BU803" si="2267">"31.1"</f>
        <v>31.1</v>
      </c>
      <c r="BV798" s="15" t="str">
        <f t="shared" ref="BV798:BV803" si="2268">"183.42"</f>
        <v>183.42</v>
      </c>
      <c r="CG798" s="15" t="str">
        <f t="shared" ref="CG798:CG802" si="2269">"73.81"</f>
        <v>73.81</v>
      </c>
      <c r="CH798" s="15" t="str">
        <f t="shared" ref="CH798:CH802" si="2270">"2.09"</f>
        <v>2.09</v>
      </c>
      <c r="CI798" s="15" t="s">
        <v>465</v>
      </c>
      <c r="CX798" s="15" t="s">
        <v>717</v>
      </c>
      <c r="CY798" s="15" t="s">
        <v>855</v>
      </c>
      <c r="DF798" s="15" t="s">
        <v>721</v>
      </c>
      <c r="DG798" s="15" t="s">
        <v>329</v>
      </c>
      <c r="DL798" s="15">
        <v>25000.0</v>
      </c>
      <c r="DM798" s="15" t="s">
        <v>990</v>
      </c>
      <c r="DQ798" s="15">
        <v>4.0</v>
      </c>
      <c r="DR798" s="15" t="s">
        <v>7473</v>
      </c>
      <c r="DS798" s="15" t="s">
        <v>8427</v>
      </c>
      <c r="DU798" s="15" t="s">
        <v>588</v>
      </c>
      <c r="EO798" s="15" t="s">
        <v>8428</v>
      </c>
      <c r="GX798" s="15" t="s">
        <v>1638</v>
      </c>
      <c r="GY798" s="15" t="s">
        <v>7473</v>
      </c>
      <c r="KZ798" s="15" t="s">
        <v>426</v>
      </c>
      <c r="LA798" s="15" t="s">
        <v>426</v>
      </c>
    </row>
    <row r="799" ht="17.25" customHeight="1">
      <c r="A799" s="15" t="s">
        <v>8430</v>
      </c>
      <c r="B799" s="15" t="str">
        <f>"198394083454"</f>
        <v>198394083454</v>
      </c>
      <c r="C799" s="15" t="s">
        <v>20948</v>
      </c>
      <c r="D799" s="15" t="str">
        <f t="shared" si="1"/>
        <v>Radley Power Recliner 2-Piece SectionalCrypton Nomad Taupe</v>
      </c>
      <c r="E799" s="15" t="s">
        <v>8415</v>
      </c>
      <c r="F799" s="15" t="s">
        <v>397</v>
      </c>
      <c r="G799" s="15" t="s">
        <v>1619</v>
      </c>
      <c r="J799" s="15" t="s">
        <v>1619</v>
      </c>
      <c r="M799" s="15" t="s">
        <v>2343</v>
      </c>
      <c r="N799" s="15" t="s">
        <v>1629</v>
      </c>
      <c r="O799" s="15" t="s">
        <v>7473</v>
      </c>
      <c r="P799" s="15" t="str">
        <f t="shared" si="2254"/>
        <v>89</v>
      </c>
      <c r="Q799" s="15" t="str">
        <f t="shared" si="2255"/>
        <v>45.25</v>
      </c>
      <c r="R799" s="15" t="str">
        <f t="shared" si="2256"/>
        <v>30</v>
      </c>
      <c r="S799" s="15" t="str">
        <f t="shared" si="2257"/>
        <v>308.64</v>
      </c>
      <c r="T799" s="15" t="s">
        <v>1623</v>
      </c>
      <c r="U799" s="15" t="s">
        <v>11858</v>
      </c>
      <c r="V799" s="15" t="s">
        <v>11859</v>
      </c>
      <c r="AA799" s="15" t="s">
        <v>413</v>
      </c>
      <c r="AB799" s="15" t="s">
        <v>426</v>
      </c>
      <c r="AC799" s="15" t="s">
        <v>8432</v>
      </c>
      <c r="AD799" s="15" t="s">
        <v>20949</v>
      </c>
      <c r="AE799" s="15" t="s">
        <v>8431</v>
      </c>
      <c r="AF799" s="15" t="s">
        <v>20950</v>
      </c>
      <c r="AG799" s="15" t="s">
        <v>20951</v>
      </c>
      <c r="AH799" s="15" t="s">
        <v>20952</v>
      </c>
      <c r="AI799" s="15" t="s">
        <v>20953</v>
      </c>
      <c r="AJ799" s="15" t="s">
        <v>20954</v>
      </c>
      <c r="AK799" s="15" t="s">
        <v>20955</v>
      </c>
      <c r="AL799" s="15" t="s">
        <v>20956</v>
      </c>
      <c r="AM799" s="15" t="s">
        <v>20957</v>
      </c>
      <c r="AN799" s="15" t="s">
        <v>20958</v>
      </c>
      <c r="AO799" s="15" t="s">
        <v>20959</v>
      </c>
      <c r="AP799" s="15" t="s">
        <v>20960</v>
      </c>
      <c r="AQ799" s="15" t="s">
        <v>20961</v>
      </c>
      <c r="AR799" s="15" t="s">
        <v>20962</v>
      </c>
      <c r="BH799" s="15" t="s">
        <v>8429</v>
      </c>
      <c r="BI799" s="15" t="str">
        <f t="shared" si="2258"/>
        <v>3799</v>
      </c>
      <c r="BJ799" s="15" t="str">
        <f t="shared" si="2259"/>
        <v>1600</v>
      </c>
      <c r="BK799" s="15" t="s">
        <v>709</v>
      </c>
      <c r="BL799" s="15" t="str">
        <f t="shared" si="2260"/>
        <v>2</v>
      </c>
      <c r="BM799" s="15" t="s">
        <v>416</v>
      </c>
      <c r="BN799" s="15" t="str">
        <f t="shared" si="2261"/>
        <v>45.67</v>
      </c>
      <c r="BO799" s="15" t="str">
        <f t="shared" si="2262"/>
        <v>44.88</v>
      </c>
      <c r="BP799" s="15" t="str">
        <f t="shared" si="2263"/>
        <v>31.1</v>
      </c>
      <c r="BQ799" s="15" t="str">
        <f t="shared" si="2264"/>
        <v>183.42</v>
      </c>
      <c r="BR799" s="15" t="s">
        <v>416</v>
      </c>
      <c r="BS799" s="15" t="str">
        <f t="shared" si="2265"/>
        <v>45.67</v>
      </c>
      <c r="BT799" s="15" t="str">
        <f t="shared" si="2266"/>
        <v>44.88</v>
      </c>
      <c r="BU799" s="15" t="str">
        <f t="shared" si="2267"/>
        <v>31.1</v>
      </c>
      <c r="BV799" s="15" t="str">
        <f t="shared" si="2268"/>
        <v>183.42</v>
      </c>
      <c r="CG799" s="15" t="str">
        <f t="shared" si="2269"/>
        <v>73.81</v>
      </c>
      <c r="CH799" s="15" t="str">
        <f t="shared" si="2270"/>
        <v>2.09</v>
      </c>
      <c r="CI799" s="15" t="s">
        <v>465</v>
      </c>
      <c r="CX799" s="15" t="s">
        <v>717</v>
      </c>
      <c r="CY799" s="15" t="s">
        <v>897</v>
      </c>
      <c r="DF799" s="15" t="s">
        <v>721</v>
      </c>
      <c r="DG799" s="15" t="s">
        <v>329</v>
      </c>
      <c r="DL799" s="15">
        <v>50000.0</v>
      </c>
      <c r="DM799" s="15" t="s">
        <v>990</v>
      </c>
      <c r="DQ799" s="15">
        <v>4.0</v>
      </c>
      <c r="DR799" s="15" t="s">
        <v>7473</v>
      </c>
      <c r="DS799" s="15" t="s">
        <v>8427</v>
      </c>
      <c r="DU799" s="15" t="s">
        <v>588</v>
      </c>
      <c r="EO799" s="15" t="s">
        <v>8428</v>
      </c>
      <c r="GX799" s="15" t="s">
        <v>1638</v>
      </c>
      <c r="GY799" s="15" t="s">
        <v>7473</v>
      </c>
      <c r="KZ799" s="15" t="s">
        <v>426</v>
      </c>
      <c r="LA799" s="15" t="s">
        <v>426</v>
      </c>
    </row>
    <row r="800" ht="17.25" customHeight="1">
      <c r="A800" s="15" t="s">
        <v>8435</v>
      </c>
      <c r="B800" s="15" t="str">
        <f>"801542008048"</f>
        <v>801542008048</v>
      </c>
      <c r="C800" s="15" t="s">
        <v>20963</v>
      </c>
      <c r="D800" s="15" t="str">
        <f t="shared" si="1"/>
        <v>Radley Power Recliner 2-Piece SectionalLaken Stone</v>
      </c>
      <c r="E800" s="15" t="s">
        <v>8415</v>
      </c>
      <c r="F800" s="15" t="s">
        <v>397</v>
      </c>
      <c r="G800" s="15" t="s">
        <v>8434</v>
      </c>
      <c r="J800" s="15" t="s">
        <v>8434</v>
      </c>
      <c r="M800" s="15" t="s">
        <v>2343</v>
      </c>
      <c r="N800" s="15" t="s">
        <v>1629</v>
      </c>
      <c r="O800" s="15" t="s">
        <v>7473</v>
      </c>
      <c r="P800" s="15" t="str">
        <f t="shared" si="2254"/>
        <v>89</v>
      </c>
      <c r="Q800" s="15" t="str">
        <f t="shared" si="2255"/>
        <v>45.25</v>
      </c>
      <c r="R800" s="15" t="str">
        <f t="shared" si="2256"/>
        <v>30</v>
      </c>
      <c r="S800" s="15" t="str">
        <f t="shared" si="2257"/>
        <v>308.64</v>
      </c>
      <c r="T800" s="15" t="s">
        <v>7030</v>
      </c>
      <c r="U800" s="15" t="s">
        <v>12298</v>
      </c>
      <c r="V800" s="15" t="s">
        <v>18611</v>
      </c>
      <c r="AA800" s="15" t="s">
        <v>413</v>
      </c>
      <c r="AB800" s="15" t="s">
        <v>413</v>
      </c>
      <c r="AC800" s="15" t="s">
        <v>8437</v>
      </c>
      <c r="AD800" s="15" t="s">
        <v>20964</v>
      </c>
      <c r="AE800" s="15" t="s">
        <v>8436</v>
      </c>
      <c r="AF800" s="15" t="s">
        <v>20965</v>
      </c>
      <c r="AG800" s="15" t="s">
        <v>20966</v>
      </c>
      <c r="AH800" s="15" t="s">
        <v>20967</v>
      </c>
      <c r="AI800" s="15" t="s">
        <v>20968</v>
      </c>
      <c r="BH800" s="15" t="s">
        <v>8433</v>
      </c>
      <c r="BI800" s="15" t="str">
        <f t="shared" si="2258"/>
        <v>3799</v>
      </c>
      <c r="BJ800" s="15" t="str">
        <f t="shared" si="2259"/>
        <v>1600</v>
      </c>
      <c r="BK800" s="15" t="s">
        <v>709</v>
      </c>
      <c r="BL800" s="15" t="str">
        <f t="shared" si="2260"/>
        <v>2</v>
      </c>
      <c r="BM800" s="15" t="s">
        <v>416</v>
      </c>
      <c r="BN800" s="15" t="str">
        <f t="shared" si="2261"/>
        <v>45.67</v>
      </c>
      <c r="BO800" s="15" t="str">
        <f t="shared" si="2262"/>
        <v>44.88</v>
      </c>
      <c r="BP800" s="15" t="str">
        <f t="shared" si="2263"/>
        <v>31.1</v>
      </c>
      <c r="BQ800" s="15" t="str">
        <f t="shared" si="2264"/>
        <v>183.42</v>
      </c>
      <c r="BR800" s="15" t="s">
        <v>416</v>
      </c>
      <c r="BS800" s="15" t="str">
        <f t="shared" si="2265"/>
        <v>45.67</v>
      </c>
      <c r="BT800" s="15" t="str">
        <f t="shared" si="2266"/>
        <v>44.88</v>
      </c>
      <c r="BU800" s="15" t="str">
        <f t="shared" si="2267"/>
        <v>31.1</v>
      </c>
      <c r="BV800" s="15" t="str">
        <f t="shared" si="2268"/>
        <v>183.42</v>
      </c>
      <c r="CG800" s="15" t="str">
        <f t="shared" si="2269"/>
        <v>73.81</v>
      </c>
      <c r="CH800" s="15" t="str">
        <f t="shared" si="2270"/>
        <v>2.09</v>
      </c>
      <c r="CI800" s="15" t="s">
        <v>465</v>
      </c>
      <c r="CX800" s="15" t="s">
        <v>717</v>
      </c>
      <c r="CY800" s="15" t="s">
        <v>934</v>
      </c>
      <c r="DF800" s="15" t="s">
        <v>721</v>
      </c>
      <c r="DG800" s="15" t="s">
        <v>329</v>
      </c>
      <c r="DL800" s="15">
        <v>15000.0</v>
      </c>
      <c r="DM800" s="15" t="s">
        <v>990</v>
      </c>
      <c r="DQ800" s="15">
        <v>4.0</v>
      </c>
      <c r="DR800" s="15" t="s">
        <v>7473</v>
      </c>
      <c r="DS800" s="15" t="s">
        <v>8427</v>
      </c>
      <c r="DU800" s="15" t="s">
        <v>588</v>
      </c>
      <c r="EO800" s="15" t="s">
        <v>8428</v>
      </c>
      <c r="GX800" s="15" t="s">
        <v>1638</v>
      </c>
      <c r="GY800" s="15" t="s">
        <v>7473</v>
      </c>
      <c r="KZ800" s="15" t="s">
        <v>426</v>
      </c>
      <c r="LA800" s="15" t="s">
        <v>426</v>
      </c>
    </row>
    <row r="801" ht="17.25" customHeight="1">
      <c r="A801" s="15" t="s">
        <v>8439</v>
      </c>
      <c r="B801" s="15" t="str">
        <f>"801542152611"</f>
        <v>801542152611</v>
      </c>
      <c r="C801" s="15" t="s">
        <v>20969</v>
      </c>
      <c r="D801" s="15" t="str">
        <f t="shared" si="1"/>
        <v>Radley Power Recliner 2-Piece SectionalSonoma Butterscotch</v>
      </c>
      <c r="E801" s="15" t="s">
        <v>8415</v>
      </c>
      <c r="F801" s="15" t="s">
        <v>397</v>
      </c>
      <c r="G801" s="15" t="s">
        <v>3874</v>
      </c>
      <c r="J801" s="15" t="s">
        <v>3874</v>
      </c>
      <c r="M801" s="15" t="s">
        <v>2343</v>
      </c>
      <c r="N801" s="15" t="s">
        <v>1629</v>
      </c>
      <c r="O801" s="15" t="s">
        <v>7473</v>
      </c>
      <c r="P801" s="15" t="str">
        <f t="shared" si="2254"/>
        <v>89</v>
      </c>
      <c r="Q801" s="15" t="str">
        <f t="shared" si="2255"/>
        <v>45.25</v>
      </c>
      <c r="R801" s="15" t="str">
        <f t="shared" si="2256"/>
        <v>30</v>
      </c>
      <c r="S801" s="15" t="str">
        <f t="shared" si="2257"/>
        <v>308.64</v>
      </c>
      <c r="T801" s="15" t="s">
        <v>1600</v>
      </c>
      <c r="U801" s="15" t="s">
        <v>11137</v>
      </c>
      <c r="AA801" s="15" t="s">
        <v>413</v>
      </c>
      <c r="AB801" s="15" t="s">
        <v>413</v>
      </c>
      <c r="AC801" s="15" t="s">
        <v>8441</v>
      </c>
      <c r="AD801" s="15" t="s">
        <v>20970</v>
      </c>
      <c r="AE801" s="15" t="s">
        <v>8440</v>
      </c>
      <c r="AF801" s="15" t="s">
        <v>20971</v>
      </c>
      <c r="AG801" s="15" t="s">
        <v>20972</v>
      </c>
      <c r="AH801" s="15" t="s">
        <v>20973</v>
      </c>
      <c r="AI801" s="15" t="s">
        <v>20974</v>
      </c>
      <c r="AJ801" s="15" t="s">
        <v>20975</v>
      </c>
      <c r="AK801" s="15" t="s">
        <v>20976</v>
      </c>
      <c r="AL801" s="15" t="s">
        <v>20977</v>
      </c>
      <c r="AM801" s="15" t="s">
        <v>20978</v>
      </c>
      <c r="AN801" s="15" t="s">
        <v>20979</v>
      </c>
      <c r="AO801" s="15" t="s">
        <v>20980</v>
      </c>
      <c r="AP801" s="15" t="s">
        <v>20981</v>
      </c>
      <c r="AQ801" s="15" t="s">
        <v>20982</v>
      </c>
      <c r="AR801" s="15" t="s">
        <v>20983</v>
      </c>
      <c r="AS801" s="15" t="s">
        <v>20984</v>
      </c>
      <c r="BH801" s="15" t="s">
        <v>8438</v>
      </c>
      <c r="BI801" s="15" t="str">
        <f t="shared" ref="BI801:BI802" si="2271">"5799"</f>
        <v>5799</v>
      </c>
      <c r="BJ801" s="15" t="str">
        <f t="shared" ref="BJ801:BJ802" si="2272">"2440"</f>
        <v>2440</v>
      </c>
      <c r="BK801" s="15" t="s">
        <v>709</v>
      </c>
      <c r="BL801" s="15" t="str">
        <f t="shared" si="2260"/>
        <v>2</v>
      </c>
      <c r="BM801" s="15" t="s">
        <v>416</v>
      </c>
      <c r="BN801" s="15" t="str">
        <f t="shared" si="2261"/>
        <v>45.67</v>
      </c>
      <c r="BO801" s="15" t="str">
        <f t="shared" si="2262"/>
        <v>44.88</v>
      </c>
      <c r="BP801" s="15" t="str">
        <f t="shared" si="2263"/>
        <v>31.1</v>
      </c>
      <c r="BQ801" s="15" t="str">
        <f t="shared" si="2264"/>
        <v>183.42</v>
      </c>
      <c r="BR801" s="15" t="s">
        <v>416</v>
      </c>
      <c r="BS801" s="15" t="str">
        <f t="shared" si="2265"/>
        <v>45.67</v>
      </c>
      <c r="BT801" s="15" t="str">
        <f t="shared" si="2266"/>
        <v>44.88</v>
      </c>
      <c r="BU801" s="15" t="str">
        <f t="shared" si="2267"/>
        <v>31.1</v>
      </c>
      <c r="BV801" s="15" t="str">
        <f t="shared" si="2268"/>
        <v>183.42</v>
      </c>
      <c r="CG801" s="15" t="str">
        <f t="shared" si="2269"/>
        <v>73.81</v>
      </c>
      <c r="CH801" s="15" t="str">
        <f t="shared" si="2270"/>
        <v>2.09</v>
      </c>
      <c r="CI801" s="15" t="s">
        <v>497</v>
      </c>
      <c r="CX801" s="15" t="s">
        <v>717</v>
      </c>
      <c r="CY801" s="15" t="s">
        <v>718</v>
      </c>
      <c r="DF801" s="15" t="s">
        <v>721</v>
      </c>
      <c r="DG801" s="15" t="s">
        <v>329</v>
      </c>
      <c r="DL801" s="15">
        <v>0.0</v>
      </c>
      <c r="DM801" s="15" t="s">
        <v>990</v>
      </c>
      <c r="DQ801" s="15">
        <v>4.0</v>
      </c>
      <c r="DR801" s="15" t="s">
        <v>7473</v>
      </c>
      <c r="DS801" s="15" t="s">
        <v>8427</v>
      </c>
      <c r="DU801" s="15" t="s">
        <v>588</v>
      </c>
      <c r="EO801" s="15" t="s">
        <v>8428</v>
      </c>
      <c r="GX801" s="15" t="s">
        <v>1638</v>
      </c>
      <c r="GY801" s="15" t="s">
        <v>7473</v>
      </c>
      <c r="KZ801" s="15" t="s">
        <v>426</v>
      </c>
      <c r="LA801" s="15" t="s">
        <v>426</v>
      </c>
    </row>
    <row r="802" ht="17.25" customHeight="1">
      <c r="A802" s="15" t="s">
        <v>8443</v>
      </c>
      <c r="B802" s="15" t="str">
        <f>"198394083461"</f>
        <v>198394083461</v>
      </c>
      <c r="C802" s="15" t="s">
        <v>20985</v>
      </c>
      <c r="D802" s="15" t="str">
        <f t="shared" si="1"/>
        <v>Radley Power Recliner 2-Piece SectionalSonoma Coco</v>
      </c>
      <c r="E802" s="15" t="s">
        <v>8415</v>
      </c>
      <c r="F802" s="15" t="s">
        <v>397</v>
      </c>
      <c r="G802" s="15" t="s">
        <v>2004</v>
      </c>
      <c r="J802" s="15" t="s">
        <v>2004</v>
      </c>
      <c r="M802" s="15" t="s">
        <v>2343</v>
      </c>
      <c r="N802" s="15" t="s">
        <v>1629</v>
      </c>
      <c r="O802" s="15" t="s">
        <v>7473</v>
      </c>
      <c r="P802" s="15" t="str">
        <f t="shared" si="2254"/>
        <v>89</v>
      </c>
      <c r="Q802" s="15" t="str">
        <f t="shared" si="2255"/>
        <v>45.25</v>
      </c>
      <c r="R802" s="15" t="str">
        <f t="shared" si="2256"/>
        <v>30</v>
      </c>
      <c r="S802" s="15" t="str">
        <f t="shared" si="2257"/>
        <v>308.64</v>
      </c>
      <c r="T802" s="15" t="s">
        <v>1600</v>
      </c>
      <c r="U802" s="15" t="s">
        <v>11137</v>
      </c>
      <c r="AA802" s="15" t="s">
        <v>413</v>
      </c>
      <c r="AB802" s="15" t="s">
        <v>413</v>
      </c>
      <c r="AC802" s="15" t="s">
        <v>8441</v>
      </c>
      <c r="AD802" s="15" t="s">
        <v>20986</v>
      </c>
      <c r="AE802" s="15" t="s">
        <v>8444</v>
      </c>
      <c r="AF802" s="15" t="s">
        <v>20987</v>
      </c>
      <c r="AG802" s="15" t="s">
        <v>20988</v>
      </c>
      <c r="AH802" s="15" t="s">
        <v>20989</v>
      </c>
      <c r="AI802" s="15" t="s">
        <v>20990</v>
      </c>
      <c r="AJ802" s="15" t="s">
        <v>20991</v>
      </c>
      <c r="AK802" s="15" t="s">
        <v>20992</v>
      </c>
      <c r="AL802" s="15" t="s">
        <v>20993</v>
      </c>
      <c r="AM802" s="15" t="s">
        <v>20994</v>
      </c>
      <c r="AN802" s="15" t="s">
        <v>20995</v>
      </c>
      <c r="AO802" s="15" t="s">
        <v>20996</v>
      </c>
      <c r="AP802" s="15" t="s">
        <v>20997</v>
      </c>
      <c r="AQ802" s="15" t="s">
        <v>20998</v>
      </c>
      <c r="BH802" s="15" t="s">
        <v>8442</v>
      </c>
      <c r="BI802" s="15" t="str">
        <f t="shared" si="2271"/>
        <v>5799</v>
      </c>
      <c r="BJ802" s="15" t="str">
        <f t="shared" si="2272"/>
        <v>2440</v>
      </c>
      <c r="BK802" s="15" t="s">
        <v>709</v>
      </c>
      <c r="BL802" s="15" t="str">
        <f t="shared" si="2260"/>
        <v>2</v>
      </c>
      <c r="BM802" s="15" t="s">
        <v>416</v>
      </c>
      <c r="BN802" s="15" t="str">
        <f t="shared" si="2261"/>
        <v>45.67</v>
      </c>
      <c r="BO802" s="15" t="str">
        <f t="shared" si="2262"/>
        <v>44.88</v>
      </c>
      <c r="BP802" s="15" t="str">
        <f t="shared" si="2263"/>
        <v>31.1</v>
      </c>
      <c r="BQ802" s="15" t="str">
        <f t="shared" si="2264"/>
        <v>183.42</v>
      </c>
      <c r="BR802" s="15" t="s">
        <v>416</v>
      </c>
      <c r="BS802" s="15" t="str">
        <f t="shared" si="2265"/>
        <v>45.67</v>
      </c>
      <c r="BT802" s="15" t="str">
        <f t="shared" si="2266"/>
        <v>44.88</v>
      </c>
      <c r="BU802" s="15" t="str">
        <f t="shared" si="2267"/>
        <v>31.1</v>
      </c>
      <c r="BV802" s="15" t="str">
        <f t="shared" si="2268"/>
        <v>183.42</v>
      </c>
      <c r="CG802" s="15" t="str">
        <f t="shared" si="2269"/>
        <v>73.81</v>
      </c>
      <c r="CH802" s="15" t="str">
        <f t="shared" si="2270"/>
        <v>2.09</v>
      </c>
      <c r="CI802" s="15" t="s">
        <v>465</v>
      </c>
      <c r="CX802" s="15" t="s">
        <v>717</v>
      </c>
      <c r="CY802" s="15" t="s">
        <v>718</v>
      </c>
      <c r="DF802" s="15" t="s">
        <v>721</v>
      </c>
      <c r="DG802" s="15" t="s">
        <v>329</v>
      </c>
      <c r="DL802" s="15">
        <v>0.0</v>
      </c>
      <c r="DM802" s="15" t="s">
        <v>990</v>
      </c>
      <c r="DQ802" s="15">
        <v>4.0</v>
      </c>
      <c r="DR802" s="15" t="s">
        <v>7473</v>
      </c>
      <c r="DS802" s="15" t="s">
        <v>8427</v>
      </c>
      <c r="DU802" s="15" t="s">
        <v>588</v>
      </c>
      <c r="EO802" s="15" t="s">
        <v>8428</v>
      </c>
      <c r="GX802" s="15" t="s">
        <v>1638</v>
      </c>
      <c r="GY802" s="15" t="s">
        <v>7473</v>
      </c>
      <c r="KZ802" s="15" t="s">
        <v>426</v>
      </c>
      <c r="LA802" s="15" t="s">
        <v>426</v>
      </c>
    </row>
    <row r="803" ht="17.25" customHeight="1">
      <c r="A803" s="15" t="s">
        <v>8447</v>
      </c>
      <c r="B803" s="15" t="str">
        <f>"198394083485"</f>
        <v>198394083485</v>
      </c>
      <c r="C803" s="15" t="s">
        <v>20999</v>
      </c>
      <c r="D803" s="15" t="str">
        <f t="shared" si="1"/>
        <v>Radley Power Recliner 3-Piece SectionalSonoma Coco</v>
      </c>
      <c r="E803" s="15" t="s">
        <v>8445</v>
      </c>
      <c r="F803" s="15" t="s">
        <v>397</v>
      </c>
      <c r="G803" s="15" t="s">
        <v>2004</v>
      </c>
      <c r="J803" s="15" t="s">
        <v>2004</v>
      </c>
      <c r="M803" s="15" t="s">
        <v>2343</v>
      </c>
      <c r="N803" s="15" t="s">
        <v>1629</v>
      </c>
      <c r="O803" s="15" t="s">
        <v>7473</v>
      </c>
      <c r="P803" s="15" t="str">
        <f>"121"</f>
        <v>121</v>
      </c>
      <c r="Q803" s="15" t="str">
        <f t="shared" si="2255"/>
        <v>45.25</v>
      </c>
      <c r="R803" s="15" t="str">
        <f t="shared" si="2256"/>
        <v>30</v>
      </c>
      <c r="S803" s="15" t="str">
        <f>"431.66"</f>
        <v>431.66</v>
      </c>
      <c r="T803" s="15" t="s">
        <v>1600</v>
      </c>
      <c r="U803" s="15" t="s">
        <v>11137</v>
      </c>
      <c r="AA803" s="15" t="s">
        <v>413</v>
      </c>
      <c r="AB803" s="15" t="s">
        <v>413</v>
      </c>
      <c r="AC803" s="15" t="s">
        <v>8441</v>
      </c>
      <c r="AD803" s="15" t="s">
        <v>21000</v>
      </c>
      <c r="AE803" s="15" t="s">
        <v>8449</v>
      </c>
      <c r="AF803" s="15" t="s">
        <v>21001</v>
      </c>
      <c r="AG803" s="15" t="s">
        <v>21002</v>
      </c>
      <c r="AH803" s="15" t="s">
        <v>21003</v>
      </c>
      <c r="AI803" s="15" t="s">
        <v>21004</v>
      </c>
      <c r="AJ803" s="15" t="s">
        <v>21005</v>
      </c>
      <c r="AK803" s="15" t="s">
        <v>21006</v>
      </c>
      <c r="AL803" s="15" t="s">
        <v>21007</v>
      </c>
      <c r="AM803" s="15" t="s">
        <v>21008</v>
      </c>
      <c r="AN803" s="15" t="s">
        <v>21009</v>
      </c>
      <c r="AO803" s="15" t="s">
        <v>21010</v>
      </c>
      <c r="AP803" s="15" t="s">
        <v>21011</v>
      </c>
      <c r="BH803" s="15" t="s">
        <v>8446</v>
      </c>
      <c r="BI803" s="15" t="str">
        <f>"7899"</f>
        <v>7899</v>
      </c>
      <c r="BJ803" s="15" t="str">
        <f>"3320"</f>
        <v>3320</v>
      </c>
      <c r="BK803" s="15" t="s">
        <v>709</v>
      </c>
      <c r="BL803" s="15" t="str">
        <f>"3"</f>
        <v>3</v>
      </c>
      <c r="BM803" s="15" t="s">
        <v>416</v>
      </c>
      <c r="BN803" s="15" t="str">
        <f t="shared" si="2261"/>
        <v>45.67</v>
      </c>
      <c r="BO803" s="15" t="str">
        <f t="shared" si="2262"/>
        <v>44.88</v>
      </c>
      <c r="BP803" s="15" t="str">
        <f t="shared" si="2263"/>
        <v>31.1</v>
      </c>
      <c r="BQ803" s="15" t="str">
        <f t="shared" si="2264"/>
        <v>183.42</v>
      </c>
      <c r="BR803" s="15" t="s">
        <v>416</v>
      </c>
      <c r="BS803" s="15" t="str">
        <f t="shared" si="2265"/>
        <v>45.67</v>
      </c>
      <c r="BT803" s="15" t="str">
        <f t="shared" si="2266"/>
        <v>44.88</v>
      </c>
      <c r="BU803" s="15" t="str">
        <f t="shared" si="2267"/>
        <v>31.1</v>
      </c>
      <c r="BV803" s="15" t="str">
        <f t="shared" si="2268"/>
        <v>183.42</v>
      </c>
      <c r="BW803" s="15" t="s">
        <v>8452</v>
      </c>
      <c r="BX803" s="15" t="str">
        <f>"33.86"</f>
        <v>33.86</v>
      </c>
      <c r="BY803" s="15" t="str">
        <f>"45.28"</f>
        <v>45.28</v>
      </c>
      <c r="BZ803" s="15" t="str">
        <f>"31.1"</f>
        <v>31.1</v>
      </c>
      <c r="CA803" s="15" t="str">
        <f>"146.39"</f>
        <v>146.39</v>
      </c>
      <c r="CG803" s="15" t="str">
        <f>"97.22"</f>
        <v>97.22</v>
      </c>
      <c r="CH803" s="15" t="str">
        <f>"2.753"</f>
        <v>2.753</v>
      </c>
      <c r="CI803" s="15" t="s">
        <v>465</v>
      </c>
      <c r="CX803" s="15" t="s">
        <v>717</v>
      </c>
      <c r="CY803" s="15" t="s">
        <v>718</v>
      </c>
      <c r="DF803" s="15" t="s">
        <v>721</v>
      </c>
      <c r="DG803" s="15" t="s">
        <v>329</v>
      </c>
      <c r="DL803" s="15">
        <v>0.0</v>
      </c>
      <c r="DM803" s="15" t="s">
        <v>990</v>
      </c>
      <c r="DQ803" s="15">
        <v>6.0</v>
      </c>
      <c r="DR803" s="15" t="s">
        <v>7473</v>
      </c>
      <c r="DS803" s="15" t="s">
        <v>8427</v>
      </c>
      <c r="DU803" s="15" t="s">
        <v>8454</v>
      </c>
      <c r="EO803" s="15" t="s">
        <v>8428</v>
      </c>
      <c r="GX803" s="15" t="s">
        <v>1638</v>
      </c>
      <c r="GY803" s="15" t="s">
        <v>7473</v>
      </c>
      <c r="KZ803" s="15" t="s">
        <v>426</v>
      </c>
      <c r="LA803" s="15" t="s">
        <v>426</v>
      </c>
    </row>
    <row r="804" ht="17.25" customHeight="1">
      <c r="A804" s="15" t="s">
        <v>8459</v>
      </c>
      <c r="B804" s="15" t="str">
        <f>"801542092214"</f>
        <v>801542092214</v>
      </c>
      <c r="C804" s="15" t="s">
        <v>21012</v>
      </c>
      <c r="D804" s="15" t="str">
        <f t="shared" si="1"/>
        <v>Raffael Bar CabinetCarved Stonewash Grey Mango</v>
      </c>
      <c r="E804" s="15" t="s">
        <v>8456</v>
      </c>
      <c r="F804" s="15" t="s">
        <v>397</v>
      </c>
      <c r="G804" s="15" t="s">
        <v>8458</v>
      </c>
      <c r="J804" s="15" t="s">
        <v>8458</v>
      </c>
      <c r="M804" s="15" t="s">
        <v>8463</v>
      </c>
      <c r="N804" s="15" t="s">
        <v>8464</v>
      </c>
      <c r="P804" s="15" t="str">
        <f>"40.75"</f>
        <v>40.75</v>
      </c>
      <c r="Q804" s="15" t="str">
        <f>"20"</f>
        <v>20</v>
      </c>
      <c r="R804" s="15" t="str">
        <f>"43.25"</f>
        <v>43.25</v>
      </c>
      <c r="S804" s="15" t="str">
        <f>"153"</f>
        <v>153</v>
      </c>
      <c r="T804" s="15" t="s">
        <v>3369</v>
      </c>
      <c r="U804" s="15" t="s">
        <v>13228</v>
      </c>
      <c r="AA804" s="15" t="s">
        <v>413</v>
      </c>
      <c r="AB804" s="15" t="s">
        <v>413</v>
      </c>
      <c r="AC804" s="15" t="s">
        <v>8465</v>
      </c>
      <c r="AD804" s="15" t="s">
        <v>21013</v>
      </c>
      <c r="AE804" s="15" t="s">
        <v>8461</v>
      </c>
      <c r="AF804" s="15" t="s">
        <v>21014</v>
      </c>
      <c r="AG804" s="15" t="s">
        <v>21015</v>
      </c>
      <c r="AH804" s="15" t="s">
        <v>21016</v>
      </c>
      <c r="AI804" s="15" t="s">
        <v>21017</v>
      </c>
      <c r="AJ804" s="15" t="s">
        <v>21018</v>
      </c>
      <c r="AK804" s="15" t="s">
        <v>21019</v>
      </c>
      <c r="AL804" s="15" t="s">
        <v>21020</v>
      </c>
      <c r="AM804" s="15" t="s">
        <v>21021</v>
      </c>
      <c r="AN804" s="15" t="s">
        <v>21022</v>
      </c>
      <c r="AO804" s="15" t="s">
        <v>21023</v>
      </c>
      <c r="BH804" s="15" t="s">
        <v>8457</v>
      </c>
      <c r="BI804" s="15" t="str">
        <f>"1699"</f>
        <v>1699</v>
      </c>
      <c r="BJ804" s="15" t="str">
        <f>"715"</f>
        <v>715</v>
      </c>
      <c r="BK804" s="15" t="s">
        <v>1303</v>
      </c>
      <c r="BL804" s="15" t="str">
        <f t="shared" ref="BL804:BL820" si="2273">"1"</f>
        <v>1</v>
      </c>
      <c r="BM804" s="15" t="s">
        <v>416</v>
      </c>
      <c r="BN804" s="15" t="str">
        <f>"42.5"</f>
        <v>42.5</v>
      </c>
      <c r="BO804" s="15" t="str">
        <f>"23.5"</f>
        <v>23.5</v>
      </c>
      <c r="BP804" s="15" t="str">
        <f>"41.5"</f>
        <v>41.5</v>
      </c>
      <c r="BQ804" s="15" t="str">
        <f>"180.78"</f>
        <v>180.78</v>
      </c>
      <c r="CG804" s="15" t="str">
        <f>"23.98"</f>
        <v>23.98</v>
      </c>
      <c r="CH804" s="15" t="str">
        <f>"0.679"</f>
        <v>0.679</v>
      </c>
      <c r="CI804" s="15" t="s">
        <v>497</v>
      </c>
      <c r="CJ804" s="15" t="s">
        <v>824</v>
      </c>
      <c r="CK804" s="15" t="s">
        <v>1188</v>
      </c>
      <c r="CL804" s="15" t="s">
        <v>824</v>
      </c>
      <c r="CM804" s="15" t="s">
        <v>824</v>
      </c>
      <c r="CN804" s="15" t="s">
        <v>1213</v>
      </c>
      <c r="CO804" s="15" t="s">
        <v>824</v>
      </c>
      <c r="CZ804" s="15" t="s">
        <v>419</v>
      </c>
      <c r="DA804" s="15">
        <v>0.0</v>
      </c>
      <c r="DB804" s="15" t="s">
        <v>419</v>
      </c>
      <c r="DD804" s="15">
        <v>1.0</v>
      </c>
      <c r="DE804" s="15" t="s">
        <v>426</v>
      </c>
      <c r="DF804" s="15" t="s">
        <v>420</v>
      </c>
      <c r="DG804" s="15" t="s">
        <v>8466</v>
      </c>
      <c r="DI804" s="15">
        <v>18.14</v>
      </c>
      <c r="DJ804" s="15">
        <v>40.0</v>
      </c>
      <c r="DK804" s="15">
        <v>1.0</v>
      </c>
      <c r="DS804" s="15" t="s">
        <v>8467</v>
      </c>
      <c r="DU804" s="15" t="s">
        <v>500</v>
      </c>
      <c r="EF804" s="15" t="s">
        <v>429</v>
      </c>
      <c r="EU804" s="15" t="s">
        <v>426</v>
      </c>
      <c r="EV804" s="15">
        <v>2.0</v>
      </c>
      <c r="FH804" s="15" t="s">
        <v>3336</v>
      </c>
      <c r="FI804" s="15" t="s">
        <v>1188</v>
      </c>
      <c r="FJ804" s="15" t="s">
        <v>650</v>
      </c>
      <c r="FK804" s="15" t="s">
        <v>824</v>
      </c>
      <c r="FL804" s="15" t="s">
        <v>1188</v>
      </c>
      <c r="FM804" s="15" t="s">
        <v>824</v>
      </c>
      <c r="FN804" s="15">
        <v>12.0</v>
      </c>
      <c r="FQ804" s="15">
        <v>2.0</v>
      </c>
      <c r="FR804" s="15" t="s">
        <v>614</v>
      </c>
      <c r="FS804" s="15" t="s">
        <v>1045</v>
      </c>
      <c r="FT804" s="15">
        <v>1.0</v>
      </c>
      <c r="FU804" s="15" t="s">
        <v>426</v>
      </c>
      <c r="FW804" s="15" t="s">
        <v>616</v>
      </c>
      <c r="GJ804" s="15" t="s">
        <v>824</v>
      </c>
      <c r="GK804" s="15" t="s">
        <v>942</v>
      </c>
      <c r="GL804" s="15" t="s">
        <v>824</v>
      </c>
      <c r="JI804" s="15" t="s">
        <v>477</v>
      </c>
      <c r="JJ804" s="15" t="s">
        <v>426</v>
      </c>
    </row>
    <row r="805" ht="17.25" customHeight="1">
      <c r="A805" s="15" t="s">
        <v>8470</v>
      </c>
      <c r="B805" s="15" t="str">
        <f>"801542431679"</f>
        <v>801542431679</v>
      </c>
      <c r="C805" s="15" t="s">
        <v>21024</v>
      </c>
      <c r="D805" s="15" t="str">
        <f t="shared" si="1"/>
        <v>Raffael DeskGunmetal</v>
      </c>
      <c r="E805" s="15" t="s">
        <v>8468</v>
      </c>
      <c r="F805" s="15" t="s">
        <v>397</v>
      </c>
      <c r="G805" s="15" t="s">
        <v>1850</v>
      </c>
      <c r="J805" s="15" t="s">
        <v>1850</v>
      </c>
      <c r="K805" s="15" t="s">
        <v>8473</v>
      </c>
      <c r="M805" s="15" t="s">
        <v>8463</v>
      </c>
      <c r="N805" s="15" t="s">
        <v>2134</v>
      </c>
      <c r="O805" s="15" t="s">
        <v>2135</v>
      </c>
      <c r="P805" s="15" t="str">
        <f>"71"</f>
        <v>71</v>
      </c>
      <c r="Q805" s="15" t="str">
        <f>"27"</f>
        <v>27</v>
      </c>
      <c r="R805" s="15" t="str">
        <f>"30.5"</f>
        <v>30.5</v>
      </c>
      <c r="S805" s="15" t="str">
        <f>"214.95"</f>
        <v>214.95</v>
      </c>
      <c r="T805" s="15" t="s">
        <v>4243</v>
      </c>
      <c r="U805" s="15" t="s">
        <v>11139</v>
      </c>
      <c r="V805" s="15" t="s">
        <v>13228</v>
      </c>
      <c r="AA805" s="15" t="s">
        <v>413</v>
      </c>
      <c r="AB805" s="15" t="s">
        <v>413</v>
      </c>
      <c r="AC805" s="15" t="s">
        <v>8474</v>
      </c>
      <c r="AD805" s="15" t="s">
        <v>21025</v>
      </c>
      <c r="AE805" s="15" t="s">
        <v>8472</v>
      </c>
      <c r="AF805" s="15" t="s">
        <v>21026</v>
      </c>
      <c r="AG805" s="15" t="s">
        <v>21027</v>
      </c>
      <c r="AH805" s="15" t="s">
        <v>21028</v>
      </c>
      <c r="AI805" s="15" t="s">
        <v>21029</v>
      </c>
      <c r="AJ805" s="15" t="s">
        <v>21030</v>
      </c>
      <c r="AK805" s="15" t="s">
        <v>21031</v>
      </c>
      <c r="AL805" s="15" t="s">
        <v>21032</v>
      </c>
      <c r="AM805" s="15" t="s">
        <v>21033</v>
      </c>
      <c r="AN805" s="15" t="s">
        <v>21034</v>
      </c>
      <c r="AO805" s="15" t="s">
        <v>21035</v>
      </c>
      <c r="AP805" s="15" t="s">
        <v>21036</v>
      </c>
      <c r="BH805" s="15" t="s">
        <v>8469</v>
      </c>
      <c r="BI805" s="15" t="str">
        <f>"2299"</f>
        <v>2299</v>
      </c>
      <c r="BJ805" s="15" t="str">
        <f>"970"</f>
        <v>970</v>
      </c>
      <c r="BK805" s="15" t="s">
        <v>1303</v>
      </c>
      <c r="BL805" s="15" t="str">
        <f t="shared" si="2273"/>
        <v>1</v>
      </c>
      <c r="BM805" s="15" t="s">
        <v>416</v>
      </c>
      <c r="BN805" s="15" t="str">
        <f>"74.25"</f>
        <v>74.25</v>
      </c>
      <c r="BO805" s="15" t="str">
        <f>"30"</f>
        <v>30</v>
      </c>
      <c r="BP805" s="15" t="str">
        <f>"27.5"</f>
        <v>27.5</v>
      </c>
      <c r="BQ805" s="15" t="str">
        <f>"257.06"</f>
        <v>257.06</v>
      </c>
      <c r="CG805" s="15" t="str">
        <f>"35.46"</f>
        <v>35.46</v>
      </c>
      <c r="CH805" s="15" t="str">
        <f>"1.004"</f>
        <v>1.004</v>
      </c>
      <c r="CI805" s="15" t="s">
        <v>497</v>
      </c>
      <c r="CM805" s="15" t="s">
        <v>525</v>
      </c>
      <c r="CN805" s="15" t="s">
        <v>824</v>
      </c>
      <c r="CO805" s="15" t="s">
        <v>1237</v>
      </c>
      <c r="CZ805" s="15" t="s">
        <v>419</v>
      </c>
      <c r="DA805" s="15">
        <v>0.0</v>
      </c>
      <c r="DB805" s="15" t="s">
        <v>419</v>
      </c>
      <c r="DD805" s="15">
        <v>0.0</v>
      </c>
      <c r="DF805" s="15" t="s">
        <v>420</v>
      </c>
      <c r="DG805" s="15" t="s">
        <v>610</v>
      </c>
      <c r="DK805" s="15">
        <v>2.0</v>
      </c>
      <c r="DR805" s="15" t="s">
        <v>2137</v>
      </c>
      <c r="DS805" s="15" t="s">
        <v>8467</v>
      </c>
      <c r="DU805" s="15" t="s">
        <v>424</v>
      </c>
      <c r="EF805" s="15" t="s">
        <v>1069</v>
      </c>
      <c r="EG805" s="15" t="s">
        <v>1700</v>
      </c>
      <c r="EH805" s="15" t="s">
        <v>1072</v>
      </c>
      <c r="EQ805" s="15" t="s">
        <v>612</v>
      </c>
      <c r="ER805" s="15" t="s">
        <v>2547</v>
      </c>
      <c r="ES805" s="15" t="s">
        <v>612</v>
      </c>
      <c r="ET805" s="15" t="s">
        <v>672</v>
      </c>
      <c r="EU805" s="15" t="s">
        <v>426</v>
      </c>
      <c r="EV805" s="15">
        <v>3.0</v>
      </c>
      <c r="FE805" s="15" t="s">
        <v>555</v>
      </c>
      <c r="FH805" s="15" t="s">
        <v>1237</v>
      </c>
      <c r="FI805" s="15" t="s">
        <v>1188</v>
      </c>
      <c r="FJ805" s="15" t="s">
        <v>1072</v>
      </c>
      <c r="FK805" s="15" t="s">
        <v>525</v>
      </c>
      <c r="FL805" s="15" t="s">
        <v>1188</v>
      </c>
      <c r="FM805" s="15" t="s">
        <v>1237</v>
      </c>
      <c r="FP805" s="15" t="s">
        <v>785</v>
      </c>
      <c r="FQ805" s="15">
        <v>2.0</v>
      </c>
      <c r="FR805" s="15" t="s">
        <v>614</v>
      </c>
      <c r="FS805" s="15" t="s">
        <v>1045</v>
      </c>
      <c r="FU805" s="15" t="s">
        <v>426</v>
      </c>
      <c r="FW805" s="15" t="s">
        <v>616</v>
      </c>
      <c r="GJ805" s="15" t="s">
        <v>8477</v>
      </c>
      <c r="GK805" s="15" t="s">
        <v>1807</v>
      </c>
      <c r="GL805" s="15" t="s">
        <v>468</v>
      </c>
      <c r="GM805" s="15">
        <v>0.0</v>
      </c>
      <c r="HP805" s="15" t="s">
        <v>426</v>
      </c>
    </row>
    <row r="806" ht="17.25" customHeight="1">
      <c r="A806" s="15" t="s">
        <v>8481</v>
      </c>
      <c r="B806" s="15" t="str">
        <f>"801542307516"</f>
        <v>801542307516</v>
      </c>
      <c r="C806" s="15" t="s">
        <v>21037</v>
      </c>
      <c r="D806" s="15" t="str">
        <f t="shared" si="1"/>
        <v>Railay Dining TableDusted Oak Veneer</v>
      </c>
      <c r="E806" s="15" t="s">
        <v>8478</v>
      </c>
      <c r="F806" s="15" t="s">
        <v>397</v>
      </c>
      <c r="G806" s="15" t="s">
        <v>8480</v>
      </c>
      <c r="J806" s="15" t="s">
        <v>8480</v>
      </c>
      <c r="K806" s="15" t="s">
        <v>1503</v>
      </c>
      <c r="M806" s="15" t="s">
        <v>1502</v>
      </c>
      <c r="N806" s="15" t="s">
        <v>548</v>
      </c>
      <c r="O806" s="15" t="s">
        <v>549</v>
      </c>
      <c r="P806" s="15" t="str">
        <f>"94"</f>
        <v>94</v>
      </c>
      <c r="Q806" s="15" t="str">
        <f>"42"</f>
        <v>42</v>
      </c>
      <c r="R806" s="15" t="str">
        <f>"30"</f>
        <v>30</v>
      </c>
      <c r="S806" s="15" t="str">
        <f>"256.84"</f>
        <v>256.84</v>
      </c>
      <c r="T806" s="15" t="s">
        <v>407</v>
      </c>
      <c r="U806" s="15" t="s">
        <v>10881</v>
      </c>
      <c r="AA806" s="15" t="s">
        <v>413</v>
      </c>
      <c r="AB806" s="15" t="s">
        <v>413</v>
      </c>
      <c r="AC806" s="15" t="s">
        <v>8484</v>
      </c>
      <c r="AD806" s="15" t="s">
        <v>21038</v>
      </c>
      <c r="AE806" s="15" t="s">
        <v>8483</v>
      </c>
      <c r="AF806" s="15" t="s">
        <v>21039</v>
      </c>
      <c r="AG806" s="15" t="s">
        <v>21040</v>
      </c>
      <c r="AH806" s="15" t="s">
        <v>21041</v>
      </c>
      <c r="AI806" s="15" t="s">
        <v>21042</v>
      </c>
      <c r="AJ806" s="15" t="s">
        <v>21043</v>
      </c>
      <c r="AK806" s="15" t="s">
        <v>21044</v>
      </c>
      <c r="AL806" s="15" t="s">
        <v>21045</v>
      </c>
      <c r="AM806" s="15" t="s">
        <v>21046</v>
      </c>
      <c r="AN806" s="15" t="s">
        <v>21047</v>
      </c>
      <c r="AO806" s="15" t="s">
        <v>21048</v>
      </c>
      <c r="BH806" s="15" t="s">
        <v>8479</v>
      </c>
      <c r="BI806" s="15" t="str">
        <f>"2599"</f>
        <v>2599</v>
      </c>
      <c r="BJ806" s="15" t="str">
        <f>"1095"</f>
        <v>1095</v>
      </c>
      <c r="BK806" s="15" t="s">
        <v>742</v>
      </c>
      <c r="BL806" s="15" t="str">
        <f t="shared" si="2273"/>
        <v>1</v>
      </c>
      <c r="BM806" s="15" t="s">
        <v>416</v>
      </c>
      <c r="BN806" s="15" t="str">
        <f>"100.59"</f>
        <v>100.59</v>
      </c>
      <c r="BO806" s="15" t="str">
        <f>"12.8"</f>
        <v>12.8</v>
      </c>
      <c r="BP806" s="15" t="str">
        <f>"48.43"</f>
        <v>48.43</v>
      </c>
      <c r="BQ806" s="15" t="str">
        <f>"302.03"</f>
        <v>302.03</v>
      </c>
      <c r="CG806" s="15" t="str">
        <f>"36.06"</f>
        <v>36.06</v>
      </c>
      <c r="CH806" s="15" t="str">
        <f>"1.021"</f>
        <v>1.021</v>
      </c>
      <c r="CI806" s="15" t="s">
        <v>417</v>
      </c>
      <c r="CZ806" s="15" t="s">
        <v>419</v>
      </c>
      <c r="DA806" s="15">
        <v>0.0</v>
      </c>
      <c r="DB806" s="15" t="s">
        <v>419</v>
      </c>
      <c r="DD806" s="15">
        <v>0.0</v>
      </c>
      <c r="DF806" s="15" t="s">
        <v>1509</v>
      </c>
      <c r="DG806" s="15" t="s">
        <v>419</v>
      </c>
      <c r="DI806" s="15">
        <v>0.0</v>
      </c>
      <c r="DJ806" s="15">
        <v>0.0</v>
      </c>
      <c r="DK806" s="15">
        <v>0.0</v>
      </c>
      <c r="DQ806" s="15">
        <v>10.0</v>
      </c>
      <c r="DR806" s="15" t="s">
        <v>471</v>
      </c>
      <c r="DS806" s="15" t="s">
        <v>8486</v>
      </c>
      <c r="DU806" s="15" t="s">
        <v>424</v>
      </c>
      <c r="EF806" s="15" t="s">
        <v>8487</v>
      </c>
      <c r="EH806" s="15" t="s">
        <v>8488</v>
      </c>
      <c r="EQ806" s="15" t="s">
        <v>8489</v>
      </c>
      <c r="ER806" s="15" t="s">
        <v>3908</v>
      </c>
      <c r="ES806" s="15" t="s">
        <v>4163</v>
      </c>
      <c r="ET806" s="15" t="s">
        <v>1517</v>
      </c>
      <c r="EU806" s="15" t="s">
        <v>426</v>
      </c>
      <c r="EV806" s="15">
        <v>0.0</v>
      </c>
      <c r="EW806" s="15">
        <v>0.0</v>
      </c>
      <c r="FE806" s="15" t="s">
        <v>3908</v>
      </c>
      <c r="FF806" s="15" t="s">
        <v>1238</v>
      </c>
      <c r="FG806" s="15" t="s">
        <v>1123</v>
      </c>
    </row>
    <row r="807" ht="17.25" customHeight="1">
      <c r="A807" s="15" t="s">
        <v>8493</v>
      </c>
      <c r="B807" s="15" t="str">
        <f>"801542805906"</f>
        <v>801542805906</v>
      </c>
      <c r="C807" s="15" t="s">
        <v>21049</v>
      </c>
      <c r="D807" s="15" t="str">
        <f t="shared" si="1"/>
        <v>Ramos SideboardDark Espresso Reclaimed French Oak</v>
      </c>
      <c r="E807" s="15" t="s">
        <v>8490</v>
      </c>
      <c r="F807" s="15" t="s">
        <v>397</v>
      </c>
      <c r="G807" s="15" t="s">
        <v>8492</v>
      </c>
      <c r="J807" s="15" t="s">
        <v>8492</v>
      </c>
      <c r="M807" s="15" t="s">
        <v>2759</v>
      </c>
      <c r="N807" s="15" t="s">
        <v>664</v>
      </c>
      <c r="P807" s="15" t="str">
        <f>"93.25"</f>
        <v>93.25</v>
      </c>
      <c r="Q807" s="15" t="str">
        <f>"20.75"</f>
        <v>20.75</v>
      </c>
      <c r="R807" s="15" t="str">
        <f>"31"</f>
        <v>31</v>
      </c>
      <c r="S807" s="15" t="str">
        <f>"304.23"</f>
        <v>304.23</v>
      </c>
      <c r="T807" s="15" t="s">
        <v>6706</v>
      </c>
      <c r="U807" s="15" t="s">
        <v>13534</v>
      </c>
      <c r="AA807" s="15" t="s">
        <v>413</v>
      </c>
      <c r="AB807" s="15" t="s">
        <v>413</v>
      </c>
      <c r="AC807" s="15" t="s">
        <v>8498</v>
      </c>
      <c r="AD807" s="15" t="s">
        <v>21050</v>
      </c>
      <c r="AE807" s="15" t="s">
        <v>8495</v>
      </c>
      <c r="AF807" s="15" t="s">
        <v>21051</v>
      </c>
      <c r="AG807" s="15" t="s">
        <v>21052</v>
      </c>
      <c r="AH807" s="15" t="s">
        <v>21053</v>
      </c>
      <c r="AI807" s="15" t="s">
        <v>21054</v>
      </c>
      <c r="AJ807" s="15" t="s">
        <v>21055</v>
      </c>
      <c r="AK807" s="15" t="s">
        <v>21056</v>
      </c>
      <c r="AL807" s="15" t="s">
        <v>21057</v>
      </c>
      <c r="AM807" s="15" t="s">
        <v>21058</v>
      </c>
      <c r="AN807" s="15" t="s">
        <v>21059</v>
      </c>
      <c r="AO807" s="15" t="s">
        <v>21060</v>
      </c>
      <c r="AP807" s="15" t="s">
        <v>21061</v>
      </c>
      <c r="AQ807" s="15" t="s">
        <v>21062</v>
      </c>
      <c r="AR807" s="15" t="s">
        <v>21063</v>
      </c>
      <c r="BH807" s="15" t="s">
        <v>8491</v>
      </c>
      <c r="BI807" s="15" t="str">
        <f>"4599"</f>
        <v>4599</v>
      </c>
      <c r="BJ807" s="15" t="str">
        <f>"1935"</f>
        <v>1935</v>
      </c>
      <c r="BK807" s="15" t="s">
        <v>742</v>
      </c>
      <c r="BL807" s="15" t="str">
        <f t="shared" si="2273"/>
        <v>1</v>
      </c>
      <c r="BM807" s="15" t="s">
        <v>416</v>
      </c>
      <c r="BN807" s="15" t="str">
        <f>"95.87"</f>
        <v>95.87</v>
      </c>
      <c r="BO807" s="15" t="str">
        <f>"23.82"</f>
        <v>23.82</v>
      </c>
      <c r="BP807" s="15" t="str">
        <f>"39.76"</f>
        <v>39.76</v>
      </c>
      <c r="BQ807" s="15" t="str">
        <f>"366.63"</f>
        <v>366.63</v>
      </c>
      <c r="CG807" s="15" t="str">
        <f>"52.55"</f>
        <v>52.55</v>
      </c>
      <c r="CH807" s="15" t="str">
        <f>"1.488"</f>
        <v>1.488</v>
      </c>
      <c r="CI807" s="15" t="s">
        <v>497</v>
      </c>
      <c r="CM807" s="15" t="s">
        <v>3777</v>
      </c>
      <c r="CN807" s="15" t="s">
        <v>8502</v>
      </c>
      <c r="CO807" s="15" t="s">
        <v>8503</v>
      </c>
      <c r="CZ807" s="15" t="s">
        <v>419</v>
      </c>
      <c r="DA807" s="15">
        <v>0.0</v>
      </c>
      <c r="DB807" s="15" t="s">
        <v>419</v>
      </c>
      <c r="DD807" s="15">
        <v>0.0</v>
      </c>
      <c r="DF807" s="15" t="s">
        <v>420</v>
      </c>
      <c r="DG807" s="15" t="s">
        <v>610</v>
      </c>
      <c r="DI807" s="15">
        <v>18.14</v>
      </c>
      <c r="DJ807" s="15">
        <v>40.0</v>
      </c>
      <c r="DK807" s="15">
        <v>2.0</v>
      </c>
      <c r="DS807" s="15" t="s">
        <v>8504</v>
      </c>
      <c r="DU807" s="15" t="s">
        <v>424</v>
      </c>
      <c r="EF807" s="15" t="s">
        <v>2969</v>
      </c>
      <c r="EU807" s="15" t="s">
        <v>426</v>
      </c>
      <c r="EV807" s="15">
        <v>2.0</v>
      </c>
      <c r="FH807" s="15" t="s">
        <v>2017</v>
      </c>
      <c r="FI807" s="15" t="s">
        <v>3911</v>
      </c>
      <c r="FJ807" s="15" t="s">
        <v>715</v>
      </c>
      <c r="FK807" s="15" t="s">
        <v>3777</v>
      </c>
      <c r="FL807" s="15" t="s">
        <v>2046</v>
      </c>
      <c r="FM807" s="15" t="s">
        <v>8503</v>
      </c>
      <c r="FN807" s="15">
        <v>0.0</v>
      </c>
      <c r="FQ807" s="15">
        <v>4.0</v>
      </c>
      <c r="FR807" s="15" t="s">
        <v>614</v>
      </c>
      <c r="FS807" s="15" t="s">
        <v>1045</v>
      </c>
      <c r="FT807" s="15">
        <v>0.0</v>
      </c>
      <c r="FU807" s="15" t="s">
        <v>426</v>
      </c>
      <c r="FW807" s="15" t="s">
        <v>616</v>
      </c>
      <c r="GJ807" s="15" t="s">
        <v>3777</v>
      </c>
      <c r="GK807" s="15" t="s">
        <v>8502</v>
      </c>
      <c r="GL807" s="15" t="s">
        <v>8503</v>
      </c>
      <c r="HF807" s="15" t="s">
        <v>1957</v>
      </c>
      <c r="HQ807" s="15" t="s">
        <v>426</v>
      </c>
    </row>
    <row r="808" ht="17.25" customHeight="1">
      <c r="A808" s="15" t="s">
        <v>8507</v>
      </c>
      <c r="B808" s="15" t="str">
        <f>"801542108083"</f>
        <v>801542108083</v>
      </c>
      <c r="C808" s="15" t="s">
        <v>21064</v>
      </c>
      <c r="D808" s="15" t="str">
        <f t="shared" si="1"/>
        <v>Rashi Swivel ChairSurrey Olive</v>
      </c>
      <c r="E808" s="15" t="s">
        <v>8505</v>
      </c>
      <c r="F808" s="15" t="s">
        <v>397</v>
      </c>
      <c r="G808" s="15" t="s">
        <v>1612</v>
      </c>
      <c r="J808" s="15" t="s">
        <v>1612</v>
      </c>
      <c r="M808" s="15" t="s">
        <v>2108</v>
      </c>
      <c r="N808" s="15" t="s">
        <v>706</v>
      </c>
      <c r="O808" s="15" t="s">
        <v>707</v>
      </c>
      <c r="P808" s="15" t="str">
        <f>"33.5"</f>
        <v>33.5</v>
      </c>
      <c r="Q808" s="15" t="str">
        <f>"32.75"</f>
        <v>32.75</v>
      </c>
      <c r="R808" s="15" t="str">
        <f>"26"</f>
        <v>26</v>
      </c>
      <c r="S808" s="15" t="str">
        <f>"70.55"</f>
        <v>70.55</v>
      </c>
      <c r="T808" s="15" t="s">
        <v>1615</v>
      </c>
      <c r="U808" s="15" t="s">
        <v>11845</v>
      </c>
      <c r="V808" s="15" t="s">
        <v>11846</v>
      </c>
      <c r="AA808" s="15" t="s">
        <v>413</v>
      </c>
      <c r="AB808" s="15" t="s">
        <v>413</v>
      </c>
      <c r="AC808" s="15" t="s">
        <v>8509</v>
      </c>
      <c r="AD808" s="15" t="s">
        <v>21065</v>
      </c>
      <c r="AE808" s="15" t="s">
        <v>8508</v>
      </c>
      <c r="AF808" s="15" t="s">
        <v>21066</v>
      </c>
      <c r="AG808" s="15" t="s">
        <v>21067</v>
      </c>
      <c r="AH808" s="15" t="s">
        <v>21068</v>
      </c>
      <c r="AI808" s="15" t="s">
        <v>21069</v>
      </c>
      <c r="AJ808" s="15" t="s">
        <v>21070</v>
      </c>
      <c r="AK808" s="15" t="s">
        <v>21071</v>
      </c>
      <c r="AL808" s="15" t="s">
        <v>21072</v>
      </c>
      <c r="AM808" s="15" t="s">
        <v>21073</v>
      </c>
      <c r="BH808" s="15" t="s">
        <v>8506</v>
      </c>
      <c r="BI808" s="15" t="str">
        <f>"1599"</f>
        <v>1599</v>
      </c>
      <c r="BJ808" s="15" t="str">
        <f>"675"</f>
        <v>675</v>
      </c>
      <c r="BK808" s="15" t="s">
        <v>415</v>
      </c>
      <c r="BL808" s="15" t="str">
        <f t="shared" si="2273"/>
        <v>1</v>
      </c>
      <c r="BM808" s="15" t="s">
        <v>416</v>
      </c>
      <c r="BN808" s="15" t="str">
        <f t="shared" ref="BN808:BO808" si="2274">"36.22"</f>
        <v>36.22</v>
      </c>
      <c r="BO808" s="15" t="str">
        <f t="shared" si="2274"/>
        <v>36.22</v>
      </c>
      <c r="BP808" s="15" t="str">
        <f>"27.17"</f>
        <v>27.17</v>
      </c>
      <c r="BQ808" s="15" t="str">
        <f>"82.01"</f>
        <v>82.01</v>
      </c>
      <c r="CG808" s="15" t="str">
        <f>"20.62"</f>
        <v>20.62</v>
      </c>
      <c r="CH808" s="15" t="str">
        <f>"0.584"</f>
        <v>0.584</v>
      </c>
      <c r="CI808" s="15" t="s">
        <v>465</v>
      </c>
      <c r="CP808" s="15" t="s">
        <v>1286</v>
      </c>
      <c r="CQ808" s="15" t="s">
        <v>2116</v>
      </c>
      <c r="CR808" s="15" t="s">
        <v>1212</v>
      </c>
      <c r="CS808" s="15" t="s">
        <v>1286</v>
      </c>
      <c r="CT808" s="15" t="s">
        <v>1161</v>
      </c>
      <c r="CV808" s="15">
        <v>0.0</v>
      </c>
      <c r="CW808" s="15">
        <v>0.0</v>
      </c>
      <c r="CX808" s="15" t="s">
        <v>717</v>
      </c>
      <c r="CY808" s="15" t="s">
        <v>718</v>
      </c>
      <c r="DC808" s="15" t="s">
        <v>8511</v>
      </c>
      <c r="DF808" s="15" t="s">
        <v>721</v>
      </c>
      <c r="DG808" s="15" t="s">
        <v>1605</v>
      </c>
      <c r="DH808" s="15">
        <v>0.0</v>
      </c>
      <c r="DL808" s="15">
        <v>30000.0</v>
      </c>
      <c r="DM808" s="15" t="s">
        <v>722</v>
      </c>
      <c r="DN808" s="15" t="s">
        <v>723</v>
      </c>
      <c r="DO808" s="15" t="s">
        <v>724</v>
      </c>
      <c r="DP808" s="15">
        <v>1.0</v>
      </c>
      <c r="DQ808" s="15">
        <v>1.0</v>
      </c>
      <c r="DS808" s="15" t="s">
        <v>8512</v>
      </c>
      <c r="DT808" s="15">
        <v>0.0</v>
      </c>
      <c r="DU808" s="15" t="s">
        <v>726</v>
      </c>
      <c r="DV808" s="15" t="s">
        <v>1806</v>
      </c>
      <c r="DW808" s="15" t="s">
        <v>939</v>
      </c>
      <c r="DX808" s="15" t="s">
        <v>2637</v>
      </c>
      <c r="EB808" s="15" t="s">
        <v>505</v>
      </c>
      <c r="EF808" s="15" t="s">
        <v>672</v>
      </c>
      <c r="EI808" s="15" t="s">
        <v>1593</v>
      </c>
      <c r="EO808" s="15" t="s">
        <v>1239</v>
      </c>
      <c r="EX808" s="15" t="s">
        <v>467</v>
      </c>
      <c r="EY808" s="15" t="s">
        <v>555</v>
      </c>
      <c r="EZ808" s="15">
        <v>0.0</v>
      </c>
      <c r="FA808" s="15">
        <v>0.0</v>
      </c>
      <c r="FC808" s="15">
        <v>0.0</v>
      </c>
      <c r="HU808" s="15" t="s">
        <v>1610</v>
      </c>
    </row>
    <row r="809" ht="17.25" customHeight="1">
      <c r="A809" s="15" t="s">
        <v>8515</v>
      </c>
      <c r="B809" s="15" t="str">
        <f>"801542245696"</f>
        <v>801542245696</v>
      </c>
      <c r="C809" s="15" t="s">
        <v>21074</v>
      </c>
      <c r="D809" s="15" t="str">
        <f t="shared" si="1"/>
        <v>Redondo Media ConsoleBleached Alder</v>
      </c>
      <c r="E809" s="15" t="s">
        <v>8513</v>
      </c>
      <c r="F809" s="15" t="s">
        <v>397</v>
      </c>
      <c r="G809" s="15" t="s">
        <v>1556</v>
      </c>
      <c r="J809" s="15" t="s">
        <v>1556</v>
      </c>
      <c r="K809" s="15" t="s">
        <v>8518</v>
      </c>
      <c r="M809" s="15" t="s">
        <v>411</v>
      </c>
      <c r="N809" s="15" t="s">
        <v>602</v>
      </c>
      <c r="P809" s="15" t="str">
        <f>"92"</f>
        <v>92</v>
      </c>
      <c r="Q809" s="15" t="str">
        <f>"18"</f>
        <v>18</v>
      </c>
      <c r="R809" s="15" t="str">
        <f>"28"</f>
        <v>28</v>
      </c>
      <c r="S809" s="15" t="str">
        <f>"272.27"</f>
        <v>272.27</v>
      </c>
      <c r="T809" s="15" t="s">
        <v>8517</v>
      </c>
      <c r="U809" s="15" t="s">
        <v>11793</v>
      </c>
      <c r="V809" s="15" t="s">
        <v>14078</v>
      </c>
      <c r="AA809" s="15" t="s">
        <v>413</v>
      </c>
      <c r="AB809" s="15" t="s">
        <v>413</v>
      </c>
      <c r="AC809" s="15" t="s">
        <v>8519</v>
      </c>
      <c r="AD809" s="15" t="s">
        <v>21075</v>
      </c>
      <c r="AE809" s="15" t="s">
        <v>8516</v>
      </c>
      <c r="AF809" s="15" t="s">
        <v>21076</v>
      </c>
      <c r="AG809" s="15" t="s">
        <v>21077</v>
      </c>
      <c r="AH809" s="15" t="s">
        <v>21078</v>
      </c>
      <c r="AI809" s="15" t="s">
        <v>21079</v>
      </c>
      <c r="AJ809" s="15" t="s">
        <v>21080</v>
      </c>
      <c r="AK809" s="15" t="s">
        <v>21081</v>
      </c>
      <c r="AL809" s="15" t="s">
        <v>21082</v>
      </c>
      <c r="AM809" s="15" t="s">
        <v>21083</v>
      </c>
      <c r="AN809" s="15" t="s">
        <v>21084</v>
      </c>
      <c r="AO809" s="15" t="s">
        <v>21085</v>
      </c>
      <c r="AP809" s="15" t="s">
        <v>21086</v>
      </c>
      <c r="AQ809" s="15" t="s">
        <v>21087</v>
      </c>
      <c r="AR809" s="15" t="s">
        <v>21088</v>
      </c>
      <c r="AS809" s="15" t="s">
        <v>21089</v>
      </c>
      <c r="AT809" s="15" t="s">
        <v>21090</v>
      </c>
      <c r="AU809" s="15" t="s">
        <v>21091</v>
      </c>
      <c r="AV809" s="15" t="s">
        <v>21092</v>
      </c>
      <c r="BH809" s="15" t="s">
        <v>8514</v>
      </c>
      <c r="BI809" s="15" t="str">
        <f>"4299"</f>
        <v>4299</v>
      </c>
      <c r="BJ809" s="15" t="str">
        <f>"1810"</f>
        <v>1810</v>
      </c>
      <c r="BK809" s="15" t="s">
        <v>415</v>
      </c>
      <c r="BL809" s="15" t="str">
        <f t="shared" si="2273"/>
        <v>1</v>
      </c>
      <c r="BM809" s="15" t="s">
        <v>416</v>
      </c>
      <c r="BN809" s="15" t="str">
        <f>"97.64"</f>
        <v>97.64</v>
      </c>
      <c r="BO809" s="15" t="str">
        <f>"24.02"</f>
        <v>24.02</v>
      </c>
      <c r="BP809" s="15" t="str">
        <f>"35.04"</f>
        <v>35.04</v>
      </c>
      <c r="BQ809" s="15" t="str">
        <f>"327.38"</f>
        <v>327.38</v>
      </c>
      <c r="CG809" s="15" t="str">
        <f>"47.53"</f>
        <v>47.53</v>
      </c>
      <c r="CH809" s="15" t="str">
        <f>"1.346"</f>
        <v>1.346</v>
      </c>
      <c r="CI809" s="15" t="s">
        <v>497</v>
      </c>
      <c r="CM809" s="15" t="s">
        <v>1160</v>
      </c>
      <c r="CN809" s="15" t="s">
        <v>6775</v>
      </c>
      <c r="CO809" s="15" t="s">
        <v>8521</v>
      </c>
      <c r="CZ809" s="15" t="s">
        <v>419</v>
      </c>
      <c r="DA809" s="15">
        <v>0.0</v>
      </c>
      <c r="DB809" s="15" t="s">
        <v>419</v>
      </c>
      <c r="DD809" s="15">
        <v>0.0</v>
      </c>
      <c r="DF809" s="15" t="s">
        <v>1388</v>
      </c>
      <c r="DG809" s="15" t="s">
        <v>610</v>
      </c>
      <c r="DI809" s="15">
        <v>18.14</v>
      </c>
      <c r="DJ809" s="15">
        <v>40.0</v>
      </c>
      <c r="DK809" s="15">
        <v>2.0</v>
      </c>
      <c r="DS809" s="15" t="s">
        <v>8522</v>
      </c>
      <c r="EF809" s="15" t="s">
        <v>5722</v>
      </c>
      <c r="EU809" s="15" t="s">
        <v>426</v>
      </c>
      <c r="EV809" s="15">
        <v>2.0</v>
      </c>
      <c r="FH809" s="15" t="s">
        <v>525</v>
      </c>
      <c r="FI809" s="15" t="s">
        <v>3762</v>
      </c>
      <c r="FJ809" s="15" t="s">
        <v>2312</v>
      </c>
      <c r="FK809" s="15" t="s">
        <v>943</v>
      </c>
      <c r="FL809" s="15" t="s">
        <v>2638</v>
      </c>
      <c r="FM809" s="15" t="s">
        <v>8521</v>
      </c>
      <c r="FO809" s="15" t="s">
        <v>426</v>
      </c>
      <c r="FQ809" s="15">
        <v>4.0</v>
      </c>
      <c r="FR809" s="15" t="s">
        <v>614</v>
      </c>
      <c r="FS809" s="15" t="s">
        <v>615</v>
      </c>
      <c r="FU809" s="15" t="s">
        <v>426</v>
      </c>
      <c r="FW809" s="15" t="s">
        <v>616</v>
      </c>
      <c r="GJ809" s="15" t="s">
        <v>1160</v>
      </c>
      <c r="GK809" s="15" t="s">
        <v>6775</v>
      </c>
      <c r="GL809" s="15" t="s">
        <v>8521</v>
      </c>
      <c r="GM809" s="15">
        <v>0.0</v>
      </c>
    </row>
    <row r="810" ht="17.25" customHeight="1">
      <c r="A810" s="15" t="s">
        <v>8525</v>
      </c>
      <c r="B810" s="15" t="str">
        <f>"801542457402"</f>
        <v>801542457402</v>
      </c>
      <c r="C810" s="15" t="s">
        <v>21093</v>
      </c>
      <c r="D810" s="15" t="str">
        <f t="shared" si="1"/>
        <v>Reese SofaEden Sage</v>
      </c>
      <c r="E810" s="15" t="s">
        <v>8523</v>
      </c>
      <c r="F810" s="15" t="s">
        <v>397</v>
      </c>
      <c r="G810" s="15" t="s">
        <v>2517</v>
      </c>
      <c r="J810" s="15" t="s">
        <v>2517</v>
      </c>
      <c r="K810" s="15" t="s">
        <v>8528</v>
      </c>
      <c r="M810" s="15" t="s">
        <v>2492</v>
      </c>
      <c r="N810" s="15" t="s">
        <v>1732</v>
      </c>
      <c r="P810" s="15" t="str">
        <f t="shared" ref="P810:P811" si="2275">"76"</f>
        <v>76</v>
      </c>
      <c r="Q810" s="15" t="str">
        <f t="shared" ref="Q810:Q811" si="2276">"35"</f>
        <v>35</v>
      </c>
      <c r="R810" s="15" t="str">
        <f t="shared" ref="R810:R811" si="2277">"32.75"</f>
        <v>32.75</v>
      </c>
      <c r="S810" s="15" t="str">
        <f t="shared" ref="S810:S811" si="2278">"110.89"</f>
        <v>110.89</v>
      </c>
      <c r="T810" s="15" t="s">
        <v>2799</v>
      </c>
      <c r="U810" s="15" t="s">
        <v>11137</v>
      </c>
      <c r="V810" s="15" t="s">
        <v>13112</v>
      </c>
      <c r="AA810" s="15" t="s">
        <v>413</v>
      </c>
      <c r="AB810" s="15" t="s">
        <v>413</v>
      </c>
      <c r="AC810" s="15" t="s">
        <v>8529</v>
      </c>
      <c r="AD810" s="15" t="s">
        <v>21094</v>
      </c>
      <c r="AE810" s="15" t="s">
        <v>8527</v>
      </c>
      <c r="AF810" s="15" t="s">
        <v>21095</v>
      </c>
      <c r="AG810" s="15" t="s">
        <v>21096</v>
      </c>
      <c r="AH810" s="15" t="s">
        <v>21097</v>
      </c>
      <c r="AI810" s="15" t="s">
        <v>21098</v>
      </c>
      <c r="AJ810" s="15" t="s">
        <v>21099</v>
      </c>
      <c r="AK810" s="15" t="s">
        <v>21100</v>
      </c>
      <c r="AL810" s="15" t="s">
        <v>21101</v>
      </c>
      <c r="AM810" s="15" t="s">
        <v>21102</v>
      </c>
      <c r="AN810" s="15" t="s">
        <v>21103</v>
      </c>
      <c r="AO810" s="15" t="s">
        <v>21104</v>
      </c>
      <c r="AP810" s="15" t="s">
        <v>21105</v>
      </c>
      <c r="AQ810" s="15" t="s">
        <v>21106</v>
      </c>
      <c r="AR810" s="15" t="s">
        <v>21107</v>
      </c>
      <c r="BH810" s="15" t="s">
        <v>8524</v>
      </c>
      <c r="BI810" s="15" t="str">
        <f>"3999"</f>
        <v>3999</v>
      </c>
      <c r="BJ810" s="15" t="str">
        <f>"1680"</f>
        <v>1680</v>
      </c>
      <c r="BK810" s="15" t="s">
        <v>709</v>
      </c>
      <c r="BL810" s="15" t="str">
        <f t="shared" si="2273"/>
        <v>1</v>
      </c>
      <c r="BM810" s="15" t="s">
        <v>416</v>
      </c>
      <c r="BN810" s="15" t="str">
        <f t="shared" ref="BN810:BN811" si="2279">"77.36"</f>
        <v>77.36</v>
      </c>
      <c r="BO810" s="15" t="str">
        <f t="shared" ref="BO810:BO811" si="2280">"35.83"</f>
        <v>35.83</v>
      </c>
      <c r="BP810" s="15" t="str">
        <f t="shared" ref="BP810:BP811" si="2281">"22.44"</f>
        <v>22.44</v>
      </c>
      <c r="BQ810" s="15" t="str">
        <f t="shared" ref="BQ810:BQ811" si="2282">"147.49"</f>
        <v>147.49</v>
      </c>
      <c r="CG810" s="15" t="str">
        <f t="shared" ref="CG810:CG811" si="2283">"35.99"</f>
        <v>35.99</v>
      </c>
      <c r="CH810" s="15" t="str">
        <f t="shared" ref="CH810:CH811" si="2284">"1.019"</f>
        <v>1.019</v>
      </c>
      <c r="CI810" s="15" t="s">
        <v>497</v>
      </c>
      <c r="CP810" s="15" t="s">
        <v>2839</v>
      </c>
      <c r="CQ810" s="15" t="s">
        <v>2899</v>
      </c>
      <c r="CR810" s="15" t="s">
        <v>5081</v>
      </c>
      <c r="CS810" s="15" t="s">
        <v>1237</v>
      </c>
      <c r="CT810" s="15" t="s">
        <v>824</v>
      </c>
      <c r="CU810" s="15" t="s">
        <v>8531</v>
      </c>
      <c r="CV810" s="15">
        <v>2.0</v>
      </c>
      <c r="CW810" s="15">
        <v>2.0</v>
      </c>
      <c r="CX810" s="15" t="s">
        <v>717</v>
      </c>
      <c r="CY810" s="15" t="s">
        <v>718</v>
      </c>
      <c r="DC810" s="15" t="s">
        <v>2502</v>
      </c>
      <c r="DF810" s="15" t="s">
        <v>721</v>
      </c>
      <c r="DG810" s="15" t="s">
        <v>419</v>
      </c>
      <c r="DH810" s="15">
        <v>0.0</v>
      </c>
      <c r="DL810" s="15">
        <v>0.0</v>
      </c>
      <c r="DM810" s="15" t="s">
        <v>990</v>
      </c>
      <c r="DN810" s="15" t="s">
        <v>723</v>
      </c>
      <c r="DO810" s="15" t="s">
        <v>724</v>
      </c>
      <c r="DP810" s="15">
        <v>2.0</v>
      </c>
      <c r="DQ810" s="15">
        <v>3.0</v>
      </c>
      <c r="DS810" s="15" t="s">
        <v>8532</v>
      </c>
      <c r="DT810" s="15">
        <v>0.0</v>
      </c>
      <c r="DU810" s="15" t="s">
        <v>473</v>
      </c>
      <c r="DV810" s="15" t="s">
        <v>2712</v>
      </c>
      <c r="DW810" s="15" t="s">
        <v>3241</v>
      </c>
      <c r="DX810" s="15" t="s">
        <v>2434</v>
      </c>
      <c r="DY810" s="15" t="s">
        <v>2312</v>
      </c>
      <c r="DZ810" s="15" t="s">
        <v>3011</v>
      </c>
      <c r="EA810" s="15" t="s">
        <v>429</v>
      </c>
      <c r="EB810" s="15" t="s">
        <v>5586</v>
      </c>
      <c r="EC810" s="15" t="s">
        <v>2402</v>
      </c>
      <c r="ED810" s="15" t="s">
        <v>1065</v>
      </c>
      <c r="EE810" s="15" t="s">
        <v>5081</v>
      </c>
      <c r="EF810" s="15" t="s">
        <v>505</v>
      </c>
      <c r="EG810" s="15" t="s">
        <v>1064</v>
      </c>
      <c r="EH810" s="15" t="s">
        <v>960</v>
      </c>
      <c r="EI810" s="15" t="s">
        <v>3735</v>
      </c>
      <c r="EJ810" s="15" t="s">
        <v>1076</v>
      </c>
      <c r="EK810" s="15" t="s">
        <v>426</v>
      </c>
      <c r="EL810" s="15" t="s">
        <v>723</v>
      </c>
      <c r="EM810" s="15" t="s">
        <v>724</v>
      </c>
      <c r="EN810" s="15" t="s">
        <v>8533</v>
      </c>
      <c r="EO810" s="15" t="s">
        <v>2502</v>
      </c>
      <c r="EP810" s="15" t="s">
        <v>1076</v>
      </c>
    </row>
    <row r="811" ht="17.25" customHeight="1">
      <c r="A811" s="15" t="s">
        <v>8535</v>
      </c>
      <c r="B811" s="15" t="str">
        <f>"801542116095"</f>
        <v>801542116095</v>
      </c>
      <c r="C811" s="15" t="s">
        <v>21108</v>
      </c>
      <c r="D811" s="15" t="str">
        <f t="shared" si="1"/>
        <v>Reese SofaPalermo Cognac</v>
      </c>
      <c r="E811" s="15" t="s">
        <v>8523</v>
      </c>
      <c r="F811" s="15" t="s">
        <v>397</v>
      </c>
      <c r="G811" s="15" t="s">
        <v>2818</v>
      </c>
      <c r="J811" s="15" t="s">
        <v>2818</v>
      </c>
      <c r="K811" s="15" t="s">
        <v>8528</v>
      </c>
      <c r="M811" s="15" t="s">
        <v>2492</v>
      </c>
      <c r="N811" s="15" t="s">
        <v>1732</v>
      </c>
      <c r="P811" s="15" t="str">
        <f t="shared" si="2275"/>
        <v>76</v>
      </c>
      <c r="Q811" s="15" t="str">
        <f t="shared" si="2276"/>
        <v>35</v>
      </c>
      <c r="R811" s="15" t="str">
        <f t="shared" si="2277"/>
        <v>32.75</v>
      </c>
      <c r="S811" s="15" t="str">
        <f t="shared" si="2278"/>
        <v>110.89</v>
      </c>
      <c r="T811" s="15" t="s">
        <v>2799</v>
      </c>
      <c r="U811" s="15" t="s">
        <v>11137</v>
      </c>
      <c r="V811" s="15" t="s">
        <v>13112</v>
      </c>
      <c r="AA811" s="15" t="s">
        <v>413</v>
      </c>
      <c r="AB811" s="15" t="s">
        <v>413</v>
      </c>
      <c r="AC811" s="15" t="s">
        <v>8537</v>
      </c>
      <c r="AD811" s="15" t="s">
        <v>21109</v>
      </c>
      <c r="AE811" s="15" t="s">
        <v>8536</v>
      </c>
      <c r="AF811" s="15" t="s">
        <v>21110</v>
      </c>
      <c r="AG811" s="15" t="s">
        <v>21111</v>
      </c>
      <c r="AH811" s="15" t="s">
        <v>21112</v>
      </c>
      <c r="AI811" s="15" t="s">
        <v>21113</v>
      </c>
      <c r="AJ811" s="15" t="s">
        <v>21114</v>
      </c>
      <c r="AK811" s="15" t="s">
        <v>13142</v>
      </c>
      <c r="AL811" s="15" t="s">
        <v>21115</v>
      </c>
      <c r="AM811" s="15" t="s">
        <v>21116</v>
      </c>
      <c r="AN811" s="15" t="s">
        <v>21117</v>
      </c>
      <c r="AO811" s="15" t="s">
        <v>21118</v>
      </c>
      <c r="BH811" s="15" t="s">
        <v>8534</v>
      </c>
      <c r="BI811" s="15" t="str">
        <f>"4499"</f>
        <v>4499</v>
      </c>
      <c r="BJ811" s="15" t="str">
        <f>"1890"</f>
        <v>1890</v>
      </c>
      <c r="BK811" s="15" t="s">
        <v>709</v>
      </c>
      <c r="BL811" s="15" t="str">
        <f t="shared" si="2273"/>
        <v>1</v>
      </c>
      <c r="BM811" s="15" t="s">
        <v>416</v>
      </c>
      <c r="BN811" s="15" t="str">
        <f t="shared" si="2279"/>
        <v>77.36</v>
      </c>
      <c r="BO811" s="15" t="str">
        <f t="shared" si="2280"/>
        <v>35.83</v>
      </c>
      <c r="BP811" s="15" t="str">
        <f t="shared" si="2281"/>
        <v>22.44</v>
      </c>
      <c r="BQ811" s="15" t="str">
        <f t="shared" si="2282"/>
        <v>147.49</v>
      </c>
      <c r="CG811" s="15" t="str">
        <f t="shared" si="2283"/>
        <v>35.99</v>
      </c>
      <c r="CH811" s="15" t="str">
        <f t="shared" si="2284"/>
        <v>1.019</v>
      </c>
      <c r="CI811" s="15" t="s">
        <v>497</v>
      </c>
      <c r="CP811" s="15" t="s">
        <v>2839</v>
      </c>
      <c r="CQ811" s="15" t="s">
        <v>2899</v>
      </c>
      <c r="CR811" s="15" t="s">
        <v>5081</v>
      </c>
      <c r="CS811" s="15" t="s">
        <v>1237</v>
      </c>
      <c r="CT811" s="15" t="s">
        <v>824</v>
      </c>
      <c r="CU811" s="15" t="s">
        <v>8531</v>
      </c>
      <c r="CV811" s="15">
        <v>2.0</v>
      </c>
      <c r="CW811" s="15">
        <v>2.0</v>
      </c>
      <c r="CX811" s="15" t="s">
        <v>717</v>
      </c>
      <c r="CY811" s="15" t="s">
        <v>718</v>
      </c>
      <c r="DC811" s="15" t="s">
        <v>2502</v>
      </c>
      <c r="DF811" s="15" t="s">
        <v>721</v>
      </c>
      <c r="DG811" s="15" t="s">
        <v>419</v>
      </c>
      <c r="DH811" s="15">
        <v>0.0</v>
      </c>
      <c r="DL811" s="15">
        <v>0.0</v>
      </c>
      <c r="DM811" s="15" t="s">
        <v>990</v>
      </c>
      <c r="DN811" s="15" t="s">
        <v>723</v>
      </c>
      <c r="DO811" s="15" t="s">
        <v>724</v>
      </c>
      <c r="DP811" s="15">
        <v>2.0</v>
      </c>
      <c r="DQ811" s="15">
        <v>3.0</v>
      </c>
      <c r="DS811" s="15" t="s">
        <v>8532</v>
      </c>
      <c r="DT811" s="15">
        <v>0.0</v>
      </c>
      <c r="DU811" s="15" t="s">
        <v>473</v>
      </c>
      <c r="DV811" s="15" t="s">
        <v>2712</v>
      </c>
      <c r="DW811" s="15" t="s">
        <v>3241</v>
      </c>
      <c r="DX811" s="15" t="s">
        <v>2434</v>
      </c>
      <c r="DY811" s="15" t="s">
        <v>2312</v>
      </c>
      <c r="DZ811" s="15" t="s">
        <v>3011</v>
      </c>
      <c r="EA811" s="15" t="s">
        <v>429</v>
      </c>
      <c r="EB811" s="15" t="s">
        <v>5586</v>
      </c>
      <c r="EC811" s="15" t="s">
        <v>2402</v>
      </c>
      <c r="ED811" s="15" t="s">
        <v>1065</v>
      </c>
      <c r="EE811" s="15" t="s">
        <v>5081</v>
      </c>
      <c r="EF811" s="15" t="s">
        <v>505</v>
      </c>
      <c r="EG811" s="15" t="s">
        <v>1064</v>
      </c>
      <c r="EH811" s="15" t="s">
        <v>960</v>
      </c>
      <c r="EI811" s="15" t="s">
        <v>3735</v>
      </c>
      <c r="EJ811" s="15" t="s">
        <v>1076</v>
      </c>
      <c r="EK811" s="15" t="s">
        <v>426</v>
      </c>
      <c r="EL811" s="15" t="s">
        <v>723</v>
      </c>
      <c r="EM811" s="15" t="s">
        <v>724</v>
      </c>
      <c r="EN811" s="15" t="s">
        <v>8533</v>
      </c>
      <c r="EO811" s="15" t="s">
        <v>2502</v>
      </c>
      <c r="EP811" s="15" t="s">
        <v>1076</v>
      </c>
    </row>
    <row r="812" ht="17.25" customHeight="1">
      <c r="A812" s="15" t="s">
        <v>8540</v>
      </c>
      <c r="B812" s="15" t="str">
        <f>"801542099374"</f>
        <v>801542099374</v>
      </c>
      <c r="C812" s="15" t="s">
        <v>21119</v>
      </c>
      <c r="D812" s="15" t="str">
        <f t="shared" si="1"/>
        <v>Reggie ChairHeirloom Black</v>
      </c>
      <c r="E812" s="15" t="s">
        <v>8538</v>
      </c>
      <c r="F812" s="15" t="s">
        <v>397</v>
      </c>
      <c r="G812" s="15" t="s">
        <v>2575</v>
      </c>
      <c r="J812" s="15" t="s">
        <v>2575</v>
      </c>
      <c r="K812" s="15" t="s">
        <v>978</v>
      </c>
      <c r="M812" s="15" t="s">
        <v>915</v>
      </c>
      <c r="N812" s="15" t="s">
        <v>706</v>
      </c>
      <c r="O812" s="15" t="s">
        <v>707</v>
      </c>
      <c r="P812" s="15" t="str">
        <f t="shared" ref="P812:P813" si="2285">"32.5"</f>
        <v>32.5</v>
      </c>
      <c r="Q812" s="15" t="str">
        <f t="shared" ref="Q812:Q813" si="2286">"35.5"</f>
        <v>35.5</v>
      </c>
      <c r="R812" s="15" t="str">
        <f t="shared" ref="R812:R813" si="2287">"31.5"</f>
        <v>31.5</v>
      </c>
      <c r="S812" s="15" t="str">
        <f t="shared" ref="S812:S813" si="2288">"52.91"</f>
        <v>52.91</v>
      </c>
      <c r="T812" s="15" t="s">
        <v>975</v>
      </c>
      <c r="U812" s="15" t="s">
        <v>11137</v>
      </c>
      <c r="V812" s="15" t="s">
        <v>11210</v>
      </c>
      <c r="AA812" s="15" t="s">
        <v>413</v>
      </c>
      <c r="AB812" s="15" t="s">
        <v>413</v>
      </c>
      <c r="AC812" s="15" t="s">
        <v>8542</v>
      </c>
      <c r="AD812" s="15" t="s">
        <v>21120</v>
      </c>
      <c r="AE812" s="15" t="s">
        <v>8541</v>
      </c>
      <c r="AF812" s="15" t="s">
        <v>21121</v>
      </c>
      <c r="AG812" s="15" t="s">
        <v>21122</v>
      </c>
      <c r="AH812" s="15" t="s">
        <v>21123</v>
      </c>
      <c r="AI812" s="15" t="s">
        <v>21124</v>
      </c>
      <c r="AJ812" s="15" t="s">
        <v>21125</v>
      </c>
      <c r="AK812" s="15" t="s">
        <v>21126</v>
      </c>
      <c r="AL812" s="15" t="s">
        <v>21127</v>
      </c>
      <c r="AM812" s="15" t="s">
        <v>21128</v>
      </c>
      <c r="AN812" s="15" t="s">
        <v>21129</v>
      </c>
      <c r="AO812" s="15" t="s">
        <v>21130</v>
      </c>
      <c r="BH812" s="15" t="s">
        <v>8539</v>
      </c>
      <c r="BI812" s="15" t="str">
        <f t="shared" ref="BI812:BI813" si="2289">"2099"</f>
        <v>2099</v>
      </c>
      <c r="BJ812" s="15" t="str">
        <f t="shared" ref="BJ812:BJ813" si="2290">"885"</f>
        <v>885</v>
      </c>
      <c r="BK812" s="15" t="s">
        <v>709</v>
      </c>
      <c r="BL812" s="15" t="str">
        <f t="shared" si="2273"/>
        <v>1</v>
      </c>
      <c r="BM812" s="15" t="s">
        <v>416</v>
      </c>
      <c r="BN812" s="15" t="str">
        <f t="shared" ref="BN812:BN813" si="2291">"38.58"</f>
        <v>38.58</v>
      </c>
      <c r="BO812" s="15" t="str">
        <f t="shared" ref="BO812:BO813" si="2292">"35.43"</f>
        <v>35.43</v>
      </c>
      <c r="BP812" s="15" t="str">
        <f t="shared" ref="BP812:BP813" si="2293">"32.68"</f>
        <v>32.68</v>
      </c>
      <c r="BQ812" s="15" t="str">
        <f t="shared" ref="BQ812:BQ813" si="2294">"74.96"</f>
        <v>74.96</v>
      </c>
      <c r="CG812" s="15" t="str">
        <f t="shared" ref="CG812:CG813" si="2295">"25.85"</f>
        <v>25.85</v>
      </c>
      <c r="CH812" s="15" t="str">
        <f t="shared" ref="CH812:CH813" si="2296">"0.732"</f>
        <v>0.732</v>
      </c>
      <c r="CI812" s="15" t="s">
        <v>465</v>
      </c>
      <c r="CS812" s="15" t="s">
        <v>1072</v>
      </c>
      <c r="CT812" s="15" t="s">
        <v>1065</v>
      </c>
      <c r="CV812" s="15">
        <v>0.0</v>
      </c>
      <c r="CW812" s="15">
        <v>1.0</v>
      </c>
      <c r="CX812" s="15" t="s">
        <v>717</v>
      </c>
      <c r="CY812" s="15" t="s">
        <v>718</v>
      </c>
      <c r="DF812" s="15" t="s">
        <v>721</v>
      </c>
      <c r="DG812" s="15" t="s">
        <v>419</v>
      </c>
      <c r="DH812" s="15">
        <v>0.0</v>
      </c>
      <c r="DL812" s="15">
        <v>0.0</v>
      </c>
      <c r="DM812" s="15" t="s">
        <v>990</v>
      </c>
      <c r="DN812" s="15" t="s">
        <v>1016</v>
      </c>
      <c r="DP812" s="15">
        <v>1.0</v>
      </c>
      <c r="DQ812" s="15">
        <v>1.0</v>
      </c>
      <c r="DS812" s="15" t="s">
        <v>8543</v>
      </c>
      <c r="DT812" s="15">
        <v>0.0</v>
      </c>
      <c r="DU812" s="15" t="s">
        <v>726</v>
      </c>
      <c r="DV812" s="15" t="s">
        <v>734</v>
      </c>
      <c r="DW812" s="15" t="s">
        <v>1238</v>
      </c>
      <c r="DX812" s="15" t="s">
        <v>1739</v>
      </c>
      <c r="EB812" s="15" t="s">
        <v>505</v>
      </c>
      <c r="EF812" s="15" t="s">
        <v>1327</v>
      </c>
      <c r="EG812" s="15" t="s">
        <v>3500</v>
      </c>
      <c r="EH812" s="15" t="s">
        <v>1212</v>
      </c>
      <c r="EI812" s="15" t="s">
        <v>1238</v>
      </c>
      <c r="EL812" s="15" t="s">
        <v>1016</v>
      </c>
      <c r="EX812" s="15" t="s">
        <v>467</v>
      </c>
      <c r="EY812" s="15" t="s">
        <v>1331</v>
      </c>
      <c r="EZ812" s="15">
        <v>0.0</v>
      </c>
      <c r="FA812" s="15">
        <v>0.0</v>
      </c>
      <c r="FC812" s="15">
        <v>0.0</v>
      </c>
    </row>
    <row r="813" ht="17.25" customHeight="1">
      <c r="A813" s="15" t="s">
        <v>8545</v>
      </c>
      <c r="B813" s="15" t="str">
        <f>"801542149840"</f>
        <v>801542149840</v>
      </c>
      <c r="C813" s="15" t="s">
        <v>21131</v>
      </c>
      <c r="D813" s="15" t="str">
        <f t="shared" si="1"/>
        <v>Reggie ChairHeirloom Sienna</v>
      </c>
      <c r="E813" s="15" t="s">
        <v>8538</v>
      </c>
      <c r="F813" s="15" t="s">
        <v>397</v>
      </c>
      <c r="G813" s="15" t="s">
        <v>1596</v>
      </c>
      <c r="J813" s="15" t="s">
        <v>1596</v>
      </c>
      <c r="K813" s="15" t="s">
        <v>978</v>
      </c>
      <c r="M813" s="15" t="s">
        <v>915</v>
      </c>
      <c r="N813" s="15" t="s">
        <v>706</v>
      </c>
      <c r="O813" s="15" t="s">
        <v>707</v>
      </c>
      <c r="P813" s="15" t="str">
        <f t="shared" si="2285"/>
        <v>32.5</v>
      </c>
      <c r="Q813" s="15" t="str">
        <f t="shared" si="2286"/>
        <v>35.5</v>
      </c>
      <c r="R813" s="15" t="str">
        <f t="shared" si="2287"/>
        <v>31.5</v>
      </c>
      <c r="S813" s="15" t="str">
        <f t="shared" si="2288"/>
        <v>52.91</v>
      </c>
      <c r="T813" s="15" t="s">
        <v>975</v>
      </c>
      <c r="U813" s="15" t="s">
        <v>11137</v>
      </c>
      <c r="V813" s="15" t="s">
        <v>11210</v>
      </c>
      <c r="AA813" s="15" t="s">
        <v>413</v>
      </c>
      <c r="AB813" s="15" t="s">
        <v>413</v>
      </c>
      <c r="AC813" s="15" t="s">
        <v>8542</v>
      </c>
      <c r="AD813" s="15" t="s">
        <v>21132</v>
      </c>
      <c r="AE813" s="15" t="s">
        <v>8546</v>
      </c>
      <c r="AF813" s="15" t="s">
        <v>21133</v>
      </c>
      <c r="AG813" s="15" t="s">
        <v>21134</v>
      </c>
      <c r="AH813" s="15" t="s">
        <v>21135</v>
      </c>
      <c r="AI813" s="15" t="s">
        <v>21136</v>
      </c>
      <c r="AJ813" s="15" t="s">
        <v>21137</v>
      </c>
      <c r="AK813" s="15" t="s">
        <v>11838</v>
      </c>
      <c r="AL813" s="15" t="s">
        <v>21138</v>
      </c>
      <c r="AM813" s="15" t="s">
        <v>21139</v>
      </c>
      <c r="AN813" s="15" t="s">
        <v>21140</v>
      </c>
      <c r="AO813" s="15" t="s">
        <v>21141</v>
      </c>
      <c r="AP813" s="15" t="s">
        <v>21142</v>
      </c>
      <c r="BH813" s="15" t="s">
        <v>8544</v>
      </c>
      <c r="BI813" s="15" t="str">
        <f t="shared" si="2289"/>
        <v>2099</v>
      </c>
      <c r="BJ813" s="15" t="str">
        <f t="shared" si="2290"/>
        <v>885</v>
      </c>
      <c r="BK813" s="15" t="s">
        <v>709</v>
      </c>
      <c r="BL813" s="15" t="str">
        <f t="shared" si="2273"/>
        <v>1</v>
      </c>
      <c r="BM813" s="15" t="s">
        <v>416</v>
      </c>
      <c r="BN813" s="15" t="str">
        <f t="shared" si="2291"/>
        <v>38.58</v>
      </c>
      <c r="BO813" s="15" t="str">
        <f t="shared" si="2292"/>
        <v>35.43</v>
      </c>
      <c r="BP813" s="15" t="str">
        <f t="shared" si="2293"/>
        <v>32.68</v>
      </c>
      <c r="BQ813" s="15" t="str">
        <f t="shared" si="2294"/>
        <v>74.96</v>
      </c>
      <c r="CG813" s="15" t="str">
        <f t="shared" si="2295"/>
        <v>25.85</v>
      </c>
      <c r="CH813" s="15" t="str">
        <f t="shared" si="2296"/>
        <v>0.732</v>
      </c>
      <c r="CI813" s="15" t="s">
        <v>465</v>
      </c>
      <c r="CS813" s="15" t="s">
        <v>1072</v>
      </c>
      <c r="CT813" s="15" t="s">
        <v>1065</v>
      </c>
      <c r="CV813" s="15">
        <v>0.0</v>
      </c>
      <c r="CW813" s="15">
        <v>1.0</v>
      </c>
      <c r="CX813" s="15" t="s">
        <v>717</v>
      </c>
      <c r="CY813" s="15" t="s">
        <v>718</v>
      </c>
      <c r="DF813" s="15" t="s">
        <v>721</v>
      </c>
      <c r="DG813" s="15" t="s">
        <v>419</v>
      </c>
      <c r="DH813" s="15">
        <v>0.0</v>
      </c>
      <c r="DL813" s="15">
        <v>0.0</v>
      </c>
      <c r="DM813" s="15" t="s">
        <v>990</v>
      </c>
      <c r="DN813" s="15" t="s">
        <v>1016</v>
      </c>
      <c r="DP813" s="15">
        <v>1.0</v>
      </c>
      <c r="DQ813" s="15">
        <v>1.0</v>
      </c>
      <c r="DS813" s="15" t="s">
        <v>8543</v>
      </c>
      <c r="DT813" s="15">
        <v>0.0</v>
      </c>
      <c r="DU813" s="15" t="s">
        <v>726</v>
      </c>
      <c r="DV813" s="15" t="s">
        <v>734</v>
      </c>
      <c r="DW813" s="15" t="s">
        <v>1238</v>
      </c>
      <c r="DX813" s="15" t="s">
        <v>1739</v>
      </c>
      <c r="EB813" s="15" t="s">
        <v>505</v>
      </c>
      <c r="EF813" s="15" t="s">
        <v>1327</v>
      </c>
      <c r="EG813" s="15" t="s">
        <v>3500</v>
      </c>
      <c r="EH813" s="15" t="s">
        <v>1212</v>
      </c>
      <c r="EI813" s="15" t="s">
        <v>1238</v>
      </c>
      <c r="EL813" s="15" t="s">
        <v>1016</v>
      </c>
      <c r="EX813" s="15" t="s">
        <v>467</v>
      </c>
      <c r="EY813" s="15" t="s">
        <v>1331</v>
      </c>
      <c r="EZ813" s="15">
        <v>0.0</v>
      </c>
      <c r="FA813" s="15">
        <v>0.0</v>
      </c>
      <c r="FC813" s="15">
        <v>0.0</v>
      </c>
    </row>
    <row r="814" ht="17.25" customHeight="1">
      <c r="A814" s="15" t="s">
        <v>8550</v>
      </c>
      <c r="B814" s="15" t="str">
        <f>"801542201371"</f>
        <v>801542201371</v>
      </c>
      <c r="C814" s="15" t="s">
        <v>21143</v>
      </c>
      <c r="D814" s="15" t="str">
        <f t="shared" si="1"/>
        <v>Reign DeskDistressed Walnut</v>
      </c>
      <c r="E814" s="15" t="s">
        <v>8547</v>
      </c>
      <c r="F814" s="15" t="s">
        <v>397</v>
      </c>
      <c r="G814" s="15" t="s">
        <v>8549</v>
      </c>
      <c r="J814" s="15" t="s">
        <v>8549</v>
      </c>
      <c r="M814" s="15" t="s">
        <v>2612</v>
      </c>
      <c r="N814" s="15" t="s">
        <v>2134</v>
      </c>
      <c r="O814" s="15" t="s">
        <v>2135</v>
      </c>
      <c r="P814" s="15" t="str">
        <f t="shared" ref="P814:P815" si="2298">"72"</f>
        <v>72</v>
      </c>
      <c r="Q814" s="15" t="str">
        <f t="shared" ref="Q814:R814" si="2297">"30"</f>
        <v>30</v>
      </c>
      <c r="R814" s="15" t="str">
        <f t="shared" si="2297"/>
        <v>30</v>
      </c>
      <c r="S814" s="15" t="str">
        <f t="shared" ref="S814:S815" si="2300">"116.84"</f>
        <v>116.84</v>
      </c>
      <c r="T814" s="15" t="s">
        <v>8552</v>
      </c>
      <c r="U814" s="15" t="s">
        <v>20015</v>
      </c>
      <c r="AA814" s="15" t="s">
        <v>413</v>
      </c>
      <c r="AB814" s="15" t="s">
        <v>413</v>
      </c>
      <c r="AC814" s="15" t="s">
        <v>8553</v>
      </c>
      <c r="AD814" s="15" t="s">
        <v>21144</v>
      </c>
      <c r="AE814" s="15" t="s">
        <v>8551</v>
      </c>
      <c r="AF814" s="15" t="s">
        <v>21145</v>
      </c>
      <c r="AG814" s="15" t="s">
        <v>21146</v>
      </c>
      <c r="AH814" s="15" t="s">
        <v>21147</v>
      </c>
      <c r="AI814" s="15" t="s">
        <v>21148</v>
      </c>
      <c r="AJ814" s="15" t="s">
        <v>21149</v>
      </c>
      <c r="AK814" s="15" t="s">
        <v>21150</v>
      </c>
      <c r="AL814" s="15" t="s">
        <v>21151</v>
      </c>
      <c r="AM814" s="15" t="s">
        <v>21152</v>
      </c>
      <c r="AN814" s="15" t="s">
        <v>21153</v>
      </c>
      <c r="AO814" s="15" t="s">
        <v>21154</v>
      </c>
      <c r="AP814" s="15" t="s">
        <v>21155</v>
      </c>
      <c r="AQ814" s="15" t="s">
        <v>21156</v>
      </c>
      <c r="AR814" s="15" t="s">
        <v>21157</v>
      </c>
      <c r="AS814" s="15" t="s">
        <v>21158</v>
      </c>
      <c r="BH814" s="15" t="s">
        <v>8548</v>
      </c>
      <c r="BI814" s="15" t="str">
        <f t="shared" ref="BI814:BI815" si="2301">"2299"</f>
        <v>2299</v>
      </c>
      <c r="BJ814" s="15" t="str">
        <f t="shared" ref="BJ814:BJ815" si="2302">"970"</f>
        <v>970</v>
      </c>
      <c r="BK814" s="15" t="s">
        <v>709</v>
      </c>
      <c r="BL814" s="15" t="str">
        <f t="shared" si="2273"/>
        <v>1</v>
      </c>
      <c r="BM814" s="15" t="s">
        <v>416</v>
      </c>
      <c r="BN814" s="15" t="str">
        <f t="shared" ref="BN814:BN815" si="2303">"75.98"</f>
        <v>75.98</v>
      </c>
      <c r="BO814" s="15" t="str">
        <f t="shared" ref="BO814:BO815" si="2304">"34.25"</f>
        <v>34.25</v>
      </c>
      <c r="BP814" s="15" t="str">
        <f t="shared" ref="BP814:BP815" si="2305">"16.93"</f>
        <v>16.93</v>
      </c>
      <c r="BQ814" s="15" t="str">
        <f t="shared" ref="BQ814:BQ815" si="2306">"143.3"</f>
        <v>143.3</v>
      </c>
      <c r="CG814" s="15" t="str">
        <f t="shared" ref="CG814:CG815" si="2307">"25.5"</f>
        <v>25.5</v>
      </c>
      <c r="CH814" s="15" t="str">
        <f t="shared" ref="CH814:CH815" si="2308">"0.722"</f>
        <v>0.722</v>
      </c>
      <c r="CI814" s="15" t="s">
        <v>417</v>
      </c>
      <c r="CZ814" s="15" t="s">
        <v>4002</v>
      </c>
      <c r="DA814" s="15">
        <v>5.0</v>
      </c>
      <c r="DB814" s="15" t="s">
        <v>2601</v>
      </c>
      <c r="DD814" s="15">
        <v>0.0</v>
      </c>
      <c r="DF814" s="15" t="s">
        <v>721</v>
      </c>
      <c r="DG814" s="15" t="s">
        <v>421</v>
      </c>
      <c r="DK814" s="15">
        <v>0.0</v>
      </c>
      <c r="DR814" s="15" t="s">
        <v>2137</v>
      </c>
      <c r="DS814" s="15" t="s">
        <v>8554</v>
      </c>
      <c r="DU814" s="15" t="s">
        <v>424</v>
      </c>
      <c r="EF814" s="15" t="s">
        <v>2505</v>
      </c>
      <c r="EG814" s="15" t="s">
        <v>1515</v>
      </c>
      <c r="EH814" s="15" t="s">
        <v>8555</v>
      </c>
      <c r="EQ814" s="15" t="s">
        <v>8556</v>
      </c>
      <c r="ER814" s="15" t="s">
        <v>5023</v>
      </c>
      <c r="ES814" s="15" t="s">
        <v>8557</v>
      </c>
      <c r="ET814" s="15" t="s">
        <v>1517</v>
      </c>
      <c r="EU814" s="15" t="s">
        <v>426</v>
      </c>
      <c r="EV814" s="15">
        <v>0.0</v>
      </c>
      <c r="FE814" s="15" t="s">
        <v>984</v>
      </c>
      <c r="FQ814" s="15">
        <v>0.0</v>
      </c>
      <c r="FR814" s="15" t="s">
        <v>427</v>
      </c>
      <c r="FZ814" s="15" t="s">
        <v>1287</v>
      </c>
      <c r="GA814" s="15" t="s">
        <v>1287</v>
      </c>
      <c r="GB814" s="15" t="s">
        <v>1236</v>
      </c>
      <c r="GC814" s="15" t="s">
        <v>2638</v>
      </c>
      <c r="GD814" s="15" t="s">
        <v>1592</v>
      </c>
      <c r="GE814" s="15" t="s">
        <v>558</v>
      </c>
      <c r="GF814" s="15" t="s">
        <v>2604</v>
      </c>
      <c r="GH814" s="15" t="s">
        <v>764</v>
      </c>
      <c r="GI814" s="15" t="s">
        <v>426</v>
      </c>
      <c r="GM814" s="15">
        <v>0.0</v>
      </c>
      <c r="HP814" s="15" t="s">
        <v>426</v>
      </c>
    </row>
    <row r="815" ht="17.25" customHeight="1">
      <c r="A815" s="15" t="s">
        <v>8559</v>
      </c>
      <c r="B815" s="15" t="str">
        <f>"801542028855"</f>
        <v>801542028855</v>
      </c>
      <c r="C815" s="15" t="s">
        <v>21159</v>
      </c>
      <c r="D815" s="15" t="str">
        <f t="shared" si="1"/>
        <v>Reign DeskWaxed Pine</v>
      </c>
      <c r="E815" s="15" t="s">
        <v>8547</v>
      </c>
      <c r="F815" s="15" t="s">
        <v>397</v>
      </c>
      <c r="G815" s="15" t="s">
        <v>1136</v>
      </c>
      <c r="J815" s="15" t="s">
        <v>1136</v>
      </c>
      <c r="M815" s="15" t="s">
        <v>2612</v>
      </c>
      <c r="N815" s="15" t="s">
        <v>2134</v>
      </c>
      <c r="O815" s="15" t="s">
        <v>2135</v>
      </c>
      <c r="P815" s="15" t="str">
        <f t="shared" si="2298"/>
        <v>72</v>
      </c>
      <c r="Q815" s="15" t="str">
        <f t="shared" ref="Q815:R815" si="2299">"30"</f>
        <v>30</v>
      </c>
      <c r="R815" s="15" t="str">
        <f t="shared" si="2299"/>
        <v>30</v>
      </c>
      <c r="S815" s="15" t="str">
        <f t="shared" si="2300"/>
        <v>116.84</v>
      </c>
      <c r="T815" s="15" t="s">
        <v>1099</v>
      </c>
      <c r="U815" s="15" t="s">
        <v>11386</v>
      </c>
      <c r="AA815" s="15" t="s">
        <v>413</v>
      </c>
      <c r="AB815" s="15" t="s">
        <v>413</v>
      </c>
      <c r="AC815" s="15" t="s">
        <v>8553</v>
      </c>
      <c r="AD815" s="15" t="s">
        <v>21160</v>
      </c>
      <c r="AE815" s="15" t="s">
        <v>8560</v>
      </c>
      <c r="AF815" s="15" t="s">
        <v>21161</v>
      </c>
      <c r="AG815" s="15" t="s">
        <v>21162</v>
      </c>
      <c r="AH815" s="15" t="s">
        <v>21163</v>
      </c>
      <c r="AI815" s="15" t="s">
        <v>21164</v>
      </c>
      <c r="AJ815" s="15" t="s">
        <v>21165</v>
      </c>
      <c r="AK815" s="15" t="s">
        <v>21166</v>
      </c>
      <c r="AL815" s="15" t="s">
        <v>21167</v>
      </c>
      <c r="AM815" s="15" t="s">
        <v>21168</v>
      </c>
      <c r="AN815" s="15" t="s">
        <v>21169</v>
      </c>
      <c r="AO815" s="15" t="s">
        <v>21170</v>
      </c>
      <c r="AP815" s="15" t="s">
        <v>21171</v>
      </c>
      <c r="AQ815" s="15" t="s">
        <v>21172</v>
      </c>
      <c r="AR815" s="15" t="s">
        <v>21173</v>
      </c>
      <c r="AS815" s="15" t="s">
        <v>21174</v>
      </c>
      <c r="BH815" s="15" t="s">
        <v>8558</v>
      </c>
      <c r="BI815" s="15" t="str">
        <f t="shared" si="2301"/>
        <v>2299</v>
      </c>
      <c r="BJ815" s="15" t="str">
        <f t="shared" si="2302"/>
        <v>970</v>
      </c>
      <c r="BK815" s="15" t="s">
        <v>709</v>
      </c>
      <c r="BL815" s="15" t="str">
        <f t="shared" si="2273"/>
        <v>1</v>
      </c>
      <c r="BM815" s="15" t="s">
        <v>416</v>
      </c>
      <c r="BN815" s="15" t="str">
        <f t="shared" si="2303"/>
        <v>75.98</v>
      </c>
      <c r="BO815" s="15" t="str">
        <f t="shared" si="2304"/>
        <v>34.25</v>
      </c>
      <c r="BP815" s="15" t="str">
        <f t="shared" si="2305"/>
        <v>16.93</v>
      </c>
      <c r="BQ815" s="15" t="str">
        <f t="shared" si="2306"/>
        <v>143.3</v>
      </c>
      <c r="CG815" s="15" t="str">
        <f t="shared" si="2307"/>
        <v>25.5</v>
      </c>
      <c r="CH815" s="15" t="str">
        <f t="shared" si="2308"/>
        <v>0.722</v>
      </c>
      <c r="CI815" s="15" t="s">
        <v>417</v>
      </c>
      <c r="CZ815" s="15" t="s">
        <v>4002</v>
      </c>
      <c r="DA815" s="15">
        <v>5.0</v>
      </c>
      <c r="DB815" s="15" t="s">
        <v>2601</v>
      </c>
      <c r="DD815" s="15">
        <v>0.0</v>
      </c>
      <c r="DF815" s="15" t="s">
        <v>721</v>
      </c>
      <c r="DG815" s="15" t="s">
        <v>421</v>
      </c>
      <c r="DK815" s="15">
        <v>0.0</v>
      </c>
      <c r="DR815" s="15" t="s">
        <v>2137</v>
      </c>
      <c r="DS815" s="15" t="s">
        <v>8554</v>
      </c>
      <c r="DU815" s="15" t="s">
        <v>424</v>
      </c>
      <c r="EF815" s="15" t="s">
        <v>2505</v>
      </c>
      <c r="EG815" s="15" t="s">
        <v>1515</v>
      </c>
      <c r="EH815" s="15" t="s">
        <v>8555</v>
      </c>
      <c r="EQ815" s="15" t="s">
        <v>8556</v>
      </c>
      <c r="ER815" s="15" t="s">
        <v>5023</v>
      </c>
      <c r="ES815" s="15" t="s">
        <v>8557</v>
      </c>
      <c r="ET815" s="15" t="s">
        <v>1517</v>
      </c>
      <c r="EU815" s="15" t="s">
        <v>426</v>
      </c>
      <c r="EV815" s="15">
        <v>0.0</v>
      </c>
      <c r="FE815" s="15" t="s">
        <v>984</v>
      </c>
      <c r="FQ815" s="15">
        <v>0.0</v>
      </c>
      <c r="FR815" s="15" t="s">
        <v>427</v>
      </c>
      <c r="FZ815" s="15" t="s">
        <v>1287</v>
      </c>
      <c r="GA815" s="15" t="s">
        <v>1287</v>
      </c>
      <c r="GB815" s="15" t="s">
        <v>1236</v>
      </c>
      <c r="GC815" s="15" t="s">
        <v>2638</v>
      </c>
      <c r="GD815" s="15" t="s">
        <v>1592</v>
      </c>
      <c r="GE815" s="15" t="s">
        <v>558</v>
      </c>
      <c r="GF815" s="15" t="s">
        <v>2604</v>
      </c>
      <c r="GH815" s="15" t="s">
        <v>764</v>
      </c>
      <c r="GI815" s="15" t="s">
        <v>426</v>
      </c>
      <c r="GM815" s="15">
        <v>0.0</v>
      </c>
      <c r="HP815" s="15" t="s">
        <v>426</v>
      </c>
    </row>
    <row r="816" ht="17.25" customHeight="1">
      <c r="A816" s="15" t="s">
        <v>8563</v>
      </c>
      <c r="B816" s="15" t="str">
        <f>"801542805913"</f>
        <v>801542805913</v>
      </c>
      <c r="C816" s="15" t="s">
        <v>21175</v>
      </c>
      <c r="D816" s="15" t="str">
        <f t="shared" si="1"/>
        <v>Renan Coffee TableDark Espresso Reclaimed French Oak</v>
      </c>
      <c r="E816" s="15" t="s">
        <v>8561</v>
      </c>
      <c r="F816" s="15" t="s">
        <v>397</v>
      </c>
      <c r="G816" s="15" t="s">
        <v>8492</v>
      </c>
      <c r="J816" s="15" t="s">
        <v>8492</v>
      </c>
      <c r="M816" s="15" t="s">
        <v>2759</v>
      </c>
      <c r="N816" s="15" t="s">
        <v>491</v>
      </c>
      <c r="P816" s="15" t="str">
        <f t="shared" ref="P816:Q816" si="2309">"54.25"</f>
        <v>54.25</v>
      </c>
      <c r="Q816" s="15" t="str">
        <f t="shared" si="2309"/>
        <v>54.25</v>
      </c>
      <c r="R816" s="15" t="str">
        <f>"13.5"</f>
        <v>13.5</v>
      </c>
      <c r="S816" s="15" t="str">
        <f>"141.76"</f>
        <v>141.76</v>
      </c>
      <c r="T816" s="15" t="s">
        <v>6706</v>
      </c>
      <c r="U816" s="15" t="s">
        <v>13534</v>
      </c>
      <c r="AA816" s="15" t="s">
        <v>413</v>
      </c>
      <c r="AB816" s="15" t="s">
        <v>413</v>
      </c>
      <c r="AC816" s="15" t="s">
        <v>8566</v>
      </c>
      <c r="AD816" s="15" t="s">
        <v>21176</v>
      </c>
      <c r="AE816" s="15" t="s">
        <v>8565</v>
      </c>
      <c r="AF816" s="15" t="s">
        <v>21177</v>
      </c>
      <c r="AG816" s="15" t="s">
        <v>21178</v>
      </c>
      <c r="AH816" s="15" t="s">
        <v>21179</v>
      </c>
      <c r="AI816" s="15" t="s">
        <v>21180</v>
      </c>
      <c r="AJ816" s="15" t="s">
        <v>21181</v>
      </c>
      <c r="AK816" s="15" t="s">
        <v>21182</v>
      </c>
      <c r="AL816" s="15" t="s">
        <v>21183</v>
      </c>
      <c r="AM816" s="15" t="s">
        <v>21184</v>
      </c>
      <c r="AN816" s="15" t="s">
        <v>21185</v>
      </c>
      <c r="AO816" s="15" t="s">
        <v>21186</v>
      </c>
      <c r="BH816" s="15" t="s">
        <v>8562</v>
      </c>
      <c r="BI816" s="15" t="str">
        <f>"2199"</f>
        <v>2199</v>
      </c>
      <c r="BJ816" s="15" t="str">
        <f>"925"</f>
        <v>925</v>
      </c>
      <c r="BK816" s="15" t="s">
        <v>742</v>
      </c>
      <c r="BL816" s="15" t="str">
        <f t="shared" si="2273"/>
        <v>1</v>
      </c>
      <c r="BM816" s="15" t="s">
        <v>416</v>
      </c>
      <c r="BN816" s="15" t="str">
        <f>"57.76"</f>
        <v>57.76</v>
      </c>
      <c r="BO816" s="15" t="str">
        <f>"57.2"</f>
        <v>57.2</v>
      </c>
      <c r="BP816" s="15" t="str">
        <f>"17.91"</f>
        <v>17.91</v>
      </c>
      <c r="BQ816" s="15" t="str">
        <f>"184.75"</f>
        <v>184.75</v>
      </c>
      <c r="CG816" s="15" t="str">
        <f>"34.26"</f>
        <v>34.26</v>
      </c>
      <c r="CH816" s="15" t="str">
        <f>"0.97"</f>
        <v>0.97</v>
      </c>
      <c r="CI816" s="15" t="s">
        <v>497</v>
      </c>
      <c r="CZ816" s="15" t="s">
        <v>419</v>
      </c>
      <c r="DA816" s="15">
        <v>0.0</v>
      </c>
      <c r="DB816" s="15" t="s">
        <v>419</v>
      </c>
      <c r="DD816" s="15">
        <v>0.0</v>
      </c>
      <c r="DF816" s="15" t="s">
        <v>420</v>
      </c>
      <c r="DG816" s="15" t="s">
        <v>419</v>
      </c>
      <c r="DK816" s="15">
        <v>0.0</v>
      </c>
      <c r="DR816" s="15" t="s">
        <v>1157</v>
      </c>
      <c r="DS816" s="15" t="s">
        <v>8570</v>
      </c>
      <c r="DU816" s="15" t="s">
        <v>500</v>
      </c>
      <c r="EF816" s="15" t="s">
        <v>2505</v>
      </c>
      <c r="EQ816" s="15" t="s">
        <v>8571</v>
      </c>
      <c r="ER816" s="15" t="s">
        <v>2505</v>
      </c>
      <c r="ES816" s="15" t="s">
        <v>8571</v>
      </c>
      <c r="ET816" s="15" t="s">
        <v>8572</v>
      </c>
      <c r="EU816" s="15" t="s">
        <v>426</v>
      </c>
      <c r="EV816" s="15">
        <v>0.0</v>
      </c>
      <c r="EW816" s="15">
        <v>0.0</v>
      </c>
      <c r="FF816" s="15" t="s">
        <v>7242</v>
      </c>
    </row>
    <row r="817" ht="17.25" customHeight="1">
      <c r="A817" s="15" t="s">
        <v>8575</v>
      </c>
      <c r="B817" s="15" t="str">
        <f>"801542805920"</f>
        <v>801542805920</v>
      </c>
      <c r="C817" s="15" t="s">
        <v>21187</v>
      </c>
      <c r="D817" s="15" t="str">
        <f t="shared" si="1"/>
        <v>Renan End TableNatural Morado Veneer</v>
      </c>
      <c r="E817" s="15" t="s">
        <v>8573</v>
      </c>
      <c r="F817" s="15" t="s">
        <v>397</v>
      </c>
      <c r="G817" s="15" t="s">
        <v>7040</v>
      </c>
      <c r="J817" s="15" t="s">
        <v>7040</v>
      </c>
      <c r="M817" s="15" t="s">
        <v>2759</v>
      </c>
      <c r="N817" s="15" t="s">
        <v>1154</v>
      </c>
      <c r="P817" s="15" t="str">
        <f t="shared" ref="P817:Q817" si="2310">"26"</f>
        <v>26</v>
      </c>
      <c r="Q817" s="15" t="str">
        <f t="shared" si="2310"/>
        <v>26</v>
      </c>
      <c r="R817" s="15" t="str">
        <f t="shared" ref="R817:R818" si="2313">"20.5"</f>
        <v>20.5</v>
      </c>
      <c r="S817" s="15" t="str">
        <f t="shared" ref="S817:S818" si="2314">"69.22"</f>
        <v>69.22</v>
      </c>
      <c r="T817" s="15" t="s">
        <v>8578</v>
      </c>
      <c r="U817" s="15" t="s">
        <v>18771</v>
      </c>
      <c r="AA817" s="15" t="s">
        <v>413</v>
      </c>
      <c r="AB817" s="15" t="s">
        <v>413</v>
      </c>
      <c r="AC817" s="15" t="s">
        <v>8579</v>
      </c>
      <c r="AD817" s="15" t="s">
        <v>21188</v>
      </c>
      <c r="AE817" s="15" t="s">
        <v>8577</v>
      </c>
      <c r="AF817" s="15" t="s">
        <v>21189</v>
      </c>
      <c r="AG817" s="15" t="s">
        <v>21190</v>
      </c>
      <c r="AH817" s="15" t="s">
        <v>21191</v>
      </c>
      <c r="AI817" s="15" t="s">
        <v>21192</v>
      </c>
      <c r="AJ817" s="15" t="s">
        <v>21193</v>
      </c>
      <c r="AK817" s="15" t="s">
        <v>21194</v>
      </c>
      <c r="AL817" s="15" t="s">
        <v>21195</v>
      </c>
      <c r="AM817" s="15" t="s">
        <v>21196</v>
      </c>
      <c r="AN817" s="15" t="s">
        <v>21197</v>
      </c>
      <c r="BH817" s="15" t="s">
        <v>8574</v>
      </c>
      <c r="BI817" s="15" t="str">
        <f>"1149"</f>
        <v>1149</v>
      </c>
      <c r="BJ817" s="15" t="str">
        <f>"485"</f>
        <v>485</v>
      </c>
      <c r="BK817" s="15" t="s">
        <v>742</v>
      </c>
      <c r="BL817" s="15" t="str">
        <f t="shared" si="2273"/>
        <v>1</v>
      </c>
      <c r="BM817" s="15" t="s">
        <v>416</v>
      </c>
      <c r="BN817" s="15" t="str">
        <f t="shared" ref="BN817:BO817" si="2311">"28.15"</f>
        <v>28.15</v>
      </c>
      <c r="BO817" s="15" t="str">
        <f t="shared" si="2311"/>
        <v>28.15</v>
      </c>
      <c r="BP817" s="15" t="str">
        <f t="shared" ref="BP817:BP818" si="2316">"25.98"</f>
        <v>25.98</v>
      </c>
      <c r="BQ817" s="15" t="str">
        <f t="shared" ref="BQ817:BQ818" si="2317">"91.05"</f>
        <v>91.05</v>
      </c>
      <c r="CG817" s="15" t="str">
        <f t="shared" ref="CG817:CG818" si="2318">"11.9"</f>
        <v>11.9</v>
      </c>
      <c r="CH817" s="15" t="str">
        <f t="shared" ref="CH817:CH818" si="2319">"0.337"</f>
        <v>0.337</v>
      </c>
      <c r="CI817" s="15" t="s">
        <v>465</v>
      </c>
      <c r="CZ817" s="15" t="s">
        <v>419</v>
      </c>
      <c r="DA817" s="15">
        <v>0.0</v>
      </c>
      <c r="DB817" s="15" t="s">
        <v>419</v>
      </c>
      <c r="DD817" s="15">
        <v>0.0</v>
      </c>
      <c r="DF817" s="15" t="s">
        <v>420</v>
      </c>
      <c r="DG817" s="15" t="s">
        <v>419</v>
      </c>
      <c r="DK817" s="15">
        <v>0.0</v>
      </c>
      <c r="DR817" s="15" t="s">
        <v>1157</v>
      </c>
      <c r="DS817" s="15" t="s">
        <v>8570</v>
      </c>
      <c r="DU817" s="15" t="s">
        <v>500</v>
      </c>
      <c r="EF817" s="15" t="s">
        <v>1485</v>
      </c>
      <c r="EQ817" s="15" t="s">
        <v>5632</v>
      </c>
      <c r="ER817" s="15" t="s">
        <v>1485</v>
      </c>
      <c r="ES817" s="15" t="s">
        <v>5632</v>
      </c>
      <c r="ET817" s="15" t="s">
        <v>8580</v>
      </c>
      <c r="EU817" s="15" t="s">
        <v>426</v>
      </c>
      <c r="EV817" s="15">
        <v>0.0</v>
      </c>
      <c r="EW817" s="15">
        <v>0.0</v>
      </c>
      <c r="FF817" s="15" t="s">
        <v>8581</v>
      </c>
    </row>
    <row r="818" ht="17.25" customHeight="1">
      <c r="A818" s="15" t="s">
        <v>8583</v>
      </c>
      <c r="B818" s="15" t="str">
        <f>"801542805937"</f>
        <v>801542805937</v>
      </c>
      <c r="C818" s="15" t="s">
        <v>21198</v>
      </c>
      <c r="D818" s="15" t="str">
        <f t="shared" si="1"/>
        <v>Renan End TableNatural Reclaimed French Oak</v>
      </c>
      <c r="E818" s="15" t="s">
        <v>8573</v>
      </c>
      <c r="F818" s="15" t="s">
        <v>397</v>
      </c>
      <c r="G818" s="15" t="s">
        <v>3142</v>
      </c>
      <c r="J818" s="15" t="s">
        <v>3142</v>
      </c>
      <c r="K818" s="15" t="s">
        <v>6419</v>
      </c>
      <c r="M818" s="15" t="s">
        <v>2759</v>
      </c>
      <c r="N818" s="15" t="s">
        <v>1154</v>
      </c>
      <c r="P818" s="15" t="str">
        <f t="shared" ref="P818:Q818" si="2312">"26"</f>
        <v>26</v>
      </c>
      <c r="Q818" s="15" t="str">
        <f t="shared" si="2312"/>
        <v>26</v>
      </c>
      <c r="R818" s="15" t="str">
        <f t="shared" si="2313"/>
        <v>20.5</v>
      </c>
      <c r="S818" s="15" t="str">
        <f t="shared" si="2314"/>
        <v>69.22</v>
      </c>
      <c r="T818" s="15" t="s">
        <v>8585</v>
      </c>
      <c r="U818" s="15" t="s">
        <v>13534</v>
      </c>
      <c r="V818" s="15" t="s">
        <v>11553</v>
      </c>
      <c r="AA818" s="15" t="s">
        <v>413</v>
      </c>
      <c r="AB818" s="15" t="s">
        <v>413</v>
      </c>
      <c r="AC818" s="15" t="s">
        <v>8586</v>
      </c>
      <c r="AD818" s="15" t="s">
        <v>21199</v>
      </c>
      <c r="AE818" s="15" t="s">
        <v>8584</v>
      </c>
      <c r="AF818" s="15" t="s">
        <v>21200</v>
      </c>
      <c r="AG818" s="15" t="s">
        <v>21201</v>
      </c>
      <c r="AH818" s="15" t="s">
        <v>21202</v>
      </c>
      <c r="AI818" s="15" t="s">
        <v>21203</v>
      </c>
      <c r="AJ818" s="15" t="s">
        <v>21204</v>
      </c>
      <c r="AK818" s="15" t="s">
        <v>21205</v>
      </c>
      <c r="AL818" s="15" t="s">
        <v>21206</v>
      </c>
      <c r="AM818" s="15" t="s">
        <v>21207</v>
      </c>
      <c r="AN818" s="15" t="s">
        <v>21208</v>
      </c>
      <c r="AO818" s="15" t="s">
        <v>21209</v>
      </c>
      <c r="AP818" s="15" t="s">
        <v>21210</v>
      </c>
      <c r="BH818" s="15" t="s">
        <v>8582</v>
      </c>
      <c r="BI818" s="15" t="str">
        <f>"1049"</f>
        <v>1049</v>
      </c>
      <c r="BJ818" s="15" t="str">
        <f>"445"</f>
        <v>445</v>
      </c>
      <c r="BK818" s="15" t="s">
        <v>742</v>
      </c>
      <c r="BL818" s="15" t="str">
        <f t="shared" si="2273"/>
        <v>1</v>
      </c>
      <c r="BM818" s="15" t="s">
        <v>416</v>
      </c>
      <c r="BN818" s="15" t="str">
        <f t="shared" ref="BN818:BO818" si="2315">"28.15"</f>
        <v>28.15</v>
      </c>
      <c r="BO818" s="15" t="str">
        <f t="shared" si="2315"/>
        <v>28.15</v>
      </c>
      <c r="BP818" s="15" t="str">
        <f t="shared" si="2316"/>
        <v>25.98</v>
      </c>
      <c r="BQ818" s="15" t="str">
        <f t="shared" si="2317"/>
        <v>91.05</v>
      </c>
      <c r="CG818" s="15" t="str">
        <f t="shared" si="2318"/>
        <v>11.9</v>
      </c>
      <c r="CH818" s="15" t="str">
        <f t="shared" si="2319"/>
        <v>0.337</v>
      </c>
      <c r="CI818" s="15" t="s">
        <v>465</v>
      </c>
      <c r="CZ818" s="15" t="s">
        <v>419</v>
      </c>
      <c r="DA818" s="15">
        <v>0.0</v>
      </c>
      <c r="DB818" s="15" t="s">
        <v>419</v>
      </c>
      <c r="DD818" s="15">
        <v>0.0</v>
      </c>
      <c r="DF818" s="15" t="s">
        <v>420</v>
      </c>
      <c r="DG818" s="15" t="s">
        <v>419</v>
      </c>
      <c r="DK818" s="15">
        <v>0.0</v>
      </c>
      <c r="DR818" s="15" t="s">
        <v>1157</v>
      </c>
      <c r="DS818" s="15" t="s">
        <v>8570</v>
      </c>
      <c r="DU818" s="15" t="s">
        <v>500</v>
      </c>
      <c r="EF818" s="15" t="s">
        <v>1485</v>
      </c>
      <c r="EQ818" s="15" t="s">
        <v>5632</v>
      </c>
      <c r="ER818" s="15" t="s">
        <v>1485</v>
      </c>
      <c r="ES818" s="15" t="s">
        <v>5632</v>
      </c>
      <c r="ET818" s="15" t="s">
        <v>8580</v>
      </c>
      <c r="EU818" s="15" t="s">
        <v>426</v>
      </c>
      <c r="EV818" s="15">
        <v>0.0</v>
      </c>
      <c r="EW818" s="15">
        <v>0.0</v>
      </c>
      <c r="FF818" s="15" t="s">
        <v>8581</v>
      </c>
    </row>
    <row r="819" ht="17.25" customHeight="1">
      <c r="A819" s="15" t="s">
        <v>8590</v>
      </c>
      <c r="B819" s="15" t="str">
        <f>"801542099169"</f>
        <v>801542099169</v>
      </c>
      <c r="C819" s="15" t="s">
        <v>21211</v>
      </c>
      <c r="D819" s="15" t="str">
        <f t="shared" si="1"/>
        <v>Renaud SideboardDark Toasted Oak</v>
      </c>
      <c r="E819" s="15" t="s">
        <v>8587</v>
      </c>
      <c r="F819" s="15" t="s">
        <v>397</v>
      </c>
      <c r="G819" s="15" t="s">
        <v>8589</v>
      </c>
      <c r="J819" s="15" t="s">
        <v>8589</v>
      </c>
      <c r="K819" s="15" t="s">
        <v>8593</v>
      </c>
      <c r="M819" s="15" t="s">
        <v>2594</v>
      </c>
      <c r="N819" s="15" t="s">
        <v>664</v>
      </c>
      <c r="P819" s="15" t="str">
        <f>"72"</f>
        <v>72</v>
      </c>
      <c r="Q819" s="15" t="str">
        <f>"17"</f>
        <v>17</v>
      </c>
      <c r="R819" s="15" t="str">
        <f>"32"</f>
        <v>32</v>
      </c>
      <c r="S819" s="15" t="str">
        <f>"117.73"</f>
        <v>117.73</v>
      </c>
      <c r="T819" s="15" t="s">
        <v>1532</v>
      </c>
      <c r="U819" s="15" t="s">
        <v>11338</v>
      </c>
      <c r="V819" s="15" t="s">
        <v>11553</v>
      </c>
      <c r="AA819" s="15" t="s">
        <v>413</v>
      </c>
      <c r="AB819" s="15" t="s">
        <v>413</v>
      </c>
      <c r="AC819" s="15" t="s">
        <v>8594</v>
      </c>
      <c r="AD819" s="15" t="s">
        <v>21212</v>
      </c>
      <c r="AE819" s="15" t="s">
        <v>8592</v>
      </c>
      <c r="AF819" s="15" t="s">
        <v>21213</v>
      </c>
      <c r="AG819" s="15" t="s">
        <v>21214</v>
      </c>
      <c r="AH819" s="15" t="s">
        <v>21215</v>
      </c>
      <c r="AI819" s="15" t="s">
        <v>21216</v>
      </c>
      <c r="AJ819" s="15" t="s">
        <v>21217</v>
      </c>
      <c r="AK819" s="15" t="s">
        <v>21218</v>
      </c>
      <c r="AL819" s="15" t="s">
        <v>21219</v>
      </c>
      <c r="AM819" s="15" t="s">
        <v>21220</v>
      </c>
      <c r="AN819" s="15" t="s">
        <v>21221</v>
      </c>
      <c r="AO819" s="15" t="s">
        <v>21222</v>
      </c>
      <c r="AP819" s="15" t="s">
        <v>21223</v>
      </c>
      <c r="AQ819" s="15" t="s">
        <v>21224</v>
      </c>
      <c r="AR819" s="15" t="s">
        <v>21225</v>
      </c>
      <c r="BH819" s="15" t="s">
        <v>8588</v>
      </c>
      <c r="BI819" s="15" t="str">
        <f>"2399"</f>
        <v>2399</v>
      </c>
      <c r="BJ819" s="15" t="str">
        <f>"1010"</f>
        <v>1010</v>
      </c>
      <c r="BK819" s="15" t="s">
        <v>709</v>
      </c>
      <c r="BL819" s="15" t="str">
        <f t="shared" si="2273"/>
        <v>1</v>
      </c>
      <c r="BM819" s="15" t="s">
        <v>416</v>
      </c>
      <c r="BN819" s="15" t="str">
        <f>"75.59"</f>
        <v>75.59</v>
      </c>
      <c r="BO819" s="15" t="str">
        <f>"21.06"</f>
        <v>21.06</v>
      </c>
      <c r="BP819" s="15" t="str">
        <f>"37.01"</f>
        <v>37.01</v>
      </c>
      <c r="BQ819" s="15" t="str">
        <f>"141.76"</f>
        <v>141.76</v>
      </c>
      <c r="CG819" s="15" t="str">
        <f>"34.08"</f>
        <v>34.08</v>
      </c>
      <c r="CH819" s="15" t="str">
        <f>"0.965"</f>
        <v>0.965</v>
      </c>
      <c r="CI819" s="15" t="s">
        <v>465</v>
      </c>
      <c r="CM819" s="15" t="s">
        <v>8596</v>
      </c>
      <c r="CN819" s="15" t="s">
        <v>1480</v>
      </c>
      <c r="CO819" s="15" t="s">
        <v>2184</v>
      </c>
      <c r="CZ819" s="15" t="s">
        <v>419</v>
      </c>
      <c r="DA819" s="15">
        <v>0.0</v>
      </c>
      <c r="DB819" s="15" t="s">
        <v>419</v>
      </c>
      <c r="DD819" s="15">
        <v>0.0</v>
      </c>
      <c r="DF819" s="15" t="s">
        <v>1388</v>
      </c>
      <c r="DG819" s="15" t="s">
        <v>610</v>
      </c>
      <c r="DI819" s="15">
        <v>18.14</v>
      </c>
      <c r="DJ819" s="15">
        <v>40.0</v>
      </c>
      <c r="DK819" s="15">
        <v>2.0</v>
      </c>
      <c r="DS819" s="15" t="s">
        <v>8597</v>
      </c>
      <c r="DU819" s="15" t="s">
        <v>424</v>
      </c>
      <c r="EF819" s="15" t="s">
        <v>531</v>
      </c>
      <c r="EU819" s="15" t="s">
        <v>426</v>
      </c>
      <c r="EV819" s="15">
        <v>2.0</v>
      </c>
      <c r="FH819" s="15" t="s">
        <v>5005</v>
      </c>
      <c r="FI819" s="15" t="s">
        <v>612</v>
      </c>
      <c r="FJ819" s="15" t="s">
        <v>669</v>
      </c>
      <c r="FK819" s="15" t="s">
        <v>8596</v>
      </c>
      <c r="FL819" s="15" t="s">
        <v>612</v>
      </c>
      <c r="FM819" s="15" t="s">
        <v>2184</v>
      </c>
      <c r="FN819" s="15">
        <v>0.0</v>
      </c>
      <c r="FO819" s="15" t="s">
        <v>426</v>
      </c>
      <c r="FP819" s="15" t="s">
        <v>785</v>
      </c>
      <c r="FQ819" s="15">
        <v>4.0</v>
      </c>
      <c r="FR819" s="15" t="s">
        <v>614</v>
      </c>
      <c r="FS819" s="15" t="s">
        <v>615</v>
      </c>
      <c r="FT819" s="15">
        <v>0.0</v>
      </c>
      <c r="FU819" s="15" t="s">
        <v>426</v>
      </c>
      <c r="FW819" s="15" t="s">
        <v>616</v>
      </c>
    </row>
    <row r="820" ht="17.25" customHeight="1">
      <c r="A820" s="15" t="s">
        <v>8601</v>
      </c>
      <c r="B820" s="15" t="str">
        <f>"801542618728"</f>
        <v>801542618728</v>
      </c>
      <c r="C820" s="15" t="s">
        <v>21226</v>
      </c>
      <c r="D820" s="15" t="str">
        <f t="shared" si="1"/>
        <v>Reuben ChairHarbor Natural</v>
      </c>
      <c r="E820" s="15" t="s">
        <v>8598</v>
      </c>
      <c r="F820" s="15" t="s">
        <v>397</v>
      </c>
      <c r="G820" s="15" t="s">
        <v>8600</v>
      </c>
      <c r="J820" s="15" t="s">
        <v>8600</v>
      </c>
      <c r="K820" s="15" t="s">
        <v>8605</v>
      </c>
      <c r="L820" s="15" t="s">
        <v>8606</v>
      </c>
      <c r="M820" s="15" t="s">
        <v>725</v>
      </c>
      <c r="N820" s="15" t="s">
        <v>706</v>
      </c>
      <c r="O820" s="15" t="s">
        <v>707</v>
      </c>
      <c r="P820" s="15" t="str">
        <f>"28"</f>
        <v>28</v>
      </c>
      <c r="Q820" s="15" t="str">
        <f>"32.25"</f>
        <v>32.25</v>
      </c>
      <c r="R820" s="15" t="str">
        <f>"33"</f>
        <v>33</v>
      </c>
      <c r="S820" s="15" t="str">
        <f>"32.4"</f>
        <v>32.4</v>
      </c>
      <c r="T820" s="15" t="s">
        <v>8604</v>
      </c>
      <c r="U820" s="15" t="s">
        <v>21227</v>
      </c>
      <c r="V820" s="15" t="s">
        <v>21228</v>
      </c>
      <c r="W820" s="15" t="s">
        <v>11338</v>
      </c>
      <c r="X820" s="15" t="s">
        <v>11137</v>
      </c>
      <c r="AA820" s="15" t="s">
        <v>413</v>
      </c>
      <c r="AB820" s="15" t="s">
        <v>413</v>
      </c>
      <c r="AC820" s="15" t="s">
        <v>8607</v>
      </c>
      <c r="AD820" s="15" t="s">
        <v>21229</v>
      </c>
      <c r="AE820" s="15" t="s">
        <v>8603</v>
      </c>
      <c r="AF820" s="15" t="s">
        <v>21230</v>
      </c>
      <c r="AG820" s="15" t="s">
        <v>21231</v>
      </c>
      <c r="AH820" s="15" t="s">
        <v>21232</v>
      </c>
      <c r="AI820" s="15" t="s">
        <v>21233</v>
      </c>
      <c r="AJ820" s="15" t="s">
        <v>21234</v>
      </c>
      <c r="AK820" s="15" t="s">
        <v>21235</v>
      </c>
      <c r="AL820" s="15" t="s">
        <v>21236</v>
      </c>
      <c r="AM820" s="15" t="s">
        <v>21237</v>
      </c>
      <c r="AN820" s="15" t="s">
        <v>21238</v>
      </c>
      <c r="AO820" s="15" t="s">
        <v>21239</v>
      </c>
      <c r="BH820" s="15" t="s">
        <v>8599</v>
      </c>
      <c r="BI820" s="15" t="str">
        <f>"999"</f>
        <v>999</v>
      </c>
      <c r="BJ820" s="15" t="str">
        <f>"420"</f>
        <v>420</v>
      </c>
      <c r="BK820" s="15" t="s">
        <v>709</v>
      </c>
      <c r="BL820" s="15" t="str">
        <f t="shared" si="2273"/>
        <v>1</v>
      </c>
      <c r="BM820" s="15" t="s">
        <v>6688</v>
      </c>
      <c r="BN820" s="15" t="str">
        <f>"29.13"</f>
        <v>29.13</v>
      </c>
      <c r="BO820" s="15" t="str">
        <f>"33.07"</f>
        <v>33.07</v>
      </c>
      <c r="BP820" s="15" t="str">
        <f>"34.65"</f>
        <v>34.65</v>
      </c>
      <c r="BQ820" s="15" t="str">
        <f>"44.73"</f>
        <v>44.73</v>
      </c>
      <c r="CG820" s="15" t="str">
        <f>"16.95"</f>
        <v>16.95</v>
      </c>
      <c r="CH820" s="15" t="str">
        <f>"0.48"</f>
        <v>0.48</v>
      </c>
      <c r="CI820" s="15" t="s">
        <v>417</v>
      </c>
      <c r="CS820" s="15" t="s">
        <v>1074</v>
      </c>
      <c r="CT820" s="15" t="s">
        <v>2165</v>
      </c>
      <c r="CU820" s="15" t="s">
        <v>713</v>
      </c>
      <c r="CV820" s="15">
        <v>0.0</v>
      </c>
      <c r="CW820" s="15">
        <v>0.0</v>
      </c>
      <c r="CX820" s="15" t="s">
        <v>717</v>
      </c>
      <c r="CY820" s="15" t="s">
        <v>855</v>
      </c>
      <c r="DF820" s="15" t="s">
        <v>721</v>
      </c>
      <c r="DG820" s="15" t="s">
        <v>419</v>
      </c>
      <c r="DH820" s="15">
        <v>0.0</v>
      </c>
      <c r="DL820" s="15">
        <v>25000.0</v>
      </c>
      <c r="DM820" s="15" t="s">
        <v>990</v>
      </c>
      <c r="DP820" s="15">
        <v>0.0</v>
      </c>
      <c r="DQ820" s="15">
        <v>1.0</v>
      </c>
      <c r="DS820" s="15" t="s">
        <v>8609</v>
      </c>
      <c r="DT820" s="15">
        <v>0.0</v>
      </c>
      <c r="DU820" s="15" t="s">
        <v>726</v>
      </c>
      <c r="DV820" s="15" t="s">
        <v>1068</v>
      </c>
      <c r="DW820" s="15" t="s">
        <v>3052</v>
      </c>
      <c r="DX820" s="15" t="s">
        <v>673</v>
      </c>
      <c r="EB820" s="15" t="s">
        <v>2465</v>
      </c>
      <c r="EF820" s="15" t="s">
        <v>862</v>
      </c>
      <c r="EG820" s="15" t="s">
        <v>3858</v>
      </c>
      <c r="EH820" s="15" t="s">
        <v>1116</v>
      </c>
      <c r="EI820" s="15" t="s">
        <v>2348</v>
      </c>
      <c r="EO820" s="15" t="s">
        <v>2502</v>
      </c>
      <c r="EX820" s="15" t="s">
        <v>3927</v>
      </c>
      <c r="EY820" s="15" t="s">
        <v>6042</v>
      </c>
      <c r="EZ820" s="15">
        <v>0.0</v>
      </c>
      <c r="FA820" s="15">
        <v>0.0</v>
      </c>
      <c r="FC820" s="15">
        <v>0.0</v>
      </c>
    </row>
    <row r="821" ht="17.25" customHeight="1">
      <c r="A821" s="15" t="s">
        <v>8613</v>
      </c>
      <c r="B821" s="15" t="str">
        <f>"801542212940"</f>
        <v>801542212940</v>
      </c>
      <c r="C821" s="15" t="s">
        <v>21240</v>
      </c>
      <c r="D821" s="15" t="str">
        <f t="shared" si="1"/>
        <v>Reza BookcaseToasted Acacia</v>
      </c>
      <c r="E821" s="15" t="s">
        <v>8610</v>
      </c>
      <c r="F821" s="15" t="s">
        <v>397</v>
      </c>
      <c r="G821" s="15" t="s">
        <v>8612</v>
      </c>
      <c r="J821" s="15" t="s">
        <v>8612</v>
      </c>
      <c r="K821" s="15" t="s">
        <v>2232</v>
      </c>
      <c r="M821" s="15" t="s">
        <v>2231</v>
      </c>
      <c r="N821" s="15" t="s">
        <v>1899</v>
      </c>
      <c r="P821" s="15" t="str">
        <f t="shared" ref="P821:P822" si="2320">"42"</f>
        <v>42</v>
      </c>
      <c r="Q821" s="15" t="str">
        <f t="shared" ref="Q821:Q822" si="2321">"20"</f>
        <v>20</v>
      </c>
      <c r="R821" s="15" t="str">
        <f t="shared" ref="R821:R822" si="2322">"94"</f>
        <v>94</v>
      </c>
      <c r="S821" s="15" t="str">
        <f t="shared" ref="S821:S822" si="2323">"184.74"</f>
        <v>184.74</v>
      </c>
      <c r="T821" s="15" t="s">
        <v>8616</v>
      </c>
      <c r="U821" s="15" t="s">
        <v>14148</v>
      </c>
      <c r="V821" s="15" t="s">
        <v>11210</v>
      </c>
      <c r="AA821" s="15" t="s">
        <v>413</v>
      </c>
      <c r="AB821" s="15" t="s">
        <v>413</v>
      </c>
      <c r="AC821" s="15" t="s">
        <v>8617</v>
      </c>
      <c r="AD821" s="15" t="s">
        <v>21241</v>
      </c>
      <c r="AE821" s="15" t="s">
        <v>8615</v>
      </c>
      <c r="AF821" s="15" t="s">
        <v>21242</v>
      </c>
      <c r="AG821" s="15" t="s">
        <v>21243</v>
      </c>
      <c r="AH821" s="15" t="s">
        <v>21244</v>
      </c>
      <c r="AI821" s="15" t="s">
        <v>21245</v>
      </c>
      <c r="AJ821" s="15" t="s">
        <v>21246</v>
      </c>
      <c r="AK821" s="15" t="s">
        <v>21247</v>
      </c>
      <c r="AL821" s="15" t="s">
        <v>21248</v>
      </c>
      <c r="AM821" s="15" t="s">
        <v>21249</v>
      </c>
      <c r="AN821" s="15" t="s">
        <v>21250</v>
      </c>
      <c r="AO821" s="15" t="s">
        <v>21251</v>
      </c>
      <c r="AP821" s="15" t="s">
        <v>21252</v>
      </c>
      <c r="AQ821" s="15" t="s">
        <v>21253</v>
      </c>
      <c r="AR821" s="15" t="s">
        <v>21254</v>
      </c>
      <c r="AS821" s="15" t="s">
        <v>21255</v>
      </c>
      <c r="AT821" s="15" t="s">
        <v>21256</v>
      </c>
      <c r="AU821" s="15" t="s">
        <v>21257</v>
      </c>
      <c r="AV821" s="15" t="s">
        <v>21258</v>
      </c>
      <c r="AW821" s="15" t="s">
        <v>21259</v>
      </c>
      <c r="AX821" s="15" t="s">
        <v>21260</v>
      </c>
      <c r="BH821" s="15" t="s">
        <v>8611</v>
      </c>
      <c r="BI821" s="15" t="str">
        <f t="shared" ref="BI821:BI822" si="2324">"2099"</f>
        <v>2099</v>
      </c>
      <c r="BJ821" s="15" t="str">
        <f t="shared" ref="BJ821:BJ822" si="2325">"885"</f>
        <v>885</v>
      </c>
      <c r="BK821" s="15" t="s">
        <v>1303</v>
      </c>
      <c r="BL821" s="15" t="str">
        <f t="shared" ref="BL821:BL822" si="2326">"2"</f>
        <v>2</v>
      </c>
      <c r="BM821" s="15" t="s">
        <v>4730</v>
      </c>
      <c r="BN821" s="15" t="str">
        <f t="shared" ref="BN821:BN822" si="2327">"50"</f>
        <v>50</v>
      </c>
      <c r="BO821" s="15" t="str">
        <f t="shared" ref="BO821:BO822" si="2328">"6"</f>
        <v>6</v>
      </c>
      <c r="BP821" s="15" t="str">
        <f t="shared" ref="BP821:BP822" si="2329">"97.2"</f>
        <v>97.2</v>
      </c>
      <c r="BQ821" s="15" t="str">
        <f t="shared" ref="BQ821:BQ822" si="2330">"92.37"</f>
        <v>92.37</v>
      </c>
      <c r="BR821" s="15" t="s">
        <v>8620</v>
      </c>
      <c r="BS821" s="15" t="str">
        <f t="shared" ref="BS821:BS822" si="2331">"41"</f>
        <v>41</v>
      </c>
      <c r="BT821" s="15" t="str">
        <f t="shared" ref="BT821:BT822" si="2332">"21"</f>
        <v>21</v>
      </c>
      <c r="BU821" s="15" t="str">
        <f t="shared" ref="BU821:BU822" si="2333">"33"</f>
        <v>33</v>
      </c>
      <c r="BV821" s="15" t="str">
        <f t="shared" ref="BV821:BV822" si="2334">"133.37"</f>
        <v>133.37</v>
      </c>
      <c r="CG821" s="15" t="str">
        <f t="shared" ref="CG821:CG822" si="2335">"33.34"</f>
        <v>33.34</v>
      </c>
      <c r="CH821" s="15" t="str">
        <f t="shared" ref="CH821:CH822" si="2336">"0.944"</f>
        <v>0.944</v>
      </c>
      <c r="CI821" s="15" t="s">
        <v>417</v>
      </c>
      <c r="CJ821" s="15" t="s">
        <v>1065</v>
      </c>
      <c r="CK821" s="15" t="s">
        <v>3545</v>
      </c>
      <c r="CL821" s="15" t="s">
        <v>2385</v>
      </c>
      <c r="CM821" s="15" t="s">
        <v>1065</v>
      </c>
      <c r="CN821" s="15" t="s">
        <v>1075</v>
      </c>
      <c r="CO821" s="15" t="s">
        <v>2385</v>
      </c>
      <c r="CZ821" s="15" t="s">
        <v>419</v>
      </c>
      <c r="DA821" s="15">
        <v>0.0</v>
      </c>
      <c r="DB821" s="15" t="s">
        <v>419</v>
      </c>
      <c r="DD821" s="15">
        <v>3.0</v>
      </c>
      <c r="DE821" s="15" t="s">
        <v>426</v>
      </c>
      <c r="DF821" s="15" t="s">
        <v>1111</v>
      </c>
      <c r="DG821" s="15" t="s">
        <v>610</v>
      </c>
      <c r="DI821" s="15">
        <v>18.14</v>
      </c>
      <c r="DJ821" s="15">
        <v>40.0</v>
      </c>
      <c r="DK821" s="15">
        <v>1.0</v>
      </c>
      <c r="DR821" s="15" t="s">
        <v>1906</v>
      </c>
      <c r="DS821" s="15" t="s">
        <v>8622</v>
      </c>
      <c r="EF821" s="15" t="s">
        <v>2899</v>
      </c>
      <c r="EU821" s="15" t="s">
        <v>426</v>
      </c>
      <c r="EV821" s="15">
        <v>5.0</v>
      </c>
      <c r="FH821" s="15" t="s">
        <v>5646</v>
      </c>
      <c r="FI821" s="15" t="s">
        <v>1188</v>
      </c>
      <c r="FJ821" s="15" t="s">
        <v>8623</v>
      </c>
      <c r="FK821" s="15" t="s">
        <v>1329</v>
      </c>
      <c r="FL821" s="15" t="s">
        <v>1309</v>
      </c>
      <c r="FM821" s="15" t="s">
        <v>5081</v>
      </c>
      <c r="FP821" s="15" t="s">
        <v>785</v>
      </c>
      <c r="FQ821" s="15">
        <v>2.0</v>
      </c>
      <c r="FR821" s="15" t="s">
        <v>614</v>
      </c>
      <c r="FS821" s="15" t="s">
        <v>615</v>
      </c>
      <c r="FU821" s="15" t="s">
        <v>426</v>
      </c>
      <c r="FW821" s="15" t="s">
        <v>616</v>
      </c>
      <c r="GJ821" s="15" t="s">
        <v>1065</v>
      </c>
      <c r="GK821" s="15" t="s">
        <v>1075</v>
      </c>
      <c r="GL821" s="15" t="s">
        <v>2385</v>
      </c>
      <c r="GZ821" s="15" t="s">
        <v>1065</v>
      </c>
      <c r="HA821" s="15" t="s">
        <v>1065</v>
      </c>
      <c r="HB821" s="15" t="s">
        <v>1075</v>
      </c>
      <c r="HC821" s="15" t="s">
        <v>1075</v>
      </c>
      <c r="HD821" s="15" t="s">
        <v>2385</v>
      </c>
      <c r="HE821" s="15" t="s">
        <v>2385</v>
      </c>
      <c r="KG821" s="15" t="s">
        <v>1161</v>
      </c>
      <c r="KH821" s="15" t="s">
        <v>6089</v>
      </c>
      <c r="KI821" s="15" t="s">
        <v>5081</v>
      </c>
    </row>
    <row r="822" ht="17.25" customHeight="1">
      <c r="A822" s="15" t="s">
        <v>8626</v>
      </c>
      <c r="B822" s="15" t="str">
        <f>"801542213022"</f>
        <v>801542213022</v>
      </c>
      <c r="C822" s="15" t="s">
        <v>21261</v>
      </c>
      <c r="D822" s="15" t="str">
        <f t="shared" si="1"/>
        <v>Reza BookcaseWorn Black Acacia</v>
      </c>
      <c r="E822" s="15" t="s">
        <v>8610</v>
      </c>
      <c r="F822" s="15" t="s">
        <v>397</v>
      </c>
      <c r="G822" s="15" t="s">
        <v>8625</v>
      </c>
      <c r="J822" s="15" t="s">
        <v>8625</v>
      </c>
      <c r="K822" s="15" t="s">
        <v>2251</v>
      </c>
      <c r="M822" s="15" t="s">
        <v>2231</v>
      </c>
      <c r="N822" s="15" t="s">
        <v>1899</v>
      </c>
      <c r="P822" s="15" t="str">
        <f t="shared" si="2320"/>
        <v>42</v>
      </c>
      <c r="Q822" s="15" t="str">
        <f t="shared" si="2321"/>
        <v>20</v>
      </c>
      <c r="R822" s="15" t="str">
        <f t="shared" si="2322"/>
        <v>94</v>
      </c>
      <c r="S822" s="15" t="str">
        <f t="shared" si="2323"/>
        <v>184.74</v>
      </c>
      <c r="T822" s="15" t="s">
        <v>8616</v>
      </c>
      <c r="U822" s="15" t="s">
        <v>14148</v>
      </c>
      <c r="V822" s="15" t="s">
        <v>11210</v>
      </c>
      <c r="AA822" s="15" t="s">
        <v>413</v>
      </c>
      <c r="AB822" s="15" t="s">
        <v>413</v>
      </c>
      <c r="AC822" s="15" t="s">
        <v>8628</v>
      </c>
      <c r="AD822" s="15" t="s">
        <v>21262</v>
      </c>
      <c r="AE822" s="15" t="s">
        <v>8627</v>
      </c>
      <c r="AF822" s="15" t="s">
        <v>21263</v>
      </c>
      <c r="AG822" s="15" t="s">
        <v>21264</v>
      </c>
      <c r="AH822" s="15" t="s">
        <v>21265</v>
      </c>
      <c r="AI822" s="15" t="s">
        <v>21266</v>
      </c>
      <c r="AJ822" s="15" t="s">
        <v>21267</v>
      </c>
      <c r="AK822" s="15" t="s">
        <v>21268</v>
      </c>
      <c r="AL822" s="15" t="s">
        <v>21269</v>
      </c>
      <c r="AM822" s="15" t="s">
        <v>21270</v>
      </c>
      <c r="AN822" s="15" t="s">
        <v>21271</v>
      </c>
      <c r="AO822" s="15" t="s">
        <v>21272</v>
      </c>
      <c r="AP822" s="15" t="s">
        <v>21273</v>
      </c>
      <c r="AQ822" s="15" t="s">
        <v>21274</v>
      </c>
      <c r="BH822" s="15" t="s">
        <v>8624</v>
      </c>
      <c r="BI822" s="15" t="str">
        <f t="shared" si="2324"/>
        <v>2099</v>
      </c>
      <c r="BJ822" s="15" t="str">
        <f t="shared" si="2325"/>
        <v>885</v>
      </c>
      <c r="BK822" s="15" t="s">
        <v>1303</v>
      </c>
      <c r="BL822" s="15" t="str">
        <f t="shared" si="2326"/>
        <v>2</v>
      </c>
      <c r="BM822" s="15" t="s">
        <v>4730</v>
      </c>
      <c r="BN822" s="15" t="str">
        <f t="shared" si="2327"/>
        <v>50</v>
      </c>
      <c r="BO822" s="15" t="str">
        <f t="shared" si="2328"/>
        <v>6</v>
      </c>
      <c r="BP822" s="15" t="str">
        <f t="shared" si="2329"/>
        <v>97.2</v>
      </c>
      <c r="BQ822" s="15" t="str">
        <f t="shared" si="2330"/>
        <v>92.37</v>
      </c>
      <c r="BR822" s="15" t="s">
        <v>8620</v>
      </c>
      <c r="BS822" s="15" t="str">
        <f t="shared" si="2331"/>
        <v>41</v>
      </c>
      <c r="BT822" s="15" t="str">
        <f t="shared" si="2332"/>
        <v>21</v>
      </c>
      <c r="BU822" s="15" t="str">
        <f t="shared" si="2333"/>
        <v>33</v>
      </c>
      <c r="BV822" s="15" t="str">
        <f t="shared" si="2334"/>
        <v>133.37</v>
      </c>
      <c r="CG822" s="15" t="str">
        <f t="shared" si="2335"/>
        <v>33.34</v>
      </c>
      <c r="CH822" s="15" t="str">
        <f t="shared" si="2336"/>
        <v>0.944</v>
      </c>
      <c r="CI822" s="15" t="s">
        <v>465</v>
      </c>
      <c r="CJ822" s="15" t="s">
        <v>1065</v>
      </c>
      <c r="CK822" s="15" t="s">
        <v>3545</v>
      </c>
      <c r="CL822" s="15" t="s">
        <v>2385</v>
      </c>
      <c r="CM822" s="15" t="s">
        <v>1065</v>
      </c>
      <c r="CN822" s="15" t="s">
        <v>1075</v>
      </c>
      <c r="CO822" s="15" t="s">
        <v>2385</v>
      </c>
      <c r="CZ822" s="15" t="s">
        <v>419</v>
      </c>
      <c r="DA822" s="15">
        <v>0.0</v>
      </c>
      <c r="DB822" s="15" t="s">
        <v>419</v>
      </c>
      <c r="DD822" s="15">
        <v>3.0</v>
      </c>
      <c r="DE822" s="15" t="s">
        <v>426</v>
      </c>
      <c r="DF822" s="15" t="s">
        <v>1111</v>
      </c>
      <c r="DG822" s="15" t="s">
        <v>610</v>
      </c>
      <c r="DI822" s="15">
        <v>18.14</v>
      </c>
      <c r="DJ822" s="15">
        <v>40.0</v>
      </c>
      <c r="DK822" s="15">
        <v>1.0</v>
      </c>
      <c r="DR822" s="15" t="s">
        <v>1906</v>
      </c>
      <c r="DS822" s="15" t="s">
        <v>8622</v>
      </c>
      <c r="EF822" s="15" t="s">
        <v>2899</v>
      </c>
      <c r="EU822" s="15" t="s">
        <v>426</v>
      </c>
      <c r="EV822" s="15">
        <v>5.0</v>
      </c>
      <c r="FH822" s="15" t="s">
        <v>5646</v>
      </c>
      <c r="FI822" s="15" t="s">
        <v>1188</v>
      </c>
      <c r="FJ822" s="15" t="s">
        <v>8623</v>
      </c>
      <c r="FK822" s="15" t="s">
        <v>1329</v>
      </c>
      <c r="FL822" s="15" t="s">
        <v>1309</v>
      </c>
      <c r="FM822" s="15" t="s">
        <v>5081</v>
      </c>
      <c r="FP822" s="15" t="s">
        <v>785</v>
      </c>
      <c r="FQ822" s="15">
        <v>2.0</v>
      </c>
      <c r="FR822" s="15" t="s">
        <v>614</v>
      </c>
      <c r="FS822" s="15" t="s">
        <v>615</v>
      </c>
      <c r="FU822" s="15" t="s">
        <v>426</v>
      </c>
      <c r="FW822" s="15" t="s">
        <v>616</v>
      </c>
      <c r="GJ822" s="15" t="s">
        <v>1065</v>
      </c>
      <c r="GK822" s="15" t="s">
        <v>1075</v>
      </c>
      <c r="GL822" s="15" t="s">
        <v>2385</v>
      </c>
      <c r="GZ822" s="15" t="s">
        <v>1065</v>
      </c>
      <c r="HA822" s="15" t="s">
        <v>1065</v>
      </c>
      <c r="HB822" s="15" t="s">
        <v>1075</v>
      </c>
      <c r="HC822" s="15" t="s">
        <v>1075</v>
      </c>
      <c r="HD822" s="15" t="s">
        <v>2385</v>
      </c>
      <c r="HE822" s="15" t="s">
        <v>2385</v>
      </c>
      <c r="KG822" s="15" t="s">
        <v>1161</v>
      </c>
      <c r="KH822" s="15" t="s">
        <v>6089</v>
      </c>
      <c r="KI822" s="15" t="s">
        <v>5081</v>
      </c>
    </row>
    <row r="823" ht="17.25" customHeight="1">
      <c r="A823" s="15" t="s">
        <v>8631</v>
      </c>
      <c r="B823" s="15" t="str">
        <f>"801542978877"</f>
        <v>801542978877</v>
      </c>
      <c r="C823" s="15" t="s">
        <v>21275</v>
      </c>
      <c r="D823" s="15" t="str">
        <f t="shared" si="1"/>
        <v>Reza DeskSmoked Honey</v>
      </c>
      <c r="E823" s="15" t="s">
        <v>8629</v>
      </c>
      <c r="F823" s="15" t="s">
        <v>397</v>
      </c>
      <c r="G823" s="15" t="s">
        <v>2232</v>
      </c>
      <c r="J823" s="15" t="s">
        <v>2232</v>
      </c>
      <c r="K823" s="15" t="s">
        <v>8612</v>
      </c>
      <c r="M823" s="15" t="s">
        <v>2231</v>
      </c>
      <c r="N823" s="15" t="s">
        <v>2134</v>
      </c>
      <c r="O823" s="15" t="s">
        <v>2135</v>
      </c>
      <c r="P823" s="15" t="str">
        <f t="shared" ref="P823:P824" si="2337">"70"</f>
        <v>70</v>
      </c>
      <c r="Q823" s="15" t="str">
        <f t="shared" ref="Q823:Q824" si="2338">"32"</f>
        <v>32</v>
      </c>
      <c r="R823" s="15" t="str">
        <f t="shared" ref="R823:R824" si="2339">"30.25"</f>
        <v>30.25</v>
      </c>
      <c r="S823" s="15" t="str">
        <f t="shared" ref="S823:S824" si="2340">"194.12"</f>
        <v>194.12</v>
      </c>
      <c r="T823" s="15" t="s">
        <v>8634</v>
      </c>
      <c r="U823" s="15" t="s">
        <v>11210</v>
      </c>
      <c r="V823" s="15" t="s">
        <v>14148</v>
      </c>
      <c r="AA823" s="15" t="s">
        <v>413</v>
      </c>
      <c r="AB823" s="15" t="s">
        <v>413</v>
      </c>
      <c r="AC823" s="15" t="s">
        <v>8635</v>
      </c>
      <c r="AD823" s="15" t="s">
        <v>21276</v>
      </c>
      <c r="AE823" s="15" t="s">
        <v>8633</v>
      </c>
      <c r="AF823" s="15" t="s">
        <v>21277</v>
      </c>
      <c r="AG823" s="15" t="s">
        <v>21278</v>
      </c>
      <c r="AH823" s="15" t="s">
        <v>21279</v>
      </c>
      <c r="AI823" s="15" t="s">
        <v>21280</v>
      </c>
      <c r="AJ823" s="15" t="s">
        <v>21281</v>
      </c>
      <c r="AK823" s="15" t="s">
        <v>21282</v>
      </c>
      <c r="AL823" s="15" t="s">
        <v>21283</v>
      </c>
      <c r="AM823" s="15" t="s">
        <v>21284</v>
      </c>
      <c r="AN823" s="15" t="s">
        <v>21285</v>
      </c>
      <c r="AO823" s="15" t="s">
        <v>21286</v>
      </c>
      <c r="AP823" s="15" t="s">
        <v>21287</v>
      </c>
      <c r="AQ823" s="15" t="s">
        <v>21288</v>
      </c>
      <c r="AR823" s="15" t="s">
        <v>21289</v>
      </c>
      <c r="BH823" s="15" t="s">
        <v>8630</v>
      </c>
      <c r="BI823" s="15" t="str">
        <f t="shared" ref="BI823:BI824" si="2341">"2699"</f>
        <v>2699</v>
      </c>
      <c r="BJ823" s="15" t="str">
        <f t="shared" ref="BJ823:BJ824" si="2342">"1135"</f>
        <v>1135</v>
      </c>
      <c r="BK823" s="15" t="s">
        <v>1303</v>
      </c>
      <c r="BL823" s="15" t="str">
        <f t="shared" ref="BL823:BL827" si="2343">"1"</f>
        <v>1</v>
      </c>
      <c r="BM823" s="15" t="s">
        <v>416</v>
      </c>
      <c r="BN823" s="15" t="str">
        <f t="shared" ref="BN823:BN824" si="2344">"72.75"</f>
        <v>72.75</v>
      </c>
      <c r="BO823" s="15" t="str">
        <f t="shared" ref="BO823:BO824" si="2345">"33.75"</f>
        <v>33.75</v>
      </c>
      <c r="BP823" s="15" t="str">
        <f t="shared" ref="BP823:BP824" si="2346">"36"</f>
        <v>36</v>
      </c>
      <c r="BQ823" s="15" t="str">
        <f t="shared" ref="BQ823:BQ824" si="2347">"239.64"</f>
        <v>239.64</v>
      </c>
      <c r="CG823" s="15" t="str">
        <f t="shared" ref="CG823:CG824" si="2348">"51.14"</f>
        <v>51.14</v>
      </c>
      <c r="CH823" s="15" t="str">
        <f t="shared" ref="CH823:CH824" si="2349">"1.448"</f>
        <v>1.448</v>
      </c>
      <c r="CI823" s="15" t="s">
        <v>497</v>
      </c>
      <c r="CZ823" s="15" t="s">
        <v>418</v>
      </c>
      <c r="DA823" s="15">
        <v>5.0</v>
      </c>
      <c r="DB823" s="15" t="s">
        <v>2601</v>
      </c>
      <c r="DD823" s="15">
        <v>0.0</v>
      </c>
      <c r="DF823" s="15" t="s">
        <v>420</v>
      </c>
      <c r="DG823" s="15" t="s">
        <v>421</v>
      </c>
      <c r="DK823" s="15">
        <v>0.0</v>
      </c>
      <c r="DR823" s="15" t="s">
        <v>2137</v>
      </c>
      <c r="DS823" s="15" t="s">
        <v>8622</v>
      </c>
      <c r="DU823" s="15" t="s">
        <v>500</v>
      </c>
      <c r="EF823" s="15" t="s">
        <v>3011</v>
      </c>
      <c r="EG823" s="15" t="s">
        <v>1064</v>
      </c>
      <c r="EH823" s="15" t="s">
        <v>3763</v>
      </c>
      <c r="ET823" s="15" t="s">
        <v>1512</v>
      </c>
      <c r="EU823" s="15" t="s">
        <v>426</v>
      </c>
      <c r="EV823" s="15">
        <v>0.0</v>
      </c>
      <c r="FE823" s="15" t="s">
        <v>1212</v>
      </c>
      <c r="FQ823" s="15">
        <v>0.0</v>
      </c>
      <c r="FR823" s="15" t="s">
        <v>427</v>
      </c>
      <c r="FX823" s="15" t="s">
        <v>426</v>
      </c>
      <c r="FZ823" s="15" t="s">
        <v>3238</v>
      </c>
      <c r="GA823" s="15" t="s">
        <v>3238</v>
      </c>
      <c r="GB823" s="15" t="s">
        <v>784</v>
      </c>
      <c r="GC823" s="15" t="s">
        <v>8638</v>
      </c>
      <c r="GD823" s="15" t="s">
        <v>1161</v>
      </c>
      <c r="GE823" s="15" t="s">
        <v>1161</v>
      </c>
      <c r="GF823" s="15" t="s">
        <v>431</v>
      </c>
      <c r="GH823" s="15" t="s">
        <v>420</v>
      </c>
      <c r="GI823" s="15" t="s">
        <v>426</v>
      </c>
      <c r="GM823" s="15">
        <v>2.0</v>
      </c>
      <c r="HG823" s="15" t="s">
        <v>8639</v>
      </c>
      <c r="HI823" s="15" t="s">
        <v>1807</v>
      </c>
      <c r="HK823" s="15" t="s">
        <v>636</v>
      </c>
      <c r="HP823" s="15" t="s">
        <v>426</v>
      </c>
    </row>
    <row r="824" ht="17.25" customHeight="1">
      <c r="A824" s="15" t="s">
        <v>8641</v>
      </c>
      <c r="B824" s="15" t="str">
        <f>"801542978884"</f>
        <v>801542978884</v>
      </c>
      <c r="C824" s="15" t="s">
        <v>21290</v>
      </c>
      <c r="D824" s="15" t="str">
        <f t="shared" si="1"/>
        <v>Reza DeskWorn Black Parawood</v>
      </c>
      <c r="E824" s="15" t="s">
        <v>8629</v>
      </c>
      <c r="F824" s="15" t="s">
        <v>397</v>
      </c>
      <c r="G824" s="15" t="s">
        <v>2251</v>
      </c>
      <c r="J824" s="15" t="s">
        <v>2251</v>
      </c>
      <c r="K824" s="15" t="s">
        <v>8625</v>
      </c>
      <c r="M824" s="15" t="s">
        <v>2231</v>
      </c>
      <c r="N824" s="15" t="s">
        <v>2134</v>
      </c>
      <c r="O824" s="15" t="s">
        <v>2135</v>
      </c>
      <c r="P824" s="15" t="str">
        <f t="shared" si="2337"/>
        <v>70</v>
      </c>
      <c r="Q824" s="15" t="str">
        <f t="shared" si="2338"/>
        <v>32</v>
      </c>
      <c r="R824" s="15" t="str">
        <f t="shared" si="2339"/>
        <v>30.25</v>
      </c>
      <c r="S824" s="15" t="str">
        <f t="shared" si="2340"/>
        <v>194.12</v>
      </c>
      <c r="T824" s="15" t="s">
        <v>8634</v>
      </c>
      <c r="U824" s="15" t="s">
        <v>11210</v>
      </c>
      <c r="V824" s="15" t="s">
        <v>14148</v>
      </c>
      <c r="AA824" s="15" t="s">
        <v>413</v>
      </c>
      <c r="AB824" s="15" t="s">
        <v>413</v>
      </c>
      <c r="AC824" s="15" t="s">
        <v>8643</v>
      </c>
      <c r="AD824" s="15" t="s">
        <v>21291</v>
      </c>
      <c r="AE824" s="15" t="s">
        <v>8642</v>
      </c>
      <c r="AF824" s="15" t="s">
        <v>21292</v>
      </c>
      <c r="AG824" s="15" t="s">
        <v>21293</v>
      </c>
      <c r="AH824" s="15" t="s">
        <v>21294</v>
      </c>
      <c r="AI824" s="15" t="s">
        <v>21295</v>
      </c>
      <c r="AJ824" s="15" t="s">
        <v>21296</v>
      </c>
      <c r="AK824" s="15" t="s">
        <v>21297</v>
      </c>
      <c r="AL824" s="15" t="s">
        <v>21298</v>
      </c>
      <c r="AM824" s="15" t="s">
        <v>21299</v>
      </c>
      <c r="AN824" s="15" t="s">
        <v>21300</v>
      </c>
      <c r="AO824" s="15" t="s">
        <v>21301</v>
      </c>
      <c r="AP824" s="15" t="s">
        <v>21302</v>
      </c>
      <c r="AQ824" s="15" t="s">
        <v>21303</v>
      </c>
      <c r="AR824" s="15" t="s">
        <v>21304</v>
      </c>
      <c r="BH824" s="15" t="s">
        <v>8640</v>
      </c>
      <c r="BI824" s="15" t="str">
        <f t="shared" si="2341"/>
        <v>2699</v>
      </c>
      <c r="BJ824" s="15" t="str">
        <f t="shared" si="2342"/>
        <v>1135</v>
      </c>
      <c r="BK824" s="15" t="s">
        <v>1303</v>
      </c>
      <c r="BL824" s="15" t="str">
        <f t="shared" si="2343"/>
        <v>1</v>
      </c>
      <c r="BM824" s="15" t="s">
        <v>416</v>
      </c>
      <c r="BN824" s="15" t="str">
        <f t="shared" si="2344"/>
        <v>72.75</v>
      </c>
      <c r="BO824" s="15" t="str">
        <f t="shared" si="2345"/>
        <v>33.75</v>
      </c>
      <c r="BP824" s="15" t="str">
        <f t="shared" si="2346"/>
        <v>36</v>
      </c>
      <c r="BQ824" s="15" t="str">
        <f t="shared" si="2347"/>
        <v>239.64</v>
      </c>
      <c r="CG824" s="15" t="str">
        <f t="shared" si="2348"/>
        <v>51.14</v>
      </c>
      <c r="CH824" s="15" t="str">
        <f t="shared" si="2349"/>
        <v>1.448</v>
      </c>
      <c r="CI824" s="15" t="s">
        <v>497</v>
      </c>
      <c r="CZ824" s="15" t="s">
        <v>418</v>
      </c>
      <c r="DA824" s="15">
        <v>5.0</v>
      </c>
      <c r="DB824" s="15" t="s">
        <v>2601</v>
      </c>
      <c r="DD824" s="15">
        <v>0.0</v>
      </c>
      <c r="DF824" s="15" t="s">
        <v>420</v>
      </c>
      <c r="DG824" s="15" t="s">
        <v>421</v>
      </c>
      <c r="DK824" s="15">
        <v>0.0</v>
      </c>
      <c r="DR824" s="15" t="s">
        <v>2137</v>
      </c>
      <c r="DS824" s="15" t="s">
        <v>8622</v>
      </c>
      <c r="DU824" s="15" t="s">
        <v>500</v>
      </c>
      <c r="EF824" s="15" t="s">
        <v>3011</v>
      </c>
      <c r="EG824" s="15" t="s">
        <v>1064</v>
      </c>
      <c r="EH824" s="15" t="s">
        <v>3763</v>
      </c>
      <c r="ET824" s="15" t="s">
        <v>1512</v>
      </c>
      <c r="EU824" s="15" t="s">
        <v>426</v>
      </c>
      <c r="EV824" s="15">
        <v>0.0</v>
      </c>
      <c r="FE824" s="15" t="s">
        <v>1212</v>
      </c>
      <c r="FQ824" s="15">
        <v>0.0</v>
      </c>
      <c r="FR824" s="15" t="s">
        <v>427</v>
      </c>
      <c r="FX824" s="15" t="s">
        <v>426</v>
      </c>
      <c r="FZ824" s="15" t="s">
        <v>3238</v>
      </c>
      <c r="GA824" s="15" t="s">
        <v>3238</v>
      </c>
      <c r="GB824" s="15" t="s">
        <v>784</v>
      </c>
      <c r="GC824" s="15" t="s">
        <v>8638</v>
      </c>
      <c r="GD824" s="15" t="s">
        <v>1161</v>
      </c>
      <c r="GE824" s="15" t="s">
        <v>1161</v>
      </c>
      <c r="GF824" s="15" t="s">
        <v>431</v>
      </c>
      <c r="GH824" s="15" t="s">
        <v>420</v>
      </c>
      <c r="GI824" s="15" t="s">
        <v>426</v>
      </c>
      <c r="GM824" s="15">
        <v>2.0</v>
      </c>
      <c r="HG824" s="15" t="s">
        <v>8639</v>
      </c>
      <c r="HI824" s="15" t="s">
        <v>1807</v>
      </c>
      <c r="HK824" s="15" t="s">
        <v>636</v>
      </c>
      <c r="HP824" s="15" t="s">
        <v>426</v>
      </c>
    </row>
    <row r="825" ht="17.25" customHeight="1">
      <c r="A825" s="15" t="s">
        <v>8646</v>
      </c>
      <c r="B825" s="15" t="str">
        <f>"801542577285"</f>
        <v>801542577285</v>
      </c>
      <c r="C825" s="15" t="s">
        <v>21305</v>
      </c>
      <c r="D825" s="15" t="str">
        <f t="shared" si="1"/>
        <v>Reza Media ConsoleSmoked Honey</v>
      </c>
      <c r="E825" s="15" t="s">
        <v>8644</v>
      </c>
      <c r="F825" s="15" t="s">
        <v>397</v>
      </c>
      <c r="G825" s="15" t="s">
        <v>2232</v>
      </c>
      <c r="J825" s="15" t="s">
        <v>2232</v>
      </c>
      <c r="K825" s="15" t="s">
        <v>8612</v>
      </c>
      <c r="M825" s="15" t="s">
        <v>2231</v>
      </c>
      <c r="N825" s="15" t="s">
        <v>602</v>
      </c>
      <c r="P825" s="15" t="str">
        <f t="shared" ref="P825:P826" si="2350">"84"</f>
        <v>84</v>
      </c>
      <c r="Q825" s="15" t="str">
        <f t="shared" ref="Q825:Q827" si="2351">"18"</f>
        <v>18</v>
      </c>
      <c r="R825" s="15" t="str">
        <f t="shared" ref="R825:R826" si="2352">"28.25"</f>
        <v>28.25</v>
      </c>
      <c r="S825" s="15" t="str">
        <f t="shared" ref="S825:S826" si="2353">"171.29"</f>
        <v>171.29</v>
      </c>
      <c r="T825" s="15" t="s">
        <v>8634</v>
      </c>
      <c r="U825" s="15" t="s">
        <v>11210</v>
      </c>
      <c r="V825" s="15" t="s">
        <v>14148</v>
      </c>
      <c r="AA825" s="15" t="s">
        <v>413</v>
      </c>
      <c r="AB825" s="15" t="s">
        <v>413</v>
      </c>
      <c r="AC825" s="15" t="s">
        <v>8649</v>
      </c>
      <c r="AD825" s="15" t="s">
        <v>21306</v>
      </c>
      <c r="AE825" s="15" t="s">
        <v>8648</v>
      </c>
      <c r="AF825" s="15" t="s">
        <v>21307</v>
      </c>
      <c r="AG825" s="15" t="s">
        <v>21308</v>
      </c>
      <c r="AH825" s="15" t="s">
        <v>21309</v>
      </c>
      <c r="AI825" s="15" t="s">
        <v>21310</v>
      </c>
      <c r="AJ825" s="15" t="s">
        <v>21311</v>
      </c>
      <c r="AK825" s="15" t="s">
        <v>21312</v>
      </c>
      <c r="AL825" s="15" t="s">
        <v>21313</v>
      </c>
      <c r="AM825" s="15" t="s">
        <v>21314</v>
      </c>
      <c r="AN825" s="15" t="s">
        <v>21315</v>
      </c>
      <c r="AO825" s="15" t="s">
        <v>21316</v>
      </c>
      <c r="AP825" s="15" t="s">
        <v>21317</v>
      </c>
      <c r="AQ825" s="15" t="s">
        <v>21318</v>
      </c>
      <c r="AR825" s="15" t="s">
        <v>21319</v>
      </c>
      <c r="AS825" s="15" t="s">
        <v>21320</v>
      </c>
      <c r="AT825" s="15" t="s">
        <v>21321</v>
      </c>
      <c r="BH825" s="15" t="s">
        <v>8645</v>
      </c>
      <c r="BI825" s="15" t="str">
        <f t="shared" ref="BI825:BI826" si="2354">"1999"</f>
        <v>1999</v>
      </c>
      <c r="BJ825" s="15" t="str">
        <f t="shared" ref="BJ825:BJ826" si="2355">"840"</f>
        <v>840</v>
      </c>
      <c r="BK825" s="15" t="s">
        <v>1303</v>
      </c>
      <c r="BL825" s="15" t="str">
        <f t="shared" si="2343"/>
        <v>1</v>
      </c>
      <c r="BM825" s="15" t="s">
        <v>416</v>
      </c>
      <c r="BN825" s="15" t="str">
        <f t="shared" ref="BN825:BN826" si="2356">"88.5"</f>
        <v>88.5</v>
      </c>
      <c r="BO825" s="15" t="str">
        <f t="shared" ref="BO825:BO827" si="2357">"21.5"</f>
        <v>21.5</v>
      </c>
      <c r="BP825" s="15" t="str">
        <f t="shared" ref="BP825:BP826" si="2358">"33"</f>
        <v>33</v>
      </c>
      <c r="BQ825" s="15" t="str">
        <f t="shared" ref="BQ825:BQ826" si="2359">"203.92"</f>
        <v>203.92</v>
      </c>
      <c r="CG825" s="15" t="str">
        <f t="shared" ref="CG825:CG826" si="2360">"36.34"</f>
        <v>36.34</v>
      </c>
      <c r="CH825" s="15" t="str">
        <f t="shared" ref="CH825:CH826" si="2361">"1.029"</f>
        <v>1.029</v>
      </c>
      <c r="CI825" s="15" t="s">
        <v>497</v>
      </c>
      <c r="CM825" s="15" t="s">
        <v>1161</v>
      </c>
      <c r="CN825" s="15" t="s">
        <v>1254</v>
      </c>
      <c r="CO825" s="15" t="s">
        <v>1882</v>
      </c>
      <c r="CZ825" s="15" t="s">
        <v>419</v>
      </c>
      <c r="DA825" s="15">
        <v>0.0</v>
      </c>
      <c r="DB825" s="15" t="s">
        <v>419</v>
      </c>
      <c r="DD825" s="15">
        <v>0.0</v>
      </c>
      <c r="DF825" s="15" t="s">
        <v>2048</v>
      </c>
      <c r="DG825" s="15" t="s">
        <v>610</v>
      </c>
      <c r="DI825" s="15">
        <v>18.14</v>
      </c>
      <c r="DJ825" s="15">
        <v>40.0</v>
      </c>
      <c r="DK825" s="15">
        <v>3.0</v>
      </c>
      <c r="DS825" s="15" t="s">
        <v>8622</v>
      </c>
      <c r="EF825" s="15" t="s">
        <v>2899</v>
      </c>
      <c r="EG825" s="15" t="s">
        <v>1592</v>
      </c>
      <c r="EU825" s="15" t="s">
        <v>426</v>
      </c>
      <c r="EV825" s="15">
        <v>3.0</v>
      </c>
      <c r="FH825" s="15" t="s">
        <v>5646</v>
      </c>
      <c r="FI825" s="15" t="s">
        <v>1309</v>
      </c>
      <c r="FJ825" s="15" t="s">
        <v>1288</v>
      </c>
      <c r="FK825" s="15" t="s">
        <v>1996</v>
      </c>
      <c r="FL825" s="15" t="s">
        <v>1309</v>
      </c>
      <c r="FM825" s="15" t="s">
        <v>1306</v>
      </c>
      <c r="FO825" s="15" t="s">
        <v>426</v>
      </c>
      <c r="FP825" s="15" t="s">
        <v>785</v>
      </c>
      <c r="FQ825" s="15">
        <v>6.0</v>
      </c>
      <c r="FR825" s="15" t="s">
        <v>614</v>
      </c>
      <c r="FS825" s="15" t="s">
        <v>1045</v>
      </c>
      <c r="FU825" s="15" t="s">
        <v>426</v>
      </c>
      <c r="FW825" s="15" t="s">
        <v>616</v>
      </c>
      <c r="GM825" s="15">
        <v>0.0</v>
      </c>
      <c r="HQ825" s="15" t="s">
        <v>426</v>
      </c>
      <c r="JO825" s="15" t="s">
        <v>1996</v>
      </c>
      <c r="JP825" s="15" t="s">
        <v>1309</v>
      </c>
      <c r="JQ825" s="15" t="s">
        <v>1306</v>
      </c>
      <c r="JR825" s="15" t="s">
        <v>1254</v>
      </c>
      <c r="JS825" s="15" t="s">
        <v>996</v>
      </c>
      <c r="JT825" s="15" t="s">
        <v>5321</v>
      </c>
    </row>
    <row r="826" ht="17.25" customHeight="1">
      <c r="A826" s="15" t="s">
        <v>8652</v>
      </c>
      <c r="B826" s="15" t="str">
        <f>"801542234331"</f>
        <v>801542234331</v>
      </c>
      <c r="C826" s="15" t="s">
        <v>21322</v>
      </c>
      <c r="D826" s="15" t="str">
        <f t="shared" si="1"/>
        <v>Reza Media ConsoleWorn Black Parawood</v>
      </c>
      <c r="E826" s="15" t="s">
        <v>8644</v>
      </c>
      <c r="F826" s="15" t="s">
        <v>397</v>
      </c>
      <c r="G826" s="15" t="s">
        <v>2251</v>
      </c>
      <c r="J826" s="15" t="s">
        <v>2251</v>
      </c>
      <c r="K826" s="15" t="s">
        <v>8625</v>
      </c>
      <c r="M826" s="15" t="s">
        <v>2231</v>
      </c>
      <c r="N826" s="15" t="s">
        <v>602</v>
      </c>
      <c r="P826" s="15" t="str">
        <f t="shared" si="2350"/>
        <v>84</v>
      </c>
      <c r="Q826" s="15" t="str">
        <f t="shared" si="2351"/>
        <v>18</v>
      </c>
      <c r="R826" s="15" t="str">
        <f t="shared" si="2352"/>
        <v>28.25</v>
      </c>
      <c r="S826" s="15" t="str">
        <f t="shared" si="2353"/>
        <v>171.29</v>
      </c>
      <c r="T826" s="15" t="s">
        <v>8634</v>
      </c>
      <c r="U826" s="15" t="s">
        <v>11210</v>
      </c>
      <c r="V826" s="15" t="s">
        <v>14148</v>
      </c>
      <c r="AA826" s="15" t="s">
        <v>413</v>
      </c>
      <c r="AB826" s="15" t="s">
        <v>413</v>
      </c>
      <c r="AC826" s="15" t="s">
        <v>8654</v>
      </c>
      <c r="AD826" s="15" t="s">
        <v>21323</v>
      </c>
      <c r="AE826" s="15" t="s">
        <v>8653</v>
      </c>
      <c r="AF826" s="15" t="s">
        <v>21324</v>
      </c>
      <c r="AG826" s="15" t="s">
        <v>21325</v>
      </c>
      <c r="AH826" s="15" t="s">
        <v>21326</v>
      </c>
      <c r="AI826" s="15" t="s">
        <v>21327</v>
      </c>
      <c r="AJ826" s="15" t="s">
        <v>21328</v>
      </c>
      <c r="AK826" s="15" t="s">
        <v>21329</v>
      </c>
      <c r="AL826" s="15" t="s">
        <v>21330</v>
      </c>
      <c r="AM826" s="15" t="s">
        <v>21331</v>
      </c>
      <c r="AN826" s="15" t="s">
        <v>21332</v>
      </c>
      <c r="AO826" s="15" t="s">
        <v>21333</v>
      </c>
      <c r="AP826" s="15" t="s">
        <v>21334</v>
      </c>
      <c r="BH826" s="15" t="s">
        <v>8651</v>
      </c>
      <c r="BI826" s="15" t="str">
        <f t="shared" si="2354"/>
        <v>1999</v>
      </c>
      <c r="BJ826" s="15" t="str">
        <f t="shared" si="2355"/>
        <v>840</v>
      </c>
      <c r="BK826" s="15" t="s">
        <v>1303</v>
      </c>
      <c r="BL826" s="15" t="str">
        <f t="shared" si="2343"/>
        <v>1</v>
      </c>
      <c r="BM826" s="15" t="s">
        <v>416</v>
      </c>
      <c r="BN826" s="15" t="str">
        <f t="shared" si="2356"/>
        <v>88.5</v>
      </c>
      <c r="BO826" s="15" t="str">
        <f t="shared" si="2357"/>
        <v>21.5</v>
      </c>
      <c r="BP826" s="15" t="str">
        <f t="shared" si="2358"/>
        <v>33</v>
      </c>
      <c r="BQ826" s="15" t="str">
        <f t="shared" si="2359"/>
        <v>203.92</v>
      </c>
      <c r="CG826" s="15" t="str">
        <f t="shared" si="2360"/>
        <v>36.34</v>
      </c>
      <c r="CH826" s="15" t="str">
        <f t="shared" si="2361"/>
        <v>1.029</v>
      </c>
      <c r="CI826" s="15" t="s">
        <v>465</v>
      </c>
      <c r="CM826" s="15" t="s">
        <v>1161</v>
      </c>
      <c r="CN826" s="15" t="s">
        <v>1254</v>
      </c>
      <c r="CO826" s="15" t="s">
        <v>1882</v>
      </c>
      <c r="CZ826" s="15" t="s">
        <v>419</v>
      </c>
      <c r="DA826" s="15">
        <v>0.0</v>
      </c>
      <c r="DB826" s="15" t="s">
        <v>419</v>
      </c>
      <c r="DD826" s="15">
        <v>0.0</v>
      </c>
      <c r="DF826" s="15" t="s">
        <v>2048</v>
      </c>
      <c r="DG826" s="15" t="s">
        <v>610</v>
      </c>
      <c r="DI826" s="15">
        <v>18.14</v>
      </c>
      <c r="DJ826" s="15">
        <v>40.0</v>
      </c>
      <c r="DK826" s="15">
        <v>3.0</v>
      </c>
      <c r="DS826" s="15" t="s">
        <v>8622</v>
      </c>
      <c r="EF826" s="15" t="s">
        <v>2899</v>
      </c>
      <c r="EG826" s="15" t="s">
        <v>1592</v>
      </c>
      <c r="EU826" s="15" t="s">
        <v>426</v>
      </c>
      <c r="EV826" s="15">
        <v>3.0</v>
      </c>
      <c r="FH826" s="15" t="s">
        <v>5646</v>
      </c>
      <c r="FI826" s="15" t="s">
        <v>1309</v>
      </c>
      <c r="FJ826" s="15" t="s">
        <v>1288</v>
      </c>
      <c r="FK826" s="15" t="s">
        <v>1996</v>
      </c>
      <c r="FL826" s="15" t="s">
        <v>1309</v>
      </c>
      <c r="FM826" s="15" t="s">
        <v>1306</v>
      </c>
      <c r="FO826" s="15" t="s">
        <v>426</v>
      </c>
      <c r="FP826" s="15" t="s">
        <v>785</v>
      </c>
      <c r="FQ826" s="15">
        <v>6.0</v>
      </c>
      <c r="FR826" s="15" t="s">
        <v>614</v>
      </c>
      <c r="FS826" s="15" t="s">
        <v>1045</v>
      </c>
      <c r="FU826" s="15" t="s">
        <v>426</v>
      </c>
      <c r="FW826" s="15" t="s">
        <v>616</v>
      </c>
      <c r="GM826" s="15">
        <v>0.0</v>
      </c>
      <c r="HQ826" s="15" t="s">
        <v>426</v>
      </c>
      <c r="JO826" s="15" t="s">
        <v>1996</v>
      </c>
      <c r="JP826" s="15" t="s">
        <v>1309</v>
      </c>
      <c r="JQ826" s="15" t="s">
        <v>1306</v>
      </c>
      <c r="JR826" s="15" t="s">
        <v>1254</v>
      </c>
      <c r="JS826" s="15" t="s">
        <v>996</v>
      </c>
      <c r="JT826" s="15" t="s">
        <v>5321</v>
      </c>
    </row>
    <row r="827" ht="17.25" customHeight="1">
      <c r="A827" s="15" t="s">
        <v>8657</v>
      </c>
      <c r="B827" s="15" t="str">
        <f>"801542577292"</f>
        <v>801542577292</v>
      </c>
      <c r="C827" s="15" t="s">
        <v>21335</v>
      </c>
      <c r="D827" s="15" t="str">
        <f t="shared" si="1"/>
        <v>Reza SideboardSmoked Honey</v>
      </c>
      <c r="E827" s="15" t="s">
        <v>8655</v>
      </c>
      <c r="F827" s="15" t="s">
        <v>397</v>
      </c>
      <c r="G827" s="15" t="s">
        <v>2232</v>
      </c>
      <c r="J827" s="15" t="s">
        <v>2232</v>
      </c>
      <c r="K827" s="15" t="s">
        <v>8612</v>
      </c>
      <c r="M827" s="15" t="s">
        <v>2231</v>
      </c>
      <c r="N827" s="15" t="s">
        <v>664</v>
      </c>
      <c r="P827" s="15" t="str">
        <f>"70"</f>
        <v>70</v>
      </c>
      <c r="Q827" s="15" t="str">
        <f t="shared" si="2351"/>
        <v>18</v>
      </c>
      <c r="R827" s="15" t="str">
        <f>"32"</f>
        <v>32</v>
      </c>
      <c r="S827" s="15" t="str">
        <f>"149.69"</f>
        <v>149.69</v>
      </c>
      <c r="T827" s="15" t="s">
        <v>8634</v>
      </c>
      <c r="U827" s="15" t="s">
        <v>11210</v>
      </c>
      <c r="V827" s="15" t="s">
        <v>14148</v>
      </c>
      <c r="AA827" s="15" t="s">
        <v>413</v>
      </c>
      <c r="AB827" s="15" t="s">
        <v>413</v>
      </c>
      <c r="AC827" s="15" t="s">
        <v>8660</v>
      </c>
      <c r="AD827" s="15" t="s">
        <v>21336</v>
      </c>
      <c r="AE827" s="15" t="s">
        <v>8659</v>
      </c>
      <c r="AF827" s="15" t="s">
        <v>21337</v>
      </c>
      <c r="AG827" s="15" t="s">
        <v>21338</v>
      </c>
      <c r="AH827" s="15" t="s">
        <v>21339</v>
      </c>
      <c r="AI827" s="15" t="s">
        <v>21340</v>
      </c>
      <c r="AJ827" s="15" t="s">
        <v>21341</v>
      </c>
      <c r="AK827" s="15" t="s">
        <v>21342</v>
      </c>
      <c r="AL827" s="15" t="s">
        <v>21343</v>
      </c>
      <c r="AM827" s="15" t="s">
        <v>21344</v>
      </c>
      <c r="AN827" s="15" t="s">
        <v>21345</v>
      </c>
      <c r="AO827" s="15" t="s">
        <v>21346</v>
      </c>
      <c r="AP827" s="15" t="s">
        <v>21347</v>
      </c>
      <c r="AQ827" s="15" t="s">
        <v>21348</v>
      </c>
      <c r="AR827" s="15" t="s">
        <v>21349</v>
      </c>
      <c r="AS827" s="15" t="s">
        <v>21350</v>
      </c>
      <c r="BH827" s="15" t="s">
        <v>8656</v>
      </c>
      <c r="BI827" s="15" t="str">
        <f>"1899"</f>
        <v>1899</v>
      </c>
      <c r="BJ827" s="15" t="str">
        <f>"800"</f>
        <v>800</v>
      </c>
      <c r="BK827" s="15" t="s">
        <v>1303</v>
      </c>
      <c r="BL827" s="15" t="str">
        <f t="shared" si="2343"/>
        <v>1</v>
      </c>
      <c r="BM827" s="15" t="s">
        <v>416</v>
      </c>
      <c r="BN827" s="15" t="str">
        <f>"73.5"</f>
        <v>73.5</v>
      </c>
      <c r="BO827" s="15" t="str">
        <f t="shared" si="2357"/>
        <v>21.5</v>
      </c>
      <c r="BP827" s="15" t="str">
        <f>"37.5"</f>
        <v>37.5</v>
      </c>
      <c r="BQ827" s="15" t="str">
        <f>"179.23"</f>
        <v>179.23</v>
      </c>
      <c r="CG827" s="15" t="str">
        <f>"34.29"</f>
        <v>34.29</v>
      </c>
      <c r="CH827" s="15" t="str">
        <f>"0.971"</f>
        <v>0.971</v>
      </c>
      <c r="CI827" s="15" t="s">
        <v>497</v>
      </c>
      <c r="CM827" s="15" t="s">
        <v>6018</v>
      </c>
      <c r="CN827" s="15" t="s">
        <v>1576</v>
      </c>
      <c r="CO827" s="15" t="s">
        <v>1994</v>
      </c>
      <c r="CZ827" s="15" t="s">
        <v>419</v>
      </c>
      <c r="DA827" s="15">
        <v>0.0</v>
      </c>
      <c r="DB827" s="15" t="s">
        <v>419</v>
      </c>
      <c r="DD827" s="15">
        <v>0.0</v>
      </c>
      <c r="DF827" s="15" t="s">
        <v>1111</v>
      </c>
      <c r="DG827" s="15" t="s">
        <v>610</v>
      </c>
      <c r="DI827" s="15">
        <v>18.14</v>
      </c>
      <c r="DJ827" s="15">
        <v>40.0</v>
      </c>
      <c r="DK827" s="15">
        <v>2.0</v>
      </c>
      <c r="DS827" s="15" t="s">
        <v>8622</v>
      </c>
      <c r="DU827" s="15" t="s">
        <v>500</v>
      </c>
      <c r="EF827" s="15" t="s">
        <v>2899</v>
      </c>
      <c r="EU827" s="15" t="s">
        <v>426</v>
      </c>
      <c r="EV827" s="15">
        <v>2.0</v>
      </c>
      <c r="FH827" s="15" t="s">
        <v>1213</v>
      </c>
      <c r="FI827" s="15" t="s">
        <v>1309</v>
      </c>
      <c r="FJ827" s="15" t="s">
        <v>2732</v>
      </c>
      <c r="FK827" s="15" t="s">
        <v>1329</v>
      </c>
      <c r="FL827" s="15" t="s">
        <v>1309</v>
      </c>
      <c r="FM827" s="15" t="s">
        <v>1994</v>
      </c>
      <c r="FN827" s="15">
        <v>0.0</v>
      </c>
      <c r="FO827" s="15" t="s">
        <v>426</v>
      </c>
      <c r="FP827" s="15" t="s">
        <v>785</v>
      </c>
      <c r="FQ827" s="15">
        <v>4.0</v>
      </c>
      <c r="FR827" s="15" t="s">
        <v>614</v>
      </c>
      <c r="FS827" s="15" t="s">
        <v>1045</v>
      </c>
      <c r="FT827" s="15">
        <v>0.0</v>
      </c>
      <c r="FU827" s="15" t="s">
        <v>426</v>
      </c>
      <c r="FW827" s="15" t="s">
        <v>616</v>
      </c>
      <c r="GG827" s="15" t="s">
        <v>426</v>
      </c>
      <c r="HQ827" s="15" t="s">
        <v>426</v>
      </c>
      <c r="JO827" s="15" t="s">
        <v>1329</v>
      </c>
      <c r="JP827" s="15" t="s">
        <v>1309</v>
      </c>
      <c r="JQ827" s="15" t="s">
        <v>1994</v>
      </c>
      <c r="JR827" s="15" t="s">
        <v>1576</v>
      </c>
    </row>
    <row r="828" ht="17.25" customHeight="1">
      <c r="A828" s="15" t="s">
        <v>8664</v>
      </c>
      <c r="B828" s="15" t="str">
        <f>"801542106942"</f>
        <v>801542106942</v>
      </c>
      <c r="C828" s="15" t="s">
        <v>21351</v>
      </c>
      <c r="D828" s="15" t="str">
        <f t="shared" si="1"/>
        <v>Reza Wide BookcaseToasted Acacia</v>
      </c>
      <c r="E828" s="15" t="s">
        <v>8662</v>
      </c>
      <c r="F828" s="15" t="s">
        <v>397</v>
      </c>
      <c r="G828" s="15" t="s">
        <v>8612</v>
      </c>
      <c r="J828" s="15" t="s">
        <v>8612</v>
      </c>
      <c r="K828" s="15" t="s">
        <v>2232</v>
      </c>
      <c r="M828" s="15" t="s">
        <v>2231</v>
      </c>
      <c r="N828" s="15" t="s">
        <v>1899</v>
      </c>
      <c r="P828" s="15" t="str">
        <f t="shared" ref="P828:P829" si="2362">"84"</f>
        <v>84</v>
      </c>
      <c r="Q828" s="15" t="str">
        <f t="shared" ref="Q828:Q829" si="2363">"20"</f>
        <v>20</v>
      </c>
      <c r="R828" s="15" t="str">
        <f t="shared" ref="R828:R829" si="2364">"94"</f>
        <v>94</v>
      </c>
      <c r="S828" s="15" t="str">
        <f t="shared" ref="S828:S829" si="2365">"367.12"</f>
        <v>367.12</v>
      </c>
      <c r="T828" s="15" t="s">
        <v>8616</v>
      </c>
      <c r="U828" s="15" t="s">
        <v>14148</v>
      </c>
      <c r="V828" s="15" t="s">
        <v>11210</v>
      </c>
      <c r="AA828" s="15" t="s">
        <v>413</v>
      </c>
      <c r="AB828" s="15" t="s">
        <v>413</v>
      </c>
      <c r="AC828" s="15" t="s">
        <v>8667</v>
      </c>
      <c r="AD828" s="15" t="s">
        <v>21352</v>
      </c>
      <c r="AE828" s="15" t="s">
        <v>8666</v>
      </c>
      <c r="AF828" s="15" t="s">
        <v>21353</v>
      </c>
      <c r="AG828" s="15" t="s">
        <v>21354</v>
      </c>
      <c r="AH828" s="15" t="s">
        <v>21355</v>
      </c>
      <c r="AI828" s="15" t="s">
        <v>21356</v>
      </c>
      <c r="AJ828" s="15" t="s">
        <v>21357</v>
      </c>
      <c r="AK828" s="15" t="s">
        <v>21358</v>
      </c>
      <c r="AL828" s="15" t="s">
        <v>21359</v>
      </c>
      <c r="AM828" s="15" t="s">
        <v>21360</v>
      </c>
      <c r="AN828" s="15" t="s">
        <v>21361</v>
      </c>
      <c r="AO828" s="15" t="s">
        <v>21362</v>
      </c>
      <c r="AP828" s="15" t="s">
        <v>21363</v>
      </c>
      <c r="AQ828" s="15" t="s">
        <v>21364</v>
      </c>
      <c r="BH828" s="15" t="s">
        <v>8663</v>
      </c>
      <c r="BI828" s="15" t="str">
        <f t="shared" ref="BI828:BI829" si="2366">"4299"</f>
        <v>4299</v>
      </c>
      <c r="BJ828" s="15" t="str">
        <f t="shared" ref="BJ828:BJ829" si="2367">"1810"</f>
        <v>1810</v>
      </c>
      <c r="BK828" s="15" t="s">
        <v>1303</v>
      </c>
      <c r="BL828" s="15" t="str">
        <f t="shared" ref="BL828:BL829" si="2368">"3"</f>
        <v>3</v>
      </c>
      <c r="BM828" s="15" t="s">
        <v>8668</v>
      </c>
      <c r="BN828" s="15" t="str">
        <f t="shared" ref="BN828:BN829" si="2369">"83.25"</f>
        <v>83.25</v>
      </c>
      <c r="BO828" s="15" t="str">
        <f t="shared" ref="BO828:BO829" si="2370">"21.75"</f>
        <v>21.75</v>
      </c>
      <c r="BP828" s="15" t="str">
        <f t="shared" ref="BP828:BP829" si="2371">"24"</f>
        <v>24</v>
      </c>
      <c r="BQ828" s="15" t="str">
        <f t="shared" ref="BQ828:BQ829" si="2372">"175.49"</f>
        <v>175.49</v>
      </c>
      <c r="BR828" s="15" t="s">
        <v>8669</v>
      </c>
      <c r="BS828" s="15" t="str">
        <f t="shared" ref="BS828:BS829" si="2373">"83.5"</f>
        <v>83.5</v>
      </c>
      <c r="BT828" s="15" t="str">
        <f t="shared" ref="BT828:BT829" si="2374">"21.25"</f>
        <v>21.25</v>
      </c>
      <c r="BU828" s="15" t="str">
        <f t="shared" ref="BU828:BU829" si="2375">"17.75"</f>
        <v>17.75</v>
      </c>
      <c r="BV828" s="15" t="str">
        <f t="shared" ref="BV828:BV829" si="2376">"172.95"</f>
        <v>172.95</v>
      </c>
      <c r="BW828" s="15" t="s">
        <v>4730</v>
      </c>
      <c r="BX828" s="15" t="str">
        <f t="shared" ref="BX828:BX829" si="2377">"91.75"</f>
        <v>91.75</v>
      </c>
      <c r="BY828" s="15" t="str">
        <f t="shared" ref="BY828:BY829" si="2378">"6.5"</f>
        <v>6.5</v>
      </c>
      <c r="BZ828" s="15" t="str">
        <f t="shared" ref="BZ828:BZ829" si="2379">"98"</f>
        <v>98</v>
      </c>
      <c r="CA828" s="15" t="str">
        <f t="shared" ref="CA828:CA829" si="2380">"122.47"</f>
        <v>122.47</v>
      </c>
      <c r="CG828" s="15" t="str">
        <f t="shared" ref="CG828:CG829" si="2381">"77.2"</f>
        <v>77.2</v>
      </c>
      <c r="CH828" s="15" t="str">
        <f t="shared" ref="CH828:CH829" si="2382">"2.186"</f>
        <v>2.186</v>
      </c>
      <c r="CI828" s="15" t="s">
        <v>497</v>
      </c>
      <c r="CJ828" s="15" t="s">
        <v>1065</v>
      </c>
      <c r="CK828" s="15" t="s">
        <v>1512</v>
      </c>
      <c r="CL828" s="15" t="s">
        <v>5321</v>
      </c>
      <c r="CM828" s="15" t="s">
        <v>2020</v>
      </c>
      <c r="CN828" s="15" t="s">
        <v>4286</v>
      </c>
      <c r="CO828" s="15" t="s">
        <v>1755</v>
      </c>
      <c r="CZ828" s="15" t="s">
        <v>419</v>
      </c>
      <c r="DA828" s="15">
        <v>0.0</v>
      </c>
      <c r="DB828" s="15" t="s">
        <v>419</v>
      </c>
      <c r="DD828" s="15">
        <v>3.0</v>
      </c>
      <c r="DE828" s="15" t="s">
        <v>426</v>
      </c>
      <c r="DF828" s="15" t="s">
        <v>1111</v>
      </c>
      <c r="DG828" s="15" t="s">
        <v>610</v>
      </c>
      <c r="DI828" s="15">
        <v>18.14</v>
      </c>
      <c r="DJ828" s="15">
        <v>40.0</v>
      </c>
      <c r="DK828" s="15">
        <v>3.0</v>
      </c>
      <c r="DR828" s="15" t="s">
        <v>1915</v>
      </c>
      <c r="DS828" s="15" t="s">
        <v>8622</v>
      </c>
      <c r="EF828" s="15" t="s">
        <v>2899</v>
      </c>
      <c r="EU828" s="15" t="s">
        <v>426</v>
      </c>
      <c r="EV828" s="15">
        <v>7.0</v>
      </c>
      <c r="FH828" s="15" t="s">
        <v>824</v>
      </c>
      <c r="FI828" s="15" t="s">
        <v>1188</v>
      </c>
      <c r="FJ828" s="15" t="s">
        <v>8673</v>
      </c>
      <c r="FK828" s="15" t="s">
        <v>1329</v>
      </c>
      <c r="FL828" s="15" t="s">
        <v>1512</v>
      </c>
      <c r="FM828" s="15" t="s">
        <v>1212</v>
      </c>
      <c r="FO828" s="15" t="s">
        <v>426</v>
      </c>
      <c r="FP828" s="15" t="s">
        <v>785</v>
      </c>
      <c r="FQ828" s="15">
        <v>6.0</v>
      </c>
      <c r="FR828" s="15" t="s">
        <v>614</v>
      </c>
      <c r="FS828" s="15" t="s">
        <v>615</v>
      </c>
      <c r="FU828" s="15" t="s">
        <v>426</v>
      </c>
      <c r="FW828" s="15" t="s">
        <v>616</v>
      </c>
      <c r="GJ828" s="15" t="s">
        <v>2020</v>
      </c>
      <c r="GK828" s="15" t="s">
        <v>4286</v>
      </c>
      <c r="GL828" s="15" t="s">
        <v>1755</v>
      </c>
      <c r="GZ828" s="15" t="s">
        <v>2020</v>
      </c>
      <c r="HA828" s="15" t="s">
        <v>2020</v>
      </c>
      <c r="HB828" s="15" t="s">
        <v>4286</v>
      </c>
      <c r="HC828" s="15" t="s">
        <v>4286</v>
      </c>
      <c r="HD828" s="15" t="s">
        <v>1755</v>
      </c>
      <c r="HE828" s="15" t="s">
        <v>1755</v>
      </c>
      <c r="KG828" s="15" t="s">
        <v>1161</v>
      </c>
      <c r="KH828" s="15" t="s">
        <v>824</v>
      </c>
      <c r="KI828" s="15" t="s">
        <v>1212</v>
      </c>
      <c r="KT828" s="15" t="s">
        <v>1161</v>
      </c>
      <c r="KU828" s="15" t="s">
        <v>1161</v>
      </c>
      <c r="KV828" s="15" t="s">
        <v>824</v>
      </c>
      <c r="KW828" s="15" t="s">
        <v>824</v>
      </c>
      <c r="KX828" s="15" t="s">
        <v>1212</v>
      </c>
      <c r="KY828" s="15" t="s">
        <v>1212</v>
      </c>
    </row>
    <row r="829" ht="17.25" customHeight="1">
      <c r="A829" s="15" t="s">
        <v>8675</v>
      </c>
      <c r="B829" s="15" t="str">
        <f>"801542250904"</f>
        <v>801542250904</v>
      </c>
      <c r="C829" s="15" t="s">
        <v>21365</v>
      </c>
      <c r="D829" s="15" t="str">
        <f t="shared" si="1"/>
        <v>Reza Wide BookcaseWorn Black Acacia</v>
      </c>
      <c r="E829" s="15" t="s">
        <v>8662</v>
      </c>
      <c r="F829" s="15" t="s">
        <v>397</v>
      </c>
      <c r="G829" s="15" t="s">
        <v>8625</v>
      </c>
      <c r="J829" s="15" t="s">
        <v>8625</v>
      </c>
      <c r="K829" s="15" t="s">
        <v>2251</v>
      </c>
      <c r="M829" s="15" t="s">
        <v>2231</v>
      </c>
      <c r="N829" s="15" t="s">
        <v>1899</v>
      </c>
      <c r="P829" s="15" t="str">
        <f t="shared" si="2362"/>
        <v>84</v>
      </c>
      <c r="Q829" s="15" t="str">
        <f t="shared" si="2363"/>
        <v>20</v>
      </c>
      <c r="R829" s="15" t="str">
        <f t="shared" si="2364"/>
        <v>94</v>
      </c>
      <c r="S829" s="15" t="str">
        <f t="shared" si="2365"/>
        <v>367.12</v>
      </c>
      <c r="T829" s="15" t="s">
        <v>8616</v>
      </c>
      <c r="U829" s="15" t="s">
        <v>14148</v>
      </c>
      <c r="V829" s="15" t="s">
        <v>11210</v>
      </c>
      <c r="AA829" s="15" t="s">
        <v>413</v>
      </c>
      <c r="AB829" s="15" t="s">
        <v>413</v>
      </c>
      <c r="AC829" s="15" t="s">
        <v>8677</v>
      </c>
      <c r="AD829" s="15" t="s">
        <v>21366</v>
      </c>
      <c r="AE829" s="15" t="s">
        <v>8676</v>
      </c>
      <c r="AF829" s="15" t="s">
        <v>21367</v>
      </c>
      <c r="AG829" s="15" t="s">
        <v>21368</v>
      </c>
      <c r="AH829" s="15" t="s">
        <v>21369</v>
      </c>
      <c r="AI829" s="15" t="s">
        <v>21370</v>
      </c>
      <c r="AJ829" s="15" t="s">
        <v>21371</v>
      </c>
      <c r="AK829" s="15" t="s">
        <v>21372</v>
      </c>
      <c r="AL829" s="15" t="s">
        <v>21373</v>
      </c>
      <c r="AM829" s="15" t="s">
        <v>21374</v>
      </c>
      <c r="AN829" s="15" t="s">
        <v>21375</v>
      </c>
      <c r="AO829" s="15" t="s">
        <v>21376</v>
      </c>
      <c r="AP829" s="15" t="s">
        <v>21377</v>
      </c>
      <c r="AQ829" s="15" t="s">
        <v>21378</v>
      </c>
      <c r="BH829" s="15" t="s">
        <v>8674</v>
      </c>
      <c r="BI829" s="15" t="str">
        <f t="shared" si="2366"/>
        <v>4299</v>
      </c>
      <c r="BJ829" s="15" t="str">
        <f t="shared" si="2367"/>
        <v>1810</v>
      </c>
      <c r="BK829" s="15" t="s">
        <v>1303</v>
      </c>
      <c r="BL829" s="15" t="str">
        <f t="shared" si="2368"/>
        <v>3</v>
      </c>
      <c r="BM829" s="15" t="s">
        <v>8668</v>
      </c>
      <c r="BN829" s="15" t="str">
        <f t="shared" si="2369"/>
        <v>83.25</v>
      </c>
      <c r="BO829" s="15" t="str">
        <f t="shared" si="2370"/>
        <v>21.75</v>
      </c>
      <c r="BP829" s="15" t="str">
        <f t="shared" si="2371"/>
        <v>24</v>
      </c>
      <c r="BQ829" s="15" t="str">
        <f t="shared" si="2372"/>
        <v>175.49</v>
      </c>
      <c r="BR829" s="15" t="s">
        <v>8669</v>
      </c>
      <c r="BS829" s="15" t="str">
        <f t="shared" si="2373"/>
        <v>83.5</v>
      </c>
      <c r="BT829" s="15" t="str">
        <f t="shared" si="2374"/>
        <v>21.25</v>
      </c>
      <c r="BU829" s="15" t="str">
        <f t="shared" si="2375"/>
        <v>17.75</v>
      </c>
      <c r="BV829" s="15" t="str">
        <f t="shared" si="2376"/>
        <v>172.95</v>
      </c>
      <c r="BW829" s="15" t="s">
        <v>4730</v>
      </c>
      <c r="BX829" s="15" t="str">
        <f t="shared" si="2377"/>
        <v>91.75</v>
      </c>
      <c r="BY829" s="15" t="str">
        <f t="shared" si="2378"/>
        <v>6.5</v>
      </c>
      <c r="BZ829" s="15" t="str">
        <f t="shared" si="2379"/>
        <v>98</v>
      </c>
      <c r="CA829" s="15" t="str">
        <f t="shared" si="2380"/>
        <v>122.47</v>
      </c>
      <c r="CG829" s="15" t="str">
        <f t="shared" si="2381"/>
        <v>77.2</v>
      </c>
      <c r="CH829" s="15" t="str">
        <f t="shared" si="2382"/>
        <v>2.186</v>
      </c>
      <c r="CI829" s="15" t="s">
        <v>417</v>
      </c>
      <c r="CJ829" s="15" t="s">
        <v>1065</v>
      </c>
      <c r="CK829" s="15" t="s">
        <v>1512</v>
      </c>
      <c r="CL829" s="15" t="s">
        <v>5321</v>
      </c>
      <c r="CM829" s="15" t="s">
        <v>2020</v>
      </c>
      <c r="CN829" s="15" t="s">
        <v>4286</v>
      </c>
      <c r="CO829" s="15" t="s">
        <v>1755</v>
      </c>
      <c r="CZ829" s="15" t="s">
        <v>419</v>
      </c>
      <c r="DA829" s="15">
        <v>0.0</v>
      </c>
      <c r="DB829" s="15" t="s">
        <v>419</v>
      </c>
      <c r="DD829" s="15">
        <v>3.0</v>
      </c>
      <c r="DE829" s="15" t="s">
        <v>426</v>
      </c>
      <c r="DF829" s="15" t="s">
        <v>1111</v>
      </c>
      <c r="DG829" s="15" t="s">
        <v>610</v>
      </c>
      <c r="DI829" s="15">
        <v>18.14</v>
      </c>
      <c r="DJ829" s="15">
        <v>40.0</v>
      </c>
      <c r="DK829" s="15">
        <v>3.0</v>
      </c>
      <c r="DR829" s="15" t="s">
        <v>1915</v>
      </c>
      <c r="DS829" s="15" t="s">
        <v>8622</v>
      </c>
      <c r="EF829" s="15" t="s">
        <v>2899</v>
      </c>
      <c r="EU829" s="15" t="s">
        <v>426</v>
      </c>
      <c r="EV829" s="15">
        <v>7.0</v>
      </c>
      <c r="FH829" s="15" t="s">
        <v>824</v>
      </c>
      <c r="FI829" s="15" t="s">
        <v>1188</v>
      </c>
      <c r="FJ829" s="15" t="s">
        <v>8673</v>
      </c>
      <c r="FK829" s="15" t="s">
        <v>1329</v>
      </c>
      <c r="FL829" s="15" t="s">
        <v>1512</v>
      </c>
      <c r="FM829" s="15" t="s">
        <v>1212</v>
      </c>
      <c r="FO829" s="15" t="s">
        <v>426</v>
      </c>
      <c r="FP829" s="15" t="s">
        <v>785</v>
      </c>
      <c r="FQ829" s="15">
        <v>6.0</v>
      </c>
      <c r="FR829" s="15" t="s">
        <v>614</v>
      </c>
      <c r="FS829" s="15" t="s">
        <v>615</v>
      </c>
      <c r="FU829" s="15" t="s">
        <v>426</v>
      </c>
      <c r="FW829" s="15" t="s">
        <v>616</v>
      </c>
      <c r="GJ829" s="15" t="s">
        <v>2020</v>
      </c>
      <c r="GK829" s="15" t="s">
        <v>4286</v>
      </c>
      <c r="GL829" s="15" t="s">
        <v>1755</v>
      </c>
      <c r="GZ829" s="15" t="s">
        <v>2020</v>
      </c>
      <c r="HA829" s="15" t="s">
        <v>2020</v>
      </c>
      <c r="HB829" s="15" t="s">
        <v>4286</v>
      </c>
      <c r="HC829" s="15" t="s">
        <v>4286</v>
      </c>
      <c r="HD829" s="15" t="s">
        <v>1755</v>
      </c>
      <c r="HE829" s="15" t="s">
        <v>1755</v>
      </c>
      <c r="KG829" s="15" t="s">
        <v>1161</v>
      </c>
      <c r="KH829" s="15" t="s">
        <v>824</v>
      </c>
      <c r="KI829" s="15" t="s">
        <v>1212</v>
      </c>
      <c r="KT829" s="15" t="s">
        <v>1161</v>
      </c>
      <c r="KU829" s="15" t="s">
        <v>1161</v>
      </c>
      <c r="KV829" s="15" t="s">
        <v>824</v>
      </c>
      <c r="KW829" s="15" t="s">
        <v>824</v>
      </c>
      <c r="KX829" s="15" t="s">
        <v>1212</v>
      </c>
      <c r="KY829" s="15" t="s">
        <v>1212</v>
      </c>
    </row>
    <row r="830" ht="17.25" customHeight="1">
      <c r="A830" s="15" t="s">
        <v>8680</v>
      </c>
      <c r="B830" s="15" t="str">
        <f>"801542009977"</f>
        <v>801542009977</v>
      </c>
      <c r="C830" s="15" t="s">
        <v>21379</v>
      </c>
      <c r="D830" s="15" t="str">
        <f t="shared" si="1"/>
        <v>Riggs Media ConsoleAmber Oak</v>
      </c>
      <c r="E830" s="15" t="s">
        <v>8678</v>
      </c>
      <c r="F830" s="15" t="s">
        <v>397</v>
      </c>
      <c r="G830" s="15" t="s">
        <v>4870</v>
      </c>
      <c r="J830" s="15" t="s">
        <v>4870</v>
      </c>
      <c r="K830" s="15" t="s">
        <v>8683</v>
      </c>
      <c r="M830" s="15" t="s">
        <v>1896</v>
      </c>
      <c r="N830" s="15" t="s">
        <v>602</v>
      </c>
      <c r="P830" s="15" t="str">
        <f>"78"</f>
        <v>78</v>
      </c>
      <c r="Q830" s="15" t="str">
        <f>"18"</f>
        <v>18</v>
      </c>
      <c r="R830" s="15" t="str">
        <f>"28"</f>
        <v>28</v>
      </c>
      <c r="S830" s="15" t="str">
        <f>"145.5"</f>
        <v>145.5</v>
      </c>
      <c r="T830" s="15" t="s">
        <v>1532</v>
      </c>
      <c r="U830" s="15" t="s">
        <v>11338</v>
      </c>
      <c r="V830" s="15" t="s">
        <v>11553</v>
      </c>
      <c r="AA830" s="15" t="s">
        <v>413</v>
      </c>
      <c r="AB830" s="15" t="s">
        <v>413</v>
      </c>
      <c r="AC830" s="15" t="s">
        <v>8684</v>
      </c>
      <c r="AD830" s="15" t="s">
        <v>21380</v>
      </c>
      <c r="AE830" s="15" t="s">
        <v>8682</v>
      </c>
      <c r="AF830" s="15" t="s">
        <v>21381</v>
      </c>
      <c r="AG830" s="15" t="s">
        <v>21382</v>
      </c>
      <c r="AH830" s="15" t="s">
        <v>21383</v>
      </c>
      <c r="AI830" s="15" t="s">
        <v>21384</v>
      </c>
      <c r="AJ830" s="15" t="s">
        <v>21385</v>
      </c>
      <c r="AK830" s="15" t="s">
        <v>21386</v>
      </c>
      <c r="AL830" s="15" t="s">
        <v>21387</v>
      </c>
      <c r="AM830" s="15" t="s">
        <v>21388</v>
      </c>
      <c r="AN830" s="15" t="s">
        <v>21389</v>
      </c>
      <c r="AO830" s="15" t="s">
        <v>21390</v>
      </c>
      <c r="AP830" s="15" t="s">
        <v>21391</v>
      </c>
      <c r="AQ830" s="15" t="s">
        <v>21392</v>
      </c>
      <c r="BH830" s="15" t="s">
        <v>8679</v>
      </c>
      <c r="BI830" s="15" t="str">
        <f>"1699"</f>
        <v>1699</v>
      </c>
      <c r="BJ830" s="15" t="str">
        <f>"715"</f>
        <v>715</v>
      </c>
      <c r="BK830" s="15" t="s">
        <v>742</v>
      </c>
      <c r="BL830" s="15" t="str">
        <f t="shared" ref="BL830:BL835" si="2383">"1"</f>
        <v>1</v>
      </c>
      <c r="BM830" s="15" t="s">
        <v>416</v>
      </c>
      <c r="BN830" s="15" t="str">
        <f>"81.89"</f>
        <v>81.89</v>
      </c>
      <c r="BO830" s="15" t="str">
        <f>"21.65"</f>
        <v>21.65</v>
      </c>
      <c r="BP830" s="15" t="str">
        <f>"34.65"</f>
        <v>34.65</v>
      </c>
      <c r="BQ830" s="15" t="str">
        <f>"181.44"</f>
        <v>181.44</v>
      </c>
      <c r="CG830" s="15" t="str">
        <f>"35.56"</f>
        <v>35.56</v>
      </c>
      <c r="CH830" s="15" t="str">
        <f>"1.007"</f>
        <v>1.007</v>
      </c>
      <c r="CI830" s="15" t="s">
        <v>497</v>
      </c>
      <c r="CM830" s="15" t="s">
        <v>2348</v>
      </c>
      <c r="CN830" s="15" t="s">
        <v>6271</v>
      </c>
      <c r="CO830" s="15" t="s">
        <v>8686</v>
      </c>
      <c r="CZ830" s="15" t="s">
        <v>419</v>
      </c>
      <c r="DA830" s="15">
        <v>0.0</v>
      </c>
      <c r="DB830" s="15" t="s">
        <v>419</v>
      </c>
      <c r="DD830" s="15">
        <v>0.0</v>
      </c>
      <c r="DF830" s="15" t="s">
        <v>1186</v>
      </c>
      <c r="DG830" s="15" t="s">
        <v>610</v>
      </c>
      <c r="DI830" s="15">
        <v>18.14</v>
      </c>
      <c r="DJ830" s="15">
        <v>40.0</v>
      </c>
      <c r="DK830" s="15">
        <v>2.0</v>
      </c>
      <c r="DS830" s="15" t="s">
        <v>8687</v>
      </c>
      <c r="EF830" s="15" t="s">
        <v>5304</v>
      </c>
      <c r="EU830" s="15" t="s">
        <v>426</v>
      </c>
      <c r="EV830" s="15">
        <v>2.0</v>
      </c>
      <c r="FH830" s="15" t="s">
        <v>1484</v>
      </c>
      <c r="FI830" s="15" t="s">
        <v>1042</v>
      </c>
      <c r="FJ830" s="15" t="s">
        <v>7240</v>
      </c>
      <c r="FK830" s="15" t="s">
        <v>2348</v>
      </c>
      <c r="FL830" s="15" t="s">
        <v>782</v>
      </c>
      <c r="FM830" s="15" t="s">
        <v>8686</v>
      </c>
      <c r="FO830" s="15" t="s">
        <v>426</v>
      </c>
      <c r="FP830" s="15" t="s">
        <v>785</v>
      </c>
      <c r="FQ830" s="15">
        <v>4.0</v>
      </c>
      <c r="FR830" s="15" t="s">
        <v>614</v>
      </c>
      <c r="FS830" s="15" t="s">
        <v>1045</v>
      </c>
      <c r="FU830" s="15" t="s">
        <v>426</v>
      </c>
      <c r="FW830" s="15" t="s">
        <v>616</v>
      </c>
      <c r="GJ830" s="15" t="s">
        <v>2348</v>
      </c>
      <c r="GK830" s="15" t="s">
        <v>6271</v>
      </c>
      <c r="GL830" s="15" t="s">
        <v>8686</v>
      </c>
      <c r="GM830" s="15">
        <v>0.0</v>
      </c>
      <c r="HF830" s="15" t="s">
        <v>1957</v>
      </c>
      <c r="HQ830" s="15" t="s">
        <v>426</v>
      </c>
    </row>
    <row r="831" ht="17.25" customHeight="1">
      <c r="A831" s="15" t="s">
        <v>8691</v>
      </c>
      <c r="B831" s="15" t="str">
        <f>"801542823504"</f>
        <v>801542823504</v>
      </c>
      <c r="C831" s="15" t="s">
        <v>21393</v>
      </c>
      <c r="D831" s="15" t="str">
        <f t="shared" si="1"/>
        <v>Risa BookcaseLamont Natural Oak Veneer</v>
      </c>
      <c r="E831" s="15" t="s">
        <v>8688</v>
      </c>
      <c r="F831" s="15" t="s">
        <v>397</v>
      </c>
      <c r="G831" s="15" t="s">
        <v>8690</v>
      </c>
      <c r="J831" s="15" t="s">
        <v>8690</v>
      </c>
      <c r="M831" s="15" t="s">
        <v>1317</v>
      </c>
      <c r="N831" s="15" t="s">
        <v>1899</v>
      </c>
      <c r="P831" s="15" t="str">
        <f>"30"</f>
        <v>30</v>
      </c>
      <c r="Q831" s="15" t="str">
        <f>"15"</f>
        <v>15</v>
      </c>
      <c r="R831" s="15" t="str">
        <f>"75"</f>
        <v>75</v>
      </c>
      <c r="S831" s="15" t="str">
        <f>"99.21"</f>
        <v>99.21</v>
      </c>
      <c r="T831" s="15" t="s">
        <v>1298</v>
      </c>
      <c r="U831" s="15" t="s">
        <v>11553</v>
      </c>
      <c r="AA831" s="15" t="s">
        <v>413</v>
      </c>
      <c r="AB831" s="15" t="s">
        <v>413</v>
      </c>
      <c r="AC831" s="15" t="s">
        <v>8693</v>
      </c>
      <c r="AD831" s="15" t="s">
        <v>21394</v>
      </c>
      <c r="AE831" s="15" t="s">
        <v>8692</v>
      </c>
      <c r="AF831" s="15" t="s">
        <v>21395</v>
      </c>
      <c r="AG831" s="15" t="s">
        <v>21396</v>
      </c>
      <c r="AH831" s="15" t="s">
        <v>21397</v>
      </c>
      <c r="AI831" s="15" t="s">
        <v>21398</v>
      </c>
      <c r="AJ831" s="15" t="s">
        <v>21399</v>
      </c>
      <c r="AK831" s="15" t="s">
        <v>21400</v>
      </c>
      <c r="AL831" s="15" t="s">
        <v>21401</v>
      </c>
      <c r="AM831" s="15" t="s">
        <v>21402</v>
      </c>
      <c r="BH831" s="15" t="s">
        <v>8689</v>
      </c>
      <c r="BI831" s="15" t="str">
        <f>"1599"</f>
        <v>1599</v>
      </c>
      <c r="BJ831" s="15" t="str">
        <f>"675"</f>
        <v>675</v>
      </c>
      <c r="BK831" s="15" t="s">
        <v>709</v>
      </c>
      <c r="BL831" s="15" t="str">
        <f t="shared" si="2383"/>
        <v>1</v>
      </c>
      <c r="BM831" s="15" t="s">
        <v>416</v>
      </c>
      <c r="BN831" s="15" t="str">
        <f>"33.66"</f>
        <v>33.66</v>
      </c>
      <c r="BO831" s="15" t="str">
        <f>"17.72"</f>
        <v>17.72</v>
      </c>
      <c r="BP831" s="15" t="str">
        <f>"77.56"</f>
        <v>77.56</v>
      </c>
      <c r="BQ831" s="15" t="str">
        <f>"116.84"</f>
        <v>116.84</v>
      </c>
      <c r="CG831" s="15" t="str">
        <f>"26.77"</f>
        <v>26.77</v>
      </c>
      <c r="CH831" s="15" t="str">
        <f>"0.758"</f>
        <v>0.758</v>
      </c>
      <c r="CI831" s="15" t="s">
        <v>465</v>
      </c>
      <c r="CJ831" s="15" t="s">
        <v>504</v>
      </c>
      <c r="CK831" s="15" t="s">
        <v>1188</v>
      </c>
      <c r="CL831" s="15" t="s">
        <v>1574</v>
      </c>
      <c r="CM831" s="15" t="s">
        <v>504</v>
      </c>
      <c r="CN831" s="15" t="s">
        <v>2739</v>
      </c>
      <c r="CO831" s="15" t="s">
        <v>1574</v>
      </c>
      <c r="CZ831" s="15" t="s">
        <v>419</v>
      </c>
      <c r="DA831" s="15">
        <v>0.0</v>
      </c>
      <c r="DB831" s="15" t="s">
        <v>419</v>
      </c>
      <c r="DD831" s="15">
        <v>6.0</v>
      </c>
      <c r="DE831" s="15" t="s">
        <v>426</v>
      </c>
      <c r="DF831" s="15" t="s">
        <v>420</v>
      </c>
      <c r="DI831" s="15">
        <v>18.14</v>
      </c>
      <c r="DJ831" s="15">
        <v>40.0</v>
      </c>
      <c r="DK831" s="15">
        <v>0.0</v>
      </c>
      <c r="DS831" s="15" t="s">
        <v>8694</v>
      </c>
      <c r="EU831" s="15" t="s">
        <v>426</v>
      </c>
      <c r="EV831" s="15">
        <v>7.0</v>
      </c>
      <c r="FQ831" s="15">
        <v>0.0</v>
      </c>
      <c r="FR831" s="15" t="s">
        <v>427</v>
      </c>
      <c r="GJ831" s="15" t="s">
        <v>504</v>
      </c>
      <c r="GK831" s="15" t="s">
        <v>1593</v>
      </c>
      <c r="GL831" s="15" t="s">
        <v>1574</v>
      </c>
      <c r="GZ831" s="15" t="s">
        <v>504</v>
      </c>
      <c r="HA831" s="15" t="s">
        <v>504</v>
      </c>
      <c r="HB831" s="15" t="s">
        <v>475</v>
      </c>
      <c r="HC831" s="15" t="s">
        <v>467</v>
      </c>
      <c r="HD831" s="15" t="s">
        <v>1238</v>
      </c>
      <c r="HE831" s="15" t="s">
        <v>1238</v>
      </c>
      <c r="JU831" s="15" t="s">
        <v>504</v>
      </c>
      <c r="JV831" s="15" t="s">
        <v>1188</v>
      </c>
      <c r="JW831" s="15" t="s">
        <v>1238</v>
      </c>
      <c r="KG831" s="15" t="s">
        <v>504</v>
      </c>
      <c r="KH831" s="15" t="s">
        <v>467</v>
      </c>
      <c r="KI831" s="15" t="s">
        <v>1574</v>
      </c>
    </row>
    <row r="832" ht="17.25" customHeight="1">
      <c r="A832" s="15" t="s">
        <v>8698</v>
      </c>
      <c r="B832" s="15" t="str">
        <f>"801542920944"</f>
        <v>801542920944</v>
      </c>
      <c r="C832" s="15" t="s">
        <v>21403</v>
      </c>
      <c r="D832" s="15" t="str">
        <f t="shared" si="1"/>
        <v>Rivi End TableAged Belgium Bleach</v>
      </c>
      <c r="E832" s="15" t="s">
        <v>8695</v>
      </c>
      <c r="F832" s="15" t="s">
        <v>397</v>
      </c>
      <c r="G832" s="15" t="s">
        <v>8697</v>
      </c>
      <c r="J832" s="15" t="s">
        <v>8697</v>
      </c>
      <c r="M832" s="15" t="s">
        <v>2677</v>
      </c>
      <c r="N832" s="15" t="s">
        <v>1154</v>
      </c>
      <c r="P832" s="15" t="str">
        <f t="shared" ref="P832:Q832" si="2384">"22"</f>
        <v>22</v>
      </c>
      <c r="Q832" s="15" t="str">
        <f t="shared" si="2384"/>
        <v>22</v>
      </c>
      <c r="R832" s="15" t="str">
        <f t="shared" ref="R832:R833" si="2387">"24"</f>
        <v>24</v>
      </c>
      <c r="S832" s="15" t="str">
        <f t="shared" ref="S832:S833" si="2388">"25.794"</f>
        <v>25.794</v>
      </c>
      <c r="T832" s="15" t="s">
        <v>2689</v>
      </c>
      <c r="U832" s="15" t="s">
        <v>13000</v>
      </c>
      <c r="AA832" s="15" t="s">
        <v>413</v>
      </c>
      <c r="AB832" s="15" t="s">
        <v>413</v>
      </c>
      <c r="AC832" s="15" t="s">
        <v>8701</v>
      </c>
      <c r="AD832" s="15" t="s">
        <v>21404</v>
      </c>
      <c r="AE832" s="15" t="s">
        <v>8700</v>
      </c>
      <c r="AF832" s="15" t="s">
        <v>21405</v>
      </c>
      <c r="AG832" s="15" t="s">
        <v>21406</v>
      </c>
      <c r="AH832" s="15" t="s">
        <v>21407</v>
      </c>
      <c r="AI832" s="15" t="s">
        <v>21408</v>
      </c>
      <c r="AJ832" s="15" t="s">
        <v>21409</v>
      </c>
      <c r="AK832" s="15" t="s">
        <v>21410</v>
      </c>
      <c r="AL832" s="15" t="s">
        <v>21411</v>
      </c>
      <c r="AM832" s="15" t="s">
        <v>21412</v>
      </c>
      <c r="AN832" s="15" t="s">
        <v>21413</v>
      </c>
      <c r="AO832" s="15" t="s">
        <v>21414</v>
      </c>
      <c r="BH832" s="15" t="s">
        <v>8696</v>
      </c>
      <c r="BI832" s="15" t="str">
        <f t="shared" ref="BI832:BI833" si="2389">"549"</f>
        <v>549</v>
      </c>
      <c r="BJ832" s="15" t="str">
        <f t="shared" ref="BJ832:BJ833" si="2390">"235"</f>
        <v>235</v>
      </c>
      <c r="BK832" s="15" t="s">
        <v>1303</v>
      </c>
      <c r="BL832" s="15" t="str">
        <f t="shared" si="2383"/>
        <v>1</v>
      </c>
      <c r="BM832" s="15" t="s">
        <v>416</v>
      </c>
      <c r="BN832" s="15" t="str">
        <f t="shared" ref="BN832:BO832" si="2385">"26"</f>
        <v>26</v>
      </c>
      <c r="BO832" s="15" t="str">
        <f t="shared" si="2385"/>
        <v>26</v>
      </c>
      <c r="BP832" s="15" t="str">
        <f t="shared" ref="BP832:BP833" si="2392">"28.5"</f>
        <v>28.5</v>
      </c>
      <c r="BQ832" s="15" t="str">
        <f t="shared" ref="BQ832:BQ833" si="2393">"45.19"</f>
        <v>45.19</v>
      </c>
      <c r="CG832" s="15" t="str">
        <f t="shared" ref="CG832:CG833" si="2394">"11.16"</f>
        <v>11.16</v>
      </c>
      <c r="CH832" s="15" t="str">
        <f t="shared" ref="CH832:CH833" si="2395">"0.316"</f>
        <v>0.316</v>
      </c>
      <c r="CI832" s="15" t="s">
        <v>465</v>
      </c>
      <c r="CZ832" s="15" t="s">
        <v>419</v>
      </c>
      <c r="DA832" s="15">
        <v>0.0</v>
      </c>
      <c r="DB832" s="15" t="s">
        <v>419</v>
      </c>
      <c r="DD832" s="15">
        <v>0.0</v>
      </c>
      <c r="DF832" s="15" t="s">
        <v>1111</v>
      </c>
      <c r="DG832" s="15" t="s">
        <v>419</v>
      </c>
      <c r="DK832" s="15">
        <v>0.0</v>
      </c>
      <c r="DR832" s="15" t="s">
        <v>1157</v>
      </c>
      <c r="DS832" s="15" t="s">
        <v>8702</v>
      </c>
      <c r="DU832" s="15" t="s">
        <v>500</v>
      </c>
      <c r="EF832" s="15" t="s">
        <v>2638</v>
      </c>
      <c r="EQ832" s="15" t="s">
        <v>2402</v>
      </c>
      <c r="ER832" s="15" t="s">
        <v>2732</v>
      </c>
      <c r="ES832" s="15" t="s">
        <v>1807</v>
      </c>
      <c r="ET832" s="15" t="s">
        <v>2638</v>
      </c>
      <c r="EV832" s="15">
        <v>0.0</v>
      </c>
      <c r="EW832" s="15">
        <v>0.0</v>
      </c>
      <c r="FF832" s="15" t="s">
        <v>1236</v>
      </c>
    </row>
    <row r="833" ht="17.25" customHeight="1">
      <c r="A833" s="15" t="s">
        <v>8705</v>
      </c>
      <c r="B833" s="15" t="str">
        <f>"801542979775"</f>
        <v>801542979775</v>
      </c>
      <c r="C833" s="15" t="s">
        <v>21415</v>
      </c>
      <c r="D833" s="15" t="str">
        <f t="shared" si="1"/>
        <v>Rivi End TableDark Reclaimed</v>
      </c>
      <c r="E833" s="15" t="s">
        <v>8695</v>
      </c>
      <c r="F833" s="15" t="s">
        <v>397</v>
      </c>
      <c r="G833" s="15" t="s">
        <v>8704</v>
      </c>
      <c r="J833" s="15" t="s">
        <v>8704</v>
      </c>
      <c r="M833" s="15" t="s">
        <v>2677</v>
      </c>
      <c r="N833" s="15" t="s">
        <v>1154</v>
      </c>
      <c r="P833" s="15" t="str">
        <f t="shared" ref="P833:Q833" si="2386">"22"</f>
        <v>22</v>
      </c>
      <c r="Q833" s="15" t="str">
        <f t="shared" si="2386"/>
        <v>22</v>
      </c>
      <c r="R833" s="15" t="str">
        <f t="shared" si="2387"/>
        <v>24</v>
      </c>
      <c r="S833" s="15" t="str">
        <f t="shared" si="2388"/>
        <v>25.794</v>
      </c>
      <c r="T833" s="15" t="s">
        <v>2689</v>
      </c>
      <c r="U833" s="15" t="s">
        <v>13000</v>
      </c>
      <c r="AA833" s="15" t="s">
        <v>413</v>
      </c>
      <c r="AB833" s="15" t="s">
        <v>413</v>
      </c>
      <c r="AC833" s="15" t="s">
        <v>8707</v>
      </c>
      <c r="AD833" s="15" t="s">
        <v>21416</v>
      </c>
      <c r="AE833" s="15" t="s">
        <v>8706</v>
      </c>
      <c r="AF833" s="15" t="s">
        <v>21417</v>
      </c>
      <c r="AG833" s="15" t="s">
        <v>21418</v>
      </c>
      <c r="AH833" s="15" t="s">
        <v>21419</v>
      </c>
      <c r="AI833" s="15" t="s">
        <v>21420</v>
      </c>
      <c r="AJ833" s="15" t="s">
        <v>21421</v>
      </c>
      <c r="AK833" s="15" t="s">
        <v>21422</v>
      </c>
      <c r="AL833" s="15" t="s">
        <v>21423</v>
      </c>
      <c r="AM833" s="15" t="s">
        <v>21424</v>
      </c>
      <c r="AN833" s="15" t="s">
        <v>21425</v>
      </c>
      <c r="AO833" s="15" t="s">
        <v>21426</v>
      </c>
      <c r="BH833" s="15" t="s">
        <v>8703</v>
      </c>
      <c r="BI833" s="15" t="str">
        <f t="shared" si="2389"/>
        <v>549</v>
      </c>
      <c r="BJ833" s="15" t="str">
        <f t="shared" si="2390"/>
        <v>235</v>
      </c>
      <c r="BK833" s="15" t="s">
        <v>1303</v>
      </c>
      <c r="BL833" s="15" t="str">
        <f t="shared" si="2383"/>
        <v>1</v>
      </c>
      <c r="BM833" s="15" t="s">
        <v>416</v>
      </c>
      <c r="BN833" s="15" t="str">
        <f t="shared" ref="BN833:BO833" si="2391">"26"</f>
        <v>26</v>
      </c>
      <c r="BO833" s="15" t="str">
        <f t="shared" si="2391"/>
        <v>26</v>
      </c>
      <c r="BP833" s="15" t="str">
        <f t="shared" si="2392"/>
        <v>28.5</v>
      </c>
      <c r="BQ833" s="15" t="str">
        <f t="shared" si="2393"/>
        <v>45.19</v>
      </c>
      <c r="CG833" s="15" t="str">
        <f t="shared" si="2394"/>
        <v>11.16</v>
      </c>
      <c r="CH833" s="15" t="str">
        <f t="shared" si="2395"/>
        <v>0.316</v>
      </c>
      <c r="CI833" s="15" t="s">
        <v>465</v>
      </c>
      <c r="CZ833" s="15" t="s">
        <v>419</v>
      </c>
      <c r="DA833" s="15">
        <v>0.0</v>
      </c>
      <c r="DB833" s="15" t="s">
        <v>419</v>
      </c>
      <c r="DD833" s="15">
        <v>0.0</v>
      </c>
      <c r="DF833" s="15" t="s">
        <v>1111</v>
      </c>
      <c r="DG833" s="15" t="s">
        <v>419</v>
      </c>
      <c r="DK833" s="15">
        <v>0.0</v>
      </c>
      <c r="DR833" s="15" t="s">
        <v>1157</v>
      </c>
      <c r="DS833" s="15" t="s">
        <v>8702</v>
      </c>
      <c r="DU833" s="15" t="s">
        <v>500</v>
      </c>
      <c r="EF833" s="15" t="s">
        <v>2638</v>
      </c>
      <c r="EQ833" s="15" t="s">
        <v>2402</v>
      </c>
      <c r="ER833" s="15" t="s">
        <v>2732</v>
      </c>
      <c r="ES833" s="15" t="s">
        <v>1807</v>
      </c>
      <c r="ET833" s="15" t="s">
        <v>2638</v>
      </c>
      <c r="EV833" s="15">
        <v>0.0</v>
      </c>
      <c r="EW833" s="15">
        <v>0.0</v>
      </c>
      <c r="FF833" s="15" t="s">
        <v>1236</v>
      </c>
    </row>
    <row r="834" ht="17.25" customHeight="1">
      <c r="A834" s="15" t="s">
        <v>8710</v>
      </c>
      <c r="B834" s="15" t="str">
        <f>"801542190477"</f>
        <v>801542190477</v>
      </c>
      <c r="C834" s="15" t="s">
        <v>21427</v>
      </c>
      <c r="D834" s="15" t="str">
        <f t="shared" si="1"/>
        <v>Roark 6 Drawer DresserAmber Oak Veneer</v>
      </c>
      <c r="E834" s="15" t="s">
        <v>8708</v>
      </c>
      <c r="F834" s="15" t="s">
        <v>397</v>
      </c>
      <c r="G834" s="15" t="s">
        <v>4875</v>
      </c>
      <c r="J834" s="15" t="s">
        <v>4875</v>
      </c>
      <c r="M834" s="15" t="s">
        <v>2063</v>
      </c>
      <c r="N834" s="15" t="s">
        <v>412</v>
      </c>
      <c r="P834" s="15" t="str">
        <f t="shared" ref="P834:P835" si="2396">"75"</f>
        <v>75</v>
      </c>
      <c r="Q834" s="15" t="str">
        <f t="shared" ref="Q834:Q835" si="2397">"20"</f>
        <v>20</v>
      </c>
      <c r="R834" s="15" t="str">
        <f t="shared" ref="R834:R835" si="2398">"31.5"</f>
        <v>31.5</v>
      </c>
      <c r="S834" s="15" t="str">
        <f t="shared" ref="S834:S835" si="2399">"260.14"</f>
        <v>260.14</v>
      </c>
      <c r="T834" s="15" t="s">
        <v>2354</v>
      </c>
      <c r="U834" s="15" t="s">
        <v>11553</v>
      </c>
      <c r="V834" s="15" t="s">
        <v>11338</v>
      </c>
      <c r="AA834" s="15" t="s">
        <v>413</v>
      </c>
      <c r="AB834" s="15" t="s">
        <v>413</v>
      </c>
      <c r="AC834" s="15" t="s">
        <v>8712</v>
      </c>
      <c r="AD834" s="15" t="s">
        <v>21428</v>
      </c>
      <c r="AE834" s="15" t="s">
        <v>8711</v>
      </c>
      <c r="AF834" s="15" t="s">
        <v>21429</v>
      </c>
      <c r="AG834" s="15" t="s">
        <v>21430</v>
      </c>
      <c r="AH834" s="15" t="s">
        <v>21431</v>
      </c>
      <c r="AI834" s="15" t="s">
        <v>21432</v>
      </c>
      <c r="AJ834" s="15" t="s">
        <v>21433</v>
      </c>
      <c r="AK834" s="15" t="s">
        <v>21434</v>
      </c>
      <c r="AL834" s="15" t="s">
        <v>21435</v>
      </c>
      <c r="AM834" s="15" t="s">
        <v>21436</v>
      </c>
      <c r="AN834" s="15" t="s">
        <v>21437</v>
      </c>
      <c r="AO834" s="15" t="s">
        <v>21438</v>
      </c>
      <c r="AP834" s="15" t="s">
        <v>21439</v>
      </c>
      <c r="AQ834" s="15" t="s">
        <v>21440</v>
      </c>
      <c r="AR834" s="15" t="s">
        <v>21441</v>
      </c>
      <c r="AS834" s="15" t="s">
        <v>21442</v>
      </c>
      <c r="AT834" s="15" t="s">
        <v>21443</v>
      </c>
      <c r="BH834" s="15" t="s">
        <v>8709</v>
      </c>
      <c r="BI834" s="15" t="str">
        <f t="shared" ref="BI834:BI836" si="2400">"2099"</f>
        <v>2099</v>
      </c>
      <c r="BJ834" s="15" t="str">
        <f t="shared" ref="BJ834:BJ836" si="2401">"885"</f>
        <v>885</v>
      </c>
      <c r="BK834" s="15" t="s">
        <v>742</v>
      </c>
      <c r="BL834" s="15" t="str">
        <f t="shared" si="2383"/>
        <v>1</v>
      </c>
      <c r="BM834" s="15" t="s">
        <v>416</v>
      </c>
      <c r="BN834" s="15" t="str">
        <f t="shared" ref="BN834:BN835" si="2402">"78.74"</f>
        <v>78.74</v>
      </c>
      <c r="BO834" s="15" t="str">
        <f t="shared" ref="BO834:BO835" si="2403">"23.82"</f>
        <v>23.82</v>
      </c>
      <c r="BP834" s="15" t="str">
        <f t="shared" ref="BP834:BP835" si="2404">"38.39"</f>
        <v>38.39</v>
      </c>
      <c r="BQ834" s="15" t="str">
        <f t="shared" ref="BQ834:BQ835" si="2405">"304.24"</f>
        <v>304.24</v>
      </c>
      <c r="CG834" s="15" t="str">
        <f t="shared" ref="CG834:CG835" si="2406">"41.67"</f>
        <v>41.67</v>
      </c>
      <c r="CH834" s="15" t="str">
        <f t="shared" ref="CH834:CH835" si="2407">"1.18"</f>
        <v>1.18</v>
      </c>
      <c r="CI834" s="15" t="s">
        <v>497</v>
      </c>
      <c r="CZ834" s="15" t="s">
        <v>1371</v>
      </c>
      <c r="DA834" s="15">
        <v>6.0</v>
      </c>
      <c r="DB834" s="15" t="s">
        <v>419</v>
      </c>
      <c r="DD834" s="15">
        <v>0.0</v>
      </c>
      <c r="DF834" s="15" t="s">
        <v>1186</v>
      </c>
      <c r="DG834" s="15" t="s">
        <v>421</v>
      </c>
      <c r="DK834" s="15">
        <v>0.0</v>
      </c>
      <c r="DR834" s="15" t="s">
        <v>422</v>
      </c>
      <c r="DS834" s="15" t="s">
        <v>8714</v>
      </c>
      <c r="DU834" s="15" t="s">
        <v>424</v>
      </c>
      <c r="EF834" s="15" t="s">
        <v>1955</v>
      </c>
      <c r="EU834" s="15" t="s">
        <v>426</v>
      </c>
      <c r="EV834" s="15">
        <v>0.0</v>
      </c>
      <c r="FQ834" s="15">
        <v>0.0</v>
      </c>
      <c r="FR834" s="15" t="s">
        <v>427</v>
      </c>
      <c r="FZ834" s="15" t="s">
        <v>3781</v>
      </c>
      <c r="GB834" s="15" t="s">
        <v>1391</v>
      </c>
      <c r="GD834" s="15" t="s">
        <v>734</v>
      </c>
      <c r="GF834" s="15" t="s">
        <v>838</v>
      </c>
      <c r="GH834" s="15" t="s">
        <v>764</v>
      </c>
    </row>
    <row r="835" ht="17.25" customHeight="1">
      <c r="A835" s="15" t="s">
        <v>8717</v>
      </c>
      <c r="B835" s="15" t="str">
        <f>"801542381950"</f>
        <v>801542381950</v>
      </c>
      <c r="C835" s="15" t="s">
        <v>21444</v>
      </c>
      <c r="D835" s="15" t="str">
        <f t="shared" si="1"/>
        <v>Roark 6 Drawer DresserEbony Oak Veneer</v>
      </c>
      <c r="E835" s="15" t="s">
        <v>8708</v>
      </c>
      <c r="F835" s="15" t="s">
        <v>397</v>
      </c>
      <c r="G835" s="15" t="s">
        <v>8716</v>
      </c>
      <c r="J835" s="15" t="s">
        <v>8716</v>
      </c>
      <c r="M835" s="15" t="s">
        <v>2063</v>
      </c>
      <c r="N835" s="15" t="s">
        <v>412</v>
      </c>
      <c r="P835" s="15" t="str">
        <f t="shared" si="2396"/>
        <v>75</v>
      </c>
      <c r="Q835" s="15" t="str">
        <f t="shared" si="2397"/>
        <v>20</v>
      </c>
      <c r="R835" s="15" t="str">
        <f t="shared" si="2398"/>
        <v>31.5</v>
      </c>
      <c r="S835" s="15" t="str">
        <f t="shared" si="2399"/>
        <v>260.14</v>
      </c>
      <c r="T835" s="15" t="s">
        <v>2354</v>
      </c>
      <c r="U835" s="15" t="s">
        <v>11553</v>
      </c>
      <c r="V835" s="15" t="s">
        <v>11338</v>
      </c>
      <c r="AA835" s="15" t="s">
        <v>413</v>
      </c>
      <c r="AB835" s="15" t="s">
        <v>413</v>
      </c>
      <c r="AC835" s="15" t="s">
        <v>8719</v>
      </c>
      <c r="AD835" s="15" t="s">
        <v>21445</v>
      </c>
      <c r="AE835" s="15" t="s">
        <v>8718</v>
      </c>
      <c r="AF835" s="15" t="s">
        <v>21446</v>
      </c>
      <c r="AG835" s="15" t="s">
        <v>21447</v>
      </c>
      <c r="AH835" s="15" t="s">
        <v>21448</v>
      </c>
      <c r="AI835" s="15" t="s">
        <v>21449</v>
      </c>
      <c r="AJ835" s="15" t="s">
        <v>21450</v>
      </c>
      <c r="AK835" s="15" t="s">
        <v>21451</v>
      </c>
      <c r="AL835" s="15" t="s">
        <v>21452</v>
      </c>
      <c r="AM835" s="15" t="s">
        <v>21453</v>
      </c>
      <c r="AN835" s="15" t="s">
        <v>21454</v>
      </c>
      <c r="AO835" s="15" t="s">
        <v>21455</v>
      </c>
      <c r="BH835" s="15" t="s">
        <v>8715</v>
      </c>
      <c r="BI835" s="15" t="str">
        <f t="shared" si="2400"/>
        <v>2099</v>
      </c>
      <c r="BJ835" s="15" t="str">
        <f t="shared" si="2401"/>
        <v>885</v>
      </c>
      <c r="BK835" s="15" t="s">
        <v>742</v>
      </c>
      <c r="BL835" s="15" t="str">
        <f t="shared" si="2383"/>
        <v>1</v>
      </c>
      <c r="BM835" s="15" t="s">
        <v>416</v>
      </c>
      <c r="BN835" s="15" t="str">
        <f t="shared" si="2402"/>
        <v>78.74</v>
      </c>
      <c r="BO835" s="15" t="str">
        <f t="shared" si="2403"/>
        <v>23.82</v>
      </c>
      <c r="BP835" s="15" t="str">
        <f t="shared" si="2404"/>
        <v>38.39</v>
      </c>
      <c r="BQ835" s="15" t="str">
        <f t="shared" si="2405"/>
        <v>304.24</v>
      </c>
      <c r="CG835" s="15" t="str">
        <f t="shared" si="2406"/>
        <v>41.67</v>
      </c>
      <c r="CH835" s="15" t="str">
        <f t="shared" si="2407"/>
        <v>1.18</v>
      </c>
      <c r="CI835" s="15" t="s">
        <v>465</v>
      </c>
      <c r="CZ835" s="15" t="s">
        <v>1371</v>
      </c>
      <c r="DA835" s="15">
        <v>6.0</v>
      </c>
      <c r="DB835" s="15" t="s">
        <v>419</v>
      </c>
      <c r="DD835" s="15">
        <v>0.0</v>
      </c>
      <c r="DF835" s="15" t="s">
        <v>1186</v>
      </c>
      <c r="DG835" s="15" t="s">
        <v>421</v>
      </c>
      <c r="DK835" s="15">
        <v>0.0</v>
      </c>
      <c r="DR835" s="15" t="s">
        <v>422</v>
      </c>
      <c r="DS835" s="15" t="s">
        <v>8714</v>
      </c>
      <c r="DU835" s="15" t="s">
        <v>424</v>
      </c>
      <c r="EF835" s="15" t="s">
        <v>1955</v>
      </c>
      <c r="EU835" s="15" t="s">
        <v>426</v>
      </c>
      <c r="EV835" s="15">
        <v>0.0</v>
      </c>
      <c r="FQ835" s="15">
        <v>0.0</v>
      </c>
      <c r="FR835" s="15" t="s">
        <v>427</v>
      </c>
      <c r="FZ835" s="15" t="s">
        <v>3781</v>
      </c>
      <c r="GB835" s="15" t="s">
        <v>1391</v>
      </c>
      <c r="GD835" s="15" t="s">
        <v>734</v>
      </c>
      <c r="GF835" s="15" t="s">
        <v>838</v>
      </c>
      <c r="GH835" s="15" t="s">
        <v>764</v>
      </c>
    </row>
    <row r="836" ht="17.25" customHeight="1">
      <c r="A836" s="15" t="s">
        <v>8722</v>
      </c>
      <c r="B836" s="15" t="str">
        <f>"801542183851"</f>
        <v>801542183851</v>
      </c>
      <c r="C836" s="15" t="s">
        <v>21456</v>
      </c>
      <c r="D836" s="15" t="str">
        <f t="shared" si="1"/>
        <v>Roark BedEssence NaturalQueen</v>
      </c>
      <c r="E836" s="15" t="s">
        <v>8720</v>
      </c>
      <c r="F836" s="15" t="s">
        <v>397</v>
      </c>
      <c r="G836" s="15" t="s">
        <v>2365</v>
      </c>
      <c r="H836" s="15" t="s">
        <v>265</v>
      </c>
      <c r="I836" s="15" t="s">
        <v>877</v>
      </c>
      <c r="J836" s="15" t="s">
        <v>2365</v>
      </c>
      <c r="K836" s="15" t="s">
        <v>4870</v>
      </c>
      <c r="L836" s="15" t="s">
        <v>4875</v>
      </c>
      <c r="M836" s="15" t="s">
        <v>2063</v>
      </c>
      <c r="N836" s="15" t="s">
        <v>839</v>
      </c>
      <c r="O836" s="15" t="s">
        <v>877</v>
      </c>
      <c r="P836" s="15" t="str">
        <f>"64.25"</f>
        <v>64.25</v>
      </c>
      <c r="Q836" s="15" t="str">
        <f t="shared" ref="Q836:Q839" si="2408">"86"</f>
        <v>86</v>
      </c>
      <c r="R836" s="15" t="str">
        <f t="shared" ref="R836:R839" si="2409">"48"</f>
        <v>48</v>
      </c>
      <c r="S836" s="15" t="str">
        <f>"134.48"</f>
        <v>134.48</v>
      </c>
      <c r="T836" s="15" t="s">
        <v>8724</v>
      </c>
      <c r="U836" s="15" t="s">
        <v>12693</v>
      </c>
      <c r="V836" s="15" t="s">
        <v>12694</v>
      </c>
      <c r="W836" s="15" t="s">
        <v>12695</v>
      </c>
      <c r="X836" s="15" t="s">
        <v>12696</v>
      </c>
      <c r="Y836" s="15" t="s">
        <v>11338</v>
      </c>
      <c r="Z836" s="15" t="s">
        <v>11553</v>
      </c>
      <c r="AA836" s="15" t="s">
        <v>413</v>
      </c>
      <c r="AB836" s="15" t="s">
        <v>413</v>
      </c>
      <c r="AC836" s="15" t="s">
        <v>8725</v>
      </c>
      <c r="AD836" s="15" t="s">
        <v>21457</v>
      </c>
      <c r="AE836" s="15" t="s">
        <v>8723</v>
      </c>
      <c r="AF836" s="15" t="s">
        <v>21458</v>
      </c>
      <c r="AG836" s="15" t="s">
        <v>21459</v>
      </c>
      <c r="AH836" s="15" t="s">
        <v>21460</v>
      </c>
      <c r="AI836" s="15" t="s">
        <v>21461</v>
      </c>
      <c r="AJ836" s="15" t="s">
        <v>21462</v>
      </c>
      <c r="AK836" s="15" t="s">
        <v>21463</v>
      </c>
      <c r="AL836" s="15" t="s">
        <v>21464</v>
      </c>
      <c r="AM836" s="15" t="s">
        <v>21465</v>
      </c>
      <c r="AN836" s="15" t="s">
        <v>21466</v>
      </c>
      <c r="AO836" s="15" t="s">
        <v>21467</v>
      </c>
      <c r="AP836" s="15" t="s">
        <v>21468</v>
      </c>
      <c r="AQ836" s="15" t="s">
        <v>21469</v>
      </c>
      <c r="BH836" s="15" t="s">
        <v>8721</v>
      </c>
      <c r="BI836" s="15" t="str">
        <f t="shared" si="2400"/>
        <v>2099</v>
      </c>
      <c r="BJ836" s="15" t="str">
        <f t="shared" si="2401"/>
        <v>885</v>
      </c>
      <c r="BK836" s="15" t="s">
        <v>742</v>
      </c>
      <c r="BL836" s="15" t="str">
        <f t="shared" ref="BL836:BL839" si="2410">"2"</f>
        <v>2</v>
      </c>
      <c r="BM836" s="15" t="s">
        <v>2455</v>
      </c>
      <c r="BN836" s="15" t="str">
        <f>"68.7"</f>
        <v>68.7</v>
      </c>
      <c r="BO836" s="15" t="str">
        <f>"52.48"</f>
        <v>52.48</v>
      </c>
      <c r="BP836" s="15" t="str">
        <f>"11.42"</f>
        <v>11.42</v>
      </c>
      <c r="BQ836" s="15" t="str">
        <f>"80.91"</f>
        <v>80.91</v>
      </c>
      <c r="BR836" s="15" t="s">
        <v>8728</v>
      </c>
      <c r="BS836" s="15" t="str">
        <f t="shared" ref="BS836:BS839" si="2411">"84.96"</f>
        <v>84.96</v>
      </c>
      <c r="BT836" s="15" t="str">
        <f t="shared" ref="BT836:BT839" si="2412">"13.78"</f>
        <v>13.78</v>
      </c>
      <c r="BU836" s="15" t="str">
        <f t="shared" ref="BU836:BU839" si="2413">"10.43"</f>
        <v>10.43</v>
      </c>
      <c r="BV836" s="15" t="str">
        <f>"84.44"</f>
        <v>84.44</v>
      </c>
      <c r="CG836" s="15" t="str">
        <f>"30.9"</f>
        <v>30.9</v>
      </c>
      <c r="CH836" s="15" t="str">
        <f>"0.875"</f>
        <v>0.875</v>
      </c>
      <c r="CI836" s="15" t="s">
        <v>465</v>
      </c>
      <c r="CY836" s="15" t="s">
        <v>897</v>
      </c>
      <c r="CZ836" s="15" t="s">
        <v>419</v>
      </c>
      <c r="DA836" s="15">
        <v>0.0</v>
      </c>
      <c r="DB836" s="15" t="s">
        <v>419</v>
      </c>
      <c r="DD836" s="15">
        <v>0.0</v>
      </c>
      <c r="DF836" s="15" t="s">
        <v>1186</v>
      </c>
      <c r="DG836" s="15" t="s">
        <v>419</v>
      </c>
      <c r="DI836" s="15">
        <v>0.0</v>
      </c>
      <c r="DJ836" s="15">
        <v>0.0</v>
      </c>
      <c r="DK836" s="15">
        <v>0.0</v>
      </c>
      <c r="DL836" s="15">
        <v>27000.0</v>
      </c>
      <c r="DS836" s="15" t="s">
        <v>8714</v>
      </c>
      <c r="DU836" s="15" t="s">
        <v>858</v>
      </c>
      <c r="EV836" s="15">
        <v>0.0</v>
      </c>
      <c r="FB836" s="15" t="s">
        <v>938</v>
      </c>
      <c r="HV836" s="15" t="s">
        <v>429</v>
      </c>
      <c r="HW836" s="15" t="s">
        <v>429</v>
      </c>
      <c r="HX836" s="15" t="s">
        <v>429</v>
      </c>
      <c r="HY836" s="15" t="s">
        <v>1443</v>
      </c>
      <c r="HZ836" s="15" t="s">
        <v>1807</v>
      </c>
      <c r="IA836" s="15" t="s">
        <v>8732</v>
      </c>
      <c r="IB836" s="15" t="s">
        <v>5320</v>
      </c>
      <c r="IC836" s="15" t="s">
        <v>8733</v>
      </c>
      <c r="ID836" s="15" t="s">
        <v>8732</v>
      </c>
      <c r="IE836" s="15" t="s">
        <v>2971</v>
      </c>
      <c r="IF836" s="15" t="s">
        <v>4685</v>
      </c>
      <c r="IG836" s="15" t="s">
        <v>890</v>
      </c>
      <c r="IH836" s="15" t="s">
        <v>5304</v>
      </c>
      <c r="II836" s="15" t="s">
        <v>8734</v>
      </c>
      <c r="IJ836" s="15" t="s">
        <v>1042</v>
      </c>
      <c r="IK836" s="15" t="s">
        <v>426</v>
      </c>
      <c r="IL836" s="15" t="s">
        <v>2973</v>
      </c>
      <c r="IM836" s="15" t="s">
        <v>872</v>
      </c>
      <c r="IN836" s="15" t="s">
        <v>873</v>
      </c>
      <c r="IO836" s="15" t="s">
        <v>877</v>
      </c>
      <c r="IU836" s="15" t="s">
        <v>759</v>
      </c>
      <c r="IV836" s="15" t="s">
        <v>939</v>
      </c>
      <c r="IX836" s="15" t="s">
        <v>426</v>
      </c>
      <c r="IY836" s="15" t="s">
        <v>2474</v>
      </c>
    </row>
    <row r="837" ht="17.25" customHeight="1">
      <c r="A837" s="15" t="s">
        <v>8736</v>
      </c>
      <c r="B837" s="15" t="str">
        <f>"801542183844"</f>
        <v>801542183844</v>
      </c>
      <c r="C837" s="15" t="s">
        <v>21456</v>
      </c>
      <c r="D837" s="15" t="str">
        <f t="shared" si="1"/>
        <v>Roark BedEssence NaturalKing</v>
      </c>
      <c r="E837" s="15" t="s">
        <v>8720</v>
      </c>
      <c r="F837" s="15" t="s">
        <v>397</v>
      </c>
      <c r="G837" s="15" t="s">
        <v>2365</v>
      </c>
      <c r="H837" s="15" t="s">
        <v>265</v>
      </c>
      <c r="I837" s="15" t="s">
        <v>828</v>
      </c>
      <c r="J837" s="15" t="s">
        <v>2365</v>
      </c>
      <c r="K837" s="15" t="s">
        <v>4870</v>
      </c>
      <c r="L837" s="15" t="s">
        <v>4875</v>
      </c>
      <c r="M837" s="15" t="s">
        <v>2063</v>
      </c>
      <c r="N837" s="15" t="s">
        <v>839</v>
      </c>
      <c r="O837" s="15" t="s">
        <v>828</v>
      </c>
      <c r="P837" s="15" t="str">
        <f>"80.5"</f>
        <v>80.5</v>
      </c>
      <c r="Q837" s="15" t="str">
        <f t="shared" si="2408"/>
        <v>86</v>
      </c>
      <c r="R837" s="15" t="str">
        <f t="shared" si="2409"/>
        <v>48</v>
      </c>
      <c r="S837" s="15" t="str">
        <f>"167.55"</f>
        <v>167.55</v>
      </c>
      <c r="T837" s="15" t="s">
        <v>8724</v>
      </c>
      <c r="U837" s="15" t="s">
        <v>12693</v>
      </c>
      <c r="V837" s="15" t="s">
        <v>12694</v>
      </c>
      <c r="W837" s="15" t="s">
        <v>12695</v>
      </c>
      <c r="X837" s="15" t="s">
        <v>12696</v>
      </c>
      <c r="Y837" s="15" t="s">
        <v>11338</v>
      </c>
      <c r="Z837" s="15" t="s">
        <v>11553</v>
      </c>
      <c r="AA837" s="15" t="s">
        <v>413</v>
      </c>
      <c r="AB837" s="15" t="s">
        <v>413</v>
      </c>
      <c r="AC837" s="15" t="s">
        <v>8725</v>
      </c>
      <c r="AD837" s="15" t="s">
        <v>21470</v>
      </c>
      <c r="AE837" s="15" t="s">
        <v>8738</v>
      </c>
      <c r="AF837" s="15" t="s">
        <v>21471</v>
      </c>
      <c r="AG837" s="15" t="s">
        <v>21472</v>
      </c>
      <c r="AH837" s="15" t="s">
        <v>21460</v>
      </c>
      <c r="AI837" s="15" t="s">
        <v>21473</v>
      </c>
      <c r="AJ837" s="15" t="s">
        <v>21474</v>
      </c>
      <c r="AK837" s="15" t="s">
        <v>21475</v>
      </c>
      <c r="AL837" s="15" t="s">
        <v>21476</v>
      </c>
      <c r="AM837" s="15" t="s">
        <v>21477</v>
      </c>
      <c r="AN837" s="15" t="s">
        <v>21478</v>
      </c>
      <c r="AO837" s="15" t="s">
        <v>21479</v>
      </c>
      <c r="AP837" s="15" t="s">
        <v>21480</v>
      </c>
      <c r="BH837" s="15" t="s">
        <v>8735</v>
      </c>
      <c r="BI837" s="15" t="str">
        <f>"2299"</f>
        <v>2299</v>
      </c>
      <c r="BJ837" s="15" t="str">
        <f>"970"</f>
        <v>970</v>
      </c>
      <c r="BK837" s="15" t="s">
        <v>742</v>
      </c>
      <c r="BL837" s="15" t="str">
        <f t="shared" si="2410"/>
        <v>2</v>
      </c>
      <c r="BM837" s="15" t="s">
        <v>2455</v>
      </c>
      <c r="BN837" s="15" t="str">
        <f>"85.24"</f>
        <v>85.24</v>
      </c>
      <c r="BO837" s="15" t="str">
        <f>"53.15"</f>
        <v>53.15</v>
      </c>
      <c r="BP837" s="15" t="str">
        <f>"11.22"</f>
        <v>11.22</v>
      </c>
      <c r="BQ837" s="15" t="str">
        <f>"103.62"</f>
        <v>103.62</v>
      </c>
      <c r="BR837" s="15" t="s">
        <v>8739</v>
      </c>
      <c r="BS837" s="15" t="str">
        <f t="shared" si="2411"/>
        <v>84.96</v>
      </c>
      <c r="BT837" s="15" t="str">
        <f t="shared" si="2412"/>
        <v>13.78</v>
      </c>
      <c r="BU837" s="15" t="str">
        <f t="shared" si="2413"/>
        <v>10.43</v>
      </c>
      <c r="BV837" s="15" t="str">
        <f>"99.21"</f>
        <v>99.21</v>
      </c>
      <c r="CG837" s="15" t="str">
        <f>"36.48"</f>
        <v>36.48</v>
      </c>
      <c r="CH837" s="15" t="str">
        <f>"1.033"</f>
        <v>1.033</v>
      </c>
      <c r="CI837" s="15" t="s">
        <v>465</v>
      </c>
      <c r="CY837" s="15" t="s">
        <v>897</v>
      </c>
      <c r="CZ837" s="15" t="s">
        <v>419</v>
      </c>
      <c r="DA837" s="15">
        <v>0.0</v>
      </c>
      <c r="DB837" s="15" t="s">
        <v>419</v>
      </c>
      <c r="DD837" s="15">
        <v>0.0</v>
      </c>
      <c r="DF837" s="15" t="s">
        <v>1186</v>
      </c>
      <c r="DG837" s="15" t="s">
        <v>419</v>
      </c>
      <c r="DI837" s="15">
        <v>0.0</v>
      </c>
      <c r="DJ837" s="15">
        <v>0.0</v>
      </c>
      <c r="DK837" s="15">
        <v>0.0</v>
      </c>
      <c r="DL837" s="15">
        <v>27000.0</v>
      </c>
      <c r="DS837" s="15" t="s">
        <v>8714</v>
      </c>
      <c r="DU837" s="15" t="s">
        <v>858</v>
      </c>
      <c r="EV837" s="15">
        <v>0.0</v>
      </c>
      <c r="FB837" s="15" t="s">
        <v>938</v>
      </c>
      <c r="HV837" s="15" t="s">
        <v>429</v>
      </c>
      <c r="HW837" s="15" t="s">
        <v>429</v>
      </c>
      <c r="HX837" s="15" t="s">
        <v>429</v>
      </c>
      <c r="HY837" s="15" t="s">
        <v>1443</v>
      </c>
      <c r="HZ837" s="15" t="s">
        <v>1807</v>
      </c>
      <c r="IA837" s="15" t="s">
        <v>8740</v>
      </c>
      <c r="IB837" s="15" t="s">
        <v>5320</v>
      </c>
      <c r="IC837" s="15" t="s">
        <v>8733</v>
      </c>
      <c r="ID837" s="15" t="s">
        <v>8740</v>
      </c>
      <c r="IE837" s="15" t="s">
        <v>2971</v>
      </c>
      <c r="IF837" s="15" t="s">
        <v>4685</v>
      </c>
      <c r="IG837" s="15" t="s">
        <v>869</v>
      </c>
      <c r="IH837" s="15" t="s">
        <v>5304</v>
      </c>
      <c r="II837" s="15" t="s">
        <v>8734</v>
      </c>
      <c r="IJ837" s="15" t="s">
        <v>1042</v>
      </c>
      <c r="IK837" s="15" t="s">
        <v>426</v>
      </c>
      <c r="IL837" s="15" t="s">
        <v>2973</v>
      </c>
      <c r="IM837" s="15" t="s">
        <v>872</v>
      </c>
      <c r="IN837" s="15" t="s">
        <v>873</v>
      </c>
      <c r="IO837" s="15" t="s">
        <v>828</v>
      </c>
      <c r="IU837" s="15" t="s">
        <v>759</v>
      </c>
      <c r="IV837" s="15" t="s">
        <v>939</v>
      </c>
      <c r="IX837" s="15" t="s">
        <v>426</v>
      </c>
      <c r="IY837" s="15" t="s">
        <v>2474</v>
      </c>
    </row>
    <row r="838" ht="17.25" customHeight="1">
      <c r="A838" s="15" t="s">
        <v>8742</v>
      </c>
      <c r="B838" s="15" t="str">
        <f>"801542381974"</f>
        <v>801542381974</v>
      </c>
      <c r="C838" s="15" t="s">
        <v>21481</v>
      </c>
      <c r="D838" s="15" t="str">
        <f t="shared" si="1"/>
        <v>Roark BedPalermo DriftQueen</v>
      </c>
      <c r="E838" s="15" t="s">
        <v>8720</v>
      </c>
      <c r="F838" s="15" t="s">
        <v>397</v>
      </c>
      <c r="G838" s="15" t="s">
        <v>1658</v>
      </c>
      <c r="H838" s="15" t="s">
        <v>265</v>
      </c>
      <c r="I838" s="15" t="s">
        <v>877</v>
      </c>
      <c r="J838" s="15" t="s">
        <v>1658</v>
      </c>
      <c r="K838" s="15" t="s">
        <v>4870</v>
      </c>
      <c r="L838" s="15" t="s">
        <v>4875</v>
      </c>
      <c r="M838" s="15" t="s">
        <v>2063</v>
      </c>
      <c r="N838" s="15" t="s">
        <v>839</v>
      </c>
      <c r="O838" s="15" t="s">
        <v>877</v>
      </c>
      <c r="P838" s="15" t="str">
        <f>"64.25"</f>
        <v>64.25</v>
      </c>
      <c r="Q838" s="15" t="str">
        <f t="shared" si="2408"/>
        <v>86</v>
      </c>
      <c r="R838" s="15" t="str">
        <f t="shared" si="2409"/>
        <v>48</v>
      </c>
      <c r="S838" s="15" t="str">
        <f>"134.48"</f>
        <v>134.48</v>
      </c>
      <c r="T838" s="15" t="s">
        <v>8744</v>
      </c>
      <c r="U838" s="15" t="s">
        <v>11137</v>
      </c>
      <c r="V838" s="15" t="s">
        <v>11338</v>
      </c>
      <c r="W838" s="15" t="s">
        <v>11553</v>
      </c>
      <c r="AA838" s="15" t="s">
        <v>413</v>
      </c>
      <c r="AB838" s="15" t="s">
        <v>413</v>
      </c>
      <c r="AC838" s="15" t="s">
        <v>8745</v>
      </c>
      <c r="AD838" s="15" t="s">
        <v>21482</v>
      </c>
      <c r="AE838" s="15" t="s">
        <v>8743</v>
      </c>
      <c r="AF838" s="15" t="s">
        <v>21483</v>
      </c>
      <c r="AG838" s="15" t="s">
        <v>21484</v>
      </c>
      <c r="AH838" s="15" t="s">
        <v>21485</v>
      </c>
      <c r="AI838" s="15" t="s">
        <v>21486</v>
      </c>
      <c r="AJ838" s="15" t="s">
        <v>21487</v>
      </c>
      <c r="AK838" s="15" t="s">
        <v>21488</v>
      </c>
      <c r="AL838" s="15" t="s">
        <v>21489</v>
      </c>
      <c r="AM838" s="15" t="s">
        <v>21490</v>
      </c>
      <c r="AN838" s="15" t="s">
        <v>21491</v>
      </c>
      <c r="AO838" s="15" t="s">
        <v>21492</v>
      </c>
      <c r="AP838" s="15" t="s">
        <v>21493</v>
      </c>
      <c r="BH838" s="15" t="s">
        <v>8741</v>
      </c>
      <c r="BI838" s="15" t="str">
        <f>"2449"</f>
        <v>2449</v>
      </c>
      <c r="BJ838" s="15" t="str">
        <f>"1030"</f>
        <v>1030</v>
      </c>
      <c r="BK838" s="15" t="s">
        <v>742</v>
      </c>
      <c r="BL838" s="15" t="str">
        <f t="shared" si="2410"/>
        <v>2</v>
      </c>
      <c r="BM838" s="15" t="s">
        <v>2455</v>
      </c>
      <c r="BN838" s="15" t="str">
        <f>"68.7"</f>
        <v>68.7</v>
      </c>
      <c r="BO838" s="15" t="str">
        <f>"52.48"</f>
        <v>52.48</v>
      </c>
      <c r="BP838" s="15" t="str">
        <f>"11.42"</f>
        <v>11.42</v>
      </c>
      <c r="BQ838" s="15" t="str">
        <f>"80.91"</f>
        <v>80.91</v>
      </c>
      <c r="BR838" s="15" t="s">
        <v>8739</v>
      </c>
      <c r="BS838" s="15" t="str">
        <f t="shared" si="2411"/>
        <v>84.96</v>
      </c>
      <c r="BT838" s="15" t="str">
        <f t="shared" si="2412"/>
        <v>13.78</v>
      </c>
      <c r="BU838" s="15" t="str">
        <f t="shared" si="2413"/>
        <v>10.43</v>
      </c>
      <c r="BV838" s="15" t="str">
        <f>"84.44"</f>
        <v>84.44</v>
      </c>
      <c r="CG838" s="15" t="str">
        <f>"30.9"</f>
        <v>30.9</v>
      </c>
      <c r="CH838" s="15" t="str">
        <f>"0.875"</f>
        <v>0.875</v>
      </c>
      <c r="CI838" s="15" t="s">
        <v>497</v>
      </c>
      <c r="CY838" s="15" t="s">
        <v>718</v>
      </c>
      <c r="CZ838" s="15" t="s">
        <v>419</v>
      </c>
      <c r="DA838" s="15">
        <v>0.0</v>
      </c>
      <c r="DB838" s="15" t="s">
        <v>419</v>
      </c>
      <c r="DD838" s="15">
        <v>0.0</v>
      </c>
      <c r="DF838" s="15" t="s">
        <v>1186</v>
      </c>
      <c r="DG838" s="15" t="s">
        <v>419</v>
      </c>
      <c r="DI838" s="15">
        <v>0.0</v>
      </c>
      <c r="DJ838" s="15">
        <v>0.0</v>
      </c>
      <c r="DK838" s="15">
        <v>0.0</v>
      </c>
      <c r="DL838" s="15">
        <v>0.0</v>
      </c>
      <c r="DS838" s="15" t="s">
        <v>8714</v>
      </c>
      <c r="DU838" s="15" t="s">
        <v>858</v>
      </c>
      <c r="EV838" s="15">
        <v>0.0</v>
      </c>
      <c r="FB838" s="15" t="s">
        <v>938</v>
      </c>
      <c r="HV838" s="15" t="s">
        <v>429</v>
      </c>
      <c r="HW838" s="15" t="s">
        <v>429</v>
      </c>
      <c r="HX838" s="15" t="s">
        <v>429</v>
      </c>
      <c r="HY838" s="15" t="s">
        <v>1443</v>
      </c>
      <c r="HZ838" s="15" t="s">
        <v>1807</v>
      </c>
      <c r="IA838" s="15" t="s">
        <v>8732</v>
      </c>
      <c r="IB838" s="15" t="s">
        <v>5320</v>
      </c>
      <c r="IC838" s="15" t="s">
        <v>8733</v>
      </c>
      <c r="ID838" s="15" t="s">
        <v>8732</v>
      </c>
      <c r="IE838" s="15" t="s">
        <v>2971</v>
      </c>
      <c r="IF838" s="15" t="s">
        <v>4685</v>
      </c>
      <c r="IG838" s="15" t="s">
        <v>890</v>
      </c>
      <c r="IH838" s="15" t="s">
        <v>5304</v>
      </c>
      <c r="II838" s="15" t="s">
        <v>8734</v>
      </c>
      <c r="IJ838" s="15" t="s">
        <v>1042</v>
      </c>
      <c r="IK838" s="15" t="s">
        <v>426</v>
      </c>
      <c r="IL838" s="15" t="s">
        <v>2973</v>
      </c>
      <c r="IM838" s="15" t="s">
        <v>872</v>
      </c>
      <c r="IN838" s="15" t="s">
        <v>873</v>
      </c>
      <c r="IO838" s="15" t="s">
        <v>877</v>
      </c>
      <c r="IU838" s="15" t="s">
        <v>759</v>
      </c>
      <c r="IV838" s="15" t="s">
        <v>939</v>
      </c>
      <c r="IX838" s="15" t="s">
        <v>426</v>
      </c>
      <c r="IY838" s="15" t="s">
        <v>2474</v>
      </c>
    </row>
    <row r="839" ht="17.25" customHeight="1">
      <c r="A839" s="15" t="s">
        <v>8747</v>
      </c>
      <c r="B839" s="15" t="str">
        <f>"801542381967"</f>
        <v>801542381967</v>
      </c>
      <c r="C839" s="15" t="s">
        <v>21481</v>
      </c>
      <c r="D839" s="15" t="str">
        <f t="shared" si="1"/>
        <v>Roark BedPalermo DriftKing</v>
      </c>
      <c r="E839" s="15" t="s">
        <v>8720</v>
      </c>
      <c r="F839" s="15" t="s">
        <v>397</v>
      </c>
      <c r="G839" s="15" t="s">
        <v>1658</v>
      </c>
      <c r="H839" s="15" t="s">
        <v>265</v>
      </c>
      <c r="I839" s="15" t="s">
        <v>828</v>
      </c>
      <c r="J839" s="15" t="s">
        <v>1658</v>
      </c>
      <c r="K839" s="15" t="s">
        <v>4870</v>
      </c>
      <c r="L839" s="15" t="s">
        <v>4875</v>
      </c>
      <c r="M839" s="15" t="s">
        <v>2063</v>
      </c>
      <c r="N839" s="15" t="s">
        <v>839</v>
      </c>
      <c r="O839" s="15" t="s">
        <v>828</v>
      </c>
      <c r="P839" s="15" t="str">
        <f>"80.5"</f>
        <v>80.5</v>
      </c>
      <c r="Q839" s="15" t="str">
        <f t="shared" si="2408"/>
        <v>86</v>
      </c>
      <c r="R839" s="15" t="str">
        <f t="shared" si="2409"/>
        <v>48</v>
      </c>
      <c r="S839" s="15" t="str">
        <f>"167.55"</f>
        <v>167.55</v>
      </c>
      <c r="T839" s="15" t="s">
        <v>8744</v>
      </c>
      <c r="U839" s="15" t="s">
        <v>11137</v>
      </c>
      <c r="V839" s="15" t="s">
        <v>11338</v>
      </c>
      <c r="W839" s="15" t="s">
        <v>11553</v>
      </c>
      <c r="AA839" s="15" t="s">
        <v>413</v>
      </c>
      <c r="AB839" s="15" t="s">
        <v>413</v>
      </c>
      <c r="AC839" s="15" t="s">
        <v>8745</v>
      </c>
      <c r="AD839" s="15" t="s">
        <v>21494</v>
      </c>
      <c r="AE839" s="15" t="s">
        <v>8748</v>
      </c>
      <c r="AF839" s="15" t="s">
        <v>21495</v>
      </c>
      <c r="AG839" s="15" t="s">
        <v>21496</v>
      </c>
      <c r="AH839" s="15" t="s">
        <v>21497</v>
      </c>
      <c r="AI839" s="15" t="s">
        <v>21498</v>
      </c>
      <c r="AJ839" s="15" t="s">
        <v>21499</v>
      </c>
      <c r="AK839" s="15" t="s">
        <v>21500</v>
      </c>
      <c r="AL839" s="15" t="s">
        <v>21501</v>
      </c>
      <c r="AM839" s="15" t="s">
        <v>21502</v>
      </c>
      <c r="AN839" s="15" t="s">
        <v>21503</v>
      </c>
      <c r="AO839" s="15" t="s">
        <v>21504</v>
      </c>
      <c r="BH839" s="15" t="s">
        <v>8746</v>
      </c>
      <c r="BI839" s="15" t="str">
        <f>"2899"</f>
        <v>2899</v>
      </c>
      <c r="BJ839" s="15" t="str">
        <f>"1220"</f>
        <v>1220</v>
      </c>
      <c r="BK839" s="15" t="s">
        <v>742</v>
      </c>
      <c r="BL839" s="15" t="str">
        <f t="shared" si="2410"/>
        <v>2</v>
      </c>
      <c r="BM839" s="15" t="s">
        <v>2455</v>
      </c>
      <c r="BN839" s="15" t="str">
        <f>"85.24"</f>
        <v>85.24</v>
      </c>
      <c r="BO839" s="15" t="str">
        <f>"53.15"</f>
        <v>53.15</v>
      </c>
      <c r="BP839" s="15" t="str">
        <f>"11.22"</f>
        <v>11.22</v>
      </c>
      <c r="BQ839" s="15" t="str">
        <f>"103.62"</f>
        <v>103.62</v>
      </c>
      <c r="BR839" s="15" t="s">
        <v>8739</v>
      </c>
      <c r="BS839" s="15" t="str">
        <f t="shared" si="2411"/>
        <v>84.96</v>
      </c>
      <c r="BT839" s="15" t="str">
        <f t="shared" si="2412"/>
        <v>13.78</v>
      </c>
      <c r="BU839" s="15" t="str">
        <f t="shared" si="2413"/>
        <v>10.43</v>
      </c>
      <c r="BV839" s="15" t="str">
        <f>"99.21"</f>
        <v>99.21</v>
      </c>
      <c r="CG839" s="15" t="str">
        <f>"36.48"</f>
        <v>36.48</v>
      </c>
      <c r="CH839" s="15" t="str">
        <f>"1.033"</f>
        <v>1.033</v>
      </c>
      <c r="CI839" s="15" t="s">
        <v>497</v>
      </c>
      <c r="CY839" s="15" t="s">
        <v>718</v>
      </c>
      <c r="CZ839" s="15" t="s">
        <v>419</v>
      </c>
      <c r="DA839" s="15">
        <v>0.0</v>
      </c>
      <c r="DB839" s="15" t="s">
        <v>419</v>
      </c>
      <c r="DD839" s="15">
        <v>0.0</v>
      </c>
      <c r="DF839" s="15" t="s">
        <v>1186</v>
      </c>
      <c r="DG839" s="15" t="s">
        <v>419</v>
      </c>
      <c r="DI839" s="15">
        <v>0.0</v>
      </c>
      <c r="DJ839" s="15">
        <v>0.0</v>
      </c>
      <c r="DK839" s="15">
        <v>0.0</v>
      </c>
      <c r="DL839" s="15">
        <v>0.0</v>
      </c>
      <c r="DS839" s="15" t="s">
        <v>8714</v>
      </c>
      <c r="DU839" s="15" t="s">
        <v>858</v>
      </c>
      <c r="EV839" s="15">
        <v>0.0</v>
      </c>
      <c r="FB839" s="15" t="s">
        <v>938</v>
      </c>
      <c r="HV839" s="15" t="s">
        <v>429</v>
      </c>
      <c r="HW839" s="15" t="s">
        <v>429</v>
      </c>
      <c r="HX839" s="15" t="s">
        <v>429</v>
      </c>
      <c r="HY839" s="15" t="s">
        <v>1443</v>
      </c>
      <c r="HZ839" s="15" t="s">
        <v>1807</v>
      </c>
      <c r="IA839" s="15" t="s">
        <v>8740</v>
      </c>
      <c r="IB839" s="15" t="s">
        <v>5320</v>
      </c>
      <c r="IC839" s="15" t="s">
        <v>8733</v>
      </c>
      <c r="ID839" s="15" t="s">
        <v>8740</v>
      </c>
      <c r="IE839" s="15" t="s">
        <v>2971</v>
      </c>
      <c r="IF839" s="15" t="s">
        <v>4685</v>
      </c>
      <c r="IG839" s="15" t="s">
        <v>869</v>
      </c>
      <c r="IH839" s="15" t="s">
        <v>5304</v>
      </c>
      <c r="II839" s="15" t="s">
        <v>8734</v>
      </c>
      <c r="IJ839" s="15" t="s">
        <v>1042</v>
      </c>
      <c r="IK839" s="15" t="s">
        <v>426</v>
      </c>
      <c r="IL839" s="15" t="s">
        <v>2973</v>
      </c>
      <c r="IM839" s="15" t="s">
        <v>872</v>
      </c>
      <c r="IN839" s="15" t="s">
        <v>873</v>
      </c>
      <c r="IO839" s="15" t="s">
        <v>828</v>
      </c>
      <c r="IU839" s="15" t="s">
        <v>759</v>
      </c>
      <c r="IV839" s="15" t="s">
        <v>939</v>
      </c>
      <c r="IX839" s="15" t="s">
        <v>426</v>
      </c>
      <c r="IY839" s="15" t="s">
        <v>2474</v>
      </c>
    </row>
    <row r="840" ht="17.25" customHeight="1">
      <c r="A840" s="15" t="s">
        <v>8751</v>
      </c>
      <c r="B840" s="15" t="str">
        <f>"198394025751"</f>
        <v>198394025751</v>
      </c>
      <c r="C840" s="15" t="s">
        <v>21505</v>
      </c>
      <c r="D840" s="15" t="str">
        <f t="shared" si="1"/>
        <v>Roark Media ConsoleAmber Oak Veneer</v>
      </c>
      <c r="E840" s="15" t="s">
        <v>8749</v>
      </c>
      <c r="F840" s="15" t="s">
        <v>397</v>
      </c>
      <c r="G840" s="15" t="s">
        <v>4875</v>
      </c>
      <c r="J840" s="15" t="s">
        <v>4875</v>
      </c>
      <c r="M840" s="15" t="s">
        <v>2063</v>
      </c>
      <c r="N840" s="15" t="s">
        <v>602</v>
      </c>
      <c r="P840" s="15" t="str">
        <f t="shared" ref="P840:P841" si="2414">"82"</f>
        <v>82</v>
      </c>
      <c r="Q840" s="15" t="str">
        <f t="shared" ref="Q840:Q841" si="2415">"19.25"</f>
        <v>19.25</v>
      </c>
      <c r="R840" s="15" t="str">
        <f t="shared" ref="R840:R841" si="2416">"30"</f>
        <v>30</v>
      </c>
      <c r="S840" s="15" t="str">
        <f t="shared" ref="S840:S841" si="2417">"254.63"</f>
        <v>254.63</v>
      </c>
      <c r="T840" s="15" t="s">
        <v>2354</v>
      </c>
      <c r="U840" s="15" t="s">
        <v>11553</v>
      </c>
      <c r="V840" s="15" t="s">
        <v>11338</v>
      </c>
      <c r="AA840" s="15" t="s">
        <v>413</v>
      </c>
      <c r="AB840" s="15" t="s">
        <v>413</v>
      </c>
      <c r="AC840" s="15" t="s">
        <v>8754</v>
      </c>
      <c r="AD840" s="15" t="s">
        <v>21506</v>
      </c>
      <c r="AE840" s="15" t="s">
        <v>8753</v>
      </c>
      <c r="AF840" s="15" t="s">
        <v>21507</v>
      </c>
      <c r="AG840" s="15" t="s">
        <v>21508</v>
      </c>
      <c r="AH840" s="15" t="s">
        <v>21509</v>
      </c>
      <c r="AI840" s="15" t="s">
        <v>21510</v>
      </c>
      <c r="AJ840" s="15" t="s">
        <v>21511</v>
      </c>
      <c r="AK840" s="15" t="s">
        <v>21512</v>
      </c>
      <c r="AL840" s="15" t="s">
        <v>21513</v>
      </c>
      <c r="AM840" s="15" t="s">
        <v>21514</v>
      </c>
      <c r="AN840" s="15" t="s">
        <v>21515</v>
      </c>
      <c r="AO840" s="15" t="s">
        <v>21516</v>
      </c>
      <c r="AP840" s="15" t="s">
        <v>21517</v>
      </c>
      <c r="AQ840" s="15" t="s">
        <v>21518</v>
      </c>
      <c r="AR840" s="15" t="s">
        <v>21519</v>
      </c>
      <c r="AS840" s="15" t="s">
        <v>21520</v>
      </c>
      <c r="AT840" s="15" t="s">
        <v>21521</v>
      </c>
      <c r="BH840" s="15" t="s">
        <v>8750</v>
      </c>
      <c r="BI840" s="15" t="str">
        <f t="shared" ref="BI840:BI841" si="2418">"2199"</f>
        <v>2199</v>
      </c>
      <c r="BJ840" s="15" t="str">
        <f t="shared" ref="BJ840:BJ841" si="2419">"925"</f>
        <v>925</v>
      </c>
      <c r="BK840" s="15" t="s">
        <v>742</v>
      </c>
      <c r="BL840" s="15" t="str">
        <f t="shared" ref="BL840:BL851" si="2420">"1"</f>
        <v>1</v>
      </c>
      <c r="BM840" s="15" t="s">
        <v>416</v>
      </c>
      <c r="BN840" s="15" t="str">
        <f t="shared" ref="BN840:BN841" si="2421">"85.43"</f>
        <v>85.43</v>
      </c>
      <c r="BO840" s="15" t="str">
        <f t="shared" ref="BO840:BO841" si="2422">"25.2"</f>
        <v>25.2</v>
      </c>
      <c r="BP840" s="15" t="str">
        <f t="shared" ref="BP840:BP841" si="2423">"37.2"</f>
        <v>37.2</v>
      </c>
      <c r="BQ840" s="15" t="str">
        <f t="shared" ref="BQ840:BQ841" si="2424">"314.16"</f>
        <v>314.16</v>
      </c>
      <c r="CG840" s="15" t="str">
        <f t="shared" ref="CG840:CG841" si="2425">"46.33"</f>
        <v>46.33</v>
      </c>
      <c r="CH840" s="15" t="str">
        <f t="shared" ref="CH840:CH841" si="2426">"1.312"</f>
        <v>1.312</v>
      </c>
      <c r="CI840" s="15" t="s">
        <v>497</v>
      </c>
      <c r="CJ840" s="15" t="s">
        <v>8756</v>
      </c>
      <c r="CK840" s="15" t="s">
        <v>1042</v>
      </c>
      <c r="CL840" s="15" t="s">
        <v>8757</v>
      </c>
      <c r="CM840" s="15" t="s">
        <v>8756</v>
      </c>
      <c r="CN840" s="15" t="s">
        <v>1040</v>
      </c>
      <c r="CO840" s="15" t="s">
        <v>8757</v>
      </c>
      <c r="CZ840" s="15" t="s">
        <v>418</v>
      </c>
      <c r="DA840" s="15">
        <v>4.0</v>
      </c>
      <c r="DB840" s="15" t="s">
        <v>419</v>
      </c>
      <c r="DD840" s="15">
        <v>1.0</v>
      </c>
      <c r="DE840" s="15" t="s">
        <v>426</v>
      </c>
      <c r="DF840" s="15" t="s">
        <v>420</v>
      </c>
      <c r="DG840" s="15" t="s">
        <v>610</v>
      </c>
      <c r="DI840" s="15">
        <v>18.14</v>
      </c>
      <c r="DJ840" s="15">
        <v>40.0</v>
      </c>
      <c r="DK840" s="15">
        <v>1.0</v>
      </c>
      <c r="DS840" s="15" t="s">
        <v>8714</v>
      </c>
      <c r="EF840" s="15" t="s">
        <v>429</v>
      </c>
      <c r="EU840" s="15" t="s">
        <v>426</v>
      </c>
      <c r="EV840" s="15">
        <v>2.0</v>
      </c>
      <c r="FH840" s="15" t="s">
        <v>7457</v>
      </c>
      <c r="FI840" s="15" t="s">
        <v>612</v>
      </c>
      <c r="FJ840" s="15" t="s">
        <v>8279</v>
      </c>
      <c r="FK840" s="15" t="s">
        <v>1425</v>
      </c>
      <c r="FL840" s="15" t="s">
        <v>612</v>
      </c>
      <c r="FM840" s="15" t="s">
        <v>8758</v>
      </c>
      <c r="FO840" s="15" t="s">
        <v>426</v>
      </c>
      <c r="FP840" s="15" t="s">
        <v>785</v>
      </c>
      <c r="FQ840" s="15">
        <v>2.0</v>
      </c>
      <c r="FR840" s="15" t="s">
        <v>614</v>
      </c>
      <c r="FS840" s="15" t="s">
        <v>1045</v>
      </c>
      <c r="FU840" s="15" t="s">
        <v>426</v>
      </c>
      <c r="FW840" s="15" t="s">
        <v>616</v>
      </c>
      <c r="FZ840" s="15" t="s">
        <v>8759</v>
      </c>
      <c r="GB840" s="15" t="s">
        <v>1391</v>
      </c>
      <c r="GD840" s="15" t="s">
        <v>8760</v>
      </c>
      <c r="GF840" s="15" t="s">
        <v>431</v>
      </c>
      <c r="GH840" s="15" t="s">
        <v>420</v>
      </c>
      <c r="GJ840" s="15" t="s">
        <v>1936</v>
      </c>
      <c r="GL840" s="15" t="s">
        <v>3293</v>
      </c>
      <c r="GM840" s="15">
        <v>0.0</v>
      </c>
      <c r="HB840" s="15" t="s">
        <v>504</v>
      </c>
      <c r="HF840" s="15" t="s">
        <v>1957</v>
      </c>
      <c r="HQ840" s="15" t="s">
        <v>426</v>
      </c>
    </row>
    <row r="841" ht="17.25" customHeight="1">
      <c r="A841" s="15" t="s">
        <v>8762</v>
      </c>
      <c r="B841" s="15" t="str">
        <f>"198394025768"</f>
        <v>198394025768</v>
      </c>
      <c r="C841" s="15" t="s">
        <v>21522</v>
      </c>
      <c r="D841" s="15" t="str">
        <f t="shared" si="1"/>
        <v>Roark Media ConsoleEbony Oak Veneer</v>
      </c>
      <c r="E841" s="15" t="s">
        <v>8749</v>
      </c>
      <c r="F841" s="15" t="s">
        <v>397</v>
      </c>
      <c r="G841" s="15" t="s">
        <v>8716</v>
      </c>
      <c r="J841" s="15" t="s">
        <v>8716</v>
      </c>
      <c r="M841" s="15" t="s">
        <v>2063</v>
      </c>
      <c r="N841" s="15" t="s">
        <v>602</v>
      </c>
      <c r="P841" s="15" t="str">
        <f t="shared" si="2414"/>
        <v>82</v>
      </c>
      <c r="Q841" s="15" t="str">
        <f t="shared" si="2415"/>
        <v>19.25</v>
      </c>
      <c r="R841" s="15" t="str">
        <f t="shared" si="2416"/>
        <v>30</v>
      </c>
      <c r="S841" s="15" t="str">
        <f t="shared" si="2417"/>
        <v>254.63</v>
      </c>
      <c r="T841" s="15" t="s">
        <v>2354</v>
      </c>
      <c r="U841" s="15" t="s">
        <v>11553</v>
      </c>
      <c r="V841" s="15" t="s">
        <v>11338</v>
      </c>
      <c r="AA841" s="15" t="s">
        <v>413</v>
      </c>
      <c r="AB841" s="15" t="s">
        <v>413</v>
      </c>
      <c r="AC841" s="15" t="s">
        <v>8764</v>
      </c>
      <c r="AD841" s="15" t="s">
        <v>21523</v>
      </c>
      <c r="AE841" s="15" t="s">
        <v>8763</v>
      </c>
      <c r="AF841" s="15" t="s">
        <v>21524</v>
      </c>
      <c r="AG841" s="15" t="s">
        <v>21525</v>
      </c>
      <c r="AH841" s="15" t="s">
        <v>21526</v>
      </c>
      <c r="AI841" s="15" t="s">
        <v>21527</v>
      </c>
      <c r="AJ841" s="15" t="s">
        <v>21528</v>
      </c>
      <c r="AK841" s="15" t="s">
        <v>21529</v>
      </c>
      <c r="AL841" s="15" t="s">
        <v>21530</v>
      </c>
      <c r="AM841" s="15" t="s">
        <v>21531</v>
      </c>
      <c r="AN841" s="15" t="s">
        <v>21532</v>
      </c>
      <c r="AO841" s="15" t="s">
        <v>21533</v>
      </c>
      <c r="AP841" s="15" t="s">
        <v>21534</v>
      </c>
      <c r="AQ841" s="15" t="s">
        <v>21535</v>
      </c>
      <c r="AR841" s="15" t="s">
        <v>21536</v>
      </c>
      <c r="BH841" s="15" t="s">
        <v>8761</v>
      </c>
      <c r="BI841" s="15" t="str">
        <f t="shared" si="2418"/>
        <v>2199</v>
      </c>
      <c r="BJ841" s="15" t="str">
        <f t="shared" si="2419"/>
        <v>925</v>
      </c>
      <c r="BK841" s="15" t="s">
        <v>742</v>
      </c>
      <c r="BL841" s="15" t="str">
        <f t="shared" si="2420"/>
        <v>1</v>
      </c>
      <c r="BM841" s="15" t="s">
        <v>416</v>
      </c>
      <c r="BN841" s="15" t="str">
        <f t="shared" si="2421"/>
        <v>85.43</v>
      </c>
      <c r="BO841" s="15" t="str">
        <f t="shared" si="2422"/>
        <v>25.2</v>
      </c>
      <c r="BP841" s="15" t="str">
        <f t="shared" si="2423"/>
        <v>37.2</v>
      </c>
      <c r="BQ841" s="15" t="str">
        <f t="shared" si="2424"/>
        <v>314.16</v>
      </c>
      <c r="CG841" s="15" t="str">
        <f t="shared" si="2425"/>
        <v>46.33</v>
      </c>
      <c r="CH841" s="15" t="str">
        <f t="shared" si="2426"/>
        <v>1.312</v>
      </c>
      <c r="CI841" s="15" t="s">
        <v>497</v>
      </c>
      <c r="CJ841" s="15" t="s">
        <v>8756</v>
      </c>
      <c r="CK841" s="15" t="s">
        <v>1042</v>
      </c>
      <c r="CL841" s="15" t="s">
        <v>8757</v>
      </c>
      <c r="CM841" s="15" t="s">
        <v>8756</v>
      </c>
      <c r="CN841" s="15" t="s">
        <v>1040</v>
      </c>
      <c r="CO841" s="15" t="s">
        <v>8757</v>
      </c>
      <c r="CZ841" s="15" t="s">
        <v>418</v>
      </c>
      <c r="DA841" s="15">
        <v>4.0</v>
      </c>
      <c r="DB841" s="15" t="s">
        <v>419</v>
      </c>
      <c r="DD841" s="15">
        <v>1.0</v>
      </c>
      <c r="DE841" s="15" t="s">
        <v>426</v>
      </c>
      <c r="DF841" s="15" t="s">
        <v>420</v>
      </c>
      <c r="DG841" s="15" t="s">
        <v>610</v>
      </c>
      <c r="DI841" s="15">
        <v>18.14</v>
      </c>
      <c r="DJ841" s="15">
        <v>40.0</v>
      </c>
      <c r="DK841" s="15">
        <v>1.0</v>
      </c>
      <c r="DS841" s="15" t="s">
        <v>8714</v>
      </c>
      <c r="EF841" s="15" t="s">
        <v>429</v>
      </c>
      <c r="EU841" s="15" t="s">
        <v>426</v>
      </c>
      <c r="EV841" s="15">
        <v>2.0</v>
      </c>
      <c r="FH841" s="15" t="s">
        <v>7457</v>
      </c>
      <c r="FI841" s="15" t="s">
        <v>612</v>
      </c>
      <c r="FJ841" s="15" t="s">
        <v>8279</v>
      </c>
      <c r="FK841" s="15" t="s">
        <v>1425</v>
      </c>
      <c r="FL841" s="15" t="s">
        <v>612</v>
      </c>
      <c r="FM841" s="15" t="s">
        <v>8758</v>
      </c>
      <c r="FO841" s="15" t="s">
        <v>426</v>
      </c>
      <c r="FP841" s="15" t="s">
        <v>785</v>
      </c>
      <c r="FQ841" s="15">
        <v>2.0</v>
      </c>
      <c r="FR841" s="15" t="s">
        <v>614</v>
      </c>
      <c r="FS841" s="15" t="s">
        <v>1045</v>
      </c>
      <c r="FU841" s="15" t="s">
        <v>426</v>
      </c>
      <c r="FW841" s="15" t="s">
        <v>616</v>
      </c>
      <c r="FZ841" s="15" t="s">
        <v>8759</v>
      </c>
      <c r="GB841" s="15" t="s">
        <v>1391</v>
      </c>
      <c r="GD841" s="15" t="s">
        <v>8760</v>
      </c>
      <c r="GF841" s="15" t="s">
        <v>431</v>
      </c>
      <c r="GH841" s="15" t="s">
        <v>420</v>
      </c>
      <c r="GJ841" s="15" t="s">
        <v>1936</v>
      </c>
      <c r="GL841" s="15" t="s">
        <v>3293</v>
      </c>
      <c r="GM841" s="15">
        <v>0.0</v>
      </c>
      <c r="HB841" s="15" t="s">
        <v>504</v>
      </c>
      <c r="HF841" s="15" t="s">
        <v>1957</v>
      </c>
      <c r="HQ841" s="15" t="s">
        <v>426</v>
      </c>
    </row>
    <row r="842" ht="17.25" customHeight="1">
      <c r="A842" s="15" t="s">
        <v>8767</v>
      </c>
      <c r="B842" s="15" t="str">
        <f>"801542190484"</f>
        <v>801542190484</v>
      </c>
      <c r="C842" s="15" t="s">
        <v>21537</v>
      </c>
      <c r="D842" s="15" t="str">
        <f t="shared" si="1"/>
        <v>Roark NightstandAmber Oak Veneer</v>
      </c>
      <c r="E842" s="15" t="s">
        <v>8765</v>
      </c>
      <c r="F842" s="15" t="s">
        <v>397</v>
      </c>
      <c r="G842" s="15" t="s">
        <v>4875</v>
      </c>
      <c r="J842" s="15" t="s">
        <v>4875</v>
      </c>
      <c r="M842" s="15" t="s">
        <v>2063</v>
      </c>
      <c r="N842" s="15" t="s">
        <v>628</v>
      </c>
      <c r="P842" s="15" t="str">
        <f t="shared" ref="P842:P843" si="2427">"30"</f>
        <v>30</v>
      </c>
      <c r="Q842" s="15" t="str">
        <f t="shared" ref="Q842:Q843" si="2428">"17"</f>
        <v>17</v>
      </c>
      <c r="R842" s="15" t="str">
        <f t="shared" ref="R842:R843" si="2429">"24"</f>
        <v>24</v>
      </c>
      <c r="S842" s="15" t="str">
        <f t="shared" ref="S842:S843" si="2430">"76.06"</f>
        <v>76.06</v>
      </c>
      <c r="T842" s="15" t="s">
        <v>2354</v>
      </c>
      <c r="U842" s="15" t="s">
        <v>11553</v>
      </c>
      <c r="V842" s="15" t="s">
        <v>11338</v>
      </c>
      <c r="AA842" s="15" t="s">
        <v>413</v>
      </c>
      <c r="AB842" s="15" t="s">
        <v>413</v>
      </c>
      <c r="AC842" s="15" t="s">
        <v>8769</v>
      </c>
      <c r="AD842" s="15" t="s">
        <v>21538</v>
      </c>
      <c r="AE842" s="15" t="s">
        <v>8768</v>
      </c>
      <c r="AF842" s="15" t="s">
        <v>21539</v>
      </c>
      <c r="AG842" s="15" t="s">
        <v>21540</v>
      </c>
      <c r="AH842" s="15" t="s">
        <v>21541</v>
      </c>
      <c r="AI842" s="15" t="s">
        <v>21542</v>
      </c>
      <c r="AJ842" s="15" t="s">
        <v>21543</v>
      </c>
      <c r="AK842" s="15" t="s">
        <v>21544</v>
      </c>
      <c r="AL842" s="15" t="s">
        <v>21545</v>
      </c>
      <c r="AM842" s="15" t="s">
        <v>21546</v>
      </c>
      <c r="AN842" s="15" t="s">
        <v>21547</v>
      </c>
      <c r="AO842" s="15" t="s">
        <v>21548</v>
      </c>
      <c r="AP842" s="15" t="s">
        <v>21549</v>
      </c>
      <c r="AQ842" s="15" t="s">
        <v>21550</v>
      </c>
      <c r="AR842" s="15" t="s">
        <v>21551</v>
      </c>
      <c r="AS842" s="15" t="s">
        <v>21552</v>
      </c>
      <c r="AT842" s="15" t="s">
        <v>21553</v>
      </c>
      <c r="AU842" s="15" t="s">
        <v>21554</v>
      </c>
      <c r="BH842" s="15" t="s">
        <v>8766</v>
      </c>
      <c r="BI842" s="15" t="str">
        <f t="shared" ref="BI842:BI843" si="2431">"899"</f>
        <v>899</v>
      </c>
      <c r="BJ842" s="15" t="str">
        <f t="shared" ref="BJ842:BJ843" si="2432">"380"</f>
        <v>380</v>
      </c>
      <c r="BK842" s="15" t="s">
        <v>742</v>
      </c>
      <c r="BL842" s="15" t="str">
        <f t="shared" si="2420"/>
        <v>1</v>
      </c>
      <c r="BM842" s="15" t="s">
        <v>8770</v>
      </c>
      <c r="BN842" s="15" t="str">
        <f t="shared" ref="BN842:BN843" si="2433">"33.39"</f>
        <v>33.39</v>
      </c>
      <c r="BO842" s="15" t="str">
        <f t="shared" ref="BO842:BO843" si="2434">"20.59"</f>
        <v>20.59</v>
      </c>
      <c r="BP842" s="15" t="str">
        <f t="shared" ref="BP842:BP843" si="2435">"31.02"</f>
        <v>31.02</v>
      </c>
      <c r="BQ842" s="15" t="str">
        <f t="shared" ref="BQ842:BQ843" si="2436">"95.9"</f>
        <v>95.9</v>
      </c>
      <c r="CG842" s="15" t="str">
        <f t="shared" ref="CG842:CG843" si="2437">"12.32"</f>
        <v>12.32</v>
      </c>
      <c r="CH842" s="15" t="str">
        <f t="shared" ref="CH842:CH843" si="2438">"0.349"</f>
        <v>0.349</v>
      </c>
      <c r="CI842" s="15" t="s">
        <v>497</v>
      </c>
      <c r="CZ842" s="15" t="s">
        <v>1371</v>
      </c>
      <c r="DA842" s="15">
        <v>2.0</v>
      </c>
      <c r="DB842" s="15" t="s">
        <v>419</v>
      </c>
      <c r="DD842" s="15">
        <v>0.0</v>
      </c>
      <c r="DF842" s="15" t="s">
        <v>1186</v>
      </c>
      <c r="DG842" s="15" t="s">
        <v>421</v>
      </c>
      <c r="DK842" s="15">
        <v>0.0</v>
      </c>
      <c r="DR842" s="15" t="s">
        <v>471</v>
      </c>
      <c r="DS842" s="15" t="s">
        <v>8714</v>
      </c>
      <c r="DU842" s="15" t="s">
        <v>500</v>
      </c>
      <c r="EF842" s="15" t="s">
        <v>1955</v>
      </c>
      <c r="EU842" s="15" t="s">
        <v>426</v>
      </c>
      <c r="EV842" s="15">
        <v>0.0</v>
      </c>
      <c r="FQ842" s="15">
        <v>0.0</v>
      </c>
      <c r="FR842" s="15" t="s">
        <v>427</v>
      </c>
      <c r="FZ842" s="15" t="s">
        <v>2968</v>
      </c>
      <c r="GB842" s="15" t="s">
        <v>3101</v>
      </c>
      <c r="GD842" s="15" t="s">
        <v>6039</v>
      </c>
      <c r="GF842" s="15" t="s">
        <v>838</v>
      </c>
      <c r="GH842" s="15" t="s">
        <v>764</v>
      </c>
    </row>
    <row r="843" ht="17.25" customHeight="1">
      <c r="A843" s="15" t="s">
        <v>8775</v>
      </c>
      <c r="B843" s="15" t="str">
        <f>"801542329983"</f>
        <v>801542329983</v>
      </c>
      <c r="C843" s="15" t="s">
        <v>21555</v>
      </c>
      <c r="D843" s="15" t="str">
        <f t="shared" si="1"/>
        <v>Roark NightstandEbony Oak Veneer</v>
      </c>
      <c r="E843" s="15" t="s">
        <v>8765</v>
      </c>
      <c r="F843" s="15" t="s">
        <v>397</v>
      </c>
      <c r="G843" s="15" t="s">
        <v>8716</v>
      </c>
      <c r="J843" s="15" t="s">
        <v>8716</v>
      </c>
      <c r="M843" s="15" t="s">
        <v>2063</v>
      </c>
      <c r="N843" s="15" t="s">
        <v>628</v>
      </c>
      <c r="P843" s="15" t="str">
        <f t="shared" si="2427"/>
        <v>30</v>
      </c>
      <c r="Q843" s="15" t="str">
        <f t="shared" si="2428"/>
        <v>17</v>
      </c>
      <c r="R843" s="15" t="str">
        <f t="shared" si="2429"/>
        <v>24</v>
      </c>
      <c r="S843" s="15" t="str">
        <f t="shared" si="2430"/>
        <v>76.06</v>
      </c>
      <c r="T843" s="15" t="s">
        <v>2354</v>
      </c>
      <c r="U843" s="15" t="s">
        <v>11553</v>
      </c>
      <c r="V843" s="15" t="s">
        <v>11338</v>
      </c>
      <c r="AA843" s="15" t="s">
        <v>413</v>
      </c>
      <c r="AB843" s="15" t="s">
        <v>413</v>
      </c>
      <c r="AC843" s="15" t="s">
        <v>8777</v>
      </c>
      <c r="AD843" s="15" t="s">
        <v>21556</v>
      </c>
      <c r="AE843" s="15" t="s">
        <v>8776</v>
      </c>
      <c r="AF843" s="15" t="s">
        <v>21557</v>
      </c>
      <c r="AG843" s="15" t="s">
        <v>21558</v>
      </c>
      <c r="AH843" s="15" t="s">
        <v>21559</v>
      </c>
      <c r="AI843" s="15" t="s">
        <v>21560</v>
      </c>
      <c r="AJ843" s="15" t="s">
        <v>21561</v>
      </c>
      <c r="AK843" s="15" t="s">
        <v>21562</v>
      </c>
      <c r="AL843" s="15" t="s">
        <v>21563</v>
      </c>
      <c r="AM843" s="15" t="s">
        <v>21564</v>
      </c>
      <c r="AN843" s="15" t="s">
        <v>21565</v>
      </c>
      <c r="AO843" s="15" t="s">
        <v>21566</v>
      </c>
      <c r="AP843" s="15" t="s">
        <v>21567</v>
      </c>
      <c r="AQ843" s="15" t="s">
        <v>21568</v>
      </c>
      <c r="BH843" s="15" t="s">
        <v>8774</v>
      </c>
      <c r="BI843" s="15" t="str">
        <f t="shared" si="2431"/>
        <v>899</v>
      </c>
      <c r="BJ843" s="15" t="str">
        <f t="shared" si="2432"/>
        <v>380</v>
      </c>
      <c r="BK843" s="15" t="s">
        <v>742</v>
      </c>
      <c r="BL843" s="15" t="str">
        <f t="shared" si="2420"/>
        <v>1</v>
      </c>
      <c r="BM843" s="15" t="s">
        <v>8770</v>
      </c>
      <c r="BN843" s="15" t="str">
        <f t="shared" si="2433"/>
        <v>33.39</v>
      </c>
      <c r="BO843" s="15" t="str">
        <f t="shared" si="2434"/>
        <v>20.59</v>
      </c>
      <c r="BP843" s="15" t="str">
        <f t="shared" si="2435"/>
        <v>31.02</v>
      </c>
      <c r="BQ843" s="15" t="str">
        <f t="shared" si="2436"/>
        <v>95.9</v>
      </c>
      <c r="CG843" s="15" t="str">
        <f t="shared" si="2437"/>
        <v>12.32</v>
      </c>
      <c r="CH843" s="15" t="str">
        <f t="shared" si="2438"/>
        <v>0.349</v>
      </c>
      <c r="CI843" s="15" t="s">
        <v>417</v>
      </c>
      <c r="CZ843" s="15" t="s">
        <v>1371</v>
      </c>
      <c r="DA843" s="15">
        <v>2.0</v>
      </c>
      <c r="DB843" s="15" t="s">
        <v>419</v>
      </c>
      <c r="DD843" s="15">
        <v>0.0</v>
      </c>
      <c r="DF843" s="15" t="s">
        <v>1186</v>
      </c>
      <c r="DG843" s="15" t="s">
        <v>421</v>
      </c>
      <c r="DK843" s="15">
        <v>0.0</v>
      </c>
      <c r="DR843" s="15" t="s">
        <v>471</v>
      </c>
      <c r="DS843" s="15" t="s">
        <v>8714</v>
      </c>
      <c r="DU843" s="15" t="s">
        <v>500</v>
      </c>
      <c r="EF843" s="15" t="s">
        <v>1955</v>
      </c>
      <c r="EU843" s="15" t="s">
        <v>426</v>
      </c>
      <c r="EV843" s="15">
        <v>0.0</v>
      </c>
      <c r="FQ843" s="15">
        <v>0.0</v>
      </c>
      <c r="FR843" s="15" t="s">
        <v>427</v>
      </c>
      <c r="FZ843" s="15" t="s">
        <v>2968</v>
      </c>
      <c r="GB843" s="15" t="s">
        <v>3101</v>
      </c>
      <c r="GD843" s="15" t="s">
        <v>6039</v>
      </c>
      <c r="GF843" s="15" t="s">
        <v>838</v>
      </c>
      <c r="GH843" s="15" t="s">
        <v>764</v>
      </c>
    </row>
    <row r="844" ht="17.25" customHeight="1">
      <c r="A844" s="15" t="s">
        <v>8780</v>
      </c>
      <c r="B844" s="15" t="str">
        <f>"801542757441"</f>
        <v>801542757441</v>
      </c>
      <c r="C844" s="15" t="s">
        <v>21569</v>
      </c>
      <c r="D844" s="15" t="str">
        <f t="shared" si="1"/>
        <v>Rosedale 3 Drawer DresserEbony Oak Veneer</v>
      </c>
      <c r="E844" s="15" t="s">
        <v>8778</v>
      </c>
      <c r="F844" s="15" t="s">
        <v>397</v>
      </c>
      <c r="G844" s="15" t="s">
        <v>8716</v>
      </c>
      <c r="J844" s="15" t="s">
        <v>8716</v>
      </c>
      <c r="K844" s="15" t="s">
        <v>8784</v>
      </c>
      <c r="M844" s="15" t="s">
        <v>5652</v>
      </c>
      <c r="N844" s="15" t="s">
        <v>412</v>
      </c>
      <c r="P844" s="15" t="str">
        <f t="shared" ref="P844:P845" si="2439">"32.5"</f>
        <v>32.5</v>
      </c>
      <c r="Q844" s="15" t="str">
        <f t="shared" ref="Q844:Q849" si="2440">"19.5"</f>
        <v>19.5</v>
      </c>
      <c r="R844" s="15" t="str">
        <f t="shared" ref="R844:R845" si="2441">"32.5"</f>
        <v>32.5</v>
      </c>
      <c r="S844" s="15" t="str">
        <f t="shared" ref="S844:S845" si="2442">"121.25"</f>
        <v>121.25</v>
      </c>
      <c r="T844" s="15" t="s">
        <v>8783</v>
      </c>
      <c r="U844" s="15" t="s">
        <v>11553</v>
      </c>
      <c r="V844" s="15" t="s">
        <v>11137</v>
      </c>
      <c r="AA844" s="15" t="s">
        <v>426</v>
      </c>
      <c r="AB844" s="15" t="s">
        <v>413</v>
      </c>
      <c r="AC844" s="15" t="s">
        <v>8785</v>
      </c>
      <c r="AD844" s="15" t="s">
        <v>21570</v>
      </c>
      <c r="AE844" s="15" t="s">
        <v>8782</v>
      </c>
      <c r="AF844" s="15" t="s">
        <v>21571</v>
      </c>
      <c r="AG844" s="15" t="s">
        <v>21572</v>
      </c>
      <c r="AH844" s="15" t="s">
        <v>21573</v>
      </c>
      <c r="AI844" s="15" t="s">
        <v>21574</v>
      </c>
      <c r="AJ844" s="15" t="s">
        <v>21575</v>
      </c>
      <c r="AK844" s="15" t="s">
        <v>21576</v>
      </c>
      <c r="AL844" s="15" t="s">
        <v>21577</v>
      </c>
      <c r="AM844" s="15" t="s">
        <v>21578</v>
      </c>
      <c r="AN844" s="15" t="s">
        <v>21579</v>
      </c>
      <c r="AO844" s="15" t="s">
        <v>21580</v>
      </c>
      <c r="BH844" s="15" t="s">
        <v>8779</v>
      </c>
      <c r="BI844" s="15" t="str">
        <f t="shared" ref="BI844:BI845" si="2443">"949"</f>
        <v>949</v>
      </c>
      <c r="BJ844" s="15" t="str">
        <f t="shared" ref="BJ844:BJ845" si="2444">"400"</f>
        <v>400</v>
      </c>
      <c r="BK844" s="15" t="s">
        <v>742</v>
      </c>
      <c r="BL844" s="15" t="str">
        <f t="shared" si="2420"/>
        <v>1</v>
      </c>
      <c r="BM844" s="15" t="s">
        <v>8786</v>
      </c>
      <c r="BN844" s="15" t="str">
        <f t="shared" ref="BN844:BN845" si="2445">"36.81"</f>
        <v>36.81</v>
      </c>
      <c r="BO844" s="15" t="str">
        <f t="shared" ref="BO844:BO849" si="2446">"22.64"</f>
        <v>22.64</v>
      </c>
      <c r="BP844" s="15" t="str">
        <f t="shared" ref="BP844:BP845" si="2447">"38.78"</f>
        <v>38.78</v>
      </c>
      <c r="BQ844" s="15" t="str">
        <f t="shared" ref="BQ844:BQ845" si="2448">"147.71"</f>
        <v>147.71</v>
      </c>
      <c r="CG844" s="15" t="str">
        <f t="shared" ref="CG844:CG845" si="2449">"18.72"</f>
        <v>18.72</v>
      </c>
      <c r="CH844" s="15" t="str">
        <f t="shared" ref="CH844:CH845" si="2450">"0.53"</f>
        <v>0.53</v>
      </c>
      <c r="CI844" s="15" t="s">
        <v>465</v>
      </c>
      <c r="CZ844" s="15" t="s">
        <v>1371</v>
      </c>
      <c r="DA844" s="15">
        <v>3.0</v>
      </c>
      <c r="DB844" s="15" t="s">
        <v>419</v>
      </c>
      <c r="DD844" s="15">
        <v>0.0</v>
      </c>
      <c r="DF844" s="15" t="s">
        <v>420</v>
      </c>
      <c r="DG844" s="15" t="s">
        <v>421</v>
      </c>
      <c r="DK844" s="15">
        <v>0.0</v>
      </c>
      <c r="DR844" s="15" t="s">
        <v>1408</v>
      </c>
      <c r="DS844" s="15" t="s">
        <v>8787</v>
      </c>
      <c r="DU844" s="15" t="s">
        <v>500</v>
      </c>
      <c r="EF844" s="15" t="s">
        <v>8788</v>
      </c>
      <c r="EU844" s="15" t="s">
        <v>426</v>
      </c>
      <c r="EV844" s="15">
        <v>0.0</v>
      </c>
      <c r="FQ844" s="15">
        <v>0.0</v>
      </c>
      <c r="FR844" s="15" t="s">
        <v>427</v>
      </c>
      <c r="FZ844" s="15" t="s">
        <v>6427</v>
      </c>
      <c r="GA844" s="15" t="s">
        <v>6427</v>
      </c>
      <c r="GB844" s="15" t="s">
        <v>2464</v>
      </c>
      <c r="GC844" s="15" t="s">
        <v>1132</v>
      </c>
      <c r="GD844" s="15" t="s">
        <v>6079</v>
      </c>
      <c r="GE844" s="15" t="s">
        <v>6079</v>
      </c>
      <c r="GF844" s="15" t="s">
        <v>431</v>
      </c>
      <c r="GH844" s="15" t="s">
        <v>764</v>
      </c>
    </row>
    <row r="845" ht="17.25" customHeight="1">
      <c r="A845" s="15" t="s">
        <v>8791</v>
      </c>
      <c r="B845" s="15" t="str">
        <f>"801542633578"</f>
        <v>801542633578</v>
      </c>
      <c r="C845" s="15" t="s">
        <v>21581</v>
      </c>
      <c r="D845" s="15" t="str">
        <f t="shared" si="1"/>
        <v>Rosedale 3 Drawer DresserYucca Oak Veneer</v>
      </c>
      <c r="E845" s="15" t="s">
        <v>8778</v>
      </c>
      <c r="F845" s="15" t="s">
        <v>397</v>
      </c>
      <c r="G845" s="15" t="s">
        <v>8790</v>
      </c>
      <c r="J845" s="15" t="s">
        <v>8790</v>
      </c>
      <c r="K845" s="15" t="s">
        <v>8784</v>
      </c>
      <c r="M845" s="15" t="s">
        <v>5652</v>
      </c>
      <c r="N845" s="15" t="s">
        <v>412</v>
      </c>
      <c r="P845" s="15" t="str">
        <f t="shared" si="2439"/>
        <v>32.5</v>
      </c>
      <c r="Q845" s="15" t="str">
        <f t="shared" si="2440"/>
        <v>19.5</v>
      </c>
      <c r="R845" s="15" t="str">
        <f t="shared" si="2441"/>
        <v>32.5</v>
      </c>
      <c r="S845" s="15" t="str">
        <f t="shared" si="2442"/>
        <v>121.25</v>
      </c>
      <c r="T845" s="15" t="s">
        <v>8783</v>
      </c>
      <c r="U845" s="15" t="s">
        <v>11553</v>
      </c>
      <c r="V845" s="15" t="s">
        <v>11137</v>
      </c>
      <c r="AA845" s="15" t="s">
        <v>426</v>
      </c>
      <c r="AB845" s="15" t="s">
        <v>413</v>
      </c>
      <c r="AC845" s="15" t="s">
        <v>8793</v>
      </c>
      <c r="AD845" s="15" t="s">
        <v>21582</v>
      </c>
      <c r="AE845" s="15" t="s">
        <v>8792</v>
      </c>
      <c r="AF845" s="15" t="s">
        <v>21583</v>
      </c>
      <c r="AG845" s="15" t="s">
        <v>21584</v>
      </c>
      <c r="AH845" s="15" t="s">
        <v>21585</v>
      </c>
      <c r="AI845" s="15" t="s">
        <v>21586</v>
      </c>
      <c r="AJ845" s="15" t="s">
        <v>21587</v>
      </c>
      <c r="AK845" s="15" t="s">
        <v>21588</v>
      </c>
      <c r="AL845" s="15" t="s">
        <v>21589</v>
      </c>
      <c r="AM845" s="15" t="s">
        <v>21590</v>
      </c>
      <c r="AN845" s="15" t="s">
        <v>21591</v>
      </c>
      <c r="AO845" s="15" t="s">
        <v>21592</v>
      </c>
      <c r="AP845" s="15" t="s">
        <v>21593</v>
      </c>
      <c r="AQ845" s="15" t="s">
        <v>21594</v>
      </c>
      <c r="AR845" s="15" t="s">
        <v>21595</v>
      </c>
      <c r="AS845" s="15" t="s">
        <v>21596</v>
      </c>
      <c r="BH845" s="15" t="s">
        <v>8789</v>
      </c>
      <c r="BI845" s="15" t="str">
        <f t="shared" si="2443"/>
        <v>949</v>
      </c>
      <c r="BJ845" s="15" t="str">
        <f t="shared" si="2444"/>
        <v>400</v>
      </c>
      <c r="BK845" s="15" t="s">
        <v>742</v>
      </c>
      <c r="BL845" s="15" t="str">
        <f t="shared" si="2420"/>
        <v>1</v>
      </c>
      <c r="BM845" s="15" t="s">
        <v>8786</v>
      </c>
      <c r="BN845" s="15" t="str">
        <f t="shared" si="2445"/>
        <v>36.81</v>
      </c>
      <c r="BO845" s="15" t="str">
        <f t="shared" si="2446"/>
        <v>22.64</v>
      </c>
      <c r="BP845" s="15" t="str">
        <f t="shared" si="2447"/>
        <v>38.78</v>
      </c>
      <c r="BQ845" s="15" t="str">
        <f t="shared" si="2448"/>
        <v>147.71</v>
      </c>
      <c r="CG845" s="15" t="str">
        <f t="shared" si="2449"/>
        <v>18.72</v>
      </c>
      <c r="CH845" s="15" t="str">
        <f t="shared" si="2450"/>
        <v>0.53</v>
      </c>
      <c r="CI845" s="15" t="s">
        <v>465</v>
      </c>
      <c r="CZ845" s="15" t="s">
        <v>1371</v>
      </c>
      <c r="DA845" s="15">
        <v>3.0</v>
      </c>
      <c r="DB845" s="15" t="s">
        <v>419</v>
      </c>
      <c r="DD845" s="15">
        <v>0.0</v>
      </c>
      <c r="DF845" s="15" t="s">
        <v>420</v>
      </c>
      <c r="DG845" s="15" t="s">
        <v>421</v>
      </c>
      <c r="DK845" s="15">
        <v>0.0</v>
      </c>
      <c r="DR845" s="15" t="s">
        <v>1408</v>
      </c>
      <c r="DS845" s="15" t="s">
        <v>8787</v>
      </c>
      <c r="DU845" s="15" t="s">
        <v>500</v>
      </c>
      <c r="EF845" s="15" t="s">
        <v>8788</v>
      </c>
      <c r="EU845" s="15" t="s">
        <v>426</v>
      </c>
      <c r="EV845" s="15">
        <v>0.0</v>
      </c>
      <c r="FQ845" s="15">
        <v>0.0</v>
      </c>
      <c r="FR845" s="15" t="s">
        <v>427</v>
      </c>
      <c r="FZ845" s="15" t="s">
        <v>6427</v>
      </c>
      <c r="GA845" s="15" t="s">
        <v>6427</v>
      </c>
      <c r="GB845" s="15" t="s">
        <v>2464</v>
      </c>
      <c r="GC845" s="15" t="s">
        <v>1132</v>
      </c>
      <c r="GD845" s="15" t="s">
        <v>6079</v>
      </c>
      <c r="GE845" s="15" t="s">
        <v>6079</v>
      </c>
      <c r="GF845" s="15" t="s">
        <v>431</v>
      </c>
      <c r="GH845" s="15" t="s">
        <v>764</v>
      </c>
    </row>
    <row r="846" ht="17.25" customHeight="1">
      <c r="A846" s="15" t="s">
        <v>8796</v>
      </c>
      <c r="B846" s="15" t="str">
        <f>"801542757137"</f>
        <v>801542757137</v>
      </c>
      <c r="C846" s="15" t="s">
        <v>21597</v>
      </c>
      <c r="D846" s="15" t="str">
        <f t="shared" si="1"/>
        <v>Rosedale 6 Drawer DresserEbony Oak Veneer</v>
      </c>
      <c r="E846" s="15" t="s">
        <v>8794</v>
      </c>
      <c r="F846" s="15" t="s">
        <v>397</v>
      </c>
      <c r="G846" s="15" t="s">
        <v>8716</v>
      </c>
      <c r="J846" s="15" t="s">
        <v>8716</v>
      </c>
      <c r="K846" s="15" t="s">
        <v>8784</v>
      </c>
      <c r="M846" s="15" t="s">
        <v>5652</v>
      </c>
      <c r="N846" s="15" t="s">
        <v>412</v>
      </c>
      <c r="P846" s="15" t="str">
        <f t="shared" ref="P846:P847" si="2451">"62.5"</f>
        <v>62.5</v>
      </c>
      <c r="Q846" s="15" t="str">
        <f t="shared" si="2440"/>
        <v>19.5</v>
      </c>
      <c r="R846" s="15" t="str">
        <f t="shared" ref="R846:R847" si="2452">"33"</f>
        <v>33</v>
      </c>
      <c r="S846" s="15" t="str">
        <f t="shared" ref="S846:S847" si="2453">"174.16"</f>
        <v>174.16</v>
      </c>
      <c r="T846" s="15" t="s">
        <v>8783</v>
      </c>
      <c r="U846" s="15" t="s">
        <v>11553</v>
      </c>
      <c r="V846" s="15" t="s">
        <v>11137</v>
      </c>
      <c r="AA846" s="15" t="s">
        <v>426</v>
      </c>
      <c r="AB846" s="15" t="s">
        <v>413</v>
      </c>
      <c r="AC846" s="15" t="s">
        <v>8801</v>
      </c>
      <c r="AD846" s="15" t="s">
        <v>21598</v>
      </c>
      <c r="AE846" s="15" t="s">
        <v>8798</v>
      </c>
      <c r="AF846" s="15" t="s">
        <v>21599</v>
      </c>
      <c r="AG846" s="15" t="s">
        <v>21600</v>
      </c>
      <c r="AH846" s="15" t="s">
        <v>21601</v>
      </c>
      <c r="AI846" s="15" t="s">
        <v>21602</v>
      </c>
      <c r="AJ846" s="15" t="s">
        <v>21603</v>
      </c>
      <c r="AK846" s="15" t="s">
        <v>21604</v>
      </c>
      <c r="AL846" s="15" t="s">
        <v>21605</v>
      </c>
      <c r="AM846" s="15" t="s">
        <v>21606</v>
      </c>
      <c r="AN846" s="15" t="s">
        <v>21607</v>
      </c>
      <c r="AO846" s="15" t="s">
        <v>21608</v>
      </c>
      <c r="BH846" s="15" t="s">
        <v>8795</v>
      </c>
      <c r="BI846" s="15" t="str">
        <f t="shared" ref="BI846:BI847" si="2454">"1699"</f>
        <v>1699</v>
      </c>
      <c r="BJ846" s="15" t="str">
        <f t="shared" ref="BJ846:BJ847" si="2455">"715"</f>
        <v>715</v>
      </c>
      <c r="BK846" s="15" t="s">
        <v>742</v>
      </c>
      <c r="BL846" s="15" t="str">
        <f t="shared" si="2420"/>
        <v>1</v>
      </c>
      <c r="BM846" s="15" t="s">
        <v>8786</v>
      </c>
      <c r="BN846" s="15" t="str">
        <f t="shared" ref="BN846:BN847" si="2456">"67.13"</f>
        <v>67.13</v>
      </c>
      <c r="BO846" s="15" t="str">
        <f t="shared" si="2446"/>
        <v>22.64</v>
      </c>
      <c r="BP846" s="15" t="str">
        <f t="shared" ref="BP846:BP847" si="2457">"39.37"</f>
        <v>39.37</v>
      </c>
      <c r="BQ846" s="15" t="str">
        <f t="shared" ref="BQ846:BQ847" si="2458">"220.46"</f>
        <v>220.46</v>
      </c>
      <c r="CG846" s="15" t="str">
        <f t="shared" ref="CG846:CG847" si="2459">"34.61"</f>
        <v>34.61</v>
      </c>
      <c r="CH846" s="15" t="str">
        <f t="shared" ref="CH846:CH847" si="2460">"0.98"</f>
        <v>0.98</v>
      </c>
      <c r="CI846" s="15" t="s">
        <v>497</v>
      </c>
      <c r="CZ846" s="15" t="s">
        <v>1371</v>
      </c>
      <c r="DA846" s="15">
        <v>6.0</v>
      </c>
      <c r="DB846" s="15" t="s">
        <v>419</v>
      </c>
      <c r="DD846" s="15">
        <v>0.0</v>
      </c>
      <c r="DF846" s="15" t="s">
        <v>420</v>
      </c>
      <c r="DG846" s="15" t="s">
        <v>421</v>
      </c>
      <c r="DK846" s="15">
        <v>0.0</v>
      </c>
      <c r="DR846" s="15" t="s">
        <v>422</v>
      </c>
      <c r="DS846" s="15" t="s">
        <v>8787</v>
      </c>
      <c r="DU846" s="15" t="s">
        <v>500</v>
      </c>
      <c r="EF846" s="15" t="s">
        <v>2736</v>
      </c>
      <c r="EU846" s="15" t="s">
        <v>426</v>
      </c>
      <c r="EV846" s="15">
        <v>0.0</v>
      </c>
      <c r="FQ846" s="15">
        <v>0.0</v>
      </c>
      <c r="FR846" s="15" t="s">
        <v>427</v>
      </c>
      <c r="FZ846" s="15" t="s">
        <v>6427</v>
      </c>
      <c r="GA846" s="15" t="s">
        <v>6427</v>
      </c>
      <c r="GB846" s="15" t="s">
        <v>2464</v>
      </c>
      <c r="GC846" s="15" t="s">
        <v>2026</v>
      </c>
      <c r="GD846" s="15" t="s">
        <v>6700</v>
      </c>
      <c r="GE846" s="15" t="s">
        <v>6700</v>
      </c>
      <c r="GF846" s="15" t="s">
        <v>431</v>
      </c>
      <c r="GG846" s="15" t="s">
        <v>426</v>
      </c>
      <c r="GH846" s="15" t="s">
        <v>764</v>
      </c>
    </row>
    <row r="847" ht="17.25" customHeight="1">
      <c r="A847" s="15" t="s">
        <v>8803</v>
      </c>
      <c r="B847" s="15" t="str">
        <f>"801542633592"</f>
        <v>801542633592</v>
      </c>
      <c r="C847" s="15" t="s">
        <v>21609</v>
      </c>
      <c r="D847" s="15" t="str">
        <f t="shared" si="1"/>
        <v>Rosedale 6 Drawer DresserYucca Oak Veneer</v>
      </c>
      <c r="E847" s="15" t="s">
        <v>8794</v>
      </c>
      <c r="F847" s="15" t="s">
        <v>397</v>
      </c>
      <c r="G847" s="15" t="s">
        <v>8790</v>
      </c>
      <c r="J847" s="15" t="s">
        <v>8790</v>
      </c>
      <c r="K847" s="15" t="s">
        <v>8784</v>
      </c>
      <c r="M847" s="15" t="s">
        <v>5652</v>
      </c>
      <c r="N847" s="15" t="s">
        <v>412</v>
      </c>
      <c r="P847" s="15" t="str">
        <f t="shared" si="2451"/>
        <v>62.5</v>
      </c>
      <c r="Q847" s="15" t="str">
        <f t="shared" si="2440"/>
        <v>19.5</v>
      </c>
      <c r="R847" s="15" t="str">
        <f t="shared" si="2452"/>
        <v>33</v>
      </c>
      <c r="S847" s="15" t="str">
        <f t="shared" si="2453"/>
        <v>174.16</v>
      </c>
      <c r="T847" s="15" t="s">
        <v>8783</v>
      </c>
      <c r="U847" s="15" t="s">
        <v>11553</v>
      </c>
      <c r="V847" s="15" t="s">
        <v>11137</v>
      </c>
      <c r="AA847" s="15" t="s">
        <v>426</v>
      </c>
      <c r="AB847" s="15" t="s">
        <v>413</v>
      </c>
      <c r="AC847" s="15" t="s">
        <v>8805</v>
      </c>
      <c r="AD847" s="15" t="s">
        <v>21610</v>
      </c>
      <c r="AE847" s="15" t="s">
        <v>8804</v>
      </c>
      <c r="AF847" s="15" t="s">
        <v>21611</v>
      </c>
      <c r="AG847" s="15" t="s">
        <v>21612</v>
      </c>
      <c r="AH847" s="15" t="s">
        <v>21613</v>
      </c>
      <c r="AI847" s="15" t="s">
        <v>21614</v>
      </c>
      <c r="AJ847" s="15" t="s">
        <v>21615</v>
      </c>
      <c r="AK847" s="15" t="s">
        <v>21616</v>
      </c>
      <c r="AL847" s="15" t="s">
        <v>21617</v>
      </c>
      <c r="AM847" s="15" t="s">
        <v>21618</v>
      </c>
      <c r="AN847" s="15" t="s">
        <v>21619</v>
      </c>
      <c r="AO847" s="15" t="s">
        <v>21620</v>
      </c>
      <c r="AP847" s="15" t="s">
        <v>21621</v>
      </c>
      <c r="AQ847" s="15" t="s">
        <v>21622</v>
      </c>
      <c r="AR847" s="15" t="s">
        <v>21623</v>
      </c>
      <c r="AS847" s="15" t="s">
        <v>21624</v>
      </c>
      <c r="AT847" s="15" t="s">
        <v>21625</v>
      </c>
      <c r="AU847" s="15" t="s">
        <v>21626</v>
      </c>
      <c r="BH847" s="15" t="s">
        <v>8802</v>
      </c>
      <c r="BI847" s="15" t="str">
        <f t="shared" si="2454"/>
        <v>1699</v>
      </c>
      <c r="BJ847" s="15" t="str">
        <f t="shared" si="2455"/>
        <v>715</v>
      </c>
      <c r="BK847" s="15" t="s">
        <v>742</v>
      </c>
      <c r="BL847" s="15" t="str">
        <f t="shared" si="2420"/>
        <v>1</v>
      </c>
      <c r="BM847" s="15" t="s">
        <v>8786</v>
      </c>
      <c r="BN847" s="15" t="str">
        <f t="shared" si="2456"/>
        <v>67.13</v>
      </c>
      <c r="BO847" s="15" t="str">
        <f t="shared" si="2446"/>
        <v>22.64</v>
      </c>
      <c r="BP847" s="15" t="str">
        <f t="shared" si="2457"/>
        <v>39.37</v>
      </c>
      <c r="BQ847" s="15" t="str">
        <f t="shared" si="2458"/>
        <v>220.46</v>
      </c>
      <c r="CG847" s="15" t="str">
        <f t="shared" si="2459"/>
        <v>34.61</v>
      </c>
      <c r="CH847" s="15" t="str">
        <f t="shared" si="2460"/>
        <v>0.98</v>
      </c>
      <c r="CI847" s="15" t="s">
        <v>497</v>
      </c>
      <c r="CZ847" s="15" t="s">
        <v>1371</v>
      </c>
      <c r="DA847" s="15">
        <v>6.0</v>
      </c>
      <c r="DB847" s="15" t="s">
        <v>419</v>
      </c>
      <c r="DD847" s="15">
        <v>0.0</v>
      </c>
      <c r="DF847" s="15" t="s">
        <v>420</v>
      </c>
      <c r="DG847" s="15" t="s">
        <v>421</v>
      </c>
      <c r="DK847" s="15">
        <v>0.0</v>
      </c>
      <c r="DR847" s="15" t="s">
        <v>422</v>
      </c>
      <c r="DS847" s="15" t="s">
        <v>8787</v>
      </c>
      <c r="DU847" s="15" t="s">
        <v>500</v>
      </c>
      <c r="EF847" s="15" t="s">
        <v>2736</v>
      </c>
      <c r="EU847" s="15" t="s">
        <v>426</v>
      </c>
      <c r="EV847" s="15">
        <v>0.0</v>
      </c>
      <c r="FQ847" s="15">
        <v>0.0</v>
      </c>
      <c r="FR847" s="15" t="s">
        <v>427</v>
      </c>
      <c r="FZ847" s="15" t="s">
        <v>6427</v>
      </c>
      <c r="GA847" s="15" t="s">
        <v>6427</v>
      </c>
      <c r="GB847" s="15" t="s">
        <v>2464</v>
      </c>
      <c r="GC847" s="15" t="s">
        <v>2026</v>
      </c>
      <c r="GD847" s="15" t="s">
        <v>6700</v>
      </c>
      <c r="GE847" s="15" t="s">
        <v>6700</v>
      </c>
      <c r="GF847" s="15" t="s">
        <v>431</v>
      </c>
      <c r="GG847" s="15" t="s">
        <v>426</v>
      </c>
      <c r="GH847" s="15" t="s">
        <v>764</v>
      </c>
    </row>
    <row r="848" ht="17.25" customHeight="1">
      <c r="A848" s="15" t="s">
        <v>8808</v>
      </c>
      <c r="B848" s="15" t="str">
        <f>"801542757144"</f>
        <v>801542757144</v>
      </c>
      <c r="C848" s="15" t="s">
        <v>21627</v>
      </c>
      <c r="D848" s="15" t="str">
        <f t="shared" si="1"/>
        <v>Rosedale 6 Drawer Tall DresserEbony Oak Veneer</v>
      </c>
      <c r="E848" s="15" t="s">
        <v>8806</v>
      </c>
      <c r="F848" s="15" t="s">
        <v>397</v>
      </c>
      <c r="G848" s="15" t="s">
        <v>8716</v>
      </c>
      <c r="J848" s="15" t="s">
        <v>8716</v>
      </c>
      <c r="K848" s="15" t="s">
        <v>8784</v>
      </c>
      <c r="M848" s="15" t="s">
        <v>5652</v>
      </c>
      <c r="N848" s="15" t="s">
        <v>412</v>
      </c>
      <c r="P848" s="15" t="str">
        <f t="shared" ref="P848:P849" si="2461">"36.5"</f>
        <v>36.5</v>
      </c>
      <c r="Q848" s="15" t="str">
        <f t="shared" si="2440"/>
        <v>19.5</v>
      </c>
      <c r="R848" s="15" t="str">
        <f t="shared" ref="R848:R849" si="2462">"49.25"</f>
        <v>49.25</v>
      </c>
      <c r="S848" s="15" t="str">
        <f t="shared" ref="S848:S849" si="2463">"170.86"</f>
        <v>170.86</v>
      </c>
      <c r="T848" s="15" t="s">
        <v>8783</v>
      </c>
      <c r="U848" s="15" t="s">
        <v>11553</v>
      </c>
      <c r="V848" s="15" t="s">
        <v>11137</v>
      </c>
      <c r="AA848" s="15" t="s">
        <v>413</v>
      </c>
      <c r="AB848" s="15" t="s">
        <v>413</v>
      </c>
      <c r="AC848" s="15" t="s">
        <v>8801</v>
      </c>
      <c r="AD848" s="15" t="s">
        <v>21628</v>
      </c>
      <c r="AE848" s="15" t="s">
        <v>8810</v>
      </c>
      <c r="AF848" s="15" t="s">
        <v>21629</v>
      </c>
      <c r="AG848" s="15" t="s">
        <v>21630</v>
      </c>
      <c r="AH848" s="15" t="s">
        <v>21631</v>
      </c>
      <c r="AI848" s="15" t="s">
        <v>21632</v>
      </c>
      <c r="AJ848" s="15" t="s">
        <v>21633</v>
      </c>
      <c r="AK848" s="15" t="s">
        <v>21634</v>
      </c>
      <c r="AL848" s="15" t="s">
        <v>21635</v>
      </c>
      <c r="AM848" s="15" t="s">
        <v>21636</v>
      </c>
      <c r="AN848" s="15" t="s">
        <v>21637</v>
      </c>
      <c r="AO848" s="15" t="s">
        <v>21638</v>
      </c>
      <c r="BH848" s="15" t="s">
        <v>8807</v>
      </c>
      <c r="BI848" s="15" t="str">
        <f t="shared" ref="BI848:BI849" si="2464">"1499"</f>
        <v>1499</v>
      </c>
      <c r="BJ848" s="15" t="str">
        <f t="shared" ref="BJ848:BJ849" si="2465">"630"</f>
        <v>630</v>
      </c>
      <c r="BK848" s="15" t="s">
        <v>742</v>
      </c>
      <c r="BL848" s="15" t="str">
        <f t="shared" si="2420"/>
        <v>1</v>
      </c>
      <c r="BM848" s="15" t="s">
        <v>8786</v>
      </c>
      <c r="BN848" s="15" t="str">
        <f t="shared" ref="BN848:BN849" si="2466">"40.94"</f>
        <v>40.94</v>
      </c>
      <c r="BO848" s="15" t="str">
        <f t="shared" si="2446"/>
        <v>22.64</v>
      </c>
      <c r="BP848" s="15" t="str">
        <f t="shared" ref="BP848:BP849" si="2467">"55.51"</f>
        <v>55.51</v>
      </c>
      <c r="BQ848" s="15" t="str">
        <f t="shared" ref="BQ848:BQ849" si="2468">"208.33"</f>
        <v>208.33</v>
      </c>
      <c r="CG848" s="15" t="str">
        <f t="shared" ref="CG848:CG849" si="2469">"29.77"</f>
        <v>29.77</v>
      </c>
      <c r="CH848" s="15" t="str">
        <f t="shared" ref="CH848:CH849" si="2470">"0.843"</f>
        <v>0.843</v>
      </c>
      <c r="CI848" s="15" t="s">
        <v>497</v>
      </c>
      <c r="CZ848" s="15" t="s">
        <v>1371</v>
      </c>
      <c r="DA848" s="15">
        <v>6.0</v>
      </c>
      <c r="DB848" s="15" t="s">
        <v>419</v>
      </c>
      <c r="DD848" s="15">
        <v>0.0</v>
      </c>
      <c r="DF848" s="15" t="s">
        <v>420</v>
      </c>
      <c r="DG848" s="15" t="s">
        <v>421</v>
      </c>
      <c r="DK848" s="15">
        <v>0.0</v>
      </c>
      <c r="DR848" s="15" t="s">
        <v>2094</v>
      </c>
      <c r="DS848" s="15" t="s">
        <v>8787</v>
      </c>
      <c r="DU848" s="15" t="s">
        <v>500</v>
      </c>
      <c r="EF848" s="15" t="s">
        <v>2736</v>
      </c>
      <c r="EU848" s="15" t="s">
        <v>426</v>
      </c>
      <c r="EV848" s="15">
        <v>0.0</v>
      </c>
      <c r="FQ848" s="15">
        <v>0.0</v>
      </c>
      <c r="FR848" s="15" t="s">
        <v>427</v>
      </c>
      <c r="FZ848" s="15" t="s">
        <v>6427</v>
      </c>
      <c r="GA848" s="15" t="s">
        <v>6427</v>
      </c>
      <c r="GB848" s="15" t="s">
        <v>2026</v>
      </c>
      <c r="GC848" s="15" t="s">
        <v>732</v>
      </c>
      <c r="GD848" s="15" t="s">
        <v>8812</v>
      </c>
      <c r="GE848" s="15" t="s">
        <v>1592</v>
      </c>
      <c r="GF848" s="15" t="s">
        <v>431</v>
      </c>
      <c r="GH848" s="15" t="s">
        <v>764</v>
      </c>
    </row>
    <row r="849" ht="17.25" customHeight="1">
      <c r="A849" s="15" t="s">
        <v>8814</v>
      </c>
      <c r="B849" s="15" t="str">
        <f>"801542633585"</f>
        <v>801542633585</v>
      </c>
      <c r="C849" s="15" t="s">
        <v>21639</v>
      </c>
      <c r="D849" s="15" t="str">
        <f t="shared" si="1"/>
        <v>Rosedale 6 Drawer Tall DresserYucca Oak Veneer</v>
      </c>
      <c r="E849" s="15" t="s">
        <v>8806</v>
      </c>
      <c r="F849" s="15" t="s">
        <v>397</v>
      </c>
      <c r="G849" s="15" t="s">
        <v>8790</v>
      </c>
      <c r="J849" s="15" t="s">
        <v>8790</v>
      </c>
      <c r="K849" s="15" t="s">
        <v>8784</v>
      </c>
      <c r="M849" s="15" t="s">
        <v>5652</v>
      </c>
      <c r="N849" s="15" t="s">
        <v>412</v>
      </c>
      <c r="P849" s="15" t="str">
        <f t="shared" si="2461"/>
        <v>36.5</v>
      </c>
      <c r="Q849" s="15" t="str">
        <f t="shared" si="2440"/>
        <v>19.5</v>
      </c>
      <c r="R849" s="15" t="str">
        <f t="shared" si="2462"/>
        <v>49.25</v>
      </c>
      <c r="S849" s="15" t="str">
        <f t="shared" si="2463"/>
        <v>170.86</v>
      </c>
      <c r="T849" s="15" t="s">
        <v>8783</v>
      </c>
      <c r="U849" s="15" t="s">
        <v>11553</v>
      </c>
      <c r="V849" s="15" t="s">
        <v>11137</v>
      </c>
      <c r="AA849" s="15" t="s">
        <v>413</v>
      </c>
      <c r="AB849" s="15" t="s">
        <v>413</v>
      </c>
      <c r="AC849" s="15" t="s">
        <v>8805</v>
      </c>
      <c r="AD849" s="15" t="s">
        <v>21640</v>
      </c>
      <c r="AE849" s="15" t="s">
        <v>8815</v>
      </c>
      <c r="AF849" s="15" t="s">
        <v>21641</v>
      </c>
      <c r="AG849" s="15" t="s">
        <v>21642</v>
      </c>
      <c r="AH849" s="15" t="s">
        <v>21643</v>
      </c>
      <c r="AI849" s="15" t="s">
        <v>21644</v>
      </c>
      <c r="AJ849" s="15" t="s">
        <v>21645</v>
      </c>
      <c r="AK849" s="15" t="s">
        <v>21646</v>
      </c>
      <c r="AL849" s="15" t="s">
        <v>21647</v>
      </c>
      <c r="AM849" s="15" t="s">
        <v>21648</v>
      </c>
      <c r="AN849" s="15" t="s">
        <v>21649</v>
      </c>
      <c r="AO849" s="15" t="s">
        <v>21650</v>
      </c>
      <c r="AP849" s="15" t="s">
        <v>21651</v>
      </c>
      <c r="AQ849" s="15" t="s">
        <v>21652</v>
      </c>
      <c r="BH849" s="15" t="s">
        <v>8813</v>
      </c>
      <c r="BI849" s="15" t="str">
        <f t="shared" si="2464"/>
        <v>1499</v>
      </c>
      <c r="BJ849" s="15" t="str">
        <f t="shared" si="2465"/>
        <v>630</v>
      </c>
      <c r="BK849" s="15" t="s">
        <v>742</v>
      </c>
      <c r="BL849" s="15" t="str">
        <f t="shared" si="2420"/>
        <v>1</v>
      </c>
      <c r="BM849" s="15" t="s">
        <v>8786</v>
      </c>
      <c r="BN849" s="15" t="str">
        <f t="shared" si="2466"/>
        <v>40.94</v>
      </c>
      <c r="BO849" s="15" t="str">
        <f t="shared" si="2446"/>
        <v>22.64</v>
      </c>
      <c r="BP849" s="15" t="str">
        <f t="shared" si="2467"/>
        <v>55.51</v>
      </c>
      <c r="BQ849" s="15" t="str">
        <f t="shared" si="2468"/>
        <v>208.33</v>
      </c>
      <c r="CG849" s="15" t="str">
        <f t="shared" si="2469"/>
        <v>29.77</v>
      </c>
      <c r="CH849" s="15" t="str">
        <f t="shared" si="2470"/>
        <v>0.843</v>
      </c>
      <c r="CI849" s="15" t="s">
        <v>497</v>
      </c>
      <c r="CZ849" s="15" t="s">
        <v>1371</v>
      </c>
      <c r="DA849" s="15">
        <v>6.0</v>
      </c>
      <c r="DB849" s="15" t="s">
        <v>419</v>
      </c>
      <c r="DD849" s="15">
        <v>0.0</v>
      </c>
      <c r="DF849" s="15" t="s">
        <v>420</v>
      </c>
      <c r="DG849" s="15" t="s">
        <v>421</v>
      </c>
      <c r="DK849" s="15">
        <v>0.0</v>
      </c>
      <c r="DR849" s="15" t="s">
        <v>2094</v>
      </c>
      <c r="DS849" s="15" t="s">
        <v>8787</v>
      </c>
      <c r="DU849" s="15" t="s">
        <v>500</v>
      </c>
      <c r="EF849" s="15" t="s">
        <v>2736</v>
      </c>
      <c r="EU849" s="15" t="s">
        <v>426</v>
      </c>
      <c r="EV849" s="15">
        <v>0.0</v>
      </c>
      <c r="FQ849" s="15">
        <v>0.0</v>
      </c>
      <c r="FR849" s="15" t="s">
        <v>427</v>
      </c>
      <c r="FZ849" s="15" t="s">
        <v>6427</v>
      </c>
      <c r="GA849" s="15" t="s">
        <v>6427</v>
      </c>
      <c r="GB849" s="15" t="s">
        <v>2026</v>
      </c>
      <c r="GC849" s="15" t="s">
        <v>732</v>
      </c>
      <c r="GD849" s="15" t="s">
        <v>8812</v>
      </c>
      <c r="GE849" s="15" t="s">
        <v>1592</v>
      </c>
      <c r="GF849" s="15" t="s">
        <v>431</v>
      </c>
      <c r="GH849" s="15" t="s">
        <v>764</v>
      </c>
    </row>
    <row r="850" ht="17.25" customHeight="1">
      <c r="A850" s="15" t="s">
        <v>8818</v>
      </c>
      <c r="B850" s="15" t="str">
        <f>"198394062190"</f>
        <v>198394062190</v>
      </c>
      <c r="C850" s="15" t="s">
        <v>21653</v>
      </c>
      <c r="D850" s="15" t="str">
        <f t="shared" si="1"/>
        <v>Rosedale 8 Drawer DresserEbony Oak Veneer</v>
      </c>
      <c r="E850" s="15" t="s">
        <v>8816</v>
      </c>
      <c r="F850" s="15" t="s">
        <v>397</v>
      </c>
      <c r="G850" s="15" t="s">
        <v>8716</v>
      </c>
      <c r="J850" s="15" t="s">
        <v>8716</v>
      </c>
      <c r="K850" s="15" t="s">
        <v>8784</v>
      </c>
      <c r="M850" s="15" t="s">
        <v>5652</v>
      </c>
      <c r="N850" s="15" t="s">
        <v>412</v>
      </c>
      <c r="P850" s="15" t="str">
        <f t="shared" ref="P850:P851" si="2471">"62.5"</f>
        <v>62.5</v>
      </c>
      <c r="Q850" s="15" t="str">
        <f t="shared" ref="Q850:Q851" si="2472">"20.5"</f>
        <v>20.5</v>
      </c>
      <c r="R850" s="15" t="str">
        <f t="shared" ref="R850:R851" si="2473">"40.75"</f>
        <v>40.75</v>
      </c>
      <c r="S850" s="15" t="str">
        <f t="shared" ref="S850:S851" si="2474">"221.56"</f>
        <v>221.56</v>
      </c>
      <c r="T850" s="15" t="s">
        <v>8783</v>
      </c>
      <c r="U850" s="15" t="s">
        <v>11553</v>
      </c>
      <c r="V850" s="15" t="s">
        <v>11137</v>
      </c>
      <c r="AA850" s="15" t="s">
        <v>413</v>
      </c>
      <c r="AB850" s="15" t="s">
        <v>413</v>
      </c>
      <c r="AD850" s="15" t="s">
        <v>21654</v>
      </c>
      <c r="AE850" s="15" t="s">
        <v>8819</v>
      </c>
      <c r="AF850" s="15" t="s">
        <v>21655</v>
      </c>
      <c r="AG850" s="15" t="s">
        <v>21656</v>
      </c>
      <c r="AH850" s="15" t="s">
        <v>21657</v>
      </c>
      <c r="AI850" s="15" t="s">
        <v>21658</v>
      </c>
      <c r="AJ850" s="15" t="s">
        <v>21659</v>
      </c>
      <c r="AK850" s="15" t="s">
        <v>21660</v>
      </c>
      <c r="AL850" s="15" t="s">
        <v>21661</v>
      </c>
      <c r="AM850" s="15" t="s">
        <v>21662</v>
      </c>
      <c r="AN850" s="15" t="s">
        <v>21663</v>
      </c>
      <c r="AO850" s="15" t="s">
        <v>21664</v>
      </c>
      <c r="AP850" s="15" t="s">
        <v>21665</v>
      </c>
      <c r="AQ850" s="15" t="s">
        <v>21666</v>
      </c>
      <c r="AR850" s="15" t="s">
        <v>21667</v>
      </c>
      <c r="BH850" s="15" t="s">
        <v>8817</v>
      </c>
      <c r="BI850" s="15" t="str">
        <f t="shared" ref="BI850:BI851" si="2475">"1899"</f>
        <v>1899</v>
      </c>
      <c r="BJ850" s="15" t="str">
        <f t="shared" ref="BJ850:BJ851" si="2476">"800"</f>
        <v>800</v>
      </c>
      <c r="BK850" s="15" t="s">
        <v>742</v>
      </c>
      <c r="BL850" s="15" t="str">
        <f t="shared" si="2420"/>
        <v>1</v>
      </c>
      <c r="BM850" s="15" t="s">
        <v>416</v>
      </c>
      <c r="BN850" s="15" t="str">
        <f t="shared" ref="BN850:BN851" si="2477">"66.34"</f>
        <v>66.34</v>
      </c>
      <c r="BO850" s="15" t="str">
        <f t="shared" ref="BO850:BO851" si="2478">"24.8"</f>
        <v>24.8</v>
      </c>
      <c r="BP850" s="15" t="str">
        <f t="shared" ref="BP850:BP851" si="2479">"46.65"</f>
        <v>46.65</v>
      </c>
      <c r="BQ850" s="15" t="str">
        <f t="shared" ref="BQ850:BQ851" si="2480">"273.37"</f>
        <v>273.37</v>
      </c>
      <c r="CG850" s="15" t="str">
        <f t="shared" ref="CG850:CG851" si="2481">"44.43"</f>
        <v>44.43</v>
      </c>
      <c r="CH850" s="15" t="str">
        <f t="shared" ref="CH850:CH851" si="2482">"1.258"</f>
        <v>1.258</v>
      </c>
      <c r="CI850" s="15" t="s">
        <v>465</v>
      </c>
      <c r="CZ850" s="15" t="s">
        <v>1371</v>
      </c>
      <c r="DA850" s="15">
        <v>8.0</v>
      </c>
      <c r="DB850" s="15" t="s">
        <v>419</v>
      </c>
      <c r="DD850" s="15">
        <v>0.0</v>
      </c>
      <c r="DF850" s="15" t="s">
        <v>764</v>
      </c>
      <c r="DG850" s="15" t="s">
        <v>421</v>
      </c>
      <c r="DK850" s="15">
        <v>0.0</v>
      </c>
      <c r="DR850" s="15" t="s">
        <v>422</v>
      </c>
      <c r="DS850" s="15" t="s">
        <v>8787</v>
      </c>
      <c r="DU850" s="15" t="s">
        <v>500</v>
      </c>
      <c r="EF850" s="15" t="s">
        <v>762</v>
      </c>
      <c r="EU850" s="15" t="s">
        <v>426</v>
      </c>
      <c r="EV850" s="15">
        <v>0.0</v>
      </c>
      <c r="FQ850" s="15">
        <v>0.0</v>
      </c>
      <c r="FR850" s="15" t="s">
        <v>427</v>
      </c>
      <c r="FZ850" s="15" t="s">
        <v>5557</v>
      </c>
      <c r="GA850" s="15" t="s">
        <v>5557</v>
      </c>
      <c r="GB850" s="15" t="s">
        <v>8820</v>
      </c>
      <c r="GC850" s="15" t="s">
        <v>3155</v>
      </c>
      <c r="GD850" s="15" t="s">
        <v>6700</v>
      </c>
      <c r="GE850" s="15" t="s">
        <v>6700</v>
      </c>
      <c r="GF850" s="15" t="s">
        <v>431</v>
      </c>
      <c r="GH850" s="15" t="s">
        <v>764</v>
      </c>
    </row>
    <row r="851" ht="17.25" customHeight="1">
      <c r="A851" s="15" t="s">
        <v>8822</v>
      </c>
      <c r="B851" s="15" t="str">
        <f>"801542985714"</f>
        <v>801542985714</v>
      </c>
      <c r="C851" s="15" t="s">
        <v>21668</v>
      </c>
      <c r="D851" s="15" t="str">
        <f t="shared" si="1"/>
        <v>Rosedale 8 Drawer DresserYucca Oak Veneer</v>
      </c>
      <c r="E851" s="15" t="s">
        <v>8816</v>
      </c>
      <c r="F851" s="15" t="s">
        <v>397</v>
      </c>
      <c r="G851" s="15" t="s">
        <v>8790</v>
      </c>
      <c r="J851" s="15" t="s">
        <v>8790</v>
      </c>
      <c r="K851" s="15" t="s">
        <v>8784</v>
      </c>
      <c r="M851" s="15" t="s">
        <v>5652</v>
      </c>
      <c r="N851" s="15" t="s">
        <v>412</v>
      </c>
      <c r="P851" s="15" t="str">
        <f t="shared" si="2471"/>
        <v>62.5</v>
      </c>
      <c r="Q851" s="15" t="str">
        <f t="shared" si="2472"/>
        <v>20.5</v>
      </c>
      <c r="R851" s="15" t="str">
        <f t="shared" si="2473"/>
        <v>40.75</v>
      </c>
      <c r="S851" s="15" t="str">
        <f t="shared" si="2474"/>
        <v>221.56</v>
      </c>
      <c r="T851" s="15" t="s">
        <v>8783</v>
      </c>
      <c r="U851" s="15" t="s">
        <v>11553</v>
      </c>
      <c r="V851" s="15" t="s">
        <v>11137</v>
      </c>
      <c r="AA851" s="15" t="s">
        <v>413</v>
      </c>
      <c r="AB851" s="15" t="s">
        <v>413</v>
      </c>
      <c r="AD851" s="15" t="s">
        <v>21669</v>
      </c>
      <c r="AE851" s="15" t="s">
        <v>8823</v>
      </c>
      <c r="AF851" s="15" t="s">
        <v>21670</v>
      </c>
      <c r="AG851" s="15" t="s">
        <v>21671</v>
      </c>
      <c r="AH851" s="15" t="s">
        <v>21672</v>
      </c>
      <c r="AI851" s="15" t="s">
        <v>21673</v>
      </c>
      <c r="AJ851" s="15" t="s">
        <v>21674</v>
      </c>
      <c r="AK851" s="15" t="s">
        <v>21675</v>
      </c>
      <c r="AL851" s="15" t="s">
        <v>21676</v>
      </c>
      <c r="AM851" s="15" t="s">
        <v>21677</v>
      </c>
      <c r="AN851" s="15" t="s">
        <v>21678</v>
      </c>
      <c r="AO851" s="15" t="s">
        <v>21679</v>
      </c>
      <c r="AP851" s="15" t="s">
        <v>21680</v>
      </c>
      <c r="AQ851" s="15" t="s">
        <v>21681</v>
      </c>
      <c r="AR851" s="15" t="s">
        <v>21682</v>
      </c>
      <c r="BH851" s="15" t="s">
        <v>8821</v>
      </c>
      <c r="BI851" s="15" t="str">
        <f t="shared" si="2475"/>
        <v>1899</v>
      </c>
      <c r="BJ851" s="15" t="str">
        <f t="shared" si="2476"/>
        <v>800</v>
      </c>
      <c r="BK851" s="15" t="s">
        <v>742</v>
      </c>
      <c r="BL851" s="15" t="str">
        <f t="shared" si="2420"/>
        <v>1</v>
      </c>
      <c r="BM851" s="15" t="s">
        <v>416</v>
      </c>
      <c r="BN851" s="15" t="str">
        <f t="shared" si="2477"/>
        <v>66.34</v>
      </c>
      <c r="BO851" s="15" t="str">
        <f t="shared" si="2478"/>
        <v>24.8</v>
      </c>
      <c r="BP851" s="15" t="str">
        <f t="shared" si="2479"/>
        <v>46.65</v>
      </c>
      <c r="BQ851" s="15" t="str">
        <f t="shared" si="2480"/>
        <v>273.37</v>
      </c>
      <c r="CG851" s="15" t="str">
        <f t="shared" si="2481"/>
        <v>44.43</v>
      </c>
      <c r="CH851" s="15" t="str">
        <f t="shared" si="2482"/>
        <v>1.258</v>
      </c>
      <c r="CI851" s="15" t="s">
        <v>465</v>
      </c>
      <c r="CZ851" s="15" t="s">
        <v>1371</v>
      </c>
      <c r="DA851" s="15">
        <v>8.0</v>
      </c>
      <c r="DB851" s="15" t="s">
        <v>419</v>
      </c>
      <c r="DD851" s="15">
        <v>0.0</v>
      </c>
      <c r="DF851" s="15" t="s">
        <v>764</v>
      </c>
      <c r="DG851" s="15" t="s">
        <v>421</v>
      </c>
      <c r="DK851" s="15">
        <v>0.0</v>
      </c>
      <c r="DR851" s="15" t="s">
        <v>422</v>
      </c>
      <c r="DS851" s="15" t="s">
        <v>8787</v>
      </c>
      <c r="DU851" s="15" t="s">
        <v>500</v>
      </c>
      <c r="EF851" s="15" t="s">
        <v>762</v>
      </c>
      <c r="EU851" s="15" t="s">
        <v>426</v>
      </c>
      <c r="EV851" s="15">
        <v>0.0</v>
      </c>
      <c r="FQ851" s="15">
        <v>0.0</v>
      </c>
      <c r="FR851" s="15" t="s">
        <v>427</v>
      </c>
      <c r="FZ851" s="15" t="s">
        <v>5557</v>
      </c>
      <c r="GA851" s="15" t="s">
        <v>5557</v>
      </c>
      <c r="GB851" s="15" t="s">
        <v>8820</v>
      </c>
      <c r="GC851" s="15" t="s">
        <v>3155</v>
      </c>
      <c r="GD851" s="15" t="s">
        <v>6700</v>
      </c>
      <c r="GE851" s="15" t="s">
        <v>6700</v>
      </c>
      <c r="GF851" s="15" t="s">
        <v>431</v>
      </c>
      <c r="GH851" s="15" t="s">
        <v>764</v>
      </c>
    </row>
    <row r="852" ht="17.25" customHeight="1">
      <c r="A852" s="15" t="s">
        <v>8826</v>
      </c>
      <c r="B852" s="15" t="str">
        <f>"801542633646"</f>
        <v>801542633646</v>
      </c>
      <c r="C852" s="15" t="s">
        <v>21683</v>
      </c>
      <c r="D852" s="15" t="str">
        <f t="shared" si="1"/>
        <v>Rosedale BedChaps SandQueen</v>
      </c>
      <c r="E852" s="15" t="s">
        <v>8824</v>
      </c>
      <c r="F852" s="15" t="s">
        <v>397</v>
      </c>
      <c r="G852" s="15" t="s">
        <v>8784</v>
      </c>
      <c r="H852" s="15" t="s">
        <v>265</v>
      </c>
      <c r="I852" s="15" t="s">
        <v>877</v>
      </c>
      <c r="J852" s="15" t="s">
        <v>8784</v>
      </c>
      <c r="K852" s="15" t="s">
        <v>8790</v>
      </c>
      <c r="M852" s="15" t="s">
        <v>5652</v>
      </c>
      <c r="N852" s="15" t="s">
        <v>839</v>
      </c>
      <c r="O852" s="15" t="s">
        <v>877</v>
      </c>
      <c r="P852" s="15" t="str">
        <f>"63.5"</f>
        <v>63.5</v>
      </c>
      <c r="Q852" s="15" t="str">
        <f t="shared" ref="Q852:Q857" si="2483">"85"</f>
        <v>85</v>
      </c>
      <c r="R852" s="15" t="str">
        <f t="shared" ref="R852:R857" si="2484">"51"</f>
        <v>51</v>
      </c>
      <c r="S852" s="15" t="str">
        <f>"158.72"</f>
        <v>158.72</v>
      </c>
      <c r="T852" s="15" t="s">
        <v>8829</v>
      </c>
      <c r="U852" s="15" t="s">
        <v>11137</v>
      </c>
      <c r="V852" s="15" t="s">
        <v>11553</v>
      </c>
      <c r="AA852" s="15" t="s">
        <v>413</v>
      </c>
      <c r="AB852" s="15" t="s">
        <v>413</v>
      </c>
      <c r="AC852" s="15" t="s">
        <v>8830</v>
      </c>
      <c r="AD852" s="15" t="s">
        <v>21684</v>
      </c>
      <c r="AE852" s="15" t="s">
        <v>8828</v>
      </c>
      <c r="AF852" s="15" t="s">
        <v>21685</v>
      </c>
      <c r="AG852" s="15" t="s">
        <v>21686</v>
      </c>
      <c r="AH852" s="15" t="s">
        <v>21687</v>
      </c>
      <c r="AI852" s="15" t="s">
        <v>21688</v>
      </c>
      <c r="AJ852" s="15" t="s">
        <v>21689</v>
      </c>
      <c r="AK852" s="15" t="s">
        <v>21690</v>
      </c>
      <c r="AL852" s="15" t="s">
        <v>21691</v>
      </c>
      <c r="AM852" s="15" t="s">
        <v>21692</v>
      </c>
      <c r="AN852" s="15" t="s">
        <v>21693</v>
      </c>
      <c r="AO852" s="15" t="s">
        <v>21694</v>
      </c>
      <c r="AP852" s="15" t="s">
        <v>21695</v>
      </c>
      <c r="AQ852" s="15" t="s">
        <v>21696</v>
      </c>
      <c r="AR852" s="15" t="s">
        <v>21697</v>
      </c>
      <c r="AS852" s="15" t="s">
        <v>21698</v>
      </c>
      <c r="BH852" s="15" t="s">
        <v>8825</v>
      </c>
      <c r="BI852" s="15" t="str">
        <f>"1999"</f>
        <v>1999</v>
      </c>
      <c r="BJ852" s="15" t="str">
        <f>"840"</f>
        <v>840</v>
      </c>
      <c r="BK852" s="15" t="s">
        <v>742</v>
      </c>
      <c r="BL852" s="15" t="str">
        <f t="shared" ref="BL852:BL857" si="2485">"3"</f>
        <v>3</v>
      </c>
      <c r="BM852" s="15" t="s">
        <v>841</v>
      </c>
      <c r="BN852" s="15" t="str">
        <f>"66.93"</f>
        <v>66.93</v>
      </c>
      <c r="BO852" s="15" t="str">
        <f t="shared" ref="BO852:BO857" si="2486">"5.91"</f>
        <v>5.91</v>
      </c>
      <c r="BP852" s="15" t="str">
        <f t="shared" ref="BP852:BP857" si="2487">"54.72"</f>
        <v>54.72</v>
      </c>
      <c r="BQ852" s="15" t="str">
        <f>"84.88"</f>
        <v>84.88</v>
      </c>
      <c r="BR852" s="15" t="s">
        <v>8831</v>
      </c>
      <c r="BS852" s="15" t="str">
        <f>"66.93"</f>
        <v>66.93</v>
      </c>
      <c r="BT852" s="15" t="str">
        <f t="shared" ref="BT852:BT857" si="2488">"4.72"</f>
        <v>4.72</v>
      </c>
      <c r="BU852" s="15" t="str">
        <f t="shared" ref="BU852:BU857" si="2489">"37.8"</f>
        <v>37.8</v>
      </c>
      <c r="BV852" s="15" t="str">
        <f>"65.04"</f>
        <v>65.04</v>
      </c>
      <c r="BW852" s="15" t="s">
        <v>2966</v>
      </c>
      <c r="BX852" s="15" t="str">
        <f t="shared" ref="BX852:BX857" si="2490">"85.43"</f>
        <v>85.43</v>
      </c>
      <c r="BY852" s="15" t="str">
        <f t="shared" ref="BY852:BY857" si="2491">"5.91"</f>
        <v>5.91</v>
      </c>
      <c r="BZ852" s="15" t="str">
        <f t="shared" ref="BZ852:BZ857" si="2492">"13.39"</f>
        <v>13.39</v>
      </c>
      <c r="CA852" s="15" t="str">
        <f t="shared" ref="CA852:CA857" si="2493">"46.3"</f>
        <v>46.3</v>
      </c>
      <c r="CG852" s="15" t="str">
        <f>"23.34"</f>
        <v>23.34</v>
      </c>
      <c r="CH852" s="15" t="str">
        <f>"0.661"</f>
        <v>0.661</v>
      </c>
      <c r="CI852" s="15" t="s">
        <v>497</v>
      </c>
      <c r="CY852" s="15" t="s">
        <v>718</v>
      </c>
      <c r="CZ852" s="15" t="s">
        <v>419</v>
      </c>
      <c r="DA852" s="15">
        <v>0.0</v>
      </c>
      <c r="DB852" s="15" t="s">
        <v>419</v>
      </c>
      <c r="DD852" s="15">
        <v>0.0</v>
      </c>
      <c r="DF852" s="15" t="s">
        <v>420</v>
      </c>
      <c r="DG852" s="15" t="s">
        <v>419</v>
      </c>
      <c r="DI852" s="15">
        <v>0.0</v>
      </c>
      <c r="DJ852" s="15">
        <v>0.0</v>
      </c>
      <c r="DK852" s="15">
        <v>0.0</v>
      </c>
      <c r="DL852" s="15">
        <v>0.0</v>
      </c>
      <c r="DS852" s="15" t="s">
        <v>8787</v>
      </c>
      <c r="DU852" s="15" t="s">
        <v>858</v>
      </c>
      <c r="EV852" s="15">
        <v>0.0</v>
      </c>
      <c r="HV852" s="15" t="s">
        <v>4493</v>
      </c>
      <c r="HW852" s="15" t="s">
        <v>4493</v>
      </c>
      <c r="HX852" s="15" t="s">
        <v>4493</v>
      </c>
      <c r="HY852" s="15" t="s">
        <v>2652</v>
      </c>
      <c r="HZ852" s="15" t="s">
        <v>1607</v>
      </c>
      <c r="IA852" s="15" t="s">
        <v>8833</v>
      </c>
      <c r="IB852" s="15" t="s">
        <v>8834</v>
      </c>
      <c r="IC852" s="15" t="s">
        <v>5055</v>
      </c>
      <c r="ID852" s="15" t="s">
        <v>8833</v>
      </c>
      <c r="IE852" s="15" t="s">
        <v>8835</v>
      </c>
      <c r="IF852" s="15" t="s">
        <v>1957</v>
      </c>
      <c r="IG852" s="15" t="s">
        <v>8836</v>
      </c>
      <c r="IH852" s="15" t="s">
        <v>729</v>
      </c>
      <c r="II852" s="15" t="s">
        <v>7596</v>
      </c>
      <c r="IJ852" s="15" t="s">
        <v>2969</v>
      </c>
      <c r="IK852" s="15" t="s">
        <v>426</v>
      </c>
      <c r="IL852" s="15" t="s">
        <v>2471</v>
      </c>
      <c r="IM852" s="15" t="s">
        <v>872</v>
      </c>
      <c r="IN852" s="15" t="s">
        <v>873</v>
      </c>
      <c r="IO852" s="15" t="s">
        <v>877</v>
      </c>
      <c r="IU852" s="15" t="s">
        <v>759</v>
      </c>
      <c r="IV852" s="15" t="s">
        <v>1425</v>
      </c>
      <c r="IW852" s="15" t="s">
        <v>759</v>
      </c>
      <c r="IX852" s="15" t="s">
        <v>426</v>
      </c>
      <c r="IY852" s="15" t="s">
        <v>2474</v>
      </c>
    </row>
    <row r="853" ht="17.25" customHeight="1">
      <c r="A853" s="15" t="s">
        <v>8838</v>
      </c>
      <c r="B853" s="15" t="str">
        <f>"801542633615"</f>
        <v>801542633615</v>
      </c>
      <c r="C853" s="15" t="s">
        <v>21683</v>
      </c>
      <c r="D853" s="15" t="str">
        <f t="shared" si="1"/>
        <v>Rosedale BedChaps SandKing</v>
      </c>
      <c r="E853" s="15" t="s">
        <v>8824</v>
      </c>
      <c r="F853" s="15" t="s">
        <v>397</v>
      </c>
      <c r="G853" s="15" t="s">
        <v>8784</v>
      </c>
      <c r="H853" s="15" t="s">
        <v>265</v>
      </c>
      <c r="I853" s="15" t="s">
        <v>828</v>
      </c>
      <c r="J853" s="15" t="s">
        <v>8784</v>
      </c>
      <c r="K853" s="15" t="s">
        <v>8790</v>
      </c>
      <c r="M853" s="15" t="s">
        <v>5652</v>
      </c>
      <c r="N853" s="15" t="s">
        <v>839</v>
      </c>
      <c r="O853" s="15" t="s">
        <v>828</v>
      </c>
      <c r="P853" s="15" t="str">
        <f>"79.5"</f>
        <v>79.5</v>
      </c>
      <c r="Q853" s="15" t="str">
        <f t="shared" si="2483"/>
        <v>85</v>
      </c>
      <c r="R853" s="15" t="str">
        <f t="shared" si="2484"/>
        <v>51</v>
      </c>
      <c r="S853" s="15" t="str">
        <f>"187.39"</f>
        <v>187.39</v>
      </c>
      <c r="T853" s="15" t="s">
        <v>8829</v>
      </c>
      <c r="U853" s="15" t="s">
        <v>11137</v>
      </c>
      <c r="V853" s="15" t="s">
        <v>11553</v>
      </c>
      <c r="AA853" s="15" t="s">
        <v>413</v>
      </c>
      <c r="AB853" s="15" t="s">
        <v>413</v>
      </c>
      <c r="AC853" s="15" t="s">
        <v>8830</v>
      </c>
      <c r="AD853" s="15" t="s">
        <v>21699</v>
      </c>
      <c r="AE853" s="15" t="s">
        <v>8839</v>
      </c>
      <c r="AF853" s="15" t="s">
        <v>21700</v>
      </c>
      <c r="AG853" s="15" t="s">
        <v>21701</v>
      </c>
      <c r="AH853" s="15" t="s">
        <v>21702</v>
      </c>
      <c r="AI853" s="15" t="s">
        <v>21703</v>
      </c>
      <c r="AJ853" s="15" t="s">
        <v>21704</v>
      </c>
      <c r="AK853" s="15" t="s">
        <v>21705</v>
      </c>
      <c r="AL853" s="15" t="s">
        <v>21706</v>
      </c>
      <c r="AM853" s="15" t="s">
        <v>21707</v>
      </c>
      <c r="AN853" s="15" t="s">
        <v>21708</v>
      </c>
      <c r="AO853" s="15" t="s">
        <v>21709</v>
      </c>
      <c r="AP853" s="15" t="s">
        <v>21710</v>
      </c>
      <c r="AQ853" s="15" t="s">
        <v>21711</v>
      </c>
      <c r="AR853" s="15" t="s">
        <v>21712</v>
      </c>
      <c r="BH853" s="15" t="s">
        <v>8837</v>
      </c>
      <c r="BI853" s="15" t="str">
        <f>"2299"</f>
        <v>2299</v>
      </c>
      <c r="BJ853" s="15" t="str">
        <f>"970"</f>
        <v>970</v>
      </c>
      <c r="BK853" s="15" t="s">
        <v>742</v>
      </c>
      <c r="BL853" s="15" t="str">
        <f t="shared" si="2485"/>
        <v>3</v>
      </c>
      <c r="BM853" s="15" t="s">
        <v>841</v>
      </c>
      <c r="BN853" s="15" t="str">
        <f>"83.07"</f>
        <v>83.07</v>
      </c>
      <c r="BO853" s="15" t="str">
        <f t="shared" si="2486"/>
        <v>5.91</v>
      </c>
      <c r="BP853" s="15" t="str">
        <f t="shared" si="2487"/>
        <v>54.72</v>
      </c>
      <c r="BQ853" s="15" t="str">
        <f>"104.72"</f>
        <v>104.72</v>
      </c>
      <c r="BR853" s="15" t="s">
        <v>8831</v>
      </c>
      <c r="BS853" s="15" t="str">
        <f>"83.07"</f>
        <v>83.07</v>
      </c>
      <c r="BT853" s="15" t="str">
        <f t="shared" si="2488"/>
        <v>4.72</v>
      </c>
      <c r="BU853" s="15" t="str">
        <f t="shared" si="2489"/>
        <v>37.8</v>
      </c>
      <c r="BV853" s="15" t="str">
        <f>"81.57"</f>
        <v>81.57</v>
      </c>
      <c r="BW853" s="15" t="s">
        <v>2966</v>
      </c>
      <c r="BX853" s="15" t="str">
        <f t="shared" si="2490"/>
        <v>85.43</v>
      </c>
      <c r="BY853" s="15" t="str">
        <f t="shared" si="2491"/>
        <v>5.91</v>
      </c>
      <c r="BZ853" s="15" t="str">
        <f t="shared" si="2492"/>
        <v>13.39</v>
      </c>
      <c r="CA853" s="15" t="str">
        <f t="shared" si="2493"/>
        <v>46.3</v>
      </c>
      <c r="CG853" s="15" t="str">
        <f>"28.04"</f>
        <v>28.04</v>
      </c>
      <c r="CH853" s="15" t="str">
        <f>"0.794"</f>
        <v>0.794</v>
      </c>
      <c r="CI853" s="15" t="s">
        <v>497</v>
      </c>
      <c r="CY853" s="15" t="s">
        <v>718</v>
      </c>
      <c r="CZ853" s="15" t="s">
        <v>419</v>
      </c>
      <c r="DA853" s="15">
        <v>0.0</v>
      </c>
      <c r="DB853" s="15" t="s">
        <v>419</v>
      </c>
      <c r="DD853" s="15">
        <v>0.0</v>
      </c>
      <c r="DF853" s="15" t="s">
        <v>420</v>
      </c>
      <c r="DG853" s="15" t="s">
        <v>419</v>
      </c>
      <c r="DI853" s="15">
        <v>0.0</v>
      </c>
      <c r="DJ853" s="15">
        <v>0.0</v>
      </c>
      <c r="DK853" s="15">
        <v>0.0</v>
      </c>
      <c r="DL853" s="15">
        <v>0.0</v>
      </c>
      <c r="DS853" s="15" t="s">
        <v>8787</v>
      </c>
      <c r="DU853" s="15" t="s">
        <v>858</v>
      </c>
      <c r="EV853" s="15">
        <v>0.0</v>
      </c>
      <c r="HV853" s="15" t="s">
        <v>4493</v>
      </c>
      <c r="HW853" s="15" t="s">
        <v>4493</v>
      </c>
      <c r="HX853" s="15" t="s">
        <v>4493</v>
      </c>
      <c r="HY853" s="15" t="s">
        <v>2652</v>
      </c>
      <c r="HZ853" s="15" t="s">
        <v>1607</v>
      </c>
      <c r="IA853" s="15" t="s">
        <v>8840</v>
      </c>
      <c r="IB853" s="15" t="s">
        <v>8834</v>
      </c>
      <c r="IC853" s="15" t="s">
        <v>5055</v>
      </c>
      <c r="ID853" s="15" t="s">
        <v>8840</v>
      </c>
      <c r="IE853" s="15" t="s">
        <v>8835</v>
      </c>
      <c r="IF853" s="15" t="s">
        <v>1957</v>
      </c>
      <c r="IG853" s="15" t="s">
        <v>869</v>
      </c>
      <c r="IH853" s="15" t="s">
        <v>729</v>
      </c>
      <c r="II853" s="15" t="s">
        <v>7596</v>
      </c>
      <c r="IJ853" s="15" t="s">
        <v>2969</v>
      </c>
      <c r="IK853" s="15" t="s">
        <v>426</v>
      </c>
      <c r="IL853" s="15" t="s">
        <v>2471</v>
      </c>
      <c r="IM853" s="15" t="s">
        <v>872</v>
      </c>
      <c r="IN853" s="15" t="s">
        <v>873</v>
      </c>
      <c r="IO853" s="15" t="s">
        <v>828</v>
      </c>
      <c r="IU853" s="15" t="s">
        <v>759</v>
      </c>
      <c r="IV853" s="15" t="s">
        <v>1425</v>
      </c>
      <c r="IW853" s="15" t="s">
        <v>759</v>
      </c>
      <c r="IX853" s="15" t="s">
        <v>426</v>
      </c>
      <c r="IY853" s="15" t="s">
        <v>2474</v>
      </c>
    </row>
    <row r="854" ht="17.25" customHeight="1">
      <c r="A854" s="15" t="s">
        <v>8842</v>
      </c>
      <c r="B854" s="15" t="str">
        <f>"801542751708"</f>
        <v>801542751708</v>
      </c>
      <c r="C854" s="15" t="s">
        <v>21713</v>
      </c>
      <c r="D854" s="15" t="str">
        <f t="shared" si="1"/>
        <v>Rosedale BedKnoll NaturalQueen</v>
      </c>
      <c r="E854" s="15" t="s">
        <v>8824</v>
      </c>
      <c r="F854" s="15" t="s">
        <v>397</v>
      </c>
      <c r="G854" s="15" t="s">
        <v>1081</v>
      </c>
      <c r="H854" s="15" t="s">
        <v>265</v>
      </c>
      <c r="I854" s="15" t="s">
        <v>877</v>
      </c>
      <c r="J854" s="15" t="s">
        <v>1081</v>
      </c>
      <c r="K854" s="15" t="s">
        <v>8790</v>
      </c>
      <c r="M854" s="15" t="s">
        <v>5652</v>
      </c>
      <c r="N854" s="15" t="s">
        <v>839</v>
      </c>
      <c r="O854" s="15" t="s">
        <v>877</v>
      </c>
      <c r="P854" s="15" t="str">
        <f>"63.5"</f>
        <v>63.5</v>
      </c>
      <c r="Q854" s="15" t="str">
        <f t="shared" si="2483"/>
        <v>85</v>
      </c>
      <c r="R854" s="15" t="str">
        <f t="shared" si="2484"/>
        <v>51</v>
      </c>
      <c r="S854" s="15" t="str">
        <f>"158.73"</f>
        <v>158.73</v>
      </c>
      <c r="T854" s="15" t="s">
        <v>8844</v>
      </c>
      <c r="U854" s="15" t="s">
        <v>11234</v>
      </c>
      <c r="V854" s="15" t="s">
        <v>11371</v>
      </c>
      <c r="W854" s="15" t="s">
        <v>11553</v>
      </c>
      <c r="AA854" s="15" t="s">
        <v>426</v>
      </c>
      <c r="AB854" s="15" t="s">
        <v>426</v>
      </c>
      <c r="AC854" s="15" t="s">
        <v>8845</v>
      </c>
      <c r="AD854" s="15" t="s">
        <v>21714</v>
      </c>
      <c r="AE854" s="15" t="s">
        <v>8843</v>
      </c>
      <c r="AF854" s="15" t="s">
        <v>21715</v>
      </c>
      <c r="AG854" s="15" t="s">
        <v>21716</v>
      </c>
      <c r="AH854" s="15" t="s">
        <v>21717</v>
      </c>
      <c r="AI854" s="15" t="s">
        <v>21718</v>
      </c>
      <c r="AJ854" s="15" t="s">
        <v>21719</v>
      </c>
      <c r="AK854" s="15" t="s">
        <v>21720</v>
      </c>
      <c r="AL854" s="15" t="s">
        <v>21721</v>
      </c>
      <c r="AM854" s="15" t="s">
        <v>21722</v>
      </c>
      <c r="AN854" s="15" t="s">
        <v>21723</v>
      </c>
      <c r="AO854" s="15" t="s">
        <v>21724</v>
      </c>
      <c r="BH854" s="15" t="s">
        <v>8841</v>
      </c>
      <c r="BI854" s="15" t="str">
        <f>"1699"</f>
        <v>1699</v>
      </c>
      <c r="BJ854" s="15" t="str">
        <f>"715"</f>
        <v>715</v>
      </c>
      <c r="BK854" s="15" t="s">
        <v>742</v>
      </c>
      <c r="BL854" s="15" t="str">
        <f t="shared" si="2485"/>
        <v>3</v>
      </c>
      <c r="BM854" s="15" t="s">
        <v>841</v>
      </c>
      <c r="BN854" s="15" t="str">
        <f>"66.93"</f>
        <v>66.93</v>
      </c>
      <c r="BO854" s="15" t="str">
        <f t="shared" si="2486"/>
        <v>5.91</v>
      </c>
      <c r="BP854" s="15" t="str">
        <f t="shared" si="2487"/>
        <v>54.72</v>
      </c>
      <c r="BQ854" s="15" t="str">
        <f>"84.88"</f>
        <v>84.88</v>
      </c>
      <c r="BR854" s="15" t="s">
        <v>8831</v>
      </c>
      <c r="BS854" s="15" t="str">
        <f>"66.93"</f>
        <v>66.93</v>
      </c>
      <c r="BT854" s="15" t="str">
        <f t="shared" si="2488"/>
        <v>4.72</v>
      </c>
      <c r="BU854" s="15" t="str">
        <f t="shared" si="2489"/>
        <v>37.8</v>
      </c>
      <c r="BV854" s="15" t="str">
        <f>"65.04"</f>
        <v>65.04</v>
      </c>
      <c r="BW854" s="15" t="s">
        <v>2966</v>
      </c>
      <c r="BX854" s="15" t="str">
        <f t="shared" si="2490"/>
        <v>85.43</v>
      </c>
      <c r="BY854" s="15" t="str">
        <f t="shared" si="2491"/>
        <v>5.91</v>
      </c>
      <c r="BZ854" s="15" t="str">
        <f t="shared" si="2492"/>
        <v>13.39</v>
      </c>
      <c r="CA854" s="15" t="str">
        <f t="shared" si="2493"/>
        <v>46.3</v>
      </c>
      <c r="CG854" s="15" t="str">
        <f>"23.34"</f>
        <v>23.34</v>
      </c>
      <c r="CH854" s="15" t="str">
        <f>"0.661"</f>
        <v>0.661</v>
      </c>
      <c r="CI854" s="15" t="s">
        <v>465</v>
      </c>
      <c r="CY854" s="15" t="s">
        <v>855</v>
      </c>
      <c r="CZ854" s="15" t="s">
        <v>419</v>
      </c>
      <c r="DA854" s="15">
        <v>0.0</v>
      </c>
      <c r="DB854" s="15" t="s">
        <v>419</v>
      </c>
      <c r="DD854" s="15">
        <v>0.0</v>
      </c>
      <c r="DF854" s="15" t="s">
        <v>420</v>
      </c>
      <c r="DG854" s="15" t="s">
        <v>419</v>
      </c>
      <c r="DI854" s="15">
        <v>0.0</v>
      </c>
      <c r="DJ854" s="15">
        <v>0.0</v>
      </c>
      <c r="DK854" s="15">
        <v>0.0</v>
      </c>
      <c r="DL854" s="15">
        <v>25000.0</v>
      </c>
      <c r="DS854" s="15" t="s">
        <v>8787</v>
      </c>
      <c r="DU854" s="15" t="s">
        <v>858</v>
      </c>
      <c r="EV854" s="15">
        <v>0.0</v>
      </c>
      <c r="HV854" s="15" t="s">
        <v>4493</v>
      </c>
      <c r="HW854" s="15" t="s">
        <v>4493</v>
      </c>
      <c r="HX854" s="15" t="s">
        <v>4493</v>
      </c>
      <c r="HY854" s="15" t="s">
        <v>2652</v>
      </c>
      <c r="HZ854" s="15" t="s">
        <v>1607</v>
      </c>
      <c r="IA854" s="15" t="s">
        <v>8833</v>
      </c>
      <c r="IB854" s="15" t="s">
        <v>8834</v>
      </c>
      <c r="IC854" s="15" t="s">
        <v>5055</v>
      </c>
      <c r="ID854" s="15" t="s">
        <v>8833</v>
      </c>
      <c r="IE854" s="15" t="s">
        <v>8835</v>
      </c>
      <c r="IF854" s="15" t="s">
        <v>1957</v>
      </c>
      <c r="IG854" s="15" t="s">
        <v>8836</v>
      </c>
      <c r="IH854" s="15" t="s">
        <v>729</v>
      </c>
      <c r="II854" s="15" t="s">
        <v>7596</v>
      </c>
      <c r="IJ854" s="15" t="s">
        <v>2969</v>
      </c>
      <c r="IK854" s="15" t="s">
        <v>426</v>
      </c>
      <c r="IL854" s="15" t="s">
        <v>2471</v>
      </c>
      <c r="IM854" s="15" t="s">
        <v>872</v>
      </c>
      <c r="IN854" s="15" t="s">
        <v>873</v>
      </c>
      <c r="IO854" s="15" t="s">
        <v>877</v>
      </c>
      <c r="IU854" s="15" t="s">
        <v>759</v>
      </c>
      <c r="IV854" s="15" t="s">
        <v>1425</v>
      </c>
      <c r="IW854" s="15" t="s">
        <v>759</v>
      </c>
      <c r="IX854" s="15" t="s">
        <v>426</v>
      </c>
      <c r="IY854" s="15" t="s">
        <v>2474</v>
      </c>
    </row>
    <row r="855" ht="17.25" customHeight="1">
      <c r="A855" s="15" t="s">
        <v>8847</v>
      </c>
      <c r="B855" s="15" t="str">
        <f>"801542751685"</f>
        <v>801542751685</v>
      </c>
      <c r="C855" s="15" t="s">
        <v>21713</v>
      </c>
      <c r="D855" s="15" t="str">
        <f t="shared" si="1"/>
        <v>Rosedale BedKnoll NaturalKing</v>
      </c>
      <c r="E855" s="15" t="s">
        <v>8824</v>
      </c>
      <c r="F855" s="15" t="s">
        <v>397</v>
      </c>
      <c r="G855" s="15" t="s">
        <v>1081</v>
      </c>
      <c r="H855" s="15" t="s">
        <v>265</v>
      </c>
      <c r="I855" s="15" t="s">
        <v>828</v>
      </c>
      <c r="J855" s="15" t="s">
        <v>1081</v>
      </c>
      <c r="K855" s="15" t="s">
        <v>8790</v>
      </c>
      <c r="M855" s="15" t="s">
        <v>5652</v>
      </c>
      <c r="N855" s="15" t="s">
        <v>839</v>
      </c>
      <c r="O855" s="15" t="s">
        <v>828</v>
      </c>
      <c r="P855" s="15" t="str">
        <f t="shared" ref="P855:P856" si="2494">"79.5"</f>
        <v>79.5</v>
      </c>
      <c r="Q855" s="15" t="str">
        <f t="shared" si="2483"/>
        <v>85</v>
      </c>
      <c r="R855" s="15" t="str">
        <f t="shared" si="2484"/>
        <v>51</v>
      </c>
      <c r="S855" s="15" t="str">
        <f t="shared" ref="S855:S856" si="2495">"187.39"</f>
        <v>187.39</v>
      </c>
      <c r="T855" s="15" t="s">
        <v>8844</v>
      </c>
      <c r="U855" s="15" t="s">
        <v>11234</v>
      </c>
      <c r="V855" s="15" t="s">
        <v>11371</v>
      </c>
      <c r="W855" s="15" t="s">
        <v>11553</v>
      </c>
      <c r="AA855" s="15" t="s">
        <v>426</v>
      </c>
      <c r="AB855" s="15" t="s">
        <v>426</v>
      </c>
      <c r="AC855" s="15" t="s">
        <v>8849</v>
      </c>
      <c r="AD855" s="15" t="s">
        <v>21725</v>
      </c>
      <c r="AE855" s="15" t="s">
        <v>8848</v>
      </c>
      <c r="AF855" s="15" t="s">
        <v>21726</v>
      </c>
      <c r="AG855" s="15" t="s">
        <v>21727</v>
      </c>
      <c r="AH855" s="15" t="s">
        <v>21728</v>
      </c>
      <c r="AI855" s="15" t="s">
        <v>21729</v>
      </c>
      <c r="AJ855" s="15" t="s">
        <v>21730</v>
      </c>
      <c r="AK855" s="15" t="s">
        <v>21731</v>
      </c>
      <c r="AL855" s="15" t="s">
        <v>21732</v>
      </c>
      <c r="AM855" s="15" t="s">
        <v>21733</v>
      </c>
      <c r="AN855" s="15" t="s">
        <v>21734</v>
      </c>
      <c r="AO855" s="15" t="s">
        <v>21735</v>
      </c>
      <c r="AP855" s="15" t="s">
        <v>21736</v>
      </c>
      <c r="BH855" s="15" t="s">
        <v>8846</v>
      </c>
      <c r="BI855" s="15" t="str">
        <f t="shared" ref="BI855:BI856" si="2496">"1999"</f>
        <v>1999</v>
      </c>
      <c r="BJ855" s="15" t="str">
        <f t="shared" ref="BJ855:BJ856" si="2497">"840"</f>
        <v>840</v>
      </c>
      <c r="BK855" s="15" t="s">
        <v>742</v>
      </c>
      <c r="BL855" s="15" t="str">
        <f t="shared" si="2485"/>
        <v>3</v>
      </c>
      <c r="BM855" s="15" t="s">
        <v>841</v>
      </c>
      <c r="BN855" s="15" t="str">
        <f t="shared" ref="BN855:BN856" si="2498">"83.07"</f>
        <v>83.07</v>
      </c>
      <c r="BO855" s="15" t="str">
        <f t="shared" si="2486"/>
        <v>5.91</v>
      </c>
      <c r="BP855" s="15" t="str">
        <f t="shared" si="2487"/>
        <v>54.72</v>
      </c>
      <c r="BQ855" s="15" t="str">
        <f t="shared" ref="BQ855:BQ856" si="2499">"104.72"</f>
        <v>104.72</v>
      </c>
      <c r="BR855" s="15" t="s">
        <v>8831</v>
      </c>
      <c r="BS855" s="15" t="str">
        <f t="shared" ref="BS855:BS856" si="2500">"83.07"</f>
        <v>83.07</v>
      </c>
      <c r="BT855" s="15" t="str">
        <f t="shared" si="2488"/>
        <v>4.72</v>
      </c>
      <c r="BU855" s="15" t="str">
        <f t="shared" si="2489"/>
        <v>37.8</v>
      </c>
      <c r="BV855" s="15" t="str">
        <f t="shared" ref="BV855:BV856" si="2501">"81.57"</f>
        <v>81.57</v>
      </c>
      <c r="BW855" s="15" t="s">
        <v>2966</v>
      </c>
      <c r="BX855" s="15" t="str">
        <f t="shared" si="2490"/>
        <v>85.43</v>
      </c>
      <c r="BY855" s="15" t="str">
        <f t="shared" si="2491"/>
        <v>5.91</v>
      </c>
      <c r="BZ855" s="15" t="str">
        <f t="shared" si="2492"/>
        <v>13.39</v>
      </c>
      <c r="CA855" s="15" t="str">
        <f t="shared" si="2493"/>
        <v>46.3</v>
      </c>
      <c r="CG855" s="15" t="str">
        <f t="shared" ref="CG855:CG856" si="2502">"28.04"</f>
        <v>28.04</v>
      </c>
      <c r="CH855" s="15" t="str">
        <f t="shared" ref="CH855:CH856" si="2503">"0.794"</f>
        <v>0.794</v>
      </c>
      <c r="CI855" s="15" t="s">
        <v>417</v>
      </c>
      <c r="CY855" s="15" t="s">
        <v>855</v>
      </c>
      <c r="CZ855" s="15" t="s">
        <v>419</v>
      </c>
      <c r="DA855" s="15">
        <v>0.0</v>
      </c>
      <c r="DB855" s="15" t="s">
        <v>419</v>
      </c>
      <c r="DD855" s="15">
        <v>0.0</v>
      </c>
      <c r="DF855" s="15" t="s">
        <v>420</v>
      </c>
      <c r="DG855" s="15" t="s">
        <v>419</v>
      </c>
      <c r="DI855" s="15">
        <v>0.0</v>
      </c>
      <c r="DJ855" s="15">
        <v>0.0</v>
      </c>
      <c r="DK855" s="15">
        <v>0.0</v>
      </c>
      <c r="DL855" s="15">
        <v>25000.0</v>
      </c>
      <c r="DS855" s="15" t="s">
        <v>8787</v>
      </c>
      <c r="DU855" s="15" t="s">
        <v>858</v>
      </c>
      <c r="EV855" s="15">
        <v>0.0</v>
      </c>
      <c r="HV855" s="15" t="s">
        <v>4493</v>
      </c>
      <c r="HW855" s="15" t="s">
        <v>4493</v>
      </c>
      <c r="HX855" s="15" t="s">
        <v>4493</v>
      </c>
      <c r="HY855" s="15" t="s">
        <v>2652</v>
      </c>
      <c r="HZ855" s="15" t="s">
        <v>1607</v>
      </c>
      <c r="IA855" s="15" t="s">
        <v>8840</v>
      </c>
      <c r="IB855" s="15" t="s">
        <v>8834</v>
      </c>
      <c r="IC855" s="15" t="s">
        <v>5055</v>
      </c>
      <c r="ID855" s="15" t="s">
        <v>8840</v>
      </c>
      <c r="IE855" s="15" t="s">
        <v>8835</v>
      </c>
      <c r="IF855" s="15" t="s">
        <v>1957</v>
      </c>
      <c r="IG855" s="15" t="s">
        <v>869</v>
      </c>
      <c r="IH855" s="15" t="s">
        <v>729</v>
      </c>
      <c r="II855" s="15" t="s">
        <v>7596</v>
      </c>
      <c r="IJ855" s="15" t="s">
        <v>2969</v>
      </c>
      <c r="IK855" s="15" t="s">
        <v>426</v>
      </c>
      <c r="IL855" s="15" t="s">
        <v>2471</v>
      </c>
      <c r="IM855" s="15" t="s">
        <v>872</v>
      </c>
      <c r="IN855" s="15" t="s">
        <v>873</v>
      </c>
      <c r="IO855" s="15" t="s">
        <v>828</v>
      </c>
      <c r="IU855" s="15" t="s">
        <v>759</v>
      </c>
      <c r="IV855" s="15" t="s">
        <v>1425</v>
      </c>
      <c r="IW855" s="15" t="s">
        <v>759</v>
      </c>
      <c r="IX855" s="15" t="s">
        <v>426</v>
      </c>
      <c r="IY855" s="15" t="s">
        <v>2474</v>
      </c>
    </row>
    <row r="856" ht="17.25" customHeight="1">
      <c r="A856" s="15" t="s">
        <v>8851</v>
      </c>
      <c r="B856" s="15" t="str">
        <f>"801542759148"</f>
        <v>801542759148</v>
      </c>
      <c r="C856" s="15" t="s">
        <v>21737</v>
      </c>
      <c r="D856" s="15" t="str">
        <f t="shared" si="1"/>
        <v>Rosedale BedKnoll SandKing</v>
      </c>
      <c r="E856" s="15" t="s">
        <v>8824</v>
      </c>
      <c r="F856" s="15" t="s">
        <v>397</v>
      </c>
      <c r="G856" s="15" t="s">
        <v>4359</v>
      </c>
      <c r="H856" s="15" t="s">
        <v>265</v>
      </c>
      <c r="I856" s="15" t="s">
        <v>828</v>
      </c>
      <c r="J856" s="15" t="s">
        <v>4359</v>
      </c>
      <c r="K856" s="15" t="s">
        <v>8716</v>
      </c>
      <c r="M856" s="15" t="s">
        <v>5652</v>
      </c>
      <c r="N856" s="15" t="s">
        <v>839</v>
      </c>
      <c r="O856" s="15" t="s">
        <v>828</v>
      </c>
      <c r="P856" s="15" t="str">
        <f t="shared" si="2494"/>
        <v>79.5</v>
      </c>
      <c r="Q856" s="15" t="str">
        <f t="shared" si="2483"/>
        <v>85</v>
      </c>
      <c r="R856" s="15" t="str">
        <f t="shared" si="2484"/>
        <v>51</v>
      </c>
      <c r="S856" s="15" t="str">
        <f t="shared" si="2495"/>
        <v>187.39</v>
      </c>
      <c r="T856" s="15" t="s">
        <v>8844</v>
      </c>
      <c r="U856" s="15" t="s">
        <v>11234</v>
      </c>
      <c r="V856" s="15" t="s">
        <v>11371</v>
      </c>
      <c r="W856" s="15" t="s">
        <v>11553</v>
      </c>
      <c r="AA856" s="15" t="s">
        <v>426</v>
      </c>
      <c r="AB856" s="15" t="s">
        <v>426</v>
      </c>
      <c r="AC856" s="15" t="s">
        <v>8853</v>
      </c>
      <c r="AD856" s="15" t="s">
        <v>21738</v>
      </c>
      <c r="AE856" s="15" t="s">
        <v>8852</v>
      </c>
      <c r="AF856" s="15" t="s">
        <v>21739</v>
      </c>
      <c r="AG856" s="15" t="s">
        <v>21740</v>
      </c>
      <c r="AH856" s="15" t="s">
        <v>21741</v>
      </c>
      <c r="AI856" s="15" t="s">
        <v>21742</v>
      </c>
      <c r="AJ856" s="15" t="s">
        <v>21743</v>
      </c>
      <c r="AK856" s="15" t="s">
        <v>21744</v>
      </c>
      <c r="AL856" s="15" t="s">
        <v>21745</v>
      </c>
      <c r="AM856" s="15" t="s">
        <v>21746</v>
      </c>
      <c r="AN856" s="15" t="s">
        <v>21747</v>
      </c>
      <c r="AO856" s="15" t="s">
        <v>21748</v>
      </c>
      <c r="AP856" s="15" t="s">
        <v>21749</v>
      </c>
      <c r="AQ856" s="15" t="s">
        <v>21750</v>
      </c>
      <c r="BH856" s="15" t="s">
        <v>8850</v>
      </c>
      <c r="BI856" s="15" t="str">
        <f t="shared" si="2496"/>
        <v>1999</v>
      </c>
      <c r="BJ856" s="15" t="str">
        <f t="shared" si="2497"/>
        <v>840</v>
      </c>
      <c r="BK856" s="15" t="s">
        <v>742</v>
      </c>
      <c r="BL856" s="15" t="str">
        <f t="shared" si="2485"/>
        <v>3</v>
      </c>
      <c r="BM856" s="15" t="s">
        <v>841</v>
      </c>
      <c r="BN856" s="15" t="str">
        <f t="shared" si="2498"/>
        <v>83.07</v>
      </c>
      <c r="BO856" s="15" t="str">
        <f t="shared" si="2486"/>
        <v>5.91</v>
      </c>
      <c r="BP856" s="15" t="str">
        <f t="shared" si="2487"/>
        <v>54.72</v>
      </c>
      <c r="BQ856" s="15" t="str">
        <f t="shared" si="2499"/>
        <v>104.72</v>
      </c>
      <c r="BR856" s="15" t="s">
        <v>8831</v>
      </c>
      <c r="BS856" s="15" t="str">
        <f t="shared" si="2500"/>
        <v>83.07</v>
      </c>
      <c r="BT856" s="15" t="str">
        <f t="shared" si="2488"/>
        <v>4.72</v>
      </c>
      <c r="BU856" s="15" t="str">
        <f t="shared" si="2489"/>
        <v>37.8</v>
      </c>
      <c r="BV856" s="15" t="str">
        <f t="shared" si="2501"/>
        <v>81.57</v>
      </c>
      <c r="BW856" s="15" t="s">
        <v>2966</v>
      </c>
      <c r="BX856" s="15" t="str">
        <f t="shared" si="2490"/>
        <v>85.43</v>
      </c>
      <c r="BY856" s="15" t="str">
        <f t="shared" si="2491"/>
        <v>5.91</v>
      </c>
      <c r="BZ856" s="15" t="str">
        <f t="shared" si="2492"/>
        <v>13.39</v>
      </c>
      <c r="CA856" s="15" t="str">
        <f t="shared" si="2493"/>
        <v>46.3</v>
      </c>
      <c r="CG856" s="15" t="str">
        <f t="shared" si="2502"/>
        <v>28.04</v>
      </c>
      <c r="CH856" s="15" t="str">
        <f t="shared" si="2503"/>
        <v>0.794</v>
      </c>
      <c r="CI856" s="15" t="s">
        <v>465</v>
      </c>
      <c r="CY856" s="15" t="s">
        <v>855</v>
      </c>
      <c r="CZ856" s="15" t="s">
        <v>419</v>
      </c>
      <c r="DA856" s="15">
        <v>0.0</v>
      </c>
      <c r="DB856" s="15" t="s">
        <v>419</v>
      </c>
      <c r="DD856" s="15">
        <v>0.0</v>
      </c>
      <c r="DF856" s="15" t="s">
        <v>420</v>
      </c>
      <c r="DG856" s="15" t="s">
        <v>419</v>
      </c>
      <c r="DI856" s="15">
        <v>0.0</v>
      </c>
      <c r="DJ856" s="15">
        <v>0.0</v>
      </c>
      <c r="DK856" s="15">
        <v>0.0</v>
      </c>
      <c r="DL856" s="15">
        <v>25000.0</v>
      </c>
      <c r="DS856" s="15" t="s">
        <v>8787</v>
      </c>
      <c r="DU856" s="15" t="s">
        <v>858</v>
      </c>
      <c r="EV856" s="15">
        <v>0.0</v>
      </c>
      <c r="HV856" s="15" t="s">
        <v>4493</v>
      </c>
      <c r="HW856" s="15" t="s">
        <v>4493</v>
      </c>
      <c r="HX856" s="15" t="s">
        <v>4493</v>
      </c>
      <c r="HY856" s="15" t="s">
        <v>2652</v>
      </c>
      <c r="HZ856" s="15" t="s">
        <v>1607</v>
      </c>
      <c r="IA856" s="15" t="s">
        <v>8840</v>
      </c>
      <c r="IB856" s="15" t="s">
        <v>8834</v>
      </c>
      <c r="IC856" s="15" t="s">
        <v>5055</v>
      </c>
      <c r="ID856" s="15" t="s">
        <v>8840</v>
      </c>
      <c r="IE856" s="15" t="s">
        <v>8835</v>
      </c>
      <c r="IF856" s="15" t="s">
        <v>1957</v>
      </c>
      <c r="IG856" s="15" t="s">
        <v>869</v>
      </c>
      <c r="IH856" s="15" t="s">
        <v>729</v>
      </c>
      <c r="II856" s="15" t="s">
        <v>7596</v>
      </c>
      <c r="IJ856" s="15" t="s">
        <v>2969</v>
      </c>
      <c r="IK856" s="15" t="s">
        <v>426</v>
      </c>
      <c r="IL856" s="15" t="s">
        <v>2471</v>
      </c>
      <c r="IM856" s="15" t="s">
        <v>872</v>
      </c>
      <c r="IN856" s="15" t="s">
        <v>873</v>
      </c>
      <c r="IO856" s="15" t="s">
        <v>828</v>
      </c>
      <c r="IU856" s="15" t="s">
        <v>759</v>
      </c>
      <c r="IV856" s="15" t="s">
        <v>1425</v>
      </c>
      <c r="IW856" s="15" t="s">
        <v>759</v>
      </c>
      <c r="IX856" s="15" t="s">
        <v>426</v>
      </c>
      <c r="IY856" s="15" t="s">
        <v>2474</v>
      </c>
    </row>
    <row r="857" ht="17.25" customHeight="1">
      <c r="A857" s="15" t="s">
        <v>8855</v>
      </c>
      <c r="B857" s="15" t="str">
        <f>"801542759162"</f>
        <v>801542759162</v>
      </c>
      <c r="C857" s="15" t="s">
        <v>21737</v>
      </c>
      <c r="D857" s="15" t="str">
        <f t="shared" si="1"/>
        <v>Rosedale BedKnoll SandQueen</v>
      </c>
      <c r="E857" s="15" t="s">
        <v>8824</v>
      </c>
      <c r="F857" s="15" t="s">
        <v>397</v>
      </c>
      <c r="G857" s="15" t="s">
        <v>4359</v>
      </c>
      <c r="H857" s="15" t="s">
        <v>265</v>
      </c>
      <c r="I857" s="15" t="s">
        <v>877</v>
      </c>
      <c r="J857" s="15" t="s">
        <v>4359</v>
      </c>
      <c r="K857" s="15" t="s">
        <v>8716</v>
      </c>
      <c r="M857" s="15" t="s">
        <v>5652</v>
      </c>
      <c r="N857" s="15" t="s">
        <v>839</v>
      </c>
      <c r="O857" s="15" t="s">
        <v>877</v>
      </c>
      <c r="P857" s="15" t="str">
        <f>"63.5"</f>
        <v>63.5</v>
      </c>
      <c r="Q857" s="15" t="str">
        <f t="shared" si="2483"/>
        <v>85</v>
      </c>
      <c r="R857" s="15" t="str">
        <f t="shared" si="2484"/>
        <v>51</v>
      </c>
      <c r="S857" s="15" t="str">
        <f>"158.73"</f>
        <v>158.73</v>
      </c>
      <c r="T857" s="15" t="s">
        <v>8844</v>
      </c>
      <c r="U857" s="15" t="s">
        <v>11234</v>
      </c>
      <c r="V857" s="15" t="s">
        <v>11371</v>
      </c>
      <c r="W857" s="15" t="s">
        <v>11553</v>
      </c>
      <c r="AA857" s="15" t="s">
        <v>426</v>
      </c>
      <c r="AB857" s="15" t="s">
        <v>426</v>
      </c>
      <c r="AC857" s="15" t="s">
        <v>8853</v>
      </c>
      <c r="AD857" s="15" t="s">
        <v>21751</v>
      </c>
      <c r="AE857" s="15" t="s">
        <v>8856</v>
      </c>
      <c r="AF857" s="15" t="s">
        <v>21752</v>
      </c>
      <c r="AG857" s="15" t="s">
        <v>21753</v>
      </c>
      <c r="AH857" s="15" t="s">
        <v>21741</v>
      </c>
      <c r="AI857" s="15" t="s">
        <v>21754</v>
      </c>
      <c r="AJ857" s="15" t="s">
        <v>21755</v>
      </c>
      <c r="AK857" s="15" t="s">
        <v>21756</v>
      </c>
      <c r="AL857" s="15" t="s">
        <v>21757</v>
      </c>
      <c r="AM857" s="15" t="s">
        <v>21758</v>
      </c>
      <c r="AN857" s="15" t="s">
        <v>21759</v>
      </c>
      <c r="AO857" s="15" t="s">
        <v>21760</v>
      </c>
      <c r="AP857" s="15" t="s">
        <v>21761</v>
      </c>
      <c r="AQ857" s="15" t="s">
        <v>21762</v>
      </c>
      <c r="BH857" s="15" t="s">
        <v>8854</v>
      </c>
      <c r="BI857" s="15" t="str">
        <f>"1699"</f>
        <v>1699</v>
      </c>
      <c r="BJ857" s="15" t="str">
        <f>"715"</f>
        <v>715</v>
      </c>
      <c r="BK857" s="15" t="s">
        <v>742</v>
      </c>
      <c r="BL857" s="15" t="str">
        <f t="shared" si="2485"/>
        <v>3</v>
      </c>
      <c r="BM857" s="15" t="s">
        <v>841</v>
      </c>
      <c r="BN857" s="15" t="str">
        <f>"66.93"</f>
        <v>66.93</v>
      </c>
      <c r="BO857" s="15" t="str">
        <f t="shared" si="2486"/>
        <v>5.91</v>
      </c>
      <c r="BP857" s="15" t="str">
        <f t="shared" si="2487"/>
        <v>54.72</v>
      </c>
      <c r="BQ857" s="15" t="str">
        <f>"84.88"</f>
        <v>84.88</v>
      </c>
      <c r="BR857" s="15" t="s">
        <v>8831</v>
      </c>
      <c r="BS857" s="15" t="str">
        <f>"66.93"</f>
        <v>66.93</v>
      </c>
      <c r="BT857" s="15" t="str">
        <f t="shared" si="2488"/>
        <v>4.72</v>
      </c>
      <c r="BU857" s="15" t="str">
        <f t="shared" si="2489"/>
        <v>37.8</v>
      </c>
      <c r="BV857" s="15" t="str">
        <f>"65.04"</f>
        <v>65.04</v>
      </c>
      <c r="BW857" s="15" t="s">
        <v>2966</v>
      </c>
      <c r="BX857" s="15" t="str">
        <f t="shared" si="2490"/>
        <v>85.43</v>
      </c>
      <c r="BY857" s="15" t="str">
        <f t="shared" si="2491"/>
        <v>5.91</v>
      </c>
      <c r="BZ857" s="15" t="str">
        <f t="shared" si="2492"/>
        <v>13.39</v>
      </c>
      <c r="CA857" s="15" t="str">
        <f t="shared" si="2493"/>
        <v>46.3</v>
      </c>
      <c r="CG857" s="15" t="str">
        <f>"23.34"</f>
        <v>23.34</v>
      </c>
      <c r="CH857" s="15" t="str">
        <f>"0.661"</f>
        <v>0.661</v>
      </c>
      <c r="CI857" s="15" t="s">
        <v>465</v>
      </c>
      <c r="CY857" s="15" t="s">
        <v>855</v>
      </c>
      <c r="CZ857" s="15" t="s">
        <v>419</v>
      </c>
      <c r="DA857" s="15">
        <v>0.0</v>
      </c>
      <c r="DB857" s="15" t="s">
        <v>419</v>
      </c>
      <c r="DD857" s="15">
        <v>0.0</v>
      </c>
      <c r="DF857" s="15" t="s">
        <v>420</v>
      </c>
      <c r="DG857" s="15" t="s">
        <v>419</v>
      </c>
      <c r="DI857" s="15">
        <v>0.0</v>
      </c>
      <c r="DJ857" s="15">
        <v>0.0</v>
      </c>
      <c r="DK857" s="15">
        <v>0.0</v>
      </c>
      <c r="DL857" s="15">
        <v>25000.0</v>
      </c>
      <c r="DS857" s="15" t="s">
        <v>8787</v>
      </c>
      <c r="DU857" s="15" t="s">
        <v>858</v>
      </c>
      <c r="EV857" s="15">
        <v>0.0</v>
      </c>
      <c r="HV857" s="15" t="s">
        <v>4493</v>
      </c>
      <c r="HW857" s="15" t="s">
        <v>4493</v>
      </c>
      <c r="HX857" s="15" t="s">
        <v>4493</v>
      </c>
      <c r="HY857" s="15" t="s">
        <v>2652</v>
      </c>
      <c r="HZ857" s="15" t="s">
        <v>1607</v>
      </c>
      <c r="IA857" s="15" t="s">
        <v>8833</v>
      </c>
      <c r="IB857" s="15" t="s">
        <v>8834</v>
      </c>
      <c r="IC857" s="15" t="s">
        <v>5055</v>
      </c>
      <c r="ID857" s="15" t="s">
        <v>8833</v>
      </c>
      <c r="IE857" s="15" t="s">
        <v>8835</v>
      </c>
      <c r="IF857" s="15" t="s">
        <v>1957</v>
      </c>
      <c r="IG857" s="15" t="s">
        <v>8836</v>
      </c>
      <c r="IH857" s="15" t="s">
        <v>729</v>
      </c>
      <c r="II857" s="15" t="s">
        <v>7596</v>
      </c>
      <c r="IJ857" s="15" t="s">
        <v>2969</v>
      </c>
      <c r="IK857" s="15" t="s">
        <v>426</v>
      </c>
      <c r="IL857" s="15" t="s">
        <v>2471</v>
      </c>
      <c r="IM857" s="15" t="s">
        <v>872</v>
      </c>
      <c r="IN857" s="15" t="s">
        <v>873</v>
      </c>
      <c r="IO857" s="15" t="s">
        <v>877</v>
      </c>
      <c r="IU857" s="15" t="s">
        <v>759</v>
      </c>
      <c r="IV857" s="15" t="s">
        <v>1425</v>
      </c>
      <c r="IW857" s="15" t="s">
        <v>759</v>
      </c>
      <c r="IX857" s="15" t="s">
        <v>426</v>
      </c>
      <c r="IY857" s="15" t="s">
        <v>2474</v>
      </c>
    </row>
    <row r="858" ht="17.25" customHeight="1">
      <c r="A858" s="15" t="s">
        <v>8859</v>
      </c>
      <c r="B858" s="15" t="str">
        <f>"801542987749"</f>
        <v>801542987749</v>
      </c>
      <c r="C858" s="15" t="s">
        <v>21763</v>
      </c>
      <c r="D858" s="15" t="str">
        <f t="shared" si="1"/>
        <v>Rosedale Executive DeskEbony Oak Veneer</v>
      </c>
      <c r="E858" s="15" t="s">
        <v>8857</v>
      </c>
      <c r="F858" s="15" t="s">
        <v>397</v>
      </c>
      <c r="G858" s="15" t="s">
        <v>8716</v>
      </c>
      <c r="J858" s="15" t="s">
        <v>8716</v>
      </c>
      <c r="K858" s="15" t="s">
        <v>8784</v>
      </c>
      <c r="M858" s="15" t="s">
        <v>5652</v>
      </c>
      <c r="N858" s="15" t="s">
        <v>2134</v>
      </c>
      <c r="O858" s="15" t="s">
        <v>2135</v>
      </c>
      <c r="P858" s="15" t="str">
        <f t="shared" ref="P858:P859" si="2505">"72.75"</f>
        <v>72.75</v>
      </c>
      <c r="Q858" s="15" t="str">
        <f t="shared" ref="Q858:R858" si="2504">"30"</f>
        <v>30</v>
      </c>
      <c r="R858" s="15" t="str">
        <f t="shared" si="2504"/>
        <v>30</v>
      </c>
      <c r="S858" s="15" t="str">
        <f t="shared" ref="S858:S859" si="2507">"202.82"</f>
        <v>202.82</v>
      </c>
      <c r="T858" s="15" t="s">
        <v>8273</v>
      </c>
      <c r="U858" s="15" t="s">
        <v>11553</v>
      </c>
      <c r="V858" s="15" t="s">
        <v>11137</v>
      </c>
      <c r="W858" s="15" t="s">
        <v>11338</v>
      </c>
      <c r="AA858" s="15" t="s">
        <v>413</v>
      </c>
      <c r="AB858" s="15" t="s">
        <v>413</v>
      </c>
      <c r="AC858" s="15" t="s">
        <v>8861</v>
      </c>
      <c r="AD858" s="15" t="s">
        <v>21764</v>
      </c>
      <c r="AE858" s="15" t="s">
        <v>8860</v>
      </c>
      <c r="AF858" s="15" t="s">
        <v>21765</v>
      </c>
      <c r="AG858" s="15" t="s">
        <v>21766</v>
      </c>
      <c r="AH858" s="15" t="s">
        <v>21767</v>
      </c>
      <c r="AI858" s="15" t="s">
        <v>21768</v>
      </c>
      <c r="AJ858" s="15" t="s">
        <v>21769</v>
      </c>
      <c r="AK858" s="15" t="s">
        <v>21770</v>
      </c>
      <c r="AL858" s="15" t="s">
        <v>21771</v>
      </c>
      <c r="AM858" s="15" t="s">
        <v>21772</v>
      </c>
      <c r="AN858" s="15" t="s">
        <v>21773</v>
      </c>
      <c r="AO858" s="15" t="s">
        <v>21774</v>
      </c>
      <c r="AP858" s="15" t="s">
        <v>21775</v>
      </c>
      <c r="AQ858" s="15" t="s">
        <v>21776</v>
      </c>
      <c r="AR858" s="15" t="s">
        <v>21777</v>
      </c>
      <c r="AS858" s="15" t="s">
        <v>21778</v>
      </c>
      <c r="AT858" s="15" t="s">
        <v>21779</v>
      </c>
      <c r="BH858" s="15" t="s">
        <v>8858</v>
      </c>
      <c r="BI858" s="15" t="str">
        <f t="shared" ref="BI858:BI860" si="2508">"1999"</f>
        <v>1999</v>
      </c>
      <c r="BJ858" s="15" t="str">
        <f t="shared" ref="BJ858:BJ860" si="2509">"840"</f>
        <v>840</v>
      </c>
      <c r="BK858" s="15" t="s">
        <v>742</v>
      </c>
      <c r="BL858" s="15" t="str">
        <f t="shared" ref="BL858:BL872" si="2510">"1"</f>
        <v>1</v>
      </c>
      <c r="BM858" s="15" t="s">
        <v>416</v>
      </c>
      <c r="BN858" s="15" t="str">
        <f t="shared" ref="BN858:BN859" si="2511">"74.02"</f>
        <v>74.02</v>
      </c>
      <c r="BO858" s="15" t="str">
        <f t="shared" ref="BO858:BO859" si="2512">"34.25"</f>
        <v>34.25</v>
      </c>
      <c r="BP858" s="15" t="str">
        <f t="shared" ref="BP858:BP859" si="2513">"26.38"</f>
        <v>26.38</v>
      </c>
      <c r="BQ858" s="15" t="str">
        <f t="shared" ref="BQ858:BQ859" si="2514">"268.96"</f>
        <v>268.96</v>
      </c>
      <c r="CG858" s="15" t="str">
        <f t="shared" ref="CG858:CG859" si="2515">"38.7"</f>
        <v>38.7</v>
      </c>
      <c r="CH858" s="15" t="str">
        <f t="shared" ref="CH858:CH859" si="2516">"1.096"</f>
        <v>1.096</v>
      </c>
      <c r="CI858" s="15" t="s">
        <v>497</v>
      </c>
      <c r="CM858" s="15" t="s">
        <v>714</v>
      </c>
      <c r="CN858" s="15" t="s">
        <v>4943</v>
      </c>
      <c r="CO858" s="15" t="s">
        <v>8863</v>
      </c>
      <c r="CZ858" s="15" t="s">
        <v>1371</v>
      </c>
      <c r="DA858" s="15">
        <v>5.0</v>
      </c>
      <c r="DB858" s="15" t="s">
        <v>419</v>
      </c>
      <c r="DD858" s="15">
        <v>0.0</v>
      </c>
      <c r="DF858" s="15" t="s">
        <v>721</v>
      </c>
      <c r="DG858" s="15" t="s">
        <v>610</v>
      </c>
      <c r="DK858" s="15">
        <v>3.0</v>
      </c>
      <c r="DR858" s="15" t="s">
        <v>2137</v>
      </c>
      <c r="DS858" s="15" t="s">
        <v>8787</v>
      </c>
      <c r="DU858" s="15" t="s">
        <v>424</v>
      </c>
      <c r="EF858" s="15" t="s">
        <v>1957</v>
      </c>
      <c r="EG858" s="15" t="s">
        <v>2647</v>
      </c>
      <c r="EH858" s="15" t="s">
        <v>8557</v>
      </c>
      <c r="ET858" s="15" t="s">
        <v>612</v>
      </c>
      <c r="EU858" s="15" t="s">
        <v>426</v>
      </c>
      <c r="EV858" s="15">
        <v>3.0</v>
      </c>
      <c r="FK858" s="15" t="s">
        <v>714</v>
      </c>
      <c r="FL858" s="15" t="s">
        <v>612</v>
      </c>
      <c r="FM858" s="15" t="s">
        <v>8863</v>
      </c>
      <c r="FQ858" s="15">
        <v>2.0</v>
      </c>
      <c r="FR858" s="15" t="s">
        <v>614</v>
      </c>
      <c r="FS858" s="15" t="s">
        <v>1045</v>
      </c>
      <c r="FU858" s="15" t="s">
        <v>426</v>
      </c>
      <c r="FZ858" s="15" t="s">
        <v>4151</v>
      </c>
      <c r="GA858" s="15" t="s">
        <v>4151</v>
      </c>
      <c r="GB858" s="15" t="s">
        <v>8864</v>
      </c>
      <c r="GC858" s="15" t="s">
        <v>8864</v>
      </c>
      <c r="GD858" s="15" t="s">
        <v>5571</v>
      </c>
      <c r="GE858" s="15" t="s">
        <v>8865</v>
      </c>
      <c r="GF858" s="15" t="s">
        <v>431</v>
      </c>
      <c r="GH858" s="15" t="s">
        <v>764</v>
      </c>
      <c r="GJ858" s="15" t="s">
        <v>731</v>
      </c>
      <c r="GK858" s="15" t="s">
        <v>4943</v>
      </c>
      <c r="GL858" s="15" t="s">
        <v>4180</v>
      </c>
      <c r="GM858" s="15">
        <v>4.0</v>
      </c>
      <c r="GZ858" s="15" t="s">
        <v>731</v>
      </c>
      <c r="HB858" s="15" t="s">
        <v>4943</v>
      </c>
      <c r="HD858" s="15" t="s">
        <v>4180</v>
      </c>
      <c r="HF858" s="15" t="s">
        <v>1957</v>
      </c>
      <c r="HG858" s="15" t="s">
        <v>4151</v>
      </c>
      <c r="HI858" s="15" t="s">
        <v>8866</v>
      </c>
      <c r="HK858" s="15" t="s">
        <v>5571</v>
      </c>
      <c r="HP858" s="15" t="s">
        <v>426</v>
      </c>
      <c r="HQ858" s="15" t="s">
        <v>426</v>
      </c>
    </row>
    <row r="859" ht="17.25" customHeight="1">
      <c r="A859" s="15" t="s">
        <v>8868</v>
      </c>
      <c r="B859" s="15" t="str">
        <f>"801542987756"</f>
        <v>801542987756</v>
      </c>
      <c r="C859" s="15" t="s">
        <v>21780</v>
      </c>
      <c r="D859" s="15" t="str">
        <f t="shared" si="1"/>
        <v>Rosedale Executive DeskYucca Oak Veneer</v>
      </c>
      <c r="E859" s="15" t="s">
        <v>8857</v>
      </c>
      <c r="F859" s="15" t="s">
        <v>397</v>
      </c>
      <c r="G859" s="15" t="s">
        <v>8790</v>
      </c>
      <c r="J859" s="15" t="s">
        <v>8790</v>
      </c>
      <c r="K859" s="15" t="s">
        <v>8784</v>
      </c>
      <c r="M859" s="15" t="s">
        <v>5652</v>
      </c>
      <c r="N859" s="15" t="s">
        <v>2134</v>
      </c>
      <c r="O859" s="15" t="s">
        <v>2135</v>
      </c>
      <c r="P859" s="15" t="str">
        <f t="shared" si="2505"/>
        <v>72.75</v>
      </c>
      <c r="Q859" s="15" t="str">
        <f t="shared" ref="Q859:R859" si="2506">"30"</f>
        <v>30</v>
      </c>
      <c r="R859" s="15" t="str">
        <f t="shared" si="2506"/>
        <v>30</v>
      </c>
      <c r="S859" s="15" t="str">
        <f t="shared" si="2507"/>
        <v>202.82</v>
      </c>
      <c r="T859" s="15" t="s">
        <v>8273</v>
      </c>
      <c r="U859" s="15" t="s">
        <v>11553</v>
      </c>
      <c r="V859" s="15" t="s">
        <v>11137</v>
      </c>
      <c r="W859" s="15" t="s">
        <v>11338</v>
      </c>
      <c r="AA859" s="15" t="s">
        <v>413</v>
      </c>
      <c r="AB859" s="15" t="s">
        <v>413</v>
      </c>
      <c r="AC859" s="15" t="s">
        <v>8870</v>
      </c>
      <c r="AD859" s="15" t="s">
        <v>21781</v>
      </c>
      <c r="AE859" s="15" t="s">
        <v>8869</v>
      </c>
      <c r="AF859" s="15" t="s">
        <v>21782</v>
      </c>
      <c r="AG859" s="15" t="s">
        <v>21783</v>
      </c>
      <c r="AH859" s="15" t="s">
        <v>21784</v>
      </c>
      <c r="AI859" s="15" t="s">
        <v>21785</v>
      </c>
      <c r="AJ859" s="15" t="s">
        <v>21786</v>
      </c>
      <c r="AK859" s="15" t="s">
        <v>21787</v>
      </c>
      <c r="AL859" s="15" t="s">
        <v>21788</v>
      </c>
      <c r="AM859" s="15" t="s">
        <v>21789</v>
      </c>
      <c r="AN859" s="15" t="s">
        <v>21790</v>
      </c>
      <c r="AO859" s="15" t="s">
        <v>21791</v>
      </c>
      <c r="AP859" s="15" t="s">
        <v>21792</v>
      </c>
      <c r="AQ859" s="15" t="s">
        <v>21793</v>
      </c>
      <c r="AR859" s="15" t="s">
        <v>21794</v>
      </c>
      <c r="AS859" s="15" t="s">
        <v>21795</v>
      </c>
      <c r="BH859" s="15" t="s">
        <v>8867</v>
      </c>
      <c r="BI859" s="15" t="str">
        <f t="shared" si="2508"/>
        <v>1999</v>
      </c>
      <c r="BJ859" s="15" t="str">
        <f t="shared" si="2509"/>
        <v>840</v>
      </c>
      <c r="BK859" s="15" t="s">
        <v>742</v>
      </c>
      <c r="BL859" s="15" t="str">
        <f t="shared" si="2510"/>
        <v>1</v>
      </c>
      <c r="BM859" s="15" t="s">
        <v>416</v>
      </c>
      <c r="BN859" s="15" t="str">
        <f t="shared" si="2511"/>
        <v>74.02</v>
      </c>
      <c r="BO859" s="15" t="str">
        <f t="shared" si="2512"/>
        <v>34.25</v>
      </c>
      <c r="BP859" s="15" t="str">
        <f t="shared" si="2513"/>
        <v>26.38</v>
      </c>
      <c r="BQ859" s="15" t="str">
        <f t="shared" si="2514"/>
        <v>268.96</v>
      </c>
      <c r="CG859" s="15" t="str">
        <f t="shared" si="2515"/>
        <v>38.7</v>
      </c>
      <c r="CH859" s="15" t="str">
        <f t="shared" si="2516"/>
        <v>1.096</v>
      </c>
      <c r="CI859" s="15" t="s">
        <v>497</v>
      </c>
      <c r="CM859" s="15" t="s">
        <v>714</v>
      </c>
      <c r="CN859" s="15" t="s">
        <v>4943</v>
      </c>
      <c r="CO859" s="15" t="s">
        <v>8863</v>
      </c>
      <c r="CZ859" s="15" t="s">
        <v>1371</v>
      </c>
      <c r="DA859" s="15">
        <v>5.0</v>
      </c>
      <c r="DB859" s="15" t="s">
        <v>419</v>
      </c>
      <c r="DD859" s="15">
        <v>0.0</v>
      </c>
      <c r="DF859" s="15" t="s">
        <v>721</v>
      </c>
      <c r="DG859" s="15" t="s">
        <v>610</v>
      </c>
      <c r="DK859" s="15">
        <v>3.0</v>
      </c>
      <c r="DR859" s="15" t="s">
        <v>2137</v>
      </c>
      <c r="DS859" s="15" t="s">
        <v>8787</v>
      </c>
      <c r="DU859" s="15" t="s">
        <v>424</v>
      </c>
      <c r="EF859" s="15" t="s">
        <v>1957</v>
      </c>
      <c r="EG859" s="15" t="s">
        <v>2647</v>
      </c>
      <c r="EH859" s="15" t="s">
        <v>8557</v>
      </c>
      <c r="ET859" s="15" t="s">
        <v>612</v>
      </c>
      <c r="EU859" s="15" t="s">
        <v>426</v>
      </c>
      <c r="EV859" s="15">
        <v>3.0</v>
      </c>
      <c r="FK859" s="15" t="s">
        <v>714</v>
      </c>
      <c r="FL859" s="15" t="s">
        <v>612</v>
      </c>
      <c r="FM859" s="15" t="s">
        <v>8863</v>
      </c>
      <c r="FQ859" s="15">
        <v>2.0</v>
      </c>
      <c r="FR859" s="15" t="s">
        <v>614</v>
      </c>
      <c r="FS859" s="15" t="s">
        <v>1045</v>
      </c>
      <c r="FU859" s="15" t="s">
        <v>426</v>
      </c>
      <c r="FZ859" s="15" t="s">
        <v>4151</v>
      </c>
      <c r="GA859" s="15" t="s">
        <v>4151</v>
      </c>
      <c r="GB859" s="15" t="s">
        <v>8864</v>
      </c>
      <c r="GC859" s="15" t="s">
        <v>8864</v>
      </c>
      <c r="GD859" s="15" t="s">
        <v>5571</v>
      </c>
      <c r="GE859" s="15" t="s">
        <v>8865</v>
      </c>
      <c r="GF859" s="15" t="s">
        <v>431</v>
      </c>
      <c r="GH859" s="15" t="s">
        <v>764</v>
      </c>
      <c r="GJ859" s="15" t="s">
        <v>731</v>
      </c>
      <c r="GK859" s="15" t="s">
        <v>4943</v>
      </c>
      <c r="GL859" s="15" t="s">
        <v>4180</v>
      </c>
      <c r="GM859" s="15">
        <v>4.0</v>
      </c>
      <c r="GZ859" s="15" t="s">
        <v>731</v>
      </c>
      <c r="HB859" s="15" t="s">
        <v>4943</v>
      </c>
      <c r="HD859" s="15" t="s">
        <v>4180</v>
      </c>
      <c r="HF859" s="15" t="s">
        <v>1957</v>
      </c>
      <c r="HG859" s="15" t="s">
        <v>4151</v>
      </c>
      <c r="HI859" s="15" t="s">
        <v>8866</v>
      </c>
      <c r="HK859" s="15" t="s">
        <v>5571</v>
      </c>
      <c r="HP859" s="15" t="s">
        <v>426</v>
      </c>
      <c r="HQ859" s="15" t="s">
        <v>426</v>
      </c>
    </row>
    <row r="860" ht="17.25" customHeight="1">
      <c r="A860" s="15" t="s">
        <v>8873</v>
      </c>
      <c r="B860" s="15" t="str">
        <f>"801542964320"</f>
        <v>801542964320</v>
      </c>
      <c r="C860" s="15" t="s">
        <v>21796</v>
      </c>
      <c r="D860" s="15" t="str">
        <f t="shared" si="1"/>
        <v>Rosedale Media ConsoleChaps Sand</v>
      </c>
      <c r="E860" s="15" t="s">
        <v>8871</v>
      </c>
      <c r="F860" s="15" t="s">
        <v>397</v>
      </c>
      <c r="G860" s="15" t="s">
        <v>8784</v>
      </c>
      <c r="J860" s="15" t="s">
        <v>8784</v>
      </c>
      <c r="K860" s="15" t="s">
        <v>8716</v>
      </c>
      <c r="M860" s="15" t="s">
        <v>5652</v>
      </c>
      <c r="N860" s="15" t="s">
        <v>602</v>
      </c>
      <c r="P860" s="15" t="str">
        <f>"94.25"</f>
        <v>94.25</v>
      </c>
      <c r="Q860" s="15" t="str">
        <f>"18"</f>
        <v>18</v>
      </c>
      <c r="R860" s="15" t="str">
        <f>"28"</f>
        <v>28</v>
      </c>
      <c r="S860" s="15" t="str">
        <f>"200.62"</f>
        <v>200.62</v>
      </c>
      <c r="T860" s="15" t="s">
        <v>8875</v>
      </c>
      <c r="U860" s="15" t="s">
        <v>11137</v>
      </c>
      <c r="V860" s="15" t="s">
        <v>11553</v>
      </c>
      <c r="W860" s="15" t="s">
        <v>11338</v>
      </c>
      <c r="AA860" s="15" t="s">
        <v>426</v>
      </c>
      <c r="AB860" s="15" t="s">
        <v>413</v>
      </c>
      <c r="AD860" s="15" t="s">
        <v>21797</v>
      </c>
      <c r="AE860" s="15" t="s">
        <v>8874</v>
      </c>
      <c r="AF860" s="15" t="s">
        <v>21798</v>
      </c>
      <c r="AG860" s="15" t="s">
        <v>21799</v>
      </c>
      <c r="AH860" s="15" t="s">
        <v>21800</v>
      </c>
      <c r="AI860" s="15" t="s">
        <v>21801</v>
      </c>
      <c r="AJ860" s="15" t="s">
        <v>21802</v>
      </c>
      <c r="AK860" s="15" t="s">
        <v>21803</v>
      </c>
      <c r="AL860" s="15" t="s">
        <v>21804</v>
      </c>
      <c r="AM860" s="15" t="s">
        <v>21805</v>
      </c>
      <c r="AN860" s="15" t="s">
        <v>21806</v>
      </c>
      <c r="AO860" s="15" t="s">
        <v>21807</v>
      </c>
      <c r="AP860" s="15" t="s">
        <v>21808</v>
      </c>
      <c r="BH860" s="15" t="s">
        <v>8872</v>
      </c>
      <c r="BI860" s="15" t="str">
        <f t="shared" si="2508"/>
        <v>1999</v>
      </c>
      <c r="BJ860" s="15" t="str">
        <f t="shared" si="2509"/>
        <v>840</v>
      </c>
      <c r="BK860" s="15" t="s">
        <v>742</v>
      </c>
      <c r="BL860" s="15" t="str">
        <f t="shared" si="2510"/>
        <v>1</v>
      </c>
      <c r="BM860" s="15" t="s">
        <v>2043</v>
      </c>
      <c r="BN860" s="15" t="str">
        <f>"98.82"</f>
        <v>98.82</v>
      </c>
      <c r="BO860" s="15" t="str">
        <f t="shared" ref="BO860:BO862" si="2517">"22.64"</f>
        <v>22.64</v>
      </c>
      <c r="BP860" s="15" t="str">
        <f>"33.86"</f>
        <v>33.86</v>
      </c>
      <c r="BQ860" s="15" t="str">
        <f>"262.35"</f>
        <v>262.35</v>
      </c>
      <c r="CG860" s="15" t="str">
        <f>"43.83"</f>
        <v>43.83</v>
      </c>
      <c r="CH860" s="15" t="str">
        <f>"1.241"</f>
        <v>1.241</v>
      </c>
      <c r="CI860" s="15" t="s">
        <v>497</v>
      </c>
      <c r="CM860" s="15" t="s">
        <v>778</v>
      </c>
      <c r="CN860" s="15" t="s">
        <v>3225</v>
      </c>
      <c r="CO860" s="15" t="s">
        <v>8879</v>
      </c>
      <c r="CY860" s="15" t="s">
        <v>718</v>
      </c>
      <c r="CZ860" s="15" t="s">
        <v>1371</v>
      </c>
      <c r="DA860" s="15">
        <v>3.0</v>
      </c>
      <c r="DB860" s="15" t="s">
        <v>419</v>
      </c>
      <c r="DD860" s="15">
        <v>0.0</v>
      </c>
      <c r="DF860" s="15" t="s">
        <v>420</v>
      </c>
      <c r="DG860" s="15" t="s">
        <v>610</v>
      </c>
      <c r="DI860" s="15">
        <v>18.14</v>
      </c>
      <c r="DJ860" s="15">
        <v>40.0</v>
      </c>
      <c r="DK860" s="15">
        <v>2.0</v>
      </c>
      <c r="DL860" s="15">
        <v>0.0</v>
      </c>
      <c r="DS860" s="15" t="s">
        <v>8787</v>
      </c>
      <c r="EF860" s="15" t="s">
        <v>8880</v>
      </c>
      <c r="EV860" s="15">
        <v>2.0</v>
      </c>
      <c r="FH860" s="15" t="s">
        <v>8881</v>
      </c>
      <c r="FI860" s="15" t="s">
        <v>612</v>
      </c>
      <c r="FJ860" s="15" t="s">
        <v>8882</v>
      </c>
      <c r="FK860" s="15" t="s">
        <v>778</v>
      </c>
      <c r="FL860" s="15" t="s">
        <v>782</v>
      </c>
      <c r="FM860" s="15" t="s">
        <v>8879</v>
      </c>
      <c r="FO860" s="15" t="s">
        <v>426</v>
      </c>
      <c r="FQ860" s="15">
        <v>4.0</v>
      </c>
      <c r="FR860" s="15" t="s">
        <v>614</v>
      </c>
      <c r="FS860" s="15" t="s">
        <v>1045</v>
      </c>
      <c r="FU860" s="15" t="s">
        <v>426</v>
      </c>
      <c r="FZ860" s="15" t="s">
        <v>5738</v>
      </c>
      <c r="GA860" s="15" t="s">
        <v>5738</v>
      </c>
      <c r="GB860" s="15" t="s">
        <v>8883</v>
      </c>
      <c r="GC860" s="15" t="s">
        <v>8884</v>
      </c>
      <c r="GD860" s="15" t="s">
        <v>8885</v>
      </c>
      <c r="GE860" s="15" t="s">
        <v>8885</v>
      </c>
      <c r="GJ860" s="15" t="s">
        <v>778</v>
      </c>
      <c r="GK860" s="15" t="s">
        <v>3225</v>
      </c>
      <c r="GL860" s="15" t="s">
        <v>8879</v>
      </c>
      <c r="GM860" s="15">
        <v>0.0</v>
      </c>
      <c r="HF860" s="15" t="s">
        <v>1957</v>
      </c>
      <c r="HQ860" s="15" t="s">
        <v>426</v>
      </c>
    </row>
    <row r="861" ht="17.25" customHeight="1">
      <c r="A861" s="15" t="s">
        <v>8888</v>
      </c>
      <c r="B861" s="15" t="str">
        <f>"801542748869"</f>
        <v>801542748869</v>
      </c>
      <c r="C861" s="15" t="s">
        <v>21809</v>
      </c>
      <c r="D861" s="15" t="str">
        <f t="shared" si="1"/>
        <v>Rosedale NightstandEbony Oak Veneer</v>
      </c>
      <c r="E861" s="15" t="s">
        <v>8886</v>
      </c>
      <c r="F861" s="15" t="s">
        <v>397</v>
      </c>
      <c r="G861" s="15" t="s">
        <v>8716</v>
      </c>
      <c r="J861" s="15" t="s">
        <v>8716</v>
      </c>
      <c r="K861" s="15" t="s">
        <v>8784</v>
      </c>
      <c r="M861" s="15" t="s">
        <v>5652</v>
      </c>
      <c r="N861" s="15" t="s">
        <v>628</v>
      </c>
      <c r="P861" s="15" t="str">
        <f t="shared" ref="P861:P862" si="2518">"27.25"</f>
        <v>27.25</v>
      </c>
      <c r="Q861" s="15" t="str">
        <f t="shared" ref="Q861:Q862" si="2519">"19.5"</f>
        <v>19.5</v>
      </c>
      <c r="R861" s="15" t="str">
        <f t="shared" ref="R861:R862" si="2520">"26"</f>
        <v>26</v>
      </c>
      <c r="S861" s="15" t="str">
        <f t="shared" ref="S861:S862" si="2521">"55.12"</f>
        <v>55.12</v>
      </c>
      <c r="T861" s="15" t="s">
        <v>8783</v>
      </c>
      <c r="U861" s="15" t="s">
        <v>11553</v>
      </c>
      <c r="V861" s="15" t="s">
        <v>11137</v>
      </c>
      <c r="AA861" s="15" t="s">
        <v>426</v>
      </c>
      <c r="AB861" s="15" t="s">
        <v>413</v>
      </c>
      <c r="AC861" s="15" t="s">
        <v>8890</v>
      </c>
      <c r="AD861" s="15" t="s">
        <v>21810</v>
      </c>
      <c r="AE861" s="15" t="s">
        <v>8889</v>
      </c>
      <c r="AF861" s="15" t="s">
        <v>21811</v>
      </c>
      <c r="AG861" s="15" t="s">
        <v>21812</v>
      </c>
      <c r="AH861" s="15" t="s">
        <v>21813</v>
      </c>
      <c r="AI861" s="15" t="s">
        <v>21814</v>
      </c>
      <c r="AJ861" s="15" t="s">
        <v>21815</v>
      </c>
      <c r="AK861" s="15" t="s">
        <v>21816</v>
      </c>
      <c r="AL861" s="15" t="s">
        <v>21817</v>
      </c>
      <c r="AM861" s="15" t="s">
        <v>21818</v>
      </c>
      <c r="AN861" s="15" t="s">
        <v>21819</v>
      </c>
      <c r="AO861" s="15" t="s">
        <v>21820</v>
      </c>
      <c r="BH861" s="15" t="s">
        <v>8887</v>
      </c>
      <c r="BI861" s="15" t="str">
        <f t="shared" ref="BI861:BI862" si="2522">"699"</f>
        <v>699</v>
      </c>
      <c r="BJ861" s="15" t="str">
        <f t="shared" ref="BJ861:BJ862" si="2523">"295"</f>
        <v>295</v>
      </c>
      <c r="BK861" s="15" t="s">
        <v>742</v>
      </c>
      <c r="BL861" s="15" t="str">
        <f t="shared" si="2510"/>
        <v>1</v>
      </c>
      <c r="BM861" s="15" t="s">
        <v>1439</v>
      </c>
      <c r="BN861" s="15" t="str">
        <f t="shared" ref="BN861:BN862" si="2524">"31.89"</f>
        <v>31.89</v>
      </c>
      <c r="BO861" s="15" t="str">
        <f t="shared" si="2517"/>
        <v>22.64</v>
      </c>
      <c r="BP861" s="15" t="str">
        <f t="shared" ref="BP861:BP862" si="2525">"32.28"</f>
        <v>32.28</v>
      </c>
      <c r="BQ861" s="15" t="str">
        <f t="shared" ref="BQ861:BQ862" si="2526">"74.96"</f>
        <v>74.96</v>
      </c>
      <c r="CG861" s="15" t="str">
        <f t="shared" ref="CG861:CG862" si="2527">"13.49"</f>
        <v>13.49</v>
      </c>
      <c r="CH861" s="15" t="str">
        <f t="shared" ref="CH861:CH862" si="2528">"0.382"</f>
        <v>0.382</v>
      </c>
      <c r="CI861" s="15" t="s">
        <v>497</v>
      </c>
      <c r="CZ861" s="15" t="s">
        <v>1371</v>
      </c>
      <c r="DA861" s="15">
        <v>2.0</v>
      </c>
      <c r="DB861" s="15" t="s">
        <v>419</v>
      </c>
      <c r="DD861" s="15">
        <v>0.0</v>
      </c>
      <c r="DF861" s="15" t="s">
        <v>420</v>
      </c>
      <c r="DG861" s="15" t="s">
        <v>421</v>
      </c>
      <c r="DK861" s="15">
        <v>0.0</v>
      </c>
      <c r="DR861" s="15" t="s">
        <v>471</v>
      </c>
      <c r="DS861" s="15" t="s">
        <v>8787</v>
      </c>
      <c r="DU861" s="15" t="s">
        <v>500</v>
      </c>
      <c r="EF861" s="15" t="s">
        <v>531</v>
      </c>
      <c r="EU861" s="15" t="s">
        <v>426</v>
      </c>
      <c r="EV861" s="15">
        <v>0.0</v>
      </c>
      <c r="FQ861" s="15">
        <v>0.0</v>
      </c>
      <c r="FR861" s="15" t="s">
        <v>427</v>
      </c>
      <c r="FZ861" s="15" t="s">
        <v>428</v>
      </c>
      <c r="GB861" s="15" t="s">
        <v>2548</v>
      </c>
      <c r="GD861" s="15" t="s">
        <v>1286</v>
      </c>
      <c r="GF861" s="15" t="s">
        <v>431</v>
      </c>
      <c r="GH861" s="15" t="s">
        <v>764</v>
      </c>
    </row>
    <row r="862" ht="17.25" customHeight="1">
      <c r="A862" s="15" t="s">
        <v>8892</v>
      </c>
      <c r="B862" s="15" t="str">
        <f>"801542036805"</f>
        <v>801542036805</v>
      </c>
      <c r="C862" s="15" t="s">
        <v>21821</v>
      </c>
      <c r="D862" s="15" t="str">
        <f t="shared" si="1"/>
        <v>Rosedale NightstandYucca Oak Veneer</v>
      </c>
      <c r="E862" s="15" t="s">
        <v>8886</v>
      </c>
      <c r="F862" s="15" t="s">
        <v>397</v>
      </c>
      <c r="G862" s="15" t="s">
        <v>8790</v>
      </c>
      <c r="J862" s="15" t="s">
        <v>8790</v>
      </c>
      <c r="K862" s="15" t="s">
        <v>8784</v>
      </c>
      <c r="M862" s="15" t="s">
        <v>5652</v>
      </c>
      <c r="N862" s="15" t="s">
        <v>628</v>
      </c>
      <c r="P862" s="15" t="str">
        <f t="shared" si="2518"/>
        <v>27.25</v>
      </c>
      <c r="Q862" s="15" t="str">
        <f t="shared" si="2519"/>
        <v>19.5</v>
      </c>
      <c r="R862" s="15" t="str">
        <f t="shared" si="2520"/>
        <v>26</v>
      </c>
      <c r="S862" s="15" t="str">
        <f t="shared" si="2521"/>
        <v>55.12</v>
      </c>
      <c r="T862" s="15" t="s">
        <v>8783</v>
      </c>
      <c r="U862" s="15" t="s">
        <v>11553</v>
      </c>
      <c r="V862" s="15" t="s">
        <v>11137</v>
      </c>
      <c r="AA862" s="15" t="s">
        <v>426</v>
      </c>
      <c r="AB862" s="15" t="s">
        <v>413</v>
      </c>
      <c r="AC862" s="15" t="s">
        <v>8894</v>
      </c>
      <c r="AD862" s="15" t="s">
        <v>21822</v>
      </c>
      <c r="AE862" s="15" t="s">
        <v>8893</v>
      </c>
      <c r="AF862" s="15" t="s">
        <v>21823</v>
      </c>
      <c r="AG862" s="15" t="s">
        <v>21824</v>
      </c>
      <c r="AH862" s="15" t="s">
        <v>21825</v>
      </c>
      <c r="AI862" s="15" t="s">
        <v>21826</v>
      </c>
      <c r="AJ862" s="15" t="s">
        <v>21827</v>
      </c>
      <c r="AK862" s="15" t="s">
        <v>21828</v>
      </c>
      <c r="AL862" s="15" t="s">
        <v>21829</v>
      </c>
      <c r="AM862" s="15" t="s">
        <v>21830</v>
      </c>
      <c r="AN862" s="15" t="s">
        <v>21831</v>
      </c>
      <c r="AO862" s="15" t="s">
        <v>21832</v>
      </c>
      <c r="AP862" s="15" t="s">
        <v>21833</v>
      </c>
      <c r="AQ862" s="15" t="s">
        <v>21834</v>
      </c>
      <c r="BH862" s="15" t="s">
        <v>8891</v>
      </c>
      <c r="BI862" s="15" t="str">
        <f t="shared" si="2522"/>
        <v>699</v>
      </c>
      <c r="BJ862" s="15" t="str">
        <f t="shared" si="2523"/>
        <v>295</v>
      </c>
      <c r="BK862" s="15" t="s">
        <v>742</v>
      </c>
      <c r="BL862" s="15" t="str">
        <f t="shared" si="2510"/>
        <v>1</v>
      </c>
      <c r="BM862" s="15" t="s">
        <v>1439</v>
      </c>
      <c r="BN862" s="15" t="str">
        <f t="shared" si="2524"/>
        <v>31.89</v>
      </c>
      <c r="BO862" s="15" t="str">
        <f t="shared" si="2517"/>
        <v>22.64</v>
      </c>
      <c r="BP862" s="15" t="str">
        <f t="shared" si="2525"/>
        <v>32.28</v>
      </c>
      <c r="BQ862" s="15" t="str">
        <f t="shared" si="2526"/>
        <v>74.96</v>
      </c>
      <c r="CG862" s="15" t="str">
        <f t="shared" si="2527"/>
        <v>13.49</v>
      </c>
      <c r="CH862" s="15" t="str">
        <f t="shared" si="2528"/>
        <v>0.382</v>
      </c>
      <c r="CI862" s="15" t="s">
        <v>497</v>
      </c>
      <c r="CZ862" s="15" t="s">
        <v>1371</v>
      </c>
      <c r="DA862" s="15">
        <v>2.0</v>
      </c>
      <c r="DB862" s="15" t="s">
        <v>419</v>
      </c>
      <c r="DD862" s="15">
        <v>0.0</v>
      </c>
      <c r="DF862" s="15" t="s">
        <v>420</v>
      </c>
      <c r="DG862" s="15" t="s">
        <v>421</v>
      </c>
      <c r="DK862" s="15">
        <v>0.0</v>
      </c>
      <c r="DR862" s="15" t="s">
        <v>471</v>
      </c>
      <c r="DS862" s="15" t="s">
        <v>8787</v>
      </c>
      <c r="DU862" s="15" t="s">
        <v>500</v>
      </c>
      <c r="EF862" s="15" t="s">
        <v>531</v>
      </c>
      <c r="EU862" s="15" t="s">
        <v>426</v>
      </c>
      <c r="EV862" s="15">
        <v>0.0</v>
      </c>
      <c r="FQ862" s="15">
        <v>0.0</v>
      </c>
      <c r="FR862" s="15" t="s">
        <v>427</v>
      </c>
      <c r="FZ862" s="15" t="s">
        <v>428</v>
      </c>
      <c r="GB862" s="15" t="s">
        <v>2548</v>
      </c>
      <c r="GD862" s="15" t="s">
        <v>1286</v>
      </c>
      <c r="GF862" s="15" t="s">
        <v>431</v>
      </c>
      <c r="GH862" s="15" t="s">
        <v>764</v>
      </c>
    </row>
    <row r="863" ht="17.25" customHeight="1">
      <c r="A863" s="15" t="s">
        <v>8897</v>
      </c>
      <c r="B863" s="15" t="str">
        <f>"198394005586"</f>
        <v>198394005586</v>
      </c>
      <c r="C863" s="15" t="s">
        <v>21835</v>
      </c>
      <c r="D863" s="15" t="str">
        <f t="shared" si="1"/>
        <v>Rosedale SideboardEbony Oak Veneer</v>
      </c>
      <c r="E863" s="15" t="s">
        <v>8895</v>
      </c>
      <c r="F863" s="15" t="s">
        <v>397</v>
      </c>
      <c r="G863" s="15" t="s">
        <v>8716</v>
      </c>
      <c r="J863" s="15" t="s">
        <v>8716</v>
      </c>
      <c r="K863" s="15" t="s">
        <v>8784</v>
      </c>
      <c r="M863" s="15" t="s">
        <v>5652</v>
      </c>
      <c r="N863" s="15" t="s">
        <v>664</v>
      </c>
      <c r="P863" s="15" t="str">
        <f t="shared" ref="P863:P864" si="2529">"73.25"</f>
        <v>73.25</v>
      </c>
      <c r="Q863" s="15" t="str">
        <f t="shared" ref="Q863:Q864" si="2530">"18"</f>
        <v>18</v>
      </c>
      <c r="R863" s="15" t="str">
        <f t="shared" ref="R863:R864" si="2531">"30"</f>
        <v>30</v>
      </c>
      <c r="S863" s="15" t="str">
        <f t="shared" ref="S863:S864" si="2532">"154.32"</f>
        <v>154.32</v>
      </c>
      <c r="T863" s="15" t="s">
        <v>8273</v>
      </c>
      <c r="U863" s="15" t="s">
        <v>11553</v>
      </c>
      <c r="V863" s="15" t="s">
        <v>11137</v>
      </c>
      <c r="W863" s="15" t="s">
        <v>11338</v>
      </c>
      <c r="AA863" s="15" t="s">
        <v>426</v>
      </c>
      <c r="AB863" s="15" t="s">
        <v>413</v>
      </c>
      <c r="AC863" s="15" t="s">
        <v>8901</v>
      </c>
      <c r="AD863" s="15" t="s">
        <v>21836</v>
      </c>
      <c r="AE863" s="15" t="s">
        <v>8898</v>
      </c>
      <c r="AF863" s="15" t="s">
        <v>21837</v>
      </c>
      <c r="AG863" s="15" t="s">
        <v>21838</v>
      </c>
      <c r="AH863" s="15" t="s">
        <v>21839</v>
      </c>
      <c r="AI863" s="15" t="s">
        <v>21840</v>
      </c>
      <c r="AJ863" s="15" t="s">
        <v>21841</v>
      </c>
      <c r="AK863" s="15" t="s">
        <v>21842</v>
      </c>
      <c r="AL863" s="15" t="s">
        <v>21843</v>
      </c>
      <c r="AM863" s="15" t="s">
        <v>21844</v>
      </c>
      <c r="AN863" s="15" t="s">
        <v>21845</v>
      </c>
      <c r="AO863" s="15" t="s">
        <v>21846</v>
      </c>
      <c r="AP863" s="15" t="s">
        <v>21847</v>
      </c>
      <c r="AQ863" s="15" t="s">
        <v>21848</v>
      </c>
      <c r="BH863" s="15" t="s">
        <v>8896</v>
      </c>
      <c r="BI863" s="15" t="str">
        <f t="shared" ref="BI863:BI864" si="2533">"1699"</f>
        <v>1699</v>
      </c>
      <c r="BJ863" s="15" t="str">
        <f t="shared" ref="BJ863:BJ864" si="2534">"715"</f>
        <v>715</v>
      </c>
      <c r="BK863" s="15" t="s">
        <v>742</v>
      </c>
      <c r="BL863" s="15" t="str">
        <f t="shared" si="2510"/>
        <v>1</v>
      </c>
      <c r="BM863" s="15" t="s">
        <v>2043</v>
      </c>
      <c r="BN863" s="15" t="str">
        <f t="shared" ref="BN863:BN864" si="2535">"77.95"</f>
        <v>77.95</v>
      </c>
      <c r="BO863" s="15" t="str">
        <f t="shared" ref="BO863:BO864" si="2536">"23.03"</f>
        <v>23.03</v>
      </c>
      <c r="BP863" s="15" t="str">
        <f t="shared" ref="BP863:BP864" si="2537">"35.83"</f>
        <v>35.83</v>
      </c>
      <c r="BQ863" s="15" t="str">
        <f t="shared" ref="BQ863:BQ864" si="2538">"202.83"</f>
        <v>202.83</v>
      </c>
      <c r="CG863" s="15" t="str">
        <f t="shared" ref="CG863:CG864" si="2539">"37.22"</f>
        <v>37.22</v>
      </c>
      <c r="CH863" s="15" t="str">
        <f t="shared" ref="CH863:CH864" si="2540">"1.054"</f>
        <v>1.054</v>
      </c>
      <c r="CI863" s="15" t="s">
        <v>497</v>
      </c>
      <c r="CM863" s="15" t="s">
        <v>4178</v>
      </c>
      <c r="CN863" s="15" t="s">
        <v>6272</v>
      </c>
      <c r="CO863" s="15" t="s">
        <v>8903</v>
      </c>
      <c r="CZ863" s="15" t="s">
        <v>419</v>
      </c>
      <c r="DA863" s="15">
        <v>0.0</v>
      </c>
      <c r="DB863" s="15" t="s">
        <v>419</v>
      </c>
      <c r="DD863" s="15">
        <v>0.0</v>
      </c>
      <c r="DF863" s="15" t="s">
        <v>1509</v>
      </c>
      <c r="DG863" s="15" t="s">
        <v>610</v>
      </c>
      <c r="DI863" s="15">
        <v>0.0</v>
      </c>
      <c r="DJ863" s="15">
        <v>0.0</v>
      </c>
      <c r="DK863" s="15">
        <v>2.0</v>
      </c>
      <c r="DS863" s="15" t="s">
        <v>8787</v>
      </c>
      <c r="DU863" s="15" t="s">
        <v>424</v>
      </c>
      <c r="EF863" s="15" t="s">
        <v>1957</v>
      </c>
      <c r="EU863" s="15" t="s">
        <v>426</v>
      </c>
      <c r="EV863" s="15">
        <v>2.0</v>
      </c>
      <c r="FH863" s="15" t="s">
        <v>3927</v>
      </c>
      <c r="FI863" s="15" t="s">
        <v>782</v>
      </c>
      <c r="FJ863" s="15" t="s">
        <v>8904</v>
      </c>
      <c r="FK863" s="15" t="s">
        <v>4178</v>
      </c>
      <c r="FL863" s="15" t="s">
        <v>612</v>
      </c>
      <c r="FM863" s="15" t="s">
        <v>8903</v>
      </c>
      <c r="FN863" s="15">
        <v>0.0</v>
      </c>
      <c r="FP863" s="15" t="s">
        <v>4148</v>
      </c>
      <c r="FQ863" s="15">
        <v>4.0</v>
      </c>
      <c r="FR863" s="15" t="s">
        <v>614</v>
      </c>
      <c r="FS863" s="15" t="s">
        <v>615</v>
      </c>
      <c r="FT863" s="15">
        <v>0.0</v>
      </c>
      <c r="FU863" s="15" t="s">
        <v>426</v>
      </c>
      <c r="FW863" s="15" t="s">
        <v>616</v>
      </c>
      <c r="GJ863" s="15" t="s">
        <v>4178</v>
      </c>
      <c r="GK863" s="15" t="s">
        <v>6272</v>
      </c>
      <c r="GL863" s="15" t="s">
        <v>8903</v>
      </c>
      <c r="HF863" s="15" t="s">
        <v>1957</v>
      </c>
      <c r="HQ863" s="15" t="s">
        <v>426</v>
      </c>
    </row>
    <row r="864" ht="17.25" customHeight="1">
      <c r="A864" s="15" t="s">
        <v>8906</v>
      </c>
      <c r="B864" s="15" t="str">
        <f>"801542066307"</f>
        <v>801542066307</v>
      </c>
      <c r="C864" s="15" t="s">
        <v>21849</v>
      </c>
      <c r="D864" s="15" t="str">
        <f t="shared" si="1"/>
        <v>Rosedale SideboardYucca Oak Veneer</v>
      </c>
      <c r="E864" s="15" t="s">
        <v>8895</v>
      </c>
      <c r="F864" s="15" t="s">
        <v>397</v>
      </c>
      <c r="G864" s="15" t="s">
        <v>8790</v>
      </c>
      <c r="J864" s="15" t="s">
        <v>8790</v>
      </c>
      <c r="K864" s="15" t="s">
        <v>8784</v>
      </c>
      <c r="M864" s="15" t="s">
        <v>5652</v>
      </c>
      <c r="N864" s="15" t="s">
        <v>664</v>
      </c>
      <c r="P864" s="15" t="str">
        <f t="shared" si="2529"/>
        <v>73.25</v>
      </c>
      <c r="Q864" s="15" t="str">
        <f t="shared" si="2530"/>
        <v>18</v>
      </c>
      <c r="R864" s="15" t="str">
        <f t="shared" si="2531"/>
        <v>30</v>
      </c>
      <c r="S864" s="15" t="str">
        <f t="shared" si="2532"/>
        <v>154.32</v>
      </c>
      <c r="T864" s="15" t="s">
        <v>8273</v>
      </c>
      <c r="U864" s="15" t="s">
        <v>11553</v>
      </c>
      <c r="V864" s="15" t="s">
        <v>11137</v>
      </c>
      <c r="W864" s="15" t="s">
        <v>11338</v>
      </c>
      <c r="AA864" s="15" t="s">
        <v>426</v>
      </c>
      <c r="AB864" s="15" t="s">
        <v>413</v>
      </c>
      <c r="AC864" s="15" t="s">
        <v>8908</v>
      </c>
      <c r="AD864" s="15" t="s">
        <v>21850</v>
      </c>
      <c r="AE864" s="15" t="s">
        <v>8907</v>
      </c>
      <c r="AF864" s="15" t="s">
        <v>21851</v>
      </c>
      <c r="AG864" s="15" t="s">
        <v>21852</v>
      </c>
      <c r="AH864" s="15" t="s">
        <v>21853</v>
      </c>
      <c r="AI864" s="15" t="s">
        <v>21854</v>
      </c>
      <c r="AJ864" s="15" t="s">
        <v>21855</v>
      </c>
      <c r="AK864" s="15" t="s">
        <v>21856</v>
      </c>
      <c r="AL864" s="15" t="s">
        <v>21857</v>
      </c>
      <c r="AM864" s="15" t="s">
        <v>21858</v>
      </c>
      <c r="AN864" s="15" t="s">
        <v>21859</v>
      </c>
      <c r="AO864" s="15" t="s">
        <v>21860</v>
      </c>
      <c r="AP864" s="15" t="s">
        <v>21861</v>
      </c>
      <c r="AQ864" s="15" t="s">
        <v>21862</v>
      </c>
      <c r="BH864" s="15" t="s">
        <v>8905</v>
      </c>
      <c r="BI864" s="15" t="str">
        <f t="shared" si="2533"/>
        <v>1699</v>
      </c>
      <c r="BJ864" s="15" t="str">
        <f t="shared" si="2534"/>
        <v>715</v>
      </c>
      <c r="BK864" s="15" t="s">
        <v>742</v>
      </c>
      <c r="BL864" s="15" t="str">
        <f t="shared" si="2510"/>
        <v>1</v>
      </c>
      <c r="BM864" s="15" t="s">
        <v>2043</v>
      </c>
      <c r="BN864" s="15" t="str">
        <f t="shared" si="2535"/>
        <v>77.95</v>
      </c>
      <c r="BO864" s="15" t="str">
        <f t="shared" si="2536"/>
        <v>23.03</v>
      </c>
      <c r="BP864" s="15" t="str">
        <f t="shared" si="2537"/>
        <v>35.83</v>
      </c>
      <c r="BQ864" s="15" t="str">
        <f t="shared" si="2538"/>
        <v>202.83</v>
      </c>
      <c r="CG864" s="15" t="str">
        <f t="shared" si="2539"/>
        <v>37.22</v>
      </c>
      <c r="CH864" s="15" t="str">
        <f t="shared" si="2540"/>
        <v>1.054</v>
      </c>
      <c r="CI864" s="15" t="s">
        <v>497</v>
      </c>
      <c r="CM864" s="15" t="s">
        <v>4178</v>
      </c>
      <c r="CN864" s="15" t="s">
        <v>6272</v>
      </c>
      <c r="CO864" s="15" t="s">
        <v>8903</v>
      </c>
      <c r="CZ864" s="15" t="s">
        <v>419</v>
      </c>
      <c r="DA864" s="15">
        <v>0.0</v>
      </c>
      <c r="DB864" s="15" t="s">
        <v>419</v>
      </c>
      <c r="DD864" s="15">
        <v>0.0</v>
      </c>
      <c r="DF864" s="15" t="s">
        <v>1509</v>
      </c>
      <c r="DG864" s="15" t="s">
        <v>610</v>
      </c>
      <c r="DI864" s="15">
        <v>0.0</v>
      </c>
      <c r="DJ864" s="15">
        <v>0.0</v>
      </c>
      <c r="DK864" s="15">
        <v>2.0</v>
      </c>
      <c r="DS864" s="15" t="s">
        <v>8787</v>
      </c>
      <c r="DU864" s="15" t="s">
        <v>424</v>
      </c>
      <c r="EF864" s="15" t="s">
        <v>1957</v>
      </c>
      <c r="EU864" s="15" t="s">
        <v>426</v>
      </c>
      <c r="EV864" s="15">
        <v>2.0</v>
      </c>
      <c r="FH864" s="15" t="s">
        <v>3927</v>
      </c>
      <c r="FI864" s="15" t="s">
        <v>782</v>
      </c>
      <c r="FJ864" s="15" t="s">
        <v>8904</v>
      </c>
      <c r="FK864" s="15" t="s">
        <v>4178</v>
      </c>
      <c r="FL864" s="15" t="s">
        <v>612</v>
      </c>
      <c r="FM864" s="15" t="s">
        <v>8903</v>
      </c>
      <c r="FN864" s="15">
        <v>0.0</v>
      </c>
      <c r="FP864" s="15" t="s">
        <v>4148</v>
      </c>
      <c r="FQ864" s="15">
        <v>4.0</v>
      </c>
      <c r="FR864" s="15" t="s">
        <v>614</v>
      </c>
      <c r="FS864" s="15" t="s">
        <v>615</v>
      </c>
      <c r="FT864" s="15">
        <v>0.0</v>
      </c>
      <c r="FU864" s="15" t="s">
        <v>426</v>
      </c>
      <c r="FW864" s="15" t="s">
        <v>616</v>
      </c>
      <c r="GJ864" s="15" t="s">
        <v>4178</v>
      </c>
      <c r="GK864" s="15" t="s">
        <v>6272</v>
      </c>
      <c r="GL864" s="15" t="s">
        <v>8903</v>
      </c>
      <c r="HF864" s="15" t="s">
        <v>1957</v>
      </c>
      <c r="HQ864" s="15" t="s">
        <v>426</v>
      </c>
    </row>
    <row r="865" ht="17.25" customHeight="1">
      <c r="A865" s="15" t="s">
        <v>8911</v>
      </c>
      <c r="B865" s="15" t="str">
        <f>"198394083539"</f>
        <v>198394083539</v>
      </c>
      <c r="C865" s="15" t="s">
        <v>21863</v>
      </c>
      <c r="D865" s="15" t="str">
        <f t="shared" si="1"/>
        <v>Rosenell 6 Drawer DresserNatural Paper Cord</v>
      </c>
      <c r="E865" s="15" t="s">
        <v>8909</v>
      </c>
      <c r="F865" s="15" t="s">
        <v>397</v>
      </c>
      <c r="G865" s="15" t="s">
        <v>6999</v>
      </c>
      <c r="J865" s="15" t="s">
        <v>6999</v>
      </c>
      <c r="K865" s="15" t="s">
        <v>6520</v>
      </c>
      <c r="L865" s="15" t="s">
        <v>3674</v>
      </c>
      <c r="M865" s="15" t="s">
        <v>8915</v>
      </c>
      <c r="N865" s="15" t="s">
        <v>412</v>
      </c>
      <c r="P865" s="15" t="str">
        <f>"72"</f>
        <v>72</v>
      </c>
      <c r="Q865" s="15" t="str">
        <f>"20"</f>
        <v>20</v>
      </c>
      <c r="R865" s="15" t="str">
        <f>"33.25"</f>
        <v>33.25</v>
      </c>
      <c r="S865" s="15" t="str">
        <f>"312.61"</f>
        <v>312.61</v>
      </c>
      <c r="T865" s="15" t="s">
        <v>8914</v>
      </c>
      <c r="U865" s="15" t="s">
        <v>12520</v>
      </c>
      <c r="V865" s="15" t="s">
        <v>11553</v>
      </c>
      <c r="W865" s="15" t="s">
        <v>11338</v>
      </c>
      <c r="AA865" s="15" t="s">
        <v>413</v>
      </c>
      <c r="AB865" s="15" t="s">
        <v>413</v>
      </c>
      <c r="AC865" s="15" t="s">
        <v>8916</v>
      </c>
      <c r="AD865" s="15" t="s">
        <v>21864</v>
      </c>
      <c r="AE865" s="15" t="s">
        <v>8913</v>
      </c>
      <c r="AF865" s="15" t="s">
        <v>21865</v>
      </c>
      <c r="AG865" s="15" t="s">
        <v>21866</v>
      </c>
      <c r="AH865" s="15" t="s">
        <v>21867</v>
      </c>
      <c r="AI865" s="15" t="s">
        <v>21868</v>
      </c>
      <c r="AJ865" s="15" t="s">
        <v>21869</v>
      </c>
      <c r="AK865" s="15" t="s">
        <v>21870</v>
      </c>
      <c r="AL865" s="15" t="s">
        <v>21871</v>
      </c>
      <c r="AM865" s="15" t="s">
        <v>21872</v>
      </c>
      <c r="AN865" s="15" t="s">
        <v>21873</v>
      </c>
      <c r="AO865" s="15" t="s">
        <v>21874</v>
      </c>
      <c r="AP865" s="15" t="s">
        <v>21875</v>
      </c>
      <c r="AQ865" s="15" t="s">
        <v>21876</v>
      </c>
      <c r="AR865" s="15" t="s">
        <v>21877</v>
      </c>
      <c r="AS865" s="15" t="s">
        <v>21878</v>
      </c>
      <c r="BH865" s="15" t="s">
        <v>8910</v>
      </c>
      <c r="BI865" s="15" t="str">
        <f>"3899"</f>
        <v>3899</v>
      </c>
      <c r="BJ865" s="15" t="str">
        <f>"1640"</f>
        <v>1640</v>
      </c>
      <c r="BK865" s="15" t="s">
        <v>742</v>
      </c>
      <c r="BL865" s="15" t="str">
        <f t="shared" si="2510"/>
        <v>1</v>
      </c>
      <c r="BM865" s="15" t="s">
        <v>416</v>
      </c>
      <c r="BN865" s="15" t="str">
        <f>"74.8"</f>
        <v>74.8</v>
      </c>
      <c r="BO865" s="15" t="str">
        <f>"24.02"</f>
        <v>24.02</v>
      </c>
      <c r="BP865" s="15" t="str">
        <f>"43.7"</f>
        <v>43.7</v>
      </c>
      <c r="BQ865" s="15" t="str">
        <f>"412.93"</f>
        <v>412.93</v>
      </c>
      <c r="CG865" s="15" t="str">
        <f>"45.41"</f>
        <v>45.41</v>
      </c>
      <c r="CH865" s="15" t="str">
        <f>"1.286"</f>
        <v>1.286</v>
      </c>
      <c r="CI865" s="15" t="s">
        <v>465</v>
      </c>
      <c r="CZ865" s="15" t="s">
        <v>418</v>
      </c>
      <c r="DA865" s="15">
        <v>6.0</v>
      </c>
      <c r="DB865" s="15" t="s">
        <v>1185</v>
      </c>
      <c r="DD865" s="15">
        <v>0.0</v>
      </c>
      <c r="DF865" s="15" t="s">
        <v>420</v>
      </c>
      <c r="DG865" s="15" t="s">
        <v>421</v>
      </c>
      <c r="DK865" s="15">
        <v>0.0</v>
      </c>
      <c r="DL865" s="15">
        <v>0.0</v>
      </c>
      <c r="DR865" s="15" t="s">
        <v>422</v>
      </c>
      <c r="DS865" s="15" t="s">
        <v>8918</v>
      </c>
      <c r="DU865" s="15" t="s">
        <v>424</v>
      </c>
      <c r="EF865" s="15" t="s">
        <v>8919</v>
      </c>
      <c r="EU865" s="15" t="s">
        <v>426</v>
      </c>
      <c r="EV865" s="15">
        <v>0.0</v>
      </c>
      <c r="FQ865" s="15">
        <v>0.0</v>
      </c>
      <c r="FR865" s="15" t="s">
        <v>427</v>
      </c>
      <c r="FX865" s="15" t="s">
        <v>426</v>
      </c>
      <c r="FZ865" s="15" t="s">
        <v>2766</v>
      </c>
      <c r="GB865" s="15" t="s">
        <v>4127</v>
      </c>
      <c r="GD865" s="15" t="s">
        <v>8920</v>
      </c>
      <c r="GF865" s="15" t="s">
        <v>431</v>
      </c>
      <c r="GH865" s="15" t="s">
        <v>764</v>
      </c>
      <c r="GI865" s="15" t="s">
        <v>426</v>
      </c>
      <c r="KN865" s="15" t="s">
        <v>426</v>
      </c>
    </row>
    <row r="866" ht="17.25" customHeight="1">
      <c r="A866" s="15" t="s">
        <v>8923</v>
      </c>
      <c r="B866" s="15" t="str">
        <f>"801542074463"</f>
        <v>801542074463</v>
      </c>
      <c r="C866" s="15" t="s">
        <v>21879</v>
      </c>
      <c r="D866" s="15" t="str">
        <f t="shared" si="1"/>
        <v>Rowen ChairAlcala Fawn</v>
      </c>
      <c r="E866" s="15" t="s">
        <v>8921</v>
      </c>
      <c r="F866" s="15" t="s">
        <v>397</v>
      </c>
      <c r="G866" s="15" t="s">
        <v>1312</v>
      </c>
      <c r="J866" s="15" t="s">
        <v>1312</v>
      </c>
      <c r="K866" s="15" t="s">
        <v>2914</v>
      </c>
      <c r="L866" s="15" t="s">
        <v>7147</v>
      </c>
      <c r="M866" s="15" t="s">
        <v>1628</v>
      </c>
      <c r="N866" s="15" t="s">
        <v>706</v>
      </c>
      <c r="O866" s="15" t="s">
        <v>707</v>
      </c>
      <c r="P866" s="15" t="str">
        <f t="shared" ref="P866:P870" si="2541">"27.5"</f>
        <v>27.5</v>
      </c>
      <c r="Q866" s="15" t="str">
        <f t="shared" ref="Q866:Q870" si="2542">"32"</f>
        <v>32</v>
      </c>
      <c r="R866" s="15" t="str">
        <f t="shared" ref="R866:R870" si="2543">"31"</f>
        <v>31</v>
      </c>
      <c r="S866" s="15" t="str">
        <f t="shared" ref="S866:S870" si="2544">"35.27"</f>
        <v>35.27</v>
      </c>
      <c r="T866" s="15" t="s">
        <v>8925</v>
      </c>
      <c r="U866" s="15" t="s">
        <v>11356</v>
      </c>
      <c r="V866" s="15" t="s">
        <v>11574</v>
      </c>
      <c r="W866" s="15" t="s">
        <v>11575</v>
      </c>
      <c r="X866" s="15" t="s">
        <v>12535</v>
      </c>
      <c r="Y866" s="15" t="s">
        <v>11138</v>
      </c>
      <c r="AA866" s="15" t="s">
        <v>413</v>
      </c>
      <c r="AB866" s="15" t="s">
        <v>426</v>
      </c>
      <c r="AC866" s="15" t="s">
        <v>8926</v>
      </c>
      <c r="AD866" s="15" t="s">
        <v>21880</v>
      </c>
      <c r="AE866" s="15" t="s">
        <v>8924</v>
      </c>
      <c r="AF866" s="15" t="s">
        <v>21881</v>
      </c>
      <c r="AG866" s="15" t="s">
        <v>21882</v>
      </c>
      <c r="AH866" s="15" t="s">
        <v>21883</v>
      </c>
      <c r="AI866" s="15" t="s">
        <v>21884</v>
      </c>
      <c r="AJ866" s="15" t="s">
        <v>21885</v>
      </c>
      <c r="AK866" s="15" t="s">
        <v>21886</v>
      </c>
      <c r="AL866" s="15" t="s">
        <v>21887</v>
      </c>
      <c r="AM866" s="15" t="s">
        <v>21888</v>
      </c>
      <c r="AN866" s="15" t="s">
        <v>21889</v>
      </c>
      <c r="AO866" s="15" t="s">
        <v>21890</v>
      </c>
      <c r="AP866" s="15" t="s">
        <v>21891</v>
      </c>
      <c r="BH866" s="15" t="s">
        <v>8922</v>
      </c>
      <c r="BI866" s="15" t="str">
        <f t="shared" ref="BI866:BI867" si="2545">"1449"</f>
        <v>1449</v>
      </c>
      <c r="BJ866" s="15" t="str">
        <f t="shared" ref="BJ866:BJ867" si="2546">"610"</f>
        <v>610</v>
      </c>
      <c r="BK866" s="15" t="s">
        <v>709</v>
      </c>
      <c r="BL866" s="15" t="str">
        <f t="shared" si="2510"/>
        <v>1</v>
      </c>
      <c r="BM866" s="15" t="s">
        <v>416</v>
      </c>
      <c r="BN866" s="15" t="str">
        <f t="shared" ref="BN866:BN870" si="2547">"34.65"</f>
        <v>34.65</v>
      </c>
      <c r="BO866" s="15" t="str">
        <f t="shared" ref="BO866:BO870" si="2548">"30.31"</f>
        <v>30.31</v>
      </c>
      <c r="BP866" s="15" t="str">
        <f t="shared" ref="BP866:BP870" si="2549">"27.56"</f>
        <v>27.56</v>
      </c>
      <c r="BQ866" s="15" t="str">
        <f t="shared" ref="BQ866:BQ870" si="2550">"53.13"</f>
        <v>53.13</v>
      </c>
      <c r="CG866" s="15" t="str">
        <f t="shared" ref="CG866:CG870" si="2551">"16.74"</f>
        <v>16.74</v>
      </c>
      <c r="CH866" s="15" t="str">
        <f t="shared" ref="CH866:CH870" si="2552">"0.474"</f>
        <v>0.474</v>
      </c>
      <c r="CI866" s="15" t="s">
        <v>417</v>
      </c>
      <c r="CP866" s="15" t="s">
        <v>1806</v>
      </c>
      <c r="CQ866" s="15" t="s">
        <v>2116</v>
      </c>
      <c r="CR866" s="15" t="s">
        <v>2384</v>
      </c>
      <c r="CS866" s="15" t="s">
        <v>1331</v>
      </c>
      <c r="CT866" s="15" t="s">
        <v>1324</v>
      </c>
      <c r="CU866" s="15" t="s">
        <v>2384</v>
      </c>
      <c r="CV866" s="15">
        <v>0.0</v>
      </c>
      <c r="CW866" s="15">
        <v>1.0</v>
      </c>
      <c r="CX866" s="15" t="s">
        <v>717</v>
      </c>
      <c r="CY866" s="15" t="s">
        <v>855</v>
      </c>
      <c r="DC866" s="15" t="s">
        <v>3543</v>
      </c>
      <c r="DF866" s="15" t="s">
        <v>1111</v>
      </c>
      <c r="DG866" s="15" t="s">
        <v>419</v>
      </c>
      <c r="DH866" s="15">
        <v>0.0</v>
      </c>
      <c r="DL866" s="15">
        <v>25000.0</v>
      </c>
      <c r="DM866" s="15" t="s">
        <v>3384</v>
      </c>
      <c r="DN866" s="15" t="s">
        <v>723</v>
      </c>
      <c r="DO866" s="15" t="s">
        <v>724</v>
      </c>
      <c r="DP866" s="15">
        <v>1.0</v>
      </c>
      <c r="DQ866" s="15">
        <v>1.0</v>
      </c>
      <c r="DS866" s="15" t="s">
        <v>8928</v>
      </c>
      <c r="DT866" s="15">
        <v>0.0</v>
      </c>
      <c r="DU866" s="15" t="s">
        <v>726</v>
      </c>
      <c r="DV866" s="15" t="s">
        <v>525</v>
      </c>
      <c r="DW866" s="15" t="s">
        <v>1236</v>
      </c>
      <c r="DX866" s="15" t="s">
        <v>734</v>
      </c>
      <c r="EB866" s="15" t="s">
        <v>425</v>
      </c>
      <c r="EC866" s="15" t="s">
        <v>2116</v>
      </c>
      <c r="ED866" s="15" t="s">
        <v>1592</v>
      </c>
      <c r="EE866" s="15" t="s">
        <v>555</v>
      </c>
      <c r="EF866" s="15" t="s">
        <v>2402</v>
      </c>
      <c r="EG866" s="15" t="s">
        <v>2839</v>
      </c>
      <c r="EH866" s="15" t="s">
        <v>1806</v>
      </c>
      <c r="EI866" s="15" t="s">
        <v>429</v>
      </c>
      <c r="EL866" s="15" t="s">
        <v>723</v>
      </c>
      <c r="EM866" s="15" t="s">
        <v>724</v>
      </c>
      <c r="EN866" s="15" t="s">
        <v>2028</v>
      </c>
      <c r="EX866" s="15" t="s">
        <v>2384</v>
      </c>
      <c r="EY866" s="15" t="s">
        <v>2384</v>
      </c>
      <c r="EZ866" s="15">
        <v>0.0</v>
      </c>
      <c r="FA866" s="15">
        <v>0.0</v>
      </c>
      <c r="FC866" s="15">
        <v>0.0</v>
      </c>
    </row>
    <row r="867" ht="17.25" customHeight="1">
      <c r="A867" s="15" t="s">
        <v>8931</v>
      </c>
      <c r="B867" s="15" t="str">
        <f>"801542698621"</f>
        <v>801542698621</v>
      </c>
      <c r="C867" s="15" t="s">
        <v>21892</v>
      </c>
      <c r="D867" s="15" t="str">
        <f t="shared" si="1"/>
        <v>Rowen ChairFayette Cloud</v>
      </c>
      <c r="E867" s="15" t="s">
        <v>8921</v>
      </c>
      <c r="F867" s="15" t="s">
        <v>397</v>
      </c>
      <c r="G867" s="15" t="s">
        <v>8930</v>
      </c>
      <c r="J867" s="15" t="s">
        <v>8930</v>
      </c>
      <c r="K867" s="15" t="s">
        <v>2914</v>
      </c>
      <c r="L867" s="15" t="s">
        <v>2520</v>
      </c>
      <c r="M867" s="15" t="s">
        <v>1628</v>
      </c>
      <c r="N867" s="15" t="s">
        <v>706</v>
      </c>
      <c r="O867" s="15" t="s">
        <v>707</v>
      </c>
      <c r="P867" s="15" t="str">
        <f t="shared" si="2541"/>
        <v>27.5</v>
      </c>
      <c r="Q867" s="15" t="str">
        <f t="shared" si="2542"/>
        <v>32</v>
      </c>
      <c r="R867" s="15" t="str">
        <f t="shared" si="2543"/>
        <v>31</v>
      </c>
      <c r="S867" s="15" t="str">
        <f t="shared" si="2544"/>
        <v>35.27</v>
      </c>
      <c r="T867" s="15" t="s">
        <v>8933</v>
      </c>
      <c r="U867" s="15" t="s">
        <v>12131</v>
      </c>
      <c r="V867" s="15" t="s">
        <v>12132</v>
      </c>
      <c r="W867" s="15" t="s">
        <v>12535</v>
      </c>
      <c r="X867" s="15" t="s">
        <v>11338</v>
      </c>
      <c r="AA867" s="15" t="s">
        <v>426</v>
      </c>
      <c r="AB867" s="15" t="s">
        <v>426</v>
      </c>
      <c r="AC867" s="15" t="s">
        <v>8934</v>
      </c>
      <c r="AD867" s="15" t="s">
        <v>21893</v>
      </c>
      <c r="AE867" s="15" t="s">
        <v>8932</v>
      </c>
      <c r="AF867" s="15" t="s">
        <v>21894</v>
      </c>
      <c r="AG867" s="15" t="s">
        <v>21895</v>
      </c>
      <c r="AH867" s="15" t="s">
        <v>21896</v>
      </c>
      <c r="AI867" s="15" t="s">
        <v>21897</v>
      </c>
      <c r="AJ867" s="15" t="s">
        <v>21898</v>
      </c>
      <c r="AK867" s="15" t="s">
        <v>21899</v>
      </c>
      <c r="AL867" s="15" t="s">
        <v>21900</v>
      </c>
      <c r="AM867" s="15" t="s">
        <v>21901</v>
      </c>
      <c r="AN867" s="15" t="s">
        <v>21902</v>
      </c>
      <c r="BH867" s="15" t="s">
        <v>8929</v>
      </c>
      <c r="BI867" s="15" t="str">
        <f t="shared" si="2545"/>
        <v>1449</v>
      </c>
      <c r="BJ867" s="15" t="str">
        <f t="shared" si="2546"/>
        <v>610</v>
      </c>
      <c r="BK867" s="15" t="s">
        <v>709</v>
      </c>
      <c r="BL867" s="15" t="str">
        <f t="shared" si="2510"/>
        <v>1</v>
      </c>
      <c r="BM867" s="15" t="s">
        <v>416</v>
      </c>
      <c r="BN867" s="15" t="str">
        <f t="shared" si="2547"/>
        <v>34.65</v>
      </c>
      <c r="BO867" s="15" t="str">
        <f t="shared" si="2548"/>
        <v>30.31</v>
      </c>
      <c r="BP867" s="15" t="str">
        <f t="shared" si="2549"/>
        <v>27.56</v>
      </c>
      <c r="BQ867" s="15" t="str">
        <f t="shared" si="2550"/>
        <v>53.13</v>
      </c>
      <c r="CG867" s="15" t="str">
        <f t="shared" si="2551"/>
        <v>16.74</v>
      </c>
      <c r="CH867" s="15" t="str">
        <f t="shared" si="2552"/>
        <v>0.474</v>
      </c>
      <c r="CI867" s="15" t="s">
        <v>417</v>
      </c>
      <c r="CP867" s="15" t="s">
        <v>1806</v>
      </c>
      <c r="CQ867" s="15" t="s">
        <v>2116</v>
      </c>
      <c r="CR867" s="15" t="s">
        <v>2384</v>
      </c>
      <c r="CS867" s="15" t="s">
        <v>1331</v>
      </c>
      <c r="CT867" s="15" t="s">
        <v>1324</v>
      </c>
      <c r="CU867" s="15" t="s">
        <v>2384</v>
      </c>
      <c r="CV867" s="15">
        <v>0.0</v>
      </c>
      <c r="CW867" s="15">
        <v>1.0</v>
      </c>
      <c r="CX867" s="15" t="s">
        <v>717</v>
      </c>
      <c r="CY867" s="15" t="s">
        <v>855</v>
      </c>
      <c r="DC867" s="15" t="s">
        <v>3543</v>
      </c>
      <c r="DF867" s="15" t="s">
        <v>1111</v>
      </c>
      <c r="DG867" s="15" t="s">
        <v>419</v>
      </c>
      <c r="DH867" s="15">
        <v>0.0</v>
      </c>
      <c r="DL867" s="15">
        <v>25000.0</v>
      </c>
      <c r="DM867" s="15" t="s">
        <v>3384</v>
      </c>
      <c r="DN867" s="15" t="s">
        <v>723</v>
      </c>
      <c r="DO867" s="15" t="s">
        <v>724</v>
      </c>
      <c r="DP867" s="15">
        <v>1.0</v>
      </c>
      <c r="DQ867" s="15">
        <v>1.0</v>
      </c>
      <c r="DS867" s="15" t="s">
        <v>8928</v>
      </c>
      <c r="DT867" s="15">
        <v>0.0</v>
      </c>
      <c r="DU867" s="15" t="s">
        <v>726</v>
      </c>
      <c r="DV867" s="15" t="s">
        <v>525</v>
      </c>
      <c r="DW867" s="15" t="s">
        <v>1236</v>
      </c>
      <c r="DX867" s="15" t="s">
        <v>734</v>
      </c>
      <c r="EB867" s="15" t="s">
        <v>425</v>
      </c>
      <c r="EC867" s="15" t="s">
        <v>2116</v>
      </c>
      <c r="ED867" s="15" t="s">
        <v>1592</v>
      </c>
      <c r="EE867" s="15" t="s">
        <v>555</v>
      </c>
      <c r="EF867" s="15" t="s">
        <v>2402</v>
      </c>
      <c r="EG867" s="15" t="s">
        <v>2839</v>
      </c>
      <c r="EH867" s="15" t="s">
        <v>1806</v>
      </c>
      <c r="EI867" s="15" t="s">
        <v>429</v>
      </c>
      <c r="EL867" s="15" t="s">
        <v>723</v>
      </c>
      <c r="EM867" s="15" t="s">
        <v>724</v>
      </c>
      <c r="EN867" s="15" t="s">
        <v>2028</v>
      </c>
      <c r="EX867" s="15" t="s">
        <v>2384</v>
      </c>
      <c r="EY867" s="15" t="s">
        <v>2384</v>
      </c>
      <c r="EZ867" s="15">
        <v>0.0</v>
      </c>
      <c r="FA867" s="15">
        <v>0.0</v>
      </c>
      <c r="FC867" s="15">
        <v>0.0</v>
      </c>
    </row>
    <row r="868" ht="17.25" customHeight="1">
      <c r="A868" s="15" t="s">
        <v>8936</v>
      </c>
      <c r="B868" s="15" t="str">
        <f>"801542698638"</f>
        <v>801542698638</v>
      </c>
      <c r="C868" s="15" t="s">
        <v>21903</v>
      </c>
      <c r="D868" s="15" t="str">
        <f t="shared" si="1"/>
        <v>Rowen ChairPalermo Drift</v>
      </c>
      <c r="E868" s="15" t="s">
        <v>8921</v>
      </c>
      <c r="F868" s="15" t="s">
        <v>397</v>
      </c>
      <c r="G868" s="15" t="s">
        <v>1658</v>
      </c>
      <c r="J868" s="15" t="s">
        <v>1658</v>
      </c>
      <c r="K868" s="15" t="s">
        <v>2914</v>
      </c>
      <c r="L868" s="15" t="s">
        <v>1342</v>
      </c>
      <c r="M868" s="15" t="s">
        <v>1628</v>
      </c>
      <c r="N868" s="15" t="s">
        <v>706</v>
      </c>
      <c r="O868" s="15" t="s">
        <v>707</v>
      </c>
      <c r="P868" s="15" t="str">
        <f t="shared" si="2541"/>
        <v>27.5</v>
      </c>
      <c r="Q868" s="15" t="str">
        <f t="shared" si="2542"/>
        <v>32</v>
      </c>
      <c r="R868" s="15" t="str">
        <f t="shared" si="2543"/>
        <v>31</v>
      </c>
      <c r="S868" s="15" t="str">
        <f t="shared" si="2544"/>
        <v>35.27</v>
      </c>
      <c r="T868" s="15" t="s">
        <v>3312</v>
      </c>
      <c r="U868" s="15" t="s">
        <v>11137</v>
      </c>
      <c r="V868" s="15" t="s">
        <v>12535</v>
      </c>
      <c r="W868" s="15" t="s">
        <v>11138</v>
      </c>
      <c r="AA868" s="15" t="s">
        <v>413</v>
      </c>
      <c r="AB868" s="15" t="s">
        <v>413</v>
      </c>
      <c r="AC868" s="15" t="s">
        <v>8938</v>
      </c>
      <c r="AD868" s="15" t="s">
        <v>21904</v>
      </c>
      <c r="AE868" s="15" t="s">
        <v>8937</v>
      </c>
      <c r="AF868" s="15" t="s">
        <v>21905</v>
      </c>
      <c r="AG868" s="15" t="s">
        <v>21906</v>
      </c>
      <c r="AH868" s="15" t="s">
        <v>21907</v>
      </c>
      <c r="AI868" s="15" t="s">
        <v>21908</v>
      </c>
      <c r="AJ868" s="15" t="s">
        <v>21909</v>
      </c>
      <c r="AK868" s="15" t="s">
        <v>21910</v>
      </c>
      <c r="AL868" s="15" t="s">
        <v>21911</v>
      </c>
      <c r="AM868" s="15" t="s">
        <v>21912</v>
      </c>
      <c r="AN868" s="15" t="s">
        <v>21913</v>
      </c>
      <c r="BH868" s="15" t="s">
        <v>8935</v>
      </c>
      <c r="BI868" s="15" t="str">
        <f t="shared" ref="BI868:BI869" si="2553">"2299"</f>
        <v>2299</v>
      </c>
      <c r="BJ868" s="15" t="str">
        <f t="shared" ref="BJ868:BJ869" si="2554">"970"</f>
        <v>970</v>
      </c>
      <c r="BK868" s="15" t="s">
        <v>709</v>
      </c>
      <c r="BL868" s="15" t="str">
        <f t="shared" si="2510"/>
        <v>1</v>
      </c>
      <c r="BM868" s="15" t="s">
        <v>416</v>
      </c>
      <c r="BN868" s="15" t="str">
        <f t="shared" si="2547"/>
        <v>34.65</v>
      </c>
      <c r="BO868" s="15" t="str">
        <f t="shared" si="2548"/>
        <v>30.31</v>
      </c>
      <c r="BP868" s="15" t="str">
        <f t="shared" si="2549"/>
        <v>27.56</v>
      </c>
      <c r="BQ868" s="15" t="str">
        <f t="shared" si="2550"/>
        <v>53.13</v>
      </c>
      <c r="CG868" s="15" t="str">
        <f t="shared" si="2551"/>
        <v>16.74</v>
      </c>
      <c r="CH868" s="15" t="str">
        <f t="shared" si="2552"/>
        <v>0.474</v>
      </c>
      <c r="CI868" s="15" t="s">
        <v>465</v>
      </c>
      <c r="CP868" s="15" t="s">
        <v>1806</v>
      </c>
      <c r="CQ868" s="15" t="s">
        <v>2116</v>
      </c>
      <c r="CR868" s="15" t="s">
        <v>2384</v>
      </c>
      <c r="CS868" s="15" t="s">
        <v>1331</v>
      </c>
      <c r="CT868" s="15" t="s">
        <v>1324</v>
      </c>
      <c r="CU868" s="15" t="s">
        <v>2384</v>
      </c>
      <c r="CV868" s="15">
        <v>0.0</v>
      </c>
      <c r="CW868" s="15">
        <v>1.0</v>
      </c>
      <c r="CX868" s="15" t="s">
        <v>717</v>
      </c>
      <c r="CY868" s="15" t="s">
        <v>718</v>
      </c>
      <c r="DC868" s="15" t="s">
        <v>3543</v>
      </c>
      <c r="DF868" s="15" t="s">
        <v>1111</v>
      </c>
      <c r="DG868" s="15" t="s">
        <v>419</v>
      </c>
      <c r="DH868" s="15">
        <v>0.0</v>
      </c>
      <c r="DL868" s="15">
        <v>0.0</v>
      </c>
      <c r="DM868" s="15" t="s">
        <v>3384</v>
      </c>
      <c r="DN868" s="15" t="s">
        <v>723</v>
      </c>
      <c r="DO868" s="15" t="s">
        <v>724</v>
      </c>
      <c r="DP868" s="15">
        <v>1.0</v>
      </c>
      <c r="DQ868" s="15">
        <v>1.0</v>
      </c>
      <c r="DS868" s="15" t="s">
        <v>8928</v>
      </c>
      <c r="DT868" s="15">
        <v>0.0</v>
      </c>
      <c r="DU868" s="15" t="s">
        <v>726</v>
      </c>
      <c r="DV868" s="15" t="s">
        <v>525</v>
      </c>
      <c r="DW868" s="15" t="s">
        <v>1236</v>
      </c>
      <c r="DX868" s="15" t="s">
        <v>734</v>
      </c>
      <c r="EB868" s="15" t="s">
        <v>425</v>
      </c>
      <c r="EC868" s="15" t="s">
        <v>2116</v>
      </c>
      <c r="ED868" s="15" t="s">
        <v>1592</v>
      </c>
      <c r="EE868" s="15" t="s">
        <v>555</v>
      </c>
      <c r="EF868" s="15" t="s">
        <v>2402</v>
      </c>
      <c r="EG868" s="15" t="s">
        <v>2839</v>
      </c>
      <c r="EH868" s="15" t="s">
        <v>1806</v>
      </c>
      <c r="EI868" s="15" t="s">
        <v>429</v>
      </c>
      <c r="EL868" s="15" t="s">
        <v>723</v>
      </c>
      <c r="EM868" s="15" t="s">
        <v>724</v>
      </c>
      <c r="EN868" s="15" t="s">
        <v>2028</v>
      </c>
      <c r="EX868" s="15" t="s">
        <v>2384</v>
      </c>
      <c r="EY868" s="15" t="s">
        <v>2384</v>
      </c>
      <c r="EZ868" s="15">
        <v>0.0</v>
      </c>
      <c r="FA868" s="15">
        <v>0.0</v>
      </c>
      <c r="FC868" s="15">
        <v>0.0</v>
      </c>
    </row>
    <row r="869" ht="17.25" customHeight="1">
      <c r="A869" s="15" t="s">
        <v>8940</v>
      </c>
      <c r="B869" s="15" t="str">
        <f>"801542698645"</f>
        <v>801542698645</v>
      </c>
      <c r="C869" s="15" t="s">
        <v>21914</v>
      </c>
      <c r="D869" s="15" t="str">
        <f t="shared" si="1"/>
        <v>Rowen ChairSonoma Black</v>
      </c>
      <c r="E869" s="15" t="s">
        <v>8921</v>
      </c>
      <c r="F869" s="15" t="s">
        <v>397</v>
      </c>
      <c r="G869" s="15" t="s">
        <v>4231</v>
      </c>
      <c r="J869" s="15" t="s">
        <v>4231</v>
      </c>
      <c r="K869" s="15" t="s">
        <v>2914</v>
      </c>
      <c r="L869" s="15" t="s">
        <v>2520</v>
      </c>
      <c r="M869" s="15" t="s">
        <v>1628</v>
      </c>
      <c r="N869" s="15" t="s">
        <v>706</v>
      </c>
      <c r="O869" s="15" t="s">
        <v>707</v>
      </c>
      <c r="P869" s="15" t="str">
        <f t="shared" si="2541"/>
        <v>27.5</v>
      </c>
      <c r="Q869" s="15" t="str">
        <f t="shared" si="2542"/>
        <v>32</v>
      </c>
      <c r="R869" s="15" t="str">
        <f t="shared" si="2543"/>
        <v>31</v>
      </c>
      <c r="S869" s="15" t="str">
        <f t="shared" si="2544"/>
        <v>35.27</v>
      </c>
      <c r="T869" s="15" t="s">
        <v>8942</v>
      </c>
      <c r="U869" s="15" t="s">
        <v>11137</v>
      </c>
      <c r="V869" s="15" t="s">
        <v>12535</v>
      </c>
      <c r="W869" s="15" t="s">
        <v>11338</v>
      </c>
      <c r="AA869" s="15" t="s">
        <v>413</v>
      </c>
      <c r="AB869" s="15" t="s">
        <v>413</v>
      </c>
      <c r="AC869" s="15" t="s">
        <v>8943</v>
      </c>
      <c r="AD869" s="15" t="s">
        <v>21915</v>
      </c>
      <c r="AE869" s="15" t="s">
        <v>8941</v>
      </c>
      <c r="AF869" s="15" t="s">
        <v>21916</v>
      </c>
      <c r="AG869" s="15" t="s">
        <v>21917</v>
      </c>
      <c r="AH869" s="15" t="s">
        <v>21918</v>
      </c>
      <c r="AI869" s="15" t="s">
        <v>21919</v>
      </c>
      <c r="AJ869" s="15" t="s">
        <v>21920</v>
      </c>
      <c r="AK869" s="15" t="s">
        <v>21921</v>
      </c>
      <c r="AL869" s="15" t="s">
        <v>21922</v>
      </c>
      <c r="AM869" s="15" t="s">
        <v>21923</v>
      </c>
      <c r="AN869" s="15" t="s">
        <v>21924</v>
      </c>
      <c r="AO869" s="15" t="s">
        <v>21925</v>
      </c>
      <c r="AP869" s="15" t="s">
        <v>21926</v>
      </c>
      <c r="AQ869" s="15" t="s">
        <v>21927</v>
      </c>
      <c r="BH869" s="15" t="s">
        <v>8939</v>
      </c>
      <c r="BI869" s="15" t="str">
        <f t="shared" si="2553"/>
        <v>2299</v>
      </c>
      <c r="BJ869" s="15" t="str">
        <f t="shared" si="2554"/>
        <v>970</v>
      </c>
      <c r="BK869" s="15" t="s">
        <v>709</v>
      </c>
      <c r="BL869" s="15" t="str">
        <f t="shared" si="2510"/>
        <v>1</v>
      </c>
      <c r="BM869" s="15" t="s">
        <v>416</v>
      </c>
      <c r="BN869" s="15" t="str">
        <f t="shared" si="2547"/>
        <v>34.65</v>
      </c>
      <c r="BO869" s="15" t="str">
        <f t="shared" si="2548"/>
        <v>30.31</v>
      </c>
      <c r="BP869" s="15" t="str">
        <f t="shared" si="2549"/>
        <v>27.56</v>
      </c>
      <c r="BQ869" s="15" t="str">
        <f t="shared" si="2550"/>
        <v>53.13</v>
      </c>
      <c r="CG869" s="15" t="str">
        <f t="shared" si="2551"/>
        <v>16.74</v>
      </c>
      <c r="CH869" s="15" t="str">
        <f t="shared" si="2552"/>
        <v>0.474</v>
      </c>
      <c r="CI869" s="15" t="s">
        <v>417</v>
      </c>
      <c r="CP869" s="15" t="s">
        <v>1806</v>
      </c>
      <c r="CQ869" s="15" t="s">
        <v>2116</v>
      </c>
      <c r="CR869" s="15" t="s">
        <v>2384</v>
      </c>
      <c r="CS869" s="15" t="s">
        <v>1331</v>
      </c>
      <c r="CT869" s="15" t="s">
        <v>1324</v>
      </c>
      <c r="CU869" s="15" t="s">
        <v>2384</v>
      </c>
      <c r="CV869" s="15">
        <v>0.0</v>
      </c>
      <c r="CW869" s="15">
        <v>1.0</v>
      </c>
      <c r="CX869" s="15" t="s">
        <v>717</v>
      </c>
      <c r="CY869" s="15" t="s">
        <v>718</v>
      </c>
      <c r="DC869" s="15" t="s">
        <v>3543</v>
      </c>
      <c r="DF869" s="15" t="s">
        <v>1111</v>
      </c>
      <c r="DG869" s="15" t="s">
        <v>419</v>
      </c>
      <c r="DH869" s="15">
        <v>0.0</v>
      </c>
      <c r="DL869" s="15">
        <v>0.0</v>
      </c>
      <c r="DM869" s="15" t="s">
        <v>3384</v>
      </c>
      <c r="DN869" s="15" t="s">
        <v>723</v>
      </c>
      <c r="DO869" s="15" t="s">
        <v>724</v>
      </c>
      <c r="DP869" s="15">
        <v>1.0</v>
      </c>
      <c r="DQ869" s="15">
        <v>1.0</v>
      </c>
      <c r="DS869" s="15" t="s">
        <v>8928</v>
      </c>
      <c r="DT869" s="15">
        <v>0.0</v>
      </c>
      <c r="DU869" s="15" t="s">
        <v>726</v>
      </c>
      <c r="DV869" s="15" t="s">
        <v>525</v>
      </c>
      <c r="DW869" s="15" t="s">
        <v>1236</v>
      </c>
      <c r="DX869" s="15" t="s">
        <v>734</v>
      </c>
      <c r="EB869" s="15" t="s">
        <v>425</v>
      </c>
      <c r="EC869" s="15" t="s">
        <v>2116</v>
      </c>
      <c r="ED869" s="15" t="s">
        <v>1592</v>
      </c>
      <c r="EE869" s="15" t="s">
        <v>555</v>
      </c>
      <c r="EF869" s="15" t="s">
        <v>2402</v>
      </c>
      <c r="EG869" s="15" t="s">
        <v>2839</v>
      </c>
      <c r="EH869" s="15" t="s">
        <v>1806</v>
      </c>
      <c r="EI869" s="15" t="s">
        <v>429</v>
      </c>
      <c r="EL869" s="15" t="s">
        <v>723</v>
      </c>
      <c r="EM869" s="15" t="s">
        <v>724</v>
      </c>
      <c r="EN869" s="15" t="s">
        <v>2028</v>
      </c>
      <c r="EX869" s="15" t="s">
        <v>2384</v>
      </c>
      <c r="EY869" s="15" t="s">
        <v>2384</v>
      </c>
      <c r="EZ869" s="15">
        <v>0.0</v>
      </c>
      <c r="FA869" s="15">
        <v>0.0</v>
      </c>
      <c r="FC869" s="15">
        <v>0.0</v>
      </c>
    </row>
    <row r="870" ht="17.25" customHeight="1">
      <c r="A870" s="15" t="s">
        <v>8945</v>
      </c>
      <c r="B870" s="15" t="str">
        <f>"801542698652"</f>
        <v>801542698652</v>
      </c>
      <c r="C870" s="15" t="s">
        <v>21928</v>
      </c>
      <c r="D870" s="15" t="str">
        <f t="shared" si="1"/>
        <v>Rowen ChairThames Raven</v>
      </c>
      <c r="E870" s="15" t="s">
        <v>8921</v>
      </c>
      <c r="F870" s="15" t="s">
        <v>397</v>
      </c>
      <c r="G870" s="15" t="s">
        <v>3315</v>
      </c>
      <c r="J870" s="15" t="s">
        <v>3315</v>
      </c>
      <c r="K870" s="15" t="s">
        <v>2914</v>
      </c>
      <c r="L870" s="15" t="s">
        <v>2520</v>
      </c>
      <c r="M870" s="15" t="s">
        <v>1628</v>
      </c>
      <c r="N870" s="15" t="s">
        <v>706</v>
      </c>
      <c r="O870" s="15" t="s">
        <v>707</v>
      </c>
      <c r="P870" s="15" t="str">
        <f t="shared" si="2541"/>
        <v>27.5</v>
      </c>
      <c r="Q870" s="15" t="str">
        <f t="shared" si="2542"/>
        <v>32</v>
      </c>
      <c r="R870" s="15" t="str">
        <f t="shared" si="2543"/>
        <v>31</v>
      </c>
      <c r="S870" s="15" t="str">
        <f t="shared" si="2544"/>
        <v>35.27</v>
      </c>
      <c r="T870" s="15" t="s">
        <v>3319</v>
      </c>
      <c r="U870" s="15" t="s">
        <v>11537</v>
      </c>
      <c r="V870" s="15" t="s">
        <v>11538</v>
      </c>
      <c r="W870" s="15" t="s">
        <v>11539</v>
      </c>
      <c r="X870" s="15" t="s">
        <v>12535</v>
      </c>
      <c r="Y870" s="15" t="s">
        <v>11338</v>
      </c>
      <c r="AA870" s="15" t="s">
        <v>426</v>
      </c>
      <c r="AB870" s="15" t="s">
        <v>426</v>
      </c>
      <c r="AC870" s="15" t="s">
        <v>8947</v>
      </c>
      <c r="AD870" s="15" t="s">
        <v>21929</v>
      </c>
      <c r="AE870" s="15" t="s">
        <v>8946</v>
      </c>
      <c r="AF870" s="15" t="s">
        <v>21930</v>
      </c>
      <c r="AG870" s="15" t="s">
        <v>21931</v>
      </c>
      <c r="AH870" s="15" t="s">
        <v>21932</v>
      </c>
      <c r="AI870" s="15" t="s">
        <v>21933</v>
      </c>
      <c r="AJ870" s="15" t="s">
        <v>21934</v>
      </c>
      <c r="AK870" s="15" t="s">
        <v>21935</v>
      </c>
      <c r="AL870" s="15" t="s">
        <v>21936</v>
      </c>
      <c r="AM870" s="15" t="s">
        <v>21937</v>
      </c>
      <c r="AN870" s="15" t="s">
        <v>21938</v>
      </c>
      <c r="AO870" s="15" t="s">
        <v>21939</v>
      </c>
      <c r="AP870" s="15" t="s">
        <v>21940</v>
      </c>
      <c r="AQ870" s="15" t="s">
        <v>21941</v>
      </c>
      <c r="AR870" s="15" t="s">
        <v>21942</v>
      </c>
      <c r="BH870" s="15" t="s">
        <v>8944</v>
      </c>
      <c r="BI870" s="15" t="str">
        <f>"1449"</f>
        <v>1449</v>
      </c>
      <c r="BJ870" s="15" t="str">
        <f>"610"</f>
        <v>610</v>
      </c>
      <c r="BK870" s="15" t="s">
        <v>709</v>
      </c>
      <c r="BL870" s="15" t="str">
        <f t="shared" si="2510"/>
        <v>1</v>
      </c>
      <c r="BM870" s="15" t="s">
        <v>416</v>
      </c>
      <c r="BN870" s="15" t="str">
        <f t="shared" si="2547"/>
        <v>34.65</v>
      </c>
      <c r="BO870" s="15" t="str">
        <f t="shared" si="2548"/>
        <v>30.31</v>
      </c>
      <c r="BP870" s="15" t="str">
        <f t="shared" si="2549"/>
        <v>27.56</v>
      </c>
      <c r="BQ870" s="15" t="str">
        <f t="shared" si="2550"/>
        <v>53.13</v>
      </c>
      <c r="CG870" s="15" t="str">
        <f t="shared" si="2551"/>
        <v>16.74</v>
      </c>
      <c r="CH870" s="15" t="str">
        <f t="shared" si="2552"/>
        <v>0.474</v>
      </c>
      <c r="CI870" s="15" t="s">
        <v>497</v>
      </c>
      <c r="CP870" s="15" t="s">
        <v>1806</v>
      </c>
      <c r="CQ870" s="15" t="s">
        <v>2116</v>
      </c>
      <c r="CR870" s="15" t="s">
        <v>2384</v>
      </c>
      <c r="CS870" s="15" t="s">
        <v>1331</v>
      </c>
      <c r="CT870" s="15" t="s">
        <v>1324</v>
      </c>
      <c r="CU870" s="15" t="s">
        <v>2384</v>
      </c>
      <c r="CV870" s="15">
        <v>0.0</v>
      </c>
      <c r="CW870" s="15">
        <v>1.0</v>
      </c>
      <c r="CX870" s="15" t="s">
        <v>717</v>
      </c>
      <c r="CY870" s="15" t="s">
        <v>855</v>
      </c>
      <c r="DC870" s="15" t="s">
        <v>3543</v>
      </c>
      <c r="DF870" s="15" t="s">
        <v>1111</v>
      </c>
      <c r="DG870" s="15" t="s">
        <v>419</v>
      </c>
      <c r="DH870" s="15">
        <v>0.0</v>
      </c>
      <c r="DL870" s="15">
        <v>25000.0</v>
      </c>
      <c r="DM870" s="15" t="s">
        <v>3384</v>
      </c>
      <c r="DN870" s="15" t="s">
        <v>723</v>
      </c>
      <c r="DO870" s="15" t="s">
        <v>724</v>
      </c>
      <c r="DP870" s="15">
        <v>1.0</v>
      </c>
      <c r="DQ870" s="15">
        <v>1.0</v>
      </c>
      <c r="DS870" s="15" t="s">
        <v>8928</v>
      </c>
      <c r="DT870" s="15">
        <v>0.0</v>
      </c>
      <c r="DU870" s="15" t="s">
        <v>726</v>
      </c>
      <c r="DV870" s="15" t="s">
        <v>525</v>
      </c>
      <c r="DW870" s="15" t="s">
        <v>1236</v>
      </c>
      <c r="DX870" s="15" t="s">
        <v>734</v>
      </c>
      <c r="EB870" s="15" t="s">
        <v>425</v>
      </c>
      <c r="EC870" s="15" t="s">
        <v>2116</v>
      </c>
      <c r="ED870" s="15" t="s">
        <v>1592</v>
      </c>
      <c r="EE870" s="15" t="s">
        <v>555</v>
      </c>
      <c r="EF870" s="15" t="s">
        <v>2402</v>
      </c>
      <c r="EG870" s="15" t="s">
        <v>2839</v>
      </c>
      <c r="EH870" s="15" t="s">
        <v>1806</v>
      </c>
      <c r="EI870" s="15" t="s">
        <v>429</v>
      </c>
      <c r="EL870" s="15" t="s">
        <v>723</v>
      </c>
      <c r="EM870" s="15" t="s">
        <v>724</v>
      </c>
      <c r="EN870" s="15" t="s">
        <v>2028</v>
      </c>
      <c r="EX870" s="15" t="s">
        <v>2384</v>
      </c>
      <c r="EY870" s="15" t="s">
        <v>2384</v>
      </c>
      <c r="EZ870" s="15">
        <v>0.0</v>
      </c>
      <c r="FA870" s="15">
        <v>0.0</v>
      </c>
      <c r="FC870" s="15">
        <v>0.0</v>
      </c>
    </row>
    <row r="871" ht="17.25" customHeight="1">
      <c r="A871" s="15" t="s">
        <v>8950</v>
      </c>
      <c r="B871" s="15" t="str">
        <f>"801542316747"</f>
        <v>801542316747</v>
      </c>
      <c r="C871" s="15" t="s">
        <v>21943</v>
      </c>
      <c r="D871" s="15" t="str">
        <f t="shared" si="1"/>
        <v>Russ DresserAged Oak Veneer</v>
      </c>
      <c r="E871" s="15" t="s">
        <v>8948</v>
      </c>
      <c r="F871" s="15" t="s">
        <v>397</v>
      </c>
      <c r="G871" s="15" t="s">
        <v>7153</v>
      </c>
      <c r="J871" s="15" t="s">
        <v>7153</v>
      </c>
      <c r="M871" s="15" t="s">
        <v>2063</v>
      </c>
      <c r="N871" s="15" t="s">
        <v>412</v>
      </c>
      <c r="P871" s="15" t="str">
        <f>"72"</f>
        <v>72</v>
      </c>
      <c r="Q871" s="15" t="str">
        <f t="shared" ref="Q871:Q872" si="2555">"21"</f>
        <v>21</v>
      </c>
      <c r="R871" s="15" t="str">
        <f>"38.75"</f>
        <v>38.75</v>
      </c>
      <c r="S871" s="15" t="str">
        <f>"281.089"</f>
        <v>281.089</v>
      </c>
      <c r="T871" s="15" t="s">
        <v>2354</v>
      </c>
      <c r="U871" s="15" t="s">
        <v>11553</v>
      </c>
      <c r="V871" s="15" t="s">
        <v>11338</v>
      </c>
      <c r="AA871" s="15" t="s">
        <v>413</v>
      </c>
      <c r="AB871" s="15" t="s">
        <v>413</v>
      </c>
      <c r="AC871" s="15" t="s">
        <v>8953</v>
      </c>
      <c r="AD871" s="15" t="s">
        <v>21944</v>
      </c>
      <c r="AE871" s="15" t="s">
        <v>8952</v>
      </c>
      <c r="AF871" s="15" t="s">
        <v>21945</v>
      </c>
      <c r="AG871" s="15" t="s">
        <v>21946</v>
      </c>
      <c r="AH871" s="15" t="s">
        <v>21947</v>
      </c>
      <c r="AI871" s="15" t="s">
        <v>21948</v>
      </c>
      <c r="AJ871" s="15" t="s">
        <v>21949</v>
      </c>
      <c r="AK871" s="15" t="s">
        <v>21950</v>
      </c>
      <c r="AL871" s="15" t="s">
        <v>21951</v>
      </c>
      <c r="AM871" s="15" t="s">
        <v>21952</v>
      </c>
      <c r="AN871" s="15" t="s">
        <v>21953</v>
      </c>
      <c r="AO871" s="15" t="s">
        <v>21954</v>
      </c>
      <c r="AP871" s="15" t="s">
        <v>21955</v>
      </c>
      <c r="AQ871" s="15" t="s">
        <v>21956</v>
      </c>
      <c r="AR871" s="15" t="s">
        <v>21957</v>
      </c>
      <c r="AS871" s="15" t="s">
        <v>21958</v>
      </c>
      <c r="BH871" s="15" t="s">
        <v>8949</v>
      </c>
      <c r="BI871" s="15" t="str">
        <f>"2599"</f>
        <v>2599</v>
      </c>
      <c r="BJ871" s="15" t="str">
        <f>"1095"</f>
        <v>1095</v>
      </c>
      <c r="BK871" s="15" t="s">
        <v>742</v>
      </c>
      <c r="BL871" s="15" t="str">
        <f t="shared" si="2510"/>
        <v>1</v>
      </c>
      <c r="BM871" s="15" t="s">
        <v>8948</v>
      </c>
      <c r="BN871" s="15" t="str">
        <f>"76.18"</f>
        <v>76.18</v>
      </c>
      <c r="BO871" s="15" t="str">
        <f>"25"</f>
        <v>25</v>
      </c>
      <c r="BP871" s="15" t="str">
        <f>"51.77"</f>
        <v>51.77</v>
      </c>
      <c r="BQ871" s="15" t="str">
        <f>"358.25"</f>
        <v>358.25</v>
      </c>
      <c r="CG871" s="15" t="str">
        <f>"57.07"</f>
        <v>57.07</v>
      </c>
      <c r="CH871" s="15" t="str">
        <f>"1.616"</f>
        <v>1.616</v>
      </c>
      <c r="CI871" s="15" t="s">
        <v>497</v>
      </c>
      <c r="CZ871" s="15" t="s">
        <v>419</v>
      </c>
      <c r="DA871" s="15">
        <v>7.0</v>
      </c>
      <c r="DB871" s="15" t="s">
        <v>419</v>
      </c>
      <c r="DD871" s="15">
        <v>0.0</v>
      </c>
      <c r="DF871" s="15" t="s">
        <v>1186</v>
      </c>
      <c r="DG871" s="15" t="s">
        <v>421</v>
      </c>
      <c r="DK871" s="15">
        <v>0.0</v>
      </c>
      <c r="DR871" s="15" t="s">
        <v>422</v>
      </c>
      <c r="DS871" s="15" t="s">
        <v>8956</v>
      </c>
      <c r="DU871" s="15" t="s">
        <v>424</v>
      </c>
      <c r="EF871" s="15" t="s">
        <v>429</v>
      </c>
      <c r="EU871" s="15" t="s">
        <v>426</v>
      </c>
      <c r="EV871" s="15">
        <v>0.0</v>
      </c>
      <c r="FQ871" s="15">
        <v>0.0</v>
      </c>
      <c r="FR871" s="15" t="s">
        <v>427</v>
      </c>
      <c r="FZ871" s="15" t="s">
        <v>2161</v>
      </c>
      <c r="GA871" s="15" t="s">
        <v>2161</v>
      </c>
      <c r="GB871" s="15" t="s">
        <v>7750</v>
      </c>
      <c r="GC871" s="15" t="s">
        <v>6046</v>
      </c>
      <c r="GD871" s="15" t="s">
        <v>716</v>
      </c>
      <c r="GE871" s="15" t="s">
        <v>8957</v>
      </c>
    </row>
    <row r="872" ht="17.25" customHeight="1">
      <c r="A872" s="15" t="s">
        <v>8961</v>
      </c>
      <c r="B872" s="15" t="str">
        <f>"801542316754"</f>
        <v>801542316754</v>
      </c>
      <c r="C872" s="15" t="s">
        <v>21959</v>
      </c>
      <c r="D872" s="15" t="str">
        <f t="shared" si="1"/>
        <v>Russ NightstandAged Oak</v>
      </c>
      <c r="E872" s="15" t="s">
        <v>8958</v>
      </c>
      <c r="F872" s="15" t="s">
        <v>397</v>
      </c>
      <c r="G872" s="15" t="s">
        <v>8960</v>
      </c>
      <c r="J872" s="15" t="s">
        <v>8960</v>
      </c>
      <c r="K872" s="15" t="s">
        <v>7153</v>
      </c>
      <c r="M872" s="15" t="s">
        <v>2063</v>
      </c>
      <c r="N872" s="15" t="s">
        <v>628</v>
      </c>
      <c r="P872" s="15" t="str">
        <f>"36"</f>
        <v>36</v>
      </c>
      <c r="Q872" s="15" t="str">
        <f t="shared" si="2555"/>
        <v>21</v>
      </c>
      <c r="R872" s="15" t="str">
        <f>"26.5"</f>
        <v>26.5</v>
      </c>
      <c r="S872" s="15" t="str">
        <f>"111.33"</f>
        <v>111.33</v>
      </c>
      <c r="T872" s="15" t="s">
        <v>1532</v>
      </c>
      <c r="U872" s="15" t="s">
        <v>11338</v>
      </c>
      <c r="V872" s="15" t="s">
        <v>11553</v>
      </c>
      <c r="AA872" s="15" t="s">
        <v>413</v>
      </c>
      <c r="AB872" s="15" t="s">
        <v>413</v>
      </c>
      <c r="AC872" s="15" t="s">
        <v>8964</v>
      </c>
      <c r="AD872" s="15" t="s">
        <v>21960</v>
      </c>
      <c r="AE872" s="15" t="s">
        <v>8963</v>
      </c>
      <c r="AF872" s="15" t="s">
        <v>21961</v>
      </c>
      <c r="AG872" s="15" t="s">
        <v>21962</v>
      </c>
      <c r="AH872" s="15" t="s">
        <v>21963</v>
      </c>
      <c r="AI872" s="15" t="s">
        <v>21964</v>
      </c>
      <c r="AJ872" s="15" t="s">
        <v>21965</v>
      </c>
      <c r="AK872" s="15" t="s">
        <v>21966</v>
      </c>
      <c r="AL872" s="15" t="s">
        <v>21967</v>
      </c>
      <c r="AM872" s="15" t="s">
        <v>21968</v>
      </c>
      <c r="AN872" s="15" t="s">
        <v>21969</v>
      </c>
      <c r="AO872" s="15" t="s">
        <v>21970</v>
      </c>
      <c r="AP872" s="15" t="s">
        <v>21971</v>
      </c>
      <c r="AQ872" s="15" t="s">
        <v>21972</v>
      </c>
      <c r="AR872" s="15" t="s">
        <v>21973</v>
      </c>
      <c r="AS872" s="15" t="s">
        <v>21974</v>
      </c>
      <c r="AT872" s="15" t="s">
        <v>21975</v>
      </c>
      <c r="AU872" s="15" t="s">
        <v>21976</v>
      </c>
      <c r="BH872" s="15" t="s">
        <v>8959</v>
      </c>
      <c r="BI872" s="15" t="str">
        <f>"1049"</f>
        <v>1049</v>
      </c>
      <c r="BJ872" s="15" t="str">
        <f>"445"</f>
        <v>445</v>
      </c>
      <c r="BK872" s="15" t="s">
        <v>742</v>
      </c>
      <c r="BL872" s="15" t="str">
        <f t="shared" si="2510"/>
        <v>1</v>
      </c>
      <c r="BM872" s="15" t="s">
        <v>8958</v>
      </c>
      <c r="BN872" s="15" t="str">
        <f>"39.96"</f>
        <v>39.96</v>
      </c>
      <c r="BO872" s="15" t="str">
        <f>"24.8"</f>
        <v>24.8</v>
      </c>
      <c r="BP872" s="15" t="str">
        <f>"32.09"</f>
        <v>32.09</v>
      </c>
      <c r="BQ872" s="15" t="str">
        <f>"143.3"</f>
        <v>143.3</v>
      </c>
      <c r="CG872" s="15" t="str">
        <f>"18.4"</f>
        <v>18.4</v>
      </c>
      <c r="CH872" s="15" t="str">
        <f>"0.521"</f>
        <v>0.521</v>
      </c>
      <c r="CI872" s="15" t="s">
        <v>465</v>
      </c>
      <c r="CZ872" s="15" t="s">
        <v>418</v>
      </c>
      <c r="DA872" s="15">
        <v>2.0</v>
      </c>
      <c r="DB872" s="15" t="s">
        <v>419</v>
      </c>
      <c r="DD872" s="15">
        <v>0.0</v>
      </c>
      <c r="DF872" s="15" t="s">
        <v>1186</v>
      </c>
      <c r="DG872" s="15" t="s">
        <v>421</v>
      </c>
      <c r="DK872" s="15">
        <v>0.0</v>
      </c>
      <c r="DR872" s="15" t="s">
        <v>471</v>
      </c>
      <c r="DS872" s="15" t="s">
        <v>8956</v>
      </c>
      <c r="DU872" s="15" t="s">
        <v>500</v>
      </c>
      <c r="EF872" s="15" t="s">
        <v>429</v>
      </c>
      <c r="EU872" s="15" t="s">
        <v>426</v>
      </c>
      <c r="EV872" s="15">
        <v>0.0</v>
      </c>
      <c r="FQ872" s="15">
        <v>0.0</v>
      </c>
      <c r="FR872" s="15" t="s">
        <v>427</v>
      </c>
      <c r="FX872" s="15" t="s">
        <v>426</v>
      </c>
      <c r="FZ872" s="15" t="s">
        <v>2161</v>
      </c>
      <c r="GB872" s="15" t="s">
        <v>8965</v>
      </c>
      <c r="GD872" s="15" t="s">
        <v>8489</v>
      </c>
      <c r="GF872" s="15" t="s">
        <v>838</v>
      </c>
    </row>
    <row r="873" ht="17.25" customHeight="1">
      <c r="A873" s="15" t="s">
        <v>8969</v>
      </c>
      <c r="B873" s="15" t="str">
        <f>"801542061722"</f>
        <v>801542061722</v>
      </c>
      <c r="C873" s="15" t="s">
        <v>21977</v>
      </c>
      <c r="D873" s="15" t="str">
        <f t="shared" si="1"/>
        <v>Rutherford End TableReclaimed Ashen Brown</v>
      </c>
      <c r="E873" s="15" t="s">
        <v>8966</v>
      </c>
      <c r="F873" s="15" t="s">
        <v>397</v>
      </c>
      <c r="G873" s="15" t="s">
        <v>8968</v>
      </c>
      <c r="J873" s="15" t="s">
        <v>8968</v>
      </c>
      <c r="M873" s="15" t="s">
        <v>2677</v>
      </c>
      <c r="N873" s="15" t="s">
        <v>1154</v>
      </c>
      <c r="P873" s="15" t="str">
        <f t="shared" ref="P873:Q873" si="2556">"22"</f>
        <v>22</v>
      </c>
      <c r="Q873" s="15" t="str">
        <f t="shared" si="2556"/>
        <v>22</v>
      </c>
      <c r="R873" s="15" t="str">
        <f>"21"</f>
        <v>21</v>
      </c>
      <c r="S873" s="15" t="str">
        <f>"36.59"</f>
        <v>36.59</v>
      </c>
      <c r="T873" s="15" t="s">
        <v>2689</v>
      </c>
      <c r="U873" s="15" t="s">
        <v>13000</v>
      </c>
      <c r="AA873" s="15" t="s">
        <v>413</v>
      </c>
      <c r="AB873" s="15" t="s">
        <v>413</v>
      </c>
      <c r="AC873" s="15" t="s">
        <v>8972</v>
      </c>
      <c r="AD873" s="15" t="s">
        <v>21978</v>
      </c>
      <c r="AE873" s="15" t="s">
        <v>8971</v>
      </c>
      <c r="AF873" s="15" t="s">
        <v>21979</v>
      </c>
      <c r="AG873" s="15" t="s">
        <v>21980</v>
      </c>
      <c r="AH873" s="15" t="s">
        <v>21981</v>
      </c>
      <c r="AI873" s="15" t="s">
        <v>21982</v>
      </c>
      <c r="AJ873" s="15" t="s">
        <v>21983</v>
      </c>
      <c r="AK873" s="15" t="s">
        <v>21984</v>
      </c>
      <c r="BH873" s="15" t="s">
        <v>8967</v>
      </c>
      <c r="BI873" s="15" t="str">
        <f>"499"</f>
        <v>499</v>
      </c>
      <c r="BJ873" s="15" t="str">
        <f>"210"</f>
        <v>210</v>
      </c>
      <c r="BK873" s="15" t="s">
        <v>1303</v>
      </c>
      <c r="BL873" s="15" t="str">
        <f>"2"</f>
        <v>2</v>
      </c>
      <c r="BM873" s="15" t="s">
        <v>1564</v>
      </c>
      <c r="BN873" s="15" t="str">
        <f>"25.5"</f>
        <v>25.5</v>
      </c>
      <c r="BO873" s="15" t="str">
        <f>"4.75"</f>
        <v>4.75</v>
      </c>
      <c r="BP873" s="15" t="str">
        <f>"25.5"</f>
        <v>25.5</v>
      </c>
      <c r="BQ873" s="15" t="str">
        <f>"22.05"</f>
        <v>22.05</v>
      </c>
      <c r="BR873" s="15" t="s">
        <v>2238</v>
      </c>
      <c r="BS873" s="15" t="str">
        <f t="shared" ref="BS873:BT873" si="2557">"16"</f>
        <v>16</v>
      </c>
      <c r="BT873" s="15" t="str">
        <f t="shared" si="2557"/>
        <v>16</v>
      </c>
      <c r="BU873" s="15" t="str">
        <f>"23.5"</f>
        <v>23.5</v>
      </c>
      <c r="BV873" s="15" t="str">
        <f>"23.37"</f>
        <v>23.37</v>
      </c>
      <c r="CG873" s="15" t="str">
        <f>"5.3"</f>
        <v>5.3</v>
      </c>
      <c r="CH873" s="15" t="str">
        <f>"0.15"</f>
        <v>0.15</v>
      </c>
      <c r="CI873" s="15" t="s">
        <v>497</v>
      </c>
      <c r="CZ873" s="15" t="s">
        <v>419</v>
      </c>
      <c r="DA873" s="15">
        <v>0.0</v>
      </c>
      <c r="DB873" s="15" t="s">
        <v>419</v>
      </c>
      <c r="DD873" s="15">
        <v>0.0</v>
      </c>
      <c r="DG873" s="15" t="s">
        <v>419</v>
      </c>
      <c r="DK873" s="15">
        <v>0.0</v>
      </c>
      <c r="DR873" s="15" t="s">
        <v>1157</v>
      </c>
      <c r="DS873" s="15" t="s">
        <v>8975</v>
      </c>
      <c r="DU873" s="15" t="s">
        <v>500</v>
      </c>
      <c r="EF873" s="15" t="s">
        <v>784</v>
      </c>
      <c r="EQ873" s="15" t="s">
        <v>1576</v>
      </c>
      <c r="ER873" s="15" t="s">
        <v>6717</v>
      </c>
      <c r="ES873" s="15" t="s">
        <v>1576</v>
      </c>
      <c r="ET873" s="15" t="s">
        <v>3911</v>
      </c>
      <c r="EV873" s="15">
        <v>0.0</v>
      </c>
      <c r="EW873" s="15">
        <v>0.0</v>
      </c>
      <c r="FF873" s="15" t="s">
        <v>3305</v>
      </c>
    </row>
    <row r="874" ht="17.25" customHeight="1">
      <c r="A874" s="15" t="s">
        <v>8978</v>
      </c>
      <c r="B874" s="15" t="str">
        <f>"801542101954"</f>
        <v>801542101954</v>
      </c>
      <c r="C874" s="15" t="s">
        <v>21985</v>
      </c>
      <c r="D874" s="15" t="str">
        <f t="shared" si="1"/>
        <v>Ryan Oak Coffee TableNatural Resawn Oak</v>
      </c>
      <c r="E874" s="15" t="s">
        <v>8976</v>
      </c>
      <c r="F874" s="15" t="s">
        <v>397</v>
      </c>
      <c r="G874" s="15" t="s">
        <v>3670</v>
      </c>
      <c r="J874" s="15" t="s">
        <v>3670</v>
      </c>
      <c r="K874" s="15" t="s">
        <v>6520</v>
      </c>
      <c r="M874" s="15" t="s">
        <v>2759</v>
      </c>
      <c r="N874" s="15" t="s">
        <v>491</v>
      </c>
      <c r="P874" s="15" t="str">
        <f t="shared" ref="P874:Q874" si="2558">"47.75"</f>
        <v>47.75</v>
      </c>
      <c r="Q874" s="15" t="str">
        <f t="shared" si="2558"/>
        <v>47.75</v>
      </c>
      <c r="R874" s="15" t="str">
        <f>"17"</f>
        <v>17</v>
      </c>
      <c r="S874" s="15" t="str">
        <f>"130.07"</f>
        <v>130.07</v>
      </c>
      <c r="T874" s="15" t="s">
        <v>8980</v>
      </c>
      <c r="U874" s="15" t="s">
        <v>14167</v>
      </c>
      <c r="AA874" s="15" t="s">
        <v>413</v>
      </c>
      <c r="AB874" s="15" t="s">
        <v>413</v>
      </c>
      <c r="AC874" s="15" t="s">
        <v>8983</v>
      </c>
      <c r="AD874" s="15" t="s">
        <v>21986</v>
      </c>
      <c r="AE874" s="15" t="s">
        <v>8979</v>
      </c>
      <c r="AF874" s="15" t="s">
        <v>21987</v>
      </c>
      <c r="AG874" s="15" t="s">
        <v>21988</v>
      </c>
      <c r="AH874" s="15" t="s">
        <v>21989</v>
      </c>
      <c r="AI874" s="15" t="s">
        <v>21990</v>
      </c>
      <c r="AJ874" s="15" t="s">
        <v>21991</v>
      </c>
      <c r="AK874" s="15" t="s">
        <v>21992</v>
      </c>
      <c r="AL874" s="15" t="s">
        <v>21993</v>
      </c>
      <c r="BH874" s="15" t="s">
        <v>8977</v>
      </c>
      <c r="BI874" s="15" t="str">
        <f>"2699"</f>
        <v>2699</v>
      </c>
      <c r="BJ874" s="15" t="str">
        <f>"1135"</f>
        <v>1135</v>
      </c>
      <c r="BK874" s="15" t="s">
        <v>742</v>
      </c>
      <c r="BL874" s="15" t="str">
        <f>"1"</f>
        <v>1</v>
      </c>
      <c r="BM874" s="15" t="s">
        <v>8984</v>
      </c>
      <c r="BN874" s="15" t="str">
        <f>"51.97"</f>
        <v>51.97</v>
      </c>
      <c r="BO874" s="15" t="str">
        <f>"51.77"</f>
        <v>51.77</v>
      </c>
      <c r="BP874" s="15" t="str">
        <f>"22.05"</f>
        <v>22.05</v>
      </c>
      <c r="BQ874" s="15" t="str">
        <f>"180.78"</f>
        <v>180.78</v>
      </c>
      <c r="CG874" s="15" t="str">
        <f>"34.33"</f>
        <v>34.33</v>
      </c>
      <c r="CH874" s="15" t="str">
        <f>"0.972"</f>
        <v>0.972</v>
      </c>
      <c r="CI874" s="15" t="s">
        <v>465</v>
      </c>
      <c r="CZ874" s="15" t="s">
        <v>419</v>
      </c>
      <c r="DA874" s="15">
        <v>0.0</v>
      </c>
      <c r="DB874" s="15" t="s">
        <v>419</v>
      </c>
      <c r="DD874" s="15">
        <v>0.0</v>
      </c>
      <c r="DF874" s="15" t="s">
        <v>420</v>
      </c>
      <c r="DG874" s="15" t="s">
        <v>419</v>
      </c>
      <c r="DK874" s="15">
        <v>0.0</v>
      </c>
      <c r="DR874" s="15" t="s">
        <v>1157</v>
      </c>
      <c r="DS874" s="15" t="s">
        <v>8985</v>
      </c>
      <c r="DU874" s="15" t="s">
        <v>500</v>
      </c>
      <c r="EQ874" s="15" t="s">
        <v>8986</v>
      </c>
      <c r="ER874" s="15" t="s">
        <v>1425</v>
      </c>
      <c r="ES874" s="15" t="s">
        <v>8986</v>
      </c>
      <c r="ET874" s="15" t="s">
        <v>612</v>
      </c>
      <c r="EU874" s="15" t="s">
        <v>426</v>
      </c>
      <c r="EV874" s="15">
        <v>0.0</v>
      </c>
      <c r="EW874" s="15">
        <v>0.0</v>
      </c>
      <c r="FF874" s="15" t="s">
        <v>8987</v>
      </c>
    </row>
    <row r="875" ht="17.25" customHeight="1">
      <c r="A875" s="15" t="s">
        <v>8990</v>
      </c>
      <c r="B875" s="15" t="str">
        <f>"198394056403"</f>
        <v>198394056403</v>
      </c>
      <c r="C875" s="15" t="s">
        <v>21994</v>
      </c>
      <c r="D875" s="15" t="str">
        <f t="shared" si="1"/>
        <v>Salado BedAntigo NaturalQueen</v>
      </c>
      <c r="E875" s="15" t="s">
        <v>8988</v>
      </c>
      <c r="F875" s="15" t="s">
        <v>397</v>
      </c>
      <c r="G875" s="15" t="s">
        <v>8417</v>
      </c>
      <c r="H875" s="15" t="s">
        <v>265</v>
      </c>
      <c r="I875" s="15" t="s">
        <v>877</v>
      </c>
      <c r="J875" s="15" t="s">
        <v>8417</v>
      </c>
      <c r="K875" s="15" t="s">
        <v>7632</v>
      </c>
      <c r="M875" s="15" t="s">
        <v>2063</v>
      </c>
      <c r="N875" s="15" t="s">
        <v>839</v>
      </c>
      <c r="O875" s="15" t="s">
        <v>877</v>
      </c>
      <c r="P875" s="15" t="str">
        <f>"64.75"</f>
        <v>64.75</v>
      </c>
      <c r="Q875" s="15" t="str">
        <f t="shared" ref="Q875:Q880" si="2559">"85.5"</f>
        <v>85.5</v>
      </c>
      <c r="R875" s="15" t="str">
        <f t="shared" ref="R875:R880" si="2560">"54"</f>
        <v>54</v>
      </c>
      <c r="S875" s="15" t="str">
        <f>"164.24"</f>
        <v>164.24</v>
      </c>
      <c r="T875" s="15" t="s">
        <v>8993</v>
      </c>
      <c r="U875" s="15" t="s">
        <v>16235</v>
      </c>
      <c r="V875" s="15" t="s">
        <v>20935</v>
      </c>
      <c r="W875" s="15" t="s">
        <v>20936</v>
      </c>
      <c r="X875" s="15" t="s">
        <v>11338</v>
      </c>
      <c r="AA875" s="15" t="s">
        <v>413</v>
      </c>
      <c r="AB875" s="15" t="s">
        <v>426</v>
      </c>
      <c r="AD875" s="15" t="s">
        <v>21995</v>
      </c>
      <c r="AE875" s="15" t="s">
        <v>8992</v>
      </c>
      <c r="AF875" s="15" t="s">
        <v>21996</v>
      </c>
      <c r="AG875" s="15" t="s">
        <v>21997</v>
      </c>
      <c r="AH875" s="15" t="s">
        <v>21998</v>
      </c>
      <c r="AI875" s="15" t="s">
        <v>21999</v>
      </c>
      <c r="AJ875" s="15" t="s">
        <v>22000</v>
      </c>
      <c r="AK875" s="15" t="s">
        <v>22001</v>
      </c>
      <c r="AL875" s="15" t="s">
        <v>22002</v>
      </c>
      <c r="AM875" s="15" t="s">
        <v>22003</v>
      </c>
      <c r="AN875" s="15" t="s">
        <v>22004</v>
      </c>
      <c r="AO875" s="15" t="s">
        <v>22005</v>
      </c>
      <c r="AP875" s="15" t="s">
        <v>22006</v>
      </c>
      <c r="BH875" s="15" t="s">
        <v>8989</v>
      </c>
      <c r="BI875" s="15" t="str">
        <f>"2099"</f>
        <v>2099</v>
      </c>
      <c r="BJ875" s="15" t="str">
        <f>"885"</f>
        <v>885</v>
      </c>
      <c r="BK875" s="15" t="s">
        <v>742</v>
      </c>
      <c r="BL875" s="15" t="str">
        <f t="shared" ref="BL875:BL880" si="2561">"2"</f>
        <v>2</v>
      </c>
      <c r="BM875" s="15" t="s">
        <v>8996</v>
      </c>
      <c r="BN875" s="15" t="str">
        <f>"68.5"</f>
        <v>68.5</v>
      </c>
      <c r="BO875" s="15" t="str">
        <f t="shared" ref="BO875:BO876" si="2562">"8.86"</f>
        <v>8.86</v>
      </c>
      <c r="BP875" s="15" t="str">
        <f t="shared" ref="BP875:BP876" si="2563">"58.07"</f>
        <v>58.07</v>
      </c>
      <c r="BQ875" s="15" t="str">
        <f>"110.23"</f>
        <v>110.23</v>
      </c>
      <c r="BR875" s="15" t="s">
        <v>8996</v>
      </c>
      <c r="BS875" s="15" t="str">
        <f t="shared" ref="BS875:BS880" si="2564">"84.65"</f>
        <v>84.65</v>
      </c>
      <c r="BT875" s="15" t="str">
        <f t="shared" ref="BT875:BT880" si="2565">"14.96"</f>
        <v>14.96</v>
      </c>
      <c r="BU875" s="15" t="str">
        <f t="shared" ref="BU875:BU880" si="2566">"9.65"</f>
        <v>9.65</v>
      </c>
      <c r="BV875" s="15" t="str">
        <f>"82.67"</f>
        <v>82.67</v>
      </c>
      <c r="CG875" s="15" t="str">
        <f>"27.44"</f>
        <v>27.44</v>
      </c>
      <c r="CH875" s="15" t="str">
        <f>"0.777"</f>
        <v>0.777</v>
      </c>
      <c r="CI875" s="15" t="s">
        <v>497</v>
      </c>
      <c r="CY875" s="15" t="s">
        <v>855</v>
      </c>
      <c r="CZ875" s="15" t="s">
        <v>419</v>
      </c>
      <c r="DA875" s="15">
        <v>0.0</v>
      </c>
      <c r="DB875" s="15" t="s">
        <v>419</v>
      </c>
      <c r="DD875" s="15">
        <v>0.0</v>
      </c>
      <c r="DF875" s="15" t="s">
        <v>1186</v>
      </c>
      <c r="DG875" s="15" t="s">
        <v>419</v>
      </c>
      <c r="DI875" s="15">
        <v>0.0</v>
      </c>
      <c r="DJ875" s="15">
        <v>0.0</v>
      </c>
      <c r="DK875" s="15">
        <v>0.0</v>
      </c>
      <c r="DL875" s="15">
        <v>25000.0</v>
      </c>
      <c r="DS875" s="15" t="s">
        <v>8997</v>
      </c>
      <c r="DU875" s="15" t="s">
        <v>858</v>
      </c>
      <c r="EV875" s="15">
        <v>0.0</v>
      </c>
      <c r="HV875" s="15" t="s">
        <v>5304</v>
      </c>
      <c r="HW875" s="15" t="s">
        <v>5304</v>
      </c>
      <c r="HX875" s="15" t="s">
        <v>5304</v>
      </c>
      <c r="HY875" s="15" t="s">
        <v>555</v>
      </c>
      <c r="HZ875" s="15" t="s">
        <v>6267</v>
      </c>
      <c r="IA875" s="15" t="s">
        <v>8998</v>
      </c>
      <c r="IB875" s="15" t="s">
        <v>8999</v>
      </c>
      <c r="IC875" s="15" t="s">
        <v>6267</v>
      </c>
      <c r="ID875" s="15" t="s">
        <v>8998</v>
      </c>
      <c r="IE875" s="15" t="s">
        <v>2971</v>
      </c>
      <c r="IF875" s="15" t="s">
        <v>1957</v>
      </c>
      <c r="IG875" s="15" t="s">
        <v>5852</v>
      </c>
      <c r="IH875" s="15" t="s">
        <v>762</v>
      </c>
      <c r="II875" s="15" t="s">
        <v>9000</v>
      </c>
      <c r="IJ875" s="15" t="s">
        <v>784</v>
      </c>
      <c r="IK875" s="15" t="s">
        <v>426</v>
      </c>
      <c r="IL875" s="15" t="s">
        <v>2471</v>
      </c>
      <c r="IM875" s="15" t="s">
        <v>872</v>
      </c>
      <c r="IN875" s="15" t="s">
        <v>873</v>
      </c>
      <c r="IO875" s="15" t="s">
        <v>877</v>
      </c>
      <c r="IU875" s="15" t="s">
        <v>759</v>
      </c>
      <c r="IV875" s="15" t="s">
        <v>5059</v>
      </c>
      <c r="IW875" s="15" t="s">
        <v>759</v>
      </c>
      <c r="IX875" s="15" t="s">
        <v>426</v>
      </c>
      <c r="IY875" s="15" t="s">
        <v>2474</v>
      </c>
    </row>
    <row r="876" ht="17.25" customHeight="1">
      <c r="A876" s="15" t="s">
        <v>9002</v>
      </c>
      <c r="B876" s="15" t="str">
        <f>"198394056397"</f>
        <v>198394056397</v>
      </c>
      <c r="C876" s="15" t="s">
        <v>21994</v>
      </c>
      <c r="D876" s="15" t="str">
        <f t="shared" si="1"/>
        <v>Salado BedAntigo NaturalKing</v>
      </c>
      <c r="E876" s="15" t="s">
        <v>8988</v>
      </c>
      <c r="F876" s="15" t="s">
        <v>397</v>
      </c>
      <c r="G876" s="15" t="s">
        <v>8417</v>
      </c>
      <c r="H876" s="15" t="s">
        <v>265</v>
      </c>
      <c r="I876" s="15" t="s">
        <v>828</v>
      </c>
      <c r="J876" s="15" t="s">
        <v>8417</v>
      </c>
      <c r="K876" s="15" t="s">
        <v>7632</v>
      </c>
      <c r="M876" s="15" t="s">
        <v>2063</v>
      </c>
      <c r="N876" s="15" t="s">
        <v>839</v>
      </c>
      <c r="O876" s="15" t="s">
        <v>828</v>
      </c>
      <c r="P876" s="15" t="str">
        <f t="shared" ref="P876:P877" si="2567">"81"</f>
        <v>81</v>
      </c>
      <c r="Q876" s="15" t="str">
        <f t="shared" si="2559"/>
        <v>85.5</v>
      </c>
      <c r="R876" s="15" t="str">
        <f t="shared" si="2560"/>
        <v>54</v>
      </c>
      <c r="S876" s="15" t="str">
        <f t="shared" ref="S876:S877" si="2568">"179.67"</f>
        <v>179.67</v>
      </c>
      <c r="T876" s="15" t="s">
        <v>8993</v>
      </c>
      <c r="U876" s="15" t="s">
        <v>16235</v>
      </c>
      <c r="V876" s="15" t="s">
        <v>20935</v>
      </c>
      <c r="W876" s="15" t="s">
        <v>20936</v>
      </c>
      <c r="X876" s="15" t="s">
        <v>11338</v>
      </c>
      <c r="AA876" s="15" t="s">
        <v>413</v>
      </c>
      <c r="AB876" s="15" t="s">
        <v>426</v>
      </c>
      <c r="AD876" s="15" t="s">
        <v>22007</v>
      </c>
      <c r="AE876" s="15" t="s">
        <v>9003</v>
      </c>
      <c r="AF876" s="15" t="s">
        <v>22008</v>
      </c>
      <c r="AG876" s="15" t="s">
        <v>22009</v>
      </c>
      <c r="AH876" s="15" t="s">
        <v>22010</v>
      </c>
      <c r="AI876" s="15" t="s">
        <v>22011</v>
      </c>
      <c r="AJ876" s="15" t="s">
        <v>22012</v>
      </c>
      <c r="AK876" s="15" t="s">
        <v>22013</v>
      </c>
      <c r="AL876" s="15" t="s">
        <v>22014</v>
      </c>
      <c r="AM876" s="15" t="s">
        <v>22015</v>
      </c>
      <c r="AN876" s="15" t="s">
        <v>22016</v>
      </c>
      <c r="AO876" s="15" t="s">
        <v>22017</v>
      </c>
      <c r="AP876" s="15" t="s">
        <v>22018</v>
      </c>
      <c r="AQ876" s="15" t="s">
        <v>22019</v>
      </c>
      <c r="AR876" s="15" t="s">
        <v>22020</v>
      </c>
      <c r="BH876" s="15" t="s">
        <v>9001</v>
      </c>
      <c r="BI876" s="15" t="str">
        <f>"2299"</f>
        <v>2299</v>
      </c>
      <c r="BJ876" s="15" t="str">
        <f>"970"</f>
        <v>970</v>
      </c>
      <c r="BK876" s="15" t="s">
        <v>742</v>
      </c>
      <c r="BL876" s="15" t="str">
        <f t="shared" si="2561"/>
        <v>2</v>
      </c>
      <c r="BM876" s="15" t="s">
        <v>8996</v>
      </c>
      <c r="BN876" s="15" t="str">
        <f t="shared" ref="BN876:BN877" si="2569">"84.65"</f>
        <v>84.65</v>
      </c>
      <c r="BO876" s="15" t="str">
        <f t="shared" si="2562"/>
        <v>8.86</v>
      </c>
      <c r="BP876" s="15" t="str">
        <f t="shared" si="2563"/>
        <v>58.07</v>
      </c>
      <c r="BQ876" s="15" t="str">
        <f t="shared" ref="BQ876:BQ877" si="2570">"126.77"</f>
        <v>126.77</v>
      </c>
      <c r="BR876" s="15" t="s">
        <v>8996</v>
      </c>
      <c r="BS876" s="15" t="str">
        <f t="shared" si="2564"/>
        <v>84.65</v>
      </c>
      <c r="BT876" s="15" t="str">
        <f t="shared" si="2565"/>
        <v>14.96</v>
      </c>
      <c r="BU876" s="15" t="str">
        <f t="shared" si="2566"/>
        <v>9.65</v>
      </c>
      <c r="BV876" s="15" t="str">
        <f t="shared" ref="BV876:BV877" si="2571">"88.18"</f>
        <v>88.18</v>
      </c>
      <c r="CG876" s="15" t="str">
        <f t="shared" ref="CG876:CG877" si="2572">"32.28"</f>
        <v>32.28</v>
      </c>
      <c r="CH876" s="15" t="str">
        <f t="shared" ref="CH876:CH877" si="2573">"0.914"</f>
        <v>0.914</v>
      </c>
      <c r="CI876" s="15" t="s">
        <v>497</v>
      </c>
      <c r="CY876" s="15" t="s">
        <v>855</v>
      </c>
      <c r="CZ876" s="15" t="s">
        <v>419</v>
      </c>
      <c r="DA876" s="15">
        <v>0.0</v>
      </c>
      <c r="DB876" s="15" t="s">
        <v>419</v>
      </c>
      <c r="DD876" s="15">
        <v>0.0</v>
      </c>
      <c r="DF876" s="15" t="s">
        <v>1186</v>
      </c>
      <c r="DG876" s="15" t="s">
        <v>419</v>
      </c>
      <c r="DI876" s="15">
        <v>0.0</v>
      </c>
      <c r="DJ876" s="15">
        <v>0.0</v>
      </c>
      <c r="DK876" s="15">
        <v>0.0</v>
      </c>
      <c r="DL876" s="15">
        <v>25000.0</v>
      </c>
      <c r="DS876" s="15" t="s">
        <v>8997</v>
      </c>
      <c r="DU876" s="15" t="s">
        <v>858</v>
      </c>
      <c r="EV876" s="15">
        <v>0.0</v>
      </c>
      <c r="HV876" s="15" t="s">
        <v>5304</v>
      </c>
      <c r="HW876" s="15" t="s">
        <v>5304</v>
      </c>
      <c r="HX876" s="15" t="s">
        <v>5304</v>
      </c>
      <c r="HY876" s="15" t="s">
        <v>555</v>
      </c>
      <c r="HZ876" s="15" t="s">
        <v>6267</v>
      </c>
      <c r="IA876" s="15" t="s">
        <v>6554</v>
      </c>
      <c r="IB876" s="15" t="s">
        <v>8999</v>
      </c>
      <c r="IC876" s="15" t="s">
        <v>6267</v>
      </c>
      <c r="ID876" s="15" t="s">
        <v>6554</v>
      </c>
      <c r="IE876" s="15" t="s">
        <v>2971</v>
      </c>
      <c r="IF876" s="15" t="s">
        <v>1957</v>
      </c>
      <c r="IG876" s="15" t="s">
        <v>869</v>
      </c>
      <c r="IH876" s="15" t="s">
        <v>762</v>
      </c>
      <c r="II876" s="15" t="s">
        <v>9000</v>
      </c>
      <c r="IJ876" s="15" t="s">
        <v>784</v>
      </c>
      <c r="IK876" s="15" t="s">
        <v>426</v>
      </c>
      <c r="IL876" s="15" t="s">
        <v>2471</v>
      </c>
      <c r="IM876" s="15" t="s">
        <v>872</v>
      </c>
      <c r="IN876" s="15" t="s">
        <v>873</v>
      </c>
      <c r="IO876" s="15" t="s">
        <v>828</v>
      </c>
      <c r="IU876" s="15" t="s">
        <v>759</v>
      </c>
      <c r="IV876" s="15" t="s">
        <v>5059</v>
      </c>
      <c r="IW876" s="15" t="s">
        <v>759</v>
      </c>
      <c r="IX876" s="15" t="s">
        <v>426</v>
      </c>
      <c r="IY876" s="15" t="s">
        <v>2474</v>
      </c>
    </row>
    <row r="877" ht="17.25" customHeight="1">
      <c r="A877" s="15" t="s">
        <v>9005</v>
      </c>
      <c r="B877" s="15" t="str">
        <f>"801542158118"</f>
        <v>801542158118</v>
      </c>
      <c r="C877" s="15" t="s">
        <v>22021</v>
      </c>
      <c r="D877" s="15" t="str">
        <f t="shared" si="1"/>
        <v>Salado BedHeirloom CigarKing</v>
      </c>
      <c r="E877" s="15" t="s">
        <v>8988</v>
      </c>
      <c r="F877" s="15" t="s">
        <v>397</v>
      </c>
      <c r="G877" s="15" t="s">
        <v>3417</v>
      </c>
      <c r="H877" s="15" t="s">
        <v>265</v>
      </c>
      <c r="I877" s="15" t="s">
        <v>828</v>
      </c>
      <c r="J877" s="15" t="s">
        <v>3417</v>
      </c>
      <c r="K877" s="15" t="s">
        <v>9007</v>
      </c>
      <c r="M877" s="15" t="s">
        <v>2063</v>
      </c>
      <c r="N877" s="15" t="s">
        <v>839</v>
      </c>
      <c r="O877" s="15" t="s">
        <v>828</v>
      </c>
      <c r="P877" s="15" t="str">
        <f t="shared" si="2567"/>
        <v>81</v>
      </c>
      <c r="Q877" s="15" t="str">
        <f t="shared" si="2559"/>
        <v>85.5</v>
      </c>
      <c r="R877" s="15" t="str">
        <f t="shared" si="2560"/>
        <v>54</v>
      </c>
      <c r="S877" s="15" t="str">
        <f t="shared" si="2568"/>
        <v>179.67</v>
      </c>
      <c r="T877" s="15" t="s">
        <v>2491</v>
      </c>
      <c r="U877" s="15" t="s">
        <v>11137</v>
      </c>
      <c r="V877" s="15" t="s">
        <v>11338</v>
      </c>
      <c r="AA877" s="15" t="s">
        <v>413</v>
      </c>
      <c r="AB877" s="15" t="s">
        <v>413</v>
      </c>
      <c r="AC877" s="15" t="s">
        <v>9008</v>
      </c>
      <c r="AD877" s="15" t="s">
        <v>22022</v>
      </c>
      <c r="AE877" s="15" t="s">
        <v>9006</v>
      </c>
      <c r="AF877" s="15" t="s">
        <v>22023</v>
      </c>
      <c r="AG877" s="15" t="s">
        <v>22024</v>
      </c>
      <c r="AH877" s="15" t="s">
        <v>22025</v>
      </c>
      <c r="AI877" s="15" t="s">
        <v>22026</v>
      </c>
      <c r="AJ877" s="15" t="s">
        <v>22027</v>
      </c>
      <c r="AK877" s="15" t="s">
        <v>22028</v>
      </c>
      <c r="AL877" s="15" t="s">
        <v>22029</v>
      </c>
      <c r="AM877" s="15" t="s">
        <v>22030</v>
      </c>
      <c r="AN877" s="15" t="s">
        <v>22031</v>
      </c>
      <c r="BH877" s="15" t="s">
        <v>9004</v>
      </c>
      <c r="BI877" s="15" t="str">
        <f>"2599"</f>
        <v>2599</v>
      </c>
      <c r="BJ877" s="15" t="str">
        <f>"1095"</f>
        <v>1095</v>
      </c>
      <c r="BK877" s="15" t="s">
        <v>742</v>
      </c>
      <c r="BL877" s="15" t="str">
        <f t="shared" si="2561"/>
        <v>2</v>
      </c>
      <c r="BM877" s="15" t="s">
        <v>8996</v>
      </c>
      <c r="BN877" s="15" t="str">
        <f t="shared" si="2569"/>
        <v>84.65</v>
      </c>
      <c r="BO877" s="15" t="str">
        <f t="shared" ref="BO877:BO880" si="2574">"58.07"</f>
        <v>58.07</v>
      </c>
      <c r="BP877" s="15" t="str">
        <f t="shared" ref="BP877:BP880" si="2575">"8.86"</f>
        <v>8.86</v>
      </c>
      <c r="BQ877" s="15" t="str">
        <f t="shared" si="2570"/>
        <v>126.77</v>
      </c>
      <c r="BR877" s="15" t="s">
        <v>8996</v>
      </c>
      <c r="BS877" s="15" t="str">
        <f t="shared" si="2564"/>
        <v>84.65</v>
      </c>
      <c r="BT877" s="15" t="str">
        <f t="shared" si="2565"/>
        <v>14.96</v>
      </c>
      <c r="BU877" s="15" t="str">
        <f t="shared" si="2566"/>
        <v>9.65</v>
      </c>
      <c r="BV877" s="15" t="str">
        <f t="shared" si="2571"/>
        <v>88.18</v>
      </c>
      <c r="CG877" s="15" t="str">
        <f t="shared" si="2572"/>
        <v>32.28</v>
      </c>
      <c r="CH877" s="15" t="str">
        <f t="shared" si="2573"/>
        <v>0.914</v>
      </c>
      <c r="CI877" s="15" t="s">
        <v>497</v>
      </c>
      <c r="CY877" s="15" t="s">
        <v>718</v>
      </c>
      <c r="CZ877" s="15" t="s">
        <v>419</v>
      </c>
      <c r="DA877" s="15">
        <v>0.0</v>
      </c>
      <c r="DB877" s="15" t="s">
        <v>419</v>
      </c>
      <c r="DD877" s="15">
        <v>0.0</v>
      </c>
      <c r="DF877" s="15" t="s">
        <v>1186</v>
      </c>
      <c r="DG877" s="15" t="s">
        <v>419</v>
      </c>
      <c r="DI877" s="15">
        <v>0.0</v>
      </c>
      <c r="DJ877" s="15">
        <v>0.0</v>
      </c>
      <c r="DK877" s="15">
        <v>0.0</v>
      </c>
      <c r="DL877" s="15">
        <v>0.0</v>
      </c>
      <c r="DS877" s="15" t="s">
        <v>8997</v>
      </c>
      <c r="DU877" s="15" t="s">
        <v>858</v>
      </c>
      <c r="EV877" s="15">
        <v>0.0</v>
      </c>
      <c r="HV877" s="15" t="s">
        <v>5304</v>
      </c>
      <c r="HW877" s="15" t="s">
        <v>5304</v>
      </c>
      <c r="HX877" s="15" t="s">
        <v>5304</v>
      </c>
      <c r="HY877" s="15" t="s">
        <v>555</v>
      </c>
      <c r="HZ877" s="15" t="s">
        <v>6267</v>
      </c>
      <c r="IA877" s="15" t="s">
        <v>6554</v>
      </c>
      <c r="IB877" s="15" t="s">
        <v>8999</v>
      </c>
      <c r="IC877" s="15" t="s">
        <v>6267</v>
      </c>
      <c r="ID877" s="15" t="s">
        <v>6554</v>
      </c>
      <c r="IE877" s="15" t="s">
        <v>2971</v>
      </c>
      <c r="IF877" s="15" t="s">
        <v>1957</v>
      </c>
      <c r="IG877" s="15" t="s">
        <v>869</v>
      </c>
      <c r="IH877" s="15" t="s">
        <v>762</v>
      </c>
      <c r="II877" s="15" t="s">
        <v>9000</v>
      </c>
      <c r="IJ877" s="15" t="s">
        <v>784</v>
      </c>
      <c r="IK877" s="15" t="s">
        <v>426</v>
      </c>
      <c r="IL877" s="15" t="s">
        <v>2471</v>
      </c>
      <c r="IM877" s="15" t="s">
        <v>872</v>
      </c>
      <c r="IN877" s="15" t="s">
        <v>873</v>
      </c>
      <c r="IO877" s="15" t="s">
        <v>828</v>
      </c>
      <c r="IU877" s="15" t="s">
        <v>759</v>
      </c>
      <c r="IV877" s="15" t="s">
        <v>5059</v>
      </c>
      <c r="IW877" s="15" t="s">
        <v>759</v>
      </c>
      <c r="IX877" s="15" t="s">
        <v>426</v>
      </c>
      <c r="IY877" s="15" t="s">
        <v>2474</v>
      </c>
    </row>
    <row r="878" ht="17.25" customHeight="1">
      <c r="A878" s="15" t="s">
        <v>9010</v>
      </c>
      <c r="B878" s="15" t="str">
        <f>"801542203924"</f>
        <v>801542203924</v>
      </c>
      <c r="C878" s="15" t="s">
        <v>22021</v>
      </c>
      <c r="D878" s="15" t="str">
        <f t="shared" si="1"/>
        <v>Salado BedHeirloom CigarQueen</v>
      </c>
      <c r="E878" s="15" t="s">
        <v>8988</v>
      </c>
      <c r="F878" s="15" t="s">
        <v>397</v>
      </c>
      <c r="G878" s="15" t="s">
        <v>3417</v>
      </c>
      <c r="H878" s="15" t="s">
        <v>265</v>
      </c>
      <c r="I878" s="15" t="s">
        <v>877</v>
      </c>
      <c r="J878" s="15" t="s">
        <v>3417</v>
      </c>
      <c r="K878" s="15" t="s">
        <v>9007</v>
      </c>
      <c r="M878" s="15" t="s">
        <v>2063</v>
      </c>
      <c r="N878" s="15" t="s">
        <v>839</v>
      </c>
      <c r="O878" s="15" t="s">
        <v>877</v>
      </c>
      <c r="P878" s="15" t="str">
        <f>"64.75"</f>
        <v>64.75</v>
      </c>
      <c r="Q878" s="15" t="str">
        <f t="shared" si="2559"/>
        <v>85.5</v>
      </c>
      <c r="R878" s="15" t="str">
        <f t="shared" si="2560"/>
        <v>54</v>
      </c>
      <c r="S878" s="15" t="str">
        <f>"164.24"</f>
        <v>164.24</v>
      </c>
      <c r="T878" s="15" t="s">
        <v>2491</v>
      </c>
      <c r="U878" s="15" t="s">
        <v>11137</v>
      </c>
      <c r="V878" s="15" t="s">
        <v>11338</v>
      </c>
      <c r="AA878" s="15" t="s">
        <v>413</v>
      </c>
      <c r="AB878" s="15" t="s">
        <v>413</v>
      </c>
      <c r="AC878" s="15" t="s">
        <v>9012</v>
      </c>
      <c r="AD878" s="15" t="s">
        <v>22032</v>
      </c>
      <c r="AE878" s="15" t="s">
        <v>9011</v>
      </c>
      <c r="AF878" s="15" t="s">
        <v>22033</v>
      </c>
      <c r="AG878" s="15" t="s">
        <v>22034</v>
      </c>
      <c r="AH878" s="15" t="s">
        <v>22035</v>
      </c>
      <c r="AI878" s="15" t="s">
        <v>22036</v>
      </c>
      <c r="AJ878" s="15" t="s">
        <v>22037</v>
      </c>
      <c r="AK878" s="15" t="s">
        <v>22038</v>
      </c>
      <c r="AL878" s="15" t="s">
        <v>22039</v>
      </c>
      <c r="AM878" s="15" t="s">
        <v>22040</v>
      </c>
      <c r="AN878" s="15" t="s">
        <v>22041</v>
      </c>
      <c r="BH878" s="15" t="s">
        <v>9009</v>
      </c>
      <c r="BI878" s="15" t="str">
        <f>"2299"</f>
        <v>2299</v>
      </c>
      <c r="BJ878" s="15" t="str">
        <f>"970"</f>
        <v>970</v>
      </c>
      <c r="BK878" s="15" t="s">
        <v>742</v>
      </c>
      <c r="BL878" s="15" t="str">
        <f t="shared" si="2561"/>
        <v>2</v>
      </c>
      <c r="BM878" s="15" t="s">
        <v>8996</v>
      </c>
      <c r="BN878" s="15" t="str">
        <f>"68.5"</f>
        <v>68.5</v>
      </c>
      <c r="BO878" s="15" t="str">
        <f t="shared" si="2574"/>
        <v>58.07</v>
      </c>
      <c r="BP878" s="15" t="str">
        <f t="shared" si="2575"/>
        <v>8.86</v>
      </c>
      <c r="BQ878" s="15" t="str">
        <f>"110.23"</f>
        <v>110.23</v>
      </c>
      <c r="BR878" s="15" t="s">
        <v>8996</v>
      </c>
      <c r="BS878" s="15" t="str">
        <f t="shared" si="2564"/>
        <v>84.65</v>
      </c>
      <c r="BT878" s="15" t="str">
        <f t="shared" si="2565"/>
        <v>14.96</v>
      </c>
      <c r="BU878" s="15" t="str">
        <f t="shared" si="2566"/>
        <v>9.65</v>
      </c>
      <c r="BV878" s="15" t="str">
        <f>"82.67"</f>
        <v>82.67</v>
      </c>
      <c r="CG878" s="15" t="str">
        <f>"27.44"</f>
        <v>27.44</v>
      </c>
      <c r="CH878" s="15" t="str">
        <f>"0.777"</f>
        <v>0.777</v>
      </c>
      <c r="CI878" s="15" t="s">
        <v>497</v>
      </c>
      <c r="CY878" s="15" t="s">
        <v>718</v>
      </c>
      <c r="CZ878" s="15" t="s">
        <v>419</v>
      </c>
      <c r="DA878" s="15">
        <v>0.0</v>
      </c>
      <c r="DB878" s="15" t="s">
        <v>419</v>
      </c>
      <c r="DD878" s="15">
        <v>0.0</v>
      </c>
      <c r="DF878" s="15" t="s">
        <v>1186</v>
      </c>
      <c r="DG878" s="15" t="s">
        <v>419</v>
      </c>
      <c r="DI878" s="15">
        <v>0.0</v>
      </c>
      <c r="DJ878" s="15">
        <v>0.0</v>
      </c>
      <c r="DK878" s="15">
        <v>0.0</v>
      </c>
      <c r="DL878" s="15">
        <v>0.0</v>
      </c>
      <c r="DS878" s="15" t="s">
        <v>8997</v>
      </c>
      <c r="DU878" s="15" t="s">
        <v>858</v>
      </c>
      <c r="EV878" s="15">
        <v>0.0</v>
      </c>
      <c r="HV878" s="15" t="s">
        <v>5304</v>
      </c>
      <c r="HW878" s="15" t="s">
        <v>5304</v>
      </c>
      <c r="HX878" s="15" t="s">
        <v>5304</v>
      </c>
      <c r="HY878" s="15" t="s">
        <v>555</v>
      </c>
      <c r="HZ878" s="15" t="s">
        <v>6267</v>
      </c>
      <c r="IA878" s="15" t="s">
        <v>8998</v>
      </c>
      <c r="IB878" s="15" t="s">
        <v>8999</v>
      </c>
      <c r="IC878" s="15" t="s">
        <v>6267</v>
      </c>
      <c r="ID878" s="15" t="s">
        <v>8998</v>
      </c>
      <c r="IE878" s="15" t="s">
        <v>2971</v>
      </c>
      <c r="IF878" s="15" t="s">
        <v>1957</v>
      </c>
      <c r="IG878" s="15" t="s">
        <v>5852</v>
      </c>
      <c r="IH878" s="15" t="s">
        <v>762</v>
      </c>
      <c r="II878" s="15" t="s">
        <v>9000</v>
      </c>
      <c r="IJ878" s="15" t="s">
        <v>784</v>
      </c>
      <c r="IK878" s="15" t="s">
        <v>426</v>
      </c>
      <c r="IL878" s="15" t="s">
        <v>2471</v>
      </c>
      <c r="IM878" s="15" t="s">
        <v>872</v>
      </c>
      <c r="IN878" s="15" t="s">
        <v>873</v>
      </c>
      <c r="IO878" s="15" t="s">
        <v>877</v>
      </c>
      <c r="IU878" s="15" t="s">
        <v>759</v>
      </c>
      <c r="IV878" s="15" t="s">
        <v>5059</v>
      </c>
      <c r="IW878" s="15" t="s">
        <v>759</v>
      </c>
      <c r="IX878" s="15" t="s">
        <v>426</v>
      </c>
      <c r="IY878" s="15" t="s">
        <v>2474</v>
      </c>
    </row>
    <row r="879" ht="17.25" customHeight="1">
      <c r="A879" s="15" t="s">
        <v>9014</v>
      </c>
      <c r="B879" s="15" t="str">
        <f>"801542170301"</f>
        <v>801542170301</v>
      </c>
      <c r="C879" s="15" t="s">
        <v>22042</v>
      </c>
      <c r="D879" s="15" t="str">
        <f t="shared" si="1"/>
        <v>Salado BedHeirloom Sienna</v>
      </c>
      <c r="E879" s="15" t="s">
        <v>8988</v>
      </c>
      <c r="F879" s="15" t="s">
        <v>397</v>
      </c>
      <c r="G879" s="15" t="s">
        <v>1596</v>
      </c>
      <c r="J879" s="15" t="s">
        <v>1596</v>
      </c>
      <c r="K879" s="15" t="s">
        <v>9016</v>
      </c>
      <c r="M879" s="15" t="s">
        <v>2063</v>
      </c>
      <c r="N879" s="15" t="s">
        <v>839</v>
      </c>
      <c r="O879" s="15" t="s">
        <v>828</v>
      </c>
      <c r="P879" s="15" t="str">
        <f>"81"</f>
        <v>81</v>
      </c>
      <c r="Q879" s="15" t="str">
        <f t="shared" si="2559"/>
        <v>85.5</v>
      </c>
      <c r="R879" s="15" t="str">
        <f t="shared" si="2560"/>
        <v>54</v>
      </c>
      <c r="S879" s="15" t="str">
        <f>"179.67"</f>
        <v>179.67</v>
      </c>
      <c r="T879" s="15" t="s">
        <v>1341</v>
      </c>
      <c r="U879" s="15" t="s">
        <v>11137</v>
      </c>
      <c r="V879" s="15" t="s">
        <v>11138</v>
      </c>
      <c r="AA879" s="15" t="s">
        <v>413</v>
      </c>
      <c r="AB879" s="15" t="s">
        <v>413</v>
      </c>
      <c r="AC879" s="15" t="s">
        <v>9017</v>
      </c>
      <c r="AD879" s="15" t="s">
        <v>22043</v>
      </c>
      <c r="AE879" s="15" t="s">
        <v>9015</v>
      </c>
      <c r="AF879" s="15" t="s">
        <v>22044</v>
      </c>
      <c r="AG879" s="15" t="s">
        <v>22045</v>
      </c>
      <c r="AH879" s="15" t="s">
        <v>22046</v>
      </c>
      <c r="AI879" s="15" t="s">
        <v>22047</v>
      </c>
      <c r="AJ879" s="15" t="s">
        <v>22048</v>
      </c>
      <c r="AK879" s="15" t="s">
        <v>11838</v>
      </c>
      <c r="AL879" s="15" t="s">
        <v>22049</v>
      </c>
      <c r="AM879" s="15" t="s">
        <v>22050</v>
      </c>
      <c r="AN879" s="15" t="s">
        <v>22051</v>
      </c>
      <c r="AO879" s="15" t="s">
        <v>22052</v>
      </c>
      <c r="AP879" s="15" t="s">
        <v>22053</v>
      </c>
      <c r="AQ879" s="15" t="s">
        <v>22054</v>
      </c>
      <c r="AR879" s="15" t="s">
        <v>22055</v>
      </c>
      <c r="BH879" s="15" t="s">
        <v>9013</v>
      </c>
      <c r="BI879" s="15" t="str">
        <f>"2599"</f>
        <v>2599</v>
      </c>
      <c r="BJ879" s="15" t="str">
        <f>"1095"</f>
        <v>1095</v>
      </c>
      <c r="BK879" s="15" t="s">
        <v>742</v>
      </c>
      <c r="BL879" s="15" t="str">
        <f t="shared" si="2561"/>
        <v>2</v>
      </c>
      <c r="BM879" s="15" t="s">
        <v>8996</v>
      </c>
      <c r="BN879" s="15" t="str">
        <f>"84.65"</f>
        <v>84.65</v>
      </c>
      <c r="BO879" s="15" t="str">
        <f t="shared" si="2574"/>
        <v>58.07</v>
      </c>
      <c r="BP879" s="15" t="str">
        <f t="shared" si="2575"/>
        <v>8.86</v>
      </c>
      <c r="BQ879" s="15" t="str">
        <f>"126.77"</f>
        <v>126.77</v>
      </c>
      <c r="BR879" s="15" t="s">
        <v>8996</v>
      </c>
      <c r="BS879" s="15" t="str">
        <f t="shared" si="2564"/>
        <v>84.65</v>
      </c>
      <c r="BT879" s="15" t="str">
        <f t="shared" si="2565"/>
        <v>14.96</v>
      </c>
      <c r="BU879" s="15" t="str">
        <f t="shared" si="2566"/>
        <v>9.65</v>
      </c>
      <c r="BV879" s="15" t="str">
        <f>"88.18"</f>
        <v>88.18</v>
      </c>
      <c r="CG879" s="15" t="str">
        <f>"32.28"</f>
        <v>32.28</v>
      </c>
      <c r="CH879" s="15" t="str">
        <f>"0.914"</f>
        <v>0.914</v>
      </c>
      <c r="CI879" s="15" t="s">
        <v>1793</v>
      </c>
      <c r="CY879" s="15" t="s">
        <v>718</v>
      </c>
      <c r="CZ879" s="15" t="s">
        <v>419</v>
      </c>
      <c r="DA879" s="15">
        <v>0.0</v>
      </c>
      <c r="DB879" s="15" t="s">
        <v>419</v>
      </c>
      <c r="DD879" s="15">
        <v>0.0</v>
      </c>
      <c r="DF879" s="15" t="s">
        <v>1186</v>
      </c>
      <c r="DG879" s="15" t="s">
        <v>419</v>
      </c>
      <c r="DI879" s="15">
        <v>0.0</v>
      </c>
      <c r="DJ879" s="15">
        <v>0.0</v>
      </c>
      <c r="DK879" s="15">
        <v>0.0</v>
      </c>
      <c r="DL879" s="15">
        <v>0.0</v>
      </c>
      <c r="DS879" s="15" t="s">
        <v>8997</v>
      </c>
      <c r="DU879" s="15" t="s">
        <v>858</v>
      </c>
      <c r="EV879" s="15">
        <v>0.0</v>
      </c>
      <c r="HV879" s="15" t="s">
        <v>5304</v>
      </c>
      <c r="HW879" s="15" t="s">
        <v>5304</v>
      </c>
      <c r="HX879" s="15" t="s">
        <v>5304</v>
      </c>
      <c r="HY879" s="15" t="s">
        <v>555</v>
      </c>
      <c r="HZ879" s="15" t="s">
        <v>6267</v>
      </c>
      <c r="IA879" s="15" t="s">
        <v>6554</v>
      </c>
      <c r="IB879" s="15" t="s">
        <v>8999</v>
      </c>
      <c r="IC879" s="15" t="s">
        <v>6267</v>
      </c>
      <c r="ID879" s="15" t="s">
        <v>6554</v>
      </c>
      <c r="IE879" s="15" t="s">
        <v>2971</v>
      </c>
      <c r="IF879" s="15" t="s">
        <v>1957</v>
      </c>
      <c r="IG879" s="15" t="s">
        <v>869</v>
      </c>
      <c r="IH879" s="15" t="s">
        <v>762</v>
      </c>
      <c r="II879" s="15" t="s">
        <v>9000</v>
      </c>
      <c r="IJ879" s="15" t="s">
        <v>784</v>
      </c>
      <c r="IK879" s="15" t="s">
        <v>426</v>
      </c>
      <c r="IL879" s="15" t="s">
        <v>2471</v>
      </c>
      <c r="IM879" s="15" t="s">
        <v>872</v>
      </c>
      <c r="IN879" s="15" t="s">
        <v>873</v>
      </c>
      <c r="IO879" s="15" t="s">
        <v>828</v>
      </c>
      <c r="IU879" s="15" t="s">
        <v>759</v>
      </c>
      <c r="IV879" s="15" t="s">
        <v>5059</v>
      </c>
      <c r="IW879" s="15" t="s">
        <v>759</v>
      </c>
      <c r="IX879" s="15" t="s">
        <v>426</v>
      </c>
      <c r="IY879" s="15" t="s">
        <v>2474</v>
      </c>
    </row>
    <row r="880" ht="17.25" customHeight="1">
      <c r="A880" s="15" t="s">
        <v>9020</v>
      </c>
      <c r="B880" s="15" t="str">
        <f>"801542170387"</f>
        <v>801542170387</v>
      </c>
      <c r="C880" s="15" t="s">
        <v>22056</v>
      </c>
      <c r="D880" s="15" t="str">
        <f t="shared" si="1"/>
        <v>Salado BedHeirloom Sienna Old</v>
      </c>
      <c r="E880" s="15" t="s">
        <v>8988</v>
      </c>
      <c r="F880" s="15" t="s">
        <v>397</v>
      </c>
      <c r="G880" s="15" t="s">
        <v>9019</v>
      </c>
      <c r="J880" s="15" t="s">
        <v>9019</v>
      </c>
      <c r="K880" s="15" t="s">
        <v>9016</v>
      </c>
      <c r="M880" s="15" t="s">
        <v>2063</v>
      </c>
      <c r="N880" s="15" t="s">
        <v>839</v>
      </c>
      <c r="O880" s="15" t="s">
        <v>877</v>
      </c>
      <c r="P880" s="15" t="str">
        <f>"64.75"</f>
        <v>64.75</v>
      </c>
      <c r="Q880" s="15" t="str">
        <f t="shared" si="2559"/>
        <v>85.5</v>
      </c>
      <c r="R880" s="15" t="str">
        <f t="shared" si="2560"/>
        <v>54</v>
      </c>
      <c r="S880" s="15" t="str">
        <f>"164.24"</f>
        <v>164.24</v>
      </c>
      <c r="T880" s="15" t="s">
        <v>1341</v>
      </c>
      <c r="U880" s="15" t="s">
        <v>11137</v>
      </c>
      <c r="V880" s="15" t="s">
        <v>11138</v>
      </c>
      <c r="AA880" s="15" t="s">
        <v>413</v>
      </c>
      <c r="AB880" s="15" t="s">
        <v>413</v>
      </c>
      <c r="AC880" s="15" t="s">
        <v>9017</v>
      </c>
      <c r="AD880" s="15" t="s">
        <v>22057</v>
      </c>
      <c r="AE880" s="15" t="s">
        <v>9021</v>
      </c>
      <c r="AF880" s="15" t="s">
        <v>22058</v>
      </c>
      <c r="AG880" s="15" t="s">
        <v>22059</v>
      </c>
      <c r="AH880" s="15" t="s">
        <v>22060</v>
      </c>
      <c r="AI880" s="15" t="s">
        <v>22061</v>
      </c>
      <c r="AJ880" s="15" t="s">
        <v>22062</v>
      </c>
      <c r="AK880" s="15" t="s">
        <v>11838</v>
      </c>
      <c r="AL880" s="15" t="s">
        <v>22063</v>
      </c>
      <c r="AM880" s="15" t="s">
        <v>22064</v>
      </c>
      <c r="AN880" s="15" t="s">
        <v>22065</v>
      </c>
      <c r="AO880" s="15" t="s">
        <v>22066</v>
      </c>
      <c r="AP880" s="15" t="s">
        <v>22067</v>
      </c>
      <c r="AQ880" s="15" t="s">
        <v>22068</v>
      </c>
      <c r="AR880" s="15" t="s">
        <v>22069</v>
      </c>
      <c r="AS880" s="15" t="s">
        <v>22070</v>
      </c>
      <c r="AT880" s="15" t="s">
        <v>22071</v>
      </c>
      <c r="AU880" s="15" t="s">
        <v>22072</v>
      </c>
      <c r="AV880" s="15" t="s">
        <v>22073</v>
      </c>
      <c r="BH880" s="15" t="s">
        <v>9018</v>
      </c>
      <c r="BI880" s="15" t="str">
        <f>"2299"</f>
        <v>2299</v>
      </c>
      <c r="BJ880" s="15" t="str">
        <f>"970"</f>
        <v>970</v>
      </c>
      <c r="BK880" s="15" t="s">
        <v>742</v>
      </c>
      <c r="BL880" s="15" t="str">
        <f t="shared" si="2561"/>
        <v>2</v>
      </c>
      <c r="BM880" s="15" t="s">
        <v>8996</v>
      </c>
      <c r="BN880" s="15" t="str">
        <f>"68.5"</f>
        <v>68.5</v>
      </c>
      <c r="BO880" s="15" t="str">
        <f t="shared" si="2574"/>
        <v>58.07</v>
      </c>
      <c r="BP880" s="15" t="str">
        <f t="shared" si="2575"/>
        <v>8.86</v>
      </c>
      <c r="BQ880" s="15" t="str">
        <f>"110.23"</f>
        <v>110.23</v>
      </c>
      <c r="BR880" s="15" t="s">
        <v>8996</v>
      </c>
      <c r="BS880" s="15" t="str">
        <f t="shared" si="2564"/>
        <v>84.65</v>
      </c>
      <c r="BT880" s="15" t="str">
        <f t="shared" si="2565"/>
        <v>14.96</v>
      </c>
      <c r="BU880" s="15" t="str">
        <f t="shared" si="2566"/>
        <v>9.65</v>
      </c>
      <c r="BV880" s="15" t="str">
        <f>"82.67"</f>
        <v>82.67</v>
      </c>
      <c r="CG880" s="15" t="str">
        <f>"27.44"</f>
        <v>27.44</v>
      </c>
      <c r="CH880" s="15" t="str">
        <f>"0.777"</f>
        <v>0.777</v>
      </c>
      <c r="CI880" s="15" t="s">
        <v>497</v>
      </c>
      <c r="CY880" s="15" t="s">
        <v>718</v>
      </c>
      <c r="CZ880" s="15" t="s">
        <v>419</v>
      </c>
      <c r="DA880" s="15">
        <v>0.0</v>
      </c>
      <c r="DB880" s="15" t="s">
        <v>419</v>
      </c>
      <c r="DD880" s="15">
        <v>0.0</v>
      </c>
      <c r="DF880" s="15" t="s">
        <v>1186</v>
      </c>
      <c r="DG880" s="15" t="s">
        <v>419</v>
      </c>
      <c r="DI880" s="15">
        <v>0.0</v>
      </c>
      <c r="DJ880" s="15">
        <v>0.0</v>
      </c>
      <c r="DK880" s="15">
        <v>0.0</v>
      </c>
      <c r="DL880" s="15">
        <v>0.0</v>
      </c>
      <c r="DS880" s="15" t="s">
        <v>8997</v>
      </c>
      <c r="DU880" s="15" t="s">
        <v>858</v>
      </c>
      <c r="EV880" s="15">
        <v>0.0</v>
      </c>
      <c r="HV880" s="15" t="s">
        <v>5304</v>
      </c>
      <c r="HW880" s="15" t="s">
        <v>5304</v>
      </c>
      <c r="HX880" s="15" t="s">
        <v>5304</v>
      </c>
      <c r="HY880" s="15" t="s">
        <v>555</v>
      </c>
      <c r="HZ880" s="15" t="s">
        <v>6267</v>
      </c>
      <c r="IA880" s="15" t="s">
        <v>8998</v>
      </c>
      <c r="IB880" s="15" t="s">
        <v>8999</v>
      </c>
      <c r="IC880" s="15" t="s">
        <v>6267</v>
      </c>
      <c r="ID880" s="15" t="s">
        <v>8998</v>
      </c>
      <c r="IE880" s="15" t="s">
        <v>2971</v>
      </c>
      <c r="IF880" s="15" t="s">
        <v>1957</v>
      </c>
      <c r="IG880" s="15" t="s">
        <v>5852</v>
      </c>
      <c r="IH880" s="15" t="s">
        <v>762</v>
      </c>
      <c r="II880" s="15" t="s">
        <v>9000</v>
      </c>
      <c r="IJ880" s="15" t="s">
        <v>784</v>
      </c>
      <c r="IK880" s="15" t="s">
        <v>426</v>
      </c>
      <c r="IL880" s="15" t="s">
        <v>2471</v>
      </c>
      <c r="IM880" s="15" t="s">
        <v>872</v>
      </c>
      <c r="IN880" s="15" t="s">
        <v>873</v>
      </c>
      <c r="IO880" s="15" t="s">
        <v>877</v>
      </c>
      <c r="IU880" s="15" t="s">
        <v>759</v>
      </c>
      <c r="IV880" s="15" t="s">
        <v>5059</v>
      </c>
      <c r="IW880" s="15" t="s">
        <v>759</v>
      </c>
      <c r="IX880" s="15" t="s">
        <v>426</v>
      </c>
      <c r="IY880" s="15" t="s">
        <v>2474</v>
      </c>
    </row>
    <row r="881" ht="17.25" customHeight="1">
      <c r="A881" s="15" t="s">
        <v>9025</v>
      </c>
      <c r="B881" s="15" t="str">
        <f>"801542827915"</f>
        <v>801542827915</v>
      </c>
      <c r="C881" s="15" t="s">
        <v>22074</v>
      </c>
      <c r="D881" s="15" t="str">
        <f t="shared" si="1"/>
        <v>Saldana Swivel ChairLorento Cognac</v>
      </c>
      <c r="E881" s="15" t="s">
        <v>9022</v>
      </c>
      <c r="F881" s="15" t="s">
        <v>397</v>
      </c>
      <c r="G881" s="15" t="s">
        <v>9024</v>
      </c>
      <c r="J881" s="15" t="s">
        <v>9024</v>
      </c>
      <c r="M881" s="15" t="s">
        <v>915</v>
      </c>
      <c r="N881" s="15" t="s">
        <v>706</v>
      </c>
      <c r="O881" s="15" t="s">
        <v>707</v>
      </c>
      <c r="P881" s="15" t="str">
        <f>"42"</f>
        <v>42</v>
      </c>
      <c r="Q881" s="15" t="str">
        <f>"36"</f>
        <v>36</v>
      </c>
      <c r="R881" s="15" t="str">
        <f>"28"</f>
        <v>28</v>
      </c>
      <c r="S881" s="15" t="str">
        <f>"77.16"</f>
        <v>77.16</v>
      </c>
      <c r="T881" s="15" t="s">
        <v>1600</v>
      </c>
      <c r="U881" s="15" t="s">
        <v>11137</v>
      </c>
      <c r="AA881" s="15" t="s">
        <v>413</v>
      </c>
      <c r="AB881" s="15" t="s">
        <v>413</v>
      </c>
      <c r="AC881" s="15" t="s">
        <v>9027</v>
      </c>
      <c r="AD881" s="15" t="s">
        <v>22075</v>
      </c>
      <c r="AE881" s="15" t="s">
        <v>9026</v>
      </c>
      <c r="AF881" s="15" t="s">
        <v>22076</v>
      </c>
      <c r="AG881" s="15" t="s">
        <v>22077</v>
      </c>
      <c r="AH881" s="15" t="s">
        <v>22078</v>
      </c>
      <c r="AI881" s="15" t="s">
        <v>22079</v>
      </c>
      <c r="AJ881" s="15" t="s">
        <v>22080</v>
      </c>
      <c r="AK881" s="15" t="s">
        <v>22081</v>
      </c>
      <c r="AL881" s="15" t="s">
        <v>22082</v>
      </c>
      <c r="AM881" s="15" t="s">
        <v>22083</v>
      </c>
      <c r="AN881" s="15" t="s">
        <v>22084</v>
      </c>
      <c r="AO881" s="15" t="s">
        <v>22085</v>
      </c>
      <c r="AP881" s="15" t="s">
        <v>22086</v>
      </c>
      <c r="BH881" s="15" t="s">
        <v>9023</v>
      </c>
      <c r="BI881" s="15" t="str">
        <f>"1899"</f>
        <v>1899</v>
      </c>
      <c r="BJ881" s="15" t="str">
        <f>"800"</f>
        <v>800</v>
      </c>
      <c r="BK881" s="15" t="s">
        <v>709</v>
      </c>
      <c r="BL881" s="15" t="str">
        <f t="shared" ref="BL881:BL883" si="2576">"1"</f>
        <v>1</v>
      </c>
      <c r="BM881" s="15" t="s">
        <v>416</v>
      </c>
      <c r="BN881" s="15" t="str">
        <f>"43.31"</f>
        <v>43.31</v>
      </c>
      <c r="BO881" s="15" t="str">
        <f>"37.8"</f>
        <v>37.8</v>
      </c>
      <c r="BP881" s="15" t="str">
        <f>"29.92"</f>
        <v>29.92</v>
      </c>
      <c r="BQ881" s="15" t="str">
        <f>"92.59"</f>
        <v>92.59</v>
      </c>
      <c r="CG881" s="15" t="str">
        <f>"28.36"</f>
        <v>28.36</v>
      </c>
      <c r="CH881" s="15" t="str">
        <f>"0.803"</f>
        <v>0.803</v>
      </c>
      <c r="CI881" s="15" t="s">
        <v>465</v>
      </c>
      <c r="CS881" s="15" t="s">
        <v>1286</v>
      </c>
      <c r="CT881" s="15" t="s">
        <v>467</v>
      </c>
      <c r="CV881" s="15">
        <v>0.0</v>
      </c>
      <c r="CW881" s="15">
        <v>0.0</v>
      </c>
      <c r="CX881" s="15" t="s">
        <v>717</v>
      </c>
      <c r="CY881" s="15" t="s">
        <v>718</v>
      </c>
      <c r="DC881" s="15" t="s">
        <v>9028</v>
      </c>
      <c r="DF881" s="15" t="s">
        <v>721</v>
      </c>
      <c r="DG881" s="15" t="s">
        <v>1605</v>
      </c>
      <c r="DH881" s="15">
        <v>0.0</v>
      </c>
      <c r="DL881" s="15">
        <v>0.0</v>
      </c>
      <c r="DM881" s="15" t="s">
        <v>990</v>
      </c>
      <c r="DN881" s="15" t="s">
        <v>723</v>
      </c>
      <c r="DP881" s="15">
        <v>1.0</v>
      </c>
      <c r="DQ881" s="15">
        <v>1.0</v>
      </c>
      <c r="DS881" s="15" t="s">
        <v>9029</v>
      </c>
      <c r="DT881" s="15">
        <v>0.0</v>
      </c>
      <c r="DU881" s="15" t="s">
        <v>726</v>
      </c>
      <c r="DV881" s="15" t="s">
        <v>525</v>
      </c>
      <c r="DW881" s="15" t="s">
        <v>477</v>
      </c>
      <c r="DX881" s="15" t="s">
        <v>1806</v>
      </c>
      <c r="EB881" s="15" t="s">
        <v>475</v>
      </c>
      <c r="EI881" s="15" t="s">
        <v>475</v>
      </c>
      <c r="EO881" s="15" t="s">
        <v>1290</v>
      </c>
      <c r="EX881" s="15" t="s">
        <v>1065</v>
      </c>
      <c r="EY881" s="15" t="s">
        <v>1064</v>
      </c>
      <c r="EZ881" s="15">
        <v>0.0</v>
      </c>
      <c r="FA881" s="15">
        <v>0.0</v>
      </c>
      <c r="FC881" s="15">
        <v>0.0</v>
      </c>
      <c r="HU881" s="15" t="s">
        <v>1610</v>
      </c>
    </row>
    <row r="882" ht="17.25" customHeight="1">
      <c r="A882" s="15" t="s">
        <v>9033</v>
      </c>
      <c r="B882" s="15" t="str">
        <f>"801542806026"</f>
        <v>801542806026</v>
      </c>
      <c r="C882" s="15" t="s">
        <v>22087</v>
      </c>
      <c r="D882" s="15" t="str">
        <f t="shared" si="1"/>
        <v>Samena ChairNubuck Nude</v>
      </c>
      <c r="E882" s="15" t="s">
        <v>9030</v>
      </c>
      <c r="F882" s="15" t="s">
        <v>397</v>
      </c>
      <c r="G882" s="15" t="s">
        <v>9032</v>
      </c>
      <c r="J882" s="15" t="s">
        <v>9032</v>
      </c>
      <c r="K882" s="15" t="s">
        <v>2760</v>
      </c>
      <c r="L882" s="15" t="s">
        <v>7054</v>
      </c>
      <c r="M882" s="15" t="s">
        <v>2759</v>
      </c>
      <c r="N882" s="15" t="s">
        <v>706</v>
      </c>
      <c r="O882" s="15" t="s">
        <v>707</v>
      </c>
      <c r="P882" s="15" t="str">
        <f>"45"</f>
        <v>45</v>
      </c>
      <c r="Q882" s="15" t="str">
        <f>"39"</f>
        <v>39</v>
      </c>
      <c r="R882" s="15" t="str">
        <f>"29.5"</f>
        <v>29.5</v>
      </c>
      <c r="S882" s="15" t="str">
        <f>"111.99"</f>
        <v>111.99</v>
      </c>
      <c r="T882" s="15" t="s">
        <v>2491</v>
      </c>
      <c r="U882" s="15" t="s">
        <v>11137</v>
      </c>
      <c r="V882" s="15" t="s">
        <v>11338</v>
      </c>
      <c r="AA882" s="15" t="s">
        <v>413</v>
      </c>
      <c r="AB882" s="15" t="s">
        <v>413</v>
      </c>
      <c r="AC882" s="15" t="s">
        <v>9036</v>
      </c>
      <c r="AD882" s="15" t="s">
        <v>22088</v>
      </c>
      <c r="AE882" s="15" t="s">
        <v>9035</v>
      </c>
      <c r="AF882" s="15" t="s">
        <v>22089</v>
      </c>
      <c r="AG882" s="15" t="s">
        <v>22090</v>
      </c>
      <c r="AH882" s="15" t="s">
        <v>22091</v>
      </c>
      <c r="AI882" s="15" t="s">
        <v>22092</v>
      </c>
      <c r="AJ882" s="15" t="s">
        <v>22093</v>
      </c>
      <c r="AK882" s="15" t="s">
        <v>22094</v>
      </c>
      <c r="AL882" s="15" t="s">
        <v>22095</v>
      </c>
      <c r="AM882" s="15" t="s">
        <v>22096</v>
      </c>
      <c r="AN882" s="15" t="s">
        <v>22097</v>
      </c>
      <c r="AO882" s="15" t="s">
        <v>22098</v>
      </c>
      <c r="AP882" s="15" t="s">
        <v>22099</v>
      </c>
      <c r="AQ882" s="15" t="s">
        <v>17963</v>
      </c>
      <c r="BH882" s="15" t="s">
        <v>9031</v>
      </c>
      <c r="BI882" s="15" t="str">
        <f>"3599"</f>
        <v>3599</v>
      </c>
      <c r="BJ882" s="15" t="str">
        <f>"1515"</f>
        <v>1515</v>
      </c>
      <c r="BK882" s="15" t="s">
        <v>742</v>
      </c>
      <c r="BL882" s="15" t="str">
        <f t="shared" si="2576"/>
        <v>1</v>
      </c>
      <c r="BM882" s="15" t="s">
        <v>416</v>
      </c>
      <c r="BN882" s="15" t="str">
        <f>"45.87"</f>
        <v>45.87</v>
      </c>
      <c r="BO882" s="15" t="str">
        <f>"43.31"</f>
        <v>43.31</v>
      </c>
      <c r="BP882" s="15" t="str">
        <f>"36.22"</f>
        <v>36.22</v>
      </c>
      <c r="BQ882" s="15" t="str">
        <f>"154.98"</f>
        <v>154.98</v>
      </c>
      <c r="CG882" s="15" t="str">
        <f>"41.64"</f>
        <v>41.64</v>
      </c>
      <c r="CH882" s="15" t="str">
        <f>"1.179"</f>
        <v>1.179</v>
      </c>
      <c r="CI882" s="15" t="s">
        <v>417</v>
      </c>
      <c r="CS882" s="15" t="s">
        <v>3927</v>
      </c>
      <c r="CT882" s="15" t="s">
        <v>1604</v>
      </c>
      <c r="CU882" s="15" t="s">
        <v>1488</v>
      </c>
      <c r="CV882" s="15">
        <v>0.0</v>
      </c>
      <c r="CW882" s="15">
        <v>0.0</v>
      </c>
      <c r="CX882" s="15" t="s">
        <v>717</v>
      </c>
      <c r="CY882" s="15" t="s">
        <v>718</v>
      </c>
      <c r="DG882" s="15" t="s">
        <v>419</v>
      </c>
      <c r="DH882" s="15">
        <v>0.0</v>
      </c>
      <c r="DL882" s="15">
        <v>0.0</v>
      </c>
      <c r="DM882" s="15" t="s">
        <v>3384</v>
      </c>
      <c r="DP882" s="15">
        <v>0.0</v>
      </c>
      <c r="DQ882" s="15">
        <v>1.0</v>
      </c>
      <c r="DS882" s="15" t="s">
        <v>9039</v>
      </c>
      <c r="DT882" s="15">
        <v>0.0</v>
      </c>
      <c r="DU882" s="15" t="s">
        <v>726</v>
      </c>
      <c r="DV882" s="15" t="s">
        <v>2647</v>
      </c>
      <c r="DW882" s="15" t="s">
        <v>2841</v>
      </c>
      <c r="DX882" s="15" t="s">
        <v>3512</v>
      </c>
      <c r="EB882" s="15" t="s">
        <v>7417</v>
      </c>
      <c r="EF882" s="15" t="s">
        <v>5055</v>
      </c>
      <c r="EG882" s="15" t="s">
        <v>2019</v>
      </c>
      <c r="EH882" s="15" t="s">
        <v>9040</v>
      </c>
      <c r="EI882" s="15" t="s">
        <v>4470</v>
      </c>
      <c r="EU882" s="15" t="s">
        <v>426</v>
      </c>
      <c r="EX882" s="15" t="s">
        <v>2507</v>
      </c>
      <c r="EY882" s="15" t="s">
        <v>9041</v>
      </c>
      <c r="EZ882" s="15">
        <v>0.0</v>
      </c>
      <c r="FA882" s="15">
        <v>0.0</v>
      </c>
      <c r="FC882" s="15">
        <v>0.0</v>
      </c>
    </row>
    <row r="883" ht="17.25" customHeight="1">
      <c r="A883" s="15" t="s">
        <v>9045</v>
      </c>
      <c r="B883" s="15" t="str">
        <f>"198394067645"</f>
        <v>198394067645</v>
      </c>
      <c r="C883" s="15" t="s">
        <v>22100</v>
      </c>
      <c r="D883" s="15" t="str">
        <f t="shared" si="1"/>
        <v>Sandro ChairChampagne Mongolian Fur</v>
      </c>
      <c r="E883" s="15" t="s">
        <v>9042</v>
      </c>
      <c r="F883" s="15" t="s">
        <v>397</v>
      </c>
      <c r="G883" s="15" t="s">
        <v>9044</v>
      </c>
      <c r="J883" s="15" t="s">
        <v>9044</v>
      </c>
      <c r="K883" s="15" t="s">
        <v>978</v>
      </c>
      <c r="M883" s="15" t="s">
        <v>915</v>
      </c>
      <c r="N883" s="15" t="s">
        <v>706</v>
      </c>
      <c r="O883" s="15" t="s">
        <v>707</v>
      </c>
      <c r="P883" s="15" t="str">
        <f>"29.5"</f>
        <v>29.5</v>
      </c>
      <c r="Q883" s="15" t="str">
        <f>"42.25"</f>
        <v>42.25</v>
      </c>
      <c r="R883" s="15" t="str">
        <f>"32.5"</f>
        <v>32.5</v>
      </c>
      <c r="S883" s="15" t="str">
        <f>"45.19"</f>
        <v>45.19</v>
      </c>
      <c r="T883" s="15" t="s">
        <v>9047</v>
      </c>
      <c r="U883" s="15" t="s">
        <v>22101</v>
      </c>
      <c r="V883" s="15" t="s">
        <v>11210</v>
      </c>
      <c r="AA883" s="15" t="s">
        <v>413</v>
      </c>
      <c r="AB883" s="15" t="s">
        <v>413</v>
      </c>
      <c r="AC883" s="15" t="s">
        <v>1227</v>
      </c>
      <c r="AD883" s="15" t="s">
        <v>22102</v>
      </c>
      <c r="AE883" s="15" t="s">
        <v>9046</v>
      </c>
      <c r="AF883" s="15" t="s">
        <v>22103</v>
      </c>
      <c r="AG883" s="15" t="s">
        <v>22104</v>
      </c>
      <c r="AH883" s="15" t="s">
        <v>22105</v>
      </c>
      <c r="AI883" s="15" t="s">
        <v>22106</v>
      </c>
      <c r="AJ883" s="15" t="s">
        <v>22107</v>
      </c>
      <c r="AK883" s="15" t="s">
        <v>22108</v>
      </c>
      <c r="AL883" s="15" t="s">
        <v>22109</v>
      </c>
      <c r="AM883" s="15" t="s">
        <v>22110</v>
      </c>
      <c r="AN883" s="15" t="s">
        <v>22111</v>
      </c>
      <c r="AO883" s="15" t="s">
        <v>22112</v>
      </c>
      <c r="AP883" s="15" t="s">
        <v>22113</v>
      </c>
      <c r="AQ883" s="15" t="s">
        <v>22114</v>
      </c>
      <c r="BH883" s="15" t="s">
        <v>9043</v>
      </c>
      <c r="BI883" s="15" t="str">
        <f>"2399"</f>
        <v>2399</v>
      </c>
      <c r="BJ883" s="15" t="str">
        <f>"1010"</f>
        <v>1010</v>
      </c>
      <c r="BK883" s="15" t="s">
        <v>709</v>
      </c>
      <c r="BL883" s="15" t="str">
        <f t="shared" si="2576"/>
        <v>1</v>
      </c>
      <c r="BM883" s="15" t="s">
        <v>1208</v>
      </c>
      <c r="BN883" s="15" t="str">
        <f>"31.1"</f>
        <v>31.1</v>
      </c>
      <c r="BO883" s="15" t="str">
        <f>"42.91"</f>
        <v>42.91</v>
      </c>
      <c r="BP883" s="15" t="str">
        <f>"33.86"</f>
        <v>33.86</v>
      </c>
      <c r="BQ883" s="15" t="str">
        <f>"67.24"</f>
        <v>67.24</v>
      </c>
      <c r="CG883" s="15" t="str">
        <f>"23.87"</f>
        <v>23.87</v>
      </c>
      <c r="CH883" s="15" t="str">
        <f>"0.676"</f>
        <v>0.676</v>
      </c>
      <c r="CI883" s="15" t="s">
        <v>497</v>
      </c>
      <c r="CS883" s="15" t="s">
        <v>1211</v>
      </c>
      <c r="CT883" s="15" t="s">
        <v>1065</v>
      </c>
      <c r="CV883" s="15">
        <v>0.0</v>
      </c>
      <c r="CW883" s="15">
        <v>0.0</v>
      </c>
      <c r="CX883" s="15" t="s">
        <v>717</v>
      </c>
      <c r="CY883" s="15" t="s">
        <v>718</v>
      </c>
      <c r="DF883" s="15" t="s">
        <v>989</v>
      </c>
      <c r="DG883" s="15" t="s">
        <v>419</v>
      </c>
      <c r="DH883" s="15">
        <v>0.0</v>
      </c>
      <c r="DL883" s="15">
        <v>0.0</v>
      </c>
      <c r="DM883" s="15" t="s">
        <v>990</v>
      </c>
      <c r="DP883" s="15">
        <v>0.0</v>
      </c>
      <c r="DQ883" s="15">
        <v>1.0</v>
      </c>
      <c r="DS883" s="15" t="s">
        <v>9049</v>
      </c>
      <c r="DT883" s="15">
        <v>0.0</v>
      </c>
      <c r="DU883" s="15" t="s">
        <v>726</v>
      </c>
      <c r="DV883" s="15" t="s">
        <v>1212</v>
      </c>
      <c r="DW883" s="15" t="s">
        <v>2547</v>
      </c>
      <c r="DX883" s="15" t="s">
        <v>1072</v>
      </c>
      <c r="EB883" s="15" t="s">
        <v>672</v>
      </c>
      <c r="EF883" s="15" t="s">
        <v>635</v>
      </c>
      <c r="EG883" s="15" t="s">
        <v>2840</v>
      </c>
      <c r="EH883" s="15" t="s">
        <v>1806</v>
      </c>
      <c r="EI883" s="15" t="s">
        <v>1592</v>
      </c>
      <c r="EO883" s="15" t="s">
        <v>1239</v>
      </c>
      <c r="EX883" s="15" t="s">
        <v>1286</v>
      </c>
      <c r="EY883" s="15" t="s">
        <v>555</v>
      </c>
      <c r="EZ883" s="15">
        <v>0.0</v>
      </c>
      <c r="FA883" s="15">
        <v>0.0</v>
      </c>
      <c r="FC883" s="15">
        <v>0.0</v>
      </c>
    </row>
    <row r="884" ht="17.25" customHeight="1">
      <c r="A884" s="15" t="s">
        <v>9053</v>
      </c>
      <c r="B884" s="15" t="str">
        <f>"801542642471"</f>
        <v>801542642471</v>
      </c>
      <c r="C884" s="15" t="s">
        <v>22115</v>
      </c>
      <c r="D884" s="15" t="str">
        <f t="shared" si="1"/>
        <v>Scout Bar &amp; Counter TableAuburn Mango42</v>
      </c>
      <c r="E884" s="15" t="s">
        <v>9050</v>
      </c>
      <c r="F884" s="15" t="s">
        <v>397</v>
      </c>
      <c r="G884" s="15" t="s">
        <v>9052</v>
      </c>
      <c r="H884" s="15" t="s">
        <v>265</v>
      </c>
      <c r="I884" s="15" t="s">
        <v>2557</v>
      </c>
      <c r="J884" s="15" t="s">
        <v>2246</v>
      </c>
      <c r="K884" s="15" t="s">
        <v>9052</v>
      </c>
      <c r="M884" s="15" t="s">
        <v>2231</v>
      </c>
      <c r="N884" s="15" t="s">
        <v>548</v>
      </c>
      <c r="O884" s="15" t="s">
        <v>4401</v>
      </c>
      <c r="P884" s="15" t="str">
        <f t="shared" ref="P884:P889" si="2577">"70"</f>
        <v>70</v>
      </c>
      <c r="Q884" s="15" t="str">
        <f>"28"</f>
        <v>28</v>
      </c>
      <c r="R884" s="15" t="str">
        <f>"42"</f>
        <v>42</v>
      </c>
      <c r="S884" s="15" t="str">
        <f>"189.48"</f>
        <v>189.48</v>
      </c>
      <c r="T884" s="15" t="s">
        <v>9056</v>
      </c>
      <c r="U884" s="15" t="s">
        <v>11754</v>
      </c>
      <c r="V884" s="15" t="s">
        <v>13228</v>
      </c>
      <c r="AA884" s="15" t="s">
        <v>413</v>
      </c>
      <c r="AB884" s="15" t="s">
        <v>413</v>
      </c>
      <c r="AC884" s="15" t="s">
        <v>9057</v>
      </c>
      <c r="AD884" s="15" t="s">
        <v>22116</v>
      </c>
      <c r="AE884" s="15" t="s">
        <v>9055</v>
      </c>
      <c r="AF884" s="15" t="s">
        <v>22117</v>
      </c>
      <c r="AG884" s="15" t="s">
        <v>22118</v>
      </c>
      <c r="AH884" s="15" t="s">
        <v>22119</v>
      </c>
      <c r="AI884" s="15" t="s">
        <v>22120</v>
      </c>
      <c r="AJ884" s="15" t="s">
        <v>22121</v>
      </c>
      <c r="AK884" s="15" t="s">
        <v>22122</v>
      </c>
      <c r="AL884" s="15" t="s">
        <v>22123</v>
      </c>
      <c r="AM884" s="15" t="s">
        <v>22124</v>
      </c>
      <c r="AN884" s="15" t="s">
        <v>22125</v>
      </c>
      <c r="BH884" s="15" t="s">
        <v>9051</v>
      </c>
      <c r="BI884" s="15" t="str">
        <f>"1199"</f>
        <v>1199</v>
      </c>
      <c r="BJ884" s="15" t="str">
        <f>"505"</f>
        <v>505</v>
      </c>
      <c r="BK884" s="15" t="s">
        <v>1303</v>
      </c>
      <c r="BL884" s="15" t="str">
        <f t="shared" ref="BL884:BL886" si="2578">"2"</f>
        <v>2</v>
      </c>
      <c r="BM884" s="15" t="s">
        <v>1564</v>
      </c>
      <c r="BN884" s="15" t="str">
        <f t="shared" ref="BN884:BN886" si="2579">"77.25"</f>
        <v>77.25</v>
      </c>
      <c r="BO884" s="15" t="str">
        <f t="shared" ref="BO884:BO886" si="2580">"7.5"</f>
        <v>7.5</v>
      </c>
      <c r="BP884" s="15" t="str">
        <f>"30.75"</f>
        <v>30.75</v>
      </c>
      <c r="BQ884" s="15" t="str">
        <f>"195.77"</f>
        <v>195.77</v>
      </c>
      <c r="BR884" s="15" t="s">
        <v>5617</v>
      </c>
      <c r="BS884" s="15" t="str">
        <f>"69"</f>
        <v>69</v>
      </c>
      <c r="BT884" s="15" t="str">
        <f t="shared" ref="BT884:BT886" si="2581">"10.25"</f>
        <v>10.25</v>
      </c>
      <c r="BU884" s="15" t="str">
        <f>"46.5"</f>
        <v>46.5</v>
      </c>
      <c r="BV884" s="15" t="str">
        <f>"110.56"</f>
        <v>110.56</v>
      </c>
      <c r="CG884" s="15" t="str">
        <f>"29.35"</f>
        <v>29.35</v>
      </c>
      <c r="CH884" s="15" t="str">
        <f>"0.831"</f>
        <v>0.831</v>
      </c>
      <c r="CI884" s="15" t="s">
        <v>417</v>
      </c>
      <c r="CZ884" s="15" t="s">
        <v>419</v>
      </c>
      <c r="DA884" s="15">
        <v>0.0</v>
      </c>
      <c r="DB884" s="15" t="s">
        <v>419</v>
      </c>
      <c r="DD884" s="15">
        <v>0.0</v>
      </c>
      <c r="DF884" s="15" t="s">
        <v>1111</v>
      </c>
      <c r="DG884" s="15" t="s">
        <v>419</v>
      </c>
      <c r="DI884" s="15">
        <v>0.0</v>
      </c>
      <c r="DJ884" s="15">
        <v>0.0</v>
      </c>
      <c r="DK884" s="15">
        <v>0.0</v>
      </c>
      <c r="DQ884" s="15">
        <v>6.0</v>
      </c>
      <c r="DR884" s="15" t="s">
        <v>471</v>
      </c>
      <c r="DS884" s="15" t="s">
        <v>9062</v>
      </c>
      <c r="DU884" s="15" t="s">
        <v>500</v>
      </c>
      <c r="EF884" s="15" t="s">
        <v>1236</v>
      </c>
      <c r="EG884" s="15" t="s">
        <v>9063</v>
      </c>
      <c r="EH884" s="15" t="s">
        <v>3023</v>
      </c>
      <c r="EQ884" s="15" t="s">
        <v>1574</v>
      </c>
      <c r="ER884" s="15" t="s">
        <v>3332</v>
      </c>
      <c r="ES884" s="15" t="s">
        <v>9064</v>
      </c>
      <c r="ET884" s="15" t="s">
        <v>1512</v>
      </c>
      <c r="EU884" s="15" t="s">
        <v>426</v>
      </c>
      <c r="EV884" s="15">
        <v>0.0</v>
      </c>
      <c r="EW884" s="15">
        <v>0.0</v>
      </c>
      <c r="FD884" s="15" t="s">
        <v>1236</v>
      </c>
      <c r="IO884" s="15" t="s">
        <v>4412</v>
      </c>
    </row>
    <row r="885" ht="17.25" customHeight="1">
      <c r="A885" s="15" t="s">
        <v>9066</v>
      </c>
      <c r="B885" s="15" t="str">
        <f>"801542642488"</f>
        <v>801542642488</v>
      </c>
      <c r="C885" s="15" t="s">
        <v>22115</v>
      </c>
      <c r="D885" s="15" t="str">
        <f t="shared" si="1"/>
        <v>Scout Bar &amp; Counter TableAuburn Mango36</v>
      </c>
      <c r="E885" s="15" t="s">
        <v>9050</v>
      </c>
      <c r="F885" s="15" t="s">
        <v>397</v>
      </c>
      <c r="G885" s="15" t="s">
        <v>9052</v>
      </c>
      <c r="H885" s="15" t="s">
        <v>265</v>
      </c>
      <c r="I885" s="15" t="s">
        <v>622</v>
      </c>
      <c r="J885" s="15" t="s">
        <v>2246</v>
      </c>
      <c r="K885" s="15" t="s">
        <v>9052</v>
      </c>
      <c r="M885" s="15" t="s">
        <v>2231</v>
      </c>
      <c r="N885" s="15" t="s">
        <v>548</v>
      </c>
      <c r="O885" s="15" t="s">
        <v>4401</v>
      </c>
      <c r="P885" s="15" t="str">
        <f t="shared" si="2577"/>
        <v>70</v>
      </c>
      <c r="Q885" s="15" t="str">
        <f t="shared" ref="Q885:Q886" si="2582">"26"</f>
        <v>26</v>
      </c>
      <c r="R885" s="15" t="str">
        <f t="shared" ref="R885:R886" si="2583">"36"</f>
        <v>36</v>
      </c>
      <c r="S885" s="15" t="str">
        <f t="shared" ref="S885:S886" si="2584">"182.18"</f>
        <v>182.18</v>
      </c>
      <c r="T885" s="15" t="s">
        <v>9056</v>
      </c>
      <c r="U885" s="15" t="s">
        <v>11754</v>
      </c>
      <c r="V885" s="15" t="s">
        <v>13228</v>
      </c>
      <c r="AA885" s="15" t="s">
        <v>413</v>
      </c>
      <c r="AB885" s="15" t="s">
        <v>413</v>
      </c>
      <c r="AC885" s="15" t="s">
        <v>9069</v>
      </c>
      <c r="AD885" s="15" t="s">
        <v>22126</v>
      </c>
      <c r="AE885" s="15" t="s">
        <v>9068</v>
      </c>
      <c r="AF885" s="15" t="s">
        <v>22127</v>
      </c>
      <c r="AG885" s="15" t="s">
        <v>22128</v>
      </c>
      <c r="AH885" s="15" t="s">
        <v>22129</v>
      </c>
      <c r="AI885" s="15" t="s">
        <v>22130</v>
      </c>
      <c r="AJ885" s="15" t="s">
        <v>22131</v>
      </c>
      <c r="AK885" s="15" t="s">
        <v>22132</v>
      </c>
      <c r="AL885" s="15" t="s">
        <v>22133</v>
      </c>
      <c r="AM885" s="15" t="s">
        <v>22134</v>
      </c>
      <c r="AN885" s="15" t="s">
        <v>22135</v>
      </c>
      <c r="BH885" s="15" t="s">
        <v>9065</v>
      </c>
      <c r="BI885" s="15" t="str">
        <f t="shared" ref="BI885:BI886" si="2585">"1099"</f>
        <v>1099</v>
      </c>
      <c r="BJ885" s="15" t="str">
        <f t="shared" ref="BJ885:BJ886" si="2586">"465"</f>
        <v>465</v>
      </c>
      <c r="BK885" s="15" t="s">
        <v>1303</v>
      </c>
      <c r="BL885" s="15" t="str">
        <f t="shared" si="2578"/>
        <v>2</v>
      </c>
      <c r="BM885" s="15" t="s">
        <v>1564</v>
      </c>
      <c r="BN885" s="15" t="str">
        <f t="shared" si="2579"/>
        <v>77.25</v>
      </c>
      <c r="BO885" s="15" t="str">
        <f t="shared" si="2580"/>
        <v>7.5</v>
      </c>
      <c r="BP885" s="15" t="str">
        <f t="shared" ref="BP885:BP886" si="2587">"30"</f>
        <v>30</v>
      </c>
      <c r="BQ885" s="15" t="str">
        <f t="shared" ref="BQ885:BQ886" si="2588">"186.29"</f>
        <v>186.29</v>
      </c>
      <c r="BR885" s="15" t="s">
        <v>5617</v>
      </c>
      <c r="BS885" s="15" t="str">
        <f t="shared" ref="BS885:BS886" si="2589">"67"</f>
        <v>67</v>
      </c>
      <c r="BT885" s="15" t="str">
        <f t="shared" si="2581"/>
        <v>10.25</v>
      </c>
      <c r="BU885" s="15" t="str">
        <f t="shared" ref="BU885:BU886" si="2590">"44"</f>
        <v>44</v>
      </c>
      <c r="BV885" s="15" t="str">
        <f t="shared" ref="BV885:BV886" si="2591">"94.58"</f>
        <v>94.58</v>
      </c>
      <c r="CG885" s="15" t="str">
        <f t="shared" ref="CG885:CG886" si="2592">"27.55"</f>
        <v>27.55</v>
      </c>
      <c r="CH885" s="15" t="str">
        <f t="shared" ref="CH885:CH886" si="2593">"0.78"</f>
        <v>0.78</v>
      </c>
      <c r="CI885" s="15" t="s">
        <v>417</v>
      </c>
      <c r="CZ885" s="15" t="s">
        <v>419</v>
      </c>
      <c r="DA885" s="15">
        <v>0.0</v>
      </c>
      <c r="DB885" s="15" t="s">
        <v>419</v>
      </c>
      <c r="DD885" s="15">
        <v>0.0</v>
      </c>
      <c r="DF885" s="15" t="s">
        <v>1111</v>
      </c>
      <c r="DG885" s="15" t="s">
        <v>419</v>
      </c>
      <c r="DI885" s="15">
        <v>0.0</v>
      </c>
      <c r="DJ885" s="15">
        <v>0.0</v>
      </c>
      <c r="DK885" s="15">
        <v>0.0</v>
      </c>
      <c r="DQ885" s="15">
        <v>6.0</v>
      </c>
      <c r="DR885" s="15" t="s">
        <v>471</v>
      </c>
      <c r="DS885" s="15" t="s">
        <v>9062</v>
      </c>
      <c r="DU885" s="15" t="s">
        <v>500</v>
      </c>
      <c r="EF885" s="15" t="s">
        <v>1236</v>
      </c>
      <c r="EG885" s="15" t="s">
        <v>9070</v>
      </c>
      <c r="EH885" s="15" t="s">
        <v>4590</v>
      </c>
      <c r="EQ885" s="15" t="s">
        <v>1806</v>
      </c>
      <c r="ER885" s="15" t="s">
        <v>4339</v>
      </c>
      <c r="ES885" s="15" t="s">
        <v>2570</v>
      </c>
      <c r="ET885" s="15" t="s">
        <v>1512</v>
      </c>
      <c r="EU885" s="15" t="s">
        <v>426</v>
      </c>
      <c r="EV885" s="15">
        <v>0.0</v>
      </c>
      <c r="EW885" s="15">
        <v>0.0</v>
      </c>
      <c r="FD885" s="15" t="s">
        <v>1236</v>
      </c>
      <c r="IO885" s="15" t="s">
        <v>4593</v>
      </c>
    </row>
    <row r="886" ht="17.25" customHeight="1">
      <c r="A886" s="15" t="s">
        <v>9072</v>
      </c>
      <c r="B886" s="15" t="str">
        <f>"801542067656"</f>
        <v>801542067656</v>
      </c>
      <c r="C886" s="15" t="s">
        <v>22136</v>
      </c>
      <c r="D886" s="15" t="str">
        <f t="shared" si="1"/>
        <v>Scout Bar &amp; Counter TablePolished Black Marble</v>
      </c>
      <c r="E886" s="15" t="s">
        <v>9050</v>
      </c>
      <c r="F886" s="15" t="s">
        <v>397</v>
      </c>
      <c r="G886" s="15" t="s">
        <v>3600</v>
      </c>
      <c r="J886" s="15" t="s">
        <v>3600</v>
      </c>
      <c r="K886" s="15" t="s">
        <v>9074</v>
      </c>
      <c r="M886" s="15" t="s">
        <v>2231</v>
      </c>
      <c r="N886" s="15" t="s">
        <v>548</v>
      </c>
      <c r="O886" s="15" t="s">
        <v>4401</v>
      </c>
      <c r="P886" s="15" t="str">
        <f t="shared" si="2577"/>
        <v>70</v>
      </c>
      <c r="Q886" s="15" t="str">
        <f t="shared" si="2582"/>
        <v>26</v>
      </c>
      <c r="R886" s="15" t="str">
        <f t="shared" si="2583"/>
        <v>36</v>
      </c>
      <c r="S886" s="15" t="str">
        <f t="shared" si="2584"/>
        <v>182.18</v>
      </c>
      <c r="T886" s="15" t="s">
        <v>9056</v>
      </c>
      <c r="U886" s="15" t="s">
        <v>11754</v>
      </c>
      <c r="V886" s="15" t="s">
        <v>13228</v>
      </c>
      <c r="AA886" s="15" t="s">
        <v>413</v>
      </c>
      <c r="AB886" s="15" t="s">
        <v>413</v>
      </c>
      <c r="AC886" s="15" t="s">
        <v>9075</v>
      </c>
      <c r="AD886" s="15" t="s">
        <v>22137</v>
      </c>
      <c r="AE886" s="15" t="s">
        <v>9073</v>
      </c>
      <c r="AF886" s="15" t="s">
        <v>22138</v>
      </c>
      <c r="AG886" s="15" t="s">
        <v>22139</v>
      </c>
      <c r="AH886" s="15" t="s">
        <v>22140</v>
      </c>
      <c r="AI886" s="15" t="s">
        <v>22141</v>
      </c>
      <c r="AJ886" s="15" t="s">
        <v>22142</v>
      </c>
      <c r="AK886" s="15" t="s">
        <v>22143</v>
      </c>
      <c r="AL886" s="15" t="s">
        <v>22144</v>
      </c>
      <c r="AM886" s="15" t="s">
        <v>22145</v>
      </c>
      <c r="BH886" s="15" t="s">
        <v>9071</v>
      </c>
      <c r="BI886" s="15" t="str">
        <f t="shared" si="2585"/>
        <v>1099</v>
      </c>
      <c r="BJ886" s="15" t="str">
        <f t="shared" si="2586"/>
        <v>465</v>
      </c>
      <c r="BK886" s="15" t="s">
        <v>1303</v>
      </c>
      <c r="BL886" s="15" t="str">
        <f t="shared" si="2578"/>
        <v>2</v>
      </c>
      <c r="BM886" s="15" t="s">
        <v>1564</v>
      </c>
      <c r="BN886" s="15" t="str">
        <f t="shared" si="2579"/>
        <v>77.25</v>
      </c>
      <c r="BO886" s="15" t="str">
        <f t="shared" si="2580"/>
        <v>7.5</v>
      </c>
      <c r="BP886" s="15" t="str">
        <f t="shared" si="2587"/>
        <v>30</v>
      </c>
      <c r="BQ886" s="15" t="str">
        <f t="shared" si="2588"/>
        <v>186.29</v>
      </c>
      <c r="BR886" s="15" t="s">
        <v>5617</v>
      </c>
      <c r="BS886" s="15" t="str">
        <f t="shared" si="2589"/>
        <v>67</v>
      </c>
      <c r="BT886" s="15" t="str">
        <f t="shared" si="2581"/>
        <v>10.25</v>
      </c>
      <c r="BU886" s="15" t="str">
        <f t="shared" si="2590"/>
        <v>44</v>
      </c>
      <c r="BV886" s="15" t="str">
        <f t="shared" si="2591"/>
        <v>94.58</v>
      </c>
      <c r="CG886" s="15" t="str">
        <f t="shared" si="2592"/>
        <v>27.55</v>
      </c>
      <c r="CH886" s="15" t="str">
        <f t="shared" si="2593"/>
        <v>0.78</v>
      </c>
      <c r="CI886" s="15" t="s">
        <v>497</v>
      </c>
      <c r="CZ886" s="15" t="s">
        <v>419</v>
      </c>
      <c r="DA886" s="15">
        <v>0.0</v>
      </c>
      <c r="DB886" s="15" t="s">
        <v>419</v>
      </c>
      <c r="DD886" s="15">
        <v>0.0</v>
      </c>
      <c r="DF886" s="15" t="s">
        <v>1111</v>
      </c>
      <c r="DG886" s="15" t="s">
        <v>419</v>
      </c>
      <c r="DI886" s="15">
        <v>0.0</v>
      </c>
      <c r="DJ886" s="15">
        <v>0.0</v>
      </c>
      <c r="DK886" s="15">
        <v>0.0</v>
      </c>
      <c r="DQ886" s="15">
        <v>6.0</v>
      </c>
      <c r="DR886" s="15" t="s">
        <v>471</v>
      </c>
      <c r="DS886" s="15" t="s">
        <v>9062</v>
      </c>
      <c r="DU886" s="15" t="s">
        <v>500</v>
      </c>
      <c r="EF886" s="15" t="s">
        <v>1236</v>
      </c>
      <c r="EG886" s="15" t="s">
        <v>9070</v>
      </c>
      <c r="EH886" s="15" t="s">
        <v>4590</v>
      </c>
      <c r="EQ886" s="15" t="s">
        <v>1806</v>
      </c>
      <c r="ER886" s="15" t="s">
        <v>4339</v>
      </c>
      <c r="ES886" s="15" t="s">
        <v>2570</v>
      </c>
      <c r="ET886" s="15" t="s">
        <v>1512</v>
      </c>
      <c r="EU886" s="15" t="s">
        <v>426</v>
      </c>
      <c r="EV886" s="15">
        <v>0.0</v>
      </c>
      <c r="EW886" s="15">
        <v>0.0</v>
      </c>
      <c r="FD886" s="15" t="s">
        <v>1236</v>
      </c>
      <c r="IO886" s="15" t="s">
        <v>4593</v>
      </c>
    </row>
    <row r="887" ht="17.25" customHeight="1">
      <c r="A887" s="15" t="s">
        <v>9078</v>
      </c>
      <c r="B887" s="15" t="str">
        <f>"198394028851"</f>
        <v>198394028851</v>
      </c>
      <c r="C887" s="15" t="s">
        <v>22146</v>
      </c>
      <c r="D887" s="15" t="str">
        <f t="shared" si="1"/>
        <v>Serena Accent BenchAntwerp Cafe</v>
      </c>
      <c r="E887" s="15" t="s">
        <v>9076</v>
      </c>
      <c r="F887" s="15" t="s">
        <v>397</v>
      </c>
      <c r="G887" s="15" t="s">
        <v>4501</v>
      </c>
      <c r="J887" s="15" t="s">
        <v>4501</v>
      </c>
      <c r="M887" s="15" t="s">
        <v>2800</v>
      </c>
      <c r="N887" s="15" t="s">
        <v>458</v>
      </c>
      <c r="O887" s="15" t="s">
        <v>459</v>
      </c>
      <c r="P887" s="15" t="str">
        <f t="shared" si="2577"/>
        <v>70</v>
      </c>
      <c r="Q887" s="15" t="str">
        <f t="shared" ref="Q887:Q889" si="2594">"18"</f>
        <v>18</v>
      </c>
      <c r="R887" s="15" t="str">
        <f t="shared" ref="R887:R889" si="2595">"19"</f>
        <v>19</v>
      </c>
      <c r="S887" s="15" t="str">
        <f t="shared" ref="S887:S889" si="2596">"48.5"</f>
        <v>48.5</v>
      </c>
      <c r="T887" s="15" t="s">
        <v>5411</v>
      </c>
      <c r="U887" s="15" t="s">
        <v>12517</v>
      </c>
      <c r="V887" s="15" t="s">
        <v>12518</v>
      </c>
      <c r="W887" s="15" t="s">
        <v>12519</v>
      </c>
      <c r="AA887" s="15" t="s">
        <v>413</v>
      </c>
      <c r="AB887" s="15" t="s">
        <v>426</v>
      </c>
      <c r="AC887" s="15" t="s">
        <v>9080</v>
      </c>
      <c r="AD887" s="15" t="s">
        <v>22147</v>
      </c>
      <c r="AE887" s="15" t="s">
        <v>9079</v>
      </c>
      <c r="AF887" s="15" t="s">
        <v>22148</v>
      </c>
      <c r="AG887" s="15" t="s">
        <v>22149</v>
      </c>
      <c r="AH887" s="15" t="s">
        <v>22150</v>
      </c>
      <c r="AI887" s="15" t="s">
        <v>22151</v>
      </c>
      <c r="AJ887" s="15" t="s">
        <v>22152</v>
      </c>
      <c r="AK887" s="15" t="s">
        <v>22153</v>
      </c>
      <c r="AL887" s="15" t="s">
        <v>22154</v>
      </c>
      <c r="AM887" s="15" t="s">
        <v>22155</v>
      </c>
      <c r="BH887" s="15" t="s">
        <v>9077</v>
      </c>
      <c r="BI887" s="15" t="str">
        <f>"799"</f>
        <v>799</v>
      </c>
      <c r="BJ887" s="15" t="str">
        <f>"340"</f>
        <v>340</v>
      </c>
      <c r="BK887" s="15" t="s">
        <v>709</v>
      </c>
      <c r="BL887" s="15" t="str">
        <f t="shared" ref="BL887:BL901" si="2597">"1"</f>
        <v>1</v>
      </c>
      <c r="BM887" s="15" t="s">
        <v>416</v>
      </c>
      <c r="BN887" s="15" t="str">
        <f t="shared" ref="BN887:BN889" si="2598">"71.06"</f>
        <v>71.06</v>
      </c>
      <c r="BO887" s="15" t="str">
        <f t="shared" ref="BO887:BO889" si="2599">"19.09"</f>
        <v>19.09</v>
      </c>
      <c r="BP887" s="15" t="str">
        <f t="shared" ref="BP887:BP889" si="2600">"21.26"</f>
        <v>21.26</v>
      </c>
      <c r="BQ887" s="15" t="str">
        <f t="shared" ref="BQ887:BQ889" si="2601">"60.85"</f>
        <v>60.85</v>
      </c>
      <c r="CG887" s="15" t="str">
        <f t="shared" ref="CG887:CG889" si="2602">"16.7"</f>
        <v>16.7</v>
      </c>
      <c r="CH887" s="15" t="str">
        <f t="shared" ref="CH887:CH889" si="2603">"0.473"</f>
        <v>0.473</v>
      </c>
      <c r="CI887" s="15" t="s">
        <v>465</v>
      </c>
      <c r="CP887" s="15" t="s">
        <v>1065</v>
      </c>
      <c r="CQ887" s="15" t="s">
        <v>477</v>
      </c>
      <c r="CR887" s="15" t="s">
        <v>9083</v>
      </c>
      <c r="CS887" s="15" t="s">
        <v>1065</v>
      </c>
      <c r="CT887" s="15" t="s">
        <v>1161</v>
      </c>
      <c r="CU887" s="15" t="s">
        <v>4531</v>
      </c>
      <c r="CV887" s="15">
        <v>0.0</v>
      </c>
      <c r="CW887" s="15">
        <v>0.0</v>
      </c>
      <c r="CX887" s="15" t="s">
        <v>469</v>
      </c>
      <c r="CY887" s="15" t="s">
        <v>855</v>
      </c>
      <c r="CZ887" s="15" t="s">
        <v>419</v>
      </c>
      <c r="DA887" s="15">
        <v>0.0</v>
      </c>
      <c r="DB887" s="15" t="s">
        <v>419</v>
      </c>
      <c r="DC887" s="15" t="s">
        <v>1239</v>
      </c>
      <c r="DD887" s="15">
        <v>0.0</v>
      </c>
      <c r="DF887" s="15" t="s">
        <v>721</v>
      </c>
      <c r="DG887" s="15" t="s">
        <v>419</v>
      </c>
      <c r="DH887" s="15">
        <v>0.0</v>
      </c>
      <c r="DI887" s="15">
        <v>0.0</v>
      </c>
      <c r="DJ887" s="15">
        <v>0.0</v>
      </c>
      <c r="DK887" s="15">
        <v>0.0</v>
      </c>
      <c r="DL887" s="15">
        <v>30000.0</v>
      </c>
      <c r="DM887" s="15" t="s">
        <v>470</v>
      </c>
      <c r="DN887" s="15" t="s">
        <v>723</v>
      </c>
      <c r="DO887" s="15" t="s">
        <v>724</v>
      </c>
      <c r="DP887" s="15">
        <v>1.0</v>
      </c>
      <c r="DQ887" s="15">
        <v>3.0</v>
      </c>
      <c r="DR887" s="15" t="s">
        <v>471</v>
      </c>
      <c r="DS887" s="15" t="s">
        <v>9084</v>
      </c>
      <c r="DT887" s="15">
        <v>0.0</v>
      </c>
      <c r="DU887" s="15" t="s">
        <v>473</v>
      </c>
      <c r="DV887" s="15" t="s">
        <v>467</v>
      </c>
      <c r="DW887" s="15" t="s">
        <v>672</v>
      </c>
      <c r="EB887" s="15" t="s">
        <v>940</v>
      </c>
      <c r="EF887" s="15" t="s">
        <v>8108</v>
      </c>
      <c r="EH887" s="15" t="s">
        <v>9085</v>
      </c>
      <c r="EO887" s="15" t="s">
        <v>1239</v>
      </c>
      <c r="EU887" s="15" t="s">
        <v>426</v>
      </c>
    </row>
    <row r="888" ht="17.25" customHeight="1">
      <c r="A888" s="15" t="s">
        <v>9088</v>
      </c>
      <c r="B888" s="15" t="str">
        <f>"801542240547"</f>
        <v>801542240547</v>
      </c>
      <c r="C888" s="15" t="s">
        <v>22156</v>
      </c>
      <c r="D888" s="15" t="str">
        <f t="shared" si="1"/>
        <v>Serena Accent BenchDurham Cream</v>
      </c>
      <c r="E888" s="15" t="s">
        <v>9076</v>
      </c>
      <c r="F888" s="15" t="s">
        <v>397</v>
      </c>
      <c r="G888" s="15" t="s">
        <v>9087</v>
      </c>
      <c r="J888" s="15" t="s">
        <v>9087</v>
      </c>
      <c r="M888" s="15" t="s">
        <v>2800</v>
      </c>
      <c r="N888" s="15" t="s">
        <v>458</v>
      </c>
      <c r="O888" s="15" t="s">
        <v>459</v>
      </c>
      <c r="P888" s="15" t="str">
        <f t="shared" si="2577"/>
        <v>70</v>
      </c>
      <c r="Q888" s="15" t="str">
        <f t="shared" si="2594"/>
        <v>18</v>
      </c>
      <c r="R888" s="15" t="str">
        <f t="shared" si="2595"/>
        <v>19</v>
      </c>
      <c r="S888" s="15" t="str">
        <f t="shared" si="2596"/>
        <v>48.5</v>
      </c>
      <c r="T888" s="15" t="s">
        <v>9090</v>
      </c>
      <c r="U888" s="15" t="s">
        <v>22157</v>
      </c>
      <c r="V888" s="15" t="s">
        <v>15851</v>
      </c>
      <c r="AA888" s="15" t="s">
        <v>413</v>
      </c>
      <c r="AB888" s="15" t="s">
        <v>413</v>
      </c>
      <c r="AC888" s="15" t="s">
        <v>9091</v>
      </c>
      <c r="AD888" s="15" t="s">
        <v>22158</v>
      </c>
      <c r="AE888" s="15" t="s">
        <v>9089</v>
      </c>
      <c r="AF888" s="15" t="s">
        <v>22159</v>
      </c>
      <c r="AG888" s="15" t="s">
        <v>22160</v>
      </c>
      <c r="AH888" s="15" t="s">
        <v>22161</v>
      </c>
      <c r="AI888" s="15" t="s">
        <v>22162</v>
      </c>
      <c r="AJ888" s="15" t="s">
        <v>22163</v>
      </c>
      <c r="AK888" s="15" t="s">
        <v>22164</v>
      </c>
      <c r="AL888" s="15" t="s">
        <v>22165</v>
      </c>
      <c r="AM888" s="15" t="s">
        <v>22166</v>
      </c>
      <c r="AN888" s="15" t="s">
        <v>22167</v>
      </c>
      <c r="AO888" s="15" t="s">
        <v>22168</v>
      </c>
      <c r="BH888" s="15" t="s">
        <v>9086</v>
      </c>
      <c r="BI888" s="15" t="str">
        <f t="shared" ref="BI888:BI890" si="2604">"749"</f>
        <v>749</v>
      </c>
      <c r="BJ888" s="15" t="str">
        <f t="shared" ref="BJ888:BJ890" si="2605">"315"</f>
        <v>315</v>
      </c>
      <c r="BK888" s="15" t="s">
        <v>709</v>
      </c>
      <c r="BL888" s="15" t="str">
        <f t="shared" si="2597"/>
        <v>1</v>
      </c>
      <c r="BM888" s="15" t="s">
        <v>416</v>
      </c>
      <c r="BN888" s="15" t="str">
        <f t="shared" si="2598"/>
        <v>71.06</v>
      </c>
      <c r="BO888" s="15" t="str">
        <f t="shared" si="2599"/>
        <v>19.09</v>
      </c>
      <c r="BP888" s="15" t="str">
        <f t="shared" si="2600"/>
        <v>21.26</v>
      </c>
      <c r="BQ888" s="15" t="str">
        <f t="shared" si="2601"/>
        <v>60.85</v>
      </c>
      <c r="CG888" s="15" t="str">
        <f t="shared" si="2602"/>
        <v>16.7</v>
      </c>
      <c r="CH888" s="15" t="str">
        <f t="shared" si="2603"/>
        <v>0.473</v>
      </c>
      <c r="CI888" s="15" t="s">
        <v>497</v>
      </c>
      <c r="CP888" s="15" t="s">
        <v>1065</v>
      </c>
      <c r="CQ888" s="15" t="s">
        <v>477</v>
      </c>
      <c r="CR888" s="15" t="s">
        <v>9083</v>
      </c>
      <c r="CS888" s="15" t="s">
        <v>1065</v>
      </c>
      <c r="CT888" s="15" t="s">
        <v>1161</v>
      </c>
      <c r="CU888" s="15" t="s">
        <v>4531</v>
      </c>
      <c r="CV888" s="15">
        <v>0.0</v>
      </c>
      <c r="CW888" s="15">
        <v>0.0</v>
      </c>
      <c r="CX888" s="15" t="s">
        <v>469</v>
      </c>
      <c r="CY888" s="15" t="s">
        <v>855</v>
      </c>
      <c r="CZ888" s="15" t="s">
        <v>419</v>
      </c>
      <c r="DA888" s="15">
        <v>0.0</v>
      </c>
      <c r="DB888" s="15" t="s">
        <v>419</v>
      </c>
      <c r="DC888" s="15" t="s">
        <v>1239</v>
      </c>
      <c r="DD888" s="15">
        <v>0.0</v>
      </c>
      <c r="DF888" s="15" t="s">
        <v>721</v>
      </c>
      <c r="DG888" s="15" t="s">
        <v>419</v>
      </c>
      <c r="DH888" s="15">
        <v>0.0</v>
      </c>
      <c r="DI888" s="15">
        <v>0.0</v>
      </c>
      <c r="DJ888" s="15">
        <v>0.0</v>
      </c>
      <c r="DK888" s="15">
        <v>0.0</v>
      </c>
      <c r="DL888" s="15">
        <v>25000.0</v>
      </c>
      <c r="DM888" s="15" t="s">
        <v>470</v>
      </c>
      <c r="DN888" s="15" t="s">
        <v>723</v>
      </c>
      <c r="DO888" s="15" t="s">
        <v>724</v>
      </c>
      <c r="DP888" s="15">
        <v>1.0</v>
      </c>
      <c r="DQ888" s="15">
        <v>3.0</v>
      </c>
      <c r="DR888" s="15" t="s">
        <v>471</v>
      </c>
      <c r="DS888" s="15" t="s">
        <v>9084</v>
      </c>
      <c r="DT888" s="15">
        <v>0.0</v>
      </c>
      <c r="DU888" s="15" t="s">
        <v>473</v>
      </c>
      <c r="DV888" s="15" t="s">
        <v>467</v>
      </c>
      <c r="DW888" s="15" t="s">
        <v>672</v>
      </c>
      <c r="EB888" s="15" t="s">
        <v>940</v>
      </c>
      <c r="EF888" s="15" t="s">
        <v>8108</v>
      </c>
      <c r="EH888" s="15" t="s">
        <v>9085</v>
      </c>
      <c r="EO888" s="15" t="s">
        <v>1239</v>
      </c>
      <c r="EU888" s="15" t="s">
        <v>426</v>
      </c>
    </row>
    <row r="889" ht="17.25" customHeight="1">
      <c r="A889" s="15" t="s">
        <v>9093</v>
      </c>
      <c r="B889" s="15" t="str">
        <f>"801542187231"</f>
        <v>801542187231</v>
      </c>
      <c r="C889" s="15" t="s">
        <v>22169</v>
      </c>
      <c r="D889" s="15" t="str">
        <f t="shared" si="1"/>
        <v>Serena Accent BenchSheffield Ivory</v>
      </c>
      <c r="E889" s="15" t="s">
        <v>9076</v>
      </c>
      <c r="F889" s="15" t="s">
        <v>397</v>
      </c>
      <c r="G889" s="15" t="s">
        <v>1350</v>
      </c>
      <c r="J889" s="15" t="s">
        <v>1350</v>
      </c>
      <c r="M889" s="15" t="s">
        <v>2800</v>
      </c>
      <c r="N889" s="15" t="s">
        <v>458</v>
      </c>
      <c r="O889" s="15" t="s">
        <v>459</v>
      </c>
      <c r="P889" s="15" t="str">
        <f t="shared" si="2577"/>
        <v>70</v>
      </c>
      <c r="Q889" s="15" t="str">
        <f t="shared" si="2594"/>
        <v>18</v>
      </c>
      <c r="R889" s="15" t="str">
        <f t="shared" si="2595"/>
        <v>19</v>
      </c>
      <c r="S889" s="15" t="str">
        <f t="shared" si="2596"/>
        <v>48.5</v>
      </c>
      <c r="T889" s="15" t="s">
        <v>1655</v>
      </c>
      <c r="U889" s="15" t="s">
        <v>11209</v>
      </c>
      <c r="AA889" s="15" t="s">
        <v>413</v>
      </c>
      <c r="AB889" s="15" t="s">
        <v>413</v>
      </c>
      <c r="AC889" s="15" t="s">
        <v>9095</v>
      </c>
      <c r="AD889" s="15" t="s">
        <v>22170</v>
      </c>
      <c r="AE889" s="15" t="s">
        <v>9094</v>
      </c>
      <c r="AF889" s="15" t="s">
        <v>22171</v>
      </c>
      <c r="AG889" s="15" t="s">
        <v>22172</v>
      </c>
      <c r="AH889" s="15" t="s">
        <v>22173</v>
      </c>
      <c r="AI889" s="15" t="s">
        <v>22174</v>
      </c>
      <c r="AJ889" s="15" t="s">
        <v>22175</v>
      </c>
      <c r="AK889" s="15" t="s">
        <v>22176</v>
      </c>
      <c r="BH889" s="15" t="s">
        <v>9092</v>
      </c>
      <c r="BI889" s="15" t="str">
        <f t="shared" si="2604"/>
        <v>749</v>
      </c>
      <c r="BJ889" s="15" t="str">
        <f t="shared" si="2605"/>
        <v>315</v>
      </c>
      <c r="BK889" s="15" t="s">
        <v>709</v>
      </c>
      <c r="BL889" s="15" t="str">
        <f t="shared" si="2597"/>
        <v>1</v>
      </c>
      <c r="BM889" s="15" t="s">
        <v>416</v>
      </c>
      <c r="BN889" s="15" t="str">
        <f t="shared" si="2598"/>
        <v>71.06</v>
      </c>
      <c r="BO889" s="15" t="str">
        <f t="shared" si="2599"/>
        <v>19.09</v>
      </c>
      <c r="BP889" s="15" t="str">
        <f t="shared" si="2600"/>
        <v>21.26</v>
      </c>
      <c r="BQ889" s="15" t="str">
        <f t="shared" si="2601"/>
        <v>60.85</v>
      </c>
      <c r="CG889" s="15" t="str">
        <f t="shared" si="2602"/>
        <v>16.7</v>
      </c>
      <c r="CH889" s="15" t="str">
        <f t="shared" si="2603"/>
        <v>0.473</v>
      </c>
      <c r="CI889" s="15" t="s">
        <v>417</v>
      </c>
      <c r="CP889" s="15" t="s">
        <v>1065</v>
      </c>
      <c r="CQ889" s="15" t="s">
        <v>477</v>
      </c>
      <c r="CR889" s="15" t="s">
        <v>9083</v>
      </c>
      <c r="CS889" s="15" t="s">
        <v>1065</v>
      </c>
      <c r="CT889" s="15" t="s">
        <v>1161</v>
      </c>
      <c r="CU889" s="15" t="s">
        <v>4531</v>
      </c>
      <c r="CV889" s="15">
        <v>0.0</v>
      </c>
      <c r="CW889" s="15">
        <v>0.0</v>
      </c>
      <c r="CX889" s="15" t="s">
        <v>469</v>
      </c>
      <c r="CY889" s="15" t="s">
        <v>897</v>
      </c>
      <c r="CZ889" s="15" t="s">
        <v>419</v>
      </c>
      <c r="DA889" s="15">
        <v>0.0</v>
      </c>
      <c r="DB889" s="15" t="s">
        <v>419</v>
      </c>
      <c r="DC889" s="15" t="s">
        <v>1239</v>
      </c>
      <c r="DD889" s="15">
        <v>0.0</v>
      </c>
      <c r="DF889" s="15" t="s">
        <v>721</v>
      </c>
      <c r="DG889" s="15" t="s">
        <v>419</v>
      </c>
      <c r="DH889" s="15">
        <v>0.0</v>
      </c>
      <c r="DI889" s="15">
        <v>0.0</v>
      </c>
      <c r="DJ889" s="15">
        <v>0.0</v>
      </c>
      <c r="DK889" s="15">
        <v>0.0</v>
      </c>
      <c r="DL889" s="15">
        <v>15000.0</v>
      </c>
      <c r="DM889" s="15" t="s">
        <v>470</v>
      </c>
      <c r="DN889" s="15" t="s">
        <v>723</v>
      </c>
      <c r="DO889" s="15" t="s">
        <v>724</v>
      </c>
      <c r="DP889" s="15">
        <v>1.0</v>
      </c>
      <c r="DQ889" s="15">
        <v>3.0</v>
      </c>
      <c r="DR889" s="15" t="s">
        <v>471</v>
      </c>
      <c r="DS889" s="15" t="s">
        <v>9084</v>
      </c>
      <c r="DT889" s="15">
        <v>0.0</v>
      </c>
      <c r="DU889" s="15" t="s">
        <v>473</v>
      </c>
      <c r="DV889" s="15" t="s">
        <v>467</v>
      </c>
      <c r="DW889" s="15" t="s">
        <v>672</v>
      </c>
      <c r="EB889" s="15" t="s">
        <v>940</v>
      </c>
      <c r="EF889" s="15" t="s">
        <v>8108</v>
      </c>
      <c r="EH889" s="15" t="s">
        <v>9085</v>
      </c>
      <c r="EO889" s="15" t="s">
        <v>1239</v>
      </c>
      <c r="EU889" s="15" t="s">
        <v>426</v>
      </c>
    </row>
    <row r="890" ht="17.25" customHeight="1">
      <c r="A890" s="15" t="s">
        <v>9098</v>
      </c>
      <c r="B890" s="15" t="str">
        <f>"801542075897"</f>
        <v>801542075897</v>
      </c>
      <c r="C890" s="15" t="s">
        <v>22177</v>
      </c>
      <c r="D890" s="15" t="str">
        <f t="shared" si="1"/>
        <v>Shadow Box End TableTempered Glass</v>
      </c>
      <c r="E890" s="15" t="s">
        <v>9096</v>
      </c>
      <c r="F890" s="15" t="s">
        <v>397</v>
      </c>
      <c r="G890" s="15" t="s">
        <v>6005</v>
      </c>
      <c r="J890" s="15" t="s">
        <v>6005</v>
      </c>
      <c r="K890" s="15" t="s">
        <v>838</v>
      </c>
      <c r="M890" s="15" t="s">
        <v>2068</v>
      </c>
      <c r="N890" s="15" t="s">
        <v>1154</v>
      </c>
      <c r="P890" s="15" t="str">
        <f t="shared" ref="P890:R890" si="2606">"24"</f>
        <v>24</v>
      </c>
      <c r="Q890" s="15" t="str">
        <f t="shared" si="2606"/>
        <v>24</v>
      </c>
      <c r="R890" s="15" t="str">
        <f t="shared" si="2606"/>
        <v>24</v>
      </c>
      <c r="S890" s="15" t="str">
        <f>"68.78"</f>
        <v>68.78</v>
      </c>
      <c r="T890" s="15" t="s">
        <v>9101</v>
      </c>
      <c r="U890" s="15" t="s">
        <v>6005</v>
      </c>
      <c r="V890" s="15" t="s">
        <v>11139</v>
      </c>
      <c r="AA890" s="15" t="s">
        <v>413</v>
      </c>
      <c r="AB890" s="15" t="s">
        <v>413</v>
      </c>
      <c r="AC890" s="15" t="s">
        <v>9102</v>
      </c>
      <c r="AD890" s="15" t="s">
        <v>22178</v>
      </c>
      <c r="AE890" s="15" t="s">
        <v>9100</v>
      </c>
      <c r="AF890" s="15" t="s">
        <v>22179</v>
      </c>
      <c r="AG890" s="15" t="s">
        <v>22180</v>
      </c>
      <c r="AH890" s="15" t="s">
        <v>22181</v>
      </c>
      <c r="AI890" s="15" t="s">
        <v>22182</v>
      </c>
      <c r="AJ890" s="15" t="s">
        <v>22183</v>
      </c>
      <c r="AK890" s="15" t="s">
        <v>22184</v>
      </c>
      <c r="AL890" s="15" t="s">
        <v>22185</v>
      </c>
      <c r="AM890" s="15" t="s">
        <v>22186</v>
      </c>
      <c r="AN890" s="15" t="s">
        <v>22187</v>
      </c>
      <c r="AO890" s="15" t="s">
        <v>22188</v>
      </c>
      <c r="BH890" s="15" t="s">
        <v>9097</v>
      </c>
      <c r="BI890" s="15" t="str">
        <f t="shared" si="2604"/>
        <v>749</v>
      </c>
      <c r="BJ890" s="15" t="str">
        <f t="shared" si="2605"/>
        <v>315</v>
      </c>
      <c r="BK890" s="15" t="s">
        <v>742</v>
      </c>
      <c r="BL890" s="15" t="str">
        <f t="shared" si="2597"/>
        <v>1</v>
      </c>
      <c r="BM890" s="15" t="s">
        <v>416</v>
      </c>
      <c r="BN890" s="15" t="str">
        <f>"33.07"</f>
        <v>33.07</v>
      </c>
      <c r="BO890" s="15" t="str">
        <f t="shared" ref="BO890:BP890" si="2607">"27.56"</f>
        <v>27.56</v>
      </c>
      <c r="BP890" s="15" t="str">
        <f t="shared" si="2607"/>
        <v>27.56</v>
      </c>
      <c r="BQ890" s="15" t="str">
        <f>"92.81"</f>
        <v>92.81</v>
      </c>
      <c r="CG890" s="15" t="str">
        <f>"14.55"</f>
        <v>14.55</v>
      </c>
      <c r="CH890" s="15" t="str">
        <f>"0.412"</f>
        <v>0.412</v>
      </c>
      <c r="CI890" s="15" t="s">
        <v>497</v>
      </c>
      <c r="CM890" s="15" t="s">
        <v>2652</v>
      </c>
      <c r="CN890" s="15" t="s">
        <v>1483</v>
      </c>
      <c r="CO890" s="15" t="s">
        <v>2652</v>
      </c>
      <c r="CZ890" s="15" t="s">
        <v>1371</v>
      </c>
      <c r="DA890" s="15">
        <v>1.0</v>
      </c>
      <c r="DB890" s="15" t="s">
        <v>419</v>
      </c>
      <c r="DD890" s="15">
        <v>0.0</v>
      </c>
      <c r="DG890" s="15" t="s">
        <v>421</v>
      </c>
      <c r="DK890" s="15">
        <v>0.0</v>
      </c>
      <c r="DR890" s="15" t="s">
        <v>498</v>
      </c>
      <c r="DS890" s="15" t="s">
        <v>9104</v>
      </c>
      <c r="DU890" s="15" t="s">
        <v>500</v>
      </c>
      <c r="EF890" s="15" t="s">
        <v>1430</v>
      </c>
      <c r="EG890" s="15" t="s">
        <v>3927</v>
      </c>
      <c r="EH890" s="15" t="s">
        <v>3927</v>
      </c>
      <c r="EQ890" s="15" t="s">
        <v>2652</v>
      </c>
      <c r="ER890" s="15" t="s">
        <v>2652</v>
      </c>
      <c r="ES890" s="15" t="s">
        <v>2652</v>
      </c>
      <c r="ET890" s="15" t="s">
        <v>7183</v>
      </c>
      <c r="EU890" s="15" t="s">
        <v>426</v>
      </c>
      <c r="EV890" s="15">
        <v>1.0</v>
      </c>
      <c r="EW890" s="15">
        <v>0.0</v>
      </c>
      <c r="FH890" s="15" t="s">
        <v>761</v>
      </c>
      <c r="FI890" s="15" t="s">
        <v>4256</v>
      </c>
      <c r="FJ890" s="15" t="s">
        <v>1603</v>
      </c>
      <c r="FZ890" s="15" t="s">
        <v>5571</v>
      </c>
      <c r="GB890" s="15" t="s">
        <v>2969</v>
      </c>
      <c r="GD890" s="15" t="s">
        <v>1488</v>
      </c>
      <c r="GF890" s="15" t="s">
        <v>838</v>
      </c>
    </row>
    <row r="891" ht="17.25" customHeight="1">
      <c r="A891" s="15" t="s">
        <v>9107</v>
      </c>
      <c r="B891" s="15" t="str">
        <f>"801542075903"</f>
        <v>801542075903</v>
      </c>
      <c r="C891" s="15" t="s">
        <v>22189</v>
      </c>
      <c r="D891" s="15" t="str">
        <f t="shared" si="1"/>
        <v>Shadow Box Media ConsoleBlack</v>
      </c>
      <c r="E891" s="15" t="s">
        <v>9105</v>
      </c>
      <c r="F891" s="15" t="s">
        <v>397</v>
      </c>
      <c r="G891" s="15" t="s">
        <v>838</v>
      </c>
      <c r="J891" s="15" t="s">
        <v>838</v>
      </c>
      <c r="M891" s="15" t="s">
        <v>2068</v>
      </c>
      <c r="N891" s="15" t="s">
        <v>602</v>
      </c>
      <c r="P891" s="15" t="str">
        <f>"69"</f>
        <v>69</v>
      </c>
      <c r="Q891" s="15" t="str">
        <f>"18"</f>
        <v>18</v>
      </c>
      <c r="R891" s="15" t="str">
        <f>"29.25"</f>
        <v>29.25</v>
      </c>
      <c r="S891" s="15" t="str">
        <f>"206.13"</f>
        <v>206.13</v>
      </c>
      <c r="T891" s="15" t="s">
        <v>2058</v>
      </c>
      <c r="U891" s="15" t="s">
        <v>11139</v>
      </c>
      <c r="AA891" s="15" t="s">
        <v>413</v>
      </c>
      <c r="AB891" s="15" t="s">
        <v>413</v>
      </c>
      <c r="AC891" s="15" t="s">
        <v>9109</v>
      </c>
      <c r="AD891" s="15" t="s">
        <v>22190</v>
      </c>
      <c r="AE891" s="15" t="s">
        <v>9108</v>
      </c>
      <c r="AF891" s="15" t="s">
        <v>22191</v>
      </c>
      <c r="AG891" s="15" t="s">
        <v>22192</v>
      </c>
      <c r="AH891" s="15" t="s">
        <v>22193</v>
      </c>
      <c r="AI891" s="15" t="s">
        <v>22194</v>
      </c>
      <c r="AJ891" s="15" t="s">
        <v>22195</v>
      </c>
      <c r="AK891" s="15" t="s">
        <v>22196</v>
      </c>
      <c r="AL891" s="15" t="s">
        <v>22197</v>
      </c>
      <c r="AM891" s="15" t="s">
        <v>22198</v>
      </c>
      <c r="AN891" s="15" t="s">
        <v>22199</v>
      </c>
      <c r="AO891" s="15" t="s">
        <v>22200</v>
      </c>
      <c r="AP891" s="15" t="s">
        <v>22201</v>
      </c>
      <c r="AQ891" s="15" t="s">
        <v>22202</v>
      </c>
      <c r="BH891" s="15" t="s">
        <v>9106</v>
      </c>
      <c r="BI891" s="15" t="str">
        <f>"1799"</f>
        <v>1799</v>
      </c>
      <c r="BJ891" s="15" t="str">
        <f>"760"</f>
        <v>760</v>
      </c>
      <c r="BK891" s="15" t="s">
        <v>742</v>
      </c>
      <c r="BL891" s="15" t="str">
        <f t="shared" si="2597"/>
        <v>1</v>
      </c>
      <c r="BM891" s="15" t="s">
        <v>416</v>
      </c>
      <c r="BN891" s="15" t="str">
        <f>"72.44"</f>
        <v>72.44</v>
      </c>
      <c r="BO891" s="15" t="str">
        <f>"21.65"</f>
        <v>21.65</v>
      </c>
      <c r="BP891" s="15" t="str">
        <f>"35.04"</f>
        <v>35.04</v>
      </c>
      <c r="BQ891" s="15" t="str">
        <f>"233.69"</f>
        <v>233.69</v>
      </c>
      <c r="CG891" s="15" t="str">
        <f>"31.82"</f>
        <v>31.82</v>
      </c>
      <c r="CH891" s="15" t="str">
        <f>"0.901"</f>
        <v>0.901</v>
      </c>
      <c r="CI891" s="15" t="s">
        <v>497</v>
      </c>
      <c r="CJ891" s="15" t="s">
        <v>1161</v>
      </c>
      <c r="CK891" s="15" t="s">
        <v>1188</v>
      </c>
      <c r="CL891" s="15" t="s">
        <v>1739</v>
      </c>
      <c r="CM891" s="15" t="s">
        <v>1161</v>
      </c>
      <c r="CN891" s="15" t="s">
        <v>2473</v>
      </c>
      <c r="CO891" s="15" t="s">
        <v>1739</v>
      </c>
      <c r="CZ891" s="15" t="s">
        <v>1371</v>
      </c>
      <c r="DA891" s="15">
        <v>4.0</v>
      </c>
      <c r="DB891" s="15" t="s">
        <v>419</v>
      </c>
      <c r="DD891" s="15">
        <v>2.0</v>
      </c>
      <c r="DE891" s="15" t="s">
        <v>426</v>
      </c>
      <c r="DG891" s="15" t="s">
        <v>610</v>
      </c>
      <c r="DI891" s="15">
        <v>18.14</v>
      </c>
      <c r="DJ891" s="15">
        <v>40.0</v>
      </c>
      <c r="DK891" s="15">
        <v>0.0</v>
      </c>
      <c r="DS891" s="15" t="s">
        <v>9104</v>
      </c>
      <c r="EF891" s="15" t="s">
        <v>2050</v>
      </c>
      <c r="EU891" s="15" t="s">
        <v>426</v>
      </c>
      <c r="EV891" s="15">
        <v>4.0</v>
      </c>
      <c r="FH891" s="15" t="s">
        <v>1070</v>
      </c>
      <c r="FI891" s="15" t="s">
        <v>2046</v>
      </c>
      <c r="FJ891" s="15" t="s">
        <v>2020</v>
      </c>
      <c r="FO891" s="15" t="s">
        <v>426</v>
      </c>
      <c r="FP891" s="15" t="s">
        <v>785</v>
      </c>
      <c r="FQ891" s="15">
        <v>4.0</v>
      </c>
      <c r="FR891" s="15" t="s">
        <v>3133</v>
      </c>
      <c r="FS891" s="15" t="s">
        <v>615</v>
      </c>
      <c r="FW891" s="15" t="s">
        <v>3722</v>
      </c>
      <c r="FZ891" s="15" t="s">
        <v>2020</v>
      </c>
      <c r="GB891" s="15" t="s">
        <v>1444</v>
      </c>
      <c r="GD891" s="15" t="s">
        <v>2159</v>
      </c>
      <c r="GF891" s="15" t="s">
        <v>838</v>
      </c>
      <c r="GM891" s="15">
        <v>0.0</v>
      </c>
    </row>
    <row r="892" ht="17.25" customHeight="1">
      <c r="A892" s="15" t="s">
        <v>9113</v>
      </c>
      <c r="B892" s="15" t="str">
        <f>"801542629229"</f>
        <v>801542629229</v>
      </c>
      <c r="C892" s="15" t="s">
        <v>22203</v>
      </c>
      <c r="D892" s="15" t="str">
        <f t="shared" si="1"/>
        <v>Shadow Box NightstandBlack</v>
      </c>
      <c r="E892" s="15" t="s">
        <v>9111</v>
      </c>
      <c r="F892" s="15" t="s">
        <v>397</v>
      </c>
      <c r="G892" s="15" t="s">
        <v>838</v>
      </c>
      <c r="J892" s="15" t="s">
        <v>838</v>
      </c>
      <c r="K892" s="15" t="s">
        <v>2064</v>
      </c>
      <c r="M892" s="15" t="s">
        <v>2068</v>
      </c>
      <c r="N892" s="15" t="s">
        <v>628</v>
      </c>
      <c r="P892" s="15" t="str">
        <f>"28"</f>
        <v>28</v>
      </c>
      <c r="Q892" s="15" t="str">
        <f>"17.75"</f>
        <v>17.75</v>
      </c>
      <c r="R892" s="15" t="str">
        <f>"30"</f>
        <v>30</v>
      </c>
      <c r="S892" s="15" t="str">
        <f>"111.55"</f>
        <v>111.55</v>
      </c>
      <c r="T892" s="15" t="s">
        <v>2058</v>
      </c>
      <c r="U892" s="15" t="s">
        <v>11139</v>
      </c>
      <c r="AA892" s="15" t="s">
        <v>413</v>
      </c>
      <c r="AB892" s="15" t="s">
        <v>413</v>
      </c>
      <c r="AC892" s="15" t="s">
        <v>9116</v>
      </c>
      <c r="AD892" s="15" t="s">
        <v>22204</v>
      </c>
      <c r="AE892" s="15" t="s">
        <v>9115</v>
      </c>
      <c r="AF892" s="15" t="s">
        <v>22205</v>
      </c>
      <c r="AG892" s="15" t="s">
        <v>22206</v>
      </c>
      <c r="AH892" s="15" t="s">
        <v>22207</v>
      </c>
      <c r="AI892" s="15" t="s">
        <v>22208</v>
      </c>
      <c r="AJ892" s="15" t="s">
        <v>22209</v>
      </c>
      <c r="AK892" s="15" t="s">
        <v>22210</v>
      </c>
      <c r="AL892" s="15" t="s">
        <v>22211</v>
      </c>
      <c r="AM892" s="15" t="s">
        <v>22212</v>
      </c>
      <c r="AN892" s="15" t="s">
        <v>22213</v>
      </c>
      <c r="AO892" s="15" t="s">
        <v>22214</v>
      </c>
      <c r="AP892" s="15" t="s">
        <v>22215</v>
      </c>
      <c r="AQ892" s="15" t="s">
        <v>22216</v>
      </c>
      <c r="AR892" s="15" t="s">
        <v>22217</v>
      </c>
      <c r="BH892" s="15" t="s">
        <v>9112</v>
      </c>
      <c r="BI892" s="15" t="str">
        <f>"1199"</f>
        <v>1199</v>
      </c>
      <c r="BJ892" s="15" t="str">
        <f>"505"</f>
        <v>505</v>
      </c>
      <c r="BK892" s="15" t="s">
        <v>742</v>
      </c>
      <c r="BL892" s="15" t="str">
        <f t="shared" si="2597"/>
        <v>1</v>
      </c>
      <c r="BM892" s="15" t="s">
        <v>416</v>
      </c>
      <c r="BN892" s="15" t="str">
        <f>"33"</f>
        <v>33</v>
      </c>
      <c r="BO892" s="15" t="str">
        <f>"22"</f>
        <v>22</v>
      </c>
      <c r="BP892" s="15" t="str">
        <f>"40.5"</f>
        <v>40.5</v>
      </c>
      <c r="BQ892" s="15" t="str">
        <f>"146.61"</f>
        <v>146.61</v>
      </c>
      <c r="CG892" s="15" t="str">
        <f>"17.02"</f>
        <v>17.02</v>
      </c>
      <c r="CH892" s="15" t="str">
        <f>"0.482"</f>
        <v>0.482</v>
      </c>
      <c r="CI892" s="15" t="s">
        <v>465</v>
      </c>
      <c r="CM892" s="15" t="s">
        <v>1161</v>
      </c>
      <c r="CN892" s="15" t="s">
        <v>1327</v>
      </c>
      <c r="CO892" s="15" t="s">
        <v>9117</v>
      </c>
      <c r="CZ892" s="15" t="s">
        <v>1371</v>
      </c>
      <c r="DA892" s="15">
        <v>2.0</v>
      </c>
      <c r="DB892" s="15" t="s">
        <v>419</v>
      </c>
      <c r="DD892" s="15">
        <v>0.0</v>
      </c>
      <c r="DG892" s="15" t="s">
        <v>421</v>
      </c>
      <c r="DK892" s="15">
        <v>0.0</v>
      </c>
      <c r="DR892" s="15" t="s">
        <v>471</v>
      </c>
      <c r="DS892" s="15" t="s">
        <v>9104</v>
      </c>
      <c r="DU892" s="15" t="s">
        <v>500</v>
      </c>
      <c r="EF892" s="15" t="s">
        <v>1444</v>
      </c>
      <c r="EU892" s="15" t="s">
        <v>426</v>
      </c>
      <c r="EV892" s="15">
        <v>1.0</v>
      </c>
      <c r="FH892" s="15" t="s">
        <v>5482</v>
      </c>
      <c r="FI892" s="15" t="s">
        <v>1309</v>
      </c>
      <c r="FJ892" s="15" t="s">
        <v>9117</v>
      </c>
      <c r="FP892" s="15" t="s">
        <v>785</v>
      </c>
      <c r="FQ892" s="15">
        <v>1.0</v>
      </c>
      <c r="FR892" s="15" t="s">
        <v>3501</v>
      </c>
      <c r="FS892" s="15" t="s">
        <v>786</v>
      </c>
      <c r="FW892" s="15" t="s">
        <v>3722</v>
      </c>
      <c r="FZ892" s="15" t="s">
        <v>2069</v>
      </c>
      <c r="GA892" s="15" t="s">
        <v>2069</v>
      </c>
      <c r="GB892" s="15" t="s">
        <v>3052</v>
      </c>
      <c r="GC892" s="15" t="s">
        <v>2651</v>
      </c>
      <c r="GD892" s="15" t="s">
        <v>984</v>
      </c>
      <c r="GE892" s="15" t="s">
        <v>984</v>
      </c>
      <c r="GF892" s="15" t="s">
        <v>838</v>
      </c>
    </row>
    <row r="893" ht="17.25" customHeight="1">
      <c r="A893" s="15" t="s">
        <v>9121</v>
      </c>
      <c r="B893" s="15" t="str">
        <f>"801542703608"</f>
        <v>801542703608</v>
      </c>
      <c r="C893" s="15" t="s">
        <v>22218</v>
      </c>
      <c r="D893" s="15" t="str">
        <f t="shared" si="1"/>
        <v>Shagreen Round Coffee TableGrey Shagreen</v>
      </c>
      <c r="E893" s="15" t="s">
        <v>9118</v>
      </c>
      <c r="F893" s="15" t="s">
        <v>397</v>
      </c>
      <c r="G893" s="15" t="s">
        <v>9120</v>
      </c>
      <c r="J893" s="15" t="s">
        <v>9120</v>
      </c>
      <c r="K893" s="15" t="s">
        <v>4336</v>
      </c>
      <c r="M893" s="15" t="s">
        <v>9125</v>
      </c>
      <c r="N893" s="15" t="s">
        <v>491</v>
      </c>
      <c r="P893" s="15" t="str">
        <f t="shared" ref="P893:Q893" si="2608">"38"</f>
        <v>38</v>
      </c>
      <c r="Q893" s="15" t="str">
        <f t="shared" si="2608"/>
        <v>38</v>
      </c>
      <c r="R893" s="15" t="str">
        <f>"16"</f>
        <v>16</v>
      </c>
      <c r="S893" s="15" t="str">
        <f>"82.67"</f>
        <v>82.67</v>
      </c>
      <c r="T893" s="15" t="s">
        <v>9124</v>
      </c>
      <c r="U893" s="15" t="s">
        <v>14149</v>
      </c>
      <c r="V893" s="15" t="s">
        <v>11139</v>
      </c>
      <c r="AA893" s="15" t="s">
        <v>413</v>
      </c>
      <c r="AB893" s="15" t="s">
        <v>413</v>
      </c>
      <c r="AC893" s="15" t="s">
        <v>9126</v>
      </c>
      <c r="AD893" s="15" t="s">
        <v>22219</v>
      </c>
      <c r="AE893" s="15" t="s">
        <v>9123</v>
      </c>
      <c r="AF893" s="15" t="s">
        <v>22220</v>
      </c>
      <c r="AG893" s="15" t="s">
        <v>22221</v>
      </c>
      <c r="AH893" s="15" t="s">
        <v>22222</v>
      </c>
      <c r="AI893" s="15" t="s">
        <v>22223</v>
      </c>
      <c r="AJ893" s="15" t="s">
        <v>22224</v>
      </c>
      <c r="BH893" s="15" t="s">
        <v>9119</v>
      </c>
      <c r="BI893" s="15" t="str">
        <f>"1299"</f>
        <v>1299</v>
      </c>
      <c r="BJ893" s="15" t="str">
        <f>"550"</f>
        <v>550</v>
      </c>
      <c r="BK893" s="15" t="s">
        <v>742</v>
      </c>
      <c r="BL893" s="15" t="str">
        <f t="shared" si="2597"/>
        <v>1</v>
      </c>
      <c r="BM893" s="15" t="s">
        <v>416</v>
      </c>
      <c r="BN893" s="15" t="str">
        <f t="shared" ref="BN893:BO893" si="2609">"42.13"</f>
        <v>42.13</v>
      </c>
      <c r="BO893" s="15" t="str">
        <f t="shared" si="2609"/>
        <v>42.13</v>
      </c>
      <c r="BP893" s="15" t="str">
        <f>"8.46"</f>
        <v>8.46</v>
      </c>
      <c r="BQ893" s="15" t="str">
        <f>"112.44"</f>
        <v>112.44</v>
      </c>
      <c r="CG893" s="15" t="str">
        <f>"8.69"</f>
        <v>8.69</v>
      </c>
      <c r="CH893" s="15" t="str">
        <f>"0.246"</f>
        <v>0.246</v>
      </c>
      <c r="CI893" s="15" t="s">
        <v>465</v>
      </c>
      <c r="CZ893" s="15" t="s">
        <v>419</v>
      </c>
      <c r="DA893" s="15">
        <v>0.0</v>
      </c>
      <c r="DB893" s="15" t="s">
        <v>419</v>
      </c>
      <c r="DD893" s="15">
        <v>0.0</v>
      </c>
      <c r="DG893" s="15" t="s">
        <v>419</v>
      </c>
      <c r="DK893" s="15">
        <v>0.0</v>
      </c>
      <c r="DR893" s="15" t="s">
        <v>1157</v>
      </c>
      <c r="DS893" s="15" t="s">
        <v>9127</v>
      </c>
      <c r="DU893" s="15" t="s">
        <v>500</v>
      </c>
      <c r="EF893" s="15" t="s">
        <v>1287</v>
      </c>
      <c r="EQ893" s="15" t="s">
        <v>9128</v>
      </c>
      <c r="ER893" s="15" t="s">
        <v>1287</v>
      </c>
      <c r="ES893" s="15" t="s">
        <v>9128</v>
      </c>
      <c r="ET893" s="15" t="s">
        <v>784</v>
      </c>
      <c r="EV893" s="15">
        <v>0.0</v>
      </c>
      <c r="EW893" s="15">
        <v>0.0</v>
      </c>
      <c r="FF893" s="15" t="s">
        <v>9129</v>
      </c>
    </row>
    <row r="894" ht="17.25" customHeight="1">
      <c r="A894" s="15" t="s">
        <v>9132</v>
      </c>
      <c r="B894" s="15" t="str">
        <f>"801542223885"</f>
        <v>801542223885</v>
      </c>
      <c r="C894" s="15" t="s">
        <v>22225</v>
      </c>
      <c r="D894" s="15" t="str">
        <f t="shared" si="1"/>
        <v>Sheffield Coffee TableCharcoal Oak Veneer48</v>
      </c>
      <c r="E894" s="15" t="s">
        <v>9130</v>
      </c>
      <c r="F894" s="15" t="s">
        <v>397</v>
      </c>
      <c r="G894" s="15" t="s">
        <v>6501</v>
      </c>
      <c r="H894" s="15" t="s">
        <v>265</v>
      </c>
      <c r="I894" s="15" t="s">
        <v>2088</v>
      </c>
      <c r="J894" s="15" t="s">
        <v>6501</v>
      </c>
      <c r="M894" s="15" t="s">
        <v>1474</v>
      </c>
      <c r="N894" s="15" t="s">
        <v>491</v>
      </c>
      <c r="P894" s="15" t="str">
        <f t="shared" ref="P894:Q894" si="2610">"48"</f>
        <v>48</v>
      </c>
      <c r="Q894" s="15" t="str">
        <f t="shared" si="2610"/>
        <v>48</v>
      </c>
      <c r="R894" s="15" t="str">
        <f t="shared" ref="R894:R897" si="2613">"13"</f>
        <v>13</v>
      </c>
      <c r="S894" s="15" t="str">
        <f>"94.8"</f>
        <v>94.8</v>
      </c>
      <c r="T894" s="15" t="s">
        <v>1298</v>
      </c>
      <c r="U894" s="15" t="s">
        <v>11553</v>
      </c>
      <c r="AA894" s="15" t="s">
        <v>413</v>
      </c>
      <c r="AB894" s="15" t="s">
        <v>413</v>
      </c>
      <c r="AC894" s="15" t="s">
        <v>9136</v>
      </c>
      <c r="AD894" s="15" t="s">
        <v>22226</v>
      </c>
      <c r="AE894" s="15" t="s">
        <v>9133</v>
      </c>
      <c r="AF894" s="15" t="s">
        <v>22227</v>
      </c>
      <c r="AG894" s="15" t="s">
        <v>22228</v>
      </c>
      <c r="AH894" s="15" t="s">
        <v>22229</v>
      </c>
      <c r="AI894" s="15" t="s">
        <v>22230</v>
      </c>
      <c r="AJ894" s="15" t="s">
        <v>22231</v>
      </c>
      <c r="AK894" s="15" t="s">
        <v>22232</v>
      </c>
      <c r="AL894" s="15" t="s">
        <v>22233</v>
      </c>
      <c r="AM894" s="15" t="s">
        <v>22234</v>
      </c>
      <c r="AN894" s="15" t="s">
        <v>22235</v>
      </c>
      <c r="BH894" s="15" t="s">
        <v>9131</v>
      </c>
      <c r="BI894" s="15" t="str">
        <f>"1599"</f>
        <v>1599</v>
      </c>
      <c r="BJ894" s="15" t="str">
        <f>"675"</f>
        <v>675</v>
      </c>
      <c r="BK894" s="15" t="s">
        <v>742</v>
      </c>
      <c r="BL894" s="15" t="str">
        <f t="shared" si="2597"/>
        <v>1</v>
      </c>
      <c r="BM894" s="15" t="s">
        <v>416</v>
      </c>
      <c r="BN894" s="15" t="str">
        <f t="shared" ref="BN894:BO894" si="2611">"51.77"</f>
        <v>51.77</v>
      </c>
      <c r="BO894" s="15" t="str">
        <f t="shared" si="2611"/>
        <v>51.77</v>
      </c>
      <c r="BP894" s="15" t="str">
        <f t="shared" ref="BP894:BP897" si="2615">"16.93"</f>
        <v>16.93</v>
      </c>
      <c r="BQ894" s="15" t="str">
        <f>"132.28"</f>
        <v>132.28</v>
      </c>
      <c r="CG894" s="15" t="str">
        <f>"26.27"</f>
        <v>26.27</v>
      </c>
      <c r="CH894" s="15" t="str">
        <f>"0.744"</f>
        <v>0.744</v>
      </c>
      <c r="CI894" s="15" t="s">
        <v>465</v>
      </c>
      <c r="CZ894" s="15" t="s">
        <v>419</v>
      </c>
      <c r="DA894" s="15">
        <v>0.0</v>
      </c>
      <c r="DB894" s="15" t="s">
        <v>419</v>
      </c>
      <c r="DD894" s="15">
        <v>0.0</v>
      </c>
      <c r="DF894" s="15" t="s">
        <v>721</v>
      </c>
      <c r="DG894" s="15" t="s">
        <v>419</v>
      </c>
      <c r="DK894" s="15">
        <v>0.0</v>
      </c>
      <c r="DR894" s="15" t="s">
        <v>1157</v>
      </c>
      <c r="DS894" s="15" t="s">
        <v>9137</v>
      </c>
      <c r="DU894" s="15" t="s">
        <v>500</v>
      </c>
      <c r="EF894" s="15" t="s">
        <v>985</v>
      </c>
      <c r="EG894" s="15" t="s">
        <v>5559</v>
      </c>
      <c r="EH894" s="15" t="s">
        <v>781</v>
      </c>
      <c r="EQ894" s="15" t="s">
        <v>2050</v>
      </c>
      <c r="ER894" s="15" t="s">
        <v>2156</v>
      </c>
      <c r="ES894" s="15" t="s">
        <v>7457</v>
      </c>
      <c r="ET894" s="15" t="s">
        <v>2050</v>
      </c>
      <c r="EU894" s="15" t="s">
        <v>426</v>
      </c>
      <c r="EV894" s="15">
        <v>0.0</v>
      </c>
      <c r="EW894" s="15">
        <v>0.0</v>
      </c>
    </row>
    <row r="895" ht="17.25" customHeight="1">
      <c r="A895" s="15" t="s">
        <v>9139</v>
      </c>
      <c r="B895" s="15" t="str">
        <f>"801542223861"</f>
        <v>801542223861</v>
      </c>
      <c r="C895" s="15" t="s">
        <v>22225</v>
      </c>
      <c r="D895" s="15" t="str">
        <f t="shared" si="1"/>
        <v>Sheffield Coffee TableCharcoal Oak Veneer60</v>
      </c>
      <c r="E895" s="15" t="s">
        <v>9130</v>
      </c>
      <c r="F895" s="15" t="s">
        <v>397</v>
      </c>
      <c r="G895" s="15" t="s">
        <v>6501</v>
      </c>
      <c r="H895" s="15" t="s">
        <v>265</v>
      </c>
      <c r="I895" s="15" t="s">
        <v>2037</v>
      </c>
      <c r="J895" s="15" t="s">
        <v>6501</v>
      </c>
      <c r="M895" s="15" t="s">
        <v>1474</v>
      </c>
      <c r="N895" s="15" t="s">
        <v>491</v>
      </c>
      <c r="P895" s="15" t="str">
        <f t="shared" ref="P895:Q895" si="2612">"60"</f>
        <v>60</v>
      </c>
      <c r="Q895" s="15" t="str">
        <f t="shared" si="2612"/>
        <v>60</v>
      </c>
      <c r="R895" s="15" t="str">
        <f t="shared" si="2613"/>
        <v>13</v>
      </c>
      <c r="S895" s="15" t="str">
        <f>"141.1"</f>
        <v>141.1</v>
      </c>
      <c r="T895" s="15" t="s">
        <v>1298</v>
      </c>
      <c r="U895" s="15" t="s">
        <v>11553</v>
      </c>
      <c r="AA895" s="15" t="s">
        <v>413</v>
      </c>
      <c r="AB895" s="15" t="s">
        <v>413</v>
      </c>
      <c r="AC895" s="15" t="s">
        <v>9142</v>
      </c>
      <c r="AD895" s="15" t="s">
        <v>22236</v>
      </c>
      <c r="AE895" s="15" t="s">
        <v>9141</v>
      </c>
      <c r="AF895" s="15" t="s">
        <v>22237</v>
      </c>
      <c r="AG895" s="15" t="s">
        <v>22238</v>
      </c>
      <c r="AH895" s="15" t="s">
        <v>22239</v>
      </c>
      <c r="AI895" s="15" t="s">
        <v>22240</v>
      </c>
      <c r="AJ895" s="15" t="s">
        <v>22241</v>
      </c>
      <c r="AK895" s="15" t="s">
        <v>22242</v>
      </c>
      <c r="AL895" s="15" t="s">
        <v>22243</v>
      </c>
      <c r="AM895" s="15" t="s">
        <v>22244</v>
      </c>
      <c r="AN895" s="15" t="s">
        <v>22245</v>
      </c>
      <c r="BH895" s="15" t="s">
        <v>9138</v>
      </c>
      <c r="BI895" s="15" t="str">
        <f>"1999"</f>
        <v>1999</v>
      </c>
      <c r="BJ895" s="15" t="str">
        <f>"840"</f>
        <v>840</v>
      </c>
      <c r="BK895" s="15" t="s">
        <v>742</v>
      </c>
      <c r="BL895" s="15" t="str">
        <f t="shared" si="2597"/>
        <v>1</v>
      </c>
      <c r="BM895" s="15" t="s">
        <v>416</v>
      </c>
      <c r="BN895" s="15" t="str">
        <f t="shared" ref="BN895:BO895" si="2614">"63.58"</f>
        <v>63.58</v>
      </c>
      <c r="BO895" s="15" t="str">
        <f t="shared" si="2614"/>
        <v>63.58</v>
      </c>
      <c r="BP895" s="15" t="str">
        <f t="shared" si="2615"/>
        <v>16.93</v>
      </c>
      <c r="BQ895" s="15" t="str">
        <f>"196.21"</f>
        <v>196.21</v>
      </c>
      <c r="CG895" s="15" t="str">
        <f>"39.62"</f>
        <v>39.62</v>
      </c>
      <c r="CH895" s="15" t="str">
        <f>"1.122"</f>
        <v>1.122</v>
      </c>
      <c r="CI895" s="15" t="s">
        <v>497</v>
      </c>
      <c r="CZ895" s="15" t="s">
        <v>419</v>
      </c>
      <c r="DA895" s="15">
        <v>0.0</v>
      </c>
      <c r="DB895" s="15" t="s">
        <v>419</v>
      </c>
      <c r="DD895" s="15">
        <v>0.0</v>
      </c>
      <c r="DF895" s="15" t="s">
        <v>721</v>
      </c>
      <c r="DG895" s="15" t="s">
        <v>419</v>
      </c>
      <c r="DK895" s="15">
        <v>0.0</v>
      </c>
      <c r="DR895" s="15" t="s">
        <v>1157</v>
      </c>
      <c r="DS895" s="15" t="s">
        <v>9137</v>
      </c>
      <c r="DU895" s="15" t="s">
        <v>500</v>
      </c>
      <c r="EF895" s="15" t="s">
        <v>2841</v>
      </c>
      <c r="EG895" s="15" t="s">
        <v>9145</v>
      </c>
      <c r="EH895" s="15" t="s">
        <v>2499</v>
      </c>
      <c r="EQ895" s="15" t="s">
        <v>732</v>
      </c>
      <c r="ER895" s="15" t="s">
        <v>2156</v>
      </c>
      <c r="ES895" s="15" t="s">
        <v>2499</v>
      </c>
      <c r="ET895" s="15" t="s">
        <v>732</v>
      </c>
      <c r="EU895" s="15" t="s">
        <v>426</v>
      </c>
      <c r="EV895" s="15">
        <v>0.0</v>
      </c>
      <c r="EW895" s="15">
        <v>0.0</v>
      </c>
    </row>
    <row r="896" ht="17.25" customHeight="1">
      <c r="A896" s="15" t="s">
        <v>9148</v>
      </c>
      <c r="B896" s="15" t="str">
        <f>"801542223892"</f>
        <v>801542223892</v>
      </c>
      <c r="C896" s="15" t="s">
        <v>22246</v>
      </c>
      <c r="D896" s="15" t="str">
        <f t="shared" si="1"/>
        <v>Sheffield Coffee TableWarm Natural Flat Oak Veneer48</v>
      </c>
      <c r="E896" s="15" t="s">
        <v>9130</v>
      </c>
      <c r="F896" s="15" t="s">
        <v>397</v>
      </c>
      <c r="G896" s="15" t="s">
        <v>9147</v>
      </c>
      <c r="H896" s="15" t="s">
        <v>265</v>
      </c>
      <c r="I896" s="15" t="s">
        <v>2088</v>
      </c>
      <c r="J896" s="15" t="s">
        <v>9147</v>
      </c>
      <c r="M896" s="15" t="s">
        <v>1474</v>
      </c>
      <c r="N896" s="15" t="s">
        <v>491</v>
      </c>
      <c r="P896" s="15" t="str">
        <f t="shared" ref="P896:Q896" si="2616">"48"</f>
        <v>48</v>
      </c>
      <c r="Q896" s="15" t="str">
        <f t="shared" si="2616"/>
        <v>48</v>
      </c>
      <c r="R896" s="15" t="str">
        <f t="shared" si="2613"/>
        <v>13</v>
      </c>
      <c r="S896" s="15" t="str">
        <f>"94.8"</f>
        <v>94.8</v>
      </c>
      <c r="T896" s="15" t="s">
        <v>1298</v>
      </c>
      <c r="U896" s="15" t="s">
        <v>11553</v>
      </c>
      <c r="AA896" s="15" t="s">
        <v>413</v>
      </c>
      <c r="AB896" s="15" t="s">
        <v>413</v>
      </c>
      <c r="AC896" s="15" t="s">
        <v>9150</v>
      </c>
      <c r="AD896" s="15" t="s">
        <v>22247</v>
      </c>
      <c r="AE896" s="15" t="s">
        <v>9149</v>
      </c>
      <c r="AF896" s="15" t="s">
        <v>22248</v>
      </c>
      <c r="AG896" s="15" t="s">
        <v>22249</v>
      </c>
      <c r="AH896" s="15" t="s">
        <v>22250</v>
      </c>
      <c r="AI896" s="15" t="s">
        <v>22251</v>
      </c>
      <c r="AJ896" s="15" t="s">
        <v>22252</v>
      </c>
      <c r="AK896" s="15" t="s">
        <v>22253</v>
      </c>
      <c r="AL896" s="15" t="s">
        <v>22254</v>
      </c>
      <c r="AM896" s="15" t="s">
        <v>22255</v>
      </c>
      <c r="AN896" s="15" t="s">
        <v>22256</v>
      </c>
      <c r="BH896" s="15" t="s">
        <v>9146</v>
      </c>
      <c r="BI896" s="15" t="str">
        <f>"1599"</f>
        <v>1599</v>
      </c>
      <c r="BJ896" s="15" t="str">
        <f>"675"</f>
        <v>675</v>
      </c>
      <c r="BK896" s="15" t="s">
        <v>742</v>
      </c>
      <c r="BL896" s="15" t="str">
        <f t="shared" si="2597"/>
        <v>1</v>
      </c>
      <c r="BM896" s="15" t="s">
        <v>416</v>
      </c>
      <c r="BN896" s="15" t="str">
        <f t="shared" ref="BN896:BO896" si="2617">"51.77"</f>
        <v>51.77</v>
      </c>
      <c r="BO896" s="15" t="str">
        <f t="shared" si="2617"/>
        <v>51.77</v>
      </c>
      <c r="BP896" s="15" t="str">
        <f t="shared" si="2615"/>
        <v>16.93</v>
      </c>
      <c r="BQ896" s="15" t="str">
        <f>"132.28"</f>
        <v>132.28</v>
      </c>
      <c r="CG896" s="15" t="str">
        <f>"26.27"</f>
        <v>26.27</v>
      </c>
      <c r="CH896" s="15" t="str">
        <f>"0.744"</f>
        <v>0.744</v>
      </c>
      <c r="CI896" s="15" t="s">
        <v>497</v>
      </c>
      <c r="CZ896" s="15" t="s">
        <v>419</v>
      </c>
      <c r="DA896" s="15">
        <v>0.0</v>
      </c>
      <c r="DB896" s="15" t="s">
        <v>419</v>
      </c>
      <c r="DD896" s="15">
        <v>0.0</v>
      </c>
      <c r="DF896" s="15" t="s">
        <v>721</v>
      </c>
      <c r="DG896" s="15" t="s">
        <v>419</v>
      </c>
      <c r="DK896" s="15">
        <v>0.0</v>
      </c>
      <c r="DR896" s="15" t="s">
        <v>1157</v>
      </c>
      <c r="DS896" s="15" t="s">
        <v>9137</v>
      </c>
      <c r="DU896" s="15" t="s">
        <v>500</v>
      </c>
      <c r="EF896" s="15" t="s">
        <v>985</v>
      </c>
      <c r="EG896" s="15" t="s">
        <v>5559</v>
      </c>
      <c r="EH896" s="15" t="s">
        <v>781</v>
      </c>
      <c r="EQ896" s="15" t="s">
        <v>2050</v>
      </c>
      <c r="ER896" s="15" t="s">
        <v>2156</v>
      </c>
      <c r="ES896" s="15" t="s">
        <v>7457</v>
      </c>
      <c r="ET896" s="15" t="s">
        <v>2050</v>
      </c>
      <c r="EU896" s="15" t="s">
        <v>426</v>
      </c>
      <c r="EV896" s="15">
        <v>0.0</v>
      </c>
      <c r="EW896" s="15">
        <v>0.0</v>
      </c>
    </row>
    <row r="897" ht="17.25" customHeight="1">
      <c r="A897" s="15" t="s">
        <v>9152</v>
      </c>
      <c r="B897" s="15" t="str">
        <f>"801542223878"</f>
        <v>801542223878</v>
      </c>
      <c r="C897" s="15" t="s">
        <v>22246</v>
      </c>
      <c r="D897" s="15" t="str">
        <f t="shared" si="1"/>
        <v>Sheffield Coffee TableWarm Natural Flat Oak Veneer60</v>
      </c>
      <c r="E897" s="15" t="s">
        <v>9130</v>
      </c>
      <c r="F897" s="15" t="s">
        <v>397</v>
      </c>
      <c r="G897" s="15" t="s">
        <v>9147</v>
      </c>
      <c r="H897" s="15" t="s">
        <v>265</v>
      </c>
      <c r="I897" s="15" t="s">
        <v>2037</v>
      </c>
      <c r="J897" s="15" t="s">
        <v>9147</v>
      </c>
      <c r="M897" s="15" t="s">
        <v>1474</v>
      </c>
      <c r="N897" s="15" t="s">
        <v>491</v>
      </c>
      <c r="P897" s="15" t="str">
        <f t="shared" ref="P897:Q897" si="2618">"60"</f>
        <v>60</v>
      </c>
      <c r="Q897" s="15" t="str">
        <f t="shared" si="2618"/>
        <v>60</v>
      </c>
      <c r="R897" s="15" t="str">
        <f t="shared" si="2613"/>
        <v>13</v>
      </c>
      <c r="S897" s="15" t="str">
        <f>"141.1"</f>
        <v>141.1</v>
      </c>
      <c r="T897" s="15" t="s">
        <v>1298</v>
      </c>
      <c r="U897" s="15" t="s">
        <v>11553</v>
      </c>
      <c r="AA897" s="15" t="s">
        <v>413</v>
      </c>
      <c r="AB897" s="15" t="s">
        <v>413</v>
      </c>
      <c r="AC897" s="15" t="s">
        <v>9154</v>
      </c>
      <c r="AD897" s="15" t="s">
        <v>22257</v>
      </c>
      <c r="AE897" s="15" t="s">
        <v>9153</v>
      </c>
      <c r="AF897" s="15" t="s">
        <v>22258</v>
      </c>
      <c r="AG897" s="15" t="s">
        <v>22259</v>
      </c>
      <c r="AH897" s="15" t="s">
        <v>22260</v>
      </c>
      <c r="AI897" s="15" t="s">
        <v>22261</v>
      </c>
      <c r="AJ897" s="15" t="s">
        <v>22262</v>
      </c>
      <c r="AK897" s="15" t="s">
        <v>22263</v>
      </c>
      <c r="AL897" s="15" t="s">
        <v>22264</v>
      </c>
      <c r="AM897" s="15" t="s">
        <v>22265</v>
      </c>
      <c r="AN897" s="15" t="s">
        <v>22266</v>
      </c>
      <c r="BH897" s="15" t="s">
        <v>9151</v>
      </c>
      <c r="BI897" s="15" t="str">
        <f>"1999"</f>
        <v>1999</v>
      </c>
      <c r="BJ897" s="15" t="str">
        <f>"840"</f>
        <v>840</v>
      </c>
      <c r="BK897" s="15" t="s">
        <v>742</v>
      </c>
      <c r="BL897" s="15" t="str">
        <f t="shared" si="2597"/>
        <v>1</v>
      </c>
      <c r="BM897" s="15" t="s">
        <v>416</v>
      </c>
      <c r="BN897" s="15" t="str">
        <f t="shared" ref="BN897:BO897" si="2619">"63.58"</f>
        <v>63.58</v>
      </c>
      <c r="BO897" s="15" t="str">
        <f t="shared" si="2619"/>
        <v>63.58</v>
      </c>
      <c r="BP897" s="15" t="str">
        <f t="shared" si="2615"/>
        <v>16.93</v>
      </c>
      <c r="BQ897" s="15" t="str">
        <f>"196.21"</f>
        <v>196.21</v>
      </c>
      <c r="CG897" s="15" t="str">
        <f>"39.62"</f>
        <v>39.62</v>
      </c>
      <c r="CH897" s="15" t="str">
        <f>"1.122"</f>
        <v>1.122</v>
      </c>
      <c r="CI897" s="15" t="s">
        <v>497</v>
      </c>
      <c r="CZ897" s="15" t="s">
        <v>419</v>
      </c>
      <c r="DA897" s="15">
        <v>0.0</v>
      </c>
      <c r="DB897" s="15" t="s">
        <v>419</v>
      </c>
      <c r="DD897" s="15">
        <v>0.0</v>
      </c>
      <c r="DF897" s="15" t="s">
        <v>721</v>
      </c>
      <c r="DG897" s="15" t="s">
        <v>419</v>
      </c>
      <c r="DK897" s="15">
        <v>0.0</v>
      </c>
      <c r="DR897" s="15" t="s">
        <v>1157</v>
      </c>
      <c r="DS897" s="15" t="s">
        <v>9137</v>
      </c>
      <c r="DU897" s="15" t="s">
        <v>500</v>
      </c>
      <c r="EF897" s="15" t="s">
        <v>2841</v>
      </c>
      <c r="EG897" s="15" t="s">
        <v>9145</v>
      </c>
      <c r="EH897" s="15" t="s">
        <v>2499</v>
      </c>
      <c r="EQ897" s="15" t="s">
        <v>732</v>
      </c>
      <c r="ER897" s="15" t="s">
        <v>2156</v>
      </c>
      <c r="ES897" s="15" t="s">
        <v>2499</v>
      </c>
      <c r="ET897" s="15" t="s">
        <v>732</v>
      </c>
      <c r="EU897" s="15" t="s">
        <v>426</v>
      </c>
      <c r="EV897" s="15">
        <v>0.0</v>
      </c>
      <c r="EW897" s="15">
        <v>0.0</v>
      </c>
    </row>
    <row r="898" ht="17.25" customHeight="1">
      <c r="A898" s="15" t="s">
        <v>9157</v>
      </c>
      <c r="B898" s="15" t="str">
        <f>"801542203009"</f>
        <v>801542203009</v>
      </c>
      <c r="C898" s="15" t="s">
        <v>22267</v>
      </c>
      <c r="D898" s="15" t="str">
        <f t="shared" si="1"/>
        <v>Shelton ChairPalermo Cognac</v>
      </c>
      <c r="E898" s="15" t="s">
        <v>9155</v>
      </c>
      <c r="F898" s="15" t="s">
        <v>397</v>
      </c>
      <c r="G898" s="15" t="s">
        <v>2818</v>
      </c>
      <c r="J898" s="15" t="s">
        <v>2818</v>
      </c>
      <c r="K898" s="15" t="s">
        <v>2418</v>
      </c>
      <c r="M898" s="15" t="s">
        <v>2063</v>
      </c>
      <c r="N898" s="15" t="s">
        <v>706</v>
      </c>
      <c r="O898" s="15" t="s">
        <v>707</v>
      </c>
      <c r="P898" s="15" t="str">
        <f>"30.25"</f>
        <v>30.25</v>
      </c>
      <c r="Q898" s="15" t="str">
        <f>"35"</f>
        <v>35</v>
      </c>
      <c r="R898" s="15" t="str">
        <f>"29.5"</f>
        <v>29.5</v>
      </c>
      <c r="S898" s="15" t="str">
        <f>"36.38"</f>
        <v>36.38</v>
      </c>
      <c r="T898" s="15" t="s">
        <v>975</v>
      </c>
      <c r="U898" s="15" t="s">
        <v>11137</v>
      </c>
      <c r="V898" s="15" t="s">
        <v>11210</v>
      </c>
      <c r="AA898" s="15" t="s">
        <v>413</v>
      </c>
      <c r="AB898" s="15" t="s">
        <v>413</v>
      </c>
      <c r="AC898" s="15" t="s">
        <v>9159</v>
      </c>
      <c r="AD898" s="15" t="s">
        <v>22268</v>
      </c>
      <c r="AE898" s="15" t="s">
        <v>9158</v>
      </c>
      <c r="AF898" s="15" t="s">
        <v>22269</v>
      </c>
      <c r="AG898" s="15" t="s">
        <v>22270</v>
      </c>
      <c r="AH898" s="15" t="s">
        <v>22271</v>
      </c>
      <c r="AI898" s="15" t="s">
        <v>22272</v>
      </c>
      <c r="AJ898" s="15" t="s">
        <v>22273</v>
      </c>
      <c r="AK898" s="15" t="s">
        <v>22274</v>
      </c>
      <c r="AL898" s="15" t="s">
        <v>22275</v>
      </c>
      <c r="AM898" s="15" t="s">
        <v>22276</v>
      </c>
      <c r="AN898" s="15" t="s">
        <v>22277</v>
      </c>
      <c r="AO898" s="15" t="s">
        <v>22278</v>
      </c>
      <c r="AP898" s="15" t="s">
        <v>22279</v>
      </c>
      <c r="BH898" s="15" t="s">
        <v>9156</v>
      </c>
      <c r="BI898" s="15" t="str">
        <f>"1349"</f>
        <v>1349</v>
      </c>
      <c r="BJ898" s="15" t="str">
        <f>"570"</f>
        <v>570</v>
      </c>
      <c r="BK898" s="15" t="s">
        <v>742</v>
      </c>
      <c r="BL898" s="15" t="str">
        <f t="shared" si="2597"/>
        <v>1</v>
      </c>
      <c r="BM898" s="15" t="s">
        <v>9160</v>
      </c>
      <c r="BN898" s="15" t="str">
        <f>"36.42"</f>
        <v>36.42</v>
      </c>
      <c r="BO898" s="15" t="str">
        <f>"32.48"</f>
        <v>32.48</v>
      </c>
      <c r="BP898" s="15" t="str">
        <f>"29.13"</f>
        <v>29.13</v>
      </c>
      <c r="BQ898" s="15" t="str">
        <f>"50.71"</f>
        <v>50.71</v>
      </c>
      <c r="CG898" s="15" t="str">
        <f>"15.75"</f>
        <v>15.75</v>
      </c>
      <c r="CH898" s="15" t="str">
        <f>"0.446"</f>
        <v>0.446</v>
      </c>
      <c r="CI898" s="15" t="s">
        <v>417</v>
      </c>
      <c r="CP898" s="15" t="s">
        <v>2017</v>
      </c>
      <c r="CQ898" s="15" t="s">
        <v>1483</v>
      </c>
      <c r="CR898" s="15" t="s">
        <v>3926</v>
      </c>
      <c r="CS898" s="15" t="s">
        <v>2508</v>
      </c>
      <c r="CT898" s="15" t="s">
        <v>1070</v>
      </c>
      <c r="CU898" s="15" t="s">
        <v>3926</v>
      </c>
      <c r="CV898" s="15">
        <v>0.0</v>
      </c>
      <c r="CW898" s="15">
        <v>1.0</v>
      </c>
      <c r="CX898" s="15" t="s">
        <v>469</v>
      </c>
      <c r="CY898" s="15" t="s">
        <v>718</v>
      </c>
      <c r="DC898" s="15" t="s">
        <v>9161</v>
      </c>
      <c r="DD898" s="15" t="s">
        <v>9162</v>
      </c>
      <c r="DE898" s="15" t="s">
        <v>9163</v>
      </c>
      <c r="DH898" s="15" t="s">
        <v>420</v>
      </c>
      <c r="DI898" s="15" t="s">
        <v>419</v>
      </c>
      <c r="DJ898" s="15">
        <v>0.0</v>
      </c>
      <c r="DN898" s="15">
        <v>0.0</v>
      </c>
      <c r="DO898" s="15" t="s">
        <v>722</v>
      </c>
      <c r="DP898" s="15" t="s">
        <v>723</v>
      </c>
      <c r="DQ898" s="15" t="s">
        <v>724</v>
      </c>
      <c r="DR898" s="15">
        <v>1.0</v>
      </c>
      <c r="DS898" s="15">
        <v>1.0</v>
      </c>
      <c r="DU898" s="15" t="s">
        <v>9164</v>
      </c>
      <c r="DV898" s="15">
        <v>0.0</v>
      </c>
      <c r="DW898" s="15" t="s">
        <v>726</v>
      </c>
      <c r="EE898" s="15" t="s">
        <v>6046</v>
      </c>
      <c r="EF898" s="15" t="s">
        <v>5940</v>
      </c>
      <c r="EG898" s="15" t="s">
        <v>3926</v>
      </c>
      <c r="EH898" s="15" t="s">
        <v>2473</v>
      </c>
      <c r="EI898" s="15" t="s">
        <v>987</v>
      </c>
      <c r="EJ898" s="15" t="s">
        <v>4987</v>
      </c>
      <c r="EK898" s="15" t="s">
        <v>714</v>
      </c>
      <c r="EN898" s="15" t="s">
        <v>723</v>
      </c>
      <c r="EO898" s="15" t="s">
        <v>724</v>
      </c>
      <c r="EP898" s="15" t="s">
        <v>1077</v>
      </c>
      <c r="EQ898" s="15" t="s">
        <v>9166</v>
      </c>
      <c r="FC898" s="15">
        <v>0.0</v>
      </c>
      <c r="FD898" s="15">
        <v>0.0</v>
      </c>
      <c r="FF898" s="15">
        <v>0.0</v>
      </c>
    </row>
    <row r="899" ht="17.25" customHeight="1">
      <c r="A899" s="15" t="s">
        <v>9169</v>
      </c>
      <c r="B899" s="15" t="str">
        <f>"801542201630"</f>
        <v>801542201630</v>
      </c>
      <c r="C899" s="15" t="s">
        <v>22280</v>
      </c>
      <c r="D899" s="15" t="str">
        <f t="shared" si="1"/>
        <v>Shizuko SideboardDistressed Walnut</v>
      </c>
      <c r="E899" s="15" t="s">
        <v>9167</v>
      </c>
      <c r="F899" s="15" t="s">
        <v>397</v>
      </c>
      <c r="G899" s="15" t="s">
        <v>8549</v>
      </c>
      <c r="J899" s="15" t="s">
        <v>8549</v>
      </c>
      <c r="K899" s="15" t="s">
        <v>2613</v>
      </c>
      <c r="M899" s="15" t="s">
        <v>2612</v>
      </c>
      <c r="N899" s="15" t="s">
        <v>664</v>
      </c>
      <c r="P899" s="15" t="str">
        <f>"102"</f>
        <v>102</v>
      </c>
      <c r="Q899" s="15" t="str">
        <f>"19"</f>
        <v>19</v>
      </c>
      <c r="R899" s="15" t="str">
        <f>"34"</f>
        <v>34</v>
      </c>
      <c r="S899" s="15" t="str">
        <f>"186.51"</f>
        <v>186.51</v>
      </c>
      <c r="T899" s="15" t="s">
        <v>9171</v>
      </c>
      <c r="U899" s="15" t="s">
        <v>20015</v>
      </c>
      <c r="V899" s="15" t="s">
        <v>12930</v>
      </c>
      <c r="AA899" s="15" t="s">
        <v>413</v>
      </c>
      <c r="AB899" s="15" t="s">
        <v>413</v>
      </c>
      <c r="AC899" s="15" t="s">
        <v>9172</v>
      </c>
      <c r="AD899" s="15" t="s">
        <v>22281</v>
      </c>
      <c r="AE899" s="15" t="s">
        <v>9170</v>
      </c>
      <c r="AF899" s="15" t="s">
        <v>22282</v>
      </c>
      <c r="AG899" s="15" t="s">
        <v>22283</v>
      </c>
      <c r="AH899" s="15" t="s">
        <v>22284</v>
      </c>
      <c r="AI899" s="15" t="s">
        <v>22285</v>
      </c>
      <c r="AJ899" s="15" t="s">
        <v>22286</v>
      </c>
      <c r="AK899" s="15" t="s">
        <v>22287</v>
      </c>
      <c r="AL899" s="15" t="s">
        <v>22288</v>
      </c>
      <c r="AM899" s="15" t="s">
        <v>22289</v>
      </c>
      <c r="AN899" s="15" t="s">
        <v>22290</v>
      </c>
      <c r="AO899" s="15" t="s">
        <v>22291</v>
      </c>
      <c r="AP899" s="15" t="s">
        <v>22292</v>
      </c>
      <c r="AQ899" s="15" t="s">
        <v>22293</v>
      </c>
      <c r="AR899" s="15" t="s">
        <v>22294</v>
      </c>
      <c r="AS899" s="15" t="s">
        <v>22295</v>
      </c>
      <c r="BH899" s="15" t="s">
        <v>9168</v>
      </c>
      <c r="BI899" s="15" t="str">
        <f>"3499"</f>
        <v>3499</v>
      </c>
      <c r="BJ899" s="15" t="str">
        <f>"1470"</f>
        <v>1470</v>
      </c>
      <c r="BK899" s="15" t="s">
        <v>709</v>
      </c>
      <c r="BL899" s="15" t="str">
        <f t="shared" si="2597"/>
        <v>1</v>
      </c>
      <c r="BM899" s="15" t="s">
        <v>9173</v>
      </c>
      <c r="BN899" s="15" t="str">
        <f>"106.3"</f>
        <v>106.3</v>
      </c>
      <c r="BO899" s="15" t="str">
        <f>"22.83"</f>
        <v>22.83</v>
      </c>
      <c r="BP899" s="15" t="str">
        <f>"38.98"</f>
        <v>38.98</v>
      </c>
      <c r="BQ899" s="15" t="str">
        <f>"226.19"</f>
        <v>226.19</v>
      </c>
      <c r="CG899" s="15" t="str">
        <f>"54.74"</f>
        <v>54.74</v>
      </c>
      <c r="CH899" s="15" t="str">
        <f>"1.55"</f>
        <v>1.55</v>
      </c>
      <c r="CI899" s="15" t="s">
        <v>465</v>
      </c>
      <c r="CJ899" s="15" t="s">
        <v>5646</v>
      </c>
      <c r="CK899" s="15" t="s">
        <v>4469</v>
      </c>
      <c r="CL899" s="15" t="s">
        <v>1445</v>
      </c>
      <c r="CM899" s="15" t="s">
        <v>1213</v>
      </c>
      <c r="CN899" s="15" t="s">
        <v>2020</v>
      </c>
      <c r="CO899" s="15" t="s">
        <v>3512</v>
      </c>
      <c r="CZ899" s="15" t="s">
        <v>4002</v>
      </c>
      <c r="DA899" s="15">
        <v>4.0</v>
      </c>
      <c r="DB899" s="15" t="s">
        <v>2601</v>
      </c>
      <c r="DD899" s="15">
        <v>3.0</v>
      </c>
      <c r="DE899" s="15" t="s">
        <v>426</v>
      </c>
      <c r="DF899" s="15" t="s">
        <v>721</v>
      </c>
      <c r="DG899" s="15" t="s">
        <v>610</v>
      </c>
      <c r="DI899" s="15">
        <v>18.14</v>
      </c>
      <c r="DJ899" s="15">
        <v>40.0</v>
      </c>
      <c r="DK899" s="15">
        <v>2.0</v>
      </c>
      <c r="DS899" s="15" t="s">
        <v>9176</v>
      </c>
      <c r="DU899" s="15" t="s">
        <v>424</v>
      </c>
      <c r="EF899" s="15" t="s">
        <v>5482</v>
      </c>
      <c r="EU899" s="15" t="s">
        <v>426</v>
      </c>
      <c r="EV899" s="15">
        <v>5.0</v>
      </c>
      <c r="FH899" s="15" t="s">
        <v>2020</v>
      </c>
      <c r="FI899" s="15" t="s">
        <v>612</v>
      </c>
      <c r="FJ899" s="15" t="s">
        <v>1592</v>
      </c>
      <c r="FK899" s="15" t="s">
        <v>1213</v>
      </c>
      <c r="FL899" s="15" t="s">
        <v>612</v>
      </c>
      <c r="FM899" s="15" t="s">
        <v>1574</v>
      </c>
      <c r="FN899" s="15">
        <v>0.0</v>
      </c>
      <c r="FO899" s="15" t="s">
        <v>426</v>
      </c>
      <c r="FQ899" s="15">
        <v>4.0</v>
      </c>
      <c r="FR899" s="15" t="s">
        <v>614</v>
      </c>
      <c r="FS899" s="15" t="s">
        <v>615</v>
      </c>
      <c r="FT899" s="15">
        <v>0.0</v>
      </c>
      <c r="FU899" s="15" t="s">
        <v>426</v>
      </c>
      <c r="FW899" s="15" t="s">
        <v>616</v>
      </c>
      <c r="FZ899" s="15" t="s">
        <v>2618</v>
      </c>
      <c r="GB899" s="15" t="s">
        <v>1235</v>
      </c>
      <c r="GD899" s="15" t="s">
        <v>2292</v>
      </c>
      <c r="GF899" s="15" t="s">
        <v>2604</v>
      </c>
      <c r="GH899" s="15" t="s">
        <v>764</v>
      </c>
      <c r="GI899" s="15" t="s">
        <v>426</v>
      </c>
      <c r="GJ899" s="15" t="s">
        <v>5646</v>
      </c>
      <c r="GK899" s="15" t="s">
        <v>9177</v>
      </c>
      <c r="GL899" s="15" t="s">
        <v>3512</v>
      </c>
      <c r="GZ899" s="15" t="s">
        <v>5646</v>
      </c>
      <c r="HA899" s="15" t="s">
        <v>1213</v>
      </c>
      <c r="HB899" s="15" t="s">
        <v>9177</v>
      </c>
      <c r="HC899" s="15" t="s">
        <v>2020</v>
      </c>
      <c r="HD899" s="15" t="s">
        <v>9178</v>
      </c>
      <c r="HE899" s="15" t="s">
        <v>3512</v>
      </c>
      <c r="HF899" s="15" t="s">
        <v>789</v>
      </c>
      <c r="HQ899" s="15" t="s">
        <v>426</v>
      </c>
      <c r="JU899" s="15" t="s">
        <v>5646</v>
      </c>
      <c r="JV899" s="15" t="s">
        <v>4469</v>
      </c>
      <c r="JW899" s="15" t="s">
        <v>9178</v>
      </c>
      <c r="KG899" s="15" t="s">
        <v>5646</v>
      </c>
      <c r="KH899" s="15" t="s">
        <v>3241</v>
      </c>
      <c r="KI899" s="15" t="s">
        <v>3512</v>
      </c>
    </row>
    <row r="900" ht="17.25" customHeight="1">
      <c r="A900" s="15" t="s">
        <v>9181</v>
      </c>
      <c r="B900" s="15" t="str">
        <f>"801542798918"</f>
        <v>801542798918</v>
      </c>
      <c r="C900" s="15" t="s">
        <v>22296</v>
      </c>
      <c r="D900" s="15" t="str">
        <f t="shared" si="1"/>
        <v>Siedell Swivel ChairSheldon Ivory</v>
      </c>
      <c r="E900" s="15" t="s">
        <v>9179</v>
      </c>
      <c r="F900" s="15" t="s">
        <v>397</v>
      </c>
      <c r="G900" s="15" t="s">
        <v>2663</v>
      </c>
      <c r="J900" s="15" t="s">
        <v>2663</v>
      </c>
      <c r="K900" s="15" t="s">
        <v>6616</v>
      </c>
      <c r="M900" s="15" t="s">
        <v>2759</v>
      </c>
      <c r="N900" s="15" t="s">
        <v>706</v>
      </c>
      <c r="O900" s="15" t="s">
        <v>707</v>
      </c>
      <c r="P900" s="15" t="str">
        <f>"28.75"</f>
        <v>28.75</v>
      </c>
      <c r="Q900" s="15" t="str">
        <f>"34"</f>
        <v>34</v>
      </c>
      <c r="R900" s="15" t="str">
        <f>"29.25"</f>
        <v>29.25</v>
      </c>
      <c r="S900" s="15" t="str">
        <f>"57.89"</f>
        <v>57.89</v>
      </c>
      <c r="T900" s="15" t="s">
        <v>2666</v>
      </c>
      <c r="U900" s="15" t="s">
        <v>11234</v>
      </c>
      <c r="V900" s="15" t="s">
        <v>11898</v>
      </c>
      <c r="W900" s="15" t="s">
        <v>11338</v>
      </c>
      <c r="AA900" s="15" t="s">
        <v>413</v>
      </c>
      <c r="AB900" s="15" t="s">
        <v>413</v>
      </c>
      <c r="AC900" s="15" t="s">
        <v>9184</v>
      </c>
      <c r="AD900" s="15" t="s">
        <v>22297</v>
      </c>
      <c r="AE900" s="15" t="s">
        <v>9183</v>
      </c>
      <c r="AF900" s="15" t="s">
        <v>22298</v>
      </c>
      <c r="AG900" s="15" t="s">
        <v>22299</v>
      </c>
      <c r="AH900" s="15" t="s">
        <v>22300</v>
      </c>
      <c r="AI900" s="15" t="s">
        <v>22301</v>
      </c>
      <c r="AJ900" s="15" t="s">
        <v>22302</v>
      </c>
      <c r="AK900" s="15" t="s">
        <v>22303</v>
      </c>
      <c r="AL900" s="15" t="s">
        <v>22304</v>
      </c>
      <c r="AM900" s="15" t="s">
        <v>22305</v>
      </c>
      <c r="AN900" s="15" t="s">
        <v>22306</v>
      </c>
      <c r="AO900" s="15" t="s">
        <v>22307</v>
      </c>
      <c r="BH900" s="15" t="s">
        <v>9180</v>
      </c>
      <c r="BI900" s="15" t="str">
        <f>"1149"</f>
        <v>1149</v>
      </c>
      <c r="BJ900" s="15" t="str">
        <f>"485"</f>
        <v>485</v>
      </c>
      <c r="BK900" s="15" t="s">
        <v>709</v>
      </c>
      <c r="BL900" s="15" t="str">
        <f t="shared" si="2597"/>
        <v>1</v>
      </c>
      <c r="BM900" s="15" t="s">
        <v>1494</v>
      </c>
      <c r="BN900" s="15" t="str">
        <f>"28.74"</f>
        <v>28.74</v>
      </c>
      <c r="BO900" s="15" t="str">
        <f>"34.65"</f>
        <v>34.65</v>
      </c>
      <c r="BP900" s="15" t="str">
        <f>"30.71"</f>
        <v>30.71</v>
      </c>
      <c r="BQ900" s="15" t="str">
        <f>"73.41"</f>
        <v>73.41</v>
      </c>
      <c r="CG900" s="15" t="str">
        <f>"13.95"</f>
        <v>13.95</v>
      </c>
      <c r="CH900" s="15" t="str">
        <f>"0.395"</f>
        <v>0.395</v>
      </c>
      <c r="CI900" s="15" t="s">
        <v>465</v>
      </c>
      <c r="CS900" s="15" t="s">
        <v>2735</v>
      </c>
      <c r="CT900" s="15" t="s">
        <v>1161</v>
      </c>
      <c r="CU900" s="15" t="s">
        <v>2637</v>
      </c>
      <c r="CV900" s="15">
        <v>0.0</v>
      </c>
      <c r="CW900" s="15">
        <v>1.0</v>
      </c>
      <c r="CX900" s="15" t="s">
        <v>469</v>
      </c>
      <c r="CY900" s="15" t="s">
        <v>855</v>
      </c>
      <c r="DF900" s="15" t="s">
        <v>721</v>
      </c>
      <c r="DG900" s="15" t="s">
        <v>1605</v>
      </c>
      <c r="DH900" s="15">
        <v>0.0</v>
      </c>
      <c r="DL900" s="15">
        <v>30000.0</v>
      </c>
      <c r="DM900" s="15" t="s">
        <v>990</v>
      </c>
      <c r="DN900" s="15" t="s">
        <v>1016</v>
      </c>
      <c r="DP900" s="15">
        <v>1.0</v>
      </c>
      <c r="DQ900" s="15">
        <v>1.0</v>
      </c>
      <c r="DS900" s="15" t="s">
        <v>9186</v>
      </c>
      <c r="DT900" s="15">
        <v>0.0</v>
      </c>
      <c r="DU900" s="15" t="s">
        <v>726</v>
      </c>
      <c r="EF900" s="15" t="s">
        <v>672</v>
      </c>
      <c r="EI900" s="15" t="s">
        <v>1073</v>
      </c>
      <c r="EL900" s="15" t="s">
        <v>1016</v>
      </c>
      <c r="EO900" s="15" t="s">
        <v>860</v>
      </c>
      <c r="EZ900" s="15">
        <v>0.0</v>
      </c>
      <c r="FA900" s="15">
        <v>0.0</v>
      </c>
      <c r="FC900" s="15">
        <v>0.0</v>
      </c>
      <c r="HU900" s="15" t="s">
        <v>1610</v>
      </c>
    </row>
    <row r="901" ht="17.25" customHeight="1">
      <c r="A901" s="15" t="s">
        <v>9189</v>
      </c>
      <c r="B901" s="15" t="str">
        <f>"801542294687"</f>
        <v>801542294687</v>
      </c>
      <c r="C901" s="15" t="s">
        <v>22308</v>
      </c>
      <c r="D901" s="15" t="str">
        <f t="shared" si="1"/>
        <v>Silas ChairPatina Copper</v>
      </c>
      <c r="E901" s="15" t="s">
        <v>9187</v>
      </c>
      <c r="F901" s="15" t="s">
        <v>397</v>
      </c>
      <c r="G901" s="15" t="s">
        <v>4851</v>
      </c>
      <c r="J901" s="15" t="s">
        <v>4851</v>
      </c>
      <c r="K901" s="15" t="s">
        <v>9191</v>
      </c>
      <c r="M901" s="15" t="s">
        <v>813</v>
      </c>
      <c r="N901" s="15" t="s">
        <v>706</v>
      </c>
      <c r="O901" s="15" t="s">
        <v>707</v>
      </c>
      <c r="P901" s="15" t="str">
        <f>"28"</f>
        <v>28</v>
      </c>
      <c r="Q901" s="15" t="str">
        <f>"32.75"</f>
        <v>32.75</v>
      </c>
      <c r="R901" s="15" t="str">
        <f>"33"</f>
        <v>33</v>
      </c>
      <c r="S901" s="15" t="str">
        <f>"37.48"</f>
        <v>37.48</v>
      </c>
      <c r="T901" s="15" t="s">
        <v>1341</v>
      </c>
      <c r="U901" s="15" t="s">
        <v>11137</v>
      </c>
      <c r="V901" s="15" t="s">
        <v>11138</v>
      </c>
      <c r="AA901" s="15" t="s">
        <v>413</v>
      </c>
      <c r="AB901" s="15" t="s">
        <v>413</v>
      </c>
      <c r="AC901" s="15" t="s">
        <v>9192</v>
      </c>
      <c r="AD901" s="15" t="s">
        <v>22309</v>
      </c>
      <c r="AE901" s="15" t="s">
        <v>9190</v>
      </c>
      <c r="AF901" s="15" t="s">
        <v>22310</v>
      </c>
      <c r="AG901" s="15" t="s">
        <v>22311</v>
      </c>
      <c r="AH901" s="15" t="s">
        <v>22312</v>
      </c>
      <c r="AI901" s="15" t="s">
        <v>22313</v>
      </c>
      <c r="AJ901" s="15" t="s">
        <v>22314</v>
      </c>
      <c r="AK901" s="15" t="s">
        <v>22315</v>
      </c>
      <c r="AL901" s="15" t="s">
        <v>22316</v>
      </c>
      <c r="AM901" s="15" t="s">
        <v>22317</v>
      </c>
      <c r="AN901" s="15" t="s">
        <v>22318</v>
      </c>
      <c r="AO901" s="15" t="s">
        <v>22319</v>
      </c>
      <c r="AP901" s="15" t="s">
        <v>22320</v>
      </c>
      <c r="AQ901" s="15" t="s">
        <v>22321</v>
      </c>
      <c r="AR901" s="15" t="s">
        <v>22322</v>
      </c>
      <c r="AS901" s="15" t="s">
        <v>22323</v>
      </c>
      <c r="AT901" s="15" t="s">
        <v>22324</v>
      </c>
      <c r="BH901" s="15" t="s">
        <v>9188</v>
      </c>
      <c r="BI901" s="15" t="str">
        <f>"2299"</f>
        <v>2299</v>
      </c>
      <c r="BJ901" s="15" t="str">
        <f>"970"</f>
        <v>970</v>
      </c>
      <c r="BK901" s="15" t="s">
        <v>709</v>
      </c>
      <c r="BL901" s="15" t="str">
        <f t="shared" si="2597"/>
        <v>1</v>
      </c>
      <c r="BM901" s="15" t="s">
        <v>416</v>
      </c>
      <c r="BN901" s="15" t="str">
        <f>"35.24"</f>
        <v>35.24</v>
      </c>
      <c r="BO901" s="15" t="str">
        <f>"32.28"</f>
        <v>32.28</v>
      </c>
      <c r="BP901" s="15" t="str">
        <f>"34.25"</f>
        <v>34.25</v>
      </c>
      <c r="BQ901" s="15" t="str">
        <f>"51.81"</f>
        <v>51.81</v>
      </c>
      <c r="CG901" s="15" t="str">
        <f>"22.53"</f>
        <v>22.53</v>
      </c>
      <c r="CH901" s="15" t="str">
        <f>"0.638"</f>
        <v>0.638</v>
      </c>
      <c r="CI901" s="15" t="s">
        <v>465</v>
      </c>
      <c r="CP901" s="15" t="s">
        <v>1072</v>
      </c>
      <c r="CQ901" s="15" t="s">
        <v>505</v>
      </c>
      <c r="CR901" s="15" t="s">
        <v>1072</v>
      </c>
      <c r="CS901" s="15" t="s">
        <v>3748</v>
      </c>
      <c r="CT901" s="15" t="s">
        <v>1065</v>
      </c>
      <c r="CU901" s="15" t="s">
        <v>1072</v>
      </c>
      <c r="CV901" s="15">
        <v>0.0</v>
      </c>
      <c r="CW901" s="15">
        <v>1.0</v>
      </c>
      <c r="CX901" s="15" t="s">
        <v>717</v>
      </c>
      <c r="CY901" s="15" t="s">
        <v>718</v>
      </c>
      <c r="DC901" s="15" t="s">
        <v>9193</v>
      </c>
      <c r="DD901" s="15" t="s">
        <v>9194</v>
      </c>
      <c r="DE901" s="15" t="s">
        <v>9195</v>
      </c>
      <c r="DH901" s="15" t="s">
        <v>1111</v>
      </c>
      <c r="DI901" s="15" t="s">
        <v>419</v>
      </c>
      <c r="DJ901" s="15">
        <v>0.0</v>
      </c>
      <c r="DN901" s="15">
        <v>0.0</v>
      </c>
      <c r="DO901" s="15" t="s">
        <v>722</v>
      </c>
      <c r="DP901" s="15" t="s">
        <v>723</v>
      </c>
      <c r="DQ901" s="15" t="s">
        <v>724</v>
      </c>
      <c r="DR901" s="15">
        <v>1.0</v>
      </c>
      <c r="DS901" s="15">
        <v>1.0</v>
      </c>
      <c r="DU901" s="15" t="s">
        <v>9196</v>
      </c>
      <c r="DV901" s="15">
        <v>0.0</v>
      </c>
      <c r="DW901" s="15" t="s">
        <v>726</v>
      </c>
      <c r="DX901" s="15" t="s">
        <v>1995</v>
      </c>
      <c r="DY901" s="15" t="s">
        <v>2736</v>
      </c>
      <c r="DZ901" s="15" t="s">
        <v>1286</v>
      </c>
      <c r="ED901" s="15" t="s">
        <v>1236</v>
      </c>
      <c r="EE901" s="15" t="s">
        <v>477</v>
      </c>
      <c r="EF901" s="15" t="s">
        <v>467</v>
      </c>
      <c r="EG901" s="15" t="s">
        <v>1072</v>
      </c>
      <c r="EH901" s="15" t="s">
        <v>3241</v>
      </c>
      <c r="EI901" s="15" t="s">
        <v>2571</v>
      </c>
      <c r="EJ901" s="15" t="s">
        <v>1072</v>
      </c>
      <c r="EK901" s="15" t="s">
        <v>504</v>
      </c>
      <c r="EN901" s="15" t="s">
        <v>723</v>
      </c>
      <c r="EO901" s="15" t="s">
        <v>724</v>
      </c>
      <c r="EP901" s="15" t="s">
        <v>9198</v>
      </c>
      <c r="EQ901" s="15" t="s">
        <v>9199</v>
      </c>
      <c r="FC901" s="15">
        <v>0.0</v>
      </c>
      <c r="FD901" s="15">
        <v>0.0</v>
      </c>
      <c r="FF901" s="15">
        <v>0.0</v>
      </c>
    </row>
    <row r="902" ht="17.25" customHeight="1">
      <c r="A902" s="15" t="s">
        <v>9203</v>
      </c>
      <c r="B902" s="15" t="str">
        <f>"801542147372"</f>
        <v>801542147372</v>
      </c>
      <c r="C902" s="15" t="s">
        <v>22325</v>
      </c>
      <c r="D902" s="15" t="str">
        <f t="shared" si="1"/>
        <v>Silverton Dining TableSienna Brown Oak Veneer</v>
      </c>
      <c r="E902" s="15" t="s">
        <v>9200</v>
      </c>
      <c r="F902" s="15" t="s">
        <v>397</v>
      </c>
      <c r="G902" s="15" t="s">
        <v>9202</v>
      </c>
      <c r="J902" s="15" t="s">
        <v>9202</v>
      </c>
      <c r="M902" s="15" t="s">
        <v>8463</v>
      </c>
      <c r="N902" s="15" t="s">
        <v>548</v>
      </c>
      <c r="O902" s="15" t="s">
        <v>549</v>
      </c>
      <c r="P902" s="15" t="str">
        <f>"96"</f>
        <v>96</v>
      </c>
      <c r="Q902" s="15" t="str">
        <f>"42"</f>
        <v>42</v>
      </c>
      <c r="R902" s="15" t="str">
        <f>"30"</f>
        <v>30</v>
      </c>
      <c r="S902" s="15" t="str">
        <f>"178.13"</f>
        <v>178.13</v>
      </c>
      <c r="T902" s="15" t="s">
        <v>2354</v>
      </c>
      <c r="U902" s="15" t="s">
        <v>11553</v>
      </c>
      <c r="V902" s="15" t="s">
        <v>11338</v>
      </c>
      <c r="AA902" s="15" t="s">
        <v>413</v>
      </c>
      <c r="AB902" s="15" t="s">
        <v>413</v>
      </c>
      <c r="AC902" s="15" t="s">
        <v>9206</v>
      </c>
      <c r="AD902" s="15" t="s">
        <v>22326</v>
      </c>
      <c r="AE902" s="15" t="s">
        <v>9205</v>
      </c>
      <c r="AF902" s="15" t="s">
        <v>22327</v>
      </c>
      <c r="AG902" s="15" t="s">
        <v>22328</v>
      </c>
      <c r="AH902" s="15" t="s">
        <v>22329</v>
      </c>
      <c r="AI902" s="15" t="s">
        <v>22330</v>
      </c>
      <c r="AJ902" s="15" t="s">
        <v>22331</v>
      </c>
      <c r="AK902" s="15" t="s">
        <v>22332</v>
      </c>
      <c r="AL902" s="15" t="s">
        <v>22333</v>
      </c>
      <c r="AM902" s="15" t="s">
        <v>22334</v>
      </c>
      <c r="AN902" s="15" t="s">
        <v>22335</v>
      </c>
      <c r="AO902" s="15" t="s">
        <v>22336</v>
      </c>
      <c r="AP902" s="15" t="s">
        <v>22337</v>
      </c>
      <c r="BH902" s="15" t="s">
        <v>9201</v>
      </c>
      <c r="BI902" s="15" t="str">
        <f>"2599"</f>
        <v>2599</v>
      </c>
      <c r="BJ902" s="15" t="str">
        <f>"1095"</f>
        <v>1095</v>
      </c>
      <c r="BK902" s="15" t="s">
        <v>709</v>
      </c>
      <c r="BL902" s="15" t="str">
        <f t="shared" ref="BL902:BL904" si="2621">"2"</f>
        <v>2</v>
      </c>
      <c r="BM902" s="15" t="s">
        <v>1564</v>
      </c>
      <c r="BN902" s="15" t="str">
        <f>"100"</f>
        <v>100</v>
      </c>
      <c r="BO902" s="15" t="str">
        <f>"5.91"</f>
        <v>5.91</v>
      </c>
      <c r="BP902" s="15" t="str">
        <f>"45.47"</f>
        <v>45.47</v>
      </c>
      <c r="BQ902" s="15" t="str">
        <f>"142.86"</f>
        <v>142.86</v>
      </c>
      <c r="BR902" s="15" t="s">
        <v>2238</v>
      </c>
      <c r="BS902" s="15" t="str">
        <f>"25.59"</f>
        <v>25.59</v>
      </c>
      <c r="BT902" s="15" t="str">
        <f>"14.96"</f>
        <v>14.96</v>
      </c>
      <c r="BU902" s="15" t="str">
        <f>"31.1"</f>
        <v>31.1</v>
      </c>
      <c r="BV902" s="15" t="str">
        <f>"59.52"</f>
        <v>59.52</v>
      </c>
      <c r="CG902" s="15" t="str">
        <f>"22.42"</f>
        <v>22.42</v>
      </c>
      <c r="CH902" s="15" t="str">
        <f>"0.635"</f>
        <v>0.635</v>
      </c>
      <c r="CI902" s="15" t="s">
        <v>465</v>
      </c>
      <c r="CZ902" s="15" t="s">
        <v>419</v>
      </c>
      <c r="DA902" s="15">
        <v>0.0</v>
      </c>
      <c r="DB902" s="15" t="s">
        <v>419</v>
      </c>
      <c r="DD902" s="15">
        <v>0.0</v>
      </c>
      <c r="DF902" s="15" t="s">
        <v>1388</v>
      </c>
      <c r="DG902" s="15" t="s">
        <v>419</v>
      </c>
      <c r="DI902" s="15">
        <v>0.0</v>
      </c>
      <c r="DJ902" s="15">
        <v>0.0</v>
      </c>
      <c r="DK902" s="15">
        <v>0.0</v>
      </c>
      <c r="DQ902" s="15">
        <v>10.0</v>
      </c>
      <c r="DR902" s="15" t="s">
        <v>471</v>
      </c>
      <c r="DS902" s="15" t="s">
        <v>9209</v>
      </c>
      <c r="DU902" s="15" t="s">
        <v>424</v>
      </c>
      <c r="EF902" s="15" t="s">
        <v>1188</v>
      </c>
      <c r="EG902" s="15" t="s">
        <v>1288</v>
      </c>
      <c r="EH902" s="15" t="s">
        <v>9210</v>
      </c>
      <c r="EQ902" s="15" t="s">
        <v>1072</v>
      </c>
      <c r="ER902" s="15" t="s">
        <v>1574</v>
      </c>
      <c r="ES902" s="15" t="s">
        <v>3204</v>
      </c>
      <c r="ET902" s="15" t="s">
        <v>672</v>
      </c>
      <c r="EU902" s="15" t="s">
        <v>426</v>
      </c>
      <c r="EV902" s="15">
        <v>0.0</v>
      </c>
      <c r="EW902" s="15">
        <v>0.0</v>
      </c>
      <c r="FE902" s="15" t="s">
        <v>1574</v>
      </c>
      <c r="FF902" s="15" t="s">
        <v>1982</v>
      </c>
      <c r="FG902" s="15" t="s">
        <v>1123</v>
      </c>
    </row>
    <row r="903" ht="17.25" customHeight="1">
      <c r="A903" s="15" t="s">
        <v>9213</v>
      </c>
      <c r="B903" s="15" t="str">
        <f>"801542687151"</f>
        <v>801542687151</v>
      </c>
      <c r="C903" s="15" t="s">
        <v>22338</v>
      </c>
      <c r="D903" s="15" t="str">
        <f t="shared" si="1"/>
        <v>Simone Bistro TableAntique Rust</v>
      </c>
      <c r="E903" s="15" t="s">
        <v>9211</v>
      </c>
      <c r="F903" s="15" t="s">
        <v>397</v>
      </c>
      <c r="G903" s="15" t="s">
        <v>3697</v>
      </c>
      <c r="J903" s="15" t="s">
        <v>3697</v>
      </c>
      <c r="M903" s="15" t="s">
        <v>3586</v>
      </c>
      <c r="N903" s="15" t="s">
        <v>548</v>
      </c>
      <c r="O903" s="15" t="s">
        <v>549</v>
      </c>
      <c r="P903" s="15" t="str">
        <f t="shared" ref="P903:Q903" si="2620">"42"</f>
        <v>42</v>
      </c>
      <c r="Q903" s="15" t="str">
        <f t="shared" si="2620"/>
        <v>42</v>
      </c>
      <c r="R903" s="15" t="str">
        <f t="shared" ref="R903:R904" si="2624">"31"</f>
        <v>31</v>
      </c>
      <c r="S903" s="15" t="str">
        <f t="shared" ref="S903:S904" si="2625">"74.96"</f>
        <v>74.96</v>
      </c>
      <c r="T903" s="15" t="s">
        <v>3701</v>
      </c>
      <c r="U903" s="15" t="s">
        <v>14078</v>
      </c>
      <c r="AA903" s="15" t="s">
        <v>413</v>
      </c>
      <c r="AB903" s="15" t="s">
        <v>413</v>
      </c>
      <c r="AC903" s="15" t="s">
        <v>9215</v>
      </c>
      <c r="AD903" s="15" t="s">
        <v>22339</v>
      </c>
      <c r="AE903" s="15" t="s">
        <v>9214</v>
      </c>
      <c r="AF903" s="15" t="s">
        <v>22340</v>
      </c>
      <c r="AG903" s="15" t="s">
        <v>22341</v>
      </c>
      <c r="AH903" s="15" t="s">
        <v>22342</v>
      </c>
      <c r="AI903" s="15" t="s">
        <v>22343</v>
      </c>
      <c r="AJ903" s="15" t="s">
        <v>22344</v>
      </c>
      <c r="AK903" s="15" t="s">
        <v>22345</v>
      </c>
      <c r="AL903" s="15" t="s">
        <v>22346</v>
      </c>
      <c r="AM903" s="15" t="s">
        <v>22347</v>
      </c>
      <c r="AN903" s="15" t="s">
        <v>22348</v>
      </c>
      <c r="BH903" s="15" t="s">
        <v>9212</v>
      </c>
      <c r="BI903" s="15" t="str">
        <f t="shared" ref="BI903:BI904" si="2626">"1299"</f>
        <v>1299</v>
      </c>
      <c r="BJ903" s="15" t="str">
        <f t="shared" ref="BJ903:BJ904" si="2627">"550"</f>
        <v>550</v>
      </c>
      <c r="BK903" s="15" t="s">
        <v>1303</v>
      </c>
      <c r="BL903" s="15" t="str">
        <f t="shared" si="2621"/>
        <v>2</v>
      </c>
      <c r="BM903" s="15" t="s">
        <v>2238</v>
      </c>
      <c r="BN903" s="15" t="str">
        <f t="shared" ref="BN903:BO903" si="2622">"23.5"</f>
        <v>23.5</v>
      </c>
      <c r="BO903" s="15" t="str">
        <f t="shared" si="2622"/>
        <v>23.5</v>
      </c>
      <c r="BP903" s="15" t="str">
        <f>"32.75"</f>
        <v>32.75</v>
      </c>
      <c r="BQ903" s="15" t="str">
        <f>"36.38"</f>
        <v>36.38</v>
      </c>
      <c r="BR903" s="15" t="s">
        <v>1564</v>
      </c>
      <c r="BS903" s="15" t="str">
        <f>"43.7"</f>
        <v>43.7</v>
      </c>
      <c r="BT903" s="15" t="str">
        <f>"3.25"</f>
        <v>3.25</v>
      </c>
      <c r="BU903" s="15" t="str">
        <f>"44"</f>
        <v>44</v>
      </c>
      <c r="BV903" s="15" t="str">
        <f>"59.79"</f>
        <v>59.79</v>
      </c>
      <c r="CG903" s="15" t="str">
        <f t="shared" ref="CG903:CG904" si="2629">"14.06"</f>
        <v>14.06</v>
      </c>
      <c r="CH903" s="15" t="str">
        <f t="shared" ref="CH903:CH904" si="2630">"0.398"</f>
        <v>0.398</v>
      </c>
      <c r="CI903" s="15" t="s">
        <v>497</v>
      </c>
      <c r="CZ903" s="15" t="s">
        <v>419</v>
      </c>
      <c r="DA903" s="15">
        <v>0.0</v>
      </c>
      <c r="DB903" s="15" t="s">
        <v>419</v>
      </c>
      <c r="DD903" s="15">
        <v>0.0</v>
      </c>
      <c r="DG903" s="15" t="s">
        <v>419</v>
      </c>
      <c r="DI903" s="15">
        <v>0.0</v>
      </c>
      <c r="DJ903" s="15">
        <v>0.0</v>
      </c>
      <c r="DK903" s="15">
        <v>0.0</v>
      </c>
      <c r="DQ903" s="15">
        <v>4.0</v>
      </c>
      <c r="DR903" s="15" t="s">
        <v>1157</v>
      </c>
      <c r="DS903" s="15" t="s">
        <v>9218</v>
      </c>
      <c r="DU903" s="15" t="s">
        <v>500</v>
      </c>
      <c r="EF903" s="15" t="s">
        <v>1240</v>
      </c>
      <c r="EQ903" s="15" t="s">
        <v>1700</v>
      </c>
      <c r="ER903" s="15" t="s">
        <v>1700</v>
      </c>
      <c r="ES903" s="15" t="s">
        <v>1240</v>
      </c>
      <c r="ET903" s="15" t="s">
        <v>1309</v>
      </c>
      <c r="EU903" s="15" t="s">
        <v>426</v>
      </c>
      <c r="EV903" s="15">
        <v>0.0</v>
      </c>
      <c r="EW903" s="15">
        <v>0.0</v>
      </c>
      <c r="FE903" s="15" t="s">
        <v>558</v>
      </c>
      <c r="FF903" s="15" t="s">
        <v>3635</v>
      </c>
      <c r="FG903" s="15" t="s">
        <v>2244</v>
      </c>
    </row>
    <row r="904" ht="17.25" customHeight="1">
      <c r="A904" s="15" t="s">
        <v>9221</v>
      </c>
      <c r="B904" s="15" t="str">
        <f>"801542308728"</f>
        <v>801542308728</v>
      </c>
      <c r="C904" s="15" t="s">
        <v>22349</v>
      </c>
      <c r="D904" s="15" t="str">
        <f t="shared" si="1"/>
        <v>Simone Bistro TableRaw Antique Nickel</v>
      </c>
      <c r="E904" s="15" t="s">
        <v>9211</v>
      </c>
      <c r="F904" s="15" t="s">
        <v>397</v>
      </c>
      <c r="G904" s="15" t="s">
        <v>9220</v>
      </c>
      <c r="J904" s="15" t="s">
        <v>9220</v>
      </c>
      <c r="M904" s="15" t="s">
        <v>3586</v>
      </c>
      <c r="N904" s="15" t="s">
        <v>548</v>
      </c>
      <c r="O904" s="15" t="s">
        <v>549</v>
      </c>
      <c r="P904" s="15" t="str">
        <f t="shared" ref="P904:Q904" si="2623">"42"</f>
        <v>42</v>
      </c>
      <c r="Q904" s="15" t="str">
        <f t="shared" si="2623"/>
        <v>42</v>
      </c>
      <c r="R904" s="15" t="str">
        <f t="shared" si="2624"/>
        <v>31</v>
      </c>
      <c r="S904" s="15" t="str">
        <f t="shared" si="2625"/>
        <v>74.96</v>
      </c>
      <c r="T904" s="15" t="s">
        <v>3701</v>
      </c>
      <c r="U904" s="15" t="s">
        <v>14078</v>
      </c>
      <c r="AA904" s="15" t="s">
        <v>413</v>
      </c>
      <c r="AB904" s="15" t="s">
        <v>413</v>
      </c>
      <c r="AC904" s="15" t="s">
        <v>9223</v>
      </c>
      <c r="AD904" s="15" t="s">
        <v>22350</v>
      </c>
      <c r="AE904" s="15" t="s">
        <v>9222</v>
      </c>
      <c r="AF904" s="15" t="s">
        <v>22351</v>
      </c>
      <c r="AG904" s="15" t="s">
        <v>22352</v>
      </c>
      <c r="AH904" s="15" t="s">
        <v>22353</v>
      </c>
      <c r="AI904" s="15" t="s">
        <v>22354</v>
      </c>
      <c r="AJ904" s="15" t="s">
        <v>22355</v>
      </c>
      <c r="AK904" s="15" t="s">
        <v>22356</v>
      </c>
      <c r="BH904" s="15" t="s">
        <v>9219</v>
      </c>
      <c r="BI904" s="15" t="str">
        <f t="shared" si="2626"/>
        <v>1299</v>
      </c>
      <c r="BJ904" s="15" t="str">
        <f t="shared" si="2627"/>
        <v>550</v>
      </c>
      <c r="BK904" s="15" t="s">
        <v>1303</v>
      </c>
      <c r="BL904" s="15" t="str">
        <f t="shared" si="2621"/>
        <v>2</v>
      </c>
      <c r="BM904" s="15" t="s">
        <v>1564</v>
      </c>
      <c r="BN904" s="15" t="str">
        <f>"43.7"</f>
        <v>43.7</v>
      </c>
      <c r="BO904" s="15" t="str">
        <f>"3.25"</f>
        <v>3.25</v>
      </c>
      <c r="BP904" s="15" t="str">
        <f>"44"</f>
        <v>44</v>
      </c>
      <c r="BQ904" s="15" t="str">
        <f>"59.79"</f>
        <v>59.79</v>
      </c>
      <c r="BR904" s="15" t="s">
        <v>2238</v>
      </c>
      <c r="BS904" s="15" t="str">
        <f t="shared" ref="BS904:BT904" si="2628">"23.5"</f>
        <v>23.5</v>
      </c>
      <c r="BT904" s="15" t="str">
        <f t="shared" si="2628"/>
        <v>23.5</v>
      </c>
      <c r="BU904" s="15" t="str">
        <f>"32.75"</f>
        <v>32.75</v>
      </c>
      <c r="BV904" s="15" t="str">
        <f>"36.38"</f>
        <v>36.38</v>
      </c>
      <c r="CG904" s="15" t="str">
        <f t="shared" si="2629"/>
        <v>14.06</v>
      </c>
      <c r="CH904" s="15" t="str">
        <f t="shared" si="2630"/>
        <v>0.398</v>
      </c>
      <c r="CI904" s="15" t="s">
        <v>465</v>
      </c>
      <c r="CZ904" s="15" t="s">
        <v>419</v>
      </c>
      <c r="DA904" s="15">
        <v>0.0</v>
      </c>
      <c r="DB904" s="15" t="s">
        <v>419</v>
      </c>
      <c r="DD904" s="15">
        <v>0.0</v>
      </c>
      <c r="DG904" s="15" t="s">
        <v>419</v>
      </c>
      <c r="DI904" s="15">
        <v>0.0</v>
      </c>
      <c r="DJ904" s="15">
        <v>0.0</v>
      </c>
      <c r="DK904" s="15">
        <v>0.0</v>
      </c>
      <c r="DQ904" s="15">
        <v>4.0</v>
      </c>
      <c r="DR904" s="15" t="s">
        <v>1157</v>
      </c>
      <c r="DS904" s="15" t="s">
        <v>9218</v>
      </c>
      <c r="DU904" s="15" t="s">
        <v>500</v>
      </c>
      <c r="EF904" s="15" t="s">
        <v>1240</v>
      </c>
      <c r="EQ904" s="15" t="s">
        <v>1700</v>
      </c>
      <c r="ER904" s="15" t="s">
        <v>1700</v>
      </c>
      <c r="ES904" s="15" t="s">
        <v>1240</v>
      </c>
      <c r="ET904" s="15" t="s">
        <v>1309</v>
      </c>
      <c r="EU904" s="15" t="s">
        <v>426</v>
      </c>
      <c r="EV904" s="15">
        <v>0.0</v>
      </c>
      <c r="EW904" s="15">
        <v>0.0</v>
      </c>
      <c r="FE904" s="15" t="s">
        <v>558</v>
      </c>
      <c r="FF904" s="15" t="s">
        <v>3635</v>
      </c>
      <c r="FG904" s="15" t="s">
        <v>2244</v>
      </c>
    </row>
    <row r="905" ht="17.25" customHeight="1">
      <c r="A905" s="15" t="s">
        <v>9226</v>
      </c>
      <c r="B905" s="15" t="str">
        <f>"801542815936"</f>
        <v>801542815936</v>
      </c>
      <c r="C905" s="15" t="s">
        <v>22357</v>
      </c>
      <c r="D905" s="15" t="str">
        <f t="shared" si="1"/>
        <v>Sinclair Large Round OttomanBalkan Ochre</v>
      </c>
      <c r="E905" s="15" t="s">
        <v>9224</v>
      </c>
      <c r="F905" s="15" t="s">
        <v>397</v>
      </c>
      <c r="G905" s="15" t="s">
        <v>1796</v>
      </c>
      <c r="J905" s="15" t="s">
        <v>1796</v>
      </c>
      <c r="K905" s="15" t="s">
        <v>2801</v>
      </c>
      <c r="M905" s="15" t="s">
        <v>1317</v>
      </c>
      <c r="N905" s="15" t="s">
        <v>1009</v>
      </c>
      <c r="P905" s="15" t="str">
        <f t="shared" ref="P905:Q905" si="2631">"36"</f>
        <v>36</v>
      </c>
      <c r="Q905" s="15" t="str">
        <f t="shared" si="2631"/>
        <v>36</v>
      </c>
      <c r="R905" s="15" t="str">
        <f t="shared" ref="R905:R909" si="2634">"14.5"</f>
        <v>14.5</v>
      </c>
      <c r="S905" s="15" t="str">
        <f t="shared" ref="S905:S909" si="2635">"26.46"</f>
        <v>26.46</v>
      </c>
      <c r="T905" s="15" t="s">
        <v>1800</v>
      </c>
      <c r="U905" s="15" t="s">
        <v>12094</v>
      </c>
      <c r="V905" s="15" t="s">
        <v>12095</v>
      </c>
      <c r="W905" s="15" t="s">
        <v>11210</v>
      </c>
      <c r="AA905" s="15" t="s">
        <v>413</v>
      </c>
      <c r="AB905" s="15" t="s">
        <v>413</v>
      </c>
      <c r="AC905" s="15" t="s">
        <v>9229</v>
      </c>
      <c r="AD905" s="15" t="s">
        <v>22358</v>
      </c>
      <c r="AE905" s="15" t="s">
        <v>9227</v>
      </c>
      <c r="AF905" s="15" t="s">
        <v>22359</v>
      </c>
      <c r="AG905" s="15" t="s">
        <v>22360</v>
      </c>
      <c r="AH905" s="15" t="s">
        <v>22361</v>
      </c>
      <c r="AI905" s="15" t="s">
        <v>22362</v>
      </c>
      <c r="AJ905" s="15" t="s">
        <v>22363</v>
      </c>
      <c r="AK905" s="15" t="s">
        <v>22364</v>
      </c>
      <c r="AL905" s="15" t="s">
        <v>22365</v>
      </c>
      <c r="AM905" s="15" t="s">
        <v>22366</v>
      </c>
      <c r="AN905" s="15" t="s">
        <v>22367</v>
      </c>
      <c r="AO905" s="15" t="s">
        <v>22368</v>
      </c>
      <c r="AP905" s="15" t="s">
        <v>22369</v>
      </c>
      <c r="BH905" s="15" t="s">
        <v>9225</v>
      </c>
      <c r="BI905" s="15" t="str">
        <f>"799"</f>
        <v>799</v>
      </c>
      <c r="BJ905" s="15" t="str">
        <f>"340"</f>
        <v>340</v>
      </c>
      <c r="BK905" s="15" t="s">
        <v>709</v>
      </c>
      <c r="BL905" s="15" t="str">
        <f t="shared" ref="BL905:BL929" si="2636">"1"</f>
        <v>1</v>
      </c>
      <c r="BM905" s="15" t="s">
        <v>416</v>
      </c>
      <c r="BN905" s="15" t="str">
        <f t="shared" ref="BN905:BO905" si="2632">"37.4"</f>
        <v>37.4</v>
      </c>
      <c r="BO905" s="15" t="str">
        <f t="shared" si="2632"/>
        <v>37.4</v>
      </c>
      <c r="BP905" s="15" t="str">
        <f t="shared" ref="BP905:BP909" si="2638">"17.32"</f>
        <v>17.32</v>
      </c>
      <c r="BQ905" s="15" t="str">
        <f t="shared" ref="BQ905:BQ909" si="2639">"44.09"</f>
        <v>44.09</v>
      </c>
      <c r="CG905" s="15" t="str">
        <f t="shared" ref="CG905:CG909" si="2640">"14.02"</f>
        <v>14.02</v>
      </c>
      <c r="CH905" s="15" t="str">
        <f t="shared" ref="CH905:CH909" si="2641">"0.397"</f>
        <v>0.397</v>
      </c>
      <c r="CI905" s="15" t="s">
        <v>465</v>
      </c>
      <c r="CS905" s="15" t="s">
        <v>4339</v>
      </c>
      <c r="CT905" s="15" t="s">
        <v>1287</v>
      </c>
      <c r="CU905" s="15" t="s">
        <v>4339</v>
      </c>
      <c r="CW905" s="15">
        <v>0.0</v>
      </c>
      <c r="CY905" s="15" t="s">
        <v>855</v>
      </c>
      <c r="DF905" s="15" t="s">
        <v>1111</v>
      </c>
      <c r="DG905" s="15" t="s">
        <v>419</v>
      </c>
      <c r="DH905" s="15">
        <v>0.0</v>
      </c>
      <c r="DL905" s="15">
        <v>35000.0</v>
      </c>
      <c r="DM905" s="15" t="s">
        <v>722</v>
      </c>
      <c r="DP905" s="15">
        <v>0.0</v>
      </c>
      <c r="DQ905" s="15">
        <v>1.0</v>
      </c>
      <c r="DR905" s="15" t="s">
        <v>1157</v>
      </c>
      <c r="DS905" s="15" t="s">
        <v>9230</v>
      </c>
      <c r="DT905" s="15">
        <v>0.0</v>
      </c>
      <c r="DU905" s="15" t="s">
        <v>726</v>
      </c>
      <c r="EO905" s="15" t="s">
        <v>1255</v>
      </c>
    </row>
    <row r="906" ht="17.25" customHeight="1">
      <c r="A906" s="15" t="s">
        <v>9232</v>
      </c>
      <c r="B906" s="15" t="str">
        <f>"801542719623"</f>
        <v>801542719623</v>
      </c>
      <c r="C906" s="15" t="s">
        <v>22370</v>
      </c>
      <c r="D906" s="15" t="str">
        <f t="shared" si="1"/>
        <v>Sinclair Large Round OttomanHarness Burlap</v>
      </c>
      <c r="E906" s="15" t="s">
        <v>9224</v>
      </c>
      <c r="F906" s="15" t="s">
        <v>397</v>
      </c>
      <c r="G906" s="15" t="s">
        <v>1338</v>
      </c>
      <c r="J906" s="15" t="s">
        <v>1338</v>
      </c>
      <c r="K906" s="15" t="s">
        <v>1342</v>
      </c>
      <c r="M906" s="15" t="s">
        <v>1317</v>
      </c>
      <c r="N906" s="15" t="s">
        <v>1009</v>
      </c>
      <c r="P906" s="15" t="str">
        <f t="shared" ref="P906:Q906" si="2633">"36"</f>
        <v>36</v>
      </c>
      <c r="Q906" s="15" t="str">
        <f t="shared" si="2633"/>
        <v>36</v>
      </c>
      <c r="R906" s="15" t="str">
        <f t="shared" si="2634"/>
        <v>14.5</v>
      </c>
      <c r="S906" s="15" t="str">
        <f t="shared" si="2635"/>
        <v>26.46</v>
      </c>
      <c r="T906" s="15" t="s">
        <v>1341</v>
      </c>
      <c r="U906" s="15" t="s">
        <v>11137</v>
      </c>
      <c r="V906" s="15" t="s">
        <v>11138</v>
      </c>
      <c r="AA906" s="15" t="s">
        <v>413</v>
      </c>
      <c r="AB906" s="15" t="s">
        <v>413</v>
      </c>
      <c r="AC906" s="15" t="s">
        <v>9234</v>
      </c>
      <c r="AD906" s="15" t="s">
        <v>22371</v>
      </c>
      <c r="AE906" s="15" t="s">
        <v>9233</v>
      </c>
      <c r="AF906" s="15" t="s">
        <v>22372</v>
      </c>
      <c r="AG906" s="15" t="s">
        <v>22373</v>
      </c>
      <c r="AH906" s="15" t="s">
        <v>22374</v>
      </c>
      <c r="AI906" s="15" t="s">
        <v>22375</v>
      </c>
      <c r="AJ906" s="15" t="s">
        <v>22376</v>
      </c>
      <c r="AK906" s="15" t="s">
        <v>22377</v>
      </c>
      <c r="AL906" s="15" t="s">
        <v>22378</v>
      </c>
      <c r="BH906" s="15" t="s">
        <v>9231</v>
      </c>
      <c r="BI906" s="15" t="str">
        <f>"1449"</f>
        <v>1449</v>
      </c>
      <c r="BJ906" s="15" t="str">
        <f>"610"</f>
        <v>610</v>
      </c>
      <c r="BK906" s="15" t="s">
        <v>709</v>
      </c>
      <c r="BL906" s="15" t="str">
        <f t="shared" si="2636"/>
        <v>1</v>
      </c>
      <c r="BM906" s="15" t="s">
        <v>416</v>
      </c>
      <c r="BN906" s="15" t="str">
        <f t="shared" ref="BN906:BO906" si="2637">"37.4"</f>
        <v>37.4</v>
      </c>
      <c r="BO906" s="15" t="str">
        <f t="shared" si="2637"/>
        <v>37.4</v>
      </c>
      <c r="BP906" s="15" t="str">
        <f t="shared" si="2638"/>
        <v>17.32</v>
      </c>
      <c r="BQ906" s="15" t="str">
        <f t="shared" si="2639"/>
        <v>44.09</v>
      </c>
      <c r="CG906" s="15" t="str">
        <f t="shared" si="2640"/>
        <v>14.02</v>
      </c>
      <c r="CH906" s="15" t="str">
        <f t="shared" si="2641"/>
        <v>0.397</v>
      </c>
      <c r="CI906" s="15" t="s">
        <v>465</v>
      </c>
      <c r="CS906" s="15" t="s">
        <v>4339</v>
      </c>
      <c r="CT906" s="15" t="s">
        <v>1287</v>
      </c>
      <c r="CU906" s="15" t="s">
        <v>4339</v>
      </c>
      <c r="CW906" s="15">
        <v>0.0</v>
      </c>
      <c r="CY906" s="15" t="s">
        <v>718</v>
      </c>
      <c r="DF906" s="15" t="s">
        <v>1111</v>
      </c>
      <c r="DG906" s="15" t="s">
        <v>419</v>
      </c>
      <c r="DH906" s="15">
        <v>0.0</v>
      </c>
      <c r="DL906" s="15">
        <v>0.0</v>
      </c>
      <c r="DM906" s="15" t="s">
        <v>722</v>
      </c>
      <c r="DP906" s="15">
        <v>0.0</v>
      </c>
      <c r="DQ906" s="15">
        <v>1.0</v>
      </c>
      <c r="DR906" s="15" t="s">
        <v>1157</v>
      </c>
      <c r="DS906" s="15" t="s">
        <v>9230</v>
      </c>
      <c r="DT906" s="15">
        <v>0.0</v>
      </c>
      <c r="DU906" s="15" t="s">
        <v>726</v>
      </c>
      <c r="EO906" s="15" t="s">
        <v>1255</v>
      </c>
    </row>
    <row r="907" ht="17.25" customHeight="1">
      <c r="A907" s="15" t="s">
        <v>9236</v>
      </c>
      <c r="B907" s="15" t="str">
        <f>"801542995591"</f>
        <v>801542995591</v>
      </c>
      <c r="C907" s="15" t="s">
        <v>22379</v>
      </c>
      <c r="D907" s="15" t="str">
        <f t="shared" si="1"/>
        <v>Sinclair Large Round OttomanManchester Flint</v>
      </c>
      <c r="E907" s="15" t="s">
        <v>9224</v>
      </c>
      <c r="F907" s="15" t="s">
        <v>397</v>
      </c>
      <c r="G907" s="15" t="s">
        <v>5202</v>
      </c>
      <c r="J907" s="15" t="s">
        <v>5202</v>
      </c>
      <c r="K907" s="15" t="s">
        <v>2801</v>
      </c>
      <c r="M907" s="15" t="s">
        <v>1317</v>
      </c>
      <c r="N907" s="15" t="s">
        <v>1009</v>
      </c>
      <c r="P907" s="15" t="str">
        <f t="shared" ref="P907:Q907" si="2642">"36"</f>
        <v>36</v>
      </c>
      <c r="Q907" s="15" t="str">
        <f t="shared" si="2642"/>
        <v>36</v>
      </c>
      <c r="R907" s="15" t="str">
        <f t="shared" si="2634"/>
        <v>14.5</v>
      </c>
      <c r="S907" s="15" t="str">
        <f t="shared" si="2635"/>
        <v>26.46</v>
      </c>
      <c r="T907" s="15" t="s">
        <v>5205</v>
      </c>
      <c r="U907" s="15" t="s">
        <v>11257</v>
      </c>
      <c r="V907" s="15" t="s">
        <v>11210</v>
      </c>
      <c r="AA907" s="15" t="s">
        <v>413</v>
      </c>
      <c r="AB907" s="15" t="s">
        <v>413</v>
      </c>
      <c r="AC907" s="15" t="s">
        <v>9238</v>
      </c>
      <c r="AD907" s="15" t="s">
        <v>22380</v>
      </c>
      <c r="AE907" s="15" t="s">
        <v>9237</v>
      </c>
      <c r="AF907" s="15" t="s">
        <v>22381</v>
      </c>
      <c r="AG907" s="15" t="s">
        <v>22382</v>
      </c>
      <c r="AH907" s="15" t="s">
        <v>22383</v>
      </c>
      <c r="AI907" s="15" t="s">
        <v>22384</v>
      </c>
      <c r="AJ907" s="15" t="s">
        <v>22385</v>
      </c>
      <c r="AK907" s="15" t="s">
        <v>22386</v>
      </c>
      <c r="AL907" s="15" t="s">
        <v>22387</v>
      </c>
      <c r="BH907" s="15" t="s">
        <v>9235</v>
      </c>
      <c r="BI907" s="15" t="str">
        <f>"899"</f>
        <v>899</v>
      </c>
      <c r="BJ907" s="15" t="str">
        <f>"380"</f>
        <v>380</v>
      </c>
      <c r="BK907" s="15" t="s">
        <v>709</v>
      </c>
      <c r="BL907" s="15" t="str">
        <f t="shared" si="2636"/>
        <v>1</v>
      </c>
      <c r="BM907" s="15" t="s">
        <v>416</v>
      </c>
      <c r="BN907" s="15" t="str">
        <f t="shared" ref="BN907:BO907" si="2643">"37.4"</f>
        <v>37.4</v>
      </c>
      <c r="BO907" s="15" t="str">
        <f t="shared" si="2643"/>
        <v>37.4</v>
      </c>
      <c r="BP907" s="15" t="str">
        <f t="shared" si="2638"/>
        <v>17.32</v>
      </c>
      <c r="BQ907" s="15" t="str">
        <f t="shared" si="2639"/>
        <v>44.09</v>
      </c>
      <c r="CG907" s="15" t="str">
        <f t="shared" si="2640"/>
        <v>14.02</v>
      </c>
      <c r="CH907" s="15" t="str">
        <f t="shared" si="2641"/>
        <v>0.397</v>
      </c>
      <c r="CI907" s="15" t="s">
        <v>417</v>
      </c>
      <c r="CS907" s="15" t="s">
        <v>4339</v>
      </c>
      <c r="CT907" s="15" t="s">
        <v>1287</v>
      </c>
      <c r="CU907" s="15" t="s">
        <v>4339</v>
      </c>
      <c r="CW907" s="15">
        <v>0.0</v>
      </c>
      <c r="CY907" s="15" t="s">
        <v>855</v>
      </c>
      <c r="DF907" s="15" t="s">
        <v>1111</v>
      </c>
      <c r="DG907" s="15" t="s">
        <v>419</v>
      </c>
      <c r="DH907" s="15">
        <v>0.0</v>
      </c>
      <c r="DL907" s="15">
        <v>15000.0</v>
      </c>
      <c r="DM907" s="15" t="s">
        <v>722</v>
      </c>
      <c r="DP907" s="15">
        <v>0.0</v>
      </c>
      <c r="DQ907" s="15">
        <v>1.0</v>
      </c>
      <c r="DR907" s="15" t="s">
        <v>1157</v>
      </c>
      <c r="DS907" s="15" t="s">
        <v>9230</v>
      </c>
      <c r="DT907" s="15">
        <v>0.0</v>
      </c>
      <c r="DU907" s="15" t="s">
        <v>726</v>
      </c>
      <c r="EO907" s="15" t="s">
        <v>1255</v>
      </c>
    </row>
    <row r="908" ht="17.25" customHeight="1">
      <c r="A908" s="15" t="s">
        <v>9240</v>
      </c>
      <c r="B908" s="15" t="str">
        <f>"801542816322"</f>
        <v>801542816322</v>
      </c>
      <c r="C908" s="15" t="s">
        <v>22388</v>
      </c>
      <c r="D908" s="15" t="str">
        <f t="shared" si="1"/>
        <v>Sinclair Large Round OttomanSheffield Ivory</v>
      </c>
      <c r="E908" s="15" t="s">
        <v>9224</v>
      </c>
      <c r="F908" s="15" t="s">
        <v>397</v>
      </c>
      <c r="G908" s="15" t="s">
        <v>1350</v>
      </c>
      <c r="J908" s="15" t="s">
        <v>1350</v>
      </c>
      <c r="K908" s="15" t="s">
        <v>2801</v>
      </c>
      <c r="M908" s="15" t="s">
        <v>1317</v>
      </c>
      <c r="N908" s="15" t="s">
        <v>1009</v>
      </c>
      <c r="P908" s="15" t="str">
        <f t="shared" ref="P908:Q908" si="2644">"36"</f>
        <v>36</v>
      </c>
      <c r="Q908" s="15" t="str">
        <f t="shared" si="2644"/>
        <v>36</v>
      </c>
      <c r="R908" s="15" t="str">
        <f t="shared" si="2634"/>
        <v>14.5</v>
      </c>
      <c r="S908" s="15" t="str">
        <f t="shared" si="2635"/>
        <v>26.46</v>
      </c>
      <c r="T908" s="15" t="s">
        <v>832</v>
      </c>
      <c r="U908" s="15" t="s">
        <v>11209</v>
      </c>
      <c r="V908" s="15" t="s">
        <v>11210</v>
      </c>
      <c r="AA908" s="15" t="s">
        <v>413</v>
      </c>
      <c r="AB908" s="15" t="s">
        <v>413</v>
      </c>
      <c r="AC908" s="15" t="s">
        <v>9242</v>
      </c>
      <c r="AD908" s="15" t="s">
        <v>22389</v>
      </c>
      <c r="AE908" s="15" t="s">
        <v>9241</v>
      </c>
      <c r="AF908" s="15" t="s">
        <v>22390</v>
      </c>
      <c r="AG908" s="15" t="s">
        <v>22391</v>
      </c>
      <c r="AH908" s="15" t="s">
        <v>22392</v>
      </c>
      <c r="AI908" s="15" t="s">
        <v>22393</v>
      </c>
      <c r="AJ908" s="15" t="s">
        <v>22394</v>
      </c>
      <c r="AK908" s="15" t="s">
        <v>22395</v>
      </c>
      <c r="AL908" s="15" t="s">
        <v>22396</v>
      </c>
      <c r="AM908" s="15" t="s">
        <v>22397</v>
      </c>
      <c r="BH908" s="15" t="s">
        <v>9239</v>
      </c>
      <c r="BI908" s="15" t="str">
        <f>"749"</f>
        <v>749</v>
      </c>
      <c r="BJ908" s="15" t="str">
        <f>"315"</f>
        <v>315</v>
      </c>
      <c r="BK908" s="15" t="s">
        <v>709</v>
      </c>
      <c r="BL908" s="15" t="str">
        <f t="shared" si="2636"/>
        <v>1</v>
      </c>
      <c r="BM908" s="15" t="s">
        <v>416</v>
      </c>
      <c r="BN908" s="15" t="str">
        <f t="shared" ref="BN908:BO908" si="2645">"37.4"</f>
        <v>37.4</v>
      </c>
      <c r="BO908" s="15" t="str">
        <f t="shared" si="2645"/>
        <v>37.4</v>
      </c>
      <c r="BP908" s="15" t="str">
        <f t="shared" si="2638"/>
        <v>17.32</v>
      </c>
      <c r="BQ908" s="15" t="str">
        <f t="shared" si="2639"/>
        <v>44.09</v>
      </c>
      <c r="CG908" s="15" t="str">
        <f t="shared" si="2640"/>
        <v>14.02</v>
      </c>
      <c r="CH908" s="15" t="str">
        <f t="shared" si="2641"/>
        <v>0.397</v>
      </c>
      <c r="CI908" s="15" t="s">
        <v>417</v>
      </c>
      <c r="CS908" s="15" t="s">
        <v>4339</v>
      </c>
      <c r="CT908" s="15" t="s">
        <v>1287</v>
      </c>
      <c r="CU908" s="15" t="s">
        <v>4339</v>
      </c>
      <c r="CW908" s="15">
        <v>0.0</v>
      </c>
      <c r="CY908" s="15" t="s">
        <v>897</v>
      </c>
      <c r="DF908" s="15" t="s">
        <v>1111</v>
      </c>
      <c r="DG908" s="15" t="s">
        <v>419</v>
      </c>
      <c r="DH908" s="15">
        <v>0.0</v>
      </c>
      <c r="DL908" s="15">
        <v>15000.0</v>
      </c>
      <c r="DM908" s="15" t="s">
        <v>722</v>
      </c>
      <c r="DP908" s="15">
        <v>0.0</v>
      </c>
      <c r="DQ908" s="15">
        <v>1.0</v>
      </c>
      <c r="DR908" s="15" t="s">
        <v>1157</v>
      </c>
      <c r="DS908" s="15" t="s">
        <v>9230</v>
      </c>
      <c r="DT908" s="15">
        <v>0.0</v>
      </c>
      <c r="DU908" s="15" t="s">
        <v>726</v>
      </c>
      <c r="EO908" s="15" t="s">
        <v>1255</v>
      </c>
    </row>
    <row r="909" ht="17.25" customHeight="1">
      <c r="A909" s="15" t="s">
        <v>9244</v>
      </c>
      <c r="B909" s="15" t="str">
        <f>"801542994037"</f>
        <v>801542994037</v>
      </c>
      <c r="C909" s="15" t="s">
        <v>22398</v>
      </c>
      <c r="D909" s="15" t="str">
        <f t="shared" si="1"/>
        <v>Sinclair Large Round OttomanSurrey Olive</v>
      </c>
      <c r="E909" s="15" t="s">
        <v>9224</v>
      </c>
      <c r="F909" s="15" t="s">
        <v>397</v>
      </c>
      <c r="G909" s="15" t="s">
        <v>1612</v>
      </c>
      <c r="J909" s="15" t="s">
        <v>1612</v>
      </c>
      <c r="K909" s="15" t="s">
        <v>2801</v>
      </c>
      <c r="M909" s="15" t="s">
        <v>1317</v>
      </c>
      <c r="N909" s="15" t="s">
        <v>1009</v>
      </c>
      <c r="P909" s="15" t="str">
        <f t="shared" ref="P909:Q909" si="2646">"36"</f>
        <v>36</v>
      </c>
      <c r="Q909" s="15" t="str">
        <f t="shared" si="2646"/>
        <v>36</v>
      </c>
      <c r="R909" s="15" t="str">
        <f t="shared" si="2634"/>
        <v>14.5</v>
      </c>
      <c r="S909" s="15" t="str">
        <f t="shared" si="2635"/>
        <v>26.46</v>
      </c>
      <c r="T909" s="15" t="s">
        <v>6104</v>
      </c>
      <c r="U909" s="15" t="s">
        <v>11845</v>
      </c>
      <c r="V909" s="15" t="s">
        <v>11846</v>
      </c>
      <c r="W909" s="15" t="s">
        <v>11210</v>
      </c>
      <c r="AA909" s="15" t="s">
        <v>413</v>
      </c>
      <c r="AB909" s="15" t="s">
        <v>413</v>
      </c>
      <c r="AC909" s="15" t="s">
        <v>9246</v>
      </c>
      <c r="AD909" s="15" t="s">
        <v>22399</v>
      </c>
      <c r="AE909" s="15" t="s">
        <v>9245</v>
      </c>
      <c r="AF909" s="15" t="s">
        <v>22400</v>
      </c>
      <c r="AG909" s="15" t="s">
        <v>22401</v>
      </c>
      <c r="AH909" s="15" t="s">
        <v>22402</v>
      </c>
      <c r="AI909" s="15" t="s">
        <v>22403</v>
      </c>
      <c r="AJ909" s="15" t="s">
        <v>22404</v>
      </c>
      <c r="BH909" s="15" t="s">
        <v>9243</v>
      </c>
      <c r="BI909" s="15" t="str">
        <f>"799"</f>
        <v>799</v>
      </c>
      <c r="BJ909" s="15" t="str">
        <f>"340"</f>
        <v>340</v>
      </c>
      <c r="BK909" s="15" t="s">
        <v>709</v>
      </c>
      <c r="BL909" s="15" t="str">
        <f t="shared" si="2636"/>
        <v>1</v>
      </c>
      <c r="BM909" s="15" t="s">
        <v>416</v>
      </c>
      <c r="BN909" s="15" t="str">
        <f t="shared" ref="BN909:BO909" si="2647">"37.4"</f>
        <v>37.4</v>
      </c>
      <c r="BO909" s="15" t="str">
        <f t="shared" si="2647"/>
        <v>37.4</v>
      </c>
      <c r="BP909" s="15" t="str">
        <f t="shared" si="2638"/>
        <v>17.32</v>
      </c>
      <c r="BQ909" s="15" t="str">
        <f t="shared" si="2639"/>
        <v>44.09</v>
      </c>
      <c r="CG909" s="15" t="str">
        <f t="shared" si="2640"/>
        <v>14.02</v>
      </c>
      <c r="CH909" s="15" t="str">
        <f t="shared" si="2641"/>
        <v>0.397</v>
      </c>
      <c r="CI909" s="15" t="s">
        <v>465</v>
      </c>
      <c r="CS909" s="15" t="s">
        <v>4339</v>
      </c>
      <c r="CT909" s="15" t="s">
        <v>1287</v>
      </c>
      <c r="CU909" s="15" t="s">
        <v>4339</v>
      </c>
      <c r="CW909" s="15">
        <v>0.0</v>
      </c>
      <c r="CY909" s="15" t="s">
        <v>718</v>
      </c>
      <c r="DF909" s="15" t="s">
        <v>1111</v>
      </c>
      <c r="DG909" s="15" t="s">
        <v>419</v>
      </c>
      <c r="DH909" s="15">
        <v>0.0</v>
      </c>
      <c r="DL909" s="15">
        <v>30000.0</v>
      </c>
      <c r="DM909" s="15" t="s">
        <v>722</v>
      </c>
      <c r="DP909" s="15">
        <v>0.0</v>
      </c>
      <c r="DQ909" s="15">
        <v>1.0</v>
      </c>
      <c r="DR909" s="15" t="s">
        <v>1157</v>
      </c>
      <c r="DS909" s="15" t="s">
        <v>9230</v>
      </c>
      <c r="DT909" s="15">
        <v>0.0</v>
      </c>
      <c r="DU909" s="15" t="s">
        <v>726</v>
      </c>
      <c r="EO909" s="15" t="s">
        <v>1255</v>
      </c>
    </row>
    <row r="910" ht="17.25" customHeight="1">
      <c r="A910" s="15" t="s">
        <v>9250</v>
      </c>
      <c r="B910" s="15" t="str">
        <f>"801542976880"</f>
        <v>801542976880</v>
      </c>
      <c r="C910" s="15" t="s">
        <v>22405</v>
      </c>
      <c r="D910" s="15" t="str">
        <f t="shared" si="1"/>
        <v>Sinclair Outdoor OttomanAlessi Fawn</v>
      </c>
      <c r="E910" s="15" t="s">
        <v>9247</v>
      </c>
      <c r="F910" s="15" t="s">
        <v>397</v>
      </c>
      <c r="G910" s="15" t="s">
        <v>9249</v>
      </c>
      <c r="J910" s="15" t="s">
        <v>9249</v>
      </c>
      <c r="K910" s="15" t="s">
        <v>9255</v>
      </c>
      <c r="M910" s="15" t="s">
        <v>9254</v>
      </c>
      <c r="N910" s="15" t="s">
        <v>9256</v>
      </c>
      <c r="O910" s="15" t="s">
        <v>9257</v>
      </c>
      <c r="P910" s="15" t="str">
        <f t="shared" ref="P910:Q910" si="2648">"22"</f>
        <v>22</v>
      </c>
      <c r="Q910" s="15" t="str">
        <f t="shared" si="2648"/>
        <v>22</v>
      </c>
      <c r="R910" s="15" t="str">
        <f t="shared" ref="R910:R920" si="2651">"18.5"</f>
        <v>18.5</v>
      </c>
      <c r="S910" s="15" t="str">
        <f>"13.23"</f>
        <v>13.23</v>
      </c>
      <c r="T910" s="15" t="s">
        <v>9253</v>
      </c>
      <c r="U910" s="15" t="s">
        <v>19386</v>
      </c>
      <c r="V910" s="15" t="s">
        <v>22406</v>
      </c>
      <c r="AA910" s="15" t="s">
        <v>413</v>
      </c>
      <c r="AB910" s="15" t="s">
        <v>413</v>
      </c>
      <c r="AC910" s="15" t="s">
        <v>9258</v>
      </c>
      <c r="AD910" s="15" t="s">
        <v>22407</v>
      </c>
      <c r="AE910" s="15" t="s">
        <v>9252</v>
      </c>
      <c r="AF910" s="15" t="s">
        <v>22408</v>
      </c>
      <c r="AG910" s="15" t="s">
        <v>22409</v>
      </c>
      <c r="AH910" s="15" t="s">
        <v>22410</v>
      </c>
      <c r="AI910" s="15" t="s">
        <v>22411</v>
      </c>
      <c r="AJ910" s="15" t="s">
        <v>22412</v>
      </c>
      <c r="BH910" s="15" t="s">
        <v>9248</v>
      </c>
      <c r="BI910" s="15" t="str">
        <f t="shared" ref="BI910:BI911" si="2652">"699"</f>
        <v>699</v>
      </c>
      <c r="BJ910" s="15" t="str">
        <f t="shared" ref="BJ910:BJ911" si="2653">"295"</f>
        <v>295</v>
      </c>
      <c r="BK910" s="15" t="s">
        <v>1181</v>
      </c>
      <c r="BL910" s="15" t="str">
        <f t="shared" si="2636"/>
        <v>1</v>
      </c>
      <c r="BM910" s="15" t="s">
        <v>416</v>
      </c>
      <c r="BN910" s="15" t="str">
        <f t="shared" ref="BN910:BO910" si="2649">"24.8"</f>
        <v>24.8</v>
      </c>
      <c r="BO910" s="15" t="str">
        <f t="shared" si="2649"/>
        <v>24.8</v>
      </c>
      <c r="BP910" s="15" t="str">
        <f t="shared" ref="BP910:BP913" si="2655">"21.65"</f>
        <v>21.65</v>
      </c>
      <c r="BQ910" s="15" t="str">
        <f>"24.91"</f>
        <v>24.91</v>
      </c>
      <c r="CG910" s="15" t="str">
        <f t="shared" ref="CG910:CG913" si="2656">"7.7"</f>
        <v>7.7</v>
      </c>
      <c r="CH910" s="15" t="str">
        <f t="shared" ref="CH910:CH913" si="2657">"0.218"</f>
        <v>0.218</v>
      </c>
      <c r="CI910" s="15" t="s">
        <v>465</v>
      </c>
      <c r="CS910" s="15" t="s">
        <v>8058</v>
      </c>
      <c r="CT910" s="15" t="s">
        <v>9260</v>
      </c>
      <c r="CU910" s="15" t="s">
        <v>8058</v>
      </c>
      <c r="CW910" s="15">
        <v>0.0</v>
      </c>
      <c r="CY910" s="15" t="s">
        <v>897</v>
      </c>
      <c r="DF910" s="15" t="s">
        <v>1186</v>
      </c>
      <c r="DG910" s="15" t="s">
        <v>419</v>
      </c>
      <c r="DH910" s="15">
        <v>0.0</v>
      </c>
      <c r="DL910" s="15">
        <v>30000.0</v>
      </c>
      <c r="DM910" s="15" t="s">
        <v>722</v>
      </c>
      <c r="DP910" s="15">
        <v>0.0</v>
      </c>
      <c r="DQ910" s="15">
        <v>1.0</v>
      </c>
      <c r="DR910" s="15" t="s">
        <v>1157</v>
      </c>
      <c r="DS910" s="15" t="s">
        <v>9230</v>
      </c>
      <c r="DT910" s="15">
        <v>0.0</v>
      </c>
      <c r="DU910" s="15" t="s">
        <v>726</v>
      </c>
      <c r="EF910" s="15" t="s">
        <v>2144</v>
      </c>
      <c r="EU910" s="15" t="s">
        <v>426</v>
      </c>
    </row>
    <row r="911" ht="17.25" customHeight="1">
      <c r="A911" s="15" t="s">
        <v>9263</v>
      </c>
      <c r="B911" s="15" t="str">
        <f>"801542976873"</f>
        <v>801542976873</v>
      </c>
      <c r="C911" s="15" t="s">
        <v>22413</v>
      </c>
      <c r="D911" s="15" t="str">
        <f t="shared" si="1"/>
        <v>Sinclair Outdoor OttomanAlessi Linen</v>
      </c>
      <c r="E911" s="15" t="s">
        <v>9247</v>
      </c>
      <c r="F911" s="15" t="s">
        <v>397</v>
      </c>
      <c r="G911" s="15" t="s">
        <v>9262</v>
      </c>
      <c r="J911" s="15" t="s">
        <v>9262</v>
      </c>
      <c r="K911" s="15" t="s">
        <v>9267</v>
      </c>
      <c r="M911" s="15" t="s">
        <v>9254</v>
      </c>
      <c r="N911" s="15" t="s">
        <v>9256</v>
      </c>
      <c r="O911" s="15" t="s">
        <v>9257</v>
      </c>
      <c r="P911" s="15" t="str">
        <f t="shared" ref="P911:Q911" si="2650">"22"</f>
        <v>22</v>
      </c>
      <c r="Q911" s="15" t="str">
        <f t="shared" si="2650"/>
        <v>22</v>
      </c>
      <c r="R911" s="15" t="str">
        <f t="shared" si="2651"/>
        <v>18.5</v>
      </c>
      <c r="S911" s="15" t="str">
        <f>"12.57"</f>
        <v>12.57</v>
      </c>
      <c r="T911" s="15" t="s">
        <v>9266</v>
      </c>
      <c r="U911" s="15" t="s">
        <v>19386</v>
      </c>
      <c r="V911" s="15" t="s">
        <v>14078</v>
      </c>
      <c r="AA911" s="15" t="s">
        <v>413</v>
      </c>
      <c r="AB911" s="15" t="s">
        <v>413</v>
      </c>
      <c r="AC911" s="15" t="s">
        <v>9258</v>
      </c>
      <c r="AD911" s="15" t="s">
        <v>22414</v>
      </c>
      <c r="AE911" s="15" t="s">
        <v>9265</v>
      </c>
      <c r="AF911" s="15" t="s">
        <v>22415</v>
      </c>
      <c r="AG911" s="15" t="s">
        <v>22416</v>
      </c>
      <c r="AH911" s="15" t="s">
        <v>22417</v>
      </c>
      <c r="AI911" s="15" t="s">
        <v>22418</v>
      </c>
      <c r="AJ911" s="15" t="s">
        <v>22419</v>
      </c>
      <c r="AK911" s="15" t="s">
        <v>22420</v>
      </c>
      <c r="AL911" s="15" t="s">
        <v>22421</v>
      </c>
      <c r="AM911" s="15" t="s">
        <v>22422</v>
      </c>
      <c r="AN911" s="15" t="s">
        <v>22423</v>
      </c>
      <c r="BH911" s="15" t="s">
        <v>9261</v>
      </c>
      <c r="BI911" s="15" t="str">
        <f t="shared" si="2652"/>
        <v>699</v>
      </c>
      <c r="BJ911" s="15" t="str">
        <f t="shared" si="2653"/>
        <v>295</v>
      </c>
      <c r="BK911" s="15" t="s">
        <v>1181</v>
      </c>
      <c r="BL911" s="15" t="str">
        <f t="shared" si="2636"/>
        <v>1</v>
      </c>
      <c r="BM911" s="15" t="s">
        <v>416</v>
      </c>
      <c r="BN911" s="15" t="str">
        <f t="shared" ref="BN911:BO911" si="2654">"24.8"</f>
        <v>24.8</v>
      </c>
      <c r="BO911" s="15" t="str">
        <f t="shared" si="2654"/>
        <v>24.8</v>
      </c>
      <c r="BP911" s="15" t="str">
        <f t="shared" si="2655"/>
        <v>21.65</v>
      </c>
      <c r="BQ911" s="15" t="str">
        <f>"24.47"</f>
        <v>24.47</v>
      </c>
      <c r="CG911" s="15" t="str">
        <f t="shared" si="2656"/>
        <v>7.7</v>
      </c>
      <c r="CH911" s="15" t="str">
        <f t="shared" si="2657"/>
        <v>0.218</v>
      </c>
      <c r="CI911" s="15" t="s">
        <v>465</v>
      </c>
      <c r="CS911" s="15" t="s">
        <v>8058</v>
      </c>
      <c r="CT911" s="15" t="s">
        <v>9260</v>
      </c>
      <c r="CU911" s="15" t="s">
        <v>8058</v>
      </c>
      <c r="CW911" s="15">
        <v>0.0</v>
      </c>
      <c r="CY911" s="15" t="s">
        <v>897</v>
      </c>
      <c r="DF911" s="15" t="s">
        <v>1186</v>
      </c>
      <c r="DG911" s="15" t="s">
        <v>419</v>
      </c>
      <c r="DH911" s="15">
        <v>0.0</v>
      </c>
      <c r="DL911" s="15">
        <v>30000.0</v>
      </c>
      <c r="DM911" s="15" t="s">
        <v>722</v>
      </c>
      <c r="DP911" s="15">
        <v>0.0</v>
      </c>
      <c r="DQ911" s="15">
        <v>1.0</v>
      </c>
      <c r="DR911" s="15" t="s">
        <v>1157</v>
      </c>
      <c r="DS911" s="15" t="s">
        <v>9230</v>
      </c>
      <c r="DT911" s="15">
        <v>0.0</v>
      </c>
      <c r="DU911" s="15" t="s">
        <v>726</v>
      </c>
      <c r="EF911" s="15" t="s">
        <v>2144</v>
      </c>
      <c r="EU911" s="15" t="s">
        <v>426</v>
      </c>
    </row>
    <row r="912" ht="17.25" customHeight="1">
      <c r="A912" s="15" t="s">
        <v>9271</v>
      </c>
      <c r="B912" s="15" t="str">
        <f>"801542982300"</f>
        <v>801542982300</v>
      </c>
      <c r="C912" s="15" t="s">
        <v>22424</v>
      </c>
      <c r="D912" s="15" t="str">
        <f t="shared" si="1"/>
        <v>Sinclair Outdoor OttomanHayes Cream</v>
      </c>
      <c r="E912" s="15" t="s">
        <v>9247</v>
      </c>
      <c r="F912" s="15" t="s">
        <v>397</v>
      </c>
      <c r="G912" s="15" t="s">
        <v>9270</v>
      </c>
      <c r="J912" s="15" t="s">
        <v>9270</v>
      </c>
      <c r="K912" s="15" t="s">
        <v>9274</v>
      </c>
      <c r="M912" s="15" t="s">
        <v>9254</v>
      </c>
      <c r="N912" s="15" t="s">
        <v>9256</v>
      </c>
      <c r="O912" s="15" t="s">
        <v>9257</v>
      </c>
      <c r="P912" s="15" t="str">
        <f t="shared" ref="P912:Q912" si="2658">"22"</f>
        <v>22</v>
      </c>
      <c r="Q912" s="15" t="str">
        <f t="shared" si="2658"/>
        <v>22</v>
      </c>
      <c r="R912" s="15" t="str">
        <f t="shared" si="2651"/>
        <v>18.5</v>
      </c>
      <c r="S912" s="15" t="str">
        <f>"13.23"</f>
        <v>13.23</v>
      </c>
      <c r="T912" s="15" t="s">
        <v>9273</v>
      </c>
      <c r="U912" s="15" t="s">
        <v>22425</v>
      </c>
      <c r="V912" s="15" t="s">
        <v>22406</v>
      </c>
      <c r="AA912" s="15" t="s">
        <v>413</v>
      </c>
      <c r="AB912" s="15" t="s">
        <v>413</v>
      </c>
      <c r="AC912" s="15" t="s">
        <v>9258</v>
      </c>
      <c r="AD912" s="15" t="s">
        <v>22426</v>
      </c>
      <c r="AE912" s="15" t="s">
        <v>9272</v>
      </c>
      <c r="AF912" s="15" t="s">
        <v>22427</v>
      </c>
      <c r="AG912" s="15" t="s">
        <v>22428</v>
      </c>
      <c r="AH912" s="15" t="s">
        <v>22429</v>
      </c>
      <c r="AI912" s="15" t="s">
        <v>22430</v>
      </c>
      <c r="AJ912" s="15" t="s">
        <v>22431</v>
      </c>
      <c r="AK912" s="15" t="s">
        <v>22432</v>
      </c>
      <c r="AL912" s="15" t="s">
        <v>22433</v>
      </c>
      <c r="AM912" s="15" t="s">
        <v>22434</v>
      </c>
      <c r="AN912" s="15" t="s">
        <v>22435</v>
      </c>
      <c r="AO912" s="15" t="s">
        <v>22436</v>
      </c>
      <c r="BH912" s="15" t="s">
        <v>9269</v>
      </c>
      <c r="BI912" s="15" t="str">
        <f t="shared" ref="BI912:BI913" si="2661">"599"</f>
        <v>599</v>
      </c>
      <c r="BJ912" s="15" t="str">
        <f t="shared" ref="BJ912:BJ913" si="2662">"255"</f>
        <v>255</v>
      </c>
      <c r="BK912" s="15" t="s">
        <v>1181</v>
      </c>
      <c r="BL912" s="15" t="str">
        <f t="shared" si="2636"/>
        <v>1</v>
      </c>
      <c r="BM912" s="15" t="s">
        <v>416</v>
      </c>
      <c r="BN912" s="15" t="str">
        <f t="shared" ref="BN912:BO912" si="2659">"24.8"</f>
        <v>24.8</v>
      </c>
      <c r="BO912" s="15" t="str">
        <f t="shared" si="2659"/>
        <v>24.8</v>
      </c>
      <c r="BP912" s="15" t="str">
        <f t="shared" si="2655"/>
        <v>21.65</v>
      </c>
      <c r="BQ912" s="15" t="str">
        <f>"24.91"</f>
        <v>24.91</v>
      </c>
      <c r="CG912" s="15" t="str">
        <f t="shared" si="2656"/>
        <v>7.7</v>
      </c>
      <c r="CH912" s="15" t="str">
        <f t="shared" si="2657"/>
        <v>0.218</v>
      </c>
      <c r="CI912" s="15" t="s">
        <v>497</v>
      </c>
      <c r="CS912" s="15" t="s">
        <v>8058</v>
      </c>
      <c r="CT912" s="15" t="s">
        <v>9260</v>
      </c>
      <c r="CU912" s="15" t="s">
        <v>8058</v>
      </c>
      <c r="CW912" s="15">
        <v>0.0</v>
      </c>
      <c r="CY912" s="15" t="s">
        <v>897</v>
      </c>
      <c r="DF912" s="15" t="s">
        <v>1186</v>
      </c>
      <c r="DG912" s="15" t="s">
        <v>419</v>
      </c>
      <c r="DH912" s="15">
        <v>0.0</v>
      </c>
      <c r="DL912" s="15">
        <v>35000.0</v>
      </c>
      <c r="DM912" s="15" t="s">
        <v>722</v>
      </c>
      <c r="DP912" s="15">
        <v>0.0</v>
      </c>
      <c r="DQ912" s="15">
        <v>1.0</v>
      </c>
      <c r="DR912" s="15" t="s">
        <v>1157</v>
      </c>
      <c r="DS912" s="15" t="s">
        <v>9230</v>
      </c>
      <c r="DT912" s="15">
        <v>0.0</v>
      </c>
      <c r="DU912" s="15" t="s">
        <v>726</v>
      </c>
      <c r="EF912" s="15" t="s">
        <v>2144</v>
      </c>
      <c r="EU912" s="15" t="s">
        <v>426</v>
      </c>
    </row>
    <row r="913" ht="17.25" customHeight="1">
      <c r="A913" s="15" t="s">
        <v>9277</v>
      </c>
      <c r="B913" s="15" t="str">
        <f>"801542982294"</f>
        <v>801542982294</v>
      </c>
      <c r="C913" s="15" t="s">
        <v>22437</v>
      </c>
      <c r="D913" s="15" t="str">
        <f t="shared" si="1"/>
        <v>Sinclair Outdoor OttomanHayes Smoke</v>
      </c>
      <c r="E913" s="15" t="s">
        <v>9247</v>
      </c>
      <c r="F913" s="15" t="s">
        <v>397</v>
      </c>
      <c r="G913" s="15" t="s">
        <v>9276</v>
      </c>
      <c r="J913" s="15" t="s">
        <v>9276</v>
      </c>
      <c r="K913" s="15" t="s">
        <v>9267</v>
      </c>
      <c r="M913" s="15" t="s">
        <v>9254</v>
      </c>
      <c r="N913" s="15" t="s">
        <v>9256</v>
      </c>
      <c r="O913" s="15" t="s">
        <v>9257</v>
      </c>
      <c r="P913" s="15" t="str">
        <f t="shared" ref="P913:Q913" si="2660">"22"</f>
        <v>22</v>
      </c>
      <c r="Q913" s="15" t="str">
        <f t="shared" si="2660"/>
        <v>22</v>
      </c>
      <c r="R913" s="15" t="str">
        <f t="shared" si="2651"/>
        <v>18.5</v>
      </c>
      <c r="S913" s="15" t="str">
        <f>"12.57"</f>
        <v>12.57</v>
      </c>
      <c r="T913" s="15" t="s">
        <v>9279</v>
      </c>
      <c r="U913" s="15" t="s">
        <v>22425</v>
      </c>
      <c r="V913" s="15" t="s">
        <v>14078</v>
      </c>
      <c r="AA913" s="15" t="s">
        <v>413</v>
      </c>
      <c r="AB913" s="15" t="s">
        <v>413</v>
      </c>
      <c r="AC913" s="15" t="s">
        <v>9258</v>
      </c>
      <c r="AD913" s="15" t="s">
        <v>22438</v>
      </c>
      <c r="AE913" s="15" t="s">
        <v>9278</v>
      </c>
      <c r="AF913" s="15" t="s">
        <v>22439</v>
      </c>
      <c r="AG913" s="15" t="s">
        <v>22440</v>
      </c>
      <c r="AH913" s="15" t="s">
        <v>22441</v>
      </c>
      <c r="AI913" s="15" t="s">
        <v>22442</v>
      </c>
      <c r="AJ913" s="15" t="s">
        <v>22443</v>
      </c>
      <c r="AK913" s="15" t="s">
        <v>22444</v>
      </c>
      <c r="AL913" s="15" t="s">
        <v>22445</v>
      </c>
      <c r="AM913" s="15" t="s">
        <v>22446</v>
      </c>
      <c r="AN913" s="15" t="s">
        <v>22447</v>
      </c>
      <c r="BH913" s="15" t="s">
        <v>9275</v>
      </c>
      <c r="BI913" s="15" t="str">
        <f t="shared" si="2661"/>
        <v>599</v>
      </c>
      <c r="BJ913" s="15" t="str">
        <f t="shared" si="2662"/>
        <v>255</v>
      </c>
      <c r="BK913" s="15" t="s">
        <v>1181</v>
      </c>
      <c r="BL913" s="15" t="str">
        <f t="shared" si="2636"/>
        <v>1</v>
      </c>
      <c r="BM913" s="15" t="s">
        <v>416</v>
      </c>
      <c r="BN913" s="15" t="str">
        <f t="shared" ref="BN913:BO913" si="2663">"24.8"</f>
        <v>24.8</v>
      </c>
      <c r="BO913" s="15" t="str">
        <f t="shared" si="2663"/>
        <v>24.8</v>
      </c>
      <c r="BP913" s="15" t="str">
        <f t="shared" si="2655"/>
        <v>21.65</v>
      </c>
      <c r="BQ913" s="15" t="str">
        <f>"24.47"</f>
        <v>24.47</v>
      </c>
      <c r="CG913" s="15" t="str">
        <f t="shared" si="2656"/>
        <v>7.7</v>
      </c>
      <c r="CH913" s="15" t="str">
        <f t="shared" si="2657"/>
        <v>0.218</v>
      </c>
      <c r="CI913" s="15" t="s">
        <v>465</v>
      </c>
      <c r="CS913" s="15" t="s">
        <v>8058</v>
      </c>
      <c r="CT913" s="15" t="s">
        <v>9260</v>
      </c>
      <c r="CU913" s="15" t="s">
        <v>8058</v>
      </c>
      <c r="CW913" s="15">
        <v>0.0</v>
      </c>
      <c r="CY913" s="15" t="s">
        <v>897</v>
      </c>
      <c r="DF913" s="15" t="s">
        <v>1186</v>
      </c>
      <c r="DG913" s="15" t="s">
        <v>419</v>
      </c>
      <c r="DH913" s="15">
        <v>0.0</v>
      </c>
      <c r="DL913" s="15">
        <v>35000.0</v>
      </c>
      <c r="DM913" s="15" t="s">
        <v>722</v>
      </c>
      <c r="DP913" s="15">
        <v>0.0</v>
      </c>
      <c r="DQ913" s="15">
        <v>1.0</v>
      </c>
      <c r="DR913" s="15" t="s">
        <v>1157</v>
      </c>
      <c r="DS913" s="15" t="s">
        <v>9230</v>
      </c>
      <c r="DT913" s="15">
        <v>0.0</v>
      </c>
      <c r="DU913" s="15" t="s">
        <v>726</v>
      </c>
      <c r="EF913" s="15" t="s">
        <v>2144</v>
      </c>
      <c r="EU913" s="15" t="s">
        <v>426</v>
      </c>
    </row>
    <row r="914" ht="17.25" customHeight="1">
      <c r="A914" s="15" t="s">
        <v>9282</v>
      </c>
      <c r="B914" s="15" t="str">
        <f>"801542816711"</f>
        <v>801542816711</v>
      </c>
      <c r="C914" s="15" t="s">
        <v>22448</v>
      </c>
      <c r="D914" s="15" t="str">
        <f t="shared" si="1"/>
        <v>Sinclair Round OttomanBalkan Ochre</v>
      </c>
      <c r="E914" s="15" t="s">
        <v>9280</v>
      </c>
      <c r="F914" s="15" t="s">
        <v>397</v>
      </c>
      <c r="G914" s="15" t="s">
        <v>1796</v>
      </c>
      <c r="J914" s="15" t="s">
        <v>1796</v>
      </c>
      <c r="K914" s="15" t="s">
        <v>2801</v>
      </c>
      <c r="M914" s="15" t="s">
        <v>1317</v>
      </c>
      <c r="N914" s="15" t="s">
        <v>1009</v>
      </c>
      <c r="P914" s="15" t="str">
        <f t="shared" ref="P914:Q914" si="2664">"22"</f>
        <v>22</v>
      </c>
      <c r="Q914" s="15" t="str">
        <f t="shared" si="2664"/>
        <v>22</v>
      </c>
      <c r="R914" s="15" t="str">
        <f t="shared" si="2651"/>
        <v>18.5</v>
      </c>
      <c r="S914" s="15" t="str">
        <f t="shared" ref="S914:S920" si="2667">"13.23"</f>
        <v>13.23</v>
      </c>
      <c r="T914" s="15" t="s">
        <v>1800</v>
      </c>
      <c r="U914" s="15" t="s">
        <v>12094</v>
      </c>
      <c r="V914" s="15" t="s">
        <v>12095</v>
      </c>
      <c r="W914" s="15" t="s">
        <v>11210</v>
      </c>
      <c r="AA914" s="15" t="s">
        <v>413</v>
      </c>
      <c r="AB914" s="15" t="s">
        <v>413</v>
      </c>
      <c r="AC914" s="15" t="s">
        <v>9284</v>
      </c>
      <c r="AD914" s="15" t="s">
        <v>22449</v>
      </c>
      <c r="AE914" s="15" t="s">
        <v>9283</v>
      </c>
      <c r="AF914" s="15" t="s">
        <v>22450</v>
      </c>
      <c r="AG914" s="15" t="s">
        <v>22451</v>
      </c>
      <c r="AH914" s="15" t="s">
        <v>22452</v>
      </c>
      <c r="AI914" s="15" t="s">
        <v>22453</v>
      </c>
      <c r="AJ914" s="15" t="s">
        <v>22454</v>
      </c>
      <c r="AK914" s="15" t="s">
        <v>22455</v>
      </c>
      <c r="AL914" s="15" t="s">
        <v>22456</v>
      </c>
      <c r="AM914" s="15" t="s">
        <v>22457</v>
      </c>
      <c r="AN914" s="15" t="s">
        <v>22458</v>
      </c>
      <c r="AO914" s="15" t="s">
        <v>22459</v>
      </c>
      <c r="AP914" s="15" t="s">
        <v>22460</v>
      </c>
      <c r="AQ914" s="15" t="s">
        <v>22461</v>
      </c>
      <c r="BH914" s="15" t="s">
        <v>9281</v>
      </c>
      <c r="BI914" s="15" t="str">
        <f>"549"</f>
        <v>549</v>
      </c>
      <c r="BJ914" s="15" t="str">
        <f>"235"</f>
        <v>235</v>
      </c>
      <c r="BK914" s="15" t="s">
        <v>709</v>
      </c>
      <c r="BL914" s="15" t="str">
        <f t="shared" si="2636"/>
        <v>1</v>
      </c>
      <c r="BM914" s="15" t="s">
        <v>416</v>
      </c>
      <c r="BN914" s="15" t="str">
        <f t="shared" ref="BN914:BO914" si="2665">"22.44"</f>
        <v>22.44</v>
      </c>
      <c r="BO914" s="15" t="str">
        <f t="shared" si="2665"/>
        <v>22.44</v>
      </c>
      <c r="BP914" s="15" t="str">
        <f t="shared" ref="BP914:BP920" si="2669">"20.08"</f>
        <v>20.08</v>
      </c>
      <c r="BQ914" s="15" t="str">
        <f t="shared" ref="BQ914:BQ920" si="2670">"22.05"</f>
        <v>22.05</v>
      </c>
      <c r="CG914" s="15" t="str">
        <f t="shared" ref="CG914:CG920" si="2671">"5.86"</f>
        <v>5.86</v>
      </c>
      <c r="CH914" s="15" t="str">
        <f t="shared" ref="CH914:CH920" si="2672">"0.166"</f>
        <v>0.166</v>
      </c>
      <c r="CI914" s="15" t="s">
        <v>497</v>
      </c>
      <c r="CS914" s="15" t="s">
        <v>1072</v>
      </c>
      <c r="CT914" s="15" t="s">
        <v>824</v>
      </c>
      <c r="CU914" s="15" t="s">
        <v>1072</v>
      </c>
      <c r="CW914" s="15">
        <v>0.0</v>
      </c>
      <c r="CY914" s="15" t="s">
        <v>855</v>
      </c>
      <c r="DF914" s="15" t="s">
        <v>1284</v>
      </c>
      <c r="DG914" s="15" t="s">
        <v>419</v>
      </c>
      <c r="DH914" s="15">
        <v>0.0</v>
      </c>
      <c r="DL914" s="15">
        <v>35000.0</v>
      </c>
      <c r="DM914" s="15" t="s">
        <v>722</v>
      </c>
      <c r="DP914" s="15">
        <v>0.0</v>
      </c>
      <c r="DQ914" s="15">
        <v>1.0</v>
      </c>
      <c r="DR914" s="15" t="s">
        <v>1157</v>
      </c>
      <c r="DS914" s="15" t="s">
        <v>9230</v>
      </c>
      <c r="DT914" s="15">
        <v>0.0</v>
      </c>
      <c r="DU914" s="15" t="s">
        <v>726</v>
      </c>
      <c r="EF914" s="15" t="s">
        <v>3693</v>
      </c>
      <c r="EO914" s="15" t="s">
        <v>1255</v>
      </c>
    </row>
    <row r="915" ht="17.25" customHeight="1">
      <c r="A915" s="15" t="s">
        <v>9286</v>
      </c>
      <c r="B915" s="15" t="str">
        <f>"801542720643"</f>
        <v>801542720643</v>
      </c>
      <c r="C915" s="15" t="s">
        <v>22462</v>
      </c>
      <c r="D915" s="15" t="str">
        <f t="shared" si="1"/>
        <v>Sinclair Round OttomanHarness Burlap</v>
      </c>
      <c r="E915" s="15" t="s">
        <v>9280</v>
      </c>
      <c r="F915" s="15" t="s">
        <v>397</v>
      </c>
      <c r="G915" s="15" t="s">
        <v>1338</v>
      </c>
      <c r="J915" s="15" t="s">
        <v>1338</v>
      </c>
      <c r="K915" s="15" t="s">
        <v>1342</v>
      </c>
      <c r="M915" s="15" t="s">
        <v>1317</v>
      </c>
      <c r="N915" s="15" t="s">
        <v>1009</v>
      </c>
      <c r="P915" s="15" t="str">
        <f t="shared" ref="P915:Q915" si="2666">"22"</f>
        <v>22</v>
      </c>
      <c r="Q915" s="15" t="str">
        <f t="shared" si="2666"/>
        <v>22</v>
      </c>
      <c r="R915" s="15" t="str">
        <f t="shared" si="2651"/>
        <v>18.5</v>
      </c>
      <c r="S915" s="15" t="str">
        <f t="shared" si="2667"/>
        <v>13.23</v>
      </c>
      <c r="T915" s="15" t="s">
        <v>1341</v>
      </c>
      <c r="U915" s="15" t="s">
        <v>11137</v>
      </c>
      <c r="V915" s="15" t="s">
        <v>11138</v>
      </c>
      <c r="AA915" s="15" t="s">
        <v>413</v>
      </c>
      <c r="AB915" s="15" t="s">
        <v>413</v>
      </c>
      <c r="AC915" s="15" t="s">
        <v>9288</v>
      </c>
      <c r="AD915" s="15" t="s">
        <v>22463</v>
      </c>
      <c r="AE915" s="15" t="s">
        <v>9287</v>
      </c>
      <c r="AF915" s="15" t="s">
        <v>22464</v>
      </c>
      <c r="AG915" s="15" t="s">
        <v>22465</v>
      </c>
      <c r="AH915" s="15" t="s">
        <v>22466</v>
      </c>
      <c r="AI915" s="15" t="s">
        <v>22467</v>
      </c>
      <c r="AJ915" s="15" t="s">
        <v>22468</v>
      </c>
      <c r="BH915" s="15" t="s">
        <v>9285</v>
      </c>
      <c r="BI915" s="15" t="str">
        <f>"899"</f>
        <v>899</v>
      </c>
      <c r="BJ915" s="15" t="str">
        <f>"380"</f>
        <v>380</v>
      </c>
      <c r="BK915" s="15" t="s">
        <v>709</v>
      </c>
      <c r="BL915" s="15" t="str">
        <f t="shared" si="2636"/>
        <v>1</v>
      </c>
      <c r="BM915" s="15" t="s">
        <v>416</v>
      </c>
      <c r="BN915" s="15" t="str">
        <f t="shared" ref="BN915:BO915" si="2668">"22.44"</f>
        <v>22.44</v>
      </c>
      <c r="BO915" s="15" t="str">
        <f t="shared" si="2668"/>
        <v>22.44</v>
      </c>
      <c r="BP915" s="15" t="str">
        <f t="shared" si="2669"/>
        <v>20.08</v>
      </c>
      <c r="BQ915" s="15" t="str">
        <f t="shared" si="2670"/>
        <v>22.05</v>
      </c>
      <c r="CG915" s="15" t="str">
        <f t="shared" si="2671"/>
        <v>5.86</v>
      </c>
      <c r="CH915" s="15" t="str">
        <f t="shared" si="2672"/>
        <v>0.166</v>
      </c>
      <c r="CI915" s="15" t="s">
        <v>417</v>
      </c>
      <c r="CS915" s="15" t="s">
        <v>1072</v>
      </c>
      <c r="CT915" s="15" t="s">
        <v>824</v>
      </c>
      <c r="CU915" s="15" t="s">
        <v>1072</v>
      </c>
      <c r="CW915" s="15">
        <v>0.0</v>
      </c>
      <c r="CY915" s="15" t="s">
        <v>718</v>
      </c>
      <c r="DF915" s="15" t="s">
        <v>1284</v>
      </c>
      <c r="DG915" s="15" t="s">
        <v>419</v>
      </c>
      <c r="DH915" s="15">
        <v>0.0</v>
      </c>
      <c r="DL915" s="15">
        <v>0.0</v>
      </c>
      <c r="DM915" s="15" t="s">
        <v>722</v>
      </c>
      <c r="DP915" s="15">
        <v>0.0</v>
      </c>
      <c r="DQ915" s="15">
        <v>1.0</v>
      </c>
      <c r="DR915" s="15" t="s">
        <v>1157</v>
      </c>
      <c r="DS915" s="15" t="s">
        <v>9230</v>
      </c>
      <c r="DT915" s="15">
        <v>0.0</v>
      </c>
      <c r="DU915" s="15" t="s">
        <v>726</v>
      </c>
      <c r="EF915" s="15" t="s">
        <v>3693</v>
      </c>
      <c r="EO915" s="15" t="s">
        <v>1255</v>
      </c>
    </row>
    <row r="916" ht="17.25" customHeight="1">
      <c r="A916" s="15" t="s">
        <v>9291</v>
      </c>
      <c r="B916" s="15" t="str">
        <f>"801542668181"</f>
        <v>801542668181</v>
      </c>
      <c r="C916" s="15" t="s">
        <v>22469</v>
      </c>
      <c r="D916" s="15" t="str">
        <f t="shared" si="1"/>
        <v>Sinclair Round OttomanKnoll Domino</v>
      </c>
      <c r="E916" s="15" t="s">
        <v>9280</v>
      </c>
      <c r="F916" s="15" t="s">
        <v>397</v>
      </c>
      <c r="G916" s="15" t="s">
        <v>9290</v>
      </c>
      <c r="J916" s="15" t="s">
        <v>9290</v>
      </c>
      <c r="K916" s="15" t="s">
        <v>4691</v>
      </c>
      <c r="M916" s="15" t="s">
        <v>1317</v>
      </c>
      <c r="N916" s="15" t="s">
        <v>1009</v>
      </c>
      <c r="P916" s="15" t="str">
        <f t="shared" ref="P916:Q916" si="2673">"22"</f>
        <v>22</v>
      </c>
      <c r="Q916" s="15" t="str">
        <f t="shared" si="2673"/>
        <v>22</v>
      </c>
      <c r="R916" s="15" t="str">
        <f t="shared" si="2651"/>
        <v>18.5</v>
      </c>
      <c r="S916" s="15" t="str">
        <f t="shared" si="2667"/>
        <v>13.23</v>
      </c>
      <c r="T916" s="15" t="s">
        <v>1830</v>
      </c>
      <c r="U916" s="15" t="s">
        <v>11234</v>
      </c>
      <c r="V916" s="15" t="s">
        <v>11371</v>
      </c>
      <c r="W916" s="15" t="s">
        <v>11210</v>
      </c>
      <c r="AA916" s="15" t="s">
        <v>426</v>
      </c>
      <c r="AB916" s="15" t="s">
        <v>426</v>
      </c>
      <c r="AC916" s="15" t="s">
        <v>9293</v>
      </c>
      <c r="AD916" s="15" t="s">
        <v>22470</v>
      </c>
      <c r="AE916" s="15" t="s">
        <v>9292</v>
      </c>
      <c r="AF916" s="15" t="s">
        <v>22471</v>
      </c>
      <c r="AG916" s="15" t="s">
        <v>22472</v>
      </c>
      <c r="AH916" s="15" t="s">
        <v>22473</v>
      </c>
      <c r="AI916" s="15" t="s">
        <v>22474</v>
      </c>
      <c r="AJ916" s="15" t="s">
        <v>22475</v>
      </c>
      <c r="AK916" s="15" t="s">
        <v>22476</v>
      </c>
      <c r="AL916" s="15" t="s">
        <v>22477</v>
      </c>
      <c r="AM916" s="15" t="s">
        <v>22478</v>
      </c>
      <c r="AN916" s="15" t="s">
        <v>22479</v>
      </c>
      <c r="BH916" s="15" t="s">
        <v>9289</v>
      </c>
      <c r="BI916" s="15" t="str">
        <f t="shared" ref="BI916:BI917" si="2676">"499"</f>
        <v>499</v>
      </c>
      <c r="BJ916" s="15" t="str">
        <f t="shared" ref="BJ916:BJ917" si="2677">"210"</f>
        <v>210</v>
      </c>
      <c r="BK916" s="15" t="s">
        <v>709</v>
      </c>
      <c r="BL916" s="15" t="str">
        <f t="shared" si="2636"/>
        <v>1</v>
      </c>
      <c r="BM916" s="15" t="s">
        <v>416</v>
      </c>
      <c r="BN916" s="15" t="str">
        <f t="shared" ref="BN916:BO916" si="2674">"22.44"</f>
        <v>22.44</v>
      </c>
      <c r="BO916" s="15" t="str">
        <f t="shared" si="2674"/>
        <v>22.44</v>
      </c>
      <c r="BP916" s="15" t="str">
        <f t="shared" si="2669"/>
        <v>20.08</v>
      </c>
      <c r="BQ916" s="15" t="str">
        <f t="shared" si="2670"/>
        <v>22.05</v>
      </c>
      <c r="CG916" s="15" t="str">
        <f t="shared" si="2671"/>
        <v>5.86</v>
      </c>
      <c r="CH916" s="15" t="str">
        <f t="shared" si="2672"/>
        <v>0.166</v>
      </c>
      <c r="CI916" s="15" t="s">
        <v>465</v>
      </c>
      <c r="CS916" s="15" t="s">
        <v>1072</v>
      </c>
      <c r="CT916" s="15" t="s">
        <v>824</v>
      </c>
      <c r="CU916" s="15" t="s">
        <v>1072</v>
      </c>
      <c r="CW916" s="15">
        <v>0.0</v>
      </c>
      <c r="CY916" s="15" t="s">
        <v>855</v>
      </c>
      <c r="DF916" s="15" t="s">
        <v>1284</v>
      </c>
      <c r="DG916" s="15" t="s">
        <v>419</v>
      </c>
      <c r="DH916" s="15">
        <v>0.0</v>
      </c>
      <c r="DL916" s="15">
        <v>25000.0</v>
      </c>
      <c r="DM916" s="15" t="s">
        <v>722</v>
      </c>
      <c r="DP916" s="15">
        <v>0.0</v>
      </c>
      <c r="DQ916" s="15">
        <v>1.0</v>
      </c>
      <c r="DR916" s="15" t="s">
        <v>1157</v>
      </c>
      <c r="DS916" s="15" t="s">
        <v>9230</v>
      </c>
      <c r="DT916" s="15">
        <v>0.0</v>
      </c>
      <c r="DU916" s="15" t="s">
        <v>726</v>
      </c>
      <c r="EF916" s="15" t="s">
        <v>3693</v>
      </c>
      <c r="EO916" s="15" t="s">
        <v>1255</v>
      </c>
    </row>
    <row r="917" ht="17.25" customHeight="1">
      <c r="A917" s="15" t="s">
        <v>9295</v>
      </c>
      <c r="B917" s="15" t="str">
        <f>"801542668211"</f>
        <v>801542668211</v>
      </c>
      <c r="C917" s="15" t="s">
        <v>22480</v>
      </c>
      <c r="D917" s="15" t="str">
        <f t="shared" si="1"/>
        <v>Sinclair Round OttomanKnoll Natural</v>
      </c>
      <c r="E917" s="15" t="s">
        <v>9280</v>
      </c>
      <c r="F917" s="15" t="s">
        <v>397</v>
      </c>
      <c r="G917" s="15" t="s">
        <v>1081</v>
      </c>
      <c r="J917" s="15" t="s">
        <v>1081</v>
      </c>
      <c r="K917" s="15" t="s">
        <v>1087</v>
      </c>
      <c r="M917" s="15" t="s">
        <v>1317</v>
      </c>
      <c r="N917" s="15" t="s">
        <v>1009</v>
      </c>
      <c r="P917" s="15" t="str">
        <f t="shared" ref="P917:Q917" si="2675">"22"</f>
        <v>22</v>
      </c>
      <c r="Q917" s="15" t="str">
        <f t="shared" si="2675"/>
        <v>22</v>
      </c>
      <c r="R917" s="15" t="str">
        <f t="shared" si="2651"/>
        <v>18.5</v>
      </c>
      <c r="S917" s="15" t="str">
        <f t="shared" si="2667"/>
        <v>13.23</v>
      </c>
      <c r="T917" s="15" t="s">
        <v>1830</v>
      </c>
      <c r="U917" s="15" t="s">
        <v>11234</v>
      </c>
      <c r="V917" s="15" t="s">
        <v>11371</v>
      </c>
      <c r="W917" s="15" t="s">
        <v>11210</v>
      </c>
      <c r="AA917" s="15" t="s">
        <v>426</v>
      </c>
      <c r="AB917" s="15" t="s">
        <v>426</v>
      </c>
      <c r="AC917" s="15" t="s">
        <v>9297</v>
      </c>
      <c r="AD917" s="15" t="s">
        <v>22481</v>
      </c>
      <c r="AE917" s="15" t="s">
        <v>9296</v>
      </c>
      <c r="AF917" s="15" t="s">
        <v>22482</v>
      </c>
      <c r="AG917" s="15" t="s">
        <v>22483</v>
      </c>
      <c r="AH917" s="15" t="s">
        <v>22484</v>
      </c>
      <c r="AI917" s="15" t="s">
        <v>22485</v>
      </c>
      <c r="AJ917" s="15" t="s">
        <v>22486</v>
      </c>
      <c r="AK917" s="15" t="s">
        <v>22487</v>
      </c>
      <c r="AL917" s="15" t="s">
        <v>22488</v>
      </c>
      <c r="AM917" s="15" t="s">
        <v>22489</v>
      </c>
      <c r="AN917" s="15" t="s">
        <v>22490</v>
      </c>
      <c r="AO917" s="15" t="s">
        <v>22491</v>
      </c>
      <c r="AP917" s="15" t="s">
        <v>22492</v>
      </c>
      <c r="BH917" s="15" t="s">
        <v>9294</v>
      </c>
      <c r="BI917" s="15" t="str">
        <f t="shared" si="2676"/>
        <v>499</v>
      </c>
      <c r="BJ917" s="15" t="str">
        <f t="shared" si="2677"/>
        <v>210</v>
      </c>
      <c r="BK917" s="15" t="s">
        <v>709</v>
      </c>
      <c r="BL917" s="15" t="str">
        <f t="shared" si="2636"/>
        <v>1</v>
      </c>
      <c r="BM917" s="15" t="s">
        <v>416</v>
      </c>
      <c r="BN917" s="15" t="str">
        <f t="shared" ref="BN917:BO917" si="2678">"22.44"</f>
        <v>22.44</v>
      </c>
      <c r="BO917" s="15" t="str">
        <f t="shared" si="2678"/>
        <v>22.44</v>
      </c>
      <c r="BP917" s="15" t="str">
        <f t="shared" si="2669"/>
        <v>20.08</v>
      </c>
      <c r="BQ917" s="15" t="str">
        <f t="shared" si="2670"/>
        <v>22.05</v>
      </c>
      <c r="CG917" s="15" t="str">
        <f t="shared" si="2671"/>
        <v>5.86</v>
      </c>
      <c r="CH917" s="15" t="str">
        <f t="shared" si="2672"/>
        <v>0.166</v>
      </c>
      <c r="CI917" s="15" t="s">
        <v>497</v>
      </c>
      <c r="CS917" s="15" t="s">
        <v>1072</v>
      </c>
      <c r="CT917" s="15" t="s">
        <v>824</v>
      </c>
      <c r="CU917" s="15" t="s">
        <v>1072</v>
      </c>
      <c r="CW917" s="15">
        <v>0.0</v>
      </c>
      <c r="CY917" s="15" t="s">
        <v>855</v>
      </c>
      <c r="DF917" s="15" t="s">
        <v>1284</v>
      </c>
      <c r="DG917" s="15" t="s">
        <v>419</v>
      </c>
      <c r="DH917" s="15">
        <v>0.0</v>
      </c>
      <c r="DL917" s="15">
        <v>25000.0</v>
      </c>
      <c r="DM917" s="15" t="s">
        <v>722</v>
      </c>
      <c r="DP917" s="15">
        <v>0.0</v>
      </c>
      <c r="DQ917" s="15">
        <v>1.0</v>
      </c>
      <c r="DR917" s="15" t="s">
        <v>1157</v>
      </c>
      <c r="DS917" s="15" t="s">
        <v>9230</v>
      </c>
      <c r="DT917" s="15">
        <v>0.0</v>
      </c>
      <c r="DU917" s="15" t="s">
        <v>726</v>
      </c>
      <c r="EF917" s="15" t="s">
        <v>3693</v>
      </c>
      <c r="EO917" s="15" t="s">
        <v>1255</v>
      </c>
    </row>
    <row r="918" ht="17.25" customHeight="1">
      <c r="A918" s="15" t="s">
        <v>9299</v>
      </c>
      <c r="B918" s="15" t="str">
        <f>"801542995607"</f>
        <v>801542995607</v>
      </c>
      <c r="C918" s="15" t="s">
        <v>22493</v>
      </c>
      <c r="D918" s="15" t="str">
        <f t="shared" si="1"/>
        <v>Sinclair Round OttomanManchester Flint</v>
      </c>
      <c r="E918" s="15" t="s">
        <v>9280</v>
      </c>
      <c r="F918" s="15" t="s">
        <v>397</v>
      </c>
      <c r="G918" s="15" t="s">
        <v>5202</v>
      </c>
      <c r="J918" s="15" t="s">
        <v>5202</v>
      </c>
      <c r="K918" s="15" t="s">
        <v>2801</v>
      </c>
      <c r="M918" s="15" t="s">
        <v>1317</v>
      </c>
      <c r="N918" s="15" t="s">
        <v>1009</v>
      </c>
      <c r="P918" s="15" t="str">
        <f t="shared" ref="P918:Q918" si="2679">"22"</f>
        <v>22</v>
      </c>
      <c r="Q918" s="15" t="str">
        <f t="shared" si="2679"/>
        <v>22</v>
      </c>
      <c r="R918" s="15" t="str">
        <f t="shared" si="2651"/>
        <v>18.5</v>
      </c>
      <c r="S918" s="15" t="str">
        <f t="shared" si="2667"/>
        <v>13.23</v>
      </c>
      <c r="T918" s="15" t="s">
        <v>5205</v>
      </c>
      <c r="U918" s="15" t="s">
        <v>11257</v>
      </c>
      <c r="V918" s="15" t="s">
        <v>11210</v>
      </c>
      <c r="AA918" s="15" t="s">
        <v>413</v>
      </c>
      <c r="AB918" s="15" t="s">
        <v>413</v>
      </c>
      <c r="AC918" s="15" t="s">
        <v>9301</v>
      </c>
      <c r="AD918" s="15" t="s">
        <v>22494</v>
      </c>
      <c r="AE918" s="15" t="s">
        <v>9300</v>
      </c>
      <c r="AF918" s="15" t="s">
        <v>22495</v>
      </c>
      <c r="AG918" s="15" t="s">
        <v>22496</v>
      </c>
      <c r="AH918" s="15" t="s">
        <v>22497</v>
      </c>
      <c r="AI918" s="15" t="s">
        <v>22498</v>
      </c>
      <c r="AJ918" s="15" t="s">
        <v>22499</v>
      </c>
      <c r="AK918" s="15" t="s">
        <v>22500</v>
      </c>
      <c r="AL918" s="15" t="s">
        <v>22501</v>
      </c>
      <c r="AM918" s="15" t="s">
        <v>22502</v>
      </c>
      <c r="BH918" s="15" t="s">
        <v>9298</v>
      </c>
      <c r="BI918" s="15" t="str">
        <f>"549"</f>
        <v>549</v>
      </c>
      <c r="BJ918" s="15" t="str">
        <f>"235"</f>
        <v>235</v>
      </c>
      <c r="BK918" s="15" t="s">
        <v>709</v>
      </c>
      <c r="BL918" s="15" t="str">
        <f t="shared" si="2636"/>
        <v>1</v>
      </c>
      <c r="BM918" s="15" t="s">
        <v>416</v>
      </c>
      <c r="BN918" s="15" t="str">
        <f t="shared" ref="BN918:BO918" si="2680">"22.44"</f>
        <v>22.44</v>
      </c>
      <c r="BO918" s="15" t="str">
        <f t="shared" si="2680"/>
        <v>22.44</v>
      </c>
      <c r="BP918" s="15" t="str">
        <f t="shared" si="2669"/>
        <v>20.08</v>
      </c>
      <c r="BQ918" s="15" t="str">
        <f t="shared" si="2670"/>
        <v>22.05</v>
      </c>
      <c r="CG918" s="15" t="str">
        <f t="shared" si="2671"/>
        <v>5.86</v>
      </c>
      <c r="CH918" s="15" t="str">
        <f t="shared" si="2672"/>
        <v>0.166</v>
      </c>
      <c r="CI918" s="15" t="s">
        <v>497</v>
      </c>
      <c r="CS918" s="15" t="s">
        <v>1072</v>
      </c>
      <c r="CT918" s="15" t="s">
        <v>824</v>
      </c>
      <c r="CU918" s="15" t="s">
        <v>1072</v>
      </c>
      <c r="CW918" s="15">
        <v>0.0</v>
      </c>
      <c r="CY918" s="15" t="s">
        <v>855</v>
      </c>
      <c r="DF918" s="15" t="s">
        <v>1284</v>
      </c>
      <c r="DG918" s="15" t="s">
        <v>419</v>
      </c>
      <c r="DH918" s="15">
        <v>0.0</v>
      </c>
      <c r="DL918" s="15">
        <v>15000.0</v>
      </c>
      <c r="DM918" s="15" t="s">
        <v>722</v>
      </c>
      <c r="DP918" s="15">
        <v>0.0</v>
      </c>
      <c r="DQ918" s="15">
        <v>1.0</v>
      </c>
      <c r="DR918" s="15" t="s">
        <v>1157</v>
      </c>
      <c r="DS918" s="15" t="s">
        <v>9230</v>
      </c>
      <c r="DT918" s="15">
        <v>0.0</v>
      </c>
      <c r="DU918" s="15" t="s">
        <v>726</v>
      </c>
      <c r="EF918" s="15" t="s">
        <v>3693</v>
      </c>
      <c r="EO918" s="15" t="s">
        <v>1255</v>
      </c>
    </row>
    <row r="919" ht="17.25" customHeight="1">
      <c r="A919" s="15" t="s">
        <v>9304</v>
      </c>
      <c r="B919" s="15" t="str">
        <f>"801542742287"</f>
        <v>801542742287</v>
      </c>
      <c r="C919" s="15" t="s">
        <v>22503</v>
      </c>
      <c r="D919" s="15" t="str">
        <f t="shared" si="1"/>
        <v>Sinclair Round OttomanPalermo Butterscotch</v>
      </c>
      <c r="E919" s="15" t="s">
        <v>9280</v>
      </c>
      <c r="F919" s="15" t="s">
        <v>397</v>
      </c>
      <c r="G919" s="15" t="s">
        <v>9303</v>
      </c>
      <c r="J919" s="15" t="s">
        <v>9303</v>
      </c>
      <c r="K919" s="15" t="s">
        <v>1087</v>
      </c>
      <c r="M919" s="15" t="s">
        <v>1317</v>
      </c>
      <c r="N919" s="15" t="s">
        <v>1009</v>
      </c>
      <c r="P919" s="15" t="str">
        <f t="shared" ref="P919:Q919" si="2681">"22"</f>
        <v>22</v>
      </c>
      <c r="Q919" s="15" t="str">
        <f t="shared" si="2681"/>
        <v>22</v>
      </c>
      <c r="R919" s="15" t="str">
        <f t="shared" si="2651"/>
        <v>18.5</v>
      </c>
      <c r="S919" s="15" t="str">
        <f t="shared" si="2667"/>
        <v>13.23</v>
      </c>
      <c r="T919" s="15" t="s">
        <v>975</v>
      </c>
      <c r="U919" s="15" t="s">
        <v>11137</v>
      </c>
      <c r="V919" s="15" t="s">
        <v>11210</v>
      </c>
      <c r="AA919" s="15" t="s">
        <v>413</v>
      </c>
      <c r="AB919" s="15" t="s">
        <v>413</v>
      </c>
      <c r="AC919" s="15" t="s">
        <v>9306</v>
      </c>
      <c r="AD919" s="15" t="s">
        <v>22504</v>
      </c>
      <c r="AE919" s="15" t="s">
        <v>9305</v>
      </c>
      <c r="AF919" s="15" t="s">
        <v>22505</v>
      </c>
      <c r="AG919" s="15" t="s">
        <v>22506</v>
      </c>
      <c r="AH919" s="15" t="s">
        <v>22507</v>
      </c>
      <c r="AI919" s="15" t="s">
        <v>22508</v>
      </c>
      <c r="AJ919" s="15" t="s">
        <v>22509</v>
      </c>
      <c r="AK919" s="15" t="s">
        <v>22510</v>
      </c>
      <c r="AL919" s="15" t="s">
        <v>22511</v>
      </c>
      <c r="BH919" s="15" t="s">
        <v>9302</v>
      </c>
      <c r="BI919" s="15" t="str">
        <f>"849"</f>
        <v>849</v>
      </c>
      <c r="BJ919" s="15" t="str">
        <f>"360"</f>
        <v>360</v>
      </c>
      <c r="BK919" s="15" t="s">
        <v>709</v>
      </c>
      <c r="BL919" s="15" t="str">
        <f t="shared" si="2636"/>
        <v>1</v>
      </c>
      <c r="BM919" s="15" t="s">
        <v>416</v>
      </c>
      <c r="BN919" s="15" t="str">
        <f t="shared" ref="BN919:BO919" si="2682">"22.44"</f>
        <v>22.44</v>
      </c>
      <c r="BO919" s="15" t="str">
        <f t="shared" si="2682"/>
        <v>22.44</v>
      </c>
      <c r="BP919" s="15" t="str">
        <f t="shared" si="2669"/>
        <v>20.08</v>
      </c>
      <c r="BQ919" s="15" t="str">
        <f t="shared" si="2670"/>
        <v>22.05</v>
      </c>
      <c r="CG919" s="15" t="str">
        <f t="shared" si="2671"/>
        <v>5.86</v>
      </c>
      <c r="CH919" s="15" t="str">
        <f t="shared" si="2672"/>
        <v>0.166</v>
      </c>
      <c r="CI919" s="15" t="s">
        <v>497</v>
      </c>
      <c r="CS919" s="15" t="s">
        <v>1072</v>
      </c>
      <c r="CT919" s="15" t="s">
        <v>824</v>
      </c>
      <c r="CU919" s="15" t="s">
        <v>1072</v>
      </c>
      <c r="CW919" s="15">
        <v>0.0</v>
      </c>
      <c r="CY919" s="15" t="s">
        <v>718</v>
      </c>
      <c r="DF919" s="15" t="s">
        <v>1284</v>
      </c>
      <c r="DG919" s="15" t="s">
        <v>419</v>
      </c>
      <c r="DH919" s="15">
        <v>0.0</v>
      </c>
      <c r="DL919" s="15">
        <v>0.0</v>
      </c>
      <c r="DM919" s="15" t="s">
        <v>722</v>
      </c>
      <c r="DP919" s="15">
        <v>0.0</v>
      </c>
      <c r="DQ919" s="15">
        <v>1.0</v>
      </c>
      <c r="DR919" s="15" t="s">
        <v>1157</v>
      </c>
      <c r="DS919" s="15" t="s">
        <v>9230</v>
      </c>
      <c r="DT919" s="15">
        <v>0.0</v>
      </c>
      <c r="DU919" s="15" t="s">
        <v>726</v>
      </c>
      <c r="EF919" s="15" t="s">
        <v>3693</v>
      </c>
      <c r="EO919" s="15" t="s">
        <v>1255</v>
      </c>
    </row>
    <row r="920" ht="17.25" customHeight="1">
      <c r="A920" s="15" t="s">
        <v>9308</v>
      </c>
      <c r="B920" s="15" t="str">
        <f>"801542824006"</f>
        <v>801542824006</v>
      </c>
      <c r="C920" s="15" t="s">
        <v>22512</v>
      </c>
      <c r="D920" s="15" t="str">
        <f t="shared" si="1"/>
        <v>Sinclair Round OttomanSheffield Ivory</v>
      </c>
      <c r="E920" s="15" t="s">
        <v>9280</v>
      </c>
      <c r="F920" s="15" t="s">
        <v>397</v>
      </c>
      <c r="G920" s="15" t="s">
        <v>1350</v>
      </c>
      <c r="J920" s="15" t="s">
        <v>1350</v>
      </c>
      <c r="K920" s="15" t="s">
        <v>2801</v>
      </c>
      <c r="M920" s="15" t="s">
        <v>1317</v>
      </c>
      <c r="N920" s="15" t="s">
        <v>1009</v>
      </c>
      <c r="P920" s="15" t="str">
        <f t="shared" ref="P920:Q920" si="2683">"22"</f>
        <v>22</v>
      </c>
      <c r="Q920" s="15" t="str">
        <f t="shared" si="2683"/>
        <v>22</v>
      </c>
      <c r="R920" s="15" t="str">
        <f t="shared" si="2651"/>
        <v>18.5</v>
      </c>
      <c r="S920" s="15" t="str">
        <f t="shared" si="2667"/>
        <v>13.23</v>
      </c>
      <c r="T920" s="15" t="s">
        <v>832</v>
      </c>
      <c r="U920" s="15" t="s">
        <v>11209</v>
      </c>
      <c r="V920" s="15" t="s">
        <v>11210</v>
      </c>
      <c r="AA920" s="15" t="s">
        <v>426</v>
      </c>
      <c r="AB920" s="15" t="s">
        <v>413</v>
      </c>
      <c r="AC920" s="15" t="s">
        <v>9310</v>
      </c>
      <c r="AD920" s="15" t="s">
        <v>22513</v>
      </c>
      <c r="AE920" s="15" t="s">
        <v>9309</v>
      </c>
      <c r="AF920" s="15" t="s">
        <v>22514</v>
      </c>
      <c r="AG920" s="15" t="s">
        <v>22515</v>
      </c>
      <c r="AH920" s="15" t="s">
        <v>22516</v>
      </c>
      <c r="AI920" s="15" t="s">
        <v>22517</v>
      </c>
      <c r="AJ920" s="15" t="s">
        <v>22518</v>
      </c>
      <c r="AK920" s="15" t="s">
        <v>22519</v>
      </c>
      <c r="AL920" s="15" t="s">
        <v>22520</v>
      </c>
      <c r="AM920" s="15" t="s">
        <v>22521</v>
      </c>
      <c r="AN920" s="15" t="s">
        <v>22522</v>
      </c>
      <c r="BH920" s="15" t="s">
        <v>9307</v>
      </c>
      <c r="BI920" s="15" t="str">
        <f>"499"</f>
        <v>499</v>
      </c>
      <c r="BJ920" s="15" t="str">
        <f>"210"</f>
        <v>210</v>
      </c>
      <c r="BK920" s="15" t="s">
        <v>709</v>
      </c>
      <c r="BL920" s="15" t="str">
        <f t="shared" si="2636"/>
        <v>1</v>
      </c>
      <c r="BM920" s="15" t="s">
        <v>416</v>
      </c>
      <c r="BN920" s="15" t="str">
        <f t="shared" ref="BN920:BO920" si="2684">"22.44"</f>
        <v>22.44</v>
      </c>
      <c r="BO920" s="15" t="str">
        <f t="shared" si="2684"/>
        <v>22.44</v>
      </c>
      <c r="BP920" s="15" t="str">
        <f t="shared" si="2669"/>
        <v>20.08</v>
      </c>
      <c r="BQ920" s="15" t="str">
        <f t="shared" si="2670"/>
        <v>22.05</v>
      </c>
      <c r="CG920" s="15" t="str">
        <f t="shared" si="2671"/>
        <v>5.86</v>
      </c>
      <c r="CH920" s="15" t="str">
        <f t="shared" si="2672"/>
        <v>0.166</v>
      </c>
      <c r="CI920" s="15" t="s">
        <v>417</v>
      </c>
      <c r="CS920" s="15" t="s">
        <v>1072</v>
      </c>
      <c r="CT920" s="15" t="s">
        <v>824</v>
      </c>
      <c r="CU920" s="15" t="s">
        <v>1072</v>
      </c>
      <c r="CW920" s="15">
        <v>0.0</v>
      </c>
      <c r="CY920" s="15" t="s">
        <v>897</v>
      </c>
      <c r="DF920" s="15" t="s">
        <v>1284</v>
      </c>
      <c r="DG920" s="15" t="s">
        <v>419</v>
      </c>
      <c r="DH920" s="15">
        <v>0.0</v>
      </c>
      <c r="DL920" s="15">
        <v>15000.0</v>
      </c>
      <c r="DM920" s="15" t="s">
        <v>722</v>
      </c>
      <c r="DP920" s="15">
        <v>0.0</v>
      </c>
      <c r="DQ920" s="15">
        <v>1.0</v>
      </c>
      <c r="DR920" s="15" t="s">
        <v>1157</v>
      </c>
      <c r="DS920" s="15" t="s">
        <v>9230</v>
      </c>
      <c r="DT920" s="15">
        <v>0.0</v>
      </c>
      <c r="DU920" s="15" t="s">
        <v>726</v>
      </c>
      <c r="EF920" s="15" t="s">
        <v>3693</v>
      </c>
      <c r="EO920" s="15" t="s">
        <v>1255</v>
      </c>
    </row>
    <row r="921" ht="17.25" customHeight="1">
      <c r="A921" s="15" t="s">
        <v>9313</v>
      </c>
      <c r="B921" s="15" t="str">
        <f>"801542830229"</f>
        <v>801542830229</v>
      </c>
      <c r="C921" s="15" t="s">
        <v>22523</v>
      </c>
      <c r="D921" s="15" t="str">
        <f t="shared" si="1"/>
        <v>Sinclair Square Ottoman-36"Balkan Ochre</v>
      </c>
      <c r="E921" s="15" t="s">
        <v>9311</v>
      </c>
      <c r="F921" s="15" t="s">
        <v>397</v>
      </c>
      <c r="G921" s="15" t="s">
        <v>1796</v>
      </c>
      <c r="J921" s="15" t="s">
        <v>1796</v>
      </c>
      <c r="K921" s="15" t="s">
        <v>2801</v>
      </c>
      <c r="M921" s="15" t="s">
        <v>1317</v>
      </c>
      <c r="N921" s="15" t="s">
        <v>1009</v>
      </c>
      <c r="P921" s="15" t="str">
        <f t="shared" ref="P921:Q921" si="2685">"36"</f>
        <v>36</v>
      </c>
      <c r="Q921" s="15" t="str">
        <f t="shared" si="2685"/>
        <v>36</v>
      </c>
      <c r="R921" s="15" t="str">
        <f t="shared" ref="R921:R927" si="2688">"16"</f>
        <v>16</v>
      </c>
      <c r="S921" s="15" t="str">
        <f t="shared" ref="S921:S927" si="2689">"47.4"</f>
        <v>47.4</v>
      </c>
      <c r="T921" s="15" t="s">
        <v>1800</v>
      </c>
      <c r="U921" s="15" t="s">
        <v>12094</v>
      </c>
      <c r="V921" s="15" t="s">
        <v>12095</v>
      </c>
      <c r="W921" s="15" t="s">
        <v>11210</v>
      </c>
      <c r="AA921" s="15" t="s">
        <v>413</v>
      </c>
      <c r="AB921" s="15" t="s">
        <v>413</v>
      </c>
      <c r="AC921" s="15" t="s">
        <v>9316</v>
      </c>
      <c r="AD921" s="15" t="s">
        <v>22524</v>
      </c>
      <c r="AE921" s="15" t="s">
        <v>9315</v>
      </c>
      <c r="AF921" s="15" t="s">
        <v>22525</v>
      </c>
      <c r="AG921" s="15" t="s">
        <v>22526</v>
      </c>
      <c r="AH921" s="15" t="s">
        <v>22527</v>
      </c>
      <c r="AI921" s="15" t="s">
        <v>22528</v>
      </c>
      <c r="AJ921" s="15" t="s">
        <v>22529</v>
      </c>
      <c r="AK921" s="15" t="s">
        <v>22530</v>
      </c>
      <c r="AL921" s="15" t="s">
        <v>22531</v>
      </c>
      <c r="AM921" s="15" t="s">
        <v>22532</v>
      </c>
      <c r="AN921" s="15" t="s">
        <v>22533</v>
      </c>
      <c r="AO921" s="15" t="s">
        <v>22534</v>
      </c>
      <c r="BH921" s="15" t="s">
        <v>9312</v>
      </c>
      <c r="BI921" s="15" t="str">
        <f t="shared" ref="BI921:BI922" si="2690">"849"</f>
        <v>849</v>
      </c>
      <c r="BJ921" s="15" t="str">
        <f t="shared" ref="BJ921:BJ922" si="2691">"360"</f>
        <v>360</v>
      </c>
      <c r="BK921" s="15" t="s">
        <v>709</v>
      </c>
      <c r="BL921" s="15" t="str">
        <f t="shared" si="2636"/>
        <v>1</v>
      </c>
      <c r="BM921" s="15" t="s">
        <v>416</v>
      </c>
      <c r="BN921" s="15" t="str">
        <f t="shared" ref="BN921:BO921" si="2686">"37.4"</f>
        <v>37.4</v>
      </c>
      <c r="BO921" s="15" t="str">
        <f t="shared" si="2686"/>
        <v>37.4</v>
      </c>
      <c r="BP921" s="15" t="str">
        <f t="shared" ref="BP921:BP927" si="2693">"18.11"</f>
        <v>18.11</v>
      </c>
      <c r="BQ921" s="15" t="str">
        <f t="shared" ref="BQ921:BQ927" si="2694">"63.93"</f>
        <v>63.93</v>
      </c>
      <c r="CG921" s="15" t="str">
        <f t="shared" ref="CG921:CG927" si="2695">"14.66"</f>
        <v>14.66</v>
      </c>
      <c r="CH921" s="15" t="str">
        <f t="shared" ref="CH921:CH927" si="2696">"0.415"</f>
        <v>0.415</v>
      </c>
      <c r="CI921" s="15" t="s">
        <v>465</v>
      </c>
      <c r="CS921" s="15" t="s">
        <v>4339</v>
      </c>
      <c r="CT921" s="15" t="s">
        <v>1213</v>
      </c>
      <c r="CU921" s="15" t="s">
        <v>4339</v>
      </c>
      <c r="CW921" s="15">
        <v>0.0</v>
      </c>
      <c r="CY921" s="15" t="s">
        <v>855</v>
      </c>
      <c r="DF921" s="15" t="s">
        <v>420</v>
      </c>
      <c r="DG921" s="15" t="s">
        <v>419</v>
      </c>
      <c r="DH921" s="15">
        <v>0.0</v>
      </c>
      <c r="DL921" s="15">
        <v>35000.0</v>
      </c>
      <c r="DM921" s="15" t="s">
        <v>990</v>
      </c>
      <c r="DN921" s="15" t="s">
        <v>1016</v>
      </c>
      <c r="DO921" s="15" t="s">
        <v>1701</v>
      </c>
      <c r="DP921" s="15">
        <v>1.0</v>
      </c>
      <c r="DQ921" s="15">
        <v>1.0</v>
      </c>
      <c r="DR921" s="15" t="s">
        <v>498</v>
      </c>
      <c r="DS921" s="15" t="s">
        <v>9230</v>
      </c>
      <c r="DT921" s="15">
        <v>0.0</v>
      </c>
      <c r="DU921" s="15" t="s">
        <v>726</v>
      </c>
      <c r="EF921" s="15" t="s">
        <v>1808</v>
      </c>
      <c r="EO921" s="15" t="s">
        <v>1255</v>
      </c>
      <c r="EU921" s="15" t="s">
        <v>426</v>
      </c>
    </row>
    <row r="922" ht="17.25" customHeight="1">
      <c r="A922" s="15" t="s">
        <v>9319</v>
      </c>
      <c r="B922" s="15" t="str">
        <f>"801542204969"</f>
        <v>801542204969</v>
      </c>
      <c r="C922" s="15" t="s">
        <v>22535</v>
      </c>
      <c r="D922" s="15" t="str">
        <f t="shared" si="1"/>
        <v>Sinclair Square Ottoman-36"Barrow Taupe</v>
      </c>
      <c r="E922" s="15" t="s">
        <v>9311</v>
      </c>
      <c r="F922" s="15" t="s">
        <v>397</v>
      </c>
      <c r="G922" s="15" t="s">
        <v>9318</v>
      </c>
      <c r="J922" s="15" t="s">
        <v>9318</v>
      </c>
      <c r="K922" s="15" t="s">
        <v>2801</v>
      </c>
      <c r="M922" s="15" t="s">
        <v>1317</v>
      </c>
      <c r="N922" s="15" t="s">
        <v>1009</v>
      </c>
      <c r="P922" s="15" t="str">
        <f t="shared" ref="P922:Q922" si="2687">"36"</f>
        <v>36</v>
      </c>
      <c r="Q922" s="15" t="str">
        <f t="shared" si="2687"/>
        <v>36</v>
      </c>
      <c r="R922" s="15" t="str">
        <f t="shared" si="2688"/>
        <v>16</v>
      </c>
      <c r="S922" s="15" t="str">
        <f t="shared" si="2689"/>
        <v>47.4</v>
      </c>
      <c r="T922" s="15" t="s">
        <v>9321</v>
      </c>
      <c r="U922" s="15" t="s">
        <v>11356</v>
      </c>
      <c r="V922" s="15" t="s">
        <v>22536</v>
      </c>
      <c r="W922" s="15" t="s">
        <v>11210</v>
      </c>
      <c r="AA922" s="15" t="s">
        <v>413</v>
      </c>
      <c r="AB922" s="15" t="s">
        <v>426</v>
      </c>
      <c r="AC922" s="15" t="s">
        <v>9322</v>
      </c>
      <c r="AD922" s="15" t="s">
        <v>22537</v>
      </c>
      <c r="AE922" s="15" t="s">
        <v>9320</v>
      </c>
      <c r="AF922" s="15" t="s">
        <v>22538</v>
      </c>
      <c r="AG922" s="15" t="s">
        <v>22539</v>
      </c>
      <c r="AH922" s="15" t="s">
        <v>22540</v>
      </c>
      <c r="AI922" s="15" t="s">
        <v>22541</v>
      </c>
      <c r="AJ922" s="15" t="s">
        <v>22542</v>
      </c>
      <c r="AK922" s="15" t="s">
        <v>22543</v>
      </c>
      <c r="AL922" s="15" t="s">
        <v>22544</v>
      </c>
      <c r="AM922" s="15" t="s">
        <v>22545</v>
      </c>
      <c r="AN922" s="15" t="s">
        <v>22546</v>
      </c>
      <c r="AO922" s="15" t="s">
        <v>22547</v>
      </c>
      <c r="AP922" s="15" t="s">
        <v>22548</v>
      </c>
      <c r="BH922" s="15" t="s">
        <v>9317</v>
      </c>
      <c r="BI922" s="15" t="str">
        <f t="shared" si="2690"/>
        <v>849</v>
      </c>
      <c r="BJ922" s="15" t="str">
        <f t="shared" si="2691"/>
        <v>360</v>
      </c>
      <c r="BK922" s="15" t="s">
        <v>709</v>
      </c>
      <c r="BL922" s="15" t="str">
        <f t="shared" si="2636"/>
        <v>1</v>
      </c>
      <c r="BM922" s="15" t="s">
        <v>416</v>
      </c>
      <c r="BN922" s="15" t="str">
        <f t="shared" ref="BN922:BO922" si="2692">"37.4"</f>
        <v>37.4</v>
      </c>
      <c r="BO922" s="15" t="str">
        <f t="shared" si="2692"/>
        <v>37.4</v>
      </c>
      <c r="BP922" s="15" t="str">
        <f t="shared" si="2693"/>
        <v>18.11</v>
      </c>
      <c r="BQ922" s="15" t="str">
        <f t="shared" si="2694"/>
        <v>63.93</v>
      </c>
      <c r="CG922" s="15" t="str">
        <f t="shared" si="2695"/>
        <v>14.66</v>
      </c>
      <c r="CH922" s="15" t="str">
        <f t="shared" si="2696"/>
        <v>0.415</v>
      </c>
      <c r="CI922" s="15" t="s">
        <v>417</v>
      </c>
      <c r="CS922" s="15" t="s">
        <v>4339</v>
      </c>
      <c r="CT922" s="15" t="s">
        <v>1213</v>
      </c>
      <c r="CU922" s="15" t="s">
        <v>4339</v>
      </c>
      <c r="CW922" s="15">
        <v>0.0</v>
      </c>
      <c r="CY922" s="15" t="s">
        <v>855</v>
      </c>
      <c r="DF922" s="15" t="s">
        <v>420</v>
      </c>
      <c r="DG922" s="15" t="s">
        <v>419</v>
      </c>
      <c r="DH922" s="15">
        <v>0.0</v>
      </c>
      <c r="DL922" s="15">
        <v>25000.0</v>
      </c>
      <c r="DM922" s="15" t="s">
        <v>990</v>
      </c>
      <c r="DN922" s="15" t="s">
        <v>1016</v>
      </c>
      <c r="DO922" s="15" t="s">
        <v>1701</v>
      </c>
      <c r="DP922" s="15">
        <v>1.0</v>
      </c>
      <c r="DQ922" s="15">
        <v>1.0</v>
      </c>
      <c r="DR922" s="15" t="s">
        <v>498</v>
      </c>
      <c r="DS922" s="15" t="s">
        <v>9230</v>
      </c>
      <c r="DT922" s="15">
        <v>0.0</v>
      </c>
      <c r="DU922" s="15" t="s">
        <v>726</v>
      </c>
      <c r="EF922" s="15" t="s">
        <v>1808</v>
      </c>
      <c r="EO922" s="15" t="s">
        <v>1255</v>
      </c>
      <c r="EU922" s="15" t="s">
        <v>426</v>
      </c>
    </row>
    <row r="923" ht="17.25" customHeight="1">
      <c r="A923" s="15" t="s">
        <v>9324</v>
      </c>
      <c r="B923" s="15" t="str">
        <f>"801542364502"</f>
        <v>801542364502</v>
      </c>
      <c r="C923" s="15" t="s">
        <v>22549</v>
      </c>
      <c r="D923" s="15" t="str">
        <f t="shared" si="1"/>
        <v>Sinclair Square Ottoman-36"Ivan Granite</v>
      </c>
      <c r="E923" s="15" t="s">
        <v>9311</v>
      </c>
      <c r="F923" s="15" t="s">
        <v>397</v>
      </c>
      <c r="G923" s="15" t="s">
        <v>2657</v>
      </c>
      <c r="J923" s="15" t="s">
        <v>2657</v>
      </c>
      <c r="K923" s="15" t="s">
        <v>2801</v>
      </c>
      <c r="M923" s="15" t="s">
        <v>1317</v>
      </c>
      <c r="N923" s="15" t="s">
        <v>1009</v>
      </c>
      <c r="P923" s="15" t="str">
        <f t="shared" ref="P923:Q923" si="2697">"36"</f>
        <v>36</v>
      </c>
      <c r="Q923" s="15" t="str">
        <f t="shared" si="2697"/>
        <v>36</v>
      </c>
      <c r="R923" s="15" t="str">
        <f t="shared" si="2688"/>
        <v>16</v>
      </c>
      <c r="S923" s="15" t="str">
        <f t="shared" si="2689"/>
        <v>47.4</v>
      </c>
      <c r="T923" s="15" t="s">
        <v>9326</v>
      </c>
      <c r="U923" s="15" t="s">
        <v>12974</v>
      </c>
      <c r="V923" s="15" t="s">
        <v>12975</v>
      </c>
      <c r="W923" s="15" t="s">
        <v>12976</v>
      </c>
      <c r="X923" s="15" t="s">
        <v>11210</v>
      </c>
      <c r="AA923" s="15" t="s">
        <v>413</v>
      </c>
      <c r="AB923" s="15" t="s">
        <v>413</v>
      </c>
      <c r="AC923" s="15" t="s">
        <v>9327</v>
      </c>
      <c r="AD923" s="15" t="s">
        <v>22550</v>
      </c>
      <c r="AE923" s="15" t="s">
        <v>9325</v>
      </c>
      <c r="AF923" s="15" t="s">
        <v>22551</v>
      </c>
      <c r="AG923" s="15" t="s">
        <v>22552</v>
      </c>
      <c r="AH923" s="15" t="s">
        <v>22553</v>
      </c>
      <c r="AI923" s="15" t="s">
        <v>22554</v>
      </c>
      <c r="AJ923" s="15" t="s">
        <v>22555</v>
      </c>
      <c r="AK923" s="15" t="s">
        <v>22556</v>
      </c>
      <c r="AL923" s="15" t="s">
        <v>22557</v>
      </c>
      <c r="AM923" s="15" t="s">
        <v>22558</v>
      </c>
      <c r="BH923" s="15" t="s">
        <v>9323</v>
      </c>
      <c r="BI923" s="15" t="str">
        <f>"949"</f>
        <v>949</v>
      </c>
      <c r="BJ923" s="15" t="str">
        <f>"400"</f>
        <v>400</v>
      </c>
      <c r="BK923" s="15" t="s">
        <v>709</v>
      </c>
      <c r="BL923" s="15" t="str">
        <f t="shared" si="2636"/>
        <v>1</v>
      </c>
      <c r="BM923" s="15" t="s">
        <v>416</v>
      </c>
      <c r="BN923" s="15" t="str">
        <f t="shared" ref="BN923:BO923" si="2698">"37.4"</f>
        <v>37.4</v>
      </c>
      <c r="BO923" s="15" t="str">
        <f t="shared" si="2698"/>
        <v>37.4</v>
      </c>
      <c r="BP923" s="15" t="str">
        <f t="shared" si="2693"/>
        <v>18.11</v>
      </c>
      <c r="BQ923" s="15" t="str">
        <f t="shared" si="2694"/>
        <v>63.93</v>
      </c>
      <c r="CG923" s="15" t="str">
        <f t="shared" si="2695"/>
        <v>14.66</v>
      </c>
      <c r="CH923" s="15" t="str">
        <f t="shared" si="2696"/>
        <v>0.415</v>
      </c>
      <c r="CI923" s="15" t="s">
        <v>465</v>
      </c>
      <c r="CS923" s="15" t="s">
        <v>4339</v>
      </c>
      <c r="CT923" s="15" t="s">
        <v>1213</v>
      </c>
      <c r="CU923" s="15" t="s">
        <v>4339</v>
      </c>
      <c r="CW923" s="15">
        <v>0.0</v>
      </c>
      <c r="CY923" s="15" t="s">
        <v>934</v>
      </c>
      <c r="DF923" s="15" t="s">
        <v>420</v>
      </c>
      <c r="DG923" s="15" t="s">
        <v>419</v>
      </c>
      <c r="DH923" s="15">
        <v>0.0</v>
      </c>
      <c r="DL923" s="15">
        <v>50000.0</v>
      </c>
      <c r="DM923" s="15" t="s">
        <v>990</v>
      </c>
      <c r="DN923" s="15" t="s">
        <v>1016</v>
      </c>
      <c r="DO923" s="15" t="s">
        <v>1701</v>
      </c>
      <c r="DP923" s="15">
        <v>1.0</v>
      </c>
      <c r="DQ923" s="15">
        <v>1.0</v>
      </c>
      <c r="DR923" s="15" t="s">
        <v>498</v>
      </c>
      <c r="DS923" s="15" t="s">
        <v>9230</v>
      </c>
      <c r="DT923" s="15">
        <v>0.0</v>
      </c>
      <c r="DU923" s="15" t="s">
        <v>726</v>
      </c>
      <c r="EF923" s="15" t="s">
        <v>1808</v>
      </c>
      <c r="EO923" s="15" t="s">
        <v>1255</v>
      </c>
      <c r="EU923" s="15" t="s">
        <v>426</v>
      </c>
    </row>
    <row r="924" ht="17.25" customHeight="1">
      <c r="A924" s="15" t="s">
        <v>9329</v>
      </c>
      <c r="B924" s="15" t="str">
        <f>"801542803445"</f>
        <v>801542803445</v>
      </c>
      <c r="C924" s="15" t="s">
        <v>22559</v>
      </c>
      <c r="D924" s="15" t="str">
        <f t="shared" si="1"/>
        <v>Sinclair Square Ottoman-36"Knoll Natural</v>
      </c>
      <c r="E924" s="15" t="s">
        <v>9311</v>
      </c>
      <c r="F924" s="15" t="s">
        <v>397</v>
      </c>
      <c r="G924" s="15" t="s">
        <v>1081</v>
      </c>
      <c r="J924" s="15" t="s">
        <v>1081</v>
      </c>
      <c r="K924" s="15" t="s">
        <v>1087</v>
      </c>
      <c r="M924" s="15" t="s">
        <v>1317</v>
      </c>
      <c r="N924" s="15" t="s">
        <v>1009</v>
      </c>
      <c r="P924" s="15" t="str">
        <f t="shared" ref="P924:Q924" si="2699">"36"</f>
        <v>36</v>
      </c>
      <c r="Q924" s="15" t="str">
        <f t="shared" si="2699"/>
        <v>36</v>
      </c>
      <c r="R924" s="15" t="str">
        <f t="shared" si="2688"/>
        <v>16</v>
      </c>
      <c r="S924" s="15" t="str">
        <f t="shared" si="2689"/>
        <v>47.4</v>
      </c>
      <c r="T924" s="15" t="s">
        <v>1830</v>
      </c>
      <c r="U924" s="15" t="s">
        <v>11234</v>
      </c>
      <c r="V924" s="15" t="s">
        <v>11371</v>
      </c>
      <c r="W924" s="15" t="s">
        <v>11210</v>
      </c>
      <c r="AA924" s="15" t="s">
        <v>413</v>
      </c>
      <c r="AB924" s="15" t="s">
        <v>426</v>
      </c>
      <c r="AC924" s="15" t="s">
        <v>9331</v>
      </c>
      <c r="AD924" s="15" t="s">
        <v>22560</v>
      </c>
      <c r="AE924" s="15" t="s">
        <v>9330</v>
      </c>
      <c r="AF924" s="15" t="s">
        <v>22561</v>
      </c>
      <c r="AG924" s="15" t="s">
        <v>22562</v>
      </c>
      <c r="AH924" s="15" t="s">
        <v>22563</v>
      </c>
      <c r="AI924" s="15" t="s">
        <v>22564</v>
      </c>
      <c r="AJ924" s="15" t="s">
        <v>22565</v>
      </c>
      <c r="AK924" s="15" t="s">
        <v>22566</v>
      </c>
      <c r="AL924" s="15" t="s">
        <v>22567</v>
      </c>
      <c r="AM924" s="15" t="s">
        <v>22568</v>
      </c>
      <c r="BH924" s="15" t="s">
        <v>9328</v>
      </c>
      <c r="BI924" s="15" t="str">
        <f>"749"</f>
        <v>749</v>
      </c>
      <c r="BJ924" s="15" t="str">
        <f>"315"</f>
        <v>315</v>
      </c>
      <c r="BK924" s="15" t="s">
        <v>709</v>
      </c>
      <c r="BL924" s="15" t="str">
        <f t="shared" si="2636"/>
        <v>1</v>
      </c>
      <c r="BM924" s="15" t="s">
        <v>416</v>
      </c>
      <c r="BN924" s="15" t="str">
        <f t="shared" ref="BN924:BO924" si="2700">"37.4"</f>
        <v>37.4</v>
      </c>
      <c r="BO924" s="15" t="str">
        <f t="shared" si="2700"/>
        <v>37.4</v>
      </c>
      <c r="BP924" s="15" t="str">
        <f t="shared" si="2693"/>
        <v>18.11</v>
      </c>
      <c r="BQ924" s="15" t="str">
        <f t="shared" si="2694"/>
        <v>63.93</v>
      </c>
      <c r="CG924" s="15" t="str">
        <f t="shared" si="2695"/>
        <v>14.66</v>
      </c>
      <c r="CH924" s="15" t="str">
        <f t="shared" si="2696"/>
        <v>0.415</v>
      </c>
      <c r="CI924" s="15" t="s">
        <v>417</v>
      </c>
      <c r="CS924" s="15" t="s">
        <v>4339</v>
      </c>
      <c r="CT924" s="15" t="s">
        <v>1213</v>
      </c>
      <c r="CU924" s="15" t="s">
        <v>4339</v>
      </c>
      <c r="CW924" s="15">
        <v>0.0</v>
      </c>
      <c r="CY924" s="15" t="s">
        <v>855</v>
      </c>
      <c r="DF924" s="15" t="s">
        <v>420</v>
      </c>
      <c r="DG924" s="15" t="s">
        <v>419</v>
      </c>
      <c r="DH924" s="15">
        <v>0.0</v>
      </c>
      <c r="DL924" s="15">
        <v>25000.0</v>
      </c>
      <c r="DM924" s="15" t="s">
        <v>990</v>
      </c>
      <c r="DN924" s="15" t="s">
        <v>1016</v>
      </c>
      <c r="DO924" s="15" t="s">
        <v>1701</v>
      </c>
      <c r="DP924" s="15">
        <v>1.0</v>
      </c>
      <c r="DQ924" s="15">
        <v>1.0</v>
      </c>
      <c r="DR924" s="15" t="s">
        <v>498</v>
      </c>
      <c r="DS924" s="15" t="s">
        <v>9230</v>
      </c>
      <c r="DT924" s="15">
        <v>0.0</v>
      </c>
      <c r="DU924" s="15" t="s">
        <v>726</v>
      </c>
      <c r="EF924" s="15" t="s">
        <v>1808</v>
      </c>
      <c r="EO924" s="15" t="s">
        <v>1255</v>
      </c>
      <c r="EU924" s="15" t="s">
        <v>426</v>
      </c>
    </row>
    <row r="925" ht="17.25" customHeight="1">
      <c r="A925" s="15" t="s">
        <v>9333</v>
      </c>
      <c r="B925" s="15" t="str">
        <f>"801542331061"</f>
        <v>801542331061</v>
      </c>
      <c r="C925" s="15" t="s">
        <v>22569</v>
      </c>
      <c r="D925" s="15" t="str">
        <f t="shared" si="1"/>
        <v>Sinclair Square Ottoman-36"Manchester Flint</v>
      </c>
      <c r="E925" s="15" t="s">
        <v>9311</v>
      </c>
      <c r="F925" s="15" t="s">
        <v>397</v>
      </c>
      <c r="G925" s="15" t="s">
        <v>5202</v>
      </c>
      <c r="J925" s="15" t="s">
        <v>5202</v>
      </c>
      <c r="K925" s="15" t="s">
        <v>2801</v>
      </c>
      <c r="M925" s="15" t="s">
        <v>1317</v>
      </c>
      <c r="N925" s="15" t="s">
        <v>1009</v>
      </c>
      <c r="P925" s="15" t="str">
        <f t="shared" ref="P925:Q925" si="2701">"36"</f>
        <v>36</v>
      </c>
      <c r="Q925" s="15" t="str">
        <f t="shared" si="2701"/>
        <v>36</v>
      </c>
      <c r="R925" s="15" t="str">
        <f t="shared" si="2688"/>
        <v>16</v>
      </c>
      <c r="S925" s="15" t="str">
        <f t="shared" si="2689"/>
        <v>47.4</v>
      </c>
      <c r="T925" s="15" t="s">
        <v>5205</v>
      </c>
      <c r="U925" s="15" t="s">
        <v>11257</v>
      </c>
      <c r="V925" s="15" t="s">
        <v>11210</v>
      </c>
      <c r="AA925" s="15" t="s">
        <v>413</v>
      </c>
      <c r="AB925" s="15" t="s">
        <v>413</v>
      </c>
      <c r="AC925" s="15" t="s">
        <v>9335</v>
      </c>
      <c r="AD925" s="15" t="s">
        <v>22570</v>
      </c>
      <c r="AE925" s="15" t="s">
        <v>9334</v>
      </c>
      <c r="AF925" s="15" t="s">
        <v>22571</v>
      </c>
      <c r="AG925" s="15" t="s">
        <v>22572</v>
      </c>
      <c r="AH925" s="15" t="s">
        <v>22573</v>
      </c>
      <c r="AI925" s="15" t="s">
        <v>22574</v>
      </c>
      <c r="AJ925" s="15" t="s">
        <v>22575</v>
      </c>
      <c r="AK925" s="15" t="s">
        <v>22576</v>
      </c>
      <c r="AL925" s="15" t="s">
        <v>22577</v>
      </c>
      <c r="AM925" s="15" t="s">
        <v>22578</v>
      </c>
      <c r="BH925" s="15" t="s">
        <v>9332</v>
      </c>
      <c r="BI925" s="15" t="str">
        <f>"899"</f>
        <v>899</v>
      </c>
      <c r="BJ925" s="15" t="str">
        <f>"380"</f>
        <v>380</v>
      </c>
      <c r="BK925" s="15" t="s">
        <v>709</v>
      </c>
      <c r="BL925" s="15" t="str">
        <f t="shared" si="2636"/>
        <v>1</v>
      </c>
      <c r="BM925" s="15" t="s">
        <v>416</v>
      </c>
      <c r="BN925" s="15" t="str">
        <f t="shared" ref="BN925:BO925" si="2702">"37.4"</f>
        <v>37.4</v>
      </c>
      <c r="BO925" s="15" t="str">
        <f t="shared" si="2702"/>
        <v>37.4</v>
      </c>
      <c r="BP925" s="15" t="str">
        <f t="shared" si="2693"/>
        <v>18.11</v>
      </c>
      <c r="BQ925" s="15" t="str">
        <f t="shared" si="2694"/>
        <v>63.93</v>
      </c>
      <c r="CG925" s="15" t="str">
        <f t="shared" si="2695"/>
        <v>14.66</v>
      </c>
      <c r="CH925" s="15" t="str">
        <f t="shared" si="2696"/>
        <v>0.415</v>
      </c>
      <c r="CI925" s="15" t="s">
        <v>417</v>
      </c>
      <c r="CS925" s="15" t="s">
        <v>4339</v>
      </c>
      <c r="CT925" s="15" t="s">
        <v>1213</v>
      </c>
      <c r="CU925" s="15" t="s">
        <v>4339</v>
      </c>
      <c r="CW925" s="15">
        <v>0.0</v>
      </c>
      <c r="CY925" s="15" t="s">
        <v>855</v>
      </c>
      <c r="DF925" s="15" t="s">
        <v>420</v>
      </c>
      <c r="DG925" s="15" t="s">
        <v>419</v>
      </c>
      <c r="DH925" s="15">
        <v>0.0</v>
      </c>
      <c r="DL925" s="15">
        <v>15000.0</v>
      </c>
      <c r="DM925" s="15" t="s">
        <v>990</v>
      </c>
      <c r="DN925" s="15" t="s">
        <v>1016</v>
      </c>
      <c r="DO925" s="15" t="s">
        <v>1701</v>
      </c>
      <c r="DP925" s="15">
        <v>1.0</v>
      </c>
      <c r="DQ925" s="15">
        <v>1.0</v>
      </c>
      <c r="DR925" s="15" t="s">
        <v>498</v>
      </c>
      <c r="DS925" s="15" t="s">
        <v>9230</v>
      </c>
      <c r="DT925" s="15">
        <v>0.0</v>
      </c>
      <c r="DU925" s="15" t="s">
        <v>726</v>
      </c>
      <c r="EF925" s="15" t="s">
        <v>1808</v>
      </c>
      <c r="EO925" s="15" t="s">
        <v>1255</v>
      </c>
      <c r="EU925" s="15" t="s">
        <v>426</v>
      </c>
    </row>
    <row r="926" ht="17.25" customHeight="1">
      <c r="A926" s="15" t="s">
        <v>9337</v>
      </c>
      <c r="B926" s="15" t="str">
        <f>"801542803452"</f>
        <v>801542803452</v>
      </c>
      <c r="C926" s="15" t="s">
        <v>22579</v>
      </c>
      <c r="D926" s="15" t="str">
        <f t="shared" si="1"/>
        <v>Sinclair Square Ottoman-36"Palermo Butterscotch</v>
      </c>
      <c r="E926" s="15" t="s">
        <v>9311</v>
      </c>
      <c r="F926" s="15" t="s">
        <v>397</v>
      </c>
      <c r="G926" s="15" t="s">
        <v>9303</v>
      </c>
      <c r="J926" s="15" t="s">
        <v>9303</v>
      </c>
      <c r="K926" s="15" t="s">
        <v>1087</v>
      </c>
      <c r="M926" s="15" t="s">
        <v>1317</v>
      </c>
      <c r="N926" s="15" t="s">
        <v>1009</v>
      </c>
      <c r="P926" s="15" t="str">
        <f t="shared" ref="P926:Q926" si="2703">"36"</f>
        <v>36</v>
      </c>
      <c r="Q926" s="15" t="str">
        <f t="shared" si="2703"/>
        <v>36</v>
      </c>
      <c r="R926" s="15" t="str">
        <f t="shared" si="2688"/>
        <v>16</v>
      </c>
      <c r="S926" s="15" t="str">
        <f t="shared" si="2689"/>
        <v>47.4</v>
      </c>
      <c r="T926" s="15" t="s">
        <v>975</v>
      </c>
      <c r="U926" s="15" t="s">
        <v>11137</v>
      </c>
      <c r="V926" s="15" t="s">
        <v>11210</v>
      </c>
      <c r="AA926" s="15" t="s">
        <v>413</v>
      </c>
      <c r="AB926" s="15" t="s">
        <v>413</v>
      </c>
      <c r="AC926" s="15" t="s">
        <v>9339</v>
      </c>
      <c r="AD926" s="15" t="s">
        <v>22580</v>
      </c>
      <c r="AE926" s="15" t="s">
        <v>9338</v>
      </c>
      <c r="AF926" s="15" t="s">
        <v>22581</v>
      </c>
      <c r="AG926" s="15" t="s">
        <v>22582</v>
      </c>
      <c r="AH926" s="15" t="s">
        <v>22583</v>
      </c>
      <c r="AI926" s="15" t="s">
        <v>22584</v>
      </c>
      <c r="AJ926" s="15" t="s">
        <v>22585</v>
      </c>
      <c r="AK926" s="15" t="s">
        <v>22586</v>
      </c>
      <c r="BH926" s="15" t="s">
        <v>9336</v>
      </c>
      <c r="BI926" s="15" t="str">
        <f>"1249"</f>
        <v>1249</v>
      </c>
      <c r="BJ926" s="15" t="str">
        <f>"525"</f>
        <v>525</v>
      </c>
      <c r="BK926" s="15" t="s">
        <v>709</v>
      </c>
      <c r="BL926" s="15" t="str">
        <f t="shared" si="2636"/>
        <v>1</v>
      </c>
      <c r="BM926" s="15" t="s">
        <v>416</v>
      </c>
      <c r="BN926" s="15" t="str">
        <f t="shared" ref="BN926:BO926" si="2704">"37.4"</f>
        <v>37.4</v>
      </c>
      <c r="BO926" s="15" t="str">
        <f t="shared" si="2704"/>
        <v>37.4</v>
      </c>
      <c r="BP926" s="15" t="str">
        <f t="shared" si="2693"/>
        <v>18.11</v>
      </c>
      <c r="BQ926" s="15" t="str">
        <f t="shared" si="2694"/>
        <v>63.93</v>
      </c>
      <c r="CG926" s="15" t="str">
        <f t="shared" si="2695"/>
        <v>14.66</v>
      </c>
      <c r="CH926" s="15" t="str">
        <f t="shared" si="2696"/>
        <v>0.415</v>
      </c>
      <c r="CI926" s="15" t="s">
        <v>417</v>
      </c>
      <c r="CS926" s="15" t="s">
        <v>4339</v>
      </c>
      <c r="CT926" s="15" t="s">
        <v>1213</v>
      </c>
      <c r="CU926" s="15" t="s">
        <v>4339</v>
      </c>
      <c r="CW926" s="15">
        <v>0.0</v>
      </c>
      <c r="CY926" s="15" t="s">
        <v>718</v>
      </c>
      <c r="DF926" s="15" t="s">
        <v>420</v>
      </c>
      <c r="DG926" s="15" t="s">
        <v>419</v>
      </c>
      <c r="DH926" s="15">
        <v>0.0</v>
      </c>
      <c r="DL926" s="15">
        <v>0.0</v>
      </c>
      <c r="DM926" s="15" t="s">
        <v>990</v>
      </c>
      <c r="DN926" s="15" t="s">
        <v>1016</v>
      </c>
      <c r="DO926" s="15" t="s">
        <v>1701</v>
      </c>
      <c r="DP926" s="15">
        <v>1.0</v>
      </c>
      <c r="DQ926" s="15">
        <v>1.0</v>
      </c>
      <c r="DR926" s="15" t="s">
        <v>498</v>
      </c>
      <c r="DS926" s="15" t="s">
        <v>9230</v>
      </c>
      <c r="DT926" s="15">
        <v>0.0</v>
      </c>
      <c r="DU926" s="15" t="s">
        <v>726</v>
      </c>
      <c r="EF926" s="15" t="s">
        <v>1808</v>
      </c>
      <c r="EO926" s="15" t="s">
        <v>1255</v>
      </c>
      <c r="EU926" s="15" t="s">
        <v>426</v>
      </c>
    </row>
    <row r="927" ht="17.25" customHeight="1">
      <c r="A927" s="15" t="s">
        <v>9341</v>
      </c>
      <c r="B927" s="15" t="str">
        <f>"801542331535"</f>
        <v>801542331535</v>
      </c>
      <c r="C927" s="15" t="s">
        <v>22587</v>
      </c>
      <c r="D927" s="15" t="str">
        <f t="shared" si="1"/>
        <v>Sinclair Square Ottoman-36"Surrey Olive</v>
      </c>
      <c r="E927" s="15" t="s">
        <v>9311</v>
      </c>
      <c r="F927" s="15" t="s">
        <v>397</v>
      </c>
      <c r="G927" s="15" t="s">
        <v>1612</v>
      </c>
      <c r="J927" s="15" t="s">
        <v>1612</v>
      </c>
      <c r="K927" s="15" t="s">
        <v>2801</v>
      </c>
      <c r="M927" s="15" t="s">
        <v>1317</v>
      </c>
      <c r="N927" s="15" t="s">
        <v>1009</v>
      </c>
      <c r="P927" s="15" t="str">
        <f t="shared" ref="P927:Q927" si="2705">"36"</f>
        <v>36</v>
      </c>
      <c r="Q927" s="15" t="str">
        <f t="shared" si="2705"/>
        <v>36</v>
      </c>
      <c r="R927" s="15" t="str">
        <f t="shared" si="2688"/>
        <v>16</v>
      </c>
      <c r="S927" s="15" t="str">
        <f t="shared" si="2689"/>
        <v>47.4</v>
      </c>
      <c r="T927" s="15" t="s">
        <v>6104</v>
      </c>
      <c r="U927" s="15" t="s">
        <v>11845</v>
      </c>
      <c r="V927" s="15" t="s">
        <v>11846</v>
      </c>
      <c r="W927" s="15" t="s">
        <v>11210</v>
      </c>
      <c r="AA927" s="15" t="s">
        <v>413</v>
      </c>
      <c r="AB927" s="15" t="s">
        <v>413</v>
      </c>
      <c r="AC927" s="15" t="s">
        <v>9343</v>
      </c>
      <c r="AD927" s="15" t="s">
        <v>22588</v>
      </c>
      <c r="AE927" s="15" t="s">
        <v>9342</v>
      </c>
      <c r="AF927" s="15" t="s">
        <v>22589</v>
      </c>
      <c r="AG927" s="15" t="s">
        <v>22590</v>
      </c>
      <c r="AH927" s="15" t="s">
        <v>22591</v>
      </c>
      <c r="AI927" s="15" t="s">
        <v>22592</v>
      </c>
      <c r="AJ927" s="15" t="s">
        <v>22593</v>
      </c>
      <c r="AK927" s="15" t="s">
        <v>22594</v>
      </c>
      <c r="AL927" s="15" t="s">
        <v>22595</v>
      </c>
      <c r="AM927" s="15" t="s">
        <v>22596</v>
      </c>
      <c r="BH927" s="15" t="s">
        <v>9340</v>
      </c>
      <c r="BI927" s="15" t="str">
        <f>"799"</f>
        <v>799</v>
      </c>
      <c r="BJ927" s="15" t="str">
        <f>"340"</f>
        <v>340</v>
      </c>
      <c r="BK927" s="15" t="s">
        <v>709</v>
      </c>
      <c r="BL927" s="15" t="str">
        <f t="shared" si="2636"/>
        <v>1</v>
      </c>
      <c r="BM927" s="15" t="s">
        <v>416</v>
      </c>
      <c r="BN927" s="15" t="str">
        <f t="shared" ref="BN927:BO927" si="2706">"37.4"</f>
        <v>37.4</v>
      </c>
      <c r="BO927" s="15" t="str">
        <f t="shared" si="2706"/>
        <v>37.4</v>
      </c>
      <c r="BP927" s="15" t="str">
        <f t="shared" si="2693"/>
        <v>18.11</v>
      </c>
      <c r="BQ927" s="15" t="str">
        <f t="shared" si="2694"/>
        <v>63.93</v>
      </c>
      <c r="CG927" s="15" t="str">
        <f t="shared" si="2695"/>
        <v>14.66</v>
      </c>
      <c r="CH927" s="15" t="str">
        <f t="shared" si="2696"/>
        <v>0.415</v>
      </c>
      <c r="CI927" s="15" t="s">
        <v>417</v>
      </c>
      <c r="CS927" s="15" t="s">
        <v>4339</v>
      </c>
      <c r="CT927" s="15" t="s">
        <v>1213</v>
      </c>
      <c r="CU927" s="15" t="s">
        <v>4339</v>
      </c>
      <c r="CW927" s="15">
        <v>0.0</v>
      </c>
      <c r="CY927" s="15" t="s">
        <v>718</v>
      </c>
      <c r="DF927" s="15" t="s">
        <v>420</v>
      </c>
      <c r="DG927" s="15" t="s">
        <v>419</v>
      </c>
      <c r="DH927" s="15">
        <v>0.0</v>
      </c>
      <c r="DL927" s="15">
        <v>30000.0</v>
      </c>
      <c r="DM927" s="15" t="s">
        <v>990</v>
      </c>
      <c r="DN927" s="15" t="s">
        <v>1016</v>
      </c>
      <c r="DO927" s="15" t="s">
        <v>1701</v>
      </c>
      <c r="DP927" s="15">
        <v>1.0</v>
      </c>
      <c r="DQ927" s="15">
        <v>1.0</v>
      </c>
      <c r="DR927" s="15" t="s">
        <v>498</v>
      </c>
      <c r="DS927" s="15" t="s">
        <v>9230</v>
      </c>
      <c r="DT927" s="15">
        <v>0.0</v>
      </c>
      <c r="DU927" s="15" t="s">
        <v>726</v>
      </c>
      <c r="EF927" s="15" t="s">
        <v>1808</v>
      </c>
      <c r="EO927" s="15" t="s">
        <v>1255</v>
      </c>
      <c r="EU927" s="15" t="s">
        <v>426</v>
      </c>
    </row>
    <row r="928" ht="17.25" customHeight="1">
      <c r="A928" s="15" t="s">
        <v>9346</v>
      </c>
      <c r="B928" s="15" t="str">
        <f>"801542243159"</f>
        <v>801542243159</v>
      </c>
      <c r="C928" s="15" t="s">
        <v>22597</v>
      </c>
      <c r="D928" s="15" t="str">
        <f t="shared" si="1"/>
        <v>Sirius Adjustable Accent TableWhite Marble</v>
      </c>
      <c r="E928" s="15" t="s">
        <v>9344</v>
      </c>
      <c r="F928" s="15" t="s">
        <v>397</v>
      </c>
      <c r="G928" s="15" t="s">
        <v>4941</v>
      </c>
      <c r="J928" s="15" t="s">
        <v>4941</v>
      </c>
      <c r="K928" s="15" t="s">
        <v>4336</v>
      </c>
      <c r="L928" s="15" t="s">
        <v>9351</v>
      </c>
      <c r="M928" s="15" t="s">
        <v>2857</v>
      </c>
      <c r="N928" s="15" t="s">
        <v>1154</v>
      </c>
      <c r="P928" s="15" t="str">
        <f t="shared" ref="P928:Q928" si="2707">"10"</f>
        <v>10</v>
      </c>
      <c r="Q928" s="15" t="str">
        <f t="shared" si="2707"/>
        <v>10</v>
      </c>
      <c r="R928" s="15" t="str">
        <f>"20"</f>
        <v>20</v>
      </c>
      <c r="S928" s="15" t="str">
        <f>"22.7"</f>
        <v>22.7</v>
      </c>
      <c r="T928" s="15" t="s">
        <v>9349</v>
      </c>
      <c r="U928" s="15" t="s">
        <v>11754</v>
      </c>
      <c r="V928" s="15" t="s">
        <v>12535</v>
      </c>
      <c r="W928" s="15" t="s">
        <v>13535</v>
      </c>
      <c r="AA928" s="15" t="s">
        <v>413</v>
      </c>
      <c r="AB928" s="15" t="s">
        <v>413</v>
      </c>
      <c r="AC928" s="15" t="s">
        <v>9352</v>
      </c>
      <c r="AD928" s="15" t="s">
        <v>22598</v>
      </c>
      <c r="AE928" s="15" t="s">
        <v>9348</v>
      </c>
      <c r="AF928" s="15" t="s">
        <v>22599</v>
      </c>
      <c r="AG928" s="15" t="s">
        <v>22600</v>
      </c>
      <c r="AH928" s="15" t="s">
        <v>22601</v>
      </c>
      <c r="AI928" s="15" t="s">
        <v>22602</v>
      </c>
      <c r="AJ928" s="15" t="s">
        <v>22603</v>
      </c>
      <c r="BH928" s="15" t="s">
        <v>9345</v>
      </c>
      <c r="BI928" s="15" t="str">
        <f>"249"</f>
        <v>249</v>
      </c>
      <c r="BJ928" s="15" t="str">
        <f>"105"</f>
        <v>105</v>
      </c>
      <c r="BK928" s="15" t="s">
        <v>1303</v>
      </c>
      <c r="BL928" s="15" t="str">
        <f t="shared" si="2636"/>
        <v>1</v>
      </c>
      <c r="BM928" s="15" t="s">
        <v>416</v>
      </c>
      <c r="BN928" s="15" t="str">
        <f>"13.27"</f>
        <v>13.27</v>
      </c>
      <c r="BO928" s="15" t="str">
        <f>"9.02"</f>
        <v>9.02</v>
      </c>
      <c r="BP928" s="15" t="str">
        <f>"21.5"</f>
        <v>21.5</v>
      </c>
      <c r="BQ928" s="15" t="str">
        <f>"26.46"</f>
        <v>26.46</v>
      </c>
      <c r="CG928" s="15" t="str">
        <f>"1.48"</f>
        <v>1.48</v>
      </c>
      <c r="CH928" s="15" t="str">
        <f>"0.042"</f>
        <v>0.042</v>
      </c>
      <c r="CI928" s="15" t="s">
        <v>465</v>
      </c>
      <c r="CZ928" s="15" t="s">
        <v>419</v>
      </c>
      <c r="DA928" s="15">
        <v>0.0</v>
      </c>
      <c r="DB928" s="15" t="s">
        <v>419</v>
      </c>
      <c r="DD928" s="15">
        <v>0.0</v>
      </c>
      <c r="DG928" s="15" t="s">
        <v>318</v>
      </c>
      <c r="DK928" s="15">
        <v>0.0</v>
      </c>
      <c r="DR928" s="15" t="s">
        <v>498</v>
      </c>
      <c r="DS928" s="15" t="s">
        <v>9356</v>
      </c>
      <c r="DU928" s="15" t="s">
        <v>500</v>
      </c>
      <c r="EQ928" s="15" t="s">
        <v>429</v>
      </c>
      <c r="ER928" s="15" t="s">
        <v>429</v>
      </c>
      <c r="ES928" s="15" t="s">
        <v>429</v>
      </c>
      <c r="ET928" s="15" t="s">
        <v>2638</v>
      </c>
      <c r="EV928" s="15">
        <v>0.0</v>
      </c>
      <c r="EW928" s="15">
        <v>0.0</v>
      </c>
      <c r="FF928" s="15" t="s">
        <v>1807</v>
      </c>
      <c r="KP928" s="15" t="s">
        <v>426</v>
      </c>
      <c r="MW928" s="15" t="s">
        <v>1806</v>
      </c>
      <c r="MX928" s="15" t="s">
        <v>1324</v>
      </c>
    </row>
    <row r="929" ht="17.25" customHeight="1">
      <c r="A929" s="15" t="s">
        <v>9359</v>
      </c>
      <c r="B929" s="15" t="str">
        <f>"801542103736"</f>
        <v>801542103736</v>
      </c>
      <c r="C929" s="15" t="s">
        <v>22604</v>
      </c>
      <c r="D929" s="15" t="str">
        <f t="shared" si="1"/>
        <v>Skye End TableWhite Marble</v>
      </c>
      <c r="E929" s="15" t="s">
        <v>9357</v>
      </c>
      <c r="F929" s="15" t="s">
        <v>397</v>
      </c>
      <c r="G929" s="15" t="s">
        <v>4941</v>
      </c>
      <c r="J929" s="15" t="s">
        <v>4941</v>
      </c>
      <c r="K929" s="15" t="s">
        <v>9362</v>
      </c>
      <c r="L929" s="15" t="s">
        <v>4934</v>
      </c>
      <c r="M929" s="15" t="s">
        <v>3185</v>
      </c>
      <c r="N929" s="15" t="s">
        <v>1154</v>
      </c>
      <c r="P929" s="15" t="str">
        <f t="shared" ref="P929:R929" si="2708">"22"</f>
        <v>22</v>
      </c>
      <c r="Q929" s="15" t="str">
        <f t="shared" si="2708"/>
        <v>22</v>
      </c>
      <c r="R929" s="15" t="str">
        <f t="shared" si="2708"/>
        <v>22</v>
      </c>
      <c r="S929" s="15" t="str">
        <f>"51.81"</f>
        <v>51.81</v>
      </c>
      <c r="T929" s="15" t="s">
        <v>9361</v>
      </c>
      <c r="U929" s="15" t="s">
        <v>11754</v>
      </c>
      <c r="V929" s="15" t="s">
        <v>22605</v>
      </c>
      <c r="W929" s="15" t="s">
        <v>11338</v>
      </c>
      <c r="AA929" s="15" t="s">
        <v>413</v>
      </c>
      <c r="AB929" s="15" t="s">
        <v>413</v>
      </c>
      <c r="AD929" s="15" t="s">
        <v>22606</v>
      </c>
      <c r="AE929" s="15" t="s">
        <v>9360</v>
      </c>
      <c r="AF929" s="15" t="s">
        <v>22607</v>
      </c>
      <c r="AG929" s="15" t="s">
        <v>22608</v>
      </c>
      <c r="AH929" s="15" t="s">
        <v>22609</v>
      </c>
      <c r="AI929" s="15" t="s">
        <v>22610</v>
      </c>
      <c r="AJ929" s="15" t="s">
        <v>22611</v>
      </c>
      <c r="AK929" s="15" t="s">
        <v>22612</v>
      </c>
      <c r="AL929" s="15" t="s">
        <v>22613</v>
      </c>
      <c r="BH929" s="15" t="s">
        <v>9358</v>
      </c>
      <c r="BI929" s="15" t="str">
        <f>"1399"</f>
        <v>1399</v>
      </c>
      <c r="BJ929" s="15" t="str">
        <f>"590"</f>
        <v>590</v>
      </c>
      <c r="BK929" s="15" t="s">
        <v>709</v>
      </c>
      <c r="BL929" s="15" t="str">
        <f t="shared" si="2636"/>
        <v>1</v>
      </c>
      <c r="BM929" s="15" t="s">
        <v>416</v>
      </c>
      <c r="BN929" s="15" t="str">
        <f t="shared" ref="BN929:BO929" si="2709">"27.76"</f>
        <v>27.76</v>
      </c>
      <c r="BO929" s="15" t="str">
        <f t="shared" si="2709"/>
        <v>27.76</v>
      </c>
      <c r="BP929" s="15" t="str">
        <f>"28.35"</f>
        <v>28.35</v>
      </c>
      <c r="BQ929" s="15" t="str">
        <f>"70.55"</f>
        <v>70.55</v>
      </c>
      <c r="CG929" s="15" t="str">
        <f>"12.64"</f>
        <v>12.64</v>
      </c>
      <c r="CH929" s="15" t="str">
        <f>"0.358"</f>
        <v>0.358</v>
      </c>
      <c r="CI929" s="15" t="s">
        <v>497</v>
      </c>
      <c r="CZ929" s="15" t="s">
        <v>419</v>
      </c>
      <c r="DA929" s="15">
        <v>0.0</v>
      </c>
      <c r="DB929" s="15" t="s">
        <v>419</v>
      </c>
      <c r="DD929" s="15">
        <v>0.0</v>
      </c>
      <c r="DF929" s="15" t="s">
        <v>1186</v>
      </c>
      <c r="DG929" s="15" t="s">
        <v>419</v>
      </c>
      <c r="DK929" s="15">
        <v>0.0</v>
      </c>
      <c r="DR929" s="15" t="s">
        <v>1157</v>
      </c>
      <c r="DS929" s="15" t="s">
        <v>9363</v>
      </c>
      <c r="DU929" s="15" t="s">
        <v>500</v>
      </c>
      <c r="EF929" s="15" t="s">
        <v>6717</v>
      </c>
      <c r="EQ929" s="15" t="s">
        <v>2473</v>
      </c>
      <c r="ER929" s="15" t="s">
        <v>6717</v>
      </c>
      <c r="ES929" s="15" t="s">
        <v>2473</v>
      </c>
      <c r="ET929" s="15" t="s">
        <v>3164</v>
      </c>
      <c r="EU929" s="15" t="s">
        <v>426</v>
      </c>
      <c r="EV929" s="15">
        <v>0.0</v>
      </c>
      <c r="EW929" s="15">
        <v>0.0</v>
      </c>
      <c r="FF929" s="15" t="s">
        <v>5481</v>
      </c>
    </row>
    <row r="930" ht="17.25" customHeight="1">
      <c r="A930" s="15" t="s">
        <v>9366</v>
      </c>
      <c r="B930" s="15" t="str">
        <f>"801542051778"</f>
        <v>801542051778</v>
      </c>
      <c r="C930" s="15" t="s">
        <v>22614</v>
      </c>
      <c r="D930" s="15" t="str">
        <f t="shared" si="1"/>
        <v>Skye Large Coffee TableWhite Marble</v>
      </c>
      <c r="E930" s="15" t="s">
        <v>9364</v>
      </c>
      <c r="F930" s="15" t="s">
        <v>397</v>
      </c>
      <c r="G930" s="15" t="s">
        <v>4941</v>
      </c>
      <c r="J930" s="15" t="s">
        <v>4941</v>
      </c>
      <c r="K930" s="15" t="s">
        <v>9362</v>
      </c>
      <c r="L930" s="15" t="s">
        <v>4934</v>
      </c>
      <c r="M930" s="15" t="s">
        <v>3185</v>
      </c>
      <c r="N930" s="15" t="s">
        <v>491</v>
      </c>
      <c r="P930" s="15" t="str">
        <f t="shared" ref="P930:Q930" si="2710">"42"</f>
        <v>42</v>
      </c>
      <c r="Q930" s="15" t="str">
        <f t="shared" si="2710"/>
        <v>42</v>
      </c>
      <c r="R930" s="15" t="str">
        <f>"16"</f>
        <v>16</v>
      </c>
      <c r="S930" s="15" t="str">
        <f>"155.42"</f>
        <v>155.42</v>
      </c>
      <c r="T930" s="15" t="s">
        <v>9361</v>
      </c>
      <c r="U930" s="15" t="s">
        <v>11754</v>
      </c>
      <c r="V930" s="15" t="s">
        <v>22605</v>
      </c>
      <c r="W930" s="15" t="s">
        <v>11338</v>
      </c>
      <c r="AA930" s="15" t="s">
        <v>413</v>
      </c>
      <c r="AB930" s="15" t="s">
        <v>413</v>
      </c>
      <c r="AC930" s="15" t="s">
        <v>9368</v>
      </c>
      <c r="AD930" s="15" t="s">
        <v>22615</v>
      </c>
      <c r="AE930" s="15" t="s">
        <v>9367</v>
      </c>
      <c r="AF930" s="15" t="s">
        <v>22616</v>
      </c>
      <c r="AG930" s="15" t="s">
        <v>22617</v>
      </c>
      <c r="AH930" s="15" t="s">
        <v>22618</v>
      </c>
      <c r="AI930" s="15" t="s">
        <v>22619</v>
      </c>
      <c r="AJ930" s="15" t="s">
        <v>22620</v>
      </c>
      <c r="AK930" s="15" t="s">
        <v>22621</v>
      </c>
      <c r="AL930" s="15" t="s">
        <v>22622</v>
      </c>
      <c r="AM930" s="15" t="s">
        <v>22623</v>
      </c>
      <c r="AN930" s="15" t="s">
        <v>22624</v>
      </c>
      <c r="AO930" s="15" t="s">
        <v>22625</v>
      </c>
      <c r="BH930" s="15" t="s">
        <v>9365</v>
      </c>
      <c r="BI930" s="15" t="str">
        <f>"2599"</f>
        <v>2599</v>
      </c>
      <c r="BJ930" s="15" t="str">
        <f>"1095"</f>
        <v>1095</v>
      </c>
      <c r="BK930" s="15" t="s">
        <v>709</v>
      </c>
      <c r="BL930" s="15" t="str">
        <f t="shared" ref="BL930:BL932" si="2712">"2"</f>
        <v>2</v>
      </c>
      <c r="BM930" s="15" t="s">
        <v>1564</v>
      </c>
      <c r="BN930" s="15" t="str">
        <f>"47.83"</f>
        <v>47.83</v>
      </c>
      <c r="BO930" s="15" t="str">
        <f t="shared" ref="BO930:BO932" si="2713">"8.46"</f>
        <v>8.46</v>
      </c>
      <c r="BP930" s="15" t="str">
        <f>"47.83"</f>
        <v>47.83</v>
      </c>
      <c r="BQ930" s="15" t="str">
        <f>"180.78"</f>
        <v>180.78</v>
      </c>
      <c r="BR930" s="15" t="s">
        <v>2238</v>
      </c>
      <c r="BS930" s="15" t="str">
        <f>"20.08"</f>
        <v>20.08</v>
      </c>
      <c r="BT930" s="15" t="str">
        <f>"20.47"</f>
        <v>20.47</v>
      </c>
      <c r="BU930" s="15" t="str">
        <f>"17.32"</f>
        <v>17.32</v>
      </c>
      <c r="BV930" s="15" t="str">
        <f>"48.5"</f>
        <v>48.5</v>
      </c>
      <c r="CG930" s="15" t="str">
        <f>"15.33"</f>
        <v>15.33</v>
      </c>
      <c r="CH930" s="15" t="str">
        <f>"0.434"</f>
        <v>0.434</v>
      </c>
      <c r="CI930" s="15" t="s">
        <v>465</v>
      </c>
      <c r="CZ930" s="15" t="s">
        <v>419</v>
      </c>
      <c r="DA930" s="15">
        <v>0.0</v>
      </c>
      <c r="DB930" s="15" t="s">
        <v>419</v>
      </c>
      <c r="DD930" s="15">
        <v>0.0</v>
      </c>
      <c r="DF930" s="15" t="s">
        <v>1186</v>
      </c>
      <c r="DG930" s="15" t="s">
        <v>419</v>
      </c>
      <c r="DK930" s="15">
        <v>0.0</v>
      </c>
      <c r="DR930" s="15" t="s">
        <v>1157</v>
      </c>
      <c r="DS930" s="15" t="s">
        <v>9363</v>
      </c>
      <c r="DU930" s="15" t="s">
        <v>500</v>
      </c>
      <c r="EF930" s="15" t="s">
        <v>2161</v>
      </c>
      <c r="EQ930" s="15" t="s">
        <v>1604</v>
      </c>
      <c r="ER930" s="15" t="s">
        <v>2161</v>
      </c>
      <c r="ES930" s="15" t="s">
        <v>1604</v>
      </c>
      <c r="ET930" s="15" t="s">
        <v>3164</v>
      </c>
      <c r="EU930" s="15" t="s">
        <v>426</v>
      </c>
      <c r="EV930" s="15">
        <v>0.0</v>
      </c>
      <c r="EW930" s="15">
        <v>0.0</v>
      </c>
      <c r="FF930" s="15" t="s">
        <v>9369</v>
      </c>
    </row>
    <row r="931" ht="17.25" customHeight="1">
      <c r="A931" s="15" t="s">
        <v>9372</v>
      </c>
      <c r="B931" s="15" t="str">
        <f>"801542694159"</f>
        <v>801542694159</v>
      </c>
      <c r="C931" s="15" t="s">
        <v>22626</v>
      </c>
      <c r="D931" s="15" t="str">
        <f t="shared" si="1"/>
        <v>Skye Round Dining TableWhite Marble55</v>
      </c>
      <c r="E931" s="15" t="s">
        <v>9370</v>
      </c>
      <c r="F931" s="15" t="s">
        <v>397</v>
      </c>
      <c r="G931" s="15" t="s">
        <v>4941</v>
      </c>
      <c r="H931" s="15" t="s">
        <v>265</v>
      </c>
      <c r="I931" s="15" t="s">
        <v>487</v>
      </c>
      <c r="J931" s="15" t="s">
        <v>4941</v>
      </c>
      <c r="K931" s="15" t="s">
        <v>4934</v>
      </c>
      <c r="M931" s="15" t="s">
        <v>3185</v>
      </c>
      <c r="N931" s="15" t="s">
        <v>548</v>
      </c>
      <c r="O931" s="15" t="s">
        <v>549</v>
      </c>
      <c r="P931" s="15" t="str">
        <f t="shared" ref="P931:Q931" si="2711">"55"</f>
        <v>55</v>
      </c>
      <c r="Q931" s="15" t="str">
        <f t="shared" si="2711"/>
        <v>55</v>
      </c>
      <c r="R931" s="15" t="str">
        <f t="shared" ref="R931:R932" si="2716">"30"</f>
        <v>30</v>
      </c>
      <c r="S931" s="15" t="str">
        <f>"282.19"</f>
        <v>282.19</v>
      </c>
      <c r="T931" s="15" t="s">
        <v>5153</v>
      </c>
      <c r="U931" s="15" t="s">
        <v>11754</v>
      </c>
      <c r="V931" s="15" t="s">
        <v>11338</v>
      </c>
      <c r="AA931" s="15" t="s">
        <v>413</v>
      </c>
      <c r="AB931" s="15" t="s">
        <v>413</v>
      </c>
      <c r="AC931" s="15" t="s">
        <v>9374</v>
      </c>
      <c r="AD931" s="15" t="s">
        <v>22627</v>
      </c>
      <c r="AE931" s="15" t="s">
        <v>9373</v>
      </c>
      <c r="AF931" s="15" t="s">
        <v>22628</v>
      </c>
      <c r="AG931" s="15" t="s">
        <v>22629</v>
      </c>
      <c r="AH931" s="15" t="s">
        <v>22630</v>
      </c>
      <c r="AI931" s="15" t="s">
        <v>22631</v>
      </c>
      <c r="AJ931" s="15" t="s">
        <v>22632</v>
      </c>
      <c r="AK931" s="15" t="s">
        <v>22633</v>
      </c>
      <c r="BH931" s="15" t="s">
        <v>9371</v>
      </c>
      <c r="BI931" s="15" t="str">
        <f>"3699"</f>
        <v>3699</v>
      </c>
      <c r="BJ931" s="15" t="str">
        <f>"1555"</f>
        <v>1555</v>
      </c>
      <c r="BK931" s="15" t="s">
        <v>709</v>
      </c>
      <c r="BL931" s="15" t="str">
        <f t="shared" si="2712"/>
        <v>2</v>
      </c>
      <c r="BM931" s="15" t="s">
        <v>1564</v>
      </c>
      <c r="BN931" s="15" t="str">
        <f>"60.43"</f>
        <v>60.43</v>
      </c>
      <c r="BO931" s="15" t="str">
        <f t="shared" si="2713"/>
        <v>8.46</v>
      </c>
      <c r="BP931" s="15" t="str">
        <f>"60.43"</f>
        <v>60.43</v>
      </c>
      <c r="BQ931" s="15" t="str">
        <f>"297.62"</f>
        <v>297.62</v>
      </c>
      <c r="BR931" s="15" t="s">
        <v>2238</v>
      </c>
      <c r="BS931" s="15" t="str">
        <f t="shared" ref="BS931:BT931" si="2714">"27.17"</f>
        <v>27.17</v>
      </c>
      <c r="BT931" s="15" t="str">
        <f t="shared" si="2714"/>
        <v>27.17</v>
      </c>
      <c r="BU931" s="15" t="str">
        <f>"30.71"</f>
        <v>30.71</v>
      </c>
      <c r="BV931" s="15" t="str">
        <f>"88.18"</f>
        <v>88.18</v>
      </c>
      <c r="CG931" s="15" t="str">
        <f>"31.01"</f>
        <v>31.01</v>
      </c>
      <c r="CH931" s="15" t="str">
        <f>"0.878"</f>
        <v>0.878</v>
      </c>
      <c r="CI931" s="15" t="s">
        <v>465</v>
      </c>
      <c r="CZ931" s="15" t="s">
        <v>419</v>
      </c>
      <c r="DA931" s="15">
        <v>0.0</v>
      </c>
      <c r="DB931" s="15" t="s">
        <v>419</v>
      </c>
      <c r="DD931" s="15">
        <v>0.0</v>
      </c>
      <c r="DF931" s="15" t="s">
        <v>1186</v>
      </c>
      <c r="DG931" s="15" t="s">
        <v>419</v>
      </c>
      <c r="DI931" s="15">
        <v>0.0</v>
      </c>
      <c r="DJ931" s="15">
        <v>0.0</v>
      </c>
      <c r="DK931" s="15">
        <v>0.0</v>
      </c>
      <c r="DQ931" s="15">
        <v>6.0</v>
      </c>
      <c r="DR931" s="15" t="s">
        <v>1157</v>
      </c>
      <c r="DS931" s="15" t="s">
        <v>9363</v>
      </c>
      <c r="DU931" s="15" t="s">
        <v>500</v>
      </c>
      <c r="EQ931" s="15" t="s">
        <v>713</v>
      </c>
      <c r="ER931" s="15" t="s">
        <v>9376</v>
      </c>
      <c r="ES931" s="15" t="s">
        <v>713</v>
      </c>
      <c r="ET931" s="15" t="s">
        <v>1444</v>
      </c>
      <c r="EU931" s="15" t="s">
        <v>426</v>
      </c>
      <c r="EV931" s="15">
        <v>0.0</v>
      </c>
      <c r="EW931" s="15">
        <v>0.0</v>
      </c>
      <c r="FE931" s="15" t="s">
        <v>9376</v>
      </c>
      <c r="FF931" s="15" t="s">
        <v>9377</v>
      </c>
      <c r="FG931" s="15" t="s">
        <v>2244</v>
      </c>
    </row>
    <row r="932" ht="17.25" customHeight="1">
      <c r="A932" s="15" t="s">
        <v>9379</v>
      </c>
      <c r="B932" s="15" t="str">
        <f>"801542989019"</f>
        <v>801542989019</v>
      </c>
      <c r="C932" s="15" t="s">
        <v>22626</v>
      </c>
      <c r="D932" s="15" t="str">
        <f t="shared" si="1"/>
        <v>Skye Round Dining TableWhite Marble42</v>
      </c>
      <c r="E932" s="15" t="s">
        <v>9370</v>
      </c>
      <c r="F932" s="15" t="s">
        <v>397</v>
      </c>
      <c r="G932" s="15" t="s">
        <v>4941</v>
      </c>
      <c r="H932" s="15" t="s">
        <v>265</v>
      </c>
      <c r="I932" s="15" t="s">
        <v>2557</v>
      </c>
      <c r="J932" s="15" t="s">
        <v>4941</v>
      </c>
      <c r="K932" s="15" t="s">
        <v>4934</v>
      </c>
      <c r="M932" s="15" t="s">
        <v>3185</v>
      </c>
      <c r="N932" s="15" t="s">
        <v>548</v>
      </c>
      <c r="O932" s="15" t="s">
        <v>549</v>
      </c>
      <c r="P932" s="15" t="str">
        <f t="shared" ref="P932:Q932" si="2715">"42"</f>
        <v>42</v>
      </c>
      <c r="Q932" s="15" t="str">
        <f t="shared" si="2715"/>
        <v>42</v>
      </c>
      <c r="R932" s="15" t="str">
        <f t="shared" si="2716"/>
        <v>30</v>
      </c>
      <c r="S932" s="15" t="str">
        <f>"158.73"</f>
        <v>158.73</v>
      </c>
      <c r="T932" s="15" t="s">
        <v>5153</v>
      </c>
      <c r="U932" s="15" t="s">
        <v>11754</v>
      </c>
      <c r="V932" s="15" t="s">
        <v>11338</v>
      </c>
      <c r="AA932" s="15" t="s">
        <v>413</v>
      </c>
      <c r="AB932" s="15" t="s">
        <v>413</v>
      </c>
      <c r="AC932" s="15" t="s">
        <v>9374</v>
      </c>
      <c r="AD932" s="15" t="s">
        <v>22634</v>
      </c>
      <c r="AE932" s="15" t="s">
        <v>9380</v>
      </c>
      <c r="AF932" s="15" t="s">
        <v>22635</v>
      </c>
      <c r="AG932" s="15" t="s">
        <v>22636</v>
      </c>
      <c r="AH932" s="15" t="s">
        <v>22637</v>
      </c>
      <c r="AI932" s="15" t="s">
        <v>22638</v>
      </c>
      <c r="AJ932" s="15" t="s">
        <v>22639</v>
      </c>
      <c r="AK932" s="15" t="s">
        <v>22640</v>
      </c>
      <c r="AL932" s="15" t="s">
        <v>22641</v>
      </c>
      <c r="AM932" s="15" t="s">
        <v>22642</v>
      </c>
      <c r="AN932" s="15" t="s">
        <v>22643</v>
      </c>
      <c r="BH932" s="15" t="s">
        <v>9378</v>
      </c>
      <c r="BI932" s="15" t="str">
        <f>"2799"</f>
        <v>2799</v>
      </c>
      <c r="BJ932" s="15" t="str">
        <f>"1180"</f>
        <v>1180</v>
      </c>
      <c r="BK932" s="15" t="s">
        <v>709</v>
      </c>
      <c r="BL932" s="15" t="str">
        <f t="shared" si="2712"/>
        <v>2</v>
      </c>
      <c r="BM932" s="15" t="s">
        <v>1564</v>
      </c>
      <c r="BN932" s="15" t="str">
        <f>"49.02"</f>
        <v>49.02</v>
      </c>
      <c r="BO932" s="15" t="str">
        <f t="shared" si="2713"/>
        <v>8.46</v>
      </c>
      <c r="BP932" s="15" t="str">
        <f>"49.02"</f>
        <v>49.02</v>
      </c>
      <c r="BQ932" s="15" t="str">
        <f>"233.69"</f>
        <v>233.69</v>
      </c>
      <c r="BR932" s="15" t="s">
        <v>2238</v>
      </c>
      <c r="BS932" s="15" t="str">
        <f t="shared" ref="BS932:BT932" si="2717">"21.46"</f>
        <v>21.46</v>
      </c>
      <c r="BT932" s="15" t="str">
        <f t="shared" si="2717"/>
        <v>21.46</v>
      </c>
      <c r="BU932" s="15" t="str">
        <f>"31.5"</f>
        <v>31.5</v>
      </c>
      <c r="BV932" s="15" t="str">
        <f>"52.91"</f>
        <v>52.91</v>
      </c>
      <c r="CG932" s="15" t="str">
        <f>"20.16"</f>
        <v>20.16</v>
      </c>
      <c r="CH932" s="15" t="str">
        <f>"0.571"</f>
        <v>0.571</v>
      </c>
      <c r="CI932" s="15" t="s">
        <v>497</v>
      </c>
      <c r="CZ932" s="15" t="s">
        <v>419</v>
      </c>
      <c r="DA932" s="15">
        <v>0.0</v>
      </c>
      <c r="DB932" s="15" t="s">
        <v>419</v>
      </c>
      <c r="DD932" s="15">
        <v>0.0</v>
      </c>
      <c r="DF932" s="15" t="s">
        <v>1186</v>
      </c>
      <c r="DG932" s="15" t="s">
        <v>419</v>
      </c>
      <c r="DI932" s="15">
        <v>0.0</v>
      </c>
      <c r="DJ932" s="15">
        <v>0.0</v>
      </c>
      <c r="DK932" s="15">
        <v>0.0</v>
      </c>
      <c r="DQ932" s="15">
        <v>4.0</v>
      </c>
      <c r="DR932" s="15" t="s">
        <v>1157</v>
      </c>
      <c r="DS932" s="15" t="s">
        <v>9363</v>
      </c>
      <c r="DU932" s="15" t="s">
        <v>500</v>
      </c>
      <c r="EF932" s="15" t="s">
        <v>9381</v>
      </c>
      <c r="EQ932" s="15" t="s">
        <v>1014</v>
      </c>
      <c r="ER932" s="15" t="s">
        <v>9381</v>
      </c>
      <c r="ES932" s="15" t="s">
        <v>1014</v>
      </c>
      <c r="ET932" s="15" t="s">
        <v>3164</v>
      </c>
      <c r="EU932" s="15" t="s">
        <v>426</v>
      </c>
      <c r="EV932" s="15">
        <v>0.0</v>
      </c>
      <c r="EW932" s="15">
        <v>0.0</v>
      </c>
      <c r="FE932" s="15" t="s">
        <v>9381</v>
      </c>
      <c r="FF932" s="15" t="s">
        <v>866</v>
      </c>
      <c r="FG932" s="15" t="s">
        <v>2244</v>
      </c>
    </row>
    <row r="933" ht="17.25" customHeight="1">
      <c r="A933" s="15" t="s">
        <v>9385</v>
      </c>
      <c r="B933" s="15" t="str">
        <f>"198394060790"</f>
        <v>198394060790</v>
      </c>
      <c r="C933" s="15" t="s">
        <v>22644</v>
      </c>
      <c r="D933" s="15" t="str">
        <f t="shared" si="1"/>
        <v>Sloane BedCrypton Wayfarer SnowQueen</v>
      </c>
      <c r="E933" s="15" t="s">
        <v>9382</v>
      </c>
      <c r="F933" s="15" t="s">
        <v>397</v>
      </c>
      <c r="G933" s="15" t="s">
        <v>9384</v>
      </c>
      <c r="H933" s="15" t="s">
        <v>265</v>
      </c>
      <c r="I933" s="15" t="s">
        <v>877</v>
      </c>
      <c r="J933" s="15" t="s">
        <v>9384</v>
      </c>
      <c r="K933" s="15" t="s">
        <v>9391</v>
      </c>
      <c r="M933" s="15" t="s">
        <v>1030</v>
      </c>
      <c r="N933" s="15" t="s">
        <v>839</v>
      </c>
      <c r="O933" s="15" t="s">
        <v>877</v>
      </c>
      <c r="P933" s="15" t="str">
        <f>"65.75"</f>
        <v>65.75</v>
      </c>
      <c r="Q933" s="15" t="str">
        <f t="shared" ref="Q933:Q936" si="2718">"96.75"</f>
        <v>96.75</v>
      </c>
      <c r="R933" s="15" t="str">
        <f t="shared" ref="R933:R936" si="2719">"50"</f>
        <v>50</v>
      </c>
      <c r="S933" s="15" t="str">
        <f>"311.95"</f>
        <v>311.95</v>
      </c>
      <c r="T933" s="15" t="s">
        <v>9388</v>
      </c>
      <c r="U933" s="15" t="s">
        <v>11209</v>
      </c>
      <c r="V933" s="15" t="s">
        <v>11149</v>
      </c>
      <c r="AA933" s="15" t="s">
        <v>426</v>
      </c>
      <c r="AB933" s="15" t="s">
        <v>426</v>
      </c>
      <c r="AC933" s="15" t="s">
        <v>9392</v>
      </c>
      <c r="AD933" s="15" t="s">
        <v>22645</v>
      </c>
      <c r="AE933" s="15" t="s">
        <v>9387</v>
      </c>
      <c r="AF933" s="15" t="s">
        <v>22646</v>
      </c>
      <c r="AG933" s="15" t="s">
        <v>22647</v>
      </c>
      <c r="AH933" s="15" t="s">
        <v>22648</v>
      </c>
      <c r="AI933" s="15" t="s">
        <v>22649</v>
      </c>
      <c r="AJ933" s="15" t="s">
        <v>22650</v>
      </c>
      <c r="AK933" s="15" t="s">
        <v>22651</v>
      </c>
      <c r="AL933" s="15" t="s">
        <v>22652</v>
      </c>
      <c r="AM933" s="15" t="s">
        <v>22653</v>
      </c>
      <c r="AN933" s="15" t="s">
        <v>22654</v>
      </c>
      <c r="BH933" s="15" t="s">
        <v>9383</v>
      </c>
      <c r="BI933" s="15" t="str">
        <f>"2699"</f>
        <v>2699</v>
      </c>
      <c r="BJ933" s="15" t="str">
        <f>"1135"</f>
        <v>1135</v>
      </c>
      <c r="BK933" s="15" t="s">
        <v>742</v>
      </c>
      <c r="BL933" s="15" t="str">
        <f t="shared" ref="BL933:BL936" si="2720">"3"</f>
        <v>3</v>
      </c>
      <c r="BM933" s="15" t="s">
        <v>841</v>
      </c>
      <c r="BN933" s="15" t="str">
        <f>"69.29"</f>
        <v>69.29</v>
      </c>
      <c r="BO933" s="15" t="str">
        <f>"12.01"</f>
        <v>12.01</v>
      </c>
      <c r="BP933" s="15" t="str">
        <f>"54.33"</f>
        <v>54.33</v>
      </c>
      <c r="BQ933" s="15" t="str">
        <f>"163.14"</f>
        <v>163.14</v>
      </c>
      <c r="BR933" s="15" t="s">
        <v>3951</v>
      </c>
      <c r="BS933" s="15" t="str">
        <f>"90.94"</f>
        <v>90.94</v>
      </c>
      <c r="BT933" s="15" t="str">
        <f>"17.72"</f>
        <v>17.72</v>
      </c>
      <c r="BU933" s="15" t="str">
        <f>"12.01"</f>
        <v>12.01</v>
      </c>
      <c r="BV933" s="15" t="str">
        <f>"125.66"</f>
        <v>125.66</v>
      </c>
      <c r="BW933" s="15" t="s">
        <v>846</v>
      </c>
      <c r="BX933" s="15" t="str">
        <f>"70.08"</f>
        <v>70.08</v>
      </c>
      <c r="BY933" s="15" t="str">
        <f>"29.92"</f>
        <v>29.92</v>
      </c>
      <c r="BZ933" s="15" t="str">
        <f>"11.61"</f>
        <v>11.61</v>
      </c>
      <c r="CA933" s="15" t="str">
        <f>"81.57"</f>
        <v>81.57</v>
      </c>
      <c r="CG933" s="15" t="str">
        <f>"51.45"</f>
        <v>51.45</v>
      </c>
      <c r="CH933" s="15" t="str">
        <f>"1.457"</f>
        <v>1.457</v>
      </c>
      <c r="CI933" s="15" t="s">
        <v>497</v>
      </c>
      <c r="CY933" s="15" t="s">
        <v>897</v>
      </c>
      <c r="CZ933" s="15" t="s">
        <v>419</v>
      </c>
      <c r="DA933" s="15">
        <v>0.0</v>
      </c>
      <c r="DB933" s="15" t="s">
        <v>419</v>
      </c>
      <c r="DD933" s="15">
        <v>0.0</v>
      </c>
      <c r="DF933" s="15" t="s">
        <v>3952</v>
      </c>
      <c r="DG933" s="15" t="s">
        <v>419</v>
      </c>
      <c r="DI933" s="15">
        <v>0.0</v>
      </c>
      <c r="DJ933" s="15">
        <v>0.0</v>
      </c>
      <c r="DK933" s="15">
        <v>0.0</v>
      </c>
      <c r="DL933" s="15">
        <v>50000.0</v>
      </c>
      <c r="DS933" s="15" t="s">
        <v>9393</v>
      </c>
      <c r="DU933" s="15" t="s">
        <v>858</v>
      </c>
      <c r="EV933" s="15">
        <v>0.0</v>
      </c>
      <c r="HX933" s="15" t="s">
        <v>2603</v>
      </c>
      <c r="HY933" s="15" t="s">
        <v>9117</v>
      </c>
      <c r="HZ933" s="15" t="s">
        <v>9394</v>
      </c>
      <c r="IA933" s="15" t="s">
        <v>8998</v>
      </c>
      <c r="IB933" s="15" t="s">
        <v>1232</v>
      </c>
      <c r="IC933" s="15" t="s">
        <v>9394</v>
      </c>
      <c r="ID933" s="15" t="s">
        <v>8998</v>
      </c>
      <c r="IE933" s="15" t="s">
        <v>2971</v>
      </c>
      <c r="IF933" s="15" t="s">
        <v>1957</v>
      </c>
      <c r="IG933" s="15" t="s">
        <v>890</v>
      </c>
      <c r="IH933" s="15" t="s">
        <v>531</v>
      </c>
      <c r="II933" s="15" t="s">
        <v>1120</v>
      </c>
      <c r="IJ933" s="15" t="s">
        <v>3658</v>
      </c>
      <c r="IK933" s="15" t="s">
        <v>426</v>
      </c>
      <c r="IL933" s="15" t="s">
        <v>2471</v>
      </c>
      <c r="IM933" s="15" t="s">
        <v>872</v>
      </c>
      <c r="IN933" s="15" t="s">
        <v>873</v>
      </c>
      <c r="IO933" s="15" t="s">
        <v>877</v>
      </c>
      <c r="IU933" s="15" t="s">
        <v>6948</v>
      </c>
      <c r="IV933" s="15" t="s">
        <v>7172</v>
      </c>
      <c r="IX933" s="15" t="s">
        <v>426</v>
      </c>
      <c r="IY933" s="15" t="s">
        <v>2474</v>
      </c>
      <c r="JB933" s="15" t="s">
        <v>6433</v>
      </c>
      <c r="JC933" s="15" t="s">
        <v>7397</v>
      </c>
    </row>
    <row r="934" ht="17.25" customHeight="1">
      <c r="A934" s="15" t="s">
        <v>9396</v>
      </c>
      <c r="B934" s="15" t="str">
        <f>"198394060783"</f>
        <v>198394060783</v>
      </c>
      <c r="C934" s="15" t="s">
        <v>22644</v>
      </c>
      <c r="D934" s="15" t="str">
        <f t="shared" si="1"/>
        <v>Sloane BedCrypton Wayfarer SnowKing</v>
      </c>
      <c r="E934" s="15" t="s">
        <v>9382</v>
      </c>
      <c r="F934" s="15" t="s">
        <v>397</v>
      </c>
      <c r="G934" s="15" t="s">
        <v>9384</v>
      </c>
      <c r="H934" s="15" t="s">
        <v>265</v>
      </c>
      <c r="I934" s="15" t="s">
        <v>828</v>
      </c>
      <c r="J934" s="15" t="s">
        <v>9384</v>
      </c>
      <c r="K934" s="15" t="s">
        <v>9391</v>
      </c>
      <c r="M934" s="15" t="s">
        <v>1030</v>
      </c>
      <c r="N934" s="15" t="s">
        <v>839</v>
      </c>
      <c r="O934" s="15" t="s">
        <v>828</v>
      </c>
      <c r="P934" s="15" t="str">
        <f>"82"</f>
        <v>82</v>
      </c>
      <c r="Q934" s="15" t="str">
        <f t="shared" si="2718"/>
        <v>96.75</v>
      </c>
      <c r="R934" s="15" t="str">
        <f t="shared" si="2719"/>
        <v>50</v>
      </c>
      <c r="S934" s="15" t="str">
        <f>"364.86"</f>
        <v>364.86</v>
      </c>
      <c r="T934" s="15" t="s">
        <v>9388</v>
      </c>
      <c r="U934" s="15" t="s">
        <v>11209</v>
      </c>
      <c r="V934" s="15" t="s">
        <v>11149</v>
      </c>
      <c r="AA934" s="15" t="s">
        <v>426</v>
      </c>
      <c r="AB934" s="15" t="s">
        <v>426</v>
      </c>
      <c r="AC934" s="15" t="s">
        <v>9392</v>
      </c>
      <c r="AD934" s="15" t="s">
        <v>22655</v>
      </c>
      <c r="AE934" s="15" t="s">
        <v>9398</v>
      </c>
      <c r="AF934" s="15" t="s">
        <v>22656</v>
      </c>
      <c r="AG934" s="15" t="s">
        <v>22657</v>
      </c>
      <c r="AH934" s="15" t="s">
        <v>22658</v>
      </c>
      <c r="AI934" s="15" t="s">
        <v>22659</v>
      </c>
      <c r="AJ934" s="15" t="s">
        <v>22660</v>
      </c>
      <c r="AK934" s="15" t="s">
        <v>22661</v>
      </c>
      <c r="AL934" s="15" t="s">
        <v>22662</v>
      </c>
      <c r="AM934" s="15" t="s">
        <v>22663</v>
      </c>
      <c r="AN934" s="15" t="s">
        <v>22664</v>
      </c>
      <c r="BH934" s="15" t="s">
        <v>9395</v>
      </c>
      <c r="BI934" s="15" t="str">
        <f>"3099"</f>
        <v>3099</v>
      </c>
      <c r="BJ934" s="15" t="str">
        <f>"1305"</f>
        <v>1305</v>
      </c>
      <c r="BK934" s="15" t="s">
        <v>742</v>
      </c>
      <c r="BL934" s="15" t="str">
        <f t="shared" si="2720"/>
        <v>3</v>
      </c>
      <c r="BM934" s="15" t="s">
        <v>841</v>
      </c>
      <c r="BN934" s="15" t="str">
        <f>"87.4"</f>
        <v>87.4</v>
      </c>
      <c r="BO934" s="15" t="str">
        <f>"12.8"</f>
        <v>12.8</v>
      </c>
      <c r="BP934" s="15" t="str">
        <f>"56.3"</f>
        <v>56.3</v>
      </c>
      <c r="BQ934" s="15" t="str">
        <f>"179.68"</f>
        <v>179.68</v>
      </c>
      <c r="BR934" s="15" t="s">
        <v>3951</v>
      </c>
      <c r="BS934" s="15" t="str">
        <f>"92.52"</f>
        <v>92.52</v>
      </c>
      <c r="BT934" s="15" t="str">
        <f>"18.9"</f>
        <v>18.9</v>
      </c>
      <c r="BU934" s="15" t="str">
        <f>"12.4"</f>
        <v>12.4</v>
      </c>
      <c r="BV934" s="15" t="str">
        <f>"143.3"</f>
        <v>143.3</v>
      </c>
      <c r="BW934" s="15" t="s">
        <v>846</v>
      </c>
      <c r="BX934" s="15" t="str">
        <f>"87.4"</f>
        <v>87.4</v>
      </c>
      <c r="BY934" s="15" t="str">
        <f>"12.01"</f>
        <v>12.01</v>
      </c>
      <c r="BZ934" s="15" t="str">
        <f>"31.69"</f>
        <v>31.69</v>
      </c>
      <c r="CA934" s="15" t="str">
        <f>"111.33"</f>
        <v>111.33</v>
      </c>
      <c r="CG934" s="15" t="str">
        <f>"68.23"</f>
        <v>68.23</v>
      </c>
      <c r="CH934" s="15" t="str">
        <f>"1.932"</f>
        <v>1.932</v>
      </c>
      <c r="CI934" s="15" t="s">
        <v>497</v>
      </c>
      <c r="CY934" s="15" t="s">
        <v>897</v>
      </c>
      <c r="CZ934" s="15" t="s">
        <v>419</v>
      </c>
      <c r="DA934" s="15">
        <v>0.0</v>
      </c>
      <c r="DB934" s="15" t="s">
        <v>419</v>
      </c>
      <c r="DD934" s="15">
        <v>0.0</v>
      </c>
      <c r="DF934" s="15" t="s">
        <v>3952</v>
      </c>
      <c r="DG934" s="15" t="s">
        <v>419</v>
      </c>
      <c r="DI934" s="15">
        <v>0.0</v>
      </c>
      <c r="DJ934" s="15">
        <v>0.0</v>
      </c>
      <c r="DK934" s="15">
        <v>0.0</v>
      </c>
      <c r="DL934" s="15">
        <v>50000.0</v>
      </c>
      <c r="DS934" s="15" t="s">
        <v>9393</v>
      </c>
      <c r="DU934" s="15" t="s">
        <v>858</v>
      </c>
      <c r="EV934" s="15">
        <v>0.0</v>
      </c>
      <c r="HX934" s="15" t="s">
        <v>2603</v>
      </c>
      <c r="HY934" s="15" t="s">
        <v>9117</v>
      </c>
      <c r="HZ934" s="15" t="s">
        <v>9394</v>
      </c>
      <c r="IA934" s="15" t="s">
        <v>9400</v>
      </c>
      <c r="IB934" s="15" t="s">
        <v>1232</v>
      </c>
      <c r="IC934" s="15" t="s">
        <v>9394</v>
      </c>
      <c r="ID934" s="15" t="s">
        <v>9400</v>
      </c>
      <c r="IE934" s="15" t="s">
        <v>2971</v>
      </c>
      <c r="IF934" s="15" t="s">
        <v>1957</v>
      </c>
      <c r="IG934" s="15" t="s">
        <v>869</v>
      </c>
      <c r="IH934" s="15" t="s">
        <v>531</v>
      </c>
      <c r="II934" s="15" t="s">
        <v>1120</v>
      </c>
      <c r="IJ934" s="15" t="s">
        <v>3658</v>
      </c>
      <c r="IK934" s="15" t="s">
        <v>426</v>
      </c>
      <c r="IL934" s="15" t="s">
        <v>2471</v>
      </c>
      <c r="IM934" s="15" t="s">
        <v>872</v>
      </c>
      <c r="IN934" s="15" t="s">
        <v>873</v>
      </c>
      <c r="IO934" s="15" t="s">
        <v>828</v>
      </c>
      <c r="IU934" s="15" t="s">
        <v>6948</v>
      </c>
      <c r="IV934" s="15" t="s">
        <v>7172</v>
      </c>
      <c r="IX934" s="15" t="s">
        <v>426</v>
      </c>
      <c r="IY934" s="15" t="s">
        <v>2474</v>
      </c>
      <c r="JB934" s="15" t="s">
        <v>6433</v>
      </c>
      <c r="JC934" s="15" t="s">
        <v>6451</v>
      </c>
    </row>
    <row r="935" ht="17.25" customHeight="1">
      <c r="A935" s="15" t="s">
        <v>9402</v>
      </c>
      <c r="B935" s="15" t="str">
        <f>"801542966089"</f>
        <v>801542966089</v>
      </c>
      <c r="C935" s="15" t="s">
        <v>22665</v>
      </c>
      <c r="D935" s="15" t="str">
        <f t="shared" si="1"/>
        <v>Sloane BedSurrey CocoaQueen</v>
      </c>
      <c r="E935" s="15" t="s">
        <v>9382</v>
      </c>
      <c r="F935" s="15" t="s">
        <v>397</v>
      </c>
      <c r="G935" s="15" t="s">
        <v>2120</v>
      </c>
      <c r="H935" s="15" t="s">
        <v>265</v>
      </c>
      <c r="I935" s="15" t="s">
        <v>877</v>
      </c>
      <c r="J935" s="15" t="s">
        <v>2120</v>
      </c>
      <c r="K935" s="15" t="s">
        <v>9391</v>
      </c>
      <c r="M935" s="15" t="s">
        <v>1030</v>
      </c>
      <c r="N935" s="15" t="s">
        <v>839</v>
      </c>
      <c r="O935" s="15" t="s">
        <v>877</v>
      </c>
      <c r="P935" s="15" t="str">
        <f>"65.75"</f>
        <v>65.75</v>
      </c>
      <c r="Q935" s="15" t="str">
        <f t="shared" si="2718"/>
        <v>96.75</v>
      </c>
      <c r="R935" s="15" t="str">
        <f t="shared" si="2719"/>
        <v>50</v>
      </c>
      <c r="S935" s="15" t="str">
        <f>"311.95"</f>
        <v>311.95</v>
      </c>
      <c r="T935" s="15" t="s">
        <v>9404</v>
      </c>
      <c r="U935" s="15" t="s">
        <v>11845</v>
      </c>
      <c r="V935" s="15" t="s">
        <v>11846</v>
      </c>
      <c r="W935" s="15" t="s">
        <v>11149</v>
      </c>
      <c r="AA935" s="15" t="s">
        <v>413</v>
      </c>
      <c r="AB935" s="15" t="s">
        <v>413</v>
      </c>
      <c r="AC935" s="15" t="s">
        <v>9405</v>
      </c>
      <c r="AD935" s="15" t="s">
        <v>22666</v>
      </c>
      <c r="AE935" s="15" t="s">
        <v>9403</v>
      </c>
      <c r="AF935" s="15" t="s">
        <v>22667</v>
      </c>
      <c r="AG935" s="15" t="s">
        <v>22668</v>
      </c>
      <c r="AH935" s="15" t="s">
        <v>22669</v>
      </c>
      <c r="AI935" s="15" t="s">
        <v>22670</v>
      </c>
      <c r="AJ935" s="15" t="s">
        <v>22671</v>
      </c>
      <c r="AK935" s="15" t="s">
        <v>22672</v>
      </c>
      <c r="AL935" s="15" t="s">
        <v>22673</v>
      </c>
      <c r="AM935" s="15" t="s">
        <v>22674</v>
      </c>
      <c r="AN935" s="15" t="s">
        <v>22675</v>
      </c>
      <c r="AO935" s="15" t="s">
        <v>22676</v>
      </c>
      <c r="AP935" s="15" t="s">
        <v>22677</v>
      </c>
      <c r="AQ935" s="15" t="s">
        <v>11164</v>
      </c>
      <c r="BH935" s="15" t="s">
        <v>9401</v>
      </c>
      <c r="BI935" s="15" t="str">
        <f>"2599"</f>
        <v>2599</v>
      </c>
      <c r="BJ935" s="15" t="str">
        <f>"1095"</f>
        <v>1095</v>
      </c>
      <c r="BK935" s="15" t="s">
        <v>742</v>
      </c>
      <c r="BL935" s="15" t="str">
        <f t="shared" si="2720"/>
        <v>3</v>
      </c>
      <c r="BM935" s="15" t="s">
        <v>841</v>
      </c>
      <c r="BN935" s="15" t="str">
        <f>"69.29"</f>
        <v>69.29</v>
      </c>
      <c r="BO935" s="15" t="str">
        <f>"12.01"</f>
        <v>12.01</v>
      </c>
      <c r="BP935" s="15" t="str">
        <f>"54.33"</f>
        <v>54.33</v>
      </c>
      <c r="BQ935" s="15" t="str">
        <f>"163.14"</f>
        <v>163.14</v>
      </c>
      <c r="BR935" s="15" t="s">
        <v>3951</v>
      </c>
      <c r="BS935" s="15" t="str">
        <f>"90.94"</f>
        <v>90.94</v>
      </c>
      <c r="BT935" s="15" t="str">
        <f>"17.72"</f>
        <v>17.72</v>
      </c>
      <c r="BU935" s="15" t="str">
        <f>"12.01"</f>
        <v>12.01</v>
      </c>
      <c r="BV935" s="15" t="str">
        <f>"125.66"</f>
        <v>125.66</v>
      </c>
      <c r="BW935" s="15" t="s">
        <v>846</v>
      </c>
      <c r="BX935" s="15" t="str">
        <f>"70.08"</f>
        <v>70.08</v>
      </c>
      <c r="BY935" s="15" t="str">
        <f>"29.92"</f>
        <v>29.92</v>
      </c>
      <c r="BZ935" s="15" t="str">
        <f>"11.61"</f>
        <v>11.61</v>
      </c>
      <c r="CA935" s="15" t="str">
        <f>"81.57"</f>
        <v>81.57</v>
      </c>
      <c r="CG935" s="15" t="str">
        <f>"51.45"</f>
        <v>51.45</v>
      </c>
      <c r="CH935" s="15" t="str">
        <f>"1.457"</f>
        <v>1.457</v>
      </c>
      <c r="CI935" s="15" t="s">
        <v>497</v>
      </c>
      <c r="CY935" s="15" t="s">
        <v>718</v>
      </c>
      <c r="CZ935" s="15" t="s">
        <v>419</v>
      </c>
      <c r="DA935" s="15">
        <v>0.0</v>
      </c>
      <c r="DB935" s="15" t="s">
        <v>419</v>
      </c>
      <c r="DD935" s="15">
        <v>0.0</v>
      </c>
      <c r="DF935" s="15" t="s">
        <v>3952</v>
      </c>
      <c r="DG935" s="15" t="s">
        <v>419</v>
      </c>
      <c r="DI935" s="15">
        <v>0.0</v>
      </c>
      <c r="DJ935" s="15">
        <v>0.0</v>
      </c>
      <c r="DK935" s="15">
        <v>0.0</v>
      </c>
      <c r="DL935" s="15">
        <v>30000.0</v>
      </c>
      <c r="DS935" s="15" t="s">
        <v>9393</v>
      </c>
      <c r="DU935" s="15" t="s">
        <v>858</v>
      </c>
      <c r="EV935" s="15">
        <v>0.0</v>
      </c>
      <c r="HX935" s="15" t="s">
        <v>2603</v>
      </c>
      <c r="HY935" s="15" t="s">
        <v>9117</v>
      </c>
      <c r="HZ935" s="15" t="s">
        <v>9394</v>
      </c>
      <c r="IA935" s="15" t="s">
        <v>8998</v>
      </c>
      <c r="IB935" s="15" t="s">
        <v>1232</v>
      </c>
      <c r="IC935" s="15" t="s">
        <v>9394</v>
      </c>
      <c r="ID935" s="15" t="s">
        <v>8998</v>
      </c>
      <c r="IE935" s="15" t="s">
        <v>2971</v>
      </c>
      <c r="IF935" s="15" t="s">
        <v>1957</v>
      </c>
      <c r="IG935" s="15" t="s">
        <v>890</v>
      </c>
      <c r="IH935" s="15" t="s">
        <v>531</v>
      </c>
      <c r="II935" s="15" t="s">
        <v>1120</v>
      </c>
      <c r="IJ935" s="15" t="s">
        <v>3658</v>
      </c>
      <c r="IK935" s="15" t="s">
        <v>426</v>
      </c>
      <c r="IL935" s="15" t="s">
        <v>2471</v>
      </c>
      <c r="IM935" s="15" t="s">
        <v>872</v>
      </c>
      <c r="IN935" s="15" t="s">
        <v>873</v>
      </c>
      <c r="IO935" s="15" t="s">
        <v>877</v>
      </c>
      <c r="IU935" s="15" t="s">
        <v>6948</v>
      </c>
      <c r="IV935" s="15" t="s">
        <v>7172</v>
      </c>
      <c r="IX935" s="15" t="s">
        <v>426</v>
      </c>
      <c r="IY935" s="15" t="s">
        <v>2474</v>
      </c>
      <c r="JB935" s="15" t="s">
        <v>6433</v>
      </c>
      <c r="JC935" s="15" t="s">
        <v>7397</v>
      </c>
    </row>
    <row r="936" ht="17.25" customHeight="1">
      <c r="A936" s="15" t="s">
        <v>9407</v>
      </c>
      <c r="B936" s="15" t="str">
        <f>"801542966072"</f>
        <v>801542966072</v>
      </c>
      <c r="C936" s="15" t="s">
        <v>22665</v>
      </c>
      <c r="D936" s="15" t="str">
        <f t="shared" si="1"/>
        <v>Sloane BedSurrey CocoaKing</v>
      </c>
      <c r="E936" s="15" t="s">
        <v>9382</v>
      </c>
      <c r="F936" s="15" t="s">
        <v>397</v>
      </c>
      <c r="G936" s="15" t="s">
        <v>2120</v>
      </c>
      <c r="H936" s="15" t="s">
        <v>265</v>
      </c>
      <c r="I936" s="15" t="s">
        <v>828</v>
      </c>
      <c r="J936" s="15" t="s">
        <v>2120</v>
      </c>
      <c r="K936" s="15" t="s">
        <v>9391</v>
      </c>
      <c r="M936" s="15" t="s">
        <v>1030</v>
      </c>
      <c r="N936" s="15" t="s">
        <v>839</v>
      </c>
      <c r="O936" s="15" t="s">
        <v>828</v>
      </c>
      <c r="P936" s="15" t="str">
        <f>"82"</f>
        <v>82</v>
      </c>
      <c r="Q936" s="15" t="str">
        <f t="shared" si="2718"/>
        <v>96.75</v>
      </c>
      <c r="R936" s="15" t="str">
        <f t="shared" si="2719"/>
        <v>50</v>
      </c>
      <c r="S936" s="15" t="str">
        <f>"364.86"</f>
        <v>364.86</v>
      </c>
      <c r="T936" s="15" t="s">
        <v>9404</v>
      </c>
      <c r="U936" s="15" t="s">
        <v>11845</v>
      </c>
      <c r="V936" s="15" t="s">
        <v>11846</v>
      </c>
      <c r="W936" s="15" t="s">
        <v>11149</v>
      </c>
      <c r="AA936" s="15" t="s">
        <v>413</v>
      </c>
      <c r="AB936" s="15" t="s">
        <v>413</v>
      </c>
      <c r="AC936" s="15" t="s">
        <v>9405</v>
      </c>
      <c r="AD936" s="15" t="s">
        <v>22666</v>
      </c>
      <c r="AE936" s="15" t="s">
        <v>9403</v>
      </c>
      <c r="AF936" s="15" t="s">
        <v>22667</v>
      </c>
      <c r="AG936" s="15" t="s">
        <v>22668</v>
      </c>
      <c r="AH936" s="15" t="s">
        <v>22669</v>
      </c>
      <c r="AI936" s="15" t="s">
        <v>22670</v>
      </c>
      <c r="AJ936" s="15" t="s">
        <v>22671</v>
      </c>
      <c r="AK936" s="15" t="s">
        <v>22672</v>
      </c>
      <c r="AL936" s="15" t="s">
        <v>22673</v>
      </c>
      <c r="AM936" s="15" t="s">
        <v>22674</v>
      </c>
      <c r="AN936" s="15" t="s">
        <v>22675</v>
      </c>
      <c r="AO936" s="15" t="s">
        <v>22676</v>
      </c>
      <c r="AP936" s="15" t="s">
        <v>22677</v>
      </c>
      <c r="BH936" s="15" t="s">
        <v>9406</v>
      </c>
      <c r="BI936" s="15" t="str">
        <f>"3099"</f>
        <v>3099</v>
      </c>
      <c r="BJ936" s="15" t="str">
        <f>"1305"</f>
        <v>1305</v>
      </c>
      <c r="BK936" s="15" t="s">
        <v>742</v>
      </c>
      <c r="BL936" s="15" t="str">
        <f t="shared" si="2720"/>
        <v>3</v>
      </c>
      <c r="BM936" s="15" t="s">
        <v>9408</v>
      </c>
      <c r="BN936" s="15" t="str">
        <f>"87.4"</f>
        <v>87.4</v>
      </c>
      <c r="BO936" s="15" t="str">
        <f>"12.8"</f>
        <v>12.8</v>
      </c>
      <c r="BP936" s="15" t="str">
        <f>"56.3"</f>
        <v>56.3</v>
      </c>
      <c r="BQ936" s="15" t="str">
        <f>"179.68"</f>
        <v>179.68</v>
      </c>
      <c r="BR936" s="15" t="s">
        <v>3951</v>
      </c>
      <c r="BS936" s="15" t="str">
        <f>"92.52"</f>
        <v>92.52</v>
      </c>
      <c r="BT936" s="15" t="str">
        <f>"18.9"</f>
        <v>18.9</v>
      </c>
      <c r="BU936" s="15" t="str">
        <f>"12.4"</f>
        <v>12.4</v>
      </c>
      <c r="BV936" s="15" t="str">
        <f>"143.3"</f>
        <v>143.3</v>
      </c>
      <c r="BW936" s="15" t="s">
        <v>846</v>
      </c>
      <c r="BX936" s="15" t="str">
        <f>"87.4"</f>
        <v>87.4</v>
      </c>
      <c r="BY936" s="15" t="str">
        <f>"12.01"</f>
        <v>12.01</v>
      </c>
      <c r="BZ936" s="15" t="str">
        <f>"31.69"</f>
        <v>31.69</v>
      </c>
      <c r="CA936" s="15" t="str">
        <f>"111.33"</f>
        <v>111.33</v>
      </c>
      <c r="CG936" s="15" t="str">
        <f>"68.23"</f>
        <v>68.23</v>
      </c>
      <c r="CH936" s="15" t="str">
        <f>"1.932"</f>
        <v>1.932</v>
      </c>
      <c r="CI936" s="15" t="s">
        <v>497</v>
      </c>
      <c r="CY936" s="15" t="s">
        <v>718</v>
      </c>
      <c r="CZ936" s="15" t="s">
        <v>419</v>
      </c>
      <c r="DA936" s="15">
        <v>0.0</v>
      </c>
      <c r="DB936" s="15" t="s">
        <v>419</v>
      </c>
      <c r="DD936" s="15">
        <v>0.0</v>
      </c>
      <c r="DF936" s="15" t="s">
        <v>3952</v>
      </c>
      <c r="DG936" s="15" t="s">
        <v>419</v>
      </c>
      <c r="DI936" s="15">
        <v>0.0</v>
      </c>
      <c r="DJ936" s="15">
        <v>0.0</v>
      </c>
      <c r="DK936" s="15">
        <v>0.0</v>
      </c>
      <c r="DL936" s="15">
        <v>30000.0</v>
      </c>
      <c r="DS936" s="15" t="s">
        <v>9393</v>
      </c>
      <c r="DU936" s="15" t="s">
        <v>858</v>
      </c>
      <c r="EV936" s="15">
        <v>0.0</v>
      </c>
      <c r="HX936" s="15" t="s">
        <v>2603</v>
      </c>
      <c r="HY936" s="15" t="s">
        <v>9117</v>
      </c>
      <c r="HZ936" s="15" t="s">
        <v>9394</v>
      </c>
      <c r="IA936" s="15" t="s">
        <v>9400</v>
      </c>
      <c r="IB936" s="15" t="s">
        <v>1232</v>
      </c>
      <c r="IC936" s="15" t="s">
        <v>9394</v>
      </c>
      <c r="ID936" s="15" t="s">
        <v>9400</v>
      </c>
      <c r="IE936" s="15" t="s">
        <v>2971</v>
      </c>
      <c r="IF936" s="15" t="s">
        <v>1957</v>
      </c>
      <c r="IG936" s="15" t="s">
        <v>869</v>
      </c>
      <c r="IH936" s="15" t="s">
        <v>531</v>
      </c>
      <c r="II936" s="15" t="s">
        <v>1120</v>
      </c>
      <c r="IJ936" s="15" t="s">
        <v>3658</v>
      </c>
      <c r="IK936" s="15" t="s">
        <v>426</v>
      </c>
      <c r="IL936" s="15" t="s">
        <v>2471</v>
      </c>
      <c r="IM936" s="15" t="s">
        <v>872</v>
      </c>
      <c r="IN936" s="15" t="s">
        <v>873</v>
      </c>
      <c r="IO936" s="15" t="s">
        <v>828</v>
      </c>
      <c r="IU936" s="15" t="s">
        <v>6948</v>
      </c>
      <c r="IV936" s="15" t="s">
        <v>7172</v>
      </c>
      <c r="IX936" s="15" t="s">
        <v>426</v>
      </c>
      <c r="IY936" s="15" t="s">
        <v>2474</v>
      </c>
      <c r="JB936" s="15" t="s">
        <v>6433</v>
      </c>
      <c r="JC936" s="15" t="s">
        <v>6451</v>
      </c>
    </row>
    <row r="937" ht="17.25" customHeight="1">
      <c r="A937" s="15" t="s">
        <v>9411</v>
      </c>
      <c r="B937" s="15" t="str">
        <f>"801542232832"</f>
        <v>801542232832</v>
      </c>
      <c r="C937" s="15" t="s">
        <v>22678</v>
      </c>
      <c r="D937" s="15" t="str">
        <f t="shared" si="1"/>
        <v>Soho Dining TableAged Natural Oak Veneer</v>
      </c>
      <c r="E937" s="15" t="s">
        <v>9409</v>
      </c>
      <c r="F937" s="15" t="s">
        <v>397</v>
      </c>
      <c r="G937" s="15" t="s">
        <v>1021</v>
      </c>
      <c r="J937" s="15" t="s">
        <v>1021</v>
      </c>
      <c r="M937" s="15" t="s">
        <v>2875</v>
      </c>
      <c r="N937" s="15" t="s">
        <v>548</v>
      </c>
      <c r="O937" s="15" t="s">
        <v>549</v>
      </c>
      <c r="P937" s="15" t="str">
        <f>"98"</f>
        <v>98</v>
      </c>
      <c r="Q937" s="15" t="str">
        <f>"46.25"</f>
        <v>46.25</v>
      </c>
      <c r="R937" s="15" t="str">
        <f>"30"</f>
        <v>30</v>
      </c>
      <c r="S937" s="15" t="str">
        <f>"189.82"</f>
        <v>189.82</v>
      </c>
      <c r="T937" s="15" t="s">
        <v>2354</v>
      </c>
      <c r="U937" s="15" t="s">
        <v>11553</v>
      </c>
      <c r="V937" s="15" t="s">
        <v>11338</v>
      </c>
      <c r="AA937" s="15" t="s">
        <v>413</v>
      </c>
      <c r="AB937" s="15" t="s">
        <v>413</v>
      </c>
      <c r="AC937" s="15" t="s">
        <v>9416</v>
      </c>
      <c r="AD937" s="15" t="s">
        <v>22679</v>
      </c>
      <c r="AE937" s="15" t="s">
        <v>9413</v>
      </c>
      <c r="AF937" s="15" t="s">
        <v>22680</v>
      </c>
      <c r="AG937" s="15" t="s">
        <v>22681</v>
      </c>
      <c r="AH937" s="15" t="s">
        <v>22682</v>
      </c>
      <c r="AI937" s="15" t="s">
        <v>22683</v>
      </c>
      <c r="AJ937" s="15" t="s">
        <v>22684</v>
      </c>
      <c r="AK937" s="15" t="s">
        <v>22685</v>
      </c>
      <c r="AL937" s="15" t="s">
        <v>22686</v>
      </c>
      <c r="AM937" s="15" t="s">
        <v>22687</v>
      </c>
      <c r="AN937" s="15" t="s">
        <v>22688</v>
      </c>
      <c r="BH937" s="15" t="s">
        <v>9410</v>
      </c>
      <c r="BI937" s="15" t="str">
        <f>"2799"</f>
        <v>2799</v>
      </c>
      <c r="BJ937" s="15" t="str">
        <f>"1180"</f>
        <v>1180</v>
      </c>
      <c r="BK937" s="15" t="s">
        <v>1303</v>
      </c>
      <c r="BL937" s="15" t="str">
        <f t="shared" ref="BL937:BL938" si="2722">"1"</f>
        <v>1</v>
      </c>
      <c r="BM937" s="15" t="s">
        <v>416</v>
      </c>
      <c r="BN937" s="15" t="str">
        <f>"99"</f>
        <v>99</v>
      </c>
      <c r="BO937" s="15" t="str">
        <f>"11.5"</f>
        <v>11.5</v>
      </c>
      <c r="BP937" s="15" t="str">
        <f>"46"</f>
        <v>46</v>
      </c>
      <c r="BQ937" s="15" t="str">
        <f>"234.13"</f>
        <v>234.13</v>
      </c>
      <c r="CG937" s="15" t="str">
        <f>"30.3"</f>
        <v>30.3</v>
      </c>
      <c r="CH937" s="15" t="str">
        <f>"0.858"</f>
        <v>0.858</v>
      </c>
      <c r="CI937" s="15" t="s">
        <v>417</v>
      </c>
      <c r="CZ937" s="15" t="s">
        <v>419</v>
      </c>
      <c r="DA937" s="15">
        <v>0.0</v>
      </c>
      <c r="DB937" s="15" t="s">
        <v>419</v>
      </c>
      <c r="DD937" s="15">
        <v>0.0</v>
      </c>
      <c r="DG937" s="15" t="s">
        <v>419</v>
      </c>
      <c r="DI937" s="15">
        <v>0.0</v>
      </c>
      <c r="DJ937" s="15">
        <v>0.0</v>
      </c>
      <c r="DK937" s="15">
        <v>0.0</v>
      </c>
      <c r="DQ937" s="15">
        <v>6.0</v>
      </c>
      <c r="DR937" s="15" t="s">
        <v>471</v>
      </c>
      <c r="DS937" s="15" t="s">
        <v>9419</v>
      </c>
      <c r="DU937" s="15" t="s">
        <v>424</v>
      </c>
      <c r="EF937" s="15" t="s">
        <v>1806</v>
      </c>
      <c r="EG937" s="15" t="s">
        <v>734</v>
      </c>
      <c r="EH937" s="15" t="s">
        <v>2379</v>
      </c>
      <c r="EQ937" s="15" t="s">
        <v>429</v>
      </c>
      <c r="ER937" s="15" t="s">
        <v>558</v>
      </c>
      <c r="ES937" s="15" t="s">
        <v>3011</v>
      </c>
      <c r="ET937" s="15" t="s">
        <v>1188</v>
      </c>
      <c r="EU937" s="15" t="s">
        <v>426</v>
      </c>
      <c r="EV937" s="15">
        <v>0.0</v>
      </c>
      <c r="EW937" s="15">
        <v>0.0</v>
      </c>
      <c r="FD937" s="15" t="s">
        <v>9420</v>
      </c>
      <c r="FE937" s="15" t="s">
        <v>1806</v>
      </c>
      <c r="FG937" s="15" t="s">
        <v>559</v>
      </c>
      <c r="FX937" s="15" t="s">
        <v>426</v>
      </c>
    </row>
    <row r="938" ht="17.25" customHeight="1">
      <c r="A938" s="15" t="s">
        <v>9424</v>
      </c>
      <c r="B938" s="15" t="str">
        <f>"801542769772"</f>
        <v>801542769772</v>
      </c>
      <c r="C938" s="15" t="s">
        <v>22689</v>
      </c>
      <c r="D938" s="15" t="str">
        <f t="shared" si="1"/>
        <v>Sorrento End TableAged Drift Mindi</v>
      </c>
      <c r="E938" s="15" t="s">
        <v>9421</v>
      </c>
      <c r="F938" s="15" t="s">
        <v>397</v>
      </c>
      <c r="G938" s="15" t="s">
        <v>9423</v>
      </c>
      <c r="J938" s="15" t="s">
        <v>9423</v>
      </c>
      <c r="M938" s="15" t="s">
        <v>5444</v>
      </c>
      <c r="N938" s="15" t="s">
        <v>1154</v>
      </c>
      <c r="P938" s="15" t="str">
        <f t="shared" ref="P938:Q938" si="2721">"21"</f>
        <v>21</v>
      </c>
      <c r="Q938" s="15" t="str">
        <f t="shared" si="2721"/>
        <v>21</v>
      </c>
      <c r="R938" s="15" t="str">
        <f>"19"</f>
        <v>19</v>
      </c>
      <c r="S938" s="15" t="str">
        <f>"26.46"</f>
        <v>26.46</v>
      </c>
      <c r="T938" s="15" t="s">
        <v>5803</v>
      </c>
      <c r="U938" s="15" t="s">
        <v>17022</v>
      </c>
      <c r="AA938" s="15" t="s">
        <v>413</v>
      </c>
      <c r="AB938" s="15" t="s">
        <v>413</v>
      </c>
      <c r="AC938" s="15" t="s">
        <v>9426</v>
      </c>
      <c r="AD938" s="15" t="s">
        <v>22690</v>
      </c>
      <c r="AE938" s="15" t="s">
        <v>9425</v>
      </c>
      <c r="AF938" s="15" t="s">
        <v>22691</v>
      </c>
      <c r="AG938" s="15" t="s">
        <v>22692</v>
      </c>
      <c r="AH938" s="15" t="s">
        <v>22693</v>
      </c>
      <c r="AI938" s="15" t="s">
        <v>22694</v>
      </c>
      <c r="AJ938" s="15" t="s">
        <v>22695</v>
      </c>
      <c r="AK938" s="15" t="s">
        <v>22696</v>
      </c>
      <c r="AL938" s="15" t="s">
        <v>22697</v>
      </c>
      <c r="AM938" s="15" t="s">
        <v>22698</v>
      </c>
      <c r="BH938" s="15" t="s">
        <v>9422</v>
      </c>
      <c r="BI938" s="15" t="str">
        <f>"349"</f>
        <v>349</v>
      </c>
      <c r="BJ938" s="15" t="str">
        <f>"150"</f>
        <v>150</v>
      </c>
      <c r="BK938" s="15" t="s">
        <v>742</v>
      </c>
      <c r="BL938" s="15" t="str">
        <f t="shared" si="2722"/>
        <v>1</v>
      </c>
      <c r="BM938" s="15" t="s">
        <v>416</v>
      </c>
      <c r="BN938" s="15" t="str">
        <f t="shared" ref="BN938:BO938" si="2723">"25.2"</f>
        <v>25.2</v>
      </c>
      <c r="BO938" s="15" t="str">
        <f t="shared" si="2723"/>
        <v>25.2</v>
      </c>
      <c r="BP938" s="15" t="str">
        <f>"12.01"</f>
        <v>12.01</v>
      </c>
      <c r="BQ938" s="15" t="str">
        <f>"35.27"</f>
        <v>35.27</v>
      </c>
      <c r="CG938" s="15" t="str">
        <f>"4.41"</f>
        <v>4.41</v>
      </c>
      <c r="CH938" s="15" t="str">
        <f>"0.125"</f>
        <v>0.125</v>
      </c>
      <c r="CI938" s="15" t="s">
        <v>417</v>
      </c>
      <c r="CZ938" s="15" t="s">
        <v>419</v>
      </c>
      <c r="DA938" s="15">
        <v>0.0</v>
      </c>
      <c r="DB938" s="15" t="s">
        <v>419</v>
      </c>
      <c r="DD938" s="15">
        <v>0.0</v>
      </c>
      <c r="DF938" s="15" t="s">
        <v>420</v>
      </c>
      <c r="DG938" s="15" t="s">
        <v>419</v>
      </c>
      <c r="DK938" s="15">
        <v>0.0</v>
      </c>
      <c r="DR938" s="15" t="s">
        <v>498</v>
      </c>
      <c r="DS938" s="15" t="s">
        <v>9427</v>
      </c>
      <c r="DU938" s="15" t="s">
        <v>500</v>
      </c>
      <c r="EF938" s="15" t="s">
        <v>5533</v>
      </c>
      <c r="EH938" s="15" t="s">
        <v>7065</v>
      </c>
      <c r="EQ938" s="15" t="s">
        <v>1238</v>
      </c>
      <c r="ER938" s="15" t="s">
        <v>3775</v>
      </c>
      <c r="ES938" s="15" t="s">
        <v>4685</v>
      </c>
      <c r="ET938" s="15" t="s">
        <v>1957</v>
      </c>
      <c r="EU938" s="15" t="s">
        <v>426</v>
      </c>
      <c r="EV938" s="15">
        <v>0.0</v>
      </c>
      <c r="EW938" s="15">
        <v>0.0</v>
      </c>
      <c r="FF938" s="15" t="s">
        <v>2505</v>
      </c>
    </row>
    <row r="939" ht="17.25" customHeight="1">
      <c r="A939" s="15" t="s">
        <v>9430</v>
      </c>
      <c r="B939" s="15" t="str">
        <f>"801542908003"</f>
        <v>801542908003</v>
      </c>
      <c r="C939" s="15" t="s">
        <v>22699</v>
      </c>
      <c r="D939" s="15" t="str">
        <f t="shared" si="1"/>
        <v>Sorrento SideboardAged Drift Mindi</v>
      </c>
      <c r="E939" s="15" t="s">
        <v>9428</v>
      </c>
      <c r="F939" s="15" t="s">
        <v>397</v>
      </c>
      <c r="G939" s="15" t="s">
        <v>9423</v>
      </c>
      <c r="J939" s="15" t="s">
        <v>9423</v>
      </c>
      <c r="M939" s="15" t="s">
        <v>5444</v>
      </c>
      <c r="N939" s="15" t="s">
        <v>664</v>
      </c>
      <c r="P939" s="15" t="str">
        <f>"80"</f>
        <v>80</v>
      </c>
      <c r="Q939" s="15" t="str">
        <f>"20"</f>
        <v>20</v>
      </c>
      <c r="R939" s="15" t="str">
        <f>"31.5"</f>
        <v>31.5</v>
      </c>
      <c r="S939" s="15" t="str">
        <f>"177.47"</f>
        <v>177.47</v>
      </c>
      <c r="T939" s="15" t="s">
        <v>5803</v>
      </c>
      <c r="U939" s="15" t="s">
        <v>17022</v>
      </c>
      <c r="AA939" s="15" t="s">
        <v>413</v>
      </c>
      <c r="AB939" s="15" t="s">
        <v>413</v>
      </c>
      <c r="AC939" s="15" t="s">
        <v>9432</v>
      </c>
      <c r="AD939" s="15" t="s">
        <v>22700</v>
      </c>
      <c r="AE939" s="15" t="s">
        <v>9431</v>
      </c>
      <c r="AF939" s="15" t="s">
        <v>22701</v>
      </c>
      <c r="AG939" s="15" t="s">
        <v>22702</v>
      </c>
      <c r="AH939" s="15" t="s">
        <v>22703</v>
      </c>
      <c r="AI939" s="15" t="s">
        <v>22704</v>
      </c>
      <c r="AJ939" s="15" t="s">
        <v>22705</v>
      </c>
      <c r="AK939" s="15" t="s">
        <v>22706</v>
      </c>
      <c r="AL939" s="15" t="s">
        <v>22707</v>
      </c>
      <c r="AM939" s="15" t="s">
        <v>22708</v>
      </c>
      <c r="AN939" s="15" t="s">
        <v>22709</v>
      </c>
      <c r="AO939" s="15" t="s">
        <v>22710</v>
      </c>
      <c r="AP939" s="15" t="s">
        <v>22711</v>
      </c>
      <c r="AQ939" s="15" t="s">
        <v>22712</v>
      </c>
      <c r="AR939" s="15" t="s">
        <v>22713</v>
      </c>
      <c r="BH939" s="15" t="s">
        <v>9429</v>
      </c>
      <c r="BI939" s="15" t="str">
        <f>"1799"</f>
        <v>1799</v>
      </c>
      <c r="BJ939" s="15" t="str">
        <f>"760"</f>
        <v>760</v>
      </c>
      <c r="BK939" s="15" t="s">
        <v>742</v>
      </c>
      <c r="BL939" s="15" t="str">
        <f>"2"</f>
        <v>2</v>
      </c>
      <c r="BM939" s="15" t="s">
        <v>2238</v>
      </c>
      <c r="BN939" s="15" t="str">
        <f>"28.54"</f>
        <v>28.54</v>
      </c>
      <c r="BO939" s="15" t="str">
        <f>"21.26"</f>
        <v>21.26</v>
      </c>
      <c r="BP939" s="15" t="str">
        <f>"10.83"</f>
        <v>10.83</v>
      </c>
      <c r="BQ939" s="15" t="str">
        <f>"41.89"</f>
        <v>41.89</v>
      </c>
      <c r="BR939" s="15" t="s">
        <v>1564</v>
      </c>
      <c r="BS939" s="15" t="str">
        <f>"77.56"</f>
        <v>77.56</v>
      </c>
      <c r="BT939" s="15" t="str">
        <f>"23.43"</f>
        <v>23.43</v>
      </c>
      <c r="BU939" s="15" t="str">
        <f>"30.12"</f>
        <v>30.12</v>
      </c>
      <c r="BV939" s="15" t="str">
        <f>"169.76"</f>
        <v>169.76</v>
      </c>
      <c r="CG939" s="15" t="str">
        <f>"35.49"</f>
        <v>35.49</v>
      </c>
      <c r="CH939" s="15" t="str">
        <f>"1.005"</f>
        <v>1.005</v>
      </c>
      <c r="CI939" s="15" t="s">
        <v>417</v>
      </c>
      <c r="CM939" s="15" t="s">
        <v>2654</v>
      </c>
      <c r="CN939" s="15" t="s">
        <v>8058</v>
      </c>
      <c r="CO939" s="15" t="s">
        <v>9434</v>
      </c>
      <c r="CZ939" s="15" t="s">
        <v>419</v>
      </c>
      <c r="DA939" s="15">
        <v>0.0</v>
      </c>
      <c r="DB939" s="15" t="s">
        <v>419</v>
      </c>
      <c r="DD939" s="15">
        <v>0.0</v>
      </c>
      <c r="DF939" s="15" t="s">
        <v>420</v>
      </c>
      <c r="DG939" s="15" t="s">
        <v>610</v>
      </c>
      <c r="DI939" s="15">
        <v>18.14</v>
      </c>
      <c r="DJ939" s="15">
        <v>40.0</v>
      </c>
      <c r="DK939" s="15">
        <v>2.0</v>
      </c>
      <c r="DS939" s="15" t="s">
        <v>9427</v>
      </c>
      <c r="DU939" s="15" t="s">
        <v>424</v>
      </c>
      <c r="EF939" s="15" t="s">
        <v>1955</v>
      </c>
      <c r="EU939" s="15" t="s">
        <v>426</v>
      </c>
      <c r="EV939" s="15">
        <v>2.0</v>
      </c>
      <c r="FH939" s="15" t="s">
        <v>2497</v>
      </c>
      <c r="FI939" s="15" t="s">
        <v>782</v>
      </c>
      <c r="FJ939" s="15" t="s">
        <v>1429</v>
      </c>
      <c r="FK939" s="15" t="s">
        <v>2654</v>
      </c>
      <c r="FL939" s="15" t="s">
        <v>782</v>
      </c>
      <c r="FM939" s="15" t="s">
        <v>9434</v>
      </c>
      <c r="FN939" s="15">
        <v>0.0</v>
      </c>
      <c r="FO939" s="15" t="s">
        <v>426</v>
      </c>
      <c r="FP939" s="15" t="s">
        <v>1883</v>
      </c>
      <c r="FQ939" s="15">
        <v>4.0</v>
      </c>
      <c r="FR939" s="15" t="s">
        <v>614</v>
      </c>
      <c r="FS939" s="15" t="s">
        <v>1045</v>
      </c>
      <c r="FT939" s="15">
        <v>0.0</v>
      </c>
      <c r="FU939" s="15" t="s">
        <v>426</v>
      </c>
      <c r="FW939" s="15" t="s">
        <v>616</v>
      </c>
      <c r="GJ939" s="15" t="s">
        <v>2654</v>
      </c>
      <c r="GK939" s="15" t="s">
        <v>8058</v>
      </c>
      <c r="GL939" s="15" t="s">
        <v>9434</v>
      </c>
      <c r="HF939" s="15" t="s">
        <v>1957</v>
      </c>
      <c r="HQ939" s="15" t="s">
        <v>426</v>
      </c>
      <c r="KN939" s="15" t="s">
        <v>426</v>
      </c>
    </row>
    <row r="940" ht="17.25" customHeight="1">
      <c r="A940" s="15" t="s">
        <v>9437</v>
      </c>
      <c r="B940" s="15" t="str">
        <f>"801542731472"</f>
        <v>801542731472</v>
      </c>
      <c r="C940" s="15" t="s">
        <v>22714</v>
      </c>
      <c r="D940" s="15" t="str">
        <f t="shared" si="1"/>
        <v>Soto 8 Drawer DresserBlack</v>
      </c>
      <c r="E940" s="15" t="s">
        <v>9435</v>
      </c>
      <c r="F940" s="15" t="s">
        <v>397</v>
      </c>
      <c r="G940" s="15" t="s">
        <v>838</v>
      </c>
      <c r="J940" s="15" t="s">
        <v>838</v>
      </c>
      <c r="K940" s="15" t="s">
        <v>2064</v>
      </c>
      <c r="M940" s="15" t="s">
        <v>2063</v>
      </c>
      <c r="N940" s="15" t="s">
        <v>412</v>
      </c>
      <c r="P940" s="15" t="str">
        <f>"70"</f>
        <v>70</v>
      </c>
      <c r="Q940" s="15" t="str">
        <f>"19"</f>
        <v>19</v>
      </c>
      <c r="R940" s="15" t="str">
        <f>"33"</f>
        <v>33</v>
      </c>
      <c r="S940" s="15" t="str">
        <f>"276.68"</f>
        <v>276.68</v>
      </c>
      <c r="T940" s="15" t="s">
        <v>2058</v>
      </c>
      <c r="U940" s="15" t="s">
        <v>11139</v>
      </c>
      <c r="AA940" s="15" t="s">
        <v>426</v>
      </c>
      <c r="AB940" s="15" t="s">
        <v>413</v>
      </c>
      <c r="AC940" s="15" t="s">
        <v>9439</v>
      </c>
      <c r="AD940" s="15" t="s">
        <v>22715</v>
      </c>
      <c r="AE940" s="15" t="s">
        <v>9438</v>
      </c>
      <c r="AF940" s="15" t="s">
        <v>22716</v>
      </c>
      <c r="AG940" s="15" t="s">
        <v>22717</v>
      </c>
      <c r="AH940" s="15" t="s">
        <v>22718</v>
      </c>
      <c r="AI940" s="15" t="s">
        <v>22719</v>
      </c>
      <c r="AJ940" s="15" t="s">
        <v>22720</v>
      </c>
      <c r="AK940" s="15" t="s">
        <v>22721</v>
      </c>
      <c r="AL940" s="15" t="s">
        <v>22722</v>
      </c>
      <c r="AM940" s="15" t="s">
        <v>22723</v>
      </c>
      <c r="AN940" s="15" t="s">
        <v>22724</v>
      </c>
      <c r="AO940" s="15" t="s">
        <v>22725</v>
      </c>
      <c r="AP940" s="15" t="s">
        <v>22726</v>
      </c>
      <c r="AQ940" s="15" t="s">
        <v>22727</v>
      </c>
      <c r="AR940" s="15" t="s">
        <v>22728</v>
      </c>
      <c r="BH940" s="15" t="s">
        <v>9436</v>
      </c>
      <c r="BI940" s="15" t="str">
        <f>"2599"</f>
        <v>2599</v>
      </c>
      <c r="BJ940" s="15" t="str">
        <f>"1095"</f>
        <v>1095</v>
      </c>
      <c r="BK940" s="15" t="s">
        <v>742</v>
      </c>
      <c r="BL940" s="15" t="str">
        <f t="shared" ref="BL940:BL944" si="2724">"1"</f>
        <v>1</v>
      </c>
      <c r="BM940" s="15" t="s">
        <v>2043</v>
      </c>
      <c r="BN940" s="15" t="str">
        <f>"74.25"</f>
        <v>74.25</v>
      </c>
      <c r="BO940" s="15" t="str">
        <f>"23.37"</f>
        <v>23.37</v>
      </c>
      <c r="BP940" s="15" t="str">
        <f>"46.5"</f>
        <v>46.5</v>
      </c>
      <c r="BQ940" s="15" t="str">
        <f>"386.91"</f>
        <v>386.91</v>
      </c>
      <c r="CG940" s="15" t="str">
        <f>"46.69"</f>
        <v>46.69</v>
      </c>
      <c r="CH940" s="15" t="str">
        <f>"1.322"</f>
        <v>1.322</v>
      </c>
      <c r="CI940" s="15" t="s">
        <v>497</v>
      </c>
      <c r="CZ940" s="15" t="s">
        <v>1371</v>
      </c>
      <c r="DA940" s="15">
        <v>8.0</v>
      </c>
      <c r="DB940" s="15" t="s">
        <v>419</v>
      </c>
      <c r="DD940" s="15">
        <v>0.0</v>
      </c>
      <c r="DG940" s="15" t="s">
        <v>421</v>
      </c>
      <c r="DK940" s="15">
        <v>0.0</v>
      </c>
      <c r="DR940" s="15" t="s">
        <v>422</v>
      </c>
      <c r="DS940" s="15" t="s">
        <v>9442</v>
      </c>
      <c r="DU940" s="15" t="s">
        <v>500</v>
      </c>
      <c r="EF940" s="15" t="s">
        <v>1955</v>
      </c>
      <c r="EU940" s="15" t="s">
        <v>426</v>
      </c>
      <c r="EV940" s="15">
        <v>0.0</v>
      </c>
      <c r="FQ940" s="15">
        <v>0.0</v>
      </c>
      <c r="FR940" s="15" t="s">
        <v>427</v>
      </c>
      <c r="FZ940" s="15" t="s">
        <v>9443</v>
      </c>
      <c r="GA940" s="15" t="s">
        <v>9443</v>
      </c>
      <c r="GB940" s="15" t="s">
        <v>9444</v>
      </c>
      <c r="GC940" s="15" t="s">
        <v>7450</v>
      </c>
      <c r="GD940" s="15" t="s">
        <v>2019</v>
      </c>
      <c r="GE940" s="15" t="s">
        <v>6397</v>
      </c>
      <c r="GF940" s="15" t="s">
        <v>838</v>
      </c>
    </row>
    <row r="941" ht="17.25" customHeight="1">
      <c r="A941" s="15" t="s">
        <v>9447</v>
      </c>
      <c r="B941" s="15" t="str">
        <f>"801542735326"</f>
        <v>801542735326</v>
      </c>
      <c r="C941" s="15" t="s">
        <v>22729</v>
      </c>
      <c r="D941" s="15" t="str">
        <f t="shared" si="1"/>
        <v>Soto Console TableBlack</v>
      </c>
      <c r="E941" s="15" t="s">
        <v>9445</v>
      </c>
      <c r="F941" s="15" t="s">
        <v>397</v>
      </c>
      <c r="G941" s="15" t="s">
        <v>838</v>
      </c>
      <c r="J941" s="15" t="s">
        <v>838</v>
      </c>
      <c r="K941" s="15" t="s">
        <v>2064</v>
      </c>
      <c r="M941" s="15" t="s">
        <v>2063</v>
      </c>
      <c r="N941" s="15" t="s">
        <v>519</v>
      </c>
      <c r="P941" s="15" t="str">
        <f>"57"</f>
        <v>57</v>
      </c>
      <c r="Q941" s="15" t="str">
        <f>"17"</f>
        <v>17</v>
      </c>
      <c r="R941" s="15" t="str">
        <f>"30"</f>
        <v>30</v>
      </c>
      <c r="S941" s="15" t="str">
        <f>"109.35"</f>
        <v>109.35</v>
      </c>
      <c r="T941" s="15" t="s">
        <v>2058</v>
      </c>
      <c r="U941" s="15" t="s">
        <v>11139</v>
      </c>
      <c r="AA941" s="15" t="s">
        <v>426</v>
      </c>
      <c r="AB941" s="15" t="s">
        <v>413</v>
      </c>
      <c r="AC941" s="15" t="s">
        <v>9449</v>
      </c>
      <c r="AD941" s="15" t="s">
        <v>22730</v>
      </c>
      <c r="AE941" s="15" t="s">
        <v>9448</v>
      </c>
      <c r="AF941" s="15" t="s">
        <v>22731</v>
      </c>
      <c r="AG941" s="15" t="s">
        <v>22732</v>
      </c>
      <c r="AH941" s="15" t="s">
        <v>22733</v>
      </c>
      <c r="AI941" s="15" t="s">
        <v>22734</v>
      </c>
      <c r="AJ941" s="15" t="s">
        <v>22735</v>
      </c>
      <c r="AK941" s="15" t="s">
        <v>22736</v>
      </c>
      <c r="AL941" s="15" t="s">
        <v>22737</v>
      </c>
      <c r="AM941" s="15" t="s">
        <v>22738</v>
      </c>
      <c r="AN941" s="15" t="s">
        <v>22739</v>
      </c>
      <c r="AO941" s="15" t="s">
        <v>22740</v>
      </c>
      <c r="AP941" s="15" t="s">
        <v>22741</v>
      </c>
      <c r="AQ941" s="15" t="s">
        <v>22742</v>
      </c>
      <c r="BH941" s="15" t="s">
        <v>9446</v>
      </c>
      <c r="BI941" s="15" t="str">
        <f>"1199"</f>
        <v>1199</v>
      </c>
      <c r="BJ941" s="15" t="str">
        <f>"505"</f>
        <v>505</v>
      </c>
      <c r="BK941" s="15" t="s">
        <v>742</v>
      </c>
      <c r="BL941" s="15" t="str">
        <f t="shared" si="2724"/>
        <v>1</v>
      </c>
      <c r="BM941" s="15" t="s">
        <v>416</v>
      </c>
      <c r="BN941" s="15" t="str">
        <f>"60.83"</f>
        <v>60.83</v>
      </c>
      <c r="BO941" s="15" t="str">
        <f>"20.87"</f>
        <v>20.87</v>
      </c>
      <c r="BP941" s="15" t="str">
        <f>"37.4"</f>
        <v>37.4</v>
      </c>
      <c r="BQ941" s="15" t="str">
        <f>"160.94"</f>
        <v>160.94</v>
      </c>
      <c r="CG941" s="15" t="str">
        <f>"27.47"</f>
        <v>27.47</v>
      </c>
      <c r="CH941" s="15" t="str">
        <f>"0.778"</f>
        <v>0.778</v>
      </c>
      <c r="CI941" s="15" t="s">
        <v>497</v>
      </c>
      <c r="CJ941" s="15" t="s">
        <v>5123</v>
      </c>
      <c r="CK941" s="15" t="s">
        <v>612</v>
      </c>
      <c r="CL941" s="15" t="s">
        <v>2337</v>
      </c>
      <c r="CM941" s="15" t="s">
        <v>5123</v>
      </c>
      <c r="CN941" s="15" t="s">
        <v>8487</v>
      </c>
      <c r="CO941" s="15" t="s">
        <v>2337</v>
      </c>
      <c r="CZ941" s="15" t="s">
        <v>1371</v>
      </c>
      <c r="DA941" s="15">
        <v>2.0</v>
      </c>
      <c r="DB941" s="15" t="s">
        <v>419</v>
      </c>
      <c r="DD941" s="15">
        <v>1.0</v>
      </c>
      <c r="DE941" s="15" t="s">
        <v>426</v>
      </c>
      <c r="DG941" s="15" t="s">
        <v>421</v>
      </c>
      <c r="DK941" s="15">
        <v>0.0</v>
      </c>
      <c r="DR941" s="15" t="s">
        <v>471</v>
      </c>
      <c r="DS941" s="15" t="s">
        <v>9442</v>
      </c>
      <c r="DU941" s="15" t="s">
        <v>500</v>
      </c>
      <c r="EF941" s="15" t="s">
        <v>1955</v>
      </c>
      <c r="EG941" s="15" t="s">
        <v>2143</v>
      </c>
      <c r="EH941" s="15" t="s">
        <v>9451</v>
      </c>
      <c r="EQ941" s="15" t="s">
        <v>2654</v>
      </c>
      <c r="ER941" s="15" t="s">
        <v>558</v>
      </c>
      <c r="ES941" s="15" t="s">
        <v>9452</v>
      </c>
      <c r="ET941" s="15" t="s">
        <v>612</v>
      </c>
      <c r="EU941" s="15" t="s">
        <v>426</v>
      </c>
      <c r="EV941" s="15">
        <v>1.0</v>
      </c>
      <c r="EW941" s="15">
        <v>0.0</v>
      </c>
      <c r="FQ941" s="15">
        <v>0.0</v>
      </c>
      <c r="FR941" s="15" t="s">
        <v>427</v>
      </c>
      <c r="FZ941" s="15" t="s">
        <v>9453</v>
      </c>
      <c r="GB941" s="15" t="s">
        <v>7051</v>
      </c>
      <c r="GD941" s="15" t="s">
        <v>1482</v>
      </c>
      <c r="GF941" s="15" t="s">
        <v>838</v>
      </c>
    </row>
    <row r="942" ht="17.25" customHeight="1">
      <c r="A942" s="15" t="s">
        <v>9456</v>
      </c>
      <c r="B942" s="15" t="str">
        <f>"801542735982"</f>
        <v>801542735982</v>
      </c>
      <c r="C942" s="15" t="s">
        <v>22743</v>
      </c>
      <c r="D942" s="15" t="str">
        <f t="shared" si="1"/>
        <v>Soto Media ConsoleBlack</v>
      </c>
      <c r="E942" s="15" t="s">
        <v>9454</v>
      </c>
      <c r="F942" s="15" t="s">
        <v>397</v>
      </c>
      <c r="G942" s="15" t="s">
        <v>838</v>
      </c>
      <c r="J942" s="15" t="s">
        <v>838</v>
      </c>
      <c r="K942" s="15" t="s">
        <v>2064</v>
      </c>
      <c r="M942" s="15" t="s">
        <v>2063</v>
      </c>
      <c r="N942" s="15" t="s">
        <v>602</v>
      </c>
      <c r="P942" s="15" t="str">
        <f>"70"</f>
        <v>70</v>
      </c>
      <c r="Q942" s="15" t="str">
        <f>"18"</f>
        <v>18</v>
      </c>
      <c r="R942" s="15" t="str">
        <f>"28"</f>
        <v>28</v>
      </c>
      <c r="S942" s="15" t="str">
        <f>"195.55"</f>
        <v>195.55</v>
      </c>
      <c r="T942" s="15" t="s">
        <v>2058</v>
      </c>
      <c r="U942" s="15" t="s">
        <v>11139</v>
      </c>
      <c r="AA942" s="15" t="s">
        <v>413</v>
      </c>
      <c r="AB942" s="15" t="s">
        <v>413</v>
      </c>
      <c r="AC942" s="15" t="s">
        <v>9459</v>
      </c>
      <c r="AD942" s="15" t="s">
        <v>22744</v>
      </c>
      <c r="AE942" s="15" t="s">
        <v>9458</v>
      </c>
      <c r="AF942" s="15" t="s">
        <v>22745</v>
      </c>
      <c r="AG942" s="15" t="s">
        <v>22746</v>
      </c>
      <c r="AH942" s="15" t="s">
        <v>22747</v>
      </c>
      <c r="AI942" s="15" t="s">
        <v>22748</v>
      </c>
      <c r="AJ942" s="15" t="s">
        <v>22749</v>
      </c>
      <c r="AK942" s="15" t="s">
        <v>22750</v>
      </c>
      <c r="AL942" s="15" t="s">
        <v>22751</v>
      </c>
      <c r="AM942" s="15" t="s">
        <v>22752</v>
      </c>
      <c r="AN942" s="15" t="s">
        <v>22753</v>
      </c>
      <c r="AO942" s="15" t="s">
        <v>22754</v>
      </c>
      <c r="AP942" s="15" t="s">
        <v>22755</v>
      </c>
      <c r="BH942" s="15" t="s">
        <v>9455</v>
      </c>
      <c r="BI942" s="15" t="str">
        <f>"1899"</f>
        <v>1899</v>
      </c>
      <c r="BJ942" s="15" t="str">
        <f>"800"</f>
        <v>800</v>
      </c>
      <c r="BK942" s="15" t="s">
        <v>742</v>
      </c>
      <c r="BL942" s="15" t="str">
        <f t="shared" si="2724"/>
        <v>1</v>
      </c>
      <c r="BM942" s="15" t="s">
        <v>2043</v>
      </c>
      <c r="BN942" s="15" t="str">
        <f>"74"</f>
        <v>74</v>
      </c>
      <c r="BO942" s="15" t="str">
        <f>"22.25"</f>
        <v>22.25</v>
      </c>
      <c r="BP942" s="15" t="str">
        <f>"35.25"</f>
        <v>35.25</v>
      </c>
      <c r="BQ942" s="15" t="str">
        <f>"261.69"</f>
        <v>261.69</v>
      </c>
      <c r="CG942" s="15" t="str">
        <f>"33.58"</f>
        <v>33.58</v>
      </c>
      <c r="CH942" s="15" t="str">
        <f>"0.951"</f>
        <v>0.951</v>
      </c>
      <c r="CI942" s="15" t="s">
        <v>497</v>
      </c>
      <c r="CJ942" s="15" t="s">
        <v>5754</v>
      </c>
      <c r="CK942" s="15" t="s">
        <v>2046</v>
      </c>
      <c r="CL942" s="15" t="s">
        <v>2019</v>
      </c>
      <c r="CM942" s="15" t="s">
        <v>2654</v>
      </c>
      <c r="CN942" s="15" t="s">
        <v>5754</v>
      </c>
      <c r="CO942" s="15" t="s">
        <v>2019</v>
      </c>
      <c r="CZ942" s="15" t="s">
        <v>1371</v>
      </c>
      <c r="DA942" s="15">
        <v>4.0</v>
      </c>
      <c r="DB942" s="15" t="s">
        <v>419</v>
      </c>
      <c r="DD942" s="15">
        <v>1.0</v>
      </c>
      <c r="DE942" s="15" t="s">
        <v>426</v>
      </c>
      <c r="DG942" s="15" t="s">
        <v>610</v>
      </c>
      <c r="DI942" s="15">
        <v>15.2</v>
      </c>
      <c r="DJ942" s="15">
        <v>33.5</v>
      </c>
      <c r="DK942" s="15">
        <v>0.0</v>
      </c>
      <c r="DS942" s="15" t="s">
        <v>9442</v>
      </c>
      <c r="EF942" s="15" t="s">
        <v>1955</v>
      </c>
      <c r="EU942" s="15" t="s">
        <v>426</v>
      </c>
      <c r="EV942" s="15">
        <v>2.0</v>
      </c>
      <c r="FQ942" s="15">
        <v>0.0</v>
      </c>
      <c r="FR942" s="15" t="s">
        <v>427</v>
      </c>
      <c r="FZ942" s="15" t="s">
        <v>2159</v>
      </c>
      <c r="GB942" s="15" t="s">
        <v>9461</v>
      </c>
      <c r="GD942" s="15" t="s">
        <v>9462</v>
      </c>
      <c r="GF942" s="15" t="s">
        <v>838</v>
      </c>
      <c r="GM942" s="15">
        <v>0.0</v>
      </c>
    </row>
    <row r="943" ht="17.25" customHeight="1">
      <c r="A943" s="15" t="s">
        <v>9465</v>
      </c>
      <c r="B943" s="15" t="str">
        <f>"801542735357"</f>
        <v>801542735357</v>
      </c>
      <c r="C943" s="15" t="s">
        <v>22756</v>
      </c>
      <c r="D943" s="15" t="str">
        <f t="shared" si="1"/>
        <v>Soto SideboardBlack</v>
      </c>
      <c r="E943" s="15" t="s">
        <v>9463</v>
      </c>
      <c r="F943" s="15" t="s">
        <v>397</v>
      </c>
      <c r="G943" s="15" t="s">
        <v>838</v>
      </c>
      <c r="J943" s="15" t="s">
        <v>838</v>
      </c>
      <c r="K943" s="15" t="s">
        <v>2064</v>
      </c>
      <c r="M943" s="15" t="s">
        <v>2063</v>
      </c>
      <c r="N943" s="15" t="s">
        <v>664</v>
      </c>
      <c r="P943" s="15" t="str">
        <f>"74"</f>
        <v>74</v>
      </c>
      <c r="Q943" s="15" t="str">
        <f>"19"</f>
        <v>19</v>
      </c>
      <c r="R943" s="15" t="str">
        <f>"34"</f>
        <v>34</v>
      </c>
      <c r="S943" s="15" t="str">
        <f>"231.26"</f>
        <v>231.26</v>
      </c>
      <c r="T943" s="15" t="s">
        <v>2058</v>
      </c>
      <c r="U943" s="15" t="s">
        <v>11139</v>
      </c>
      <c r="AA943" s="15" t="s">
        <v>426</v>
      </c>
      <c r="AB943" s="15" t="s">
        <v>413</v>
      </c>
      <c r="AC943" s="15" t="s">
        <v>9468</v>
      </c>
      <c r="AD943" s="15" t="s">
        <v>22757</v>
      </c>
      <c r="AE943" s="15" t="s">
        <v>9467</v>
      </c>
      <c r="AF943" s="15" t="s">
        <v>22758</v>
      </c>
      <c r="AG943" s="15" t="s">
        <v>22759</v>
      </c>
      <c r="AH943" s="15" t="s">
        <v>22760</v>
      </c>
      <c r="AI943" s="15" t="s">
        <v>22761</v>
      </c>
      <c r="AJ943" s="15" t="s">
        <v>22762</v>
      </c>
      <c r="AK943" s="15" t="s">
        <v>22763</v>
      </c>
      <c r="AL943" s="15" t="s">
        <v>22764</v>
      </c>
      <c r="AM943" s="15" t="s">
        <v>22765</v>
      </c>
      <c r="AN943" s="15" t="s">
        <v>22766</v>
      </c>
      <c r="AO943" s="15" t="s">
        <v>22767</v>
      </c>
      <c r="AP943" s="15" t="s">
        <v>22768</v>
      </c>
      <c r="BH943" s="15" t="s">
        <v>9464</v>
      </c>
      <c r="BI943" s="15" t="str">
        <f>"2499"</f>
        <v>2499</v>
      </c>
      <c r="BJ943" s="15" t="str">
        <f>"1050"</f>
        <v>1050</v>
      </c>
      <c r="BK943" s="15" t="s">
        <v>742</v>
      </c>
      <c r="BL943" s="15" t="str">
        <f t="shared" si="2724"/>
        <v>1</v>
      </c>
      <c r="BM943" s="15" t="s">
        <v>2043</v>
      </c>
      <c r="BN943" s="15" t="str">
        <f>"78"</f>
        <v>78</v>
      </c>
      <c r="BO943" s="15" t="str">
        <f>"23"</f>
        <v>23</v>
      </c>
      <c r="BP943" s="15" t="str">
        <f>"41.25"</f>
        <v>41.25</v>
      </c>
      <c r="BQ943" s="15" t="str">
        <f>"305.34"</f>
        <v>305.34</v>
      </c>
      <c r="CG943" s="15" t="str">
        <f>"42.84"</f>
        <v>42.84</v>
      </c>
      <c r="CH943" s="15" t="str">
        <f>"1.213"</f>
        <v>1.213</v>
      </c>
      <c r="CI943" s="15" t="s">
        <v>497</v>
      </c>
      <c r="CJ943" s="15" t="s">
        <v>778</v>
      </c>
      <c r="CK943" s="15" t="s">
        <v>2046</v>
      </c>
      <c r="CL943" s="15" t="s">
        <v>5558</v>
      </c>
      <c r="CM943" s="15" t="s">
        <v>778</v>
      </c>
      <c r="CN943" s="15" t="s">
        <v>1442</v>
      </c>
      <c r="CO943" s="15" t="s">
        <v>5558</v>
      </c>
      <c r="CZ943" s="15" t="s">
        <v>1371</v>
      </c>
      <c r="DA943" s="15">
        <v>3.0</v>
      </c>
      <c r="DB943" s="15" t="s">
        <v>419</v>
      </c>
      <c r="DD943" s="15">
        <v>2.0</v>
      </c>
      <c r="DE943" s="15" t="s">
        <v>426</v>
      </c>
      <c r="DG943" s="15" t="s">
        <v>610</v>
      </c>
      <c r="DI943" s="15">
        <v>18.14</v>
      </c>
      <c r="DJ943" s="15">
        <v>40.0</v>
      </c>
      <c r="DK943" s="15">
        <v>0.0</v>
      </c>
      <c r="DS943" s="15" t="s">
        <v>9442</v>
      </c>
      <c r="DU943" s="15" t="s">
        <v>424</v>
      </c>
      <c r="EF943" s="15" t="s">
        <v>1955</v>
      </c>
      <c r="EU943" s="15" t="s">
        <v>426</v>
      </c>
      <c r="EV943" s="15">
        <v>4.0</v>
      </c>
      <c r="FH943" s="15" t="s">
        <v>6079</v>
      </c>
      <c r="FI943" s="15" t="s">
        <v>612</v>
      </c>
      <c r="FJ943" s="15" t="s">
        <v>5083</v>
      </c>
      <c r="FN943" s="15">
        <v>0.0</v>
      </c>
      <c r="FP943" s="15" t="s">
        <v>785</v>
      </c>
      <c r="FQ943" s="15">
        <v>3.0</v>
      </c>
      <c r="FR943" s="15" t="s">
        <v>3133</v>
      </c>
      <c r="FS943" s="15" t="s">
        <v>786</v>
      </c>
      <c r="FT943" s="15">
        <v>0.0</v>
      </c>
      <c r="FW943" s="15" t="s">
        <v>616</v>
      </c>
      <c r="FZ943" s="15" t="s">
        <v>2159</v>
      </c>
      <c r="GB943" s="15" t="s">
        <v>4493</v>
      </c>
      <c r="GD943" s="15" t="s">
        <v>9470</v>
      </c>
      <c r="GF943" s="15" t="s">
        <v>838</v>
      </c>
      <c r="GJ943" s="15" t="s">
        <v>778</v>
      </c>
      <c r="GK943" s="15" t="s">
        <v>1442</v>
      </c>
      <c r="GL943" s="15" t="s">
        <v>9471</v>
      </c>
      <c r="JU943" s="15" t="s">
        <v>778</v>
      </c>
      <c r="JV943" s="15" t="s">
        <v>2046</v>
      </c>
      <c r="JW943" s="15" t="s">
        <v>9471</v>
      </c>
    </row>
    <row r="944" ht="17.25" customHeight="1">
      <c r="A944" s="15" t="s">
        <v>9475</v>
      </c>
      <c r="B944" s="15" t="str">
        <f>"801542248055"</f>
        <v>801542248055</v>
      </c>
      <c r="C944" s="15" t="s">
        <v>22769</v>
      </c>
      <c r="D944" s="15" t="str">
        <f t="shared" si="1"/>
        <v>Sparrow Coffee TableAshen Oak Resawn</v>
      </c>
      <c r="E944" s="15" t="s">
        <v>9472</v>
      </c>
      <c r="F944" s="15" t="s">
        <v>397</v>
      </c>
      <c r="G944" s="15" t="s">
        <v>9474</v>
      </c>
      <c r="J944" s="15" t="s">
        <v>9474</v>
      </c>
      <c r="M944" s="15" t="s">
        <v>1474</v>
      </c>
      <c r="N944" s="15" t="s">
        <v>491</v>
      </c>
      <c r="P944" s="15" t="str">
        <f t="shared" ref="P944:Q944" si="2725">"55"</f>
        <v>55</v>
      </c>
      <c r="Q944" s="15" t="str">
        <f t="shared" si="2725"/>
        <v>55</v>
      </c>
      <c r="R944" s="15" t="str">
        <f>"14"</f>
        <v>14</v>
      </c>
      <c r="S944" s="15" t="str">
        <f>"145.5"</f>
        <v>145.5</v>
      </c>
      <c r="T944" s="15" t="s">
        <v>8980</v>
      </c>
      <c r="U944" s="15" t="s">
        <v>14167</v>
      </c>
      <c r="AA944" s="15" t="s">
        <v>413</v>
      </c>
      <c r="AB944" s="15" t="s">
        <v>413</v>
      </c>
      <c r="AC944" s="15" t="s">
        <v>9477</v>
      </c>
      <c r="AD944" s="15" t="s">
        <v>22770</v>
      </c>
      <c r="AE944" s="15" t="s">
        <v>9476</v>
      </c>
      <c r="AF944" s="15" t="s">
        <v>22771</v>
      </c>
      <c r="AG944" s="15" t="s">
        <v>22772</v>
      </c>
      <c r="AH944" s="15" t="s">
        <v>22773</v>
      </c>
      <c r="AI944" s="15" t="s">
        <v>22774</v>
      </c>
      <c r="AJ944" s="15" t="s">
        <v>22775</v>
      </c>
      <c r="AK944" s="15" t="s">
        <v>22776</v>
      </c>
      <c r="AL944" s="15" t="s">
        <v>22777</v>
      </c>
      <c r="AM944" s="15" t="s">
        <v>22778</v>
      </c>
      <c r="AN944" s="15" t="s">
        <v>22779</v>
      </c>
      <c r="AO944" s="15" t="s">
        <v>22780</v>
      </c>
      <c r="AP944" s="15" t="s">
        <v>22781</v>
      </c>
      <c r="AQ944" s="15" t="s">
        <v>22782</v>
      </c>
      <c r="AR944" s="15" t="s">
        <v>22783</v>
      </c>
      <c r="AS944" s="15" t="s">
        <v>22784</v>
      </c>
      <c r="BH944" s="15" t="s">
        <v>9473</v>
      </c>
      <c r="BI944" s="15" t="str">
        <f>"2999"</f>
        <v>2999</v>
      </c>
      <c r="BJ944" s="15" t="str">
        <f>"1260"</f>
        <v>1260</v>
      </c>
      <c r="BK944" s="15" t="s">
        <v>709</v>
      </c>
      <c r="BL944" s="15" t="str">
        <f t="shared" si="2724"/>
        <v>1</v>
      </c>
      <c r="BM944" s="15" t="s">
        <v>416</v>
      </c>
      <c r="BN944" s="15" t="str">
        <f t="shared" ref="BN944:BO944" si="2726">"57.09"</f>
        <v>57.09</v>
      </c>
      <c r="BO944" s="15" t="str">
        <f t="shared" si="2726"/>
        <v>57.09</v>
      </c>
      <c r="BP944" s="15" t="str">
        <f>"17.72"</f>
        <v>17.72</v>
      </c>
      <c r="BQ944" s="15" t="str">
        <f>"207.23"</f>
        <v>207.23</v>
      </c>
      <c r="CG944" s="15" t="str">
        <f>"33.41"</f>
        <v>33.41</v>
      </c>
      <c r="CH944" s="15" t="str">
        <f>"0.946"</f>
        <v>0.946</v>
      </c>
      <c r="CI944" s="15" t="s">
        <v>497</v>
      </c>
      <c r="CZ944" s="15" t="s">
        <v>419</v>
      </c>
      <c r="DA944" s="15">
        <v>0.0</v>
      </c>
      <c r="DB944" s="15" t="s">
        <v>419</v>
      </c>
      <c r="DD944" s="15">
        <v>0.0</v>
      </c>
      <c r="DF944" s="15" t="s">
        <v>721</v>
      </c>
      <c r="DG944" s="15" t="s">
        <v>419</v>
      </c>
      <c r="DK944" s="15">
        <v>0.0</v>
      </c>
      <c r="DR944" s="15" t="s">
        <v>1157</v>
      </c>
      <c r="DS944" s="15" t="s">
        <v>9478</v>
      </c>
      <c r="DU944" s="15" t="s">
        <v>500</v>
      </c>
      <c r="EF944" s="15" t="s">
        <v>9479</v>
      </c>
      <c r="EG944" s="15" t="s">
        <v>9480</v>
      </c>
      <c r="EH944" s="15" t="s">
        <v>9480</v>
      </c>
      <c r="EQ944" s="15" t="s">
        <v>1957</v>
      </c>
      <c r="ER944" s="15" t="s">
        <v>7172</v>
      </c>
      <c r="ES944" s="15" t="s">
        <v>2651</v>
      </c>
      <c r="ET944" s="15" t="s">
        <v>1957</v>
      </c>
      <c r="EU944" s="15" t="s">
        <v>426</v>
      </c>
      <c r="EV944" s="15">
        <v>0.0</v>
      </c>
      <c r="EW944" s="15">
        <v>0.0</v>
      </c>
      <c r="FF944" s="15" t="s">
        <v>7688</v>
      </c>
    </row>
    <row r="945" ht="17.25" customHeight="1">
      <c r="A945" s="15" t="s">
        <v>9484</v>
      </c>
      <c r="B945" s="15" t="str">
        <f>"801542327194"</f>
        <v>801542327194</v>
      </c>
      <c r="C945" s="15" t="s">
        <v>22785</v>
      </c>
      <c r="D945" s="15" t="str">
        <f t="shared" si="1"/>
        <v>Spider Console TableBright Brass Clad</v>
      </c>
      <c r="E945" s="15" t="s">
        <v>9481</v>
      </c>
      <c r="F945" s="15" t="s">
        <v>397</v>
      </c>
      <c r="G945" s="15" t="s">
        <v>9483</v>
      </c>
      <c r="J945" s="15" t="s">
        <v>9483</v>
      </c>
      <c r="K945" s="15" t="s">
        <v>9488</v>
      </c>
      <c r="L945" s="15" t="s">
        <v>1528</v>
      </c>
      <c r="M945" s="15" t="s">
        <v>3185</v>
      </c>
      <c r="N945" s="15" t="s">
        <v>519</v>
      </c>
      <c r="P945" s="15" t="str">
        <f t="shared" ref="P945:P946" si="2727">"65"</f>
        <v>65</v>
      </c>
      <c r="Q945" s="15" t="str">
        <f t="shared" ref="Q945:Q946" si="2728">"18"</f>
        <v>18</v>
      </c>
      <c r="R945" s="15" t="str">
        <f>"30"</f>
        <v>30</v>
      </c>
      <c r="S945" s="15" t="str">
        <f>"61.729"</f>
        <v>61.729</v>
      </c>
      <c r="T945" s="15" t="s">
        <v>9487</v>
      </c>
      <c r="U945" s="15" t="s">
        <v>13535</v>
      </c>
      <c r="V945" s="15" t="s">
        <v>11139</v>
      </c>
      <c r="W945" s="15" t="s">
        <v>11338</v>
      </c>
      <c r="AA945" s="15" t="s">
        <v>413</v>
      </c>
      <c r="AB945" s="15" t="s">
        <v>413</v>
      </c>
      <c r="AC945" s="15" t="s">
        <v>9489</v>
      </c>
      <c r="AD945" s="15" t="s">
        <v>22786</v>
      </c>
      <c r="AE945" s="15" t="s">
        <v>9486</v>
      </c>
      <c r="AF945" s="15" t="s">
        <v>22787</v>
      </c>
      <c r="AG945" s="15" t="s">
        <v>22788</v>
      </c>
      <c r="AH945" s="15" t="s">
        <v>22789</v>
      </c>
      <c r="AI945" s="15" t="s">
        <v>22790</v>
      </c>
      <c r="AJ945" s="15" t="s">
        <v>22791</v>
      </c>
      <c r="AK945" s="15" t="s">
        <v>22792</v>
      </c>
      <c r="AL945" s="15" t="s">
        <v>22793</v>
      </c>
      <c r="AM945" s="15" t="s">
        <v>22794</v>
      </c>
      <c r="AN945" s="15" t="s">
        <v>22795</v>
      </c>
      <c r="BH945" s="15" t="s">
        <v>9482</v>
      </c>
      <c r="BI945" s="15" t="str">
        <f>"1549"</f>
        <v>1549</v>
      </c>
      <c r="BJ945" s="15" t="str">
        <f>"655"</f>
        <v>655</v>
      </c>
      <c r="BK945" s="15" t="s">
        <v>709</v>
      </c>
      <c r="BL945" s="15" t="str">
        <f>"2"</f>
        <v>2</v>
      </c>
      <c r="BM945" s="15" t="s">
        <v>2238</v>
      </c>
      <c r="BN945" s="15" t="str">
        <f>"31.89"</f>
        <v>31.89</v>
      </c>
      <c r="BO945" s="15" t="str">
        <f>"27.95"</f>
        <v>27.95</v>
      </c>
      <c r="BP945" s="15" t="str">
        <f>"11.02"</f>
        <v>11.02</v>
      </c>
      <c r="BQ945" s="15" t="str">
        <f>"35.27"</f>
        <v>35.27</v>
      </c>
      <c r="BR945" s="15" t="s">
        <v>1564</v>
      </c>
      <c r="BS945" s="15" t="str">
        <f>"68.9"</f>
        <v>68.9</v>
      </c>
      <c r="BT945" s="15" t="str">
        <f>"4.92"</f>
        <v>4.92</v>
      </c>
      <c r="BU945" s="15" t="str">
        <f>"22.64"</f>
        <v>22.64</v>
      </c>
      <c r="BV945" s="15" t="str">
        <f>"44.09"</f>
        <v>44.09</v>
      </c>
      <c r="CG945" s="15" t="str">
        <f>"10.14"</f>
        <v>10.14</v>
      </c>
      <c r="CH945" s="15" t="str">
        <f>"0.287"</f>
        <v>0.287</v>
      </c>
      <c r="CI945" s="15" t="s">
        <v>465</v>
      </c>
      <c r="CZ945" s="15" t="s">
        <v>419</v>
      </c>
      <c r="DA945" s="15">
        <v>0.0</v>
      </c>
      <c r="DB945" s="15" t="s">
        <v>419</v>
      </c>
      <c r="DD945" s="15">
        <v>0.0</v>
      </c>
      <c r="DF945" s="15" t="s">
        <v>1186</v>
      </c>
      <c r="DG945" s="15" t="s">
        <v>419</v>
      </c>
      <c r="DK945" s="15">
        <v>0.0</v>
      </c>
      <c r="DR945" s="15" t="s">
        <v>471</v>
      </c>
      <c r="DS945" s="15" t="s">
        <v>9490</v>
      </c>
      <c r="DU945" s="15" t="s">
        <v>500</v>
      </c>
      <c r="EF945" s="15" t="s">
        <v>9491</v>
      </c>
      <c r="EG945" s="15" t="s">
        <v>2805</v>
      </c>
      <c r="EH945" s="15" t="s">
        <v>2399</v>
      </c>
      <c r="EQ945" s="15" t="s">
        <v>1075</v>
      </c>
      <c r="ER945" s="15" t="s">
        <v>2839</v>
      </c>
      <c r="ES945" s="15" t="s">
        <v>9492</v>
      </c>
      <c r="ET945" s="15" t="s">
        <v>9493</v>
      </c>
      <c r="EV945" s="15">
        <v>0.0</v>
      </c>
      <c r="EW945" s="15">
        <v>0.0</v>
      </c>
      <c r="FF945" s="15" t="s">
        <v>2116</v>
      </c>
      <c r="FQ945" s="15">
        <v>0.0</v>
      </c>
      <c r="FR945" s="15" t="s">
        <v>427</v>
      </c>
    </row>
    <row r="946" ht="17.25" customHeight="1">
      <c r="A946" s="15" t="s">
        <v>9497</v>
      </c>
      <c r="B946" s="15" t="str">
        <f>"801542623425"</f>
        <v>801542623425</v>
      </c>
      <c r="C946" s="15" t="s">
        <v>22796</v>
      </c>
      <c r="D946" s="15" t="str">
        <f t="shared" si="1"/>
        <v>Stark SideboardWarm Espresso Veneer</v>
      </c>
      <c r="E946" s="15" t="s">
        <v>9494</v>
      </c>
      <c r="F946" s="15" t="s">
        <v>397</v>
      </c>
      <c r="G946" s="15" t="s">
        <v>9496</v>
      </c>
      <c r="J946" s="15" t="s">
        <v>9496</v>
      </c>
      <c r="M946" s="15" t="s">
        <v>9501</v>
      </c>
      <c r="N946" s="15" t="s">
        <v>664</v>
      </c>
      <c r="P946" s="15" t="str">
        <f t="shared" si="2727"/>
        <v>65</v>
      </c>
      <c r="Q946" s="15" t="str">
        <f t="shared" si="2728"/>
        <v>18</v>
      </c>
      <c r="R946" s="15" t="str">
        <f>"32"</f>
        <v>32</v>
      </c>
      <c r="S946" s="15" t="str">
        <f>"159.39"</f>
        <v>159.39</v>
      </c>
      <c r="T946" s="15" t="s">
        <v>9500</v>
      </c>
      <c r="U946" s="15" t="s">
        <v>16205</v>
      </c>
      <c r="V946" s="15" t="s">
        <v>15527</v>
      </c>
      <c r="AA946" s="15" t="s">
        <v>413</v>
      </c>
      <c r="AB946" s="15" t="s">
        <v>413</v>
      </c>
      <c r="AC946" s="15" t="s">
        <v>9502</v>
      </c>
      <c r="AD946" s="15" t="s">
        <v>22797</v>
      </c>
      <c r="AE946" s="15" t="s">
        <v>9499</v>
      </c>
      <c r="AF946" s="15" t="s">
        <v>22798</v>
      </c>
      <c r="AG946" s="15" t="s">
        <v>22799</v>
      </c>
      <c r="AH946" s="15" t="s">
        <v>22800</v>
      </c>
      <c r="AI946" s="15" t="s">
        <v>22801</v>
      </c>
      <c r="AJ946" s="15" t="s">
        <v>22802</v>
      </c>
      <c r="AK946" s="15" t="s">
        <v>22803</v>
      </c>
      <c r="AL946" s="15" t="s">
        <v>22804</v>
      </c>
      <c r="AM946" s="15" t="s">
        <v>22805</v>
      </c>
      <c r="AN946" s="15" t="s">
        <v>22806</v>
      </c>
      <c r="AO946" s="15" t="s">
        <v>22807</v>
      </c>
      <c r="BH946" s="15" t="s">
        <v>9495</v>
      </c>
      <c r="BI946" s="15" t="str">
        <f t="shared" ref="BI946:BI947" si="2729">"2599"</f>
        <v>2599</v>
      </c>
      <c r="BJ946" s="15" t="str">
        <f t="shared" ref="BJ946:BJ947" si="2730">"1095"</f>
        <v>1095</v>
      </c>
      <c r="BK946" s="15" t="s">
        <v>1181</v>
      </c>
      <c r="BL946" s="15" t="str">
        <f t="shared" ref="BL946:BL953" si="2731">"1"</f>
        <v>1</v>
      </c>
      <c r="BM946" s="15" t="s">
        <v>416</v>
      </c>
      <c r="BN946" s="15" t="str">
        <f>"70.08"</f>
        <v>70.08</v>
      </c>
      <c r="BO946" s="15" t="str">
        <f>"24.61"</f>
        <v>24.61</v>
      </c>
      <c r="BP946" s="15" t="str">
        <f>"40.55"</f>
        <v>40.55</v>
      </c>
      <c r="BQ946" s="15" t="str">
        <f>"210.98"</f>
        <v>210.98</v>
      </c>
      <c r="CG946" s="15" t="str">
        <f>"40.47"</f>
        <v>40.47</v>
      </c>
      <c r="CH946" s="15" t="str">
        <f>"1.146"</f>
        <v>1.146</v>
      </c>
      <c r="CI946" s="15" t="s">
        <v>465</v>
      </c>
      <c r="CM946" s="15" t="s">
        <v>1425</v>
      </c>
      <c r="CN946" s="15" t="s">
        <v>2968</v>
      </c>
      <c r="CO946" s="15" t="s">
        <v>1240</v>
      </c>
      <c r="CZ946" s="15" t="s">
        <v>419</v>
      </c>
      <c r="DA946" s="15">
        <v>0.0</v>
      </c>
      <c r="DB946" s="15" t="s">
        <v>419</v>
      </c>
      <c r="DD946" s="15">
        <v>0.0</v>
      </c>
      <c r="DF946" s="15" t="s">
        <v>1186</v>
      </c>
      <c r="DG946" s="15" t="s">
        <v>610</v>
      </c>
      <c r="DI946" s="15">
        <v>18.14</v>
      </c>
      <c r="DJ946" s="15">
        <v>40.0</v>
      </c>
      <c r="DK946" s="15">
        <v>2.0</v>
      </c>
      <c r="DS946" s="15" t="s">
        <v>9504</v>
      </c>
      <c r="DU946" s="15" t="s">
        <v>500</v>
      </c>
      <c r="EF946" s="15" t="s">
        <v>759</v>
      </c>
      <c r="EU946" s="15" t="s">
        <v>426</v>
      </c>
      <c r="EV946" s="15">
        <v>2.0</v>
      </c>
      <c r="FH946" s="15" t="s">
        <v>1306</v>
      </c>
      <c r="FI946" s="15" t="s">
        <v>2046</v>
      </c>
      <c r="FJ946" s="15" t="s">
        <v>2618</v>
      </c>
      <c r="FK946" s="15" t="s">
        <v>1425</v>
      </c>
      <c r="FL946" s="15" t="s">
        <v>2046</v>
      </c>
      <c r="FM946" s="15" t="s">
        <v>3912</v>
      </c>
      <c r="FN946" s="15">
        <v>0.0</v>
      </c>
      <c r="FO946" s="15" t="s">
        <v>426</v>
      </c>
      <c r="FQ946" s="15">
        <v>4.0</v>
      </c>
      <c r="FR946" s="15" t="s">
        <v>614</v>
      </c>
      <c r="FS946" s="15" t="s">
        <v>1045</v>
      </c>
      <c r="FT946" s="15">
        <v>0.0</v>
      </c>
      <c r="FU946" s="15" t="s">
        <v>426</v>
      </c>
      <c r="FW946" s="15" t="s">
        <v>616</v>
      </c>
      <c r="HF946" s="15" t="s">
        <v>1807</v>
      </c>
      <c r="HQ946" s="15" t="s">
        <v>426</v>
      </c>
    </row>
    <row r="947" ht="17.25" customHeight="1">
      <c r="A947" s="15" t="s">
        <v>9507</v>
      </c>
      <c r="B947" s="15" t="str">
        <f>"198394050807"</f>
        <v>198394050807</v>
      </c>
      <c r="C947" s="15" t="s">
        <v>22808</v>
      </c>
      <c r="D947" s="15" t="str">
        <f t="shared" si="1"/>
        <v>Stella 6 Drawer DresserPalermo Drift</v>
      </c>
      <c r="E947" s="15" t="s">
        <v>9505</v>
      </c>
      <c r="F947" s="15" t="s">
        <v>397</v>
      </c>
      <c r="G947" s="15" t="s">
        <v>1658</v>
      </c>
      <c r="J947" s="15" t="s">
        <v>1658</v>
      </c>
      <c r="K947" s="15" t="s">
        <v>9509</v>
      </c>
      <c r="M947" s="15" t="s">
        <v>2063</v>
      </c>
      <c r="N947" s="15" t="s">
        <v>412</v>
      </c>
      <c r="P947" s="15" t="str">
        <f>"69"</f>
        <v>69</v>
      </c>
      <c r="Q947" s="15" t="str">
        <f>"20.5"</f>
        <v>20.5</v>
      </c>
      <c r="R947" s="15" t="str">
        <f>"31"</f>
        <v>31</v>
      </c>
      <c r="S947" s="15" t="str">
        <f>"242.51"</f>
        <v>242.51</v>
      </c>
      <c r="T947" s="15" t="s">
        <v>2491</v>
      </c>
      <c r="U947" s="15" t="s">
        <v>11137</v>
      </c>
      <c r="V947" s="15" t="s">
        <v>11338</v>
      </c>
      <c r="AA947" s="15" t="s">
        <v>413</v>
      </c>
      <c r="AB947" s="15" t="s">
        <v>413</v>
      </c>
      <c r="AC947" s="15" t="s">
        <v>9510</v>
      </c>
      <c r="AD947" s="15" t="s">
        <v>22809</v>
      </c>
      <c r="AE947" s="15" t="s">
        <v>9508</v>
      </c>
      <c r="AF947" s="15" t="s">
        <v>22810</v>
      </c>
      <c r="AG947" s="15" t="s">
        <v>22811</v>
      </c>
      <c r="AH947" s="15" t="s">
        <v>22812</v>
      </c>
      <c r="AI947" s="15" t="s">
        <v>22813</v>
      </c>
      <c r="AJ947" s="15" t="s">
        <v>22814</v>
      </c>
      <c r="AK947" s="15" t="s">
        <v>22815</v>
      </c>
      <c r="AL947" s="15" t="s">
        <v>22816</v>
      </c>
      <c r="AM947" s="15" t="s">
        <v>22817</v>
      </c>
      <c r="AN947" s="15" t="s">
        <v>22818</v>
      </c>
      <c r="AO947" s="15" t="s">
        <v>22819</v>
      </c>
      <c r="AP947" s="15" t="s">
        <v>22820</v>
      </c>
      <c r="AQ947" s="15" t="s">
        <v>22821</v>
      </c>
      <c r="AR947" s="15" t="s">
        <v>22822</v>
      </c>
      <c r="BH947" s="15" t="s">
        <v>9506</v>
      </c>
      <c r="BI947" s="15" t="str">
        <f t="shared" si="2729"/>
        <v>2599</v>
      </c>
      <c r="BJ947" s="15" t="str">
        <f t="shared" si="2730"/>
        <v>1095</v>
      </c>
      <c r="BK947" s="15" t="s">
        <v>742</v>
      </c>
      <c r="BL947" s="15" t="str">
        <f t="shared" si="2731"/>
        <v>1</v>
      </c>
      <c r="BM947" s="15" t="s">
        <v>416</v>
      </c>
      <c r="BN947" s="15" t="str">
        <f>"74.41"</f>
        <v>74.41</v>
      </c>
      <c r="BO947" s="15" t="str">
        <f>"25.79"</f>
        <v>25.79</v>
      </c>
      <c r="BP947" s="15" t="str">
        <f>"37.01"</f>
        <v>37.01</v>
      </c>
      <c r="BQ947" s="15" t="str">
        <f>"289.91"</f>
        <v>289.91</v>
      </c>
      <c r="CG947" s="15" t="str">
        <f>"41.11"</f>
        <v>41.11</v>
      </c>
      <c r="CH947" s="15" t="str">
        <f>"1.164"</f>
        <v>1.164</v>
      </c>
      <c r="CI947" s="15" t="s">
        <v>465</v>
      </c>
      <c r="CY947" s="15" t="s">
        <v>718</v>
      </c>
      <c r="CZ947" s="15" t="s">
        <v>418</v>
      </c>
      <c r="DA947" s="15">
        <v>6.0</v>
      </c>
      <c r="DB947" s="15" t="s">
        <v>419</v>
      </c>
      <c r="DD947" s="15">
        <v>0.0</v>
      </c>
      <c r="DF947" s="15" t="s">
        <v>420</v>
      </c>
      <c r="DG947" s="15" t="s">
        <v>421</v>
      </c>
      <c r="DK947" s="15">
        <v>0.0</v>
      </c>
      <c r="DL947" s="15">
        <v>0.0</v>
      </c>
      <c r="DR947" s="15" t="s">
        <v>422</v>
      </c>
      <c r="DS947" s="15" t="s">
        <v>9512</v>
      </c>
      <c r="DU947" s="15" t="s">
        <v>500</v>
      </c>
      <c r="EF947" s="15" t="s">
        <v>429</v>
      </c>
      <c r="EU947" s="15" t="s">
        <v>426</v>
      </c>
      <c r="EV947" s="15">
        <v>0.0</v>
      </c>
      <c r="FQ947" s="15">
        <v>0.0</v>
      </c>
      <c r="FR947" s="15" t="s">
        <v>427</v>
      </c>
      <c r="FX947" s="15" t="s">
        <v>426</v>
      </c>
      <c r="FZ947" s="15" t="s">
        <v>2143</v>
      </c>
      <c r="GB947" s="15" t="s">
        <v>9513</v>
      </c>
      <c r="GD947" s="15" t="s">
        <v>9514</v>
      </c>
      <c r="GF947" s="15" t="s">
        <v>431</v>
      </c>
      <c r="GH947" s="15" t="s">
        <v>420</v>
      </c>
    </row>
    <row r="948" ht="17.25" customHeight="1">
      <c r="A948" s="15" t="s">
        <v>9518</v>
      </c>
      <c r="B948" s="15" t="str">
        <f>"198394050814"</f>
        <v>198394050814</v>
      </c>
      <c r="C948" s="15" t="s">
        <v>22823</v>
      </c>
      <c r="D948" s="15" t="str">
        <f t="shared" si="1"/>
        <v>Stella NightstandHazel Oak Veneer</v>
      </c>
      <c r="E948" s="15" t="s">
        <v>9515</v>
      </c>
      <c r="F948" s="15" t="s">
        <v>397</v>
      </c>
      <c r="G948" s="15" t="s">
        <v>9517</v>
      </c>
      <c r="J948" s="15" t="s">
        <v>9517</v>
      </c>
      <c r="K948" s="15" t="s">
        <v>1658</v>
      </c>
      <c r="M948" s="15" t="s">
        <v>2063</v>
      </c>
      <c r="N948" s="15" t="s">
        <v>628</v>
      </c>
      <c r="P948" s="15" t="str">
        <f>"28"</f>
        <v>28</v>
      </c>
      <c r="Q948" s="15" t="str">
        <f>"19.5"</f>
        <v>19.5</v>
      </c>
      <c r="R948" s="15" t="str">
        <f>"23"</f>
        <v>23</v>
      </c>
      <c r="S948" s="15" t="str">
        <f>"78.26"</f>
        <v>78.26</v>
      </c>
      <c r="T948" s="15" t="s">
        <v>9521</v>
      </c>
      <c r="U948" s="15" t="s">
        <v>10881</v>
      </c>
      <c r="V948" s="15" t="s">
        <v>11137</v>
      </c>
      <c r="W948" s="15" t="s">
        <v>11338</v>
      </c>
      <c r="AA948" s="15" t="s">
        <v>413</v>
      </c>
      <c r="AB948" s="15" t="s">
        <v>413</v>
      </c>
      <c r="AC948" s="15" t="s">
        <v>9522</v>
      </c>
      <c r="AD948" s="15" t="s">
        <v>22824</v>
      </c>
      <c r="AE948" s="15" t="s">
        <v>9520</v>
      </c>
      <c r="AF948" s="15" t="s">
        <v>22825</v>
      </c>
      <c r="AG948" s="15" t="s">
        <v>22826</v>
      </c>
      <c r="AH948" s="15" t="s">
        <v>22827</v>
      </c>
      <c r="AI948" s="15" t="s">
        <v>22828</v>
      </c>
      <c r="AJ948" s="15" t="s">
        <v>22829</v>
      </c>
      <c r="AK948" s="15" t="s">
        <v>22830</v>
      </c>
      <c r="AL948" s="15" t="s">
        <v>22831</v>
      </c>
      <c r="AM948" s="15" t="s">
        <v>22832</v>
      </c>
      <c r="AN948" s="15" t="s">
        <v>22833</v>
      </c>
      <c r="AO948" s="15" t="s">
        <v>22834</v>
      </c>
      <c r="AP948" s="15" t="s">
        <v>22835</v>
      </c>
      <c r="AQ948" s="15" t="s">
        <v>22836</v>
      </c>
      <c r="BH948" s="15" t="s">
        <v>9516</v>
      </c>
      <c r="BI948" s="15" t="str">
        <f>"899"</f>
        <v>899</v>
      </c>
      <c r="BJ948" s="15" t="str">
        <f>"380"</f>
        <v>380</v>
      </c>
      <c r="BK948" s="15" t="s">
        <v>742</v>
      </c>
      <c r="BL948" s="15" t="str">
        <f t="shared" si="2731"/>
        <v>1</v>
      </c>
      <c r="BM948" s="15" t="s">
        <v>416</v>
      </c>
      <c r="BN948" s="15" t="str">
        <f>"31.69"</f>
        <v>31.69</v>
      </c>
      <c r="BO948" s="15" t="str">
        <f>"23.23"</f>
        <v>23.23</v>
      </c>
      <c r="BP948" s="15" t="str">
        <f>"28.74"</f>
        <v>28.74</v>
      </c>
      <c r="BQ948" s="15" t="str">
        <f>"100.31"</f>
        <v>100.31</v>
      </c>
      <c r="CG948" s="15" t="str">
        <f>"12.25"</f>
        <v>12.25</v>
      </c>
      <c r="CH948" s="15" t="str">
        <f>"0.347"</f>
        <v>0.347</v>
      </c>
      <c r="CI948" s="15" t="s">
        <v>465</v>
      </c>
      <c r="CZ948" s="15" t="s">
        <v>418</v>
      </c>
      <c r="DA948" s="15">
        <v>2.0</v>
      </c>
      <c r="DB948" s="15" t="s">
        <v>419</v>
      </c>
      <c r="DD948" s="15">
        <v>0.0</v>
      </c>
      <c r="DF948" s="15" t="s">
        <v>420</v>
      </c>
      <c r="DG948" s="15" t="s">
        <v>421</v>
      </c>
      <c r="DK948" s="15">
        <v>0.0</v>
      </c>
      <c r="DR948" s="15" t="s">
        <v>471</v>
      </c>
      <c r="DS948" s="15" t="s">
        <v>9512</v>
      </c>
      <c r="DU948" s="15" t="s">
        <v>500</v>
      </c>
      <c r="EF948" s="15" t="s">
        <v>429</v>
      </c>
      <c r="EU948" s="15" t="s">
        <v>426</v>
      </c>
      <c r="EV948" s="15">
        <v>0.0</v>
      </c>
      <c r="FQ948" s="15">
        <v>0.0</v>
      </c>
      <c r="FR948" s="15" t="s">
        <v>427</v>
      </c>
      <c r="FX948" s="15" t="s">
        <v>426</v>
      </c>
      <c r="FZ948" s="15" t="s">
        <v>2143</v>
      </c>
      <c r="GB948" s="15" t="s">
        <v>1132</v>
      </c>
      <c r="GD948" s="15" t="s">
        <v>5033</v>
      </c>
      <c r="GF948" s="15" t="s">
        <v>431</v>
      </c>
      <c r="GH948" s="15" t="s">
        <v>420</v>
      </c>
    </row>
    <row r="949" ht="17.25" customHeight="1">
      <c r="A949" s="15" t="s">
        <v>9526</v>
      </c>
      <c r="B949" s="15" t="str">
        <f>"801542057732"</f>
        <v>801542057732</v>
      </c>
      <c r="C949" s="15" t="s">
        <v>22837</v>
      </c>
      <c r="D949" s="15" t="str">
        <f t="shared" si="1"/>
        <v>Stevie Chaise LoungeAnders Ivory</v>
      </c>
      <c r="E949" s="15" t="s">
        <v>9523</v>
      </c>
      <c r="F949" s="15" t="s">
        <v>397</v>
      </c>
      <c r="G949" s="15" t="s">
        <v>9525</v>
      </c>
      <c r="J949" s="15" t="s">
        <v>9525</v>
      </c>
      <c r="M949" s="15" t="s">
        <v>2108</v>
      </c>
      <c r="N949" s="15" t="s">
        <v>1226</v>
      </c>
      <c r="P949" s="15" t="str">
        <f t="shared" ref="P949:P951" si="2732">"54"</f>
        <v>54</v>
      </c>
      <c r="Q949" s="15" t="str">
        <f t="shared" ref="Q949:Q951" si="2733">"72"</f>
        <v>72</v>
      </c>
      <c r="R949" s="15" t="str">
        <f t="shared" ref="R949:R951" si="2734">"34"</f>
        <v>34</v>
      </c>
      <c r="S949" s="15" t="str">
        <f t="shared" ref="S949:S951" si="2735">"160.27"</f>
        <v>160.27</v>
      </c>
      <c r="T949" s="15" t="s">
        <v>1655</v>
      </c>
      <c r="U949" s="15" t="s">
        <v>11209</v>
      </c>
      <c r="AA949" s="15" t="s">
        <v>413</v>
      </c>
      <c r="AB949" s="15" t="s">
        <v>426</v>
      </c>
      <c r="AC949" s="15" t="s">
        <v>9529</v>
      </c>
      <c r="AD949" s="15" t="s">
        <v>22838</v>
      </c>
      <c r="AE949" s="15" t="s">
        <v>9528</v>
      </c>
      <c r="AF949" s="15" t="s">
        <v>22839</v>
      </c>
      <c r="AG949" s="15" t="s">
        <v>22840</v>
      </c>
      <c r="AH949" s="15" t="s">
        <v>22841</v>
      </c>
      <c r="AI949" s="15" t="s">
        <v>22842</v>
      </c>
      <c r="AJ949" s="15" t="s">
        <v>22843</v>
      </c>
      <c r="AK949" s="15" t="s">
        <v>22844</v>
      </c>
      <c r="AL949" s="15" t="s">
        <v>22845</v>
      </c>
      <c r="AM949" s="15" t="s">
        <v>22846</v>
      </c>
      <c r="AN949" s="15" t="s">
        <v>22847</v>
      </c>
      <c r="AO949" s="15" t="s">
        <v>22848</v>
      </c>
      <c r="AP949" s="15" t="s">
        <v>22849</v>
      </c>
      <c r="BH949" s="15" t="s">
        <v>9524</v>
      </c>
      <c r="BI949" s="15" t="str">
        <f t="shared" ref="BI949:BI950" si="2736">"2299"</f>
        <v>2299</v>
      </c>
      <c r="BJ949" s="15" t="str">
        <f t="shared" ref="BJ949:BJ950" si="2737">"970"</f>
        <v>970</v>
      </c>
      <c r="BK949" s="15" t="s">
        <v>415</v>
      </c>
      <c r="BL949" s="15" t="str">
        <f t="shared" si="2731"/>
        <v>1</v>
      </c>
      <c r="BM949" s="15" t="s">
        <v>416</v>
      </c>
      <c r="BN949" s="15" t="str">
        <f t="shared" ref="BN949:BN951" si="2738">"57.87"</f>
        <v>57.87</v>
      </c>
      <c r="BO949" s="15" t="str">
        <f t="shared" ref="BO949:BO951" si="2739">"72.83"</f>
        <v>72.83</v>
      </c>
      <c r="BP949" s="15" t="str">
        <f t="shared" ref="BP949:BP951" si="2740">"27.56"</f>
        <v>27.56</v>
      </c>
      <c r="BQ949" s="15" t="str">
        <f t="shared" ref="BQ949:BQ951" si="2741">"167.88"</f>
        <v>167.88</v>
      </c>
      <c r="CG949" s="15" t="str">
        <f t="shared" ref="CG949:CG951" si="2742">"67.2"</f>
        <v>67.2</v>
      </c>
      <c r="CH949" s="15" t="str">
        <f t="shared" ref="CH949:CH951" si="2743">"1.903"</f>
        <v>1.903</v>
      </c>
      <c r="CI949" s="15" t="s">
        <v>417</v>
      </c>
      <c r="CP949" s="15" t="s">
        <v>468</v>
      </c>
      <c r="CQ949" s="15" t="s">
        <v>531</v>
      </c>
      <c r="CR949" s="15" t="s">
        <v>3338</v>
      </c>
      <c r="CS949" s="15" t="s">
        <v>4531</v>
      </c>
      <c r="CT949" s="15" t="s">
        <v>1253</v>
      </c>
      <c r="CV949" s="15">
        <v>0.0</v>
      </c>
      <c r="CW949" s="15">
        <v>1.0</v>
      </c>
      <c r="CX949" s="15" t="s">
        <v>717</v>
      </c>
      <c r="CY949" s="15" t="s">
        <v>934</v>
      </c>
      <c r="DC949" s="15" t="s">
        <v>2117</v>
      </c>
      <c r="DD949" s="15" t="s">
        <v>2118</v>
      </c>
      <c r="DG949" s="15" t="s">
        <v>721</v>
      </c>
      <c r="DH949" s="15" t="s">
        <v>419</v>
      </c>
      <c r="DI949" s="15">
        <v>0.0</v>
      </c>
      <c r="DM949" s="15">
        <v>20000.0</v>
      </c>
      <c r="DN949" s="15" t="s">
        <v>990</v>
      </c>
      <c r="DO949" s="15" t="s">
        <v>723</v>
      </c>
      <c r="DP949" s="15" t="s">
        <v>2200</v>
      </c>
      <c r="DQ949" s="15">
        <v>1.0</v>
      </c>
      <c r="DR949" s="15">
        <v>1.0</v>
      </c>
      <c r="DT949" s="15" t="s">
        <v>9531</v>
      </c>
      <c r="DU949" s="15">
        <v>2.0</v>
      </c>
      <c r="DV949" s="15" t="s">
        <v>726</v>
      </c>
      <c r="DW949" s="15" t="s">
        <v>1286</v>
      </c>
      <c r="DX949" s="15" t="s">
        <v>1188</v>
      </c>
      <c r="DY949" s="15" t="s">
        <v>3036</v>
      </c>
      <c r="EC949" s="15" t="s">
        <v>995</v>
      </c>
      <c r="ED949" s="15" t="s">
        <v>995</v>
      </c>
      <c r="EE949" s="15" t="s">
        <v>1331</v>
      </c>
      <c r="EF949" s="15" t="s">
        <v>2403</v>
      </c>
      <c r="EG949" s="15" t="s">
        <v>1188</v>
      </c>
      <c r="EH949" s="15" t="s">
        <v>2388</v>
      </c>
      <c r="EI949" s="15" t="s">
        <v>4528</v>
      </c>
      <c r="EJ949" s="15" t="s">
        <v>1188</v>
      </c>
      <c r="EM949" s="15" t="s">
        <v>723</v>
      </c>
      <c r="EN949" s="15" t="s">
        <v>2200</v>
      </c>
      <c r="EO949" s="15" t="s">
        <v>2117</v>
      </c>
      <c r="EP949" s="15" t="s">
        <v>2118</v>
      </c>
      <c r="EQ949" s="15" t="s">
        <v>860</v>
      </c>
      <c r="ER949" s="15" t="s">
        <v>2200</v>
      </c>
      <c r="EZ949" s="15" t="s">
        <v>2403</v>
      </c>
      <c r="FA949" s="15" t="s">
        <v>3338</v>
      </c>
      <c r="FD949" s="15" t="s">
        <v>2436</v>
      </c>
      <c r="JH949" s="15" t="s">
        <v>505</v>
      </c>
      <c r="JI949" s="15" t="s">
        <v>1065</v>
      </c>
      <c r="JJ949" s="15" t="s">
        <v>1065</v>
      </c>
      <c r="JM949" s="15" t="s">
        <v>426</v>
      </c>
    </row>
    <row r="950" ht="17.25" customHeight="1">
      <c r="A950" s="15" t="s">
        <v>9535</v>
      </c>
      <c r="B950" s="15" t="str">
        <f>"801542057749"</f>
        <v>801542057749</v>
      </c>
      <c r="C950" s="15" t="s">
        <v>22850</v>
      </c>
      <c r="D950" s="15" t="str">
        <f t="shared" si="1"/>
        <v>Stevie Chaise LoungeDestin Flannel</v>
      </c>
      <c r="E950" s="15" t="s">
        <v>9523</v>
      </c>
      <c r="F950" s="15" t="s">
        <v>397</v>
      </c>
      <c r="G950" s="15" t="s">
        <v>9534</v>
      </c>
      <c r="J950" s="15" t="s">
        <v>9534</v>
      </c>
      <c r="M950" s="15" t="s">
        <v>2108</v>
      </c>
      <c r="N950" s="15" t="s">
        <v>1226</v>
      </c>
      <c r="P950" s="15" t="str">
        <f t="shared" si="2732"/>
        <v>54</v>
      </c>
      <c r="Q950" s="15" t="str">
        <f t="shared" si="2733"/>
        <v>72</v>
      </c>
      <c r="R950" s="15" t="str">
        <f t="shared" si="2734"/>
        <v>34</v>
      </c>
      <c r="S950" s="15" t="str">
        <f t="shared" si="2735"/>
        <v>160.27</v>
      </c>
      <c r="T950" s="15" t="s">
        <v>9537</v>
      </c>
      <c r="U950" s="15" t="s">
        <v>11234</v>
      </c>
      <c r="V950" s="15" t="s">
        <v>22851</v>
      </c>
      <c r="W950" s="15" t="s">
        <v>22852</v>
      </c>
      <c r="AA950" s="15" t="s">
        <v>413</v>
      </c>
      <c r="AB950" s="15" t="s">
        <v>426</v>
      </c>
      <c r="AC950" s="15" t="s">
        <v>9538</v>
      </c>
      <c r="AD950" s="15" t="s">
        <v>22853</v>
      </c>
      <c r="AE950" s="15" t="s">
        <v>9536</v>
      </c>
      <c r="AF950" s="15" t="s">
        <v>22854</v>
      </c>
      <c r="AG950" s="15" t="s">
        <v>22855</v>
      </c>
      <c r="AH950" s="15" t="s">
        <v>22856</v>
      </c>
      <c r="AI950" s="15" t="s">
        <v>22857</v>
      </c>
      <c r="AJ950" s="15" t="s">
        <v>22858</v>
      </c>
      <c r="AK950" s="15" t="s">
        <v>22859</v>
      </c>
      <c r="AL950" s="15" t="s">
        <v>22860</v>
      </c>
      <c r="AM950" s="15" t="s">
        <v>22861</v>
      </c>
      <c r="AN950" s="15" t="s">
        <v>22862</v>
      </c>
      <c r="AO950" s="15" t="s">
        <v>22863</v>
      </c>
      <c r="AP950" s="15" t="s">
        <v>22864</v>
      </c>
      <c r="BH950" s="15" t="s">
        <v>9533</v>
      </c>
      <c r="BI950" s="15" t="str">
        <f t="shared" si="2736"/>
        <v>2299</v>
      </c>
      <c r="BJ950" s="15" t="str">
        <f t="shared" si="2737"/>
        <v>970</v>
      </c>
      <c r="BK950" s="15" t="s">
        <v>415</v>
      </c>
      <c r="BL950" s="15" t="str">
        <f t="shared" si="2731"/>
        <v>1</v>
      </c>
      <c r="BM950" s="15" t="s">
        <v>416</v>
      </c>
      <c r="BN950" s="15" t="str">
        <f t="shared" si="2738"/>
        <v>57.87</v>
      </c>
      <c r="BO950" s="15" t="str">
        <f t="shared" si="2739"/>
        <v>72.83</v>
      </c>
      <c r="BP950" s="15" t="str">
        <f t="shared" si="2740"/>
        <v>27.56</v>
      </c>
      <c r="BQ950" s="15" t="str">
        <f t="shared" si="2741"/>
        <v>167.88</v>
      </c>
      <c r="CG950" s="15" t="str">
        <f t="shared" si="2742"/>
        <v>67.2</v>
      </c>
      <c r="CH950" s="15" t="str">
        <f t="shared" si="2743"/>
        <v>1.903</v>
      </c>
      <c r="CI950" s="15" t="s">
        <v>417</v>
      </c>
      <c r="CP950" s="15" t="s">
        <v>468</v>
      </c>
      <c r="CQ950" s="15" t="s">
        <v>531</v>
      </c>
      <c r="CR950" s="15" t="s">
        <v>3338</v>
      </c>
      <c r="CS950" s="15" t="s">
        <v>4531</v>
      </c>
      <c r="CT950" s="15" t="s">
        <v>1253</v>
      </c>
      <c r="CV950" s="15">
        <v>0.0</v>
      </c>
      <c r="CW950" s="15">
        <v>1.0</v>
      </c>
      <c r="CX950" s="15" t="s">
        <v>717</v>
      </c>
      <c r="CY950" s="15" t="s">
        <v>1837</v>
      </c>
      <c r="DC950" s="15" t="s">
        <v>2117</v>
      </c>
      <c r="DD950" s="15" t="s">
        <v>2118</v>
      </c>
      <c r="DG950" s="15" t="s">
        <v>721</v>
      </c>
      <c r="DH950" s="15" t="s">
        <v>419</v>
      </c>
      <c r="DI950" s="15">
        <v>0.0</v>
      </c>
      <c r="DM950" s="15">
        <v>15000.0</v>
      </c>
      <c r="DN950" s="15" t="s">
        <v>990</v>
      </c>
      <c r="DO950" s="15" t="s">
        <v>723</v>
      </c>
      <c r="DP950" s="15" t="s">
        <v>2200</v>
      </c>
      <c r="DQ950" s="15">
        <v>1.0</v>
      </c>
      <c r="DR950" s="15">
        <v>1.0</v>
      </c>
      <c r="DT950" s="15" t="s">
        <v>9531</v>
      </c>
      <c r="DU950" s="15">
        <v>2.0</v>
      </c>
      <c r="DV950" s="15" t="s">
        <v>726</v>
      </c>
      <c r="DW950" s="15" t="s">
        <v>1286</v>
      </c>
      <c r="DX950" s="15" t="s">
        <v>1188</v>
      </c>
      <c r="DY950" s="15" t="s">
        <v>3036</v>
      </c>
      <c r="EC950" s="15" t="s">
        <v>995</v>
      </c>
      <c r="ED950" s="15" t="s">
        <v>995</v>
      </c>
      <c r="EE950" s="15" t="s">
        <v>1331</v>
      </c>
      <c r="EF950" s="15" t="s">
        <v>2403</v>
      </c>
      <c r="EG950" s="15" t="s">
        <v>1188</v>
      </c>
      <c r="EH950" s="15" t="s">
        <v>2388</v>
      </c>
      <c r="EI950" s="15" t="s">
        <v>4528</v>
      </c>
      <c r="EJ950" s="15" t="s">
        <v>1188</v>
      </c>
      <c r="EM950" s="15" t="s">
        <v>723</v>
      </c>
      <c r="EN950" s="15" t="s">
        <v>2200</v>
      </c>
      <c r="EO950" s="15" t="s">
        <v>2117</v>
      </c>
      <c r="EP950" s="15" t="s">
        <v>2118</v>
      </c>
      <c r="EQ950" s="15" t="s">
        <v>860</v>
      </c>
      <c r="ER950" s="15" t="s">
        <v>2200</v>
      </c>
      <c r="EZ950" s="15" t="s">
        <v>2403</v>
      </c>
      <c r="FA950" s="15" t="s">
        <v>3338</v>
      </c>
      <c r="FD950" s="15" t="s">
        <v>2436</v>
      </c>
      <c r="JH950" s="15" t="s">
        <v>505</v>
      </c>
      <c r="JI950" s="15" t="s">
        <v>1065</v>
      </c>
      <c r="JJ950" s="15" t="s">
        <v>1065</v>
      </c>
      <c r="JM950" s="15" t="s">
        <v>426</v>
      </c>
    </row>
    <row r="951" ht="17.25" customHeight="1">
      <c r="A951" s="15" t="s">
        <v>9540</v>
      </c>
      <c r="B951" s="15" t="str">
        <f>"801542057756"</f>
        <v>801542057756</v>
      </c>
      <c r="C951" s="15" t="s">
        <v>22865</v>
      </c>
      <c r="D951" s="15" t="str">
        <f t="shared" si="1"/>
        <v>Stevie Chaise LoungeGibson Wheat</v>
      </c>
      <c r="E951" s="15" t="s">
        <v>9523</v>
      </c>
      <c r="F951" s="15" t="s">
        <v>397</v>
      </c>
      <c r="G951" s="15" t="s">
        <v>3814</v>
      </c>
      <c r="J951" s="15" t="s">
        <v>3814</v>
      </c>
      <c r="M951" s="15" t="s">
        <v>2108</v>
      </c>
      <c r="N951" s="15" t="s">
        <v>1226</v>
      </c>
      <c r="P951" s="15" t="str">
        <f t="shared" si="2732"/>
        <v>54</v>
      </c>
      <c r="Q951" s="15" t="str">
        <f t="shared" si="2733"/>
        <v>72</v>
      </c>
      <c r="R951" s="15" t="str">
        <f t="shared" si="2734"/>
        <v>34</v>
      </c>
      <c r="S951" s="15" t="str">
        <f t="shared" si="2735"/>
        <v>160.27</v>
      </c>
      <c r="T951" s="15" t="s">
        <v>6312</v>
      </c>
      <c r="U951" s="15" t="s">
        <v>12131</v>
      </c>
      <c r="V951" s="15" t="s">
        <v>12132</v>
      </c>
      <c r="AA951" s="15" t="s">
        <v>413</v>
      </c>
      <c r="AB951" s="15" t="s">
        <v>426</v>
      </c>
      <c r="AC951" s="15" t="s">
        <v>9542</v>
      </c>
      <c r="AD951" s="15" t="s">
        <v>22866</v>
      </c>
      <c r="AE951" s="15" t="s">
        <v>9541</v>
      </c>
      <c r="AF951" s="15" t="s">
        <v>22867</v>
      </c>
      <c r="AG951" s="15" t="s">
        <v>22868</v>
      </c>
      <c r="AH951" s="15" t="s">
        <v>22869</v>
      </c>
      <c r="AI951" s="15" t="s">
        <v>22870</v>
      </c>
      <c r="AJ951" s="15" t="s">
        <v>22871</v>
      </c>
      <c r="AK951" s="15" t="s">
        <v>22872</v>
      </c>
      <c r="AL951" s="15" t="s">
        <v>22873</v>
      </c>
      <c r="AM951" s="15" t="s">
        <v>22874</v>
      </c>
      <c r="AN951" s="15" t="s">
        <v>22875</v>
      </c>
      <c r="AO951" s="15" t="s">
        <v>22876</v>
      </c>
      <c r="AP951" s="15" t="s">
        <v>22877</v>
      </c>
      <c r="BH951" s="15" t="s">
        <v>9539</v>
      </c>
      <c r="BI951" s="15" t="str">
        <f>"2399"</f>
        <v>2399</v>
      </c>
      <c r="BJ951" s="15" t="str">
        <f>"1010"</f>
        <v>1010</v>
      </c>
      <c r="BK951" s="15" t="s">
        <v>415</v>
      </c>
      <c r="BL951" s="15" t="str">
        <f t="shared" si="2731"/>
        <v>1</v>
      </c>
      <c r="BM951" s="15" t="s">
        <v>416</v>
      </c>
      <c r="BN951" s="15" t="str">
        <f t="shared" si="2738"/>
        <v>57.87</v>
      </c>
      <c r="BO951" s="15" t="str">
        <f t="shared" si="2739"/>
        <v>72.83</v>
      </c>
      <c r="BP951" s="15" t="str">
        <f t="shared" si="2740"/>
        <v>27.56</v>
      </c>
      <c r="BQ951" s="15" t="str">
        <f t="shared" si="2741"/>
        <v>167.88</v>
      </c>
      <c r="CG951" s="15" t="str">
        <f t="shared" si="2742"/>
        <v>67.2</v>
      </c>
      <c r="CH951" s="15" t="str">
        <f t="shared" si="2743"/>
        <v>1.903</v>
      </c>
      <c r="CI951" s="15" t="s">
        <v>417</v>
      </c>
      <c r="CP951" s="15" t="s">
        <v>468</v>
      </c>
      <c r="CQ951" s="15" t="s">
        <v>531</v>
      </c>
      <c r="CR951" s="15" t="s">
        <v>3338</v>
      </c>
      <c r="CS951" s="15" t="s">
        <v>4531</v>
      </c>
      <c r="CT951" s="15" t="s">
        <v>1253</v>
      </c>
      <c r="CV951" s="15">
        <v>0.0</v>
      </c>
      <c r="CW951" s="15">
        <v>1.0</v>
      </c>
      <c r="CX951" s="15" t="s">
        <v>717</v>
      </c>
      <c r="CY951" s="15" t="s">
        <v>855</v>
      </c>
      <c r="DC951" s="15" t="s">
        <v>2117</v>
      </c>
      <c r="DD951" s="15" t="s">
        <v>2118</v>
      </c>
      <c r="DG951" s="15" t="s">
        <v>721</v>
      </c>
      <c r="DH951" s="15" t="s">
        <v>419</v>
      </c>
      <c r="DI951" s="15">
        <v>0.0</v>
      </c>
      <c r="DM951" s="15">
        <v>25000.0</v>
      </c>
      <c r="DN951" s="15" t="s">
        <v>990</v>
      </c>
      <c r="DO951" s="15" t="s">
        <v>723</v>
      </c>
      <c r="DP951" s="15" t="s">
        <v>2200</v>
      </c>
      <c r="DQ951" s="15">
        <v>1.0</v>
      </c>
      <c r="DR951" s="15">
        <v>1.0</v>
      </c>
      <c r="DT951" s="15" t="s">
        <v>9531</v>
      </c>
      <c r="DU951" s="15">
        <v>2.0</v>
      </c>
      <c r="DV951" s="15" t="s">
        <v>726</v>
      </c>
      <c r="DW951" s="15" t="s">
        <v>1286</v>
      </c>
      <c r="DX951" s="15" t="s">
        <v>1188</v>
      </c>
      <c r="DY951" s="15" t="s">
        <v>3036</v>
      </c>
      <c r="EC951" s="15" t="s">
        <v>995</v>
      </c>
      <c r="ED951" s="15" t="s">
        <v>995</v>
      </c>
      <c r="EE951" s="15" t="s">
        <v>1331</v>
      </c>
      <c r="EF951" s="15" t="s">
        <v>2403</v>
      </c>
      <c r="EG951" s="15" t="s">
        <v>1188</v>
      </c>
      <c r="EH951" s="15" t="s">
        <v>2388</v>
      </c>
      <c r="EI951" s="15" t="s">
        <v>4528</v>
      </c>
      <c r="EJ951" s="15" t="s">
        <v>1188</v>
      </c>
      <c r="EM951" s="15" t="s">
        <v>723</v>
      </c>
      <c r="EN951" s="15" t="s">
        <v>2200</v>
      </c>
      <c r="EO951" s="15" t="s">
        <v>2117</v>
      </c>
      <c r="EP951" s="15" t="s">
        <v>2118</v>
      </c>
      <c r="EQ951" s="15" t="s">
        <v>860</v>
      </c>
      <c r="ER951" s="15" t="s">
        <v>2200</v>
      </c>
      <c r="EZ951" s="15" t="s">
        <v>2403</v>
      </c>
      <c r="FA951" s="15" t="s">
        <v>3338</v>
      </c>
      <c r="FD951" s="15" t="s">
        <v>2436</v>
      </c>
      <c r="JH951" s="15" t="s">
        <v>505</v>
      </c>
      <c r="JI951" s="15" t="s">
        <v>1065</v>
      </c>
      <c r="JJ951" s="15" t="s">
        <v>1065</v>
      </c>
      <c r="JM951" s="15" t="s">
        <v>426</v>
      </c>
    </row>
    <row r="952" ht="17.25" customHeight="1">
      <c r="A952" s="15" t="s">
        <v>9545</v>
      </c>
      <c r="B952" s="15" t="str">
        <f>"801542442026"</f>
        <v>801542442026</v>
      </c>
      <c r="C952" s="15" t="s">
        <v>22878</v>
      </c>
      <c r="D952" s="15" t="str">
        <f t="shared" si="1"/>
        <v>Stormy Media ConsoleAged Brown</v>
      </c>
      <c r="E952" s="15" t="s">
        <v>9543</v>
      </c>
      <c r="F952" s="15" t="s">
        <v>397</v>
      </c>
      <c r="G952" s="15" t="s">
        <v>3974</v>
      </c>
      <c r="J952" s="15" t="s">
        <v>3974</v>
      </c>
      <c r="K952" s="15" t="s">
        <v>9549</v>
      </c>
      <c r="M952" s="15" t="s">
        <v>9548</v>
      </c>
      <c r="N952" s="15" t="s">
        <v>602</v>
      </c>
      <c r="P952" s="15" t="str">
        <f t="shared" ref="P952:P953" si="2744">"72"</f>
        <v>72</v>
      </c>
      <c r="Q952" s="15" t="str">
        <f>"18"</f>
        <v>18</v>
      </c>
      <c r="R952" s="15" t="str">
        <f>"27"</f>
        <v>27</v>
      </c>
      <c r="S952" s="15" t="str">
        <f>"153.88"</f>
        <v>153.88</v>
      </c>
      <c r="T952" s="15" t="s">
        <v>2058</v>
      </c>
      <c r="U952" s="15" t="s">
        <v>11139</v>
      </c>
      <c r="AA952" s="15" t="s">
        <v>413</v>
      </c>
      <c r="AB952" s="15" t="s">
        <v>413</v>
      </c>
      <c r="AC952" s="15" t="s">
        <v>9550</v>
      </c>
      <c r="AD952" s="15" t="s">
        <v>22879</v>
      </c>
      <c r="AE952" s="15" t="s">
        <v>9547</v>
      </c>
      <c r="AF952" s="15" t="s">
        <v>22880</v>
      </c>
      <c r="AG952" s="15" t="s">
        <v>22881</v>
      </c>
      <c r="AH952" s="15" t="s">
        <v>22882</v>
      </c>
      <c r="AI952" s="15" t="s">
        <v>22883</v>
      </c>
      <c r="AJ952" s="15" t="s">
        <v>22884</v>
      </c>
      <c r="AK952" s="15" t="s">
        <v>22885</v>
      </c>
      <c r="AL952" s="15" t="s">
        <v>22886</v>
      </c>
      <c r="AM952" s="15" t="s">
        <v>22887</v>
      </c>
      <c r="AN952" s="15" t="s">
        <v>22888</v>
      </c>
      <c r="AO952" s="15" t="s">
        <v>22889</v>
      </c>
      <c r="BH952" s="15" t="s">
        <v>9544</v>
      </c>
      <c r="BI952" s="15" t="str">
        <f>"1699"</f>
        <v>1699</v>
      </c>
      <c r="BJ952" s="15" t="str">
        <f>"715"</f>
        <v>715</v>
      </c>
      <c r="BK952" s="15" t="s">
        <v>1303</v>
      </c>
      <c r="BL952" s="15" t="str">
        <f t="shared" si="2731"/>
        <v>1</v>
      </c>
      <c r="BM952" s="15" t="s">
        <v>9551</v>
      </c>
      <c r="BN952" s="15" t="str">
        <f>"77.5"</f>
        <v>77.5</v>
      </c>
      <c r="BO952" s="15" t="str">
        <f>"23"</f>
        <v>23</v>
      </c>
      <c r="BP952" s="15" t="str">
        <f>"29"</f>
        <v>29</v>
      </c>
      <c r="BQ952" s="15" t="str">
        <f>"172.22"</f>
        <v>172.22</v>
      </c>
      <c r="CG952" s="15" t="str">
        <f>"29.91"</f>
        <v>29.91</v>
      </c>
      <c r="CH952" s="15" t="str">
        <f>"0.847"</f>
        <v>0.847</v>
      </c>
      <c r="CI952" s="15" t="s">
        <v>497</v>
      </c>
      <c r="CJ952" s="15" t="s">
        <v>1161</v>
      </c>
      <c r="CK952" s="15" t="s">
        <v>1188</v>
      </c>
      <c r="CL952" s="15" t="s">
        <v>9553</v>
      </c>
      <c r="CM952" s="15" t="s">
        <v>1161</v>
      </c>
      <c r="CN952" s="15" t="s">
        <v>995</v>
      </c>
      <c r="CO952" s="15" t="s">
        <v>9553</v>
      </c>
      <c r="CZ952" s="15" t="s">
        <v>419</v>
      </c>
      <c r="DA952" s="15">
        <v>0.0</v>
      </c>
      <c r="DB952" s="15" t="s">
        <v>419</v>
      </c>
      <c r="DD952" s="15">
        <v>2.0</v>
      </c>
      <c r="DE952" s="15" t="s">
        <v>426</v>
      </c>
      <c r="DG952" s="15" t="s">
        <v>610</v>
      </c>
      <c r="DI952" s="15">
        <v>18.14</v>
      </c>
      <c r="DJ952" s="15">
        <v>40.0</v>
      </c>
      <c r="DK952" s="15">
        <v>0.0</v>
      </c>
      <c r="DS952" s="15" t="s">
        <v>9554</v>
      </c>
      <c r="EF952" s="15" t="s">
        <v>672</v>
      </c>
      <c r="EU952" s="15" t="s">
        <v>426</v>
      </c>
      <c r="EV952" s="15">
        <v>4.0</v>
      </c>
      <c r="FH952" s="15" t="s">
        <v>1331</v>
      </c>
      <c r="FI952" s="15" t="s">
        <v>1188</v>
      </c>
      <c r="FJ952" s="15" t="s">
        <v>2165</v>
      </c>
      <c r="FO952" s="15" t="s">
        <v>426</v>
      </c>
      <c r="FQ952" s="15">
        <v>4.0</v>
      </c>
      <c r="FR952" s="15" t="s">
        <v>614</v>
      </c>
      <c r="FS952" s="15" t="s">
        <v>1045</v>
      </c>
      <c r="FW952" s="15" t="s">
        <v>616</v>
      </c>
      <c r="GJ952" s="15" t="s">
        <v>1161</v>
      </c>
      <c r="GK952" s="15" t="s">
        <v>995</v>
      </c>
      <c r="GL952" s="15" t="s">
        <v>9553</v>
      </c>
      <c r="GM952" s="15">
        <v>0.0</v>
      </c>
      <c r="GZ952" s="15" t="s">
        <v>1161</v>
      </c>
      <c r="HA952" s="15" t="s">
        <v>1161</v>
      </c>
      <c r="HB952" s="15" t="s">
        <v>995</v>
      </c>
      <c r="HC952" s="15" t="s">
        <v>995</v>
      </c>
      <c r="HD952" s="15" t="s">
        <v>9553</v>
      </c>
      <c r="HE952" s="15" t="s">
        <v>9553</v>
      </c>
    </row>
    <row r="953" ht="17.25" customHeight="1">
      <c r="A953" s="15" t="s">
        <v>9558</v>
      </c>
      <c r="B953" s="15" t="str">
        <f>"801542153588"</f>
        <v>801542153588</v>
      </c>
      <c r="C953" s="15" t="s">
        <v>22890</v>
      </c>
      <c r="D953" s="15" t="str">
        <f t="shared" si="1"/>
        <v>Sullivan 10 Drawer DresserSaddle Tan Veneer</v>
      </c>
      <c r="E953" s="15" t="s">
        <v>9555</v>
      </c>
      <c r="F953" s="15" t="s">
        <v>397</v>
      </c>
      <c r="G953" s="15" t="s">
        <v>9557</v>
      </c>
      <c r="J953" s="15" t="s">
        <v>9557</v>
      </c>
      <c r="M953" s="15" t="s">
        <v>5444</v>
      </c>
      <c r="N953" s="15" t="s">
        <v>412</v>
      </c>
      <c r="P953" s="15" t="str">
        <f t="shared" si="2744"/>
        <v>72</v>
      </c>
      <c r="Q953" s="15" t="str">
        <f>"20"</f>
        <v>20</v>
      </c>
      <c r="R953" s="15" t="str">
        <f>"46"</f>
        <v>46</v>
      </c>
      <c r="S953" s="15" t="str">
        <f>"261.25"</f>
        <v>261.25</v>
      </c>
      <c r="T953" s="15" t="s">
        <v>7968</v>
      </c>
      <c r="U953" s="15" t="s">
        <v>16557</v>
      </c>
      <c r="V953" s="15" t="s">
        <v>14148</v>
      </c>
      <c r="AA953" s="15" t="s">
        <v>413</v>
      </c>
      <c r="AB953" s="15" t="s">
        <v>413</v>
      </c>
      <c r="AC953" s="15" t="s">
        <v>9561</v>
      </c>
      <c r="AD953" s="15" t="s">
        <v>22891</v>
      </c>
      <c r="AE953" s="15" t="s">
        <v>9560</v>
      </c>
      <c r="AF953" s="15" t="s">
        <v>22892</v>
      </c>
      <c r="AG953" s="15" t="s">
        <v>22893</v>
      </c>
      <c r="AH953" s="15" t="s">
        <v>22894</v>
      </c>
      <c r="AI953" s="15" t="s">
        <v>22895</v>
      </c>
      <c r="AJ953" s="15" t="s">
        <v>22896</v>
      </c>
      <c r="AK953" s="15" t="s">
        <v>22897</v>
      </c>
      <c r="AL953" s="15" t="s">
        <v>22898</v>
      </c>
      <c r="AM953" s="15" t="s">
        <v>22899</v>
      </c>
      <c r="AN953" s="15" t="s">
        <v>22900</v>
      </c>
      <c r="AO953" s="15" t="s">
        <v>22901</v>
      </c>
      <c r="AP953" s="15" t="s">
        <v>22902</v>
      </c>
      <c r="BH953" s="15" t="s">
        <v>9556</v>
      </c>
      <c r="BI953" s="15" t="str">
        <f>"2699"</f>
        <v>2699</v>
      </c>
      <c r="BJ953" s="15" t="str">
        <f>"1135"</f>
        <v>1135</v>
      </c>
      <c r="BK953" s="15" t="s">
        <v>742</v>
      </c>
      <c r="BL953" s="15" t="str">
        <f t="shared" si="2731"/>
        <v>1</v>
      </c>
      <c r="BM953" s="15" t="s">
        <v>9562</v>
      </c>
      <c r="BN953" s="15" t="str">
        <f>"77.17"</f>
        <v>77.17</v>
      </c>
      <c r="BO953" s="15" t="str">
        <f>"25.2"</f>
        <v>25.2</v>
      </c>
      <c r="BP953" s="15" t="str">
        <f>"58.46"</f>
        <v>58.46</v>
      </c>
      <c r="BQ953" s="15" t="str">
        <f>"326.28"</f>
        <v>326.28</v>
      </c>
      <c r="CG953" s="15" t="str">
        <f>"65.79"</f>
        <v>65.79</v>
      </c>
      <c r="CH953" s="15" t="str">
        <f>"1.863"</f>
        <v>1.863</v>
      </c>
      <c r="CI953" s="15" t="s">
        <v>497</v>
      </c>
      <c r="CZ953" s="15" t="s">
        <v>1371</v>
      </c>
      <c r="DA953" s="15">
        <v>10.0</v>
      </c>
      <c r="DB953" s="15" t="s">
        <v>419</v>
      </c>
      <c r="DD953" s="15">
        <v>0.0</v>
      </c>
      <c r="DF953" s="15" t="s">
        <v>1509</v>
      </c>
      <c r="DG953" s="15" t="s">
        <v>421</v>
      </c>
      <c r="DK953" s="15">
        <v>0.0</v>
      </c>
      <c r="DR953" s="15" t="s">
        <v>422</v>
      </c>
      <c r="DS953" s="15" t="s">
        <v>9563</v>
      </c>
      <c r="DU953" s="15" t="s">
        <v>424</v>
      </c>
      <c r="EF953" s="15" t="s">
        <v>4300</v>
      </c>
      <c r="EU953" s="15" t="s">
        <v>426</v>
      </c>
      <c r="EV953" s="15">
        <v>0.0</v>
      </c>
      <c r="FQ953" s="15">
        <v>0.0</v>
      </c>
      <c r="FR953" s="15" t="s">
        <v>427</v>
      </c>
      <c r="FZ953" s="15" t="s">
        <v>2766</v>
      </c>
      <c r="GA953" s="15" t="s">
        <v>2766</v>
      </c>
      <c r="GB953" s="15" t="s">
        <v>1483</v>
      </c>
      <c r="GC953" s="15" t="s">
        <v>2026</v>
      </c>
      <c r="GD953" s="15" t="s">
        <v>5940</v>
      </c>
      <c r="GE953" s="15" t="s">
        <v>8863</v>
      </c>
      <c r="GF953" s="15" t="s">
        <v>838</v>
      </c>
      <c r="GH953" s="15" t="s">
        <v>764</v>
      </c>
    </row>
    <row r="954" ht="17.25" customHeight="1">
      <c r="A954" s="15" t="s">
        <v>9567</v>
      </c>
      <c r="B954" s="15" t="str">
        <f>"801542150693"</f>
        <v>801542150693</v>
      </c>
      <c r="C954" s="15" t="s">
        <v>22903</v>
      </c>
      <c r="D954" s="15" t="str">
        <f t="shared" si="1"/>
        <v>Sullivan BedHarbor SandQueen</v>
      </c>
      <c r="E954" s="15" t="s">
        <v>9564</v>
      </c>
      <c r="F954" s="15" t="s">
        <v>397</v>
      </c>
      <c r="G954" s="15" t="s">
        <v>9566</v>
      </c>
      <c r="H954" s="15" t="s">
        <v>265</v>
      </c>
      <c r="I954" s="15" t="s">
        <v>877</v>
      </c>
      <c r="J954" s="15" t="s">
        <v>9566</v>
      </c>
      <c r="K954" s="15" t="s">
        <v>9570</v>
      </c>
      <c r="L954" s="15" t="s">
        <v>9557</v>
      </c>
      <c r="M954" s="15" t="s">
        <v>5444</v>
      </c>
      <c r="N954" s="15" t="s">
        <v>839</v>
      </c>
      <c r="O954" s="15" t="s">
        <v>877</v>
      </c>
      <c r="P954" s="15" t="str">
        <f>"65"</f>
        <v>65</v>
      </c>
      <c r="Q954" s="15" t="str">
        <f t="shared" ref="Q954:Q955" si="2745">"88.5"</f>
        <v>88.5</v>
      </c>
      <c r="R954" s="15" t="str">
        <f t="shared" ref="R954:R955" si="2746">"54"</f>
        <v>54</v>
      </c>
      <c r="S954" s="15" t="str">
        <f>"196.21"</f>
        <v>196.21</v>
      </c>
      <c r="T954" s="15" t="s">
        <v>9569</v>
      </c>
      <c r="U954" s="15" t="s">
        <v>22904</v>
      </c>
      <c r="V954" s="15" t="s">
        <v>22905</v>
      </c>
      <c r="W954" s="15" t="s">
        <v>14148</v>
      </c>
      <c r="X954" s="15" t="s">
        <v>16557</v>
      </c>
      <c r="AA954" s="15" t="s">
        <v>413</v>
      </c>
      <c r="AB954" s="15" t="s">
        <v>426</v>
      </c>
      <c r="AC954" s="15" t="s">
        <v>9571</v>
      </c>
      <c r="AD954" s="15" t="s">
        <v>22906</v>
      </c>
      <c r="AE954" s="15" t="s">
        <v>9568</v>
      </c>
      <c r="AF954" s="15" t="s">
        <v>22907</v>
      </c>
      <c r="AG954" s="15" t="s">
        <v>22908</v>
      </c>
      <c r="AH954" s="15" t="s">
        <v>22909</v>
      </c>
      <c r="AI954" s="15" t="s">
        <v>22910</v>
      </c>
      <c r="AJ954" s="15" t="s">
        <v>22911</v>
      </c>
      <c r="AK954" s="15" t="s">
        <v>22912</v>
      </c>
      <c r="AL954" s="15" t="s">
        <v>22913</v>
      </c>
      <c r="AM954" s="15" t="s">
        <v>22914</v>
      </c>
      <c r="AN954" s="15" t="s">
        <v>22915</v>
      </c>
      <c r="AO954" s="15" t="s">
        <v>22916</v>
      </c>
      <c r="AP954" s="15" t="s">
        <v>22917</v>
      </c>
      <c r="BH954" s="15" t="s">
        <v>9565</v>
      </c>
      <c r="BI954" s="15" t="str">
        <f>"2099"</f>
        <v>2099</v>
      </c>
      <c r="BJ954" s="15" t="str">
        <f>"885"</f>
        <v>885</v>
      </c>
      <c r="BK954" s="15" t="s">
        <v>742</v>
      </c>
      <c r="BL954" s="15" t="str">
        <f t="shared" ref="BL954:BL955" si="2747">"2"</f>
        <v>2</v>
      </c>
      <c r="BM954" s="15" t="s">
        <v>2455</v>
      </c>
      <c r="BN954" s="15" t="str">
        <f>"69.69"</f>
        <v>69.69</v>
      </c>
      <c r="BO954" s="15" t="str">
        <f>"59.06"</f>
        <v>59.06</v>
      </c>
      <c r="BP954" s="15" t="str">
        <f>"9.25"</f>
        <v>9.25</v>
      </c>
      <c r="BQ954" s="15" t="str">
        <f>"125.66"</f>
        <v>125.66</v>
      </c>
      <c r="BR954" s="15" t="s">
        <v>9573</v>
      </c>
      <c r="BS954" s="15" t="str">
        <f>"89.76"</f>
        <v>89.76</v>
      </c>
      <c r="BT954" s="15" t="str">
        <f>"15.75"</f>
        <v>15.75</v>
      </c>
      <c r="BU954" s="15" t="str">
        <f>"13.98"</f>
        <v>13.98</v>
      </c>
      <c r="BV954" s="15" t="str">
        <f>"110.23"</f>
        <v>110.23</v>
      </c>
      <c r="CG954" s="15" t="str">
        <f>"33.48"</f>
        <v>33.48</v>
      </c>
      <c r="CH954" s="15" t="str">
        <f>"0.948"</f>
        <v>0.948</v>
      </c>
      <c r="CI954" s="15" t="s">
        <v>465</v>
      </c>
      <c r="CY954" s="15" t="s">
        <v>855</v>
      </c>
      <c r="CZ954" s="15" t="s">
        <v>419</v>
      </c>
      <c r="DA954" s="15">
        <v>0.0</v>
      </c>
      <c r="DB954" s="15" t="s">
        <v>419</v>
      </c>
      <c r="DD954" s="15">
        <v>0.0</v>
      </c>
      <c r="DF954" s="15" t="s">
        <v>1111</v>
      </c>
      <c r="DG954" s="15" t="s">
        <v>419</v>
      </c>
      <c r="DI954" s="15">
        <v>0.0</v>
      </c>
      <c r="DJ954" s="15">
        <v>0.0</v>
      </c>
      <c r="DK954" s="15">
        <v>0.0</v>
      </c>
      <c r="DL954" s="15">
        <v>25000.0</v>
      </c>
      <c r="DS954" s="15" t="s">
        <v>9563</v>
      </c>
      <c r="DU954" s="15" t="s">
        <v>858</v>
      </c>
      <c r="EV954" s="15">
        <v>0.0</v>
      </c>
      <c r="FB954" s="15" t="s">
        <v>3362</v>
      </c>
      <c r="HV954" s="15" t="s">
        <v>1955</v>
      </c>
      <c r="HW954" s="15" t="s">
        <v>1955</v>
      </c>
      <c r="HX954" s="15" t="s">
        <v>1955</v>
      </c>
      <c r="HY954" s="15" t="s">
        <v>555</v>
      </c>
      <c r="HZ954" s="15" t="s">
        <v>1957</v>
      </c>
      <c r="IA954" s="15" t="s">
        <v>9574</v>
      </c>
      <c r="IB954" s="15" t="s">
        <v>9575</v>
      </c>
      <c r="IC954" s="15" t="s">
        <v>2603</v>
      </c>
      <c r="ID954" s="15" t="s">
        <v>9574</v>
      </c>
      <c r="IE954" s="15" t="s">
        <v>2971</v>
      </c>
      <c r="IF954" s="15" t="s">
        <v>1957</v>
      </c>
      <c r="IG954" s="15" t="s">
        <v>3284</v>
      </c>
      <c r="IH954" s="15" t="s">
        <v>1950</v>
      </c>
      <c r="II954" s="15" t="s">
        <v>9576</v>
      </c>
      <c r="IJ954" s="15" t="s">
        <v>1957</v>
      </c>
      <c r="IK954" s="15" t="s">
        <v>426</v>
      </c>
      <c r="IL954" s="15" t="s">
        <v>2973</v>
      </c>
      <c r="IM954" s="15" t="s">
        <v>872</v>
      </c>
      <c r="IN954" s="15" t="s">
        <v>873</v>
      </c>
      <c r="IO954" s="15" t="s">
        <v>877</v>
      </c>
      <c r="IU954" s="15" t="s">
        <v>759</v>
      </c>
      <c r="IV954" s="15" t="s">
        <v>866</v>
      </c>
      <c r="IX954" s="15" t="s">
        <v>426</v>
      </c>
      <c r="IY954" s="15" t="s">
        <v>2474</v>
      </c>
    </row>
    <row r="955" ht="17.25" customHeight="1">
      <c r="A955" s="15" t="s">
        <v>9578</v>
      </c>
      <c r="B955" s="15" t="str">
        <f>"801542150679"</f>
        <v>801542150679</v>
      </c>
      <c r="C955" s="15" t="s">
        <v>22903</v>
      </c>
      <c r="D955" s="15" t="str">
        <f t="shared" si="1"/>
        <v>Sullivan BedHarbor SandKing</v>
      </c>
      <c r="E955" s="15" t="s">
        <v>9564</v>
      </c>
      <c r="F955" s="15" t="s">
        <v>397</v>
      </c>
      <c r="G955" s="15" t="s">
        <v>9566</v>
      </c>
      <c r="H955" s="15" t="s">
        <v>265</v>
      </c>
      <c r="I955" s="15" t="s">
        <v>828</v>
      </c>
      <c r="J955" s="15" t="s">
        <v>9566</v>
      </c>
      <c r="K955" s="15" t="s">
        <v>9570</v>
      </c>
      <c r="L955" s="15" t="s">
        <v>9557</v>
      </c>
      <c r="M955" s="15" t="s">
        <v>5444</v>
      </c>
      <c r="N955" s="15" t="s">
        <v>839</v>
      </c>
      <c r="O955" s="15" t="s">
        <v>828</v>
      </c>
      <c r="P955" s="15" t="str">
        <f>"81"</f>
        <v>81</v>
      </c>
      <c r="Q955" s="15" t="str">
        <f t="shared" si="2745"/>
        <v>88.5</v>
      </c>
      <c r="R955" s="15" t="str">
        <f t="shared" si="2746"/>
        <v>54</v>
      </c>
      <c r="S955" s="15" t="str">
        <f>"248.02"</f>
        <v>248.02</v>
      </c>
      <c r="T955" s="15" t="s">
        <v>9569</v>
      </c>
      <c r="U955" s="15" t="s">
        <v>22904</v>
      </c>
      <c r="V955" s="15" t="s">
        <v>22905</v>
      </c>
      <c r="W955" s="15" t="s">
        <v>14148</v>
      </c>
      <c r="X955" s="15" t="s">
        <v>16557</v>
      </c>
      <c r="AA955" s="15" t="s">
        <v>413</v>
      </c>
      <c r="AB955" s="15" t="s">
        <v>426</v>
      </c>
      <c r="AC955" s="15" t="s">
        <v>9571</v>
      </c>
      <c r="AD955" s="15" t="s">
        <v>22918</v>
      </c>
      <c r="AE955" s="15" t="s">
        <v>9580</v>
      </c>
      <c r="AF955" s="15" t="s">
        <v>22919</v>
      </c>
      <c r="AG955" s="15" t="s">
        <v>22920</v>
      </c>
      <c r="AH955" s="15" t="s">
        <v>22921</v>
      </c>
      <c r="AI955" s="15" t="s">
        <v>22922</v>
      </c>
      <c r="AJ955" s="15" t="s">
        <v>22923</v>
      </c>
      <c r="AK955" s="15" t="s">
        <v>22924</v>
      </c>
      <c r="AL955" s="15" t="s">
        <v>22925</v>
      </c>
      <c r="AM955" s="15" t="s">
        <v>22926</v>
      </c>
      <c r="AN955" s="15" t="s">
        <v>22927</v>
      </c>
      <c r="AO955" s="15" t="s">
        <v>22928</v>
      </c>
      <c r="BH955" s="15" t="s">
        <v>9577</v>
      </c>
      <c r="BI955" s="15" t="str">
        <f>"2399"</f>
        <v>2399</v>
      </c>
      <c r="BJ955" s="15" t="str">
        <f>"1010"</f>
        <v>1010</v>
      </c>
      <c r="BK955" s="15" t="s">
        <v>742</v>
      </c>
      <c r="BL955" s="15" t="str">
        <f t="shared" si="2747"/>
        <v>2</v>
      </c>
      <c r="BM955" s="15" t="s">
        <v>2455</v>
      </c>
      <c r="BN955" s="15" t="str">
        <f>"86.22"</f>
        <v>86.22</v>
      </c>
      <c r="BO955" s="15" t="str">
        <f>"9.25"</f>
        <v>9.25</v>
      </c>
      <c r="BP955" s="15" t="str">
        <f>"59.84"</f>
        <v>59.84</v>
      </c>
      <c r="BQ955" s="15" t="str">
        <f>"167.55"</f>
        <v>167.55</v>
      </c>
      <c r="BR955" s="15" t="s">
        <v>9573</v>
      </c>
      <c r="BS955" s="15" t="str">
        <f>"90.94"</f>
        <v>90.94</v>
      </c>
      <c r="BT955" s="15" t="str">
        <f>"15.55"</f>
        <v>15.55</v>
      </c>
      <c r="BU955" s="15" t="str">
        <f>"13.58"</f>
        <v>13.58</v>
      </c>
      <c r="BV955" s="15" t="str">
        <f>"125.66"</f>
        <v>125.66</v>
      </c>
      <c r="CG955" s="15" t="str">
        <f>"38.74"</f>
        <v>38.74</v>
      </c>
      <c r="CH955" s="15" t="str">
        <f>"1.097"</f>
        <v>1.097</v>
      </c>
      <c r="CI955" s="15" t="s">
        <v>417</v>
      </c>
      <c r="CY955" s="15" t="s">
        <v>855</v>
      </c>
      <c r="CZ955" s="15" t="s">
        <v>419</v>
      </c>
      <c r="DA955" s="15">
        <v>0.0</v>
      </c>
      <c r="DB955" s="15" t="s">
        <v>419</v>
      </c>
      <c r="DD955" s="15">
        <v>0.0</v>
      </c>
      <c r="DF955" s="15" t="s">
        <v>1111</v>
      </c>
      <c r="DG955" s="15" t="s">
        <v>419</v>
      </c>
      <c r="DI955" s="15">
        <v>0.0</v>
      </c>
      <c r="DJ955" s="15">
        <v>0.0</v>
      </c>
      <c r="DK955" s="15">
        <v>0.0</v>
      </c>
      <c r="DL955" s="15">
        <v>25000.0</v>
      </c>
      <c r="DS955" s="15" t="s">
        <v>9563</v>
      </c>
      <c r="DU955" s="15" t="s">
        <v>858</v>
      </c>
      <c r="EV955" s="15">
        <v>0.0</v>
      </c>
      <c r="FB955" s="15" t="s">
        <v>3362</v>
      </c>
      <c r="HV955" s="15" t="s">
        <v>1955</v>
      </c>
      <c r="HW955" s="15" t="s">
        <v>1955</v>
      </c>
      <c r="HX955" s="15" t="s">
        <v>1955</v>
      </c>
      <c r="HY955" s="15" t="s">
        <v>555</v>
      </c>
      <c r="HZ955" s="15" t="s">
        <v>1957</v>
      </c>
      <c r="IA955" s="15" t="s">
        <v>6929</v>
      </c>
      <c r="IB955" s="15" t="s">
        <v>9575</v>
      </c>
      <c r="IC955" s="15" t="s">
        <v>3052</v>
      </c>
      <c r="ID955" s="15" t="s">
        <v>6929</v>
      </c>
      <c r="IE955" s="15" t="s">
        <v>2971</v>
      </c>
      <c r="IF955" s="15" t="s">
        <v>1957</v>
      </c>
      <c r="IG955" s="15" t="s">
        <v>7604</v>
      </c>
      <c r="IH955" s="15" t="s">
        <v>1950</v>
      </c>
      <c r="II955" s="15" t="s">
        <v>9582</v>
      </c>
      <c r="IJ955" s="15" t="s">
        <v>1957</v>
      </c>
      <c r="IK955" s="15" t="s">
        <v>426</v>
      </c>
      <c r="IL955" s="15" t="s">
        <v>2973</v>
      </c>
      <c r="IM955" s="15" t="s">
        <v>872</v>
      </c>
      <c r="IN955" s="15" t="s">
        <v>873</v>
      </c>
      <c r="IO955" s="15" t="s">
        <v>828</v>
      </c>
      <c r="IU955" s="15" t="s">
        <v>759</v>
      </c>
      <c r="IV955" s="15" t="s">
        <v>866</v>
      </c>
      <c r="IX955" s="15" t="s">
        <v>426</v>
      </c>
      <c r="IY955" s="15" t="s">
        <v>2474</v>
      </c>
    </row>
    <row r="956" ht="17.25" customHeight="1">
      <c r="A956" s="15" t="s">
        <v>9585</v>
      </c>
      <c r="B956" s="15" t="str">
        <f>"801542153601"</f>
        <v>801542153601</v>
      </c>
      <c r="C956" s="15" t="s">
        <v>22929</v>
      </c>
      <c r="D956" s="15" t="str">
        <f t="shared" si="1"/>
        <v>Sullivan NightstandSaddle Tan Veneer</v>
      </c>
      <c r="E956" s="15" t="s">
        <v>9583</v>
      </c>
      <c r="F956" s="15" t="s">
        <v>397</v>
      </c>
      <c r="G956" s="15" t="s">
        <v>9557</v>
      </c>
      <c r="J956" s="15" t="s">
        <v>9557</v>
      </c>
      <c r="M956" s="15" t="s">
        <v>5444</v>
      </c>
      <c r="N956" s="15" t="s">
        <v>628</v>
      </c>
      <c r="P956" s="15" t="str">
        <f>"32"</f>
        <v>32</v>
      </c>
      <c r="Q956" s="15" t="str">
        <f>"18"</f>
        <v>18</v>
      </c>
      <c r="R956" s="15" t="str">
        <f>"26.5"</f>
        <v>26.5</v>
      </c>
      <c r="S956" s="15" t="str">
        <f>"70.99"</f>
        <v>70.99</v>
      </c>
      <c r="T956" s="15" t="s">
        <v>7968</v>
      </c>
      <c r="U956" s="15" t="s">
        <v>16557</v>
      </c>
      <c r="V956" s="15" t="s">
        <v>14148</v>
      </c>
      <c r="AA956" s="15" t="s">
        <v>413</v>
      </c>
      <c r="AB956" s="15" t="s">
        <v>413</v>
      </c>
      <c r="AC956" s="15" t="s">
        <v>9588</v>
      </c>
      <c r="AD956" s="15" t="s">
        <v>22930</v>
      </c>
      <c r="AE956" s="15" t="s">
        <v>9587</v>
      </c>
      <c r="AF956" s="15" t="s">
        <v>22931</v>
      </c>
      <c r="AG956" s="15" t="s">
        <v>22932</v>
      </c>
      <c r="AH956" s="15" t="s">
        <v>22933</v>
      </c>
      <c r="AI956" s="15" t="s">
        <v>22934</v>
      </c>
      <c r="AJ956" s="15" t="s">
        <v>22935</v>
      </c>
      <c r="AK956" s="15" t="s">
        <v>22936</v>
      </c>
      <c r="AL956" s="15" t="s">
        <v>22937</v>
      </c>
      <c r="AM956" s="15" t="s">
        <v>22938</v>
      </c>
      <c r="AN956" s="15" t="s">
        <v>22939</v>
      </c>
      <c r="AO956" s="15" t="s">
        <v>22940</v>
      </c>
      <c r="AP956" s="15" t="s">
        <v>22941</v>
      </c>
      <c r="AQ956" s="15" t="s">
        <v>22942</v>
      </c>
      <c r="AR956" s="15" t="s">
        <v>22943</v>
      </c>
      <c r="BH956" s="15" t="s">
        <v>9584</v>
      </c>
      <c r="BI956" s="15" t="str">
        <f>"799"</f>
        <v>799</v>
      </c>
      <c r="BJ956" s="15" t="str">
        <f>"340"</f>
        <v>340</v>
      </c>
      <c r="BK956" s="15" t="s">
        <v>742</v>
      </c>
      <c r="BL956" s="15" t="str">
        <f t="shared" ref="BL956:BL965" si="2748">"1"</f>
        <v>1</v>
      </c>
      <c r="BM956" s="15" t="s">
        <v>9589</v>
      </c>
      <c r="BN956" s="15" t="str">
        <f>"36.42"</f>
        <v>36.42</v>
      </c>
      <c r="BO956" s="15" t="str">
        <f>"22.83"</f>
        <v>22.83</v>
      </c>
      <c r="BP956" s="15" t="str">
        <f>"32.87"</f>
        <v>32.87</v>
      </c>
      <c r="BQ956" s="15" t="str">
        <f>"95.9"</f>
        <v>95.9</v>
      </c>
      <c r="CG956" s="15" t="str">
        <f>"15.82"</f>
        <v>15.82</v>
      </c>
      <c r="CH956" s="15" t="str">
        <f>"0.448"</f>
        <v>0.448</v>
      </c>
      <c r="CI956" s="15" t="s">
        <v>497</v>
      </c>
      <c r="CZ956" s="15" t="s">
        <v>1371</v>
      </c>
      <c r="DA956" s="15">
        <v>3.0</v>
      </c>
      <c r="DB956" s="15" t="s">
        <v>419</v>
      </c>
      <c r="DD956" s="15">
        <v>0.0</v>
      </c>
      <c r="DF956" s="15" t="s">
        <v>1509</v>
      </c>
      <c r="DG956" s="15" t="s">
        <v>421</v>
      </c>
      <c r="DK956" s="15">
        <v>0.0</v>
      </c>
      <c r="DR956" s="15" t="s">
        <v>471</v>
      </c>
      <c r="DS956" s="15" t="s">
        <v>9563</v>
      </c>
      <c r="DU956" s="15" t="s">
        <v>500</v>
      </c>
      <c r="EF956" s="15" t="s">
        <v>9590</v>
      </c>
      <c r="EU956" s="15" t="s">
        <v>426</v>
      </c>
      <c r="EV956" s="15">
        <v>0.0</v>
      </c>
      <c r="FQ956" s="15">
        <v>0.0</v>
      </c>
      <c r="FR956" s="15" t="s">
        <v>427</v>
      </c>
      <c r="FZ956" s="15" t="s">
        <v>9591</v>
      </c>
      <c r="GA956" s="15" t="s">
        <v>9591</v>
      </c>
      <c r="GB956" s="15" t="s">
        <v>9592</v>
      </c>
      <c r="GC956" s="15" t="s">
        <v>2881</v>
      </c>
      <c r="GD956" s="15" t="s">
        <v>7872</v>
      </c>
      <c r="GE956" s="15" t="s">
        <v>7872</v>
      </c>
      <c r="GF956" s="15" t="s">
        <v>838</v>
      </c>
      <c r="GH956" s="15" t="s">
        <v>764</v>
      </c>
    </row>
    <row r="957" ht="17.25" customHeight="1">
      <c r="A957" s="15" t="s">
        <v>9595</v>
      </c>
      <c r="B957" s="15" t="str">
        <f>"198394077231"</f>
        <v>198394077231</v>
      </c>
      <c r="C957" s="15" t="s">
        <v>22944</v>
      </c>
      <c r="D957" s="15" t="str">
        <f t="shared" si="1"/>
        <v>Sully ChairMonte Navy</v>
      </c>
      <c r="E957" s="15" t="s">
        <v>9593</v>
      </c>
      <c r="F957" s="15" t="s">
        <v>397</v>
      </c>
      <c r="G957" s="15" t="s">
        <v>3931</v>
      </c>
      <c r="J957" s="15" t="s">
        <v>3931</v>
      </c>
      <c r="M957" s="15" t="s">
        <v>1628</v>
      </c>
      <c r="N957" s="15" t="s">
        <v>706</v>
      </c>
      <c r="O957" s="15" t="s">
        <v>707</v>
      </c>
      <c r="P957" s="15" t="str">
        <f t="shared" ref="P957:P958" si="2750">"30.5"</f>
        <v>30.5</v>
      </c>
      <c r="Q957" s="15" t="str">
        <f t="shared" ref="Q957:Q958" si="2751">"31"</f>
        <v>31</v>
      </c>
      <c r="R957" s="15" t="str">
        <f t="shared" ref="R957:R960" si="2752">"30.5"</f>
        <v>30.5</v>
      </c>
      <c r="S957" s="15" t="str">
        <f t="shared" ref="S957:S958" si="2753">"48.5"</f>
        <v>48.5</v>
      </c>
      <c r="T957" s="15" t="s">
        <v>4965</v>
      </c>
      <c r="U957" s="15" t="s">
        <v>13607</v>
      </c>
      <c r="V957" s="15" t="s">
        <v>13608</v>
      </c>
      <c r="AA957" s="15" t="s">
        <v>413</v>
      </c>
      <c r="AB957" s="15" t="s">
        <v>413</v>
      </c>
      <c r="AC957" s="15" t="s">
        <v>9597</v>
      </c>
      <c r="AD957" s="15" t="s">
        <v>22945</v>
      </c>
      <c r="AE957" s="15" t="s">
        <v>9596</v>
      </c>
      <c r="AF957" s="15" t="s">
        <v>22946</v>
      </c>
      <c r="AG957" s="15" t="s">
        <v>22947</v>
      </c>
      <c r="AH957" s="15" t="s">
        <v>22948</v>
      </c>
      <c r="AI957" s="15" t="s">
        <v>22949</v>
      </c>
      <c r="AJ957" s="15" t="s">
        <v>22950</v>
      </c>
      <c r="AK957" s="15" t="s">
        <v>22951</v>
      </c>
      <c r="AL957" s="15" t="s">
        <v>22952</v>
      </c>
      <c r="AM957" s="15" t="s">
        <v>22953</v>
      </c>
      <c r="BH957" s="15" t="s">
        <v>9594</v>
      </c>
      <c r="BI957" s="15" t="str">
        <f>"1149"</f>
        <v>1149</v>
      </c>
      <c r="BJ957" s="15" t="str">
        <f>"485"</f>
        <v>485</v>
      </c>
      <c r="BK957" s="15" t="s">
        <v>709</v>
      </c>
      <c r="BL957" s="15" t="str">
        <f t="shared" si="2748"/>
        <v>1</v>
      </c>
      <c r="BM957" s="15" t="s">
        <v>416</v>
      </c>
      <c r="BN957" s="15" t="str">
        <f t="shared" ref="BN957:BO957" si="2749">"31.89"</f>
        <v>31.89</v>
      </c>
      <c r="BO957" s="15" t="str">
        <f t="shared" si="2749"/>
        <v>31.89</v>
      </c>
      <c r="BP957" s="15" t="str">
        <f t="shared" ref="BP957:BP958" si="2755">"32.28"</f>
        <v>32.28</v>
      </c>
      <c r="BQ957" s="15" t="str">
        <f t="shared" ref="BQ957:BQ958" si="2756">"66.14"</f>
        <v>66.14</v>
      </c>
      <c r="CG957" s="15" t="str">
        <f t="shared" ref="CG957:CG958" si="2757">"19"</f>
        <v>19</v>
      </c>
      <c r="CH957" s="15" t="str">
        <f t="shared" ref="CH957:CH958" si="2758">"0.538"</f>
        <v>0.538</v>
      </c>
      <c r="CI957" s="15" t="s">
        <v>497</v>
      </c>
      <c r="CP957" s="15" t="s">
        <v>1072</v>
      </c>
      <c r="CQ957" s="15" t="s">
        <v>2402</v>
      </c>
      <c r="CR957" s="15" t="s">
        <v>9598</v>
      </c>
      <c r="CS957" s="15" t="s">
        <v>1072</v>
      </c>
      <c r="CT957" s="15" t="s">
        <v>9599</v>
      </c>
      <c r="CV957" s="15">
        <v>0.0</v>
      </c>
      <c r="CW957" s="15">
        <v>1.0</v>
      </c>
      <c r="CX957" s="15" t="s">
        <v>717</v>
      </c>
      <c r="CY957" s="15" t="s">
        <v>855</v>
      </c>
      <c r="DF957" s="15" t="s">
        <v>721</v>
      </c>
      <c r="DG957" s="15" t="s">
        <v>419</v>
      </c>
      <c r="DH957" s="15">
        <v>0.0</v>
      </c>
      <c r="DL957" s="15">
        <v>25000.0</v>
      </c>
      <c r="DM957" s="15" t="s">
        <v>990</v>
      </c>
      <c r="DN957" s="15" t="s">
        <v>1016</v>
      </c>
      <c r="DO957" s="15" t="s">
        <v>3514</v>
      </c>
      <c r="DP957" s="15">
        <v>1.0</v>
      </c>
      <c r="DQ957" s="15">
        <v>1.0</v>
      </c>
      <c r="DS957" s="15" t="s">
        <v>9600</v>
      </c>
      <c r="DT957" s="15">
        <v>0.0</v>
      </c>
      <c r="DU957" s="15" t="s">
        <v>726</v>
      </c>
      <c r="DV957" s="15" t="s">
        <v>1306</v>
      </c>
      <c r="DW957" s="15" t="s">
        <v>3048</v>
      </c>
      <c r="DX957" s="15" t="s">
        <v>525</v>
      </c>
      <c r="EB957" s="15" t="s">
        <v>940</v>
      </c>
      <c r="EF957" s="15" t="s">
        <v>1738</v>
      </c>
      <c r="EG957" s="15" t="s">
        <v>4128</v>
      </c>
      <c r="EH957" s="15" t="s">
        <v>1806</v>
      </c>
      <c r="EI957" s="15" t="s">
        <v>9601</v>
      </c>
      <c r="EL957" s="15" t="s">
        <v>1016</v>
      </c>
      <c r="EO957" s="15" t="s">
        <v>997</v>
      </c>
      <c r="EX957" s="15" t="s">
        <v>467</v>
      </c>
      <c r="EY957" s="15" t="s">
        <v>9598</v>
      </c>
      <c r="EZ957" s="15">
        <v>0.0</v>
      </c>
      <c r="FA957" s="15">
        <v>0.0</v>
      </c>
      <c r="FC957" s="15">
        <v>0.0</v>
      </c>
    </row>
    <row r="958" ht="17.25" customHeight="1">
      <c r="A958" s="15" t="s">
        <v>9604</v>
      </c>
      <c r="B958" s="15" t="str">
        <f>"801542201661"</f>
        <v>801542201661</v>
      </c>
      <c r="C958" s="15" t="s">
        <v>22954</v>
      </c>
      <c r="D958" s="15" t="str">
        <f t="shared" si="1"/>
        <v>Sully ChairSurrey Moss</v>
      </c>
      <c r="E958" s="15" t="s">
        <v>9593</v>
      </c>
      <c r="F958" s="15" t="s">
        <v>397</v>
      </c>
      <c r="G958" s="15" t="s">
        <v>9603</v>
      </c>
      <c r="J958" s="15" t="s">
        <v>9603</v>
      </c>
      <c r="M958" s="15" t="s">
        <v>1628</v>
      </c>
      <c r="N958" s="15" t="s">
        <v>706</v>
      </c>
      <c r="O958" s="15" t="s">
        <v>707</v>
      </c>
      <c r="P958" s="15" t="str">
        <f t="shared" si="2750"/>
        <v>30.5</v>
      </c>
      <c r="Q958" s="15" t="str">
        <f t="shared" si="2751"/>
        <v>31</v>
      </c>
      <c r="R958" s="15" t="str">
        <f t="shared" si="2752"/>
        <v>30.5</v>
      </c>
      <c r="S958" s="15" t="str">
        <f t="shared" si="2753"/>
        <v>48.5</v>
      </c>
      <c r="T958" s="15" t="s">
        <v>1615</v>
      </c>
      <c r="U958" s="15" t="s">
        <v>11845</v>
      </c>
      <c r="V958" s="15" t="s">
        <v>11846</v>
      </c>
      <c r="AA958" s="15" t="s">
        <v>413</v>
      </c>
      <c r="AB958" s="15" t="s">
        <v>413</v>
      </c>
      <c r="AC958" s="15" t="s">
        <v>9606</v>
      </c>
      <c r="AD958" s="15" t="s">
        <v>22955</v>
      </c>
      <c r="AE958" s="15" t="s">
        <v>9605</v>
      </c>
      <c r="AF958" s="15" t="s">
        <v>22956</v>
      </c>
      <c r="AG958" s="15" t="s">
        <v>22957</v>
      </c>
      <c r="AH958" s="15" t="s">
        <v>22958</v>
      </c>
      <c r="AI958" s="15" t="s">
        <v>22959</v>
      </c>
      <c r="AJ958" s="15" t="s">
        <v>22960</v>
      </c>
      <c r="AK958" s="15" t="s">
        <v>22961</v>
      </c>
      <c r="AL958" s="15" t="s">
        <v>22962</v>
      </c>
      <c r="AM958" s="15" t="s">
        <v>22963</v>
      </c>
      <c r="AN958" s="15" t="s">
        <v>22964</v>
      </c>
      <c r="AO958" s="15" t="s">
        <v>22965</v>
      </c>
      <c r="AP958" s="15" t="s">
        <v>22966</v>
      </c>
      <c r="BH958" s="15" t="s">
        <v>9602</v>
      </c>
      <c r="BI958" s="15" t="str">
        <f>"949"</f>
        <v>949</v>
      </c>
      <c r="BJ958" s="15" t="str">
        <f>"400"</f>
        <v>400</v>
      </c>
      <c r="BK958" s="15" t="s">
        <v>709</v>
      </c>
      <c r="BL958" s="15" t="str">
        <f t="shared" si="2748"/>
        <v>1</v>
      </c>
      <c r="BM958" s="15" t="s">
        <v>416</v>
      </c>
      <c r="BN958" s="15" t="str">
        <f t="shared" ref="BN958:BO958" si="2754">"31.89"</f>
        <v>31.89</v>
      </c>
      <c r="BO958" s="15" t="str">
        <f t="shared" si="2754"/>
        <v>31.89</v>
      </c>
      <c r="BP958" s="15" t="str">
        <f t="shared" si="2755"/>
        <v>32.28</v>
      </c>
      <c r="BQ958" s="15" t="str">
        <f t="shared" si="2756"/>
        <v>66.14</v>
      </c>
      <c r="CG958" s="15" t="str">
        <f t="shared" si="2757"/>
        <v>19</v>
      </c>
      <c r="CH958" s="15" t="str">
        <f t="shared" si="2758"/>
        <v>0.538</v>
      </c>
      <c r="CI958" s="15" t="s">
        <v>497</v>
      </c>
      <c r="CP958" s="15" t="s">
        <v>1072</v>
      </c>
      <c r="CQ958" s="15" t="s">
        <v>2402</v>
      </c>
      <c r="CR958" s="15" t="s">
        <v>9598</v>
      </c>
      <c r="CS958" s="15" t="s">
        <v>1072</v>
      </c>
      <c r="CT958" s="15" t="s">
        <v>9599</v>
      </c>
      <c r="CV958" s="15">
        <v>0.0</v>
      </c>
      <c r="CW958" s="15">
        <v>1.0</v>
      </c>
      <c r="CX958" s="15" t="s">
        <v>717</v>
      </c>
      <c r="CY958" s="15" t="s">
        <v>718</v>
      </c>
      <c r="DF958" s="15" t="s">
        <v>721</v>
      </c>
      <c r="DG958" s="15" t="s">
        <v>419</v>
      </c>
      <c r="DH958" s="15">
        <v>0.0</v>
      </c>
      <c r="DL958" s="15">
        <v>30000.0</v>
      </c>
      <c r="DM958" s="15" t="s">
        <v>990</v>
      </c>
      <c r="DN958" s="15" t="s">
        <v>1016</v>
      </c>
      <c r="DO958" s="15" t="s">
        <v>3514</v>
      </c>
      <c r="DP958" s="15">
        <v>1.0</v>
      </c>
      <c r="DQ958" s="15">
        <v>1.0</v>
      </c>
      <c r="DS958" s="15" t="s">
        <v>9600</v>
      </c>
      <c r="DT958" s="15">
        <v>0.0</v>
      </c>
      <c r="DU958" s="15" t="s">
        <v>726</v>
      </c>
      <c r="DV958" s="15" t="s">
        <v>1306</v>
      </c>
      <c r="DW958" s="15" t="s">
        <v>3048</v>
      </c>
      <c r="DX958" s="15" t="s">
        <v>525</v>
      </c>
      <c r="EB958" s="15" t="s">
        <v>940</v>
      </c>
      <c r="EF958" s="15" t="s">
        <v>1738</v>
      </c>
      <c r="EG958" s="15" t="s">
        <v>4128</v>
      </c>
      <c r="EH958" s="15" t="s">
        <v>1806</v>
      </c>
      <c r="EI958" s="15" t="s">
        <v>9601</v>
      </c>
      <c r="EL958" s="15" t="s">
        <v>1016</v>
      </c>
      <c r="EO958" s="15" t="s">
        <v>997</v>
      </c>
      <c r="EX958" s="15" t="s">
        <v>467</v>
      </c>
      <c r="EY958" s="15" t="s">
        <v>9598</v>
      </c>
      <c r="EZ958" s="15">
        <v>0.0</v>
      </c>
      <c r="FA958" s="15">
        <v>0.0</v>
      </c>
      <c r="FC958" s="15">
        <v>0.0</v>
      </c>
    </row>
    <row r="959" ht="17.25" customHeight="1">
      <c r="A959" s="15" t="s">
        <v>9609</v>
      </c>
      <c r="B959" s="15" t="str">
        <f>"801542127695"</f>
        <v>801542127695</v>
      </c>
      <c r="C959" s="15" t="s">
        <v>22967</v>
      </c>
      <c r="D959" s="15" t="str">
        <f t="shared" si="1"/>
        <v>Suspension DeskRustic Grey Veneer</v>
      </c>
      <c r="E959" s="15" t="s">
        <v>9607</v>
      </c>
      <c r="F959" s="15" t="s">
        <v>397</v>
      </c>
      <c r="G959" s="15" t="s">
        <v>5604</v>
      </c>
      <c r="J959" s="15" t="s">
        <v>5604</v>
      </c>
      <c r="M959" s="15" t="s">
        <v>1896</v>
      </c>
      <c r="N959" s="15" t="s">
        <v>2134</v>
      </c>
      <c r="O959" s="15" t="s">
        <v>2135</v>
      </c>
      <c r="P959" s="15" t="str">
        <f t="shared" ref="P959:P960" si="2759">"72.5"</f>
        <v>72.5</v>
      </c>
      <c r="Q959" s="15" t="str">
        <f t="shared" ref="Q959:Q960" si="2760">"30"</f>
        <v>30</v>
      </c>
      <c r="R959" s="15" t="str">
        <f t="shared" si="2752"/>
        <v>30.5</v>
      </c>
      <c r="S959" s="15" t="str">
        <f t="shared" ref="S959:S960" si="2761">"177.47"</f>
        <v>177.47</v>
      </c>
      <c r="T959" s="15" t="s">
        <v>1025</v>
      </c>
      <c r="U959" s="15" t="s">
        <v>10881</v>
      </c>
      <c r="V959" s="15" t="s">
        <v>11338</v>
      </c>
      <c r="AA959" s="15" t="s">
        <v>413</v>
      </c>
      <c r="AB959" s="15" t="s">
        <v>413</v>
      </c>
      <c r="AC959" s="15" t="s">
        <v>9613</v>
      </c>
      <c r="AD959" s="15" t="s">
        <v>22968</v>
      </c>
      <c r="AE959" s="15" t="s">
        <v>9610</v>
      </c>
      <c r="AF959" s="15" t="s">
        <v>22969</v>
      </c>
      <c r="AG959" s="15" t="s">
        <v>22970</v>
      </c>
      <c r="AH959" s="15" t="s">
        <v>22971</v>
      </c>
      <c r="AI959" s="15" t="s">
        <v>22972</v>
      </c>
      <c r="AJ959" s="15" t="s">
        <v>22973</v>
      </c>
      <c r="AK959" s="15" t="s">
        <v>22974</v>
      </c>
      <c r="AL959" s="15" t="s">
        <v>22975</v>
      </c>
      <c r="AM959" s="15" t="s">
        <v>22976</v>
      </c>
      <c r="AN959" s="15" t="s">
        <v>22977</v>
      </c>
      <c r="AO959" s="15" t="s">
        <v>22978</v>
      </c>
      <c r="AP959" s="15" t="s">
        <v>22979</v>
      </c>
      <c r="AQ959" s="15" t="s">
        <v>22980</v>
      </c>
      <c r="AR959" s="15" t="s">
        <v>22981</v>
      </c>
      <c r="AS959" s="15" t="s">
        <v>22982</v>
      </c>
      <c r="BH959" s="15" t="s">
        <v>9608</v>
      </c>
      <c r="BI959" s="15" t="str">
        <f t="shared" ref="BI959:BI960" si="2762">"2299"</f>
        <v>2299</v>
      </c>
      <c r="BJ959" s="15" t="str">
        <f t="shared" ref="BJ959:BJ960" si="2763">"970"</f>
        <v>970</v>
      </c>
      <c r="BK959" s="15" t="s">
        <v>742</v>
      </c>
      <c r="BL959" s="15" t="str">
        <f t="shared" si="2748"/>
        <v>1</v>
      </c>
      <c r="BM959" s="15" t="s">
        <v>5596</v>
      </c>
      <c r="BN959" s="15" t="str">
        <f t="shared" ref="BN959:BN960" si="2764">"76.77"</f>
        <v>76.77</v>
      </c>
      <c r="BO959" s="15" t="str">
        <f t="shared" ref="BO959:BO960" si="2765">"34.25"</f>
        <v>34.25</v>
      </c>
      <c r="BP959" s="15" t="str">
        <f t="shared" ref="BP959:BP960" si="2766">"40.75"</f>
        <v>40.75</v>
      </c>
      <c r="BQ959" s="15" t="str">
        <f t="shared" ref="BQ959:BQ960" si="2767">"255.74"</f>
        <v>255.74</v>
      </c>
      <c r="CG959" s="15" t="str">
        <f t="shared" ref="CG959:CG960" si="2768">"62.01"</f>
        <v>62.01</v>
      </c>
      <c r="CH959" s="15" t="str">
        <f t="shared" ref="CH959:CH960" si="2769">"1.756"</f>
        <v>1.756</v>
      </c>
      <c r="CI959" s="15" t="s">
        <v>497</v>
      </c>
      <c r="CZ959" s="15" t="s">
        <v>1371</v>
      </c>
      <c r="DA959" s="15">
        <v>5.0</v>
      </c>
      <c r="DB959" s="15" t="s">
        <v>419</v>
      </c>
      <c r="DD959" s="15">
        <v>0.0</v>
      </c>
      <c r="DF959" s="15" t="s">
        <v>1186</v>
      </c>
      <c r="DG959" s="15" t="s">
        <v>421</v>
      </c>
      <c r="DK959" s="15">
        <v>0.0</v>
      </c>
      <c r="DR959" s="15" t="s">
        <v>2137</v>
      </c>
      <c r="DS959" s="15" t="s">
        <v>9614</v>
      </c>
      <c r="DU959" s="15" t="s">
        <v>424</v>
      </c>
      <c r="EF959" s="15" t="s">
        <v>761</v>
      </c>
      <c r="EG959" s="15" t="s">
        <v>9117</v>
      </c>
      <c r="EH959" s="15" t="s">
        <v>9615</v>
      </c>
      <c r="EQ959" s="15" t="s">
        <v>558</v>
      </c>
      <c r="ER959" s="15" t="s">
        <v>7863</v>
      </c>
      <c r="ES959" s="15" t="s">
        <v>9616</v>
      </c>
      <c r="ET959" s="15" t="s">
        <v>6948</v>
      </c>
      <c r="EU959" s="15" t="s">
        <v>426</v>
      </c>
      <c r="EV959" s="15">
        <v>0.0</v>
      </c>
      <c r="FE959" s="15" t="s">
        <v>2647</v>
      </c>
      <c r="FQ959" s="15">
        <v>0.0</v>
      </c>
      <c r="FR959" s="15" t="s">
        <v>427</v>
      </c>
      <c r="FZ959" s="15" t="s">
        <v>2051</v>
      </c>
      <c r="GA959" s="15" t="s">
        <v>2051</v>
      </c>
      <c r="GB959" s="15" t="s">
        <v>2144</v>
      </c>
      <c r="GC959" s="15" t="s">
        <v>2144</v>
      </c>
      <c r="GD959" s="15" t="s">
        <v>9617</v>
      </c>
      <c r="GE959" s="15" t="s">
        <v>9618</v>
      </c>
      <c r="GF959" s="15" t="s">
        <v>838</v>
      </c>
      <c r="GH959" s="15" t="s">
        <v>764</v>
      </c>
      <c r="GM959" s="15">
        <v>1.0</v>
      </c>
      <c r="HG959" s="15" t="s">
        <v>2051</v>
      </c>
      <c r="HH959" s="15" t="s">
        <v>1550</v>
      </c>
      <c r="HI959" s="15" t="s">
        <v>1444</v>
      </c>
      <c r="HJ959" s="15" t="s">
        <v>1254</v>
      </c>
      <c r="HK959" s="15" t="s">
        <v>1487</v>
      </c>
      <c r="HL959" s="15" t="s">
        <v>1487</v>
      </c>
      <c r="HP959" s="15" t="s">
        <v>426</v>
      </c>
    </row>
    <row r="960" ht="17.25" customHeight="1">
      <c r="A960" s="15" t="s">
        <v>9620</v>
      </c>
      <c r="B960" s="15" t="str">
        <f>"198394017039"</f>
        <v>198394017039</v>
      </c>
      <c r="C960" s="15" t="s">
        <v>22983</v>
      </c>
      <c r="D960" s="15" t="str">
        <f t="shared" si="1"/>
        <v>Suspension DeskSmoked Black Veneer</v>
      </c>
      <c r="E960" s="15" t="s">
        <v>9607</v>
      </c>
      <c r="F960" s="15" t="s">
        <v>397</v>
      </c>
      <c r="G960" s="15" t="s">
        <v>4815</v>
      </c>
      <c r="J960" s="15" t="s">
        <v>4815</v>
      </c>
      <c r="M960" s="15" t="s">
        <v>1896</v>
      </c>
      <c r="N960" s="15" t="s">
        <v>2134</v>
      </c>
      <c r="O960" s="15" t="s">
        <v>2135</v>
      </c>
      <c r="P960" s="15" t="str">
        <f t="shared" si="2759"/>
        <v>72.5</v>
      </c>
      <c r="Q960" s="15" t="str">
        <f t="shared" si="2760"/>
        <v>30</v>
      </c>
      <c r="R960" s="15" t="str">
        <f t="shared" si="2752"/>
        <v>30.5</v>
      </c>
      <c r="S960" s="15" t="str">
        <f t="shared" si="2761"/>
        <v>177.47</v>
      </c>
      <c r="T960" s="15" t="s">
        <v>1025</v>
      </c>
      <c r="U960" s="15" t="s">
        <v>10881</v>
      </c>
      <c r="V960" s="15" t="s">
        <v>11338</v>
      </c>
      <c r="AA960" s="15" t="s">
        <v>413</v>
      </c>
      <c r="AB960" s="15" t="s">
        <v>413</v>
      </c>
      <c r="AC960" s="15" t="s">
        <v>9622</v>
      </c>
      <c r="AD960" s="15" t="s">
        <v>22984</v>
      </c>
      <c r="AE960" s="15" t="s">
        <v>9621</v>
      </c>
      <c r="AF960" s="15" t="s">
        <v>22985</v>
      </c>
      <c r="AG960" s="15" t="s">
        <v>22986</v>
      </c>
      <c r="AH960" s="15" t="s">
        <v>22987</v>
      </c>
      <c r="AI960" s="15" t="s">
        <v>22988</v>
      </c>
      <c r="AJ960" s="15" t="s">
        <v>22989</v>
      </c>
      <c r="AK960" s="15" t="s">
        <v>22990</v>
      </c>
      <c r="AL960" s="15" t="s">
        <v>22991</v>
      </c>
      <c r="AM960" s="15" t="s">
        <v>22992</v>
      </c>
      <c r="AN960" s="15" t="s">
        <v>22993</v>
      </c>
      <c r="AO960" s="15" t="s">
        <v>22994</v>
      </c>
      <c r="AP960" s="15" t="s">
        <v>22995</v>
      </c>
      <c r="AQ960" s="15" t="s">
        <v>22996</v>
      </c>
      <c r="BH960" s="15" t="s">
        <v>9619</v>
      </c>
      <c r="BI960" s="15" t="str">
        <f t="shared" si="2762"/>
        <v>2299</v>
      </c>
      <c r="BJ960" s="15" t="str">
        <f t="shared" si="2763"/>
        <v>970</v>
      </c>
      <c r="BK960" s="15" t="s">
        <v>742</v>
      </c>
      <c r="BL960" s="15" t="str">
        <f t="shared" si="2748"/>
        <v>1</v>
      </c>
      <c r="BM960" s="15" t="s">
        <v>5596</v>
      </c>
      <c r="BN960" s="15" t="str">
        <f t="shared" si="2764"/>
        <v>76.77</v>
      </c>
      <c r="BO960" s="15" t="str">
        <f t="shared" si="2765"/>
        <v>34.25</v>
      </c>
      <c r="BP960" s="15" t="str">
        <f t="shared" si="2766"/>
        <v>40.75</v>
      </c>
      <c r="BQ960" s="15" t="str">
        <f t="shared" si="2767"/>
        <v>255.74</v>
      </c>
      <c r="CG960" s="15" t="str">
        <f t="shared" si="2768"/>
        <v>62.01</v>
      </c>
      <c r="CH960" s="15" t="str">
        <f t="shared" si="2769"/>
        <v>1.756</v>
      </c>
      <c r="CI960" s="15" t="s">
        <v>497</v>
      </c>
      <c r="CZ960" s="15" t="s">
        <v>1371</v>
      </c>
      <c r="DA960" s="15">
        <v>5.0</v>
      </c>
      <c r="DB960" s="15" t="s">
        <v>419</v>
      </c>
      <c r="DD960" s="15">
        <v>0.0</v>
      </c>
      <c r="DF960" s="15" t="s">
        <v>1186</v>
      </c>
      <c r="DG960" s="15" t="s">
        <v>421</v>
      </c>
      <c r="DK960" s="15">
        <v>0.0</v>
      </c>
      <c r="DR960" s="15" t="s">
        <v>2137</v>
      </c>
      <c r="DS960" s="15" t="s">
        <v>9614</v>
      </c>
      <c r="DU960" s="15" t="s">
        <v>424</v>
      </c>
      <c r="EF960" s="15" t="s">
        <v>761</v>
      </c>
      <c r="EG960" s="15" t="s">
        <v>9117</v>
      </c>
      <c r="EH960" s="15" t="s">
        <v>9615</v>
      </c>
      <c r="EQ960" s="15" t="s">
        <v>558</v>
      </c>
      <c r="ER960" s="15" t="s">
        <v>7863</v>
      </c>
      <c r="ES960" s="15" t="s">
        <v>9616</v>
      </c>
      <c r="ET960" s="15" t="s">
        <v>6948</v>
      </c>
      <c r="EU960" s="15" t="s">
        <v>426</v>
      </c>
      <c r="EV960" s="15">
        <v>0.0</v>
      </c>
      <c r="FE960" s="15" t="s">
        <v>2647</v>
      </c>
      <c r="FQ960" s="15">
        <v>0.0</v>
      </c>
      <c r="FR960" s="15" t="s">
        <v>427</v>
      </c>
      <c r="FZ960" s="15" t="s">
        <v>2051</v>
      </c>
      <c r="GA960" s="15" t="s">
        <v>2051</v>
      </c>
      <c r="GB960" s="15" t="s">
        <v>2144</v>
      </c>
      <c r="GC960" s="15" t="s">
        <v>2144</v>
      </c>
      <c r="GD960" s="15" t="s">
        <v>9617</v>
      </c>
      <c r="GE960" s="15" t="s">
        <v>9618</v>
      </c>
      <c r="GF960" s="15" t="s">
        <v>838</v>
      </c>
      <c r="GH960" s="15" t="s">
        <v>764</v>
      </c>
      <c r="GM960" s="15">
        <v>1.0</v>
      </c>
      <c r="HG960" s="15" t="s">
        <v>2051</v>
      </c>
      <c r="HH960" s="15" t="s">
        <v>1550</v>
      </c>
      <c r="HI960" s="15" t="s">
        <v>1444</v>
      </c>
      <c r="HJ960" s="15" t="s">
        <v>1254</v>
      </c>
      <c r="HK960" s="15" t="s">
        <v>1487</v>
      </c>
      <c r="HL960" s="15" t="s">
        <v>1487</v>
      </c>
      <c r="HP960" s="15" t="s">
        <v>426</v>
      </c>
    </row>
    <row r="961" ht="17.25" customHeight="1">
      <c r="A961" s="15" t="s">
        <v>9626</v>
      </c>
      <c r="B961" s="15" t="str">
        <f>"801542616557"</f>
        <v>801542616557</v>
      </c>
      <c r="C961" s="15" t="s">
        <v>22997</v>
      </c>
      <c r="D961" s="15" t="str">
        <f t="shared" si="1"/>
        <v>Swivel Wing ChairJette Linen</v>
      </c>
      <c r="E961" s="15" t="s">
        <v>9623</v>
      </c>
      <c r="F961" s="15" t="s">
        <v>397</v>
      </c>
      <c r="G961" s="15" t="s">
        <v>9625</v>
      </c>
      <c r="J961" s="15" t="s">
        <v>9625</v>
      </c>
      <c r="M961" s="15" t="s">
        <v>837</v>
      </c>
      <c r="N961" s="15" t="s">
        <v>706</v>
      </c>
      <c r="O961" s="15" t="s">
        <v>707</v>
      </c>
      <c r="P961" s="15" t="str">
        <f>"28"</f>
        <v>28</v>
      </c>
      <c r="Q961" s="15" t="str">
        <f>"35.75"</f>
        <v>35.75</v>
      </c>
      <c r="R961" s="15" t="str">
        <f>"43"</f>
        <v>43</v>
      </c>
      <c r="S961" s="15" t="str">
        <f>"73.85"</f>
        <v>73.85</v>
      </c>
      <c r="T961" s="15" t="s">
        <v>9628</v>
      </c>
      <c r="U961" s="15" t="s">
        <v>22998</v>
      </c>
      <c r="V961" s="15" t="s">
        <v>22999</v>
      </c>
      <c r="W961" s="15" t="s">
        <v>16596</v>
      </c>
      <c r="AA961" s="15" t="s">
        <v>413</v>
      </c>
      <c r="AB961" s="15" t="s">
        <v>413</v>
      </c>
      <c r="AC961" s="15" t="s">
        <v>9629</v>
      </c>
      <c r="AD961" s="15" t="s">
        <v>23000</v>
      </c>
      <c r="AE961" s="15" t="s">
        <v>9627</v>
      </c>
      <c r="AF961" s="15" t="s">
        <v>23001</v>
      </c>
      <c r="AG961" s="15" t="s">
        <v>23002</v>
      </c>
      <c r="AH961" s="15" t="s">
        <v>23003</v>
      </c>
      <c r="AI961" s="15" t="s">
        <v>23004</v>
      </c>
      <c r="AJ961" s="15" t="s">
        <v>23005</v>
      </c>
      <c r="AK961" s="15" t="s">
        <v>23006</v>
      </c>
      <c r="AL961" s="15" t="s">
        <v>23007</v>
      </c>
      <c r="BH961" s="15" t="s">
        <v>9624</v>
      </c>
      <c r="BI961" s="15" t="str">
        <f>"899"</f>
        <v>899</v>
      </c>
      <c r="BJ961" s="15" t="str">
        <f>"380"</f>
        <v>380</v>
      </c>
      <c r="BK961" s="15" t="s">
        <v>742</v>
      </c>
      <c r="BL961" s="15" t="str">
        <f t="shared" si="2748"/>
        <v>1</v>
      </c>
      <c r="BM961" s="15" t="s">
        <v>416</v>
      </c>
      <c r="BN961" s="15" t="str">
        <f>"36.02"</f>
        <v>36.02</v>
      </c>
      <c r="BO961" s="15" t="str">
        <f>"28.35"</f>
        <v>28.35</v>
      </c>
      <c r="BP961" s="15" t="str">
        <f>"43.9"</f>
        <v>43.9</v>
      </c>
      <c r="BQ961" s="15" t="str">
        <f>"88.18"</f>
        <v>88.18</v>
      </c>
      <c r="CG961" s="15" t="str">
        <f>"20.41"</f>
        <v>20.41</v>
      </c>
      <c r="CH961" s="15" t="str">
        <f>"0.578"</f>
        <v>0.578</v>
      </c>
      <c r="CI961" s="15" t="s">
        <v>465</v>
      </c>
      <c r="CP961" s="15" t="s">
        <v>3955</v>
      </c>
      <c r="CQ961" s="15" t="s">
        <v>731</v>
      </c>
      <c r="CR961" s="15" t="s">
        <v>1603</v>
      </c>
      <c r="CS961" s="15" t="s">
        <v>2346</v>
      </c>
      <c r="CT961" s="15" t="s">
        <v>1324</v>
      </c>
      <c r="CU961" s="15" t="s">
        <v>1074</v>
      </c>
      <c r="CV961" s="15">
        <v>0.0</v>
      </c>
      <c r="CW961" s="15">
        <v>1.0</v>
      </c>
      <c r="CX961" s="15" t="s">
        <v>717</v>
      </c>
      <c r="CY961" s="15" t="s">
        <v>855</v>
      </c>
      <c r="DC961" s="15" t="s">
        <v>1239</v>
      </c>
      <c r="DF961" s="15" t="s">
        <v>989</v>
      </c>
      <c r="DG961" s="15" t="s">
        <v>1605</v>
      </c>
      <c r="DH961" s="15">
        <v>1.0</v>
      </c>
      <c r="DL961" s="15">
        <v>15000.0</v>
      </c>
      <c r="DM961" s="15" t="s">
        <v>722</v>
      </c>
      <c r="DN961" s="15" t="s">
        <v>723</v>
      </c>
      <c r="DO961" s="15" t="s">
        <v>724</v>
      </c>
      <c r="DP961" s="15">
        <v>1.0</v>
      </c>
      <c r="DQ961" s="15">
        <v>1.0</v>
      </c>
      <c r="DS961" s="15" t="s">
        <v>1605</v>
      </c>
      <c r="DT961" s="15">
        <v>0.0</v>
      </c>
      <c r="DU961" s="15" t="s">
        <v>726</v>
      </c>
      <c r="DV961" s="15" t="s">
        <v>2652</v>
      </c>
      <c r="DW961" s="15" t="s">
        <v>4375</v>
      </c>
      <c r="DX961" s="15" t="s">
        <v>1324</v>
      </c>
      <c r="DY961" s="15" t="s">
        <v>1808</v>
      </c>
      <c r="DZ961" s="15" t="s">
        <v>1808</v>
      </c>
      <c r="EA961" s="15" t="s">
        <v>1808</v>
      </c>
      <c r="EB961" s="15" t="s">
        <v>1444</v>
      </c>
      <c r="EC961" s="15" t="s">
        <v>1808</v>
      </c>
      <c r="ED961" s="15" t="s">
        <v>1808</v>
      </c>
      <c r="EE961" s="15" t="s">
        <v>1808</v>
      </c>
      <c r="EF961" s="15" t="s">
        <v>2144</v>
      </c>
      <c r="EG961" s="15" t="s">
        <v>1808</v>
      </c>
      <c r="EH961" s="15" t="s">
        <v>1808</v>
      </c>
      <c r="EI961" s="15" t="s">
        <v>9631</v>
      </c>
      <c r="EL961" s="15" t="s">
        <v>1016</v>
      </c>
      <c r="EM961" s="15" t="s">
        <v>1076</v>
      </c>
      <c r="EN961" s="15" t="s">
        <v>1239</v>
      </c>
      <c r="EO961" s="15" t="s">
        <v>1239</v>
      </c>
      <c r="EU961" s="15" t="s">
        <v>426</v>
      </c>
      <c r="EX961" s="15" t="s">
        <v>1074</v>
      </c>
      <c r="EY961" s="15" t="s">
        <v>1074</v>
      </c>
      <c r="EZ961" s="15">
        <v>0.0</v>
      </c>
      <c r="FA961" s="15">
        <v>0.0</v>
      </c>
      <c r="FC961" s="15">
        <v>0.0</v>
      </c>
      <c r="HU961" s="15" t="s">
        <v>1610</v>
      </c>
      <c r="IP961" s="15" t="s">
        <v>1955</v>
      </c>
      <c r="IQ961" s="15" t="s">
        <v>9632</v>
      </c>
      <c r="IR961" s="15" t="s">
        <v>1482</v>
      </c>
      <c r="IS961" s="15" t="s">
        <v>1076</v>
      </c>
      <c r="IT961" s="15" t="s">
        <v>426</v>
      </c>
      <c r="JD961" s="15" t="s">
        <v>1808</v>
      </c>
      <c r="JE961" s="15" t="s">
        <v>1808</v>
      </c>
      <c r="JF961" s="15" t="s">
        <v>1808</v>
      </c>
      <c r="JG961" s="15" t="s">
        <v>1808</v>
      </c>
      <c r="JH961" s="15" t="s">
        <v>1808</v>
      </c>
    </row>
    <row r="962" ht="17.25" customHeight="1">
      <c r="A962" s="15" t="s">
        <v>9635</v>
      </c>
      <c r="B962" s="15" t="str">
        <f>"801542921163"</f>
        <v>801542921163</v>
      </c>
      <c r="C962" s="15" t="s">
        <v>23008</v>
      </c>
      <c r="D962" s="15" t="str">
        <f t="shared" si="1"/>
        <v>Sydney 6 Drawer DresserBlack Cane</v>
      </c>
      <c r="E962" s="15" t="s">
        <v>9633</v>
      </c>
      <c r="F962" s="15" t="s">
        <v>397</v>
      </c>
      <c r="G962" s="15" t="s">
        <v>2889</v>
      </c>
      <c r="J962" s="15" t="s">
        <v>2889</v>
      </c>
      <c r="K962" s="15" t="s">
        <v>2746</v>
      </c>
      <c r="M962" s="15" t="s">
        <v>2888</v>
      </c>
      <c r="N962" s="15" t="s">
        <v>412</v>
      </c>
      <c r="P962" s="15" t="str">
        <f t="shared" ref="P962:P965" si="2770">"58"</f>
        <v>58</v>
      </c>
      <c r="Q962" s="15" t="str">
        <f t="shared" ref="Q962:Q965" si="2771">"18"</f>
        <v>18</v>
      </c>
      <c r="R962" s="15" t="str">
        <f t="shared" ref="R962:R965" si="2772">"31.5"</f>
        <v>31.5</v>
      </c>
      <c r="S962" s="15" t="str">
        <f t="shared" ref="S962:S965" si="2773">"164.68"</f>
        <v>164.68</v>
      </c>
      <c r="T962" s="15" t="s">
        <v>9637</v>
      </c>
      <c r="U962" s="15" t="s">
        <v>11358</v>
      </c>
      <c r="V962" s="15" t="s">
        <v>13228</v>
      </c>
      <c r="AA962" s="15" t="s">
        <v>413</v>
      </c>
      <c r="AB962" s="15" t="s">
        <v>413</v>
      </c>
      <c r="AD962" s="15" t="s">
        <v>23009</v>
      </c>
      <c r="AE962" s="15" t="s">
        <v>9636</v>
      </c>
      <c r="AF962" s="15" t="s">
        <v>23010</v>
      </c>
      <c r="AG962" s="15" t="s">
        <v>23011</v>
      </c>
      <c r="AH962" s="15" t="s">
        <v>23012</v>
      </c>
      <c r="AI962" s="15" t="s">
        <v>23013</v>
      </c>
      <c r="AJ962" s="15" t="s">
        <v>23014</v>
      </c>
      <c r="AK962" s="15" t="s">
        <v>23015</v>
      </c>
      <c r="AL962" s="15" t="s">
        <v>23016</v>
      </c>
      <c r="AM962" s="15" t="s">
        <v>23017</v>
      </c>
      <c r="AN962" s="15" t="s">
        <v>23018</v>
      </c>
      <c r="AO962" s="15" t="s">
        <v>23019</v>
      </c>
      <c r="AP962" s="15" t="s">
        <v>23020</v>
      </c>
      <c r="BH962" s="15" t="s">
        <v>9634</v>
      </c>
      <c r="BI962" s="15" t="str">
        <f t="shared" ref="BI962:BI965" si="2774">"1799"</f>
        <v>1799</v>
      </c>
      <c r="BJ962" s="15" t="str">
        <f t="shared" ref="BJ962:BJ965" si="2775">"760"</f>
        <v>760</v>
      </c>
      <c r="BK962" s="15" t="s">
        <v>1303</v>
      </c>
      <c r="BL962" s="15" t="str">
        <f t="shared" si="2748"/>
        <v>1</v>
      </c>
      <c r="BM962" s="15" t="s">
        <v>416</v>
      </c>
      <c r="BN962" s="15" t="str">
        <f t="shared" ref="BN962:BN965" si="2776">"63"</f>
        <v>63</v>
      </c>
      <c r="BO962" s="15" t="str">
        <f t="shared" ref="BO962:BO965" si="2777">"21.75"</f>
        <v>21.75</v>
      </c>
      <c r="BP962" s="15" t="str">
        <f t="shared" ref="BP962:BP965" si="2778">"36.5"</f>
        <v>36.5</v>
      </c>
      <c r="BQ962" s="15" t="str">
        <f t="shared" ref="BQ962:BQ965" si="2779">"206.17"</f>
        <v>206.17</v>
      </c>
      <c r="CG962" s="15" t="str">
        <f t="shared" ref="CG962:CG965" si="2780">"28.96"</f>
        <v>28.96</v>
      </c>
      <c r="CH962" s="15" t="str">
        <f t="shared" ref="CH962:CH965" si="2781">"0.82"</f>
        <v>0.82</v>
      </c>
      <c r="CI962" s="15" t="s">
        <v>465</v>
      </c>
      <c r="CZ962" s="15" t="s">
        <v>1371</v>
      </c>
      <c r="DA962" s="15">
        <v>6.0</v>
      </c>
      <c r="DB962" s="15" t="s">
        <v>2604</v>
      </c>
      <c r="DD962" s="15">
        <v>0.0</v>
      </c>
      <c r="DF962" s="15" t="s">
        <v>1111</v>
      </c>
      <c r="DG962" s="15" t="s">
        <v>421</v>
      </c>
      <c r="DK962" s="15">
        <v>0.0</v>
      </c>
      <c r="DR962" s="15" t="s">
        <v>422</v>
      </c>
      <c r="DS962" s="15" t="s">
        <v>9639</v>
      </c>
      <c r="DU962" s="15" t="s">
        <v>500</v>
      </c>
      <c r="EF962" s="15" t="s">
        <v>2603</v>
      </c>
      <c r="EU962" s="15" t="s">
        <v>426</v>
      </c>
      <c r="EV962" s="15">
        <v>0.0</v>
      </c>
      <c r="FQ962" s="15">
        <v>0.0</v>
      </c>
      <c r="FR962" s="15" t="s">
        <v>427</v>
      </c>
      <c r="FZ962" s="15" t="s">
        <v>2968</v>
      </c>
      <c r="GB962" s="15" t="s">
        <v>4440</v>
      </c>
      <c r="GD962" s="15" t="s">
        <v>3361</v>
      </c>
      <c r="GF962" s="15" t="s">
        <v>431</v>
      </c>
      <c r="GH962" s="15" t="s">
        <v>1190</v>
      </c>
      <c r="GI962" s="15" t="s">
        <v>426</v>
      </c>
    </row>
    <row r="963" ht="17.25" customHeight="1">
      <c r="A963" s="15" t="s">
        <v>9641</v>
      </c>
      <c r="B963" s="15" t="str">
        <f>"801542921170"</f>
        <v>801542921170</v>
      </c>
      <c r="C963" s="15" t="s">
        <v>23021</v>
      </c>
      <c r="D963" s="15" t="str">
        <f t="shared" si="1"/>
        <v>Sydney 6 Drawer DresserBrown Cane</v>
      </c>
      <c r="E963" s="15" t="s">
        <v>9633</v>
      </c>
      <c r="F963" s="15" t="s">
        <v>397</v>
      </c>
      <c r="G963" s="15" t="s">
        <v>2904</v>
      </c>
      <c r="J963" s="15" t="s">
        <v>2904</v>
      </c>
      <c r="K963" s="15" t="s">
        <v>2901</v>
      </c>
      <c r="M963" s="15" t="s">
        <v>2888</v>
      </c>
      <c r="N963" s="15" t="s">
        <v>412</v>
      </c>
      <c r="P963" s="15" t="str">
        <f t="shared" si="2770"/>
        <v>58</v>
      </c>
      <c r="Q963" s="15" t="str">
        <f t="shared" si="2771"/>
        <v>18</v>
      </c>
      <c r="R963" s="15" t="str">
        <f t="shared" si="2772"/>
        <v>31.5</v>
      </c>
      <c r="S963" s="15" t="str">
        <f t="shared" si="2773"/>
        <v>164.68</v>
      </c>
      <c r="T963" s="15" t="s">
        <v>9637</v>
      </c>
      <c r="U963" s="15" t="s">
        <v>11358</v>
      </c>
      <c r="V963" s="15" t="s">
        <v>13228</v>
      </c>
      <c r="AA963" s="15" t="s">
        <v>413</v>
      </c>
      <c r="AB963" s="15" t="s">
        <v>413</v>
      </c>
      <c r="AC963" s="15" t="s">
        <v>9643</v>
      </c>
      <c r="AD963" s="15" t="s">
        <v>23022</v>
      </c>
      <c r="AE963" s="15" t="s">
        <v>9642</v>
      </c>
      <c r="AF963" s="15" t="s">
        <v>23023</v>
      </c>
      <c r="AG963" s="15" t="s">
        <v>23024</v>
      </c>
      <c r="AH963" s="15" t="s">
        <v>23025</v>
      </c>
      <c r="AI963" s="15" t="s">
        <v>23026</v>
      </c>
      <c r="AJ963" s="15" t="s">
        <v>23027</v>
      </c>
      <c r="AK963" s="15" t="s">
        <v>23028</v>
      </c>
      <c r="AL963" s="15" t="s">
        <v>23029</v>
      </c>
      <c r="AM963" s="15" t="s">
        <v>23030</v>
      </c>
      <c r="AN963" s="15" t="s">
        <v>23031</v>
      </c>
      <c r="AO963" s="15" t="s">
        <v>23032</v>
      </c>
      <c r="AP963" s="15" t="s">
        <v>23033</v>
      </c>
      <c r="AQ963" s="15" t="s">
        <v>23034</v>
      </c>
      <c r="BH963" s="15" t="s">
        <v>9640</v>
      </c>
      <c r="BI963" s="15" t="str">
        <f t="shared" si="2774"/>
        <v>1799</v>
      </c>
      <c r="BJ963" s="15" t="str">
        <f t="shared" si="2775"/>
        <v>760</v>
      </c>
      <c r="BK963" s="15" t="s">
        <v>1303</v>
      </c>
      <c r="BL963" s="15" t="str">
        <f t="shared" si="2748"/>
        <v>1</v>
      </c>
      <c r="BM963" s="15" t="s">
        <v>416</v>
      </c>
      <c r="BN963" s="15" t="str">
        <f t="shared" si="2776"/>
        <v>63</v>
      </c>
      <c r="BO963" s="15" t="str">
        <f t="shared" si="2777"/>
        <v>21.75</v>
      </c>
      <c r="BP963" s="15" t="str">
        <f t="shared" si="2778"/>
        <v>36.5</v>
      </c>
      <c r="BQ963" s="15" t="str">
        <f t="shared" si="2779"/>
        <v>206.17</v>
      </c>
      <c r="CG963" s="15" t="str">
        <f t="shared" si="2780"/>
        <v>28.96</v>
      </c>
      <c r="CH963" s="15" t="str">
        <f t="shared" si="2781"/>
        <v>0.82</v>
      </c>
      <c r="CI963" s="15" t="s">
        <v>497</v>
      </c>
      <c r="CZ963" s="15" t="s">
        <v>1371</v>
      </c>
      <c r="DA963" s="15">
        <v>6.0</v>
      </c>
      <c r="DB963" s="15" t="s">
        <v>2604</v>
      </c>
      <c r="DD963" s="15">
        <v>0.0</v>
      </c>
      <c r="DF963" s="15" t="s">
        <v>1111</v>
      </c>
      <c r="DG963" s="15" t="s">
        <v>421</v>
      </c>
      <c r="DK963" s="15">
        <v>0.0</v>
      </c>
      <c r="DR963" s="15" t="s">
        <v>422</v>
      </c>
      <c r="DS963" s="15" t="s">
        <v>9639</v>
      </c>
      <c r="DU963" s="15" t="s">
        <v>500</v>
      </c>
      <c r="EF963" s="15" t="s">
        <v>2603</v>
      </c>
      <c r="EU963" s="15" t="s">
        <v>426</v>
      </c>
      <c r="EV963" s="15">
        <v>0.0</v>
      </c>
      <c r="FQ963" s="15">
        <v>0.0</v>
      </c>
      <c r="FR963" s="15" t="s">
        <v>427</v>
      </c>
      <c r="FZ963" s="15" t="s">
        <v>2968</v>
      </c>
      <c r="GB963" s="15" t="s">
        <v>4440</v>
      </c>
      <c r="GD963" s="15" t="s">
        <v>3361</v>
      </c>
      <c r="GF963" s="15" t="s">
        <v>431</v>
      </c>
      <c r="GH963" s="15" t="s">
        <v>1190</v>
      </c>
      <c r="GI963" s="15" t="s">
        <v>426</v>
      </c>
    </row>
    <row r="964" ht="17.25" customHeight="1">
      <c r="A964" s="15" t="s">
        <v>9645</v>
      </c>
      <c r="B964" s="15" t="str">
        <f>"801542921187"</f>
        <v>801542921187</v>
      </c>
      <c r="C964" s="15" t="s">
        <v>23035</v>
      </c>
      <c r="D964" s="15" t="str">
        <f t="shared" si="1"/>
        <v>Sydney 6 Drawer DresserNatural Mango</v>
      </c>
      <c r="E964" s="15" t="s">
        <v>9633</v>
      </c>
      <c r="F964" s="15" t="s">
        <v>397</v>
      </c>
      <c r="G964" s="15" t="s">
        <v>2907</v>
      </c>
      <c r="J964" s="15" t="s">
        <v>2910</v>
      </c>
      <c r="K964" s="15" t="s">
        <v>2907</v>
      </c>
      <c r="M964" s="15" t="s">
        <v>2888</v>
      </c>
      <c r="N964" s="15" t="s">
        <v>412</v>
      </c>
      <c r="P964" s="15" t="str">
        <f t="shared" si="2770"/>
        <v>58</v>
      </c>
      <c r="Q964" s="15" t="str">
        <f t="shared" si="2771"/>
        <v>18</v>
      </c>
      <c r="R964" s="15" t="str">
        <f t="shared" si="2772"/>
        <v>31.5</v>
      </c>
      <c r="S964" s="15" t="str">
        <f t="shared" si="2773"/>
        <v>164.68</v>
      </c>
      <c r="T964" s="15" t="s">
        <v>9637</v>
      </c>
      <c r="U964" s="15" t="s">
        <v>11358</v>
      </c>
      <c r="V964" s="15" t="s">
        <v>13228</v>
      </c>
      <c r="AA964" s="15" t="s">
        <v>426</v>
      </c>
      <c r="AB964" s="15" t="s">
        <v>413</v>
      </c>
      <c r="AC964" s="15" t="s">
        <v>9647</v>
      </c>
      <c r="AD964" s="15" t="s">
        <v>23036</v>
      </c>
      <c r="AE964" s="15" t="s">
        <v>9646</v>
      </c>
      <c r="AF964" s="15" t="s">
        <v>23037</v>
      </c>
      <c r="AG964" s="15" t="s">
        <v>23038</v>
      </c>
      <c r="AH964" s="15" t="s">
        <v>23039</v>
      </c>
      <c r="AI964" s="15" t="s">
        <v>23040</v>
      </c>
      <c r="AJ964" s="15" t="s">
        <v>23041</v>
      </c>
      <c r="AK964" s="15" t="s">
        <v>23042</v>
      </c>
      <c r="AL964" s="15" t="s">
        <v>23043</v>
      </c>
      <c r="AM964" s="15" t="s">
        <v>23044</v>
      </c>
      <c r="AN964" s="15" t="s">
        <v>23045</v>
      </c>
      <c r="AO964" s="15" t="s">
        <v>23046</v>
      </c>
      <c r="AP964" s="15" t="s">
        <v>23047</v>
      </c>
      <c r="BH964" s="15" t="s">
        <v>9644</v>
      </c>
      <c r="BI964" s="15" t="str">
        <f t="shared" si="2774"/>
        <v>1799</v>
      </c>
      <c r="BJ964" s="15" t="str">
        <f t="shared" si="2775"/>
        <v>760</v>
      </c>
      <c r="BK964" s="15" t="s">
        <v>1303</v>
      </c>
      <c r="BL964" s="15" t="str">
        <f t="shared" si="2748"/>
        <v>1</v>
      </c>
      <c r="BM964" s="15" t="s">
        <v>416</v>
      </c>
      <c r="BN964" s="15" t="str">
        <f t="shared" si="2776"/>
        <v>63</v>
      </c>
      <c r="BO964" s="15" t="str">
        <f t="shared" si="2777"/>
        <v>21.75</v>
      </c>
      <c r="BP964" s="15" t="str">
        <f t="shared" si="2778"/>
        <v>36.5</v>
      </c>
      <c r="BQ964" s="15" t="str">
        <f t="shared" si="2779"/>
        <v>206.17</v>
      </c>
      <c r="CG964" s="15" t="str">
        <f t="shared" si="2780"/>
        <v>28.96</v>
      </c>
      <c r="CH964" s="15" t="str">
        <f t="shared" si="2781"/>
        <v>0.82</v>
      </c>
      <c r="CI964" s="15" t="s">
        <v>497</v>
      </c>
      <c r="CZ964" s="15" t="s">
        <v>1371</v>
      </c>
      <c r="DA964" s="15">
        <v>6.0</v>
      </c>
      <c r="DB964" s="15" t="s">
        <v>2604</v>
      </c>
      <c r="DD964" s="15">
        <v>0.0</v>
      </c>
      <c r="DF964" s="15" t="s">
        <v>1111</v>
      </c>
      <c r="DG964" s="15" t="s">
        <v>421</v>
      </c>
      <c r="DK964" s="15">
        <v>0.0</v>
      </c>
      <c r="DR964" s="15" t="s">
        <v>422</v>
      </c>
      <c r="DS964" s="15" t="s">
        <v>9639</v>
      </c>
      <c r="DU964" s="15" t="s">
        <v>500</v>
      </c>
      <c r="EF964" s="15" t="s">
        <v>2603</v>
      </c>
      <c r="EU964" s="15" t="s">
        <v>426</v>
      </c>
      <c r="EV964" s="15">
        <v>0.0</v>
      </c>
      <c r="FQ964" s="15">
        <v>0.0</v>
      </c>
      <c r="FR964" s="15" t="s">
        <v>427</v>
      </c>
      <c r="FZ964" s="15" t="s">
        <v>2968</v>
      </c>
      <c r="GB964" s="15" t="s">
        <v>4440</v>
      </c>
      <c r="GD964" s="15" t="s">
        <v>3361</v>
      </c>
      <c r="GF964" s="15" t="s">
        <v>431</v>
      </c>
      <c r="GH964" s="15" t="s">
        <v>1190</v>
      </c>
      <c r="GI964" s="15" t="s">
        <v>426</v>
      </c>
    </row>
    <row r="965" ht="17.25" customHeight="1">
      <c r="A965" s="15" t="s">
        <v>9649</v>
      </c>
      <c r="B965" s="15" t="str">
        <f>"801542921156"</f>
        <v>801542921156</v>
      </c>
      <c r="C965" s="15" t="s">
        <v>23035</v>
      </c>
      <c r="D965" s="15" t="str">
        <f t="shared" si="1"/>
        <v>Sydney 6 Drawer DresserBlack Wash</v>
      </c>
      <c r="E965" s="15" t="s">
        <v>9633</v>
      </c>
      <c r="F965" s="15" t="s">
        <v>397</v>
      </c>
      <c r="G965" s="15" t="s">
        <v>2746</v>
      </c>
      <c r="J965" s="15" t="s">
        <v>2910</v>
      </c>
      <c r="K965" s="15" t="s">
        <v>2746</v>
      </c>
      <c r="M965" s="15" t="s">
        <v>2888</v>
      </c>
      <c r="N965" s="15" t="s">
        <v>412</v>
      </c>
      <c r="P965" s="15" t="str">
        <f t="shared" si="2770"/>
        <v>58</v>
      </c>
      <c r="Q965" s="15" t="str">
        <f t="shared" si="2771"/>
        <v>18</v>
      </c>
      <c r="R965" s="15" t="str">
        <f t="shared" si="2772"/>
        <v>31.5</v>
      </c>
      <c r="S965" s="15" t="str">
        <f t="shared" si="2773"/>
        <v>164.68</v>
      </c>
      <c r="T965" s="15" t="s">
        <v>9637</v>
      </c>
      <c r="U965" s="15" t="s">
        <v>11358</v>
      </c>
      <c r="V965" s="15" t="s">
        <v>13228</v>
      </c>
      <c r="AA965" s="15" t="s">
        <v>413</v>
      </c>
      <c r="AB965" s="15" t="s">
        <v>413</v>
      </c>
      <c r="AC965" s="15" t="s">
        <v>9651</v>
      </c>
      <c r="AD965" s="15" t="s">
        <v>23048</v>
      </c>
      <c r="AE965" s="15" t="s">
        <v>9650</v>
      </c>
      <c r="AF965" s="15" t="s">
        <v>23049</v>
      </c>
      <c r="AG965" s="15" t="s">
        <v>23050</v>
      </c>
      <c r="AH965" s="15" t="s">
        <v>23051</v>
      </c>
      <c r="AI965" s="15" t="s">
        <v>23052</v>
      </c>
      <c r="AJ965" s="15" t="s">
        <v>23053</v>
      </c>
      <c r="AK965" s="15" t="s">
        <v>23054</v>
      </c>
      <c r="AL965" s="15" t="s">
        <v>23055</v>
      </c>
      <c r="AM965" s="15" t="s">
        <v>23056</v>
      </c>
      <c r="AN965" s="15" t="s">
        <v>23057</v>
      </c>
      <c r="AO965" s="15" t="s">
        <v>23058</v>
      </c>
      <c r="AP965" s="15" t="s">
        <v>23059</v>
      </c>
      <c r="AQ965" s="15" t="s">
        <v>23060</v>
      </c>
      <c r="AR965" s="15" t="s">
        <v>23061</v>
      </c>
      <c r="BH965" s="15" t="s">
        <v>9648</v>
      </c>
      <c r="BI965" s="15" t="str">
        <f t="shared" si="2774"/>
        <v>1799</v>
      </c>
      <c r="BJ965" s="15" t="str">
        <f t="shared" si="2775"/>
        <v>760</v>
      </c>
      <c r="BK965" s="15" t="s">
        <v>1303</v>
      </c>
      <c r="BL965" s="15" t="str">
        <f t="shared" si="2748"/>
        <v>1</v>
      </c>
      <c r="BM965" s="15" t="s">
        <v>416</v>
      </c>
      <c r="BN965" s="15" t="str">
        <f t="shared" si="2776"/>
        <v>63</v>
      </c>
      <c r="BO965" s="15" t="str">
        <f t="shared" si="2777"/>
        <v>21.75</v>
      </c>
      <c r="BP965" s="15" t="str">
        <f t="shared" si="2778"/>
        <v>36.5</v>
      </c>
      <c r="BQ965" s="15" t="str">
        <f t="shared" si="2779"/>
        <v>206.17</v>
      </c>
      <c r="CG965" s="15" t="str">
        <f t="shared" si="2780"/>
        <v>28.96</v>
      </c>
      <c r="CH965" s="15" t="str">
        <f t="shared" si="2781"/>
        <v>0.82</v>
      </c>
      <c r="CI965" s="15" t="s">
        <v>417</v>
      </c>
      <c r="CZ965" s="15" t="s">
        <v>1371</v>
      </c>
      <c r="DA965" s="15">
        <v>6.0</v>
      </c>
      <c r="DB965" s="15" t="s">
        <v>2604</v>
      </c>
      <c r="DD965" s="15">
        <v>0.0</v>
      </c>
      <c r="DF965" s="15" t="s">
        <v>1111</v>
      </c>
      <c r="DG965" s="15" t="s">
        <v>421</v>
      </c>
      <c r="DK965" s="15">
        <v>0.0</v>
      </c>
      <c r="DR965" s="15" t="s">
        <v>422</v>
      </c>
      <c r="DS965" s="15" t="s">
        <v>9639</v>
      </c>
      <c r="DU965" s="15" t="s">
        <v>500</v>
      </c>
      <c r="EF965" s="15" t="s">
        <v>2603</v>
      </c>
      <c r="EU965" s="15" t="s">
        <v>426</v>
      </c>
      <c r="EV965" s="15">
        <v>0.0</v>
      </c>
      <c r="FQ965" s="15">
        <v>0.0</v>
      </c>
      <c r="FR965" s="15" t="s">
        <v>427</v>
      </c>
      <c r="FZ965" s="15" t="s">
        <v>2968</v>
      </c>
      <c r="GB965" s="15" t="s">
        <v>4440</v>
      </c>
      <c r="GD965" s="15" t="s">
        <v>3361</v>
      </c>
      <c r="GF965" s="15" t="s">
        <v>431</v>
      </c>
      <c r="GH965" s="15" t="s">
        <v>1190</v>
      </c>
      <c r="GI965" s="15" t="s">
        <v>426</v>
      </c>
    </row>
    <row r="966" ht="17.25" customHeight="1">
      <c r="A966" s="15" t="s">
        <v>9654</v>
      </c>
      <c r="B966" s="15" t="str">
        <f>"801542313494"</f>
        <v>801542313494</v>
      </c>
      <c r="C966" s="15" t="s">
        <v>23062</v>
      </c>
      <c r="D966" s="15" t="str">
        <f t="shared" si="1"/>
        <v>Sydney BedBlack CaneQueen</v>
      </c>
      <c r="E966" s="15" t="s">
        <v>9652</v>
      </c>
      <c r="F966" s="15" t="s">
        <v>397</v>
      </c>
      <c r="G966" s="15" t="s">
        <v>2889</v>
      </c>
      <c r="H966" s="15" t="s">
        <v>265</v>
      </c>
      <c r="I966" s="15" t="s">
        <v>877</v>
      </c>
      <c r="J966" s="15" t="s">
        <v>2746</v>
      </c>
      <c r="K966" s="15" t="s">
        <v>2889</v>
      </c>
      <c r="M966" s="15" t="s">
        <v>2888</v>
      </c>
      <c r="N966" s="15" t="s">
        <v>839</v>
      </c>
      <c r="O966" s="15" t="s">
        <v>877</v>
      </c>
      <c r="P966" s="15" t="str">
        <f>"62.25"</f>
        <v>62.25</v>
      </c>
      <c r="Q966" s="15" t="str">
        <f t="shared" ref="Q966:Q967" si="2782">"83"</f>
        <v>83</v>
      </c>
      <c r="R966" s="15" t="str">
        <f t="shared" ref="R966:R971" si="2783">"46.5"</f>
        <v>46.5</v>
      </c>
      <c r="S966" s="15" t="str">
        <f>"148.11"</f>
        <v>148.11</v>
      </c>
      <c r="T966" s="15" t="s">
        <v>9657</v>
      </c>
      <c r="U966" s="15" t="s">
        <v>13228</v>
      </c>
      <c r="V966" s="15" t="s">
        <v>11358</v>
      </c>
      <c r="AA966" s="15" t="s">
        <v>413</v>
      </c>
      <c r="AB966" s="15" t="s">
        <v>413</v>
      </c>
      <c r="AC966" s="15" t="s">
        <v>9662</v>
      </c>
      <c r="AD966" s="15" t="s">
        <v>23063</v>
      </c>
      <c r="AE966" s="15" t="s">
        <v>9656</v>
      </c>
      <c r="AF966" s="15" t="s">
        <v>23064</v>
      </c>
      <c r="AG966" s="15" t="s">
        <v>23065</v>
      </c>
      <c r="AH966" s="15" t="s">
        <v>23066</v>
      </c>
      <c r="AI966" s="15" t="s">
        <v>23067</v>
      </c>
      <c r="AJ966" s="15" t="s">
        <v>23068</v>
      </c>
      <c r="AK966" s="15" t="s">
        <v>23069</v>
      </c>
      <c r="AL966" s="15" t="s">
        <v>23070</v>
      </c>
      <c r="AM966" s="15" t="s">
        <v>23071</v>
      </c>
      <c r="AN966" s="15" t="s">
        <v>23072</v>
      </c>
      <c r="AO966" s="15" t="s">
        <v>23073</v>
      </c>
      <c r="AP966" s="15" t="s">
        <v>23074</v>
      </c>
      <c r="AQ966" s="15" t="s">
        <v>23075</v>
      </c>
      <c r="BH966" s="15" t="s">
        <v>9653</v>
      </c>
      <c r="BI966" s="15" t="str">
        <f>"1699"</f>
        <v>1699</v>
      </c>
      <c r="BJ966" s="15" t="str">
        <f>"715"</f>
        <v>715</v>
      </c>
      <c r="BK966" s="15" t="s">
        <v>1303</v>
      </c>
      <c r="BL966" s="15" t="str">
        <f t="shared" ref="BL966:BL971" si="2784">"2"</f>
        <v>2</v>
      </c>
      <c r="BM966" s="15" t="s">
        <v>3018</v>
      </c>
      <c r="BN966" s="15" t="str">
        <f>"67"</f>
        <v>67</v>
      </c>
      <c r="BO966" s="15" t="str">
        <f t="shared" ref="BO966:BO971" si="2785">"7.5"</f>
        <v>7.5</v>
      </c>
      <c r="BP966" s="15" t="str">
        <f t="shared" ref="BP966:BP971" si="2786">"50.75"</f>
        <v>50.75</v>
      </c>
      <c r="BQ966" s="15" t="str">
        <f>"91.49"</f>
        <v>91.49</v>
      </c>
      <c r="BR966" s="15" t="s">
        <v>9663</v>
      </c>
      <c r="BS966" s="15" t="str">
        <f t="shared" ref="BS966:BS967" si="2787">"83"</f>
        <v>83</v>
      </c>
      <c r="BT966" s="15" t="str">
        <f t="shared" ref="BT966:BT967" si="2788">"11.75"</f>
        <v>11.75</v>
      </c>
      <c r="BU966" s="15" t="str">
        <f t="shared" ref="BU966:BU967" si="2789">"12.5"</f>
        <v>12.5</v>
      </c>
      <c r="BV966" s="15" t="str">
        <f>"110.89"</f>
        <v>110.89</v>
      </c>
      <c r="CG966" s="15" t="str">
        <f>"21.82"</f>
        <v>21.82</v>
      </c>
      <c r="CH966" s="15" t="str">
        <f>"0.618"</f>
        <v>0.618</v>
      </c>
      <c r="CI966" s="15" t="s">
        <v>465</v>
      </c>
      <c r="CZ966" s="15" t="s">
        <v>419</v>
      </c>
      <c r="DA966" s="15">
        <v>0.0</v>
      </c>
      <c r="DB966" s="15" t="s">
        <v>419</v>
      </c>
      <c r="DD966" s="15">
        <v>0.0</v>
      </c>
      <c r="DF966" s="15" t="s">
        <v>1111</v>
      </c>
      <c r="DG966" s="15" t="s">
        <v>419</v>
      </c>
      <c r="DI966" s="15">
        <v>0.0</v>
      </c>
      <c r="DJ966" s="15">
        <v>0.0</v>
      </c>
      <c r="DK966" s="15">
        <v>0.0</v>
      </c>
      <c r="DS966" s="15" t="s">
        <v>9639</v>
      </c>
      <c r="DU966" s="15" t="s">
        <v>858</v>
      </c>
      <c r="EV966" s="15">
        <v>0.0</v>
      </c>
      <c r="HV966" s="15" t="s">
        <v>5481</v>
      </c>
      <c r="HW966" s="15" t="s">
        <v>5481</v>
      </c>
      <c r="HX966" s="15" t="s">
        <v>5481</v>
      </c>
      <c r="HY966" s="15" t="s">
        <v>9666</v>
      </c>
      <c r="HZ966" s="15" t="s">
        <v>784</v>
      </c>
      <c r="IA966" s="15" t="s">
        <v>7092</v>
      </c>
      <c r="IB966" s="15" t="s">
        <v>4653</v>
      </c>
      <c r="IC966" s="15" t="s">
        <v>784</v>
      </c>
      <c r="ID966" s="15" t="s">
        <v>7092</v>
      </c>
      <c r="IE966" s="15" t="s">
        <v>5321</v>
      </c>
      <c r="IF966" s="15" t="s">
        <v>2969</v>
      </c>
      <c r="IG966" s="15" t="s">
        <v>2388</v>
      </c>
      <c r="IH966" s="15" t="s">
        <v>714</v>
      </c>
      <c r="II966" s="15" t="s">
        <v>5321</v>
      </c>
      <c r="IJ966" s="15" t="s">
        <v>1042</v>
      </c>
      <c r="IK966" s="15" t="s">
        <v>426</v>
      </c>
      <c r="IL966" s="15" t="s">
        <v>2973</v>
      </c>
      <c r="IM966" s="15" t="s">
        <v>6794</v>
      </c>
      <c r="IN966" s="15" t="s">
        <v>873</v>
      </c>
      <c r="IO966" s="15" t="s">
        <v>877</v>
      </c>
      <c r="IU966" s="15" t="s">
        <v>7777</v>
      </c>
      <c r="IV966" s="15" t="s">
        <v>822</v>
      </c>
      <c r="IW966" s="15" t="s">
        <v>784</v>
      </c>
      <c r="IX966" s="15" t="s">
        <v>426</v>
      </c>
      <c r="IY966" s="15" t="s">
        <v>2474</v>
      </c>
    </row>
    <row r="967" ht="17.25" customHeight="1">
      <c r="A967" s="15" t="s">
        <v>9668</v>
      </c>
      <c r="B967" s="15" t="str">
        <f>"801542313487"</f>
        <v>801542313487</v>
      </c>
      <c r="C967" s="15" t="s">
        <v>23062</v>
      </c>
      <c r="D967" s="15" t="str">
        <f t="shared" si="1"/>
        <v>Sydney BedBlack WashKing</v>
      </c>
      <c r="E967" s="15" t="s">
        <v>9652</v>
      </c>
      <c r="F967" s="15" t="s">
        <v>397</v>
      </c>
      <c r="G967" s="15" t="s">
        <v>2746</v>
      </c>
      <c r="H967" s="15" t="s">
        <v>265</v>
      </c>
      <c r="I967" s="15" t="s">
        <v>828</v>
      </c>
      <c r="J967" s="15" t="s">
        <v>2746</v>
      </c>
      <c r="K967" s="15" t="s">
        <v>2889</v>
      </c>
      <c r="M967" s="15" t="s">
        <v>2888</v>
      </c>
      <c r="N967" s="15" t="s">
        <v>839</v>
      </c>
      <c r="O967" s="15" t="s">
        <v>828</v>
      </c>
      <c r="P967" s="15" t="str">
        <f>"78.25"</f>
        <v>78.25</v>
      </c>
      <c r="Q967" s="15" t="str">
        <f t="shared" si="2782"/>
        <v>83</v>
      </c>
      <c r="R967" s="15" t="str">
        <f t="shared" si="2783"/>
        <v>46.5</v>
      </c>
      <c r="S967" s="15" t="str">
        <f>"172.35"</f>
        <v>172.35</v>
      </c>
      <c r="T967" s="15" t="s">
        <v>9657</v>
      </c>
      <c r="U967" s="15" t="s">
        <v>13228</v>
      </c>
      <c r="V967" s="15" t="s">
        <v>11358</v>
      </c>
      <c r="AA967" s="15" t="s">
        <v>413</v>
      </c>
      <c r="AB967" s="15" t="s">
        <v>413</v>
      </c>
      <c r="AC967" s="15" t="s">
        <v>9662</v>
      </c>
      <c r="AD967" s="15" t="s">
        <v>23076</v>
      </c>
      <c r="AE967" s="15" t="s">
        <v>9670</v>
      </c>
      <c r="AF967" s="15" t="s">
        <v>23077</v>
      </c>
      <c r="AG967" s="15" t="s">
        <v>23078</v>
      </c>
      <c r="AH967" s="15" t="s">
        <v>23064</v>
      </c>
      <c r="AI967" s="15" t="s">
        <v>23079</v>
      </c>
      <c r="AJ967" s="15" t="s">
        <v>23080</v>
      </c>
      <c r="AK967" s="15" t="s">
        <v>23081</v>
      </c>
      <c r="AL967" s="15" t="s">
        <v>23082</v>
      </c>
      <c r="AM967" s="15" t="s">
        <v>23083</v>
      </c>
      <c r="AN967" s="15" t="s">
        <v>23084</v>
      </c>
      <c r="AO967" s="15" t="s">
        <v>23085</v>
      </c>
      <c r="AP967" s="15" t="s">
        <v>23086</v>
      </c>
      <c r="AQ967" s="15" t="s">
        <v>23087</v>
      </c>
      <c r="AR967" s="15" t="s">
        <v>23088</v>
      </c>
      <c r="AS967" s="15" t="s">
        <v>23089</v>
      </c>
      <c r="BH967" s="15" t="s">
        <v>9667</v>
      </c>
      <c r="BI967" s="15" t="str">
        <f>"1999"</f>
        <v>1999</v>
      </c>
      <c r="BJ967" s="15" t="str">
        <f>"840"</f>
        <v>840</v>
      </c>
      <c r="BK967" s="15" t="s">
        <v>1303</v>
      </c>
      <c r="BL967" s="15" t="str">
        <f t="shared" si="2784"/>
        <v>2</v>
      </c>
      <c r="BM967" s="15" t="s">
        <v>3018</v>
      </c>
      <c r="BN967" s="15" t="str">
        <f>"82.5"</f>
        <v>82.5</v>
      </c>
      <c r="BO967" s="15" t="str">
        <f t="shared" si="2785"/>
        <v>7.5</v>
      </c>
      <c r="BP967" s="15" t="str">
        <f t="shared" si="2786"/>
        <v>50.75</v>
      </c>
      <c r="BQ967" s="15" t="str">
        <f>"118.03"</f>
        <v>118.03</v>
      </c>
      <c r="BR967" s="15" t="s">
        <v>9663</v>
      </c>
      <c r="BS967" s="15" t="str">
        <f t="shared" si="2787"/>
        <v>83</v>
      </c>
      <c r="BT967" s="15" t="str">
        <f t="shared" si="2788"/>
        <v>11.75</v>
      </c>
      <c r="BU967" s="15" t="str">
        <f t="shared" si="2789"/>
        <v>12.5</v>
      </c>
      <c r="BV967" s="15" t="str">
        <f>"112.83"</f>
        <v>112.83</v>
      </c>
      <c r="CG967" s="15" t="str">
        <f>"25.25"</f>
        <v>25.25</v>
      </c>
      <c r="CH967" s="15" t="str">
        <f>"0.715"</f>
        <v>0.715</v>
      </c>
      <c r="CI967" s="15" t="s">
        <v>465</v>
      </c>
      <c r="CZ967" s="15" t="s">
        <v>419</v>
      </c>
      <c r="DA967" s="15">
        <v>0.0</v>
      </c>
      <c r="DB967" s="15" t="s">
        <v>419</v>
      </c>
      <c r="DD967" s="15">
        <v>0.0</v>
      </c>
      <c r="DF967" s="15" t="s">
        <v>1111</v>
      </c>
      <c r="DG967" s="15" t="s">
        <v>419</v>
      </c>
      <c r="DI967" s="15">
        <v>0.0</v>
      </c>
      <c r="DJ967" s="15">
        <v>0.0</v>
      </c>
      <c r="DK967" s="15">
        <v>0.0</v>
      </c>
      <c r="DS967" s="15" t="s">
        <v>9639</v>
      </c>
      <c r="DU967" s="15" t="s">
        <v>858</v>
      </c>
      <c r="EV967" s="15">
        <v>0.0</v>
      </c>
      <c r="HV967" s="15" t="s">
        <v>5481</v>
      </c>
      <c r="HW967" s="15" t="s">
        <v>5481</v>
      </c>
      <c r="HX967" s="15" t="s">
        <v>5481</v>
      </c>
      <c r="HY967" s="15" t="s">
        <v>9666</v>
      </c>
      <c r="HZ967" s="15" t="s">
        <v>784</v>
      </c>
      <c r="IA967" s="15" t="s">
        <v>6489</v>
      </c>
      <c r="IB967" s="15" t="s">
        <v>4653</v>
      </c>
      <c r="IC967" s="15" t="s">
        <v>784</v>
      </c>
      <c r="ID967" s="15" t="s">
        <v>6489</v>
      </c>
      <c r="IE967" s="15" t="s">
        <v>9673</v>
      </c>
      <c r="IF967" s="15" t="s">
        <v>2969</v>
      </c>
      <c r="IG967" s="15" t="s">
        <v>9674</v>
      </c>
      <c r="IH967" s="15" t="s">
        <v>714</v>
      </c>
      <c r="II967" s="15" t="s">
        <v>9673</v>
      </c>
      <c r="IJ967" s="15" t="s">
        <v>1042</v>
      </c>
      <c r="IK967" s="15" t="s">
        <v>426</v>
      </c>
      <c r="IL967" s="15" t="s">
        <v>2973</v>
      </c>
      <c r="IM967" s="15" t="s">
        <v>6794</v>
      </c>
      <c r="IN967" s="15" t="s">
        <v>873</v>
      </c>
      <c r="IO967" s="15" t="s">
        <v>828</v>
      </c>
      <c r="IU967" s="15" t="s">
        <v>7777</v>
      </c>
      <c r="IV967" s="15" t="s">
        <v>822</v>
      </c>
      <c r="IW967" s="15" t="s">
        <v>784</v>
      </c>
      <c r="IX967" s="15" t="s">
        <v>426</v>
      </c>
      <c r="IY967" s="15" t="s">
        <v>2474</v>
      </c>
    </row>
    <row r="968" ht="17.25" customHeight="1">
      <c r="A968" s="15" t="s">
        <v>9676</v>
      </c>
      <c r="B968" s="15" t="str">
        <f>"801542358587"</f>
        <v>801542358587</v>
      </c>
      <c r="C968" s="15" t="s">
        <v>23062</v>
      </c>
      <c r="D968" s="15" t="str">
        <f t="shared" si="1"/>
        <v>Sydney BedBlack CaneTwin</v>
      </c>
      <c r="E968" s="15" t="s">
        <v>9652</v>
      </c>
      <c r="F968" s="15" t="s">
        <v>397</v>
      </c>
      <c r="G968" s="15" t="s">
        <v>2889</v>
      </c>
      <c r="H968" s="15" t="s">
        <v>265</v>
      </c>
      <c r="I968" s="15" t="s">
        <v>3025</v>
      </c>
      <c r="J968" s="15" t="s">
        <v>2746</v>
      </c>
      <c r="K968" s="15" t="s">
        <v>2889</v>
      </c>
      <c r="M968" s="15" t="s">
        <v>2888</v>
      </c>
      <c r="N968" s="15" t="s">
        <v>839</v>
      </c>
      <c r="O968" s="15" t="s">
        <v>3025</v>
      </c>
      <c r="P968" s="15" t="str">
        <f>"42.5"</f>
        <v>42.5</v>
      </c>
      <c r="Q968" s="15" t="str">
        <f>"79"</f>
        <v>79</v>
      </c>
      <c r="R968" s="15" t="str">
        <f t="shared" si="2783"/>
        <v>46.5</v>
      </c>
      <c r="S968" s="15" t="str">
        <f>"109.04"</f>
        <v>109.04</v>
      </c>
      <c r="T968" s="15" t="s">
        <v>9657</v>
      </c>
      <c r="U968" s="15" t="s">
        <v>13228</v>
      </c>
      <c r="V968" s="15" t="s">
        <v>11358</v>
      </c>
      <c r="AA968" s="15" t="s">
        <v>413</v>
      </c>
      <c r="AB968" s="15" t="s">
        <v>413</v>
      </c>
      <c r="AC968" s="15" t="s">
        <v>9662</v>
      </c>
      <c r="AD968" s="15" t="s">
        <v>23090</v>
      </c>
      <c r="AE968" s="15" t="s">
        <v>9678</v>
      </c>
      <c r="AF968" s="15" t="s">
        <v>23091</v>
      </c>
      <c r="AG968" s="15" t="s">
        <v>23092</v>
      </c>
      <c r="AH968" s="15" t="s">
        <v>23093</v>
      </c>
      <c r="AI968" s="15" t="s">
        <v>23094</v>
      </c>
      <c r="AJ968" s="15" t="s">
        <v>23095</v>
      </c>
      <c r="AK968" s="15" t="s">
        <v>23096</v>
      </c>
      <c r="AL968" s="15" t="s">
        <v>23097</v>
      </c>
      <c r="AM968" s="15" t="s">
        <v>23098</v>
      </c>
      <c r="AN968" s="15" t="s">
        <v>23099</v>
      </c>
      <c r="AO968" s="15" t="s">
        <v>23100</v>
      </c>
      <c r="BH968" s="15" t="s">
        <v>9675</v>
      </c>
      <c r="BI968" s="15" t="str">
        <f>"1349"</f>
        <v>1349</v>
      </c>
      <c r="BJ968" s="15" t="str">
        <f>"570"</f>
        <v>570</v>
      </c>
      <c r="BK968" s="15" t="s">
        <v>1303</v>
      </c>
      <c r="BL968" s="15" t="str">
        <f t="shared" si="2784"/>
        <v>2</v>
      </c>
      <c r="BM968" s="15" t="s">
        <v>3018</v>
      </c>
      <c r="BN968" s="15" t="str">
        <f>"47.25"</f>
        <v>47.25</v>
      </c>
      <c r="BO968" s="15" t="str">
        <f t="shared" si="2785"/>
        <v>7.5</v>
      </c>
      <c r="BP968" s="15" t="str">
        <f t="shared" si="2786"/>
        <v>50.75</v>
      </c>
      <c r="BQ968" s="15" t="str">
        <f>"56.04"</f>
        <v>56.04</v>
      </c>
      <c r="BR968" s="15" t="s">
        <v>9663</v>
      </c>
      <c r="BS968" s="15" t="str">
        <f>"79.5"</f>
        <v>79.5</v>
      </c>
      <c r="BT968" s="15" t="str">
        <f>"8.5"</f>
        <v>8.5</v>
      </c>
      <c r="BU968" s="15" t="str">
        <f>"14.5"</f>
        <v>14.5</v>
      </c>
      <c r="BV968" s="15" t="str">
        <f>"72.14"</f>
        <v>72.14</v>
      </c>
      <c r="CG968" s="15" t="str">
        <f>"16.1"</f>
        <v>16.1</v>
      </c>
      <c r="CH968" s="15" t="str">
        <f>"0.456"</f>
        <v>0.456</v>
      </c>
      <c r="CI968" s="15" t="s">
        <v>417</v>
      </c>
      <c r="CZ968" s="15" t="s">
        <v>419</v>
      </c>
      <c r="DA968" s="15">
        <v>0.0</v>
      </c>
      <c r="DB968" s="15" t="s">
        <v>419</v>
      </c>
      <c r="DD968" s="15">
        <v>0.0</v>
      </c>
      <c r="DF968" s="15" t="s">
        <v>1111</v>
      </c>
      <c r="DG968" s="15" t="s">
        <v>419</v>
      </c>
      <c r="DI968" s="15">
        <v>0.0</v>
      </c>
      <c r="DJ968" s="15">
        <v>0.0</v>
      </c>
      <c r="DK968" s="15">
        <v>0.0</v>
      </c>
      <c r="DS968" s="15" t="s">
        <v>9639</v>
      </c>
      <c r="DU968" s="15" t="s">
        <v>858</v>
      </c>
      <c r="EV968" s="15">
        <v>0.0</v>
      </c>
      <c r="HV968" s="15" t="s">
        <v>5481</v>
      </c>
      <c r="HW968" s="15" t="s">
        <v>5481</v>
      </c>
      <c r="HX968" s="15" t="s">
        <v>5481</v>
      </c>
      <c r="HY968" s="15" t="s">
        <v>9666</v>
      </c>
      <c r="HZ968" s="15" t="s">
        <v>784</v>
      </c>
      <c r="IA968" s="15" t="s">
        <v>9682</v>
      </c>
      <c r="IB968" s="15" t="s">
        <v>4653</v>
      </c>
      <c r="IC968" s="15" t="s">
        <v>784</v>
      </c>
      <c r="ID968" s="15" t="s">
        <v>9682</v>
      </c>
      <c r="IE968" s="15" t="s">
        <v>9674</v>
      </c>
      <c r="IF968" s="15" t="s">
        <v>2969</v>
      </c>
      <c r="IG968" s="15" t="s">
        <v>5559</v>
      </c>
      <c r="IH968" s="15" t="s">
        <v>714</v>
      </c>
      <c r="II968" s="15" t="s">
        <v>9683</v>
      </c>
      <c r="IJ968" s="15" t="s">
        <v>1042</v>
      </c>
      <c r="IK968" s="15" t="s">
        <v>426</v>
      </c>
      <c r="IL968" s="15" t="s">
        <v>2973</v>
      </c>
      <c r="IM968" s="15" t="s">
        <v>6794</v>
      </c>
      <c r="IN968" s="15" t="s">
        <v>873</v>
      </c>
      <c r="IO968" s="15" t="s">
        <v>3025</v>
      </c>
      <c r="IU968" s="15" t="s">
        <v>7777</v>
      </c>
      <c r="IV968" s="15" t="s">
        <v>822</v>
      </c>
      <c r="IW968" s="15" t="s">
        <v>784</v>
      </c>
      <c r="IX968" s="15" t="s">
        <v>426</v>
      </c>
      <c r="IY968" s="15" t="s">
        <v>2474</v>
      </c>
    </row>
    <row r="969" ht="17.25" customHeight="1">
      <c r="A969" s="15" t="s">
        <v>9685</v>
      </c>
      <c r="B969" s="15" t="str">
        <f>"801542461614"</f>
        <v>801542461614</v>
      </c>
      <c r="C969" s="15" t="s">
        <v>23062</v>
      </c>
      <c r="D969" s="15" t="str">
        <f t="shared" si="1"/>
        <v>Sydney BedNatural CaneQueen</v>
      </c>
      <c r="E969" s="15" t="s">
        <v>9652</v>
      </c>
      <c r="F969" s="15" t="s">
        <v>397</v>
      </c>
      <c r="G969" s="15" t="s">
        <v>2910</v>
      </c>
      <c r="H969" s="15" t="s">
        <v>265</v>
      </c>
      <c r="I969" s="15" t="s">
        <v>877</v>
      </c>
      <c r="J969" s="15" t="s">
        <v>2746</v>
      </c>
      <c r="K969" s="15" t="s">
        <v>2910</v>
      </c>
      <c r="M969" s="15" t="s">
        <v>2888</v>
      </c>
      <c r="N969" s="15" t="s">
        <v>839</v>
      </c>
      <c r="O969" s="15" t="s">
        <v>877</v>
      </c>
      <c r="P969" s="15" t="str">
        <f>"62.25"</f>
        <v>62.25</v>
      </c>
      <c r="Q969" s="15" t="str">
        <f>"83"</f>
        <v>83</v>
      </c>
      <c r="R969" s="15" t="str">
        <f t="shared" si="2783"/>
        <v>46.5</v>
      </c>
      <c r="S969" s="15" t="str">
        <f>"148.11"</f>
        <v>148.11</v>
      </c>
      <c r="T969" s="15" t="s">
        <v>9657</v>
      </c>
      <c r="U969" s="15" t="s">
        <v>13228</v>
      </c>
      <c r="V969" s="15" t="s">
        <v>11358</v>
      </c>
      <c r="AA969" s="15" t="s">
        <v>413</v>
      </c>
      <c r="AB969" s="15" t="s">
        <v>413</v>
      </c>
      <c r="AC969" s="15" t="s">
        <v>9687</v>
      </c>
      <c r="AD969" s="15" t="s">
        <v>23101</v>
      </c>
      <c r="AE969" s="15" t="s">
        <v>9686</v>
      </c>
      <c r="AF969" s="15" t="s">
        <v>23102</v>
      </c>
      <c r="AG969" s="15" t="s">
        <v>23103</v>
      </c>
      <c r="AH969" s="15" t="s">
        <v>23104</v>
      </c>
      <c r="AI969" s="15" t="s">
        <v>23105</v>
      </c>
      <c r="AJ969" s="15" t="s">
        <v>23106</v>
      </c>
      <c r="AK969" s="15" t="s">
        <v>23107</v>
      </c>
      <c r="AL969" s="15" t="s">
        <v>23108</v>
      </c>
      <c r="AM969" s="15" t="s">
        <v>23109</v>
      </c>
      <c r="AN969" s="15" t="s">
        <v>23110</v>
      </c>
      <c r="AO969" s="15" t="s">
        <v>23111</v>
      </c>
      <c r="BH969" s="15" t="s">
        <v>9684</v>
      </c>
      <c r="BI969" s="15" t="str">
        <f>"1699"</f>
        <v>1699</v>
      </c>
      <c r="BJ969" s="15" t="str">
        <f>"715"</f>
        <v>715</v>
      </c>
      <c r="BK969" s="15" t="s">
        <v>1303</v>
      </c>
      <c r="BL969" s="15" t="str">
        <f t="shared" si="2784"/>
        <v>2</v>
      </c>
      <c r="BM969" s="15" t="s">
        <v>3018</v>
      </c>
      <c r="BN969" s="15" t="str">
        <f>"67"</f>
        <v>67</v>
      </c>
      <c r="BO969" s="15" t="str">
        <f t="shared" si="2785"/>
        <v>7.5</v>
      </c>
      <c r="BP969" s="15" t="str">
        <f t="shared" si="2786"/>
        <v>50.75</v>
      </c>
      <c r="BQ969" s="15" t="str">
        <f>"91.49"</f>
        <v>91.49</v>
      </c>
      <c r="BR969" s="15" t="s">
        <v>9663</v>
      </c>
      <c r="BS969" s="15" t="str">
        <f>"83"</f>
        <v>83</v>
      </c>
      <c r="BT969" s="15" t="str">
        <f>"11.75"</f>
        <v>11.75</v>
      </c>
      <c r="BU969" s="15" t="str">
        <f>"12.5"</f>
        <v>12.5</v>
      </c>
      <c r="BV969" s="15" t="str">
        <f>"110.89"</f>
        <v>110.89</v>
      </c>
      <c r="CG969" s="15" t="str">
        <f>"21.82"</f>
        <v>21.82</v>
      </c>
      <c r="CH969" s="15" t="str">
        <f>"0.618"</f>
        <v>0.618</v>
      </c>
      <c r="CI969" s="15" t="s">
        <v>465</v>
      </c>
      <c r="CZ969" s="15" t="s">
        <v>419</v>
      </c>
      <c r="DA969" s="15">
        <v>0.0</v>
      </c>
      <c r="DB969" s="15" t="s">
        <v>419</v>
      </c>
      <c r="DD969" s="15">
        <v>0.0</v>
      </c>
      <c r="DF969" s="15" t="s">
        <v>1111</v>
      </c>
      <c r="DG969" s="15" t="s">
        <v>419</v>
      </c>
      <c r="DI969" s="15">
        <v>0.0</v>
      </c>
      <c r="DJ969" s="15">
        <v>0.0</v>
      </c>
      <c r="DK969" s="15">
        <v>0.0</v>
      </c>
      <c r="DS969" s="15" t="s">
        <v>9639</v>
      </c>
      <c r="DU969" s="15" t="s">
        <v>858</v>
      </c>
      <c r="EV969" s="15">
        <v>0.0</v>
      </c>
      <c r="HV969" s="15" t="s">
        <v>5481</v>
      </c>
      <c r="HW969" s="15" t="s">
        <v>5481</v>
      </c>
      <c r="HX969" s="15" t="s">
        <v>5481</v>
      </c>
      <c r="HY969" s="15" t="s">
        <v>9666</v>
      </c>
      <c r="HZ969" s="15" t="s">
        <v>784</v>
      </c>
      <c r="IA969" s="15" t="s">
        <v>7092</v>
      </c>
      <c r="IB969" s="15" t="s">
        <v>4653</v>
      </c>
      <c r="IC969" s="15" t="s">
        <v>784</v>
      </c>
      <c r="ID969" s="15" t="s">
        <v>7092</v>
      </c>
      <c r="IE969" s="15" t="s">
        <v>5321</v>
      </c>
      <c r="IF969" s="15" t="s">
        <v>2969</v>
      </c>
      <c r="IG969" s="15" t="s">
        <v>2388</v>
      </c>
      <c r="IH969" s="15" t="s">
        <v>714</v>
      </c>
      <c r="II969" s="15" t="s">
        <v>5321</v>
      </c>
      <c r="IJ969" s="15" t="s">
        <v>1042</v>
      </c>
      <c r="IK969" s="15" t="s">
        <v>426</v>
      </c>
      <c r="IL969" s="15" t="s">
        <v>2973</v>
      </c>
      <c r="IM969" s="15" t="s">
        <v>6794</v>
      </c>
      <c r="IN969" s="15" t="s">
        <v>873</v>
      </c>
      <c r="IO969" s="15" t="s">
        <v>877</v>
      </c>
      <c r="IU969" s="15" t="s">
        <v>7777</v>
      </c>
      <c r="IV969" s="15" t="s">
        <v>822</v>
      </c>
      <c r="IW969" s="15" t="s">
        <v>784</v>
      </c>
      <c r="IX969" s="15" t="s">
        <v>426</v>
      </c>
      <c r="IY969" s="15" t="s">
        <v>2474</v>
      </c>
    </row>
    <row r="970" ht="17.25" customHeight="1">
      <c r="A970" s="15" t="s">
        <v>9689</v>
      </c>
      <c r="B970" s="15" t="str">
        <f>"801542462543"</f>
        <v>801542462543</v>
      </c>
      <c r="C970" s="15" t="s">
        <v>23062</v>
      </c>
      <c r="D970" s="15" t="str">
        <f t="shared" si="1"/>
        <v>Sydney BedNatural CaneTwin</v>
      </c>
      <c r="E970" s="15" t="s">
        <v>9652</v>
      </c>
      <c r="F970" s="15" t="s">
        <v>397</v>
      </c>
      <c r="G970" s="15" t="s">
        <v>2910</v>
      </c>
      <c r="H970" s="15" t="s">
        <v>265</v>
      </c>
      <c r="I970" s="15" t="s">
        <v>3025</v>
      </c>
      <c r="J970" s="15" t="s">
        <v>2746</v>
      </c>
      <c r="K970" s="15" t="s">
        <v>2910</v>
      </c>
      <c r="M970" s="15" t="s">
        <v>2888</v>
      </c>
      <c r="N970" s="15" t="s">
        <v>839</v>
      </c>
      <c r="O970" s="15" t="s">
        <v>3025</v>
      </c>
      <c r="P970" s="15" t="str">
        <f t="shared" ref="P970:P971" si="2790">"42.5"</f>
        <v>42.5</v>
      </c>
      <c r="Q970" s="15" t="str">
        <f t="shared" ref="Q970:Q971" si="2791">"79"</f>
        <v>79</v>
      </c>
      <c r="R970" s="15" t="str">
        <f t="shared" si="2783"/>
        <v>46.5</v>
      </c>
      <c r="S970" s="15" t="str">
        <f t="shared" ref="S970:S971" si="2792">"109.04"</f>
        <v>109.04</v>
      </c>
      <c r="T970" s="15" t="s">
        <v>9657</v>
      </c>
      <c r="U970" s="15" t="s">
        <v>13228</v>
      </c>
      <c r="V970" s="15" t="s">
        <v>11358</v>
      </c>
      <c r="AA970" s="15" t="s">
        <v>413</v>
      </c>
      <c r="AB970" s="15" t="s">
        <v>413</v>
      </c>
      <c r="AC970" s="15" t="s">
        <v>9687</v>
      </c>
      <c r="AD970" s="15" t="s">
        <v>23112</v>
      </c>
      <c r="AE970" s="15" t="s">
        <v>9690</v>
      </c>
      <c r="AF970" s="15" t="s">
        <v>23113</v>
      </c>
      <c r="AG970" s="15" t="s">
        <v>23114</v>
      </c>
      <c r="AH970" s="15" t="s">
        <v>23115</v>
      </c>
      <c r="AI970" s="15" t="s">
        <v>23116</v>
      </c>
      <c r="AJ970" s="15" t="s">
        <v>23117</v>
      </c>
      <c r="AK970" s="15" t="s">
        <v>23118</v>
      </c>
      <c r="BH970" s="15" t="s">
        <v>9688</v>
      </c>
      <c r="BI970" s="15" t="str">
        <f>"1299"</f>
        <v>1299</v>
      </c>
      <c r="BJ970" s="15" t="str">
        <f>"550"</f>
        <v>550</v>
      </c>
      <c r="BK970" s="15" t="s">
        <v>1303</v>
      </c>
      <c r="BL970" s="15" t="str">
        <f t="shared" si="2784"/>
        <v>2</v>
      </c>
      <c r="BM970" s="15" t="s">
        <v>3018</v>
      </c>
      <c r="BN970" s="15" t="str">
        <f t="shared" ref="BN970:BN971" si="2793">"47.25"</f>
        <v>47.25</v>
      </c>
      <c r="BO970" s="15" t="str">
        <f t="shared" si="2785"/>
        <v>7.5</v>
      </c>
      <c r="BP970" s="15" t="str">
        <f t="shared" si="2786"/>
        <v>50.75</v>
      </c>
      <c r="BQ970" s="15" t="str">
        <f t="shared" ref="BQ970:BQ971" si="2794">"56.04"</f>
        <v>56.04</v>
      </c>
      <c r="BR970" s="15" t="s">
        <v>9663</v>
      </c>
      <c r="BS970" s="15" t="str">
        <f t="shared" ref="BS970:BS971" si="2795">"79.5"</f>
        <v>79.5</v>
      </c>
      <c r="BT970" s="15" t="str">
        <f t="shared" ref="BT970:BT971" si="2796">"8.5"</f>
        <v>8.5</v>
      </c>
      <c r="BU970" s="15" t="str">
        <f t="shared" ref="BU970:BU971" si="2797">"14.5"</f>
        <v>14.5</v>
      </c>
      <c r="BV970" s="15" t="str">
        <f t="shared" ref="BV970:BV971" si="2798">"72.14"</f>
        <v>72.14</v>
      </c>
      <c r="CG970" s="15" t="str">
        <f t="shared" ref="CG970:CG971" si="2799">"16.1"</f>
        <v>16.1</v>
      </c>
      <c r="CH970" s="15" t="str">
        <f t="shared" ref="CH970:CH971" si="2800">"0.456"</f>
        <v>0.456</v>
      </c>
      <c r="CI970" s="15" t="s">
        <v>417</v>
      </c>
      <c r="CZ970" s="15" t="s">
        <v>419</v>
      </c>
      <c r="DA970" s="15">
        <v>0.0</v>
      </c>
      <c r="DB970" s="15" t="s">
        <v>419</v>
      </c>
      <c r="DD970" s="15">
        <v>0.0</v>
      </c>
      <c r="DF970" s="15" t="s">
        <v>1111</v>
      </c>
      <c r="DG970" s="15" t="s">
        <v>419</v>
      </c>
      <c r="DI970" s="15">
        <v>0.0</v>
      </c>
      <c r="DJ970" s="15">
        <v>0.0</v>
      </c>
      <c r="DK970" s="15">
        <v>0.0</v>
      </c>
      <c r="DS970" s="15" t="s">
        <v>9639</v>
      </c>
      <c r="DU970" s="15" t="s">
        <v>858</v>
      </c>
      <c r="EV970" s="15">
        <v>0.0</v>
      </c>
      <c r="HV970" s="15" t="s">
        <v>5481</v>
      </c>
      <c r="HW970" s="15" t="s">
        <v>5481</v>
      </c>
      <c r="HX970" s="15" t="s">
        <v>5481</v>
      </c>
      <c r="HY970" s="15" t="s">
        <v>9666</v>
      </c>
      <c r="HZ970" s="15" t="s">
        <v>784</v>
      </c>
      <c r="IA970" s="15" t="s">
        <v>9682</v>
      </c>
      <c r="IB970" s="15" t="s">
        <v>4653</v>
      </c>
      <c r="IC970" s="15" t="s">
        <v>784</v>
      </c>
      <c r="ID970" s="15" t="s">
        <v>9682</v>
      </c>
      <c r="IE970" s="15" t="s">
        <v>9674</v>
      </c>
      <c r="IF970" s="15" t="s">
        <v>2969</v>
      </c>
      <c r="IG970" s="15" t="s">
        <v>5559</v>
      </c>
      <c r="IH970" s="15" t="s">
        <v>714</v>
      </c>
      <c r="II970" s="15" t="s">
        <v>9683</v>
      </c>
      <c r="IJ970" s="15" t="s">
        <v>1042</v>
      </c>
      <c r="IK970" s="15" t="s">
        <v>426</v>
      </c>
      <c r="IL970" s="15" t="s">
        <v>2973</v>
      </c>
      <c r="IM970" s="15" t="s">
        <v>6794</v>
      </c>
      <c r="IN970" s="15" t="s">
        <v>873</v>
      </c>
      <c r="IO970" s="15" t="s">
        <v>3025</v>
      </c>
      <c r="IU970" s="15" t="s">
        <v>7777</v>
      </c>
      <c r="IV970" s="15" t="s">
        <v>822</v>
      </c>
      <c r="IW970" s="15" t="s">
        <v>784</v>
      </c>
      <c r="IX970" s="15" t="s">
        <v>426</v>
      </c>
      <c r="IY970" s="15" t="s">
        <v>2474</v>
      </c>
    </row>
    <row r="971" ht="17.25" customHeight="1">
      <c r="A971" s="15" t="s">
        <v>9692</v>
      </c>
      <c r="B971" s="15" t="str">
        <f>"801542024178"</f>
        <v>801542024178</v>
      </c>
      <c r="C971" s="15" t="s">
        <v>23119</v>
      </c>
      <c r="D971" s="15" t="str">
        <f t="shared" si="1"/>
        <v>Sydney BedBrown Wash</v>
      </c>
      <c r="E971" s="15" t="s">
        <v>9652</v>
      </c>
      <c r="F971" s="15" t="s">
        <v>397</v>
      </c>
      <c r="G971" s="15" t="s">
        <v>2901</v>
      </c>
      <c r="J971" s="15" t="s">
        <v>2901</v>
      </c>
      <c r="K971" s="15" t="s">
        <v>2904</v>
      </c>
      <c r="M971" s="15" t="s">
        <v>2888</v>
      </c>
      <c r="N971" s="15" t="s">
        <v>839</v>
      </c>
      <c r="O971" s="15" t="s">
        <v>3025</v>
      </c>
      <c r="P971" s="15" t="str">
        <f t="shared" si="2790"/>
        <v>42.5</v>
      </c>
      <c r="Q971" s="15" t="str">
        <f t="shared" si="2791"/>
        <v>79</v>
      </c>
      <c r="R971" s="15" t="str">
        <f t="shared" si="2783"/>
        <v>46.5</v>
      </c>
      <c r="S971" s="15" t="str">
        <f t="shared" si="2792"/>
        <v>109.04</v>
      </c>
      <c r="T971" s="15" t="s">
        <v>9657</v>
      </c>
      <c r="U971" s="15" t="s">
        <v>13228</v>
      </c>
      <c r="V971" s="15" t="s">
        <v>11358</v>
      </c>
      <c r="AA971" s="15" t="s">
        <v>413</v>
      </c>
      <c r="AB971" s="15" t="s">
        <v>413</v>
      </c>
      <c r="AC971" s="15" t="s">
        <v>9694</v>
      </c>
      <c r="AD971" s="15" t="s">
        <v>23120</v>
      </c>
      <c r="AE971" s="15" t="s">
        <v>9693</v>
      </c>
      <c r="AF971" s="15" t="s">
        <v>23121</v>
      </c>
      <c r="AG971" s="15" t="s">
        <v>23122</v>
      </c>
      <c r="AH971" s="15" t="s">
        <v>23123</v>
      </c>
      <c r="AI971" s="15" t="s">
        <v>23124</v>
      </c>
      <c r="AJ971" s="15" t="s">
        <v>23125</v>
      </c>
      <c r="AK971" s="15" t="s">
        <v>23126</v>
      </c>
      <c r="AL971" s="15" t="s">
        <v>23127</v>
      </c>
      <c r="AM971" s="15" t="s">
        <v>23128</v>
      </c>
      <c r="AN971" s="15" t="s">
        <v>23129</v>
      </c>
      <c r="AO971" s="15" t="s">
        <v>23130</v>
      </c>
      <c r="AP971" s="15" t="s">
        <v>23131</v>
      </c>
      <c r="AQ971" s="15" t="s">
        <v>23132</v>
      </c>
      <c r="AR971" s="15" t="s">
        <v>23133</v>
      </c>
      <c r="AS971" s="15" t="s">
        <v>23134</v>
      </c>
      <c r="BH971" s="15" t="s">
        <v>9691</v>
      </c>
      <c r="BI971" s="15" t="str">
        <f>"1349"</f>
        <v>1349</v>
      </c>
      <c r="BJ971" s="15" t="str">
        <f>"570"</f>
        <v>570</v>
      </c>
      <c r="BK971" s="15" t="s">
        <v>1303</v>
      </c>
      <c r="BL971" s="15" t="str">
        <f t="shared" si="2784"/>
        <v>2</v>
      </c>
      <c r="BM971" s="15" t="s">
        <v>6790</v>
      </c>
      <c r="BN971" s="15" t="str">
        <f t="shared" si="2793"/>
        <v>47.25</v>
      </c>
      <c r="BO971" s="15" t="str">
        <f t="shared" si="2785"/>
        <v>7.5</v>
      </c>
      <c r="BP971" s="15" t="str">
        <f t="shared" si="2786"/>
        <v>50.75</v>
      </c>
      <c r="BQ971" s="15" t="str">
        <f t="shared" si="2794"/>
        <v>56.04</v>
      </c>
      <c r="BR971" s="15" t="s">
        <v>9695</v>
      </c>
      <c r="BS971" s="15" t="str">
        <f t="shared" si="2795"/>
        <v>79.5</v>
      </c>
      <c r="BT971" s="15" t="str">
        <f t="shared" si="2796"/>
        <v>8.5</v>
      </c>
      <c r="BU971" s="15" t="str">
        <f t="shared" si="2797"/>
        <v>14.5</v>
      </c>
      <c r="BV971" s="15" t="str">
        <f t="shared" si="2798"/>
        <v>72.14</v>
      </c>
      <c r="CG971" s="15" t="str">
        <f t="shared" si="2799"/>
        <v>16.1</v>
      </c>
      <c r="CH971" s="15" t="str">
        <f t="shared" si="2800"/>
        <v>0.456</v>
      </c>
      <c r="CI971" s="15" t="s">
        <v>417</v>
      </c>
      <c r="CZ971" s="15" t="s">
        <v>419</v>
      </c>
      <c r="DA971" s="15">
        <v>0.0</v>
      </c>
      <c r="DB971" s="15" t="s">
        <v>419</v>
      </c>
      <c r="DD971" s="15">
        <v>0.0</v>
      </c>
      <c r="DF971" s="15" t="s">
        <v>1111</v>
      </c>
      <c r="DG971" s="15" t="s">
        <v>419</v>
      </c>
      <c r="DI971" s="15">
        <v>0.0</v>
      </c>
      <c r="DJ971" s="15">
        <v>0.0</v>
      </c>
      <c r="DK971" s="15">
        <v>0.0</v>
      </c>
      <c r="DS971" s="15" t="s">
        <v>9639</v>
      </c>
      <c r="DU971" s="15" t="s">
        <v>858</v>
      </c>
      <c r="EV971" s="15">
        <v>0.0</v>
      </c>
      <c r="HV971" s="15" t="s">
        <v>5481</v>
      </c>
      <c r="HW971" s="15" t="s">
        <v>5481</v>
      </c>
      <c r="HX971" s="15" t="s">
        <v>5481</v>
      </c>
      <c r="HY971" s="15" t="s">
        <v>9666</v>
      </c>
      <c r="HZ971" s="15" t="s">
        <v>784</v>
      </c>
      <c r="IA971" s="15" t="s">
        <v>9682</v>
      </c>
      <c r="IB971" s="15" t="s">
        <v>4653</v>
      </c>
      <c r="IC971" s="15" t="s">
        <v>784</v>
      </c>
      <c r="ID971" s="15" t="s">
        <v>9682</v>
      </c>
      <c r="IE971" s="15" t="s">
        <v>9674</v>
      </c>
      <c r="IF971" s="15" t="s">
        <v>2969</v>
      </c>
      <c r="IG971" s="15" t="s">
        <v>5559</v>
      </c>
      <c r="IH971" s="15" t="s">
        <v>714</v>
      </c>
      <c r="II971" s="15" t="s">
        <v>9683</v>
      </c>
      <c r="IJ971" s="15" t="s">
        <v>1042</v>
      </c>
      <c r="IK971" s="15" t="s">
        <v>426</v>
      </c>
      <c r="IL971" s="15" t="s">
        <v>2973</v>
      </c>
      <c r="IM971" s="15" t="s">
        <v>6794</v>
      </c>
      <c r="IN971" s="15" t="s">
        <v>873</v>
      </c>
      <c r="IO971" s="15" t="s">
        <v>3025</v>
      </c>
      <c r="IU971" s="15" t="s">
        <v>7777</v>
      </c>
      <c r="IV971" s="15" t="s">
        <v>822</v>
      </c>
      <c r="IW971" s="15" t="s">
        <v>784</v>
      </c>
      <c r="IX971" s="15" t="s">
        <v>426</v>
      </c>
      <c r="IY971" s="15" t="s">
        <v>2474</v>
      </c>
    </row>
    <row r="972" ht="17.25" customHeight="1">
      <c r="A972" s="15" t="s">
        <v>9699</v>
      </c>
      <c r="B972" s="15" t="str">
        <f>"801542243876"</f>
        <v>801542243876</v>
      </c>
      <c r="C972" s="15" t="s">
        <v>23135</v>
      </c>
      <c r="D972" s="15" t="str">
        <f t="shared" si="1"/>
        <v>Sylvie SideboardBrushed Dark Brown</v>
      </c>
      <c r="E972" s="15" t="s">
        <v>9696</v>
      </c>
      <c r="F972" s="15" t="s">
        <v>397</v>
      </c>
      <c r="G972" s="15" t="s">
        <v>9698</v>
      </c>
      <c r="J972" s="15" t="s">
        <v>9698</v>
      </c>
      <c r="M972" s="15" t="s">
        <v>1301</v>
      </c>
      <c r="N972" s="15" t="s">
        <v>664</v>
      </c>
      <c r="P972" s="15" t="str">
        <f>"89"</f>
        <v>89</v>
      </c>
      <c r="Q972" s="15" t="str">
        <f>"18"</f>
        <v>18</v>
      </c>
      <c r="R972" s="15" t="str">
        <f>"31"</f>
        <v>31</v>
      </c>
      <c r="S972" s="15" t="str">
        <f>"240.32"</f>
        <v>240.32</v>
      </c>
      <c r="T972" s="15" t="s">
        <v>1298</v>
      </c>
      <c r="U972" s="15" t="s">
        <v>11553</v>
      </c>
      <c r="AA972" s="15" t="s">
        <v>413</v>
      </c>
      <c r="AB972" s="15" t="s">
        <v>413</v>
      </c>
      <c r="AC972" s="15" t="s">
        <v>9702</v>
      </c>
      <c r="AD972" s="15" t="s">
        <v>23136</v>
      </c>
      <c r="AE972" s="15" t="s">
        <v>9701</v>
      </c>
      <c r="AF972" s="15" t="s">
        <v>23137</v>
      </c>
      <c r="AG972" s="15" t="s">
        <v>23138</v>
      </c>
      <c r="AH972" s="15" t="s">
        <v>23139</v>
      </c>
      <c r="AI972" s="15" t="s">
        <v>23140</v>
      </c>
      <c r="AJ972" s="15" t="s">
        <v>23141</v>
      </c>
      <c r="AK972" s="15" t="s">
        <v>23142</v>
      </c>
      <c r="AL972" s="15" t="s">
        <v>23143</v>
      </c>
      <c r="AM972" s="15" t="s">
        <v>23144</v>
      </c>
      <c r="AN972" s="15" t="s">
        <v>23145</v>
      </c>
      <c r="AO972" s="15" t="s">
        <v>23146</v>
      </c>
      <c r="AP972" s="15" t="s">
        <v>23147</v>
      </c>
      <c r="AQ972" s="15" t="s">
        <v>23148</v>
      </c>
      <c r="AR972" s="15" t="s">
        <v>23149</v>
      </c>
      <c r="AS972" s="15" t="s">
        <v>23150</v>
      </c>
      <c r="AT972" s="15" t="s">
        <v>23151</v>
      </c>
      <c r="AU972" s="15" t="s">
        <v>23152</v>
      </c>
      <c r="AV972" s="15" t="s">
        <v>23153</v>
      </c>
      <c r="BH972" s="15" t="s">
        <v>9697</v>
      </c>
      <c r="BI972" s="15" t="str">
        <f>"2099"</f>
        <v>2099</v>
      </c>
      <c r="BJ972" s="15" t="str">
        <f>"885"</f>
        <v>885</v>
      </c>
      <c r="BK972" s="15" t="s">
        <v>1303</v>
      </c>
      <c r="BL972" s="15" t="str">
        <f t="shared" ref="BL972:BL984" si="2801">"1"</f>
        <v>1</v>
      </c>
      <c r="BM972" s="15" t="s">
        <v>416</v>
      </c>
      <c r="BN972" s="15" t="str">
        <f>"92"</f>
        <v>92</v>
      </c>
      <c r="BO972" s="15" t="str">
        <f>"22"</f>
        <v>22</v>
      </c>
      <c r="BP972" s="15" t="str">
        <f>"36"</f>
        <v>36</v>
      </c>
      <c r="BQ972" s="15" t="str">
        <f>"286.6"</f>
        <v>286.6</v>
      </c>
      <c r="CG972" s="15" t="str">
        <f>"42.17"</f>
        <v>42.17</v>
      </c>
      <c r="CH972" s="15" t="str">
        <f>"1.194"</f>
        <v>1.194</v>
      </c>
      <c r="CI972" s="15" t="s">
        <v>465</v>
      </c>
      <c r="CM972" s="15" t="s">
        <v>1213</v>
      </c>
      <c r="CN972" s="15" t="s">
        <v>1331</v>
      </c>
      <c r="CO972" s="15" t="s">
        <v>671</v>
      </c>
      <c r="CZ972" s="15" t="s">
        <v>419</v>
      </c>
      <c r="DA972" s="15">
        <v>0.0</v>
      </c>
      <c r="DB972" s="15" t="s">
        <v>419</v>
      </c>
      <c r="DD972" s="15">
        <v>0.0</v>
      </c>
      <c r="DF972" s="15" t="s">
        <v>1111</v>
      </c>
      <c r="DG972" s="15" t="s">
        <v>610</v>
      </c>
      <c r="DI972" s="15">
        <v>18.14</v>
      </c>
      <c r="DJ972" s="15">
        <v>40.0</v>
      </c>
      <c r="DK972" s="15">
        <v>2.0</v>
      </c>
      <c r="DS972" s="15" t="s">
        <v>9704</v>
      </c>
      <c r="DU972" s="15" t="s">
        <v>424</v>
      </c>
      <c r="EF972" s="15" t="s">
        <v>477</v>
      </c>
      <c r="EU972" s="15" t="s">
        <v>426</v>
      </c>
      <c r="EV972" s="15">
        <v>2.0</v>
      </c>
      <c r="FH972" s="15" t="s">
        <v>1331</v>
      </c>
      <c r="FI972" s="15" t="s">
        <v>1512</v>
      </c>
      <c r="FJ972" s="15" t="s">
        <v>650</v>
      </c>
      <c r="FK972" s="15" t="s">
        <v>1213</v>
      </c>
      <c r="FL972" s="15" t="s">
        <v>1512</v>
      </c>
      <c r="FM972" s="15" t="s">
        <v>671</v>
      </c>
      <c r="FN972" s="15">
        <v>0.0</v>
      </c>
      <c r="FO972" s="15" t="s">
        <v>426</v>
      </c>
      <c r="FQ972" s="15">
        <v>4.0</v>
      </c>
      <c r="FR972" s="15" t="s">
        <v>614</v>
      </c>
      <c r="FS972" s="15" t="s">
        <v>1045</v>
      </c>
      <c r="FT972" s="15">
        <v>0.0</v>
      </c>
      <c r="FU972" s="15" t="s">
        <v>426</v>
      </c>
      <c r="FW972" s="15" t="s">
        <v>616</v>
      </c>
    </row>
    <row r="973" ht="17.25" customHeight="1">
      <c r="A973" s="15" t="s">
        <v>9707</v>
      </c>
      <c r="B973" s="15" t="str">
        <f>"801542963545"</f>
        <v>801542963545</v>
      </c>
      <c r="C973" s="15" t="s">
        <v>23154</v>
      </c>
      <c r="D973" s="15" t="str">
        <f t="shared" si="1"/>
        <v>Tamara Media ConsoleWorn Oak Veneer</v>
      </c>
      <c r="E973" s="15" t="s">
        <v>9705</v>
      </c>
      <c r="F973" s="15" t="s">
        <v>397</v>
      </c>
      <c r="G973" s="15" t="s">
        <v>2351</v>
      </c>
      <c r="J973" s="15" t="s">
        <v>2351</v>
      </c>
      <c r="M973" s="15" t="s">
        <v>2612</v>
      </c>
      <c r="N973" s="15" t="s">
        <v>602</v>
      </c>
      <c r="P973" s="15" t="str">
        <f>"78"</f>
        <v>78</v>
      </c>
      <c r="Q973" s="15" t="str">
        <f t="shared" ref="Q973:Q974" si="2802">"18.25"</f>
        <v>18.25</v>
      </c>
      <c r="R973" s="15" t="str">
        <f>"30"</f>
        <v>30</v>
      </c>
      <c r="S973" s="15" t="str">
        <f>"141.3"</f>
        <v>141.3</v>
      </c>
      <c r="T973" s="15" t="s">
        <v>1025</v>
      </c>
      <c r="U973" s="15" t="s">
        <v>10881</v>
      </c>
      <c r="V973" s="15" t="s">
        <v>11338</v>
      </c>
      <c r="AA973" s="15" t="s">
        <v>413</v>
      </c>
      <c r="AB973" s="15" t="s">
        <v>413</v>
      </c>
      <c r="AC973" s="15" t="s">
        <v>9710</v>
      </c>
      <c r="AD973" s="15" t="s">
        <v>23155</v>
      </c>
      <c r="AE973" s="15" t="s">
        <v>9709</v>
      </c>
      <c r="AF973" s="15" t="s">
        <v>23156</v>
      </c>
      <c r="AG973" s="15" t="s">
        <v>23157</v>
      </c>
      <c r="AH973" s="15" t="s">
        <v>23158</v>
      </c>
      <c r="AI973" s="15" t="s">
        <v>23159</v>
      </c>
      <c r="AJ973" s="15" t="s">
        <v>23160</v>
      </c>
      <c r="AK973" s="15" t="s">
        <v>23161</v>
      </c>
      <c r="AL973" s="15" t="s">
        <v>23162</v>
      </c>
      <c r="AM973" s="15" t="s">
        <v>23163</v>
      </c>
      <c r="AN973" s="15" t="s">
        <v>23164</v>
      </c>
      <c r="AO973" s="15" t="s">
        <v>23165</v>
      </c>
      <c r="AP973" s="15" t="s">
        <v>23166</v>
      </c>
      <c r="AQ973" s="15" t="s">
        <v>23167</v>
      </c>
      <c r="AR973" s="15" t="s">
        <v>23168</v>
      </c>
      <c r="AS973" s="15" t="s">
        <v>23169</v>
      </c>
      <c r="AT973" s="15" t="s">
        <v>23170</v>
      </c>
      <c r="AU973" s="15" t="s">
        <v>23171</v>
      </c>
      <c r="BH973" s="15" t="s">
        <v>9706</v>
      </c>
      <c r="BI973" s="15" t="str">
        <f>"3999"</f>
        <v>3999</v>
      </c>
      <c r="BJ973" s="15" t="str">
        <f>"1680"</f>
        <v>1680</v>
      </c>
      <c r="BK973" s="15" t="s">
        <v>709</v>
      </c>
      <c r="BL973" s="15" t="str">
        <f t="shared" si="2801"/>
        <v>1</v>
      </c>
      <c r="BM973" s="15" t="s">
        <v>416</v>
      </c>
      <c r="BN973" s="15" t="str">
        <f>"81.89"</f>
        <v>81.89</v>
      </c>
      <c r="BO973" s="15" t="str">
        <f t="shared" ref="BO973:BO974" si="2803">"22.83"</f>
        <v>22.83</v>
      </c>
      <c r="BP973" s="15" t="str">
        <f>"26.38"</f>
        <v>26.38</v>
      </c>
      <c r="BQ973" s="15" t="str">
        <f>"162.92"</f>
        <v>162.92</v>
      </c>
      <c r="CG973" s="15" t="str">
        <f>"28.53"</f>
        <v>28.53</v>
      </c>
      <c r="CH973" s="15" t="str">
        <f>"0.808"</f>
        <v>0.808</v>
      </c>
      <c r="CI973" s="15" t="s">
        <v>497</v>
      </c>
      <c r="CM973" s="15" t="s">
        <v>1325</v>
      </c>
      <c r="CN973" s="15" t="s">
        <v>788</v>
      </c>
      <c r="CO973" s="15" t="s">
        <v>7430</v>
      </c>
      <c r="CZ973" s="15" t="s">
        <v>419</v>
      </c>
      <c r="DA973" s="15">
        <v>0.0</v>
      </c>
      <c r="DB973" s="15" t="s">
        <v>419</v>
      </c>
      <c r="DD973" s="15">
        <v>0.0</v>
      </c>
      <c r="DF973" s="15" t="s">
        <v>721</v>
      </c>
      <c r="DG973" s="15" t="s">
        <v>610</v>
      </c>
      <c r="DI973" s="15">
        <v>18.14</v>
      </c>
      <c r="DJ973" s="15">
        <v>40.0</v>
      </c>
      <c r="DK973" s="15">
        <v>2.0</v>
      </c>
      <c r="DS973" s="15" t="s">
        <v>9712</v>
      </c>
      <c r="EF973" s="15" t="s">
        <v>4377</v>
      </c>
      <c r="EU973" s="15" t="s">
        <v>426</v>
      </c>
      <c r="EV973" s="15">
        <v>2.0</v>
      </c>
      <c r="FH973" s="15" t="s">
        <v>788</v>
      </c>
      <c r="FI973" s="15" t="s">
        <v>612</v>
      </c>
      <c r="FJ973" s="15" t="s">
        <v>1325</v>
      </c>
      <c r="FK973" s="15" t="s">
        <v>1325</v>
      </c>
      <c r="FL973" s="15" t="s">
        <v>612</v>
      </c>
      <c r="FM973" s="15" t="s">
        <v>7430</v>
      </c>
      <c r="FO973" s="15" t="s">
        <v>426</v>
      </c>
      <c r="FP973" s="15" t="s">
        <v>4148</v>
      </c>
      <c r="FQ973" s="15">
        <v>4.0</v>
      </c>
      <c r="FR973" s="15" t="s">
        <v>614</v>
      </c>
      <c r="FS973" s="15" t="s">
        <v>786</v>
      </c>
      <c r="FU973" s="15" t="s">
        <v>426</v>
      </c>
      <c r="FW973" s="15" t="s">
        <v>616</v>
      </c>
      <c r="GJ973" s="15" t="s">
        <v>1325</v>
      </c>
      <c r="GK973" s="15" t="s">
        <v>788</v>
      </c>
      <c r="GL973" s="15" t="s">
        <v>7430</v>
      </c>
      <c r="GM973" s="15">
        <v>0.0</v>
      </c>
      <c r="HF973" s="15" t="s">
        <v>2505</v>
      </c>
      <c r="HQ973" s="15" t="s">
        <v>426</v>
      </c>
    </row>
    <row r="974" ht="17.25" customHeight="1">
      <c r="A974" s="15" t="s">
        <v>9715</v>
      </c>
      <c r="B974" s="15" t="str">
        <f>"801542991685"</f>
        <v>801542991685</v>
      </c>
      <c r="C974" s="15" t="s">
        <v>23172</v>
      </c>
      <c r="D974" s="15" t="str">
        <f t="shared" si="1"/>
        <v>Tamara Small CabinetWorn Oak Veneer</v>
      </c>
      <c r="E974" s="15" t="s">
        <v>9713</v>
      </c>
      <c r="F974" s="15" t="s">
        <v>397</v>
      </c>
      <c r="G974" s="15" t="s">
        <v>2351</v>
      </c>
      <c r="J974" s="15" t="s">
        <v>2351</v>
      </c>
      <c r="M974" s="15" t="s">
        <v>2612</v>
      </c>
      <c r="N974" s="15" t="s">
        <v>2891</v>
      </c>
      <c r="O974" s="15" t="s">
        <v>4563</v>
      </c>
      <c r="P974" s="15" t="str">
        <f>"42"</f>
        <v>42</v>
      </c>
      <c r="Q974" s="15" t="str">
        <f t="shared" si="2802"/>
        <v>18.25</v>
      </c>
      <c r="R974" s="15" t="str">
        <f t="shared" ref="R974:R977" si="2804">"35"</f>
        <v>35</v>
      </c>
      <c r="S974" s="15" t="str">
        <f>"89.5"</f>
        <v>89.5</v>
      </c>
      <c r="T974" s="15" t="s">
        <v>1025</v>
      </c>
      <c r="U974" s="15" t="s">
        <v>10881</v>
      </c>
      <c r="V974" s="15" t="s">
        <v>11338</v>
      </c>
      <c r="AA974" s="15" t="s">
        <v>413</v>
      </c>
      <c r="AB974" s="15" t="s">
        <v>413</v>
      </c>
      <c r="AC974" s="15" t="s">
        <v>9718</v>
      </c>
      <c r="AD974" s="15" t="s">
        <v>23173</v>
      </c>
      <c r="AE974" s="15" t="s">
        <v>9717</v>
      </c>
      <c r="AF974" s="15" t="s">
        <v>23174</v>
      </c>
      <c r="AG974" s="15" t="s">
        <v>23175</v>
      </c>
      <c r="AH974" s="15" t="s">
        <v>23176</v>
      </c>
      <c r="AI974" s="15" t="s">
        <v>23177</v>
      </c>
      <c r="AJ974" s="15" t="s">
        <v>23178</v>
      </c>
      <c r="AK974" s="15" t="s">
        <v>23179</v>
      </c>
      <c r="AL974" s="15" t="s">
        <v>23180</v>
      </c>
      <c r="AM974" s="15" t="s">
        <v>23181</v>
      </c>
      <c r="AN974" s="15" t="s">
        <v>23182</v>
      </c>
      <c r="AO974" s="15" t="s">
        <v>23183</v>
      </c>
      <c r="AP974" s="15" t="s">
        <v>23184</v>
      </c>
      <c r="AQ974" s="15" t="s">
        <v>23185</v>
      </c>
      <c r="AR974" s="15" t="s">
        <v>23186</v>
      </c>
      <c r="AS974" s="15" t="s">
        <v>23187</v>
      </c>
      <c r="AT974" s="15" t="s">
        <v>23188</v>
      </c>
      <c r="BH974" s="15" t="s">
        <v>9714</v>
      </c>
      <c r="BI974" s="15" t="str">
        <f>"2299"</f>
        <v>2299</v>
      </c>
      <c r="BJ974" s="15" t="str">
        <f>"970"</f>
        <v>970</v>
      </c>
      <c r="BK974" s="15" t="s">
        <v>709</v>
      </c>
      <c r="BL974" s="15" t="str">
        <f t="shared" si="2801"/>
        <v>1</v>
      </c>
      <c r="BM974" s="15" t="s">
        <v>416</v>
      </c>
      <c r="BN974" s="15" t="str">
        <f>"46.46"</f>
        <v>46.46</v>
      </c>
      <c r="BO974" s="15" t="str">
        <f t="shared" si="2803"/>
        <v>22.83</v>
      </c>
      <c r="BP974" s="15" t="str">
        <f>"32.28"</f>
        <v>32.28</v>
      </c>
      <c r="BQ974" s="15" t="str">
        <f>"108.47"</f>
        <v>108.47</v>
      </c>
      <c r="CG974" s="15" t="str">
        <f>"19.81"</f>
        <v>19.81</v>
      </c>
      <c r="CH974" s="15" t="str">
        <f>"0.561"</f>
        <v>0.561</v>
      </c>
      <c r="CI974" s="15" t="s">
        <v>497</v>
      </c>
      <c r="CM974" s="15" t="s">
        <v>1213</v>
      </c>
      <c r="CN974" s="15" t="s">
        <v>1700</v>
      </c>
      <c r="CO974" s="15" t="s">
        <v>2270</v>
      </c>
      <c r="CZ974" s="15" t="s">
        <v>419</v>
      </c>
      <c r="DA974" s="15">
        <v>0.0</v>
      </c>
      <c r="DB974" s="15" t="s">
        <v>419</v>
      </c>
      <c r="DD974" s="15">
        <v>0.0</v>
      </c>
      <c r="DF974" s="15" t="s">
        <v>721</v>
      </c>
      <c r="DG974" s="15" t="s">
        <v>610</v>
      </c>
      <c r="DI974" s="15">
        <v>18.14</v>
      </c>
      <c r="DJ974" s="15">
        <v>40.0</v>
      </c>
      <c r="DK974" s="15">
        <v>1.0</v>
      </c>
      <c r="DR974" s="15" t="s">
        <v>1906</v>
      </c>
      <c r="DS974" s="15" t="s">
        <v>9712</v>
      </c>
      <c r="EF974" s="15" t="s">
        <v>4377</v>
      </c>
      <c r="EU974" s="15" t="s">
        <v>426</v>
      </c>
      <c r="EV974" s="15">
        <v>1.0</v>
      </c>
      <c r="FH974" s="15" t="s">
        <v>1700</v>
      </c>
      <c r="FI974" s="15" t="s">
        <v>612</v>
      </c>
      <c r="FJ974" s="15" t="s">
        <v>466</v>
      </c>
      <c r="FK974" s="15" t="s">
        <v>1213</v>
      </c>
      <c r="FL974" s="15" t="s">
        <v>612</v>
      </c>
      <c r="FM974" s="15" t="s">
        <v>2270</v>
      </c>
      <c r="FN974" s="15">
        <v>0.0</v>
      </c>
      <c r="FO974" s="15" t="s">
        <v>426</v>
      </c>
      <c r="FP974" s="15" t="s">
        <v>4148</v>
      </c>
      <c r="FQ974" s="15">
        <v>2.0</v>
      </c>
      <c r="FR974" s="15" t="s">
        <v>614</v>
      </c>
      <c r="FS974" s="15" t="s">
        <v>786</v>
      </c>
      <c r="FT974" s="15">
        <v>0.0</v>
      </c>
      <c r="FU974" s="15" t="s">
        <v>426</v>
      </c>
      <c r="FV974" s="15" t="s">
        <v>4573</v>
      </c>
      <c r="FW974" s="15" t="s">
        <v>616</v>
      </c>
      <c r="FY974" s="15">
        <v>0.0</v>
      </c>
      <c r="HF974" s="15" t="s">
        <v>2505</v>
      </c>
      <c r="HQ974" s="15" t="s">
        <v>426</v>
      </c>
    </row>
    <row r="975" ht="17.25" customHeight="1">
      <c r="A975" s="15" t="s">
        <v>9722</v>
      </c>
      <c r="B975" s="15" t="str">
        <f>"801542672515"</f>
        <v>801542672515</v>
      </c>
      <c r="C975" s="15" t="s">
        <v>23189</v>
      </c>
      <c r="D975" s="15" t="str">
        <f t="shared" si="1"/>
        <v>Taryn ChairChaps Saddle</v>
      </c>
      <c r="E975" s="15" t="s">
        <v>9720</v>
      </c>
      <c r="F975" s="15" t="s">
        <v>397</v>
      </c>
      <c r="G975" s="15" t="s">
        <v>8606</v>
      </c>
      <c r="J975" s="15" t="s">
        <v>8606</v>
      </c>
      <c r="K975" s="15" t="s">
        <v>1850</v>
      </c>
      <c r="M975" s="15" t="s">
        <v>1317</v>
      </c>
      <c r="N975" s="15" t="s">
        <v>706</v>
      </c>
      <c r="O975" s="15" t="s">
        <v>707</v>
      </c>
      <c r="P975" s="15" t="str">
        <f t="shared" ref="P975:P977" si="2805">"28"</f>
        <v>28</v>
      </c>
      <c r="Q975" s="15" t="str">
        <f t="shared" ref="Q975:Q977" si="2806">"37"</f>
        <v>37</v>
      </c>
      <c r="R975" s="15" t="str">
        <f t="shared" si="2804"/>
        <v>35</v>
      </c>
      <c r="S975" s="15" t="str">
        <f t="shared" ref="S975:S977" si="2807">"36.16"</f>
        <v>36.16</v>
      </c>
      <c r="T975" s="15" t="s">
        <v>808</v>
      </c>
      <c r="U975" s="15" t="s">
        <v>11137</v>
      </c>
      <c r="V975" s="15" t="s">
        <v>11139</v>
      </c>
      <c r="AA975" s="15" t="s">
        <v>413</v>
      </c>
      <c r="AB975" s="15" t="s">
        <v>413</v>
      </c>
      <c r="AC975" s="15" t="s">
        <v>9725</v>
      </c>
      <c r="AD975" s="15" t="s">
        <v>23190</v>
      </c>
      <c r="AE975" s="15" t="s">
        <v>9724</v>
      </c>
      <c r="AF975" s="15" t="s">
        <v>23191</v>
      </c>
      <c r="AG975" s="15" t="s">
        <v>23192</v>
      </c>
      <c r="AH975" s="15" t="s">
        <v>23193</v>
      </c>
      <c r="AI975" s="15" t="s">
        <v>23194</v>
      </c>
      <c r="AJ975" s="15" t="s">
        <v>23195</v>
      </c>
      <c r="AK975" s="15" t="s">
        <v>23196</v>
      </c>
      <c r="AL975" s="15" t="s">
        <v>23197</v>
      </c>
      <c r="AM975" s="15" t="s">
        <v>23198</v>
      </c>
      <c r="AN975" s="15" t="s">
        <v>23199</v>
      </c>
      <c r="AO975" s="15" t="s">
        <v>23200</v>
      </c>
      <c r="BH975" s="15" t="s">
        <v>9721</v>
      </c>
      <c r="BI975" s="15" t="str">
        <f>"2399"</f>
        <v>2399</v>
      </c>
      <c r="BJ975" s="15" t="str">
        <f>"1010"</f>
        <v>1010</v>
      </c>
      <c r="BK975" s="15" t="s">
        <v>709</v>
      </c>
      <c r="BL975" s="15" t="str">
        <f t="shared" si="2801"/>
        <v>1</v>
      </c>
      <c r="BM975" s="15" t="s">
        <v>9726</v>
      </c>
      <c r="BN975" s="15" t="str">
        <f t="shared" ref="BN975:BN977" si="2808">"30.31"</f>
        <v>30.31</v>
      </c>
      <c r="BO975" s="15" t="str">
        <f t="shared" ref="BO975:BO977" si="2809">"39.37"</f>
        <v>39.37</v>
      </c>
      <c r="BP975" s="15" t="str">
        <f t="shared" ref="BP975:BP977" si="2810">"37.01"</f>
        <v>37.01</v>
      </c>
      <c r="BQ975" s="15" t="str">
        <f t="shared" ref="BQ975:BQ977" si="2811">"55.34"</f>
        <v>55.34</v>
      </c>
      <c r="CG975" s="15" t="str">
        <f t="shared" ref="CG975:CG977" si="2812">"21.61"</f>
        <v>21.61</v>
      </c>
      <c r="CH975" s="15" t="str">
        <f t="shared" ref="CH975:CH977" si="2813">"0.612"</f>
        <v>0.612</v>
      </c>
      <c r="CI975" s="15" t="s">
        <v>465</v>
      </c>
      <c r="CP975" s="15" t="s">
        <v>1072</v>
      </c>
      <c r="CQ975" s="15" t="s">
        <v>429</v>
      </c>
      <c r="CR975" s="15" t="s">
        <v>1064</v>
      </c>
      <c r="CS975" s="15" t="s">
        <v>1072</v>
      </c>
      <c r="CT975" s="15" t="s">
        <v>1324</v>
      </c>
      <c r="CV975" s="15">
        <v>0.0</v>
      </c>
      <c r="CW975" s="15">
        <v>1.0</v>
      </c>
      <c r="CX975" s="15" t="s">
        <v>717</v>
      </c>
      <c r="CY975" s="15" t="s">
        <v>718</v>
      </c>
      <c r="DF975" s="15" t="s">
        <v>721</v>
      </c>
      <c r="DG975" s="15" t="s">
        <v>419</v>
      </c>
      <c r="DH975" s="15">
        <v>0.0</v>
      </c>
      <c r="DL975" s="15">
        <v>0.0</v>
      </c>
      <c r="DM975" s="15" t="s">
        <v>722</v>
      </c>
      <c r="DN975" s="15" t="s">
        <v>2927</v>
      </c>
      <c r="DO975" s="15" t="s">
        <v>3306</v>
      </c>
      <c r="DP975" s="15">
        <v>1.0</v>
      </c>
      <c r="DQ975" s="15">
        <v>1.0</v>
      </c>
      <c r="DS975" s="15" t="s">
        <v>9728</v>
      </c>
      <c r="DT975" s="15">
        <v>0.0</v>
      </c>
      <c r="DU975" s="15" t="s">
        <v>726</v>
      </c>
      <c r="DV975" s="15" t="s">
        <v>1286</v>
      </c>
      <c r="DW975" s="15" t="s">
        <v>635</v>
      </c>
      <c r="DX975" s="15" t="s">
        <v>1574</v>
      </c>
      <c r="EB975" s="15" t="s">
        <v>1188</v>
      </c>
      <c r="EC975" s="15" t="s">
        <v>429</v>
      </c>
      <c r="ED975" s="15" t="s">
        <v>504</v>
      </c>
      <c r="EE975" s="15" t="s">
        <v>555</v>
      </c>
      <c r="EF975" s="15" t="s">
        <v>1593</v>
      </c>
      <c r="EG975" s="15" t="s">
        <v>558</v>
      </c>
      <c r="EH975" s="15" t="s">
        <v>1283</v>
      </c>
      <c r="EI975" s="15" t="s">
        <v>504</v>
      </c>
      <c r="EL975" s="15" t="s">
        <v>2927</v>
      </c>
      <c r="EM975" s="15" t="s">
        <v>3306</v>
      </c>
      <c r="EO975" s="15" t="s">
        <v>9729</v>
      </c>
      <c r="EX975" s="15" t="s">
        <v>2384</v>
      </c>
      <c r="EY975" s="15" t="s">
        <v>1064</v>
      </c>
      <c r="EZ975" s="15">
        <v>0.0</v>
      </c>
      <c r="FA975" s="15">
        <v>0.0</v>
      </c>
      <c r="FC975" s="15">
        <v>0.0</v>
      </c>
    </row>
    <row r="976" ht="17.25" customHeight="1">
      <c r="A976" s="15" t="s">
        <v>9731</v>
      </c>
      <c r="B976" s="15" t="str">
        <f>"801542725143"</f>
        <v>801542725143</v>
      </c>
      <c r="C976" s="15" t="s">
        <v>23201</v>
      </c>
      <c r="D976" s="15" t="str">
        <f t="shared" si="1"/>
        <v>Taryn ChairPalermo Drift</v>
      </c>
      <c r="E976" s="15" t="s">
        <v>9720</v>
      </c>
      <c r="F976" s="15" t="s">
        <v>397</v>
      </c>
      <c r="G976" s="15" t="s">
        <v>1658</v>
      </c>
      <c r="J976" s="15" t="s">
        <v>1658</v>
      </c>
      <c r="K976" s="15" t="s">
        <v>2579</v>
      </c>
      <c r="M976" s="15" t="s">
        <v>1317</v>
      </c>
      <c r="N976" s="15" t="s">
        <v>706</v>
      </c>
      <c r="O976" s="15" t="s">
        <v>707</v>
      </c>
      <c r="P976" s="15" t="str">
        <f t="shared" si="2805"/>
        <v>28</v>
      </c>
      <c r="Q976" s="15" t="str">
        <f t="shared" si="2806"/>
        <v>37</v>
      </c>
      <c r="R976" s="15" t="str">
        <f t="shared" si="2804"/>
        <v>35</v>
      </c>
      <c r="S976" s="15" t="str">
        <f t="shared" si="2807"/>
        <v>36.16</v>
      </c>
      <c r="T976" s="15" t="s">
        <v>808</v>
      </c>
      <c r="U976" s="15" t="s">
        <v>11137</v>
      </c>
      <c r="V976" s="15" t="s">
        <v>11139</v>
      </c>
      <c r="AA976" s="15" t="s">
        <v>413</v>
      </c>
      <c r="AB976" s="15" t="s">
        <v>413</v>
      </c>
      <c r="AD976" s="15" t="s">
        <v>23202</v>
      </c>
      <c r="AE976" s="15" t="s">
        <v>9732</v>
      </c>
      <c r="AF976" s="15" t="s">
        <v>23203</v>
      </c>
      <c r="AG976" s="15" t="s">
        <v>23204</v>
      </c>
      <c r="AH976" s="15" t="s">
        <v>23205</v>
      </c>
      <c r="AI976" s="15" t="s">
        <v>23206</v>
      </c>
      <c r="AJ976" s="15" t="s">
        <v>23207</v>
      </c>
      <c r="AK976" s="15" t="s">
        <v>23208</v>
      </c>
      <c r="AL976" s="15" t="s">
        <v>23209</v>
      </c>
      <c r="AM976" s="15" t="s">
        <v>23210</v>
      </c>
      <c r="AN976" s="15" t="s">
        <v>23211</v>
      </c>
      <c r="AO976" s="15" t="s">
        <v>23212</v>
      </c>
      <c r="AP976" s="15" t="s">
        <v>23213</v>
      </c>
      <c r="AQ976" s="15" t="s">
        <v>23214</v>
      </c>
      <c r="AR976" s="15" t="s">
        <v>23215</v>
      </c>
      <c r="BH976" s="15" t="s">
        <v>9730</v>
      </c>
      <c r="BI976" s="15" t="str">
        <f t="shared" ref="BI976:BI977" si="2814">"2099"</f>
        <v>2099</v>
      </c>
      <c r="BJ976" s="15" t="str">
        <f t="shared" ref="BJ976:BJ977" si="2815">"885"</f>
        <v>885</v>
      </c>
      <c r="BK976" s="15" t="s">
        <v>709</v>
      </c>
      <c r="BL976" s="15" t="str">
        <f t="shared" si="2801"/>
        <v>1</v>
      </c>
      <c r="BM976" s="15" t="s">
        <v>9726</v>
      </c>
      <c r="BN976" s="15" t="str">
        <f t="shared" si="2808"/>
        <v>30.31</v>
      </c>
      <c r="BO976" s="15" t="str">
        <f t="shared" si="2809"/>
        <v>39.37</v>
      </c>
      <c r="BP976" s="15" t="str">
        <f t="shared" si="2810"/>
        <v>37.01</v>
      </c>
      <c r="BQ976" s="15" t="str">
        <f t="shared" si="2811"/>
        <v>55.34</v>
      </c>
      <c r="CG976" s="15" t="str">
        <f t="shared" si="2812"/>
        <v>21.61</v>
      </c>
      <c r="CH976" s="15" t="str">
        <f t="shared" si="2813"/>
        <v>0.612</v>
      </c>
      <c r="CI976" s="15" t="s">
        <v>465</v>
      </c>
      <c r="CP976" s="15" t="s">
        <v>1072</v>
      </c>
      <c r="CQ976" s="15" t="s">
        <v>429</v>
      </c>
      <c r="CR976" s="15" t="s">
        <v>1064</v>
      </c>
      <c r="CS976" s="15" t="s">
        <v>1072</v>
      </c>
      <c r="CT976" s="15" t="s">
        <v>1324</v>
      </c>
      <c r="CV976" s="15">
        <v>0.0</v>
      </c>
      <c r="CW976" s="15">
        <v>1.0</v>
      </c>
      <c r="CX976" s="15" t="s">
        <v>717</v>
      </c>
      <c r="CY976" s="15" t="s">
        <v>718</v>
      </c>
      <c r="DF976" s="15" t="s">
        <v>721</v>
      </c>
      <c r="DG976" s="15" t="s">
        <v>419</v>
      </c>
      <c r="DH976" s="15">
        <v>0.0</v>
      </c>
      <c r="DL976" s="15">
        <v>0.0</v>
      </c>
      <c r="DM976" s="15" t="s">
        <v>722</v>
      </c>
      <c r="DN976" s="15" t="s">
        <v>2927</v>
      </c>
      <c r="DO976" s="15" t="s">
        <v>3306</v>
      </c>
      <c r="DP976" s="15">
        <v>1.0</v>
      </c>
      <c r="DQ976" s="15">
        <v>1.0</v>
      </c>
      <c r="DS976" s="15" t="s">
        <v>9728</v>
      </c>
      <c r="DT976" s="15">
        <v>0.0</v>
      </c>
      <c r="DU976" s="15" t="s">
        <v>726</v>
      </c>
      <c r="DV976" s="15" t="s">
        <v>1286</v>
      </c>
      <c r="DW976" s="15" t="s">
        <v>635</v>
      </c>
      <c r="DX976" s="15" t="s">
        <v>1574</v>
      </c>
      <c r="EB976" s="15" t="s">
        <v>1188</v>
      </c>
      <c r="EC976" s="15" t="s">
        <v>429</v>
      </c>
      <c r="ED976" s="15" t="s">
        <v>504</v>
      </c>
      <c r="EE976" s="15" t="s">
        <v>555</v>
      </c>
      <c r="EF976" s="15" t="s">
        <v>1593</v>
      </c>
      <c r="EG976" s="15" t="s">
        <v>558</v>
      </c>
      <c r="EH976" s="15" t="s">
        <v>1283</v>
      </c>
      <c r="EI976" s="15" t="s">
        <v>504</v>
      </c>
      <c r="EL976" s="15" t="s">
        <v>2927</v>
      </c>
      <c r="EM976" s="15" t="s">
        <v>3306</v>
      </c>
      <c r="EO976" s="15" t="s">
        <v>9729</v>
      </c>
      <c r="EX976" s="15" t="s">
        <v>2384</v>
      </c>
      <c r="EY976" s="15" t="s">
        <v>1064</v>
      </c>
      <c r="EZ976" s="15">
        <v>0.0</v>
      </c>
      <c r="FA976" s="15">
        <v>0.0</v>
      </c>
      <c r="FC976" s="15">
        <v>0.0</v>
      </c>
    </row>
    <row r="977" ht="17.25" customHeight="1">
      <c r="A977" s="15" t="s">
        <v>9734</v>
      </c>
      <c r="B977" s="15" t="str">
        <f>"801542672522"</f>
        <v>801542672522</v>
      </c>
      <c r="C977" s="15" t="s">
        <v>23216</v>
      </c>
      <c r="D977" s="15" t="str">
        <f t="shared" si="1"/>
        <v>Taryn ChairSonoma Black</v>
      </c>
      <c r="E977" s="15" t="s">
        <v>9720</v>
      </c>
      <c r="F977" s="15" t="s">
        <v>397</v>
      </c>
      <c r="G977" s="15" t="s">
        <v>4231</v>
      </c>
      <c r="J977" s="15" t="s">
        <v>4231</v>
      </c>
      <c r="K977" s="15" t="s">
        <v>9736</v>
      </c>
      <c r="M977" s="15" t="s">
        <v>1317</v>
      </c>
      <c r="N977" s="15" t="s">
        <v>706</v>
      </c>
      <c r="O977" s="15" t="s">
        <v>707</v>
      </c>
      <c r="P977" s="15" t="str">
        <f t="shared" si="2805"/>
        <v>28</v>
      </c>
      <c r="Q977" s="15" t="str">
        <f t="shared" si="2806"/>
        <v>37</v>
      </c>
      <c r="R977" s="15" t="str">
        <f t="shared" si="2804"/>
        <v>35</v>
      </c>
      <c r="S977" s="15" t="str">
        <f t="shared" si="2807"/>
        <v>36.16</v>
      </c>
      <c r="T977" s="15" t="s">
        <v>808</v>
      </c>
      <c r="U977" s="15" t="s">
        <v>11137</v>
      </c>
      <c r="V977" s="15" t="s">
        <v>11139</v>
      </c>
      <c r="AA977" s="15" t="s">
        <v>413</v>
      </c>
      <c r="AB977" s="15" t="s">
        <v>413</v>
      </c>
      <c r="AC977" s="15" t="s">
        <v>9737</v>
      </c>
      <c r="AD977" s="15" t="s">
        <v>23217</v>
      </c>
      <c r="AE977" s="15" t="s">
        <v>9735</v>
      </c>
      <c r="AF977" s="15" t="s">
        <v>23218</v>
      </c>
      <c r="AG977" s="15" t="s">
        <v>23219</v>
      </c>
      <c r="AH977" s="15" t="s">
        <v>23220</v>
      </c>
      <c r="AI977" s="15" t="s">
        <v>23221</v>
      </c>
      <c r="AJ977" s="15" t="s">
        <v>23222</v>
      </c>
      <c r="AK977" s="15" t="s">
        <v>23223</v>
      </c>
      <c r="AL977" s="15" t="s">
        <v>23224</v>
      </c>
      <c r="AM977" s="15" t="s">
        <v>23225</v>
      </c>
      <c r="AN977" s="15" t="s">
        <v>23226</v>
      </c>
      <c r="AO977" s="15" t="s">
        <v>23227</v>
      </c>
      <c r="AP977" s="15" t="s">
        <v>23228</v>
      </c>
      <c r="BH977" s="15" t="s">
        <v>9733</v>
      </c>
      <c r="BI977" s="15" t="str">
        <f t="shared" si="2814"/>
        <v>2099</v>
      </c>
      <c r="BJ977" s="15" t="str">
        <f t="shared" si="2815"/>
        <v>885</v>
      </c>
      <c r="BK977" s="15" t="s">
        <v>709</v>
      </c>
      <c r="BL977" s="15" t="str">
        <f t="shared" si="2801"/>
        <v>1</v>
      </c>
      <c r="BM977" s="15" t="s">
        <v>9726</v>
      </c>
      <c r="BN977" s="15" t="str">
        <f t="shared" si="2808"/>
        <v>30.31</v>
      </c>
      <c r="BO977" s="15" t="str">
        <f t="shared" si="2809"/>
        <v>39.37</v>
      </c>
      <c r="BP977" s="15" t="str">
        <f t="shared" si="2810"/>
        <v>37.01</v>
      </c>
      <c r="BQ977" s="15" t="str">
        <f t="shared" si="2811"/>
        <v>55.34</v>
      </c>
      <c r="CG977" s="15" t="str">
        <f t="shared" si="2812"/>
        <v>21.61</v>
      </c>
      <c r="CH977" s="15" t="str">
        <f t="shared" si="2813"/>
        <v>0.612</v>
      </c>
      <c r="CI977" s="15" t="s">
        <v>417</v>
      </c>
      <c r="CP977" s="15" t="s">
        <v>1072</v>
      </c>
      <c r="CQ977" s="15" t="s">
        <v>429</v>
      </c>
      <c r="CR977" s="15" t="s">
        <v>1064</v>
      </c>
      <c r="CS977" s="15" t="s">
        <v>1072</v>
      </c>
      <c r="CT977" s="15" t="s">
        <v>1324</v>
      </c>
      <c r="CV977" s="15">
        <v>0.0</v>
      </c>
      <c r="CW977" s="15">
        <v>1.0</v>
      </c>
      <c r="CX977" s="15" t="s">
        <v>717</v>
      </c>
      <c r="CY977" s="15" t="s">
        <v>718</v>
      </c>
      <c r="DF977" s="15" t="s">
        <v>721</v>
      </c>
      <c r="DG977" s="15" t="s">
        <v>419</v>
      </c>
      <c r="DH977" s="15">
        <v>0.0</v>
      </c>
      <c r="DL977" s="15">
        <v>0.0</v>
      </c>
      <c r="DM977" s="15" t="s">
        <v>722</v>
      </c>
      <c r="DN977" s="15" t="s">
        <v>2927</v>
      </c>
      <c r="DO977" s="15" t="s">
        <v>3306</v>
      </c>
      <c r="DP977" s="15">
        <v>1.0</v>
      </c>
      <c r="DQ977" s="15">
        <v>1.0</v>
      </c>
      <c r="DS977" s="15" t="s">
        <v>9728</v>
      </c>
      <c r="DT977" s="15">
        <v>0.0</v>
      </c>
      <c r="DU977" s="15" t="s">
        <v>726</v>
      </c>
      <c r="DV977" s="15" t="s">
        <v>1286</v>
      </c>
      <c r="DW977" s="15" t="s">
        <v>635</v>
      </c>
      <c r="DX977" s="15" t="s">
        <v>1574</v>
      </c>
      <c r="EB977" s="15" t="s">
        <v>1188</v>
      </c>
      <c r="EC977" s="15" t="s">
        <v>429</v>
      </c>
      <c r="ED977" s="15" t="s">
        <v>504</v>
      </c>
      <c r="EE977" s="15" t="s">
        <v>555</v>
      </c>
      <c r="EF977" s="15" t="s">
        <v>1593</v>
      </c>
      <c r="EG977" s="15" t="s">
        <v>558</v>
      </c>
      <c r="EH977" s="15" t="s">
        <v>1283</v>
      </c>
      <c r="EI977" s="15" t="s">
        <v>504</v>
      </c>
      <c r="EL977" s="15" t="s">
        <v>2927</v>
      </c>
      <c r="EM977" s="15" t="s">
        <v>3306</v>
      </c>
      <c r="EO977" s="15" t="s">
        <v>9729</v>
      </c>
      <c r="EX977" s="15" t="s">
        <v>2384</v>
      </c>
      <c r="EY977" s="15" t="s">
        <v>1064</v>
      </c>
      <c r="EZ977" s="15">
        <v>0.0</v>
      </c>
      <c r="FA977" s="15">
        <v>0.0</v>
      </c>
      <c r="FC977" s="15">
        <v>0.0</v>
      </c>
    </row>
    <row r="978" ht="17.25" customHeight="1">
      <c r="A978" s="15" t="s">
        <v>9740</v>
      </c>
      <c r="B978" s="15" t="str">
        <f>"801542166113"</f>
        <v>801542166113</v>
      </c>
      <c r="C978" s="15" t="s">
        <v>23229</v>
      </c>
      <c r="D978" s="15" t="str">
        <f t="shared" si="1"/>
        <v>Teak Square StoolAged Natural Teak</v>
      </c>
      <c r="E978" s="15" t="s">
        <v>9738</v>
      </c>
      <c r="F978" s="15" t="s">
        <v>397</v>
      </c>
      <c r="G978" s="15" t="s">
        <v>6371</v>
      </c>
      <c r="J978" s="15" t="s">
        <v>6371</v>
      </c>
      <c r="M978" s="15" t="s">
        <v>6376</v>
      </c>
      <c r="N978" s="15" t="s">
        <v>9742</v>
      </c>
      <c r="O978" s="15" t="s">
        <v>9743</v>
      </c>
      <c r="P978" s="15" t="str">
        <f t="shared" ref="P978:Q978" si="2816">"11.75"</f>
        <v>11.75</v>
      </c>
      <c r="Q978" s="15" t="str">
        <f t="shared" si="2816"/>
        <v>11.75</v>
      </c>
      <c r="R978" s="15" t="str">
        <f>"15.75"</f>
        <v>15.75</v>
      </c>
      <c r="S978" s="15" t="str">
        <f>"31.75"</f>
        <v>31.75</v>
      </c>
      <c r="T978" s="15" t="s">
        <v>6375</v>
      </c>
      <c r="U978" s="15" t="s">
        <v>17901</v>
      </c>
      <c r="AA978" s="15" t="s">
        <v>413</v>
      </c>
      <c r="AB978" s="15" t="s">
        <v>413</v>
      </c>
      <c r="AC978" s="15" t="s">
        <v>6379</v>
      </c>
      <c r="AD978" s="15" t="s">
        <v>23230</v>
      </c>
      <c r="AE978" s="15" t="s">
        <v>9741</v>
      </c>
      <c r="AF978" s="15" t="s">
        <v>23231</v>
      </c>
      <c r="AG978" s="15" t="s">
        <v>23232</v>
      </c>
      <c r="AH978" s="15" t="s">
        <v>23233</v>
      </c>
      <c r="AI978" s="15" t="s">
        <v>23234</v>
      </c>
      <c r="AJ978" s="15" t="s">
        <v>23235</v>
      </c>
      <c r="AK978" s="15" t="s">
        <v>23236</v>
      </c>
      <c r="AL978" s="15" t="s">
        <v>23237</v>
      </c>
      <c r="AM978" s="15" t="s">
        <v>23238</v>
      </c>
      <c r="AN978" s="15" t="s">
        <v>23239</v>
      </c>
      <c r="AO978" s="15" t="s">
        <v>23240</v>
      </c>
      <c r="AP978" s="15" t="s">
        <v>23241</v>
      </c>
      <c r="AQ978" s="15" t="s">
        <v>23242</v>
      </c>
      <c r="AR978" s="15" t="s">
        <v>23243</v>
      </c>
      <c r="AS978" s="15" t="s">
        <v>23244</v>
      </c>
      <c r="AT978" s="15" t="s">
        <v>23245</v>
      </c>
      <c r="AU978" s="15" t="s">
        <v>23246</v>
      </c>
      <c r="AV978" s="15" t="s">
        <v>23247</v>
      </c>
      <c r="AW978" s="15" t="s">
        <v>23248</v>
      </c>
      <c r="AX978" s="15" t="s">
        <v>23249</v>
      </c>
      <c r="AY978" s="15" t="s">
        <v>23250</v>
      </c>
      <c r="AZ978" s="15" t="s">
        <v>23251</v>
      </c>
      <c r="BH978" s="15" t="s">
        <v>9739</v>
      </c>
      <c r="BI978" s="15" t="str">
        <f>"199"</f>
        <v>199</v>
      </c>
      <c r="BJ978" s="15" t="str">
        <f>"85"</f>
        <v>85</v>
      </c>
      <c r="BK978" s="15" t="s">
        <v>1181</v>
      </c>
      <c r="BL978" s="15" t="str">
        <f t="shared" si="2801"/>
        <v>1</v>
      </c>
      <c r="BM978" s="15" t="s">
        <v>416</v>
      </c>
      <c r="BN978" s="15" t="str">
        <f t="shared" ref="BN978:BO978" si="2817">"13.78"</f>
        <v>13.78</v>
      </c>
      <c r="BO978" s="15" t="str">
        <f t="shared" si="2817"/>
        <v>13.78</v>
      </c>
      <c r="BP978" s="15" t="str">
        <f>"18.7"</f>
        <v>18.7</v>
      </c>
      <c r="BQ978" s="15" t="str">
        <f>"53.57"</f>
        <v>53.57</v>
      </c>
      <c r="CG978" s="15" t="str">
        <f>"2.05"</f>
        <v>2.05</v>
      </c>
      <c r="CH978" s="15" t="str">
        <f>"0.058"</f>
        <v>0.058</v>
      </c>
      <c r="CI978" s="15" t="s">
        <v>497</v>
      </c>
      <c r="CV978" s="15">
        <v>0.0</v>
      </c>
      <c r="CW978" s="15">
        <v>0.0</v>
      </c>
      <c r="CX978" s="15" t="s">
        <v>469</v>
      </c>
      <c r="CZ978" s="15" t="s">
        <v>419</v>
      </c>
      <c r="DA978" s="15">
        <v>0.0</v>
      </c>
      <c r="DB978" s="15" t="s">
        <v>419</v>
      </c>
      <c r="DD978" s="15">
        <v>0.0</v>
      </c>
      <c r="DG978" s="15" t="s">
        <v>419</v>
      </c>
      <c r="DH978" s="15">
        <v>0.0</v>
      </c>
      <c r="DI978" s="15">
        <v>0.0</v>
      </c>
      <c r="DJ978" s="15">
        <v>0.0</v>
      </c>
      <c r="DK978" s="15">
        <v>0.0</v>
      </c>
      <c r="DM978" s="15" t="s">
        <v>470</v>
      </c>
      <c r="DP978" s="15">
        <v>0.0</v>
      </c>
      <c r="DQ978" s="15">
        <v>1.0</v>
      </c>
      <c r="DR978" s="15" t="s">
        <v>498</v>
      </c>
      <c r="DS978" s="15" t="s">
        <v>9745</v>
      </c>
      <c r="DT978" s="15">
        <v>0.0</v>
      </c>
      <c r="DU978" s="15" t="s">
        <v>726</v>
      </c>
      <c r="EQ978" s="15" t="s">
        <v>943</v>
      </c>
      <c r="ER978" s="15" t="s">
        <v>2020</v>
      </c>
      <c r="ES978" s="15" t="s">
        <v>943</v>
      </c>
    </row>
    <row r="979" ht="17.25" customHeight="1">
      <c r="A979" s="15" t="s">
        <v>9748</v>
      </c>
      <c r="B979" s="15" t="str">
        <f>"801542374365"</f>
        <v>801542374365</v>
      </c>
      <c r="C979" s="15" t="s">
        <v>23252</v>
      </c>
      <c r="D979" s="15" t="str">
        <f t="shared" si="1"/>
        <v>The 1500 Kilometer Dining TableAged Brown Veneer</v>
      </c>
      <c r="E979" s="15" t="s">
        <v>9746</v>
      </c>
      <c r="F979" s="15" t="s">
        <v>397</v>
      </c>
      <c r="G979" s="15" t="s">
        <v>7413</v>
      </c>
      <c r="J979" s="15" t="s">
        <v>7413</v>
      </c>
      <c r="M979" s="15" t="s">
        <v>5963</v>
      </c>
      <c r="N979" s="15" t="s">
        <v>548</v>
      </c>
      <c r="O979" s="15" t="s">
        <v>549</v>
      </c>
      <c r="P979" s="15" t="str">
        <f>"114"</f>
        <v>114</v>
      </c>
      <c r="Q979" s="15" t="str">
        <f>"38"</f>
        <v>38</v>
      </c>
      <c r="R979" s="15" t="str">
        <f>"30"</f>
        <v>30</v>
      </c>
      <c r="S979" s="15" t="str">
        <f>"169.75"</f>
        <v>169.75</v>
      </c>
      <c r="T979" s="15" t="s">
        <v>6265</v>
      </c>
      <c r="U979" s="15" t="s">
        <v>17266</v>
      </c>
      <c r="V979" s="15" t="s">
        <v>11386</v>
      </c>
      <c r="AA979" s="15" t="s">
        <v>413</v>
      </c>
      <c r="AB979" s="15" t="s">
        <v>413</v>
      </c>
      <c r="AC979" s="15" t="s">
        <v>9752</v>
      </c>
      <c r="AD979" s="15" t="s">
        <v>23253</v>
      </c>
      <c r="AE979" s="15" t="s">
        <v>9749</v>
      </c>
      <c r="AF979" s="15" t="s">
        <v>23254</v>
      </c>
      <c r="AG979" s="15" t="s">
        <v>23255</v>
      </c>
      <c r="AH979" s="15" t="s">
        <v>23256</v>
      </c>
      <c r="AI979" s="15" t="s">
        <v>23257</v>
      </c>
      <c r="AJ979" s="15" t="s">
        <v>23258</v>
      </c>
      <c r="AK979" s="15" t="s">
        <v>23259</v>
      </c>
      <c r="AL979" s="15" t="s">
        <v>23260</v>
      </c>
      <c r="AM979" s="15" t="s">
        <v>23261</v>
      </c>
      <c r="AN979" s="15" t="s">
        <v>23262</v>
      </c>
      <c r="AO979" s="15" t="s">
        <v>23263</v>
      </c>
      <c r="BH979" s="15" t="s">
        <v>9747</v>
      </c>
      <c r="BI979" s="15" t="str">
        <f>"4299"</f>
        <v>4299</v>
      </c>
      <c r="BJ979" s="15" t="str">
        <f>"1810"</f>
        <v>1810</v>
      </c>
      <c r="BK979" s="15" t="s">
        <v>742</v>
      </c>
      <c r="BL979" s="15" t="str">
        <f t="shared" si="2801"/>
        <v>1</v>
      </c>
      <c r="BM979" s="15" t="s">
        <v>416</v>
      </c>
      <c r="BN979" s="15" t="str">
        <f>"120"</f>
        <v>120</v>
      </c>
      <c r="BO979" s="15" t="str">
        <f>"12.5"</f>
        <v>12.5</v>
      </c>
      <c r="BP979" s="15" t="str">
        <f>"42.5"</f>
        <v>42.5</v>
      </c>
      <c r="BQ979" s="15" t="str">
        <f>"233.69"</f>
        <v>233.69</v>
      </c>
      <c r="CG979" s="15" t="str">
        <f>"36.9"</f>
        <v>36.9</v>
      </c>
      <c r="CH979" s="15" t="str">
        <f>"1.045"</f>
        <v>1.045</v>
      </c>
      <c r="CI979" s="15" t="s">
        <v>417</v>
      </c>
      <c r="CZ979" s="15" t="s">
        <v>419</v>
      </c>
      <c r="DA979" s="15">
        <v>0.0</v>
      </c>
      <c r="DB979" s="15" t="s">
        <v>419</v>
      </c>
      <c r="DD979" s="15">
        <v>0.0</v>
      </c>
      <c r="DF979" s="15" t="s">
        <v>721</v>
      </c>
      <c r="DG979" s="15" t="s">
        <v>419</v>
      </c>
      <c r="DI979" s="15">
        <v>0.0</v>
      </c>
      <c r="DJ979" s="15">
        <v>0.0</v>
      </c>
      <c r="DK979" s="15">
        <v>0.0</v>
      </c>
      <c r="DQ979" s="15">
        <v>12.0</v>
      </c>
      <c r="DR979" s="15" t="s">
        <v>471</v>
      </c>
      <c r="DS979" s="15" t="s">
        <v>9753</v>
      </c>
      <c r="DU979" s="15" t="s">
        <v>424</v>
      </c>
      <c r="EF979" s="15" t="s">
        <v>2221</v>
      </c>
      <c r="EG979" s="15" t="s">
        <v>9754</v>
      </c>
      <c r="EH979" s="15" t="s">
        <v>5864</v>
      </c>
      <c r="EQ979" s="15" t="s">
        <v>7438</v>
      </c>
      <c r="ER979" s="15" t="s">
        <v>9755</v>
      </c>
      <c r="ES979" s="15" t="s">
        <v>9756</v>
      </c>
      <c r="ET979" s="15" t="s">
        <v>4469</v>
      </c>
      <c r="EU979" s="15" t="s">
        <v>426</v>
      </c>
      <c r="EV979" s="15">
        <v>0.0</v>
      </c>
      <c r="EW979" s="15">
        <v>0.0</v>
      </c>
      <c r="FD979" s="15" t="s">
        <v>1607</v>
      </c>
      <c r="FE979" s="15" t="s">
        <v>9755</v>
      </c>
      <c r="FF979" s="15" t="s">
        <v>9757</v>
      </c>
      <c r="FG979" s="15" t="s">
        <v>1123</v>
      </c>
    </row>
    <row r="980" ht="17.25" customHeight="1">
      <c r="A980" s="15" t="s">
        <v>9760</v>
      </c>
      <c r="B980" s="15" t="str">
        <f>"801542376529"</f>
        <v>801542376529</v>
      </c>
      <c r="C980" s="15" t="s">
        <v>23264</v>
      </c>
      <c r="D980" s="15" t="str">
        <f t="shared" si="1"/>
        <v>The Pimms TableAged Brown Veneer</v>
      </c>
      <c r="E980" s="15" t="s">
        <v>9758</v>
      </c>
      <c r="F980" s="15" t="s">
        <v>397</v>
      </c>
      <c r="G980" s="15" t="s">
        <v>7413</v>
      </c>
      <c r="J980" s="15" t="s">
        <v>7413</v>
      </c>
      <c r="K980" s="15" t="s">
        <v>5964</v>
      </c>
      <c r="M980" s="15" t="s">
        <v>5963</v>
      </c>
      <c r="N980" s="15" t="s">
        <v>1154</v>
      </c>
      <c r="P980" s="15" t="str">
        <f t="shared" ref="P980:Q980" si="2818">"24.75"</f>
        <v>24.75</v>
      </c>
      <c r="Q980" s="15" t="str">
        <f t="shared" si="2818"/>
        <v>24.75</v>
      </c>
      <c r="R980" s="15" t="str">
        <f>"26"</f>
        <v>26</v>
      </c>
      <c r="S980" s="15" t="str">
        <f>"17.64"</f>
        <v>17.64</v>
      </c>
      <c r="T980" s="15" t="s">
        <v>9762</v>
      </c>
      <c r="U980" s="15" t="s">
        <v>17266</v>
      </c>
      <c r="V980" s="15" t="s">
        <v>11386</v>
      </c>
      <c r="W980" s="15" t="s">
        <v>17265</v>
      </c>
      <c r="AA980" s="15" t="s">
        <v>413</v>
      </c>
      <c r="AB980" s="15" t="s">
        <v>413</v>
      </c>
      <c r="AC980" s="15" t="s">
        <v>9763</v>
      </c>
      <c r="AD980" s="15" t="s">
        <v>23265</v>
      </c>
      <c r="AE980" s="15" t="s">
        <v>9761</v>
      </c>
      <c r="AF980" s="15" t="s">
        <v>23266</v>
      </c>
      <c r="AG980" s="15" t="s">
        <v>23267</v>
      </c>
      <c r="AH980" s="15" t="s">
        <v>23268</v>
      </c>
      <c r="AI980" s="15" t="s">
        <v>23269</v>
      </c>
      <c r="AJ980" s="15" t="s">
        <v>23270</v>
      </c>
      <c r="AK980" s="15" t="s">
        <v>23271</v>
      </c>
      <c r="AL980" s="15" t="s">
        <v>23272</v>
      </c>
      <c r="AM980" s="15" t="s">
        <v>23273</v>
      </c>
      <c r="AN980" s="15" t="s">
        <v>23274</v>
      </c>
      <c r="AO980" s="15" t="s">
        <v>23275</v>
      </c>
      <c r="AP980" s="15" t="s">
        <v>23276</v>
      </c>
      <c r="AQ980" s="15" t="s">
        <v>23277</v>
      </c>
      <c r="BH980" s="15" t="s">
        <v>9759</v>
      </c>
      <c r="BI980" s="15" t="str">
        <f>"899"</f>
        <v>899</v>
      </c>
      <c r="BJ980" s="15" t="str">
        <f>"380"</f>
        <v>380</v>
      </c>
      <c r="BK980" s="15" t="s">
        <v>742</v>
      </c>
      <c r="BL980" s="15" t="str">
        <f t="shared" si="2801"/>
        <v>1</v>
      </c>
      <c r="BM980" s="15" t="s">
        <v>416</v>
      </c>
      <c r="BN980" s="15" t="str">
        <f>"28.75"</f>
        <v>28.75</v>
      </c>
      <c r="BO980" s="15" t="str">
        <f>"29"</f>
        <v>29</v>
      </c>
      <c r="BP980" s="15" t="str">
        <f>"30.75"</f>
        <v>30.75</v>
      </c>
      <c r="BQ980" s="15" t="str">
        <f>"48.5"</f>
        <v>48.5</v>
      </c>
      <c r="CG980" s="15" t="str">
        <f>"14.83"</f>
        <v>14.83</v>
      </c>
      <c r="CH980" s="15" t="str">
        <f>"0.42"</f>
        <v>0.42</v>
      </c>
      <c r="CI980" s="15" t="s">
        <v>465</v>
      </c>
      <c r="CZ980" s="15" t="s">
        <v>419</v>
      </c>
      <c r="DA980" s="15">
        <v>0.0</v>
      </c>
      <c r="DB980" s="15" t="s">
        <v>419</v>
      </c>
      <c r="DD980" s="15">
        <v>0.0</v>
      </c>
      <c r="DF980" s="15" t="s">
        <v>420</v>
      </c>
      <c r="DG980" s="15" t="s">
        <v>419</v>
      </c>
      <c r="DK980" s="15">
        <v>0.0</v>
      </c>
      <c r="DR980" s="15" t="s">
        <v>1157</v>
      </c>
      <c r="DS980" s="15" t="s">
        <v>9764</v>
      </c>
      <c r="DU980" s="15" t="s">
        <v>500</v>
      </c>
      <c r="EF980" s="15" t="s">
        <v>5021</v>
      </c>
      <c r="EG980" s="15" t="s">
        <v>2143</v>
      </c>
      <c r="EH980" s="15" t="s">
        <v>3775</v>
      </c>
      <c r="EQ980" s="15" t="s">
        <v>789</v>
      </c>
      <c r="ER980" s="15" t="s">
        <v>3361</v>
      </c>
      <c r="ES980" s="15" t="s">
        <v>789</v>
      </c>
      <c r="ET980" s="15" t="s">
        <v>3132</v>
      </c>
      <c r="EU980" s="15" t="s">
        <v>426</v>
      </c>
      <c r="EV980" s="15">
        <v>0.0</v>
      </c>
      <c r="EW980" s="15">
        <v>0.0</v>
      </c>
      <c r="FF980" s="15" t="s">
        <v>9765</v>
      </c>
    </row>
    <row r="981" ht="17.25" customHeight="1">
      <c r="A981" s="15" t="s">
        <v>9768</v>
      </c>
      <c r="B981" s="15" t="str">
        <f>"801542962913"</f>
        <v>801542962913</v>
      </c>
      <c r="C981" s="15" t="s">
        <v>23278</v>
      </c>
      <c r="D981" s="15" t="str">
        <f t="shared" si="1"/>
        <v>Theodore BookcaseRustic Amber Oak Veneer</v>
      </c>
      <c r="E981" s="15" t="s">
        <v>9766</v>
      </c>
      <c r="F981" s="15" t="s">
        <v>397</v>
      </c>
      <c r="G981" s="15" t="s">
        <v>3945</v>
      </c>
      <c r="J981" s="15" t="s">
        <v>3945</v>
      </c>
      <c r="M981" s="15" t="s">
        <v>1896</v>
      </c>
      <c r="N981" s="15" t="s">
        <v>1899</v>
      </c>
      <c r="P981" s="15" t="str">
        <f>"60"</f>
        <v>60</v>
      </c>
      <c r="Q981" s="15" t="str">
        <f t="shared" ref="Q981:Q982" si="2819">"18"</f>
        <v>18</v>
      </c>
      <c r="R981" s="15" t="str">
        <f>"84"</f>
        <v>84</v>
      </c>
      <c r="S981" s="15" t="str">
        <f>"207.23"</f>
        <v>207.23</v>
      </c>
      <c r="T981" s="15" t="s">
        <v>1025</v>
      </c>
      <c r="U981" s="15" t="s">
        <v>10881</v>
      </c>
      <c r="V981" s="15" t="s">
        <v>11338</v>
      </c>
      <c r="AA981" s="15" t="s">
        <v>413</v>
      </c>
      <c r="AB981" s="15" t="s">
        <v>413</v>
      </c>
      <c r="AC981" s="15" t="s">
        <v>9771</v>
      </c>
      <c r="AD981" s="15" t="s">
        <v>23279</v>
      </c>
      <c r="AE981" s="15" t="s">
        <v>9770</v>
      </c>
      <c r="AF981" s="15" t="s">
        <v>23280</v>
      </c>
      <c r="AG981" s="15" t="s">
        <v>23281</v>
      </c>
      <c r="AH981" s="15" t="s">
        <v>23282</v>
      </c>
      <c r="AI981" s="15" t="s">
        <v>23283</v>
      </c>
      <c r="AJ981" s="15" t="s">
        <v>23284</v>
      </c>
      <c r="AK981" s="15" t="s">
        <v>23285</v>
      </c>
      <c r="AL981" s="15" t="s">
        <v>23286</v>
      </c>
      <c r="AM981" s="15" t="s">
        <v>23287</v>
      </c>
      <c r="AN981" s="15" t="s">
        <v>23288</v>
      </c>
      <c r="AO981" s="15" t="s">
        <v>23289</v>
      </c>
      <c r="AP981" s="15" t="s">
        <v>18068</v>
      </c>
      <c r="BH981" s="15" t="s">
        <v>9767</v>
      </c>
      <c r="BI981" s="15" t="str">
        <f>"3199"</f>
        <v>3199</v>
      </c>
      <c r="BJ981" s="15" t="str">
        <f>"1345"</f>
        <v>1345</v>
      </c>
      <c r="BK981" s="15" t="s">
        <v>742</v>
      </c>
      <c r="BL981" s="15" t="str">
        <f t="shared" si="2801"/>
        <v>1</v>
      </c>
      <c r="BM981" s="15" t="s">
        <v>4803</v>
      </c>
      <c r="BN981" s="15" t="str">
        <f>"66.54"</f>
        <v>66.54</v>
      </c>
      <c r="BO981" s="15" t="str">
        <f>"23.43"</f>
        <v>23.43</v>
      </c>
      <c r="BP981" s="15" t="str">
        <f>"92.52"</f>
        <v>92.52</v>
      </c>
      <c r="BQ981" s="15" t="str">
        <f>"272.27"</f>
        <v>272.27</v>
      </c>
      <c r="CG981" s="15" t="str">
        <f>"83.45"</f>
        <v>83.45</v>
      </c>
      <c r="CH981" s="15" t="str">
        <f>"2.363"</f>
        <v>2.363</v>
      </c>
      <c r="CI981" s="15" t="s">
        <v>465</v>
      </c>
      <c r="CJ981" s="15" t="s">
        <v>1014</v>
      </c>
      <c r="CK981" s="15" t="s">
        <v>1517</v>
      </c>
      <c r="CL981" s="15" t="s">
        <v>9773</v>
      </c>
      <c r="CM981" s="15" t="s">
        <v>1014</v>
      </c>
      <c r="CN981" s="15" t="s">
        <v>8760</v>
      </c>
      <c r="CO981" s="15" t="s">
        <v>9773</v>
      </c>
      <c r="CZ981" s="15" t="s">
        <v>419</v>
      </c>
      <c r="DA981" s="15">
        <v>0.0</v>
      </c>
      <c r="DB981" s="15" t="s">
        <v>419</v>
      </c>
      <c r="DD981" s="15">
        <v>4.0</v>
      </c>
      <c r="DE981" s="15" t="s">
        <v>426</v>
      </c>
      <c r="DF981" s="15" t="s">
        <v>1388</v>
      </c>
      <c r="DG981" s="15" t="s">
        <v>1914</v>
      </c>
      <c r="DI981" s="15">
        <v>18.14</v>
      </c>
      <c r="DJ981" s="15">
        <v>40.0</v>
      </c>
      <c r="DK981" s="15">
        <v>0.0</v>
      </c>
      <c r="DR981" s="15" t="s">
        <v>1915</v>
      </c>
      <c r="DS981" s="15" t="s">
        <v>9774</v>
      </c>
      <c r="EF981" s="15" t="s">
        <v>1955</v>
      </c>
      <c r="EU981" s="15" t="s">
        <v>426</v>
      </c>
      <c r="EV981" s="15">
        <v>4.0</v>
      </c>
      <c r="FQ981" s="15">
        <v>0.0</v>
      </c>
      <c r="FR981" s="15" t="s">
        <v>427</v>
      </c>
      <c r="GJ981" s="15" t="s">
        <v>1014</v>
      </c>
      <c r="GK981" s="15" t="s">
        <v>3735</v>
      </c>
      <c r="GL981" s="15" t="s">
        <v>9773</v>
      </c>
      <c r="GZ981" s="15" t="s">
        <v>1014</v>
      </c>
      <c r="HA981" s="15" t="s">
        <v>1014</v>
      </c>
      <c r="HB981" s="15" t="s">
        <v>3735</v>
      </c>
      <c r="HC981" s="15" t="s">
        <v>3735</v>
      </c>
      <c r="HD981" s="15" t="s">
        <v>9773</v>
      </c>
      <c r="HE981" s="15" t="s">
        <v>9773</v>
      </c>
      <c r="HP981" s="15" t="s">
        <v>426</v>
      </c>
    </row>
    <row r="982" ht="17.25" customHeight="1">
      <c r="A982" s="15" t="s">
        <v>9777</v>
      </c>
      <c r="B982" s="15" t="str">
        <f>"801542976910"</f>
        <v>801542976910</v>
      </c>
      <c r="C982" s="15" t="s">
        <v>23290</v>
      </c>
      <c r="D982" s="15" t="str">
        <f t="shared" si="1"/>
        <v>Theodore Media ConsoleRustic Amber Oak Veneer</v>
      </c>
      <c r="E982" s="15" t="s">
        <v>9775</v>
      </c>
      <c r="F982" s="15" t="s">
        <v>397</v>
      </c>
      <c r="G982" s="15" t="s">
        <v>3945</v>
      </c>
      <c r="J982" s="15" t="s">
        <v>3945</v>
      </c>
      <c r="M982" s="15" t="s">
        <v>1896</v>
      </c>
      <c r="N982" s="15" t="s">
        <v>602</v>
      </c>
      <c r="P982" s="15" t="str">
        <f>"78"</f>
        <v>78</v>
      </c>
      <c r="Q982" s="15" t="str">
        <f t="shared" si="2819"/>
        <v>18</v>
      </c>
      <c r="R982" s="15" t="str">
        <f>"27"</f>
        <v>27</v>
      </c>
      <c r="S982" s="15" t="str">
        <f>"154.32"</f>
        <v>154.32</v>
      </c>
      <c r="T982" s="15" t="s">
        <v>407</v>
      </c>
      <c r="U982" s="15" t="s">
        <v>10881</v>
      </c>
      <c r="AA982" s="15" t="s">
        <v>413</v>
      </c>
      <c r="AB982" s="15" t="s">
        <v>413</v>
      </c>
      <c r="AC982" s="15" t="s">
        <v>9779</v>
      </c>
      <c r="AD982" s="15" t="s">
        <v>23291</v>
      </c>
      <c r="AE982" s="15" t="s">
        <v>9778</v>
      </c>
      <c r="AF982" s="15" t="s">
        <v>23292</v>
      </c>
      <c r="AG982" s="15" t="s">
        <v>23293</v>
      </c>
      <c r="AH982" s="15" t="s">
        <v>23294</v>
      </c>
      <c r="AI982" s="15" t="s">
        <v>23295</v>
      </c>
      <c r="AJ982" s="15" t="s">
        <v>23296</v>
      </c>
      <c r="AK982" s="15" t="s">
        <v>23297</v>
      </c>
      <c r="AL982" s="15" t="s">
        <v>23298</v>
      </c>
      <c r="AM982" s="15" t="s">
        <v>23299</v>
      </c>
      <c r="AN982" s="15" t="s">
        <v>23300</v>
      </c>
      <c r="AO982" s="15" t="s">
        <v>23301</v>
      </c>
      <c r="BH982" s="15" t="s">
        <v>9776</v>
      </c>
      <c r="BI982" s="15" t="str">
        <f>"1699"</f>
        <v>1699</v>
      </c>
      <c r="BJ982" s="15" t="str">
        <f>"715"</f>
        <v>715</v>
      </c>
      <c r="BK982" s="15" t="s">
        <v>742</v>
      </c>
      <c r="BL982" s="15" t="str">
        <f t="shared" si="2801"/>
        <v>1</v>
      </c>
      <c r="BM982" s="15" t="s">
        <v>1421</v>
      </c>
      <c r="BN982" s="15" t="str">
        <f>"82.28"</f>
        <v>82.28</v>
      </c>
      <c r="BO982" s="15" t="str">
        <f>"22.83"</f>
        <v>22.83</v>
      </c>
      <c r="BP982" s="15" t="str">
        <f>"33.07"</f>
        <v>33.07</v>
      </c>
      <c r="BQ982" s="15" t="str">
        <f>"190.7"</f>
        <v>190.7</v>
      </c>
      <c r="CG982" s="15" t="str">
        <f>"35.95"</f>
        <v>35.95</v>
      </c>
      <c r="CH982" s="15" t="str">
        <f>"1.018"</f>
        <v>1.018</v>
      </c>
      <c r="CI982" s="15" t="s">
        <v>465</v>
      </c>
      <c r="CJ982" s="15" t="s">
        <v>1014</v>
      </c>
      <c r="CK982" s="15" t="s">
        <v>1517</v>
      </c>
      <c r="CL982" s="15" t="s">
        <v>9780</v>
      </c>
      <c r="CM982" s="15" t="s">
        <v>1014</v>
      </c>
      <c r="CN982" s="15" t="s">
        <v>8280</v>
      </c>
      <c r="CO982" s="15" t="s">
        <v>9780</v>
      </c>
      <c r="CZ982" s="15" t="s">
        <v>419</v>
      </c>
      <c r="DA982" s="15">
        <v>0.0</v>
      </c>
      <c r="DB982" s="15" t="s">
        <v>419</v>
      </c>
      <c r="DD982" s="15">
        <v>1.0</v>
      </c>
      <c r="DE982" s="15" t="s">
        <v>426</v>
      </c>
      <c r="DF982" s="15" t="s">
        <v>1388</v>
      </c>
      <c r="DG982" s="15" t="s">
        <v>1914</v>
      </c>
      <c r="DI982" s="15">
        <v>0.0</v>
      </c>
      <c r="DJ982" s="15">
        <v>0.0</v>
      </c>
      <c r="DK982" s="15">
        <v>0.0</v>
      </c>
      <c r="DS982" s="15" t="s">
        <v>9774</v>
      </c>
      <c r="EF982" s="15" t="s">
        <v>1955</v>
      </c>
      <c r="EU982" s="15" t="s">
        <v>426</v>
      </c>
      <c r="EV982" s="15">
        <v>1.0</v>
      </c>
      <c r="FQ982" s="15">
        <v>0.0</v>
      </c>
      <c r="FR982" s="15" t="s">
        <v>427</v>
      </c>
      <c r="GM982" s="15">
        <v>0.0</v>
      </c>
    </row>
    <row r="983" ht="17.25" customHeight="1">
      <c r="A983" s="15" t="s">
        <v>9783</v>
      </c>
      <c r="B983" s="15" t="str">
        <f>"801542243890"</f>
        <v>801542243890</v>
      </c>
      <c r="C983" s="15" t="s">
        <v>23302</v>
      </c>
      <c r="D983" s="15" t="str">
        <f t="shared" si="1"/>
        <v>Thurston SofaDakota Warm Taupe</v>
      </c>
      <c r="E983" s="15" t="s">
        <v>9781</v>
      </c>
      <c r="F983" s="15" t="s">
        <v>397</v>
      </c>
      <c r="G983" s="15" t="s">
        <v>1985</v>
      </c>
      <c r="J983" s="15" t="s">
        <v>1985</v>
      </c>
      <c r="K983" s="15" t="s">
        <v>978</v>
      </c>
      <c r="M983" s="15" t="s">
        <v>837</v>
      </c>
      <c r="N983" s="15" t="s">
        <v>1732</v>
      </c>
      <c r="P983" s="15" t="str">
        <f>"96"</f>
        <v>96</v>
      </c>
      <c r="Q983" s="15" t="str">
        <f>"36"</f>
        <v>36</v>
      </c>
      <c r="R983" s="15" t="str">
        <f>"28.25"</f>
        <v>28.25</v>
      </c>
      <c r="S983" s="15" t="str">
        <f>"131.17"</f>
        <v>131.17</v>
      </c>
      <c r="T983" s="15" t="s">
        <v>975</v>
      </c>
      <c r="U983" s="15" t="s">
        <v>11137</v>
      </c>
      <c r="V983" s="15" t="s">
        <v>11210</v>
      </c>
      <c r="AA983" s="15" t="s">
        <v>413</v>
      </c>
      <c r="AB983" s="15" t="s">
        <v>413</v>
      </c>
      <c r="AC983" s="15" t="s">
        <v>9785</v>
      </c>
      <c r="AD983" s="15" t="s">
        <v>23303</v>
      </c>
      <c r="AE983" s="15" t="s">
        <v>9784</v>
      </c>
      <c r="AF983" s="15" t="s">
        <v>23304</v>
      </c>
      <c r="AG983" s="15" t="s">
        <v>23305</v>
      </c>
      <c r="AH983" s="15" t="s">
        <v>23306</v>
      </c>
      <c r="AI983" s="15" t="s">
        <v>23307</v>
      </c>
      <c r="AJ983" s="15" t="s">
        <v>23308</v>
      </c>
      <c r="AK983" s="15" t="s">
        <v>23309</v>
      </c>
      <c r="AL983" s="15" t="s">
        <v>23310</v>
      </c>
      <c r="AM983" s="15" t="s">
        <v>23311</v>
      </c>
      <c r="AN983" s="15" t="s">
        <v>23312</v>
      </c>
      <c r="AO983" s="15" t="s">
        <v>23313</v>
      </c>
      <c r="AP983" s="15" t="s">
        <v>23314</v>
      </c>
      <c r="BH983" s="15" t="s">
        <v>9782</v>
      </c>
      <c r="BI983" s="15" t="str">
        <f>"4499"</f>
        <v>4499</v>
      </c>
      <c r="BJ983" s="15" t="str">
        <f>"1890"</f>
        <v>1890</v>
      </c>
      <c r="BK983" s="15" t="s">
        <v>742</v>
      </c>
      <c r="BL983" s="15" t="str">
        <f t="shared" si="2801"/>
        <v>1</v>
      </c>
      <c r="BM983" s="15" t="s">
        <v>9786</v>
      </c>
      <c r="BN983" s="15" t="str">
        <f>"97.05"</f>
        <v>97.05</v>
      </c>
      <c r="BO983" s="15" t="str">
        <f>"37.2"</f>
        <v>37.2</v>
      </c>
      <c r="BP983" s="15" t="str">
        <f>"24.21"</f>
        <v>24.21</v>
      </c>
      <c r="BQ983" s="15" t="str">
        <f>"162.04"</f>
        <v>162.04</v>
      </c>
      <c r="CG983" s="15" t="str">
        <f>"50.61"</f>
        <v>50.61</v>
      </c>
      <c r="CH983" s="15" t="str">
        <f>"1.433"</f>
        <v>1.433</v>
      </c>
      <c r="CI983" s="15" t="s">
        <v>497</v>
      </c>
      <c r="CP983" s="15" t="s">
        <v>2652</v>
      </c>
      <c r="CQ983" s="15" t="s">
        <v>6270</v>
      </c>
      <c r="CR983" s="15" t="s">
        <v>9788</v>
      </c>
      <c r="CS983" s="15" t="s">
        <v>2652</v>
      </c>
      <c r="CT983" s="15" t="s">
        <v>4146</v>
      </c>
      <c r="CU983" s="15" t="s">
        <v>9788</v>
      </c>
      <c r="CV983" s="15">
        <v>0.0</v>
      </c>
      <c r="CW983" s="15">
        <v>0.0</v>
      </c>
      <c r="CX983" s="15" t="s">
        <v>717</v>
      </c>
      <c r="CY983" s="15" t="s">
        <v>718</v>
      </c>
      <c r="DC983" s="15" t="s">
        <v>9789</v>
      </c>
      <c r="DF983" s="15" t="s">
        <v>989</v>
      </c>
      <c r="DG983" s="15" t="s">
        <v>419</v>
      </c>
      <c r="DH983" s="15">
        <v>0.0</v>
      </c>
      <c r="DL983" s="15">
        <v>0.0</v>
      </c>
      <c r="DM983" s="15" t="s">
        <v>990</v>
      </c>
      <c r="DN983" s="15" t="s">
        <v>723</v>
      </c>
      <c r="DP983" s="15">
        <v>1.0</v>
      </c>
      <c r="DQ983" s="15">
        <v>4.0</v>
      </c>
      <c r="DS983" s="15" t="s">
        <v>9790</v>
      </c>
      <c r="DT983" s="15">
        <v>0.0</v>
      </c>
      <c r="DU983" s="15" t="s">
        <v>588</v>
      </c>
      <c r="DV983" s="15" t="s">
        <v>3512</v>
      </c>
      <c r="DW983" s="15" t="s">
        <v>9791</v>
      </c>
      <c r="DX983" s="15" t="s">
        <v>9792</v>
      </c>
      <c r="EB983" s="15" t="s">
        <v>9793</v>
      </c>
      <c r="EF983" s="15" t="s">
        <v>1955</v>
      </c>
      <c r="EG983" s="15" t="s">
        <v>8865</v>
      </c>
      <c r="EH983" s="15" t="s">
        <v>9794</v>
      </c>
      <c r="EI983" s="15" t="s">
        <v>9791</v>
      </c>
      <c r="EO983" s="15" t="s">
        <v>997</v>
      </c>
      <c r="EU983" s="15" t="s">
        <v>426</v>
      </c>
      <c r="EX983" s="15" t="s">
        <v>9788</v>
      </c>
      <c r="EY983" s="15" t="s">
        <v>9788</v>
      </c>
    </row>
    <row r="984" ht="17.25" customHeight="1">
      <c r="A984" s="15" t="s">
        <v>9797</v>
      </c>
      <c r="B984" s="15" t="str">
        <f>"801542723446"</f>
        <v>801542723446</v>
      </c>
      <c r="C984" s="15" t="s">
        <v>23315</v>
      </c>
      <c r="D984" s="15" t="str">
        <f t="shared" si="1"/>
        <v>Tig End TableDark Petrified Wood</v>
      </c>
      <c r="E984" s="15" t="s">
        <v>9795</v>
      </c>
      <c r="F984" s="15" t="s">
        <v>397</v>
      </c>
      <c r="G984" s="15" t="s">
        <v>2206</v>
      </c>
      <c r="J984" s="15" t="s">
        <v>2206</v>
      </c>
      <c r="K984" s="15" t="s">
        <v>6057</v>
      </c>
      <c r="M984" s="15" t="s">
        <v>2215</v>
      </c>
      <c r="N984" s="15" t="s">
        <v>1154</v>
      </c>
      <c r="P984" s="15" t="str">
        <f>"13"</f>
        <v>13</v>
      </c>
      <c r="Q984" s="15" t="str">
        <f>"9.25"</f>
        <v>9.25</v>
      </c>
      <c r="R984" s="15" t="str">
        <f>"23.5"</f>
        <v>23.5</v>
      </c>
      <c r="S984" s="15" t="str">
        <f>"13.23"</f>
        <v>13.23</v>
      </c>
      <c r="T984" s="15" t="s">
        <v>2210</v>
      </c>
      <c r="U984" s="15" t="s">
        <v>12534</v>
      </c>
      <c r="V984" s="15" t="s">
        <v>12535</v>
      </c>
      <c r="AA984" s="15" t="s">
        <v>413</v>
      </c>
      <c r="AB984" s="15" t="s">
        <v>413</v>
      </c>
      <c r="AD984" s="15" t="s">
        <v>23316</v>
      </c>
      <c r="AE984" s="15" t="s">
        <v>9798</v>
      </c>
      <c r="AF984" s="15" t="s">
        <v>23317</v>
      </c>
      <c r="AG984" s="15" t="s">
        <v>23318</v>
      </c>
      <c r="AH984" s="15" t="s">
        <v>23319</v>
      </c>
      <c r="AI984" s="15" t="s">
        <v>23320</v>
      </c>
      <c r="AJ984" s="15" t="s">
        <v>23321</v>
      </c>
      <c r="AK984" s="15" t="s">
        <v>23322</v>
      </c>
      <c r="AL984" s="15" t="s">
        <v>23323</v>
      </c>
      <c r="AM984" s="15" t="s">
        <v>23324</v>
      </c>
      <c r="AN984" s="15" t="s">
        <v>23325</v>
      </c>
      <c r="AO984" s="15" t="s">
        <v>23326</v>
      </c>
      <c r="BH984" s="15" t="s">
        <v>9796</v>
      </c>
      <c r="BI984" s="15" t="str">
        <f>"379"</f>
        <v>379</v>
      </c>
      <c r="BJ984" s="15" t="str">
        <f>"160"</f>
        <v>160</v>
      </c>
      <c r="BK984" s="15" t="s">
        <v>1181</v>
      </c>
      <c r="BL984" s="15" t="str">
        <f t="shared" si="2801"/>
        <v>1</v>
      </c>
      <c r="BM984" s="15" t="s">
        <v>416</v>
      </c>
      <c r="BN984" s="15" t="str">
        <f>"15.35"</f>
        <v>15.35</v>
      </c>
      <c r="BO984" s="15" t="str">
        <f>"11.81"</f>
        <v>11.81</v>
      </c>
      <c r="BP984" s="15" t="str">
        <f>"27.36"</f>
        <v>27.36</v>
      </c>
      <c r="BQ984" s="15" t="str">
        <f>"18.3"</f>
        <v>18.3</v>
      </c>
      <c r="CG984" s="15" t="str">
        <f>"2.86"</f>
        <v>2.86</v>
      </c>
      <c r="CH984" s="15" t="str">
        <f>"0.081"</f>
        <v>0.081</v>
      </c>
      <c r="CI984" s="15" t="s">
        <v>465</v>
      </c>
      <c r="CZ984" s="15" t="s">
        <v>419</v>
      </c>
      <c r="DA984" s="15">
        <v>0.0</v>
      </c>
      <c r="DB984" s="15" t="s">
        <v>419</v>
      </c>
      <c r="DD984" s="15">
        <v>0.0</v>
      </c>
      <c r="DG984" s="15" t="s">
        <v>419</v>
      </c>
      <c r="DK984" s="15">
        <v>0.0</v>
      </c>
      <c r="DR984" s="15" t="s">
        <v>471</v>
      </c>
      <c r="DS984" s="15" t="s">
        <v>9802</v>
      </c>
      <c r="DU984" s="15" t="s">
        <v>500</v>
      </c>
      <c r="EH984" s="15" t="s">
        <v>2968</v>
      </c>
      <c r="EQ984" s="15" t="s">
        <v>1254</v>
      </c>
      <c r="ER984" s="15" t="s">
        <v>715</v>
      </c>
      <c r="ES984" s="15" t="s">
        <v>1288</v>
      </c>
      <c r="ET984" s="15" t="s">
        <v>2046</v>
      </c>
      <c r="EV984" s="15">
        <v>0.0</v>
      </c>
      <c r="EW984" s="15">
        <v>0.0</v>
      </c>
    </row>
    <row r="985" ht="17.25" customHeight="1">
      <c r="A985" s="15" t="s">
        <v>9805</v>
      </c>
      <c r="B985" s="15" t="str">
        <f>"801542171933"</f>
        <v>801542171933</v>
      </c>
      <c r="C985" s="15" t="s">
        <v>23327</v>
      </c>
      <c r="D985" s="15" t="str">
        <f t="shared" si="1"/>
        <v>Tillery Power Recliner 3-Piece SectionalAntigo Natural</v>
      </c>
      <c r="E985" s="15" t="s">
        <v>9803</v>
      </c>
      <c r="F985" s="15" t="s">
        <v>397</v>
      </c>
      <c r="G985" s="15" t="s">
        <v>8417</v>
      </c>
      <c r="J985" s="15" t="s">
        <v>8417</v>
      </c>
      <c r="M985" s="15" t="s">
        <v>2343</v>
      </c>
      <c r="N985" s="15" t="s">
        <v>1629</v>
      </c>
      <c r="O985" s="15" t="s">
        <v>7473</v>
      </c>
      <c r="P985" s="15" t="str">
        <f t="shared" ref="P985:P989" si="2820">"111"</f>
        <v>111</v>
      </c>
      <c r="Q985" s="15" t="str">
        <f t="shared" ref="Q985:Q989" si="2821">"40"</f>
        <v>40</v>
      </c>
      <c r="R985" s="15" t="str">
        <f t="shared" ref="R985:R989" si="2822">"37"</f>
        <v>37</v>
      </c>
      <c r="S985" s="15" t="str">
        <f t="shared" ref="S985:S989" si="2823">"321.87"</f>
        <v>321.87</v>
      </c>
      <c r="T985" s="15" t="s">
        <v>8421</v>
      </c>
      <c r="U985" s="15" t="s">
        <v>16235</v>
      </c>
      <c r="V985" s="15" t="s">
        <v>20935</v>
      </c>
      <c r="W985" s="15" t="s">
        <v>20936</v>
      </c>
      <c r="AA985" s="15" t="s">
        <v>413</v>
      </c>
      <c r="AB985" s="15" t="s">
        <v>426</v>
      </c>
      <c r="AC985" s="15" t="s">
        <v>9809</v>
      </c>
      <c r="AD985" s="15" t="s">
        <v>23328</v>
      </c>
      <c r="AE985" s="15" t="s">
        <v>9806</v>
      </c>
      <c r="AF985" s="15" t="s">
        <v>23329</v>
      </c>
      <c r="AG985" s="15" t="s">
        <v>23330</v>
      </c>
      <c r="AH985" s="15" t="s">
        <v>23331</v>
      </c>
      <c r="AI985" s="15" t="s">
        <v>23332</v>
      </c>
      <c r="AJ985" s="15" t="s">
        <v>23333</v>
      </c>
      <c r="AK985" s="15" t="s">
        <v>23334</v>
      </c>
      <c r="AL985" s="15" t="s">
        <v>23335</v>
      </c>
      <c r="AM985" s="15" t="s">
        <v>23336</v>
      </c>
      <c r="AN985" s="15" t="s">
        <v>23337</v>
      </c>
      <c r="AO985" s="15" t="s">
        <v>23338</v>
      </c>
      <c r="AP985" s="15" t="s">
        <v>23339</v>
      </c>
      <c r="AQ985" s="15" t="s">
        <v>23340</v>
      </c>
      <c r="AR985" s="15" t="s">
        <v>23341</v>
      </c>
      <c r="BH985" s="15" t="s">
        <v>9804</v>
      </c>
      <c r="BI985" s="15" t="str">
        <f t="shared" ref="BI985:BI986" si="2824">"4199"</f>
        <v>4199</v>
      </c>
      <c r="BJ985" s="15" t="str">
        <f t="shared" ref="BJ985:BJ986" si="2825">"1765"</f>
        <v>1765</v>
      </c>
      <c r="BK985" s="15" t="s">
        <v>709</v>
      </c>
      <c r="BL985" s="15" t="str">
        <f t="shared" ref="BL985:BL989" si="2826">"3"</f>
        <v>3</v>
      </c>
      <c r="BM985" s="15" t="s">
        <v>416</v>
      </c>
      <c r="BN985" s="15" t="str">
        <f t="shared" ref="BN985:BN989" si="2827">"39.76"</f>
        <v>39.76</v>
      </c>
      <c r="BO985" s="15" t="str">
        <f t="shared" ref="BO985:BO989" si="2828">"40.16"</f>
        <v>40.16</v>
      </c>
      <c r="BP985" s="15" t="str">
        <f t="shared" ref="BP985:BP989" si="2829">"29.53"</f>
        <v>29.53</v>
      </c>
      <c r="BQ985" s="15" t="str">
        <f t="shared" ref="BQ985:BQ989" si="2830">"128.31"</f>
        <v>128.31</v>
      </c>
      <c r="BR985" s="15" t="s">
        <v>416</v>
      </c>
      <c r="BS985" s="15" t="str">
        <f t="shared" ref="BS985:BS989" si="2831">"39.76"</f>
        <v>39.76</v>
      </c>
      <c r="BT985" s="15" t="str">
        <f t="shared" ref="BT985:BT989" si="2832">"40.16"</f>
        <v>40.16</v>
      </c>
      <c r="BU985" s="15" t="str">
        <f t="shared" ref="BU985:BU989" si="2833">"29.53"</f>
        <v>29.53</v>
      </c>
      <c r="BV985" s="15" t="str">
        <f t="shared" ref="BV985:BV989" si="2834">"128.31"</f>
        <v>128.31</v>
      </c>
      <c r="BW985" s="15" t="s">
        <v>416</v>
      </c>
      <c r="BX985" s="15" t="str">
        <f t="shared" ref="BX985:BX989" si="2835">"40.16"</f>
        <v>40.16</v>
      </c>
      <c r="BY985" s="15" t="str">
        <f t="shared" ref="BY985:BY989" si="2836">"34.65"</f>
        <v>34.65</v>
      </c>
      <c r="BZ985" s="15" t="str">
        <f t="shared" ref="BZ985:BZ989" si="2837">"29.53"</f>
        <v>29.53</v>
      </c>
      <c r="CA985" s="15" t="str">
        <f t="shared" ref="CA985:CA989" si="2838">"132.72"</f>
        <v>132.72</v>
      </c>
      <c r="CG985" s="15" t="str">
        <f t="shared" ref="CG985:CG989" si="2839">"78.36"</f>
        <v>78.36</v>
      </c>
      <c r="CH985" s="15" t="str">
        <f t="shared" ref="CH985:CH989" si="2840">"2.219"</f>
        <v>2.219</v>
      </c>
      <c r="CI985" s="15" t="s">
        <v>497</v>
      </c>
      <c r="CX985" s="15" t="s">
        <v>717</v>
      </c>
      <c r="CY985" s="15" t="s">
        <v>855</v>
      </c>
      <c r="DC985" s="15" t="s">
        <v>2028</v>
      </c>
      <c r="DF985" s="15" t="s">
        <v>721</v>
      </c>
      <c r="DG985" s="15" t="s">
        <v>329</v>
      </c>
      <c r="DL985" s="15">
        <v>25000.0</v>
      </c>
      <c r="DM985" s="15" t="s">
        <v>990</v>
      </c>
      <c r="DN985" s="15" t="s">
        <v>723</v>
      </c>
      <c r="DO985" s="15" t="s">
        <v>724</v>
      </c>
      <c r="DQ985" s="15">
        <v>3.0</v>
      </c>
      <c r="DR985" s="15" t="s">
        <v>7473</v>
      </c>
      <c r="DS985" s="15" t="s">
        <v>9811</v>
      </c>
      <c r="DU985" s="15" t="s">
        <v>473</v>
      </c>
      <c r="EL985" s="15" t="s">
        <v>723</v>
      </c>
      <c r="EM985" s="15" t="s">
        <v>724</v>
      </c>
      <c r="EN985" s="15" t="s">
        <v>2028</v>
      </c>
      <c r="EO985" s="15" t="s">
        <v>1079</v>
      </c>
      <c r="GX985" s="15" t="s">
        <v>1638</v>
      </c>
      <c r="GY985" s="15" t="s">
        <v>7473</v>
      </c>
      <c r="LA985" s="15" t="s">
        <v>426</v>
      </c>
    </row>
    <row r="986" ht="17.25" customHeight="1">
      <c r="A986" s="15" t="s">
        <v>9813</v>
      </c>
      <c r="B986" s="15" t="str">
        <f>"198394083713"</f>
        <v>198394083713</v>
      </c>
      <c r="C986" s="15" t="s">
        <v>23342</v>
      </c>
      <c r="D986" s="15" t="str">
        <f t="shared" si="1"/>
        <v>Tillery Power Recliner 3-Piece SectionalCrypton Nomad Taupe</v>
      </c>
      <c r="E986" s="15" t="s">
        <v>9803</v>
      </c>
      <c r="F986" s="15" t="s">
        <v>397</v>
      </c>
      <c r="G986" s="15" t="s">
        <v>1619</v>
      </c>
      <c r="J986" s="15" t="s">
        <v>1619</v>
      </c>
      <c r="M986" s="15" t="s">
        <v>2343</v>
      </c>
      <c r="N986" s="15" t="s">
        <v>1629</v>
      </c>
      <c r="O986" s="15" t="s">
        <v>7473</v>
      </c>
      <c r="P986" s="15" t="str">
        <f t="shared" si="2820"/>
        <v>111</v>
      </c>
      <c r="Q986" s="15" t="str">
        <f t="shared" si="2821"/>
        <v>40</v>
      </c>
      <c r="R986" s="15" t="str">
        <f t="shared" si="2822"/>
        <v>37</v>
      </c>
      <c r="S986" s="15" t="str">
        <f t="shared" si="2823"/>
        <v>321.87</v>
      </c>
      <c r="T986" s="15" t="s">
        <v>1623</v>
      </c>
      <c r="U986" s="15" t="s">
        <v>11858</v>
      </c>
      <c r="V986" s="15" t="s">
        <v>11859</v>
      </c>
      <c r="AA986" s="15" t="s">
        <v>413</v>
      </c>
      <c r="AB986" s="15" t="s">
        <v>426</v>
      </c>
      <c r="AD986" s="15" t="s">
        <v>23343</v>
      </c>
      <c r="AE986" s="15" t="s">
        <v>9814</v>
      </c>
      <c r="AF986" s="15" t="s">
        <v>23344</v>
      </c>
      <c r="AG986" s="15" t="s">
        <v>23345</v>
      </c>
      <c r="AH986" s="15" t="s">
        <v>23346</v>
      </c>
      <c r="AI986" s="15" t="s">
        <v>23347</v>
      </c>
      <c r="AJ986" s="15" t="s">
        <v>23348</v>
      </c>
      <c r="AK986" s="15" t="s">
        <v>23349</v>
      </c>
      <c r="AL986" s="15" t="s">
        <v>23350</v>
      </c>
      <c r="AM986" s="15" t="s">
        <v>23351</v>
      </c>
      <c r="AN986" s="15" t="s">
        <v>23352</v>
      </c>
      <c r="AO986" s="15" t="s">
        <v>23353</v>
      </c>
      <c r="AP986" s="15" t="s">
        <v>23354</v>
      </c>
      <c r="AQ986" s="15" t="s">
        <v>23355</v>
      </c>
      <c r="BH986" s="15" t="s">
        <v>9812</v>
      </c>
      <c r="BI986" s="15" t="str">
        <f t="shared" si="2824"/>
        <v>4199</v>
      </c>
      <c r="BJ986" s="15" t="str">
        <f t="shared" si="2825"/>
        <v>1765</v>
      </c>
      <c r="BK986" s="15" t="s">
        <v>709</v>
      </c>
      <c r="BL986" s="15" t="str">
        <f t="shared" si="2826"/>
        <v>3</v>
      </c>
      <c r="BM986" s="15" t="s">
        <v>416</v>
      </c>
      <c r="BN986" s="15" t="str">
        <f t="shared" si="2827"/>
        <v>39.76</v>
      </c>
      <c r="BO986" s="15" t="str">
        <f t="shared" si="2828"/>
        <v>40.16</v>
      </c>
      <c r="BP986" s="15" t="str">
        <f t="shared" si="2829"/>
        <v>29.53</v>
      </c>
      <c r="BQ986" s="15" t="str">
        <f t="shared" si="2830"/>
        <v>128.31</v>
      </c>
      <c r="BR986" s="15" t="s">
        <v>416</v>
      </c>
      <c r="BS986" s="15" t="str">
        <f t="shared" si="2831"/>
        <v>39.76</v>
      </c>
      <c r="BT986" s="15" t="str">
        <f t="shared" si="2832"/>
        <v>40.16</v>
      </c>
      <c r="BU986" s="15" t="str">
        <f t="shared" si="2833"/>
        <v>29.53</v>
      </c>
      <c r="BV986" s="15" t="str">
        <f t="shared" si="2834"/>
        <v>128.31</v>
      </c>
      <c r="BW986" s="15" t="s">
        <v>416</v>
      </c>
      <c r="BX986" s="15" t="str">
        <f t="shared" si="2835"/>
        <v>40.16</v>
      </c>
      <c r="BY986" s="15" t="str">
        <f t="shared" si="2836"/>
        <v>34.65</v>
      </c>
      <c r="BZ986" s="15" t="str">
        <f t="shared" si="2837"/>
        <v>29.53</v>
      </c>
      <c r="CA986" s="15" t="str">
        <f t="shared" si="2838"/>
        <v>132.72</v>
      </c>
      <c r="CG986" s="15" t="str">
        <f t="shared" si="2839"/>
        <v>78.36</v>
      </c>
      <c r="CH986" s="15" t="str">
        <f t="shared" si="2840"/>
        <v>2.219</v>
      </c>
      <c r="CI986" s="15" t="s">
        <v>497</v>
      </c>
      <c r="CX986" s="15" t="s">
        <v>717</v>
      </c>
      <c r="CY986" s="15" t="s">
        <v>897</v>
      </c>
      <c r="DC986" s="15" t="s">
        <v>2028</v>
      </c>
      <c r="DF986" s="15" t="s">
        <v>721</v>
      </c>
      <c r="DG986" s="15" t="s">
        <v>329</v>
      </c>
      <c r="DL986" s="15">
        <v>50000.0</v>
      </c>
      <c r="DM986" s="15" t="s">
        <v>990</v>
      </c>
      <c r="DN986" s="15" t="s">
        <v>723</v>
      </c>
      <c r="DO986" s="15" t="s">
        <v>724</v>
      </c>
      <c r="DQ986" s="15">
        <v>3.0</v>
      </c>
      <c r="DR986" s="15" t="s">
        <v>7473</v>
      </c>
      <c r="DS986" s="15" t="s">
        <v>9811</v>
      </c>
      <c r="DU986" s="15" t="s">
        <v>473</v>
      </c>
      <c r="EL986" s="15" t="s">
        <v>723</v>
      </c>
      <c r="EM986" s="15" t="s">
        <v>724</v>
      </c>
      <c r="EN986" s="15" t="s">
        <v>2028</v>
      </c>
      <c r="EO986" s="15" t="s">
        <v>1079</v>
      </c>
      <c r="GX986" s="15" t="s">
        <v>1638</v>
      </c>
      <c r="GY986" s="15" t="s">
        <v>7473</v>
      </c>
      <c r="LA986" s="15" t="s">
        <v>426</v>
      </c>
    </row>
    <row r="987" ht="17.25" customHeight="1">
      <c r="A987" s="15" t="s">
        <v>9816</v>
      </c>
      <c r="B987" s="15" t="str">
        <f>"801542008093"</f>
        <v>801542008093</v>
      </c>
      <c r="C987" s="15" t="s">
        <v>23356</v>
      </c>
      <c r="D987" s="15" t="str">
        <f t="shared" si="1"/>
        <v>Tillery Power Recliner 3-Piece SectionalLaken Stone</v>
      </c>
      <c r="E987" s="15" t="s">
        <v>9803</v>
      </c>
      <c r="F987" s="15" t="s">
        <v>397</v>
      </c>
      <c r="G987" s="15" t="s">
        <v>8434</v>
      </c>
      <c r="J987" s="15" t="s">
        <v>8434</v>
      </c>
      <c r="M987" s="15" t="s">
        <v>2343</v>
      </c>
      <c r="N987" s="15" t="s">
        <v>1629</v>
      </c>
      <c r="O987" s="15" t="s">
        <v>7473</v>
      </c>
      <c r="P987" s="15" t="str">
        <f t="shared" si="2820"/>
        <v>111</v>
      </c>
      <c r="Q987" s="15" t="str">
        <f t="shared" si="2821"/>
        <v>40</v>
      </c>
      <c r="R987" s="15" t="str">
        <f t="shared" si="2822"/>
        <v>37</v>
      </c>
      <c r="S987" s="15" t="str">
        <f t="shared" si="2823"/>
        <v>321.87</v>
      </c>
      <c r="T987" s="15" t="s">
        <v>7030</v>
      </c>
      <c r="U987" s="15" t="s">
        <v>12298</v>
      </c>
      <c r="V987" s="15" t="s">
        <v>18611</v>
      </c>
      <c r="AA987" s="15" t="s">
        <v>413</v>
      </c>
      <c r="AB987" s="15" t="s">
        <v>413</v>
      </c>
      <c r="AC987" s="15" t="s">
        <v>9818</v>
      </c>
      <c r="AD987" s="15" t="s">
        <v>23357</v>
      </c>
      <c r="AE987" s="15" t="s">
        <v>9817</v>
      </c>
      <c r="AF987" s="15" t="s">
        <v>23358</v>
      </c>
      <c r="AG987" s="15" t="s">
        <v>23359</v>
      </c>
      <c r="AH987" s="15" t="s">
        <v>23360</v>
      </c>
      <c r="AI987" s="15" t="s">
        <v>23361</v>
      </c>
      <c r="AJ987" s="15" t="s">
        <v>23362</v>
      </c>
      <c r="AK987" s="15" t="s">
        <v>23363</v>
      </c>
      <c r="AL987" s="15" t="s">
        <v>23364</v>
      </c>
      <c r="AM987" s="15" t="s">
        <v>23365</v>
      </c>
      <c r="BH987" s="15" t="s">
        <v>9815</v>
      </c>
      <c r="BI987" s="15" t="str">
        <f>"3999"</f>
        <v>3999</v>
      </c>
      <c r="BJ987" s="15" t="str">
        <f>"1680"</f>
        <v>1680</v>
      </c>
      <c r="BK987" s="15" t="s">
        <v>709</v>
      </c>
      <c r="BL987" s="15" t="str">
        <f t="shared" si="2826"/>
        <v>3</v>
      </c>
      <c r="BM987" s="15" t="s">
        <v>416</v>
      </c>
      <c r="BN987" s="15" t="str">
        <f t="shared" si="2827"/>
        <v>39.76</v>
      </c>
      <c r="BO987" s="15" t="str">
        <f t="shared" si="2828"/>
        <v>40.16</v>
      </c>
      <c r="BP987" s="15" t="str">
        <f t="shared" si="2829"/>
        <v>29.53</v>
      </c>
      <c r="BQ987" s="15" t="str">
        <f t="shared" si="2830"/>
        <v>128.31</v>
      </c>
      <c r="BR987" s="15" t="s">
        <v>416</v>
      </c>
      <c r="BS987" s="15" t="str">
        <f t="shared" si="2831"/>
        <v>39.76</v>
      </c>
      <c r="BT987" s="15" t="str">
        <f t="shared" si="2832"/>
        <v>40.16</v>
      </c>
      <c r="BU987" s="15" t="str">
        <f t="shared" si="2833"/>
        <v>29.53</v>
      </c>
      <c r="BV987" s="15" t="str">
        <f t="shared" si="2834"/>
        <v>128.31</v>
      </c>
      <c r="BW987" s="15" t="s">
        <v>416</v>
      </c>
      <c r="BX987" s="15" t="str">
        <f t="shared" si="2835"/>
        <v>40.16</v>
      </c>
      <c r="BY987" s="15" t="str">
        <f t="shared" si="2836"/>
        <v>34.65</v>
      </c>
      <c r="BZ987" s="15" t="str">
        <f t="shared" si="2837"/>
        <v>29.53</v>
      </c>
      <c r="CA987" s="15" t="str">
        <f t="shared" si="2838"/>
        <v>132.72</v>
      </c>
      <c r="CG987" s="15" t="str">
        <f t="shared" si="2839"/>
        <v>78.36</v>
      </c>
      <c r="CH987" s="15" t="str">
        <f t="shared" si="2840"/>
        <v>2.219</v>
      </c>
      <c r="CI987" s="15" t="s">
        <v>465</v>
      </c>
      <c r="CX987" s="15" t="s">
        <v>717</v>
      </c>
      <c r="CY987" s="15" t="s">
        <v>934</v>
      </c>
      <c r="DC987" s="15" t="s">
        <v>2028</v>
      </c>
      <c r="DF987" s="15" t="s">
        <v>721</v>
      </c>
      <c r="DG987" s="15" t="s">
        <v>329</v>
      </c>
      <c r="DL987" s="15">
        <v>15000.0</v>
      </c>
      <c r="DM987" s="15" t="s">
        <v>990</v>
      </c>
      <c r="DN987" s="15" t="s">
        <v>723</v>
      </c>
      <c r="DO987" s="15" t="s">
        <v>724</v>
      </c>
      <c r="DQ987" s="15">
        <v>3.0</v>
      </c>
      <c r="DR987" s="15" t="s">
        <v>7473</v>
      </c>
      <c r="DS987" s="15" t="s">
        <v>9811</v>
      </c>
      <c r="DU987" s="15" t="s">
        <v>473</v>
      </c>
      <c r="EL987" s="15" t="s">
        <v>723</v>
      </c>
      <c r="EM987" s="15" t="s">
        <v>724</v>
      </c>
      <c r="EN987" s="15" t="s">
        <v>2028</v>
      </c>
      <c r="EO987" s="15" t="s">
        <v>1079</v>
      </c>
      <c r="GX987" s="15" t="s">
        <v>1638</v>
      </c>
      <c r="GY987" s="15" t="s">
        <v>7473</v>
      </c>
      <c r="LA987" s="15" t="s">
        <v>426</v>
      </c>
    </row>
    <row r="988" ht="17.25" customHeight="1">
      <c r="A988" s="15" t="s">
        <v>9820</v>
      </c>
      <c r="B988" s="15" t="str">
        <f>"801542171940"</f>
        <v>801542171940</v>
      </c>
      <c r="C988" s="15" t="s">
        <v>23366</v>
      </c>
      <c r="D988" s="15" t="str">
        <f t="shared" si="1"/>
        <v>Tillery Power Recliner 3-Piece SectionalSonoma Butterscotch</v>
      </c>
      <c r="E988" s="15" t="s">
        <v>9803</v>
      </c>
      <c r="F988" s="15" t="s">
        <v>397</v>
      </c>
      <c r="G988" s="15" t="s">
        <v>3874</v>
      </c>
      <c r="J988" s="15" t="s">
        <v>3874</v>
      </c>
      <c r="M988" s="15" t="s">
        <v>2343</v>
      </c>
      <c r="N988" s="15" t="s">
        <v>1629</v>
      </c>
      <c r="O988" s="15" t="s">
        <v>7473</v>
      </c>
      <c r="P988" s="15" t="str">
        <f t="shared" si="2820"/>
        <v>111</v>
      </c>
      <c r="Q988" s="15" t="str">
        <f t="shared" si="2821"/>
        <v>40</v>
      </c>
      <c r="R988" s="15" t="str">
        <f t="shared" si="2822"/>
        <v>37</v>
      </c>
      <c r="S988" s="15" t="str">
        <f t="shared" si="2823"/>
        <v>321.87</v>
      </c>
      <c r="T988" s="15" t="s">
        <v>1600</v>
      </c>
      <c r="U988" s="15" t="s">
        <v>11137</v>
      </c>
      <c r="AA988" s="15" t="s">
        <v>413</v>
      </c>
      <c r="AB988" s="15" t="s">
        <v>413</v>
      </c>
      <c r="AC988" s="15" t="s">
        <v>9822</v>
      </c>
      <c r="AD988" s="15" t="s">
        <v>23367</v>
      </c>
      <c r="AE988" s="15" t="s">
        <v>9821</v>
      </c>
      <c r="AF988" s="15" t="s">
        <v>23368</v>
      </c>
      <c r="AG988" s="15" t="s">
        <v>23369</v>
      </c>
      <c r="AH988" s="15" t="s">
        <v>23370</v>
      </c>
      <c r="AI988" s="15" t="s">
        <v>23371</v>
      </c>
      <c r="AJ988" s="15" t="s">
        <v>23372</v>
      </c>
      <c r="AK988" s="15" t="s">
        <v>23373</v>
      </c>
      <c r="AL988" s="15" t="s">
        <v>23374</v>
      </c>
      <c r="AM988" s="15" t="s">
        <v>23375</v>
      </c>
      <c r="AN988" s="15" t="s">
        <v>23376</v>
      </c>
      <c r="AO988" s="15" t="s">
        <v>23377</v>
      </c>
      <c r="AP988" s="15" t="s">
        <v>23378</v>
      </c>
      <c r="BH988" s="15" t="s">
        <v>9819</v>
      </c>
      <c r="BI988" s="15" t="str">
        <f t="shared" ref="BI988:BI989" si="2841">"6699"</f>
        <v>6699</v>
      </c>
      <c r="BJ988" s="15" t="str">
        <f t="shared" ref="BJ988:BJ989" si="2842">"2815"</f>
        <v>2815</v>
      </c>
      <c r="BK988" s="15" t="s">
        <v>709</v>
      </c>
      <c r="BL988" s="15" t="str">
        <f t="shared" si="2826"/>
        <v>3</v>
      </c>
      <c r="BM988" s="15" t="s">
        <v>416</v>
      </c>
      <c r="BN988" s="15" t="str">
        <f t="shared" si="2827"/>
        <v>39.76</v>
      </c>
      <c r="BO988" s="15" t="str">
        <f t="shared" si="2828"/>
        <v>40.16</v>
      </c>
      <c r="BP988" s="15" t="str">
        <f t="shared" si="2829"/>
        <v>29.53</v>
      </c>
      <c r="BQ988" s="15" t="str">
        <f t="shared" si="2830"/>
        <v>128.31</v>
      </c>
      <c r="BR988" s="15" t="s">
        <v>416</v>
      </c>
      <c r="BS988" s="15" t="str">
        <f t="shared" si="2831"/>
        <v>39.76</v>
      </c>
      <c r="BT988" s="15" t="str">
        <f t="shared" si="2832"/>
        <v>40.16</v>
      </c>
      <c r="BU988" s="15" t="str">
        <f t="shared" si="2833"/>
        <v>29.53</v>
      </c>
      <c r="BV988" s="15" t="str">
        <f t="shared" si="2834"/>
        <v>128.31</v>
      </c>
      <c r="BW988" s="15" t="s">
        <v>416</v>
      </c>
      <c r="BX988" s="15" t="str">
        <f t="shared" si="2835"/>
        <v>40.16</v>
      </c>
      <c r="BY988" s="15" t="str">
        <f t="shared" si="2836"/>
        <v>34.65</v>
      </c>
      <c r="BZ988" s="15" t="str">
        <f t="shared" si="2837"/>
        <v>29.53</v>
      </c>
      <c r="CA988" s="15" t="str">
        <f t="shared" si="2838"/>
        <v>132.72</v>
      </c>
      <c r="CG988" s="15" t="str">
        <f t="shared" si="2839"/>
        <v>78.36</v>
      </c>
      <c r="CH988" s="15" t="str">
        <f t="shared" si="2840"/>
        <v>2.219</v>
      </c>
      <c r="CI988" s="15" t="s">
        <v>497</v>
      </c>
      <c r="CX988" s="15" t="s">
        <v>717</v>
      </c>
      <c r="CY988" s="15" t="s">
        <v>718</v>
      </c>
      <c r="DC988" s="15" t="s">
        <v>2028</v>
      </c>
      <c r="DF988" s="15" t="s">
        <v>721</v>
      </c>
      <c r="DG988" s="15" t="s">
        <v>329</v>
      </c>
      <c r="DL988" s="15">
        <v>0.0</v>
      </c>
      <c r="DM988" s="15" t="s">
        <v>990</v>
      </c>
      <c r="DN988" s="15" t="s">
        <v>723</v>
      </c>
      <c r="DO988" s="15" t="s">
        <v>724</v>
      </c>
      <c r="DQ988" s="15">
        <v>3.0</v>
      </c>
      <c r="DR988" s="15" t="s">
        <v>7473</v>
      </c>
      <c r="DS988" s="15" t="s">
        <v>9811</v>
      </c>
      <c r="DU988" s="15" t="s">
        <v>473</v>
      </c>
      <c r="EL988" s="15" t="s">
        <v>723</v>
      </c>
      <c r="EM988" s="15" t="s">
        <v>724</v>
      </c>
      <c r="EN988" s="15" t="s">
        <v>2028</v>
      </c>
      <c r="EO988" s="15" t="s">
        <v>1079</v>
      </c>
      <c r="GX988" s="15" t="s">
        <v>1638</v>
      </c>
      <c r="GY988" s="15" t="s">
        <v>7473</v>
      </c>
      <c r="LA988" s="15" t="s">
        <v>426</v>
      </c>
    </row>
    <row r="989" ht="17.25" customHeight="1">
      <c r="A989" s="15" t="s">
        <v>9824</v>
      </c>
      <c r="B989" s="15" t="str">
        <f>"198394083720"</f>
        <v>198394083720</v>
      </c>
      <c r="C989" s="15" t="s">
        <v>23379</v>
      </c>
      <c r="D989" s="15" t="str">
        <f t="shared" si="1"/>
        <v>Tillery Power Recliner 3-Piece SectionalSonoma Coco</v>
      </c>
      <c r="E989" s="15" t="s">
        <v>9803</v>
      </c>
      <c r="F989" s="15" t="s">
        <v>397</v>
      </c>
      <c r="G989" s="15" t="s">
        <v>2004</v>
      </c>
      <c r="J989" s="15" t="s">
        <v>2004</v>
      </c>
      <c r="M989" s="15" t="s">
        <v>2343</v>
      </c>
      <c r="N989" s="15" t="s">
        <v>1629</v>
      </c>
      <c r="O989" s="15" t="s">
        <v>7473</v>
      </c>
      <c r="P989" s="15" t="str">
        <f t="shared" si="2820"/>
        <v>111</v>
      </c>
      <c r="Q989" s="15" t="str">
        <f t="shared" si="2821"/>
        <v>40</v>
      </c>
      <c r="R989" s="15" t="str">
        <f t="shared" si="2822"/>
        <v>37</v>
      </c>
      <c r="S989" s="15" t="str">
        <f t="shared" si="2823"/>
        <v>321.87</v>
      </c>
      <c r="T989" s="15" t="s">
        <v>1600</v>
      </c>
      <c r="U989" s="15" t="s">
        <v>11137</v>
      </c>
      <c r="AA989" s="15" t="s">
        <v>413</v>
      </c>
      <c r="AB989" s="15" t="s">
        <v>413</v>
      </c>
      <c r="AC989" s="15" t="s">
        <v>9822</v>
      </c>
      <c r="AD989" s="15" t="s">
        <v>23380</v>
      </c>
      <c r="AE989" s="15" t="s">
        <v>9825</v>
      </c>
      <c r="AF989" s="15" t="s">
        <v>23381</v>
      </c>
      <c r="AG989" s="15" t="s">
        <v>23382</v>
      </c>
      <c r="AH989" s="15" t="s">
        <v>23383</v>
      </c>
      <c r="AI989" s="15" t="s">
        <v>23384</v>
      </c>
      <c r="AJ989" s="15" t="s">
        <v>23385</v>
      </c>
      <c r="AK989" s="15" t="s">
        <v>23386</v>
      </c>
      <c r="AL989" s="15" t="s">
        <v>23387</v>
      </c>
      <c r="AM989" s="15" t="s">
        <v>23388</v>
      </c>
      <c r="AN989" s="15" t="s">
        <v>23389</v>
      </c>
      <c r="BH989" s="15" t="s">
        <v>9823</v>
      </c>
      <c r="BI989" s="15" t="str">
        <f t="shared" si="2841"/>
        <v>6699</v>
      </c>
      <c r="BJ989" s="15" t="str">
        <f t="shared" si="2842"/>
        <v>2815</v>
      </c>
      <c r="BK989" s="15" t="s">
        <v>709</v>
      </c>
      <c r="BL989" s="15" t="str">
        <f t="shared" si="2826"/>
        <v>3</v>
      </c>
      <c r="BM989" s="15" t="s">
        <v>416</v>
      </c>
      <c r="BN989" s="15" t="str">
        <f t="shared" si="2827"/>
        <v>39.76</v>
      </c>
      <c r="BO989" s="15" t="str">
        <f t="shared" si="2828"/>
        <v>40.16</v>
      </c>
      <c r="BP989" s="15" t="str">
        <f t="shared" si="2829"/>
        <v>29.53</v>
      </c>
      <c r="BQ989" s="15" t="str">
        <f t="shared" si="2830"/>
        <v>128.31</v>
      </c>
      <c r="BR989" s="15" t="s">
        <v>416</v>
      </c>
      <c r="BS989" s="15" t="str">
        <f t="shared" si="2831"/>
        <v>39.76</v>
      </c>
      <c r="BT989" s="15" t="str">
        <f t="shared" si="2832"/>
        <v>40.16</v>
      </c>
      <c r="BU989" s="15" t="str">
        <f t="shared" si="2833"/>
        <v>29.53</v>
      </c>
      <c r="BV989" s="15" t="str">
        <f t="shared" si="2834"/>
        <v>128.31</v>
      </c>
      <c r="BW989" s="15" t="s">
        <v>416</v>
      </c>
      <c r="BX989" s="15" t="str">
        <f t="shared" si="2835"/>
        <v>40.16</v>
      </c>
      <c r="BY989" s="15" t="str">
        <f t="shared" si="2836"/>
        <v>34.65</v>
      </c>
      <c r="BZ989" s="15" t="str">
        <f t="shared" si="2837"/>
        <v>29.53</v>
      </c>
      <c r="CA989" s="15" t="str">
        <f t="shared" si="2838"/>
        <v>132.72</v>
      </c>
      <c r="CG989" s="15" t="str">
        <f t="shared" si="2839"/>
        <v>78.36</v>
      </c>
      <c r="CH989" s="15" t="str">
        <f t="shared" si="2840"/>
        <v>2.219</v>
      </c>
      <c r="CI989" s="15" t="s">
        <v>465</v>
      </c>
      <c r="CX989" s="15" t="s">
        <v>717</v>
      </c>
      <c r="CY989" s="15" t="s">
        <v>718</v>
      </c>
      <c r="DC989" s="15" t="s">
        <v>2028</v>
      </c>
      <c r="DF989" s="15" t="s">
        <v>721</v>
      </c>
      <c r="DG989" s="15" t="s">
        <v>329</v>
      </c>
      <c r="DL989" s="15">
        <v>0.0</v>
      </c>
      <c r="DM989" s="15" t="s">
        <v>990</v>
      </c>
      <c r="DN989" s="15" t="s">
        <v>723</v>
      </c>
      <c r="DO989" s="15" t="s">
        <v>724</v>
      </c>
      <c r="DQ989" s="15">
        <v>3.0</v>
      </c>
      <c r="DR989" s="15" t="s">
        <v>7473</v>
      </c>
      <c r="DS989" s="15" t="s">
        <v>9811</v>
      </c>
      <c r="DU989" s="15" t="s">
        <v>473</v>
      </c>
      <c r="EL989" s="15" t="s">
        <v>723</v>
      </c>
      <c r="EM989" s="15" t="s">
        <v>724</v>
      </c>
      <c r="EN989" s="15" t="s">
        <v>2028</v>
      </c>
      <c r="EO989" s="15" t="s">
        <v>1079</v>
      </c>
      <c r="GX989" s="15" t="s">
        <v>1638</v>
      </c>
      <c r="GY989" s="15" t="s">
        <v>7473</v>
      </c>
      <c r="LA989" s="15" t="s">
        <v>426</v>
      </c>
    </row>
    <row r="990" ht="17.25" customHeight="1">
      <c r="A990" s="15" t="s">
        <v>9828</v>
      </c>
      <c r="B990" s="15" t="str">
        <f>"801542729554"</f>
        <v>801542729554</v>
      </c>
      <c r="C990" s="15" t="s">
        <v>23390</v>
      </c>
      <c r="D990" s="15" t="str">
        <f t="shared" si="1"/>
        <v>Toli End TableItalian White Marble</v>
      </c>
      <c r="E990" s="15" t="s">
        <v>9826</v>
      </c>
      <c r="F990" s="15" t="s">
        <v>397</v>
      </c>
      <c r="G990" s="15" t="s">
        <v>8068</v>
      </c>
      <c r="J990" s="15" t="s">
        <v>8068</v>
      </c>
      <c r="K990" s="15" t="s">
        <v>6616</v>
      </c>
      <c r="L990" s="15" t="s">
        <v>5604</v>
      </c>
      <c r="M990" s="15" t="s">
        <v>2759</v>
      </c>
      <c r="N990" s="15" t="s">
        <v>1154</v>
      </c>
      <c r="P990" s="15" t="str">
        <f t="shared" ref="P990:Q990" si="2843">"25"</f>
        <v>25</v>
      </c>
      <c r="Q990" s="15" t="str">
        <f t="shared" si="2843"/>
        <v>25</v>
      </c>
      <c r="R990" s="15" t="str">
        <f>"21"</f>
        <v>21</v>
      </c>
      <c r="S990" s="15" t="str">
        <f>"76.06"</f>
        <v>76.06</v>
      </c>
      <c r="T990" s="15" t="s">
        <v>9830</v>
      </c>
      <c r="U990" s="15" t="s">
        <v>11754</v>
      </c>
      <c r="V990" s="15" t="s">
        <v>11338</v>
      </c>
      <c r="W990" s="15" t="s">
        <v>10881</v>
      </c>
      <c r="AA990" s="15" t="s">
        <v>426</v>
      </c>
      <c r="AB990" s="15" t="s">
        <v>413</v>
      </c>
      <c r="AC990" s="15" t="s">
        <v>9831</v>
      </c>
      <c r="AD990" s="15" t="s">
        <v>23391</v>
      </c>
      <c r="AE990" s="15" t="s">
        <v>9829</v>
      </c>
      <c r="AF990" s="15" t="s">
        <v>23392</v>
      </c>
      <c r="AG990" s="15" t="s">
        <v>23393</v>
      </c>
      <c r="AH990" s="15" t="s">
        <v>23394</v>
      </c>
      <c r="AI990" s="15" t="s">
        <v>23395</v>
      </c>
      <c r="AJ990" s="15" t="s">
        <v>23396</v>
      </c>
      <c r="AK990" s="15" t="s">
        <v>23397</v>
      </c>
      <c r="AL990" s="15" t="s">
        <v>23398</v>
      </c>
      <c r="AM990" s="15" t="s">
        <v>23399</v>
      </c>
      <c r="AN990" s="15" t="s">
        <v>23400</v>
      </c>
      <c r="AO990" s="15" t="s">
        <v>23401</v>
      </c>
      <c r="BH990" s="15" t="s">
        <v>9827</v>
      </c>
      <c r="BI990" s="15" t="str">
        <f>"949"</f>
        <v>949</v>
      </c>
      <c r="BJ990" s="15" t="str">
        <f>"400"</f>
        <v>400</v>
      </c>
      <c r="BK990" s="15" t="s">
        <v>742</v>
      </c>
      <c r="BL990" s="15" t="str">
        <f>"2"</f>
        <v>2</v>
      </c>
      <c r="BM990" s="15" t="s">
        <v>8029</v>
      </c>
      <c r="BN990" s="15" t="str">
        <f t="shared" ref="BN990:BO990" si="2844">"30.31"</f>
        <v>30.31</v>
      </c>
      <c r="BO990" s="15" t="str">
        <f t="shared" si="2844"/>
        <v>30.31</v>
      </c>
      <c r="BP990" s="15" t="str">
        <f>"5.91"</f>
        <v>5.91</v>
      </c>
      <c r="BQ990" s="15" t="str">
        <f>"71.65"</f>
        <v>71.65</v>
      </c>
      <c r="BR990" s="15" t="s">
        <v>5617</v>
      </c>
      <c r="BS990" s="15" t="str">
        <f>"25.2"</f>
        <v>25.2</v>
      </c>
      <c r="BT990" s="15" t="str">
        <f>"22.05"</f>
        <v>22.05</v>
      </c>
      <c r="BU990" s="15" t="str">
        <f>"24.41"</f>
        <v>24.41</v>
      </c>
      <c r="BV990" s="15" t="str">
        <f>"45.19"</f>
        <v>45.19</v>
      </c>
      <c r="CG990" s="15" t="str">
        <f>"10.98"</f>
        <v>10.98</v>
      </c>
      <c r="CH990" s="15" t="str">
        <f>"0.311"</f>
        <v>0.311</v>
      </c>
      <c r="CI990" s="15" t="s">
        <v>497</v>
      </c>
      <c r="CZ990" s="15" t="s">
        <v>419</v>
      </c>
      <c r="DA990" s="15">
        <v>0.0</v>
      </c>
      <c r="DB990" s="15" t="s">
        <v>419</v>
      </c>
      <c r="DD990" s="15">
        <v>0.0</v>
      </c>
      <c r="DF990" s="15" t="s">
        <v>420</v>
      </c>
      <c r="DG990" s="15" t="s">
        <v>419</v>
      </c>
      <c r="DK990" s="15">
        <v>0.0</v>
      </c>
      <c r="DR990" s="15" t="s">
        <v>1157</v>
      </c>
      <c r="DS990" s="15" t="s">
        <v>9832</v>
      </c>
      <c r="DU990" s="15" t="s">
        <v>500</v>
      </c>
      <c r="EF990" s="15" t="s">
        <v>5082</v>
      </c>
      <c r="EG990" s="15" t="s">
        <v>1700</v>
      </c>
      <c r="EH990" s="15" t="s">
        <v>1700</v>
      </c>
      <c r="EQ990" s="15" t="s">
        <v>1700</v>
      </c>
      <c r="ER990" s="15" t="s">
        <v>5082</v>
      </c>
      <c r="ES990" s="15" t="s">
        <v>1700</v>
      </c>
      <c r="ET990" s="15" t="s">
        <v>5972</v>
      </c>
      <c r="EU990" s="15" t="s">
        <v>426</v>
      </c>
      <c r="EV990" s="15">
        <v>0.0</v>
      </c>
      <c r="EW990" s="15">
        <v>0.0</v>
      </c>
      <c r="FF990" s="15" t="s">
        <v>3668</v>
      </c>
    </row>
    <row r="991" ht="17.25" customHeight="1">
      <c r="A991" s="15" t="s">
        <v>9835</v>
      </c>
      <c r="B991" s="15" t="str">
        <f>"801542960681"</f>
        <v>801542960681</v>
      </c>
      <c r="C991" s="15" t="s">
        <v>23402</v>
      </c>
      <c r="D991" s="15" t="str">
        <f t="shared" si="1"/>
        <v>Tolle BookcaseDrifted Oak Veneer</v>
      </c>
      <c r="E991" s="15" t="s">
        <v>9833</v>
      </c>
      <c r="F991" s="15" t="s">
        <v>397</v>
      </c>
      <c r="G991" s="15" t="s">
        <v>4670</v>
      </c>
      <c r="J991" s="15" t="s">
        <v>1490</v>
      </c>
      <c r="K991" s="15" t="s">
        <v>4670</v>
      </c>
      <c r="L991" s="15" t="s">
        <v>7503</v>
      </c>
      <c r="M991" s="15" t="s">
        <v>1474</v>
      </c>
      <c r="N991" s="15" t="s">
        <v>1899</v>
      </c>
      <c r="P991" s="15" t="str">
        <f t="shared" ref="P991:P1001" si="2845">"38"</f>
        <v>38</v>
      </c>
      <c r="Q991" s="15" t="str">
        <f t="shared" ref="Q991:Q1001" si="2846">"19"</f>
        <v>19</v>
      </c>
      <c r="R991" s="15" t="str">
        <f t="shared" ref="R991:R1001" si="2847">"84"</f>
        <v>84</v>
      </c>
      <c r="S991" s="15" t="str">
        <f t="shared" ref="S991:S994" si="2848">"132.72"</f>
        <v>132.72</v>
      </c>
      <c r="T991" s="15" t="s">
        <v>1532</v>
      </c>
      <c r="U991" s="15" t="s">
        <v>11338</v>
      </c>
      <c r="V991" s="15" t="s">
        <v>11553</v>
      </c>
      <c r="AA991" s="15" t="s">
        <v>413</v>
      </c>
      <c r="AB991" s="15" t="s">
        <v>413</v>
      </c>
      <c r="AD991" s="15" t="s">
        <v>23403</v>
      </c>
      <c r="AE991" s="15" t="s">
        <v>9837</v>
      </c>
      <c r="AF991" s="15" t="s">
        <v>23404</v>
      </c>
      <c r="AG991" s="15" t="s">
        <v>23405</v>
      </c>
      <c r="AH991" s="15" t="s">
        <v>23406</v>
      </c>
      <c r="AI991" s="15" t="s">
        <v>23407</v>
      </c>
      <c r="AJ991" s="15" t="s">
        <v>23408</v>
      </c>
      <c r="AK991" s="15" t="s">
        <v>23409</v>
      </c>
      <c r="AL991" s="15" t="s">
        <v>23410</v>
      </c>
      <c r="AM991" s="15" t="s">
        <v>23411</v>
      </c>
      <c r="AN991" s="15" t="s">
        <v>23412</v>
      </c>
      <c r="AO991" s="15" t="s">
        <v>23413</v>
      </c>
      <c r="BH991" s="15" t="s">
        <v>9834</v>
      </c>
      <c r="BI991" s="15" t="str">
        <f t="shared" ref="BI991:BI993" si="2849">"3299"</f>
        <v>3299</v>
      </c>
      <c r="BJ991" s="15" t="str">
        <f t="shared" ref="BJ991:BJ993" si="2850">"1390"</f>
        <v>1390</v>
      </c>
      <c r="BK991" s="15" t="s">
        <v>709</v>
      </c>
      <c r="BL991" s="15" t="str">
        <f t="shared" ref="BL991:BL1016" si="2851">"1"</f>
        <v>1</v>
      </c>
      <c r="BM991" s="15" t="s">
        <v>416</v>
      </c>
      <c r="BN991" s="15" t="str">
        <f t="shared" ref="BN991:BN1000" si="2852">"41.73"</f>
        <v>41.73</v>
      </c>
      <c r="BO991" s="15" t="str">
        <f t="shared" ref="BO991:BO1000" si="2853">"22.44"</f>
        <v>22.44</v>
      </c>
      <c r="BP991" s="15" t="str">
        <f t="shared" ref="BP991:BP1000" si="2854">"92.13"</f>
        <v>92.13</v>
      </c>
      <c r="BQ991" s="15" t="str">
        <f t="shared" ref="BQ991:BQ994" si="2855">"170.2"</f>
        <v>170.2</v>
      </c>
      <c r="CG991" s="15" t="str">
        <f t="shared" ref="CG991:CG1000" si="2856">"49.93"</f>
        <v>49.93</v>
      </c>
      <c r="CH991" s="15" t="str">
        <f t="shared" ref="CH991:CH1000" si="2857">"1.414"</f>
        <v>1.414</v>
      </c>
      <c r="CI991" s="15" t="s">
        <v>497</v>
      </c>
      <c r="CJ991" s="15" t="s">
        <v>504</v>
      </c>
      <c r="CK991" s="15" t="s">
        <v>784</v>
      </c>
      <c r="CL991" s="15" t="s">
        <v>3798</v>
      </c>
      <c r="CM991" s="15" t="s">
        <v>504</v>
      </c>
      <c r="CN991" s="15" t="s">
        <v>2655</v>
      </c>
      <c r="CO991" s="15" t="s">
        <v>3798</v>
      </c>
      <c r="CZ991" s="15" t="s">
        <v>419</v>
      </c>
      <c r="DA991" s="15">
        <v>0.0</v>
      </c>
      <c r="DB991" s="15" t="s">
        <v>419</v>
      </c>
      <c r="DD991" s="15">
        <v>2.0</v>
      </c>
      <c r="DE991" s="15" t="s">
        <v>426</v>
      </c>
      <c r="DF991" s="15" t="s">
        <v>721</v>
      </c>
      <c r="DG991" s="15" t="s">
        <v>1914</v>
      </c>
      <c r="DI991" s="15">
        <v>18.14</v>
      </c>
      <c r="DJ991" s="15">
        <v>40.0</v>
      </c>
      <c r="DK991" s="15">
        <v>2.0</v>
      </c>
      <c r="DR991" s="15" t="s">
        <v>1906</v>
      </c>
      <c r="DS991" s="15" t="s">
        <v>9841</v>
      </c>
      <c r="EF991" s="15" t="s">
        <v>822</v>
      </c>
      <c r="EU991" s="15" t="s">
        <v>426</v>
      </c>
      <c r="EV991" s="15">
        <v>3.0</v>
      </c>
      <c r="FK991" s="15" t="s">
        <v>504</v>
      </c>
      <c r="FL991" s="15" t="s">
        <v>784</v>
      </c>
      <c r="FM991" s="15" t="s">
        <v>3798</v>
      </c>
      <c r="FQ991" s="15">
        <v>0.0</v>
      </c>
      <c r="FR991" s="15" t="s">
        <v>427</v>
      </c>
      <c r="FU991" s="15" t="s">
        <v>426</v>
      </c>
      <c r="GJ991" s="15" t="s">
        <v>504</v>
      </c>
      <c r="GK991" s="15" t="s">
        <v>2655</v>
      </c>
      <c r="GL991" s="15" t="s">
        <v>3798</v>
      </c>
      <c r="GZ991" s="15" t="s">
        <v>504</v>
      </c>
      <c r="HB991" s="15" t="s">
        <v>788</v>
      </c>
      <c r="HD991" s="15" t="s">
        <v>3798</v>
      </c>
      <c r="HF991" s="15" t="s">
        <v>1807</v>
      </c>
      <c r="HQ991" s="15" t="s">
        <v>426</v>
      </c>
    </row>
    <row r="992" ht="17.25" customHeight="1">
      <c r="A992" s="15" t="s">
        <v>9843</v>
      </c>
      <c r="B992" s="15" t="str">
        <f>"801542960698"</f>
        <v>801542960698</v>
      </c>
      <c r="C992" s="15" t="s">
        <v>23402</v>
      </c>
      <c r="D992" s="15" t="str">
        <f t="shared" si="1"/>
        <v>Tolle BookcaseDrifted Matte Black Veneer</v>
      </c>
      <c r="E992" s="15" t="s">
        <v>9833</v>
      </c>
      <c r="F992" s="15" t="s">
        <v>397</v>
      </c>
      <c r="G992" s="15" t="s">
        <v>7503</v>
      </c>
      <c r="J992" s="15" t="s">
        <v>1490</v>
      </c>
      <c r="K992" s="15" t="s">
        <v>7503</v>
      </c>
      <c r="M992" s="15" t="s">
        <v>1474</v>
      </c>
      <c r="N992" s="15" t="s">
        <v>1899</v>
      </c>
      <c r="P992" s="15" t="str">
        <f t="shared" si="2845"/>
        <v>38</v>
      </c>
      <c r="Q992" s="15" t="str">
        <f t="shared" si="2846"/>
        <v>19</v>
      </c>
      <c r="R992" s="15" t="str">
        <f t="shared" si="2847"/>
        <v>84</v>
      </c>
      <c r="S992" s="15" t="str">
        <f t="shared" si="2848"/>
        <v>132.72</v>
      </c>
      <c r="T992" s="15" t="s">
        <v>1532</v>
      </c>
      <c r="U992" s="15" t="s">
        <v>11338</v>
      </c>
      <c r="V992" s="15" t="s">
        <v>11553</v>
      </c>
      <c r="AA992" s="15" t="s">
        <v>413</v>
      </c>
      <c r="AB992" s="15" t="s">
        <v>413</v>
      </c>
      <c r="AD992" s="15" t="s">
        <v>23414</v>
      </c>
      <c r="AE992" s="15" t="s">
        <v>9844</v>
      </c>
      <c r="AF992" s="15" t="s">
        <v>23415</v>
      </c>
      <c r="AG992" s="15" t="s">
        <v>23416</v>
      </c>
      <c r="AH992" s="15" t="s">
        <v>23417</v>
      </c>
      <c r="AI992" s="15" t="s">
        <v>23418</v>
      </c>
      <c r="AJ992" s="15" t="s">
        <v>23419</v>
      </c>
      <c r="AK992" s="15" t="s">
        <v>23420</v>
      </c>
      <c r="AL992" s="15" t="s">
        <v>23421</v>
      </c>
      <c r="AM992" s="15" t="s">
        <v>23422</v>
      </c>
      <c r="AN992" s="15" t="s">
        <v>23423</v>
      </c>
      <c r="BH992" s="15" t="s">
        <v>9842</v>
      </c>
      <c r="BI992" s="15" t="str">
        <f t="shared" si="2849"/>
        <v>3299</v>
      </c>
      <c r="BJ992" s="15" t="str">
        <f t="shared" si="2850"/>
        <v>1390</v>
      </c>
      <c r="BK992" s="15" t="s">
        <v>709</v>
      </c>
      <c r="BL992" s="15" t="str">
        <f t="shared" si="2851"/>
        <v>1</v>
      </c>
      <c r="BM992" s="15" t="s">
        <v>416</v>
      </c>
      <c r="BN992" s="15" t="str">
        <f t="shared" si="2852"/>
        <v>41.73</v>
      </c>
      <c r="BO992" s="15" t="str">
        <f t="shared" si="2853"/>
        <v>22.44</v>
      </c>
      <c r="BP992" s="15" t="str">
        <f t="shared" si="2854"/>
        <v>92.13</v>
      </c>
      <c r="BQ992" s="15" t="str">
        <f t="shared" si="2855"/>
        <v>170.2</v>
      </c>
      <c r="CG992" s="15" t="str">
        <f t="shared" si="2856"/>
        <v>49.93</v>
      </c>
      <c r="CH992" s="15" t="str">
        <f t="shared" si="2857"/>
        <v>1.414</v>
      </c>
      <c r="CI992" s="15" t="s">
        <v>417</v>
      </c>
      <c r="CJ992" s="15" t="s">
        <v>504</v>
      </c>
      <c r="CK992" s="15" t="s">
        <v>784</v>
      </c>
      <c r="CL992" s="15" t="s">
        <v>3798</v>
      </c>
      <c r="CM992" s="15" t="s">
        <v>504</v>
      </c>
      <c r="CN992" s="15" t="s">
        <v>2655</v>
      </c>
      <c r="CO992" s="15" t="s">
        <v>3798</v>
      </c>
      <c r="CZ992" s="15" t="s">
        <v>419</v>
      </c>
      <c r="DA992" s="15">
        <v>0.0</v>
      </c>
      <c r="DB992" s="15" t="s">
        <v>419</v>
      </c>
      <c r="DD992" s="15">
        <v>2.0</v>
      </c>
      <c r="DE992" s="15" t="s">
        <v>426</v>
      </c>
      <c r="DF992" s="15" t="s">
        <v>721</v>
      </c>
      <c r="DG992" s="15" t="s">
        <v>1914</v>
      </c>
      <c r="DI992" s="15">
        <v>18.14</v>
      </c>
      <c r="DJ992" s="15">
        <v>40.0</v>
      </c>
      <c r="DK992" s="15">
        <v>2.0</v>
      </c>
      <c r="DR992" s="15" t="s">
        <v>1906</v>
      </c>
      <c r="DS992" s="15" t="s">
        <v>9841</v>
      </c>
      <c r="EF992" s="15" t="s">
        <v>822</v>
      </c>
      <c r="EU992" s="15" t="s">
        <v>426</v>
      </c>
      <c r="EV992" s="15">
        <v>3.0</v>
      </c>
      <c r="FK992" s="15" t="s">
        <v>504</v>
      </c>
      <c r="FL992" s="15" t="s">
        <v>784</v>
      </c>
      <c r="FM992" s="15" t="s">
        <v>3798</v>
      </c>
      <c r="FQ992" s="15">
        <v>0.0</v>
      </c>
      <c r="FR992" s="15" t="s">
        <v>427</v>
      </c>
      <c r="FU992" s="15" t="s">
        <v>426</v>
      </c>
      <c r="GJ992" s="15" t="s">
        <v>504</v>
      </c>
      <c r="GK992" s="15" t="s">
        <v>2655</v>
      </c>
      <c r="GL992" s="15" t="s">
        <v>3798</v>
      </c>
      <c r="GZ992" s="15" t="s">
        <v>504</v>
      </c>
      <c r="HB992" s="15" t="s">
        <v>788</v>
      </c>
      <c r="HD992" s="15" t="s">
        <v>3798</v>
      </c>
      <c r="HF992" s="15" t="s">
        <v>1807</v>
      </c>
      <c r="HQ992" s="15" t="s">
        <v>426</v>
      </c>
    </row>
    <row r="993" ht="17.25" customHeight="1">
      <c r="A993" s="15" t="s">
        <v>9846</v>
      </c>
      <c r="B993" s="15" t="str">
        <f>"801542960704"</f>
        <v>801542960704</v>
      </c>
      <c r="C993" s="15" t="s">
        <v>23424</v>
      </c>
      <c r="D993" s="15" t="str">
        <f t="shared" si="1"/>
        <v>Tolle BookcaseDrifted Oak Solid</v>
      </c>
      <c r="E993" s="15" t="s">
        <v>9833</v>
      </c>
      <c r="F993" s="15" t="s">
        <v>397</v>
      </c>
      <c r="G993" s="15" t="s">
        <v>1465</v>
      </c>
      <c r="J993" s="15" t="s">
        <v>1465</v>
      </c>
      <c r="K993" s="15" t="s">
        <v>4670</v>
      </c>
      <c r="M993" s="15" t="s">
        <v>1474</v>
      </c>
      <c r="N993" s="15" t="s">
        <v>1899</v>
      </c>
      <c r="P993" s="15" t="str">
        <f t="shared" si="2845"/>
        <v>38</v>
      </c>
      <c r="Q993" s="15" t="str">
        <f t="shared" si="2846"/>
        <v>19</v>
      </c>
      <c r="R993" s="15" t="str">
        <f t="shared" si="2847"/>
        <v>84</v>
      </c>
      <c r="S993" s="15" t="str">
        <f t="shared" si="2848"/>
        <v>132.72</v>
      </c>
      <c r="T993" s="15" t="s">
        <v>1532</v>
      </c>
      <c r="U993" s="15" t="s">
        <v>11338</v>
      </c>
      <c r="V993" s="15" t="s">
        <v>11553</v>
      </c>
      <c r="AA993" s="15" t="s">
        <v>413</v>
      </c>
      <c r="AB993" s="15" t="s">
        <v>413</v>
      </c>
      <c r="AD993" s="15" t="s">
        <v>23425</v>
      </c>
      <c r="AE993" s="15" t="s">
        <v>9847</v>
      </c>
      <c r="AF993" s="15" t="s">
        <v>23426</v>
      </c>
      <c r="AG993" s="15" t="s">
        <v>23427</v>
      </c>
      <c r="AH993" s="15" t="s">
        <v>23428</v>
      </c>
      <c r="AI993" s="15" t="s">
        <v>23429</v>
      </c>
      <c r="AJ993" s="15" t="s">
        <v>23430</v>
      </c>
      <c r="AK993" s="15" t="s">
        <v>23431</v>
      </c>
      <c r="AL993" s="15" t="s">
        <v>23432</v>
      </c>
      <c r="AM993" s="15" t="s">
        <v>23433</v>
      </c>
      <c r="AN993" s="15" t="s">
        <v>23434</v>
      </c>
      <c r="BH993" s="15" t="s">
        <v>9845</v>
      </c>
      <c r="BI993" s="15" t="str">
        <f t="shared" si="2849"/>
        <v>3299</v>
      </c>
      <c r="BJ993" s="15" t="str">
        <f t="shared" si="2850"/>
        <v>1390</v>
      </c>
      <c r="BK993" s="15" t="s">
        <v>709</v>
      </c>
      <c r="BL993" s="15" t="str">
        <f t="shared" si="2851"/>
        <v>1</v>
      </c>
      <c r="BM993" s="15" t="s">
        <v>416</v>
      </c>
      <c r="BN993" s="15" t="str">
        <f t="shared" si="2852"/>
        <v>41.73</v>
      </c>
      <c r="BO993" s="15" t="str">
        <f t="shared" si="2853"/>
        <v>22.44</v>
      </c>
      <c r="BP993" s="15" t="str">
        <f t="shared" si="2854"/>
        <v>92.13</v>
      </c>
      <c r="BQ993" s="15" t="str">
        <f t="shared" si="2855"/>
        <v>170.2</v>
      </c>
      <c r="CG993" s="15" t="str">
        <f t="shared" si="2856"/>
        <v>49.93</v>
      </c>
      <c r="CH993" s="15" t="str">
        <f t="shared" si="2857"/>
        <v>1.414</v>
      </c>
      <c r="CI993" s="15" t="s">
        <v>465</v>
      </c>
      <c r="CJ993" s="15" t="s">
        <v>504</v>
      </c>
      <c r="CK993" s="15" t="s">
        <v>784</v>
      </c>
      <c r="CL993" s="15" t="s">
        <v>3798</v>
      </c>
      <c r="CM993" s="15" t="s">
        <v>504</v>
      </c>
      <c r="CN993" s="15" t="s">
        <v>2655</v>
      </c>
      <c r="CO993" s="15" t="s">
        <v>3798</v>
      </c>
      <c r="CZ993" s="15" t="s">
        <v>419</v>
      </c>
      <c r="DA993" s="15">
        <v>0.0</v>
      </c>
      <c r="DB993" s="15" t="s">
        <v>419</v>
      </c>
      <c r="DD993" s="15">
        <v>2.0</v>
      </c>
      <c r="DE993" s="15" t="s">
        <v>426</v>
      </c>
      <c r="DF993" s="15" t="s">
        <v>721</v>
      </c>
      <c r="DG993" s="15" t="s">
        <v>1914</v>
      </c>
      <c r="DI993" s="15">
        <v>18.14</v>
      </c>
      <c r="DJ993" s="15">
        <v>40.0</v>
      </c>
      <c r="DK993" s="15">
        <v>2.0</v>
      </c>
      <c r="DR993" s="15" t="s">
        <v>1906</v>
      </c>
      <c r="DS993" s="15" t="s">
        <v>9841</v>
      </c>
      <c r="EF993" s="15" t="s">
        <v>822</v>
      </c>
      <c r="EU993" s="15" t="s">
        <v>426</v>
      </c>
      <c r="EV993" s="15">
        <v>3.0</v>
      </c>
      <c r="FK993" s="15" t="s">
        <v>504</v>
      </c>
      <c r="FL993" s="15" t="s">
        <v>784</v>
      </c>
      <c r="FM993" s="15" t="s">
        <v>3798</v>
      </c>
      <c r="FQ993" s="15">
        <v>0.0</v>
      </c>
      <c r="FR993" s="15" t="s">
        <v>427</v>
      </c>
      <c r="FU993" s="15" t="s">
        <v>426</v>
      </c>
      <c r="GJ993" s="15" t="s">
        <v>504</v>
      </c>
      <c r="GK993" s="15" t="s">
        <v>2655</v>
      </c>
      <c r="GL993" s="15" t="s">
        <v>3798</v>
      </c>
      <c r="GZ993" s="15" t="s">
        <v>504</v>
      </c>
      <c r="HB993" s="15" t="s">
        <v>788</v>
      </c>
      <c r="HD993" s="15" t="s">
        <v>3798</v>
      </c>
      <c r="HF993" s="15" t="s">
        <v>1807</v>
      </c>
      <c r="HQ993" s="15" t="s">
        <v>426</v>
      </c>
    </row>
    <row r="994" ht="17.25" customHeight="1">
      <c r="A994" s="15" t="s">
        <v>9850</v>
      </c>
      <c r="B994" s="15" t="str">
        <f>"801542960711"</f>
        <v>801542960711</v>
      </c>
      <c r="C994" s="15" t="s">
        <v>23435</v>
      </c>
      <c r="D994" s="15" t="str">
        <f t="shared" si="1"/>
        <v>Tolle BookcaseRustic White Solid</v>
      </c>
      <c r="E994" s="15" t="s">
        <v>9833</v>
      </c>
      <c r="F994" s="15" t="s">
        <v>397</v>
      </c>
      <c r="G994" s="15" t="s">
        <v>9849</v>
      </c>
      <c r="J994" s="15" t="s">
        <v>9849</v>
      </c>
      <c r="K994" s="15" t="s">
        <v>2130</v>
      </c>
      <c r="L994" s="15" t="s">
        <v>9852</v>
      </c>
      <c r="M994" s="15" t="s">
        <v>1474</v>
      </c>
      <c r="N994" s="15" t="s">
        <v>1899</v>
      </c>
      <c r="P994" s="15" t="str">
        <f t="shared" si="2845"/>
        <v>38</v>
      </c>
      <c r="Q994" s="15" t="str">
        <f t="shared" si="2846"/>
        <v>19</v>
      </c>
      <c r="R994" s="15" t="str">
        <f t="shared" si="2847"/>
        <v>84</v>
      </c>
      <c r="S994" s="15" t="str">
        <f t="shared" si="2848"/>
        <v>132.72</v>
      </c>
      <c r="T994" s="15" t="s">
        <v>1532</v>
      </c>
      <c r="U994" s="15" t="s">
        <v>11338</v>
      </c>
      <c r="V994" s="15" t="s">
        <v>11553</v>
      </c>
      <c r="AA994" s="15" t="s">
        <v>413</v>
      </c>
      <c r="AB994" s="15" t="s">
        <v>413</v>
      </c>
      <c r="AC994" s="15" t="s">
        <v>9853</v>
      </c>
      <c r="AD994" s="15" t="s">
        <v>23436</v>
      </c>
      <c r="AE994" s="15" t="s">
        <v>9851</v>
      </c>
      <c r="AF994" s="15" t="s">
        <v>23437</v>
      </c>
      <c r="AG994" s="15" t="s">
        <v>23438</v>
      </c>
      <c r="AH994" s="15" t="s">
        <v>23439</v>
      </c>
      <c r="AI994" s="15" t="s">
        <v>23440</v>
      </c>
      <c r="AJ994" s="15" t="s">
        <v>23441</v>
      </c>
      <c r="AK994" s="15" t="s">
        <v>23442</v>
      </c>
      <c r="AL994" s="15" t="s">
        <v>23443</v>
      </c>
      <c r="AM994" s="15" t="s">
        <v>23444</v>
      </c>
      <c r="AN994" s="15" t="s">
        <v>23445</v>
      </c>
      <c r="BH994" s="15" t="s">
        <v>9848</v>
      </c>
      <c r="BI994" s="15" t="str">
        <f>"3499"</f>
        <v>3499</v>
      </c>
      <c r="BJ994" s="15" t="str">
        <f>"1470"</f>
        <v>1470</v>
      </c>
      <c r="BK994" s="15" t="s">
        <v>709</v>
      </c>
      <c r="BL994" s="15" t="str">
        <f t="shared" si="2851"/>
        <v>1</v>
      </c>
      <c r="BM994" s="15" t="s">
        <v>416</v>
      </c>
      <c r="BN994" s="15" t="str">
        <f t="shared" si="2852"/>
        <v>41.73</v>
      </c>
      <c r="BO994" s="15" t="str">
        <f t="shared" si="2853"/>
        <v>22.44</v>
      </c>
      <c r="BP994" s="15" t="str">
        <f t="shared" si="2854"/>
        <v>92.13</v>
      </c>
      <c r="BQ994" s="15" t="str">
        <f t="shared" si="2855"/>
        <v>170.2</v>
      </c>
      <c r="CG994" s="15" t="str">
        <f t="shared" si="2856"/>
        <v>49.93</v>
      </c>
      <c r="CH994" s="15" t="str">
        <f t="shared" si="2857"/>
        <v>1.414</v>
      </c>
      <c r="CI994" s="15" t="s">
        <v>417</v>
      </c>
      <c r="CJ994" s="15" t="s">
        <v>504</v>
      </c>
      <c r="CK994" s="15" t="s">
        <v>784</v>
      </c>
      <c r="CL994" s="15" t="s">
        <v>3798</v>
      </c>
      <c r="CM994" s="15" t="s">
        <v>504</v>
      </c>
      <c r="CN994" s="15" t="s">
        <v>2655</v>
      </c>
      <c r="CO994" s="15" t="s">
        <v>3798</v>
      </c>
      <c r="CZ994" s="15" t="s">
        <v>419</v>
      </c>
      <c r="DA994" s="15">
        <v>0.0</v>
      </c>
      <c r="DB994" s="15" t="s">
        <v>419</v>
      </c>
      <c r="DD994" s="15">
        <v>2.0</v>
      </c>
      <c r="DE994" s="15" t="s">
        <v>426</v>
      </c>
      <c r="DF994" s="15" t="s">
        <v>721</v>
      </c>
      <c r="DG994" s="15" t="s">
        <v>1914</v>
      </c>
      <c r="DI994" s="15">
        <v>18.14</v>
      </c>
      <c r="DJ994" s="15">
        <v>40.0</v>
      </c>
      <c r="DK994" s="15">
        <v>2.0</v>
      </c>
      <c r="DR994" s="15" t="s">
        <v>1906</v>
      </c>
      <c r="DS994" s="15" t="s">
        <v>9841</v>
      </c>
      <c r="EF994" s="15" t="s">
        <v>822</v>
      </c>
      <c r="EU994" s="15" t="s">
        <v>426</v>
      </c>
      <c r="EV994" s="15">
        <v>3.0</v>
      </c>
      <c r="FK994" s="15" t="s">
        <v>504</v>
      </c>
      <c r="FL994" s="15" t="s">
        <v>784</v>
      </c>
      <c r="FM994" s="15" t="s">
        <v>3798</v>
      </c>
      <c r="FQ994" s="15">
        <v>0.0</v>
      </c>
      <c r="FR994" s="15" t="s">
        <v>427</v>
      </c>
      <c r="FU994" s="15" t="s">
        <v>426</v>
      </c>
      <c r="GJ994" s="15" t="s">
        <v>504</v>
      </c>
      <c r="GK994" s="15" t="s">
        <v>2655</v>
      </c>
      <c r="GL994" s="15" t="s">
        <v>3798</v>
      </c>
      <c r="GZ994" s="15" t="s">
        <v>504</v>
      </c>
      <c r="HB994" s="15" t="s">
        <v>788</v>
      </c>
      <c r="HD994" s="15" t="s">
        <v>3798</v>
      </c>
      <c r="HF994" s="15" t="s">
        <v>1807</v>
      </c>
      <c r="HQ994" s="15" t="s">
        <v>426</v>
      </c>
    </row>
    <row r="995" ht="17.25" customHeight="1">
      <c r="A995" s="15" t="s">
        <v>9857</v>
      </c>
      <c r="B995" s="15" t="str">
        <f>"801542631161"</f>
        <v>801542631161</v>
      </c>
      <c r="C995" s="15" t="s">
        <v>23446</v>
      </c>
      <c r="D995" s="15" t="str">
        <f t="shared" si="1"/>
        <v>Tolle CabinetDrifted Matte Black &amp; Drifted Oak Solid</v>
      </c>
      <c r="E995" s="15" t="s">
        <v>9854</v>
      </c>
      <c r="F995" s="15" t="s">
        <v>397</v>
      </c>
      <c r="G995" s="15" t="s">
        <v>9856</v>
      </c>
      <c r="J995" s="15" t="s">
        <v>1490</v>
      </c>
      <c r="K995" s="15" t="s">
        <v>1465</v>
      </c>
      <c r="M995" s="15" t="s">
        <v>1474</v>
      </c>
      <c r="N995" s="15" t="s">
        <v>2891</v>
      </c>
      <c r="O995" s="15" t="s">
        <v>5805</v>
      </c>
      <c r="P995" s="15" t="str">
        <f t="shared" si="2845"/>
        <v>38</v>
      </c>
      <c r="Q995" s="15" t="str">
        <f t="shared" si="2846"/>
        <v>19</v>
      </c>
      <c r="R995" s="15" t="str">
        <f t="shared" si="2847"/>
        <v>84</v>
      </c>
      <c r="S995" s="15" t="str">
        <f t="shared" ref="S995:S998" si="2858">"187.39"</f>
        <v>187.39</v>
      </c>
      <c r="T995" s="15" t="s">
        <v>2872</v>
      </c>
      <c r="U995" s="15" t="s">
        <v>11338</v>
      </c>
      <c r="AA995" s="15" t="s">
        <v>426</v>
      </c>
      <c r="AB995" s="15" t="s">
        <v>413</v>
      </c>
      <c r="AC995" s="15" t="s">
        <v>9859</v>
      </c>
      <c r="AD995" s="15" t="s">
        <v>23447</v>
      </c>
      <c r="AE995" s="15" t="s">
        <v>9858</v>
      </c>
      <c r="AF995" s="15" t="s">
        <v>23448</v>
      </c>
      <c r="AG995" s="15" t="s">
        <v>23449</v>
      </c>
      <c r="AH995" s="15" t="s">
        <v>23450</v>
      </c>
      <c r="AI995" s="15" t="s">
        <v>23451</v>
      </c>
      <c r="AJ995" s="15" t="s">
        <v>23452</v>
      </c>
      <c r="AK995" s="15" t="s">
        <v>23453</v>
      </c>
      <c r="AL995" s="15" t="s">
        <v>23454</v>
      </c>
      <c r="AM995" s="15" t="s">
        <v>23455</v>
      </c>
      <c r="AN995" s="15" t="s">
        <v>23456</v>
      </c>
      <c r="AO995" s="15" t="s">
        <v>23457</v>
      </c>
      <c r="AP995" s="15" t="s">
        <v>23458</v>
      </c>
      <c r="AQ995" s="15" t="s">
        <v>23459</v>
      </c>
      <c r="AR995" s="15" t="s">
        <v>23460</v>
      </c>
      <c r="AS995" s="15" t="s">
        <v>23461</v>
      </c>
      <c r="AT995" s="15" t="s">
        <v>23462</v>
      </c>
      <c r="AU995" s="15" t="s">
        <v>23463</v>
      </c>
      <c r="AV995" s="15" t="s">
        <v>23464</v>
      </c>
      <c r="BH995" s="15" t="s">
        <v>9855</v>
      </c>
      <c r="BI995" s="15" t="str">
        <f t="shared" ref="BI995:BI1001" si="2859">"4199"</f>
        <v>4199</v>
      </c>
      <c r="BJ995" s="15" t="str">
        <f t="shared" ref="BJ995:BJ1001" si="2860">"1765"</f>
        <v>1765</v>
      </c>
      <c r="BK995" s="15" t="s">
        <v>709</v>
      </c>
      <c r="BL995" s="15" t="str">
        <f t="shared" si="2851"/>
        <v>1</v>
      </c>
      <c r="BM995" s="15" t="s">
        <v>416</v>
      </c>
      <c r="BN995" s="15" t="str">
        <f t="shared" si="2852"/>
        <v>41.73</v>
      </c>
      <c r="BO995" s="15" t="str">
        <f t="shared" si="2853"/>
        <v>22.44</v>
      </c>
      <c r="BP995" s="15" t="str">
        <f t="shared" si="2854"/>
        <v>92.13</v>
      </c>
      <c r="BQ995" s="15" t="str">
        <f t="shared" ref="BQ995:BQ998" si="2861">"220.46"</f>
        <v>220.46</v>
      </c>
      <c r="CG995" s="15" t="str">
        <f t="shared" si="2856"/>
        <v>49.93</v>
      </c>
      <c r="CH995" s="15" t="str">
        <f t="shared" si="2857"/>
        <v>1.414</v>
      </c>
      <c r="CI995" s="15" t="s">
        <v>1793</v>
      </c>
      <c r="CJ995" s="15" t="s">
        <v>504</v>
      </c>
      <c r="CK995" s="15" t="s">
        <v>784</v>
      </c>
      <c r="CL995" s="15" t="s">
        <v>4059</v>
      </c>
      <c r="CM995" s="15" t="s">
        <v>504</v>
      </c>
      <c r="CN995" s="15" t="s">
        <v>943</v>
      </c>
      <c r="CO995" s="15" t="s">
        <v>4059</v>
      </c>
      <c r="CZ995" s="15" t="s">
        <v>419</v>
      </c>
      <c r="DA995" s="15">
        <v>0.0</v>
      </c>
      <c r="DB995" s="15" t="s">
        <v>419</v>
      </c>
      <c r="DD995" s="15">
        <v>2.0</v>
      </c>
      <c r="DE995" s="15" t="s">
        <v>426</v>
      </c>
      <c r="DF995" s="15" t="s">
        <v>721</v>
      </c>
      <c r="DG995" s="15" t="s">
        <v>610</v>
      </c>
      <c r="DI995" s="15">
        <v>18.14</v>
      </c>
      <c r="DJ995" s="15">
        <v>40.0</v>
      </c>
      <c r="DK995" s="15">
        <v>2.0</v>
      </c>
      <c r="DR995" s="15" t="s">
        <v>1906</v>
      </c>
      <c r="DS995" s="15" t="s">
        <v>9841</v>
      </c>
      <c r="EF995" s="15" t="s">
        <v>822</v>
      </c>
      <c r="EU995" s="15" t="s">
        <v>426</v>
      </c>
      <c r="EV995" s="15">
        <v>3.0</v>
      </c>
      <c r="FH995" s="15" t="s">
        <v>4511</v>
      </c>
      <c r="FI995" s="15" t="s">
        <v>2638</v>
      </c>
      <c r="FJ995" s="15" t="s">
        <v>4918</v>
      </c>
      <c r="FK995" s="15" t="s">
        <v>504</v>
      </c>
      <c r="FL995" s="15" t="s">
        <v>784</v>
      </c>
      <c r="FM995" s="15" t="s">
        <v>4059</v>
      </c>
      <c r="FN995" s="15">
        <v>0.0</v>
      </c>
      <c r="FP995" s="15" t="s">
        <v>1044</v>
      </c>
      <c r="FQ995" s="15">
        <v>2.0</v>
      </c>
      <c r="FR995" s="15" t="s">
        <v>614</v>
      </c>
      <c r="FS995" s="15" t="s">
        <v>786</v>
      </c>
      <c r="FT995" s="15">
        <v>0.0</v>
      </c>
      <c r="FU995" s="15" t="s">
        <v>426</v>
      </c>
      <c r="FV995" s="15" t="s">
        <v>5816</v>
      </c>
      <c r="FW995" s="15" t="s">
        <v>3722</v>
      </c>
      <c r="FY995" s="15">
        <v>0.0</v>
      </c>
      <c r="GJ995" s="15" t="s">
        <v>504</v>
      </c>
      <c r="GK995" s="15" t="s">
        <v>555</v>
      </c>
      <c r="GL995" s="15" t="s">
        <v>4059</v>
      </c>
      <c r="GZ995" s="15" t="s">
        <v>504</v>
      </c>
      <c r="HB995" s="15" t="s">
        <v>555</v>
      </c>
      <c r="HD995" s="15" t="s">
        <v>4059</v>
      </c>
      <c r="HQ995" s="15" t="s">
        <v>426</v>
      </c>
      <c r="JR995" s="15" t="s">
        <v>789</v>
      </c>
    </row>
    <row r="996" ht="17.25" customHeight="1">
      <c r="A996" s="15" t="s">
        <v>9861</v>
      </c>
      <c r="B996" s="15" t="str">
        <f>"801542007539"</f>
        <v>801542007539</v>
      </c>
      <c r="C996" s="15" t="s">
        <v>23446</v>
      </c>
      <c r="D996" s="15" t="str">
        <f t="shared" si="1"/>
        <v>Tolle CabinetDrifted Matte Black</v>
      </c>
      <c r="E996" s="15" t="s">
        <v>9854</v>
      </c>
      <c r="F996" s="15" t="s">
        <v>397</v>
      </c>
      <c r="G996" s="15" t="s">
        <v>1490</v>
      </c>
      <c r="J996" s="15" t="s">
        <v>1490</v>
      </c>
      <c r="M996" s="15" t="s">
        <v>1474</v>
      </c>
      <c r="N996" s="15" t="s">
        <v>2891</v>
      </c>
      <c r="O996" s="15" t="s">
        <v>5805</v>
      </c>
      <c r="P996" s="15" t="str">
        <f t="shared" si="2845"/>
        <v>38</v>
      </c>
      <c r="Q996" s="15" t="str">
        <f t="shared" si="2846"/>
        <v>19</v>
      </c>
      <c r="R996" s="15" t="str">
        <f t="shared" si="2847"/>
        <v>84</v>
      </c>
      <c r="S996" s="15" t="str">
        <f t="shared" si="2858"/>
        <v>187.39</v>
      </c>
      <c r="T996" s="15" t="s">
        <v>2872</v>
      </c>
      <c r="U996" s="15" t="s">
        <v>11338</v>
      </c>
      <c r="AA996" s="15" t="s">
        <v>426</v>
      </c>
      <c r="AB996" s="15" t="s">
        <v>413</v>
      </c>
      <c r="AC996" s="15" t="s">
        <v>9863</v>
      </c>
      <c r="AD996" s="15" t="s">
        <v>23465</v>
      </c>
      <c r="AE996" s="15" t="s">
        <v>9862</v>
      </c>
      <c r="AF996" s="15" t="s">
        <v>23466</v>
      </c>
      <c r="AG996" s="15" t="s">
        <v>23467</v>
      </c>
      <c r="AH996" s="15" t="s">
        <v>23468</v>
      </c>
      <c r="AI996" s="15" t="s">
        <v>23469</v>
      </c>
      <c r="AJ996" s="15" t="s">
        <v>23470</v>
      </c>
      <c r="AK996" s="15" t="s">
        <v>23471</v>
      </c>
      <c r="AL996" s="15" t="s">
        <v>23472</v>
      </c>
      <c r="AM996" s="15" t="s">
        <v>23473</v>
      </c>
      <c r="AN996" s="15" t="s">
        <v>23474</v>
      </c>
      <c r="AO996" s="15" t="s">
        <v>23475</v>
      </c>
      <c r="AP996" s="15" t="s">
        <v>23476</v>
      </c>
      <c r="BH996" s="15" t="s">
        <v>9860</v>
      </c>
      <c r="BI996" s="15" t="str">
        <f t="shared" si="2859"/>
        <v>4199</v>
      </c>
      <c r="BJ996" s="15" t="str">
        <f t="shared" si="2860"/>
        <v>1765</v>
      </c>
      <c r="BK996" s="15" t="s">
        <v>709</v>
      </c>
      <c r="BL996" s="15" t="str">
        <f t="shared" si="2851"/>
        <v>1</v>
      </c>
      <c r="BM996" s="15" t="s">
        <v>416</v>
      </c>
      <c r="BN996" s="15" t="str">
        <f t="shared" si="2852"/>
        <v>41.73</v>
      </c>
      <c r="BO996" s="15" t="str">
        <f t="shared" si="2853"/>
        <v>22.44</v>
      </c>
      <c r="BP996" s="15" t="str">
        <f t="shared" si="2854"/>
        <v>92.13</v>
      </c>
      <c r="BQ996" s="15" t="str">
        <f t="shared" si="2861"/>
        <v>220.46</v>
      </c>
      <c r="CG996" s="15" t="str">
        <f t="shared" si="2856"/>
        <v>49.93</v>
      </c>
      <c r="CH996" s="15" t="str">
        <f t="shared" si="2857"/>
        <v>1.414</v>
      </c>
      <c r="CI996" s="15" t="s">
        <v>497</v>
      </c>
      <c r="CJ996" s="15" t="s">
        <v>504</v>
      </c>
      <c r="CK996" s="15" t="s">
        <v>784</v>
      </c>
      <c r="CL996" s="15" t="s">
        <v>4059</v>
      </c>
      <c r="CM996" s="15" t="s">
        <v>504</v>
      </c>
      <c r="CN996" s="15" t="s">
        <v>943</v>
      </c>
      <c r="CO996" s="15" t="s">
        <v>4059</v>
      </c>
      <c r="CZ996" s="15" t="s">
        <v>419</v>
      </c>
      <c r="DA996" s="15">
        <v>0.0</v>
      </c>
      <c r="DB996" s="15" t="s">
        <v>419</v>
      </c>
      <c r="DD996" s="15">
        <v>2.0</v>
      </c>
      <c r="DE996" s="15" t="s">
        <v>426</v>
      </c>
      <c r="DF996" s="15" t="s">
        <v>721</v>
      </c>
      <c r="DG996" s="15" t="s">
        <v>610</v>
      </c>
      <c r="DI996" s="15">
        <v>18.14</v>
      </c>
      <c r="DJ996" s="15">
        <v>40.0</v>
      </c>
      <c r="DK996" s="15">
        <v>2.0</v>
      </c>
      <c r="DR996" s="15" t="s">
        <v>1906</v>
      </c>
      <c r="DS996" s="15" t="s">
        <v>9841</v>
      </c>
      <c r="EF996" s="15" t="s">
        <v>822</v>
      </c>
      <c r="EU996" s="15" t="s">
        <v>426</v>
      </c>
      <c r="EV996" s="15">
        <v>3.0</v>
      </c>
      <c r="FH996" s="15" t="s">
        <v>4511</v>
      </c>
      <c r="FI996" s="15" t="s">
        <v>2638</v>
      </c>
      <c r="FJ996" s="15" t="s">
        <v>4918</v>
      </c>
      <c r="FK996" s="15" t="s">
        <v>504</v>
      </c>
      <c r="FL996" s="15" t="s">
        <v>784</v>
      </c>
      <c r="FM996" s="15" t="s">
        <v>4059</v>
      </c>
      <c r="FN996" s="15">
        <v>0.0</v>
      </c>
      <c r="FP996" s="15" t="s">
        <v>1044</v>
      </c>
      <c r="FQ996" s="15">
        <v>2.0</v>
      </c>
      <c r="FR996" s="15" t="s">
        <v>614</v>
      </c>
      <c r="FS996" s="15" t="s">
        <v>786</v>
      </c>
      <c r="FT996" s="15">
        <v>0.0</v>
      </c>
      <c r="FU996" s="15" t="s">
        <v>426</v>
      </c>
      <c r="FV996" s="15" t="s">
        <v>5816</v>
      </c>
      <c r="FW996" s="15" t="s">
        <v>3722</v>
      </c>
      <c r="FY996" s="15">
        <v>0.0</v>
      </c>
      <c r="GJ996" s="15" t="s">
        <v>504</v>
      </c>
      <c r="GK996" s="15" t="s">
        <v>555</v>
      </c>
      <c r="GL996" s="15" t="s">
        <v>4059</v>
      </c>
      <c r="GZ996" s="15" t="s">
        <v>504</v>
      </c>
      <c r="HB996" s="15" t="s">
        <v>555</v>
      </c>
      <c r="HD996" s="15" t="s">
        <v>4059</v>
      </c>
      <c r="HQ996" s="15" t="s">
        <v>426</v>
      </c>
      <c r="JR996" s="15" t="s">
        <v>789</v>
      </c>
    </row>
    <row r="997" ht="17.25" customHeight="1">
      <c r="A997" s="15" t="s">
        <v>9865</v>
      </c>
      <c r="B997" s="15" t="str">
        <f>"801542728984"</f>
        <v>801542728984</v>
      </c>
      <c r="C997" s="15" t="s">
        <v>23477</v>
      </c>
      <c r="D997" s="15" t="str">
        <f t="shared" si="1"/>
        <v>Tolle CabinetDrifted Oak Solid</v>
      </c>
      <c r="E997" s="15" t="s">
        <v>9854</v>
      </c>
      <c r="F997" s="15" t="s">
        <v>397</v>
      </c>
      <c r="G997" s="15" t="s">
        <v>1465</v>
      </c>
      <c r="J997" s="15" t="s">
        <v>1465</v>
      </c>
      <c r="M997" s="15" t="s">
        <v>1474</v>
      </c>
      <c r="N997" s="15" t="s">
        <v>2891</v>
      </c>
      <c r="O997" s="15" t="s">
        <v>5805</v>
      </c>
      <c r="P997" s="15" t="str">
        <f t="shared" si="2845"/>
        <v>38</v>
      </c>
      <c r="Q997" s="15" t="str">
        <f t="shared" si="2846"/>
        <v>19</v>
      </c>
      <c r="R997" s="15" t="str">
        <f t="shared" si="2847"/>
        <v>84</v>
      </c>
      <c r="S997" s="15" t="str">
        <f t="shared" si="2858"/>
        <v>187.39</v>
      </c>
      <c r="T997" s="15" t="s">
        <v>2872</v>
      </c>
      <c r="U997" s="15" t="s">
        <v>11338</v>
      </c>
      <c r="AA997" s="15" t="s">
        <v>426</v>
      </c>
      <c r="AB997" s="15" t="s">
        <v>413</v>
      </c>
      <c r="AC997" s="15" t="s">
        <v>9867</v>
      </c>
      <c r="AD997" s="15" t="s">
        <v>23478</v>
      </c>
      <c r="AE997" s="15" t="s">
        <v>9866</v>
      </c>
      <c r="AF997" s="15" t="s">
        <v>23479</v>
      </c>
      <c r="AG997" s="15" t="s">
        <v>23480</v>
      </c>
      <c r="AH997" s="15" t="s">
        <v>23481</v>
      </c>
      <c r="AI997" s="15" t="s">
        <v>23482</v>
      </c>
      <c r="AJ997" s="15" t="s">
        <v>23483</v>
      </c>
      <c r="AK997" s="15" t="s">
        <v>23484</v>
      </c>
      <c r="AL997" s="15" t="s">
        <v>23485</v>
      </c>
      <c r="AM997" s="15" t="s">
        <v>23486</v>
      </c>
      <c r="AN997" s="15" t="s">
        <v>23487</v>
      </c>
      <c r="AO997" s="15" t="s">
        <v>23488</v>
      </c>
      <c r="AP997" s="15" t="s">
        <v>23489</v>
      </c>
      <c r="AQ997" s="15" t="s">
        <v>23490</v>
      </c>
      <c r="AR997" s="15" t="s">
        <v>23491</v>
      </c>
      <c r="AS997" s="15" t="s">
        <v>23492</v>
      </c>
      <c r="AT997" s="15" t="s">
        <v>23493</v>
      </c>
      <c r="AU997" s="15" t="s">
        <v>23494</v>
      </c>
      <c r="AV997" s="15" t="s">
        <v>23495</v>
      </c>
      <c r="BH997" s="15" t="s">
        <v>9864</v>
      </c>
      <c r="BI997" s="15" t="str">
        <f t="shared" si="2859"/>
        <v>4199</v>
      </c>
      <c r="BJ997" s="15" t="str">
        <f t="shared" si="2860"/>
        <v>1765</v>
      </c>
      <c r="BK997" s="15" t="s">
        <v>709</v>
      </c>
      <c r="BL997" s="15" t="str">
        <f t="shared" si="2851"/>
        <v>1</v>
      </c>
      <c r="BM997" s="15" t="s">
        <v>416</v>
      </c>
      <c r="BN997" s="15" t="str">
        <f t="shared" si="2852"/>
        <v>41.73</v>
      </c>
      <c r="BO997" s="15" t="str">
        <f t="shared" si="2853"/>
        <v>22.44</v>
      </c>
      <c r="BP997" s="15" t="str">
        <f t="shared" si="2854"/>
        <v>92.13</v>
      </c>
      <c r="BQ997" s="15" t="str">
        <f t="shared" si="2861"/>
        <v>220.46</v>
      </c>
      <c r="CG997" s="15" t="str">
        <f t="shared" si="2856"/>
        <v>49.93</v>
      </c>
      <c r="CH997" s="15" t="str">
        <f t="shared" si="2857"/>
        <v>1.414</v>
      </c>
      <c r="CI997" s="15" t="s">
        <v>497</v>
      </c>
      <c r="CJ997" s="15" t="s">
        <v>504</v>
      </c>
      <c r="CK997" s="15" t="s">
        <v>784</v>
      </c>
      <c r="CL997" s="15" t="s">
        <v>4059</v>
      </c>
      <c r="CM997" s="15" t="s">
        <v>504</v>
      </c>
      <c r="CN997" s="15" t="s">
        <v>943</v>
      </c>
      <c r="CO997" s="15" t="s">
        <v>4059</v>
      </c>
      <c r="CZ997" s="15" t="s">
        <v>419</v>
      </c>
      <c r="DA997" s="15">
        <v>0.0</v>
      </c>
      <c r="DB997" s="15" t="s">
        <v>419</v>
      </c>
      <c r="DD997" s="15">
        <v>2.0</v>
      </c>
      <c r="DE997" s="15" t="s">
        <v>426</v>
      </c>
      <c r="DF997" s="15" t="s">
        <v>721</v>
      </c>
      <c r="DG997" s="15" t="s">
        <v>610</v>
      </c>
      <c r="DI997" s="15">
        <v>18.14</v>
      </c>
      <c r="DJ997" s="15">
        <v>40.0</v>
      </c>
      <c r="DK997" s="15">
        <v>2.0</v>
      </c>
      <c r="DR997" s="15" t="s">
        <v>1906</v>
      </c>
      <c r="DS997" s="15" t="s">
        <v>9841</v>
      </c>
      <c r="EF997" s="15" t="s">
        <v>822</v>
      </c>
      <c r="EU997" s="15" t="s">
        <v>426</v>
      </c>
      <c r="EV997" s="15">
        <v>3.0</v>
      </c>
      <c r="FH997" s="15" t="s">
        <v>4511</v>
      </c>
      <c r="FI997" s="15" t="s">
        <v>2638</v>
      </c>
      <c r="FJ997" s="15" t="s">
        <v>4918</v>
      </c>
      <c r="FK997" s="15" t="s">
        <v>504</v>
      </c>
      <c r="FL997" s="15" t="s">
        <v>784</v>
      </c>
      <c r="FM997" s="15" t="s">
        <v>4059</v>
      </c>
      <c r="FN997" s="15">
        <v>0.0</v>
      </c>
      <c r="FP997" s="15" t="s">
        <v>1044</v>
      </c>
      <c r="FQ997" s="15">
        <v>2.0</v>
      </c>
      <c r="FR997" s="15" t="s">
        <v>614</v>
      </c>
      <c r="FS997" s="15" t="s">
        <v>786</v>
      </c>
      <c r="FT997" s="15">
        <v>0.0</v>
      </c>
      <c r="FU997" s="15" t="s">
        <v>426</v>
      </c>
      <c r="FV997" s="15" t="s">
        <v>5816</v>
      </c>
      <c r="FW997" s="15" t="s">
        <v>3722</v>
      </c>
      <c r="FY997" s="15">
        <v>0.0</v>
      </c>
      <c r="GJ997" s="15" t="s">
        <v>504</v>
      </c>
      <c r="GK997" s="15" t="s">
        <v>555</v>
      </c>
      <c r="GL997" s="15" t="s">
        <v>4059</v>
      </c>
      <c r="GZ997" s="15" t="s">
        <v>504</v>
      </c>
      <c r="HB997" s="15" t="s">
        <v>555</v>
      </c>
      <c r="HD997" s="15" t="s">
        <v>4059</v>
      </c>
      <c r="HQ997" s="15" t="s">
        <v>426</v>
      </c>
      <c r="JR997" s="15" t="s">
        <v>789</v>
      </c>
    </row>
    <row r="998" ht="17.25" customHeight="1">
      <c r="A998" s="15" t="s">
        <v>9869</v>
      </c>
      <c r="B998" s="15" t="str">
        <f>"801542245863"</f>
        <v>801542245863</v>
      </c>
      <c r="C998" s="15" t="s">
        <v>23496</v>
      </c>
      <c r="D998" s="15" t="str">
        <f t="shared" si="1"/>
        <v>Tolle CabinetRustic White Solid</v>
      </c>
      <c r="E998" s="15" t="s">
        <v>9854</v>
      </c>
      <c r="F998" s="15" t="s">
        <v>397</v>
      </c>
      <c r="G998" s="15" t="s">
        <v>9849</v>
      </c>
      <c r="J998" s="15" t="s">
        <v>2130</v>
      </c>
      <c r="K998" s="15" t="s">
        <v>9849</v>
      </c>
      <c r="M998" s="15" t="s">
        <v>1474</v>
      </c>
      <c r="N998" s="15" t="s">
        <v>2891</v>
      </c>
      <c r="O998" s="15" t="s">
        <v>5805</v>
      </c>
      <c r="P998" s="15" t="str">
        <f t="shared" si="2845"/>
        <v>38</v>
      </c>
      <c r="Q998" s="15" t="str">
        <f t="shared" si="2846"/>
        <v>19</v>
      </c>
      <c r="R998" s="15" t="str">
        <f t="shared" si="2847"/>
        <v>84</v>
      </c>
      <c r="S998" s="15" t="str">
        <f t="shared" si="2858"/>
        <v>187.39</v>
      </c>
      <c r="T998" s="15" t="s">
        <v>2354</v>
      </c>
      <c r="U998" s="15" t="s">
        <v>11553</v>
      </c>
      <c r="V998" s="15" t="s">
        <v>11338</v>
      </c>
      <c r="AA998" s="15" t="s">
        <v>413</v>
      </c>
      <c r="AB998" s="15" t="s">
        <v>413</v>
      </c>
      <c r="AC998" s="15" t="s">
        <v>9871</v>
      </c>
      <c r="AD998" s="15" t="s">
        <v>23497</v>
      </c>
      <c r="AE998" s="15" t="s">
        <v>9870</v>
      </c>
      <c r="AF998" s="15" t="s">
        <v>23498</v>
      </c>
      <c r="AG998" s="15" t="s">
        <v>23499</v>
      </c>
      <c r="AH998" s="15" t="s">
        <v>23500</v>
      </c>
      <c r="AI998" s="15" t="s">
        <v>23501</v>
      </c>
      <c r="AJ998" s="15" t="s">
        <v>23502</v>
      </c>
      <c r="AK998" s="15" t="s">
        <v>23503</v>
      </c>
      <c r="AL998" s="15" t="s">
        <v>23504</v>
      </c>
      <c r="AM998" s="15" t="s">
        <v>23505</v>
      </c>
      <c r="AN998" s="15" t="s">
        <v>23506</v>
      </c>
      <c r="AO998" s="15" t="s">
        <v>23507</v>
      </c>
      <c r="AP998" s="15" t="s">
        <v>23508</v>
      </c>
      <c r="AQ998" s="15" t="s">
        <v>23509</v>
      </c>
      <c r="AR998" s="15" t="s">
        <v>23510</v>
      </c>
      <c r="AS998" s="15" t="s">
        <v>23511</v>
      </c>
      <c r="AT998" s="15" t="s">
        <v>23512</v>
      </c>
      <c r="BH998" s="15" t="s">
        <v>9868</v>
      </c>
      <c r="BI998" s="15" t="str">
        <f t="shared" si="2859"/>
        <v>4199</v>
      </c>
      <c r="BJ998" s="15" t="str">
        <f t="shared" si="2860"/>
        <v>1765</v>
      </c>
      <c r="BK998" s="15" t="s">
        <v>709</v>
      </c>
      <c r="BL998" s="15" t="str">
        <f t="shared" si="2851"/>
        <v>1</v>
      </c>
      <c r="BM998" s="15" t="s">
        <v>416</v>
      </c>
      <c r="BN998" s="15" t="str">
        <f t="shared" si="2852"/>
        <v>41.73</v>
      </c>
      <c r="BO998" s="15" t="str">
        <f t="shared" si="2853"/>
        <v>22.44</v>
      </c>
      <c r="BP998" s="15" t="str">
        <f t="shared" si="2854"/>
        <v>92.13</v>
      </c>
      <c r="BQ998" s="15" t="str">
        <f t="shared" si="2861"/>
        <v>220.46</v>
      </c>
      <c r="CG998" s="15" t="str">
        <f t="shared" si="2856"/>
        <v>49.93</v>
      </c>
      <c r="CH998" s="15" t="str">
        <f t="shared" si="2857"/>
        <v>1.414</v>
      </c>
      <c r="CI998" s="15" t="s">
        <v>417</v>
      </c>
      <c r="CJ998" s="15" t="s">
        <v>504</v>
      </c>
      <c r="CK998" s="15" t="s">
        <v>784</v>
      </c>
      <c r="CL998" s="15" t="s">
        <v>4059</v>
      </c>
      <c r="CM998" s="15" t="s">
        <v>504</v>
      </c>
      <c r="CN998" s="15" t="s">
        <v>943</v>
      </c>
      <c r="CO998" s="15" t="s">
        <v>4059</v>
      </c>
      <c r="CZ998" s="15" t="s">
        <v>419</v>
      </c>
      <c r="DA998" s="15">
        <v>0.0</v>
      </c>
      <c r="DB998" s="15" t="s">
        <v>419</v>
      </c>
      <c r="DD998" s="15">
        <v>2.0</v>
      </c>
      <c r="DE998" s="15" t="s">
        <v>426</v>
      </c>
      <c r="DF998" s="15" t="s">
        <v>721</v>
      </c>
      <c r="DG998" s="15" t="s">
        <v>610</v>
      </c>
      <c r="DI998" s="15">
        <v>18.14</v>
      </c>
      <c r="DJ998" s="15">
        <v>40.0</v>
      </c>
      <c r="DK998" s="15">
        <v>2.0</v>
      </c>
      <c r="DR998" s="15" t="s">
        <v>1906</v>
      </c>
      <c r="DS998" s="15" t="s">
        <v>9841</v>
      </c>
      <c r="EF998" s="15" t="s">
        <v>822</v>
      </c>
      <c r="EU998" s="15" t="s">
        <v>426</v>
      </c>
      <c r="EV998" s="15">
        <v>3.0</v>
      </c>
      <c r="FH998" s="15" t="s">
        <v>4511</v>
      </c>
      <c r="FI998" s="15" t="s">
        <v>2638</v>
      </c>
      <c r="FJ998" s="15" t="s">
        <v>4918</v>
      </c>
      <c r="FK998" s="15" t="s">
        <v>504</v>
      </c>
      <c r="FL998" s="15" t="s">
        <v>784</v>
      </c>
      <c r="FM998" s="15" t="s">
        <v>4059</v>
      </c>
      <c r="FN998" s="15">
        <v>0.0</v>
      </c>
      <c r="FP998" s="15" t="s">
        <v>1044</v>
      </c>
      <c r="FQ998" s="15">
        <v>2.0</v>
      </c>
      <c r="FR998" s="15" t="s">
        <v>614</v>
      </c>
      <c r="FS998" s="15" t="s">
        <v>786</v>
      </c>
      <c r="FT998" s="15">
        <v>0.0</v>
      </c>
      <c r="FU998" s="15" t="s">
        <v>426</v>
      </c>
      <c r="FV998" s="15" t="s">
        <v>5816</v>
      </c>
      <c r="FW998" s="15" t="s">
        <v>3722</v>
      </c>
      <c r="FY998" s="15">
        <v>0.0</v>
      </c>
      <c r="GJ998" s="15" t="s">
        <v>504</v>
      </c>
      <c r="GK998" s="15" t="s">
        <v>555</v>
      </c>
      <c r="GL998" s="15" t="s">
        <v>4059</v>
      </c>
      <c r="GZ998" s="15" t="s">
        <v>504</v>
      </c>
      <c r="HB998" s="15" t="s">
        <v>555</v>
      </c>
      <c r="HD998" s="15" t="s">
        <v>4059</v>
      </c>
      <c r="HQ998" s="15" t="s">
        <v>426</v>
      </c>
      <c r="JR998" s="15" t="s">
        <v>789</v>
      </c>
    </row>
    <row r="999" ht="17.25" customHeight="1">
      <c r="A999" s="15" t="s">
        <v>9874</v>
      </c>
      <c r="B999" s="15" t="str">
        <f>"801542057831"</f>
        <v>801542057831</v>
      </c>
      <c r="C999" s="15" t="s">
        <v>23513</v>
      </c>
      <c r="D999" s="15" t="str">
        <f t="shared" si="1"/>
        <v>Tolle Panel Door CabinetDrifted Matte Black Veneer</v>
      </c>
      <c r="E999" s="15" t="s">
        <v>9872</v>
      </c>
      <c r="F999" s="15" t="s">
        <v>397</v>
      </c>
      <c r="G999" s="15" t="s">
        <v>7503</v>
      </c>
      <c r="J999" s="15" t="s">
        <v>4670</v>
      </c>
      <c r="K999" s="15" t="s">
        <v>7503</v>
      </c>
      <c r="M999" s="15" t="s">
        <v>1474</v>
      </c>
      <c r="N999" s="15" t="s">
        <v>2891</v>
      </c>
      <c r="O999" s="15" t="s">
        <v>4563</v>
      </c>
      <c r="P999" s="15" t="str">
        <f t="shared" si="2845"/>
        <v>38</v>
      </c>
      <c r="Q999" s="15" t="str">
        <f t="shared" si="2846"/>
        <v>19</v>
      </c>
      <c r="R999" s="15" t="str">
        <f t="shared" si="2847"/>
        <v>84</v>
      </c>
      <c r="S999" s="15" t="str">
        <f t="shared" ref="S999:S1000" si="2862">"166.67"</f>
        <v>166.67</v>
      </c>
      <c r="T999" s="15" t="s">
        <v>2354</v>
      </c>
      <c r="U999" s="15" t="s">
        <v>11553</v>
      </c>
      <c r="V999" s="15" t="s">
        <v>11338</v>
      </c>
      <c r="AA999" s="15" t="s">
        <v>413</v>
      </c>
      <c r="AB999" s="15" t="s">
        <v>413</v>
      </c>
      <c r="AC999" s="15" t="s">
        <v>9877</v>
      </c>
      <c r="AD999" s="15" t="s">
        <v>23514</v>
      </c>
      <c r="AE999" s="15" t="s">
        <v>9876</v>
      </c>
      <c r="AF999" s="15" t="s">
        <v>23515</v>
      </c>
      <c r="AG999" s="15" t="s">
        <v>23516</v>
      </c>
      <c r="AH999" s="15" t="s">
        <v>23517</v>
      </c>
      <c r="AI999" s="15" t="s">
        <v>23518</v>
      </c>
      <c r="AJ999" s="15" t="s">
        <v>23519</v>
      </c>
      <c r="AK999" s="15" t="s">
        <v>23520</v>
      </c>
      <c r="AL999" s="15" t="s">
        <v>23521</v>
      </c>
      <c r="AM999" s="15" t="s">
        <v>23522</v>
      </c>
      <c r="AN999" s="15" t="s">
        <v>23523</v>
      </c>
      <c r="AO999" s="15" t="s">
        <v>23524</v>
      </c>
      <c r="AP999" s="15" t="s">
        <v>23525</v>
      </c>
      <c r="AQ999" s="15" t="s">
        <v>23526</v>
      </c>
      <c r="AR999" s="15" t="s">
        <v>23527</v>
      </c>
      <c r="AS999" s="15" t="s">
        <v>23528</v>
      </c>
      <c r="AT999" s="15" t="s">
        <v>23529</v>
      </c>
      <c r="AU999" s="15" t="s">
        <v>23530</v>
      </c>
      <c r="AV999" s="15" t="s">
        <v>23531</v>
      </c>
      <c r="BH999" s="15" t="s">
        <v>9873</v>
      </c>
      <c r="BI999" s="15" t="str">
        <f t="shared" si="2859"/>
        <v>4199</v>
      </c>
      <c r="BJ999" s="15" t="str">
        <f t="shared" si="2860"/>
        <v>1765</v>
      </c>
      <c r="BK999" s="15" t="s">
        <v>709</v>
      </c>
      <c r="BL999" s="15" t="str">
        <f t="shared" si="2851"/>
        <v>1</v>
      </c>
      <c r="BM999" s="15" t="s">
        <v>416</v>
      </c>
      <c r="BN999" s="15" t="str">
        <f t="shared" si="2852"/>
        <v>41.73</v>
      </c>
      <c r="BO999" s="15" t="str">
        <f t="shared" si="2853"/>
        <v>22.44</v>
      </c>
      <c r="BP999" s="15" t="str">
        <f t="shared" si="2854"/>
        <v>92.13</v>
      </c>
      <c r="BQ999" s="15" t="str">
        <f t="shared" ref="BQ999:BQ1000" si="2863">"209.44"</f>
        <v>209.44</v>
      </c>
      <c r="CG999" s="15" t="str">
        <f t="shared" si="2856"/>
        <v>49.93</v>
      </c>
      <c r="CH999" s="15" t="str">
        <f t="shared" si="2857"/>
        <v>1.414</v>
      </c>
      <c r="CI999" s="15" t="s">
        <v>497</v>
      </c>
      <c r="CJ999" s="15" t="s">
        <v>428</v>
      </c>
      <c r="CK999" s="15" t="s">
        <v>784</v>
      </c>
      <c r="CL999" s="15" t="s">
        <v>4059</v>
      </c>
      <c r="CM999" s="15" t="s">
        <v>428</v>
      </c>
      <c r="CN999" s="15" t="s">
        <v>788</v>
      </c>
      <c r="CO999" s="15" t="s">
        <v>4059</v>
      </c>
      <c r="CZ999" s="15" t="s">
        <v>419</v>
      </c>
      <c r="DA999" s="15">
        <v>0.0</v>
      </c>
      <c r="DB999" s="15" t="s">
        <v>419</v>
      </c>
      <c r="DD999" s="15">
        <v>2.0</v>
      </c>
      <c r="DE999" s="15" t="s">
        <v>426</v>
      </c>
      <c r="DF999" s="15" t="s">
        <v>721</v>
      </c>
      <c r="DG999" s="15" t="s">
        <v>610</v>
      </c>
      <c r="DI999" s="15">
        <v>18.14</v>
      </c>
      <c r="DJ999" s="15">
        <v>40.0</v>
      </c>
      <c r="DK999" s="15">
        <v>2.0</v>
      </c>
      <c r="DR999" s="15" t="s">
        <v>1906</v>
      </c>
      <c r="DS999" s="15" t="s">
        <v>9841</v>
      </c>
      <c r="EF999" s="15" t="s">
        <v>822</v>
      </c>
      <c r="EU999" s="15" t="s">
        <v>426</v>
      </c>
      <c r="EV999" s="15">
        <v>3.0</v>
      </c>
      <c r="FH999" s="15" t="s">
        <v>3466</v>
      </c>
      <c r="FI999" s="15" t="s">
        <v>2638</v>
      </c>
      <c r="FJ999" s="15" t="s">
        <v>4918</v>
      </c>
      <c r="FK999" s="15" t="s">
        <v>428</v>
      </c>
      <c r="FL999" s="15" t="s">
        <v>784</v>
      </c>
      <c r="FM999" s="15" t="s">
        <v>4059</v>
      </c>
      <c r="FN999" s="15">
        <v>0.0</v>
      </c>
      <c r="FP999" s="15" t="s">
        <v>1044</v>
      </c>
      <c r="FQ999" s="15">
        <v>2.0</v>
      </c>
      <c r="FR999" s="15" t="s">
        <v>614</v>
      </c>
      <c r="FS999" s="15" t="s">
        <v>786</v>
      </c>
      <c r="FT999" s="15">
        <v>0.0</v>
      </c>
      <c r="FU999" s="15" t="s">
        <v>426</v>
      </c>
      <c r="FV999" s="15" t="s">
        <v>4573</v>
      </c>
      <c r="FW999" s="15" t="s">
        <v>616</v>
      </c>
      <c r="FY999" s="15">
        <v>0.0</v>
      </c>
      <c r="GJ999" s="15" t="s">
        <v>428</v>
      </c>
      <c r="GK999" s="15" t="s">
        <v>1286</v>
      </c>
      <c r="GL999" s="15" t="s">
        <v>4059</v>
      </c>
      <c r="GZ999" s="15" t="s">
        <v>428</v>
      </c>
      <c r="HB999" s="15" t="s">
        <v>9878</v>
      </c>
      <c r="HD999" s="15" t="s">
        <v>4059</v>
      </c>
      <c r="HF999" s="15" t="s">
        <v>789</v>
      </c>
      <c r="HQ999" s="15" t="s">
        <v>426</v>
      </c>
    </row>
    <row r="1000" ht="17.25" customHeight="1">
      <c r="A1000" s="15" t="s">
        <v>9880</v>
      </c>
      <c r="B1000" s="15" t="str">
        <f>"801542057848"</f>
        <v>801542057848</v>
      </c>
      <c r="C1000" s="15" t="s">
        <v>23513</v>
      </c>
      <c r="D1000" s="15" t="str">
        <f t="shared" si="1"/>
        <v>Tolle Panel Door CabinetDrifted Oak Solid</v>
      </c>
      <c r="E1000" s="15" t="s">
        <v>9872</v>
      </c>
      <c r="F1000" s="15" t="s">
        <v>397</v>
      </c>
      <c r="G1000" s="15" t="s">
        <v>1465</v>
      </c>
      <c r="J1000" s="15" t="s">
        <v>4670</v>
      </c>
      <c r="K1000" s="15" t="s">
        <v>1465</v>
      </c>
      <c r="M1000" s="15" t="s">
        <v>1474</v>
      </c>
      <c r="N1000" s="15" t="s">
        <v>2891</v>
      </c>
      <c r="O1000" s="15" t="s">
        <v>4563</v>
      </c>
      <c r="P1000" s="15" t="str">
        <f t="shared" si="2845"/>
        <v>38</v>
      </c>
      <c r="Q1000" s="15" t="str">
        <f t="shared" si="2846"/>
        <v>19</v>
      </c>
      <c r="R1000" s="15" t="str">
        <f t="shared" si="2847"/>
        <v>84</v>
      </c>
      <c r="S1000" s="15" t="str">
        <f t="shared" si="2862"/>
        <v>166.67</v>
      </c>
      <c r="T1000" s="15" t="s">
        <v>2354</v>
      </c>
      <c r="U1000" s="15" t="s">
        <v>11553</v>
      </c>
      <c r="V1000" s="15" t="s">
        <v>11338</v>
      </c>
      <c r="AA1000" s="15" t="s">
        <v>413</v>
      </c>
      <c r="AB1000" s="15" t="s">
        <v>413</v>
      </c>
      <c r="AC1000" s="15" t="s">
        <v>9882</v>
      </c>
      <c r="AD1000" s="15" t="s">
        <v>23532</v>
      </c>
      <c r="AE1000" s="15" t="s">
        <v>9881</v>
      </c>
      <c r="AF1000" s="15" t="s">
        <v>23533</v>
      </c>
      <c r="AG1000" s="15" t="s">
        <v>23534</v>
      </c>
      <c r="AH1000" s="15" t="s">
        <v>23535</v>
      </c>
      <c r="AI1000" s="15" t="s">
        <v>23536</v>
      </c>
      <c r="AJ1000" s="15" t="s">
        <v>23537</v>
      </c>
      <c r="AK1000" s="15" t="s">
        <v>23538</v>
      </c>
      <c r="AL1000" s="15" t="s">
        <v>23539</v>
      </c>
      <c r="AM1000" s="15" t="s">
        <v>23540</v>
      </c>
      <c r="AN1000" s="15" t="s">
        <v>23541</v>
      </c>
      <c r="AO1000" s="15" t="s">
        <v>23542</v>
      </c>
      <c r="AP1000" s="15" t="s">
        <v>23543</v>
      </c>
      <c r="AQ1000" s="15" t="s">
        <v>23544</v>
      </c>
      <c r="AR1000" s="15" t="s">
        <v>23545</v>
      </c>
      <c r="AS1000" s="15" t="s">
        <v>23546</v>
      </c>
      <c r="AT1000" s="15" t="s">
        <v>23547</v>
      </c>
      <c r="BH1000" s="15" t="s">
        <v>9879</v>
      </c>
      <c r="BI1000" s="15" t="str">
        <f t="shared" si="2859"/>
        <v>4199</v>
      </c>
      <c r="BJ1000" s="15" t="str">
        <f t="shared" si="2860"/>
        <v>1765</v>
      </c>
      <c r="BK1000" s="15" t="s">
        <v>709</v>
      </c>
      <c r="BL1000" s="15" t="str">
        <f t="shared" si="2851"/>
        <v>1</v>
      </c>
      <c r="BM1000" s="15" t="s">
        <v>416</v>
      </c>
      <c r="BN1000" s="15" t="str">
        <f t="shared" si="2852"/>
        <v>41.73</v>
      </c>
      <c r="BO1000" s="15" t="str">
        <f t="shared" si="2853"/>
        <v>22.44</v>
      </c>
      <c r="BP1000" s="15" t="str">
        <f t="shared" si="2854"/>
        <v>92.13</v>
      </c>
      <c r="BQ1000" s="15" t="str">
        <f t="shared" si="2863"/>
        <v>209.44</v>
      </c>
      <c r="CG1000" s="15" t="str">
        <f t="shared" si="2856"/>
        <v>49.93</v>
      </c>
      <c r="CH1000" s="15" t="str">
        <f t="shared" si="2857"/>
        <v>1.414</v>
      </c>
      <c r="CI1000" s="15" t="s">
        <v>465</v>
      </c>
      <c r="CJ1000" s="15" t="s">
        <v>428</v>
      </c>
      <c r="CK1000" s="15" t="s">
        <v>784</v>
      </c>
      <c r="CL1000" s="15" t="s">
        <v>4059</v>
      </c>
      <c r="CM1000" s="15" t="s">
        <v>428</v>
      </c>
      <c r="CN1000" s="15" t="s">
        <v>788</v>
      </c>
      <c r="CO1000" s="15" t="s">
        <v>4059</v>
      </c>
      <c r="CZ1000" s="15" t="s">
        <v>419</v>
      </c>
      <c r="DA1000" s="15">
        <v>0.0</v>
      </c>
      <c r="DB1000" s="15" t="s">
        <v>419</v>
      </c>
      <c r="DD1000" s="15">
        <v>2.0</v>
      </c>
      <c r="DE1000" s="15" t="s">
        <v>426</v>
      </c>
      <c r="DF1000" s="15" t="s">
        <v>721</v>
      </c>
      <c r="DG1000" s="15" t="s">
        <v>610</v>
      </c>
      <c r="DI1000" s="15">
        <v>18.14</v>
      </c>
      <c r="DJ1000" s="15">
        <v>40.0</v>
      </c>
      <c r="DK1000" s="15">
        <v>2.0</v>
      </c>
      <c r="DR1000" s="15" t="s">
        <v>1906</v>
      </c>
      <c r="DS1000" s="15" t="s">
        <v>9841</v>
      </c>
      <c r="EF1000" s="15" t="s">
        <v>822</v>
      </c>
      <c r="EU1000" s="15" t="s">
        <v>426</v>
      </c>
      <c r="EV1000" s="15">
        <v>3.0</v>
      </c>
      <c r="FH1000" s="15" t="s">
        <v>3466</v>
      </c>
      <c r="FI1000" s="15" t="s">
        <v>2638</v>
      </c>
      <c r="FJ1000" s="15" t="s">
        <v>4918</v>
      </c>
      <c r="FK1000" s="15" t="s">
        <v>428</v>
      </c>
      <c r="FL1000" s="15" t="s">
        <v>784</v>
      </c>
      <c r="FM1000" s="15" t="s">
        <v>4059</v>
      </c>
      <c r="FN1000" s="15">
        <v>0.0</v>
      </c>
      <c r="FP1000" s="15" t="s">
        <v>1044</v>
      </c>
      <c r="FQ1000" s="15">
        <v>2.0</v>
      </c>
      <c r="FR1000" s="15" t="s">
        <v>614</v>
      </c>
      <c r="FS1000" s="15" t="s">
        <v>786</v>
      </c>
      <c r="FT1000" s="15">
        <v>0.0</v>
      </c>
      <c r="FU1000" s="15" t="s">
        <v>426</v>
      </c>
      <c r="FV1000" s="15" t="s">
        <v>4573</v>
      </c>
      <c r="FW1000" s="15" t="s">
        <v>616</v>
      </c>
      <c r="FY1000" s="15">
        <v>0.0</v>
      </c>
      <c r="GJ1000" s="15" t="s">
        <v>428</v>
      </c>
      <c r="GK1000" s="15" t="s">
        <v>1286</v>
      </c>
      <c r="GL1000" s="15" t="s">
        <v>4059</v>
      </c>
      <c r="GZ1000" s="15" t="s">
        <v>428</v>
      </c>
      <c r="HB1000" s="15" t="s">
        <v>9878</v>
      </c>
      <c r="HD1000" s="15" t="s">
        <v>4059</v>
      </c>
      <c r="HF1000" s="15" t="s">
        <v>789</v>
      </c>
      <c r="HQ1000" s="15" t="s">
        <v>426</v>
      </c>
    </row>
    <row r="1001" ht="17.25" customHeight="1">
      <c r="A1001" s="15" t="s">
        <v>9884</v>
      </c>
      <c r="B1001" s="15" t="str">
        <f>"801542245771"</f>
        <v>801542245771</v>
      </c>
      <c r="C1001" s="15" t="s">
        <v>23548</v>
      </c>
      <c r="D1001" s="15" t="str">
        <f t="shared" si="1"/>
        <v>Tolle Panel Door CabinetRustic White Veneer</v>
      </c>
      <c r="E1001" s="15" t="s">
        <v>9872</v>
      </c>
      <c r="F1001" s="15" t="s">
        <v>397</v>
      </c>
      <c r="G1001" s="15" t="s">
        <v>9852</v>
      </c>
      <c r="J1001" s="15" t="s">
        <v>9852</v>
      </c>
      <c r="K1001" s="15" t="s">
        <v>9849</v>
      </c>
      <c r="M1001" s="15" t="s">
        <v>1474</v>
      </c>
      <c r="N1001" s="15" t="s">
        <v>2891</v>
      </c>
      <c r="O1001" s="15" t="s">
        <v>4563</v>
      </c>
      <c r="P1001" s="15" t="str">
        <f t="shared" si="2845"/>
        <v>38</v>
      </c>
      <c r="Q1001" s="15" t="str">
        <f t="shared" si="2846"/>
        <v>19</v>
      </c>
      <c r="R1001" s="15" t="str">
        <f t="shared" si="2847"/>
        <v>84</v>
      </c>
      <c r="S1001" s="15" t="str">
        <f>"169.75"</f>
        <v>169.75</v>
      </c>
      <c r="T1001" s="15" t="s">
        <v>2354</v>
      </c>
      <c r="U1001" s="15" t="s">
        <v>11553</v>
      </c>
      <c r="V1001" s="15" t="s">
        <v>11338</v>
      </c>
      <c r="AA1001" s="15" t="s">
        <v>413</v>
      </c>
      <c r="AB1001" s="15" t="s">
        <v>413</v>
      </c>
      <c r="AC1001" s="15" t="s">
        <v>9886</v>
      </c>
      <c r="AD1001" s="15" t="s">
        <v>23549</v>
      </c>
      <c r="AE1001" s="15" t="s">
        <v>9885</v>
      </c>
      <c r="AF1001" s="15" t="s">
        <v>23550</v>
      </c>
      <c r="AG1001" s="15" t="s">
        <v>23551</v>
      </c>
      <c r="AH1001" s="15" t="s">
        <v>23552</v>
      </c>
      <c r="AI1001" s="15" t="s">
        <v>23553</v>
      </c>
      <c r="AJ1001" s="15" t="s">
        <v>23554</v>
      </c>
      <c r="AK1001" s="15" t="s">
        <v>23555</v>
      </c>
      <c r="AL1001" s="15" t="s">
        <v>23556</v>
      </c>
      <c r="AM1001" s="15" t="s">
        <v>23557</v>
      </c>
      <c r="AN1001" s="15" t="s">
        <v>23558</v>
      </c>
      <c r="AO1001" s="15" t="s">
        <v>23559</v>
      </c>
      <c r="AP1001" s="15" t="s">
        <v>23560</v>
      </c>
      <c r="AQ1001" s="15" t="s">
        <v>23561</v>
      </c>
      <c r="AR1001" s="15" t="s">
        <v>23562</v>
      </c>
      <c r="AS1001" s="15" t="s">
        <v>23563</v>
      </c>
      <c r="AT1001" s="15" t="s">
        <v>23564</v>
      </c>
      <c r="BH1001" s="15" t="s">
        <v>9883</v>
      </c>
      <c r="BI1001" s="15" t="str">
        <f t="shared" si="2859"/>
        <v>4199</v>
      </c>
      <c r="BJ1001" s="15" t="str">
        <f t="shared" si="2860"/>
        <v>1765</v>
      </c>
      <c r="BK1001" s="15" t="s">
        <v>709</v>
      </c>
      <c r="BL1001" s="15" t="str">
        <f t="shared" si="2851"/>
        <v>1</v>
      </c>
      <c r="BM1001" s="15" t="s">
        <v>416</v>
      </c>
      <c r="BN1001" s="15" t="str">
        <f>"88.78"</f>
        <v>88.78</v>
      </c>
      <c r="BO1001" s="15" t="str">
        <f>"22.05"</f>
        <v>22.05</v>
      </c>
      <c r="BP1001" s="15" t="str">
        <f>"45.67"</f>
        <v>45.67</v>
      </c>
      <c r="BQ1001" s="15" t="str">
        <f>"262.35"</f>
        <v>262.35</v>
      </c>
      <c r="CG1001" s="15" t="str">
        <f>"51.74"</f>
        <v>51.74</v>
      </c>
      <c r="CH1001" s="15" t="str">
        <f>"1.465"</f>
        <v>1.465</v>
      </c>
      <c r="CI1001" s="15" t="s">
        <v>465</v>
      </c>
      <c r="CJ1001" s="15" t="s">
        <v>428</v>
      </c>
      <c r="CK1001" s="15" t="s">
        <v>784</v>
      </c>
      <c r="CL1001" s="15" t="s">
        <v>4059</v>
      </c>
      <c r="CM1001" s="15" t="s">
        <v>428</v>
      </c>
      <c r="CN1001" s="15" t="s">
        <v>788</v>
      </c>
      <c r="CO1001" s="15" t="s">
        <v>4059</v>
      </c>
      <c r="CZ1001" s="15" t="s">
        <v>419</v>
      </c>
      <c r="DA1001" s="15">
        <v>0.0</v>
      </c>
      <c r="DB1001" s="15" t="s">
        <v>419</v>
      </c>
      <c r="DD1001" s="15">
        <v>2.0</v>
      </c>
      <c r="DE1001" s="15" t="s">
        <v>426</v>
      </c>
      <c r="DF1001" s="15" t="s">
        <v>721</v>
      </c>
      <c r="DG1001" s="15" t="s">
        <v>610</v>
      </c>
      <c r="DI1001" s="15">
        <v>18.14</v>
      </c>
      <c r="DJ1001" s="15">
        <v>40.0</v>
      </c>
      <c r="DK1001" s="15">
        <v>2.0</v>
      </c>
      <c r="DR1001" s="15" t="s">
        <v>1906</v>
      </c>
      <c r="DS1001" s="15" t="s">
        <v>9841</v>
      </c>
      <c r="EF1001" s="15" t="s">
        <v>822</v>
      </c>
      <c r="EU1001" s="15" t="s">
        <v>426</v>
      </c>
      <c r="EV1001" s="15">
        <v>3.0</v>
      </c>
      <c r="FH1001" s="15" t="s">
        <v>3466</v>
      </c>
      <c r="FI1001" s="15" t="s">
        <v>2638</v>
      </c>
      <c r="FJ1001" s="15" t="s">
        <v>4918</v>
      </c>
      <c r="FK1001" s="15" t="s">
        <v>428</v>
      </c>
      <c r="FL1001" s="15" t="s">
        <v>784</v>
      </c>
      <c r="FM1001" s="15" t="s">
        <v>4059</v>
      </c>
      <c r="FN1001" s="15">
        <v>0.0</v>
      </c>
      <c r="FP1001" s="15" t="s">
        <v>1044</v>
      </c>
      <c r="FQ1001" s="15">
        <v>2.0</v>
      </c>
      <c r="FR1001" s="15" t="s">
        <v>614</v>
      </c>
      <c r="FS1001" s="15" t="s">
        <v>786</v>
      </c>
      <c r="FT1001" s="15">
        <v>0.0</v>
      </c>
      <c r="FU1001" s="15" t="s">
        <v>426</v>
      </c>
      <c r="FV1001" s="15" t="s">
        <v>4573</v>
      </c>
      <c r="FW1001" s="15" t="s">
        <v>616</v>
      </c>
      <c r="FY1001" s="15">
        <v>0.0</v>
      </c>
      <c r="GJ1001" s="15" t="s">
        <v>428</v>
      </c>
      <c r="GK1001" s="15" t="s">
        <v>1286</v>
      </c>
      <c r="GL1001" s="15" t="s">
        <v>4059</v>
      </c>
      <c r="GZ1001" s="15" t="s">
        <v>428</v>
      </c>
      <c r="HB1001" s="15" t="s">
        <v>9878</v>
      </c>
      <c r="HD1001" s="15" t="s">
        <v>4059</v>
      </c>
      <c r="HF1001" s="15" t="s">
        <v>789</v>
      </c>
      <c r="HQ1001" s="15" t="s">
        <v>426</v>
      </c>
    </row>
    <row r="1002" ht="17.25" customHeight="1">
      <c r="A1002" s="15" t="s">
        <v>9889</v>
      </c>
      <c r="B1002" s="15" t="str">
        <f>"801542066413"</f>
        <v>801542066413</v>
      </c>
      <c r="C1002" s="15" t="s">
        <v>23565</v>
      </c>
      <c r="D1002" s="15" t="str">
        <f t="shared" si="1"/>
        <v>Tolle SideboardDrifted Oak Veneer</v>
      </c>
      <c r="E1002" s="15" t="s">
        <v>9887</v>
      </c>
      <c r="F1002" s="15" t="s">
        <v>397</v>
      </c>
      <c r="G1002" s="15" t="s">
        <v>4670</v>
      </c>
      <c r="J1002" s="15" t="s">
        <v>4670</v>
      </c>
      <c r="K1002" s="15" t="s">
        <v>7503</v>
      </c>
      <c r="M1002" s="15" t="s">
        <v>1474</v>
      </c>
      <c r="N1002" s="15" t="s">
        <v>664</v>
      </c>
      <c r="P1002" s="15" t="str">
        <f>"82"</f>
        <v>82</v>
      </c>
      <c r="Q1002" s="15" t="str">
        <f>"20"</f>
        <v>20</v>
      </c>
      <c r="R1002" s="15" t="str">
        <f>"34"</f>
        <v>34</v>
      </c>
      <c r="S1002" s="15" t="str">
        <f>"180.78"</f>
        <v>180.78</v>
      </c>
      <c r="T1002" s="15" t="s">
        <v>2354</v>
      </c>
      <c r="U1002" s="15" t="s">
        <v>11553</v>
      </c>
      <c r="V1002" s="15" t="s">
        <v>11338</v>
      </c>
      <c r="AA1002" s="15" t="s">
        <v>426</v>
      </c>
      <c r="AB1002" s="15" t="s">
        <v>413</v>
      </c>
      <c r="AC1002" s="15" t="s">
        <v>9891</v>
      </c>
      <c r="AD1002" s="15" t="s">
        <v>23566</v>
      </c>
      <c r="AE1002" s="15" t="s">
        <v>9890</v>
      </c>
      <c r="AF1002" s="15" t="s">
        <v>23567</v>
      </c>
      <c r="AG1002" s="15" t="s">
        <v>23568</v>
      </c>
      <c r="AH1002" s="15" t="s">
        <v>23569</v>
      </c>
      <c r="AI1002" s="15" t="s">
        <v>23570</v>
      </c>
      <c r="AJ1002" s="15" t="s">
        <v>23571</v>
      </c>
      <c r="AK1002" s="15" t="s">
        <v>23572</v>
      </c>
      <c r="AL1002" s="15" t="s">
        <v>23573</v>
      </c>
      <c r="AM1002" s="15" t="s">
        <v>23574</v>
      </c>
      <c r="AN1002" s="15" t="s">
        <v>23575</v>
      </c>
      <c r="AO1002" s="15" t="s">
        <v>23576</v>
      </c>
      <c r="AP1002" s="15" t="s">
        <v>23577</v>
      </c>
      <c r="AQ1002" s="15" t="s">
        <v>23578</v>
      </c>
      <c r="AR1002" s="15" t="s">
        <v>23579</v>
      </c>
      <c r="BH1002" s="15" t="s">
        <v>9888</v>
      </c>
      <c r="BI1002" s="15" t="str">
        <f>"3799"</f>
        <v>3799</v>
      </c>
      <c r="BJ1002" s="15" t="str">
        <f>"1600"</f>
        <v>1600</v>
      </c>
      <c r="BK1002" s="15" t="s">
        <v>709</v>
      </c>
      <c r="BL1002" s="15" t="str">
        <f t="shared" si="2851"/>
        <v>1</v>
      </c>
      <c r="BM1002" s="15" t="s">
        <v>416</v>
      </c>
      <c r="BN1002" s="15" t="str">
        <f>"85.04"</f>
        <v>85.04</v>
      </c>
      <c r="BO1002" s="15" t="str">
        <f>"23.62"</f>
        <v>23.62</v>
      </c>
      <c r="BP1002" s="15" t="str">
        <f>"43.5"</f>
        <v>43.5</v>
      </c>
      <c r="BQ1002" s="15" t="str">
        <f>"279.98"</f>
        <v>279.98</v>
      </c>
      <c r="CG1002" s="15" t="str">
        <f>"50.57"</f>
        <v>50.57</v>
      </c>
      <c r="CH1002" s="15" t="str">
        <f>"1.432"</f>
        <v>1.432</v>
      </c>
      <c r="CI1002" s="15" t="s">
        <v>497</v>
      </c>
      <c r="CM1002" s="15" t="s">
        <v>4918</v>
      </c>
      <c r="CN1002" s="15" t="s">
        <v>1329</v>
      </c>
      <c r="CO1002" s="15" t="s">
        <v>529</v>
      </c>
      <c r="CZ1002" s="15" t="s">
        <v>419</v>
      </c>
      <c r="DA1002" s="15">
        <v>0.0</v>
      </c>
      <c r="DB1002" s="15" t="s">
        <v>419</v>
      </c>
      <c r="DD1002" s="15">
        <v>0.0</v>
      </c>
      <c r="DF1002" s="15" t="s">
        <v>420</v>
      </c>
      <c r="DG1002" s="15" t="s">
        <v>610</v>
      </c>
      <c r="DI1002" s="15">
        <v>18.14</v>
      </c>
      <c r="DJ1002" s="15">
        <v>40.0</v>
      </c>
      <c r="DK1002" s="15">
        <v>2.0</v>
      </c>
      <c r="DS1002" s="15" t="s">
        <v>9841</v>
      </c>
      <c r="DU1002" s="15" t="s">
        <v>424</v>
      </c>
      <c r="EF1002" s="15" t="s">
        <v>761</v>
      </c>
      <c r="EU1002" s="15" t="s">
        <v>426</v>
      </c>
      <c r="EV1002" s="15">
        <v>4.0</v>
      </c>
      <c r="FH1002" s="15" t="s">
        <v>673</v>
      </c>
      <c r="FI1002" s="15" t="s">
        <v>1042</v>
      </c>
      <c r="FJ1002" s="15" t="s">
        <v>1879</v>
      </c>
      <c r="FK1002" s="15" t="s">
        <v>4918</v>
      </c>
      <c r="FL1002" s="15" t="s">
        <v>784</v>
      </c>
      <c r="FM1002" s="15" t="s">
        <v>529</v>
      </c>
      <c r="FN1002" s="15">
        <v>0.0</v>
      </c>
      <c r="FO1002" s="15" t="s">
        <v>426</v>
      </c>
      <c r="FP1002" s="15" t="s">
        <v>1044</v>
      </c>
      <c r="FQ1002" s="15">
        <v>4.0</v>
      </c>
      <c r="FR1002" s="15" t="s">
        <v>614</v>
      </c>
      <c r="FS1002" s="15" t="s">
        <v>786</v>
      </c>
      <c r="FT1002" s="15">
        <v>0.0</v>
      </c>
      <c r="FU1002" s="15" t="s">
        <v>426</v>
      </c>
      <c r="FW1002" s="15" t="s">
        <v>3722</v>
      </c>
      <c r="HF1002" s="15" t="s">
        <v>1807</v>
      </c>
      <c r="HQ1002" s="15" t="s">
        <v>426</v>
      </c>
    </row>
    <row r="1003" ht="17.25" customHeight="1">
      <c r="A1003" s="15" t="s">
        <v>9896</v>
      </c>
      <c r="B1003" s="15" t="str">
        <f>"801542030490"</f>
        <v>801542030490</v>
      </c>
      <c r="C1003" s="15" t="s">
        <v>23580</v>
      </c>
      <c r="D1003" s="15" t="str">
        <f t="shared" si="1"/>
        <v>Tomlin Outdoor Bunching TableTeak Root</v>
      </c>
      <c r="E1003" s="15" t="s">
        <v>9893</v>
      </c>
      <c r="F1003" s="15" t="s">
        <v>397</v>
      </c>
      <c r="G1003" s="15" t="s">
        <v>9895</v>
      </c>
      <c r="J1003" s="15" t="s">
        <v>9895</v>
      </c>
      <c r="M1003" s="15" t="s">
        <v>6376</v>
      </c>
      <c r="N1003" s="15" t="s">
        <v>6377</v>
      </c>
      <c r="O1003" s="15" t="s">
        <v>8225</v>
      </c>
      <c r="P1003" s="15" t="str">
        <f t="shared" ref="P1003:Q1003" si="2864">"30"</f>
        <v>30</v>
      </c>
      <c r="Q1003" s="15" t="str">
        <f t="shared" si="2864"/>
        <v>30</v>
      </c>
      <c r="R1003" s="15" t="str">
        <f>"15"</f>
        <v>15</v>
      </c>
      <c r="S1003" s="15" t="str">
        <f>"65.7"</f>
        <v>65.7</v>
      </c>
      <c r="T1003" s="15" t="s">
        <v>6375</v>
      </c>
      <c r="U1003" s="15" t="s">
        <v>17901</v>
      </c>
      <c r="AA1003" s="15" t="s">
        <v>413</v>
      </c>
      <c r="AB1003" s="15" t="s">
        <v>413</v>
      </c>
      <c r="AC1003" s="15" t="s">
        <v>9898</v>
      </c>
      <c r="AD1003" s="15" t="s">
        <v>23581</v>
      </c>
      <c r="AE1003" s="15" t="s">
        <v>9897</v>
      </c>
      <c r="AF1003" s="15" t="s">
        <v>23582</v>
      </c>
      <c r="AG1003" s="15" t="s">
        <v>23583</v>
      </c>
      <c r="AH1003" s="15" t="s">
        <v>23584</v>
      </c>
      <c r="AI1003" s="15" t="s">
        <v>23585</v>
      </c>
      <c r="AJ1003" s="15" t="s">
        <v>23586</v>
      </c>
      <c r="AK1003" s="15" t="s">
        <v>23587</v>
      </c>
      <c r="AL1003" s="15" t="s">
        <v>23588</v>
      </c>
      <c r="AM1003" s="15" t="s">
        <v>23589</v>
      </c>
      <c r="BH1003" s="15" t="s">
        <v>9894</v>
      </c>
      <c r="BI1003" s="15" t="str">
        <f>"799"</f>
        <v>799</v>
      </c>
      <c r="BJ1003" s="15" t="str">
        <f>"340"</f>
        <v>340</v>
      </c>
      <c r="BK1003" s="15" t="s">
        <v>1181</v>
      </c>
      <c r="BL1003" s="15" t="str">
        <f t="shared" si="2851"/>
        <v>1</v>
      </c>
      <c r="BM1003" s="15" t="s">
        <v>416</v>
      </c>
      <c r="BN1003" s="15" t="str">
        <f t="shared" ref="BN1003:BO1003" si="2865">"33.07"</f>
        <v>33.07</v>
      </c>
      <c r="BO1003" s="15" t="str">
        <f t="shared" si="2865"/>
        <v>33.07</v>
      </c>
      <c r="BP1003" s="15" t="str">
        <f>"19.69"</f>
        <v>19.69</v>
      </c>
      <c r="BQ1003" s="15" t="str">
        <f>"79.03"</f>
        <v>79.03</v>
      </c>
      <c r="CG1003" s="15" t="str">
        <f>"12.47"</f>
        <v>12.47</v>
      </c>
      <c r="CH1003" s="15" t="str">
        <f>"0.353"</f>
        <v>0.353</v>
      </c>
      <c r="CI1003" s="15" t="s">
        <v>497</v>
      </c>
      <c r="CZ1003" s="15" t="s">
        <v>419</v>
      </c>
      <c r="DA1003" s="15">
        <v>0.0</v>
      </c>
      <c r="DB1003" s="15" t="s">
        <v>419</v>
      </c>
      <c r="DD1003" s="15">
        <v>0.0</v>
      </c>
      <c r="DF1003" s="15" t="s">
        <v>1186</v>
      </c>
      <c r="DG1003" s="15" t="s">
        <v>419</v>
      </c>
      <c r="DK1003" s="15">
        <v>0.0</v>
      </c>
      <c r="DR1003" s="15" t="s">
        <v>498</v>
      </c>
      <c r="DS1003" s="15" t="s">
        <v>9900</v>
      </c>
      <c r="DU1003" s="15" t="s">
        <v>500</v>
      </c>
      <c r="EF1003" s="15" t="s">
        <v>3668</v>
      </c>
      <c r="EQ1003" s="15" t="s">
        <v>558</v>
      </c>
      <c r="ER1003" s="15" t="s">
        <v>504</v>
      </c>
      <c r="ES1003" s="15" t="s">
        <v>558</v>
      </c>
      <c r="ET1003" s="15" t="s">
        <v>2046</v>
      </c>
      <c r="EU1003" s="15" t="s">
        <v>426</v>
      </c>
      <c r="EV1003" s="15">
        <v>0.0</v>
      </c>
      <c r="EW1003" s="15">
        <v>0.0</v>
      </c>
    </row>
    <row r="1004" ht="17.25" customHeight="1">
      <c r="A1004" s="15" t="s">
        <v>9903</v>
      </c>
      <c r="B1004" s="15" t="str">
        <f>"801542793081"</f>
        <v>801542793081</v>
      </c>
      <c r="C1004" s="15" t="s">
        <v>23590</v>
      </c>
      <c r="D1004" s="15" t="str">
        <f t="shared" si="1"/>
        <v>Tomlin Outdoor End TableTeak Root</v>
      </c>
      <c r="E1004" s="15" t="s">
        <v>9901</v>
      </c>
      <c r="F1004" s="15" t="s">
        <v>397</v>
      </c>
      <c r="G1004" s="15" t="s">
        <v>9895</v>
      </c>
      <c r="J1004" s="15" t="s">
        <v>9895</v>
      </c>
      <c r="M1004" s="15" t="s">
        <v>6376</v>
      </c>
      <c r="N1004" s="15" t="s">
        <v>6377</v>
      </c>
      <c r="O1004" s="15" t="s">
        <v>6378</v>
      </c>
      <c r="P1004" s="15" t="str">
        <f t="shared" ref="P1004:Q1004" si="2866">"19.75"</f>
        <v>19.75</v>
      </c>
      <c r="Q1004" s="15" t="str">
        <f t="shared" si="2866"/>
        <v>19.75</v>
      </c>
      <c r="R1004" s="15" t="str">
        <f>"21.75"</f>
        <v>21.75</v>
      </c>
      <c r="S1004" s="15" t="str">
        <f>"51.37"</f>
        <v>51.37</v>
      </c>
      <c r="T1004" s="15" t="s">
        <v>6375</v>
      </c>
      <c r="U1004" s="15" t="s">
        <v>17901</v>
      </c>
      <c r="AA1004" s="15" t="s">
        <v>413</v>
      </c>
      <c r="AB1004" s="15" t="s">
        <v>413</v>
      </c>
      <c r="AC1004" s="15" t="s">
        <v>9906</v>
      </c>
      <c r="AD1004" s="15" t="s">
        <v>23591</v>
      </c>
      <c r="AE1004" s="15" t="s">
        <v>9905</v>
      </c>
      <c r="AF1004" s="15" t="s">
        <v>23592</v>
      </c>
      <c r="AG1004" s="15" t="s">
        <v>23593</v>
      </c>
      <c r="AH1004" s="15" t="s">
        <v>23594</v>
      </c>
      <c r="AI1004" s="15" t="s">
        <v>23595</v>
      </c>
      <c r="AJ1004" s="15" t="s">
        <v>23596</v>
      </c>
      <c r="AK1004" s="15" t="s">
        <v>23597</v>
      </c>
      <c r="BH1004" s="15" t="s">
        <v>9902</v>
      </c>
      <c r="BI1004" s="15" t="str">
        <f>"649"</f>
        <v>649</v>
      </c>
      <c r="BJ1004" s="15" t="str">
        <f>"275"</f>
        <v>275</v>
      </c>
      <c r="BK1004" s="15" t="s">
        <v>1181</v>
      </c>
      <c r="BL1004" s="15" t="str">
        <f t="shared" si="2851"/>
        <v>1</v>
      </c>
      <c r="BM1004" s="15" t="s">
        <v>416</v>
      </c>
      <c r="BN1004" s="15" t="str">
        <f t="shared" ref="BN1004:BO1004" si="2867">"22.83"</f>
        <v>22.83</v>
      </c>
      <c r="BO1004" s="15" t="str">
        <f t="shared" si="2867"/>
        <v>22.83</v>
      </c>
      <c r="BP1004" s="15" t="str">
        <f>"26.38"</f>
        <v>26.38</v>
      </c>
      <c r="BQ1004" s="15" t="str">
        <f>"61.73"</f>
        <v>61.73</v>
      </c>
      <c r="CG1004" s="15" t="str">
        <f>"7.95"</f>
        <v>7.95</v>
      </c>
      <c r="CH1004" s="15" t="str">
        <f>"0.225"</f>
        <v>0.225</v>
      </c>
      <c r="CI1004" s="15" t="s">
        <v>497</v>
      </c>
      <c r="CZ1004" s="15" t="s">
        <v>419</v>
      </c>
      <c r="DA1004" s="15">
        <v>0.0</v>
      </c>
      <c r="DB1004" s="15" t="s">
        <v>419</v>
      </c>
      <c r="DD1004" s="15">
        <v>0.0</v>
      </c>
      <c r="DF1004" s="15" t="s">
        <v>1186</v>
      </c>
      <c r="DG1004" s="15" t="s">
        <v>419</v>
      </c>
      <c r="DK1004" s="15">
        <v>0.0</v>
      </c>
      <c r="DR1004" s="15" t="s">
        <v>498</v>
      </c>
      <c r="DS1004" s="15" t="s">
        <v>9900</v>
      </c>
      <c r="DU1004" s="15" t="s">
        <v>500</v>
      </c>
      <c r="EF1004" s="15" t="s">
        <v>3668</v>
      </c>
      <c r="EQ1004" s="15" t="s">
        <v>6272</v>
      </c>
      <c r="ER1004" s="15" t="s">
        <v>2497</v>
      </c>
      <c r="ES1004" s="15" t="s">
        <v>6272</v>
      </c>
      <c r="ET1004" s="15" t="s">
        <v>2046</v>
      </c>
      <c r="EU1004" s="15" t="s">
        <v>426</v>
      </c>
      <c r="EV1004" s="15">
        <v>0.0</v>
      </c>
      <c r="EW1004" s="15">
        <v>0.0</v>
      </c>
    </row>
    <row r="1005" ht="17.25" customHeight="1">
      <c r="A1005" s="15" t="s">
        <v>9909</v>
      </c>
      <c r="B1005" s="15" t="str">
        <f>"801542321604"</f>
        <v>801542321604</v>
      </c>
      <c r="C1005" s="15" t="s">
        <v>23598</v>
      </c>
      <c r="D1005" s="15" t="str">
        <f t="shared" si="1"/>
        <v>Topanga Sofa-97"Knoll Domino</v>
      </c>
      <c r="E1005" s="15" t="s">
        <v>9907</v>
      </c>
      <c r="F1005" s="15" t="s">
        <v>397</v>
      </c>
      <c r="G1005" s="15" t="s">
        <v>9290</v>
      </c>
      <c r="J1005" s="15" t="s">
        <v>9290</v>
      </c>
      <c r="M1005" s="15" t="s">
        <v>915</v>
      </c>
      <c r="N1005" s="15" t="s">
        <v>1732</v>
      </c>
      <c r="P1005" s="15" t="str">
        <f>"97"</f>
        <v>97</v>
      </c>
      <c r="Q1005" s="15" t="str">
        <f>"35"</f>
        <v>35</v>
      </c>
      <c r="R1005" s="15" t="str">
        <f>"32"</f>
        <v>32</v>
      </c>
      <c r="S1005" s="15" t="str">
        <f>"121.25"</f>
        <v>121.25</v>
      </c>
      <c r="T1005" s="15" t="s">
        <v>9911</v>
      </c>
      <c r="U1005" s="15" t="s">
        <v>11234</v>
      </c>
      <c r="V1005" s="15" t="s">
        <v>11371</v>
      </c>
      <c r="AA1005" s="15" t="s">
        <v>413</v>
      </c>
      <c r="AB1005" s="15" t="s">
        <v>426</v>
      </c>
      <c r="AC1005" s="15" t="s">
        <v>9912</v>
      </c>
      <c r="AD1005" s="15" t="s">
        <v>23599</v>
      </c>
      <c r="AE1005" s="15" t="s">
        <v>9910</v>
      </c>
      <c r="AF1005" s="15" t="s">
        <v>23600</v>
      </c>
      <c r="AG1005" s="15" t="s">
        <v>23601</v>
      </c>
      <c r="AH1005" s="15" t="s">
        <v>23602</v>
      </c>
      <c r="AI1005" s="15" t="s">
        <v>23603</v>
      </c>
      <c r="AJ1005" s="15" t="s">
        <v>23604</v>
      </c>
      <c r="AK1005" s="15" t="s">
        <v>23605</v>
      </c>
      <c r="AL1005" s="15" t="s">
        <v>23606</v>
      </c>
      <c r="AM1005" s="15" t="s">
        <v>23607</v>
      </c>
      <c r="AN1005" s="15" t="s">
        <v>23608</v>
      </c>
      <c r="AO1005" s="15" t="s">
        <v>23609</v>
      </c>
      <c r="AP1005" s="15" t="s">
        <v>23610</v>
      </c>
      <c r="AQ1005" s="15" t="s">
        <v>23611</v>
      </c>
      <c r="AR1005" s="15" t="s">
        <v>23612</v>
      </c>
      <c r="AS1005" s="15" t="s">
        <v>23613</v>
      </c>
      <c r="AT1005" s="15" t="s">
        <v>23614</v>
      </c>
      <c r="AU1005" s="15" t="s">
        <v>23615</v>
      </c>
      <c r="AV1005" s="15" t="s">
        <v>23616</v>
      </c>
      <c r="AW1005" s="15" t="s">
        <v>23617</v>
      </c>
      <c r="AX1005" s="15" t="s">
        <v>23618</v>
      </c>
      <c r="AY1005" s="15" t="s">
        <v>23619</v>
      </c>
      <c r="AZ1005" s="15" t="s">
        <v>23620</v>
      </c>
      <c r="BA1005" s="15" t="s">
        <v>23621</v>
      </c>
      <c r="BB1005" s="15" t="s">
        <v>23622</v>
      </c>
      <c r="BC1005" s="15" t="s">
        <v>23623</v>
      </c>
      <c r="BD1005" s="15" t="s">
        <v>22784</v>
      </c>
      <c r="BH1005" s="15" t="s">
        <v>9908</v>
      </c>
      <c r="BI1005" s="15" t="str">
        <f>"2099"</f>
        <v>2099</v>
      </c>
      <c r="BJ1005" s="15" t="str">
        <f>"885"</f>
        <v>885</v>
      </c>
      <c r="BK1005" s="15" t="s">
        <v>709</v>
      </c>
      <c r="BL1005" s="15" t="str">
        <f t="shared" si="2851"/>
        <v>1</v>
      </c>
      <c r="BM1005" s="15" t="s">
        <v>416</v>
      </c>
      <c r="BN1005" s="15" t="str">
        <f>"97.64"</f>
        <v>97.64</v>
      </c>
      <c r="BO1005" s="15" t="str">
        <f>"35.04"</f>
        <v>35.04</v>
      </c>
      <c r="BP1005" s="15" t="str">
        <f>"27.56"</f>
        <v>27.56</v>
      </c>
      <c r="BQ1005" s="15" t="str">
        <f>"154.32"</f>
        <v>154.32</v>
      </c>
      <c r="CG1005" s="15" t="str">
        <f>"54.56"</f>
        <v>54.56</v>
      </c>
      <c r="CH1005" s="15" t="str">
        <f>"1.545"</f>
        <v>1.545</v>
      </c>
      <c r="CI1005" s="15" t="s">
        <v>465</v>
      </c>
      <c r="CP1005" s="15" t="s">
        <v>1574</v>
      </c>
      <c r="CQ1005" s="15" t="s">
        <v>2402</v>
      </c>
      <c r="CR1005" s="15" t="s">
        <v>2404</v>
      </c>
      <c r="CS1005" s="15" t="s">
        <v>1072</v>
      </c>
      <c r="CT1005" s="15" t="s">
        <v>467</v>
      </c>
      <c r="CV1005" s="15">
        <v>0.0</v>
      </c>
      <c r="CW1005" s="15">
        <v>2.0</v>
      </c>
      <c r="CX1005" s="15" t="s">
        <v>717</v>
      </c>
      <c r="CY1005" s="15" t="s">
        <v>855</v>
      </c>
      <c r="DC1005" s="15" t="s">
        <v>1066</v>
      </c>
      <c r="DF1005" s="15" t="s">
        <v>721</v>
      </c>
      <c r="DG1005" s="15" t="s">
        <v>419</v>
      </c>
      <c r="DH1005" s="15">
        <v>0.0</v>
      </c>
      <c r="DL1005" s="15">
        <v>25000.0</v>
      </c>
      <c r="DM1005" s="15" t="s">
        <v>990</v>
      </c>
      <c r="DN1005" s="15" t="s">
        <v>723</v>
      </c>
      <c r="DO1005" s="15" t="s">
        <v>724</v>
      </c>
      <c r="DP1005" s="15">
        <v>1.0</v>
      </c>
      <c r="DQ1005" s="15">
        <v>5.0</v>
      </c>
      <c r="DS1005" s="15" t="s">
        <v>9913</v>
      </c>
      <c r="DT1005" s="15">
        <v>0.0</v>
      </c>
      <c r="DU1005" s="15" t="s">
        <v>1636</v>
      </c>
      <c r="DV1005" s="15" t="s">
        <v>525</v>
      </c>
      <c r="DW1005" s="15" t="s">
        <v>477</v>
      </c>
      <c r="DX1005" s="15" t="s">
        <v>3500</v>
      </c>
      <c r="EB1005" s="15" t="s">
        <v>477</v>
      </c>
      <c r="EC1005" s="15" t="s">
        <v>2402</v>
      </c>
      <c r="ED1005" s="15" t="s">
        <v>788</v>
      </c>
      <c r="EE1005" s="15" t="s">
        <v>4843</v>
      </c>
      <c r="EF1005" s="15" t="s">
        <v>672</v>
      </c>
      <c r="EG1005" s="15" t="s">
        <v>1700</v>
      </c>
      <c r="EH1005" s="15" t="s">
        <v>3842</v>
      </c>
      <c r="EI1005" s="15" t="s">
        <v>475</v>
      </c>
      <c r="EL1005" s="15" t="s">
        <v>723</v>
      </c>
      <c r="EM1005" s="15" t="s">
        <v>1076</v>
      </c>
      <c r="EN1005" s="15" t="s">
        <v>1289</v>
      </c>
      <c r="EO1005" s="15" t="s">
        <v>1290</v>
      </c>
      <c r="EX1005" s="15" t="s">
        <v>1737</v>
      </c>
      <c r="EY1005" s="15" t="s">
        <v>2404</v>
      </c>
      <c r="FB1005" s="15" t="s">
        <v>2436</v>
      </c>
    </row>
    <row r="1006" ht="17.25" customHeight="1">
      <c r="A1006" s="15" t="s">
        <v>9916</v>
      </c>
      <c r="B1006" s="15" t="str">
        <f>"801542030506"</f>
        <v>801542030506</v>
      </c>
      <c r="C1006" s="15" t="s">
        <v>23624</v>
      </c>
      <c r="D1006" s="15" t="str">
        <f t="shared" si="1"/>
        <v>Topanga Swivel ChairHeirloom Black</v>
      </c>
      <c r="E1006" s="15" t="s">
        <v>9914</v>
      </c>
      <c r="F1006" s="15" t="s">
        <v>397</v>
      </c>
      <c r="G1006" s="15" t="s">
        <v>2575</v>
      </c>
      <c r="J1006" s="15" t="s">
        <v>2575</v>
      </c>
      <c r="M1006" s="15" t="s">
        <v>915</v>
      </c>
      <c r="N1006" s="15" t="s">
        <v>706</v>
      </c>
      <c r="O1006" s="15" t="s">
        <v>707</v>
      </c>
      <c r="P1006" s="15" t="str">
        <f t="shared" ref="P1006:P1011" si="2868">"32"</f>
        <v>32</v>
      </c>
      <c r="Q1006" s="15" t="str">
        <f t="shared" ref="Q1006:Q1009" si="2869">"35.5"</f>
        <v>35.5</v>
      </c>
      <c r="R1006" s="15" t="str">
        <f t="shared" ref="R1006:R1009" si="2870">"28.25"</f>
        <v>28.25</v>
      </c>
      <c r="S1006" s="15" t="str">
        <f t="shared" ref="S1006:S1007" si="2871">"62.61"</f>
        <v>62.61</v>
      </c>
      <c r="T1006" s="15" t="s">
        <v>1600</v>
      </c>
      <c r="U1006" s="15" t="s">
        <v>11137</v>
      </c>
      <c r="AA1006" s="15" t="s">
        <v>413</v>
      </c>
      <c r="AB1006" s="15" t="s">
        <v>413</v>
      </c>
      <c r="AC1006" s="15" t="s">
        <v>9918</v>
      </c>
      <c r="AD1006" s="15" t="s">
        <v>23625</v>
      </c>
      <c r="AE1006" s="15" t="s">
        <v>9917</v>
      </c>
      <c r="AF1006" s="15" t="s">
        <v>23626</v>
      </c>
      <c r="AG1006" s="15" t="s">
        <v>23627</v>
      </c>
      <c r="AH1006" s="15" t="s">
        <v>23628</v>
      </c>
      <c r="AI1006" s="15" t="s">
        <v>23629</v>
      </c>
      <c r="AJ1006" s="15" t="s">
        <v>23630</v>
      </c>
      <c r="AK1006" s="15" t="s">
        <v>23631</v>
      </c>
      <c r="AL1006" s="15" t="s">
        <v>23632</v>
      </c>
      <c r="AM1006" s="15" t="s">
        <v>23633</v>
      </c>
      <c r="AN1006" s="15" t="s">
        <v>23634</v>
      </c>
      <c r="BH1006" s="15" t="s">
        <v>9915</v>
      </c>
      <c r="BI1006" s="15" t="str">
        <f t="shared" ref="BI1006:BI1007" si="2872">"1649"</f>
        <v>1649</v>
      </c>
      <c r="BJ1006" s="15" t="str">
        <f t="shared" ref="BJ1006:BJ1007" si="2873">"695"</f>
        <v>695</v>
      </c>
      <c r="BK1006" s="15" t="s">
        <v>709</v>
      </c>
      <c r="BL1006" s="15" t="str">
        <f t="shared" si="2851"/>
        <v>1</v>
      </c>
      <c r="BM1006" s="15" t="s">
        <v>416</v>
      </c>
      <c r="BN1006" s="15" t="str">
        <f t="shared" ref="BN1006:BN1007" si="2874">"36.02"</f>
        <v>36.02</v>
      </c>
      <c r="BO1006" s="15" t="str">
        <f t="shared" ref="BO1006:BO1007" si="2875">"33.07"</f>
        <v>33.07</v>
      </c>
      <c r="BP1006" s="15" t="str">
        <f t="shared" ref="BP1006:BP1007" si="2876">"28.74"</f>
        <v>28.74</v>
      </c>
      <c r="BQ1006" s="15" t="str">
        <f t="shared" ref="BQ1006:BQ1007" si="2877">"73.63"</f>
        <v>73.63</v>
      </c>
      <c r="CG1006" s="15" t="str">
        <f t="shared" ref="CG1006:CG1007" si="2878">"19.81"</f>
        <v>19.81</v>
      </c>
      <c r="CH1006" s="15" t="str">
        <f t="shared" ref="CH1006:CH1007" si="2879">"0.561"</f>
        <v>0.561</v>
      </c>
      <c r="CI1006" s="15" t="s">
        <v>417</v>
      </c>
      <c r="CP1006" s="15" t="s">
        <v>3512</v>
      </c>
      <c r="CQ1006" s="15" t="s">
        <v>3856</v>
      </c>
      <c r="CR1006" s="15" t="s">
        <v>2652</v>
      </c>
      <c r="CS1006" s="15" t="s">
        <v>1700</v>
      </c>
      <c r="CT1006" s="15" t="s">
        <v>823</v>
      </c>
      <c r="CU1006" s="15" t="s">
        <v>2019</v>
      </c>
      <c r="CV1006" s="15">
        <v>0.0</v>
      </c>
      <c r="CW1006" s="15">
        <v>1.0</v>
      </c>
      <c r="CX1006" s="15" t="s">
        <v>717</v>
      </c>
      <c r="CY1006" s="15" t="s">
        <v>718</v>
      </c>
      <c r="DC1006" s="15" t="s">
        <v>997</v>
      </c>
      <c r="DF1006" s="15" t="s">
        <v>1186</v>
      </c>
      <c r="DG1006" s="15" t="s">
        <v>1605</v>
      </c>
      <c r="DH1006" s="15">
        <v>0.0</v>
      </c>
      <c r="DL1006" s="15">
        <v>0.0</v>
      </c>
      <c r="DM1006" s="15" t="s">
        <v>722</v>
      </c>
      <c r="DN1006" s="15" t="s">
        <v>723</v>
      </c>
      <c r="DO1006" s="15" t="s">
        <v>724</v>
      </c>
      <c r="DP1006" s="15">
        <v>1.0</v>
      </c>
      <c r="DQ1006" s="15">
        <v>1.0</v>
      </c>
      <c r="DS1006" s="15" t="s">
        <v>9913</v>
      </c>
      <c r="DT1006" s="15">
        <v>0.0</v>
      </c>
      <c r="DU1006" s="15" t="s">
        <v>726</v>
      </c>
      <c r="DV1006" s="15" t="s">
        <v>1603</v>
      </c>
      <c r="DW1006" s="15" t="s">
        <v>2050</v>
      </c>
      <c r="DX1006" s="15" t="s">
        <v>3512</v>
      </c>
      <c r="EB1006" s="15" t="s">
        <v>2050</v>
      </c>
      <c r="EC1006" s="15" t="s">
        <v>761</v>
      </c>
      <c r="ED1006" s="15" t="s">
        <v>2156</v>
      </c>
      <c r="EE1006" s="15" t="s">
        <v>3129</v>
      </c>
      <c r="EF1006" s="15" t="s">
        <v>2144</v>
      </c>
      <c r="EI1006" s="15" t="s">
        <v>1254</v>
      </c>
      <c r="EL1006" s="15" t="s">
        <v>723</v>
      </c>
      <c r="EM1006" s="15" t="s">
        <v>1076</v>
      </c>
      <c r="EN1006" s="15" t="s">
        <v>3408</v>
      </c>
      <c r="EO1006" s="15" t="s">
        <v>997</v>
      </c>
      <c r="EX1006" s="15" t="s">
        <v>9920</v>
      </c>
      <c r="EY1006" s="15" t="s">
        <v>2652</v>
      </c>
      <c r="EZ1006" s="15">
        <v>0.0</v>
      </c>
      <c r="FA1006" s="15">
        <v>0.0</v>
      </c>
      <c r="FC1006" s="15">
        <v>0.0</v>
      </c>
      <c r="HU1006" s="15" t="s">
        <v>1610</v>
      </c>
    </row>
    <row r="1007" ht="17.25" customHeight="1">
      <c r="A1007" s="15" t="s">
        <v>9922</v>
      </c>
      <c r="B1007" s="15" t="str">
        <f>"801542030513"</f>
        <v>801542030513</v>
      </c>
      <c r="C1007" s="15" t="s">
        <v>23635</v>
      </c>
      <c r="D1007" s="15" t="str">
        <f t="shared" si="1"/>
        <v>Topanga Swivel ChairHeirloom Sienna</v>
      </c>
      <c r="E1007" s="15" t="s">
        <v>9914</v>
      </c>
      <c r="F1007" s="15" t="s">
        <v>397</v>
      </c>
      <c r="G1007" s="15" t="s">
        <v>1596</v>
      </c>
      <c r="J1007" s="15" t="s">
        <v>1596</v>
      </c>
      <c r="M1007" s="15" t="s">
        <v>915</v>
      </c>
      <c r="N1007" s="15" t="s">
        <v>706</v>
      </c>
      <c r="O1007" s="15" t="s">
        <v>707</v>
      </c>
      <c r="P1007" s="15" t="str">
        <f t="shared" si="2868"/>
        <v>32</v>
      </c>
      <c r="Q1007" s="15" t="str">
        <f t="shared" si="2869"/>
        <v>35.5</v>
      </c>
      <c r="R1007" s="15" t="str">
        <f t="shared" si="2870"/>
        <v>28.25</v>
      </c>
      <c r="S1007" s="15" t="str">
        <f t="shared" si="2871"/>
        <v>62.61</v>
      </c>
      <c r="T1007" s="15" t="s">
        <v>1600</v>
      </c>
      <c r="U1007" s="15" t="s">
        <v>11137</v>
      </c>
      <c r="AA1007" s="15" t="s">
        <v>413</v>
      </c>
      <c r="AB1007" s="15" t="s">
        <v>413</v>
      </c>
      <c r="AC1007" s="15" t="s">
        <v>9924</v>
      </c>
      <c r="AD1007" s="15" t="s">
        <v>23636</v>
      </c>
      <c r="AE1007" s="15" t="s">
        <v>9923</v>
      </c>
      <c r="AF1007" s="15" t="s">
        <v>23637</v>
      </c>
      <c r="AG1007" s="15" t="s">
        <v>23638</v>
      </c>
      <c r="AH1007" s="15" t="s">
        <v>23639</v>
      </c>
      <c r="AI1007" s="15" t="s">
        <v>23640</v>
      </c>
      <c r="AJ1007" s="15" t="s">
        <v>23641</v>
      </c>
      <c r="AK1007" s="15" t="s">
        <v>11838</v>
      </c>
      <c r="AL1007" s="15" t="s">
        <v>23642</v>
      </c>
      <c r="AM1007" s="15" t="s">
        <v>23643</v>
      </c>
      <c r="AN1007" s="15" t="s">
        <v>23644</v>
      </c>
      <c r="AO1007" s="15" t="s">
        <v>23645</v>
      </c>
      <c r="AP1007" s="15" t="s">
        <v>23646</v>
      </c>
      <c r="BH1007" s="15" t="s">
        <v>9921</v>
      </c>
      <c r="BI1007" s="15" t="str">
        <f t="shared" si="2872"/>
        <v>1649</v>
      </c>
      <c r="BJ1007" s="15" t="str">
        <f t="shared" si="2873"/>
        <v>695</v>
      </c>
      <c r="BK1007" s="15" t="s">
        <v>709</v>
      </c>
      <c r="BL1007" s="15" t="str">
        <f t="shared" si="2851"/>
        <v>1</v>
      </c>
      <c r="BM1007" s="15" t="s">
        <v>416</v>
      </c>
      <c r="BN1007" s="15" t="str">
        <f t="shared" si="2874"/>
        <v>36.02</v>
      </c>
      <c r="BO1007" s="15" t="str">
        <f t="shared" si="2875"/>
        <v>33.07</v>
      </c>
      <c r="BP1007" s="15" t="str">
        <f t="shared" si="2876"/>
        <v>28.74</v>
      </c>
      <c r="BQ1007" s="15" t="str">
        <f t="shared" si="2877"/>
        <v>73.63</v>
      </c>
      <c r="CG1007" s="15" t="str">
        <f t="shared" si="2878"/>
        <v>19.81</v>
      </c>
      <c r="CH1007" s="15" t="str">
        <f t="shared" si="2879"/>
        <v>0.561</v>
      </c>
      <c r="CI1007" s="15" t="s">
        <v>497</v>
      </c>
      <c r="CP1007" s="15" t="s">
        <v>3512</v>
      </c>
      <c r="CQ1007" s="15" t="s">
        <v>3856</v>
      </c>
      <c r="CR1007" s="15" t="s">
        <v>2652</v>
      </c>
      <c r="CS1007" s="15" t="s">
        <v>1700</v>
      </c>
      <c r="CT1007" s="15" t="s">
        <v>823</v>
      </c>
      <c r="CU1007" s="15" t="s">
        <v>2019</v>
      </c>
      <c r="CV1007" s="15">
        <v>0.0</v>
      </c>
      <c r="CW1007" s="15">
        <v>1.0</v>
      </c>
      <c r="CX1007" s="15" t="s">
        <v>717</v>
      </c>
      <c r="CY1007" s="15" t="s">
        <v>718</v>
      </c>
      <c r="DC1007" s="15" t="s">
        <v>997</v>
      </c>
      <c r="DF1007" s="15" t="s">
        <v>1186</v>
      </c>
      <c r="DG1007" s="15" t="s">
        <v>1605</v>
      </c>
      <c r="DH1007" s="15">
        <v>0.0</v>
      </c>
      <c r="DL1007" s="15">
        <v>0.0</v>
      </c>
      <c r="DM1007" s="15" t="s">
        <v>722</v>
      </c>
      <c r="DN1007" s="15" t="s">
        <v>723</v>
      </c>
      <c r="DO1007" s="15" t="s">
        <v>724</v>
      </c>
      <c r="DP1007" s="15">
        <v>1.0</v>
      </c>
      <c r="DQ1007" s="15">
        <v>1.0</v>
      </c>
      <c r="DS1007" s="15" t="s">
        <v>9913</v>
      </c>
      <c r="DT1007" s="15">
        <v>0.0</v>
      </c>
      <c r="DU1007" s="15" t="s">
        <v>726</v>
      </c>
      <c r="DV1007" s="15" t="s">
        <v>1603</v>
      </c>
      <c r="DW1007" s="15" t="s">
        <v>2050</v>
      </c>
      <c r="DX1007" s="15" t="s">
        <v>3512</v>
      </c>
      <c r="EB1007" s="15" t="s">
        <v>2050</v>
      </c>
      <c r="EC1007" s="15" t="s">
        <v>761</v>
      </c>
      <c r="ED1007" s="15" t="s">
        <v>2156</v>
      </c>
      <c r="EE1007" s="15" t="s">
        <v>3129</v>
      </c>
      <c r="EF1007" s="15" t="s">
        <v>2144</v>
      </c>
      <c r="EI1007" s="15" t="s">
        <v>1254</v>
      </c>
      <c r="EL1007" s="15" t="s">
        <v>723</v>
      </c>
      <c r="EM1007" s="15" t="s">
        <v>1076</v>
      </c>
      <c r="EN1007" s="15" t="s">
        <v>3408</v>
      </c>
      <c r="EO1007" s="15" t="s">
        <v>997</v>
      </c>
      <c r="EX1007" s="15" t="s">
        <v>9920</v>
      </c>
      <c r="EY1007" s="15" t="s">
        <v>2652</v>
      </c>
      <c r="EZ1007" s="15">
        <v>0.0</v>
      </c>
      <c r="FA1007" s="15">
        <v>0.0</v>
      </c>
      <c r="FC1007" s="15">
        <v>0.0</v>
      </c>
      <c r="HU1007" s="15" t="s">
        <v>1610</v>
      </c>
    </row>
    <row r="1008" ht="17.25" customHeight="1">
      <c r="A1008" s="15" t="s">
        <v>9926</v>
      </c>
      <c r="B1008" s="15" t="str">
        <f>"801542568283"</f>
        <v>801542568283</v>
      </c>
      <c r="C1008" s="15" t="s">
        <v>23647</v>
      </c>
      <c r="D1008" s="15" t="str">
        <f t="shared" si="1"/>
        <v>Topanga Swivel ChairKnoll Domino</v>
      </c>
      <c r="E1008" s="15" t="s">
        <v>9914</v>
      </c>
      <c r="F1008" s="15" t="s">
        <v>397</v>
      </c>
      <c r="G1008" s="15" t="s">
        <v>9290</v>
      </c>
      <c r="J1008" s="15" t="s">
        <v>9290</v>
      </c>
      <c r="M1008" s="15" t="s">
        <v>3901</v>
      </c>
      <c r="N1008" s="15" t="s">
        <v>706</v>
      </c>
      <c r="O1008" s="15" t="s">
        <v>707</v>
      </c>
      <c r="P1008" s="15" t="str">
        <f t="shared" si="2868"/>
        <v>32</v>
      </c>
      <c r="Q1008" s="15" t="str">
        <f t="shared" si="2869"/>
        <v>35.5</v>
      </c>
      <c r="R1008" s="15" t="str">
        <f t="shared" si="2870"/>
        <v>28.25</v>
      </c>
      <c r="S1008" s="15" t="str">
        <f t="shared" ref="S1008:S1009" si="2880">"74.96"</f>
        <v>74.96</v>
      </c>
      <c r="T1008" s="15" t="s">
        <v>9911</v>
      </c>
      <c r="U1008" s="15" t="s">
        <v>11234</v>
      </c>
      <c r="V1008" s="15" t="s">
        <v>11371</v>
      </c>
      <c r="AA1008" s="15" t="s">
        <v>426</v>
      </c>
      <c r="AB1008" s="15" t="s">
        <v>426</v>
      </c>
      <c r="AC1008" s="15" t="s">
        <v>9928</v>
      </c>
      <c r="AD1008" s="15" t="s">
        <v>23648</v>
      </c>
      <c r="AE1008" s="15" t="s">
        <v>9927</v>
      </c>
      <c r="AF1008" s="15" t="s">
        <v>23649</v>
      </c>
      <c r="AG1008" s="15" t="s">
        <v>23650</v>
      </c>
      <c r="AH1008" s="15" t="s">
        <v>23651</v>
      </c>
      <c r="AI1008" s="15" t="s">
        <v>23652</v>
      </c>
      <c r="AJ1008" s="15" t="s">
        <v>23653</v>
      </c>
      <c r="AK1008" s="15" t="s">
        <v>23654</v>
      </c>
      <c r="AL1008" s="15" t="s">
        <v>23655</v>
      </c>
      <c r="AM1008" s="15" t="s">
        <v>23656</v>
      </c>
      <c r="AN1008" s="15" t="s">
        <v>23657</v>
      </c>
      <c r="AO1008" s="15" t="s">
        <v>23658</v>
      </c>
      <c r="AP1008" s="15" t="s">
        <v>23659</v>
      </c>
      <c r="AQ1008" s="15" t="s">
        <v>23660</v>
      </c>
      <c r="AR1008" s="15" t="s">
        <v>23661</v>
      </c>
      <c r="BH1008" s="15" t="s">
        <v>9925</v>
      </c>
      <c r="BI1008" s="15" t="str">
        <f t="shared" ref="BI1008:BI1009" si="2881">"1049"</f>
        <v>1049</v>
      </c>
      <c r="BJ1008" s="15" t="str">
        <f t="shared" ref="BJ1008:BJ1009" si="2882">"445"</f>
        <v>445</v>
      </c>
      <c r="BK1008" s="15" t="s">
        <v>742</v>
      </c>
      <c r="BL1008" s="15" t="str">
        <f t="shared" si="2851"/>
        <v>1</v>
      </c>
      <c r="BM1008" s="15" t="s">
        <v>416</v>
      </c>
      <c r="BN1008" s="15" t="str">
        <f t="shared" ref="BN1008:BN1009" si="2883">"38.19"</f>
        <v>38.19</v>
      </c>
      <c r="BO1008" s="15" t="str">
        <f t="shared" ref="BO1008:BO1009" si="2884">"34.45"</f>
        <v>34.45</v>
      </c>
      <c r="BP1008" s="15" t="str">
        <f t="shared" ref="BP1008:BP1009" si="2885">"30.91"</f>
        <v>30.91</v>
      </c>
      <c r="BQ1008" s="15" t="str">
        <f t="shared" ref="BQ1008:BQ1009" si="2886">"96.12"</f>
        <v>96.12</v>
      </c>
      <c r="CG1008" s="15" t="str">
        <f t="shared" ref="CG1008:CG1009" si="2887">"23.52"</f>
        <v>23.52</v>
      </c>
      <c r="CH1008" s="15" t="str">
        <f t="shared" ref="CH1008:CH1009" si="2888">"0.666"</f>
        <v>0.666</v>
      </c>
      <c r="CI1008" s="15" t="s">
        <v>497</v>
      </c>
      <c r="CP1008" s="15" t="s">
        <v>3512</v>
      </c>
      <c r="CQ1008" s="15" t="s">
        <v>3856</v>
      </c>
      <c r="CR1008" s="15" t="s">
        <v>2652</v>
      </c>
      <c r="CS1008" s="15" t="s">
        <v>1700</v>
      </c>
      <c r="CT1008" s="15" t="s">
        <v>823</v>
      </c>
      <c r="CU1008" s="15" t="s">
        <v>2019</v>
      </c>
      <c r="CV1008" s="15">
        <v>0.0</v>
      </c>
      <c r="CW1008" s="15">
        <v>1.0</v>
      </c>
      <c r="CX1008" s="15" t="s">
        <v>717</v>
      </c>
      <c r="CY1008" s="15" t="s">
        <v>855</v>
      </c>
      <c r="DC1008" s="15" t="s">
        <v>9930</v>
      </c>
      <c r="DF1008" s="15" t="s">
        <v>1186</v>
      </c>
      <c r="DG1008" s="15" t="s">
        <v>1605</v>
      </c>
      <c r="DH1008" s="15">
        <v>0.0</v>
      </c>
      <c r="DL1008" s="15">
        <v>25000.0</v>
      </c>
      <c r="DM1008" s="15" t="s">
        <v>722</v>
      </c>
      <c r="DN1008" s="15" t="s">
        <v>723</v>
      </c>
      <c r="DO1008" s="15" t="s">
        <v>724</v>
      </c>
      <c r="DP1008" s="15">
        <v>1.0</v>
      </c>
      <c r="DQ1008" s="15">
        <v>1.0</v>
      </c>
      <c r="DS1008" s="15" t="s">
        <v>9913</v>
      </c>
      <c r="DT1008" s="15">
        <v>0.0</v>
      </c>
      <c r="DU1008" s="15" t="s">
        <v>726</v>
      </c>
      <c r="DV1008" s="15" t="s">
        <v>1603</v>
      </c>
      <c r="DW1008" s="15" t="s">
        <v>2050</v>
      </c>
      <c r="DX1008" s="15" t="s">
        <v>3512</v>
      </c>
      <c r="EB1008" s="15" t="s">
        <v>2050</v>
      </c>
      <c r="EC1008" s="15" t="s">
        <v>761</v>
      </c>
      <c r="ED1008" s="15" t="s">
        <v>2156</v>
      </c>
      <c r="EE1008" s="15" t="s">
        <v>3129</v>
      </c>
      <c r="EF1008" s="15" t="s">
        <v>2144</v>
      </c>
      <c r="EI1008" s="15" t="s">
        <v>1254</v>
      </c>
      <c r="EL1008" s="15" t="s">
        <v>723</v>
      </c>
      <c r="EM1008" s="15" t="s">
        <v>1076</v>
      </c>
      <c r="EN1008" s="15" t="s">
        <v>9931</v>
      </c>
      <c r="EO1008" s="15" t="s">
        <v>9931</v>
      </c>
      <c r="EX1008" s="15" t="s">
        <v>9920</v>
      </c>
      <c r="EY1008" s="15" t="s">
        <v>2652</v>
      </c>
      <c r="EZ1008" s="15">
        <v>0.0</v>
      </c>
      <c r="FA1008" s="15">
        <v>0.0</v>
      </c>
      <c r="FC1008" s="15">
        <v>0.0</v>
      </c>
      <c r="HU1008" s="15" t="s">
        <v>1610</v>
      </c>
    </row>
    <row r="1009" ht="17.25" customHeight="1">
      <c r="A1009" s="15" t="s">
        <v>9933</v>
      </c>
      <c r="B1009" s="15" t="str">
        <f>"801542702540"</f>
        <v>801542702540</v>
      </c>
      <c r="C1009" s="15" t="s">
        <v>23662</v>
      </c>
      <c r="D1009" s="15" t="str">
        <f t="shared" si="1"/>
        <v>Topanga Swivel ChairKnoll Natural</v>
      </c>
      <c r="E1009" s="15" t="s">
        <v>9914</v>
      </c>
      <c r="F1009" s="15" t="s">
        <v>397</v>
      </c>
      <c r="G1009" s="15" t="s">
        <v>1081</v>
      </c>
      <c r="J1009" s="15" t="s">
        <v>1081</v>
      </c>
      <c r="M1009" s="15" t="s">
        <v>3901</v>
      </c>
      <c r="N1009" s="15" t="s">
        <v>706</v>
      </c>
      <c r="O1009" s="15" t="s">
        <v>707</v>
      </c>
      <c r="P1009" s="15" t="str">
        <f t="shared" si="2868"/>
        <v>32</v>
      </c>
      <c r="Q1009" s="15" t="str">
        <f t="shared" si="2869"/>
        <v>35.5</v>
      </c>
      <c r="R1009" s="15" t="str">
        <f t="shared" si="2870"/>
        <v>28.25</v>
      </c>
      <c r="S1009" s="15" t="str">
        <f t="shared" si="2880"/>
        <v>74.96</v>
      </c>
      <c r="T1009" s="15" t="s">
        <v>9911</v>
      </c>
      <c r="U1009" s="15" t="s">
        <v>11234</v>
      </c>
      <c r="V1009" s="15" t="s">
        <v>11371</v>
      </c>
      <c r="AA1009" s="15" t="s">
        <v>426</v>
      </c>
      <c r="AB1009" s="15" t="s">
        <v>426</v>
      </c>
      <c r="AC1009" s="15" t="s">
        <v>9935</v>
      </c>
      <c r="AD1009" s="15" t="s">
        <v>23663</v>
      </c>
      <c r="AE1009" s="15" t="s">
        <v>9934</v>
      </c>
      <c r="AF1009" s="15" t="s">
        <v>23664</v>
      </c>
      <c r="AG1009" s="15" t="s">
        <v>23665</v>
      </c>
      <c r="AH1009" s="15" t="s">
        <v>23666</v>
      </c>
      <c r="AI1009" s="15" t="s">
        <v>23667</v>
      </c>
      <c r="AJ1009" s="15" t="s">
        <v>23668</v>
      </c>
      <c r="AK1009" s="15" t="s">
        <v>23669</v>
      </c>
      <c r="AL1009" s="15" t="s">
        <v>23670</v>
      </c>
      <c r="AM1009" s="15" t="s">
        <v>23671</v>
      </c>
      <c r="AN1009" s="15" t="s">
        <v>23672</v>
      </c>
      <c r="AO1009" s="15" t="s">
        <v>23673</v>
      </c>
      <c r="BH1009" s="15" t="s">
        <v>9932</v>
      </c>
      <c r="BI1009" s="15" t="str">
        <f t="shared" si="2881"/>
        <v>1049</v>
      </c>
      <c r="BJ1009" s="15" t="str">
        <f t="shared" si="2882"/>
        <v>445</v>
      </c>
      <c r="BK1009" s="15" t="s">
        <v>742</v>
      </c>
      <c r="BL1009" s="15" t="str">
        <f t="shared" si="2851"/>
        <v>1</v>
      </c>
      <c r="BM1009" s="15" t="s">
        <v>416</v>
      </c>
      <c r="BN1009" s="15" t="str">
        <f t="shared" si="2883"/>
        <v>38.19</v>
      </c>
      <c r="BO1009" s="15" t="str">
        <f t="shared" si="2884"/>
        <v>34.45</v>
      </c>
      <c r="BP1009" s="15" t="str">
        <f t="shared" si="2885"/>
        <v>30.91</v>
      </c>
      <c r="BQ1009" s="15" t="str">
        <f t="shared" si="2886"/>
        <v>96.12</v>
      </c>
      <c r="CG1009" s="15" t="str">
        <f t="shared" si="2887"/>
        <v>23.52</v>
      </c>
      <c r="CH1009" s="15" t="str">
        <f t="shared" si="2888"/>
        <v>0.666</v>
      </c>
      <c r="CI1009" s="15" t="s">
        <v>497</v>
      </c>
      <c r="CP1009" s="15" t="s">
        <v>3512</v>
      </c>
      <c r="CQ1009" s="15" t="s">
        <v>3856</v>
      </c>
      <c r="CR1009" s="15" t="s">
        <v>2652</v>
      </c>
      <c r="CS1009" s="15" t="s">
        <v>1700</v>
      </c>
      <c r="CT1009" s="15" t="s">
        <v>823</v>
      </c>
      <c r="CU1009" s="15" t="s">
        <v>2019</v>
      </c>
      <c r="CV1009" s="15">
        <v>0.0</v>
      </c>
      <c r="CW1009" s="15">
        <v>1.0</v>
      </c>
      <c r="CX1009" s="15" t="s">
        <v>717</v>
      </c>
      <c r="CY1009" s="15" t="s">
        <v>855</v>
      </c>
      <c r="DC1009" s="15" t="s">
        <v>9930</v>
      </c>
      <c r="DF1009" s="15" t="s">
        <v>1186</v>
      </c>
      <c r="DG1009" s="15" t="s">
        <v>1605</v>
      </c>
      <c r="DH1009" s="15">
        <v>0.0</v>
      </c>
      <c r="DL1009" s="15">
        <v>25000.0</v>
      </c>
      <c r="DM1009" s="15" t="s">
        <v>722</v>
      </c>
      <c r="DN1009" s="15" t="s">
        <v>723</v>
      </c>
      <c r="DO1009" s="15" t="s">
        <v>724</v>
      </c>
      <c r="DP1009" s="15">
        <v>1.0</v>
      </c>
      <c r="DQ1009" s="15">
        <v>1.0</v>
      </c>
      <c r="DS1009" s="15" t="s">
        <v>9913</v>
      </c>
      <c r="DT1009" s="15">
        <v>0.0</v>
      </c>
      <c r="DU1009" s="15" t="s">
        <v>726</v>
      </c>
      <c r="DV1009" s="15" t="s">
        <v>1603</v>
      </c>
      <c r="DW1009" s="15" t="s">
        <v>2050</v>
      </c>
      <c r="DX1009" s="15" t="s">
        <v>3512</v>
      </c>
      <c r="EB1009" s="15" t="s">
        <v>2050</v>
      </c>
      <c r="EC1009" s="15" t="s">
        <v>761</v>
      </c>
      <c r="ED1009" s="15" t="s">
        <v>2156</v>
      </c>
      <c r="EE1009" s="15" t="s">
        <v>3129</v>
      </c>
      <c r="EF1009" s="15" t="s">
        <v>2144</v>
      </c>
      <c r="EI1009" s="15" t="s">
        <v>1254</v>
      </c>
      <c r="EL1009" s="15" t="s">
        <v>723</v>
      </c>
      <c r="EM1009" s="15" t="s">
        <v>1076</v>
      </c>
      <c r="EN1009" s="15" t="s">
        <v>9931</v>
      </c>
      <c r="EO1009" s="15" t="s">
        <v>9931</v>
      </c>
      <c r="EX1009" s="15" t="s">
        <v>9920</v>
      </c>
      <c r="EY1009" s="15" t="s">
        <v>2652</v>
      </c>
      <c r="EZ1009" s="15">
        <v>0.0</v>
      </c>
      <c r="FA1009" s="15">
        <v>0.0</v>
      </c>
      <c r="FC1009" s="15">
        <v>0.0</v>
      </c>
      <c r="HU1009" s="15" t="s">
        <v>1610</v>
      </c>
    </row>
    <row r="1010" ht="17.25" customHeight="1">
      <c r="A1010" s="15" t="s">
        <v>9939</v>
      </c>
      <c r="B1010" s="15" t="str">
        <f>"198394068406"</f>
        <v>198394068406</v>
      </c>
      <c r="C1010" s="15" t="s">
        <v>23674</v>
      </c>
      <c r="D1010" s="15" t="str">
        <f t="shared" si="1"/>
        <v>Torrington Charging NightstandSandy Oak Resawn</v>
      </c>
      <c r="E1010" s="15" t="s">
        <v>9936</v>
      </c>
      <c r="F1010" s="15" t="s">
        <v>397</v>
      </c>
      <c r="G1010" s="15" t="s">
        <v>9938</v>
      </c>
      <c r="J1010" s="15" t="s">
        <v>9938</v>
      </c>
      <c r="K1010" s="15" t="s">
        <v>5964</v>
      </c>
      <c r="M1010" s="15" t="s">
        <v>5804</v>
      </c>
      <c r="N1010" s="15" t="s">
        <v>628</v>
      </c>
      <c r="P1010" s="15" t="str">
        <f t="shared" si="2868"/>
        <v>32</v>
      </c>
      <c r="Q1010" s="15" t="str">
        <f t="shared" ref="Q1010:Q1011" si="2889">"18"</f>
        <v>18</v>
      </c>
      <c r="R1010" s="15" t="str">
        <f t="shared" ref="R1010:R1011" si="2890">"25"</f>
        <v>25</v>
      </c>
      <c r="S1010" s="15" t="str">
        <f t="shared" ref="S1010:S1011" si="2891">"87.08"</f>
        <v>87.08</v>
      </c>
      <c r="T1010" s="15" t="s">
        <v>9941</v>
      </c>
      <c r="U1010" s="15" t="s">
        <v>14167</v>
      </c>
      <c r="V1010" s="15" t="s">
        <v>14078</v>
      </c>
      <c r="AA1010" s="15" t="s">
        <v>413</v>
      </c>
      <c r="AB1010" s="15" t="s">
        <v>413</v>
      </c>
      <c r="AD1010" s="15" t="s">
        <v>23675</v>
      </c>
      <c r="AE1010" s="15" t="s">
        <v>9940</v>
      </c>
      <c r="AF1010" s="15" t="s">
        <v>23676</v>
      </c>
      <c r="AG1010" s="15" t="s">
        <v>23677</v>
      </c>
      <c r="AH1010" s="15" t="s">
        <v>23678</v>
      </c>
      <c r="AI1010" s="15" t="s">
        <v>23679</v>
      </c>
      <c r="AJ1010" s="15" t="s">
        <v>23680</v>
      </c>
      <c r="AK1010" s="15" t="s">
        <v>23681</v>
      </c>
      <c r="AL1010" s="15" t="s">
        <v>23682</v>
      </c>
      <c r="AM1010" s="15" t="s">
        <v>23683</v>
      </c>
      <c r="AN1010" s="15" t="s">
        <v>23684</v>
      </c>
      <c r="AO1010" s="15" t="s">
        <v>23685</v>
      </c>
      <c r="AP1010" s="15" t="s">
        <v>23686</v>
      </c>
      <c r="AQ1010" s="15" t="s">
        <v>23687</v>
      </c>
      <c r="BH1010" s="15" t="s">
        <v>9937</v>
      </c>
      <c r="BI1010" s="15" t="str">
        <f t="shared" ref="BI1010:BI1011" si="2892">"1699"</f>
        <v>1699</v>
      </c>
      <c r="BJ1010" s="15" t="str">
        <f t="shared" ref="BJ1010:BJ1011" si="2893">"715"</f>
        <v>715</v>
      </c>
      <c r="BK1010" s="15" t="s">
        <v>1181</v>
      </c>
      <c r="BL1010" s="15" t="str">
        <f t="shared" si="2851"/>
        <v>1</v>
      </c>
      <c r="BM1010" s="15" t="s">
        <v>416</v>
      </c>
      <c r="BN1010" s="15" t="str">
        <f t="shared" ref="BN1010:BN1011" si="2894">"36.22"</f>
        <v>36.22</v>
      </c>
      <c r="BO1010" s="15" t="str">
        <f t="shared" ref="BO1010:BO1011" si="2895">"22.44"</f>
        <v>22.44</v>
      </c>
      <c r="BP1010" s="15" t="str">
        <f t="shared" ref="BP1010:BP1011" si="2896">"31.1"</f>
        <v>31.1</v>
      </c>
      <c r="BQ1010" s="15" t="str">
        <f t="shared" ref="BQ1010:BQ1011" si="2897">"110.23"</f>
        <v>110.23</v>
      </c>
      <c r="CG1010" s="15" t="str">
        <f t="shared" ref="CG1010:CG1011" si="2898">"14.62"</f>
        <v>14.62</v>
      </c>
      <c r="CH1010" s="15" t="str">
        <f t="shared" ref="CH1010:CH1011" si="2899">"0.414"</f>
        <v>0.414</v>
      </c>
      <c r="CI1010" s="15" t="s">
        <v>465</v>
      </c>
      <c r="CZ1010" s="15" t="s">
        <v>418</v>
      </c>
      <c r="DA1010" s="15">
        <v>2.0</v>
      </c>
      <c r="DB1010" s="15" t="s">
        <v>1185</v>
      </c>
      <c r="DD1010" s="15">
        <v>0.0</v>
      </c>
      <c r="DF1010" s="15" t="s">
        <v>1186</v>
      </c>
      <c r="DG1010" s="15" t="s">
        <v>421</v>
      </c>
      <c r="DK1010" s="15">
        <v>0.0</v>
      </c>
      <c r="DR1010" s="15" t="s">
        <v>471</v>
      </c>
      <c r="DS1010" s="15" t="s">
        <v>9942</v>
      </c>
      <c r="DU1010" s="15" t="s">
        <v>500</v>
      </c>
      <c r="EF1010" s="15" t="s">
        <v>429</v>
      </c>
      <c r="EU1010" s="15" t="s">
        <v>426</v>
      </c>
      <c r="EV1010" s="15">
        <v>0.0</v>
      </c>
      <c r="FO1010" s="15" t="s">
        <v>426</v>
      </c>
      <c r="FQ1010" s="15">
        <v>0.0</v>
      </c>
      <c r="FR1010" s="15" t="s">
        <v>427</v>
      </c>
      <c r="FX1010" s="15" t="s">
        <v>426</v>
      </c>
      <c r="FZ1010" s="15" t="s">
        <v>8348</v>
      </c>
      <c r="GB1010" s="15" t="s">
        <v>2272</v>
      </c>
      <c r="GD1010" s="15" t="s">
        <v>9943</v>
      </c>
      <c r="GF1010" s="15" t="s">
        <v>431</v>
      </c>
      <c r="GH1010" s="15" t="s">
        <v>420</v>
      </c>
    </row>
    <row r="1011" ht="17.25" customHeight="1">
      <c r="A1011" s="15" t="s">
        <v>9946</v>
      </c>
      <c r="B1011" s="15" t="str">
        <f>"801542339975"</f>
        <v>801542339975</v>
      </c>
      <c r="C1011" s="15" t="s">
        <v>23688</v>
      </c>
      <c r="D1011" s="15" t="str">
        <f t="shared" si="1"/>
        <v>Torrington Charging NightstandUmber Oak Resawn</v>
      </c>
      <c r="E1011" s="15" t="s">
        <v>9936</v>
      </c>
      <c r="F1011" s="15" t="s">
        <v>397</v>
      </c>
      <c r="G1011" s="15" t="s">
        <v>9945</v>
      </c>
      <c r="J1011" s="15" t="s">
        <v>9945</v>
      </c>
      <c r="K1011" s="15" t="s">
        <v>1898</v>
      </c>
      <c r="M1011" s="15" t="s">
        <v>5804</v>
      </c>
      <c r="N1011" s="15" t="s">
        <v>628</v>
      </c>
      <c r="P1011" s="15" t="str">
        <f t="shared" si="2868"/>
        <v>32</v>
      </c>
      <c r="Q1011" s="15" t="str">
        <f t="shared" si="2889"/>
        <v>18</v>
      </c>
      <c r="R1011" s="15" t="str">
        <f t="shared" si="2890"/>
        <v>25</v>
      </c>
      <c r="S1011" s="15" t="str">
        <f t="shared" si="2891"/>
        <v>87.08</v>
      </c>
      <c r="T1011" s="15" t="s">
        <v>6499</v>
      </c>
      <c r="U1011" s="15" t="s">
        <v>14167</v>
      </c>
      <c r="V1011" s="15" t="s">
        <v>11139</v>
      </c>
      <c r="AA1011" s="15" t="s">
        <v>413</v>
      </c>
      <c r="AB1011" s="15" t="s">
        <v>413</v>
      </c>
      <c r="AC1011" s="15" t="s">
        <v>9948</v>
      </c>
      <c r="AD1011" s="15" t="s">
        <v>23689</v>
      </c>
      <c r="AE1011" s="15" t="s">
        <v>9947</v>
      </c>
      <c r="AF1011" s="15" t="s">
        <v>23690</v>
      </c>
      <c r="AG1011" s="15" t="s">
        <v>23691</v>
      </c>
      <c r="AH1011" s="15" t="s">
        <v>23692</v>
      </c>
      <c r="AI1011" s="15" t="s">
        <v>23693</v>
      </c>
      <c r="AJ1011" s="15" t="s">
        <v>23694</v>
      </c>
      <c r="AK1011" s="15" t="s">
        <v>23695</v>
      </c>
      <c r="AL1011" s="15" t="s">
        <v>23696</v>
      </c>
      <c r="AM1011" s="15" t="s">
        <v>23697</v>
      </c>
      <c r="AN1011" s="15" t="s">
        <v>23698</v>
      </c>
      <c r="AO1011" s="15" t="s">
        <v>23699</v>
      </c>
      <c r="AP1011" s="15" t="s">
        <v>23700</v>
      </c>
      <c r="AQ1011" s="15" t="s">
        <v>23701</v>
      </c>
      <c r="AR1011" s="15" t="s">
        <v>23702</v>
      </c>
      <c r="AS1011" s="15" t="s">
        <v>23703</v>
      </c>
      <c r="AT1011" s="15" t="s">
        <v>23704</v>
      </c>
      <c r="BH1011" s="15" t="s">
        <v>9944</v>
      </c>
      <c r="BI1011" s="15" t="str">
        <f t="shared" si="2892"/>
        <v>1699</v>
      </c>
      <c r="BJ1011" s="15" t="str">
        <f t="shared" si="2893"/>
        <v>715</v>
      </c>
      <c r="BK1011" s="15" t="s">
        <v>1181</v>
      </c>
      <c r="BL1011" s="15" t="str">
        <f t="shared" si="2851"/>
        <v>1</v>
      </c>
      <c r="BM1011" s="15" t="s">
        <v>416</v>
      </c>
      <c r="BN1011" s="15" t="str">
        <f t="shared" si="2894"/>
        <v>36.22</v>
      </c>
      <c r="BO1011" s="15" t="str">
        <f t="shared" si="2895"/>
        <v>22.44</v>
      </c>
      <c r="BP1011" s="15" t="str">
        <f t="shared" si="2896"/>
        <v>31.1</v>
      </c>
      <c r="BQ1011" s="15" t="str">
        <f t="shared" si="2897"/>
        <v>110.23</v>
      </c>
      <c r="CG1011" s="15" t="str">
        <f t="shared" si="2898"/>
        <v>14.62</v>
      </c>
      <c r="CH1011" s="15" t="str">
        <f t="shared" si="2899"/>
        <v>0.414</v>
      </c>
      <c r="CI1011" s="15" t="s">
        <v>417</v>
      </c>
      <c r="CZ1011" s="15" t="s">
        <v>418</v>
      </c>
      <c r="DA1011" s="15">
        <v>2.0</v>
      </c>
      <c r="DB1011" s="15" t="s">
        <v>1185</v>
      </c>
      <c r="DD1011" s="15">
        <v>0.0</v>
      </c>
      <c r="DF1011" s="15" t="s">
        <v>1186</v>
      </c>
      <c r="DG1011" s="15" t="s">
        <v>421</v>
      </c>
      <c r="DK1011" s="15">
        <v>0.0</v>
      </c>
      <c r="DR1011" s="15" t="s">
        <v>471</v>
      </c>
      <c r="DS1011" s="15" t="s">
        <v>9942</v>
      </c>
      <c r="DU1011" s="15" t="s">
        <v>500</v>
      </c>
      <c r="EF1011" s="15" t="s">
        <v>429</v>
      </c>
      <c r="EU1011" s="15" t="s">
        <v>426</v>
      </c>
      <c r="EV1011" s="15">
        <v>0.0</v>
      </c>
      <c r="FO1011" s="15" t="s">
        <v>426</v>
      </c>
      <c r="FQ1011" s="15">
        <v>0.0</v>
      </c>
      <c r="FR1011" s="15" t="s">
        <v>427</v>
      </c>
      <c r="FX1011" s="15" t="s">
        <v>426</v>
      </c>
      <c r="FZ1011" s="15" t="s">
        <v>8348</v>
      </c>
      <c r="GB1011" s="15" t="s">
        <v>2272</v>
      </c>
      <c r="GD1011" s="15" t="s">
        <v>9943</v>
      </c>
      <c r="GF1011" s="15" t="s">
        <v>431</v>
      </c>
      <c r="GH1011" s="15" t="s">
        <v>420</v>
      </c>
    </row>
    <row r="1012" ht="17.25" customHeight="1">
      <c r="A1012" s="15" t="s">
        <v>9951</v>
      </c>
      <c r="B1012" s="15" t="str">
        <f>"198394074971"</f>
        <v>198394074971</v>
      </c>
      <c r="C1012" s="15" t="s">
        <v>23705</v>
      </c>
      <c r="D1012" s="15" t="str">
        <f t="shared" si="1"/>
        <v>Torrington DeskSandy Oak Resawn</v>
      </c>
      <c r="E1012" s="15" t="s">
        <v>9949</v>
      </c>
      <c r="F1012" s="15" t="s">
        <v>397</v>
      </c>
      <c r="G1012" s="15" t="s">
        <v>9938</v>
      </c>
      <c r="J1012" s="15" t="s">
        <v>9938</v>
      </c>
      <c r="M1012" s="15" t="s">
        <v>5804</v>
      </c>
      <c r="N1012" s="15" t="s">
        <v>2134</v>
      </c>
      <c r="O1012" s="15" t="s">
        <v>2135</v>
      </c>
      <c r="P1012" s="15" t="str">
        <f t="shared" ref="P1012:P1013" si="2900">"78"</f>
        <v>78</v>
      </c>
      <c r="Q1012" s="15" t="str">
        <f t="shared" ref="Q1012:Q1013" si="2901">"32"</f>
        <v>32</v>
      </c>
      <c r="R1012" s="15" t="str">
        <f t="shared" ref="R1012:R1013" si="2902">"31"</f>
        <v>31</v>
      </c>
      <c r="S1012" s="15" t="str">
        <f t="shared" ref="S1012:S1013" si="2903">"279.98"</f>
        <v>279.98</v>
      </c>
      <c r="T1012" s="15" t="s">
        <v>8980</v>
      </c>
      <c r="U1012" s="15" t="s">
        <v>14167</v>
      </c>
      <c r="AA1012" s="15" t="s">
        <v>413</v>
      </c>
      <c r="AB1012" s="15" t="s">
        <v>413</v>
      </c>
      <c r="AC1012" s="15" t="s">
        <v>9954</v>
      </c>
      <c r="AD1012" s="15" t="s">
        <v>23706</v>
      </c>
      <c r="AE1012" s="15" t="s">
        <v>9953</v>
      </c>
      <c r="AF1012" s="15" t="s">
        <v>23707</v>
      </c>
      <c r="AG1012" s="15" t="s">
        <v>23708</v>
      </c>
      <c r="AH1012" s="15" t="s">
        <v>23709</v>
      </c>
      <c r="AI1012" s="15" t="s">
        <v>23710</v>
      </c>
      <c r="AJ1012" s="15" t="s">
        <v>23711</v>
      </c>
      <c r="AK1012" s="15" t="s">
        <v>23712</v>
      </c>
      <c r="AL1012" s="15" t="s">
        <v>23713</v>
      </c>
      <c r="AM1012" s="15" t="s">
        <v>23714</v>
      </c>
      <c r="AN1012" s="15" t="s">
        <v>23715</v>
      </c>
      <c r="AO1012" s="15" t="s">
        <v>23716</v>
      </c>
      <c r="AP1012" s="15" t="s">
        <v>23717</v>
      </c>
      <c r="AQ1012" s="15" t="s">
        <v>23718</v>
      </c>
      <c r="BH1012" s="15" t="s">
        <v>9950</v>
      </c>
      <c r="BI1012" s="15" t="str">
        <f t="shared" ref="BI1012:BI1013" si="2904">"3999"</f>
        <v>3999</v>
      </c>
      <c r="BJ1012" s="15" t="str">
        <f t="shared" ref="BJ1012:BJ1013" si="2905">"1680"</f>
        <v>1680</v>
      </c>
      <c r="BK1012" s="15" t="s">
        <v>1181</v>
      </c>
      <c r="BL1012" s="15" t="str">
        <f t="shared" si="2851"/>
        <v>1</v>
      </c>
      <c r="BM1012" s="15" t="s">
        <v>416</v>
      </c>
      <c r="BN1012" s="15" t="str">
        <f t="shared" ref="BN1012:BN1013" si="2906">"83.46"</f>
        <v>83.46</v>
      </c>
      <c r="BO1012" s="15" t="str">
        <f t="shared" ref="BO1012:BO1013" si="2907">"37.2"</f>
        <v>37.2</v>
      </c>
      <c r="BP1012" s="15" t="str">
        <f t="shared" ref="BP1012:BP1013" si="2908">"21.65"</f>
        <v>21.65</v>
      </c>
      <c r="BQ1012" s="15" t="str">
        <f t="shared" ref="BQ1012:BQ1013" si="2909">"334"</f>
        <v>334</v>
      </c>
      <c r="CG1012" s="15" t="str">
        <f t="shared" ref="CG1012:CG1013" si="2910">"38.92"</f>
        <v>38.92</v>
      </c>
      <c r="CH1012" s="15" t="str">
        <f t="shared" ref="CH1012:CH1013" si="2911">"1.102"</f>
        <v>1.102</v>
      </c>
      <c r="CI1012" s="15" t="s">
        <v>465</v>
      </c>
      <c r="CZ1012" s="15" t="s">
        <v>2600</v>
      </c>
      <c r="DA1012" s="15">
        <v>5.0</v>
      </c>
      <c r="DB1012" s="15" t="s">
        <v>419</v>
      </c>
      <c r="DD1012" s="15">
        <v>0.0</v>
      </c>
      <c r="DF1012" s="15" t="s">
        <v>1186</v>
      </c>
      <c r="DG1012" s="15" t="s">
        <v>421</v>
      </c>
      <c r="DK1012" s="15">
        <v>0.0</v>
      </c>
      <c r="DR1012" s="15" t="s">
        <v>2137</v>
      </c>
      <c r="DS1012" s="15" t="s">
        <v>9942</v>
      </c>
      <c r="DU1012" s="15" t="s">
        <v>424</v>
      </c>
      <c r="EF1012" s="15" t="s">
        <v>4829</v>
      </c>
      <c r="EH1012" s="15" t="s">
        <v>9956</v>
      </c>
      <c r="ET1012" s="15" t="s">
        <v>4685</v>
      </c>
      <c r="EU1012" s="15" t="s">
        <v>426</v>
      </c>
      <c r="EV1012" s="15">
        <v>0.0</v>
      </c>
      <c r="FE1012" s="15" t="s">
        <v>7171</v>
      </c>
      <c r="FO1012" s="15" t="s">
        <v>426</v>
      </c>
      <c r="FQ1012" s="15">
        <v>0.0</v>
      </c>
      <c r="FR1012" s="15" t="s">
        <v>427</v>
      </c>
      <c r="FX1012" s="15" t="s">
        <v>426</v>
      </c>
      <c r="FZ1012" s="15" t="s">
        <v>8348</v>
      </c>
      <c r="GA1012" s="15" t="s">
        <v>8348</v>
      </c>
      <c r="GB1012" s="15" t="s">
        <v>8581</v>
      </c>
      <c r="GC1012" s="15" t="s">
        <v>8581</v>
      </c>
      <c r="GD1012" s="15" t="s">
        <v>3513</v>
      </c>
      <c r="GE1012" s="15" t="s">
        <v>1931</v>
      </c>
      <c r="GF1012" s="15" t="s">
        <v>838</v>
      </c>
      <c r="GH1012" s="15" t="s">
        <v>420</v>
      </c>
      <c r="GM1012" s="15">
        <v>0.0</v>
      </c>
      <c r="HG1012" s="15" t="s">
        <v>8348</v>
      </c>
      <c r="HI1012" s="15" t="s">
        <v>9129</v>
      </c>
      <c r="HK1012" s="15" t="s">
        <v>1931</v>
      </c>
      <c r="HP1012" s="15" t="s">
        <v>426</v>
      </c>
    </row>
    <row r="1013" ht="17.25" customHeight="1">
      <c r="A1013" s="15" t="s">
        <v>9958</v>
      </c>
      <c r="B1013" s="15" t="str">
        <f>"801542339944"</f>
        <v>801542339944</v>
      </c>
      <c r="C1013" s="15" t="s">
        <v>23719</v>
      </c>
      <c r="D1013" s="15" t="str">
        <f t="shared" si="1"/>
        <v>Torrington DeskUmber Oak Resawn</v>
      </c>
      <c r="E1013" s="15" t="s">
        <v>9949</v>
      </c>
      <c r="F1013" s="15" t="s">
        <v>397</v>
      </c>
      <c r="G1013" s="15" t="s">
        <v>9945</v>
      </c>
      <c r="J1013" s="15" t="s">
        <v>9945</v>
      </c>
      <c r="M1013" s="15" t="s">
        <v>5804</v>
      </c>
      <c r="N1013" s="15" t="s">
        <v>2134</v>
      </c>
      <c r="O1013" s="15" t="s">
        <v>2135</v>
      </c>
      <c r="P1013" s="15" t="str">
        <f t="shared" si="2900"/>
        <v>78</v>
      </c>
      <c r="Q1013" s="15" t="str">
        <f t="shared" si="2901"/>
        <v>32</v>
      </c>
      <c r="R1013" s="15" t="str">
        <f t="shared" si="2902"/>
        <v>31</v>
      </c>
      <c r="S1013" s="15" t="str">
        <f t="shared" si="2903"/>
        <v>279.98</v>
      </c>
      <c r="T1013" s="15" t="s">
        <v>8980</v>
      </c>
      <c r="U1013" s="15" t="s">
        <v>14167</v>
      </c>
      <c r="AA1013" s="15" t="s">
        <v>413</v>
      </c>
      <c r="AB1013" s="15" t="s">
        <v>413</v>
      </c>
      <c r="AC1013" s="15" t="s">
        <v>9960</v>
      </c>
      <c r="AD1013" s="15" t="s">
        <v>23720</v>
      </c>
      <c r="AE1013" s="15" t="s">
        <v>9959</v>
      </c>
      <c r="AF1013" s="15" t="s">
        <v>23721</v>
      </c>
      <c r="AG1013" s="15" t="s">
        <v>23722</v>
      </c>
      <c r="AH1013" s="15" t="s">
        <v>23723</v>
      </c>
      <c r="AI1013" s="15" t="s">
        <v>23724</v>
      </c>
      <c r="AJ1013" s="15" t="s">
        <v>23725</v>
      </c>
      <c r="AK1013" s="15" t="s">
        <v>23695</v>
      </c>
      <c r="AL1013" s="15" t="s">
        <v>23726</v>
      </c>
      <c r="AM1013" s="15" t="s">
        <v>23727</v>
      </c>
      <c r="AN1013" s="15" t="s">
        <v>23728</v>
      </c>
      <c r="AO1013" s="15" t="s">
        <v>23729</v>
      </c>
      <c r="AP1013" s="15" t="s">
        <v>23730</v>
      </c>
      <c r="AQ1013" s="15" t="s">
        <v>23731</v>
      </c>
      <c r="AR1013" s="15" t="s">
        <v>23732</v>
      </c>
      <c r="AS1013" s="15" t="s">
        <v>23733</v>
      </c>
      <c r="AT1013" s="15" t="s">
        <v>23734</v>
      </c>
      <c r="AU1013" s="15" t="s">
        <v>23735</v>
      </c>
      <c r="AV1013" s="15" t="s">
        <v>23736</v>
      </c>
      <c r="AW1013" s="15" t="s">
        <v>23737</v>
      </c>
      <c r="AX1013" s="15" t="s">
        <v>23738</v>
      </c>
      <c r="AY1013" s="15" t="s">
        <v>23739</v>
      </c>
      <c r="BH1013" s="15" t="s">
        <v>9957</v>
      </c>
      <c r="BI1013" s="15" t="str">
        <f t="shared" si="2904"/>
        <v>3999</v>
      </c>
      <c r="BJ1013" s="15" t="str">
        <f t="shared" si="2905"/>
        <v>1680</v>
      </c>
      <c r="BK1013" s="15" t="s">
        <v>1181</v>
      </c>
      <c r="BL1013" s="15" t="str">
        <f t="shared" si="2851"/>
        <v>1</v>
      </c>
      <c r="BM1013" s="15" t="s">
        <v>416</v>
      </c>
      <c r="BN1013" s="15" t="str">
        <f t="shared" si="2906"/>
        <v>83.46</v>
      </c>
      <c r="BO1013" s="15" t="str">
        <f t="shared" si="2907"/>
        <v>37.2</v>
      </c>
      <c r="BP1013" s="15" t="str">
        <f t="shared" si="2908"/>
        <v>21.65</v>
      </c>
      <c r="BQ1013" s="15" t="str">
        <f t="shared" si="2909"/>
        <v>334</v>
      </c>
      <c r="CG1013" s="15" t="str">
        <f t="shared" si="2910"/>
        <v>38.92</v>
      </c>
      <c r="CH1013" s="15" t="str">
        <f t="shared" si="2911"/>
        <v>1.102</v>
      </c>
      <c r="CI1013" s="15" t="s">
        <v>497</v>
      </c>
      <c r="CZ1013" s="15" t="s">
        <v>2600</v>
      </c>
      <c r="DA1013" s="15">
        <v>5.0</v>
      </c>
      <c r="DB1013" s="15" t="s">
        <v>419</v>
      </c>
      <c r="DD1013" s="15">
        <v>0.0</v>
      </c>
      <c r="DF1013" s="15" t="s">
        <v>1186</v>
      </c>
      <c r="DG1013" s="15" t="s">
        <v>421</v>
      </c>
      <c r="DK1013" s="15">
        <v>0.0</v>
      </c>
      <c r="DR1013" s="15" t="s">
        <v>2137</v>
      </c>
      <c r="DS1013" s="15" t="s">
        <v>9942</v>
      </c>
      <c r="DU1013" s="15" t="s">
        <v>424</v>
      </c>
      <c r="EF1013" s="15" t="s">
        <v>4829</v>
      </c>
      <c r="EH1013" s="15" t="s">
        <v>9956</v>
      </c>
      <c r="ET1013" s="15" t="s">
        <v>4685</v>
      </c>
      <c r="EU1013" s="15" t="s">
        <v>426</v>
      </c>
      <c r="EV1013" s="15">
        <v>0.0</v>
      </c>
      <c r="FE1013" s="15" t="s">
        <v>7171</v>
      </c>
      <c r="FO1013" s="15" t="s">
        <v>426</v>
      </c>
      <c r="FQ1013" s="15">
        <v>0.0</v>
      </c>
      <c r="FR1013" s="15" t="s">
        <v>427</v>
      </c>
      <c r="FX1013" s="15" t="s">
        <v>426</v>
      </c>
      <c r="FZ1013" s="15" t="s">
        <v>8348</v>
      </c>
      <c r="GA1013" s="15" t="s">
        <v>8348</v>
      </c>
      <c r="GB1013" s="15" t="s">
        <v>8581</v>
      </c>
      <c r="GC1013" s="15" t="s">
        <v>8581</v>
      </c>
      <c r="GD1013" s="15" t="s">
        <v>3513</v>
      </c>
      <c r="GE1013" s="15" t="s">
        <v>1931</v>
      </c>
      <c r="GF1013" s="15" t="s">
        <v>838</v>
      </c>
      <c r="GH1013" s="15" t="s">
        <v>420</v>
      </c>
      <c r="GM1013" s="15">
        <v>0.0</v>
      </c>
      <c r="HG1013" s="15" t="s">
        <v>8348</v>
      </c>
      <c r="HI1013" s="15" t="s">
        <v>9129</v>
      </c>
      <c r="HK1013" s="15" t="s">
        <v>1931</v>
      </c>
      <c r="HP1013" s="15" t="s">
        <v>426</v>
      </c>
    </row>
    <row r="1014" ht="17.25" customHeight="1">
      <c r="A1014" s="15" t="s">
        <v>9963</v>
      </c>
      <c r="B1014" s="15" t="str">
        <f>"198394068413"</f>
        <v>198394068413</v>
      </c>
      <c r="C1014" s="15" t="s">
        <v>23740</v>
      </c>
      <c r="D1014" s="15" t="str">
        <f t="shared" si="1"/>
        <v>Torrington Dining TableSandy Oak Resawn</v>
      </c>
      <c r="E1014" s="15" t="s">
        <v>9961</v>
      </c>
      <c r="F1014" s="15" t="s">
        <v>397</v>
      </c>
      <c r="G1014" s="15" t="s">
        <v>9938</v>
      </c>
      <c r="J1014" s="15" t="s">
        <v>9938</v>
      </c>
      <c r="K1014" s="15" t="s">
        <v>1540</v>
      </c>
      <c r="M1014" s="15" t="s">
        <v>5804</v>
      </c>
      <c r="N1014" s="15" t="s">
        <v>548</v>
      </c>
      <c r="O1014" s="15" t="s">
        <v>549</v>
      </c>
      <c r="P1014" s="15" t="str">
        <f t="shared" ref="P1014:P1015" si="2912">"96"</f>
        <v>96</v>
      </c>
      <c r="Q1014" s="15" t="str">
        <f t="shared" ref="Q1014:Q1015" si="2913">"42"</f>
        <v>42</v>
      </c>
      <c r="R1014" s="15" t="str">
        <f t="shared" ref="R1014:R1016" si="2914">"30"</f>
        <v>30</v>
      </c>
      <c r="S1014" s="15" t="str">
        <f t="shared" ref="S1014:S1015" si="2915">"252.43"</f>
        <v>252.43</v>
      </c>
      <c r="T1014" s="15" t="s">
        <v>8980</v>
      </c>
      <c r="U1014" s="15" t="s">
        <v>14167</v>
      </c>
      <c r="AA1014" s="15" t="s">
        <v>413</v>
      </c>
      <c r="AB1014" s="15" t="s">
        <v>413</v>
      </c>
      <c r="AC1014" s="15" t="s">
        <v>9965</v>
      </c>
      <c r="AD1014" s="15" t="s">
        <v>23741</v>
      </c>
      <c r="AE1014" s="15" t="s">
        <v>9964</v>
      </c>
      <c r="AF1014" s="15" t="s">
        <v>23742</v>
      </c>
      <c r="AG1014" s="15" t="s">
        <v>23743</v>
      </c>
      <c r="AH1014" s="15" t="s">
        <v>23744</v>
      </c>
      <c r="AI1014" s="15" t="s">
        <v>23745</v>
      </c>
      <c r="AJ1014" s="15" t="s">
        <v>23746</v>
      </c>
      <c r="AK1014" s="15" t="s">
        <v>23747</v>
      </c>
      <c r="AL1014" s="15" t="s">
        <v>23748</v>
      </c>
      <c r="AM1014" s="15" t="s">
        <v>23749</v>
      </c>
      <c r="AN1014" s="15" t="s">
        <v>23750</v>
      </c>
      <c r="AO1014" s="15" t="s">
        <v>23751</v>
      </c>
      <c r="AP1014" s="15" t="s">
        <v>23752</v>
      </c>
      <c r="BH1014" s="15" t="s">
        <v>9962</v>
      </c>
      <c r="BI1014" s="15" t="str">
        <f t="shared" ref="BI1014:BI1015" si="2916">"2499"</f>
        <v>2499</v>
      </c>
      <c r="BJ1014" s="15" t="str">
        <f t="shared" ref="BJ1014:BJ1015" si="2917">"1050"</f>
        <v>1050</v>
      </c>
      <c r="BK1014" s="15" t="s">
        <v>1181</v>
      </c>
      <c r="BL1014" s="15" t="str">
        <f t="shared" si="2851"/>
        <v>1</v>
      </c>
      <c r="BM1014" s="15" t="s">
        <v>416</v>
      </c>
      <c r="BN1014" s="15" t="str">
        <f t="shared" ref="BN1014:BN1015" si="2918">"101.18"</f>
        <v>101.18</v>
      </c>
      <c r="BO1014" s="15" t="str">
        <f t="shared" ref="BO1014:BO1015" si="2919">"47.24"</f>
        <v>47.24</v>
      </c>
      <c r="BP1014" s="15" t="str">
        <f t="shared" ref="BP1014:BP1015" si="2920">"12.6"</f>
        <v>12.6</v>
      </c>
      <c r="BQ1014" s="15" t="str">
        <f t="shared" ref="BQ1014:BQ1015" si="2921">"298.72"</f>
        <v>298.72</v>
      </c>
      <c r="CG1014" s="15" t="str">
        <f t="shared" ref="CG1014:CG1015" si="2922">"34.86"</f>
        <v>34.86</v>
      </c>
      <c r="CH1014" s="15" t="str">
        <f t="shared" ref="CH1014:CH1015" si="2923">"0.987"</f>
        <v>0.987</v>
      </c>
      <c r="CI1014" s="15" t="s">
        <v>465</v>
      </c>
      <c r="CZ1014" s="15" t="s">
        <v>419</v>
      </c>
      <c r="DA1014" s="15">
        <v>0.0</v>
      </c>
      <c r="DB1014" s="15" t="s">
        <v>419</v>
      </c>
      <c r="DD1014" s="15">
        <v>0.0</v>
      </c>
      <c r="DF1014" s="15" t="s">
        <v>1186</v>
      </c>
      <c r="DG1014" s="15" t="s">
        <v>419</v>
      </c>
      <c r="DI1014" s="15">
        <v>0.0</v>
      </c>
      <c r="DJ1014" s="15">
        <v>0.0</v>
      </c>
      <c r="DK1014" s="15">
        <v>0.0</v>
      </c>
      <c r="DQ1014" s="15">
        <v>10.0</v>
      </c>
      <c r="DR1014" s="15" t="s">
        <v>471</v>
      </c>
      <c r="DS1014" s="15" t="s">
        <v>9942</v>
      </c>
      <c r="DU1014" s="15" t="s">
        <v>424</v>
      </c>
      <c r="EF1014" s="15" t="s">
        <v>9967</v>
      </c>
      <c r="EH1014" s="15" t="s">
        <v>9968</v>
      </c>
      <c r="EQ1014" s="15" t="s">
        <v>2500</v>
      </c>
      <c r="ER1014" s="15" t="s">
        <v>9969</v>
      </c>
      <c r="ES1014" s="15" t="s">
        <v>2603</v>
      </c>
      <c r="ET1014" s="15" t="s">
        <v>4685</v>
      </c>
      <c r="EU1014" s="15" t="s">
        <v>426</v>
      </c>
      <c r="EV1014" s="15">
        <v>0.0</v>
      </c>
      <c r="EW1014" s="15">
        <v>0.0</v>
      </c>
      <c r="FD1014" s="15" t="s">
        <v>1807</v>
      </c>
      <c r="FE1014" s="15" t="s">
        <v>9967</v>
      </c>
      <c r="FF1014" s="15" t="s">
        <v>1014</v>
      </c>
      <c r="FG1014" s="15" t="s">
        <v>3694</v>
      </c>
    </row>
    <row r="1015" ht="17.25" customHeight="1">
      <c r="A1015" s="15" t="s">
        <v>9971</v>
      </c>
      <c r="B1015" s="15" t="str">
        <f>"801542330699"</f>
        <v>801542330699</v>
      </c>
      <c r="C1015" s="15" t="s">
        <v>23753</v>
      </c>
      <c r="D1015" s="15" t="str">
        <f t="shared" si="1"/>
        <v>Torrington Dining TableUmber Oak Resawn</v>
      </c>
      <c r="E1015" s="15" t="s">
        <v>9961</v>
      </c>
      <c r="F1015" s="15" t="s">
        <v>397</v>
      </c>
      <c r="G1015" s="15" t="s">
        <v>9945</v>
      </c>
      <c r="J1015" s="15" t="s">
        <v>9945</v>
      </c>
      <c r="K1015" s="15" t="s">
        <v>9973</v>
      </c>
      <c r="M1015" s="15" t="s">
        <v>5804</v>
      </c>
      <c r="N1015" s="15" t="s">
        <v>548</v>
      </c>
      <c r="O1015" s="15" t="s">
        <v>549</v>
      </c>
      <c r="P1015" s="15" t="str">
        <f t="shared" si="2912"/>
        <v>96</v>
      </c>
      <c r="Q1015" s="15" t="str">
        <f t="shared" si="2913"/>
        <v>42</v>
      </c>
      <c r="R1015" s="15" t="str">
        <f t="shared" si="2914"/>
        <v>30</v>
      </c>
      <c r="S1015" s="15" t="str">
        <f t="shared" si="2915"/>
        <v>252.43</v>
      </c>
      <c r="T1015" s="15" t="s">
        <v>8980</v>
      </c>
      <c r="U1015" s="15" t="s">
        <v>14167</v>
      </c>
      <c r="AA1015" s="15" t="s">
        <v>413</v>
      </c>
      <c r="AB1015" s="15" t="s">
        <v>413</v>
      </c>
      <c r="AC1015" s="15" t="s">
        <v>9965</v>
      </c>
      <c r="AD1015" s="15" t="s">
        <v>23754</v>
      </c>
      <c r="AE1015" s="15" t="s">
        <v>9972</v>
      </c>
      <c r="AF1015" s="15" t="s">
        <v>23755</v>
      </c>
      <c r="AG1015" s="15" t="s">
        <v>23756</v>
      </c>
      <c r="AH1015" s="15" t="s">
        <v>23757</v>
      </c>
      <c r="AI1015" s="15" t="s">
        <v>23758</v>
      </c>
      <c r="AJ1015" s="15" t="s">
        <v>23759</v>
      </c>
      <c r="AK1015" s="15" t="s">
        <v>23760</v>
      </c>
      <c r="AL1015" s="15" t="s">
        <v>23761</v>
      </c>
      <c r="AM1015" s="15" t="s">
        <v>23762</v>
      </c>
      <c r="AN1015" s="15" t="s">
        <v>23763</v>
      </c>
      <c r="AO1015" s="15" t="s">
        <v>23764</v>
      </c>
      <c r="AP1015" s="15" t="s">
        <v>23765</v>
      </c>
      <c r="AQ1015" s="15" t="s">
        <v>23766</v>
      </c>
      <c r="AR1015" s="15" t="s">
        <v>23767</v>
      </c>
      <c r="BH1015" s="15" t="s">
        <v>9970</v>
      </c>
      <c r="BI1015" s="15" t="str">
        <f t="shared" si="2916"/>
        <v>2499</v>
      </c>
      <c r="BJ1015" s="15" t="str">
        <f t="shared" si="2917"/>
        <v>1050</v>
      </c>
      <c r="BK1015" s="15" t="s">
        <v>1181</v>
      </c>
      <c r="BL1015" s="15" t="str">
        <f t="shared" si="2851"/>
        <v>1</v>
      </c>
      <c r="BM1015" s="15" t="s">
        <v>416</v>
      </c>
      <c r="BN1015" s="15" t="str">
        <f t="shared" si="2918"/>
        <v>101.18</v>
      </c>
      <c r="BO1015" s="15" t="str">
        <f t="shared" si="2919"/>
        <v>47.24</v>
      </c>
      <c r="BP1015" s="15" t="str">
        <f t="shared" si="2920"/>
        <v>12.6</v>
      </c>
      <c r="BQ1015" s="15" t="str">
        <f t="shared" si="2921"/>
        <v>298.72</v>
      </c>
      <c r="CG1015" s="15" t="str">
        <f t="shared" si="2922"/>
        <v>34.86</v>
      </c>
      <c r="CH1015" s="15" t="str">
        <f t="shared" si="2923"/>
        <v>0.987</v>
      </c>
      <c r="CI1015" s="15" t="s">
        <v>465</v>
      </c>
      <c r="CZ1015" s="15" t="s">
        <v>419</v>
      </c>
      <c r="DA1015" s="15">
        <v>0.0</v>
      </c>
      <c r="DB1015" s="15" t="s">
        <v>419</v>
      </c>
      <c r="DD1015" s="15">
        <v>0.0</v>
      </c>
      <c r="DF1015" s="15" t="s">
        <v>1186</v>
      </c>
      <c r="DG1015" s="15" t="s">
        <v>419</v>
      </c>
      <c r="DI1015" s="15">
        <v>0.0</v>
      </c>
      <c r="DJ1015" s="15">
        <v>0.0</v>
      </c>
      <c r="DK1015" s="15">
        <v>0.0</v>
      </c>
      <c r="DQ1015" s="15">
        <v>10.0</v>
      </c>
      <c r="DR1015" s="15" t="s">
        <v>471</v>
      </c>
      <c r="DS1015" s="15" t="s">
        <v>9942</v>
      </c>
      <c r="DU1015" s="15" t="s">
        <v>424</v>
      </c>
      <c r="EF1015" s="15" t="s">
        <v>9967</v>
      </c>
      <c r="EH1015" s="15" t="s">
        <v>9968</v>
      </c>
      <c r="EQ1015" s="15" t="s">
        <v>2500</v>
      </c>
      <c r="ER1015" s="15" t="s">
        <v>9969</v>
      </c>
      <c r="ES1015" s="15" t="s">
        <v>2603</v>
      </c>
      <c r="ET1015" s="15" t="s">
        <v>4685</v>
      </c>
      <c r="EU1015" s="15" t="s">
        <v>426</v>
      </c>
      <c r="EV1015" s="15">
        <v>0.0</v>
      </c>
      <c r="EW1015" s="15">
        <v>0.0</v>
      </c>
      <c r="FD1015" s="15" t="s">
        <v>1807</v>
      </c>
      <c r="FE1015" s="15" t="s">
        <v>9967</v>
      </c>
      <c r="FF1015" s="15" t="s">
        <v>1014</v>
      </c>
      <c r="FG1015" s="15" t="s">
        <v>3694</v>
      </c>
    </row>
    <row r="1016" ht="17.25" customHeight="1">
      <c r="A1016" s="15" t="s">
        <v>9976</v>
      </c>
      <c r="B1016" s="15" t="str">
        <f>"198394068420"</f>
        <v>198394068420</v>
      </c>
      <c r="C1016" s="15" t="s">
        <v>23768</v>
      </c>
      <c r="D1016" s="15" t="str">
        <f t="shared" si="1"/>
        <v>Torrington SideboardSandy Oak Veneer</v>
      </c>
      <c r="E1016" s="15" t="s">
        <v>9974</v>
      </c>
      <c r="F1016" s="15" t="s">
        <v>397</v>
      </c>
      <c r="G1016" s="15" t="s">
        <v>1540</v>
      </c>
      <c r="J1016" s="15" t="s">
        <v>1540</v>
      </c>
      <c r="K1016" s="15" t="s">
        <v>9938</v>
      </c>
      <c r="M1016" s="15" t="s">
        <v>5804</v>
      </c>
      <c r="N1016" s="15" t="s">
        <v>664</v>
      </c>
      <c r="P1016" s="15" t="str">
        <f>"82"</f>
        <v>82</v>
      </c>
      <c r="Q1016" s="15" t="str">
        <f>"18"</f>
        <v>18</v>
      </c>
      <c r="R1016" s="15" t="str">
        <f t="shared" si="2914"/>
        <v>30</v>
      </c>
      <c r="S1016" s="15" t="str">
        <f>"199.52"</f>
        <v>199.52</v>
      </c>
      <c r="T1016" s="15" t="s">
        <v>9978</v>
      </c>
      <c r="U1016" s="15" t="s">
        <v>11553</v>
      </c>
      <c r="V1016" s="15" t="s">
        <v>14167</v>
      </c>
      <c r="AA1016" s="15" t="s">
        <v>413</v>
      </c>
      <c r="AB1016" s="15" t="s">
        <v>413</v>
      </c>
      <c r="AC1016" s="15" t="s">
        <v>9979</v>
      </c>
      <c r="AD1016" s="15" t="s">
        <v>23769</v>
      </c>
      <c r="AE1016" s="15" t="s">
        <v>9977</v>
      </c>
      <c r="AF1016" s="15" t="s">
        <v>23770</v>
      </c>
      <c r="AG1016" s="15" t="s">
        <v>23771</v>
      </c>
      <c r="AH1016" s="15" t="s">
        <v>23772</v>
      </c>
      <c r="AI1016" s="15" t="s">
        <v>23773</v>
      </c>
      <c r="AJ1016" s="15" t="s">
        <v>23774</v>
      </c>
      <c r="AK1016" s="15" t="s">
        <v>23775</v>
      </c>
      <c r="AL1016" s="15" t="s">
        <v>23776</v>
      </c>
      <c r="AM1016" s="15" t="s">
        <v>23777</v>
      </c>
      <c r="AN1016" s="15" t="s">
        <v>23778</v>
      </c>
      <c r="AO1016" s="15" t="s">
        <v>23779</v>
      </c>
      <c r="AP1016" s="15" t="s">
        <v>23780</v>
      </c>
      <c r="BH1016" s="15" t="s">
        <v>9975</v>
      </c>
      <c r="BI1016" s="15" t="str">
        <f t="shared" ref="BI1016:BI1018" si="2924">"2599"</f>
        <v>2599</v>
      </c>
      <c r="BJ1016" s="15" t="str">
        <f t="shared" ref="BJ1016:BJ1018" si="2925">"1095"</f>
        <v>1095</v>
      </c>
      <c r="BK1016" s="15" t="s">
        <v>1181</v>
      </c>
      <c r="BL1016" s="15" t="str">
        <f t="shared" si="2851"/>
        <v>1</v>
      </c>
      <c r="BM1016" s="15" t="s">
        <v>416</v>
      </c>
      <c r="BN1016" s="15" t="str">
        <f>"86.22"</f>
        <v>86.22</v>
      </c>
      <c r="BO1016" s="15" t="str">
        <f>"22.44"</f>
        <v>22.44</v>
      </c>
      <c r="BP1016" s="15" t="str">
        <f>"36.02"</f>
        <v>36.02</v>
      </c>
      <c r="BQ1016" s="15" t="str">
        <f>"242.51"</f>
        <v>242.51</v>
      </c>
      <c r="CG1016" s="15" t="str">
        <f>"40.33"</f>
        <v>40.33</v>
      </c>
      <c r="CH1016" s="15" t="str">
        <f>"1.142"</f>
        <v>1.142</v>
      </c>
      <c r="CI1016" s="15" t="s">
        <v>465</v>
      </c>
      <c r="CM1016" s="15" t="s">
        <v>2080</v>
      </c>
      <c r="CN1016" s="15" t="s">
        <v>2842</v>
      </c>
      <c r="CO1016" s="15" t="s">
        <v>9980</v>
      </c>
      <c r="CZ1016" s="15" t="s">
        <v>419</v>
      </c>
      <c r="DA1016" s="15">
        <v>0.0</v>
      </c>
      <c r="DB1016" s="15" t="s">
        <v>419</v>
      </c>
      <c r="DD1016" s="15">
        <v>0.0</v>
      </c>
      <c r="DF1016" s="15" t="s">
        <v>1186</v>
      </c>
      <c r="DG1016" s="15" t="s">
        <v>610</v>
      </c>
      <c r="DI1016" s="15">
        <v>18.14</v>
      </c>
      <c r="DJ1016" s="15">
        <v>40.0</v>
      </c>
      <c r="DK1016" s="15">
        <v>2.0</v>
      </c>
      <c r="DS1016" s="15" t="s">
        <v>9942</v>
      </c>
      <c r="DU1016" s="15" t="s">
        <v>424</v>
      </c>
      <c r="EF1016" s="15" t="s">
        <v>429</v>
      </c>
      <c r="EU1016" s="15" t="s">
        <v>426</v>
      </c>
      <c r="EV1016" s="15">
        <v>2.0</v>
      </c>
      <c r="FH1016" s="15" t="s">
        <v>2312</v>
      </c>
      <c r="FI1016" s="15" t="s">
        <v>3130</v>
      </c>
      <c r="FJ1016" s="15" t="s">
        <v>1515</v>
      </c>
      <c r="FK1016" s="15" t="s">
        <v>5123</v>
      </c>
      <c r="FL1016" s="15" t="s">
        <v>612</v>
      </c>
      <c r="FM1016" s="15" t="s">
        <v>9981</v>
      </c>
      <c r="FN1016" s="15">
        <v>0.0</v>
      </c>
      <c r="FO1016" s="15" t="s">
        <v>426</v>
      </c>
      <c r="FQ1016" s="15">
        <v>4.0</v>
      </c>
      <c r="FR1016" s="15" t="s">
        <v>614</v>
      </c>
      <c r="FS1016" s="15" t="s">
        <v>1045</v>
      </c>
      <c r="FT1016" s="15">
        <v>0.0</v>
      </c>
      <c r="FU1016" s="15" t="s">
        <v>426</v>
      </c>
      <c r="FW1016" s="15" t="s">
        <v>616</v>
      </c>
      <c r="GJ1016" s="15" t="s">
        <v>2080</v>
      </c>
      <c r="GK1016" s="15" t="s">
        <v>2842</v>
      </c>
      <c r="GL1016" s="15" t="s">
        <v>9980</v>
      </c>
      <c r="HF1016" s="15" t="s">
        <v>789</v>
      </c>
      <c r="HQ1016" s="15" t="s">
        <v>426</v>
      </c>
    </row>
    <row r="1017" ht="17.25" customHeight="1">
      <c r="A1017" s="15" t="s">
        <v>9985</v>
      </c>
      <c r="B1017" s="15" t="str">
        <f>"801542093532"</f>
        <v>801542093532</v>
      </c>
      <c r="C1017" s="15" t="s">
        <v>23781</v>
      </c>
      <c r="D1017" s="15" t="str">
        <f t="shared" si="1"/>
        <v>Toulouse BedDistressed Black OakQueen</v>
      </c>
      <c r="E1017" s="15" t="s">
        <v>9982</v>
      </c>
      <c r="F1017" s="15" t="s">
        <v>397</v>
      </c>
      <c r="G1017" s="15" t="s">
        <v>9984</v>
      </c>
      <c r="H1017" s="15" t="s">
        <v>839</v>
      </c>
      <c r="I1017" s="15" t="s">
        <v>877</v>
      </c>
      <c r="J1017" s="15" t="s">
        <v>5956</v>
      </c>
      <c r="K1017" s="15" t="s">
        <v>9984</v>
      </c>
      <c r="M1017" s="15" t="s">
        <v>1101</v>
      </c>
      <c r="N1017" s="15" t="s">
        <v>839</v>
      </c>
      <c r="O1017" s="15" t="s">
        <v>877</v>
      </c>
      <c r="P1017" s="15" t="str">
        <f t="shared" ref="P1017:P1018" si="2926">"65.75"</f>
        <v>65.75</v>
      </c>
      <c r="Q1017" s="15" t="str">
        <f t="shared" ref="Q1017:Q1020" si="2927">"85.75"</f>
        <v>85.75</v>
      </c>
      <c r="R1017" s="15" t="str">
        <f t="shared" ref="R1017:R1020" si="2928">"48"</f>
        <v>48</v>
      </c>
      <c r="S1017" s="15" t="str">
        <f t="shared" ref="S1017:S1018" si="2929">"173.06"</f>
        <v>173.06</v>
      </c>
      <c r="T1017" s="15" t="s">
        <v>2354</v>
      </c>
      <c r="U1017" s="15" t="s">
        <v>11553</v>
      </c>
      <c r="V1017" s="15" t="s">
        <v>11338</v>
      </c>
      <c r="AA1017" s="15" t="s">
        <v>413</v>
      </c>
      <c r="AB1017" s="15" t="s">
        <v>413</v>
      </c>
      <c r="AC1017" s="15" t="s">
        <v>9987</v>
      </c>
      <c r="AD1017" s="15" t="s">
        <v>23782</v>
      </c>
      <c r="AE1017" s="15" t="s">
        <v>9986</v>
      </c>
      <c r="AF1017" s="15" t="s">
        <v>23783</v>
      </c>
      <c r="AG1017" s="15" t="s">
        <v>23784</v>
      </c>
      <c r="AH1017" s="15" t="s">
        <v>23785</v>
      </c>
      <c r="AI1017" s="15" t="s">
        <v>23786</v>
      </c>
      <c r="AJ1017" s="15" t="s">
        <v>23787</v>
      </c>
      <c r="AK1017" s="15" t="s">
        <v>23788</v>
      </c>
      <c r="AL1017" s="15" t="s">
        <v>23789</v>
      </c>
      <c r="AM1017" s="15" t="s">
        <v>23790</v>
      </c>
      <c r="AN1017" s="15" t="s">
        <v>23791</v>
      </c>
      <c r="AO1017" s="15" t="s">
        <v>23792</v>
      </c>
      <c r="BH1017" s="15" t="s">
        <v>9983</v>
      </c>
      <c r="BI1017" s="15" t="str">
        <f t="shared" si="2924"/>
        <v>2599</v>
      </c>
      <c r="BJ1017" s="15" t="str">
        <f t="shared" si="2925"/>
        <v>1095</v>
      </c>
      <c r="BK1017" s="15" t="s">
        <v>742</v>
      </c>
      <c r="BL1017" s="15" t="str">
        <f t="shared" ref="BL1017:BL1020" si="2930">"2"</f>
        <v>2</v>
      </c>
      <c r="BM1017" s="15" t="s">
        <v>980</v>
      </c>
      <c r="BN1017" s="15" t="str">
        <f t="shared" ref="BN1017:BN1018" si="2931">"70.08"</f>
        <v>70.08</v>
      </c>
      <c r="BO1017" s="15" t="str">
        <f t="shared" ref="BO1017:BO1020" si="2932">"52.36"</f>
        <v>52.36</v>
      </c>
      <c r="BP1017" s="15" t="str">
        <f t="shared" ref="BP1017:BP1020" si="2933">"9.84"</f>
        <v>9.84</v>
      </c>
      <c r="BQ1017" s="15" t="str">
        <f t="shared" ref="BQ1017:BQ1018" si="2934">"170.86"</f>
        <v>170.86</v>
      </c>
      <c r="BR1017" s="15" t="s">
        <v>980</v>
      </c>
      <c r="BS1017" s="15" t="str">
        <f t="shared" ref="BS1017:BS1018" si="2935">"86.42"</f>
        <v>86.42</v>
      </c>
      <c r="BT1017" s="15" t="str">
        <f t="shared" ref="BT1017:BT1018" si="2936">"13.19"</f>
        <v>13.19</v>
      </c>
      <c r="BU1017" s="15" t="str">
        <f t="shared" ref="BU1017:BU1018" si="2937">"8.27"</f>
        <v>8.27</v>
      </c>
      <c r="BV1017" s="15" t="str">
        <f t="shared" ref="BV1017:BV1018" si="2938">"48.5"</f>
        <v>48.5</v>
      </c>
      <c r="CG1017" s="15" t="str">
        <f t="shared" ref="CG1017:CG1018" si="2939">"26.34"</f>
        <v>26.34</v>
      </c>
      <c r="CH1017" s="15" t="str">
        <f t="shared" ref="CH1017:CH1018" si="2940">"0.746"</f>
        <v>0.746</v>
      </c>
      <c r="CI1017" s="15" t="s">
        <v>417</v>
      </c>
      <c r="CZ1017" s="15" t="s">
        <v>419</v>
      </c>
      <c r="DA1017" s="15">
        <v>0.0</v>
      </c>
      <c r="DB1017" s="15" t="s">
        <v>419</v>
      </c>
      <c r="DD1017" s="15">
        <v>0.0</v>
      </c>
      <c r="DF1017" s="15" t="s">
        <v>721</v>
      </c>
      <c r="DG1017" s="15" t="s">
        <v>419</v>
      </c>
      <c r="DI1017" s="15">
        <v>0.0</v>
      </c>
      <c r="DJ1017" s="15">
        <v>0.0</v>
      </c>
      <c r="DK1017" s="15">
        <v>0.0</v>
      </c>
      <c r="DS1017" s="15" t="s">
        <v>9989</v>
      </c>
      <c r="DU1017" s="15" t="s">
        <v>858</v>
      </c>
      <c r="EV1017" s="15">
        <v>0.0</v>
      </c>
      <c r="HV1017" s="15" t="s">
        <v>1483</v>
      </c>
      <c r="HW1017" s="15" t="s">
        <v>1483</v>
      </c>
      <c r="HX1017" s="15" t="s">
        <v>3052</v>
      </c>
      <c r="HY1017" s="15" t="s">
        <v>1116</v>
      </c>
      <c r="HZ1017" s="15" t="s">
        <v>759</v>
      </c>
      <c r="IA1017" s="15" t="s">
        <v>4708</v>
      </c>
      <c r="IB1017" s="15" t="s">
        <v>5320</v>
      </c>
      <c r="IC1017" s="15" t="s">
        <v>759</v>
      </c>
      <c r="ID1017" s="15" t="s">
        <v>4708</v>
      </c>
      <c r="IE1017" s="15" t="s">
        <v>8734</v>
      </c>
      <c r="IF1017" s="15" t="s">
        <v>1957</v>
      </c>
      <c r="IG1017" s="15" t="s">
        <v>890</v>
      </c>
      <c r="IH1017" s="15" t="s">
        <v>714</v>
      </c>
      <c r="II1017" s="15" t="s">
        <v>8734</v>
      </c>
      <c r="IJ1017" s="15" t="s">
        <v>1517</v>
      </c>
      <c r="IK1017" s="15" t="s">
        <v>426</v>
      </c>
      <c r="IL1017" s="15" t="s">
        <v>2973</v>
      </c>
      <c r="IM1017" s="15" t="s">
        <v>2604</v>
      </c>
      <c r="IN1017" s="15" t="s">
        <v>873</v>
      </c>
      <c r="IO1017" s="15" t="s">
        <v>877</v>
      </c>
      <c r="IU1017" s="15" t="s">
        <v>759</v>
      </c>
      <c r="IV1017" s="15" t="s">
        <v>3154</v>
      </c>
      <c r="IW1017" s="15" t="s">
        <v>759</v>
      </c>
      <c r="IX1017" s="15" t="s">
        <v>426</v>
      </c>
      <c r="IY1017" s="15" t="s">
        <v>2474</v>
      </c>
    </row>
    <row r="1018" ht="17.25" customHeight="1">
      <c r="A1018" s="15" t="s">
        <v>9992</v>
      </c>
      <c r="B1018" s="15" t="str">
        <f>"801542056155"</f>
        <v>801542056155</v>
      </c>
      <c r="C1018" s="15" t="s">
        <v>23793</v>
      </c>
      <c r="D1018" s="15" t="str">
        <f t="shared" si="1"/>
        <v>Toulouse BedToasted Oak VeneerQueen</v>
      </c>
      <c r="E1018" s="15" t="s">
        <v>9982</v>
      </c>
      <c r="F1018" s="15" t="s">
        <v>397</v>
      </c>
      <c r="G1018" s="15" t="s">
        <v>9991</v>
      </c>
      <c r="H1018" s="15" t="s">
        <v>839</v>
      </c>
      <c r="I1018" s="15" t="s">
        <v>877</v>
      </c>
      <c r="J1018" s="15" t="s">
        <v>9991</v>
      </c>
      <c r="M1018" s="15" t="s">
        <v>1101</v>
      </c>
      <c r="N1018" s="15" t="s">
        <v>839</v>
      </c>
      <c r="O1018" s="15" t="s">
        <v>877</v>
      </c>
      <c r="P1018" s="15" t="str">
        <f t="shared" si="2926"/>
        <v>65.75</v>
      </c>
      <c r="Q1018" s="15" t="str">
        <f t="shared" si="2927"/>
        <v>85.75</v>
      </c>
      <c r="R1018" s="15" t="str">
        <f t="shared" si="2928"/>
        <v>48</v>
      </c>
      <c r="S1018" s="15" t="str">
        <f t="shared" si="2929"/>
        <v>173.06</v>
      </c>
      <c r="T1018" s="15" t="s">
        <v>2354</v>
      </c>
      <c r="U1018" s="15" t="s">
        <v>11553</v>
      </c>
      <c r="V1018" s="15" t="s">
        <v>11338</v>
      </c>
      <c r="AA1018" s="15" t="s">
        <v>413</v>
      </c>
      <c r="AB1018" s="15" t="s">
        <v>413</v>
      </c>
      <c r="AD1018" s="15" t="s">
        <v>23794</v>
      </c>
      <c r="AE1018" s="15" t="s">
        <v>9993</v>
      </c>
      <c r="AF1018" s="15" t="s">
        <v>23795</v>
      </c>
      <c r="AG1018" s="15" t="s">
        <v>23796</v>
      </c>
      <c r="AH1018" s="15" t="s">
        <v>23797</v>
      </c>
      <c r="AI1018" s="15" t="s">
        <v>23798</v>
      </c>
      <c r="AJ1018" s="15" t="s">
        <v>23799</v>
      </c>
      <c r="AK1018" s="15" t="s">
        <v>23800</v>
      </c>
      <c r="AL1018" s="15" t="s">
        <v>23801</v>
      </c>
      <c r="AM1018" s="15" t="s">
        <v>23802</v>
      </c>
      <c r="AN1018" s="15" t="s">
        <v>23803</v>
      </c>
      <c r="AO1018" s="15" t="s">
        <v>23804</v>
      </c>
      <c r="AP1018" s="15" t="s">
        <v>23805</v>
      </c>
      <c r="BH1018" s="15" t="s">
        <v>9990</v>
      </c>
      <c r="BI1018" s="15" t="str">
        <f t="shared" si="2924"/>
        <v>2599</v>
      </c>
      <c r="BJ1018" s="15" t="str">
        <f t="shared" si="2925"/>
        <v>1095</v>
      </c>
      <c r="BK1018" s="15" t="s">
        <v>742</v>
      </c>
      <c r="BL1018" s="15" t="str">
        <f t="shared" si="2930"/>
        <v>2</v>
      </c>
      <c r="BM1018" s="15" t="s">
        <v>980</v>
      </c>
      <c r="BN1018" s="15" t="str">
        <f t="shared" si="2931"/>
        <v>70.08</v>
      </c>
      <c r="BO1018" s="15" t="str">
        <f t="shared" si="2932"/>
        <v>52.36</v>
      </c>
      <c r="BP1018" s="15" t="str">
        <f t="shared" si="2933"/>
        <v>9.84</v>
      </c>
      <c r="BQ1018" s="15" t="str">
        <f t="shared" si="2934"/>
        <v>170.86</v>
      </c>
      <c r="BR1018" s="15" t="s">
        <v>980</v>
      </c>
      <c r="BS1018" s="15" t="str">
        <f t="shared" si="2935"/>
        <v>86.42</v>
      </c>
      <c r="BT1018" s="15" t="str">
        <f t="shared" si="2936"/>
        <v>13.19</v>
      </c>
      <c r="BU1018" s="15" t="str">
        <f t="shared" si="2937"/>
        <v>8.27</v>
      </c>
      <c r="BV1018" s="15" t="str">
        <f t="shared" si="2938"/>
        <v>48.5</v>
      </c>
      <c r="CG1018" s="15" t="str">
        <f t="shared" si="2939"/>
        <v>26.34</v>
      </c>
      <c r="CH1018" s="15" t="str">
        <f t="shared" si="2940"/>
        <v>0.746</v>
      </c>
      <c r="CI1018" s="15" t="s">
        <v>465</v>
      </c>
      <c r="CZ1018" s="15" t="s">
        <v>419</v>
      </c>
      <c r="DA1018" s="15">
        <v>0.0</v>
      </c>
      <c r="DB1018" s="15" t="s">
        <v>419</v>
      </c>
      <c r="DD1018" s="15">
        <v>0.0</v>
      </c>
      <c r="DF1018" s="15" t="s">
        <v>721</v>
      </c>
      <c r="DG1018" s="15" t="s">
        <v>419</v>
      </c>
      <c r="DI1018" s="15">
        <v>0.0</v>
      </c>
      <c r="DJ1018" s="15">
        <v>0.0</v>
      </c>
      <c r="DK1018" s="15">
        <v>0.0</v>
      </c>
      <c r="DS1018" s="15" t="s">
        <v>9989</v>
      </c>
      <c r="DU1018" s="15" t="s">
        <v>858</v>
      </c>
      <c r="EV1018" s="15">
        <v>0.0</v>
      </c>
      <c r="HV1018" s="15" t="s">
        <v>1483</v>
      </c>
      <c r="HW1018" s="15" t="s">
        <v>1483</v>
      </c>
      <c r="HX1018" s="15" t="s">
        <v>3052</v>
      </c>
      <c r="HY1018" s="15" t="s">
        <v>1116</v>
      </c>
      <c r="HZ1018" s="15" t="s">
        <v>759</v>
      </c>
      <c r="IA1018" s="15" t="s">
        <v>4708</v>
      </c>
      <c r="IB1018" s="15" t="s">
        <v>5320</v>
      </c>
      <c r="IC1018" s="15" t="s">
        <v>759</v>
      </c>
      <c r="ID1018" s="15" t="s">
        <v>4708</v>
      </c>
      <c r="IE1018" s="15" t="s">
        <v>8734</v>
      </c>
      <c r="IF1018" s="15" t="s">
        <v>1957</v>
      </c>
      <c r="IG1018" s="15" t="s">
        <v>890</v>
      </c>
      <c r="IH1018" s="15" t="s">
        <v>714</v>
      </c>
      <c r="II1018" s="15" t="s">
        <v>8734</v>
      </c>
      <c r="IJ1018" s="15" t="s">
        <v>1517</v>
      </c>
      <c r="IK1018" s="15" t="s">
        <v>426</v>
      </c>
      <c r="IL1018" s="15" t="s">
        <v>2973</v>
      </c>
      <c r="IM1018" s="15" t="s">
        <v>2604</v>
      </c>
      <c r="IN1018" s="15" t="s">
        <v>873</v>
      </c>
      <c r="IO1018" s="15" t="s">
        <v>877</v>
      </c>
      <c r="IU1018" s="15" t="s">
        <v>759</v>
      </c>
      <c r="IV1018" s="15" t="s">
        <v>3154</v>
      </c>
      <c r="IW1018" s="15" t="s">
        <v>759</v>
      </c>
      <c r="IX1018" s="15" t="s">
        <v>426</v>
      </c>
      <c r="IY1018" s="15" t="s">
        <v>2474</v>
      </c>
    </row>
    <row r="1019" ht="17.25" customHeight="1">
      <c r="A1019" s="15" t="s">
        <v>9995</v>
      </c>
      <c r="B1019" s="15" t="str">
        <f>"801542056148"</f>
        <v>801542056148</v>
      </c>
      <c r="C1019" s="15" t="s">
        <v>23793</v>
      </c>
      <c r="D1019" s="15" t="str">
        <f t="shared" si="1"/>
        <v>Toulouse BedToasted Oak VeneerKing</v>
      </c>
      <c r="E1019" s="15" t="s">
        <v>9982</v>
      </c>
      <c r="F1019" s="15" t="s">
        <v>397</v>
      </c>
      <c r="G1019" s="15" t="s">
        <v>9991</v>
      </c>
      <c r="H1019" s="15" t="s">
        <v>839</v>
      </c>
      <c r="I1019" s="15" t="s">
        <v>828</v>
      </c>
      <c r="J1019" s="15" t="s">
        <v>9991</v>
      </c>
      <c r="M1019" s="15" t="s">
        <v>1101</v>
      </c>
      <c r="N1019" s="15" t="s">
        <v>839</v>
      </c>
      <c r="O1019" s="15" t="s">
        <v>828</v>
      </c>
      <c r="P1019" s="15" t="str">
        <f t="shared" ref="P1019:P1020" si="2941">"81.75"</f>
        <v>81.75</v>
      </c>
      <c r="Q1019" s="15" t="str">
        <f t="shared" si="2927"/>
        <v>85.75</v>
      </c>
      <c r="R1019" s="15" t="str">
        <f t="shared" si="2928"/>
        <v>48</v>
      </c>
      <c r="S1019" s="15" t="str">
        <f t="shared" ref="S1019:S1020" si="2942">"209.44"</f>
        <v>209.44</v>
      </c>
      <c r="T1019" s="15" t="s">
        <v>2354</v>
      </c>
      <c r="U1019" s="15" t="s">
        <v>11553</v>
      </c>
      <c r="V1019" s="15" t="s">
        <v>11338</v>
      </c>
      <c r="AA1019" s="15" t="s">
        <v>413</v>
      </c>
      <c r="AB1019" s="15" t="s">
        <v>413</v>
      </c>
      <c r="AD1019" s="15" t="s">
        <v>23806</v>
      </c>
      <c r="AE1019" s="15" t="s">
        <v>9996</v>
      </c>
      <c r="AF1019" s="15" t="s">
        <v>23807</v>
      </c>
      <c r="AG1019" s="15" t="s">
        <v>23808</v>
      </c>
      <c r="AH1019" s="15" t="s">
        <v>23809</v>
      </c>
      <c r="AI1019" s="15" t="s">
        <v>23810</v>
      </c>
      <c r="AJ1019" s="15" t="s">
        <v>23811</v>
      </c>
      <c r="AK1019" s="15" t="s">
        <v>23812</v>
      </c>
      <c r="AL1019" s="15" t="s">
        <v>23813</v>
      </c>
      <c r="AM1019" s="15" t="s">
        <v>23814</v>
      </c>
      <c r="AN1019" s="15" t="s">
        <v>23815</v>
      </c>
      <c r="AO1019" s="15" t="s">
        <v>23816</v>
      </c>
      <c r="AP1019" s="15" t="s">
        <v>23817</v>
      </c>
      <c r="AQ1019" s="15" t="s">
        <v>23818</v>
      </c>
      <c r="AR1019" s="15" t="s">
        <v>23819</v>
      </c>
      <c r="AS1019" s="15" t="s">
        <v>23820</v>
      </c>
      <c r="BH1019" s="15" t="s">
        <v>9994</v>
      </c>
      <c r="BI1019" s="15" t="str">
        <f t="shared" ref="BI1019:BI1020" si="2943">"2999"</f>
        <v>2999</v>
      </c>
      <c r="BJ1019" s="15" t="str">
        <f t="shared" ref="BJ1019:BJ1020" si="2944">"1260"</f>
        <v>1260</v>
      </c>
      <c r="BK1019" s="15" t="s">
        <v>742</v>
      </c>
      <c r="BL1019" s="15" t="str">
        <f t="shared" si="2930"/>
        <v>2</v>
      </c>
      <c r="BM1019" s="15" t="s">
        <v>980</v>
      </c>
      <c r="BN1019" s="15" t="str">
        <f t="shared" ref="BN1019:BN1020" si="2945">"87.01"</f>
        <v>87.01</v>
      </c>
      <c r="BO1019" s="15" t="str">
        <f t="shared" si="2932"/>
        <v>52.36</v>
      </c>
      <c r="BP1019" s="15" t="str">
        <f t="shared" si="2933"/>
        <v>9.84</v>
      </c>
      <c r="BQ1019" s="15" t="str">
        <f t="shared" ref="BQ1019:BQ1020" si="2946">"207.23"</f>
        <v>207.23</v>
      </c>
      <c r="BR1019" s="15" t="s">
        <v>980</v>
      </c>
      <c r="BS1019" s="15" t="str">
        <f t="shared" ref="BS1019:BS1020" si="2947">"87.01"</f>
        <v>87.01</v>
      </c>
      <c r="BT1019" s="15" t="str">
        <f t="shared" ref="BT1019:BT1020" si="2948">"12.2"</f>
        <v>12.2</v>
      </c>
      <c r="BU1019" s="15" t="str">
        <f t="shared" ref="BU1019:BU1020" si="2949">"8.46"</f>
        <v>8.46</v>
      </c>
      <c r="BV1019" s="15" t="str">
        <f t="shared" ref="BV1019:BV1020" si="2950">"59.52"</f>
        <v>59.52</v>
      </c>
      <c r="CG1019" s="15" t="str">
        <f t="shared" ref="CG1019:CG1020" si="2951">"31.15"</f>
        <v>31.15</v>
      </c>
      <c r="CH1019" s="15" t="str">
        <f t="shared" ref="CH1019:CH1020" si="2952">"0.882"</f>
        <v>0.882</v>
      </c>
      <c r="CI1019" s="15" t="s">
        <v>497</v>
      </c>
      <c r="CZ1019" s="15" t="s">
        <v>419</v>
      </c>
      <c r="DA1019" s="15">
        <v>0.0</v>
      </c>
      <c r="DB1019" s="15" t="s">
        <v>419</v>
      </c>
      <c r="DD1019" s="15">
        <v>0.0</v>
      </c>
      <c r="DF1019" s="15" t="s">
        <v>721</v>
      </c>
      <c r="DG1019" s="15" t="s">
        <v>419</v>
      </c>
      <c r="DI1019" s="15">
        <v>0.0</v>
      </c>
      <c r="DJ1019" s="15">
        <v>0.0</v>
      </c>
      <c r="DK1019" s="15">
        <v>0.0</v>
      </c>
      <c r="DS1019" s="15" t="s">
        <v>9989</v>
      </c>
      <c r="DU1019" s="15" t="s">
        <v>858</v>
      </c>
      <c r="EV1019" s="15">
        <v>0.0</v>
      </c>
      <c r="HV1019" s="15" t="s">
        <v>1483</v>
      </c>
      <c r="HW1019" s="15" t="s">
        <v>1483</v>
      </c>
      <c r="HX1019" s="15" t="s">
        <v>3052</v>
      </c>
      <c r="HY1019" s="15" t="s">
        <v>1116</v>
      </c>
      <c r="HZ1019" s="15" t="s">
        <v>759</v>
      </c>
      <c r="IA1019" s="15" t="s">
        <v>9997</v>
      </c>
      <c r="IB1019" s="15" t="s">
        <v>5320</v>
      </c>
      <c r="IC1019" s="15" t="s">
        <v>759</v>
      </c>
      <c r="ID1019" s="15" t="s">
        <v>9997</v>
      </c>
      <c r="IE1019" s="15" t="s">
        <v>8734</v>
      </c>
      <c r="IF1019" s="15" t="s">
        <v>1957</v>
      </c>
      <c r="IG1019" s="15" t="s">
        <v>4384</v>
      </c>
      <c r="IH1019" s="15" t="s">
        <v>714</v>
      </c>
      <c r="II1019" s="15" t="s">
        <v>8734</v>
      </c>
      <c r="IJ1019" s="15" t="s">
        <v>1517</v>
      </c>
      <c r="IK1019" s="15" t="s">
        <v>426</v>
      </c>
      <c r="IL1019" s="15" t="s">
        <v>2973</v>
      </c>
      <c r="IM1019" s="15" t="s">
        <v>2604</v>
      </c>
      <c r="IN1019" s="15" t="s">
        <v>873</v>
      </c>
      <c r="IO1019" s="15" t="s">
        <v>828</v>
      </c>
      <c r="IU1019" s="15" t="s">
        <v>759</v>
      </c>
      <c r="IV1019" s="15" t="s">
        <v>3154</v>
      </c>
      <c r="IW1019" s="15" t="s">
        <v>759</v>
      </c>
      <c r="IX1019" s="15" t="s">
        <v>426</v>
      </c>
      <c r="IY1019" s="15" t="s">
        <v>2474</v>
      </c>
    </row>
    <row r="1020" ht="17.25" customHeight="1">
      <c r="A1020" s="15" t="s">
        <v>9999</v>
      </c>
      <c r="B1020" s="15" t="str">
        <f>"801542093501"</f>
        <v>801542093501</v>
      </c>
      <c r="C1020" s="15" t="s">
        <v>23793</v>
      </c>
      <c r="D1020" s="15" t="str">
        <f t="shared" si="1"/>
        <v>Toulouse BedDistressed Black OakKing</v>
      </c>
      <c r="E1020" s="15" t="s">
        <v>9982</v>
      </c>
      <c r="F1020" s="15" t="s">
        <v>397</v>
      </c>
      <c r="G1020" s="15" t="s">
        <v>9984</v>
      </c>
      <c r="H1020" s="15" t="s">
        <v>839</v>
      </c>
      <c r="I1020" s="15" t="s">
        <v>828</v>
      </c>
      <c r="J1020" s="15" t="s">
        <v>9991</v>
      </c>
      <c r="K1020" s="15" t="s">
        <v>9984</v>
      </c>
      <c r="M1020" s="15" t="s">
        <v>1101</v>
      </c>
      <c r="N1020" s="15" t="s">
        <v>839</v>
      </c>
      <c r="O1020" s="15" t="s">
        <v>828</v>
      </c>
      <c r="P1020" s="15" t="str">
        <f t="shared" si="2941"/>
        <v>81.75</v>
      </c>
      <c r="Q1020" s="15" t="str">
        <f t="shared" si="2927"/>
        <v>85.75</v>
      </c>
      <c r="R1020" s="15" t="str">
        <f t="shared" si="2928"/>
        <v>48</v>
      </c>
      <c r="S1020" s="15" t="str">
        <f t="shared" si="2942"/>
        <v>209.44</v>
      </c>
      <c r="T1020" s="15" t="s">
        <v>2354</v>
      </c>
      <c r="U1020" s="15" t="s">
        <v>11553</v>
      </c>
      <c r="V1020" s="15" t="s">
        <v>11338</v>
      </c>
      <c r="AA1020" s="15" t="s">
        <v>413</v>
      </c>
      <c r="AB1020" s="15" t="s">
        <v>413</v>
      </c>
      <c r="AC1020" s="15" t="s">
        <v>9987</v>
      </c>
      <c r="AD1020" s="15" t="s">
        <v>23821</v>
      </c>
      <c r="AE1020" s="15" t="s">
        <v>10000</v>
      </c>
      <c r="AF1020" s="15" t="s">
        <v>23822</v>
      </c>
      <c r="AG1020" s="15" t="s">
        <v>23823</v>
      </c>
      <c r="AH1020" s="15" t="s">
        <v>23824</v>
      </c>
      <c r="AI1020" s="15" t="s">
        <v>23825</v>
      </c>
      <c r="AJ1020" s="15" t="s">
        <v>23826</v>
      </c>
      <c r="AK1020" s="15" t="s">
        <v>23827</v>
      </c>
      <c r="AL1020" s="15" t="s">
        <v>23828</v>
      </c>
      <c r="AM1020" s="15" t="s">
        <v>23829</v>
      </c>
      <c r="AN1020" s="15" t="s">
        <v>23830</v>
      </c>
      <c r="AO1020" s="15" t="s">
        <v>23831</v>
      </c>
      <c r="BH1020" s="15" t="s">
        <v>9998</v>
      </c>
      <c r="BI1020" s="15" t="str">
        <f t="shared" si="2943"/>
        <v>2999</v>
      </c>
      <c r="BJ1020" s="15" t="str">
        <f t="shared" si="2944"/>
        <v>1260</v>
      </c>
      <c r="BK1020" s="15" t="s">
        <v>742</v>
      </c>
      <c r="BL1020" s="15" t="str">
        <f t="shared" si="2930"/>
        <v>2</v>
      </c>
      <c r="BM1020" s="15" t="s">
        <v>980</v>
      </c>
      <c r="BN1020" s="15" t="str">
        <f t="shared" si="2945"/>
        <v>87.01</v>
      </c>
      <c r="BO1020" s="15" t="str">
        <f t="shared" si="2932"/>
        <v>52.36</v>
      </c>
      <c r="BP1020" s="15" t="str">
        <f t="shared" si="2933"/>
        <v>9.84</v>
      </c>
      <c r="BQ1020" s="15" t="str">
        <f t="shared" si="2946"/>
        <v>207.23</v>
      </c>
      <c r="BR1020" s="15" t="s">
        <v>980</v>
      </c>
      <c r="BS1020" s="15" t="str">
        <f t="shared" si="2947"/>
        <v>87.01</v>
      </c>
      <c r="BT1020" s="15" t="str">
        <f t="shared" si="2948"/>
        <v>12.2</v>
      </c>
      <c r="BU1020" s="15" t="str">
        <f t="shared" si="2949"/>
        <v>8.46</v>
      </c>
      <c r="BV1020" s="15" t="str">
        <f t="shared" si="2950"/>
        <v>59.52</v>
      </c>
      <c r="CG1020" s="15" t="str">
        <f t="shared" si="2951"/>
        <v>31.15</v>
      </c>
      <c r="CH1020" s="15" t="str">
        <f t="shared" si="2952"/>
        <v>0.882</v>
      </c>
      <c r="CI1020" s="15" t="s">
        <v>465</v>
      </c>
      <c r="CZ1020" s="15" t="s">
        <v>419</v>
      </c>
      <c r="DA1020" s="15">
        <v>0.0</v>
      </c>
      <c r="DB1020" s="15" t="s">
        <v>419</v>
      </c>
      <c r="DD1020" s="15">
        <v>0.0</v>
      </c>
      <c r="DF1020" s="15" t="s">
        <v>721</v>
      </c>
      <c r="DG1020" s="15" t="s">
        <v>419</v>
      </c>
      <c r="DI1020" s="15">
        <v>0.0</v>
      </c>
      <c r="DJ1020" s="15">
        <v>0.0</v>
      </c>
      <c r="DK1020" s="15">
        <v>0.0</v>
      </c>
      <c r="DS1020" s="15" t="s">
        <v>9989</v>
      </c>
      <c r="DU1020" s="15" t="s">
        <v>858</v>
      </c>
      <c r="EV1020" s="15">
        <v>0.0</v>
      </c>
      <c r="HV1020" s="15" t="s">
        <v>1483</v>
      </c>
      <c r="HW1020" s="15" t="s">
        <v>1483</v>
      </c>
      <c r="HX1020" s="15" t="s">
        <v>3052</v>
      </c>
      <c r="HY1020" s="15" t="s">
        <v>1116</v>
      </c>
      <c r="HZ1020" s="15" t="s">
        <v>759</v>
      </c>
      <c r="IA1020" s="15" t="s">
        <v>9997</v>
      </c>
      <c r="IB1020" s="15" t="s">
        <v>5320</v>
      </c>
      <c r="IC1020" s="15" t="s">
        <v>759</v>
      </c>
      <c r="ID1020" s="15" t="s">
        <v>9997</v>
      </c>
      <c r="IE1020" s="15" t="s">
        <v>8734</v>
      </c>
      <c r="IF1020" s="15" t="s">
        <v>1957</v>
      </c>
      <c r="IG1020" s="15" t="s">
        <v>4384</v>
      </c>
      <c r="IH1020" s="15" t="s">
        <v>714</v>
      </c>
      <c r="II1020" s="15" t="s">
        <v>8734</v>
      </c>
      <c r="IJ1020" s="15" t="s">
        <v>1517</v>
      </c>
      <c r="IK1020" s="15" t="s">
        <v>426</v>
      </c>
      <c r="IL1020" s="15" t="s">
        <v>2973</v>
      </c>
      <c r="IM1020" s="15" t="s">
        <v>2604</v>
      </c>
      <c r="IN1020" s="15" t="s">
        <v>873</v>
      </c>
      <c r="IO1020" s="15" t="s">
        <v>828</v>
      </c>
      <c r="IU1020" s="15" t="s">
        <v>759</v>
      </c>
      <c r="IV1020" s="15" t="s">
        <v>3154</v>
      </c>
      <c r="IW1020" s="15" t="s">
        <v>759</v>
      </c>
      <c r="IX1020" s="15" t="s">
        <v>426</v>
      </c>
      <c r="IY1020" s="15" t="s">
        <v>2474</v>
      </c>
    </row>
    <row r="1021" ht="17.25" customHeight="1">
      <c r="A1021" s="15" t="s">
        <v>10003</v>
      </c>
      <c r="B1021" s="15" t="str">
        <f>"801542028930"</f>
        <v>801542028930</v>
      </c>
      <c r="C1021" s="15" t="s">
        <v>23832</v>
      </c>
      <c r="D1021" s="15" t="str">
        <f t="shared" si="1"/>
        <v>Toulouse Executive DeskToasted Oak Veneer</v>
      </c>
      <c r="E1021" s="15" t="s">
        <v>10001</v>
      </c>
      <c r="F1021" s="15" t="s">
        <v>397</v>
      </c>
      <c r="G1021" s="15" t="s">
        <v>9991</v>
      </c>
      <c r="J1021" s="15" t="s">
        <v>9991</v>
      </c>
      <c r="M1021" s="15" t="s">
        <v>1101</v>
      </c>
      <c r="N1021" s="15" t="s">
        <v>2134</v>
      </c>
      <c r="O1021" s="15" t="s">
        <v>2135</v>
      </c>
      <c r="P1021" s="15" t="str">
        <f>"70"</f>
        <v>70</v>
      </c>
      <c r="Q1021" s="15" t="str">
        <f>"27"</f>
        <v>27</v>
      </c>
      <c r="R1021" s="15" t="str">
        <f>"31"</f>
        <v>31</v>
      </c>
      <c r="S1021" s="15" t="str">
        <f>"163.14"</f>
        <v>163.14</v>
      </c>
      <c r="T1021" s="15" t="s">
        <v>2354</v>
      </c>
      <c r="U1021" s="15" t="s">
        <v>11553</v>
      </c>
      <c r="V1021" s="15" t="s">
        <v>11338</v>
      </c>
      <c r="AA1021" s="15" t="s">
        <v>413</v>
      </c>
      <c r="AB1021" s="15" t="s">
        <v>413</v>
      </c>
      <c r="AC1021" s="15" t="s">
        <v>10005</v>
      </c>
      <c r="AD1021" s="15" t="s">
        <v>23833</v>
      </c>
      <c r="AE1021" s="15" t="s">
        <v>10004</v>
      </c>
      <c r="AF1021" s="15" t="s">
        <v>23834</v>
      </c>
      <c r="AG1021" s="15" t="s">
        <v>23835</v>
      </c>
      <c r="AH1021" s="15" t="s">
        <v>23836</v>
      </c>
      <c r="AI1021" s="15" t="s">
        <v>23837</v>
      </c>
      <c r="AJ1021" s="15" t="s">
        <v>23838</v>
      </c>
      <c r="AK1021" s="15" t="s">
        <v>23839</v>
      </c>
      <c r="AL1021" s="15" t="s">
        <v>23840</v>
      </c>
      <c r="AM1021" s="15" t="s">
        <v>23841</v>
      </c>
      <c r="AN1021" s="15" t="s">
        <v>23842</v>
      </c>
      <c r="AO1021" s="15" t="s">
        <v>23843</v>
      </c>
      <c r="AP1021" s="15" t="s">
        <v>23844</v>
      </c>
      <c r="AQ1021" s="15" t="s">
        <v>23845</v>
      </c>
      <c r="AR1021" s="15" t="s">
        <v>23846</v>
      </c>
      <c r="AS1021" s="15" t="s">
        <v>23847</v>
      </c>
      <c r="AT1021" s="15" t="s">
        <v>23848</v>
      </c>
      <c r="BH1021" s="15" t="s">
        <v>10002</v>
      </c>
      <c r="BI1021" s="15" t="str">
        <f>"2699"</f>
        <v>2699</v>
      </c>
      <c r="BJ1021" s="15" t="str">
        <f>"1135"</f>
        <v>1135</v>
      </c>
      <c r="BK1021" s="15" t="s">
        <v>742</v>
      </c>
      <c r="BL1021" s="15" t="str">
        <f t="shared" ref="BL1021:BL1030" si="2953">"1"</f>
        <v>1</v>
      </c>
      <c r="BM1021" s="15" t="s">
        <v>980</v>
      </c>
      <c r="BN1021" s="15" t="str">
        <f>"73.62"</f>
        <v>73.62</v>
      </c>
      <c r="BO1021" s="15" t="str">
        <f>"31.3"</f>
        <v>31.3</v>
      </c>
      <c r="BP1021" s="15" t="str">
        <f>"27.36"</f>
        <v>27.36</v>
      </c>
      <c r="BQ1021" s="15" t="str">
        <f>"202.83"</f>
        <v>202.83</v>
      </c>
      <c r="CG1021" s="15" t="str">
        <f>"36.48"</f>
        <v>36.48</v>
      </c>
      <c r="CH1021" s="15" t="str">
        <f>"1.033"</f>
        <v>1.033</v>
      </c>
      <c r="CI1021" s="15" t="s">
        <v>465</v>
      </c>
      <c r="CZ1021" s="15" t="s">
        <v>4002</v>
      </c>
      <c r="DA1021" s="15">
        <v>7.0</v>
      </c>
      <c r="DB1021" s="15" t="s">
        <v>1185</v>
      </c>
      <c r="DD1021" s="15">
        <v>0.0</v>
      </c>
      <c r="DF1021" s="15" t="s">
        <v>721</v>
      </c>
      <c r="DG1021" s="15" t="s">
        <v>421</v>
      </c>
      <c r="DK1021" s="15">
        <v>0.0</v>
      </c>
      <c r="DR1021" s="15" t="s">
        <v>2137</v>
      </c>
      <c r="DS1021" s="15" t="s">
        <v>9989</v>
      </c>
      <c r="DU1021" s="15" t="s">
        <v>500</v>
      </c>
      <c r="EF1021" s="15" t="s">
        <v>714</v>
      </c>
      <c r="EG1021" s="15" t="s">
        <v>1882</v>
      </c>
      <c r="EH1021" s="15" t="s">
        <v>10006</v>
      </c>
      <c r="EQ1021" s="15" t="s">
        <v>2465</v>
      </c>
      <c r="ER1021" s="15" t="s">
        <v>4947</v>
      </c>
      <c r="ES1021" s="15" t="s">
        <v>2465</v>
      </c>
      <c r="ET1021" s="15" t="s">
        <v>1042</v>
      </c>
      <c r="EU1021" s="15" t="s">
        <v>426</v>
      </c>
      <c r="EV1021" s="15">
        <v>0.0</v>
      </c>
      <c r="FE1021" s="15" t="s">
        <v>555</v>
      </c>
      <c r="FQ1021" s="15">
        <v>0.0</v>
      </c>
      <c r="FR1021" s="15" t="s">
        <v>427</v>
      </c>
      <c r="FZ1021" s="15" t="s">
        <v>2020</v>
      </c>
      <c r="GA1021" s="15" t="s">
        <v>2020</v>
      </c>
      <c r="GB1021" s="15" t="s">
        <v>8581</v>
      </c>
      <c r="GC1021" s="15" t="s">
        <v>8166</v>
      </c>
      <c r="GD1021" s="15" t="s">
        <v>3927</v>
      </c>
      <c r="GE1021" s="15" t="s">
        <v>4187</v>
      </c>
      <c r="GF1021" s="15" t="s">
        <v>2604</v>
      </c>
      <c r="GH1021" s="15" t="s">
        <v>764</v>
      </c>
      <c r="GI1021" s="15" t="s">
        <v>426</v>
      </c>
      <c r="GM1021" s="15">
        <v>0.0</v>
      </c>
      <c r="HG1021" s="15" t="s">
        <v>2020</v>
      </c>
      <c r="HH1021" s="15" t="s">
        <v>2020</v>
      </c>
      <c r="HI1021" s="15" t="s">
        <v>10007</v>
      </c>
      <c r="HJ1021" s="15" t="s">
        <v>8581</v>
      </c>
      <c r="HK1021" s="15" t="s">
        <v>4187</v>
      </c>
      <c r="HL1021" s="15" t="s">
        <v>4187</v>
      </c>
      <c r="HP1021" s="15" t="s">
        <v>426</v>
      </c>
    </row>
    <row r="1022" ht="17.25" customHeight="1">
      <c r="A1022" s="15" t="s">
        <v>10011</v>
      </c>
      <c r="B1022" s="15" t="str">
        <f>"801542933401"</f>
        <v>801542933401</v>
      </c>
      <c r="C1022" s="15" t="s">
        <v>23849</v>
      </c>
      <c r="D1022" s="15" t="str">
        <f t="shared" si="1"/>
        <v>Trey 5 Drawer DresserAuburn Poplar</v>
      </c>
      <c r="E1022" s="15" t="s">
        <v>10008</v>
      </c>
      <c r="F1022" s="15" t="s">
        <v>397</v>
      </c>
      <c r="G1022" s="15" t="s">
        <v>10010</v>
      </c>
      <c r="J1022" s="15" t="s">
        <v>10010</v>
      </c>
      <c r="K1022" s="15" t="s">
        <v>10013</v>
      </c>
      <c r="M1022" s="15" t="s">
        <v>4463</v>
      </c>
      <c r="N1022" s="15" t="s">
        <v>412</v>
      </c>
      <c r="P1022" s="15" t="str">
        <f t="shared" ref="P1022:P1024" si="2954">"36"</f>
        <v>36</v>
      </c>
      <c r="Q1022" s="15" t="str">
        <f t="shared" ref="Q1022:Q1027" si="2955">"19"</f>
        <v>19</v>
      </c>
      <c r="R1022" s="15" t="str">
        <f t="shared" ref="R1022:R1024" si="2956">"49"</f>
        <v>49</v>
      </c>
      <c r="S1022" s="15" t="str">
        <f t="shared" ref="S1022:S1024" si="2957">"147.71"</f>
        <v>147.71</v>
      </c>
      <c r="T1022" s="15" t="s">
        <v>5927</v>
      </c>
      <c r="U1022" s="15" t="s">
        <v>17219</v>
      </c>
      <c r="V1022" s="15" t="s">
        <v>11137</v>
      </c>
      <c r="AA1022" s="15" t="s">
        <v>413</v>
      </c>
      <c r="AB1022" s="15" t="s">
        <v>413</v>
      </c>
      <c r="AC1022" s="15" t="s">
        <v>10014</v>
      </c>
      <c r="AD1022" s="15" t="s">
        <v>23850</v>
      </c>
      <c r="AE1022" s="15" t="s">
        <v>10012</v>
      </c>
      <c r="AF1022" s="15" t="s">
        <v>23851</v>
      </c>
      <c r="AG1022" s="15" t="s">
        <v>23852</v>
      </c>
      <c r="AH1022" s="15" t="s">
        <v>23853</v>
      </c>
      <c r="AI1022" s="15" t="s">
        <v>23854</v>
      </c>
      <c r="AJ1022" s="15" t="s">
        <v>23855</v>
      </c>
      <c r="AK1022" s="15" t="s">
        <v>23856</v>
      </c>
      <c r="AL1022" s="15" t="s">
        <v>23857</v>
      </c>
      <c r="AM1022" s="15" t="s">
        <v>23858</v>
      </c>
      <c r="AN1022" s="15" t="s">
        <v>23859</v>
      </c>
      <c r="BH1022" s="15" t="s">
        <v>10009</v>
      </c>
      <c r="BI1022" s="15" t="str">
        <f t="shared" ref="BI1022:BI1024" si="2958">"1899"</f>
        <v>1899</v>
      </c>
      <c r="BJ1022" s="15" t="str">
        <f t="shared" ref="BJ1022:BJ1024" si="2959">"800"</f>
        <v>800</v>
      </c>
      <c r="BK1022" s="15" t="s">
        <v>415</v>
      </c>
      <c r="BL1022" s="15" t="str">
        <f t="shared" si="2953"/>
        <v>1</v>
      </c>
      <c r="BM1022" s="15" t="s">
        <v>416</v>
      </c>
      <c r="BN1022" s="15" t="str">
        <f t="shared" ref="BN1022:BN1024" si="2960">"40.94"</f>
        <v>40.94</v>
      </c>
      <c r="BO1022" s="15" t="str">
        <f t="shared" ref="BO1022:BO1024" si="2961">"23.62"</f>
        <v>23.62</v>
      </c>
      <c r="BP1022" s="15" t="str">
        <f t="shared" ref="BP1022:BP1024" si="2962">"52.76"</f>
        <v>52.76</v>
      </c>
      <c r="BQ1022" s="15" t="str">
        <f t="shared" ref="BQ1022:BQ1024" si="2963">"167.55"</f>
        <v>167.55</v>
      </c>
      <c r="CG1022" s="15" t="str">
        <f t="shared" ref="CG1022:CG1024" si="2964">"29.52"</f>
        <v>29.52</v>
      </c>
      <c r="CH1022" s="15" t="str">
        <f t="shared" ref="CH1022:CH1024" si="2965">"0.836"</f>
        <v>0.836</v>
      </c>
      <c r="CI1022" s="15" t="s">
        <v>465</v>
      </c>
      <c r="CZ1022" s="15" t="s">
        <v>2600</v>
      </c>
      <c r="DA1022" s="15">
        <v>5.0</v>
      </c>
      <c r="DB1022" s="15" t="s">
        <v>2601</v>
      </c>
      <c r="DD1022" s="15">
        <v>0.0</v>
      </c>
      <c r="DF1022" s="15" t="s">
        <v>764</v>
      </c>
      <c r="DG1022" s="15" t="s">
        <v>421</v>
      </c>
      <c r="DK1022" s="15">
        <v>0.0</v>
      </c>
      <c r="DR1022" s="15" t="s">
        <v>2094</v>
      </c>
      <c r="DS1022" s="15" t="s">
        <v>10015</v>
      </c>
      <c r="DU1022" s="15" t="s">
        <v>500</v>
      </c>
      <c r="EF1022" s="15" t="s">
        <v>8112</v>
      </c>
      <c r="EU1022" s="15" t="s">
        <v>426</v>
      </c>
      <c r="EV1022" s="15">
        <v>0.0</v>
      </c>
      <c r="FQ1022" s="15">
        <v>0.0</v>
      </c>
      <c r="FR1022" s="15" t="s">
        <v>427</v>
      </c>
      <c r="FZ1022" s="15" t="s">
        <v>5940</v>
      </c>
      <c r="GB1022" s="15" t="s">
        <v>731</v>
      </c>
      <c r="GD1022" s="15" t="s">
        <v>2024</v>
      </c>
      <c r="GF1022" s="15" t="s">
        <v>2604</v>
      </c>
      <c r="GH1022" s="15" t="s">
        <v>764</v>
      </c>
      <c r="GI1022" s="15" t="s">
        <v>426</v>
      </c>
    </row>
    <row r="1023" ht="17.25" customHeight="1">
      <c r="A1023" s="15" t="s">
        <v>10018</v>
      </c>
      <c r="B1023" s="15" t="str">
        <f>"801542933418"</f>
        <v>801542933418</v>
      </c>
      <c r="C1023" s="15" t="s">
        <v>23860</v>
      </c>
      <c r="D1023" s="15" t="str">
        <f t="shared" si="1"/>
        <v>Trey 5 Drawer DresserBlack Wash Poplar</v>
      </c>
      <c r="E1023" s="15" t="s">
        <v>10008</v>
      </c>
      <c r="F1023" s="15" t="s">
        <v>397</v>
      </c>
      <c r="G1023" s="15" t="s">
        <v>10017</v>
      </c>
      <c r="J1023" s="15" t="s">
        <v>10017</v>
      </c>
      <c r="K1023" s="15" t="s">
        <v>5928</v>
      </c>
      <c r="M1023" s="15" t="s">
        <v>4463</v>
      </c>
      <c r="N1023" s="15" t="s">
        <v>412</v>
      </c>
      <c r="P1023" s="15" t="str">
        <f t="shared" si="2954"/>
        <v>36</v>
      </c>
      <c r="Q1023" s="15" t="str">
        <f t="shared" si="2955"/>
        <v>19</v>
      </c>
      <c r="R1023" s="15" t="str">
        <f t="shared" si="2956"/>
        <v>49</v>
      </c>
      <c r="S1023" s="15" t="str">
        <f t="shared" si="2957"/>
        <v>147.71</v>
      </c>
      <c r="T1023" s="15" t="s">
        <v>5927</v>
      </c>
      <c r="U1023" s="15" t="s">
        <v>17219</v>
      </c>
      <c r="V1023" s="15" t="s">
        <v>11137</v>
      </c>
      <c r="AA1023" s="15" t="s">
        <v>413</v>
      </c>
      <c r="AB1023" s="15" t="s">
        <v>413</v>
      </c>
      <c r="AC1023" s="15" t="s">
        <v>10020</v>
      </c>
      <c r="AD1023" s="15" t="s">
        <v>23861</v>
      </c>
      <c r="AE1023" s="15" t="s">
        <v>10019</v>
      </c>
      <c r="AF1023" s="15" t="s">
        <v>23862</v>
      </c>
      <c r="AG1023" s="15" t="s">
        <v>23863</v>
      </c>
      <c r="AH1023" s="15" t="s">
        <v>23864</v>
      </c>
      <c r="AI1023" s="15" t="s">
        <v>23865</v>
      </c>
      <c r="AJ1023" s="15" t="s">
        <v>23866</v>
      </c>
      <c r="AK1023" s="15" t="s">
        <v>23867</v>
      </c>
      <c r="AL1023" s="15" t="s">
        <v>23868</v>
      </c>
      <c r="AM1023" s="15" t="s">
        <v>23869</v>
      </c>
      <c r="AN1023" s="15" t="s">
        <v>23870</v>
      </c>
      <c r="AO1023" s="15" t="s">
        <v>23871</v>
      </c>
      <c r="AP1023" s="15" t="s">
        <v>23872</v>
      </c>
      <c r="BH1023" s="15" t="s">
        <v>10016</v>
      </c>
      <c r="BI1023" s="15" t="str">
        <f t="shared" si="2958"/>
        <v>1899</v>
      </c>
      <c r="BJ1023" s="15" t="str">
        <f t="shared" si="2959"/>
        <v>800</v>
      </c>
      <c r="BK1023" s="15" t="s">
        <v>415</v>
      </c>
      <c r="BL1023" s="15" t="str">
        <f t="shared" si="2953"/>
        <v>1</v>
      </c>
      <c r="BM1023" s="15" t="s">
        <v>416</v>
      </c>
      <c r="BN1023" s="15" t="str">
        <f t="shared" si="2960"/>
        <v>40.94</v>
      </c>
      <c r="BO1023" s="15" t="str">
        <f t="shared" si="2961"/>
        <v>23.62</v>
      </c>
      <c r="BP1023" s="15" t="str">
        <f t="shared" si="2962"/>
        <v>52.76</v>
      </c>
      <c r="BQ1023" s="15" t="str">
        <f t="shared" si="2963"/>
        <v>167.55</v>
      </c>
      <c r="CG1023" s="15" t="str">
        <f t="shared" si="2964"/>
        <v>29.52</v>
      </c>
      <c r="CH1023" s="15" t="str">
        <f t="shared" si="2965"/>
        <v>0.836</v>
      </c>
      <c r="CI1023" s="15" t="s">
        <v>465</v>
      </c>
      <c r="CZ1023" s="15" t="s">
        <v>2600</v>
      </c>
      <c r="DA1023" s="15">
        <v>5.0</v>
      </c>
      <c r="DB1023" s="15" t="s">
        <v>2601</v>
      </c>
      <c r="DD1023" s="15">
        <v>0.0</v>
      </c>
      <c r="DF1023" s="15" t="s">
        <v>764</v>
      </c>
      <c r="DG1023" s="15" t="s">
        <v>421</v>
      </c>
      <c r="DK1023" s="15">
        <v>0.0</v>
      </c>
      <c r="DR1023" s="15" t="s">
        <v>2094</v>
      </c>
      <c r="DS1023" s="15" t="s">
        <v>10015</v>
      </c>
      <c r="DU1023" s="15" t="s">
        <v>500</v>
      </c>
      <c r="EF1023" s="15" t="s">
        <v>8112</v>
      </c>
      <c r="EU1023" s="15" t="s">
        <v>426</v>
      </c>
      <c r="EV1023" s="15">
        <v>0.0</v>
      </c>
      <c r="FQ1023" s="15">
        <v>0.0</v>
      </c>
      <c r="FR1023" s="15" t="s">
        <v>427</v>
      </c>
      <c r="FZ1023" s="15" t="s">
        <v>5940</v>
      </c>
      <c r="GB1023" s="15" t="s">
        <v>731</v>
      </c>
      <c r="GD1023" s="15" t="s">
        <v>2024</v>
      </c>
      <c r="GF1023" s="15" t="s">
        <v>2604</v>
      </c>
      <c r="GH1023" s="15" t="s">
        <v>764</v>
      </c>
      <c r="GI1023" s="15" t="s">
        <v>426</v>
      </c>
    </row>
    <row r="1024" ht="17.25" customHeight="1">
      <c r="A1024" s="15" t="s">
        <v>10023</v>
      </c>
      <c r="B1024" s="15" t="str">
        <f>"801542933425"</f>
        <v>801542933425</v>
      </c>
      <c r="C1024" s="15" t="s">
        <v>23873</v>
      </c>
      <c r="D1024" s="15" t="str">
        <f t="shared" si="1"/>
        <v>Trey 5 Drawer DresserDove Poplar</v>
      </c>
      <c r="E1024" s="15" t="s">
        <v>10008</v>
      </c>
      <c r="F1024" s="15" t="s">
        <v>397</v>
      </c>
      <c r="G1024" s="15" t="s">
        <v>10022</v>
      </c>
      <c r="J1024" s="15" t="s">
        <v>10022</v>
      </c>
      <c r="K1024" s="15" t="s">
        <v>5928</v>
      </c>
      <c r="M1024" s="15" t="s">
        <v>4463</v>
      </c>
      <c r="N1024" s="15" t="s">
        <v>412</v>
      </c>
      <c r="P1024" s="15" t="str">
        <f t="shared" si="2954"/>
        <v>36</v>
      </c>
      <c r="Q1024" s="15" t="str">
        <f t="shared" si="2955"/>
        <v>19</v>
      </c>
      <c r="R1024" s="15" t="str">
        <f t="shared" si="2956"/>
        <v>49</v>
      </c>
      <c r="S1024" s="15" t="str">
        <f t="shared" si="2957"/>
        <v>147.71</v>
      </c>
      <c r="T1024" s="15" t="s">
        <v>5927</v>
      </c>
      <c r="U1024" s="15" t="s">
        <v>17219</v>
      </c>
      <c r="V1024" s="15" t="s">
        <v>11137</v>
      </c>
      <c r="AA1024" s="15" t="s">
        <v>413</v>
      </c>
      <c r="AB1024" s="15" t="s">
        <v>413</v>
      </c>
      <c r="AC1024" s="15" t="s">
        <v>10025</v>
      </c>
      <c r="AD1024" s="15" t="s">
        <v>23874</v>
      </c>
      <c r="AE1024" s="15" t="s">
        <v>10024</v>
      </c>
      <c r="AF1024" s="15" t="s">
        <v>23875</v>
      </c>
      <c r="AG1024" s="15" t="s">
        <v>23876</v>
      </c>
      <c r="AH1024" s="15" t="s">
        <v>23877</v>
      </c>
      <c r="AI1024" s="15" t="s">
        <v>23878</v>
      </c>
      <c r="AJ1024" s="15" t="s">
        <v>23879</v>
      </c>
      <c r="AK1024" s="15" t="s">
        <v>23880</v>
      </c>
      <c r="AL1024" s="15" t="s">
        <v>23881</v>
      </c>
      <c r="AM1024" s="15" t="s">
        <v>23882</v>
      </c>
      <c r="AN1024" s="15" t="s">
        <v>23883</v>
      </c>
      <c r="AO1024" s="15" t="s">
        <v>23884</v>
      </c>
      <c r="AP1024" s="15" t="s">
        <v>23885</v>
      </c>
      <c r="AQ1024" s="15" t="s">
        <v>23886</v>
      </c>
      <c r="BH1024" s="15" t="s">
        <v>10021</v>
      </c>
      <c r="BI1024" s="15" t="str">
        <f t="shared" si="2958"/>
        <v>1899</v>
      </c>
      <c r="BJ1024" s="15" t="str">
        <f t="shared" si="2959"/>
        <v>800</v>
      </c>
      <c r="BK1024" s="15" t="s">
        <v>415</v>
      </c>
      <c r="BL1024" s="15" t="str">
        <f t="shared" si="2953"/>
        <v>1</v>
      </c>
      <c r="BM1024" s="15" t="s">
        <v>416</v>
      </c>
      <c r="BN1024" s="15" t="str">
        <f t="shared" si="2960"/>
        <v>40.94</v>
      </c>
      <c r="BO1024" s="15" t="str">
        <f t="shared" si="2961"/>
        <v>23.62</v>
      </c>
      <c r="BP1024" s="15" t="str">
        <f t="shared" si="2962"/>
        <v>52.76</v>
      </c>
      <c r="BQ1024" s="15" t="str">
        <f t="shared" si="2963"/>
        <v>167.55</v>
      </c>
      <c r="CG1024" s="15" t="str">
        <f t="shared" si="2964"/>
        <v>29.52</v>
      </c>
      <c r="CH1024" s="15" t="str">
        <f t="shared" si="2965"/>
        <v>0.836</v>
      </c>
      <c r="CI1024" s="15" t="s">
        <v>417</v>
      </c>
      <c r="CZ1024" s="15" t="s">
        <v>2600</v>
      </c>
      <c r="DA1024" s="15">
        <v>5.0</v>
      </c>
      <c r="DB1024" s="15" t="s">
        <v>2601</v>
      </c>
      <c r="DD1024" s="15">
        <v>0.0</v>
      </c>
      <c r="DF1024" s="15" t="s">
        <v>764</v>
      </c>
      <c r="DG1024" s="15" t="s">
        <v>421</v>
      </c>
      <c r="DK1024" s="15">
        <v>0.0</v>
      </c>
      <c r="DR1024" s="15" t="s">
        <v>2094</v>
      </c>
      <c r="DS1024" s="15" t="s">
        <v>10015</v>
      </c>
      <c r="DU1024" s="15" t="s">
        <v>500</v>
      </c>
      <c r="EF1024" s="15" t="s">
        <v>8112</v>
      </c>
      <c r="EU1024" s="15" t="s">
        <v>426</v>
      </c>
      <c r="EV1024" s="15">
        <v>0.0</v>
      </c>
      <c r="FQ1024" s="15">
        <v>0.0</v>
      </c>
      <c r="FR1024" s="15" t="s">
        <v>427</v>
      </c>
      <c r="FZ1024" s="15" t="s">
        <v>5940</v>
      </c>
      <c r="GB1024" s="15" t="s">
        <v>731</v>
      </c>
      <c r="GD1024" s="15" t="s">
        <v>2024</v>
      </c>
      <c r="GF1024" s="15" t="s">
        <v>2604</v>
      </c>
      <c r="GH1024" s="15" t="s">
        <v>764</v>
      </c>
      <c r="GI1024" s="15" t="s">
        <v>426</v>
      </c>
    </row>
    <row r="1025" ht="17.25" customHeight="1">
      <c r="A1025" s="15" t="s">
        <v>10028</v>
      </c>
      <c r="B1025" s="15" t="str">
        <f>"801542933432"</f>
        <v>801542933432</v>
      </c>
      <c r="C1025" s="15" t="s">
        <v>23887</v>
      </c>
      <c r="D1025" s="15" t="str">
        <f t="shared" si="1"/>
        <v>Trey 7 Drawer DresserAuburn Poplar</v>
      </c>
      <c r="E1025" s="15" t="s">
        <v>10026</v>
      </c>
      <c r="F1025" s="15" t="s">
        <v>397</v>
      </c>
      <c r="G1025" s="15" t="s">
        <v>10010</v>
      </c>
      <c r="J1025" s="15" t="s">
        <v>10010</v>
      </c>
      <c r="K1025" s="15" t="s">
        <v>10013</v>
      </c>
      <c r="M1025" s="15" t="s">
        <v>4463</v>
      </c>
      <c r="N1025" s="15" t="s">
        <v>412</v>
      </c>
      <c r="P1025" s="15" t="str">
        <f t="shared" ref="P1025:P1030" si="2966">"70"</f>
        <v>70</v>
      </c>
      <c r="Q1025" s="15" t="str">
        <f t="shared" si="2955"/>
        <v>19</v>
      </c>
      <c r="R1025" s="15" t="str">
        <f t="shared" ref="R1025:R1027" si="2967">"35"</f>
        <v>35</v>
      </c>
      <c r="S1025" s="15" t="str">
        <f t="shared" ref="S1025:S1027" si="2968">"179.67"</f>
        <v>179.67</v>
      </c>
      <c r="T1025" s="15" t="s">
        <v>5927</v>
      </c>
      <c r="U1025" s="15" t="s">
        <v>17219</v>
      </c>
      <c r="V1025" s="15" t="s">
        <v>11137</v>
      </c>
      <c r="AA1025" s="15" t="s">
        <v>413</v>
      </c>
      <c r="AB1025" s="15" t="s">
        <v>413</v>
      </c>
      <c r="AC1025" s="15" t="s">
        <v>10030</v>
      </c>
      <c r="AD1025" s="15" t="s">
        <v>23888</v>
      </c>
      <c r="AE1025" s="15" t="s">
        <v>10029</v>
      </c>
      <c r="AF1025" s="15" t="s">
        <v>23889</v>
      </c>
      <c r="AG1025" s="15" t="s">
        <v>23890</v>
      </c>
      <c r="AH1025" s="15" t="s">
        <v>23891</v>
      </c>
      <c r="AI1025" s="15" t="s">
        <v>23892</v>
      </c>
      <c r="AJ1025" s="15" t="s">
        <v>23893</v>
      </c>
      <c r="AK1025" s="15" t="s">
        <v>23894</v>
      </c>
      <c r="AL1025" s="15" t="s">
        <v>23895</v>
      </c>
      <c r="AM1025" s="15" t="s">
        <v>23896</v>
      </c>
      <c r="AN1025" s="15" t="s">
        <v>23897</v>
      </c>
      <c r="AO1025" s="15" t="s">
        <v>23898</v>
      </c>
      <c r="AP1025" s="15" t="s">
        <v>23899</v>
      </c>
      <c r="BH1025" s="15" t="s">
        <v>10027</v>
      </c>
      <c r="BI1025" s="15" t="str">
        <f t="shared" ref="BI1025:BI1027" si="2969">"2199"</f>
        <v>2199</v>
      </c>
      <c r="BJ1025" s="15" t="str">
        <f t="shared" ref="BJ1025:BJ1027" si="2970">"925"</f>
        <v>925</v>
      </c>
      <c r="BK1025" s="15" t="s">
        <v>415</v>
      </c>
      <c r="BL1025" s="15" t="str">
        <f t="shared" si="2953"/>
        <v>1</v>
      </c>
      <c r="BM1025" s="15" t="s">
        <v>416</v>
      </c>
      <c r="BN1025" s="15" t="str">
        <f t="shared" ref="BN1025:BN1027" si="2971">"74.41"</f>
        <v>74.41</v>
      </c>
      <c r="BO1025" s="15" t="str">
        <f t="shared" ref="BO1025:BO1030" si="2972">"22.44"</f>
        <v>22.44</v>
      </c>
      <c r="BP1025" s="15" t="str">
        <f t="shared" ref="BP1025:BP1027" si="2973">"39.96"</f>
        <v>39.96</v>
      </c>
      <c r="BQ1025" s="15" t="str">
        <f t="shared" ref="BQ1025:BQ1027" si="2974">"207.23"</f>
        <v>207.23</v>
      </c>
      <c r="CG1025" s="15" t="str">
        <f t="shared" ref="CG1025:CG1027" si="2975">"38.6"</f>
        <v>38.6</v>
      </c>
      <c r="CH1025" s="15" t="str">
        <f t="shared" ref="CH1025:CH1027" si="2976">"1.093"</f>
        <v>1.093</v>
      </c>
      <c r="CI1025" s="15" t="s">
        <v>497</v>
      </c>
      <c r="CZ1025" s="15" t="s">
        <v>2600</v>
      </c>
      <c r="DA1025" s="15">
        <v>7.0</v>
      </c>
      <c r="DB1025" s="15" t="s">
        <v>2601</v>
      </c>
      <c r="DD1025" s="15">
        <v>0.0</v>
      </c>
      <c r="DF1025" s="15" t="s">
        <v>764</v>
      </c>
      <c r="DG1025" s="15" t="s">
        <v>421</v>
      </c>
      <c r="DK1025" s="15">
        <v>0.0</v>
      </c>
      <c r="DR1025" s="15" t="s">
        <v>422</v>
      </c>
      <c r="DS1025" s="15" t="s">
        <v>10015</v>
      </c>
      <c r="DU1025" s="15" t="s">
        <v>500</v>
      </c>
      <c r="EF1025" s="15" t="s">
        <v>3240</v>
      </c>
      <c r="EU1025" s="15" t="s">
        <v>426</v>
      </c>
      <c r="EV1025" s="15">
        <v>0.0</v>
      </c>
      <c r="FQ1025" s="15">
        <v>0.0</v>
      </c>
      <c r="FR1025" s="15" t="s">
        <v>427</v>
      </c>
      <c r="FZ1025" s="15" t="s">
        <v>1287</v>
      </c>
      <c r="GA1025" s="15" t="s">
        <v>1287</v>
      </c>
      <c r="GB1025" s="15" t="s">
        <v>2899</v>
      </c>
      <c r="GC1025" s="15" t="s">
        <v>2116</v>
      </c>
      <c r="GD1025" s="15" t="s">
        <v>1237</v>
      </c>
      <c r="GE1025" s="15" t="s">
        <v>1994</v>
      </c>
      <c r="GF1025" s="15" t="s">
        <v>2604</v>
      </c>
      <c r="GH1025" s="15" t="s">
        <v>764</v>
      </c>
      <c r="GI1025" s="15" t="s">
        <v>426</v>
      </c>
    </row>
    <row r="1026" ht="17.25" customHeight="1">
      <c r="A1026" s="15" t="s">
        <v>10032</v>
      </c>
      <c r="B1026" s="15" t="str">
        <f>"801542934026"</f>
        <v>801542934026</v>
      </c>
      <c r="C1026" s="15" t="s">
        <v>23900</v>
      </c>
      <c r="D1026" s="15" t="str">
        <f t="shared" si="1"/>
        <v>Trey 7 Drawer DresserBlack Wash Poplar</v>
      </c>
      <c r="E1026" s="15" t="s">
        <v>10026</v>
      </c>
      <c r="F1026" s="15" t="s">
        <v>397</v>
      </c>
      <c r="G1026" s="15" t="s">
        <v>10017</v>
      </c>
      <c r="J1026" s="15" t="s">
        <v>10017</v>
      </c>
      <c r="K1026" s="15" t="s">
        <v>5928</v>
      </c>
      <c r="M1026" s="15" t="s">
        <v>4463</v>
      </c>
      <c r="N1026" s="15" t="s">
        <v>412</v>
      </c>
      <c r="P1026" s="15" t="str">
        <f t="shared" si="2966"/>
        <v>70</v>
      </c>
      <c r="Q1026" s="15" t="str">
        <f t="shared" si="2955"/>
        <v>19</v>
      </c>
      <c r="R1026" s="15" t="str">
        <f t="shared" si="2967"/>
        <v>35</v>
      </c>
      <c r="S1026" s="15" t="str">
        <f t="shared" si="2968"/>
        <v>179.67</v>
      </c>
      <c r="T1026" s="15" t="s">
        <v>5927</v>
      </c>
      <c r="U1026" s="15" t="s">
        <v>17219</v>
      </c>
      <c r="V1026" s="15" t="s">
        <v>11137</v>
      </c>
      <c r="AA1026" s="15" t="s">
        <v>413</v>
      </c>
      <c r="AB1026" s="15" t="s">
        <v>413</v>
      </c>
      <c r="AC1026" s="15" t="s">
        <v>10034</v>
      </c>
      <c r="AD1026" s="15" t="s">
        <v>23901</v>
      </c>
      <c r="AE1026" s="15" t="s">
        <v>10033</v>
      </c>
      <c r="AF1026" s="15" t="s">
        <v>23902</v>
      </c>
      <c r="AG1026" s="15" t="s">
        <v>23903</v>
      </c>
      <c r="AH1026" s="15" t="s">
        <v>23904</v>
      </c>
      <c r="AI1026" s="15" t="s">
        <v>23905</v>
      </c>
      <c r="AJ1026" s="15" t="s">
        <v>23906</v>
      </c>
      <c r="AK1026" s="15" t="s">
        <v>23907</v>
      </c>
      <c r="AL1026" s="15" t="s">
        <v>23908</v>
      </c>
      <c r="AM1026" s="15" t="s">
        <v>23909</v>
      </c>
      <c r="AN1026" s="15" t="s">
        <v>23910</v>
      </c>
      <c r="AO1026" s="15" t="s">
        <v>23911</v>
      </c>
      <c r="BH1026" s="15" t="s">
        <v>10031</v>
      </c>
      <c r="BI1026" s="15" t="str">
        <f t="shared" si="2969"/>
        <v>2199</v>
      </c>
      <c r="BJ1026" s="15" t="str">
        <f t="shared" si="2970"/>
        <v>925</v>
      </c>
      <c r="BK1026" s="15" t="s">
        <v>415</v>
      </c>
      <c r="BL1026" s="15" t="str">
        <f t="shared" si="2953"/>
        <v>1</v>
      </c>
      <c r="BM1026" s="15" t="s">
        <v>416</v>
      </c>
      <c r="BN1026" s="15" t="str">
        <f t="shared" si="2971"/>
        <v>74.41</v>
      </c>
      <c r="BO1026" s="15" t="str">
        <f t="shared" si="2972"/>
        <v>22.44</v>
      </c>
      <c r="BP1026" s="15" t="str">
        <f t="shared" si="2973"/>
        <v>39.96</v>
      </c>
      <c r="BQ1026" s="15" t="str">
        <f t="shared" si="2974"/>
        <v>207.23</v>
      </c>
      <c r="CG1026" s="15" t="str">
        <f t="shared" si="2975"/>
        <v>38.6</v>
      </c>
      <c r="CH1026" s="15" t="str">
        <f t="shared" si="2976"/>
        <v>1.093</v>
      </c>
      <c r="CI1026" s="15" t="s">
        <v>465</v>
      </c>
      <c r="CZ1026" s="15" t="s">
        <v>2600</v>
      </c>
      <c r="DA1026" s="15">
        <v>7.0</v>
      </c>
      <c r="DB1026" s="15" t="s">
        <v>2601</v>
      </c>
      <c r="DD1026" s="15">
        <v>0.0</v>
      </c>
      <c r="DF1026" s="15" t="s">
        <v>764</v>
      </c>
      <c r="DG1026" s="15" t="s">
        <v>421</v>
      </c>
      <c r="DK1026" s="15">
        <v>0.0</v>
      </c>
      <c r="DR1026" s="15" t="s">
        <v>422</v>
      </c>
      <c r="DS1026" s="15" t="s">
        <v>10015</v>
      </c>
      <c r="DU1026" s="15" t="s">
        <v>500</v>
      </c>
      <c r="EF1026" s="15" t="s">
        <v>3240</v>
      </c>
      <c r="EU1026" s="15" t="s">
        <v>426</v>
      </c>
      <c r="EV1026" s="15">
        <v>0.0</v>
      </c>
      <c r="FQ1026" s="15">
        <v>0.0</v>
      </c>
      <c r="FR1026" s="15" t="s">
        <v>427</v>
      </c>
      <c r="FZ1026" s="15" t="s">
        <v>1287</v>
      </c>
      <c r="GA1026" s="15" t="s">
        <v>1287</v>
      </c>
      <c r="GB1026" s="15" t="s">
        <v>2899</v>
      </c>
      <c r="GC1026" s="15" t="s">
        <v>2116</v>
      </c>
      <c r="GD1026" s="15" t="s">
        <v>1237</v>
      </c>
      <c r="GE1026" s="15" t="s">
        <v>1994</v>
      </c>
      <c r="GF1026" s="15" t="s">
        <v>2604</v>
      </c>
      <c r="GH1026" s="15" t="s">
        <v>764</v>
      </c>
      <c r="GI1026" s="15" t="s">
        <v>426</v>
      </c>
    </row>
    <row r="1027" ht="17.25" customHeight="1">
      <c r="A1027" s="15" t="s">
        <v>10036</v>
      </c>
      <c r="B1027" s="15" t="str">
        <f>"801542934033"</f>
        <v>801542934033</v>
      </c>
      <c r="C1027" s="15" t="s">
        <v>23912</v>
      </c>
      <c r="D1027" s="15" t="str">
        <f t="shared" si="1"/>
        <v>Trey 7 Drawer DresserDove Poplar</v>
      </c>
      <c r="E1027" s="15" t="s">
        <v>10026</v>
      </c>
      <c r="F1027" s="15" t="s">
        <v>397</v>
      </c>
      <c r="G1027" s="15" t="s">
        <v>10022</v>
      </c>
      <c r="J1027" s="15" t="s">
        <v>10022</v>
      </c>
      <c r="K1027" s="15" t="s">
        <v>5928</v>
      </c>
      <c r="M1027" s="15" t="s">
        <v>4463</v>
      </c>
      <c r="N1027" s="15" t="s">
        <v>412</v>
      </c>
      <c r="P1027" s="15" t="str">
        <f t="shared" si="2966"/>
        <v>70</v>
      </c>
      <c r="Q1027" s="15" t="str">
        <f t="shared" si="2955"/>
        <v>19</v>
      </c>
      <c r="R1027" s="15" t="str">
        <f t="shared" si="2967"/>
        <v>35</v>
      </c>
      <c r="S1027" s="15" t="str">
        <f t="shared" si="2968"/>
        <v>179.67</v>
      </c>
      <c r="T1027" s="15" t="s">
        <v>5927</v>
      </c>
      <c r="U1027" s="15" t="s">
        <v>17219</v>
      </c>
      <c r="V1027" s="15" t="s">
        <v>11137</v>
      </c>
      <c r="AA1027" s="15" t="s">
        <v>413</v>
      </c>
      <c r="AB1027" s="15" t="s">
        <v>413</v>
      </c>
      <c r="AC1027" s="15" t="s">
        <v>10038</v>
      </c>
      <c r="AD1027" s="15" t="s">
        <v>23913</v>
      </c>
      <c r="AE1027" s="15" t="s">
        <v>10037</v>
      </c>
      <c r="AF1027" s="15" t="s">
        <v>23914</v>
      </c>
      <c r="AG1027" s="15" t="s">
        <v>23915</v>
      </c>
      <c r="AH1027" s="15" t="s">
        <v>23916</v>
      </c>
      <c r="AI1027" s="15" t="s">
        <v>23917</v>
      </c>
      <c r="AJ1027" s="15" t="s">
        <v>23879</v>
      </c>
      <c r="AK1027" s="15" t="s">
        <v>23918</v>
      </c>
      <c r="AL1027" s="15" t="s">
        <v>23919</v>
      </c>
      <c r="AM1027" s="15" t="s">
        <v>23920</v>
      </c>
      <c r="AN1027" s="15" t="s">
        <v>23921</v>
      </c>
      <c r="AO1027" s="15" t="s">
        <v>23922</v>
      </c>
      <c r="AP1027" s="15" t="s">
        <v>23923</v>
      </c>
      <c r="AQ1027" s="15" t="s">
        <v>23924</v>
      </c>
      <c r="BH1027" s="15" t="s">
        <v>10035</v>
      </c>
      <c r="BI1027" s="15" t="str">
        <f t="shared" si="2969"/>
        <v>2199</v>
      </c>
      <c r="BJ1027" s="15" t="str">
        <f t="shared" si="2970"/>
        <v>925</v>
      </c>
      <c r="BK1027" s="15" t="s">
        <v>415</v>
      </c>
      <c r="BL1027" s="15" t="str">
        <f t="shared" si="2953"/>
        <v>1</v>
      </c>
      <c r="BM1027" s="15" t="s">
        <v>416</v>
      </c>
      <c r="BN1027" s="15" t="str">
        <f t="shared" si="2971"/>
        <v>74.41</v>
      </c>
      <c r="BO1027" s="15" t="str">
        <f t="shared" si="2972"/>
        <v>22.44</v>
      </c>
      <c r="BP1027" s="15" t="str">
        <f t="shared" si="2973"/>
        <v>39.96</v>
      </c>
      <c r="BQ1027" s="15" t="str">
        <f t="shared" si="2974"/>
        <v>207.23</v>
      </c>
      <c r="CG1027" s="15" t="str">
        <f t="shared" si="2975"/>
        <v>38.6</v>
      </c>
      <c r="CH1027" s="15" t="str">
        <f t="shared" si="2976"/>
        <v>1.093</v>
      </c>
      <c r="CI1027" s="15" t="s">
        <v>465</v>
      </c>
      <c r="CZ1027" s="15" t="s">
        <v>2600</v>
      </c>
      <c r="DA1027" s="15">
        <v>7.0</v>
      </c>
      <c r="DB1027" s="15" t="s">
        <v>2601</v>
      </c>
      <c r="DD1027" s="15">
        <v>0.0</v>
      </c>
      <c r="DF1027" s="15" t="s">
        <v>764</v>
      </c>
      <c r="DG1027" s="15" t="s">
        <v>421</v>
      </c>
      <c r="DK1027" s="15">
        <v>0.0</v>
      </c>
      <c r="DR1027" s="15" t="s">
        <v>422</v>
      </c>
      <c r="DS1027" s="15" t="s">
        <v>10015</v>
      </c>
      <c r="DU1027" s="15" t="s">
        <v>500</v>
      </c>
      <c r="EF1027" s="15" t="s">
        <v>3240</v>
      </c>
      <c r="EU1027" s="15" t="s">
        <v>426</v>
      </c>
      <c r="EV1027" s="15">
        <v>0.0</v>
      </c>
      <c r="FQ1027" s="15">
        <v>0.0</v>
      </c>
      <c r="FR1027" s="15" t="s">
        <v>427</v>
      </c>
      <c r="FZ1027" s="15" t="s">
        <v>1287</v>
      </c>
      <c r="GA1027" s="15" t="s">
        <v>1287</v>
      </c>
      <c r="GB1027" s="15" t="s">
        <v>2899</v>
      </c>
      <c r="GC1027" s="15" t="s">
        <v>2116</v>
      </c>
      <c r="GD1027" s="15" t="s">
        <v>1237</v>
      </c>
      <c r="GE1027" s="15" t="s">
        <v>1994</v>
      </c>
      <c r="GF1027" s="15" t="s">
        <v>2604</v>
      </c>
      <c r="GH1027" s="15" t="s">
        <v>764</v>
      </c>
      <c r="GI1027" s="15" t="s">
        <v>426</v>
      </c>
    </row>
    <row r="1028" ht="17.25" customHeight="1">
      <c r="A1028" s="15" t="s">
        <v>10041</v>
      </c>
      <c r="B1028" s="15" t="str">
        <f>"801542779603"</f>
        <v>801542779603</v>
      </c>
      <c r="C1028" s="15" t="s">
        <v>23925</v>
      </c>
      <c r="D1028" s="15" t="str">
        <f t="shared" si="1"/>
        <v>Trey 9 Drawer DresserAuburn Poplar</v>
      </c>
      <c r="E1028" s="15" t="s">
        <v>10039</v>
      </c>
      <c r="F1028" s="15" t="s">
        <v>397</v>
      </c>
      <c r="G1028" s="15" t="s">
        <v>10010</v>
      </c>
      <c r="J1028" s="15" t="s">
        <v>10010</v>
      </c>
      <c r="K1028" s="15" t="s">
        <v>10013</v>
      </c>
      <c r="M1028" s="15" t="s">
        <v>4463</v>
      </c>
      <c r="N1028" s="15" t="s">
        <v>412</v>
      </c>
      <c r="P1028" s="15" t="str">
        <f t="shared" si="2966"/>
        <v>70</v>
      </c>
      <c r="Q1028" s="15" t="str">
        <f t="shared" ref="Q1028:Q1030" si="2977">"18"</f>
        <v>18</v>
      </c>
      <c r="R1028" s="15" t="str">
        <f t="shared" ref="R1028:R1030" si="2978">"39.5"</f>
        <v>39.5</v>
      </c>
      <c r="S1028" s="15" t="str">
        <f t="shared" ref="S1028:S1030" si="2979">"216.05"</f>
        <v>216.05</v>
      </c>
      <c r="T1028" s="15" t="s">
        <v>5927</v>
      </c>
      <c r="U1028" s="15" t="s">
        <v>17219</v>
      </c>
      <c r="V1028" s="15" t="s">
        <v>11137</v>
      </c>
      <c r="AA1028" s="15" t="s">
        <v>413</v>
      </c>
      <c r="AB1028" s="15" t="s">
        <v>413</v>
      </c>
      <c r="AC1028" s="15" t="s">
        <v>10043</v>
      </c>
      <c r="AD1028" s="15" t="s">
        <v>23926</v>
      </c>
      <c r="AE1028" s="15" t="s">
        <v>10042</v>
      </c>
      <c r="AF1028" s="15" t="s">
        <v>23927</v>
      </c>
      <c r="AG1028" s="15" t="s">
        <v>23928</v>
      </c>
      <c r="AH1028" s="15" t="s">
        <v>23929</v>
      </c>
      <c r="AI1028" s="15" t="s">
        <v>23930</v>
      </c>
      <c r="AJ1028" s="15" t="s">
        <v>23931</v>
      </c>
      <c r="AK1028" s="15" t="s">
        <v>23932</v>
      </c>
      <c r="AL1028" s="15" t="s">
        <v>23933</v>
      </c>
      <c r="AM1028" s="15" t="s">
        <v>23934</v>
      </c>
      <c r="AN1028" s="15" t="s">
        <v>23935</v>
      </c>
      <c r="AO1028" s="15" t="s">
        <v>23936</v>
      </c>
      <c r="AP1028" s="15" t="s">
        <v>23937</v>
      </c>
      <c r="AQ1028" s="15" t="s">
        <v>23938</v>
      </c>
      <c r="AR1028" s="15" t="s">
        <v>23939</v>
      </c>
      <c r="BH1028" s="15" t="s">
        <v>10040</v>
      </c>
      <c r="BI1028" s="15" t="str">
        <f t="shared" ref="BI1028:BI1030" si="2980">"2399"</f>
        <v>2399</v>
      </c>
      <c r="BJ1028" s="15" t="str">
        <f t="shared" ref="BJ1028:BJ1030" si="2981">"1010"</f>
        <v>1010</v>
      </c>
      <c r="BK1028" s="15" t="s">
        <v>415</v>
      </c>
      <c r="BL1028" s="15" t="str">
        <f t="shared" si="2953"/>
        <v>1</v>
      </c>
      <c r="BM1028" s="15" t="s">
        <v>416</v>
      </c>
      <c r="BN1028" s="15" t="str">
        <f t="shared" ref="BN1028:BN1030" si="2982">"74.8"</f>
        <v>74.8</v>
      </c>
      <c r="BO1028" s="15" t="str">
        <f t="shared" si="2972"/>
        <v>22.44</v>
      </c>
      <c r="BP1028" s="15" t="str">
        <f t="shared" ref="BP1028:BP1030" si="2983">"45.28"</f>
        <v>45.28</v>
      </c>
      <c r="BQ1028" s="15" t="str">
        <f t="shared" ref="BQ1028:BQ1030" si="2984">"253.53"</f>
        <v>253.53</v>
      </c>
      <c r="CG1028" s="15" t="str">
        <f t="shared" ref="CG1028:CG1030" si="2985">"43.97"</f>
        <v>43.97</v>
      </c>
      <c r="CH1028" s="15" t="str">
        <f t="shared" ref="CH1028:CH1030" si="2986">"1.245"</f>
        <v>1.245</v>
      </c>
      <c r="CI1028" s="15" t="s">
        <v>417</v>
      </c>
      <c r="CZ1028" s="15" t="s">
        <v>2600</v>
      </c>
      <c r="DA1028" s="15">
        <v>9.0</v>
      </c>
      <c r="DB1028" s="15" t="s">
        <v>2604</v>
      </c>
      <c r="DD1028" s="15">
        <v>0.0</v>
      </c>
      <c r="DF1028" s="15" t="s">
        <v>764</v>
      </c>
      <c r="DG1028" s="15" t="s">
        <v>421</v>
      </c>
      <c r="DK1028" s="15">
        <v>0.0</v>
      </c>
      <c r="DR1028" s="15" t="s">
        <v>422</v>
      </c>
      <c r="DS1028" s="15" t="s">
        <v>10015</v>
      </c>
      <c r="DU1028" s="15" t="s">
        <v>500</v>
      </c>
      <c r="EF1028" s="15" t="s">
        <v>10044</v>
      </c>
      <c r="EU1028" s="15" t="s">
        <v>426</v>
      </c>
      <c r="EV1028" s="15">
        <v>0.0</v>
      </c>
      <c r="FQ1028" s="15">
        <v>0.0</v>
      </c>
      <c r="FR1028" s="15" t="s">
        <v>427</v>
      </c>
      <c r="FZ1028" s="15" t="s">
        <v>5940</v>
      </c>
      <c r="GA1028" s="15" t="s">
        <v>5940</v>
      </c>
      <c r="GB1028" s="15" t="s">
        <v>6947</v>
      </c>
      <c r="GC1028" s="15" t="s">
        <v>6043</v>
      </c>
      <c r="GD1028" s="15" t="s">
        <v>1488</v>
      </c>
      <c r="GE1028" s="15" t="s">
        <v>10045</v>
      </c>
      <c r="GF1028" s="15" t="s">
        <v>2604</v>
      </c>
      <c r="GH1028" s="15" t="s">
        <v>764</v>
      </c>
      <c r="GI1028" s="15" t="s">
        <v>426</v>
      </c>
    </row>
    <row r="1029" ht="17.25" customHeight="1">
      <c r="A1029" s="15" t="s">
        <v>10047</v>
      </c>
      <c r="B1029" s="15" t="str">
        <f>"801542779610"</f>
        <v>801542779610</v>
      </c>
      <c r="C1029" s="15" t="s">
        <v>23940</v>
      </c>
      <c r="D1029" s="15" t="str">
        <f t="shared" si="1"/>
        <v>Trey 9 Drawer DresserBlack Wash Poplar</v>
      </c>
      <c r="E1029" s="15" t="s">
        <v>10039</v>
      </c>
      <c r="F1029" s="15" t="s">
        <v>397</v>
      </c>
      <c r="G1029" s="15" t="s">
        <v>10017</v>
      </c>
      <c r="J1029" s="15" t="s">
        <v>10017</v>
      </c>
      <c r="K1029" s="15" t="s">
        <v>5928</v>
      </c>
      <c r="M1029" s="15" t="s">
        <v>4463</v>
      </c>
      <c r="N1029" s="15" t="s">
        <v>412</v>
      </c>
      <c r="P1029" s="15" t="str">
        <f t="shared" si="2966"/>
        <v>70</v>
      </c>
      <c r="Q1029" s="15" t="str">
        <f t="shared" si="2977"/>
        <v>18</v>
      </c>
      <c r="R1029" s="15" t="str">
        <f t="shared" si="2978"/>
        <v>39.5</v>
      </c>
      <c r="S1029" s="15" t="str">
        <f t="shared" si="2979"/>
        <v>216.05</v>
      </c>
      <c r="T1029" s="15" t="s">
        <v>5927</v>
      </c>
      <c r="U1029" s="15" t="s">
        <v>17219</v>
      </c>
      <c r="V1029" s="15" t="s">
        <v>11137</v>
      </c>
      <c r="AA1029" s="15" t="s">
        <v>413</v>
      </c>
      <c r="AB1029" s="15" t="s">
        <v>413</v>
      </c>
      <c r="AC1029" s="15" t="s">
        <v>10049</v>
      </c>
      <c r="AD1029" s="15" t="s">
        <v>23941</v>
      </c>
      <c r="AE1029" s="15" t="s">
        <v>10048</v>
      </c>
      <c r="AF1029" s="15" t="s">
        <v>23942</v>
      </c>
      <c r="AG1029" s="15" t="s">
        <v>23943</v>
      </c>
      <c r="AH1029" s="15" t="s">
        <v>23944</v>
      </c>
      <c r="AI1029" s="15" t="s">
        <v>23945</v>
      </c>
      <c r="AJ1029" s="15" t="s">
        <v>23946</v>
      </c>
      <c r="AK1029" s="15" t="s">
        <v>23947</v>
      </c>
      <c r="AL1029" s="15" t="s">
        <v>23948</v>
      </c>
      <c r="AM1029" s="15" t="s">
        <v>23949</v>
      </c>
      <c r="AN1029" s="15" t="s">
        <v>23950</v>
      </c>
      <c r="AO1029" s="15" t="s">
        <v>23951</v>
      </c>
      <c r="AP1029" s="15" t="s">
        <v>23952</v>
      </c>
      <c r="AQ1029" s="15" t="s">
        <v>23953</v>
      </c>
      <c r="AR1029" s="15" t="s">
        <v>23954</v>
      </c>
      <c r="BH1029" s="15" t="s">
        <v>10046</v>
      </c>
      <c r="BI1029" s="15" t="str">
        <f t="shared" si="2980"/>
        <v>2399</v>
      </c>
      <c r="BJ1029" s="15" t="str">
        <f t="shared" si="2981"/>
        <v>1010</v>
      </c>
      <c r="BK1029" s="15" t="s">
        <v>415</v>
      </c>
      <c r="BL1029" s="15" t="str">
        <f t="shared" si="2953"/>
        <v>1</v>
      </c>
      <c r="BM1029" s="15" t="s">
        <v>416</v>
      </c>
      <c r="BN1029" s="15" t="str">
        <f t="shared" si="2982"/>
        <v>74.8</v>
      </c>
      <c r="BO1029" s="15" t="str">
        <f t="shared" si="2972"/>
        <v>22.44</v>
      </c>
      <c r="BP1029" s="15" t="str">
        <f t="shared" si="2983"/>
        <v>45.28</v>
      </c>
      <c r="BQ1029" s="15" t="str">
        <f t="shared" si="2984"/>
        <v>253.53</v>
      </c>
      <c r="CG1029" s="15" t="str">
        <f t="shared" si="2985"/>
        <v>43.97</v>
      </c>
      <c r="CH1029" s="15" t="str">
        <f t="shared" si="2986"/>
        <v>1.245</v>
      </c>
      <c r="CI1029" s="15" t="s">
        <v>465</v>
      </c>
      <c r="CZ1029" s="15" t="s">
        <v>2600</v>
      </c>
      <c r="DA1029" s="15">
        <v>9.0</v>
      </c>
      <c r="DB1029" s="15" t="s">
        <v>2604</v>
      </c>
      <c r="DD1029" s="15">
        <v>0.0</v>
      </c>
      <c r="DF1029" s="15" t="s">
        <v>764</v>
      </c>
      <c r="DG1029" s="15" t="s">
        <v>421</v>
      </c>
      <c r="DK1029" s="15">
        <v>0.0</v>
      </c>
      <c r="DR1029" s="15" t="s">
        <v>422</v>
      </c>
      <c r="DS1029" s="15" t="s">
        <v>10015</v>
      </c>
      <c r="DU1029" s="15" t="s">
        <v>500</v>
      </c>
      <c r="EF1029" s="15" t="s">
        <v>10044</v>
      </c>
      <c r="EU1029" s="15" t="s">
        <v>426</v>
      </c>
      <c r="EV1029" s="15">
        <v>0.0</v>
      </c>
      <c r="FQ1029" s="15">
        <v>0.0</v>
      </c>
      <c r="FR1029" s="15" t="s">
        <v>427</v>
      </c>
      <c r="FZ1029" s="15" t="s">
        <v>5940</v>
      </c>
      <c r="GA1029" s="15" t="s">
        <v>5940</v>
      </c>
      <c r="GB1029" s="15" t="s">
        <v>6947</v>
      </c>
      <c r="GC1029" s="15" t="s">
        <v>6043</v>
      </c>
      <c r="GD1029" s="15" t="s">
        <v>1488</v>
      </c>
      <c r="GE1029" s="15" t="s">
        <v>10045</v>
      </c>
      <c r="GF1029" s="15" t="s">
        <v>2604</v>
      </c>
      <c r="GH1029" s="15" t="s">
        <v>764</v>
      </c>
      <c r="GI1029" s="15" t="s">
        <v>426</v>
      </c>
    </row>
    <row r="1030" ht="17.25" customHeight="1">
      <c r="A1030" s="15" t="s">
        <v>10051</v>
      </c>
      <c r="B1030" s="15" t="str">
        <f>"801542863494"</f>
        <v>801542863494</v>
      </c>
      <c r="C1030" s="15" t="s">
        <v>23955</v>
      </c>
      <c r="D1030" s="15" t="str">
        <f t="shared" si="1"/>
        <v>Trey 9 Drawer DresserDove Poplar</v>
      </c>
      <c r="E1030" s="15" t="s">
        <v>10039</v>
      </c>
      <c r="F1030" s="15" t="s">
        <v>397</v>
      </c>
      <c r="G1030" s="15" t="s">
        <v>10022</v>
      </c>
      <c r="J1030" s="15" t="s">
        <v>10022</v>
      </c>
      <c r="K1030" s="15" t="s">
        <v>5928</v>
      </c>
      <c r="M1030" s="15" t="s">
        <v>4463</v>
      </c>
      <c r="N1030" s="15" t="s">
        <v>412</v>
      </c>
      <c r="P1030" s="15" t="str">
        <f t="shared" si="2966"/>
        <v>70</v>
      </c>
      <c r="Q1030" s="15" t="str">
        <f t="shared" si="2977"/>
        <v>18</v>
      </c>
      <c r="R1030" s="15" t="str">
        <f t="shared" si="2978"/>
        <v>39.5</v>
      </c>
      <c r="S1030" s="15" t="str">
        <f t="shared" si="2979"/>
        <v>216.05</v>
      </c>
      <c r="T1030" s="15" t="s">
        <v>5927</v>
      </c>
      <c r="U1030" s="15" t="s">
        <v>17219</v>
      </c>
      <c r="V1030" s="15" t="s">
        <v>11137</v>
      </c>
      <c r="AA1030" s="15" t="s">
        <v>413</v>
      </c>
      <c r="AB1030" s="15" t="s">
        <v>413</v>
      </c>
      <c r="AC1030" s="15" t="s">
        <v>10053</v>
      </c>
      <c r="AD1030" s="15" t="s">
        <v>23956</v>
      </c>
      <c r="AE1030" s="15" t="s">
        <v>10052</v>
      </c>
      <c r="AF1030" s="15" t="s">
        <v>23957</v>
      </c>
      <c r="AG1030" s="15" t="s">
        <v>23958</v>
      </c>
      <c r="AH1030" s="15" t="s">
        <v>23959</v>
      </c>
      <c r="AI1030" s="15" t="s">
        <v>23960</v>
      </c>
      <c r="AJ1030" s="15" t="s">
        <v>23879</v>
      </c>
      <c r="AK1030" s="15" t="s">
        <v>23961</v>
      </c>
      <c r="AL1030" s="15" t="s">
        <v>23962</v>
      </c>
      <c r="AM1030" s="15" t="s">
        <v>23963</v>
      </c>
      <c r="AN1030" s="15" t="s">
        <v>23964</v>
      </c>
      <c r="AO1030" s="15" t="s">
        <v>23965</v>
      </c>
      <c r="AP1030" s="15" t="s">
        <v>23966</v>
      </c>
      <c r="AQ1030" s="15" t="s">
        <v>23967</v>
      </c>
      <c r="AR1030" s="15" t="s">
        <v>23968</v>
      </c>
      <c r="BH1030" s="15" t="s">
        <v>10050</v>
      </c>
      <c r="BI1030" s="15" t="str">
        <f t="shared" si="2980"/>
        <v>2399</v>
      </c>
      <c r="BJ1030" s="15" t="str">
        <f t="shared" si="2981"/>
        <v>1010</v>
      </c>
      <c r="BK1030" s="15" t="s">
        <v>415</v>
      </c>
      <c r="BL1030" s="15" t="str">
        <f t="shared" si="2953"/>
        <v>1</v>
      </c>
      <c r="BM1030" s="15" t="s">
        <v>416</v>
      </c>
      <c r="BN1030" s="15" t="str">
        <f t="shared" si="2982"/>
        <v>74.8</v>
      </c>
      <c r="BO1030" s="15" t="str">
        <f t="shared" si="2972"/>
        <v>22.44</v>
      </c>
      <c r="BP1030" s="15" t="str">
        <f t="shared" si="2983"/>
        <v>45.28</v>
      </c>
      <c r="BQ1030" s="15" t="str">
        <f t="shared" si="2984"/>
        <v>253.53</v>
      </c>
      <c r="CG1030" s="15" t="str">
        <f t="shared" si="2985"/>
        <v>43.97</v>
      </c>
      <c r="CH1030" s="15" t="str">
        <f t="shared" si="2986"/>
        <v>1.245</v>
      </c>
      <c r="CI1030" s="15" t="s">
        <v>465</v>
      </c>
      <c r="CZ1030" s="15" t="s">
        <v>2600</v>
      </c>
      <c r="DA1030" s="15">
        <v>9.0</v>
      </c>
      <c r="DB1030" s="15" t="s">
        <v>2604</v>
      </c>
      <c r="DD1030" s="15">
        <v>0.0</v>
      </c>
      <c r="DF1030" s="15" t="s">
        <v>764</v>
      </c>
      <c r="DG1030" s="15" t="s">
        <v>421</v>
      </c>
      <c r="DK1030" s="15">
        <v>0.0</v>
      </c>
      <c r="DR1030" s="15" t="s">
        <v>422</v>
      </c>
      <c r="DS1030" s="15" t="s">
        <v>10015</v>
      </c>
      <c r="DU1030" s="15" t="s">
        <v>500</v>
      </c>
      <c r="EF1030" s="15" t="s">
        <v>10044</v>
      </c>
      <c r="EU1030" s="15" t="s">
        <v>426</v>
      </c>
      <c r="EV1030" s="15">
        <v>0.0</v>
      </c>
      <c r="FQ1030" s="15">
        <v>0.0</v>
      </c>
      <c r="FR1030" s="15" t="s">
        <v>427</v>
      </c>
      <c r="FZ1030" s="15" t="s">
        <v>5940</v>
      </c>
      <c r="GA1030" s="15" t="s">
        <v>5940</v>
      </c>
      <c r="GB1030" s="15" t="s">
        <v>6947</v>
      </c>
      <c r="GC1030" s="15" t="s">
        <v>6043</v>
      </c>
      <c r="GD1030" s="15" t="s">
        <v>1488</v>
      </c>
      <c r="GE1030" s="15" t="s">
        <v>10045</v>
      </c>
      <c r="GF1030" s="15" t="s">
        <v>2604</v>
      </c>
      <c r="GH1030" s="15" t="s">
        <v>764</v>
      </c>
      <c r="GI1030" s="15" t="s">
        <v>426</v>
      </c>
    </row>
    <row r="1031" ht="17.25" customHeight="1">
      <c r="A1031" s="15" t="s">
        <v>10056</v>
      </c>
      <c r="B1031" s="15" t="str">
        <f>"801542558970"</f>
        <v>801542558970</v>
      </c>
      <c r="C1031" s="15" t="s">
        <v>23969</v>
      </c>
      <c r="D1031" s="15" t="str">
        <f t="shared" si="1"/>
        <v>Trey BedAuburn PoplarQueen</v>
      </c>
      <c r="E1031" s="15" t="s">
        <v>10054</v>
      </c>
      <c r="F1031" s="15" t="s">
        <v>397</v>
      </c>
      <c r="G1031" s="15" t="s">
        <v>10010</v>
      </c>
      <c r="H1031" s="15" t="s">
        <v>265</v>
      </c>
      <c r="I1031" s="15" t="s">
        <v>877</v>
      </c>
      <c r="J1031" s="15" t="s">
        <v>10010</v>
      </c>
      <c r="M1031" s="15" t="s">
        <v>4463</v>
      </c>
      <c r="N1031" s="15" t="s">
        <v>839</v>
      </c>
      <c r="O1031" s="15" t="s">
        <v>877</v>
      </c>
      <c r="P1031" s="15" t="str">
        <f>"62.5"</f>
        <v>62.5</v>
      </c>
      <c r="Q1031" s="15" t="str">
        <f t="shared" ref="Q1031:Q1036" si="2987">"83.25"</f>
        <v>83.25</v>
      </c>
      <c r="R1031" s="15" t="str">
        <f t="shared" ref="R1031:R1036" si="2988">"50"</f>
        <v>50</v>
      </c>
      <c r="S1031" s="15" t="str">
        <f>"167.55"</f>
        <v>167.55</v>
      </c>
      <c r="T1031" s="15" t="s">
        <v>10058</v>
      </c>
      <c r="U1031" s="15" t="s">
        <v>17219</v>
      </c>
      <c r="AA1031" s="15" t="s">
        <v>413</v>
      </c>
      <c r="AB1031" s="15" t="s">
        <v>413</v>
      </c>
      <c r="AC1031" s="15" t="s">
        <v>10059</v>
      </c>
      <c r="AD1031" s="15" t="s">
        <v>23970</v>
      </c>
      <c r="AE1031" s="15" t="s">
        <v>10057</v>
      </c>
      <c r="AF1031" s="15" t="s">
        <v>23971</v>
      </c>
      <c r="AG1031" s="15" t="s">
        <v>23972</v>
      </c>
      <c r="AH1031" s="15" t="s">
        <v>23973</v>
      </c>
      <c r="AI1031" s="15" t="s">
        <v>23974</v>
      </c>
      <c r="AJ1031" s="15" t="s">
        <v>23975</v>
      </c>
      <c r="AK1031" s="15" t="s">
        <v>23976</v>
      </c>
      <c r="AL1031" s="15" t="s">
        <v>23977</v>
      </c>
      <c r="AM1031" s="15" t="s">
        <v>23978</v>
      </c>
      <c r="AN1031" s="15" t="s">
        <v>23979</v>
      </c>
      <c r="AO1031" s="15" t="s">
        <v>23980</v>
      </c>
      <c r="AP1031" s="15" t="s">
        <v>23981</v>
      </c>
      <c r="BH1031" s="15" t="s">
        <v>10055</v>
      </c>
      <c r="BI1031" s="15" t="str">
        <f>"1699"</f>
        <v>1699</v>
      </c>
      <c r="BJ1031" s="15" t="str">
        <f>"715"</f>
        <v>715</v>
      </c>
      <c r="BK1031" s="15" t="s">
        <v>415</v>
      </c>
      <c r="BL1031" s="15" t="str">
        <f t="shared" ref="BL1031:BL1036" si="2989">"3"</f>
        <v>3</v>
      </c>
      <c r="BM1031" s="15" t="s">
        <v>841</v>
      </c>
      <c r="BN1031" s="15" t="str">
        <f>"69.29"</f>
        <v>69.29</v>
      </c>
      <c r="BO1031" s="15" t="str">
        <f>"5.31"</f>
        <v>5.31</v>
      </c>
      <c r="BP1031" s="15" t="str">
        <f t="shared" ref="BP1031:BP1036" si="2990">"46.85"</f>
        <v>46.85</v>
      </c>
      <c r="BQ1031" s="15" t="str">
        <f>"88.18"</f>
        <v>88.18</v>
      </c>
      <c r="BR1031" s="15" t="s">
        <v>10060</v>
      </c>
      <c r="BS1031" s="15" t="str">
        <f>"68.11"</f>
        <v>68.11</v>
      </c>
      <c r="BT1031" s="15" t="str">
        <f>"9.06"</f>
        <v>9.06</v>
      </c>
      <c r="BU1031" s="15" t="str">
        <f t="shared" ref="BU1031:BU1036" si="2991">"13.78"</f>
        <v>13.78</v>
      </c>
      <c r="BV1031" s="15" t="str">
        <f>"56.22"</f>
        <v>56.22</v>
      </c>
      <c r="BW1031" s="15" t="s">
        <v>10061</v>
      </c>
      <c r="BX1031" s="15" t="str">
        <f>"90.16"</f>
        <v>90.16</v>
      </c>
      <c r="BY1031" s="15" t="str">
        <f>"6.69"</f>
        <v>6.69</v>
      </c>
      <c r="BZ1031" s="15" t="str">
        <f>"18.5"</f>
        <v>18.5</v>
      </c>
      <c r="CA1031" s="15" t="str">
        <f>"61.73"</f>
        <v>61.73</v>
      </c>
      <c r="CG1031" s="15" t="str">
        <f>"21.37"</f>
        <v>21.37</v>
      </c>
      <c r="CH1031" s="15" t="str">
        <f>"0.605"</f>
        <v>0.605</v>
      </c>
      <c r="CI1031" s="15" t="s">
        <v>497</v>
      </c>
      <c r="CZ1031" s="15" t="s">
        <v>419</v>
      </c>
      <c r="DA1031" s="15">
        <v>0.0</v>
      </c>
      <c r="DB1031" s="15" t="s">
        <v>419</v>
      </c>
      <c r="DD1031" s="15">
        <v>0.0</v>
      </c>
      <c r="DF1031" s="15" t="s">
        <v>420</v>
      </c>
      <c r="DG1031" s="15" t="s">
        <v>419</v>
      </c>
      <c r="DI1031" s="15">
        <v>0.0</v>
      </c>
      <c r="DJ1031" s="15">
        <v>0.0</v>
      </c>
      <c r="DK1031" s="15">
        <v>0.0</v>
      </c>
      <c r="DS1031" s="15" t="s">
        <v>10015</v>
      </c>
      <c r="DU1031" s="15" t="s">
        <v>858</v>
      </c>
      <c r="EV1031" s="15">
        <v>0.0</v>
      </c>
      <c r="HV1031" s="15" t="s">
        <v>2026</v>
      </c>
      <c r="HW1031" s="15" t="s">
        <v>2026</v>
      </c>
      <c r="HX1031" s="15" t="s">
        <v>2026</v>
      </c>
      <c r="HY1031" s="15" t="s">
        <v>3781</v>
      </c>
      <c r="HZ1031" s="15" t="s">
        <v>2046</v>
      </c>
      <c r="IA1031" s="15" t="s">
        <v>6555</v>
      </c>
      <c r="IB1031" s="15" t="s">
        <v>1232</v>
      </c>
      <c r="IC1031" s="15" t="s">
        <v>2144</v>
      </c>
      <c r="ID1031" s="15" t="s">
        <v>6555</v>
      </c>
      <c r="IE1031" s="15" t="s">
        <v>8835</v>
      </c>
      <c r="IF1031" s="15" t="s">
        <v>4469</v>
      </c>
      <c r="IG1031" s="15" t="s">
        <v>3284</v>
      </c>
      <c r="IH1031" s="15" t="s">
        <v>731</v>
      </c>
      <c r="II1031" s="15" t="s">
        <v>8835</v>
      </c>
      <c r="IJ1031" s="15" t="s">
        <v>2046</v>
      </c>
      <c r="IK1031" s="15" t="s">
        <v>426</v>
      </c>
      <c r="IL1031" s="15" t="s">
        <v>871</v>
      </c>
      <c r="IM1031" s="15" t="s">
        <v>2604</v>
      </c>
      <c r="IN1031" s="15" t="s">
        <v>873</v>
      </c>
      <c r="IO1031" s="15" t="s">
        <v>877</v>
      </c>
      <c r="IU1031" s="15" t="s">
        <v>787</v>
      </c>
      <c r="IV1031" s="15" t="s">
        <v>6743</v>
      </c>
      <c r="IW1031" s="15" t="s">
        <v>787</v>
      </c>
      <c r="IX1031" s="15" t="s">
        <v>426</v>
      </c>
      <c r="IY1031" s="15" t="s">
        <v>2474</v>
      </c>
    </row>
    <row r="1032" ht="17.25" customHeight="1">
      <c r="A1032" s="15" t="s">
        <v>10063</v>
      </c>
      <c r="B1032" s="15" t="str">
        <f>"801542558932"</f>
        <v>801542558932</v>
      </c>
      <c r="C1032" s="15" t="s">
        <v>23969</v>
      </c>
      <c r="D1032" s="15" t="str">
        <f t="shared" si="1"/>
        <v>Trey BedAuburn PoplarKing</v>
      </c>
      <c r="E1032" s="15" t="s">
        <v>10054</v>
      </c>
      <c r="F1032" s="15" t="s">
        <v>397</v>
      </c>
      <c r="G1032" s="15" t="s">
        <v>10010</v>
      </c>
      <c r="H1032" s="15" t="s">
        <v>265</v>
      </c>
      <c r="I1032" s="15" t="s">
        <v>828</v>
      </c>
      <c r="J1032" s="15" t="s">
        <v>10010</v>
      </c>
      <c r="M1032" s="15" t="s">
        <v>4463</v>
      </c>
      <c r="N1032" s="15" t="s">
        <v>839</v>
      </c>
      <c r="O1032" s="15" t="s">
        <v>828</v>
      </c>
      <c r="P1032" s="15" t="str">
        <f t="shared" ref="P1032:P1033" si="2992">"78.25"</f>
        <v>78.25</v>
      </c>
      <c r="Q1032" s="15" t="str">
        <f t="shared" si="2987"/>
        <v>83.25</v>
      </c>
      <c r="R1032" s="15" t="str">
        <f t="shared" si="2988"/>
        <v>50</v>
      </c>
      <c r="S1032" s="15" t="str">
        <f t="shared" ref="S1032:S1033" si="2993">"208.33"</f>
        <v>208.33</v>
      </c>
      <c r="T1032" s="15" t="s">
        <v>10058</v>
      </c>
      <c r="U1032" s="15" t="s">
        <v>17219</v>
      </c>
      <c r="AA1032" s="15" t="s">
        <v>413</v>
      </c>
      <c r="AB1032" s="15" t="s">
        <v>413</v>
      </c>
      <c r="AC1032" s="15" t="s">
        <v>10059</v>
      </c>
      <c r="AD1032" s="15" t="s">
        <v>23982</v>
      </c>
      <c r="AE1032" s="15" t="s">
        <v>10064</v>
      </c>
      <c r="AF1032" s="15" t="s">
        <v>23983</v>
      </c>
      <c r="AG1032" s="15" t="s">
        <v>23984</v>
      </c>
      <c r="AH1032" s="15" t="s">
        <v>23973</v>
      </c>
      <c r="AI1032" s="15" t="s">
        <v>23985</v>
      </c>
      <c r="AJ1032" s="15" t="s">
        <v>23986</v>
      </c>
      <c r="AK1032" s="15" t="s">
        <v>23987</v>
      </c>
      <c r="AL1032" s="15" t="s">
        <v>23988</v>
      </c>
      <c r="AM1032" s="15" t="s">
        <v>23989</v>
      </c>
      <c r="AN1032" s="15" t="s">
        <v>23990</v>
      </c>
      <c r="AO1032" s="15" t="s">
        <v>23991</v>
      </c>
      <c r="AP1032" s="15" t="s">
        <v>23992</v>
      </c>
      <c r="BH1032" s="15" t="s">
        <v>10062</v>
      </c>
      <c r="BI1032" s="15" t="str">
        <f t="shared" ref="BI1032:BI1033" si="2994">"1899"</f>
        <v>1899</v>
      </c>
      <c r="BJ1032" s="15" t="str">
        <f t="shared" ref="BJ1032:BJ1033" si="2995">"800"</f>
        <v>800</v>
      </c>
      <c r="BK1032" s="15" t="s">
        <v>415</v>
      </c>
      <c r="BL1032" s="15" t="str">
        <f t="shared" si="2989"/>
        <v>3</v>
      </c>
      <c r="BM1032" s="15" t="s">
        <v>841</v>
      </c>
      <c r="BN1032" s="15" t="str">
        <f t="shared" ref="BN1032:BN1033" si="2996">"85.04"</f>
        <v>85.04</v>
      </c>
      <c r="BO1032" s="15" t="str">
        <f t="shared" ref="BO1032:BO1033" si="2997">"5.71"</f>
        <v>5.71</v>
      </c>
      <c r="BP1032" s="15" t="str">
        <f t="shared" si="2990"/>
        <v>46.85</v>
      </c>
      <c r="BQ1032" s="15" t="str">
        <f t="shared" ref="BQ1032:BQ1033" si="2998">"106.92"</f>
        <v>106.92</v>
      </c>
      <c r="BR1032" s="15" t="s">
        <v>10060</v>
      </c>
      <c r="BS1032" s="15" t="str">
        <f t="shared" ref="BS1032:BS1033" si="2999">"83.86"</f>
        <v>83.86</v>
      </c>
      <c r="BT1032" s="15" t="str">
        <f t="shared" ref="BT1032:BT1033" si="3000">"9.25"</f>
        <v>9.25</v>
      </c>
      <c r="BU1032" s="15" t="str">
        <f t="shared" si="2991"/>
        <v>13.78</v>
      </c>
      <c r="BV1032" s="15" t="str">
        <f t="shared" ref="BV1032:BV1033" si="3001">"70.55"</f>
        <v>70.55</v>
      </c>
      <c r="BW1032" s="15" t="s">
        <v>10061</v>
      </c>
      <c r="BX1032" s="15" t="str">
        <f t="shared" ref="BX1032:BX1033" si="3002">"88.98"</f>
        <v>88.98</v>
      </c>
      <c r="BY1032" s="15" t="str">
        <f t="shared" ref="BY1032:BY1033" si="3003">"7.09"</f>
        <v>7.09</v>
      </c>
      <c r="BZ1032" s="15" t="str">
        <f t="shared" ref="BZ1032:BZ1033" si="3004">"19.29"</f>
        <v>19.29</v>
      </c>
      <c r="CA1032" s="15" t="str">
        <f t="shared" ref="CA1032:CA1033" si="3005">"63.93"</f>
        <v>63.93</v>
      </c>
      <c r="CG1032" s="15" t="str">
        <f t="shared" ref="CG1032:CG1033" si="3006">"26.38"</f>
        <v>26.38</v>
      </c>
      <c r="CH1032" s="15" t="str">
        <f t="shared" ref="CH1032:CH1033" si="3007">"0.747"</f>
        <v>0.747</v>
      </c>
      <c r="CI1032" s="15" t="s">
        <v>417</v>
      </c>
      <c r="CZ1032" s="15" t="s">
        <v>419</v>
      </c>
      <c r="DA1032" s="15">
        <v>0.0</v>
      </c>
      <c r="DB1032" s="15" t="s">
        <v>419</v>
      </c>
      <c r="DD1032" s="15">
        <v>0.0</v>
      </c>
      <c r="DF1032" s="15" t="s">
        <v>420</v>
      </c>
      <c r="DG1032" s="15" t="s">
        <v>419</v>
      </c>
      <c r="DI1032" s="15">
        <v>0.0</v>
      </c>
      <c r="DJ1032" s="15">
        <v>0.0</v>
      </c>
      <c r="DK1032" s="15">
        <v>0.0</v>
      </c>
      <c r="DS1032" s="15" t="s">
        <v>10015</v>
      </c>
      <c r="DU1032" s="15" t="s">
        <v>858</v>
      </c>
      <c r="EV1032" s="15">
        <v>0.0</v>
      </c>
      <c r="HV1032" s="15" t="s">
        <v>2026</v>
      </c>
      <c r="HW1032" s="15" t="s">
        <v>2026</v>
      </c>
      <c r="HX1032" s="15" t="s">
        <v>2026</v>
      </c>
      <c r="HY1032" s="15" t="s">
        <v>3781</v>
      </c>
      <c r="HZ1032" s="15" t="s">
        <v>2046</v>
      </c>
      <c r="IA1032" s="15" t="s">
        <v>6489</v>
      </c>
      <c r="IB1032" s="15" t="s">
        <v>1232</v>
      </c>
      <c r="IC1032" s="15" t="s">
        <v>2144</v>
      </c>
      <c r="ID1032" s="15" t="s">
        <v>6489</v>
      </c>
      <c r="IE1032" s="15" t="s">
        <v>8835</v>
      </c>
      <c r="IF1032" s="15" t="s">
        <v>4469</v>
      </c>
      <c r="IG1032" s="15" t="s">
        <v>6489</v>
      </c>
      <c r="IH1032" s="15" t="s">
        <v>731</v>
      </c>
      <c r="II1032" s="15" t="s">
        <v>8835</v>
      </c>
      <c r="IJ1032" s="15" t="s">
        <v>2046</v>
      </c>
      <c r="IK1032" s="15" t="s">
        <v>426</v>
      </c>
      <c r="IL1032" s="15" t="s">
        <v>871</v>
      </c>
      <c r="IM1032" s="15" t="s">
        <v>2604</v>
      </c>
      <c r="IN1032" s="15" t="s">
        <v>873</v>
      </c>
      <c r="IO1032" s="15" t="s">
        <v>828</v>
      </c>
      <c r="IU1032" s="15" t="s">
        <v>787</v>
      </c>
      <c r="IV1032" s="15" t="s">
        <v>6743</v>
      </c>
      <c r="IW1032" s="15" t="s">
        <v>787</v>
      </c>
      <c r="IX1032" s="15" t="s">
        <v>426</v>
      </c>
      <c r="IY1032" s="15" t="s">
        <v>2474</v>
      </c>
    </row>
    <row r="1033" ht="17.25" customHeight="1">
      <c r="A1033" s="15" t="s">
        <v>10068</v>
      </c>
      <c r="B1033" s="15" t="str">
        <f>"801542573195"</f>
        <v>801542573195</v>
      </c>
      <c r="C1033" s="15" t="s">
        <v>23993</v>
      </c>
      <c r="D1033" s="15" t="str">
        <f t="shared" si="1"/>
        <v>Trey BedBlack Wash PoplarKing</v>
      </c>
      <c r="E1033" s="15" t="s">
        <v>10054</v>
      </c>
      <c r="F1033" s="15" t="s">
        <v>397</v>
      </c>
      <c r="G1033" s="15" t="s">
        <v>10017</v>
      </c>
      <c r="H1033" s="15" t="s">
        <v>265</v>
      </c>
      <c r="I1033" s="15" t="s">
        <v>828</v>
      </c>
      <c r="J1033" s="15" t="s">
        <v>10017</v>
      </c>
      <c r="M1033" s="15" t="s">
        <v>4463</v>
      </c>
      <c r="N1033" s="15" t="s">
        <v>839</v>
      </c>
      <c r="O1033" s="15" t="s">
        <v>828</v>
      </c>
      <c r="P1033" s="15" t="str">
        <f t="shared" si="2992"/>
        <v>78.25</v>
      </c>
      <c r="Q1033" s="15" t="str">
        <f t="shared" si="2987"/>
        <v>83.25</v>
      </c>
      <c r="R1033" s="15" t="str">
        <f t="shared" si="2988"/>
        <v>50</v>
      </c>
      <c r="S1033" s="15" t="str">
        <f t="shared" si="2993"/>
        <v>208.33</v>
      </c>
      <c r="T1033" s="15" t="s">
        <v>10058</v>
      </c>
      <c r="U1033" s="15" t="s">
        <v>17219</v>
      </c>
      <c r="AA1033" s="15" t="s">
        <v>413</v>
      </c>
      <c r="AB1033" s="15" t="s">
        <v>413</v>
      </c>
      <c r="AC1033" s="15" t="s">
        <v>10070</v>
      </c>
      <c r="AD1033" s="15" t="s">
        <v>23994</v>
      </c>
      <c r="AE1033" s="15" t="s">
        <v>10069</v>
      </c>
      <c r="AF1033" s="15" t="s">
        <v>23995</v>
      </c>
      <c r="AG1033" s="15" t="s">
        <v>23996</v>
      </c>
      <c r="AH1033" s="15" t="s">
        <v>23997</v>
      </c>
      <c r="AI1033" s="15" t="s">
        <v>23998</v>
      </c>
      <c r="AJ1033" s="15" t="s">
        <v>23999</v>
      </c>
      <c r="AK1033" s="15" t="s">
        <v>24000</v>
      </c>
      <c r="AL1033" s="15" t="s">
        <v>24001</v>
      </c>
      <c r="AM1033" s="15" t="s">
        <v>24002</v>
      </c>
      <c r="AN1033" s="15" t="s">
        <v>24003</v>
      </c>
      <c r="BH1033" s="15" t="s">
        <v>10067</v>
      </c>
      <c r="BI1033" s="15" t="str">
        <f t="shared" si="2994"/>
        <v>1899</v>
      </c>
      <c r="BJ1033" s="15" t="str">
        <f t="shared" si="2995"/>
        <v>800</v>
      </c>
      <c r="BK1033" s="15" t="s">
        <v>415</v>
      </c>
      <c r="BL1033" s="15" t="str">
        <f t="shared" si="2989"/>
        <v>3</v>
      </c>
      <c r="BM1033" s="15" t="s">
        <v>841</v>
      </c>
      <c r="BN1033" s="15" t="str">
        <f t="shared" si="2996"/>
        <v>85.04</v>
      </c>
      <c r="BO1033" s="15" t="str">
        <f t="shared" si="2997"/>
        <v>5.71</v>
      </c>
      <c r="BP1033" s="15" t="str">
        <f t="shared" si="2990"/>
        <v>46.85</v>
      </c>
      <c r="BQ1033" s="15" t="str">
        <f t="shared" si="2998"/>
        <v>106.92</v>
      </c>
      <c r="BR1033" s="15" t="s">
        <v>10060</v>
      </c>
      <c r="BS1033" s="15" t="str">
        <f t="shared" si="2999"/>
        <v>83.86</v>
      </c>
      <c r="BT1033" s="15" t="str">
        <f t="shared" si="3000"/>
        <v>9.25</v>
      </c>
      <c r="BU1033" s="15" t="str">
        <f t="shared" si="2991"/>
        <v>13.78</v>
      </c>
      <c r="BV1033" s="15" t="str">
        <f t="shared" si="3001"/>
        <v>70.55</v>
      </c>
      <c r="BW1033" s="15" t="s">
        <v>10061</v>
      </c>
      <c r="BX1033" s="15" t="str">
        <f t="shared" si="3002"/>
        <v>88.98</v>
      </c>
      <c r="BY1033" s="15" t="str">
        <f t="shared" si="3003"/>
        <v>7.09</v>
      </c>
      <c r="BZ1033" s="15" t="str">
        <f t="shared" si="3004"/>
        <v>19.29</v>
      </c>
      <c r="CA1033" s="15" t="str">
        <f t="shared" si="3005"/>
        <v>63.93</v>
      </c>
      <c r="CG1033" s="15" t="str">
        <f t="shared" si="3006"/>
        <v>26.38</v>
      </c>
      <c r="CH1033" s="15" t="str">
        <f t="shared" si="3007"/>
        <v>0.747</v>
      </c>
      <c r="CI1033" s="15" t="s">
        <v>417</v>
      </c>
      <c r="CZ1033" s="15" t="s">
        <v>419</v>
      </c>
      <c r="DA1033" s="15">
        <v>0.0</v>
      </c>
      <c r="DB1033" s="15" t="s">
        <v>419</v>
      </c>
      <c r="DD1033" s="15">
        <v>0.0</v>
      </c>
      <c r="DF1033" s="15" t="s">
        <v>420</v>
      </c>
      <c r="DG1033" s="15" t="s">
        <v>419</v>
      </c>
      <c r="DI1033" s="15">
        <v>0.0</v>
      </c>
      <c r="DJ1033" s="15">
        <v>0.0</v>
      </c>
      <c r="DK1033" s="15">
        <v>0.0</v>
      </c>
      <c r="DS1033" s="15" t="s">
        <v>10015</v>
      </c>
      <c r="DU1033" s="15" t="s">
        <v>858</v>
      </c>
      <c r="EV1033" s="15">
        <v>0.0</v>
      </c>
      <c r="HV1033" s="15" t="s">
        <v>2026</v>
      </c>
      <c r="HW1033" s="15" t="s">
        <v>2026</v>
      </c>
      <c r="HX1033" s="15" t="s">
        <v>2026</v>
      </c>
      <c r="HY1033" s="15" t="s">
        <v>3781</v>
      </c>
      <c r="HZ1033" s="15" t="s">
        <v>2046</v>
      </c>
      <c r="IA1033" s="15" t="s">
        <v>6489</v>
      </c>
      <c r="IB1033" s="15" t="s">
        <v>1232</v>
      </c>
      <c r="IC1033" s="15" t="s">
        <v>2144</v>
      </c>
      <c r="ID1033" s="15" t="s">
        <v>6489</v>
      </c>
      <c r="IE1033" s="15" t="s">
        <v>8835</v>
      </c>
      <c r="IF1033" s="15" t="s">
        <v>4469</v>
      </c>
      <c r="IG1033" s="15" t="s">
        <v>6489</v>
      </c>
      <c r="IH1033" s="15" t="s">
        <v>731</v>
      </c>
      <c r="II1033" s="15" t="s">
        <v>8835</v>
      </c>
      <c r="IJ1033" s="15" t="s">
        <v>2046</v>
      </c>
      <c r="IK1033" s="15" t="s">
        <v>426</v>
      </c>
      <c r="IL1033" s="15" t="s">
        <v>871</v>
      </c>
      <c r="IM1033" s="15" t="s">
        <v>2604</v>
      </c>
      <c r="IN1033" s="15" t="s">
        <v>873</v>
      </c>
      <c r="IO1033" s="15" t="s">
        <v>828</v>
      </c>
      <c r="IU1033" s="15" t="s">
        <v>787</v>
      </c>
      <c r="IV1033" s="15" t="s">
        <v>6743</v>
      </c>
      <c r="IW1033" s="15" t="s">
        <v>787</v>
      </c>
      <c r="IX1033" s="15" t="s">
        <v>426</v>
      </c>
      <c r="IY1033" s="15" t="s">
        <v>2474</v>
      </c>
    </row>
    <row r="1034" ht="17.25" customHeight="1">
      <c r="A1034" s="15" t="s">
        <v>10072</v>
      </c>
      <c r="B1034" s="15" t="str">
        <f>"801542573201"</f>
        <v>801542573201</v>
      </c>
      <c r="C1034" s="15" t="s">
        <v>23993</v>
      </c>
      <c r="D1034" s="15" t="str">
        <f t="shared" si="1"/>
        <v>Trey BedBlack Wash PoplarQueen</v>
      </c>
      <c r="E1034" s="15" t="s">
        <v>10054</v>
      </c>
      <c r="F1034" s="15" t="s">
        <v>397</v>
      </c>
      <c r="G1034" s="15" t="s">
        <v>10017</v>
      </c>
      <c r="H1034" s="15" t="s">
        <v>265</v>
      </c>
      <c r="I1034" s="15" t="s">
        <v>877</v>
      </c>
      <c r="J1034" s="15" t="s">
        <v>10017</v>
      </c>
      <c r="M1034" s="15" t="s">
        <v>4463</v>
      </c>
      <c r="N1034" s="15" t="s">
        <v>839</v>
      </c>
      <c r="O1034" s="15" t="s">
        <v>877</v>
      </c>
      <c r="P1034" s="15" t="str">
        <f>"62.5"</f>
        <v>62.5</v>
      </c>
      <c r="Q1034" s="15" t="str">
        <f t="shared" si="2987"/>
        <v>83.25</v>
      </c>
      <c r="R1034" s="15" t="str">
        <f t="shared" si="2988"/>
        <v>50</v>
      </c>
      <c r="S1034" s="15" t="str">
        <f>"167.55"</f>
        <v>167.55</v>
      </c>
      <c r="T1034" s="15" t="s">
        <v>10058</v>
      </c>
      <c r="U1034" s="15" t="s">
        <v>17219</v>
      </c>
      <c r="AA1034" s="15" t="s">
        <v>413</v>
      </c>
      <c r="AB1034" s="15" t="s">
        <v>413</v>
      </c>
      <c r="AC1034" s="15" t="s">
        <v>10070</v>
      </c>
      <c r="AD1034" s="15" t="s">
        <v>24004</v>
      </c>
      <c r="AE1034" s="15" t="s">
        <v>10073</v>
      </c>
      <c r="AF1034" s="15" t="s">
        <v>24005</v>
      </c>
      <c r="AG1034" s="15" t="s">
        <v>24006</v>
      </c>
      <c r="AH1034" s="15" t="s">
        <v>24007</v>
      </c>
      <c r="AI1034" s="15" t="s">
        <v>24008</v>
      </c>
      <c r="AJ1034" s="15" t="s">
        <v>24009</v>
      </c>
      <c r="AK1034" s="15" t="s">
        <v>24010</v>
      </c>
      <c r="AL1034" s="15" t="s">
        <v>24011</v>
      </c>
      <c r="AM1034" s="15" t="s">
        <v>24012</v>
      </c>
      <c r="AN1034" s="15" t="s">
        <v>24013</v>
      </c>
      <c r="AO1034" s="15" t="s">
        <v>24014</v>
      </c>
      <c r="BH1034" s="15" t="s">
        <v>10071</v>
      </c>
      <c r="BI1034" s="15" t="str">
        <f>"1699"</f>
        <v>1699</v>
      </c>
      <c r="BJ1034" s="15" t="str">
        <f>"715"</f>
        <v>715</v>
      </c>
      <c r="BK1034" s="15" t="s">
        <v>415</v>
      </c>
      <c r="BL1034" s="15" t="str">
        <f t="shared" si="2989"/>
        <v>3</v>
      </c>
      <c r="BM1034" s="15" t="s">
        <v>841</v>
      </c>
      <c r="BN1034" s="15" t="str">
        <f>"69.29"</f>
        <v>69.29</v>
      </c>
      <c r="BO1034" s="15" t="str">
        <f>"5.31"</f>
        <v>5.31</v>
      </c>
      <c r="BP1034" s="15" t="str">
        <f t="shared" si="2990"/>
        <v>46.85</v>
      </c>
      <c r="BQ1034" s="15" t="str">
        <f>"88.18"</f>
        <v>88.18</v>
      </c>
      <c r="BR1034" s="15" t="s">
        <v>10060</v>
      </c>
      <c r="BS1034" s="15" t="str">
        <f>"68.11"</f>
        <v>68.11</v>
      </c>
      <c r="BT1034" s="15" t="str">
        <f>"9.06"</f>
        <v>9.06</v>
      </c>
      <c r="BU1034" s="15" t="str">
        <f t="shared" si="2991"/>
        <v>13.78</v>
      </c>
      <c r="BV1034" s="15" t="str">
        <f>"56.22"</f>
        <v>56.22</v>
      </c>
      <c r="BW1034" s="15" t="s">
        <v>10061</v>
      </c>
      <c r="BX1034" s="15" t="str">
        <f>"90.16"</f>
        <v>90.16</v>
      </c>
      <c r="BY1034" s="15" t="str">
        <f>"6.69"</f>
        <v>6.69</v>
      </c>
      <c r="BZ1034" s="15" t="str">
        <f>"18.5"</f>
        <v>18.5</v>
      </c>
      <c r="CA1034" s="15" t="str">
        <f>"61.73"</f>
        <v>61.73</v>
      </c>
      <c r="CG1034" s="15" t="str">
        <f>"21.37"</f>
        <v>21.37</v>
      </c>
      <c r="CH1034" s="15" t="str">
        <f>"0.605"</f>
        <v>0.605</v>
      </c>
      <c r="CI1034" s="15" t="s">
        <v>417</v>
      </c>
      <c r="CZ1034" s="15" t="s">
        <v>419</v>
      </c>
      <c r="DA1034" s="15">
        <v>0.0</v>
      </c>
      <c r="DB1034" s="15" t="s">
        <v>419</v>
      </c>
      <c r="DD1034" s="15">
        <v>0.0</v>
      </c>
      <c r="DF1034" s="15" t="s">
        <v>420</v>
      </c>
      <c r="DG1034" s="15" t="s">
        <v>419</v>
      </c>
      <c r="DI1034" s="15">
        <v>0.0</v>
      </c>
      <c r="DJ1034" s="15">
        <v>0.0</v>
      </c>
      <c r="DK1034" s="15">
        <v>0.0</v>
      </c>
      <c r="DS1034" s="15" t="s">
        <v>10015</v>
      </c>
      <c r="DU1034" s="15" t="s">
        <v>858</v>
      </c>
      <c r="EV1034" s="15">
        <v>0.0</v>
      </c>
      <c r="HV1034" s="15" t="s">
        <v>2026</v>
      </c>
      <c r="HW1034" s="15" t="s">
        <v>2026</v>
      </c>
      <c r="HX1034" s="15" t="s">
        <v>2026</v>
      </c>
      <c r="HY1034" s="15" t="s">
        <v>3781</v>
      </c>
      <c r="HZ1034" s="15" t="s">
        <v>2046</v>
      </c>
      <c r="IA1034" s="15" t="s">
        <v>6555</v>
      </c>
      <c r="IB1034" s="15" t="s">
        <v>1232</v>
      </c>
      <c r="IC1034" s="15" t="s">
        <v>2144</v>
      </c>
      <c r="ID1034" s="15" t="s">
        <v>6555</v>
      </c>
      <c r="IE1034" s="15" t="s">
        <v>8835</v>
      </c>
      <c r="IF1034" s="15" t="s">
        <v>4469</v>
      </c>
      <c r="IG1034" s="15" t="s">
        <v>3284</v>
      </c>
      <c r="IH1034" s="15" t="s">
        <v>731</v>
      </c>
      <c r="II1034" s="15" t="s">
        <v>8835</v>
      </c>
      <c r="IJ1034" s="15" t="s">
        <v>2046</v>
      </c>
      <c r="IK1034" s="15" t="s">
        <v>426</v>
      </c>
      <c r="IL1034" s="15" t="s">
        <v>871</v>
      </c>
      <c r="IM1034" s="15" t="s">
        <v>2604</v>
      </c>
      <c r="IN1034" s="15" t="s">
        <v>873</v>
      </c>
      <c r="IO1034" s="15" t="s">
        <v>877</v>
      </c>
      <c r="IU1034" s="15" t="s">
        <v>787</v>
      </c>
      <c r="IV1034" s="15" t="s">
        <v>6743</v>
      </c>
      <c r="IW1034" s="15" t="s">
        <v>787</v>
      </c>
      <c r="IX1034" s="15" t="s">
        <v>426</v>
      </c>
      <c r="IY1034" s="15" t="s">
        <v>2474</v>
      </c>
    </row>
    <row r="1035" ht="17.25" customHeight="1">
      <c r="A1035" s="15" t="s">
        <v>10075</v>
      </c>
      <c r="B1035" s="15" t="str">
        <f>"801542768638"</f>
        <v>801542768638</v>
      </c>
      <c r="C1035" s="15" t="s">
        <v>24015</v>
      </c>
      <c r="D1035" s="15" t="str">
        <f t="shared" si="1"/>
        <v>Trey BedDove PoplarKing</v>
      </c>
      <c r="E1035" s="15" t="s">
        <v>10054</v>
      </c>
      <c r="F1035" s="15" t="s">
        <v>397</v>
      </c>
      <c r="G1035" s="15" t="s">
        <v>10022</v>
      </c>
      <c r="H1035" s="15" t="s">
        <v>265</v>
      </c>
      <c r="I1035" s="15" t="s">
        <v>828</v>
      </c>
      <c r="J1035" s="15" t="s">
        <v>10022</v>
      </c>
      <c r="M1035" s="15" t="s">
        <v>4463</v>
      </c>
      <c r="N1035" s="15" t="s">
        <v>839</v>
      </c>
      <c r="O1035" s="15" t="s">
        <v>828</v>
      </c>
      <c r="P1035" s="15" t="str">
        <f>"78.25"</f>
        <v>78.25</v>
      </c>
      <c r="Q1035" s="15" t="str">
        <f t="shared" si="2987"/>
        <v>83.25</v>
      </c>
      <c r="R1035" s="15" t="str">
        <f t="shared" si="2988"/>
        <v>50</v>
      </c>
      <c r="S1035" s="15" t="str">
        <f>"208.33"</f>
        <v>208.33</v>
      </c>
      <c r="T1035" s="15" t="s">
        <v>10058</v>
      </c>
      <c r="U1035" s="15" t="s">
        <v>17219</v>
      </c>
      <c r="AA1035" s="15" t="s">
        <v>413</v>
      </c>
      <c r="AB1035" s="15" t="s">
        <v>413</v>
      </c>
      <c r="AC1035" s="15" t="s">
        <v>10077</v>
      </c>
      <c r="AD1035" s="15" t="s">
        <v>24016</v>
      </c>
      <c r="AE1035" s="15" t="s">
        <v>10076</v>
      </c>
      <c r="AF1035" s="15" t="s">
        <v>24017</v>
      </c>
      <c r="AG1035" s="15" t="s">
        <v>24018</v>
      </c>
      <c r="AH1035" s="15" t="s">
        <v>24019</v>
      </c>
      <c r="AI1035" s="15" t="s">
        <v>24020</v>
      </c>
      <c r="AJ1035" s="15" t="s">
        <v>23879</v>
      </c>
      <c r="AK1035" s="15" t="s">
        <v>24021</v>
      </c>
      <c r="AL1035" s="15" t="s">
        <v>24022</v>
      </c>
      <c r="AM1035" s="15" t="s">
        <v>24023</v>
      </c>
      <c r="AN1035" s="15" t="s">
        <v>24024</v>
      </c>
      <c r="AO1035" s="15" t="s">
        <v>24025</v>
      </c>
      <c r="AP1035" s="15" t="s">
        <v>24026</v>
      </c>
      <c r="AQ1035" s="15" t="s">
        <v>24027</v>
      </c>
      <c r="AR1035" s="15" t="s">
        <v>24028</v>
      </c>
      <c r="AS1035" s="15" t="s">
        <v>24029</v>
      </c>
      <c r="BH1035" s="15" t="s">
        <v>10074</v>
      </c>
      <c r="BI1035" s="15" t="str">
        <f>"1899"</f>
        <v>1899</v>
      </c>
      <c r="BJ1035" s="15" t="str">
        <f>"800"</f>
        <v>800</v>
      </c>
      <c r="BK1035" s="15" t="s">
        <v>415</v>
      </c>
      <c r="BL1035" s="15" t="str">
        <f t="shared" si="2989"/>
        <v>3</v>
      </c>
      <c r="BM1035" s="15" t="s">
        <v>10078</v>
      </c>
      <c r="BN1035" s="15" t="str">
        <f>"85.04"</f>
        <v>85.04</v>
      </c>
      <c r="BO1035" s="15" t="str">
        <f>"5.71"</f>
        <v>5.71</v>
      </c>
      <c r="BP1035" s="15" t="str">
        <f t="shared" si="2990"/>
        <v>46.85</v>
      </c>
      <c r="BQ1035" s="15" t="str">
        <f>"106.92"</f>
        <v>106.92</v>
      </c>
      <c r="BR1035" s="15" t="s">
        <v>10079</v>
      </c>
      <c r="BS1035" s="15" t="str">
        <f>"83.86"</f>
        <v>83.86</v>
      </c>
      <c r="BT1035" s="15" t="str">
        <f>"9.25"</f>
        <v>9.25</v>
      </c>
      <c r="BU1035" s="15" t="str">
        <f t="shared" si="2991"/>
        <v>13.78</v>
      </c>
      <c r="BV1035" s="15" t="str">
        <f>"70.55"</f>
        <v>70.55</v>
      </c>
      <c r="BW1035" s="15" t="s">
        <v>10080</v>
      </c>
      <c r="BX1035" s="15" t="str">
        <f>"88.98"</f>
        <v>88.98</v>
      </c>
      <c r="BY1035" s="15" t="str">
        <f>"7.09"</f>
        <v>7.09</v>
      </c>
      <c r="BZ1035" s="15" t="str">
        <f>"19.29"</f>
        <v>19.29</v>
      </c>
      <c r="CA1035" s="15" t="str">
        <f>"63.93"</f>
        <v>63.93</v>
      </c>
      <c r="CG1035" s="15" t="str">
        <f>"26.38"</f>
        <v>26.38</v>
      </c>
      <c r="CH1035" s="15" t="str">
        <f>"0.747"</f>
        <v>0.747</v>
      </c>
      <c r="CI1035" s="15" t="s">
        <v>417</v>
      </c>
      <c r="CZ1035" s="15" t="s">
        <v>419</v>
      </c>
      <c r="DA1035" s="15">
        <v>0.0</v>
      </c>
      <c r="DB1035" s="15" t="s">
        <v>419</v>
      </c>
      <c r="DD1035" s="15">
        <v>0.0</v>
      </c>
      <c r="DF1035" s="15" t="s">
        <v>420</v>
      </c>
      <c r="DG1035" s="15" t="s">
        <v>419</v>
      </c>
      <c r="DI1035" s="15">
        <v>0.0</v>
      </c>
      <c r="DJ1035" s="15">
        <v>0.0</v>
      </c>
      <c r="DK1035" s="15">
        <v>0.0</v>
      </c>
      <c r="DS1035" s="15" t="s">
        <v>10015</v>
      </c>
      <c r="DU1035" s="15" t="s">
        <v>858</v>
      </c>
      <c r="EV1035" s="15">
        <v>0.0</v>
      </c>
      <c r="HV1035" s="15" t="s">
        <v>2026</v>
      </c>
      <c r="HW1035" s="15" t="s">
        <v>2026</v>
      </c>
      <c r="HX1035" s="15" t="s">
        <v>2026</v>
      </c>
      <c r="HY1035" s="15" t="s">
        <v>3781</v>
      </c>
      <c r="HZ1035" s="15" t="s">
        <v>2046</v>
      </c>
      <c r="IA1035" s="15" t="s">
        <v>6489</v>
      </c>
      <c r="IB1035" s="15" t="s">
        <v>1232</v>
      </c>
      <c r="IC1035" s="15" t="s">
        <v>2144</v>
      </c>
      <c r="ID1035" s="15" t="s">
        <v>6489</v>
      </c>
      <c r="IE1035" s="15" t="s">
        <v>8835</v>
      </c>
      <c r="IF1035" s="15" t="s">
        <v>4469</v>
      </c>
      <c r="IG1035" s="15" t="s">
        <v>6489</v>
      </c>
      <c r="IH1035" s="15" t="s">
        <v>731</v>
      </c>
      <c r="II1035" s="15" t="s">
        <v>8835</v>
      </c>
      <c r="IJ1035" s="15" t="s">
        <v>2046</v>
      </c>
      <c r="IK1035" s="15" t="s">
        <v>426</v>
      </c>
      <c r="IL1035" s="15" t="s">
        <v>871</v>
      </c>
      <c r="IM1035" s="15" t="s">
        <v>2604</v>
      </c>
      <c r="IN1035" s="15" t="s">
        <v>873</v>
      </c>
      <c r="IO1035" s="15" t="s">
        <v>828</v>
      </c>
      <c r="IU1035" s="15" t="s">
        <v>787</v>
      </c>
      <c r="IV1035" s="15" t="s">
        <v>6743</v>
      </c>
      <c r="IW1035" s="15" t="s">
        <v>787</v>
      </c>
      <c r="IX1035" s="15" t="s">
        <v>426</v>
      </c>
      <c r="IY1035" s="15" t="s">
        <v>2474</v>
      </c>
    </row>
    <row r="1036" ht="17.25" customHeight="1">
      <c r="A1036" s="15" t="s">
        <v>10082</v>
      </c>
      <c r="B1036" s="15" t="str">
        <f>"801542768676"</f>
        <v>801542768676</v>
      </c>
      <c r="C1036" s="15" t="s">
        <v>24015</v>
      </c>
      <c r="D1036" s="15" t="str">
        <f t="shared" si="1"/>
        <v>Trey BedDove PoplarQueen</v>
      </c>
      <c r="E1036" s="15" t="s">
        <v>10054</v>
      </c>
      <c r="F1036" s="15" t="s">
        <v>397</v>
      </c>
      <c r="G1036" s="15" t="s">
        <v>10022</v>
      </c>
      <c r="H1036" s="15" t="s">
        <v>265</v>
      </c>
      <c r="I1036" s="15" t="s">
        <v>877</v>
      </c>
      <c r="J1036" s="15" t="s">
        <v>10022</v>
      </c>
      <c r="M1036" s="15" t="s">
        <v>4463</v>
      </c>
      <c r="N1036" s="15" t="s">
        <v>839</v>
      </c>
      <c r="O1036" s="15" t="s">
        <v>877</v>
      </c>
      <c r="P1036" s="15" t="str">
        <f>"62.5"</f>
        <v>62.5</v>
      </c>
      <c r="Q1036" s="15" t="str">
        <f t="shared" si="2987"/>
        <v>83.25</v>
      </c>
      <c r="R1036" s="15" t="str">
        <f t="shared" si="2988"/>
        <v>50</v>
      </c>
      <c r="S1036" s="15" t="str">
        <f>"167.55"</f>
        <v>167.55</v>
      </c>
      <c r="T1036" s="15" t="s">
        <v>10058</v>
      </c>
      <c r="U1036" s="15" t="s">
        <v>17219</v>
      </c>
      <c r="AA1036" s="15" t="s">
        <v>413</v>
      </c>
      <c r="AB1036" s="15" t="s">
        <v>413</v>
      </c>
      <c r="AC1036" s="15" t="s">
        <v>10077</v>
      </c>
      <c r="AD1036" s="15" t="s">
        <v>24030</v>
      </c>
      <c r="AE1036" s="15" t="s">
        <v>10083</v>
      </c>
      <c r="AF1036" s="15" t="s">
        <v>24031</v>
      </c>
      <c r="AG1036" s="15" t="s">
        <v>24032</v>
      </c>
      <c r="AH1036" s="15" t="s">
        <v>24033</v>
      </c>
      <c r="AI1036" s="15" t="s">
        <v>24034</v>
      </c>
      <c r="AJ1036" s="15" t="s">
        <v>23879</v>
      </c>
      <c r="AK1036" s="15" t="s">
        <v>24035</v>
      </c>
      <c r="AL1036" s="15" t="s">
        <v>24036</v>
      </c>
      <c r="AM1036" s="15" t="s">
        <v>24037</v>
      </c>
      <c r="AN1036" s="15" t="s">
        <v>24038</v>
      </c>
      <c r="AO1036" s="15" t="s">
        <v>24039</v>
      </c>
      <c r="AP1036" s="15" t="s">
        <v>24040</v>
      </c>
      <c r="AQ1036" s="15" t="s">
        <v>24041</v>
      </c>
      <c r="AR1036" s="15" t="s">
        <v>24042</v>
      </c>
      <c r="AS1036" s="15" t="s">
        <v>24043</v>
      </c>
      <c r="AT1036" s="15" t="s">
        <v>24044</v>
      </c>
      <c r="BH1036" s="15" t="s">
        <v>10081</v>
      </c>
      <c r="BI1036" s="15" t="str">
        <f>"1699"</f>
        <v>1699</v>
      </c>
      <c r="BJ1036" s="15" t="str">
        <f>"715"</f>
        <v>715</v>
      </c>
      <c r="BK1036" s="15" t="s">
        <v>415</v>
      </c>
      <c r="BL1036" s="15" t="str">
        <f t="shared" si="2989"/>
        <v>3</v>
      </c>
      <c r="BM1036" s="15" t="s">
        <v>10078</v>
      </c>
      <c r="BN1036" s="15" t="str">
        <f>"69.29"</f>
        <v>69.29</v>
      </c>
      <c r="BO1036" s="15" t="str">
        <f>"5.31"</f>
        <v>5.31</v>
      </c>
      <c r="BP1036" s="15" t="str">
        <f t="shared" si="2990"/>
        <v>46.85</v>
      </c>
      <c r="BQ1036" s="15" t="str">
        <f>"88.18"</f>
        <v>88.18</v>
      </c>
      <c r="BR1036" s="15" t="s">
        <v>10079</v>
      </c>
      <c r="BS1036" s="15" t="str">
        <f>"68.11"</f>
        <v>68.11</v>
      </c>
      <c r="BT1036" s="15" t="str">
        <f>"9.06"</f>
        <v>9.06</v>
      </c>
      <c r="BU1036" s="15" t="str">
        <f t="shared" si="2991"/>
        <v>13.78</v>
      </c>
      <c r="BV1036" s="15" t="str">
        <f>"56.22"</f>
        <v>56.22</v>
      </c>
      <c r="BW1036" s="15" t="s">
        <v>10080</v>
      </c>
      <c r="BX1036" s="15" t="str">
        <f>"90.16"</f>
        <v>90.16</v>
      </c>
      <c r="BY1036" s="15" t="str">
        <f>"6.69"</f>
        <v>6.69</v>
      </c>
      <c r="BZ1036" s="15" t="str">
        <f>"18.5"</f>
        <v>18.5</v>
      </c>
      <c r="CA1036" s="15" t="str">
        <f>"61.73"</f>
        <v>61.73</v>
      </c>
      <c r="CG1036" s="15" t="str">
        <f>"21.37"</f>
        <v>21.37</v>
      </c>
      <c r="CH1036" s="15" t="str">
        <f>"0.605"</f>
        <v>0.605</v>
      </c>
      <c r="CI1036" s="15" t="s">
        <v>417</v>
      </c>
      <c r="CZ1036" s="15" t="s">
        <v>419</v>
      </c>
      <c r="DA1036" s="15">
        <v>0.0</v>
      </c>
      <c r="DB1036" s="15" t="s">
        <v>419</v>
      </c>
      <c r="DD1036" s="15">
        <v>0.0</v>
      </c>
      <c r="DF1036" s="15" t="s">
        <v>420</v>
      </c>
      <c r="DG1036" s="15" t="s">
        <v>419</v>
      </c>
      <c r="DI1036" s="15">
        <v>0.0</v>
      </c>
      <c r="DJ1036" s="15">
        <v>0.0</v>
      </c>
      <c r="DK1036" s="15">
        <v>0.0</v>
      </c>
      <c r="DS1036" s="15" t="s">
        <v>10015</v>
      </c>
      <c r="DU1036" s="15" t="s">
        <v>858</v>
      </c>
      <c r="EV1036" s="15">
        <v>0.0</v>
      </c>
      <c r="HV1036" s="15" t="s">
        <v>2026</v>
      </c>
      <c r="HW1036" s="15" t="s">
        <v>2026</v>
      </c>
      <c r="HX1036" s="15" t="s">
        <v>2026</v>
      </c>
      <c r="HY1036" s="15" t="s">
        <v>3781</v>
      </c>
      <c r="HZ1036" s="15" t="s">
        <v>2046</v>
      </c>
      <c r="IA1036" s="15" t="s">
        <v>6555</v>
      </c>
      <c r="IB1036" s="15" t="s">
        <v>1232</v>
      </c>
      <c r="IC1036" s="15" t="s">
        <v>2144</v>
      </c>
      <c r="ID1036" s="15" t="s">
        <v>6555</v>
      </c>
      <c r="IE1036" s="15" t="s">
        <v>8835</v>
      </c>
      <c r="IF1036" s="15" t="s">
        <v>4469</v>
      </c>
      <c r="IG1036" s="15" t="s">
        <v>3284</v>
      </c>
      <c r="IH1036" s="15" t="s">
        <v>731</v>
      </c>
      <c r="II1036" s="15" t="s">
        <v>8835</v>
      </c>
      <c r="IJ1036" s="15" t="s">
        <v>2046</v>
      </c>
      <c r="IK1036" s="15" t="s">
        <v>426</v>
      </c>
      <c r="IL1036" s="15" t="s">
        <v>871</v>
      </c>
      <c r="IM1036" s="15" t="s">
        <v>2604</v>
      </c>
      <c r="IN1036" s="15" t="s">
        <v>873</v>
      </c>
      <c r="IO1036" s="15" t="s">
        <v>877</v>
      </c>
      <c r="IU1036" s="15" t="s">
        <v>787</v>
      </c>
      <c r="IV1036" s="15" t="s">
        <v>6743</v>
      </c>
      <c r="IW1036" s="15" t="s">
        <v>787</v>
      </c>
      <c r="IX1036" s="15" t="s">
        <v>426</v>
      </c>
      <c r="IY1036" s="15" t="s">
        <v>2474</v>
      </c>
    </row>
    <row r="1037" ht="17.25" customHeight="1">
      <c r="A1037" s="15" t="s">
        <v>10086</v>
      </c>
      <c r="B1037" s="15" t="str">
        <f>"801542763343"</f>
        <v>801542763343</v>
      </c>
      <c r="C1037" s="15" t="s">
        <v>24045</v>
      </c>
      <c r="D1037" s="15" t="str">
        <f t="shared" si="1"/>
        <v>Trey BookshelfDove Poplar</v>
      </c>
      <c r="E1037" s="15" t="s">
        <v>10084</v>
      </c>
      <c r="F1037" s="15" t="s">
        <v>397</v>
      </c>
      <c r="G1037" s="15" t="s">
        <v>10022</v>
      </c>
      <c r="J1037" s="15" t="s">
        <v>10089</v>
      </c>
      <c r="K1037" s="15" t="s">
        <v>5928</v>
      </c>
      <c r="L1037" s="15" t="s">
        <v>10022</v>
      </c>
      <c r="M1037" s="15" t="s">
        <v>4463</v>
      </c>
      <c r="N1037" s="15" t="s">
        <v>1899</v>
      </c>
      <c r="P1037" s="15" t="str">
        <f t="shared" ref="P1037:P1039" si="3008">"24"</f>
        <v>24</v>
      </c>
      <c r="Q1037" s="15" t="str">
        <f t="shared" ref="Q1037:Q1039" si="3009">"18"</f>
        <v>18</v>
      </c>
      <c r="R1037" s="15" t="str">
        <f t="shared" ref="R1037:R1039" si="3010">"78"</f>
        <v>78</v>
      </c>
      <c r="S1037" s="15" t="str">
        <f t="shared" ref="S1037:S1039" si="3011">"76.06"</f>
        <v>76.06</v>
      </c>
      <c r="T1037" s="15" t="s">
        <v>10088</v>
      </c>
      <c r="U1037" s="15" t="s">
        <v>11139</v>
      </c>
      <c r="V1037" s="15" t="s">
        <v>11137</v>
      </c>
      <c r="W1037" s="15" t="s">
        <v>17219</v>
      </c>
      <c r="AA1037" s="15" t="s">
        <v>413</v>
      </c>
      <c r="AB1037" s="15" t="s">
        <v>413</v>
      </c>
      <c r="AC1037" s="15" t="s">
        <v>10090</v>
      </c>
      <c r="AD1037" s="15" t="s">
        <v>24046</v>
      </c>
      <c r="AE1037" s="15" t="s">
        <v>10087</v>
      </c>
      <c r="AF1037" s="15" t="s">
        <v>24047</v>
      </c>
      <c r="AG1037" s="15" t="s">
        <v>24048</v>
      </c>
      <c r="AH1037" s="15" t="s">
        <v>24049</v>
      </c>
      <c r="AI1037" s="15" t="s">
        <v>24050</v>
      </c>
      <c r="AJ1037" s="15" t="s">
        <v>23879</v>
      </c>
      <c r="AK1037" s="15" t="s">
        <v>24051</v>
      </c>
      <c r="AL1037" s="15" t="s">
        <v>24052</v>
      </c>
      <c r="AM1037" s="15" t="s">
        <v>24053</v>
      </c>
      <c r="AN1037" s="15" t="s">
        <v>24054</v>
      </c>
      <c r="AO1037" s="15" t="s">
        <v>24055</v>
      </c>
      <c r="AP1037" s="15" t="s">
        <v>24056</v>
      </c>
      <c r="AQ1037" s="15" t="s">
        <v>24057</v>
      </c>
      <c r="AR1037" s="15" t="s">
        <v>24058</v>
      </c>
      <c r="BH1037" s="15" t="s">
        <v>10085</v>
      </c>
      <c r="BI1037" s="15" t="str">
        <f t="shared" ref="BI1037:BI1039" si="3012">"1199"</f>
        <v>1199</v>
      </c>
      <c r="BJ1037" s="15" t="str">
        <f t="shared" ref="BJ1037:BJ1039" si="3013">"505"</f>
        <v>505</v>
      </c>
      <c r="BK1037" s="15" t="s">
        <v>415</v>
      </c>
      <c r="BL1037" s="15" t="str">
        <f t="shared" ref="BL1037:BL1067" si="3014">"1"</f>
        <v>1</v>
      </c>
      <c r="BM1037" s="15" t="s">
        <v>416</v>
      </c>
      <c r="BN1037" s="15" t="str">
        <f t="shared" ref="BN1037:BN1039" si="3015">"27.56"</f>
        <v>27.56</v>
      </c>
      <c r="BO1037" s="15" t="str">
        <f t="shared" ref="BO1037:BO1039" si="3016">"20.08"</f>
        <v>20.08</v>
      </c>
      <c r="BP1037" s="15" t="str">
        <f t="shared" ref="BP1037:BP1039" si="3017">"82.68"</f>
        <v>82.68</v>
      </c>
      <c r="BQ1037" s="15" t="str">
        <f t="shared" ref="BQ1037:BQ1039" si="3018">"99.21"</f>
        <v>99.21</v>
      </c>
      <c r="CG1037" s="15" t="str">
        <f t="shared" ref="CG1037:CG1039" si="3019">"26.49"</f>
        <v>26.49</v>
      </c>
      <c r="CH1037" s="15" t="str">
        <f t="shared" ref="CH1037:CH1039" si="3020">"0.75"</f>
        <v>0.75</v>
      </c>
      <c r="CI1037" s="15" t="s">
        <v>465</v>
      </c>
      <c r="CJ1037" s="15" t="s">
        <v>1014</v>
      </c>
      <c r="CK1037" s="15" t="s">
        <v>2046</v>
      </c>
      <c r="CL1037" s="15" t="s">
        <v>2652</v>
      </c>
      <c r="CM1037" s="15" t="s">
        <v>3098</v>
      </c>
      <c r="CN1037" s="15" t="s">
        <v>10091</v>
      </c>
      <c r="CO1037" s="15" t="s">
        <v>3927</v>
      </c>
      <c r="CZ1037" s="15" t="s">
        <v>2600</v>
      </c>
      <c r="DA1037" s="15">
        <v>2.0</v>
      </c>
      <c r="DB1037" s="15" t="s">
        <v>2604</v>
      </c>
      <c r="DD1037" s="15">
        <v>3.0</v>
      </c>
      <c r="DE1037" s="15" t="s">
        <v>426</v>
      </c>
      <c r="DF1037" s="15" t="s">
        <v>764</v>
      </c>
      <c r="DG1037" s="15" t="s">
        <v>421</v>
      </c>
      <c r="DI1037" s="15">
        <v>18.14</v>
      </c>
      <c r="DJ1037" s="15">
        <v>40.0</v>
      </c>
      <c r="DK1037" s="15">
        <v>0.0</v>
      </c>
      <c r="DR1037" s="15" t="s">
        <v>1906</v>
      </c>
      <c r="DS1037" s="15" t="s">
        <v>10015</v>
      </c>
      <c r="EF1037" s="15" t="s">
        <v>2050</v>
      </c>
      <c r="EU1037" s="15" t="s">
        <v>426</v>
      </c>
      <c r="EV1037" s="15">
        <v>4.0</v>
      </c>
      <c r="FQ1037" s="15">
        <v>0.0</v>
      </c>
      <c r="FR1037" s="15" t="s">
        <v>427</v>
      </c>
      <c r="FZ1037" s="15" t="s">
        <v>788</v>
      </c>
      <c r="GB1037" s="15" t="s">
        <v>1955</v>
      </c>
      <c r="GD1037" s="15" t="s">
        <v>2500</v>
      </c>
      <c r="GF1037" s="15" t="s">
        <v>2604</v>
      </c>
      <c r="GH1037" s="15" t="s">
        <v>764</v>
      </c>
      <c r="GI1037" s="15" t="s">
        <v>426</v>
      </c>
      <c r="GJ1037" s="15" t="s">
        <v>3098</v>
      </c>
      <c r="GK1037" s="15" t="s">
        <v>2598</v>
      </c>
      <c r="GL1037" s="15" t="s">
        <v>3927</v>
      </c>
      <c r="GZ1037" s="15" t="s">
        <v>3098</v>
      </c>
      <c r="HB1037" s="15" t="s">
        <v>862</v>
      </c>
      <c r="HD1037" s="15" t="s">
        <v>3927</v>
      </c>
    </row>
    <row r="1038" ht="17.25" customHeight="1">
      <c r="A1038" s="15" t="s">
        <v>10093</v>
      </c>
      <c r="B1038" s="15" t="str">
        <f>"801542391768"</f>
        <v>801542391768</v>
      </c>
      <c r="C1038" s="15" t="s">
        <v>24045</v>
      </c>
      <c r="D1038" s="15" t="str">
        <f t="shared" si="1"/>
        <v>Trey BookshelfAuburn Poplar</v>
      </c>
      <c r="E1038" s="15" t="s">
        <v>10084</v>
      </c>
      <c r="F1038" s="15" t="s">
        <v>397</v>
      </c>
      <c r="G1038" s="15" t="s">
        <v>10010</v>
      </c>
      <c r="J1038" s="15" t="s">
        <v>10089</v>
      </c>
      <c r="K1038" s="15" t="s">
        <v>10013</v>
      </c>
      <c r="L1038" s="15" t="s">
        <v>10010</v>
      </c>
      <c r="M1038" s="15" t="s">
        <v>4463</v>
      </c>
      <c r="N1038" s="15" t="s">
        <v>1899</v>
      </c>
      <c r="P1038" s="15" t="str">
        <f t="shared" si="3008"/>
        <v>24</v>
      </c>
      <c r="Q1038" s="15" t="str">
        <f t="shared" si="3009"/>
        <v>18</v>
      </c>
      <c r="R1038" s="15" t="str">
        <f t="shared" si="3010"/>
        <v>78</v>
      </c>
      <c r="S1038" s="15" t="str">
        <f t="shared" si="3011"/>
        <v>76.06</v>
      </c>
      <c r="T1038" s="15" t="s">
        <v>10088</v>
      </c>
      <c r="U1038" s="15" t="s">
        <v>11139</v>
      </c>
      <c r="V1038" s="15" t="s">
        <v>11137</v>
      </c>
      <c r="W1038" s="15" t="s">
        <v>17219</v>
      </c>
      <c r="AA1038" s="15" t="s">
        <v>413</v>
      </c>
      <c r="AB1038" s="15" t="s">
        <v>413</v>
      </c>
      <c r="AC1038" s="15" t="s">
        <v>10095</v>
      </c>
      <c r="AD1038" s="15" t="s">
        <v>24059</v>
      </c>
      <c r="AE1038" s="15" t="s">
        <v>10094</v>
      </c>
      <c r="AF1038" s="15" t="s">
        <v>24060</v>
      </c>
      <c r="AG1038" s="15" t="s">
        <v>24061</v>
      </c>
      <c r="AH1038" s="15" t="s">
        <v>24062</v>
      </c>
      <c r="AI1038" s="15" t="s">
        <v>24063</v>
      </c>
      <c r="AJ1038" s="15" t="s">
        <v>24064</v>
      </c>
      <c r="AK1038" s="15" t="s">
        <v>24065</v>
      </c>
      <c r="AL1038" s="15" t="s">
        <v>24066</v>
      </c>
      <c r="AM1038" s="15" t="s">
        <v>24067</v>
      </c>
      <c r="AN1038" s="15" t="s">
        <v>24068</v>
      </c>
      <c r="AO1038" s="15" t="s">
        <v>24069</v>
      </c>
      <c r="AP1038" s="15" t="s">
        <v>24070</v>
      </c>
      <c r="AQ1038" s="15" t="s">
        <v>24071</v>
      </c>
      <c r="AR1038" s="15" t="s">
        <v>24072</v>
      </c>
      <c r="AS1038" s="15" t="s">
        <v>24073</v>
      </c>
      <c r="BH1038" s="15" t="s">
        <v>10092</v>
      </c>
      <c r="BI1038" s="15" t="str">
        <f t="shared" si="3012"/>
        <v>1199</v>
      </c>
      <c r="BJ1038" s="15" t="str">
        <f t="shared" si="3013"/>
        <v>505</v>
      </c>
      <c r="BK1038" s="15" t="s">
        <v>415</v>
      </c>
      <c r="BL1038" s="15" t="str">
        <f t="shared" si="3014"/>
        <v>1</v>
      </c>
      <c r="BM1038" s="15" t="s">
        <v>416</v>
      </c>
      <c r="BN1038" s="15" t="str">
        <f t="shared" si="3015"/>
        <v>27.56</v>
      </c>
      <c r="BO1038" s="15" t="str">
        <f t="shared" si="3016"/>
        <v>20.08</v>
      </c>
      <c r="BP1038" s="15" t="str">
        <f t="shared" si="3017"/>
        <v>82.68</v>
      </c>
      <c r="BQ1038" s="15" t="str">
        <f t="shared" si="3018"/>
        <v>99.21</v>
      </c>
      <c r="CG1038" s="15" t="str">
        <f t="shared" si="3019"/>
        <v>26.49</v>
      </c>
      <c r="CH1038" s="15" t="str">
        <f t="shared" si="3020"/>
        <v>0.75</v>
      </c>
      <c r="CI1038" s="15" t="s">
        <v>465</v>
      </c>
      <c r="CJ1038" s="15" t="s">
        <v>1014</v>
      </c>
      <c r="CK1038" s="15" t="s">
        <v>2046</v>
      </c>
      <c r="CL1038" s="15" t="s">
        <v>2652</v>
      </c>
      <c r="CM1038" s="15" t="s">
        <v>3098</v>
      </c>
      <c r="CN1038" s="15" t="s">
        <v>10091</v>
      </c>
      <c r="CO1038" s="15" t="s">
        <v>3927</v>
      </c>
      <c r="CZ1038" s="15" t="s">
        <v>2600</v>
      </c>
      <c r="DA1038" s="15">
        <v>2.0</v>
      </c>
      <c r="DB1038" s="15" t="s">
        <v>2604</v>
      </c>
      <c r="DD1038" s="15">
        <v>3.0</v>
      </c>
      <c r="DE1038" s="15" t="s">
        <v>426</v>
      </c>
      <c r="DF1038" s="15" t="s">
        <v>764</v>
      </c>
      <c r="DG1038" s="15" t="s">
        <v>421</v>
      </c>
      <c r="DI1038" s="15">
        <v>18.14</v>
      </c>
      <c r="DJ1038" s="15">
        <v>40.0</v>
      </c>
      <c r="DK1038" s="15">
        <v>0.0</v>
      </c>
      <c r="DR1038" s="15" t="s">
        <v>1906</v>
      </c>
      <c r="DS1038" s="15" t="s">
        <v>10015</v>
      </c>
      <c r="EF1038" s="15" t="s">
        <v>2050</v>
      </c>
      <c r="EU1038" s="15" t="s">
        <v>426</v>
      </c>
      <c r="EV1038" s="15">
        <v>4.0</v>
      </c>
      <c r="FQ1038" s="15">
        <v>0.0</v>
      </c>
      <c r="FR1038" s="15" t="s">
        <v>427</v>
      </c>
      <c r="FZ1038" s="15" t="s">
        <v>788</v>
      </c>
      <c r="GB1038" s="15" t="s">
        <v>1955</v>
      </c>
      <c r="GD1038" s="15" t="s">
        <v>2500</v>
      </c>
      <c r="GF1038" s="15" t="s">
        <v>2604</v>
      </c>
      <c r="GH1038" s="15" t="s">
        <v>764</v>
      </c>
      <c r="GI1038" s="15" t="s">
        <v>426</v>
      </c>
      <c r="GJ1038" s="15" t="s">
        <v>3098</v>
      </c>
      <c r="GK1038" s="15" t="s">
        <v>2598</v>
      </c>
      <c r="GL1038" s="15" t="s">
        <v>3927</v>
      </c>
      <c r="GZ1038" s="15" t="s">
        <v>3098</v>
      </c>
      <c r="HB1038" s="15" t="s">
        <v>862</v>
      </c>
      <c r="HD1038" s="15" t="s">
        <v>3927</v>
      </c>
    </row>
    <row r="1039" ht="17.25" customHeight="1">
      <c r="A1039" s="15" t="s">
        <v>10097</v>
      </c>
      <c r="B1039" s="15" t="str">
        <f>"801542507329"</f>
        <v>801542507329</v>
      </c>
      <c r="C1039" s="15" t="s">
        <v>24045</v>
      </c>
      <c r="D1039" s="15" t="str">
        <f t="shared" si="1"/>
        <v>Trey BookshelfBlack Wash Poplar</v>
      </c>
      <c r="E1039" s="15" t="s">
        <v>10084</v>
      </c>
      <c r="F1039" s="15" t="s">
        <v>397</v>
      </c>
      <c r="G1039" s="15" t="s">
        <v>10017</v>
      </c>
      <c r="J1039" s="15" t="s">
        <v>10089</v>
      </c>
      <c r="K1039" s="15" t="s">
        <v>5928</v>
      </c>
      <c r="L1039" s="15" t="s">
        <v>10017</v>
      </c>
      <c r="M1039" s="15" t="s">
        <v>4463</v>
      </c>
      <c r="N1039" s="15" t="s">
        <v>1899</v>
      </c>
      <c r="P1039" s="15" t="str">
        <f t="shared" si="3008"/>
        <v>24</v>
      </c>
      <c r="Q1039" s="15" t="str">
        <f t="shared" si="3009"/>
        <v>18</v>
      </c>
      <c r="R1039" s="15" t="str">
        <f t="shared" si="3010"/>
        <v>78</v>
      </c>
      <c r="S1039" s="15" t="str">
        <f t="shared" si="3011"/>
        <v>76.06</v>
      </c>
      <c r="T1039" s="15" t="s">
        <v>10088</v>
      </c>
      <c r="U1039" s="15" t="s">
        <v>11139</v>
      </c>
      <c r="V1039" s="15" t="s">
        <v>11137</v>
      </c>
      <c r="W1039" s="15" t="s">
        <v>17219</v>
      </c>
      <c r="AA1039" s="15" t="s">
        <v>413</v>
      </c>
      <c r="AB1039" s="15" t="s">
        <v>413</v>
      </c>
      <c r="AC1039" s="15" t="s">
        <v>10099</v>
      </c>
      <c r="AD1039" s="15" t="s">
        <v>24074</v>
      </c>
      <c r="AE1039" s="15" t="s">
        <v>10098</v>
      </c>
      <c r="AF1039" s="15" t="s">
        <v>24075</v>
      </c>
      <c r="AG1039" s="15" t="s">
        <v>24076</v>
      </c>
      <c r="AH1039" s="15" t="s">
        <v>24077</v>
      </c>
      <c r="AI1039" s="15" t="s">
        <v>24078</v>
      </c>
      <c r="AJ1039" s="15" t="s">
        <v>24079</v>
      </c>
      <c r="AK1039" s="15" t="s">
        <v>24080</v>
      </c>
      <c r="AL1039" s="15" t="s">
        <v>24081</v>
      </c>
      <c r="AM1039" s="15" t="s">
        <v>24082</v>
      </c>
      <c r="AN1039" s="15" t="s">
        <v>24083</v>
      </c>
      <c r="AO1039" s="15" t="s">
        <v>24084</v>
      </c>
      <c r="BH1039" s="15" t="s">
        <v>10096</v>
      </c>
      <c r="BI1039" s="15" t="str">
        <f t="shared" si="3012"/>
        <v>1199</v>
      </c>
      <c r="BJ1039" s="15" t="str">
        <f t="shared" si="3013"/>
        <v>505</v>
      </c>
      <c r="BK1039" s="15" t="s">
        <v>415</v>
      </c>
      <c r="BL1039" s="15" t="str">
        <f t="shared" si="3014"/>
        <v>1</v>
      </c>
      <c r="BM1039" s="15" t="s">
        <v>416</v>
      </c>
      <c r="BN1039" s="15" t="str">
        <f t="shared" si="3015"/>
        <v>27.56</v>
      </c>
      <c r="BO1039" s="15" t="str">
        <f t="shared" si="3016"/>
        <v>20.08</v>
      </c>
      <c r="BP1039" s="15" t="str">
        <f t="shared" si="3017"/>
        <v>82.68</v>
      </c>
      <c r="BQ1039" s="15" t="str">
        <f t="shared" si="3018"/>
        <v>99.21</v>
      </c>
      <c r="CG1039" s="15" t="str">
        <f t="shared" si="3019"/>
        <v>26.49</v>
      </c>
      <c r="CH1039" s="15" t="str">
        <f t="shared" si="3020"/>
        <v>0.75</v>
      </c>
      <c r="CI1039" s="15" t="s">
        <v>497</v>
      </c>
      <c r="CJ1039" s="15" t="s">
        <v>1014</v>
      </c>
      <c r="CK1039" s="15" t="s">
        <v>2046</v>
      </c>
      <c r="CL1039" s="15" t="s">
        <v>2652</v>
      </c>
      <c r="CM1039" s="15" t="s">
        <v>3098</v>
      </c>
      <c r="CN1039" s="15" t="s">
        <v>10091</v>
      </c>
      <c r="CO1039" s="15" t="s">
        <v>3927</v>
      </c>
      <c r="CZ1039" s="15" t="s">
        <v>2600</v>
      </c>
      <c r="DA1039" s="15">
        <v>2.0</v>
      </c>
      <c r="DB1039" s="15" t="s">
        <v>2604</v>
      </c>
      <c r="DD1039" s="15">
        <v>3.0</v>
      </c>
      <c r="DE1039" s="15" t="s">
        <v>426</v>
      </c>
      <c r="DF1039" s="15" t="s">
        <v>764</v>
      </c>
      <c r="DG1039" s="15" t="s">
        <v>421</v>
      </c>
      <c r="DI1039" s="15">
        <v>18.14</v>
      </c>
      <c r="DJ1039" s="15">
        <v>40.0</v>
      </c>
      <c r="DK1039" s="15">
        <v>0.0</v>
      </c>
      <c r="DR1039" s="15" t="s">
        <v>1906</v>
      </c>
      <c r="DS1039" s="15" t="s">
        <v>10015</v>
      </c>
      <c r="EF1039" s="15" t="s">
        <v>2050</v>
      </c>
      <c r="EU1039" s="15" t="s">
        <v>426</v>
      </c>
      <c r="EV1039" s="15">
        <v>4.0</v>
      </c>
      <c r="FQ1039" s="15">
        <v>0.0</v>
      </c>
      <c r="FR1039" s="15" t="s">
        <v>427</v>
      </c>
      <c r="FZ1039" s="15" t="s">
        <v>788</v>
      </c>
      <c r="GB1039" s="15" t="s">
        <v>1955</v>
      </c>
      <c r="GD1039" s="15" t="s">
        <v>2500</v>
      </c>
      <c r="GF1039" s="15" t="s">
        <v>2604</v>
      </c>
      <c r="GH1039" s="15" t="s">
        <v>764</v>
      </c>
      <c r="GI1039" s="15" t="s">
        <v>426</v>
      </c>
      <c r="GJ1039" s="15" t="s">
        <v>3098</v>
      </c>
      <c r="GK1039" s="15" t="s">
        <v>2598</v>
      </c>
      <c r="GL1039" s="15" t="s">
        <v>3927</v>
      </c>
      <c r="GZ1039" s="15" t="s">
        <v>3098</v>
      </c>
      <c r="HB1039" s="15" t="s">
        <v>862</v>
      </c>
      <c r="HD1039" s="15" t="s">
        <v>3927</v>
      </c>
    </row>
    <row r="1040" ht="17.25" customHeight="1">
      <c r="A1040" s="15" t="s">
        <v>10102</v>
      </c>
      <c r="B1040" s="15" t="str">
        <f>"801542622671"</f>
        <v>801542622671</v>
      </c>
      <c r="C1040" s="15" t="s">
        <v>24085</v>
      </c>
      <c r="D1040" s="15" t="str">
        <f t="shared" si="1"/>
        <v>Trey Console TableAuburn Poplar</v>
      </c>
      <c r="E1040" s="15" t="s">
        <v>10100</v>
      </c>
      <c r="F1040" s="15" t="s">
        <v>397</v>
      </c>
      <c r="G1040" s="15" t="s">
        <v>10010</v>
      </c>
      <c r="J1040" s="15" t="s">
        <v>10089</v>
      </c>
      <c r="K1040" s="15" t="s">
        <v>10013</v>
      </c>
      <c r="L1040" s="15" t="s">
        <v>10010</v>
      </c>
      <c r="M1040" s="15" t="s">
        <v>4463</v>
      </c>
      <c r="N1040" s="15" t="s">
        <v>519</v>
      </c>
      <c r="P1040" s="15" t="str">
        <f t="shared" ref="P1040:P1042" si="3021">"55"</f>
        <v>55</v>
      </c>
      <c r="Q1040" s="15" t="str">
        <f t="shared" ref="Q1040:Q1042" si="3022">"15"</f>
        <v>15</v>
      </c>
      <c r="R1040" s="15" t="str">
        <f t="shared" ref="R1040:R1045" si="3023">"30"</f>
        <v>30</v>
      </c>
      <c r="S1040" s="15" t="str">
        <f t="shared" ref="S1040:S1042" si="3024">"62.83"</f>
        <v>62.83</v>
      </c>
      <c r="T1040" s="15" t="s">
        <v>10088</v>
      </c>
      <c r="U1040" s="15" t="s">
        <v>11139</v>
      </c>
      <c r="V1040" s="15" t="s">
        <v>11137</v>
      </c>
      <c r="W1040" s="15" t="s">
        <v>17219</v>
      </c>
      <c r="AA1040" s="15" t="s">
        <v>413</v>
      </c>
      <c r="AB1040" s="15" t="s">
        <v>413</v>
      </c>
      <c r="AC1040" s="15" t="s">
        <v>10104</v>
      </c>
      <c r="AD1040" s="15" t="s">
        <v>24086</v>
      </c>
      <c r="AE1040" s="15" t="s">
        <v>10103</v>
      </c>
      <c r="AF1040" s="15" t="s">
        <v>24087</v>
      </c>
      <c r="AG1040" s="15" t="s">
        <v>24088</v>
      </c>
      <c r="AH1040" s="15" t="s">
        <v>24089</v>
      </c>
      <c r="AI1040" s="15" t="s">
        <v>24090</v>
      </c>
      <c r="AJ1040" s="15" t="s">
        <v>24091</v>
      </c>
      <c r="AK1040" s="15" t="s">
        <v>24092</v>
      </c>
      <c r="AL1040" s="15" t="s">
        <v>24093</v>
      </c>
      <c r="AM1040" s="15" t="s">
        <v>24094</v>
      </c>
      <c r="AN1040" s="15" t="s">
        <v>24095</v>
      </c>
      <c r="AO1040" s="15" t="s">
        <v>24096</v>
      </c>
      <c r="AP1040" s="15" t="s">
        <v>24097</v>
      </c>
      <c r="AQ1040" s="15" t="s">
        <v>24098</v>
      </c>
      <c r="BH1040" s="15" t="s">
        <v>10101</v>
      </c>
      <c r="BI1040" s="15" t="str">
        <f t="shared" ref="BI1040:BI1042" si="3025">"999"</f>
        <v>999</v>
      </c>
      <c r="BJ1040" s="15" t="str">
        <f t="shared" ref="BJ1040:BJ1042" si="3026">"420"</f>
        <v>420</v>
      </c>
      <c r="BK1040" s="15" t="s">
        <v>415</v>
      </c>
      <c r="BL1040" s="15" t="str">
        <f t="shared" si="3014"/>
        <v>1</v>
      </c>
      <c r="BM1040" s="15" t="s">
        <v>416</v>
      </c>
      <c r="BN1040" s="15" t="str">
        <f t="shared" ref="BN1040:BN1042" si="3027">"59.84"</f>
        <v>59.84</v>
      </c>
      <c r="BO1040" s="15" t="str">
        <f t="shared" ref="BO1040:BO1042" si="3028">"19.29"</f>
        <v>19.29</v>
      </c>
      <c r="BP1040" s="15" t="str">
        <f t="shared" ref="BP1040:BP1045" si="3029">"33.27"</f>
        <v>33.27</v>
      </c>
      <c r="BQ1040" s="15" t="str">
        <f t="shared" ref="BQ1040:BQ1042" si="3030">"78.26"</f>
        <v>78.26</v>
      </c>
      <c r="CG1040" s="15" t="str">
        <f t="shared" ref="CG1040:CG1042" si="3031">"22.21"</f>
        <v>22.21</v>
      </c>
      <c r="CH1040" s="15" t="str">
        <f t="shared" ref="CH1040:CH1042" si="3032">"0.629"</f>
        <v>0.629</v>
      </c>
      <c r="CI1040" s="15" t="s">
        <v>417</v>
      </c>
      <c r="CM1040" s="15" t="s">
        <v>3781</v>
      </c>
      <c r="CN1040" s="15" t="s">
        <v>4375</v>
      </c>
      <c r="CO1040" s="15" t="s">
        <v>4180</v>
      </c>
      <c r="CZ1040" s="15" t="s">
        <v>2600</v>
      </c>
      <c r="DA1040" s="15">
        <v>2.0</v>
      </c>
      <c r="DB1040" s="15" t="s">
        <v>2604</v>
      </c>
      <c r="DD1040" s="15">
        <v>0.0</v>
      </c>
      <c r="DF1040" s="15" t="s">
        <v>764</v>
      </c>
      <c r="DG1040" s="15" t="s">
        <v>421</v>
      </c>
      <c r="DK1040" s="15">
        <v>0.0</v>
      </c>
      <c r="DR1040" s="15" t="s">
        <v>471</v>
      </c>
      <c r="DS1040" s="15" t="s">
        <v>10015</v>
      </c>
      <c r="DU1040" s="15" t="s">
        <v>500</v>
      </c>
      <c r="EF1040" s="15" t="s">
        <v>477</v>
      </c>
      <c r="EG1040" s="15" t="s">
        <v>1390</v>
      </c>
      <c r="EH1040" s="15" t="s">
        <v>10106</v>
      </c>
      <c r="EQ1040" s="15" t="s">
        <v>504</v>
      </c>
      <c r="ER1040" s="15" t="s">
        <v>2220</v>
      </c>
      <c r="ES1040" s="15" t="s">
        <v>2337</v>
      </c>
      <c r="ET1040" s="15" t="s">
        <v>2046</v>
      </c>
      <c r="EU1040" s="15" t="s">
        <v>426</v>
      </c>
      <c r="EV1040" s="15">
        <v>1.0</v>
      </c>
      <c r="EW1040" s="15">
        <v>0.0</v>
      </c>
      <c r="FQ1040" s="15">
        <v>0.0</v>
      </c>
      <c r="FR1040" s="15" t="s">
        <v>427</v>
      </c>
      <c r="FZ1040" s="15" t="s">
        <v>1608</v>
      </c>
      <c r="GB1040" s="15" t="s">
        <v>2603</v>
      </c>
      <c r="GD1040" s="15" t="s">
        <v>10107</v>
      </c>
      <c r="GF1040" s="15" t="s">
        <v>2604</v>
      </c>
      <c r="GH1040" s="15" t="s">
        <v>764</v>
      </c>
      <c r="GI1040" s="15" t="s">
        <v>426</v>
      </c>
    </row>
    <row r="1041" ht="17.25" customHeight="1">
      <c r="A1041" s="15" t="s">
        <v>10109</v>
      </c>
      <c r="B1041" s="15" t="str">
        <f>"801542624224"</f>
        <v>801542624224</v>
      </c>
      <c r="C1041" s="15" t="s">
        <v>24085</v>
      </c>
      <c r="D1041" s="15" t="str">
        <f t="shared" si="1"/>
        <v>Trey Console TableBlack Wash Poplar</v>
      </c>
      <c r="E1041" s="15" t="s">
        <v>10100</v>
      </c>
      <c r="F1041" s="15" t="s">
        <v>397</v>
      </c>
      <c r="G1041" s="15" t="s">
        <v>10017</v>
      </c>
      <c r="J1041" s="15" t="s">
        <v>10089</v>
      </c>
      <c r="K1041" s="15" t="s">
        <v>5928</v>
      </c>
      <c r="L1041" s="15" t="s">
        <v>10017</v>
      </c>
      <c r="M1041" s="15" t="s">
        <v>4463</v>
      </c>
      <c r="N1041" s="15" t="s">
        <v>519</v>
      </c>
      <c r="P1041" s="15" t="str">
        <f t="shared" si="3021"/>
        <v>55</v>
      </c>
      <c r="Q1041" s="15" t="str">
        <f t="shared" si="3022"/>
        <v>15</v>
      </c>
      <c r="R1041" s="15" t="str">
        <f t="shared" si="3023"/>
        <v>30</v>
      </c>
      <c r="S1041" s="15" t="str">
        <f t="shared" si="3024"/>
        <v>62.83</v>
      </c>
      <c r="T1041" s="15" t="s">
        <v>10088</v>
      </c>
      <c r="U1041" s="15" t="s">
        <v>11139</v>
      </c>
      <c r="V1041" s="15" t="s">
        <v>11137</v>
      </c>
      <c r="W1041" s="15" t="s">
        <v>17219</v>
      </c>
      <c r="AA1041" s="15" t="s">
        <v>413</v>
      </c>
      <c r="AB1041" s="15" t="s">
        <v>413</v>
      </c>
      <c r="AC1041" s="15" t="s">
        <v>10111</v>
      </c>
      <c r="AD1041" s="15" t="s">
        <v>24099</v>
      </c>
      <c r="AE1041" s="15" t="s">
        <v>10110</v>
      </c>
      <c r="AF1041" s="15" t="s">
        <v>24100</v>
      </c>
      <c r="AG1041" s="15" t="s">
        <v>24101</v>
      </c>
      <c r="AH1041" s="15" t="s">
        <v>24102</v>
      </c>
      <c r="AI1041" s="15" t="s">
        <v>24103</v>
      </c>
      <c r="AJ1041" s="15" t="s">
        <v>24104</v>
      </c>
      <c r="AK1041" s="15" t="s">
        <v>24105</v>
      </c>
      <c r="AL1041" s="15" t="s">
        <v>24106</v>
      </c>
      <c r="AM1041" s="15" t="s">
        <v>24107</v>
      </c>
      <c r="AN1041" s="15" t="s">
        <v>24108</v>
      </c>
      <c r="AO1041" s="15" t="s">
        <v>24109</v>
      </c>
      <c r="AP1041" s="15" t="s">
        <v>24110</v>
      </c>
      <c r="AQ1041" s="15" t="s">
        <v>24111</v>
      </c>
      <c r="BH1041" s="15" t="s">
        <v>10108</v>
      </c>
      <c r="BI1041" s="15" t="str">
        <f t="shared" si="3025"/>
        <v>999</v>
      </c>
      <c r="BJ1041" s="15" t="str">
        <f t="shared" si="3026"/>
        <v>420</v>
      </c>
      <c r="BK1041" s="15" t="s">
        <v>415</v>
      </c>
      <c r="BL1041" s="15" t="str">
        <f t="shared" si="3014"/>
        <v>1</v>
      </c>
      <c r="BM1041" s="15" t="s">
        <v>416</v>
      </c>
      <c r="BN1041" s="15" t="str">
        <f t="shared" si="3027"/>
        <v>59.84</v>
      </c>
      <c r="BO1041" s="15" t="str">
        <f t="shared" si="3028"/>
        <v>19.29</v>
      </c>
      <c r="BP1041" s="15" t="str">
        <f t="shared" si="3029"/>
        <v>33.27</v>
      </c>
      <c r="BQ1041" s="15" t="str">
        <f t="shared" si="3030"/>
        <v>78.26</v>
      </c>
      <c r="CG1041" s="15" t="str">
        <f t="shared" si="3031"/>
        <v>22.21</v>
      </c>
      <c r="CH1041" s="15" t="str">
        <f t="shared" si="3032"/>
        <v>0.629</v>
      </c>
      <c r="CI1041" s="15" t="s">
        <v>417</v>
      </c>
      <c r="CM1041" s="15" t="s">
        <v>3781</v>
      </c>
      <c r="CN1041" s="15" t="s">
        <v>4375</v>
      </c>
      <c r="CO1041" s="15" t="s">
        <v>4180</v>
      </c>
      <c r="CZ1041" s="15" t="s">
        <v>2600</v>
      </c>
      <c r="DA1041" s="15">
        <v>2.0</v>
      </c>
      <c r="DB1041" s="15" t="s">
        <v>2604</v>
      </c>
      <c r="DD1041" s="15">
        <v>0.0</v>
      </c>
      <c r="DF1041" s="15" t="s">
        <v>764</v>
      </c>
      <c r="DG1041" s="15" t="s">
        <v>421</v>
      </c>
      <c r="DK1041" s="15">
        <v>0.0</v>
      </c>
      <c r="DR1041" s="15" t="s">
        <v>471</v>
      </c>
      <c r="DS1041" s="15" t="s">
        <v>10015</v>
      </c>
      <c r="DU1041" s="15" t="s">
        <v>500</v>
      </c>
      <c r="EF1041" s="15" t="s">
        <v>477</v>
      </c>
      <c r="EG1041" s="15" t="s">
        <v>1390</v>
      </c>
      <c r="EH1041" s="15" t="s">
        <v>10106</v>
      </c>
      <c r="EQ1041" s="15" t="s">
        <v>504</v>
      </c>
      <c r="ER1041" s="15" t="s">
        <v>2220</v>
      </c>
      <c r="ES1041" s="15" t="s">
        <v>2337</v>
      </c>
      <c r="ET1041" s="15" t="s">
        <v>2046</v>
      </c>
      <c r="EU1041" s="15" t="s">
        <v>426</v>
      </c>
      <c r="EV1041" s="15">
        <v>1.0</v>
      </c>
      <c r="EW1041" s="15">
        <v>0.0</v>
      </c>
      <c r="FQ1041" s="15">
        <v>0.0</v>
      </c>
      <c r="FR1041" s="15" t="s">
        <v>427</v>
      </c>
      <c r="FZ1041" s="15" t="s">
        <v>1608</v>
      </c>
      <c r="GB1041" s="15" t="s">
        <v>2603</v>
      </c>
      <c r="GD1041" s="15" t="s">
        <v>10107</v>
      </c>
      <c r="GF1041" s="15" t="s">
        <v>2604</v>
      </c>
      <c r="GH1041" s="15" t="s">
        <v>764</v>
      </c>
      <c r="GI1041" s="15" t="s">
        <v>426</v>
      </c>
    </row>
    <row r="1042" ht="17.25" customHeight="1">
      <c r="A1042" s="15" t="s">
        <v>10113</v>
      </c>
      <c r="B1042" s="15" t="str">
        <f>"801542763367"</f>
        <v>801542763367</v>
      </c>
      <c r="C1042" s="15" t="s">
        <v>24085</v>
      </c>
      <c r="D1042" s="15" t="str">
        <f t="shared" si="1"/>
        <v>Trey Console TableDove Poplar</v>
      </c>
      <c r="E1042" s="15" t="s">
        <v>10100</v>
      </c>
      <c r="F1042" s="15" t="s">
        <v>397</v>
      </c>
      <c r="G1042" s="15" t="s">
        <v>10022</v>
      </c>
      <c r="J1042" s="15" t="s">
        <v>10089</v>
      </c>
      <c r="K1042" s="15" t="s">
        <v>5928</v>
      </c>
      <c r="L1042" s="15" t="s">
        <v>10022</v>
      </c>
      <c r="M1042" s="15" t="s">
        <v>4463</v>
      </c>
      <c r="N1042" s="15" t="s">
        <v>519</v>
      </c>
      <c r="P1042" s="15" t="str">
        <f t="shared" si="3021"/>
        <v>55</v>
      </c>
      <c r="Q1042" s="15" t="str">
        <f t="shared" si="3022"/>
        <v>15</v>
      </c>
      <c r="R1042" s="15" t="str">
        <f t="shared" si="3023"/>
        <v>30</v>
      </c>
      <c r="S1042" s="15" t="str">
        <f t="shared" si="3024"/>
        <v>62.83</v>
      </c>
      <c r="T1042" s="15" t="s">
        <v>10088</v>
      </c>
      <c r="U1042" s="15" t="s">
        <v>11139</v>
      </c>
      <c r="V1042" s="15" t="s">
        <v>11137</v>
      </c>
      <c r="W1042" s="15" t="s">
        <v>17219</v>
      </c>
      <c r="AA1042" s="15" t="s">
        <v>413</v>
      </c>
      <c r="AB1042" s="15" t="s">
        <v>413</v>
      </c>
      <c r="AC1042" s="15" t="s">
        <v>10115</v>
      </c>
      <c r="AD1042" s="15" t="s">
        <v>24112</v>
      </c>
      <c r="AE1042" s="15" t="s">
        <v>10114</v>
      </c>
      <c r="AF1042" s="15" t="s">
        <v>24113</v>
      </c>
      <c r="AG1042" s="15" t="s">
        <v>24114</v>
      </c>
      <c r="AH1042" s="15" t="s">
        <v>24115</v>
      </c>
      <c r="AI1042" s="15" t="s">
        <v>24116</v>
      </c>
      <c r="AJ1042" s="15" t="s">
        <v>24117</v>
      </c>
      <c r="AK1042" s="15" t="s">
        <v>23879</v>
      </c>
      <c r="AL1042" s="15" t="s">
        <v>24118</v>
      </c>
      <c r="AM1042" s="15" t="s">
        <v>24119</v>
      </c>
      <c r="AN1042" s="15" t="s">
        <v>24120</v>
      </c>
      <c r="AO1042" s="15" t="s">
        <v>24121</v>
      </c>
      <c r="AP1042" s="15" t="s">
        <v>24122</v>
      </c>
      <c r="AQ1042" s="15" t="s">
        <v>24123</v>
      </c>
      <c r="AR1042" s="15" t="s">
        <v>24124</v>
      </c>
      <c r="AS1042" s="15" t="s">
        <v>24125</v>
      </c>
      <c r="BH1042" s="15" t="s">
        <v>10112</v>
      </c>
      <c r="BI1042" s="15" t="str">
        <f t="shared" si="3025"/>
        <v>999</v>
      </c>
      <c r="BJ1042" s="15" t="str">
        <f t="shared" si="3026"/>
        <v>420</v>
      </c>
      <c r="BK1042" s="15" t="s">
        <v>415</v>
      </c>
      <c r="BL1042" s="15" t="str">
        <f t="shared" si="3014"/>
        <v>1</v>
      </c>
      <c r="BM1042" s="15" t="s">
        <v>416</v>
      </c>
      <c r="BN1042" s="15" t="str">
        <f t="shared" si="3027"/>
        <v>59.84</v>
      </c>
      <c r="BO1042" s="15" t="str">
        <f t="shared" si="3028"/>
        <v>19.29</v>
      </c>
      <c r="BP1042" s="15" t="str">
        <f t="shared" si="3029"/>
        <v>33.27</v>
      </c>
      <c r="BQ1042" s="15" t="str">
        <f t="shared" si="3030"/>
        <v>78.26</v>
      </c>
      <c r="CG1042" s="15" t="str">
        <f t="shared" si="3031"/>
        <v>22.21</v>
      </c>
      <c r="CH1042" s="15" t="str">
        <f t="shared" si="3032"/>
        <v>0.629</v>
      </c>
      <c r="CI1042" s="15" t="s">
        <v>417</v>
      </c>
      <c r="CM1042" s="15" t="s">
        <v>3781</v>
      </c>
      <c r="CN1042" s="15" t="s">
        <v>4375</v>
      </c>
      <c r="CO1042" s="15" t="s">
        <v>4180</v>
      </c>
      <c r="CZ1042" s="15" t="s">
        <v>2600</v>
      </c>
      <c r="DA1042" s="15">
        <v>2.0</v>
      </c>
      <c r="DB1042" s="15" t="s">
        <v>2604</v>
      </c>
      <c r="DD1042" s="15">
        <v>0.0</v>
      </c>
      <c r="DF1042" s="15" t="s">
        <v>764</v>
      </c>
      <c r="DG1042" s="15" t="s">
        <v>421</v>
      </c>
      <c r="DK1042" s="15">
        <v>0.0</v>
      </c>
      <c r="DR1042" s="15" t="s">
        <v>471</v>
      </c>
      <c r="DS1042" s="15" t="s">
        <v>10015</v>
      </c>
      <c r="DU1042" s="15" t="s">
        <v>500</v>
      </c>
      <c r="EF1042" s="15" t="s">
        <v>477</v>
      </c>
      <c r="EG1042" s="15" t="s">
        <v>1390</v>
      </c>
      <c r="EH1042" s="15" t="s">
        <v>10106</v>
      </c>
      <c r="EQ1042" s="15" t="s">
        <v>504</v>
      </c>
      <c r="ER1042" s="15" t="s">
        <v>2220</v>
      </c>
      <c r="ES1042" s="15" t="s">
        <v>2337</v>
      </c>
      <c r="ET1042" s="15" t="s">
        <v>2046</v>
      </c>
      <c r="EU1042" s="15" t="s">
        <v>426</v>
      </c>
      <c r="EV1042" s="15">
        <v>1.0</v>
      </c>
      <c r="EW1042" s="15">
        <v>0.0</v>
      </c>
      <c r="FQ1042" s="15">
        <v>0.0</v>
      </c>
      <c r="FR1042" s="15" t="s">
        <v>427</v>
      </c>
      <c r="FZ1042" s="15" t="s">
        <v>1608</v>
      </c>
      <c r="GB1042" s="15" t="s">
        <v>2603</v>
      </c>
      <c r="GD1042" s="15" t="s">
        <v>10107</v>
      </c>
      <c r="GF1042" s="15" t="s">
        <v>2604</v>
      </c>
      <c r="GH1042" s="15" t="s">
        <v>764</v>
      </c>
      <c r="GI1042" s="15" t="s">
        <v>426</v>
      </c>
    </row>
    <row r="1043" ht="17.25" customHeight="1">
      <c r="A1043" s="15" t="s">
        <v>10118</v>
      </c>
      <c r="B1043" s="15" t="str">
        <f>"801542618520"</f>
        <v>801542618520</v>
      </c>
      <c r="C1043" s="15" t="s">
        <v>24126</v>
      </c>
      <c r="D1043" s="15" t="str">
        <f t="shared" si="1"/>
        <v>Trey Executive DeskAuburn Poplar</v>
      </c>
      <c r="E1043" s="15" t="s">
        <v>10116</v>
      </c>
      <c r="F1043" s="15" t="s">
        <v>397</v>
      </c>
      <c r="G1043" s="15" t="s">
        <v>10010</v>
      </c>
      <c r="J1043" s="15" t="s">
        <v>10010</v>
      </c>
      <c r="K1043" s="15" t="s">
        <v>10013</v>
      </c>
      <c r="M1043" s="15" t="s">
        <v>4463</v>
      </c>
      <c r="N1043" s="15" t="s">
        <v>2134</v>
      </c>
      <c r="O1043" s="15" t="s">
        <v>2135</v>
      </c>
      <c r="P1043" s="15" t="str">
        <f t="shared" ref="P1043:P1045" si="3033">"70"</f>
        <v>70</v>
      </c>
      <c r="Q1043" s="15" t="str">
        <f t="shared" ref="Q1043:Q1045" si="3034">"27"</f>
        <v>27</v>
      </c>
      <c r="R1043" s="15" t="str">
        <f t="shared" si="3023"/>
        <v>30</v>
      </c>
      <c r="S1043" s="15" t="str">
        <f t="shared" ref="S1043:S1045" si="3035">"146.61"</f>
        <v>146.61</v>
      </c>
      <c r="T1043" s="15" t="s">
        <v>5927</v>
      </c>
      <c r="U1043" s="15" t="s">
        <v>17219</v>
      </c>
      <c r="V1043" s="15" t="s">
        <v>11137</v>
      </c>
      <c r="AA1043" s="15" t="s">
        <v>413</v>
      </c>
      <c r="AB1043" s="15" t="s">
        <v>413</v>
      </c>
      <c r="AC1043" s="15" t="s">
        <v>10120</v>
      </c>
      <c r="AD1043" s="15" t="s">
        <v>24127</v>
      </c>
      <c r="AE1043" s="15" t="s">
        <v>10119</v>
      </c>
      <c r="AF1043" s="15" t="s">
        <v>24128</v>
      </c>
      <c r="AG1043" s="15" t="s">
        <v>24129</v>
      </c>
      <c r="AH1043" s="15" t="s">
        <v>24130</v>
      </c>
      <c r="AI1043" s="15" t="s">
        <v>24131</v>
      </c>
      <c r="AJ1043" s="15" t="s">
        <v>24132</v>
      </c>
      <c r="AK1043" s="15" t="s">
        <v>24133</v>
      </c>
      <c r="AL1043" s="15" t="s">
        <v>24134</v>
      </c>
      <c r="AM1043" s="15" t="s">
        <v>24135</v>
      </c>
      <c r="AN1043" s="15" t="s">
        <v>24136</v>
      </c>
      <c r="AO1043" s="15" t="s">
        <v>24137</v>
      </c>
      <c r="AP1043" s="15" t="s">
        <v>24138</v>
      </c>
      <c r="AQ1043" s="15" t="s">
        <v>24139</v>
      </c>
      <c r="AR1043" s="15" t="s">
        <v>24140</v>
      </c>
      <c r="AS1043" s="15" t="s">
        <v>24141</v>
      </c>
      <c r="AT1043" s="15" t="s">
        <v>24142</v>
      </c>
      <c r="BH1043" s="15" t="s">
        <v>10117</v>
      </c>
      <c r="BI1043" s="15" t="str">
        <f t="shared" ref="BI1043:BI1045" si="3036">"1899"</f>
        <v>1899</v>
      </c>
      <c r="BJ1043" s="15" t="str">
        <f t="shared" ref="BJ1043:BJ1045" si="3037">"800"</f>
        <v>800</v>
      </c>
      <c r="BK1043" s="15" t="s">
        <v>415</v>
      </c>
      <c r="BL1043" s="15" t="str">
        <f t="shared" si="3014"/>
        <v>1</v>
      </c>
      <c r="BM1043" s="15" t="s">
        <v>416</v>
      </c>
      <c r="BN1043" s="15" t="str">
        <f t="shared" ref="BN1043:BN1045" si="3038">"74.02"</f>
        <v>74.02</v>
      </c>
      <c r="BO1043" s="15" t="str">
        <f t="shared" ref="BO1043:BO1045" si="3039">"30.31"</f>
        <v>30.31</v>
      </c>
      <c r="BP1043" s="15" t="str">
        <f t="shared" si="3029"/>
        <v>33.27</v>
      </c>
      <c r="BQ1043" s="15" t="str">
        <f t="shared" ref="BQ1043:BQ1045" si="3040">"181.88"</f>
        <v>181.88</v>
      </c>
      <c r="CG1043" s="15" t="str">
        <f t="shared" ref="CG1043:CG1045" si="3041">"43.19"</f>
        <v>43.19</v>
      </c>
      <c r="CH1043" s="15" t="str">
        <f t="shared" ref="CH1043:CH1045" si="3042">"1.223"</f>
        <v>1.223</v>
      </c>
      <c r="CI1043" s="15" t="s">
        <v>497</v>
      </c>
      <c r="CJ1043" s="15" t="s">
        <v>7556</v>
      </c>
      <c r="CK1043" s="15" t="s">
        <v>2046</v>
      </c>
      <c r="CL1043" s="15" t="s">
        <v>779</v>
      </c>
      <c r="CM1043" s="15" t="s">
        <v>6397</v>
      </c>
      <c r="CN1043" s="15" t="s">
        <v>6039</v>
      </c>
      <c r="CO1043" s="15" t="s">
        <v>779</v>
      </c>
      <c r="CZ1043" s="15" t="s">
        <v>2600</v>
      </c>
      <c r="DA1043" s="15">
        <v>4.0</v>
      </c>
      <c r="DB1043" s="15" t="s">
        <v>2604</v>
      </c>
      <c r="DD1043" s="15">
        <v>2.0</v>
      </c>
      <c r="DE1043" s="15" t="s">
        <v>426</v>
      </c>
      <c r="DF1043" s="15" t="s">
        <v>764</v>
      </c>
      <c r="DG1043" s="15" t="s">
        <v>610</v>
      </c>
      <c r="DK1043" s="15">
        <v>1.0</v>
      </c>
      <c r="DR1043" s="15" t="s">
        <v>2137</v>
      </c>
      <c r="DS1043" s="15" t="s">
        <v>10015</v>
      </c>
      <c r="DU1043" s="15" t="s">
        <v>500</v>
      </c>
      <c r="EF1043" s="15" t="s">
        <v>9479</v>
      </c>
      <c r="EG1043" s="15" t="s">
        <v>798</v>
      </c>
      <c r="EH1043" s="15" t="s">
        <v>4988</v>
      </c>
      <c r="EQ1043" s="15" t="s">
        <v>3858</v>
      </c>
      <c r="ER1043" s="15" t="s">
        <v>1132</v>
      </c>
      <c r="ES1043" s="15" t="s">
        <v>468</v>
      </c>
      <c r="ET1043" s="15" t="s">
        <v>2046</v>
      </c>
      <c r="EU1043" s="15" t="s">
        <v>426</v>
      </c>
      <c r="EV1043" s="15">
        <v>5.0</v>
      </c>
      <c r="FE1043" s="15" t="s">
        <v>2647</v>
      </c>
      <c r="FH1043" s="15" t="s">
        <v>6039</v>
      </c>
      <c r="FI1043" s="15" t="s">
        <v>2046</v>
      </c>
      <c r="FJ1043" s="15" t="s">
        <v>779</v>
      </c>
      <c r="FK1043" s="15" t="s">
        <v>6397</v>
      </c>
      <c r="FL1043" s="15" t="s">
        <v>2046</v>
      </c>
      <c r="FM1043" s="15" t="s">
        <v>779</v>
      </c>
      <c r="FO1043" s="15" t="s">
        <v>426</v>
      </c>
      <c r="FP1043" s="15" t="s">
        <v>785</v>
      </c>
      <c r="FQ1043" s="15">
        <v>1.0</v>
      </c>
      <c r="FR1043" s="15" t="s">
        <v>614</v>
      </c>
      <c r="FS1043" s="15" t="s">
        <v>615</v>
      </c>
      <c r="FU1043" s="15" t="s">
        <v>426</v>
      </c>
      <c r="FW1043" s="15" t="s">
        <v>616</v>
      </c>
      <c r="FZ1043" s="15" t="s">
        <v>2179</v>
      </c>
      <c r="GA1043" s="15" t="s">
        <v>2179</v>
      </c>
      <c r="GB1043" s="15" t="s">
        <v>1444</v>
      </c>
      <c r="GC1043" s="15" t="s">
        <v>8883</v>
      </c>
      <c r="GD1043" s="15" t="s">
        <v>2652</v>
      </c>
      <c r="GE1043" s="15" t="s">
        <v>823</v>
      </c>
      <c r="GF1043" s="15" t="s">
        <v>2604</v>
      </c>
      <c r="GH1043" s="15" t="s">
        <v>764</v>
      </c>
      <c r="GI1043" s="15" t="s">
        <v>426</v>
      </c>
      <c r="GJ1043" s="15" t="s">
        <v>7556</v>
      </c>
      <c r="GK1043" s="15" t="s">
        <v>10122</v>
      </c>
      <c r="GL1043" s="15" t="s">
        <v>779</v>
      </c>
      <c r="GM1043" s="15">
        <v>1.0</v>
      </c>
      <c r="GZ1043" s="15" t="s">
        <v>7556</v>
      </c>
      <c r="HA1043" s="15" t="s">
        <v>7556</v>
      </c>
      <c r="HB1043" s="15" t="s">
        <v>10122</v>
      </c>
      <c r="HC1043" s="15" t="s">
        <v>10122</v>
      </c>
      <c r="HD1043" s="15" t="s">
        <v>779</v>
      </c>
      <c r="HE1043" s="15" t="s">
        <v>779</v>
      </c>
      <c r="HG1043" s="15" t="s">
        <v>2179</v>
      </c>
      <c r="HI1043" s="15" t="s">
        <v>1548</v>
      </c>
      <c r="HK1043" s="15" t="s">
        <v>823</v>
      </c>
      <c r="HP1043" s="15" t="s">
        <v>426</v>
      </c>
      <c r="KG1043" s="15" t="s">
        <v>7556</v>
      </c>
      <c r="KH1043" s="15" t="s">
        <v>10122</v>
      </c>
      <c r="KI1043" s="15" t="s">
        <v>779</v>
      </c>
    </row>
    <row r="1044" ht="17.25" customHeight="1">
      <c r="A1044" s="15" t="s">
        <v>10124</v>
      </c>
      <c r="B1044" s="15" t="str">
        <f>"801542618537"</f>
        <v>801542618537</v>
      </c>
      <c r="C1044" s="15" t="s">
        <v>24143</v>
      </c>
      <c r="D1044" s="15" t="str">
        <f t="shared" si="1"/>
        <v>Trey Executive DeskBlack Wash Poplar</v>
      </c>
      <c r="E1044" s="15" t="s">
        <v>10116</v>
      </c>
      <c r="F1044" s="15" t="s">
        <v>397</v>
      </c>
      <c r="G1044" s="15" t="s">
        <v>10017</v>
      </c>
      <c r="J1044" s="15" t="s">
        <v>10017</v>
      </c>
      <c r="K1044" s="15" t="s">
        <v>5928</v>
      </c>
      <c r="M1044" s="15" t="s">
        <v>4463</v>
      </c>
      <c r="N1044" s="15" t="s">
        <v>2134</v>
      </c>
      <c r="O1044" s="15" t="s">
        <v>2135</v>
      </c>
      <c r="P1044" s="15" t="str">
        <f t="shared" si="3033"/>
        <v>70</v>
      </c>
      <c r="Q1044" s="15" t="str">
        <f t="shared" si="3034"/>
        <v>27</v>
      </c>
      <c r="R1044" s="15" t="str">
        <f t="shared" si="3023"/>
        <v>30</v>
      </c>
      <c r="S1044" s="15" t="str">
        <f t="shared" si="3035"/>
        <v>146.61</v>
      </c>
      <c r="T1044" s="15" t="s">
        <v>5927</v>
      </c>
      <c r="U1044" s="15" t="s">
        <v>17219</v>
      </c>
      <c r="V1044" s="15" t="s">
        <v>11137</v>
      </c>
      <c r="AA1044" s="15" t="s">
        <v>413</v>
      </c>
      <c r="AB1044" s="15" t="s">
        <v>413</v>
      </c>
      <c r="AC1044" s="15" t="s">
        <v>10126</v>
      </c>
      <c r="AD1044" s="15" t="s">
        <v>24144</v>
      </c>
      <c r="AE1044" s="15" t="s">
        <v>10125</v>
      </c>
      <c r="AF1044" s="15" t="s">
        <v>24145</v>
      </c>
      <c r="AG1044" s="15" t="s">
        <v>24146</v>
      </c>
      <c r="AH1044" s="15" t="s">
        <v>24147</v>
      </c>
      <c r="BH1044" s="15" t="s">
        <v>10123</v>
      </c>
      <c r="BI1044" s="15" t="str">
        <f t="shared" si="3036"/>
        <v>1899</v>
      </c>
      <c r="BJ1044" s="15" t="str">
        <f t="shared" si="3037"/>
        <v>800</v>
      </c>
      <c r="BK1044" s="15" t="s">
        <v>415</v>
      </c>
      <c r="BL1044" s="15" t="str">
        <f t="shared" si="3014"/>
        <v>1</v>
      </c>
      <c r="BM1044" s="15" t="s">
        <v>416</v>
      </c>
      <c r="BN1044" s="15" t="str">
        <f t="shared" si="3038"/>
        <v>74.02</v>
      </c>
      <c r="BO1044" s="15" t="str">
        <f t="shared" si="3039"/>
        <v>30.31</v>
      </c>
      <c r="BP1044" s="15" t="str">
        <f t="shared" si="3029"/>
        <v>33.27</v>
      </c>
      <c r="BQ1044" s="15" t="str">
        <f t="shared" si="3040"/>
        <v>181.88</v>
      </c>
      <c r="CG1044" s="15" t="str">
        <f t="shared" si="3041"/>
        <v>43.19</v>
      </c>
      <c r="CH1044" s="15" t="str">
        <f t="shared" si="3042"/>
        <v>1.223</v>
      </c>
      <c r="CI1044" s="15" t="s">
        <v>497</v>
      </c>
      <c r="CJ1044" s="15" t="s">
        <v>7556</v>
      </c>
      <c r="CK1044" s="15" t="s">
        <v>2046</v>
      </c>
      <c r="CL1044" s="15" t="s">
        <v>779</v>
      </c>
      <c r="CM1044" s="15" t="s">
        <v>6397</v>
      </c>
      <c r="CN1044" s="15" t="s">
        <v>6039</v>
      </c>
      <c r="CO1044" s="15" t="s">
        <v>779</v>
      </c>
      <c r="CZ1044" s="15" t="s">
        <v>2600</v>
      </c>
      <c r="DA1044" s="15">
        <v>4.0</v>
      </c>
      <c r="DB1044" s="15" t="s">
        <v>2604</v>
      </c>
      <c r="DD1044" s="15">
        <v>2.0</v>
      </c>
      <c r="DE1044" s="15" t="s">
        <v>426</v>
      </c>
      <c r="DF1044" s="15" t="s">
        <v>764</v>
      </c>
      <c r="DG1044" s="15" t="s">
        <v>610</v>
      </c>
      <c r="DK1044" s="15">
        <v>1.0</v>
      </c>
      <c r="DR1044" s="15" t="s">
        <v>2137</v>
      </c>
      <c r="DS1044" s="15" t="s">
        <v>10015</v>
      </c>
      <c r="DU1044" s="15" t="s">
        <v>500</v>
      </c>
      <c r="EF1044" s="15" t="s">
        <v>9479</v>
      </c>
      <c r="EG1044" s="15" t="s">
        <v>798</v>
      </c>
      <c r="EH1044" s="15" t="s">
        <v>4988</v>
      </c>
      <c r="EQ1044" s="15" t="s">
        <v>3858</v>
      </c>
      <c r="ER1044" s="15" t="s">
        <v>1132</v>
      </c>
      <c r="ES1044" s="15" t="s">
        <v>468</v>
      </c>
      <c r="ET1044" s="15" t="s">
        <v>2046</v>
      </c>
      <c r="EU1044" s="15" t="s">
        <v>426</v>
      </c>
      <c r="EV1044" s="15">
        <v>5.0</v>
      </c>
      <c r="FE1044" s="15" t="s">
        <v>2647</v>
      </c>
      <c r="FH1044" s="15" t="s">
        <v>6039</v>
      </c>
      <c r="FI1044" s="15" t="s">
        <v>2046</v>
      </c>
      <c r="FJ1044" s="15" t="s">
        <v>779</v>
      </c>
      <c r="FK1044" s="15" t="s">
        <v>6397</v>
      </c>
      <c r="FL1044" s="15" t="s">
        <v>2046</v>
      </c>
      <c r="FM1044" s="15" t="s">
        <v>779</v>
      </c>
      <c r="FO1044" s="15" t="s">
        <v>426</v>
      </c>
      <c r="FP1044" s="15" t="s">
        <v>785</v>
      </c>
      <c r="FQ1044" s="15">
        <v>1.0</v>
      </c>
      <c r="FR1044" s="15" t="s">
        <v>614</v>
      </c>
      <c r="FS1044" s="15" t="s">
        <v>615</v>
      </c>
      <c r="FU1044" s="15" t="s">
        <v>426</v>
      </c>
      <c r="FW1044" s="15" t="s">
        <v>616</v>
      </c>
      <c r="FZ1044" s="15" t="s">
        <v>2179</v>
      </c>
      <c r="GA1044" s="15" t="s">
        <v>2179</v>
      </c>
      <c r="GB1044" s="15" t="s">
        <v>1444</v>
      </c>
      <c r="GC1044" s="15" t="s">
        <v>8883</v>
      </c>
      <c r="GD1044" s="15" t="s">
        <v>2652</v>
      </c>
      <c r="GE1044" s="15" t="s">
        <v>823</v>
      </c>
      <c r="GF1044" s="15" t="s">
        <v>2604</v>
      </c>
      <c r="GH1044" s="15" t="s">
        <v>764</v>
      </c>
      <c r="GI1044" s="15" t="s">
        <v>426</v>
      </c>
      <c r="GJ1044" s="15" t="s">
        <v>7556</v>
      </c>
      <c r="GK1044" s="15" t="s">
        <v>10122</v>
      </c>
      <c r="GL1044" s="15" t="s">
        <v>779</v>
      </c>
      <c r="GM1044" s="15">
        <v>1.0</v>
      </c>
      <c r="GZ1044" s="15" t="s">
        <v>7556</v>
      </c>
      <c r="HA1044" s="15" t="s">
        <v>7556</v>
      </c>
      <c r="HB1044" s="15" t="s">
        <v>10122</v>
      </c>
      <c r="HC1044" s="15" t="s">
        <v>10122</v>
      </c>
      <c r="HD1044" s="15" t="s">
        <v>779</v>
      </c>
      <c r="HE1044" s="15" t="s">
        <v>779</v>
      </c>
      <c r="HG1044" s="15" t="s">
        <v>2179</v>
      </c>
      <c r="HI1044" s="15" t="s">
        <v>1548</v>
      </c>
      <c r="HK1044" s="15" t="s">
        <v>823</v>
      </c>
      <c r="HP1044" s="15" t="s">
        <v>426</v>
      </c>
      <c r="KG1044" s="15" t="s">
        <v>7556</v>
      </c>
      <c r="KH1044" s="15" t="s">
        <v>10122</v>
      </c>
      <c r="KI1044" s="15" t="s">
        <v>779</v>
      </c>
    </row>
    <row r="1045" ht="17.25" customHeight="1">
      <c r="A1045" s="15" t="s">
        <v>10128</v>
      </c>
      <c r="B1045" s="15" t="str">
        <f>"801542769512"</f>
        <v>801542769512</v>
      </c>
      <c r="C1045" s="15" t="s">
        <v>24148</v>
      </c>
      <c r="D1045" s="15" t="str">
        <f t="shared" si="1"/>
        <v>Trey Executive DeskDove Poplar</v>
      </c>
      <c r="E1045" s="15" t="s">
        <v>10116</v>
      </c>
      <c r="F1045" s="15" t="s">
        <v>397</v>
      </c>
      <c r="G1045" s="15" t="s">
        <v>10022</v>
      </c>
      <c r="J1045" s="15" t="s">
        <v>10022</v>
      </c>
      <c r="K1045" s="15" t="s">
        <v>5928</v>
      </c>
      <c r="M1045" s="15" t="s">
        <v>4463</v>
      </c>
      <c r="N1045" s="15" t="s">
        <v>2134</v>
      </c>
      <c r="O1045" s="15" t="s">
        <v>2135</v>
      </c>
      <c r="P1045" s="15" t="str">
        <f t="shared" si="3033"/>
        <v>70</v>
      </c>
      <c r="Q1045" s="15" t="str">
        <f t="shared" si="3034"/>
        <v>27</v>
      </c>
      <c r="R1045" s="15" t="str">
        <f t="shared" si="3023"/>
        <v>30</v>
      </c>
      <c r="S1045" s="15" t="str">
        <f t="shared" si="3035"/>
        <v>146.61</v>
      </c>
      <c r="T1045" s="15" t="s">
        <v>5927</v>
      </c>
      <c r="U1045" s="15" t="s">
        <v>17219</v>
      </c>
      <c r="V1045" s="15" t="s">
        <v>11137</v>
      </c>
      <c r="AA1045" s="15" t="s">
        <v>413</v>
      </c>
      <c r="AB1045" s="15" t="s">
        <v>413</v>
      </c>
      <c r="AC1045" s="15" t="s">
        <v>10130</v>
      </c>
      <c r="AD1045" s="15" t="s">
        <v>24149</v>
      </c>
      <c r="AE1045" s="15" t="s">
        <v>10129</v>
      </c>
      <c r="AF1045" s="15" t="s">
        <v>24150</v>
      </c>
      <c r="AG1045" s="15" t="s">
        <v>24151</v>
      </c>
      <c r="AH1045" s="15" t="s">
        <v>24152</v>
      </c>
      <c r="AI1045" s="15" t="s">
        <v>24153</v>
      </c>
      <c r="AJ1045" s="15" t="s">
        <v>24154</v>
      </c>
      <c r="AK1045" s="15" t="s">
        <v>23879</v>
      </c>
      <c r="AL1045" s="15" t="s">
        <v>24155</v>
      </c>
      <c r="AM1045" s="15" t="s">
        <v>24156</v>
      </c>
      <c r="AN1045" s="15" t="s">
        <v>24157</v>
      </c>
      <c r="AO1045" s="15" t="s">
        <v>24158</v>
      </c>
      <c r="AP1045" s="15" t="s">
        <v>24159</v>
      </c>
      <c r="AQ1045" s="15" t="s">
        <v>24160</v>
      </c>
      <c r="AR1045" s="15" t="s">
        <v>24161</v>
      </c>
      <c r="AS1045" s="15" t="s">
        <v>24162</v>
      </c>
      <c r="BH1045" s="15" t="s">
        <v>10127</v>
      </c>
      <c r="BI1045" s="15" t="str">
        <f t="shared" si="3036"/>
        <v>1899</v>
      </c>
      <c r="BJ1045" s="15" t="str">
        <f t="shared" si="3037"/>
        <v>800</v>
      </c>
      <c r="BK1045" s="15" t="s">
        <v>415</v>
      </c>
      <c r="BL1045" s="15" t="str">
        <f t="shared" si="3014"/>
        <v>1</v>
      </c>
      <c r="BM1045" s="15" t="s">
        <v>416</v>
      </c>
      <c r="BN1045" s="15" t="str">
        <f t="shared" si="3038"/>
        <v>74.02</v>
      </c>
      <c r="BO1045" s="15" t="str">
        <f t="shared" si="3039"/>
        <v>30.31</v>
      </c>
      <c r="BP1045" s="15" t="str">
        <f t="shared" si="3029"/>
        <v>33.27</v>
      </c>
      <c r="BQ1045" s="15" t="str">
        <f t="shared" si="3040"/>
        <v>181.88</v>
      </c>
      <c r="CG1045" s="15" t="str">
        <f t="shared" si="3041"/>
        <v>43.19</v>
      </c>
      <c r="CH1045" s="15" t="str">
        <f t="shared" si="3042"/>
        <v>1.223</v>
      </c>
      <c r="CI1045" s="15" t="s">
        <v>497</v>
      </c>
      <c r="CJ1045" s="15" t="s">
        <v>7556</v>
      </c>
      <c r="CK1045" s="15" t="s">
        <v>2046</v>
      </c>
      <c r="CL1045" s="15" t="s">
        <v>779</v>
      </c>
      <c r="CM1045" s="15" t="s">
        <v>6397</v>
      </c>
      <c r="CN1045" s="15" t="s">
        <v>6039</v>
      </c>
      <c r="CO1045" s="15" t="s">
        <v>779</v>
      </c>
      <c r="CZ1045" s="15" t="s">
        <v>2600</v>
      </c>
      <c r="DA1045" s="15">
        <v>4.0</v>
      </c>
      <c r="DB1045" s="15" t="s">
        <v>2604</v>
      </c>
      <c r="DD1045" s="15">
        <v>2.0</v>
      </c>
      <c r="DE1045" s="15" t="s">
        <v>426</v>
      </c>
      <c r="DF1045" s="15" t="s">
        <v>764</v>
      </c>
      <c r="DG1045" s="15" t="s">
        <v>610</v>
      </c>
      <c r="DK1045" s="15">
        <v>1.0</v>
      </c>
      <c r="DR1045" s="15" t="s">
        <v>2137</v>
      </c>
      <c r="DS1045" s="15" t="s">
        <v>10015</v>
      </c>
      <c r="DU1045" s="15" t="s">
        <v>500</v>
      </c>
      <c r="EF1045" s="15" t="s">
        <v>9479</v>
      </c>
      <c r="EG1045" s="15" t="s">
        <v>798</v>
      </c>
      <c r="EH1045" s="15" t="s">
        <v>4988</v>
      </c>
      <c r="EQ1045" s="15" t="s">
        <v>3858</v>
      </c>
      <c r="ER1045" s="15" t="s">
        <v>1132</v>
      </c>
      <c r="ES1045" s="15" t="s">
        <v>468</v>
      </c>
      <c r="ET1045" s="15" t="s">
        <v>2046</v>
      </c>
      <c r="EU1045" s="15" t="s">
        <v>426</v>
      </c>
      <c r="EV1045" s="15">
        <v>5.0</v>
      </c>
      <c r="FE1045" s="15" t="s">
        <v>2647</v>
      </c>
      <c r="FH1045" s="15" t="s">
        <v>6039</v>
      </c>
      <c r="FI1045" s="15" t="s">
        <v>2046</v>
      </c>
      <c r="FJ1045" s="15" t="s">
        <v>779</v>
      </c>
      <c r="FK1045" s="15" t="s">
        <v>6397</v>
      </c>
      <c r="FL1045" s="15" t="s">
        <v>2046</v>
      </c>
      <c r="FM1045" s="15" t="s">
        <v>779</v>
      </c>
      <c r="FO1045" s="15" t="s">
        <v>426</v>
      </c>
      <c r="FP1045" s="15" t="s">
        <v>785</v>
      </c>
      <c r="FQ1045" s="15">
        <v>1.0</v>
      </c>
      <c r="FR1045" s="15" t="s">
        <v>614</v>
      </c>
      <c r="FS1045" s="15" t="s">
        <v>615</v>
      </c>
      <c r="FU1045" s="15" t="s">
        <v>426</v>
      </c>
      <c r="FW1045" s="15" t="s">
        <v>616</v>
      </c>
      <c r="FZ1045" s="15" t="s">
        <v>2179</v>
      </c>
      <c r="GA1045" s="15" t="s">
        <v>2179</v>
      </c>
      <c r="GB1045" s="15" t="s">
        <v>1444</v>
      </c>
      <c r="GC1045" s="15" t="s">
        <v>8883</v>
      </c>
      <c r="GD1045" s="15" t="s">
        <v>2652</v>
      </c>
      <c r="GE1045" s="15" t="s">
        <v>823</v>
      </c>
      <c r="GF1045" s="15" t="s">
        <v>2604</v>
      </c>
      <c r="GH1045" s="15" t="s">
        <v>764</v>
      </c>
      <c r="GI1045" s="15" t="s">
        <v>426</v>
      </c>
      <c r="GJ1045" s="15" t="s">
        <v>7556</v>
      </c>
      <c r="GK1045" s="15" t="s">
        <v>10122</v>
      </c>
      <c r="GL1045" s="15" t="s">
        <v>779</v>
      </c>
      <c r="GM1045" s="15">
        <v>1.0</v>
      </c>
      <c r="GZ1045" s="15" t="s">
        <v>7556</v>
      </c>
      <c r="HA1045" s="15" t="s">
        <v>7556</v>
      </c>
      <c r="HB1045" s="15" t="s">
        <v>10122</v>
      </c>
      <c r="HC1045" s="15" t="s">
        <v>10122</v>
      </c>
      <c r="HD1045" s="15" t="s">
        <v>779</v>
      </c>
      <c r="HE1045" s="15" t="s">
        <v>779</v>
      </c>
      <c r="HG1045" s="15" t="s">
        <v>2179</v>
      </c>
      <c r="HI1045" s="15" t="s">
        <v>1548</v>
      </c>
      <c r="HK1045" s="15" t="s">
        <v>823</v>
      </c>
      <c r="HP1045" s="15" t="s">
        <v>426</v>
      </c>
      <c r="KG1045" s="15" t="s">
        <v>7556</v>
      </c>
      <c r="KH1045" s="15" t="s">
        <v>10122</v>
      </c>
      <c r="KI1045" s="15" t="s">
        <v>779</v>
      </c>
    </row>
    <row r="1046" ht="17.25" customHeight="1">
      <c r="A1046" s="15" t="s">
        <v>10133</v>
      </c>
      <c r="B1046" s="15" t="str">
        <f>"801542941659"</f>
        <v>801542941659</v>
      </c>
      <c r="C1046" s="15" t="s">
        <v>24163</v>
      </c>
      <c r="D1046" s="15" t="str">
        <f t="shared" si="1"/>
        <v>Trey Large NightstandAuburn Poplar</v>
      </c>
      <c r="E1046" s="15" t="s">
        <v>10131</v>
      </c>
      <c r="F1046" s="15" t="s">
        <v>397</v>
      </c>
      <c r="G1046" s="15" t="s">
        <v>10010</v>
      </c>
      <c r="J1046" s="15" t="s">
        <v>10010</v>
      </c>
      <c r="K1046" s="15" t="s">
        <v>10013</v>
      </c>
      <c r="M1046" s="15" t="s">
        <v>4463</v>
      </c>
      <c r="N1046" s="15" t="s">
        <v>628</v>
      </c>
      <c r="P1046" s="15" t="str">
        <f t="shared" ref="P1046:P1048" si="3043">"36"</f>
        <v>36</v>
      </c>
      <c r="Q1046" s="15" t="str">
        <f t="shared" ref="Q1046:Q1051" si="3044">"18"</f>
        <v>18</v>
      </c>
      <c r="R1046" s="15" t="str">
        <f t="shared" ref="R1046:R1048" si="3045">"26"</f>
        <v>26</v>
      </c>
      <c r="S1046" s="15" t="str">
        <f t="shared" ref="S1046:S1048" si="3046">"74.96"</f>
        <v>74.96</v>
      </c>
      <c r="T1046" s="15" t="s">
        <v>5927</v>
      </c>
      <c r="U1046" s="15" t="s">
        <v>17219</v>
      </c>
      <c r="V1046" s="15" t="s">
        <v>11137</v>
      </c>
      <c r="AA1046" s="15" t="s">
        <v>413</v>
      </c>
      <c r="AB1046" s="15" t="s">
        <v>413</v>
      </c>
      <c r="AC1046" s="15" t="s">
        <v>10135</v>
      </c>
      <c r="AD1046" s="15" t="s">
        <v>24164</v>
      </c>
      <c r="AE1046" s="15" t="s">
        <v>10134</v>
      </c>
      <c r="AF1046" s="15" t="s">
        <v>24165</v>
      </c>
      <c r="AG1046" s="15" t="s">
        <v>24166</v>
      </c>
      <c r="AH1046" s="15" t="s">
        <v>24167</v>
      </c>
      <c r="AI1046" s="15" t="s">
        <v>24168</v>
      </c>
      <c r="AJ1046" s="15" t="s">
        <v>24169</v>
      </c>
      <c r="AK1046" s="15" t="s">
        <v>24170</v>
      </c>
      <c r="AL1046" s="15" t="s">
        <v>24171</v>
      </c>
      <c r="AM1046" s="15" t="s">
        <v>24172</v>
      </c>
      <c r="AN1046" s="15" t="s">
        <v>24173</v>
      </c>
      <c r="AO1046" s="15" t="s">
        <v>24174</v>
      </c>
      <c r="AP1046" s="15" t="s">
        <v>24175</v>
      </c>
      <c r="AQ1046" s="15" t="s">
        <v>24176</v>
      </c>
      <c r="BH1046" s="15" t="s">
        <v>10132</v>
      </c>
      <c r="BI1046" s="15" t="str">
        <f t="shared" ref="BI1046:BI1048" si="3047">"1099"</f>
        <v>1099</v>
      </c>
      <c r="BJ1046" s="15" t="str">
        <f t="shared" ref="BJ1046:BJ1048" si="3048">"465"</f>
        <v>465</v>
      </c>
      <c r="BK1046" s="15" t="s">
        <v>415</v>
      </c>
      <c r="BL1046" s="15" t="str">
        <f t="shared" si="3014"/>
        <v>1</v>
      </c>
      <c r="BM1046" s="15" t="s">
        <v>416</v>
      </c>
      <c r="BN1046" s="15" t="str">
        <f t="shared" ref="BN1046:BN1048" si="3049">"40.94"</f>
        <v>40.94</v>
      </c>
      <c r="BO1046" s="15" t="str">
        <f t="shared" ref="BO1046:BO1048" si="3050">"22.05"</f>
        <v>22.05</v>
      </c>
      <c r="BP1046" s="15" t="str">
        <f t="shared" ref="BP1046:BP1048" si="3051">"30.98"</f>
        <v>30.98</v>
      </c>
      <c r="BQ1046" s="15" t="str">
        <f t="shared" ref="BQ1046:BQ1048" si="3052">"92.59"</f>
        <v>92.59</v>
      </c>
      <c r="CG1046" s="15" t="str">
        <f t="shared" ref="CG1046:CG1048" si="3053">"16.17"</f>
        <v>16.17</v>
      </c>
      <c r="CH1046" s="15" t="str">
        <f t="shared" ref="CH1046:CH1048" si="3054">"0.458"</f>
        <v>0.458</v>
      </c>
      <c r="CI1046" s="15" t="s">
        <v>465</v>
      </c>
      <c r="CZ1046" s="15" t="s">
        <v>2600</v>
      </c>
      <c r="DA1046" s="15">
        <v>3.0</v>
      </c>
      <c r="DB1046" s="15" t="s">
        <v>2604</v>
      </c>
      <c r="DD1046" s="15">
        <v>0.0</v>
      </c>
      <c r="DF1046" s="15" t="s">
        <v>764</v>
      </c>
      <c r="DG1046" s="15" t="s">
        <v>421</v>
      </c>
      <c r="DK1046" s="15">
        <v>0.0</v>
      </c>
      <c r="DR1046" s="15" t="s">
        <v>471</v>
      </c>
      <c r="DS1046" s="15" t="s">
        <v>10015</v>
      </c>
      <c r="DU1046" s="15" t="s">
        <v>500</v>
      </c>
      <c r="EF1046" s="15" t="s">
        <v>8114</v>
      </c>
      <c r="EU1046" s="15" t="s">
        <v>426</v>
      </c>
      <c r="EV1046" s="15">
        <v>0.0</v>
      </c>
      <c r="FQ1046" s="15">
        <v>0.0</v>
      </c>
      <c r="FR1046" s="15" t="s">
        <v>427</v>
      </c>
      <c r="FZ1046" s="15" t="s">
        <v>8348</v>
      </c>
      <c r="GA1046" s="15" t="s">
        <v>8348</v>
      </c>
      <c r="GB1046" s="15" t="s">
        <v>2505</v>
      </c>
      <c r="GC1046" s="15" t="s">
        <v>10137</v>
      </c>
      <c r="GD1046" s="15" t="s">
        <v>4550</v>
      </c>
      <c r="GE1046" s="15" t="s">
        <v>4550</v>
      </c>
      <c r="GF1046" s="15" t="s">
        <v>2604</v>
      </c>
      <c r="GH1046" s="15" t="s">
        <v>764</v>
      </c>
      <c r="GI1046" s="15" t="s">
        <v>426</v>
      </c>
    </row>
    <row r="1047" ht="17.25" customHeight="1">
      <c r="A1047" s="15" t="s">
        <v>10139</v>
      </c>
      <c r="B1047" s="15" t="str">
        <f>"801542941666"</f>
        <v>801542941666</v>
      </c>
      <c r="C1047" s="15" t="s">
        <v>24177</v>
      </c>
      <c r="D1047" s="15" t="str">
        <f t="shared" si="1"/>
        <v>Trey Large NightstandBlack Wash Poplar</v>
      </c>
      <c r="E1047" s="15" t="s">
        <v>10131</v>
      </c>
      <c r="F1047" s="15" t="s">
        <v>397</v>
      </c>
      <c r="G1047" s="15" t="s">
        <v>10017</v>
      </c>
      <c r="J1047" s="15" t="s">
        <v>10017</v>
      </c>
      <c r="K1047" s="15" t="s">
        <v>5928</v>
      </c>
      <c r="M1047" s="15" t="s">
        <v>4463</v>
      </c>
      <c r="N1047" s="15" t="s">
        <v>628</v>
      </c>
      <c r="P1047" s="15" t="str">
        <f t="shared" si="3043"/>
        <v>36</v>
      </c>
      <c r="Q1047" s="15" t="str">
        <f t="shared" si="3044"/>
        <v>18</v>
      </c>
      <c r="R1047" s="15" t="str">
        <f t="shared" si="3045"/>
        <v>26</v>
      </c>
      <c r="S1047" s="15" t="str">
        <f t="shared" si="3046"/>
        <v>74.96</v>
      </c>
      <c r="T1047" s="15" t="s">
        <v>5927</v>
      </c>
      <c r="U1047" s="15" t="s">
        <v>17219</v>
      </c>
      <c r="V1047" s="15" t="s">
        <v>11137</v>
      </c>
      <c r="AA1047" s="15" t="s">
        <v>413</v>
      </c>
      <c r="AB1047" s="15" t="s">
        <v>413</v>
      </c>
      <c r="AC1047" s="15" t="s">
        <v>10141</v>
      </c>
      <c r="AD1047" s="15" t="s">
        <v>24178</v>
      </c>
      <c r="AE1047" s="15" t="s">
        <v>10140</v>
      </c>
      <c r="AF1047" s="15" t="s">
        <v>24179</v>
      </c>
      <c r="AG1047" s="15" t="s">
        <v>24180</v>
      </c>
      <c r="AH1047" s="15" t="s">
        <v>24181</v>
      </c>
      <c r="AI1047" s="15" t="s">
        <v>24182</v>
      </c>
      <c r="AJ1047" s="15" t="s">
        <v>24183</v>
      </c>
      <c r="AK1047" s="15" t="s">
        <v>24184</v>
      </c>
      <c r="AL1047" s="15" t="s">
        <v>24185</v>
      </c>
      <c r="AM1047" s="15" t="s">
        <v>24186</v>
      </c>
      <c r="AN1047" s="15" t="s">
        <v>24187</v>
      </c>
      <c r="AO1047" s="15" t="s">
        <v>24188</v>
      </c>
      <c r="BH1047" s="15" t="s">
        <v>10138</v>
      </c>
      <c r="BI1047" s="15" t="str">
        <f t="shared" si="3047"/>
        <v>1099</v>
      </c>
      <c r="BJ1047" s="15" t="str">
        <f t="shared" si="3048"/>
        <v>465</v>
      </c>
      <c r="BK1047" s="15" t="s">
        <v>415</v>
      </c>
      <c r="BL1047" s="15" t="str">
        <f t="shared" si="3014"/>
        <v>1</v>
      </c>
      <c r="BM1047" s="15" t="s">
        <v>416</v>
      </c>
      <c r="BN1047" s="15" t="str">
        <f t="shared" si="3049"/>
        <v>40.94</v>
      </c>
      <c r="BO1047" s="15" t="str">
        <f t="shared" si="3050"/>
        <v>22.05</v>
      </c>
      <c r="BP1047" s="15" t="str">
        <f t="shared" si="3051"/>
        <v>30.98</v>
      </c>
      <c r="BQ1047" s="15" t="str">
        <f t="shared" si="3052"/>
        <v>92.59</v>
      </c>
      <c r="CG1047" s="15" t="str">
        <f t="shared" si="3053"/>
        <v>16.17</v>
      </c>
      <c r="CH1047" s="15" t="str">
        <f t="shared" si="3054"/>
        <v>0.458</v>
      </c>
      <c r="CI1047" s="15" t="s">
        <v>465</v>
      </c>
      <c r="CZ1047" s="15" t="s">
        <v>2600</v>
      </c>
      <c r="DA1047" s="15">
        <v>3.0</v>
      </c>
      <c r="DB1047" s="15" t="s">
        <v>2604</v>
      </c>
      <c r="DD1047" s="15">
        <v>0.0</v>
      </c>
      <c r="DF1047" s="15" t="s">
        <v>764</v>
      </c>
      <c r="DG1047" s="15" t="s">
        <v>421</v>
      </c>
      <c r="DK1047" s="15">
        <v>0.0</v>
      </c>
      <c r="DR1047" s="15" t="s">
        <v>471</v>
      </c>
      <c r="DS1047" s="15" t="s">
        <v>10015</v>
      </c>
      <c r="DU1047" s="15" t="s">
        <v>500</v>
      </c>
      <c r="EF1047" s="15" t="s">
        <v>8114</v>
      </c>
      <c r="EU1047" s="15" t="s">
        <v>426</v>
      </c>
      <c r="EV1047" s="15">
        <v>0.0</v>
      </c>
      <c r="FQ1047" s="15">
        <v>0.0</v>
      </c>
      <c r="FR1047" s="15" t="s">
        <v>427</v>
      </c>
      <c r="FZ1047" s="15" t="s">
        <v>8348</v>
      </c>
      <c r="GA1047" s="15" t="s">
        <v>8348</v>
      </c>
      <c r="GB1047" s="15" t="s">
        <v>2505</v>
      </c>
      <c r="GC1047" s="15" t="s">
        <v>10137</v>
      </c>
      <c r="GD1047" s="15" t="s">
        <v>4550</v>
      </c>
      <c r="GE1047" s="15" t="s">
        <v>4550</v>
      </c>
      <c r="GF1047" s="15" t="s">
        <v>2604</v>
      </c>
      <c r="GH1047" s="15" t="s">
        <v>764</v>
      </c>
      <c r="GI1047" s="15" t="s">
        <v>426</v>
      </c>
    </row>
    <row r="1048" ht="17.25" customHeight="1">
      <c r="A1048" s="15" t="s">
        <v>10143</v>
      </c>
      <c r="B1048" s="15" t="str">
        <f>"801542941673"</f>
        <v>801542941673</v>
      </c>
      <c r="C1048" s="15" t="s">
        <v>24189</v>
      </c>
      <c r="D1048" s="15" t="str">
        <f t="shared" si="1"/>
        <v>Trey Large NightstandDove Poplar</v>
      </c>
      <c r="E1048" s="15" t="s">
        <v>10131</v>
      </c>
      <c r="F1048" s="15" t="s">
        <v>397</v>
      </c>
      <c r="G1048" s="15" t="s">
        <v>10022</v>
      </c>
      <c r="J1048" s="15" t="s">
        <v>10022</v>
      </c>
      <c r="K1048" s="15" t="s">
        <v>5928</v>
      </c>
      <c r="M1048" s="15" t="s">
        <v>4463</v>
      </c>
      <c r="N1048" s="15" t="s">
        <v>628</v>
      </c>
      <c r="P1048" s="15" t="str">
        <f t="shared" si="3043"/>
        <v>36</v>
      </c>
      <c r="Q1048" s="15" t="str">
        <f t="shared" si="3044"/>
        <v>18</v>
      </c>
      <c r="R1048" s="15" t="str">
        <f t="shared" si="3045"/>
        <v>26</v>
      </c>
      <c r="S1048" s="15" t="str">
        <f t="shared" si="3046"/>
        <v>74.96</v>
      </c>
      <c r="T1048" s="15" t="s">
        <v>5927</v>
      </c>
      <c r="U1048" s="15" t="s">
        <v>17219</v>
      </c>
      <c r="V1048" s="15" t="s">
        <v>11137</v>
      </c>
      <c r="AA1048" s="15" t="s">
        <v>413</v>
      </c>
      <c r="AB1048" s="15" t="s">
        <v>413</v>
      </c>
      <c r="AC1048" s="15" t="s">
        <v>10145</v>
      </c>
      <c r="AD1048" s="15" t="s">
        <v>24190</v>
      </c>
      <c r="AE1048" s="15" t="s">
        <v>10144</v>
      </c>
      <c r="AF1048" s="15" t="s">
        <v>24191</v>
      </c>
      <c r="AG1048" s="15" t="s">
        <v>24192</v>
      </c>
      <c r="AH1048" s="15" t="s">
        <v>24193</v>
      </c>
      <c r="AI1048" s="15" t="s">
        <v>24194</v>
      </c>
      <c r="AJ1048" s="15" t="s">
        <v>24195</v>
      </c>
      <c r="AK1048" s="15" t="s">
        <v>23879</v>
      </c>
      <c r="AL1048" s="15" t="s">
        <v>24196</v>
      </c>
      <c r="AM1048" s="15" t="s">
        <v>24197</v>
      </c>
      <c r="AN1048" s="15" t="s">
        <v>24198</v>
      </c>
      <c r="AO1048" s="15" t="s">
        <v>24199</v>
      </c>
      <c r="AP1048" s="15" t="s">
        <v>24200</v>
      </c>
      <c r="AQ1048" s="15" t="s">
        <v>24201</v>
      </c>
      <c r="AR1048" s="15" t="s">
        <v>24202</v>
      </c>
      <c r="BH1048" s="15" t="s">
        <v>10142</v>
      </c>
      <c r="BI1048" s="15" t="str">
        <f t="shared" si="3047"/>
        <v>1099</v>
      </c>
      <c r="BJ1048" s="15" t="str">
        <f t="shared" si="3048"/>
        <v>465</v>
      </c>
      <c r="BK1048" s="15" t="s">
        <v>415</v>
      </c>
      <c r="BL1048" s="15" t="str">
        <f t="shared" si="3014"/>
        <v>1</v>
      </c>
      <c r="BM1048" s="15" t="s">
        <v>416</v>
      </c>
      <c r="BN1048" s="15" t="str">
        <f t="shared" si="3049"/>
        <v>40.94</v>
      </c>
      <c r="BO1048" s="15" t="str">
        <f t="shared" si="3050"/>
        <v>22.05</v>
      </c>
      <c r="BP1048" s="15" t="str">
        <f t="shared" si="3051"/>
        <v>30.98</v>
      </c>
      <c r="BQ1048" s="15" t="str">
        <f t="shared" si="3052"/>
        <v>92.59</v>
      </c>
      <c r="CG1048" s="15" t="str">
        <f t="shared" si="3053"/>
        <v>16.17</v>
      </c>
      <c r="CH1048" s="15" t="str">
        <f t="shared" si="3054"/>
        <v>0.458</v>
      </c>
      <c r="CI1048" s="15" t="s">
        <v>465</v>
      </c>
      <c r="CZ1048" s="15" t="s">
        <v>2600</v>
      </c>
      <c r="DA1048" s="15">
        <v>3.0</v>
      </c>
      <c r="DB1048" s="15" t="s">
        <v>2604</v>
      </c>
      <c r="DD1048" s="15">
        <v>0.0</v>
      </c>
      <c r="DF1048" s="15" t="s">
        <v>764</v>
      </c>
      <c r="DG1048" s="15" t="s">
        <v>421</v>
      </c>
      <c r="DK1048" s="15">
        <v>0.0</v>
      </c>
      <c r="DR1048" s="15" t="s">
        <v>471</v>
      </c>
      <c r="DS1048" s="15" t="s">
        <v>10015</v>
      </c>
      <c r="DU1048" s="15" t="s">
        <v>500</v>
      </c>
      <c r="EF1048" s="15" t="s">
        <v>8114</v>
      </c>
      <c r="EU1048" s="15" t="s">
        <v>426</v>
      </c>
      <c r="EV1048" s="15">
        <v>0.0</v>
      </c>
      <c r="FQ1048" s="15">
        <v>0.0</v>
      </c>
      <c r="FR1048" s="15" t="s">
        <v>427</v>
      </c>
      <c r="FZ1048" s="15" t="s">
        <v>8348</v>
      </c>
      <c r="GA1048" s="15" t="s">
        <v>8348</v>
      </c>
      <c r="GB1048" s="15" t="s">
        <v>2505</v>
      </c>
      <c r="GC1048" s="15" t="s">
        <v>10137</v>
      </c>
      <c r="GD1048" s="15" t="s">
        <v>4550</v>
      </c>
      <c r="GE1048" s="15" t="s">
        <v>4550</v>
      </c>
      <c r="GF1048" s="15" t="s">
        <v>2604</v>
      </c>
      <c r="GH1048" s="15" t="s">
        <v>764</v>
      </c>
      <c r="GI1048" s="15" t="s">
        <v>426</v>
      </c>
    </row>
    <row r="1049" ht="17.25" customHeight="1">
      <c r="A1049" s="15" t="s">
        <v>10148</v>
      </c>
      <c r="B1049" s="15" t="str">
        <f>"801542391751"</f>
        <v>801542391751</v>
      </c>
      <c r="C1049" s="15" t="s">
        <v>24203</v>
      </c>
      <c r="D1049" s="15" t="str">
        <f t="shared" si="1"/>
        <v>Trey Media ConsoleAuburn Poplar</v>
      </c>
      <c r="E1049" s="15" t="s">
        <v>10146</v>
      </c>
      <c r="F1049" s="15" t="s">
        <v>397</v>
      </c>
      <c r="G1049" s="15" t="s">
        <v>10010</v>
      </c>
      <c r="J1049" s="15" t="s">
        <v>10010</v>
      </c>
      <c r="K1049" s="15" t="s">
        <v>10013</v>
      </c>
      <c r="M1049" s="15" t="s">
        <v>4463</v>
      </c>
      <c r="N1049" s="15" t="s">
        <v>602</v>
      </c>
      <c r="P1049" s="15" t="str">
        <f t="shared" ref="P1049:P1051" si="3055">"69"</f>
        <v>69</v>
      </c>
      <c r="Q1049" s="15" t="str">
        <f t="shared" si="3044"/>
        <v>18</v>
      </c>
      <c r="R1049" s="15" t="str">
        <f t="shared" ref="R1049:R1051" si="3056">"29.25"</f>
        <v>29.25</v>
      </c>
      <c r="S1049" s="15" t="str">
        <f t="shared" ref="S1049:S1051" si="3057">"113.54"</f>
        <v>113.54</v>
      </c>
      <c r="T1049" s="15" t="s">
        <v>5927</v>
      </c>
      <c r="U1049" s="15" t="s">
        <v>17219</v>
      </c>
      <c r="V1049" s="15" t="s">
        <v>11137</v>
      </c>
      <c r="AA1049" s="15" t="s">
        <v>413</v>
      </c>
      <c r="AB1049" s="15" t="s">
        <v>413</v>
      </c>
      <c r="AC1049" s="15" t="s">
        <v>10150</v>
      </c>
      <c r="AD1049" s="15" t="s">
        <v>24204</v>
      </c>
      <c r="AE1049" s="15" t="s">
        <v>10149</v>
      </c>
      <c r="AF1049" s="15" t="s">
        <v>24205</v>
      </c>
      <c r="AG1049" s="15" t="s">
        <v>24206</v>
      </c>
      <c r="AH1049" s="15" t="s">
        <v>24207</v>
      </c>
      <c r="AI1049" s="15" t="s">
        <v>24208</v>
      </c>
      <c r="AJ1049" s="15" t="s">
        <v>24209</v>
      </c>
      <c r="AK1049" s="15" t="s">
        <v>24210</v>
      </c>
      <c r="AL1049" s="15" t="s">
        <v>24211</v>
      </c>
      <c r="AM1049" s="15" t="s">
        <v>24212</v>
      </c>
      <c r="AN1049" s="15" t="s">
        <v>24213</v>
      </c>
      <c r="AO1049" s="15" t="s">
        <v>24214</v>
      </c>
      <c r="AP1049" s="15" t="s">
        <v>24215</v>
      </c>
      <c r="BH1049" s="15" t="s">
        <v>10147</v>
      </c>
      <c r="BI1049" s="15" t="str">
        <f t="shared" ref="BI1049:BI1051" si="3058">"1499"</f>
        <v>1499</v>
      </c>
      <c r="BJ1049" s="15" t="str">
        <f t="shared" ref="BJ1049:BJ1051" si="3059">"630"</f>
        <v>630</v>
      </c>
      <c r="BK1049" s="15" t="s">
        <v>415</v>
      </c>
      <c r="BL1049" s="15" t="str">
        <f t="shared" si="3014"/>
        <v>1</v>
      </c>
      <c r="BM1049" s="15" t="s">
        <v>416</v>
      </c>
      <c r="BN1049" s="15" t="str">
        <f t="shared" ref="BN1049:BN1051" si="3060">"74.02"</f>
        <v>74.02</v>
      </c>
      <c r="BO1049" s="15" t="str">
        <f t="shared" ref="BO1049:BO1051" si="3061">"22.24"</f>
        <v>22.24</v>
      </c>
      <c r="BP1049" s="15" t="str">
        <f t="shared" ref="BP1049:BP1051" si="3062">"33.86"</f>
        <v>33.86</v>
      </c>
      <c r="BQ1049" s="15" t="str">
        <f t="shared" ref="BQ1049:BQ1051" si="3063">"142.2"</f>
        <v>142.2</v>
      </c>
      <c r="CG1049" s="15" t="str">
        <f t="shared" ref="CG1049:CG1051" si="3064">"32.24"</f>
        <v>32.24</v>
      </c>
      <c r="CH1049" s="15" t="str">
        <f t="shared" ref="CH1049:CH1051" si="3065">"0.913"</f>
        <v>0.913</v>
      </c>
      <c r="CI1049" s="15" t="s">
        <v>465</v>
      </c>
      <c r="CJ1049" s="15" t="s">
        <v>4178</v>
      </c>
      <c r="CK1049" s="15" t="s">
        <v>2046</v>
      </c>
      <c r="CL1049" s="15" t="s">
        <v>2274</v>
      </c>
      <c r="CM1049" s="15" t="s">
        <v>4178</v>
      </c>
      <c r="CN1049" s="15" t="s">
        <v>1950</v>
      </c>
      <c r="CO1049" s="15" t="s">
        <v>2274</v>
      </c>
      <c r="CZ1049" s="15" t="s">
        <v>2600</v>
      </c>
      <c r="DA1049" s="15">
        <v>2.0</v>
      </c>
      <c r="DB1049" s="15" t="s">
        <v>2604</v>
      </c>
      <c r="DD1049" s="15">
        <v>1.0</v>
      </c>
      <c r="DE1049" s="15" t="s">
        <v>426</v>
      </c>
      <c r="DF1049" s="15" t="s">
        <v>764</v>
      </c>
      <c r="DG1049" s="15" t="s">
        <v>610</v>
      </c>
      <c r="DI1049" s="15">
        <v>18.14</v>
      </c>
      <c r="DJ1049" s="15">
        <v>40.0</v>
      </c>
      <c r="DK1049" s="15">
        <v>2.0</v>
      </c>
      <c r="DS1049" s="15" t="s">
        <v>10015</v>
      </c>
      <c r="EF1049" s="15" t="s">
        <v>2974</v>
      </c>
      <c r="EU1049" s="15" t="s">
        <v>426</v>
      </c>
      <c r="EV1049" s="15">
        <v>4.0</v>
      </c>
      <c r="FH1049" s="15" t="s">
        <v>778</v>
      </c>
      <c r="FI1049" s="15" t="s">
        <v>2046</v>
      </c>
      <c r="FJ1049" s="15" t="s">
        <v>2274</v>
      </c>
      <c r="FK1049" s="15" t="s">
        <v>10152</v>
      </c>
      <c r="FL1049" s="15" t="s">
        <v>2046</v>
      </c>
      <c r="FM1049" s="15" t="s">
        <v>2020</v>
      </c>
      <c r="FO1049" s="15" t="s">
        <v>426</v>
      </c>
      <c r="FP1049" s="15" t="s">
        <v>785</v>
      </c>
      <c r="FQ1049" s="15">
        <v>2.0</v>
      </c>
      <c r="FR1049" s="15" t="s">
        <v>614</v>
      </c>
      <c r="FS1049" s="15" t="s">
        <v>615</v>
      </c>
      <c r="FU1049" s="15" t="s">
        <v>426</v>
      </c>
      <c r="FW1049" s="15" t="s">
        <v>616</v>
      </c>
      <c r="FZ1049" s="15" t="s">
        <v>1459</v>
      </c>
      <c r="GB1049" s="15" t="s">
        <v>3856</v>
      </c>
      <c r="GD1049" s="15" t="s">
        <v>10153</v>
      </c>
      <c r="GF1049" s="15" t="s">
        <v>2604</v>
      </c>
      <c r="GH1049" s="15" t="s">
        <v>764</v>
      </c>
      <c r="GI1049" s="15" t="s">
        <v>426</v>
      </c>
      <c r="GJ1049" s="15" t="s">
        <v>2178</v>
      </c>
      <c r="GK1049" s="15" t="s">
        <v>778</v>
      </c>
      <c r="GL1049" s="15" t="s">
        <v>2020</v>
      </c>
      <c r="GM1049" s="15">
        <v>0.0</v>
      </c>
      <c r="GZ1049" s="15" t="s">
        <v>2178</v>
      </c>
      <c r="HA1049" s="15" t="s">
        <v>4178</v>
      </c>
      <c r="HB1049" s="15" t="s">
        <v>778</v>
      </c>
      <c r="HC1049" s="15" t="s">
        <v>1950</v>
      </c>
      <c r="HD1049" s="15" t="s">
        <v>2020</v>
      </c>
      <c r="HE1049" s="15" t="s">
        <v>2274</v>
      </c>
      <c r="HF1049" s="15" t="s">
        <v>2468</v>
      </c>
      <c r="HQ1049" s="15" t="s">
        <v>426</v>
      </c>
    </row>
    <row r="1050" ht="17.25" customHeight="1">
      <c r="A1050" s="15" t="s">
        <v>10155</v>
      </c>
      <c r="B1050" s="15" t="str">
        <f>"801542507367"</f>
        <v>801542507367</v>
      </c>
      <c r="C1050" s="15" t="s">
        <v>24216</v>
      </c>
      <c r="D1050" s="15" t="str">
        <f t="shared" si="1"/>
        <v>Trey Media ConsoleBlack Wash Poplar</v>
      </c>
      <c r="E1050" s="15" t="s">
        <v>10146</v>
      </c>
      <c r="F1050" s="15" t="s">
        <v>397</v>
      </c>
      <c r="G1050" s="15" t="s">
        <v>10017</v>
      </c>
      <c r="J1050" s="15" t="s">
        <v>10017</v>
      </c>
      <c r="K1050" s="15" t="s">
        <v>5928</v>
      </c>
      <c r="M1050" s="15" t="s">
        <v>4463</v>
      </c>
      <c r="N1050" s="15" t="s">
        <v>602</v>
      </c>
      <c r="P1050" s="15" t="str">
        <f t="shared" si="3055"/>
        <v>69</v>
      </c>
      <c r="Q1050" s="15" t="str">
        <f t="shared" si="3044"/>
        <v>18</v>
      </c>
      <c r="R1050" s="15" t="str">
        <f t="shared" si="3056"/>
        <v>29.25</v>
      </c>
      <c r="S1050" s="15" t="str">
        <f t="shared" si="3057"/>
        <v>113.54</v>
      </c>
      <c r="T1050" s="15" t="s">
        <v>5927</v>
      </c>
      <c r="U1050" s="15" t="s">
        <v>17219</v>
      </c>
      <c r="V1050" s="15" t="s">
        <v>11137</v>
      </c>
      <c r="AA1050" s="15" t="s">
        <v>413</v>
      </c>
      <c r="AB1050" s="15" t="s">
        <v>413</v>
      </c>
      <c r="AC1050" s="15" t="s">
        <v>10157</v>
      </c>
      <c r="AD1050" s="15" t="s">
        <v>24217</v>
      </c>
      <c r="AE1050" s="15" t="s">
        <v>10156</v>
      </c>
      <c r="AF1050" s="15" t="s">
        <v>24218</v>
      </c>
      <c r="AG1050" s="15" t="s">
        <v>24219</v>
      </c>
      <c r="AH1050" s="15" t="s">
        <v>24220</v>
      </c>
      <c r="AI1050" s="15" t="s">
        <v>24221</v>
      </c>
      <c r="AJ1050" s="15" t="s">
        <v>24222</v>
      </c>
      <c r="AK1050" s="15" t="s">
        <v>24223</v>
      </c>
      <c r="AL1050" s="15" t="s">
        <v>24224</v>
      </c>
      <c r="AM1050" s="15" t="s">
        <v>24225</v>
      </c>
      <c r="AN1050" s="15" t="s">
        <v>24226</v>
      </c>
      <c r="AO1050" s="15" t="s">
        <v>24227</v>
      </c>
      <c r="AP1050" s="15" t="s">
        <v>24228</v>
      </c>
      <c r="BH1050" s="15" t="s">
        <v>10154</v>
      </c>
      <c r="BI1050" s="15" t="str">
        <f t="shared" si="3058"/>
        <v>1499</v>
      </c>
      <c r="BJ1050" s="15" t="str">
        <f t="shared" si="3059"/>
        <v>630</v>
      </c>
      <c r="BK1050" s="15" t="s">
        <v>415</v>
      </c>
      <c r="BL1050" s="15" t="str">
        <f t="shared" si="3014"/>
        <v>1</v>
      </c>
      <c r="BM1050" s="15" t="s">
        <v>416</v>
      </c>
      <c r="BN1050" s="15" t="str">
        <f t="shared" si="3060"/>
        <v>74.02</v>
      </c>
      <c r="BO1050" s="15" t="str">
        <f t="shared" si="3061"/>
        <v>22.24</v>
      </c>
      <c r="BP1050" s="15" t="str">
        <f t="shared" si="3062"/>
        <v>33.86</v>
      </c>
      <c r="BQ1050" s="15" t="str">
        <f t="shared" si="3063"/>
        <v>142.2</v>
      </c>
      <c r="CG1050" s="15" t="str">
        <f t="shared" si="3064"/>
        <v>32.24</v>
      </c>
      <c r="CH1050" s="15" t="str">
        <f t="shared" si="3065"/>
        <v>0.913</v>
      </c>
      <c r="CI1050" s="15" t="s">
        <v>465</v>
      </c>
      <c r="CJ1050" s="15" t="s">
        <v>4178</v>
      </c>
      <c r="CK1050" s="15" t="s">
        <v>2046</v>
      </c>
      <c r="CL1050" s="15" t="s">
        <v>2274</v>
      </c>
      <c r="CM1050" s="15" t="s">
        <v>4178</v>
      </c>
      <c r="CN1050" s="15" t="s">
        <v>1950</v>
      </c>
      <c r="CO1050" s="15" t="s">
        <v>2274</v>
      </c>
      <c r="CZ1050" s="15" t="s">
        <v>2600</v>
      </c>
      <c r="DA1050" s="15">
        <v>2.0</v>
      </c>
      <c r="DB1050" s="15" t="s">
        <v>2604</v>
      </c>
      <c r="DD1050" s="15">
        <v>1.0</v>
      </c>
      <c r="DE1050" s="15" t="s">
        <v>426</v>
      </c>
      <c r="DF1050" s="15" t="s">
        <v>764</v>
      </c>
      <c r="DG1050" s="15" t="s">
        <v>610</v>
      </c>
      <c r="DI1050" s="15">
        <v>18.14</v>
      </c>
      <c r="DJ1050" s="15">
        <v>40.0</v>
      </c>
      <c r="DK1050" s="15">
        <v>2.0</v>
      </c>
      <c r="DS1050" s="15" t="s">
        <v>10015</v>
      </c>
      <c r="EF1050" s="15" t="s">
        <v>2974</v>
      </c>
      <c r="EU1050" s="15" t="s">
        <v>426</v>
      </c>
      <c r="EV1050" s="15">
        <v>4.0</v>
      </c>
      <c r="FH1050" s="15" t="s">
        <v>778</v>
      </c>
      <c r="FI1050" s="15" t="s">
        <v>2046</v>
      </c>
      <c r="FJ1050" s="15" t="s">
        <v>2274</v>
      </c>
      <c r="FK1050" s="15" t="s">
        <v>10152</v>
      </c>
      <c r="FL1050" s="15" t="s">
        <v>2046</v>
      </c>
      <c r="FM1050" s="15" t="s">
        <v>2020</v>
      </c>
      <c r="FO1050" s="15" t="s">
        <v>426</v>
      </c>
      <c r="FP1050" s="15" t="s">
        <v>785</v>
      </c>
      <c r="FQ1050" s="15">
        <v>2.0</v>
      </c>
      <c r="FR1050" s="15" t="s">
        <v>614</v>
      </c>
      <c r="FS1050" s="15" t="s">
        <v>615</v>
      </c>
      <c r="FU1050" s="15" t="s">
        <v>426</v>
      </c>
      <c r="FW1050" s="15" t="s">
        <v>616</v>
      </c>
      <c r="FZ1050" s="15" t="s">
        <v>1459</v>
      </c>
      <c r="GB1050" s="15" t="s">
        <v>3856</v>
      </c>
      <c r="GD1050" s="15" t="s">
        <v>10153</v>
      </c>
      <c r="GF1050" s="15" t="s">
        <v>2604</v>
      </c>
      <c r="GH1050" s="15" t="s">
        <v>764</v>
      </c>
      <c r="GI1050" s="15" t="s">
        <v>426</v>
      </c>
      <c r="GJ1050" s="15" t="s">
        <v>2178</v>
      </c>
      <c r="GK1050" s="15" t="s">
        <v>778</v>
      </c>
      <c r="GL1050" s="15" t="s">
        <v>2020</v>
      </c>
      <c r="GM1050" s="15">
        <v>0.0</v>
      </c>
      <c r="GZ1050" s="15" t="s">
        <v>2178</v>
      </c>
      <c r="HA1050" s="15" t="s">
        <v>4178</v>
      </c>
      <c r="HB1050" s="15" t="s">
        <v>778</v>
      </c>
      <c r="HC1050" s="15" t="s">
        <v>1950</v>
      </c>
      <c r="HD1050" s="15" t="s">
        <v>2020</v>
      </c>
      <c r="HE1050" s="15" t="s">
        <v>2274</v>
      </c>
      <c r="HF1050" s="15" t="s">
        <v>2468</v>
      </c>
      <c r="HQ1050" s="15" t="s">
        <v>426</v>
      </c>
    </row>
    <row r="1051" ht="17.25" customHeight="1">
      <c r="A1051" s="15" t="s">
        <v>10159</v>
      </c>
      <c r="B1051" s="15" t="str">
        <f>"801542763381"</f>
        <v>801542763381</v>
      </c>
      <c r="C1051" s="15" t="s">
        <v>24229</v>
      </c>
      <c r="D1051" s="15" t="str">
        <f t="shared" si="1"/>
        <v>Trey Media ConsoleDove Poplar</v>
      </c>
      <c r="E1051" s="15" t="s">
        <v>10146</v>
      </c>
      <c r="F1051" s="15" t="s">
        <v>397</v>
      </c>
      <c r="G1051" s="15" t="s">
        <v>10022</v>
      </c>
      <c r="J1051" s="15" t="s">
        <v>10022</v>
      </c>
      <c r="K1051" s="15" t="s">
        <v>5928</v>
      </c>
      <c r="M1051" s="15" t="s">
        <v>4463</v>
      </c>
      <c r="N1051" s="15" t="s">
        <v>602</v>
      </c>
      <c r="P1051" s="15" t="str">
        <f t="shared" si="3055"/>
        <v>69</v>
      </c>
      <c r="Q1051" s="15" t="str">
        <f t="shared" si="3044"/>
        <v>18</v>
      </c>
      <c r="R1051" s="15" t="str">
        <f t="shared" si="3056"/>
        <v>29.25</v>
      </c>
      <c r="S1051" s="15" t="str">
        <f t="shared" si="3057"/>
        <v>113.54</v>
      </c>
      <c r="T1051" s="15" t="s">
        <v>5927</v>
      </c>
      <c r="U1051" s="15" t="s">
        <v>17219</v>
      </c>
      <c r="V1051" s="15" t="s">
        <v>11137</v>
      </c>
      <c r="AA1051" s="15" t="s">
        <v>413</v>
      </c>
      <c r="AB1051" s="15" t="s">
        <v>413</v>
      </c>
      <c r="AC1051" s="15" t="s">
        <v>10161</v>
      </c>
      <c r="AD1051" s="15" t="s">
        <v>24230</v>
      </c>
      <c r="AE1051" s="15" t="s">
        <v>10160</v>
      </c>
      <c r="AF1051" s="15" t="s">
        <v>24231</v>
      </c>
      <c r="AG1051" s="15" t="s">
        <v>24232</v>
      </c>
      <c r="AH1051" s="15" t="s">
        <v>24233</v>
      </c>
      <c r="AI1051" s="15" t="s">
        <v>24234</v>
      </c>
      <c r="AJ1051" s="15" t="s">
        <v>24235</v>
      </c>
      <c r="AK1051" s="15" t="s">
        <v>23879</v>
      </c>
      <c r="AL1051" s="15" t="s">
        <v>24236</v>
      </c>
      <c r="AM1051" s="15" t="s">
        <v>24237</v>
      </c>
      <c r="AN1051" s="15" t="s">
        <v>24238</v>
      </c>
      <c r="AO1051" s="15" t="s">
        <v>24239</v>
      </c>
      <c r="AP1051" s="15" t="s">
        <v>24240</v>
      </c>
      <c r="AQ1051" s="15" t="s">
        <v>24241</v>
      </c>
      <c r="AR1051" s="15" t="s">
        <v>24242</v>
      </c>
      <c r="BH1051" s="15" t="s">
        <v>10158</v>
      </c>
      <c r="BI1051" s="15" t="str">
        <f t="shared" si="3058"/>
        <v>1499</v>
      </c>
      <c r="BJ1051" s="15" t="str">
        <f t="shared" si="3059"/>
        <v>630</v>
      </c>
      <c r="BK1051" s="15" t="s">
        <v>415</v>
      </c>
      <c r="BL1051" s="15" t="str">
        <f t="shared" si="3014"/>
        <v>1</v>
      </c>
      <c r="BM1051" s="15" t="s">
        <v>416</v>
      </c>
      <c r="BN1051" s="15" t="str">
        <f t="shared" si="3060"/>
        <v>74.02</v>
      </c>
      <c r="BO1051" s="15" t="str">
        <f t="shared" si="3061"/>
        <v>22.24</v>
      </c>
      <c r="BP1051" s="15" t="str">
        <f t="shared" si="3062"/>
        <v>33.86</v>
      </c>
      <c r="BQ1051" s="15" t="str">
        <f t="shared" si="3063"/>
        <v>142.2</v>
      </c>
      <c r="CG1051" s="15" t="str">
        <f t="shared" si="3064"/>
        <v>32.24</v>
      </c>
      <c r="CH1051" s="15" t="str">
        <f t="shared" si="3065"/>
        <v>0.913</v>
      </c>
      <c r="CI1051" s="15" t="s">
        <v>417</v>
      </c>
      <c r="CJ1051" s="15" t="s">
        <v>4178</v>
      </c>
      <c r="CK1051" s="15" t="s">
        <v>2046</v>
      </c>
      <c r="CL1051" s="15" t="s">
        <v>2274</v>
      </c>
      <c r="CM1051" s="15" t="s">
        <v>4178</v>
      </c>
      <c r="CN1051" s="15" t="s">
        <v>1950</v>
      </c>
      <c r="CO1051" s="15" t="s">
        <v>2274</v>
      </c>
      <c r="CZ1051" s="15" t="s">
        <v>2600</v>
      </c>
      <c r="DA1051" s="15">
        <v>2.0</v>
      </c>
      <c r="DB1051" s="15" t="s">
        <v>2604</v>
      </c>
      <c r="DD1051" s="15">
        <v>1.0</v>
      </c>
      <c r="DE1051" s="15" t="s">
        <v>426</v>
      </c>
      <c r="DF1051" s="15" t="s">
        <v>764</v>
      </c>
      <c r="DG1051" s="15" t="s">
        <v>610</v>
      </c>
      <c r="DI1051" s="15">
        <v>18.14</v>
      </c>
      <c r="DJ1051" s="15">
        <v>40.0</v>
      </c>
      <c r="DK1051" s="15">
        <v>2.0</v>
      </c>
      <c r="DS1051" s="15" t="s">
        <v>10015</v>
      </c>
      <c r="EF1051" s="15" t="s">
        <v>2974</v>
      </c>
      <c r="EU1051" s="15" t="s">
        <v>426</v>
      </c>
      <c r="EV1051" s="15">
        <v>4.0</v>
      </c>
      <c r="FH1051" s="15" t="s">
        <v>778</v>
      </c>
      <c r="FI1051" s="15" t="s">
        <v>2046</v>
      </c>
      <c r="FJ1051" s="15" t="s">
        <v>2274</v>
      </c>
      <c r="FK1051" s="15" t="s">
        <v>10152</v>
      </c>
      <c r="FL1051" s="15" t="s">
        <v>2046</v>
      </c>
      <c r="FM1051" s="15" t="s">
        <v>2020</v>
      </c>
      <c r="FO1051" s="15" t="s">
        <v>426</v>
      </c>
      <c r="FP1051" s="15" t="s">
        <v>785</v>
      </c>
      <c r="FQ1051" s="15">
        <v>2.0</v>
      </c>
      <c r="FR1051" s="15" t="s">
        <v>614</v>
      </c>
      <c r="FS1051" s="15" t="s">
        <v>615</v>
      </c>
      <c r="FU1051" s="15" t="s">
        <v>426</v>
      </c>
      <c r="FW1051" s="15" t="s">
        <v>616</v>
      </c>
      <c r="FZ1051" s="15" t="s">
        <v>1459</v>
      </c>
      <c r="GB1051" s="15" t="s">
        <v>3856</v>
      </c>
      <c r="GD1051" s="15" t="s">
        <v>10153</v>
      </c>
      <c r="GF1051" s="15" t="s">
        <v>2604</v>
      </c>
      <c r="GH1051" s="15" t="s">
        <v>764</v>
      </c>
      <c r="GI1051" s="15" t="s">
        <v>426</v>
      </c>
      <c r="GJ1051" s="15" t="s">
        <v>2178</v>
      </c>
      <c r="GK1051" s="15" t="s">
        <v>778</v>
      </c>
      <c r="GL1051" s="15" t="s">
        <v>2020</v>
      </c>
      <c r="GM1051" s="15">
        <v>0.0</v>
      </c>
      <c r="GZ1051" s="15" t="s">
        <v>2178</v>
      </c>
      <c r="HA1051" s="15" t="s">
        <v>4178</v>
      </c>
      <c r="HB1051" s="15" t="s">
        <v>778</v>
      </c>
      <c r="HC1051" s="15" t="s">
        <v>1950</v>
      </c>
      <c r="HD1051" s="15" t="s">
        <v>2020</v>
      </c>
      <c r="HE1051" s="15" t="s">
        <v>2274</v>
      </c>
      <c r="HF1051" s="15" t="s">
        <v>2468</v>
      </c>
      <c r="HQ1051" s="15" t="s">
        <v>426</v>
      </c>
    </row>
    <row r="1052" ht="17.25" customHeight="1">
      <c r="A1052" s="15" t="s">
        <v>10164</v>
      </c>
      <c r="B1052" s="15" t="str">
        <f>"801542758615"</f>
        <v>801542758615</v>
      </c>
      <c r="C1052" s="15" t="s">
        <v>24243</v>
      </c>
      <c r="D1052" s="15" t="str">
        <f t="shared" si="1"/>
        <v>Trey Modular Filing CabinetAuburn Poplar</v>
      </c>
      <c r="E1052" s="15" t="s">
        <v>10162</v>
      </c>
      <c r="F1052" s="15" t="s">
        <v>397</v>
      </c>
      <c r="G1052" s="15" t="s">
        <v>10010</v>
      </c>
      <c r="J1052" s="15" t="s">
        <v>10010</v>
      </c>
      <c r="K1052" s="15" t="s">
        <v>10013</v>
      </c>
      <c r="M1052" s="15" t="s">
        <v>4463</v>
      </c>
      <c r="N1052" s="15" t="s">
        <v>10166</v>
      </c>
      <c r="P1052" s="15" t="str">
        <f t="shared" ref="P1052:P1054" si="3066">"30"</f>
        <v>30</v>
      </c>
      <c r="Q1052" s="15" t="str">
        <f t="shared" ref="Q1052:Q1057" si="3067">"22"</f>
        <v>22</v>
      </c>
      <c r="R1052" s="15" t="str">
        <f t="shared" ref="R1052:R1057" si="3068">"31"</f>
        <v>31</v>
      </c>
      <c r="S1052" s="15" t="str">
        <f t="shared" ref="S1052:S1054" si="3069">"85.98"</f>
        <v>85.98</v>
      </c>
      <c r="T1052" s="15" t="s">
        <v>5927</v>
      </c>
      <c r="U1052" s="15" t="s">
        <v>17219</v>
      </c>
      <c r="V1052" s="15" t="s">
        <v>11137</v>
      </c>
      <c r="AA1052" s="15" t="s">
        <v>413</v>
      </c>
      <c r="AB1052" s="15" t="s">
        <v>413</v>
      </c>
      <c r="AC1052" s="15" t="s">
        <v>10167</v>
      </c>
      <c r="AD1052" s="15" t="s">
        <v>24244</v>
      </c>
      <c r="AE1052" s="15" t="s">
        <v>10165</v>
      </c>
      <c r="AF1052" s="15" t="s">
        <v>24245</v>
      </c>
      <c r="AG1052" s="15" t="s">
        <v>24246</v>
      </c>
      <c r="AH1052" s="15" t="s">
        <v>24247</v>
      </c>
      <c r="AI1052" s="15" t="s">
        <v>24248</v>
      </c>
      <c r="AJ1052" s="15" t="s">
        <v>24249</v>
      </c>
      <c r="AK1052" s="15" t="s">
        <v>24250</v>
      </c>
      <c r="AL1052" s="15" t="s">
        <v>24251</v>
      </c>
      <c r="AM1052" s="15" t="s">
        <v>24252</v>
      </c>
      <c r="AN1052" s="15" t="s">
        <v>24253</v>
      </c>
      <c r="AO1052" s="15" t="s">
        <v>24254</v>
      </c>
      <c r="AP1052" s="15" t="s">
        <v>24255</v>
      </c>
      <c r="AQ1052" s="15" t="s">
        <v>24256</v>
      </c>
      <c r="AR1052" s="15" t="s">
        <v>24257</v>
      </c>
      <c r="AS1052" s="15" t="s">
        <v>24258</v>
      </c>
      <c r="BH1052" s="15" t="s">
        <v>10163</v>
      </c>
      <c r="BI1052" s="15" t="str">
        <f t="shared" ref="BI1052:BI1054" si="3070">"1149"</f>
        <v>1149</v>
      </c>
      <c r="BJ1052" s="15" t="str">
        <f t="shared" ref="BJ1052:BJ1054" si="3071">"485"</f>
        <v>485</v>
      </c>
      <c r="BK1052" s="15" t="s">
        <v>415</v>
      </c>
      <c r="BL1052" s="15" t="str">
        <f t="shared" si="3014"/>
        <v>1</v>
      </c>
      <c r="BM1052" s="15" t="s">
        <v>416</v>
      </c>
      <c r="BN1052" s="15" t="str">
        <f t="shared" ref="BN1052:BN1054" si="3072">"34.65"</f>
        <v>34.65</v>
      </c>
      <c r="BO1052" s="15" t="str">
        <f t="shared" ref="BO1052:BO1054" si="3073">"26.77"</f>
        <v>26.77</v>
      </c>
      <c r="BP1052" s="15" t="str">
        <f t="shared" ref="BP1052:BP1054" si="3074">"37.01"</f>
        <v>37.01</v>
      </c>
      <c r="BQ1052" s="15" t="str">
        <f t="shared" ref="BQ1052:BQ1054" si="3075">"112.43"</f>
        <v>112.43</v>
      </c>
      <c r="CG1052" s="15" t="str">
        <f>"19.85"</f>
        <v>19.85</v>
      </c>
      <c r="CH1052" s="15" t="str">
        <f>"0.562"</f>
        <v>0.562</v>
      </c>
      <c r="CI1052" s="15" t="s">
        <v>497</v>
      </c>
      <c r="CJ1052" s="15" t="s">
        <v>779</v>
      </c>
      <c r="CK1052" s="15" t="s">
        <v>2046</v>
      </c>
      <c r="CL1052" s="15" t="s">
        <v>3512</v>
      </c>
      <c r="CM1052" s="15" t="s">
        <v>779</v>
      </c>
      <c r="CN1052" s="15" t="s">
        <v>10044</v>
      </c>
      <c r="CO1052" s="15" t="s">
        <v>3512</v>
      </c>
      <c r="CZ1052" s="15" t="s">
        <v>2600</v>
      </c>
      <c r="DA1052" s="15">
        <v>2.0</v>
      </c>
      <c r="DB1052" s="15" t="s">
        <v>2604</v>
      </c>
      <c r="DD1052" s="15">
        <v>1.0</v>
      </c>
      <c r="DE1052" s="15" t="s">
        <v>426</v>
      </c>
      <c r="DF1052" s="15" t="s">
        <v>764</v>
      </c>
      <c r="DG1052" s="15" t="s">
        <v>421</v>
      </c>
      <c r="DK1052" s="15">
        <v>0.0</v>
      </c>
      <c r="DR1052" s="15" t="s">
        <v>10168</v>
      </c>
      <c r="DS1052" s="15" t="s">
        <v>10015</v>
      </c>
      <c r="DU1052" s="15" t="s">
        <v>500</v>
      </c>
      <c r="EF1052" s="15" t="s">
        <v>2050</v>
      </c>
      <c r="EG1052" s="15" t="s">
        <v>779</v>
      </c>
      <c r="EH1052" s="15" t="s">
        <v>3512</v>
      </c>
      <c r="EQ1052" s="15" t="s">
        <v>1074</v>
      </c>
      <c r="ER1052" s="15" t="s">
        <v>2651</v>
      </c>
      <c r="ES1052" s="15" t="s">
        <v>4552</v>
      </c>
      <c r="ET1052" s="15" t="s">
        <v>2046</v>
      </c>
      <c r="EU1052" s="15" t="s">
        <v>426</v>
      </c>
      <c r="EV1052" s="15">
        <v>1.0</v>
      </c>
      <c r="FQ1052" s="15">
        <v>0.0</v>
      </c>
      <c r="FR1052" s="15" t="s">
        <v>427</v>
      </c>
      <c r="FZ1052" s="15" t="s">
        <v>2598</v>
      </c>
      <c r="GA1052" s="15" t="s">
        <v>2598</v>
      </c>
      <c r="GB1052" s="15" t="s">
        <v>4375</v>
      </c>
      <c r="GC1052" s="15" t="s">
        <v>10122</v>
      </c>
      <c r="GD1052" s="15" t="s">
        <v>4056</v>
      </c>
      <c r="GE1052" s="15" t="s">
        <v>4056</v>
      </c>
      <c r="GF1052" s="15" t="s">
        <v>2604</v>
      </c>
      <c r="GH1052" s="15" t="s">
        <v>764</v>
      </c>
      <c r="GI1052" s="15" t="s">
        <v>426</v>
      </c>
      <c r="GM1052" s="15">
        <v>1.0</v>
      </c>
      <c r="HP1052" s="15" t="s">
        <v>426</v>
      </c>
    </row>
    <row r="1053" ht="17.25" customHeight="1">
      <c r="A1053" s="15" t="s">
        <v>10171</v>
      </c>
      <c r="B1053" s="15" t="str">
        <f>"801542758769"</f>
        <v>801542758769</v>
      </c>
      <c r="C1053" s="15" t="s">
        <v>24259</v>
      </c>
      <c r="D1053" s="15" t="str">
        <f t="shared" si="1"/>
        <v>Trey Modular Filing CabinetBlack Wash Poplar</v>
      </c>
      <c r="E1053" s="15" t="s">
        <v>10162</v>
      </c>
      <c r="F1053" s="15" t="s">
        <v>397</v>
      </c>
      <c r="G1053" s="15" t="s">
        <v>10017</v>
      </c>
      <c r="J1053" s="15" t="s">
        <v>10017</v>
      </c>
      <c r="K1053" s="15" t="s">
        <v>5928</v>
      </c>
      <c r="M1053" s="15" t="s">
        <v>4463</v>
      </c>
      <c r="N1053" s="15" t="s">
        <v>10166</v>
      </c>
      <c r="P1053" s="15" t="str">
        <f t="shared" si="3066"/>
        <v>30</v>
      </c>
      <c r="Q1053" s="15" t="str">
        <f t="shared" si="3067"/>
        <v>22</v>
      </c>
      <c r="R1053" s="15" t="str">
        <f t="shared" si="3068"/>
        <v>31</v>
      </c>
      <c r="S1053" s="15" t="str">
        <f t="shared" si="3069"/>
        <v>85.98</v>
      </c>
      <c r="T1053" s="15" t="s">
        <v>5927</v>
      </c>
      <c r="U1053" s="15" t="s">
        <v>17219</v>
      </c>
      <c r="V1053" s="15" t="s">
        <v>11137</v>
      </c>
      <c r="AA1053" s="15" t="s">
        <v>413</v>
      </c>
      <c r="AB1053" s="15" t="s">
        <v>413</v>
      </c>
      <c r="AC1053" s="15" t="s">
        <v>10173</v>
      </c>
      <c r="AD1053" s="15" t="s">
        <v>24260</v>
      </c>
      <c r="AE1053" s="15" t="s">
        <v>10172</v>
      </c>
      <c r="AF1053" s="15" t="s">
        <v>24261</v>
      </c>
      <c r="AG1053" s="15" t="s">
        <v>24262</v>
      </c>
      <c r="AH1053" s="15" t="s">
        <v>24263</v>
      </c>
      <c r="AI1053" s="15" t="s">
        <v>24264</v>
      </c>
      <c r="AJ1053" s="15" t="s">
        <v>24265</v>
      </c>
      <c r="AK1053" s="15" t="s">
        <v>24266</v>
      </c>
      <c r="AL1053" s="15" t="s">
        <v>24267</v>
      </c>
      <c r="AM1053" s="15" t="s">
        <v>24268</v>
      </c>
      <c r="AN1053" s="15" t="s">
        <v>24269</v>
      </c>
      <c r="AO1053" s="15" t="s">
        <v>24270</v>
      </c>
      <c r="AP1053" s="15" t="s">
        <v>24271</v>
      </c>
      <c r="AQ1053" s="15" t="s">
        <v>24272</v>
      </c>
      <c r="AR1053" s="15" t="s">
        <v>24273</v>
      </c>
      <c r="AS1053" s="15" t="s">
        <v>24274</v>
      </c>
      <c r="AT1053" s="15" t="s">
        <v>24275</v>
      </c>
      <c r="BH1053" s="15" t="s">
        <v>10170</v>
      </c>
      <c r="BI1053" s="15" t="str">
        <f t="shared" si="3070"/>
        <v>1149</v>
      </c>
      <c r="BJ1053" s="15" t="str">
        <f t="shared" si="3071"/>
        <v>485</v>
      </c>
      <c r="BK1053" s="15" t="s">
        <v>415</v>
      </c>
      <c r="BL1053" s="15" t="str">
        <f t="shared" si="3014"/>
        <v>1</v>
      </c>
      <c r="BM1053" s="15" t="s">
        <v>416</v>
      </c>
      <c r="BN1053" s="15" t="str">
        <f t="shared" si="3072"/>
        <v>34.65</v>
      </c>
      <c r="BO1053" s="15" t="str">
        <f t="shared" si="3073"/>
        <v>26.77</v>
      </c>
      <c r="BP1053" s="15" t="str">
        <f t="shared" si="3074"/>
        <v>37.01</v>
      </c>
      <c r="BQ1053" s="15" t="str">
        <f t="shared" si="3075"/>
        <v>112.43</v>
      </c>
      <c r="CG1053" s="15" t="str">
        <f t="shared" ref="CG1053:CG1054" si="3076">"19.88"</f>
        <v>19.88</v>
      </c>
      <c r="CH1053" s="15" t="str">
        <f t="shared" ref="CH1053:CH1054" si="3077">"0.563"</f>
        <v>0.563</v>
      </c>
      <c r="CI1053" s="15" t="s">
        <v>497</v>
      </c>
      <c r="CJ1053" s="15" t="s">
        <v>779</v>
      </c>
      <c r="CK1053" s="15" t="s">
        <v>2046</v>
      </c>
      <c r="CL1053" s="15" t="s">
        <v>3512</v>
      </c>
      <c r="CM1053" s="15" t="s">
        <v>779</v>
      </c>
      <c r="CN1053" s="15" t="s">
        <v>10044</v>
      </c>
      <c r="CO1053" s="15" t="s">
        <v>3512</v>
      </c>
      <c r="CZ1053" s="15" t="s">
        <v>2600</v>
      </c>
      <c r="DA1053" s="15">
        <v>2.0</v>
      </c>
      <c r="DB1053" s="15" t="s">
        <v>2604</v>
      </c>
      <c r="DD1053" s="15">
        <v>1.0</v>
      </c>
      <c r="DE1053" s="15" t="s">
        <v>426</v>
      </c>
      <c r="DF1053" s="15" t="s">
        <v>764</v>
      </c>
      <c r="DG1053" s="15" t="s">
        <v>421</v>
      </c>
      <c r="DK1053" s="15">
        <v>0.0</v>
      </c>
      <c r="DR1053" s="15" t="s">
        <v>10168</v>
      </c>
      <c r="DS1053" s="15" t="s">
        <v>10015</v>
      </c>
      <c r="DU1053" s="15" t="s">
        <v>500</v>
      </c>
      <c r="EF1053" s="15" t="s">
        <v>2050</v>
      </c>
      <c r="EG1053" s="15" t="s">
        <v>779</v>
      </c>
      <c r="EH1053" s="15" t="s">
        <v>3512</v>
      </c>
      <c r="EQ1053" s="15" t="s">
        <v>1074</v>
      </c>
      <c r="ER1053" s="15" t="s">
        <v>2651</v>
      </c>
      <c r="ES1053" s="15" t="s">
        <v>4552</v>
      </c>
      <c r="ET1053" s="15" t="s">
        <v>2046</v>
      </c>
      <c r="EU1053" s="15" t="s">
        <v>426</v>
      </c>
      <c r="EV1053" s="15">
        <v>1.0</v>
      </c>
      <c r="FQ1053" s="15">
        <v>0.0</v>
      </c>
      <c r="FR1053" s="15" t="s">
        <v>427</v>
      </c>
      <c r="FZ1053" s="15" t="s">
        <v>2598</v>
      </c>
      <c r="GA1053" s="15" t="s">
        <v>2598</v>
      </c>
      <c r="GB1053" s="15" t="s">
        <v>4375</v>
      </c>
      <c r="GC1053" s="15" t="s">
        <v>10122</v>
      </c>
      <c r="GD1053" s="15" t="s">
        <v>4056</v>
      </c>
      <c r="GE1053" s="15" t="s">
        <v>4056</v>
      </c>
      <c r="GF1053" s="15" t="s">
        <v>2604</v>
      </c>
      <c r="GH1053" s="15" t="s">
        <v>764</v>
      </c>
      <c r="GI1053" s="15" t="s">
        <v>426</v>
      </c>
      <c r="GM1053" s="15">
        <v>1.0</v>
      </c>
      <c r="HP1053" s="15" t="s">
        <v>426</v>
      </c>
    </row>
    <row r="1054" ht="17.25" customHeight="1">
      <c r="A1054" s="15" t="s">
        <v>10175</v>
      </c>
      <c r="B1054" s="15" t="str">
        <f>"801542769536"</f>
        <v>801542769536</v>
      </c>
      <c r="C1054" s="15" t="s">
        <v>24276</v>
      </c>
      <c r="D1054" s="15" t="str">
        <f t="shared" si="1"/>
        <v>Trey Modular Filing CabinetDove Poplar</v>
      </c>
      <c r="E1054" s="15" t="s">
        <v>10162</v>
      </c>
      <c r="F1054" s="15" t="s">
        <v>397</v>
      </c>
      <c r="G1054" s="15" t="s">
        <v>10022</v>
      </c>
      <c r="J1054" s="15" t="s">
        <v>10022</v>
      </c>
      <c r="K1054" s="15" t="s">
        <v>5928</v>
      </c>
      <c r="M1054" s="15" t="s">
        <v>4463</v>
      </c>
      <c r="N1054" s="15" t="s">
        <v>10166</v>
      </c>
      <c r="P1054" s="15" t="str">
        <f t="shared" si="3066"/>
        <v>30</v>
      </c>
      <c r="Q1054" s="15" t="str">
        <f t="shared" si="3067"/>
        <v>22</v>
      </c>
      <c r="R1054" s="15" t="str">
        <f t="shared" si="3068"/>
        <v>31</v>
      </c>
      <c r="S1054" s="15" t="str">
        <f t="shared" si="3069"/>
        <v>85.98</v>
      </c>
      <c r="T1054" s="15" t="s">
        <v>5927</v>
      </c>
      <c r="U1054" s="15" t="s">
        <v>17219</v>
      </c>
      <c r="V1054" s="15" t="s">
        <v>11137</v>
      </c>
      <c r="AA1054" s="15" t="s">
        <v>413</v>
      </c>
      <c r="AB1054" s="15" t="s">
        <v>413</v>
      </c>
      <c r="AC1054" s="15" t="s">
        <v>10177</v>
      </c>
      <c r="AD1054" s="15" t="s">
        <v>24277</v>
      </c>
      <c r="AE1054" s="15" t="s">
        <v>10176</v>
      </c>
      <c r="AF1054" s="15" t="s">
        <v>24278</v>
      </c>
      <c r="AG1054" s="15" t="s">
        <v>24279</v>
      </c>
      <c r="AH1054" s="15" t="s">
        <v>24280</v>
      </c>
      <c r="AI1054" s="15" t="s">
        <v>24281</v>
      </c>
      <c r="AJ1054" s="15" t="s">
        <v>24282</v>
      </c>
      <c r="AK1054" s="15" t="s">
        <v>23879</v>
      </c>
      <c r="AL1054" s="15" t="s">
        <v>24283</v>
      </c>
      <c r="AM1054" s="15" t="s">
        <v>24284</v>
      </c>
      <c r="AN1054" s="15" t="s">
        <v>24285</v>
      </c>
      <c r="AO1054" s="15" t="s">
        <v>24286</v>
      </c>
      <c r="AP1054" s="15" t="s">
        <v>24287</v>
      </c>
      <c r="AQ1054" s="15" t="s">
        <v>24288</v>
      </c>
      <c r="AR1054" s="15" t="s">
        <v>24289</v>
      </c>
      <c r="AS1054" s="15" t="s">
        <v>24290</v>
      </c>
      <c r="AT1054" s="15" t="s">
        <v>24291</v>
      </c>
      <c r="BH1054" s="15" t="s">
        <v>10174</v>
      </c>
      <c r="BI1054" s="15" t="str">
        <f t="shared" si="3070"/>
        <v>1149</v>
      </c>
      <c r="BJ1054" s="15" t="str">
        <f t="shared" si="3071"/>
        <v>485</v>
      </c>
      <c r="BK1054" s="15" t="s">
        <v>415</v>
      </c>
      <c r="BL1054" s="15" t="str">
        <f t="shared" si="3014"/>
        <v>1</v>
      </c>
      <c r="BM1054" s="15" t="s">
        <v>416</v>
      </c>
      <c r="BN1054" s="15" t="str">
        <f t="shared" si="3072"/>
        <v>34.65</v>
      </c>
      <c r="BO1054" s="15" t="str">
        <f t="shared" si="3073"/>
        <v>26.77</v>
      </c>
      <c r="BP1054" s="15" t="str">
        <f t="shared" si="3074"/>
        <v>37.01</v>
      </c>
      <c r="BQ1054" s="15" t="str">
        <f t="shared" si="3075"/>
        <v>112.43</v>
      </c>
      <c r="CG1054" s="15" t="str">
        <f t="shared" si="3076"/>
        <v>19.88</v>
      </c>
      <c r="CH1054" s="15" t="str">
        <f t="shared" si="3077"/>
        <v>0.563</v>
      </c>
      <c r="CI1054" s="15" t="s">
        <v>465</v>
      </c>
      <c r="CJ1054" s="15" t="s">
        <v>779</v>
      </c>
      <c r="CK1054" s="15" t="s">
        <v>2046</v>
      </c>
      <c r="CL1054" s="15" t="s">
        <v>3512</v>
      </c>
      <c r="CM1054" s="15" t="s">
        <v>779</v>
      </c>
      <c r="CN1054" s="15" t="s">
        <v>10044</v>
      </c>
      <c r="CO1054" s="15" t="s">
        <v>3512</v>
      </c>
      <c r="CZ1054" s="15" t="s">
        <v>2600</v>
      </c>
      <c r="DA1054" s="15">
        <v>2.0</v>
      </c>
      <c r="DB1054" s="15" t="s">
        <v>2604</v>
      </c>
      <c r="DD1054" s="15">
        <v>1.0</v>
      </c>
      <c r="DE1054" s="15" t="s">
        <v>426</v>
      </c>
      <c r="DF1054" s="15" t="s">
        <v>764</v>
      </c>
      <c r="DG1054" s="15" t="s">
        <v>421</v>
      </c>
      <c r="DK1054" s="15">
        <v>0.0</v>
      </c>
      <c r="DR1054" s="15" t="s">
        <v>10168</v>
      </c>
      <c r="DS1054" s="15" t="s">
        <v>10015</v>
      </c>
      <c r="DU1054" s="15" t="s">
        <v>500</v>
      </c>
      <c r="EF1054" s="15" t="s">
        <v>2050</v>
      </c>
      <c r="EG1054" s="15" t="s">
        <v>779</v>
      </c>
      <c r="EH1054" s="15" t="s">
        <v>3512</v>
      </c>
      <c r="EQ1054" s="15" t="s">
        <v>1074</v>
      </c>
      <c r="ER1054" s="15" t="s">
        <v>2651</v>
      </c>
      <c r="ES1054" s="15" t="s">
        <v>4552</v>
      </c>
      <c r="ET1054" s="15" t="s">
        <v>2046</v>
      </c>
      <c r="EU1054" s="15" t="s">
        <v>426</v>
      </c>
      <c r="EV1054" s="15">
        <v>1.0</v>
      </c>
      <c r="FQ1054" s="15">
        <v>0.0</v>
      </c>
      <c r="FR1054" s="15" t="s">
        <v>427</v>
      </c>
      <c r="FZ1054" s="15" t="s">
        <v>2598</v>
      </c>
      <c r="GA1054" s="15" t="s">
        <v>2598</v>
      </c>
      <c r="GB1054" s="15" t="s">
        <v>4375</v>
      </c>
      <c r="GC1054" s="15" t="s">
        <v>10122</v>
      </c>
      <c r="GD1054" s="15" t="s">
        <v>4056</v>
      </c>
      <c r="GE1054" s="15" t="s">
        <v>4056</v>
      </c>
      <c r="GF1054" s="15" t="s">
        <v>2604</v>
      </c>
      <c r="GH1054" s="15" t="s">
        <v>764</v>
      </c>
      <c r="GI1054" s="15" t="s">
        <v>426</v>
      </c>
      <c r="GM1054" s="15">
        <v>1.0</v>
      </c>
      <c r="HP1054" s="15" t="s">
        <v>426</v>
      </c>
    </row>
    <row r="1055" ht="17.25" customHeight="1">
      <c r="A1055" s="15" t="s">
        <v>10180</v>
      </c>
      <c r="B1055" s="15" t="str">
        <f>"801542391799"</f>
        <v>801542391799</v>
      </c>
      <c r="C1055" s="15" t="s">
        <v>24292</v>
      </c>
      <c r="D1055" s="15" t="str">
        <f t="shared" si="1"/>
        <v>Trey Modular Filing CredenzaAuburn Poplar</v>
      </c>
      <c r="E1055" s="15" t="s">
        <v>10178</v>
      </c>
      <c r="F1055" s="15" t="s">
        <v>397</v>
      </c>
      <c r="G1055" s="15" t="s">
        <v>10010</v>
      </c>
      <c r="J1055" s="15" t="s">
        <v>10010</v>
      </c>
      <c r="K1055" s="15" t="s">
        <v>10013</v>
      </c>
      <c r="M1055" s="15" t="s">
        <v>4463</v>
      </c>
      <c r="N1055" s="15" t="s">
        <v>10166</v>
      </c>
      <c r="P1055" s="15" t="str">
        <f t="shared" ref="P1055:P1057" si="3078">"59.75"</f>
        <v>59.75</v>
      </c>
      <c r="Q1055" s="15" t="str">
        <f t="shared" si="3067"/>
        <v>22</v>
      </c>
      <c r="R1055" s="15" t="str">
        <f t="shared" si="3068"/>
        <v>31</v>
      </c>
      <c r="S1055" s="15" t="str">
        <f t="shared" ref="S1055:S1057" si="3079">"130.07"</f>
        <v>130.07</v>
      </c>
      <c r="T1055" s="15" t="s">
        <v>5927</v>
      </c>
      <c r="U1055" s="15" t="s">
        <v>17219</v>
      </c>
      <c r="V1055" s="15" t="s">
        <v>11137</v>
      </c>
      <c r="AA1055" s="15" t="s">
        <v>413</v>
      </c>
      <c r="AB1055" s="15" t="s">
        <v>413</v>
      </c>
      <c r="AC1055" s="15" t="s">
        <v>10184</v>
      </c>
      <c r="AD1055" s="15" t="s">
        <v>24293</v>
      </c>
      <c r="AE1055" s="15" t="s">
        <v>10181</v>
      </c>
      <c r="AF1055" s="15" t="s">
        <v>24294</v>
      </c>
      <c r="AG1055" s="15" t="s">
        <v>24295</v>
      </c>
      <c r="AH1055" s="15" t="s">
        <v>24296</v>
      </c>
      <c r="AI1055" s="15" t="s">
        <v>24297</v>
      </c>
      <c r="AJ1055" s="15" t="s">
        <v>24298</v>
      </c>
      <c r="AK1055" s="15" t="s">
        <v>24299</v>
      </c>
      <c r="AL1055" s="15" t="s">
        <v>24300</v>
      </c>
      <c r="AM1055" s="15" t="s">
        <v>24301</v>
      </c>
      <c r="AN1055" s="15" t="s">
        <v>24302</v>
      </c>
      <c r="BH1055" s="15" t="s">
        <v>10179</v>
      </c>
      <c r="BI1055" s="15" t="str">
        <f t="shared" ref="BI1055:BI1057" si="3080">"1499"</f>
        <v>1499</v>
      </c>
      <c r="BJ1055" s="15" t="str">
        <f t="shared" ref="BJ1055:BJ1057" si="3081">"630"</f>
        <v>630</v>
      </c>
      <c r="BK1055" s="15" t="s">
        <v>415</v>
      </c>
      <c r="BL1055" s="15" t="str">
        <f t="shared" si="3014"/>
        <v>1</v>
      </c>
      <c r="BM1055" s="15" t="s">
        <v>416</v>
      </c>
      <c r="BN1055" s="15" t="str">
        <f t="shared" ref="BN1055:BN1057" si="3082">"64.57"</f>
        <v>64.57</v>
      </c>
      <c r="BO1055" s="15" t="str">
        <f t="shared" ref="BO1055:BO1057" si="3083">"26.57"</f>
        <v>26.57</v>
      </c>
      <c r="BP1055" s="15" t="str">
        <f t="shared" ref="BP1055:BP1057" si="3084">"35.83"</f>
        <v>35.83</v>
      </c>
      <c r="BQ1055" s="15" t="str">
        <f t="shared" ref="BQ1055:BQ1057" si="3085">"156.53"</f>
        <v>156.53</v>
      </c>
      <c r="CG1055" s="15" t="str">
        <f t="shared" ref="CG1055:CG1057" si="3086">"35.56"</f>
        <v>35.56</v>
      </c>
      <c r="CH1055" s="15" t="str">
        <f t="shared" ref="CH1055:CH1057" si="3087">"1.007"</f>
        <v>1.007</v>
      </c>
      <c r="CI1055" s="15" t="s">
        <v>417</v>
      </c>
      <c r="CJ1055" s="15" t="s">
        <v>10186</v>
      </c>
      <c r="CK1055" s="15" t="s">
        <v>2046</v>
      </c>
      <c r="CL1055" s="15" t="s">
        <v>824</v>
      </c>
      <c r="CM1055" s="15" t="s">
        <v>10186</v>
      </c>
      <c r="CN1055" s="15" t="s">
        <v>10187</v>
      </c>
      <c r="CO1055" s="15" t="s">
        <v>824</v>
      </c>
      <c r="CZ1055" s="15" t="s">
        <v>2600</v>
      </c>
      <c r="DA1055" s="15">
        <v>4.0</v>
      </c>
      <c r="DB1055" s="15" t="s">
        <v>2604</v>
      </c>
      <c r="DD1055" s="15">
        <v>1.0</v>
      </c>
      <c r="DE1055" s="15" t="s">
        <v>426</v>
      </c>
      <c r="DF1055" s="15" t="s">
        <v>764</v>
      </c>
      <c r="DG1055" s="15" t="s">
        <v>421</v>
      </c>
      <c r="DK1055" s="15">
        <v>0.0</v>
      </c>
      <c r="DR1055" s="15" t="s">
        <v>10188</v>
      </c>
      <c r="DS1055" s="15" t="s">
        <v>10015</v>
      </c>
      <c r="DU1055" s="15" t="s">
        <v>500</v>
      </c>
      <c r="EF1055" s="15" t="s">
        <v>3857</v>
      </c>
      <c r="EG1055" s="15" t="s">
        <v>779</v>
      </c>
      <c r="EH1055" s="15" t="s">
        <v>10190</v>
      </c>
      <c r="EQ1055" s="15" t="s">
        <v>1074</v>
      </c>
      <c r="ER1055" s="15" t="s">
        <v>2974</v>
      </c>
      <c r="ES1055" s="15" t="s">
        <v>10191</v>
      </c>
      <c r="ET1055" s="15" t="s">
        <v>2046</v>
      </c>
      <c r="EU1055" s="15" t="s">
        <v>426</v>
      </c>
      <c r="EV1055" s="15">
        <v>2.0</v>
      </c>
      <c r="FO1055" s="15" t="s">
        <v>426</v>
      </c>
      <c r="FQ1055" s="15">
        <v>0.0</v>
      </c>
      <c r="FR1055" s="15" t="s">
        <v>427</v>
      </c>
      <c r="FZ1055" s="15" t="s">
        <v>2598</v>
      </c>
      <c r="GA1055" s="15" t="s">
        <v>2598</v>
      </c>
      <c r="GB1055" s="15" t="s">
        <v>5796</v>
      </c>
      <c r="GC1055" s="15" t="s">
        <v>5059</v>
      </c>
      <c r="GD1055" s="15" t="s">
        <v>3775</v>
      </c>
      <c r="GE1055" s="15" t="s">
        <v>3775</v>
      </c>
      <c r="GF1055" s="15" t="s">
        <v>2604</v>
      </c>
      <c r="GH1055" s="15" t="s">
        <v>764</v>
      </c>
      <c r="GI1055" s="15" t="s">
        <v>426</v>
      </c>
      <c r="GM1055" s="15">
        <v>2.0</v>
      </c>
    </row>
    <row r="1056" ht="17.25" customHeight="1">
      <c r="A1056" s="15" t="s">
        <v>10193</v>
      </c>
      <c r="B1056" s="15" t="str">
        <f>"801542507350"</f>
        <v>801542507350</v>
      </c>
      <c r="C1056" s="15" t="s">
        <v>24303</v>
      </c>
      <c r="D1056" s="15" t="str">
        <f t="shared" si="1"/>
        <v>Trey Modular Filing CredenzaBlack Wash Poplar</v>
      </c>
      <c r="E1056" s="15" t="s">
        <v>10178</v>
      </c>
      <c r="F1056" s="15" t="s">
        <v>397</v>
      </c>
      <c r="G1056" s="15" t="s">
        <v>10017</v>
      </c>
      <c r="J1056" s="15" t="s">
        <v>10017</v>
      </c>
      <c r="K1056" s="15" t="s">
        <v>5928</v>
      </c>
      <c r="M1056" s="15" t="s">
        <v>4463</v>
      </c>
      <c r="N1056" s="15" t="s">
        <v>10166</v>
      </c>
      <c r="P1056" s="15" t="str">
        <f t="shared" si="3078"/>
        <v>59.75</v>
      </c>
      <c r="Q1056" s="15" t="str">
        <f t="shared" si="3067"/>
        <v>22</v>
      </c>
      <c r="R1056" s="15" t="str">
        <f t="shared" si="3068"/>
        <v>31</v>
      </c>
      <c r="S1056" s="15" t="str">
        <f t="shared" si="3079"/>
        <v>130.07</v>
      </c>
      <c r="T1056" s="15" t="s">
        <v>5927</v>
      </c>
      <c r="U1056" s="15" t="s">
        <v>17219</v>
      </c>
      <c r="V1056" s="15" t="s">
        <v>11137</v>
      </c>
      <c r="AA1056" s="15" t="s">
        <v>413</v>
      </c>
      <c r="AB1056" s="15" t="s">
        <v>413</v>
      </c>
      <c r="AC1056" s="15" t="s">
        <v>10195</v>
      </c>
      <c r="AD1056" s="15" t="s">
        <v>24304</v>
      </c>
      <c r="AE1056" s="15" t="s">
        <v>10194</v>
      </c>
      <c r="AF1056" s="15" t="s">
        <v>24305</v>
      </c>
      <c r="AG1056" s="15" t="s">
        <v>24306</v>
      </c>
      <c r="AH1056" s="15" t="s">
        <v>24307</v>
      </c>
      <c r="AI1056" s="15" t="s">
        <v>24308</v>
      </c>
      <c r="AJ1056" s="15" t="s">
        <v>24309</v>
      </c>
      <c r="AK1056" s="15" t="s">
        <v>24310</v>
      </c>
      <c r="AL1056" s="15" t="s">
        <v>24311</v>
      </c>
      <c r="AM1056" s="15" t="s">
        <v>24312</v>
      </c>
      <c r="AN1056" s="15" t="s">
        <v>24313</v>
      </c>
      <c r="AO1056" s="15" t="s">
        <v>24314</v>
      </c>
      <c r="AP1056" s="15" t="s">
        <v>24315</v>
      </c>
      <c r="AQ1056" s="15" t="s">
        <v>24316</v>
      </c>
      <c r="BH1056" s="15" t="s">
        <v>10192</v>
      </c>
      <c r="BI1056" s="15" t="str">
        <f t="shared" si="3080"/>
        <v>1499</v>
      </c>
      <c r="BJ1056" s="15" t="str">
        <f t="shared" si="3081"/>
        <v>630</v>
      </c>
      <c r="BK1056" s="15" t="s">
        <v>415</v>
      </c>
      <c r="BL1056" s="15" t="str">
        <f t="shared" si="3014"/>
        <v>1</v>
      </c>
      <c r="BM1056" s="15" t="s">
        <v>416</v>
      </c>
      <c r="BN1056" s="15" t="str">
        <f t="shared" si="3082"/>
        <v>64.57</v>
      </c>
      <c r="BO1056" s="15" t="str">
        <f t="shared" si="3083"/>
        <v>26.57</v>
      </c>
      <c r="BP1056" s="15" t="str">
        <f t="shared" si="3084"/>
        <v>35.83</v>
      </c>
      <c r="BQ1056" s="15" t="str">
        <f t="shared" si="3085"/>
        <v>156.53</v>
      </c>
      <c r="CG1056" s="15" t="str">
        <f t="shared" si="3086"/>
        <v>35.56</v>
      </c>
      <c r="CH1056" s="15" t="str">
        <f t="shared" si="3087"/>
        <v>1.007</v>
      </c>
      <c r="CI1056" s="15" t="s">
        <v>497</v>
      </c>
      <c r="CJ1056" s="15" t="s">
        <v>10186</v>
      </c>
      <c r="CK1056" s="15" t="s">
        <v>2046</v>
      </c>
      <c r="CL1056" s="15" t="s">
        <v>824</v>
      </c>
      <c r="CM1056" s="15" t="s">
        <v>10186</v>
      </c>
      <c r="CN1056" s="15" t="s">
        <v>10187</v>
      </c>
      <c r="CO1056" s="15" t="s">
        <v>824</v>
      </c>
      <c r="CZ1056" s="15" t="s">
        <v>2600</v>
      </c>
      <c r="DA1056" s="15">
        <v>4.0</v>
      </c>
      <c r="DB1056" s="15" t="s">
        <v>2604</v>
      </c>
      <c r="DD1056" s="15">
        <v>1.0</v>
      </c>
      <c r="DE1056" s="15" t="s">
        <v>426</v>
      </c>
      <c r="DF1056" s="15" t="s">
        <v>764</v>
      </c>
      <c r="DG1056" s="15" t="s">
        <v>421</v>
      </c>
      <c r="DK1056" s="15">
        <v>0.0</v>
      </c>
      <c r="DR1056" s="15" t="s">
        <v>10188</v>
      </c>
      <c r="DS1056" s="15" t="s">
        <v>10015</v>
      </c>
      <c r="DU1056" s="15" t="s">
        <v>500</v>
      </c>
      <c r="EF1056" s="15" t="s">
        <v>3857</v>
      </c>
      <c r="EG1056" s="15" t="s">
        <v>779</v>
      </c>
      <c r="EH1056" s="15" t="s">
        <v>10190</v>
      </c>
      <c r="EQ1056" s="15" t="s">
        <v>1074</v>
      </c>
      <c r="ER1056" s="15" t="s">
        <v>2974</v>
      </c>
      <c r="ES1056" s="15" t="s">
        <v>10191</v>
      </c>
      <c r="ET1056" s="15" t="s">
        <v>2046</v>
      </c>
      <c r="EU1056" s="15" t="s">
        <v>426</v>
      </c>
      <c r="EV1056" s="15">
        <v>2.0</v>
      </c>
      <c r="FO1056" s="15" t="s">
        <v>426</v>
      </c>
      <c r="FQ1056" s="15">
        <v>0.0</v>
      </c>
      <c r="FR1056" s="15" t="s">
        <v>427</v>
      </c>
      <c r="FZ1056" s="15" t="s">
        <v>2598</v>
      </c>
      <c r="GA1056" s="15" t="s">
        <v>2598</v>
      </c>
      <c r="GB1056" s="15" t="s">
        <v>5796</v>
      </c>
      <c r="GC1056" s="15" t="s">
        <v>5059</v>
      </c>
      <c r="GD1056" s="15" t="s">
        <v>3775</v>
      </c>
      <c r="GE1056" s="15" t="s">
        <v>3775</v>
      </c>
      <c r="GF1056" s="15" t="s">
        <v>2604</v>
      </c>
      <c r="GH1056" s="15" t="s">
        <v>764</v>
      </c>
      <c r="GI1056" s="15" t="s">
        <v>426</v>
      </c>
      <c r="GM1056" s="15">
        <v>2.0</v>
      </c>
    </row>
    <row r="1057" ht="17.25" customHeight="1">
      <c r="A1057" s="15" t="s">
        <v>10197</v>
      </c>
      <c r="B1057" s="15" t="str">
        <f>"801542769543"</f>
        <v>801542769543</v>
      </c>
      <c r="C1057" s="15" t="s">
        <v>24317</v>
      </c>
      <c r="D1057" s="15" t="str">
        <f t="shared" si="1"/>
        <v>Trey Modular Filing CredenzaDove Poplar</v>
      </c>
      <c r="E1057" s="15" t="s">
        <v>10178</v>
      </c>
      <c r="F1057" s="15" t="s">
        <v>397</v>
      </c>
      <c r="G1057" s="15" t="s">
        <v>10022</v>
      </c>
      <c r="J1057" s="15" t="s">
        <v>10022</v>
      </c>
      <c r="K1057" s="15" t="s">
        <v>5928</v>
      </c>
      <c r="M1057" s="15" t="s">
        <v>4463</v>
      </c>
      <c r="N1057" s="15" t="s">
        <v>10166</v>
      </c>
      <c r="P1057" s="15" t="str">
        <f t="shared" si="3078"/>
        <v>59.75</v>
      </c>
      <c r="Q1057" s="15" t="str">
        <f t="shared" si="3067"/>
        <v>22</v>
      </c>
      <c r="R1057" s="15" t="str">
        <f t="shared" si="3068"/>
        <v>31</v>
      </c>
      <c r="S1057" s="15" t="str">
        <f t="shared" si="3079"/>
        <v>130.07</v>
      </c>
      <c r="T1057" s="15" t="s">
        <v>5927</v>
      </c>
      <c r="U1057" s="15" t="s">
        <v>17219</v>
      </c>
      <c r="V1057" s="15" t="s">
        <v>11137</v>
      </c>
      <c r="AA1057" s="15" t="s">
        <v>413</v>
      </c>
      <c r="AB1057" s="15" t="s">
        <v>413</v>
      </c>
      <c r="AC1057" s="15" t="s">
        <v>10199</v>
      </c>
      <c r="AD1057" s="15" t="s">
        <v>24318</v>
      </c>
      <c r="AE1057" s="15" t="s">
        <v>10198</v>
      </c>
      <c r="AF1057" s="15" t="s">
        <v>24319</v>
      </c>
      <c r="AG1057" s="15" t="s">
        <v>24320</v>
      </c>
      <c r="AH1057" s="15" t="s">
        <v>24321</v>
      </c>
      <c r="AI1057" s="15" t="s">
        <v>24322</v>
      </c>
      <c r="AJ1057" s="15" t="s">
        <v>24323</v>
      </c>
      <c r="AK1057" s="15" t="s">
        <v>23879</v>
      </c>
      <c r="AL1057" s="15" t="s">
        <v>24324</v>
      </c>
      <c r="AM1057" s="15" t="s">
        <v>24325</v>
      </c>
      <c r="AN1057" s="15" t="s">
        <v>24326</v>
      </c>
      <c r="AO1057" s="15" t="s">
        <v>24327</v>
      </c>
      <c r="AP1057" s="15" t="s">
        <v>24328</v>
      </c>
      <c r="AQ1057" s="15" t="s">
        <v>24329</v>
      </c>
      <c r="AR1057" s="15" t="s">
        <v>24330</v>
      </c>
      <c r="AS1057" s="15" t="s">
        <v>24331</v>
      </c>
      <c r="AT1057" s="15" t="s">
        <v>24332</v>
      </c>
      <c r="AU1057" s="15" t="s">
        <v>24333</v>
      </c>
      <c r="BH1057" s="15" t="s">
        <v>10196</v>
      </c>
      <c r="BI1057" s="15" t="str">
        <f t="shared" si="3080"/>
        <v>1499</v>
      </c>
      <c r="BJ1057" s="15" t="str">
        <f t="shared" si="3081"/>
        <v>630</v>
      </c>
      <c r="BK1057" s="15" t="s">
        <v>415</v>
      </c>
      <c r="BL1057" s="15" t="str">
        <f t="shared" si="3014"/>
        <v>1</v>
      </c>
      <c r="BM1057" s="15" t="s">
        <v>416</v>
      </c>
      <c r="BN1057" s="15" t="str">
        <f t="shared" si="3082"/>
        <v>64.57</v>
      </c>
      <c r="BO1057" s="15" t="str">
        <f t="shared" si="3083"/>
        <v>26.57</v>
      </c>
      <c r="BP1057" s="15" t="str">
        <f t="shared" si="3084"/>
        <v>35.83</v>
      </c>
      <c r="BQ1057" s="15" t="str">
        <f t="shared" si="3085"/>
        <v>156.53</v>
      </c>
      <c r="CG1057" s="15" t="str">
        <f t="shared" si="3086"/>
        <v>35.56</v>
      </c>
      <c r="CH1057" s="15" t="str">
        <f t="shared" si="3087"/>
        <v>1.007</v>
      </c>
      <c r="CI1057" s="15" t="s">
        <v>465</v>
      </c>
      <c r="CJ1057" s="15" t="s">
        <v>10186</v>
      </c>
      <c r="CK1057" s="15" t="s">
        <v>2046</v>
      </c>
      <c r="CL1057" s="15" t="s">
        <v>824</v>
      </c>
      <c r="CM1057" s="15" t="s">
        <v>10186</v>
      </c>
      <c r="CN1057" s="15" t="s">
        <v>10187</v>
      </c>
      <c r="CO1057" s="15" t="s">
        <v>824</v>
      </c>
      <c r="CZ1057" s="15" t="s">
        <v>2600</v>
      </c>
      <c r="DA1057" s="15">
        <v>4.0</v>
      </c>
      <c r="DB1057" s="15" t="s">
        <v>2604</v>
      </c>
      <c r="DD1057" s="15">
        <v>1.0</v>
      </c>
      <c r="DE1057" s="15" t="s">
        <v>426</v>
      </c>
      <c r="DF1057" s="15" t="s">
        <v>764</v>
      </c>
      <c r="DG1057" s="15" t="s">
        <v>421</v>
      </c>
      <c r="DK1057" s="15">
        <v>0.0</v>
      </c>
      <c r="DR1057" s="15" t="s">
        <v>10188</v>
      </c>
      <c r="DS1057" s="15" t="s">
        <v>10015</v>
      </c>
      <c r="DU1057" s="15" t="s">
        <v>500</v>
      </c>
      <c r="EF1057" s="15" t="s">
        <v>3857</v>
      </c>
      <c r="EG1057" s="15" t="s">
        <v>779</v>
      </c>
      <c r="EH1057" s="15" t="s">
        <v>10190</v>
      </c>
      <c r="EQ1057" s="15" t="s">
        <v>1074</v>
      </c>
      <c r="ER1057" s="15" t="s">
        <v>2974</v>
      </c>
      <c r="ES1057" s="15" t="s">
        <v>10191</v>
      </c>
      <c r="ET1057" s="15" t="s">
        <v>2046</v>
      </c>
      <c r="EU1057" s="15" t="s">
        <v>426</v>
      </c>
      <c r="EV1057" s="15">
        <v>2.0</v>
      </c>
      <c r="FO1057" s="15" t="s">
        <v>426</v>
      </c>
      <c r="FQ1057" s="15">
        <v>0.0</v>
      </c>
      <c r="FR1057" s="15" t="s">
        <v>427</v>
      </c>
      <c r="FZ1057" s="15" t="s">
        <v>2598</v>
      </c>
      <c r="GA1057" s="15" t="s">
        <v>2598</v>
      </c>
      <c r="GB1057" s="15" t="s">
        <v>5796</v>
      </c>
      <c r="GC1057" s="15" t="s">
        <v>5059</v>
      </c>
      <c r="GD1057" s="15" t="s">
        <v>3775</v>
      </c>
      <c r="GE1057" s="15" t="s">
        <v>3775</v>
      </c>
      <c r="GF1057" s="15" t="s">
        <v>2604</v>
      </c>
      <c r="GH1057" s="15" t="s">
        <v>764</v>
      </c>
      <c r="GI1057" s="15" t="s">
        <v>426</v>
      </c>
      <c r="GM1057" s="15">
        <v>2.0</v>
      </c>
    </row>
    <row r="1058" ht="17.25" customHeight="1">
      <c r="A1058" s="15" t="s">
        <v>10202</v>
      </c>
      <c r="B1058" s="15" t="str">
        <f>"801542623043"</f>
        <v>801542623043</v>
      </c>
      <c r="C1058" s="15" t="s">
        <v>24334</v>
      </c>
      <c r="D1058" s="15" t="str">
        <f t="shared" si="1"/>
        <v>Trey Modular Wide BookcaseAuburn Poplar</v>
      </c>
      <c r="E1058" s="15" t="s">
        <v>10200</v>
      </c>
      <c r="F1058" s="15" t="s">
        <v>397</v>
      </c>
      <c r="G1058" s="15" t="s">
        <v>10010</v>
      </c>
      <c r="J1058" s="15" t="s">
        <v>10010</v>
      </c>
      <c r="K1058" s="15" t="s">
        <v>10013</v>
      </c>
      <c r="M1058" s="15" t="s">
        <v>4463</v>
      </c>
      <c r="N1058" s="15" t="s">
        <v>1899</v>
      </c>
      <c r="P1058" s="15" t="str">
        <f t="shared" ref="P1058:P1060" si="3088">"35"</f>
        <v>35</v>
      </c>
      <c r="Q1058" s="15" t="str">
        <f t="shared" ref="Q1058:Q1060" si="3089">"17"</f>
        <v>17</v>
      </c>
      <c r="R1058" s="15" t="str">
        <f t="shared" ref="R1058:R1060" si="3090">"83"</f>
        <v>83</v>
      </c>
      <c r="S1058" s="15" t="str">
        <f t="shared" ref="S1058:S1060" si="3091">"125.66"</f>
        <v>125.66</v>
      </c>
      <c r="T1058" s="15" t="s">
        <v>5927</v>
      </c>
      <c r="U1058" s="15" t="s">
        <v>17219</v>
      </c>
      <c r="V1058" s="15" t="s">
        <v>11137</v>
      </c>
      <c r="AA1058" s="15" t="s">
        <v>413</v>
      </c>
      <c r="AB1058" s="15" t="s">
        <v>413</v>
      </c>
      <c r="AC1058" s="15" t="s">
        <v>10204</v>
      </c>
      <c r="AD1058" s="15" t="s">
        <v>24335</v>
      </c>
      <c r="AE1058" s="15" t="s">
        <v>10203</v>
      </c>
      <c r="AF1058" s="15" t="s">
        <v>24336</v>
      </c>
      <c r="AG1058" s="15" t="s">
        <v>24337</v>
      </c>
      <c r="AH1058" s="15" t="s">
        <v>24338</v>
      </c>
      <c r="AI1058" s="15" t="s">
        <v>24339</v>
      </c>
      <c r="AJ1058" s="15" t="s">
        <v>24340</v>
      </c>
      <c r="AK1058" s="15" t="s">
        <v>24341</v>
      </c>
      <c r="AL1058" s="15" t="s">
        <v>24342</v>
      </c>
      <c r="AM1058" s="15" t="s">
        <v>24343</v>
      </c>
      <c r="AN1058" s="15" t="s">
        <v>24344</v>
      </c>
      <c r="AO1058" s="15" t="s">
        <v>24345</v>
      </c>
      <c r="AP1058" s="15" t="s">
        <v>24346</v>
      </c>
      <c r="AQ1058" s="15" t="s">
        <v>24347</v>
      </c>
      <c r="BH1058" s="15" t="s">
        <v>10201</v>
      </c>
      <c r="BI1058" s="15" t="str">
        <f t="shared" ref="BI1058:BI1060" si="3092">"1899"</f>
        <v>1899</v>
      </c>
      <c r="BJ1058" s="15" t="str">
        <f t="shared" ref="BJ1058:BJ1060" si="3093">"800"</f>
        <v>800</v>
      </c>
      <c r="BK1058" s="15" t="s">
        <v>415</v>
      </c>
      <c r="BL1058" s="15" t="str">
        <f t="shared" si="3014"/>
        <v>1</v>
      </c>
      <c r="BM1058" s="15" t="s">
        <v>416</v>
      </c>
      <c r="BN1058" s="15" t="str">
        <f t="shared" ref="BN1058:BN1060" si="3094">"40.75"</f>
        <v>40.75</v>
      </c>
      <c r="BO1058" s="15" t="str">
        <f t="shared" ref="BO1058:BO1060" si="3095">"21.26"</f>
        <v>21.26</v>
      </c>
      <c r="BP1058" s="15" t="str">
        <f t="shared" ref="BP1058:BP1060" si="3096">"90.35"</f>
        <v>90.35</v>
      </c>
      <c r="BQ1058" s="15" t="str">
        <f t="shared" ref="BQ1058:BQ1060" si="3097">"186.29"</f>
        <v>186.29</v>
      </c>
      <c r="CG1058" s="15" t="str">
        <f t="shared" ref="CG1058:CG1060" si="3098">"45.31"</f>
        <v>45.31</v>
      </c>
      <c r="CH1058" s="15" t="str">
        <f t="shared" ref="CH1058:CH1060" si="3099">"1.283"</f>
        <v>1.283</v>
      </c>
      <c r="CI1058" s="15" t="s">
        <v>497</v>
      </c>
      <c r="CJ1058" s="15" t="s">
        <v>2178</v>
      </c>
      <c r="CK1058" s="15" t="s">
        <v>2046</v>
      </c>
      <c r="CL1058" s="15" t="s">
        <v>9792</v>
      </c>
      <c r="CM1058" s="15" t="s">
        <v>3735</v>
      </c>
      <c r="CN1058" s="15" t="s">
        <v>866</v>
      </c>
      <c r="CO1058" s="15" t="s">
        <v>10206</v>
      </c>
      <c r="CZ1058" s="15" t="s">
        <v>419</v>
      </c>
      <c r="DA1058" s="15">
        <v>0.0</v>
      </c>
      <c r="DB1058" s="15" t="s">
        <v>419</v>
      </c>
      <c r="DD1058" s="15">
        <v>3.0</v>
      </c>
      <c r="DE1058" s="15" t="s">
        <v>426</v>
      </c>
      <c r="DF1058" s="15" t="s">
        <v>764</v>
      </c>
      <c r="DG1058" s="15" t="s">
        <v>610</v>
      </c>
      <c r="DI1058" s="15">
        <v>18.14</v>
      </c>
      <c r="DJ1058" s="15">
        <v>40.0</v>
      </c>
      <c r="DK1058" s="15">
        <v>1.0</v>
      </c>
      <c r="DR1058" s="15" t="s">
        <v>1906</v>
      </c>
      <c r="DS1058" s="15" t="s">
        <v>10015</v>
      </c>
      <c r="EF1058" s="15" t="s">
        <v>2050</v>
      </c>
      <c r="EU1058" s="15" t="s">
        <v>426</v>
      </c>
      <c r="EV1058" s="15">
        <v>5.0</v>
      </c>
      <c r="FH1058" s="15" t="s">
        <v>3102</v>
      </c>
      <c r="FI1058" s="15" t="s">
        <v>2046</v>
      </c>
      <c r="FJ1058" s="15" t="s">
        <v>2051</v>
      </c>
      <c r="FK1058" s="15" t="s">
        <v>3735</v>
      </c>
      <c r="FL1058" s="15" t="s">
        <v>2046</v>
      </c>
      <c r="FM1058" s="15" t="s">
        <v>1375</v>
      </c>
      <c r="FO1058" s="15" t="s">
        <v>426</v>
      </c>
      <c r="FQ1058" s="15">
        <v>2.0</v>
      </c>
      <c r="FR1058" s="15" t="s">
        <v>614</v>
      </c>
      <c r="FS1058" s="15" t="s">
        <v>615</v>
      </c>
      <c r="FU1058" s="15" t="s">
        <v>426</v>
      </c>
      <c r="FW1058" s="15" t="s">
        <v>616</v>
      </c>
      <c r="GJ1058" s="15" t="s">
        <v>2178</v>
      </c>
      <c r="GK1058" s="15" t="s">
        <v>822</v>
      </c>
      <c r="GL1058" s="15" t="s">
        <v>10207</v>
      </c>
      <c r="GZ1058" s="15" t="s">
        <v>2178</v>
      </c>
      <c r="HA1058" s="15" t="s">
        <v>2178</v>
      </c>
      <c r="HB1058" s="15" t="s">
        <v>1374</v>
      </c>
      <c r="HC1058" s="15" t="s">
        <v>7065</v>
      </c>
      <c r="HD1058" s="15" t="s">
        <v>10207</v>
      </c>
      <c r="HE1058" s="15" t="s">
        <v>10207</v>
      </c>
      <c r="KG1058" s="15" t="s">
        <v>2178</v>
      </c>
      <c r="KH1058" s="15" t="s">
        <v>4258</v>
      </c>
      <c r="KI1058" s="15" t="s">
        <v>10207</v>
      </c>
    </row>
    <row r="1059" ht="17.25" customHeight="1">
      <c r="A1059" s="15" t="s">
        <v>10209</v>
      </c>
      <c r="B1059" s="15" t="str">
        <f>"801542623050"</f>
        <v>801542623050</v>
      </c>
      <c r="C1059" s="15" t="s">
        <v>24348</v>
      </c>
      <c r="D1059" s="15" t="str">
        <f t="shared" si="1"/>
        <v>Trey Modular Wide BookcaseBlack Wash Poplar</v>
      </c>
      <c r="E1059" s="15" t="s">
        <v>10200</v>
      </c>
      <c r="F1059" s="15" t="s">
        <v>397</v>
      </c>
      <c r="G1059" s="15" t="s">
        <v>10017</v>
      </c>
      <c r="J1059" s="15" t="s">
        <v>10017</v>
      </c>
      <c r="K1059" s="15" t="s">
        <v>5928</v>
      </c>
      <c r="M1059" s="15" t="s">
        <v>4463</v>
      </c>
      <c r="N1059" s="15" t="s">
        <v>1899</v>
      </c>
      <c r="P1059" s="15" t="str">
        <f t="shared" si="3088"/>
        <v>35</v>
      </c>
      <c r="Q1059" s="15" t="str">
        <f t="shared" si="3089"/>
        <v>17</v>
      </c>
      <c r="R1059" s="15" t="str">
        <f t="shared" si="3090"/>
        <v>83</v>
      </c>
      <c r="S1059" s="15" t="str">
        <f t="shared" si="3091"/>
        <v>125.66</v>
      </c>
      <c r="T1059" s="15" t="s">
        <v>5927</v>
      </c>
      <c r="U1059" s="15" t="s">
        <v>17219</v>
      </c>
      <c r="V1059" s="15" t="s">
        <v>11137</v>
      </c>
      <c r="AA1059" s="15" t="s">
        <v>413</v>
      </c>
      <c r="AB1059" s="15" t="s">
        <v>413</v>
      </c>
      <c r="AC1059" s="15" t="s">
        <v>10211</v>
      </c>
      <c r="AD1059" s="15" t="s">
        <v>24349</v>
      </c>
      <c r="AE1059" s="15" t="s">
        <v>10210</v>
      </c>
      <c r="AF1059" s="15" t="s">
        <v>24350</v>
      </c>
      <c r="AG1059" s="15" t="s">
        <v>24351</v>
      </c>
      <c r="AH1059" s="15" t="s">
        <v>24352</v>
      </c>
      <c r="AI1059" s="15" t="s">
        <v>24353</v>
      </c>
      <c r="AJ1059" s="15" t="s">
        <v>24354</v>
      </c>
      <c r="AK1059" s="15" t="s">
        <v>24355</v>
      </c>
      <c r="AL1059" s="15" t="s">
        <v>24356</v>
      </c>
      <c r="AM1059" s="15" t="s">
        <v>24357</v>
      </c>
      <c r="AN1059" s="15" t="s">
        <v>24358</v>
      </c>
      <c r="AO1059" s="15" t="s">
        <v>24359</v>
      </c>
      <c r="AP1059" s="15" t="s">
        <v>24360</v>
      </c>
      <c r="AQ1059" s="15" t="s">
        <v>24361</v>
      </c>
      <c r="AR1059" s="15" t="s">
        <v>24362</v>
      </c>
      <c r="BH1059" s="15" t="s">
        <v>10208</v>
      </c>
      <c r="BI1059" s="15" t="str">
        <f t="shared" si="3092"/>
        <v>1899</v>
      </c>
      <c r="BJ1059" s="15" t="str">
        <f t="shared" si="3093"/>
        <v>800</v>
      </c>
      <c r="BK1059" s="15" t="s">
        <v>415</v>
      </c>
      <c r="BL1059" s="15" t="str">
        <f t="shared" si="3014"/>
        <v>1</v>
      </c>
      <c r="BM1059" s="15" t="s">
        <v>416</v>
      </c>
      <c r="BN1059" s="15" t="str">
        <f t="shared" si="3094"/>
        <v>40.75</v>
      </c>
      <c r="BO1059" s="15" t="str">
        <f t="shared" si="3095"/>
        <v>21.26</v>
      </c>
      <c r="BP1059" s="15" t="str">
        <f t="shared" si="3096"/>
        <v>90.35</v>
      </c>
      <c r="BQ1059" s="15" t="str">
        <f t="shared" si="3097"/>
        <v>186.29</v>
      </c>
      <c r="CG1059" s="15" t="str">
        <f t="shared" si="3098"/>
        <v>45.31</v>
      </c>
      <c r="CH1059" s="15" t="str">
        <f t="shared" si="3099"/>
        <v>1.283</v>
      </c>
      <c r="CI1059" s="15" t="s">
        <v>497</v>
      </c>
      <c r="CJ1059" s="15" t="s">
        <v>2178</v>
      </c>
      <c r="CK1059" s="15" t="s">
        <v>2046</v>
      </c>
      <c r="CL1059" s="15" t="s">
        <v>9792</v>
      </c>
      <c r="CM1059" s="15" t="s">
        <v>3735</v>
      </c>
      <c r="CN1059" s="15" t="s">
        <v>866</v>
      </c>
      <c r="CO1059" s="15" t="s">
        <v>10206</v>
      </c>
      <c r="CZ1059" s="15" t="s">
        <v>419</v>
      </c>
      <c r="DA1059" s="15">
        <v>0.0</v>
      </c>
      <c r="DB1059" s="15" t="s">
        <v>419</v>
      </c>
      <c r="DD1059" s="15">
        <v>3.0</v>
      </c>
      <c r="DE1059" s="15" t="s">
        <v>426</v>
      </c>
      <c r="DF1059" s="15" t="s">
        <v>764</v>
      </c>
      <c r="DG1059" s="15" t="s">
        <v>610</v>
      </c>
      <c r="DI1059" s="15">
        <v>18.14</v>
      </c>
      <c r="DJ1059" s="15">
        <v>40.0</v>
      </c>
      <c r="DK1059" s="15">
        <v>1.0</v>
      </c>
      <c r="DR1059" s="15" t="s">
        <v>1906</v>
      </c>
      <c r="DS1059" s="15" t="s">
        <v>10015</v>
      </c>
      <c r="EF1059" s="15" t="s">
        <v>2050</v>
      </c>
      <c r="EU1059" s="15" t="s">
        <v>426</v>
      </c>
      <c r="EV1059" s="15">
        <v>5.0</v>
      </c>
      <c r="FH1059" s="15" t="s">
        <v>3102</v>
      </c>
      <c r="FI1059" s="15" t="s">
        <v>2046</v>
      </c>
      <c r="FJ1059" s="15" t="s">
        <v>2051</v>
      </c>
      <c r="FK1059" s="15" t="s">
        <v>3735</v>
      </c>
      <c r="FL1059" s="15" t="s">
        <v>2046</v>
      </c>
      <c r="FM1059" s="15" t="s">
        <v>1375</v>
      </c>
      <c r="FO1059" s="15" t="s">
        <v>426</v>
      </c>
      <c r="FQ1059" s="15">
        <v>2.0</v>
      </c>
      <c r="FR1059" s="15" t="s">
        <v>614</v>
      </c>
      <c r="FS1059" s="15" t="s">
        <v>615</v>
      </c>
      <c r="FU1059" s="15" t="s">
        <v>426</v>
      </c>
      <c r="FW1059" s="15" t="s">
        <v>616</v>
      </c>
      <c r="GJ1059" s="15" t="s">
        <v>2178</v>
      </c>
      <c r="GK1059" s="15" t="s">
        <v>822</v>
      </c>
      <c r="GL1059" s="15" t="s">
        <v>10207</v>
      </c>
      <c r="GZ1059" s="15" t="s">
        <v>2178</v>
      </c>
      <c r="HA1059" s="15" t="s">
        <v>2178</v>
      </c>
      <c r="HB1059" s="15" t="s">
        <v>1374</v>
      </c>
      <c r="HC1059" s="15" t="s">
        <v>7065</v>
      </c>
      <c r="HD1059" s="15" t="s">
        <v>10207</v>
      </c>
      <c r="HE1059" s="15" t="s">
        <v>10207</v>
      </c>
      <c r="KG1059" s="15" t="s">
        <v>2178</v>
      </c>
      <c r="KH1059" s="15" t="s">
        <v>4258</v>
      </c>
      <c r="KI1059" s="15" t="s">
        <v>10207</v>
      </c>
    </row>
    <row r="1060" ht="17.25" customHeight="1">
      <c r="A1060" s="15" t="s">
        <v>10213</v>
      </c>
      <c r="B1060" s="15" t="str">
        <f>"801542763398"</f>
        <v>801542763398</v>
      </c>
      <c r="C1060" s="15" t="s">
        <v>24363</v>
      </c>
      <c r="D1060" s="15" t="str">
        <f t="shared" si="1"/>
        <v>Trey Modular Wide BookcaseDove Poplar</v>
      </c>
      <c r="E1060" s="15" t="s">
        <v>10200</v>
      </c>
      <c r="F1060" s="15" t="s">
        <v>397</v>
      </c>
      <c r="G1060" s="15" t="s">
        <v>10022</v>
      </c>
      <c r="J1060" s="15" t="s">
        <v>10022</v>
      </c>
      <c r="K1060" s="15" t="s">
        <v>5928</v>
      </c>
      <c r="M1060" s="15" t="s">
        <v>4463</v>
      </c>
      <c r="N1060" s="15" t="s">
        <v>1899</v>
      </c>
      <c r="P1060" s="15" t="str">
        <f t="shared" si="3088"/>
        <v>35</v>
      </c>
      <c r="Q1060" s="15" t="str">
        <f t="shared" si="3089"/>
        <v>17</v>
      </c>
      <c r="R1060" s="15" t="str">
        <f t="shared" si="3090"/>
        <v>83</v>
      </c>
      <c r="S1060" s="15" t="str">
        <f t="shared" si="3091"/>
        <v>125.66</v>
      </c>
      <c r="T1060" s="15" t="s">
        <v>5927</v>
      </c>
      <c r="U1060" s="15" t="s">
        <v>17219</v>
      </c>
      <c r="V1060" s="15" t="s">
        <v>11137</v>
      </c>
      <c r="AA1060" s="15" t="s">
        <v>413</v>
      </c>
      <c r="AB1060" s="15" t="s">
        <v>413</v>
      </c>
      <c r="AC1060" s="15" t="s">
        <v>10215</v>
      </c>
      <c r="AD1060" s="15" t="s">
        <v>24364</v>
      </c>
      <c r="AE1060" s="15" t="s">
        <v>10214</v>
      </c>
      <c r="AF1060" s="15" t="s">
        <v>24365</v>
      </c>
      <c r="AG1060" s="15" t="s">
        <v>24366</v>
      </c>
      <c r="AH1060" s="15" t="s">
        <v>24367</v>
      </c>
      <c r="AI1060" s="15" t="s">
        <v>24368</v>
      </c>
      <c r="AJ1060" s="15" t="s">
        <v>23879</v>
      </c>
      <c r="AK1060" s="15" t="s">
        <v>24369</v>
      </c>
      <c r="AL1060" s="15" t="s">
        <v>24370</v>
      </c>
      <c r="AM1060" s="15" t="s">
        <v>24371</v>
      </c>
      <c r="AN1060" s="15" t="s">
        <v>24372</v>
      </c>
      <c r="AO1060" s="15" t="s">
        <v>24373</v>
      </c>
      <c r="AP1060" s="15" t="s">
        <v>24374</v>
      </c>
      <c r="AQ1060" s="15" t="s">
        <v>24375</v>
      </c>
      <c r="AR1060" s="15" t="s">
        <v>24376</v>
      </c>
      <c r="AS1060" s="15" t="s">
        <v>24377</v>
      </c>
      <c r="BH1060" s="15" t="s">
        <v>10212</v>
      </c>
      <c r="BI1060" s="15" t="str">
        <f t="shared" si="3092"/>
        <v>1899</v>
      </c>
      <c r="BJ1060" s="15" t="str">
        <f t="shared" si="3093"/>
        <v>800</v>
      </c>
      <c r="BK1060" s="15" t="s">
        <v>415</v>
      </c>
      <c r="BL1060" s="15" t="str">
        <f t="shared" si="3014"/>
        <v>1</v>
      </c>
      <c r="BM1060" s="15" t="s">
        <v>416</v>
      </c>
      <c r="BN1060" s="15" t="str">
        <f t="shared" si="3094"/>
        <v>40.75</v>
      </c>
      <c r="BO1060" s="15" t="str">
        <f t="shared" si="3095"/>
        <v>21.26</v>
      </c>
      <c r="BP1060" s="15" t="str">
        <f t="shared" si="3096"/>
        <v>90.35</v>
      </c>
      <c r="BQ1060" s="15" t="str">
        <f t="shared" si="3097"/>
        <v>186.29</v>
      </c>
      <c r="CG1060" s="15" t="str">
        <f t="shared" si="3098"/>
        <v>45.31</v>
      </c>
      <c r="CH1060" s="15" t="str">
        <f t="shared" si="3099"/>
        <v>1.283</v>
      </c>
      <c r="CI1060" s="15" t="s">
        <v>497</v>
      </c>
      <c r="CJ1060" s="15" t="s">
        <v>2178</v>
      </c>
      <c r="CK1060" s="15" t="s">
        <v>2046</v>
      </c>
      <c r="CL1060" s="15" t="s">
        <v>9792</v>
      </c>
      <c r="CM1060" s="15" t="s">
        <v>3735</v>
      </c>
      <c r="CN1060" s="15" t="s">
        <v>866</v>
      </c>
      <c r="CO1060" s="15" t="s">
        <v>10206</v>
      </c>
      <c r="CZ1060" s="15" t="s">
        <v>419</v>
      </c>
      <c r="DA1060" s="15">
        <v>0.0</v>
      </c>
      <c r="DB1060" s="15" t="s">
        <v>419</v>
      </c>
      <c r="DD1060" s="15">
        <v>3.0</v>
      </c>
      <c r="DE1060" s="15" t="s">
        <v>426</v>
      </c>
      <c r="DF1060" s="15" t="s">
        <v>764</v>
      </c>
      <c r="DG1060" s="15" t="s">
        <v>610</v>
      </c>
      <c r="DI1060" s="15">
        <v>18.14</v>
      </c>
      <c r="DJ1060" s="15">
        <v>40.0</v>
      </c>
      <c r="DK1060" s="15">
        <v>1.0</v>
      </c>
      <c r="DR1060" s="15" t="s">
        <v>1906</v>
      </c>
      <c r="DS1060" s="15" t="s">
        <v>10015</v>
      </c>
      <c r="EF1060" s="15" t="s">
        <v>2050</v>
      </c>
      <c r="EU1060" s="15" t="s">
        <v>426</v>
      </c>
      <c r="EV1060" s="15">
        <v>5.0</v>
      </c>
      <c r="FH1060" s="15" t="s">
        <v>3102</v>
      </c>
      <c r="FI1060" s="15" t="s">
        <v>2046</v>
      </c>
      <c r="FJ1060" s="15" t="s">
        <v>2051</v>
      </c>
      <c r="FK1060" s="15" t="s">
        <v>3735</v>
      </c>
      <c r="FL1060" s="15" t="s">
        <v>2046</v>
      </c>
      <c r="FM1060" s="15" t="s">
        <v>1375</v>
      </c>
      <c r="FO1060" s="15" t="s">
        <v>426</v>
      </c>
      <c r="FQ1060" s="15">
        <v>2.0</v>
      </c>
      <c r="FR1060" s="15" t="s">
        <v>614</v>
      </c>
      <c r="FS1060" s="15" t="s">
        <v>615</v>
      </c>
      <c r="FU1060" s="15" t="s">
        <v>426</v>
      </c>
      <c r="FW1060" s="15" t="s">
        <v>616</v>
      </c>
      <c r="GJ1060" s="15" t="s">
        <v>2178</v>
      </c>
      <c r="GK1060" s="15" t="s">
        <v>822</v>
      </c>
      <c r="GL1060" s="15" t="s">
        <v>10207</v>
      </c>
      <c r="GZ1060" s="15" t="s">
        <v>2178</v>
      </c>
      <c r="HA1060" s="15" t="s">
        <v>2178</v>
      </c>
      <c r="HB1060" s="15" t="s">
        <v>1374</v>
      </c>
      <c r="HC1060" s="15" t="s">
        <v>7065</v>
      </c>
      <c r="HD1060" s="15" t="s">
        <v>10207</v>
      </c>
      <c r="HE1060" s="15" t="s">
        <v>10207</v>
      </c>
      <c r="KG1060" s="15" t="s">
        <v>2178</v>
      </c>
      <c r="KH1060" s="15" t="s">
        <v>4258</v>
      </c>
      <c r="KI1060" s="15" t="s">
        <v>10207</v>
      </c>
    </row>
    <row r="1061" ht="17.25" customHeight="1">
      <c r="A1061" s="15" t="s">
        <v>10218</v>
      </c>
      <c r="B1061" s="15" t="str">
        <f>"801542391775"</f>
        <v>801542391775</v>
      </c>
      <c r="C1061" s="15" t="s">
        <v>24378</v>
      </c>
      <c r="D1061" s="15" t="str">
        <f t="shared" si="1"/>
        <v>Trey Modular Writing DeskAuburn Poplar</v>
      </c>
      <c r="E1061" s="15" t="s">
        <v>10216</v>
      </c>
      <c r="F1061" s="15" t="s">
        <v>397</v>
      </c>
      <c r="G1061" s="15" t="s">
        <v>10010</v>
      </c>
      <c r="J1061" s="15" t="s">
        <v>10010</v>
      </c>
      <c r="K1061" s="15" t="s">
        <v>10013</v>
      </c>
      <c r="M1061" s="15" t="s">
        <v>4463</v>
      </c>
      <c r="N1061" s="15" t="s">
        <v>2134</v>
      </c>
      <c r="O1061" s="15" t="s">
        <v>2171</v>
      </c>
      <c r="P1061" s="15" t="str">
        <f t="shared" ref="P1061:P1062" si="3100">"59.75"</f>
        <v>59.75</v>
      </c>
      <c r="Q1061" s="15" t="str">
        <f t="shared" ref="Q1061:Q1062" si="3101">"22"</f>
        <v>22</v>
      </c>
      <c r="R1061" s="15" t="str">
        <f t="shared" ref="R1061:R1062" si="3102">"31"</f>
        <v>31</v>
      </c>
      <c r="S1061" s="15" t="str">
        <f t="shared" ref="S1061:S1062" si="3103">"80.47"</f>
        <v>80.47</v>
      </c>
      <c r="T1061" s="15" t="s">
        <v>5927</v>
      </c>
      <c r="U1061" s="15" t="s">
        <v>17219</v>
      </c>
      <c r="V1061" s="15" t="s">
        <v>11137</v>
      </c>
      <c r="AA1061" s="15" t="s">
        <v>413</v>
      </c>
      <c r="AB1061" s="15" t="s">
        <v>413</v>
      </c>
      <c r="AC1061" s="15" t="s">
        <v>10221</v>
      </c>
      <c r="AD1061" s="15" t="s">
        <v>24379</v>
      </c>
      <c r="AE1061" s="15" t="s">
        <v>10220</v>
      </c>
      <c r="AF1061" s="15" t="s">
        <v>24380</v>
      </c>
      <c r="AG1061" s="15" t="s">
        <v>24381</v>
      </c>
      <c r="AH1061" s="15" t="s">
        <v>24382</v>
      </c>
      <c r="AI1061" s="15" t="s">
        <v>24383</v>
      </c>
      <c r="AJ1061" s="15" t="s">
        <v>24384</v>
      </c>
      <c r="AK1061" s="15" t="s">
        <v>24385</v>
      </c>
      <c r="AL1061" s="15" t="s">
        <v>24386</v>
      </c>
      <c r="AM1061" s="15" t="s">
        <v>24387</v>
      </c>
      <c r="AN1061" s="15" t="s">
        <v>24388</v>
      </c>
      <c r="AO1061" s="15" t="s">
        <v>24389</v>
      </c>
      <c r="AP1061" s="15" t="s">
        <v>24390</v>
      </c>
      <c r="BH1061" s="15" t="s">
        <v>10217</v>
      </c>
      <c r="BI1061" s="15" t="str">
        <f t="shared" ref="BI1061:BI1062" si="3104">"1249"</f>
        <v>1249</v>
      </c>
      <c r="BJ1061" s="15" t="str">
        <f t="shared" ref="BJ1061:BJ1062" si="3105">"525"</f>
        <v>525</v>
      </c>
      <c r="BK1061" s="15" t="s">
        <v>415</v>
      </c>
      <c r="BL1061" s="15" t="str">
        <f t="shared" si="3014"/>
        <v>1</v>
      </c>
      <c r="BM1061" s="15" t="s">
        <v>416</v>
      </c>
      <c r="BN1061" s="15" t="str">
        <f t="shared" ref="BN1061:BN1062" si="3106">"64.49"</f>
        <v>64.49</v>
      </c>
      <c r="BO1061" s="15" t="str">
        <f t="shared" ref="BO1061:BO1062" si="3107">"25.98"</f>
        <v>25.98</v>
      </c>
      <c r="BP1061" s="15" t="str">
        <f t="shared" ref="BP1061:BP1062" si="3108">"34.49"</f>
        <v>34.49</v>
      </c>
      <c r="BQ1061" s="15" t="str">
        <f t="shared" ref="BQ1061:BQ1062" si="3109">"105.82"</f>
        <v>105.82</v>
      </c>
      <c r="CG1061" s="15" t="str">
        <f t="shared" ref="CG1061:CG1062" si="3110">"33.44"</f>
        <v>33.44</v>
      </c>
      <c r="CH1061" s="15" t="str">
        <f t="shared" ref="CH1061:CH1062" si="3111">"0.947"</f>
        <v>0.947</v>
      </c>
      <c r="CI1061" s="15" t="s">
        <v>497</v>
      </c>
      <c r="CZ1061" s="15" t="s">
        <v>2600</v>
      </c>
      <c r="DA1061" s="15">
        <v>3.0</v>
      </c>
      <c r="DB1061" s="15" t="s">
        <v>2604</v>
      </c>
      <c r="DD1061" s="15">
        <v>0.0</v>
      </c>
      <c r="DF1061" s="15" t="s">
        <v>764</v>
      </c>
      <c r="DG1061" s="15" t="s">
        <v>421</v>
      </c>
      <c r="DK1061" s="15">
        <v>0.0</v>
      </c>
      <c r="DR1061" s="15" t="s">
        <v>4768</v>
      </c>
      <c r="DS1061" s="15" t="s">
        <v>10015</v>
      </c>
      <c r="DU1061" s="15" t="s">
        <v>500</v>
      </c>
      <c r="EF1061" s="15" t="s">
        <v>2050</v>
      </c>
      <c r="EG1061" s="15" t="s">
        <v>823</v>
      </c>
      <c r="EH1061" s="15" t="s">
        <v>10190</v>
      </c>
      <c r="EQ1061" s="15" t="s">
        <v>1074</v>
      </c>
      <c r="ER1061" s="15" t="s">
        <v>987</v>
      </c>
      <c r="ES1061" s="15" t="s">
        <v>10191</v>
      </c>
      <c r="ET1061" s="15" t="s">
        <v>2046</v>
      </c>
      <c r="EU1061" s="15" t="s">
        <v>426</v>
      </c>
      <c r="EV1061" s="15">
        <v>0.0</v>
      </c>
      <c r="FE1061" s="15" t="s">
        <v>1806</v>
      </c>
      <c r="FQ1061" s="15">
        <v>0.0</v>
      </c>
      <c r="FR1061" s="15" t="s">
        <v>427</v>
      </c>
      <c r="FZ1061" s="15" t="s">
        <v>824</v>
      </c>
      <c r="GB1061" s="15" t="s">
        <v>1122</v>
      </c>
      <c r="GD1061" s="15" t="s">
        <v>1515</v>
      </c>
      <c r="GF1061" s="15" t="s">
        <v>2604</v>
      </c>
      <c r="GH1061" s="15" t="s">
        <v>764</v>
      </c>
      <c r="GI1061" s="15" t="s">
        <v>426</v>
      </c>
      <c r="GM1061" s="15">
        <v>0.0</v>
      </c>
      <c r="HP1061" s="15" t="s">
        <v>426</v>
      </c>
    </row>
    <row r="1062" ht="17.25" customHeight="1">
      <c r="A1062" s="15" t="s">
        <v>10225</v>
      </c>
      <c r="B1062" s="15" t="str">
        <f>"801542769550"</f>
        <v>801542769550</v>
      </c>
      <c r="C1062" s="15" t="s">
        <v>24391</v>
      </c>
      <c r="D1062" s="15" t="str">
        <f t="shared" si="1"/>
        <v>Trey Modular Writing DeskDove Poplar</v>
      </c>
      <c r="E1062" s="15" t="s">
        <v>10216</v>
      </c>
      <c r="F1062" s="15" t="s">
        <v>397</v>
      </c>
      <c r="G1062" s="15" t="s">
        <v>10022</v>
      </c>
      <c r="J1062" s="15" t="s">
        <v>10022</v>
      </c>
      <c r="K1062" s="15" t="s">
        <v>5928</v>
      </c>
      <c r="M1062" s="15" t="s">
        <v>4463</v>
      </c>
      <c r="N1062" s="15" t="s">
        <v>2134</v>
      </c>
      <c r="O1062" s="15" t="s">
        <v>2171</v>
      </c>
      <c r="P1062" s="15" t="str">
        <f t="shared" si="3100"/>
        <v>59.75</v>
      </c>
      <c r="Q1062" s="15" t="str">
        <f t="shared" si="3101"/>
        <v>22</v>
      </c>
      <c r="R1062" s="15" t="str">
        <f t="shared" si="3102"/>
        <v>31</v>
      </c>
      <c r="S1062" s="15" t="str">
        <f t="shared" si="3103"/>
        <v>80.47</v>
      </c>
      <c r="T1062" s="15" t="s">
        <v>5927</v>
      </c>
      <c r="U1062" s="15" t="s">
        <v>17219</v>
      </c>
      <c r="V1062" s="15" t="s">
        <v>11137</v>
      </c>
      <c r="AA1062" s="15" t="s">
        <v>413</v>
      </c>
      <c r="AB1062" s="15" t="s">
        <v>413</v>
      </c>
      <c r="AC1062" s="15" t="s">
        <v>10227</v>
      </c>
      <c r="AD1062" s="15" t="s">
        <v>24392</v>
      </c>
      <c r="AE1062" s="15" t="s">
        <v>10226</v>
      </c>
      <c r="AF1062" s="15" t="s">
        <v>24393</v>
      </c>
      <c r="AG1062" s="15" t="s">
        <v>24394</v>
      </c>
      <c r="AH1062" s="15" t="s">
        <v>24395</v>
      </c>
      <c r="AI1062" s="15" t="s">
        <v>24396</v>
      </c>
      <c r="AJ1062" s="15" t="s">
        <v>24397</v>
      </c>
      <c r="AK1062" s="15" t="s">
        <v>23879</v>
      </c>
      <c r="AL1062" s="15" t="s">
        <v>24398</v>
      </c>
      <c r="AM1062" s="15" t="s">
        <v>24399</v>
      </c>
      <c r="AN1062" s="15" t="s">
        <v>24400</v>
      </c>
      <c r="AO1062" s="15" t="s">
        <v>24401</v>
      </c>
      <c r="AP1062" s="15" t="s">
        <v>24402</v>
      </c>
      <c r="AQ1062" s="15" t="s">
        <v>24403</v>
      </c>
      <c r="AR1062" s="15" t="s">
        <v>24404</v>
      </c>
      <c r="AS1062" s="15" t="s">
        <v>24405</v>
      </c>
      <c r="BH1062" s="15" t="s">
        <v>10224</v>
      </c>
      <c r="BI1062" s="15" t="str">
        <f t="shared" si="3104"/>
        <v>1249</v>
      </c>
      <c r="BJ1062" s="15" t="str">
        <f t="shared" si="3105"/>
        <v>525</v>
      </c>
      <c r="BK1062" s="15" t="s">
        <v>415</v>
      </c>
      <c r="BL1062" s="15" t="str">
        <f t="shared" si="3014"/>
        <v>1</v>
      </c>
      <c r="BM1062" s="15" t="s">
        <v>416</v>
      </c>
      <c r="BN1062" s="15" t="str">
        <f t="shared" si="3106"/>
        <v>64.49</v>
      </c>
      <c r="BO1062" s="15" t="str">
        <f t="shared" si="3107"/>
        <v>25.98</v>
      </c>
      <c r="BP1062" s="15" t="str">
        <f t="shared" si="3108"/>
        <v>34.49</v>
      </c>
      <c r="BQ1062" s="15" t="str">
        <f t="shared" si="3109"/>
        <v>105.82</v>
      </c>
      <c r="CG1062" s="15" t="str">
        <f t="shared" si="3110"/>
        <v>33.44</v>
      </c>
      <c r="CH1062" s="15" t="str">
        <f t="shared" si="3111"/>
        <v>0.947</v>
      </c>
      <c r="CI1062" s="15" t="s">
        <v>497</v>
      </c>
      <c r="CZ1062" s="15" t="s">
        <v>2600</v>
      </c>
      <c r="DA1062" s="15">
        <v>3.0</v>
      </c>
      <c r="DB1062" s="15" t="s">
        <v>2604</v>
      </c>
      <c r="DD1062" s="15">
        <v>0.0</v>
      </c>
      <c r="DF1062" s="15" t="s">
        <v>764</v>
      </c>
      <c r="DG1062" s="15" t="s">
        <v>421</v>
      </c>
      <c r="DK1062" s="15">
        <v>0.0</v>
      </c>
      <c r="DR1062" s="15" t="s">
        <v>4768</v>
      </c>
      <c r="DS1062" s="15" t="s">
        <v>10015</v>
      </c>
      <c r="DU1062" s="15" t="s">
        <v>500</v>
      </c>
      <c r="EF1062" s="15" t="s">
        <v>2050</v>
      </c>
      <c r="EG1062" s="15" t="s">
        <v>823</v>
      </c>
      <c r="EH1062" s="15" t="s">
        <v>10190</v>
      </c>
      <c r="EQ1062" s="15" t="s">
        <v>1074</v>
      </c>
      <c r="ER1062" s="15" t="s">
        <v>987</v>
      </c>
      <c r="ES1062" s="15" t="s">
        <v>10191</v>
      </c>
      <c r="ET1062" s="15" t="s">
        <v>2046</v>
      </c>
      <c r="EU1062" s="15" t="s">
        <v>426</v>
      </c>
      <c r="EV1062" s="15">
        <v>0.0</v>
      </c>
      <c r="FE1062" s="15" t="s">
        <v>1806</v>
      </c>
      <c r="FQ1062" s="15">
        <v>0.0</v>
      </c>
      <c r="FR1062" s="15" t="s">
        <v>427</v>
      </c>
      <c r="FZ1062" s="15" t="s">
        <v>824</v>
      </c>
      <c r="GB1062" s="15" t="s">
        <v>1122</v>
      </c>
      <c r="GD1062" s="15" t="s">
        <v>1515</v>
      </c>
      <c r="GF1062" s="15" t="s">
        <v>2604</v>
      </c>
      <c r="GH1062" s="15" t="s">
        <v>764</v>
      </c>
      <c r="GI1062" s="15" t="s">
        <v>426</v>
      </c>
      <c r="GM1062" s="15">
        <v>0.0</v>
      </c>
      <c r="HP1062" s="15" t="s">
        <v>426</v>
      </c>
    </row>
    <row r="1063" ht="17.25" customHeight="1">
      <c r="A1063" s="15" t="s">
        <v>10230</v>
      </c>
      <c r="B1063" s="15" t="str">
        <f>"801542566067"</f>
        <v>801542566067</v>
      </c>
      <c r="C1063" s="15" t="s">
        <v>24406</v>
      </c>
      <c r="D1063" s="15" t="str">
        <f t="shared" si="1"/>
        <v>Trey NightstandAuburn Poplar</v>
      </c>
      <c r="E1063" s="15" t="s">
        <v>10228</v>
      </c>
      <c r="F1063" s="15" t="s">
        <v>397</v>
      </c>
      <c r="G1063" s="15" t="s">
        <v>10010</v>
      </c>
      <c r="J1063" s="15" t="s">
        <v>10010</v>
      </c>
      <c r="K1063" s="15" t="s">
        <v>10013</v>
      </c>
      <c r="M1063" s="15" t="s">
        <v>4463</v>
      </c>
      <c r="N1063" s="15" t="s">
        <v>628</v>
      </c>
      <c r="P1063" s="15" t="str">
        <f t="shared" ref="P1063:P1065" si="3112">"24"</f>
        <v>24</v>
      </c>
      <c r="Q1063" s="15" t="str">
        <f t="shared" ref="Q1063:Q1065" si="3113">"17"</f>
        <v>17</v>
      </c>
      <c r="R1063" s="15" t="str">
        <f t="shared" ref="R1063:R1065" si="3114">"27"</f>
        <v>27</v>
      </c>
      <c r="S1063" s="15" t="str">
        <f t="shared" ref="S1063:S1065" si="3115">"40.79"</f>
        <v>40.79</v>
      </c>
      <c r="T1063" s="15" t="s">
        <v>5927</v>
      </c>
      <c r="U1063" s="15" t="s">
        <v>17219</v>
      </c>
      <c r="V1063" s="15" t="s">
        <v>11137</v>
      </c>
      <c r="AA1063" s="15" t="s">
        <v>413</v>
      </c>
      <c r="AB1063" s="15" t="s">
        <v>413</v>
      </c>
      <c r="AC1063" s="15" t="s">
        <v>10233</v>
      </c>
      <c r="AD1063" s="15" t="s">
        <v>24407</v>
      </c>
      <c r="AE1063" s="15" t="s">
        <v>10232</v>
      </c>
      <c r="AF1063" s="15" t="s">
        <v>24408</v>
      </c>
      <c r="AG1063" s="15" t="s">
        <v>24409</v>
      </c>
      <c r="AH1063" s="15" t="s">
        <v>24410</v>
      </c>
      <c r="AI1063" s="15" t="s">
        <v>24411</v>
      </c>
      <c r="AJ1063" s="15" t="s">
        <v>24412</v>
      </c>
      <c r="AK1063" s="15" t="s">
        <v>24413</v>
      </c>
      <c r="AL1063" s="15" t="s">
        <v>24414</v>
      </c>
      <c r="AM1063" s="15" t="s">
        <v>24415</v>
      </c>
      <c r="AN1063" s="15" t="s">
        <v>24416</v>
      </c>
      <c r="AO1063" s="15" t="s">
        <v>24417</v>
      </c>
      <c r="BH1063" s="15" t="s">
        <v>10229</v>
      </c>
      <c r="BI1063" s="15" t="str">
        <f t="shared" ref="BI1063:BI1065" si="3116">"699"</f>
        <v>699</v>
      </c>
      <c r="BJ1063" s="15" t="str">
        <f t="shared" ref="BJ1063:BJ1065" si="3117">"295"</f>
        <v>295</v>
      </c>
      <c r="BK1063" s="15" t="s">
        <v>415</v>
      </c>
      <c r="BL1063" s="15" t="str">
        <f t="shared" si="3014"/>
        <v>1</v>
      </c>
      <c r="BM1063" s="15" t="s">
        <v>416</v>
      </c>
      <c r="BN1063" s="15" t="str">
        <f t="shared" ref="BN1063:BN1065" si="3118">"28.54"</f>
        <v>28.54</v>
      </c>
      <c r="BO1063" s="15" t="str">
        <f t="shared" ref="BO1063:BO1065" si="3119">"21.06"</f>
        <v>21.06</v>
      </c>
      <c r="BP1063" s="15" t="str">
        <f t="shared" ref="BP1063:BP1065" si="3120">"32.28"</f>
        <v>32.28</v>
      </c>
      <c r="BQ1063" s="15" t="str">
        <f t="shared" ref="BQ1063:BQ1065" si="3121">"54.01"</f>
        <v>54.01</v>
      </c>
      <c r="CG1063" s="15" t="str">
        <f t="shared" ref="CG1063:CG1065" si="3122">"11.23"</f>
        <v>11.23</v>
      </c>
      <c r="CH1063" s="15" t="str">
        <f t="shared" ref="CH1063:CH1065" si="3123">"0.318"</f>
        <v>0.318</v>
      </c>
      <c r="CI1063" s="15" t="s">
        <v>497</v>
      </c>
      <c r="CJ1063" s="15" t="s">
        <v>10153</v>
      </c>
      <c r="CK1063" s="15" t="s">
        <v>612</v>
      </c>
      <c r="CL1063" s="15" t="s">
        <v>2500</v>
      </c>
      <c r="CM1063" s="15" t="s">
        <v>10153</v>
      </c>
      <c r="CN1063" s="15" t="s">
        <v>10234</v>
      </c>
      <c r="CO1063" s="15" t="s">
        <v>2500</v>
      </c>
      <c r="CZ1063" s="15" t="s">
        <v>2600</v>
      </c>
      <c r="DA1063" s="15">
        <v>1.0</v>
      </c>
      <c r="DB1063" s="15" t="s">
        <v>2601</v>
      </c>
      <c r="DD1063" s="15">
        <v>1.0</v>
      </c>
      <c r="DE1063" s="15" t="s">
        <v>426</v>
      </c>
      <c r="DF1063" s="15" t="s">
        <v>764</v>
      </c>
      <c r="DG1063" s="15" t="s">
        <v>421</v>
      </c>
      <c r="DK1063" s="15">
        <v>0.0</v>
      </c>
      <c r="DR1063" s="15" t="s">
        <v>471</v>
      </c>
      <c r="DS1063" s="15" t="s">
        <v>10015</v>
      </c>
      <c r="DU1063" s="15" t="s">
        <v>500</v>
      </c>
      <c r="EF1063" s="15" t="s">
        <v>714</v>
      </c>
      <c r="EU1063" s="15" t="s">
        <v>426</v>
      </c>
      <c r="EV1063" s="15">
        <v>1.0</v>
      </c>
      <c r="FQ1063" s="15">
        <v>0.0</v>
      </c>
      <c r="FR1063" s="15" t="s">
        <v>427</v>
      </c>
      <c r="FZ1063" s="15" t="s">
        <v>10235</v>
      </c>
      <c r="GB1063" s="15" t="s">
        <v>4553</v>
      </c>
      <c r="GD1063" s="15" t="s">
        <v>2842</v>
      </c>
      <c r="GF1063" s="15" t="s">
        <v>2604</v>
      </c>
      <c r="GH1063" s="15" t="s">
        <v>764</v>
      </c>
      <c r="GI1063" s="15" t="s">
        <v>426</v>
      </c>
    </row>
    <row r="1064" ht="17.25" customHeight="1">
      <c r="A1064" s="15" t="s">
        <v>10237</v>
      </c>
      <c r="B1064" s="15" t="str">
        <f>"801542570347"</f>
        <v>801542570347</v>
      </c>
      <c r="C1064" s="15" t="s">
        <v>24418</v>
      </c>
      <c r="D1064" s="15" t="str">
        <f t="shared" si="1"/>
        <v>Trey NightstandBlack Wash Poplar</v>
      </c>
      <c r="E1064" s="15" t="s">
        <v>10228</v>
      </c>
      <c r="F1064" s="15" t="s">
        <v>397</v>
      </c>
      <c r="G1064" s="15" t="s">
        <v>10017</v>
      </c>
      <c r="J1064" s="15" t="s">
        <v>10017</v>
      </c>
      <c r="K1064" s="15" t="s">
        <v>5928</v>
      </c>
      <c r="M1064" s="15" t="s">
        <v>4463</v>
      </c>
      <c r="N1064" s="15" t="s">
        <v>628</v>
      </c>
      <c r="P1064" s="15" t="str">
        <f t="shared" si="3112"/>
        <v>24</v>
      </c>
      <c r="Q1064" s="15" t="str">
        <f t="shared" si="3113"/>
        <v>17</v>
      </c>
      <c r="R1064" s="15" t="str">
        <f t="shared" si="3114"/>
        <v>27</v>
      </c>
      <c r="S1064" s="15" t="str">
        <f t="shared" si="3115"/>
        <v>40.79</v>
      </c>
      <c r="T1064" s="15" t="s">
        <v>5927</v>
      </c>
      <c r="U1064" s="15" t="s">
        <v>17219</v>
      </c>
      <c r="V1064" s="15" t="s">
        <v>11137</v>
      </c>
      <c r="AA1064" s="15" t="s">
        <v>413</v>
      </c>
      <c r="AB1064" s="15" t="s">
        <v>413</v>
      </c>
      <c r="AC1064" s="15" t="s">
        <v>10239</v>
      </c>
      <c r="AD1064" s="15" t="s">
        <v>24419</v>
      </c>
      <c r="AE1064" s="15" t="s">
        <v>10238</v>
      </c>
      <c r="AF1064" s="15" t="s">
        <v>24420</v>
      </c>
      <c r="AG1064" s="15" t="s">
        <v>24421</v>
      </c>
      <c r="AH1064" s="15" t="s">
        <v>24422</v>
      </c>
      <c r="AI1064" s="15" t="s">
        <v>24423</v>
      </c>
      <c r="AJ1064" s="15" t="s">
        <v>24424</v>
      </c>
      <c r="AK1064" s="15" t="s">
        <v>24425</v>
      </c>
      <c r="AL1064" s="15" t="s">
        <v>24426</v>
      </c>
      <c r="AM1064" s="15" t="s">
        <v>24427</v>
      </c>
      <c r="AN1064" s="15" t="s">
        <v>24428</v>
      </c>
      <c r="BH1064" s="15" t="s">
        <v>10236</v>
      </c>
      <c r="BI1064" s="15" t="str">
        <f t="shared" si="3116"/>
        <v>699</v>
      </c>
      <c r="BJ1064" s="15" t="str">
        <f t="shared" si="3117"/>
        <v>295</v>
      </c>
      <c r="BK1064" s="15" t="s">
        <v>415</v>
      </c>
      <c r="BL1064" s="15" t="str">
        <f t="shared" si="3014"/>
        <v>1</v>
      </c>
      <c r="BM1064" s="15" t="s">
        <v>416</v>
      </c>
      <c r="BN1064" s="15" t="str">
        <f t="shared" si="3118"/>
        <v>28.54</v>
      </c>
      <c r="BO1064" s="15" t="str">
        <f t="shared" si="3119"/>
        <v>21.06</v>
      </c>
      <c r="BP1064" s="15" t="str">
        <f t="shared" si="3120"/>
        <v>32.28</v>
      </c>
      <c r="BQ1064" s="15" t="str">
        <f t="shared" si="3121"/>
        <v>54.01</v>
      </c>
      <c r="CG1064" s="15" t="str">
        <f t="shared" si="3122"/>
        <v>11.23</v>
      </c>
      <c r="CH1064" s="15" t="str">
        <f t="shared" si="3123"/>
        <v>0.318</v>
      </c>
      <c r="CI1064" s="15" t="s">
        <v>497</v>
      </c>
      <c r="CJ1064" s="15" t="s">
        <v>10153</v>
      </c>
      <c r="CK1064" s="15" t="s">
        <v>612</v>
      </c>
      <c r="CL1064" s="15" t="s">
        <v>2500</v>
      </c>
      <c r="CM1064" s="15" t="s">
        <v>10153</v>
      </c>
      <c r="CN1064" s="15" t="s">
        <v>10234</v>
      </c>
      <c r="CO1064" s="15" t="s">
        <v>2500</v>
      </c>
      <c r="CZ1064" s="15" t="s">
        <v>2600</v>
      </c>
      <c r="DA1064" s="15">
        <v>1.0</v>
      </c>
      <c r="DB1064" s="15" t="s">
        <v>2601</v>
      </c>
      <c r="DD1064" s="15">
        <v>1.0</v>
      </c>
      <c r="DE1064" s="15" t="s">
        <v>426</v>
      </c>
      <c r="DF1064" s="15" t="s">
        <v>764</v>
      </c>
      <c r="DG1064" s="15" t="s">
        <v>421</v>
      </c>
      <c r="DK1064" s="15">
        <v>0.0</v>
      </c>
      <c r="DR1064" s="15" t="s">
        <v>471</v>
      </c>
      <c r="DS1064" s="15" t="s">
        <v>10015</v>
      </c>
      <c r="DU1064" s="15" t="s">
        <v>500</v>
      </c>
      <c r="EF1064" s="15" t="s">
        <v>714</v>
      </c>
      <c r="EU1064" s="15" t="s">
        <v>426</v>
      </c>
      <c r="EV1064" s="15">
        <v>1.0</v>
      </c>
      <c r="FQ1064" s="15">
        <v>0.0</v>
      </c>
      <c r="FR1064" s="15" t="s">
        <v>427</v>
      </c>
      <c r="FZ1064" s="15" t="s">
        <v>10235</v>
      </c>
      <c r="GB1064" s="15" t="s">
        <v>4553</v>
      </c>
      <c r="GD1064" s="15" t="s">
        <v>2842</v>
      </c>
      <c r="GF1064" s="15" t="s">
        <v>2604</v>
      </c>
      <c r="GH1064" s="15" t="s">
        <v>764</v>
      </c>
      <c r="GI1064" s="15" t="s">
        <v>426</v>
      </c>
    </row>
    <row r="1065" ht="17.25" customHeight="1">
      <c r="A1065" s="15" t="s">
        <v>10241</v>
      </c>
      <c r="B1065" s="15" t="str">
        <f>"801542769567"</f>
        <v>801542769567</v>
      </c>
      <c r="C1065" s="15" t="s">
        <v>24429</v>
      </c>
      <c r="D1065" s="15" t="str">
        <f t="shared" si="1"/>
        <v>Trey NightstandDove Poplar</v>
      </c>
      <c r="E1065" s="15" t="s">
        <v>10228</v>
      </c>
      <c r="F1065" s="15" t="s">
        <v>397</v>
      </c>
      <c r="G1065" s="15" t="s">
        <v>10022</v>
      </c>
      <c r="J1065" s="15" t="s">
        <v>10022</v>
      </c>
      <c r="K1065" s="15" t="s">
        <v>5928</v>
      </c>
      <c r="M1065" s="15" t="s">
        <v>4463</v>
      </c>
      <c r="N1065" s="15" t="s">
        <v>628</v>
      </c>
      <c r="P1065" s="15" t="str">
        <f t="shared" si="3112"/>
        <v>24</v>
      </c>
      <c r="Q1065" s="15" t="str">
        <f t="shared" si="3113"/>
        <v>17</v>
      </c>
      <c r="R1065" s="15" t="str">
        <f t="shared" si="3114"/>
        <v>27</v>
      </c>
      <c r="S1065" s="15" t="str">
        <f t="shared" si="3115"/>
        <v>40.79</v>
      </c>
      <c r="T1065" s="15" t="s">
        <v>5927</v>
      </c>
      <c r="U1065" s="15" t="s">
        <v>17219</v>
      </c>
      <c r="V1065" s="15" t="s">
        <v>11137</v>
      </c>
      <c r="AA1065" s="15" t="s">
        <v>413</v>
      </c>
      <c r="AB1065" s="15" t="s">
        <v>413</v>
      </c>
      <c r="AC1065" s="15" t="s">
        <v>10243</v>
      </c>
      <c r="AD1065" s="15" t="s">
        <v>24430</v>
      </c>
      <c r="AE1065" s="15" t="s">
        <v>10242</v>
      </c>
      <c r="AF1065" s="15" t="s">
        <v>24431</v>
      </c>
      <c r="AG1065" s="15" t="s">
        <v>24432</v>
      </c>
      <c r="AH1065" s="15" t="s">
        <v>24433</v>
      </c>
      <c r="AI1065" s="15" t="s">
        <v>24434</v>
      </c>
      <c r="AJ1065" s="15" t="s">
        <v>24435</v>
      </c>
      <c r="AK1065" s="15" t="s">
        <v>23879</v>
      </c>
      <c r="AL1065" s="15" t="s">
        <v>24436</v>
      </c>
      <c r="AM1065" s="15" t="s">
        <v>24437</v>
      </c>
      <c r="AN1065" s="15" t="s">
        <v>24438</v>
      </c>
      <c r="AO1065" s="15" t="s">
        <v>24439</v>
      </c>
      <c r="AP1065" s="15" t="s">
        <v>24440</v>
      </c>
      <c r="AQ1065" s="15" t="s">
        <v>24441</v>
      </c>
      <c r="BH1065" s="15" t="s">
        <v>10240</v>
      </c>
      <c r="BI1065" s="15" t="str">
        <f t="shared" si="3116"/>
        <v>699</v>
      </c>
      <c r="BJ1065" s="15" t="str">
        <f t="shared" si="3117"/>
        <v>295</v>
      </c>
      <c r="BK1065" s="15" t="s">
        <v>415</v>
      </c>
      <c r="BL1065" s="15" t="str">
        <f t="shared" si="3014"/>
        <v>1</v>
      </c>
      <c r="BM1065" s="15" t="s">
        <v>416</v>
      </c>
      <c r="BN1065" s="15" t="str">
        <f t="shared" si="3118"/>
        <v>28.54</v>
      </c>
      <c r="BO1065" s="15" t="str">
        <f t="shared" si="3119"/>
        <v>21.06</v>
      </c>
      <c r="BP1065" s="15" t="str">
        <f t="shared" si="3120"/>
        <v>32.28</v>
      </c>
      <c r="BQ1065" s="15" t="str">
        <f t="shared" si="3121"/>
        <v>54.01</v>
      </c>
      <c r="CG1065" s="15" t="str">
        <f t="shared" si="3122"/>
        <v>11.23</v>
      </c>
      <c r="CH1065" s="15" t="str">
        <f t="shared" si="3123"/>
        <v>0.318</v>
      </c>
      <c r="CI1065" s="15" t="s">
        <v>465</v>
      </c>
      <c r="CJ1065" s="15" t="s">
        <v>10153</v>
      </c>
      <c r="CK1065" s="15" t="s">
        <v>612</v>
      </c>
      <c r="CL1065" s="15" t="s">
        <v>2500</v>
      </c>
      <c r="CM1065" s="15" t="s">
        <v>10153</v>
      </c>
      <c r="CN1065" s="15" t="s">
        <v>10234</v>
      </c>
      <c r="CO1065" s="15" t="s">
        <v>2500</v>
      </c>
      <c r="CZ1065" s="15" t="s">
        <v>2600</v>
      </c>
      <c r="DA1065" s="15">
        <v>1.0</v>
      </c>
      <c r="DB1065" s="15" t="s">
        <v>2601</v>
      </c>
      <c r="DD1065" s="15">
        <v>1.0</v>
      </c>
      <c r="DE1065" s="15" t="s">
        <v>426</v>
      </c>
      <c r="DF1065" s="15" t="s">
        <v>764</v>
      </c>
      <c r="DG1065" s="15" t="s">
        <v>421</v>
      </c>
      <c r="DK1065" s="15">
        <v>0.0</v>
      </c>
      <c r="DR1065" s="15" t="s">
        <v>471</v>
      </c>
      <c r="DS1065" s="15" t="s">
        <v>10015</v>
      </c>
      <c r="DU1065" s="15" t="s">
        <v>500</v>
      </c>
      <c r="EF1065" s="15" t="s">
        <v>714</v>
      </c>
      <c r="EU1065" s="15" t="s">
        <v>426</v>
      </c>
      <c r="EV1065" s="15">
        <v>1.0</v>
      </c>
      <c r="FQ1065" s="15">
        <v>0.0</v>
      </c>
      <c r="FR1065" s="15" t="s">
        <v>427</v>
      </c>
      <c r="FZ1065" s="15" t="s">
        <v>10235</v>
      </c>
      <c r="GB1065" s="15" t="s">
        <v>4553</v>
      </c>
      <c r="GD1065" s="15" t="s">
        <v>2842</v>
      </c>
      <c r="GF1065" s="15" t="s">
        <v>2604</v>
      </c>
      <c r="GH1065" s="15" t="s">
        <v>764</v>
      </c>
      <c r="GI1065" s="15" t="s">
        <v>426</v>
      </c>
    </row>
    <row r="1066" ht="17.25" customHeight="1">
      <c r="A1066" s="15" t="s">
        <v>10246</v>
      </c>
      <c r="B1066" s="15" t="str">
        <f>"801542507374"</f>
        <v>801542507374</v>
      </c>
      <c r="C1066" s="15" t="s">
        <v>24442</v>
      </c>
      <c r="D1066" s="15" t="str">
        <f t="shared" si="1"/>
        <v>Trey SideboardBlack Wash Poplar</v>
      </c>
      <c r="E1066" s="15" t="s">
        <v>10244</v>
      </c>
      <c r="F1066" s="15" t="s">
        <v>397</v>
      </c>
      <c r="G1066" s="15" t="s">
        <v>10017</v>
      </c>
      <c r="J1066" s="15" t="s">
        <v>10017</v>
      </c>
      <c r="K1066" s="15" t="s">
        <v>5928</v>
      </c>
      <c r="M1066" s="15" t="s">
        <v>4463</v>
      </c>
      <c r="N1066" s="15" t="s">
        <v>664</v>
      </c>
      <c r="P1066" s="15" t="str">
        <f>"72"</f>
        <v>72</v>
      </c>
      <c r="Q1066" s="15" t="str">
        <f>"18"</f>
        <v>18</v>
      </c>
      <c r="R1066" s="15" t="str">
        <f>"31"</f>
        <v>31</v>
      </c>
      <c r="S1066" s="15" t="str">
        <f>"124.56"</f>
        <v>124.56</v>
      </c>
      <c r="T1066" s="15" t="s">
        <v>5927</v>
      </c>
      <c r="U1066" s="15" t="s">
        <v>17219</v>
      </c>
      <c r="V1066" s="15" t="s">
        <v>11137</v>
      </c>
      <c r="AA1066" s="15" t="s">
        <v>413</v>
      </c>
      <c r="AB1066" s="15" t="s">
        <v>413</v>
      </c>
      <c r="AC1066" s="15" t="s">
        <v>10249</v>
      </c>
      <c r="AD1066" s="15" t="s">
        <v>24443</v>
      </c>
      <c r="AE1066" s="15" t="s">
        <v>10248</v>
      </c>
      <c r="AF1066" s="15" t="s">
        <v>24444</v>
      </c>
      <c r="AG1066" s="15" t="s">
        <v>24445</v>
      </c>
      <c r="AH1066" s="15" t="s">
        <v>24446</v>
      </c>
      <c r="AI1066" s="15" t="s">
        <v>24447</v>
      </c>
      <c r="AJ1066" s="15" t="s">
        <v>24448</v>
      </c>
      <c r="AK1066" s="15" t="s">
        <v>24449</v>
      </c>
      <c r="AL1066" s="15" t="s">
        <v>24450</v>
      </c>
      <c r="AM1066" s="15" t="s">
        <v>24451</v>
      </c>
      <c r="AN1066" s="15" t="s">
        <v>24452</v>
      </c>
      <c r="AO1066" s="15" t="s">
        <v>24453</v>
      </c>
      <c r="AP1066" s="15" t="s">
        <v>24454</v>
      </c>
      <c r="AQ1066" s="15" t="s">
        <v>24455</v>
      </c>
      <c r="AR1066" s="15" t="s">
        <v>24456</v>
      </c>
      <c r="AS1066" s="15" t="s">
        <v>24457</v>
      </c>
      <c r="AT1066" s="15" t="s">
        <v>24458</v>
      </c>
      <c r="BH1066" s="15" t="s">
        <v>10245</v>
      </c>
      <c r="BI1066" s="15" t="str">
        <f>"1599"</f>
        <v>1599</v>
      </c>
      <c r="BJ1066" s="15" t="str">
        <f>"675"</f>
        <v>675</v>
      </c>
      <c r="BK1066" s="15" t="s">
        <v>415</v>
      </c>
      <c r="BL1066" s="15" t="str">
        <f t="shared" si="3014"/>
        <v>1</v>
      </c>
      <c r="BM1066" s="15" t="s">
        <v>416</v>
      </c>
      <c r="BN1066" s="15" t="str">
        <f>"76.77"</f>
        <v>76.77</v>
      </c>
      <c r="BO1066" s="15" t="str">
        <f>"21.46"</f>
        <v>21.46</v>
      </c>
      <c r="BP1066" s="15" t="str">
        <f>"34.84"</f>
        <v>34.84</v>
      </c>
      <c r="BQ1066" s="15" t="str">
        <f>"147.71"</f>
        <v>147.71</v>
      </c>
      <c r="CG1066" s="15" t="str">
        <f>"33.23"</f>
        <v>33.23</v>
      </c>
      <c r="CH1066" s="15" t="str">
        <f>"0.941"</f>
        <v>0.941</v>
      </c>
      <c r="CI1066" s="15" t="s">
        <v>497</v>
      </c>
      <c r="CM1066" s="15" t="s">
        <v>2159</v>
      </c>
      <c r="CN1066" s="15" t="s">
        <v>985</v>
      </c>
      <c r="CO1066" s="15" t="s">
        <v>10250</v>
      </c>
      <c r="CZ1066" s="15" t="s">
        <v>2600</v>
      </c>
      <c r="DA1066" s="15">
        <v>2.0</v>
      </c>
      <c r="DB1066" s="15" t="s">
        <v>2604</v>
      </c>
      <c r="DD1066" s="15">
        <v>0.0</v>
      </c>
      <c r="DF1066" s="15" t="s">
        <v>764</v>
      </c>
      <c r="DG1066" s="15" t="s">
        <v>610</v>
      </c>
      <c r="DI1066" s="15">
        <v>18.14</v>
      </c>
      <c r="DJ1066" s="15">
        <v>40.0</v>
      </c>
      <c r="DK1066" s="15">
        <v>2.0</v>
      </c>
      <c r="DS1066" s="15" t="s">
        <v>10015</v>
      </c>
      <c r="DU1066" s="15" t="s">
        <v>424</v>
      </c>
      <c r="EF1066" s="15" t="s">
        <v>2050</v>
      </c>
      <c r="EU1066" s="15" t="s">
        <v>426</v>
      </c>
      <c r="EV1066" s="15">
        <v>2.0</v>
      </c>
      <c r="FH1066" s="15" t="s">
        <v>824</v>
      </c>
      <c r="FI1066" s="15" t="s">
        <v>10251</v>
      </c>
      <c r="FJ1066" s="15" t="s">
        <v>10252</v>
      </c>
      <c r="FK1066" s="15" t="s">
        <v>2159</v>
      </c>
      <c r="FL1066" s="15" t="s">
        <v>10251</v>
      </c>
      <c r="FM1066" s="15" t="s">
        <v>10250</v>
      </c>
      <c r="FN1066" s="15">
        <v>0.0</v>
      </c>
      <c r="FO1066" s="15" t="s">
        <v>426</v>
      </c>
      <c r="FP1066" s="15" t="s">
        <v>785</v>
      </c>
      <c r="FQ1066" s="15">
        <v>3.0</v>
      </c>
      <c r="FR1066" s="15" t="s">
        <v>614</v>
      </c>
      <c r="FS1066" s="15" t="s">
        <v>615</v>
      </c>
      <c r="FT1066" s="15">
        <v>0.0</v>
      </c>
      <c r="FU1066" s="15" t="s">
        <v>426</v>
      </c>
      <c r="FW1066" s="15" t="s">
        <v>616</v>
      </c>
      <c r="FZ1066" s="15" t="s">
        <v>3781</v>
      </c>
      <c r="GB1066" s="15" t="s">
        <v>714</v>
      </c>
      <c r="GD1066" s="15" t="s">
        <v>2598</v>
      </c>
      <c r="GF1066" s="15" t="s">
        <v>2604</v>
      </c>
      <c r="GH1066" s="15" t="s">
        <v>764</v>
      </c>
      <c r="GI1066" s="15" t="s">
        <v>426</v>
      </c>
      <c r="GJ1066" s="15" t="s">
        <v>2159</v>
      </c>
      <c r="GK1066" s="15" t="s">
        <v>985</v>
      </c>
      <c r="GL1066" s="15" t="s">
        <v>607</v>
      </c>
      <c r="HF1066" s="15" t="s">
        <v>732</v>
      </c>
      <c r="HM1066" s="15" t="s">
        <v>2159</v>
      </c>
      <c r="HN1066" s="15" t="s">
        <v>10251</v>
      </c>
      <c r="HO1066" s="15" t="s">
        <v>607</v>
      </c>
      <c r="HQ1066" s="15" t="s">
        <v>426</v>
      </c>
    </row>
    <row r="1067" ht="17.25" customHeight="1">
      <c r="A1067" s="15" t="s">
        <v>10256</v>
      </c>
      <c r="B1067" s="15" t="str">
        <f>"801542981358"</f>
        <v>801542981358</v>
      </c>
      <c r="C1067" s="15" t="s">
        <v>24459</v>
      </c>
      <c r="D1067" s="15" t="str">
        <f t="shared" si="1"/>
        <v>Trinity Coffee TableDistressed Light Oak</v>
      </c>
      <c r="E1067" s="15" t="s">
        <v>10253</v>
      </c>
      <c r="F1067" s="15" t="s">
        <v>397</v>
      </c>
      <c r="G1067" s="15" t="s">
        <v>10255</v>
      </c>
      <c r="J1067" s="15" t="s">
        <v>10255</v>
      </c>
      <c r="M1067" s="15" t="s">
        <v>2594</v>
      </c>
      <c r="N1067" s="15" t="s">
        <v>491</v>
      </c>
      <c r="P1067" s="15" t="str">
        <f>"65"</f>
        <v>65</v>
      </c>
      <c r="Q1067" s="15" t="str">
        <f>"35.5"</f>
        <v>35.5</v>
      </c>
      <c r="R1067" s="15" t="str">
        <f>"16"</f>
        <v>16</v>
      </c>
      <c r="S1067" s="15" t="str">
        <f>"127.87"</f>
        <v>127.87</v>
      </c>
      <c r="T1067" s="15" t="s">
        <v>2872</v>
      </c>
      <c r="U1067" s="15" t="s">
        <v>11338</v>
      </c>
      <c r="AA1067" s="15" t="s">
        <v>413</v>
      </c>
      <c r="AB1067" s="15" t="s">
        <v>413</v>
      </c>
      <c r="AC1067" s="15" t="s">
        <v>10258</v>
      </c>
      <c r="AD1067" s="15" t="s">
        <v>24460</v>
      </c>
      <c r="AE1067" s="15" t="s">
        <v>10257</v>
      </c>
      <c r="AF1067" s="15" t="s">
        <v>24461</v>
      </c>
      <c r="AG1067" s="15" t="s">
        <v>24462</v>
      </c>
      <c r="AH1067" s="15" t="s">
        <v>24463</v>
      </c>
      <c r="AI1067" s="15" t="s">
        <v>24464</v>
      </c>
      <c r="AJ1067" s="15" t="s">
        <v>24465</v>
      </c>
      <c r="AK1067" s="15" t="s">
        <v>24466</v>
      </c>
      <c r="AL1067" s="15" t="s">
        <v>24467</v>
      </c>
      <c r="AM1067" s="15" t="s">
        <v>24468</v>
      </c>
      <c r="AN1067" s="15" t="s">
        <v>24469</v>
      </c>
      <c r="AO1067" s="15" t="s">
        <v>24470</v>
      </c>
      <c r="AP1067" s="15" t="s">
        <v>19467</v>
      </c>
      <c r="BH1067" s="15" t="s">
        <v>10254</v>
      </c>
      <c r="BI1067" s="15" t="str">
        <f>"2199"</f>
        <v>2199</v>
      </c>
      <c r="BJ1067" s="15" t="str">
        <f>"925"</f>
        <v>925</v>
      </c>
      <c r="BK1067" s="15" t="s">
        <v>709</v>
      </c>
      <c r="BL1067" s="15" t="str">
        <f t="shared" si="3014"/>
        <v>1</v>
      </c>
      <c r="BM1067" s="15" t="s">
        <v>416</v>
      </c>
      <c r="BN1067" s="15" t="str">
        <f>"68.11"</f>
        <v>68.11</v>
      </c>
      <c r="BO1067" s="15" t="str">
        <f>"38.19"</f>
        <v>38.19</v>
      </c>
      <c r="BP1067" s="15" t="str">
        <f>"20.87"</f>
        <v>20.87</v>
      </c>
      <c r="BQ1067" s="15" t="str">
        <f>"165.35"</f>
        <v>165.35</v>
      </c>
      <c r="CG1067" s="15" t="str">
        <f>"31.43"</f>
        <v>31.43</v>
      </c>
      <c r="CH1067" s="15" t="str">
        <f>"0.89"</f>
        <v>0.89</v>
      </c>
      <c r="CI1067" s="15" t="s">
        <v>465</v>
      </c>
      <c r="CJ1067" s="15" t="s">
        <v>2637</v>
      </c>
      <c r="CK1067" s="15" t="s">
        <v>1188</v>
      </c>
      <c r="CL1067" s="15" t="s">
        <v>4770</v>
      </c>
      <c r="CM1067" s="15" t="s">
        <v>2637</v>
      </c>
      <c r="CN1067" s="15" t="s">
        <v>2805</v>
      </c>
      <c r="CO1067" s="15" t="s">
        <v>4770</v>
      </c>
      <c r="CZ1067" s="15" t="s">
        <v>419</v>
      </c>
      <c r="DA1067" s="15">
        <v>0.0</v>
      </c>
      <c r="DB1067" s="15" t="s">
        <v>419</v>
      </c>
      <c r="DD1067" s="15">
        <v>1.0</v>
      </c>
      <c r="DE1067" s="15" t="s">
        <v>426</v>
      </c>
      <c r="DF1067" s="15" t="s">
        <v>420</v>
      </c>
      <c r="DG1067" s="15" t="s">
        <v>1914</v>
      </c>
      <c r="DK1067" s="15">
        <v>0.0</v>
      </c>
      <c r="DR1067" s="15" t="s">
        <v>471</v>
      </c>
      <c r="DS1067" s="15" t="s">
        <v>10259</v>
      </c>
      <c r="DU1067" s="15" t="s">
        <v>500</v>
      </c>
      <c r="EF1067" s="15" t="s">
        <v>1236</v>
      </c>
      <c r="EG1067" s="15" t="s">
        <v>558</v>
      </c>
      <c r="EH1067" s="15" t="s">
        <v>2399</v>
      </c>
      <c r="EQ1067" s="15" t="s">
        <v>3545</v>
      </c>
      <c r="ER1067" s="15" t="s">
        <v>1287</v>
      </c>
      <c r="ES1067" s="15" t="s">
        <v>672</v>
      </c>
      <c r="ET1067" s="15" t="s">
        <v>784</v>
      </c>
      <c r="EU1067" s="15" t="s">
        <v>426</v>
      </c>
      <c r="EV1067" s="15">
        <v>1.0</v>
      </c>
      <c r="EW1067" s="15">
        <v>0.0</v>
      </c>
      <c r="FF1067" s="15" t="s">
        <v>531</v>
      </c>
    </row>
    <row r="1068" ht="17.25" customHeight="1">
      <c r="A1068" s="15" t="s">
        <v>10262</v>
      </c>
      <c r="B1068" s="15" t="str">
        <f>"801542316839"</f>
        <v>801542316839</v>
      </c>
      <c r="C1068" s="15" t="s">
        <v>24471</v>
      </c>
      <c r="D1068" s="15" t="str">
        <f t="shared" si="1"/>
        <v>Trinity Console TableDistressed Light Oak</v>
      </c>
      <c r="E1068" s="15" t="s">
        <v>10260</v>
      </c>
      <c r="F1068" s="15" t="s">
        <v>397</v>
      </c>
      <c r="G1068" s="15" t="s">
        <v>10255</v>
      </c>
      <c r="J1068" s="15" t="s">
        <v>10255</v>
      </c>
      <c r="M1068" s="15" t="s">
        <v>2594</v>
      </c>
      <c r="N1068" s="15" t="s">
        <v>519</v>
      </c>
      <c r="P1068" s="15" t="str">
        <f>"78"</f>
        <v>78</v>
      </c>
      <c r="Q1068" s="15" t="str">
        <f>"20.5"</f>
        <v>20.5</v>
      </c>
      <c r="R1068" s="15" t="str">
        <f>"27"</f>
        <v>27</v>
      </c>
      <c r="S1068" s="15" t="str">
        <f>"96.78"</f>
        <v>96.78</v>
      </c>
      <c r="T1068" s="15" t="s">
        <v>2872</v>
      </c>
      <c r="U1068" s="15" t="s">
        <v>11338</v>
      </c>
      <c r="AA1068" s="15" t="s">
        <v>413</v>
      </c>
      <c r="AB1068" s="15" t="s">
        <v>413</v>
      </c>
      <c r="AC1068" s="15" t="s">
        <v>10258</v>
      </c>
      <c r="AD1068" s="15" t="s">
        <v>24472</v>
      </c>
      <c r="AE1068" s="15" t="s">
        <v>10264</v>
      </c>
      <c r="AF1068" s="15" t="s">
        <v>24473</v>
      </c>
      <c r="AG1068" s="15" t="s">
        <v>24474</v>
      </c>
      <c r="AH1068" s="15" t="s">
        <v>24475</v>
      </c>
      <c r="AI1068" s="15" t="s">
        <v>24476</v>
      </c>
      <c r="AJ1068" s="15" t="s">
        <v>24477</v>
      </c>
      <c r="AK1068" s="15" t="s">
        <v>24478</v>
      </c>
      <c r="AL1068" s="15" t="s">
        <v>24479</v>
      </c>
      <c r="AM1068" s="15" t="s">
        <v>24480</v>
      </c>
      <c r="AN1068" s="15" t="s">
        <v>24481</v>
      </c>
      <c r="AO1068" s="15" t="s">
        <v>24482</v>
      </c>
      <c r="AP1068" s="15" t="s">
        <v>24483</v>
      </c>
      <c r="AQ1068" s="15" t="s">
        <v>24484</v>
      </c>
      <c r="BH1068" s="15" t="s">
        <v>10261</v>
      </c>
      <c r="BI1068" s="15" t="str">
        <f>"1649"</f>
        <v>1649</v>
      </c>
      <c r="BJ1068" s="15" t="str">
        <f>"695"</f>
        <v>695</v>
      </c>
      <c r="BK1068" s="15" t="s">
        <v>709</v>
      </c>
      <c r="BL1068" s="15" t="str">
        <f>"2"</f>
        <v>2</v>
      </c>
      <c r="BM1068" s="15" t="s">
        <v>1564</v>
      </c>
      <c r="BN1068" s="15" t="str">
        <f>"81.69"</f>
        <v>81.69</v>
      </c>
      <c r="BO1068" s="15" t="str">
        <f>"5.31"</f>
        <v>5.31</v>
      </c>
      <c r="BP1068" s="15" t="str">
        <f>"23.43"</f>
        <v>23.43</v>
      </c>
      <c r="BQ1068" s="15" t="str">
        <f>"68.34"</f>
        <v>68.34</v>
      </c>
      <c r="BR1068" s="15" t="s">
        <v>2238</v>
      </c>
      <c r="BS1068" s="15" t="str">
        <f>"22.64"</f>
        <v>22.64</v>
      </c>
      <c r="BT1068" s="15" t="str">
        <f>"17.91"</f>
        <v>17.91</v>
      </c>
      <c r="BU1068" s="15" t="str">
        <f>"30.51"</f>
        <v>30.51</v>
      </c>
      <c r="BV1068" s="15" t="str">
        <f>"46.74"</f>
        <v>46.74</v>
      </c>
      <c r="CG1068" s="15" t="str">
        <f>"13.07"</f>
        <v>13.07</v>
      </c>
      <c r="CH1068" s="15" t="str">
        <f>"0.37"</f>
        <v>0.37</v>
      </c>
      <c r="CI1068" s="15" t="s">
        <v>465</v>
      </c>
      <c r="CJ1068" s="15" t="s">
        <v>3781</v>
      </c>
      <c r="CK1068" s="15" t="s">
        <v>1042</v>
      </c>
      <c r="CL1068" s="15" t="s">
        <v>3763</v>
      </c>
      <c r="CM1068" s="15" t="s">
        <v>3781</v>
      </c>
      <c r="CN1068" s="15" t="s">
        <v>824</v>
      </c>
      <c r="CO1068" s="15" t="s">
        <v>3763</v>
      </c>
      <c r="CZ1068" s="15" t="s">
        <v>419</v>
      </c>
      <c r="DA1068" s="15">
        <v>0.0</v>
      </c>
      <c r="DB1068" s="15" t="s">
        <v>419</v>
      </c>
      <c r="DD1068" s="15">
        <v>1.0</v>
      </c>
      <c r="DE1068" s="15" t="s">
        <v>426</v>
      </c>
      <c r="DF1068" s="15" t="s">
        <v>420</v>
      </c>
      <c r="DG1068" s="15" t="s">
        <v>1914</v>
      </c>
      <c r="DK1068" s="15">
        <v>0.0</v>
      </c>
      <c r="DR1068" s="15" t="s">
        <v>471</v>
      </c>
      <c r="DS1068" s="15" t="s">
        <v>10259</v>
      </c>
      <c r="DU1068" s="15" t="s">
        <v>424</v>
      </c>
      <c r="EF1068" s="15" t="s">
        <v>2603</v>
      </c>
      <c r="EG1068" s="15" t="s">
        <v>504</v>
      </c>
      <c r="EH1068" s="15" t="s">
        <v>8999</v>
      </c>
      <c r="EQ1068" s="15" t="s">
        <v>759</v>
      </c>
      <c r="ER1068" s="15" t="s">
        <v>733</v>
      </c>
      <c r="ES1068" s="15" t="s">
        <v>4685</v>
      </c>
      <c r="ET1068" s="15" t="s">
        <v>784</v>
      </c>
      <c r="EU1068" s="15" t="s">
        <v>426</v>
      </c>
      <c r="EV1068" s="15">
        <v>1.0</v>
      </c>
      <c r="EW1068" s="15">
        <v>0.0</v>
      </c>
      <c r="FF1068" s="15" t="s">
        <v>531</v>
      </c>
      <c r="FQ1068" s="15">
        <v>0.0</v>
      </c>
      <c r="FR1068" s="15" t="s">
        <v>427</v>
      </c>
    </row>
    <row r="1069" ht="17.25" customHeight="1">
      <c r="A1069" s="15" t="s">
        <v>10268</v>
      </c>
      <c r="B1069" s="15" t="str">
        <f>"801542720964"</f>
        <v>801542720964</v>
      </c>
      <c r="C1069" s="15" t="s">
        <v>24485</v>
      </c>
      <c r="D1069" s="15" t="str">
        <f t="shared" si="1"/>
        <v>Tulip Side TableAntique Rust</v>
      </c>
      <c r="E1069" s="15" t="s">
        <v>10266</v>
      </c>
      <c r="F1069" s="15" t="s">
        <v>397</v>
      </c>
      <c r="G1069" s="15" t="s">
        <v>3697</v>
      </c>
      <c r="J1069" s="15" t="s">
        <v>3697</v>
      </c>
      <c r="M1069" s="15" t="s">
        <v>3586</v>
      </c>
      <c r="N1069" s="15" t="s">
        <v>1154</v>
      </c>
      <c r="P1069" s="15" t="str">
        <f t="shared" ref="P1069:Q1069" si="3124">"20"</f>
        <v>20</v>
      </c>
      <c r="Q1069" s="15" t="str">
        <f t="shared" si="3124"/>
        <v>20</v>
      </c>
      <c r="R1069" s="15" t="str">
        <f>"23.5"</f>
        <v>23.5</v>
      </c>
      <c r="S1069" s="15" t="str">
        <f>"17.64"</f>
        <v>17.64</v>
      </c>
      <c r="T1069" s="15" t="s">
        <v>3701</v>
      </c>
      <c r="U1069" s="15" t="s">
        <v>14078</v>
      </c>
      <c r="AA1069" s="15" t="s">
        <v>413</v>
      </c>
      <c r="AB1069" s="15" t="s">
        <v>413</v>
      </c>
      <c r="AC1069" s="15" t="s">
        <v>10270</v>
      </c>
      <c r="AD1069" s="15" t="s">
        <v>24486</v>
      </c>
      <c r="AE1069" s="15" t="s">
        <v>10269</v>
      </c>
      <c r="AF1069" s="15" t="s">
        <v>24487</v>
      </c>
      <c r="AG1069" s="15" t="s">
        <v>24488</v>
      </c>
      <c r="AH1069" s="15" t="s">
        <v>24489</v>
      </c>
      <c r="AI1069" s="15" t="s">
        <v>24490</v>
      </c>
      <c r="AJ1069" s="15" t="s">
        <v>24491</v>
      </c>
      <c r="AK1069" s="15" t="s">
        <v>24492</v>
      </c>
      <c r="AL1069" s="15" t="s">
        <v>24493</v>
      </c>
      <c r="BH1069" s="15" t="s">
        <v>10267</v>
      </c>
      <c r="BI1069" s="15" t="str">
        <f>"399"</f>
        <v>399</v>
      </c>
      <c r="BJ1069" s="15" t="str">
        <f>"170"</f>
        <v>170</v>
      </c>
      <c r="BK1069" s="15" t="s">
        <v>1303</v>
      </c>
      <c r="BL1069" s="15" t="str">
        <f t="shared" ref="BL1069:BL1074" si="3126">"1"</f>
        <v>1</v>
      </c>
      <c r="BM1069" s="15" t="s">
        <v>416</v>
      </c>
      <c r="BN1069" s="15" t="str">
        <f t="shared" ref="BN1069:BO1069" si="3125">"21"</f>
        <v>21</v>
      </c>
      <c r="BO1069" s="15" t="str">
        <f t="shared" si="3125"/>
        <v>21</v>
      </c>
      <c r="BP1069" s="15" t="str">
        <f>"27"</f>
        <v>27</v>
      </c>
      <c r="BQ1069" s="15" t="str">
        <f>"27.12"</f>
        <v>27.12</v>
      </c>
      <c r="CG1069" s="15" t="str">
        <f>"6.89"</f>
        <v>6.89</v>
      </c>
      <c r="CH1069" s="15" t="str">
        <f>"0.195"</f>
        <v>0.195</v>
      </c>
      <c r="CI1069" s="15" t="s">
        <v>497</v>
      </c>
      <c r="CZ1069" s="15" t="s">
        <v>419</v>
      </c>
      <c r="DA1069" s="15">
        <v>0.0</v>
      </c>
      <c r="DB1069" s="15" t="s">
        <v>419</v>
      </c>
      <c r="DD1069" s="15">
        <v>0.0</v>
      </c>
      <c r="DG1069" s="15" t="s">
        <v>419</v>
      </c>
      <c r="DK1069" s="15">
        <v>0.0</v>
      </c>
      <c r="DR1069" s="15" t="s">
        <v>1157</v>
      </c>
      <c r="DS1069" s="15" t="s">
        <v>10271</v>
      </c>
      <c r="DU1069" s="15" t="s">
        <v>500</v>
      </c>
      <c r="EF1069" s="15" t="s">
        <v>2735</v>
      </c>
      <c r="EQ1069" s="15" t="s">
        <v>1213</v>
      </c>
      <c r="ER1069" s="15" t="s">
        <v>525</v>
      </c>
      <c r="ES1069" s="15" t="s">
        <v>1213</v>
      </c>
      <c r="ET1069" s="15" t="s">
        <v>10272</v>
      </c>
      <c r="EV1069" s="15">
        <v>0.0</v>
      </c>
      <c r="EW1069" s="15">
        <v>0.0</v>
      </c>
      <c r="FF1069" s="15" t="s">
        <v>672</v>
      </c>
    </row>
    <row r="1070" ht="17.25" customHeight="1">
      <c r="A1070" s="15" t="s">
        <v>10276</v>
      </c>
      <c r="B1070" s="15" t="str">
        <f>"801542026820"</f>
        <v>801542026820</v>
      </c>
      <c r="C1070" s="15" t="s">
        <v>24494</v>
      </c>
      <c r="D1070" s="15" t="str">
        <f t="shared" si="1"/>
        <v>Tussac Media ConsoleMatte Brown Neem</v>
      </c>
      <c r="E1070" s="15" t="s">
        <v>10273</v>
      </c>
      <c r="F1070" s="15" t="s">
        <v>397</v>
      </c>
      <c r="G1070" s="15" t="s">
        <v>10275</v>
      </c>
      <c r="J1070" s="15" t="s">
        <v>10275</v>
      </c>
      <c r="M1070" s="15" t="s">
        <v>4600</v>
      </c>
      <c r="N1070" s="15" t="s">
        <v>602</v>
      </c>
      <c r="P1070" s="15" t="str">
        <f>"78"</f>
        <v>78</v>
      </c>
      <c r="Q1070" s="15" t="str">
        <f>"18"</f>
        <v>18</v>
      </c>
      <c r="R1070" s="15" t="str">
        <f>"27"</f>
        <v>27</v>
      </c>
      <c r="S1070" s="15" t="str">
        <f>"155.42"</f>
        <v>155.42</v>
      </c>
      <c r="T1070" s="15" t="s">
        <v>10278</v>
      </c>
      <c r="U1070" s="15" t="s">
        <v>24495</v>
      </c>
      <c r="AA1070" s="15" t="s">
        <v>426</v>
      </c>
      <c r="AB1070" s="15" t="s">
        <v>413</v>
      </c>
      <c r="AC1070" s="15" t="s">
        <v>10279</v>
      </c>
      <c r="AD1070" s="15" t="s">
        <v>24496</v>
      </c>
      <c r="AE1070" s="15" t="s">
        <v>10277</v>
      </c>
      <c r="AF1070" s="15" t="s">
        <v>24497</v>
      </c>
      <c r="AG1070" s="15" t="s">
        <v>24498</v>
      </c>
      <c r="AH1070" s="15" t="s">
        <v>24499</v>
      </c>
      <c r="AI1070" s="15" t="s">
        <v>24500</v>
      </c>
      <c r="AJ1070" s="15" t="s">
        <v>24501</v>
      </c>
      <c r="AK1070" s="15" t="s">
        <v>24502</v>
      </c>
      <c r="AL1070" s="15" t="s">
        <v>24503</v>
      </c>
      <c r="AM1070" s="15" t="s">
        <v>24504</v>
      </c>
      <c r="AN1070" s="15" t="s">
        <v>24505</v>
      </c>
      <c r="AO1070" s="15" t="s">
        <v>24506</v>
      </c>
      <c r="AP1070" s="15" t="s">
        <v>24507</v>
      </c>
      <c r="AQ1070" s="15" t="s">
        <v>24508</v>
      </c>
      <c r="BH1070" s="15" t="s">
        <v>10274</v>
      </c>
      <c r="BI1070" s="15" t="str">
        <f t="shared" ref="BI1070:BI1071" si="3128">"1999"</f>
        <v>1999</v>
      </c>
      <c r="BJ1070" s="15" t="str">
        <f t="shared" ref="BJ1070:BJ1071" si="3129">"840"</f>
        <v>840</v>
      </c>
      <c r="BK1070" s="15" t="s">
        <v>1303</v>
      </c>
      <c r="BL1070" s="15" t="str">
        <f t="shared" si="3126"/>
        <v>1</v>
      </c>
      <c r="BM1070" s="15" t="s">
        <v>416</v>
      </c>
      <c r="BN1070" s="15" t="str">
        <f>"81.75"</f>
        <v>81.75</v>
      </c>
      <c r="BO1070" s="15" t="str">
        <f>"22.75"</f>
        <v>22.75</v>
      </c>
      <c r="BP1070" s="15" t="str">
        <f>"31.5"</f>
        <v>31.5</v>
      </c>
      <c r="BQ1070" s="15" t="str">
        <f>"184.64"</f>
        <v>184.64</v>
      </c>
      <c r="CG1070" s="15" t="str">
        <f>"33.9"</f>
        <v>33.9</v>
      </c>
      <c r="CH1070" s="15" t="str">
        <f>"0.96"</f>
        <v>0.96</v>
      </c>
      <c r="CI1070" s="15" t="s">
        <v>497</v>
      </c>
      <c r="CM1070" s="15" t="s">
        <v>1213</v>
      </c>
      <c r="CN1070" s="15" t="s">
        <v>10281</v>
      </c>
      <c r="CO1070" s="15" t="s">
        <v>4277</v>
      </c>
      <c r="CZ1070" s="15" t="s">
        <v>419</v>
      </c>
      <c r="DA1070" s="15">
        <v>0.0</v>
      </c>
      <c r="DB1070" s="15" t="s">
        <v>419</v>
      </c>
      <c r="DD1070" s="15">
        <v>0.0</v>
      </c>
      <c r="DF1070" s="15" t="s">
        <v>1111</v>
      </c>
      <c r="DG1070" s="15" t="s">
        <v>610</v>
      </c>
      <c r="DI1070" s="15">
        <v>18.14</v>
      </c>
      <c r="DJ1070" s="15">
        <v>40.0</v>
      </c>
      <c r="DK1070" s="15">
        <v>2.0</v>
      </c>
      <c r="DS1070" s="15" t="s">
        <v>10282</v>
      </c>
      <c r="EF1070" s="15" t="s">
        <v>672</v>
      </c>
      <c r="EV1070" s="15">
        <v>2.0</v>
      </c>
      <c r="FH1070" s="15" t="s">
        <v>555</v>
      </c>
      <c r="FI1070" s="15" t="s">
        <v>1188</v>
      </c>
      <c r="FJ1070" s="15" t="s">
        <v>650</v>
      </c>
      <c r="FK1070" s="15" t="s">
        <v>504</v>
      </c>
      <c r="FL1070" s="15" t="s">
        <v>784</v>
      </c>
      <c r="FM1070" s="15" t="s">
        <v>4277</v>
      </c>
      <c r="FO1070" s="15" t="s">
        <v>426</v>
      </c>
      <c r="FP1070" s="15" t="s">
        <v>785</v>
      </c>
      <c r="FQ1070" s="15">
        <v>4.0</v>
      </c>
      <c r="FR1070" s="15" t="s">
        <v>614</v>
      </c>
      <c r="FS1070" s="15" t="s">
        <v>1045</v>
      </c>
      <c r="FU1070" s="15" t="s">
        <v>426</v>
      </c>
      <c r="FW1070" s="15" t="s">
        <v>616</v>
      </c>
      <c r="GJ1070" s="15" t="s">
        <v>1213</v>
      </c>
      <c r="GK1070" s="15" t="s">
        <v>10281</v>
      </c>
      <c r="GL1070" s="15" t="s">
        <v>4277</v>
      </c>
      <c r="GM1070" s="15">
        <v>0.0</v>
      </c>
      <c r="HQ1070" s="15" t="s">
        <v>426</v>
      </c>
    </row>
    <row r="1071" ht="17.25" customHeight="1">
      <c r="A1071" s="15" t="s">
        <v>10285</v>
      </c>
      <c r="B1071" s="15" t="str">
        <f>"801542331993"</f>
        <v>801542331993</v>
      </c>
      <c r="C1071" s="15" t="s">
        <v>24509</v>
      </c>
      <c r="D1071" s="15" t="str">
        <f t="shared" si="1"/>
        <v>Two Tier Coffee TableMatte Brown Neem</v>
      </c>
      <c r="E1071" s="15" t="s">
        <v>10283</v>
      </c>
      <c r="F1071" s="15" t="s">
        <v>397</v>
      </c>
      <c r="G1071" s="15" t="s">
        <v>10275</v>
      </c>
      <c r="J1071" s="15" t="s">
        <v>10275</v>
      </c>
      <c r="M1071" s="15" t="s">
        <v>4600</v>
      </c>
      <c r="N1071" s="15" t="s">
        <v>491</v>
      </c>
      <c r="P1071" s="15" t="str">
        <f t="shared" ref="P1071:Q1071" si="3127">"50.75"</f>
        <v>50.75</v>
      </c>
      <c r="Q1071" s="15" t="str">
        <f t="shared" si="3127"/>
        <v>50.75</v>
      </c>
      <c r="R1071" s="15" t="str">
        <f>"16.5"</f>
        <v>16.5</v>
      </c>
      <c r="S1071" s="15" t="str">
        <f>"147.93"</f>
        <v>147.93</v>
      </c>
      <c r="T1071" s="15" t="s">
        <v>10278</v>
      </c>
      <c r="U1071" s="15" t="s">
        <v>24495</v>
      </c>
      <c r="AA1071" s="15" t="s">
        <v>413</v>
      </c>
      <c r="AB1071" s="15" t="s">
        <v>413</v>
      </c>
      <c r="AC1071" s="15" t="s">
        <v>10287</v>
      </c>
      <c r="AD1071" s="15" t="s">
        <v>24510</v>
      </c>
      <c r="AE1071" s="15" t="s">
        <v>10286</v>
      </c>
      <c r="AF1071" s="15" t="s">
        <v>24511</v>
      </c>
      <c r="AG1071" s="15" t="s">
        <v>24512</v>
      </c>
      <c r="AH1071" s="15" t="s">
        <v>24513</v>
      </c>
      <c r="AI1071" s="15" t="s">
        <v>24514</v>
      </c>
      <c r="AJ1071" s="15" t="s">
        <v>24515</v>
      </c>
      <c r="AK1071" s="15" t="s">
        <v>24516</v>
      </c>
      <c r="AL1071" s="15" t="s">
        <v>24517</v>
      </c>
      <c r="AM1071" s="15" t="s">
        <v>24518</v>
      </c>
      <c r="AN1071" s="15" t="s">
        <v>24519</v>
      </c>
      <c r="AO1071" s="15" t="s">
        <v>24520</v>
      </c>
      <c r="BH1071" s="15" t="s">
        <v>10284</v>
      </c>
      <c r="BI1071" s="15" t="str">
        <f t="shared" si="3128"/>
        <v>1999</v>
      </c>
      <c r="BJ1071" s="15" t="str">
        <f t="shared" si="3129"/>
        <v>840</v>
      </c>
      <c r="BK1071" s="15" t="s">
        <v>1303</v>
      </c>
      <c r="BL1071" s="15" t="str">
        <f t="shared" si="3126"/>
        <v>1</v>
      </c>
      <c r="BM1071" s="15" t="s">
        <v>416</v>
      </c>
      <c r="BN1071" s="15" t="str">
        <f t="shared" ref="BN1071:BO1071" si="3130">"51.25"</f>
        <v>51.25</v>
      </c>
      <c r="BO1071" s="15" t="str">
        <f t="shared" si="3130"/>
        <v>51.25</v>
      </c>
      <c r="BP1071" s="15" t="str">
        <f>"19.75"</f>
        <v>19.75</v>
      </c>
      <c r="BQ1071" s="15" t="str">
        <f>"197.97"</f>
        <v>197.97</v>
      </c>
      <c r="CG1071" s="15" t="str">
        <f>"30.02"</f>
        <v>30.02</v>
      </c>
      <c r="CH1071" s="15" t="str">
        <f>"0.85"</f>
        <v>0.85</v>
      </c>
      <c r="CI1071" s="15" t="s">
        <v>465</v>
      </c>
      <c r="CJ1071" s="15" t="s">
        <v>4528</v>
      </c>
      <c r="CK1071" s="15" t="s">
        <v>784</v>
      </c>
      <c r="CL1071" s="15" t="s">
        <v>4528</v>
      </c>
      <c r="CM1071" s="15" t="s">
        <v>4528</v>
      </c>
      <c r="CN1071" s="15" t="s">
        <v>1738</v>
      </c>
      <c r="CO1071" s="15" t="s">
        <v>4528</v>
      </c>
      <c r="CZ1071" s="15" t="s">
        <v>419</v>
      </c>
      <c r="DA1071" s="15">
        <v>0.0</v>
      </c>
      <c r="DB1071" s="15" t="s">
        <v>419</v>
      </c>
      <c r="DD1071" s="15">
        <v>1.0</v>
      </c>
      <c r="DE1071" s="15" t="s">
        <v>426</v>
      </c>
      <c r="DF1071" s="15" t="s">
        <v>1111</v>
      </c>
      <c r="DG1071" s="15" t="s">
        <v>1914</v>
      </c>
      <c r="DK1071" s="15">
        <v>0.0</v>
      </c>
      <c r="DR1071" s="15" t="s">
        <v>1157</v>
      </c>
      <c r="DS1071" s="15" t="s">
        <v>10289</v>
      </c>
      <c r="DU1071" s="15" t="s">
        <v>500</v>
      </c>
      <c r="EF1071" s="15" t="s">
        <v>1236</v>
      </c>
      <c r="EG1071" s="15" t="s">
        <v>4528</v>
      </c>
      <c r="EH1071" s="15" t="s">
        <v>4528</v>
      </c>
      <c r="EQ1071" s="15" t="s">
        <v>784</v>
      </c>
      <c r="ER1071" s="15" t="s">
        <v>788</v>
      </c>
      <c r="ES1071" s="15" t="s">
        <v>531</v>
      </c>
      <c r="ET1071" s="15" t="s">
        <v>784</v>
      </c>
      <c r="EV1071" s="15">
        <v>1.0</v>
      </c>
      <c r="EW1071" s="15">
        <v>0.0</v>
      </c>
    </row>
    <row r="1072" ht="17.25" customHeight="1">
      <c r="A1072" s="15" t="s">
        <v>10292</v>
      </c>
      <c r="B1072" s="15" t="str">
        <f>"801542332105"</f>
        <v>801542332105</v>
      </c>
      <c r="C1072" s="15" t="s">
        <v>24521</v>
      </c>
      <c r="D1072" s="15" t="str">
        <f t="shared" si="1"/>
        <v>Two Tier End TableMatte Brown Neem</v>
      </c>
      <c r="E1072" s="15" t="s">
        <v>10290</v>
      </c>
      <c r="F1072" s="15" t="s">
        <v>397</v>
      </c>
      <c r="G1072" s="15" t="s">
        <v>10275</v>
      </c>
      <c r="J1072" s="15" t="s">
        <v>10275</v>
      </c>
      <c r="M1072" s="15" t="s">
        <v>4600</v>
      </c>
      <c r="N1072" s="15" t="s">
        <v>1154</v>
      </c>
      <c r="P1072" s="15" t="str">
        <f t="shared" ref="P1072:Q1072" si="3131">"22"</f>
        <v>22</v>
      </c>
      <c r="Q1072" s="15" t="str">
        <f t="shared" si="3131"/>
        <v>22</v>
      </c>
      <c r="R1072" s="15" t="str">
        <f>"20"</f>
        <v>20</v>
      </c>
      <c r="S1072" s="15" t="str">
        <f>"29.54"</f>
        <v>29.54</v>
      </c>
      <c r="T1072" s="15" t="s">
        <v>10278</v>
      </c>
      <c r="U1072" s="15" t="s">
        <v>24495</v>
      </c>
      <c r="AA1072" s="15" t="s">
        <v>413</v>
      </c>
      <c r="AB1072" s="15" t="s">
        <v>413</v>
      </c>
      <c r="AC1072" s="15" t="s">
        <v>10295</v>
      </c>
      <c r="AD1072" s="15" t="s">
        <v>24522</v>
      </c>
      <c r="AE1072" s="15" t="s">
        <v>10294</v>
      </c>
      <c r="AF1072" s="15" t="s">
        <v>24523</v>
      </c>
      <c r="AG1072" s="15" t="s">
        <v>24524</v>
      </c>
      <c r="AH1072" s="15" t="s">
        <v>24525</v>
      </c>
      <c r="AI1072" s="15" t="s">
        <v>24526</v>
      </c>
      <c r="AJ1072" s="15" t="s">
        <v>24527</v>
      </c>
      <c r="AK1072" s="15" t="s">
        <v>24528</v>
      </c>
      <c r="AL1072" s="15" t="s">
        <v>24529</v>
      </c>
      <c r="AM1072" s="15" t="s">
        <v>24530</v>
      </c>
      <c r="AN1072" s="15" t="s">
        <v>24531</v>
      </c>
      <c r="AO1072" s="15" t="s">
        <v>24532</v>
      </c>
      <c r="BH1072" s="15" t="s">
        <v>10291</v>
      </c>
      <c r="BI1072" s="15" t="str">
        <f>"599"</f>
        <v>599</v>
      </c>
      <c r="BJ1072" s="15" t="str">
        <f>"255"</f>
        <v>255</v>
      </c>
      <c r="BK1072" s="15" t="s">
        <v>1303</v>
      </c>
      <c r="BL1072" s="15" t="str">
        <f t="shared" si="3126"/>
        <v>1</v>
      </c>
      <c r="BM1072" s="15" t="s">
        <v>416</v>
      </c>
      <c r="BN1072" s="15" t="str">
        <f>"24.25"</f>
        <v>24.25</v>
      </c>
      <c r="BO1072" s="15" t="str">
        <f>"24.5"</f>
        <v>24.5</v>
      </c>
      <c r="BP1072" s="15" t="str">
        <f>"24.25"</f>
        <v>24.25</v>
      </c>
      <c r="BQ1072" s="15" t="str">
        <f>"44.09"</f>
        <v>44.09</v>
      </c>
      <c r="CG1072" s="15" t="str">
        <f>"8.33"</f>
        <v>8.33</v>
      </c>
      <c r="CH1072" s="15" t="str">
        <f>"0.236"</f>
        <v>0.236</v>
      </c>
      <c r="CI1072" s="15" t="s">
        <v>417</v>
      </c>
      <c r="CJ1072" s="15" t="s">
        <v>1237</v>
      </c>
      <c r="CK1072" s="15" t="s">
        <v>784</v>
      </c>
      <c r="CL1072" s="15" t="s">
        <v>1237</v>
      </c>
      <c r="CM1072" s="15" t="s">
        <v>1237</v>
      </c>
      <c r="CN1072" s="15" t="s">
        <v>1288</v>
      </c>
      <c r="CO1072" s="15" t="s">
        <v>1237</v>
      </c>
      <c r="CZ1072" s="15" t="s">
        <v>419</v>
      </c>
      <c r="DA1072" s="15">
        <v>0.0</v>
      </c>
      <c r="DB1072" s="15" t="s">
        <v>419</v>
      </c>
      <c r="DD1072" s="15">
        <v>1.0</v>
      </c>
      <c r="DE1072" s="15" t="s">
        <v>426</v>
      </c>
      <c r="DF1072" s="15" t="s">
        <v>1111</v>
      </c>
      <c r="DG1072" s="15" t="s">
        <v>1914</v>
      </c>
      <c r="DK1072" s="15">
        <v>0.0</v>
      </c>
      <c r="DR1072" s="15" t="s">
        <v>1157</v>
      </c>
      <c r="DS1072" s="15" t="s">
        <v>10289</v>
      </c>
      <c r="DU1072" s="15" t="s">
        <v>500</v>
      </c>
      <c r="EF1072" s="15" t="s">
        <v>672</v>
      </c>
      <c r="EG1072" s="15" t="s">
        <v>1237</v>
      </c>
      <c r="EH1072" s="15" t="s">
        <v>1237</v>
      </c>
      <c r="EQ1072" s="15" t="s">
        <v>612</v>
      </c>
      <c r="ER1072" s="15" t="s">
        <v>1324</v>
      </c>
      <c r="ES1072" s="15" t="s">
        <v>2498</v>
      </c>
      <c r="ET1072" s="15" t="s">
        <v>784</v>
      </c>
      <c r="EV1072" s="15">
        <v>1.0</v>
      </c>
      <c r="EW1072" s="15">
        <v>0.0</v>
      </c>
    </row>
    <row r="1073" ht="17.25" customHeight="1">
      <c r="A1073" s="15" t="s">
        <v>10298</v>
      </c>
      <c r="B1073" s="15" t="str">
        <f>"801542872052"</f>
        <v>801542872052</v>
      </c>
      <c r="C1073" s="15" t="s">
        <v>24533</v>
      </c>
      <c r="D1073" s="15" t="str">
        <f t="shared" si="1"/>
        <v>Tybalt Swivel ChairSheepskin Camel</v>
      </c>
      <c r="E1073" s="15" t="s">
        <v>10296</v>
      </c>
      <c r="F1073" s="15" t="s">
        <v>397</v>
      </c>
      <c r="G1073" s="15" t="s">
        <v>4322</v>
      </c>
      <c r="J1073" s="15" t="s">
        <v>4322</v>
      </c>
      <c r="M1073" s="15" t="s">
        <v>2108</v>
      </c>
      <c r="N1073" s="15" t="s">
        <v>706</v>
      </c>
      <c r="O1073" s="15" t="s">
        <v>707</v>
      </c>
      <c r="P1073" s="15" t="str">
        <f>"36"</f>
        <v>36</v>
      </c>
      <c r="Q1073" s="15" t="str">
        <f>"32.5"</f>
        <v>32.5</v>
      </c>
      <c r="R1073" s="15" t="str">
        <f>"31"</f>
        <v>31</v>
      </c>
      <c r="S1073" s="15" t="str">
        <f>"62.83"</f>
        <v>62.83</v>
      </c>
      <c r="T1073" s="15" t="s">
        <v>1655</v>
      </c>
      <c r="U1073" s="15" t="s">
        <v>11209</v>
      </c>
      <c r="AA1073" s="15" t="s">
        <v>413</v>
      </c>
      <c r="AB1073" s="15" t="s">
        <v>413</v>
      </c>
      <c r="AC1073" s="15" t="s">
        <v>10300</v>
      </c>
      <c r="AD1073" s="15" t="s">
        <v>24534</v>
      </c>
      <c r="AE1073" s="15" t="s">
        <v>10299</v>
      </c>
      <c r="AF1073" s="15" t="s">
        <v>24535</v>
      </c>
      <c r="AG1073" s="15" t="s">
        <v>24536</v>
      </c>
      <c r="AH1073" s="15" t="s">
        <v>24537</v>
      </c>
      <c r="AI1073" s="15" t="s">
        <v>24538</v>
      </c>
      <c r="AJ1073" s="15" t="s">
        <v>24539</v>
      </c>
      <c r="AK1073" s="15" t="s">
        <v>24540</v>
      </c>
      <c r="AL1073" s="15" t="s">
        <v>24541</v>
      </c>
      <c r="AM1073" s="15" t="s">
        <v>24542</v>
      </c>
      <c r="AN1073" s="15" t="s">
        <v>24543</v>
      </c>
      <c r="BH1073" s="15" t="s">
        <v>10297</v>
      </c>
      <c r="BI1073" s="15" t="str">
        <f>"1099"</f>
        <v>1099</v>
      </c>
      <c r="BJ1073" s="15" t="str">
        <f>"465"</f>
        <v>465</v>
      </c>
      <c r="BK1073" s="15" t="s">
        <v>415</v>
      </c>
      <c r="BL1073" s="15" t="str">
        <f t="shared" si="3126"/>
        <v>1</v>
      </c>
      <c r="BM1073" s="15" t="s">
        <v>416</v>
      </c>
      <c r="BN1073" s="15" t="str">
        <f t="shared" ref="BN1073:BO1073" si="3132">"42.13"</f>
        <v>42.13</v>
      </c>
      <c r="BO1073" s="15" t="str">
        <f t="shared" si="3132"/>
        <v>42.13</v>
      </c>
      <c r="BP1073" s="15" t="str">
        <f>"32.28"</f>
        <v>32.28</v>
      </c>
      <c r="BQ1073" s="15" t="str">
        <f>"74.96"</f>
        <v>74.96</v>
      </c>
      <c r="CG1073" s="15" t="str">
        <f>"33.16"</f>
        <v>33.16</v>
      </c>
      <c r="CH1073" s="15" t="str">
        <f>"0.939"</f>
        <v>0.939</v>
      </c>
      <c r="CI1073" s="15" t="s">
        <v>497</v>
      </c>
      <c r="CS1073" s="15" t="s">
        <v>1212</v>
      </c>
      <c r="CT1073" s="15" t="s">
        <v>1325</v>
      </c>
      <c r="CV1073" s="15">
        <v>0.0</v>
      </c>
      <c r="CW1073" s="15">
        <v>0.0</v>
      </c>
      <c r="CX1073" s="15" t="s">
        <v>717</v>
      </c>
      <c r="CY1073" s="15" t="s">
        <v>897</v>
      </c>
      <c r="DF1073" s="15" t="s">
        <v>721</v>
      </c>
      <c r="DG1073" s="15" t="s">
        <v>1605</v>
      </c>
      <c r="DH1073" s="15">
        <v>0.0</v>
      </c>
      <c r="DL1073" s="15">
        <v>100000.0</v>
      </c>
      <c r="DM1073" s="15" t="s">
        <v>990</v>
      </c>
      <c r="DP1073" s="15">
        <v>0.0</v>
      </c>
      <c r="DQ1073" s="15">
        <v>1.0</v>
      </c>
      <c r="DS1073" s="15" t="s">
        <v>10301</v>
      </c>
      <c r="DT1073" s="15">
        <v>0.0</v>
      </c>
      <c r="DU1073" s="15" t="s">
        <v>726</v>
      </c>
      <c r="DV1073" s="15" t="s">
        <v>2599</v>
      </c>
      <c r="DW1073" s="15" t="s">
        <v>1329</v>
      </c>
      <c r="DX1073" s="15" t="s">
        <v>1700</v>
      </c>
      <c r="EB1073" s="15" t="s">
        <v>2116</v>
      </c>
      <c r="EF1073" s="15" t="s">
        <v>672</v>
      </c>
      <c r="EI1073" s="15" t="s">
        <v>1982</v>
      </c>
      <c r="EO1073" s="15" t="s">
        <v>860</v>
      </c>
      <c r="EX1073" s="15" t="s">
        <v>1324</v>
      </c>
      <c r="EY1073" s="15" t="s">
        <v>2839</v>
      </c>
      <c r="EZ1073" s="15">
        <v>0.0</v>
      </c>
      <c r="FA1073" s="15">
        <v>0.0</v>
      </c>
      <c r="FC1073" s="15">
        <v>0.0</v>
      </c>
      <c r="HU1073" s="15" t="s">
        <v>1610</v>
      </c>
    </row>
    <row r="1074" ht="17.25" customHeight="1">
      <c r="A1074" s="15" t="s">
        <v>10305</v>
      </c>
      <c r="B1074" s="15" t="str">
        <f>"198394119870"</f>
        <v>198394119870</v>
      </c>
      <c r="C1074" s="15" t="s">
        <v>24544</v>
      </c>
      <c r="D1074" s="15" t="str">
        <f t="shared" si="1"/>
        <v>Valen 6 Drawer DresserRustic Brown Oak Veneer</v>
      </c>
      <c r="E1074" s="15" t="s">
        <v>10302</v>
      </c>
      <c r="F1074" s="15" t="s">
        <v>397</v>
      </c>
      <c r="G1074" s="15" t="s">
        <v>10304</v>
      </c>
      <c r="J1074" s="15" t="s">
        <v>10304</v>
      </c>
      <c r="K1074" s="15" t="s">
        <v>10307</v>
      </c>
      <c r="M1074" s="15" t="s">
        <v>751</v>
      </c>
      <c r="N1074" s="15" t="s">
        <v>412</v>
      </c>
      <c r="P1074" s="15" t="str">
        <f>"72"</f>
        <v>72</v>
      </c>
      <c r="Q1074" s="15" t="str">
        <f>"20.75"</f>
        <v>20.75</v>
      </c>
      <c r="R1074" s="15" t="str">
        <f t="shared" ref="R1074:R1075" si="3133">"32"</f>
        <v>32</v>
      </c>
      <c r="S1074" s="15" t="str">
        <f>"260.14"</f>
        <v>260.14</v>
      </c>
      <c r="T1074" s="15" t="s">
        <v>2354</v>
      </c>
      <c r="U1074" s="15" t="s">
        <v>11553</v>
      </c>
      <c r="V1074" s="15" t="s">
        <v>11338</v>
      </c>
      <c r="AA1074" s="15" t="s">
        <v>413</v>
      </c>
      <c r="AB1074" s="15" t="s">
        <v>413</v>
      </c>
      <c r="AC1074" s="15" t="s">
        <v>10308</v>
      </c>
      <c r="AD1074" s="15" t="s">
        <v>24545</v>
      </c>
      <c r="AE1074" s="15" t="s">
        <v>10306</v>
      </c>
      <c r="AF1074" s="15" t="s">
        <v>24546</v>
      </c>
      <c r="AG1074" s="15" t="s">
        <v>24547</v>
      </c>
      <c r="AH1074" s="15" t="s">
        <v>24548</v>
      </c>
      <c r="AI1074" s="15" t="s">
        <v>24549</v>
      </c>
      <c r="AJ1074" s="15" t="s">
        <v>24550</v>
      </c>
      <c r="AK1074" s="15" t="s">
        <v>24551</v>
      </c>
      <c r="AL1074" s="15" t="s">
        <v>24552</v>
      </c>
      <c r="AM1074" s="15" t="s">
        <v>24553</v>
      </c>
      <c r="AN1074" s="15" t="s">
        <v>24554</v>
      </c>
      <c r="AO1074" s="15" t="s">
        <v>24555</v>
      </c>
      <c r="AP1074" s="15" t="s">
        <v>24556</v>
      </c>
      <c r="BH1074" s="15" t="s">
        <v>10303</v>
      </c>
      <c r="BI1074" s="15" t="str">
        <f>"3899"</f>
        <v>3899</v>
      </c>
      <c r="BJ1074" s="15" t="str">
        <f>"1640"</f>
        <v>1640</v>
      </c>
      <c r="BK1074" s="15" t="s">
        <v>742</v>
      </c>
      <c r="BL1074" s="15" t="str">
        <f t="shared" si="3126"/>
        <v>1</v>
      </c>
      <c r="BM1074" s="15" t="s">
        <v>416</v>
      </c>
      <c r="BN1074" s="15" t="str">
        <f>"76.18"</f>
        <v>76.18</v>
      </c>
      <c r="BO1074" s="15" t="str">
        <f>"23.82"</f>
        <v>23.82</v>
      </c>
      <c r="BP1074" s="15" t="str">
        <f>"37.8"</f>
        <v>37.8</v>
      </c>
      <c r="BQ1074" s="15" t="str">
        <f>"316.36"</f>
        <v>316.36</v>
      </c>
      <c r="CG1074" s="15" t="str">
        <f>"39.69"</f>
        <v>39.69</v>
      </c>
      <c r="CH1074" s="15" t="str">
        <f>"1.124"</f>
        <v>1.124</v>
      </c>
      <c r="CI1074" s="15" t="s">
        <v>465</v>
      </c>
      <c r="CZ1074" s="15" t="s">
        <v>418</v>
      </c>
      <c r="DA1074" s="15">
        <v>6.0</v>
      </c>
      <c r="DB1074" s="15" t="s">
        <v>419</v>
      </c>
      <c r="DD1074" s="15">
        <v>0.0</v>
      </c>
      <c r="DF1074" s="15" t="s">
        <v>420</v>
      </c>
      <c r="DG1074" s="15" t="s">
        <v>421</v>
      </c>
      <c r="DK1074" s="15">
        <v>0.0</v>
      </c>
      <c r="DR1074" s="15" t="s">
        <v>422</v>
      </c>
      <c r="DS1074" s="15" t="s">
        <v>10310</v>
      </c>
      <c r="DU1074" s="15" t="s">
        <v>424</v>
      </c>
      <c r="EF1074" s="15" t="s">
        <v>2162</v>
      </c>
      <c r="EU1074" s="15" t="s">
        <v>426</v>
      </c>
      <c r="EV1074" s="15">
        <v>0.0</v>
      </c>
      <c r="FQ1074" s="15">
        <v>0.0</v>
      </c>
      <c r="FR1074" s="15" t="s">
        <v>427</v>
      </c>
      <c r="FX1074" s="15" t="s">
        <v>426</v>
      </c>
      <c r="FZ1074" s="15" t="s">
        <v>760</v>
      </c>
      <c r="GA1074" s="15" t="s">
        <v>760</v>
      </c>
      <c r="GB1074" s="15" t="s">
        <v>1132</v>
      </c>
      <c r="GC1074" s="15" t="s">
        <v>8114</v>
      </c>
      <c r="GD1074" s="15" t="s">
        <v>10311</v>
      </c>
      <c r="GE1074" s="15" t="s">
        <v>10311</v>
      </c>
      <c r="GF1074" s="15" t="s">
        <v>431</v>
      </c>
      <c r="GH1074" s="15" t="s">
        <v>764</v>
      </c>
    </row>
    <row r="1075" ht="17.25" customHeight="1">
      <c r="A1075" s="15" t="s">
        <v>10314</v>
      </c>
      <c r="B1075" s="15" t="str">
        <f>"801542385361"</f>
        <v>801542385361</v>
      </c>
      <c r="C1075" s="15" t="s">
        <v>24557</v>
      </c>
      <c r="D1075" s="15" t="str">
        <f t="shared" si="1"/>
        <v>Valen Console TableRustic Brown Oak Veneer</v>
      </c>
      <c r="E1075" s="15" t="s">
        <v>10312</v>
      </c>
      <c r="F1075" s="15" t="s">
        <v>397</v>
      </c>
      <c r="G1075" s="15" t="s">
        <v>10304</v>
      </c>
      <c r="J1075" s="15" t="s">
        <v>10304</v>
      </c>
      <c r="M1075" s="15" t="s">
        <v>751</v>
      </c>
      <c r="N1075" s="15" t="s">
        <v>519</v>
      </c>
      <c r="P1075" s="15" t="str">
        <f>"78"</f>
        <v>78</v>
      </c>
      <c r="Q1075" s="15" t="str">
        <f>"18"</f>
        <v>18</v>
      </c>
      <c r="R1075" s="15" t="str">
        <f t="shared" si="3133"/>
        <v>32</v>
      </c>
      <c r="S1075" s="15" t="str">
        <f>"99.21"</f>
        <v>99.21</v>
      </c>
      <c r="T1075" s="15" t="s">
        <v>1298</v>
      </c>
      <c r="U1075" s="15" t="s">
        <v>11553</v>
      </c>
      <c r="AA1075" s="15" t="s">
        <v>413</v>
      </c>
      <c r="AB1075" s="15" t="s">
        <v>413</v>
      </c>
      <c r="AC1075" s="15" t="s">
        <v>10316</v>
      </c>
      <c r="AD1075" s="15" t="s">
        <v>24558</v>
      </c>
      <c r="AE1075" s="15" t="s">
        <v>10315</v>
      </c>
      <c r="AF1075" s="15" t="s">
        <v>24559</v>
      </c>
      <c r="AG1075" s="15" t="s">
        <v>24560</v>
      </c>
      <c r="AH1075" s="15" t="s">
        <v>24561</v>
      </c>
      <c r="AI1075" s="15" t="s">
        <v>24562</v>
      </c>
      <c r="AJ1075" s="15" t="s">
        <v>24563</v>
      </c>
      <c r="AK1075" s="15" t="s">
        <v>24564</v>
      </c>
      <c r="AL1075" s="15" t="s">
        <v>24565</v>
      </c>
      <c r="AM1075" s="15" t="s">
        <v>24566</v>
      </c>
      <c r="AN1075" s="15" t="s">
        <v>24567</v>
      </c>
      <c r="AO1075" s="15" t="s">
        <v>24568</v>
      </c>
      <c r="AP1075" s="15" t="s">
        <v>12106</v>
      </c>
      <c r="AQ1075" s="15" t="s">
        <v>24569</v>
      </c>
      <c r="BH1075" s="15" t="s">
        <v>10313</v>
      </c>
      <c r="BI1075" s="15" t="str">
        <f>"2999"</f>
        <v>2999</v>
      </c>
      <c r="BJ1075" s="15" t="str">
        <f>"1260"</f>
        <v>1260</v>
      </c>
      <c r="BK1075" s="15" t="s">
        <v>742</v>
      </c>
      <c r="BL1075" s="15" t="str">
        <f>"2"</f>
        <v>2</v>
      </c>
      <c r="BM1075" s="15" t="s">
        <v>8029</v>
      </c>
      <c r="BN1075" s="15" t="str">
        <f>"83.27"</f>
        <v>83.27</v>
      </c>
      <c r="BO1075" s="15" t="str">
        <f>"5.71"</f>
        <v>5.71</v>
      </c>
      <c r="BP1075" s="15" t="str">
        <f>"22.24"</f>
        <v>22.24</v>
      </c>
      <c r="BQ1075" s="15" t="str">
        <f>"56.22"</f>
        <v>56.22</v>
      </c>
      <c r="BR1075" s="15" t="s">
        <v>2238</v>
      </c>
      <c r="BS1075" s="15" t="str">
        <f>"31.3"</f>
        <v>31.3</v>
      </c>
      <c r="BT1075" s="15" t="str">
        <f>"15.75"</f>
        <v>15.75</v>
      </c>
      <c r="BU1075" s="15" t="str">
        <f>"35.83"</f>
        <v>35.83</v>
      </c>
      <c r="BV1075" s="15" t="str">
        <f>"76.06"</f>
        <v>76.06</v>
      </c>
      <c r="CG1075" s="15" t="str">
        <f>"16.32"</f>
        <v>16.32</v>
      </c>
      <c r="CH1075" s="15" t="str">
        <f>"0.462"</f>
        <v>0.462</v>
      </c>
      <c r="CI1075" s="15" t="s">
        <v>465</v>
      </c>
      <c r="CZ1075" s="15" t="s">
        <v>419</v>
      </c>
      <c r="DA1075" s="15">
        <v>0.0</v>
      </c>
      <c r="DB1075" s="15" t="s">
        <v>419</v>
      </c>
      <c r="DD1075" s="15">
        <v>0.0</v>
      </c>
      <c r="DF1075" s="15" t="s">
        <v>1509</v>
      </c>
      <c r="DG1075" s="15" t="s">
        <v>419</v>
      </c>
      <c r="DK1075" s="15">
        <v>0.0</v>
      </c>
      <c r="DR1075" s="15" t="s">
        <v>471</v>
      </c>
      <c r="DS1075" s="15" t="s">
        <v>10310</v>
      </c>
      <c r="DU1075" s="15" t="s">
        <v>424</v>
      </c>
      <c r="EF1075" s="15" t="s">
        <v>10318</v>
      </c>
      <c r="EH1075" s="15" t="s">
        <v>8920</v>
      </c>
      <c r="EQ1075" s="15" t="s">
        <v>10319</v>
      </c>
      <c r="ER1075" s="15" t="s">
        <v>10318</v>
      </c>
      <c r="ES1075" s="15" t="s">
        <v>10319</v>
      </c>
      <c r="ET1075" s="15" t="s">
        <v>789</v>
      </c>
      <c r="EU1075" s="15" t="s">
        <v>426</v>
      </c>
      <c r="EV1075" s="15">
        <v>0.0</v>
      </c>
      <c r="EW1075" s="15">
        <v>0.0</v>
      </c>
      <c r="FF1075" s="15" t="s">
        <v>10320</v>
      </c>
      <c r="FQ1075" s="15">
        <v>0.0</v>
      </c>
      <c r="FR1075" s="15" t="s">
        <v>427</v>
      </c>
    </row>
    <row r="1076" ht="17.25" customHeight="1">
      <c r="A1076" s="15" t="s">
        <v>10323</v>
      </c>
      <c r="B1076" s="15" t="str">
        <f>"801542273187"</f>
        <v>801542273187</v>
      </c>
      <c r="C1076" s="15" t="s">
        <v>24570</v>
      </c>
      <c r="D1076" s="15" t="str">
        <f t="shared" si="1"/>
        <v>Valen SideboardRustic Brown Oak Veneer</v>
      </c>
      <c r="E1076" s="15" t="s">
        <v>10321</v>
      </c>
      <c r="F1076" s="15" t="s">
        <v>397</v>
      </c>
      <c r="G1076" s="15" t="s">
        <v>10304</v>
      </c>
      <c r="J1076" s="15" t="s">
        <v>10304</v>
      </c>
      <c r="K1076" s="15" t="s">
        <v>10307</v>
      </c>
      <c r="M1076" s="15" t="s">
        <v>751</v>
      </c>
      <c r="N1076" s="15" t="s">
        <v>664</v>
      </c>
      <c r="P1076" s="15" t="str">
        <f>"94"</f>
        <v>94</v>
      </c>
      <c r="Q1076" s="15" t="str">
        <f>"20.5"</f>
        <v>20.5</v>
      </c>
      <c r="R1076" s="15" t="str">
        <f>"30"</f>
        <v>30</v>
      </c>
      <c r="S1076" s="15" t="str">
        <f>"259.04"</f>
        <v>259.04</v>
      </c>
      <c r="T1076" s="15" t="s">
        <v>2354</v>
      </c>
      <c r="U1076" s="15" t="s">
        <v>11553</v>
      </c>
      <c r="V1076" s="15" t="s">
        <v>11338</v>
      </c>
      <c r="AA1076" s="15" t="s">
        <v>413</v>
      </c>
      <c r="AB1076" s="15" t="s">
        <v>413</v>
      </c>
      <c r="AC1076" s="15" t="s">
        <v>10326</v>
      </c>
      <c r="AD1076" s="15" t="s">
        <v>24571</v>
      </c>
      <c r="AE1076" s="15" t="s">
        <v>10325</v>
      </c>
      <c r="AF1076" s="15" t="s">
        <v>24572</v>
      </c>
      <c r="AG1076" s="15" t="s">
        <v>24573</v>
      </c>
      <c r="AH1076" s="15" t="s">
        <v>24574</v>
      </c>
      <c r="AI1076" s="15" t="s">
        <v>24575</v>
      </c>
      <c r="AJ1076" s="15" t="s">
        <v>24576</v>
      </c>
      <c r="AK1076" s="15" t="s">
        <v>24577</v>
      </c>
      <c r="AL1076" s="15" t="s">
        <v>24578</v>
      </c>
      <c r="AM1076" s="15" t="s">
        <v>24579</v>
      </c>
      <c r="AN1076" s="15" t="s">
        <v>24580</v>
      </c>
      <c r="AO1076" s="15" t="s">
        <v>24581</v>
      </c>
      <c r="AP1076" s="15" t="s">
        <v>24582</v>
      </c>
      <c r="AQ1076" s="15" t="s">
        <v>24583</v>
      </c>
      <c r="AR1076" s="15" t="s">
        <v>24584</v>
      </c>
      <c r="AS1076" s="15" t="s">
        <v>20093</v>
      </c>
      <c r="BH1076" s="15" t="s">
        <v>10322</v>
      </c>
      <c r="BI1076" s="15" t="str">
        <f>"4299"</f>
        <v>4299</v>
      </c>
      <c r="BJ1076" s="15" t="str">
        <f>"1810"</f>
        <v>1810</v>
      </c>
      <c r="BK1076" s="15" t="s">
        <v>742</v>
      </c>
      <c r="BL1076" s="15" t="str">
        <f t="shared" ref="BL1076:BL1079" si="3134">"1"</f>
        <v>1</v>
      </c>
      <c r="BM1076" s="15" t="s">
        <v>416</v>
      </c>
      <c r="BN1076" s="15" t="str">
        <f>"97.83"</f>
        <v>97.83</v>
      </c>
      <c r="BO1076" s="15" t="str">
        <f>"24.21"</f>
        <v>24.21</v>
      </c>
      <c r="BP1076" s="15" t="str">
        <f>"35.63"</f>
        <v>35.63</v>
      </c>
      <c r="BQ1076" s="15" t="str">
        <f>"328.49"</f>
        <v>328.49</v>
      </c>
      <c r="CG1076" s="15" t="str">
        <f>"48.84"</f>
        <v>48.84</v>
      </c>
      <c r="CH1076" s="15" t="str">
        <f>"1.383"</f>
        <v>1.383</v>
      </c>
      <c r="CI1076" s="15" t="s">
        <v>465</v>
      </c>
      <c r="CM1076" s="15" t="s">
        <v>3053</v>
      </c>
      <c r="CN1076" s="15" t="s">
        <v>7250</v>
      </c>
      <c r="CO1076" s="15" t="s">
        <v>10327</v>
      </c>
      <c r="CZ1076" s="15" t="s">
        <v>419</v>
      </c>
      <c r="DA1076" s="15">
        <v>0.0</v>
      </c>
      <c r="DB1076" s="15" t="s">
        <v>419</v>
      </c>
      <c r="DD1076" s="15">
        <v>0.0</v>
      </c>
      <c r="DF1076" s="15" t="s">
        <v>420</v>
      </c>
      <c r="DG1076" s="15" t="s">
        <v>610</v>
      </c>
      <c r="DI1076" s="15">
        <v>18.14</v>
      </c>
      <c r="DJ1076" s="15">
        <v>40.0</v>
      </c>
      <c r="DK1076" s="15">
        <v>2.0</v>
      </c>
      <c r="DS1076" s="15" t="s">
        <v>10310</v>
      </c>
      <c r="DU1076" s="15" t="s">
        <v>424</v>
      </c>
      <c r="EF1076" s="15" t="s">
        <v>2162</v>
      </c>
      <c r="EU1076" s="15" t="s">
        <v>426</v>
      </c>
      <c r="EV1076" s="15">
        <v>2.0</v>
      </c>
      <c r="FH1076" s="15" t="s">
        <v>1116</v>
      </c>
      <c r="FI1076" s="15" t="s">
        <v>612</v>
      </c>
      <c r="FJ1076" s="15" t="s">
        <v>10328</v>
      </c>
      <c r="FK1076" s="15" t="s">
        <v>3053</v>
      </c>
      <c r="FL1076" s="15" t="s">
        <v>784</v>
      </c>
      <c r="FM1076" s="15" t="s">
        <v>10327</v>
      </c>
      <c r="FN1076" s="15">
        <v>0.0</v>
      </c>
      <c r="FO1076" s="15" t="s">
        <v>426</v>
      </c>
      <c r="FP1076" s="15" t="s">
        <v>785</v>
      </c>
      <c r="FQ1076" s="15">
        <v>4.0</v>
      </c>
      <c r="FR1076" s="15" t="s">
        <v>614</v>
      </c>
      <c r="FS1076" s="15" t="s">
        <v>786</v>
      </c>
      <c r="FT1076" s="15">
        <v>0.0</v>
      </c>
      <c r="FU1076" s="15" t="s">
        <v>426</v>
      </c>
      <c r="FW1076" s="15" t="s">
        <v>616</v>
      </c>
      <c r="GJ1076" s="15" t="s">
        <v>3053</v>
      </c>
      <c r="GL1076" s="15" t="s">
        <v>10327</v>
      </c>
      <c r="HF1076" s="15" t="s">
        <v>789</v>
      </c>
      <c r="HQ1076" s="15" t="s">
        <v>426</v>
      </c>
    </row>
    <row r="1077" ht="17.25" customHeight="1">
      <c r="A1077" s="15" t="s">
        <v>10331</v>
      </c>
      <c r="B1077" s="15" t="str">
        <f>"801542652104"</f>
        <v>801542652104</v>
      </c>
      <c r="C1077" s="15" t="s">
        <v>24585</v>
      </c>
      <c r="D1077" s="15" t="str">
        <f t="shared" si="1"/>
        <v>Vanna SofaKnoll Domino</v>
      </c>
      <c r="E1077" s="15" t="s">
        <v>10329</v>
      </c>
      <c r="F1077" s="15" t="s">
        <v>397</v>
      </c>
      <c r="G1077" s="15" t="s">
        <v>9290</v>
      </c>
      <c r="J1077" s="15" t="s">
        <v>9290</v>
      </c>
      <c r="K1077" s="15" t="s">
        <v>10334</v>
      </c>
      <c r="M1077" s="15" t="s">
        <v>1628</v>
      </c>
      <c r="N1077" s="15" t="s">
        <v>1732</v>
      </c>
      <c r="P1077" s="15" t="str">
        <f t="shared" ref="P1077:P1079" si="3135">"74"</f>
        <v>74</v>
      </c>
      <c r="Q1077" s="15" t="str">
        <f t="shared" ref="Q1077:Q1078" si="3136">"34"</f>
        <v>34</v>
      </c>
      <c r="R1077" s="15" t="str">
        <f t="shared" ref="R1077:R1078" si="3137">"32.5"</f>
        <v>32.5</v>
      </c>
      <c r="S1077" s="15" t="str">
        <f t="shared" ref="S1077:S1078" si="3138">"99.21"</f>
        <v>99.21</v>
      </c>
      <c r="T1077" s="15" t="s">
        <v>10333</v>
      </c>
      <c r="U1077" s="15" t="s">
        <v>11234</v>
      </c>
      <c r="V1077" s="15" t="s">
        <v>11371</v>
      </c>
      <c r="W1077" s="15" t="s">
        <v>11139</v>
      </c>
      <c r="AA1077" s="15" t="s">
        <v>413</v>
      </c>
      <c r="AB1077" s="15" t="s">
        <v>426</v>
      </c>
      <c r="AC1077" s="15" t="s">
        <v>10335</v>
      </c>
      <c r="AD1077" s="15" t="s">
        <v>24586</v>
      </c>
      <c r="AE1077" s="15" t="s">
        <v>10332</v>
      </c>
      <c r="AF1077" s="15" t="s">
        <v>24587</v>
      </c>
      <c r="AG1077" s="15" t="s">
        <v>24588</v>
      </c>
      <c r="AH1077" s="15" t="s">
        <v>24589</v>
      </c>
      <c r="AI1077" s="15" t="s">
        <v>24590</v>
      </c>
      <c r="AJ1077" s="15" t="s">
        <v>24591</v>
      </c>
      <c r="AK1077" s="15" t="s">
        <v>24592</v>
      </c>
      <c r="AL1077" s="15" t="s">
        <v>24593</v>
      </c>
      <c r="AM1077" s="15" t="s">
        <v>24594</v>
      </c>
      <c r="AN1077" s="15" t="s">
        <v>24595</v>
      </c>
      <c r="AO1077" s="15" t="s">
        <v>24596</v>
      </c>
      <c r="AP1077" s="15" t="s">
        <v>24597</v>
      </c>
      <c r="BH1077" s="15" t="s">
        <v>10330</v>
      </c>
      <c r="BI1077" s="15" t="str">
        <f>"2399"</f>
        <v>2399</v>
      </c>
      <c r="BJ1077" s="15" t="str">
        <f>"1010"</f>
        <v>1010</v>
      </c>
      <c r="BK1077" s="15" t="s">
        <v>709</v>
      </c>
      <c r="BL1077" s="15" t="str">
        <f t="shared" si="3134"/>
        <v>1</v>
      </c>
      <c r="BM1077" s="15" t="s">
        <v>1477</v>
      </c>
      <c r="BN1077" s="15" t="str">
        <f t="shared" ref="BN1077:BN1078" si="3139">"75.2"</f>
        <v>75.2</v>
      </c>
      <c r="BO1077" s="15" t="str">
        <f t="shared" ref="BO1077:BO1078" si="3140">"35.43"</f>
        <v>35.43</v>
      </c>
      <c r="BP1077" s="15" t="str">
        <f t="shared" ref="BP1077:BP1078" si="3141">"31.5"</f>
        <v>31.5</v>
      </c>
      <c r="BQ1077" s="15" t="str">
        <f t="shared" ref="BQ1077:BQ1078" si="3142">"139.77"</f>
        <v>139.77</v>
      </c>
      <c r="CG1077" s="15" t="str">
        <f t="shared" ref="CG1077:CG1078" si="3143">"44.92"</f>
        <v>44.92</v>
      </c>
      <c r="CH1077" s="15" t="str">
        <f t="shared" ref="CH1077:CH1078" si="3144">"1.272"</f>
        <v>1.272</v>
      </c>
      <c r="CI1077" s="15" t="s">
        <v>465</v>
      </c>
      <c r="CP1077" s="15" t="s">
        <v>1064</v>
      </c>
      <c r="CQ1077" s="15" t="s">
        <v>2402</v>
      </c>
      <c r="CR1077" s="15" t="s">
        <v>1739</v>
      </c>
      <c r="CS1077" s="15" t="s">
        <v>1331</v>
      </c>
      <c r="CT1077" s="15" t="s">
        <v>1237</v>
      </c>
      <c r="CU1077" s="15" t="s">
        <v>10337</v>
      </c>
      <c r="CV1077" s="15">
        <v>0.0</v>
      </c>
      <c r="CW1077" s="15">
        <v>2.0</v>
      </c>
      <c r="CX1077" s="15" t="s">
        <v>717</v>
      </c>
      <c r="CY1077" s="15" t="s">
        <v>855</v>
      </c>
      <c r="DC1077" s="15" t="s">
        <v>997</v>
      </c>
      <c r="DF1077" s="15" t="s">
        <v>721</v>
      </c>
      <c r="DG1077" s="15" t="s">
        <v>419</v>
      </c>
      <c r="DH1077" s="15">
        <v>0.0</v>
      </c>
      <c r="DL1077" s="15">
        <v>25000.0</v>
      </c>
      <c r="DM1077" s="15" t="s">
        <v>990</v>
      </c>
      <c r="DN1077" s="15" t="s">
        <v>723</v>
      </c>
      <c r="DO1077" s="15" t="s">
        <v>724</v>
      </c>
      <c r="DP1077" s="15">
        <v>2.0</v>
      </c>
      <c r="DQ1077" s="15">
        <v>3.0</v>
      </c>
      <c r="DS1077" s="15" t="s">
        <v>10338</v>
      </c>
      <c r="DT1077" s="15">
        <v>0.0</v>
      </c>
      <c r="DU1077" s="15" t="s">
        <v>473</v>
      </c>
      <c r="DV1077" s="15" t="s">
        <v>1212</v>
      </c>
      <c r="DW1077" s="15" t="s">
        <v>1327</v>
      </c>
      <c r="DX1077" s="15" t="s">
        <v>1574</v>
      </c>
      <c r="EB1077" s="15" t="s">
        <v>635</v>
      </c>
      <c r="EC1077" s="15" t="s">
        <v>2116</v>
      </c>
      <c r="ED1077" s="15" t="s">
        <v>1213</v>
      </c>
      <c r="EE1077" s="15" t="s">
        <v>529</v>
      </c>
      <c r="EF1077" s="15" t="s">
        <v>2547</v>
      </c>
      <c r="EG1077" s="15" t="s">
        <v>1330</v>
      </c>
      <c r="EH1077" s="15" t="s">
        <v>5286</v>
      </c>
      <c r="EI1077" s="15" t="s">
        <v>1592</v>
      </c>
      <c r="EL1077" s="15" t="s">
        <v>723</v>
      </c>
      <c r="EM1077" s="15" t="s">
        <v>724</v>
      </c>
      <c r="EN1077" s="15" t="s">
        <v>3408</v>
      </c>
      <c r="EO1077" s="15" t="s">
        <v>997</v>
      </c>
      <c r="EX1077" s="15" t="s">
        <v>10337</v>
      </c>
      <c r="EY1077" s="15" t="s">
        <v>10337</v>
      </c>
    </row>
    <row r="1078" ht="17.25" customHeight="1">
      <c r="A1078" s="15" t="s">
        <v>10341</v>
      </c>
      <c r="B1078" s="15" t="str">
        <f>"801542716813"</f>
        <v>801542716813</v>
      </c>
      <c r="C1078" s="15" t="s">
        <v>24598</v>
      </c>
      <c r="D1078" s="15" t="str">
        <f t="shared" si="1"/>
        <v>Vanna SofaUmber Pewter</v>
      </c>
      <c r="E1078" s="15" t="s">
        <v>10329</v>
      </c>
      <c r="F1078" s="15" t="s">
        <v>397</v>
      </c>
      <c r="G1078" s="15" t="s">
        <v>10340</v>
      </c>
      <c r="J1078" s="15" t="s">
        <v>10340</v>
      </c>
      <c r="K1078" s="15" t="s">
        <v>10343</v>
      </c>
      <c r="M1078" s="15" t="s">
        <v>1628</v>
      </c>
      <c r="N1078" s="15" t="s">
        <v>1732</v>
      </c>
      <c r="P1078" s="15" t="str">
        <f t="shared" si="3135"/>
        <v>74</v>
      </c>
      <c r="Q1078" s="15" t="str">
        <f t="shared" si="3136"/>
        <v>34</v>
      </c>
      <c r="R1078" s="15" t="str">
        <f t="shared" si="3137"/>
        <v>32.5</v>
      </c>
      <c r="S1078" s="15" t="str">
        <f t="shared" si="3138"/>
        <v>99.21</v>
      </c>
      <c r="T1078" s="15" t="s">
        <v>808</v>
      </c>
      <c r="U1078" s="15" t="s">
        <v>11137</v>
      </c>
      <c r="V1078" s="15" t="s">
        <v>11139</v>
      </c>
      <c r="AA1078" s="15" t="s">
        <v>413</v>
      </c>
      <c r="AB1078" s="15" t="s">
        <v>413</v>
      </c>
      <c r="AC1078" s="15" t="s">
        <v>10344</v>
      </c>
      <c r="AD1078" s="15" t="s">
        <v>24599</v>
      </c>
      <c r="AE1078" s="15" t="s">
        <v>10342</v>
      </c>
      <c r="AF1078" s="15" t="s">
        <v>24600</v>
      </c>
      <c r="AG1078" s="15" t="s">
        <v>24601</v>
      </c>
      <c r="AH1078" s="15" t="s">
        <v>24602</v>
      </c>
      <c r="AI1078" s="15" t="s">
        <v>24603</v>
      </c>
      <c r="AJ1078" s="15" t="s">
        <v>24604</v>
      </c>
      <c r="AK1078" s="15" t="s">
        <v>24605</v>
      </c>
      <c r="AL1078" s="15" t="s">
        <v>24606</v>
      </c>
      <c r="AM1078" s="15" t="s">
        <v>24607</v>
      </c>
      <c r="AN1078" s="15" t="s">
        <v>24608</v>
      </c>
      <c r="AO1078" s="15" t="s">
        <v>24609</v>
      </c>
      <c r="AP1078" s="15" t="s">
        <v>24610</v>
      </c>
      <c r="BH1078" s="15" t="s">
        <v>10339</v>
      </c>
      <c r="BI1078" s="15" t="str">
        <f>"3799"</f>
        <v>3799</v>
      </c>
      <c r="BJ1078" s="15" t="str">
        <f>"1600"</f>
        <v>1600</v>
      </c>
      <c r="BK1078" s="15" t="s">
        <v>709</v>
      </c>
      <c r="BL1078" s="15" t="str">
        <f t="shared" si="3134"/>
        <v>1</v>
      </c>
      <c r="BM1078" s="15" t="s">
        <v>6688</v>
      </c>
      <c r="BN1078" s="15" t="str">
        <f t="shared" si="3139"/>
        <v>75.2</v>
      </c>
      <c r="BO1078" s="15" t="str">
        <f t="shared" si="3140"/>
        <v>35.43</v>
      </c>
      <c r="BP1078" s="15" t="str">
        <f t="shared" si="3141"/>
        <v>31.5</v>
      </c>
      <c r="BQ1078" s="15" t="str">
        <f t="shared" si="3142"/>
        <v>139.77</v>
      </c>
      <c r="CG1078" s="15" t="str">
        <f t="shared" si="3143"/>
        <v>44.92</v>
      </c>
      <c r="CH1078" s="15" t="str">
        <f t="shared" si="3144"/>
        <v>1.272</v>
      </c>
      <c r="CI1078" s="15" t="s">
        <v>465</v>
      </c>
      <c r="CP1078" s="15" t="s">
        <v>1064</v>
      </c>
      <c r="CQ1078" s="15" t="s">
        <v>2402</v>
      </c>
      <c r="CR1078" s="15" t="s">
        <v>1739</v>
      </c>
      <c r="CS1078" s="15" t="s">
        <v>1331</v>
      </c>
      <c r="CT1078" s="15" t="s">
        <v>1237</v>
      </c>
      <c r="CU1078" s="15" t="s">
        <v>10337</v>
      </c>
      <c r="CV1078" s="15">
        <v>0.0</v>
      </c>
      <c r="CW1078" s="15">
        <v>2.0</v>
      </c>
      <c r="CX1078" s="15" t="s">
        <v>717</v>
      </c>
      <c r="CY1078" s="15" t="s">
        <v>718</v>
      </c>
      <c r="DC1078" s="15" t="s">
        <v>997</v>
      </c>
      <c r="DF1078" s="15" t="s">
        <v>721</v>
      </c>
      <c r="DG1078" s="15" t="s">
        <v>419</v>
      </c>
      <c r="DH1078" s="15">
        <v>0.0</v>
      </c>
      <c r="DL1078" s="15">
        <v>0.0</v>
      </c>
      <c r="DM1078" s="15" t="s">
        <v>990</v>
      </c>
      <c r="DN1078" s="15" t="s">
        <v>723</v>
      </c>
      <c r="DO1078" s="15" t="s">
        <v>724</v>
      </c>
      <c r="DP1078" s="15">
        <v>2.0</v>
      </c>
      <c r="DQ1078" s="15">
        <v>3.0</v>
      </c>
      <c r="DS1078" s="15" t="s">
        <v>10338</v>
      </c>
      <c r="DT1078" s="15">
        <v>0.0</v>
      </c>
      <c r="DU1078" s="15" t="s">
        <v>473</v>
      </c>
      <c r="DV1078" s="15" t="s">
        <v>1212</v>
      </c>
      <c r="DW1078" s="15" t="s">
        <v>1327</v>
      </c>
      <c r="DX1078" s="15" t="s">
        <v>1574</v>
      </c>
      <c r="EB1078" s="15" t="s">
        <v>635</v>
      </c>
      <c r="EC1078" s="15" t="s">
        <v>2116</v>
      </c>
      <c r="ED1078" s="15" t="s">
        <v>1213</v>
      </c>
      <c r="EE1078" s="15" t="s">
        <v>529</v>
      </c>
      <c r="EF1078" s="15" t="s">
        <v>2547</v>
      </c>
      <c r="EG1078" s="15" t="s">
        <v>1330</v>
      </c>
      <c r="EH1078" s="15" t="s">
        <v>5286</v>
      </c>
      <c r="EI1078" s="15" t="s">
        <v>1592</v>
      </c>
      <c r="EL1078" s="15" t="s">
        <v>723</v>
      </c>
      <c r="EM1078" s="15" t="s">
        <v>724</v>
      </c>
      <c r="EN1078" s="15" t="s">
        <v>3408</v>
      </c>
      <c r="EO1078" s="15" t="s">
        <v>997</v>
      </c>
      <c r="EX1078" s="15" t="s">
        <v>10337</v>
      </c>
      <c r="EY1078" s="15" t="s">
        <v>10337</v>
      </c>
    </row>
    <row r="1079" ht="17.25" customHeight="1">
      <c r="A1079" s="15" t="s">
        <v>10348</v>
      </c>
      <c r="B1079" s="15" t="str">
        <f>"801542144494"</f>
        <v>801542144494</v>
      </c>
      <c r="C1079" s="15" t="s">
        <v>24611</v>
      </c>
      <c r="D1079" s="15" t="str">
        <f t="shared" si="1"/>
        <v>Veta SideboardBlack Wash Mango</v>
      </c>
      <c r="E1079" s="15" t="s">
        <v>10345</v>
      </c>
      <c r="F1079" s="15" t="s">
        <v>397</v>
      </c>
      <c r="G1079" s="15" t="s">
        <v>10347</v>
      </c>
      <c r="J1079" s="15" t="s">
        <v>10347</v>
      </c>
      <c r="M1079" s="15" t="s">
        <v>10351</v>
      </c>
      <c r="N1079" s="15" t="s">
        <v>664</v>
      </c>
      <c r="P1079" s="15" t="str">
        <f t="shared" si="3135"/>
        <v>74</v>
      </c>
      <c r="Q1079" s="15" t="str">
        <f t="shared" ref="Q1079:Q1080" si="3145">"18"</f>
        <v>18</v>
      </c>
      <c r="R1079" s="15" t="str">
        <f>"31.5"</f>
        <v>31.5</v>
      </c>
      <c r="S1079" s="15" t="str">
        <f>"134.92"</f>
        <v>134.92</v>
      </c>
      <c r="T1079" s="15" t="s">
        <v>3369</v>
      </c>
      <c r="U1079" s="15" t="s">
        <v>13228</v>
      </c>
      <c r="AA1079" s="15" t="s">
        <v>413</v>
      </c>
      <c r="AB1079" s="15" t="s">
        <v>413</v>
      </c>
      <c r="AC1079" s="15" t="s">
        <v>10352</v>
      </c>
      <c r="AD1079" s="15" t="s">
        <v>24612</v>
      </c>
      <c r="AE1079" s="15" t="s">
        <v>10350</v>
      </c>
      <c r="AF1079" s="15" t="s">
        <v>24613</v>
      </c>
      <c r="AG1079" s="15" t="s">
        <v>24614</v>
      </c>
      <c r="AH1079" s="15" t="s">
        <v>24615</v>
      </c>
      <c r="AI1079" s="15" t="s">
        <v>24616</v>
      </c>
      <c r="AJ1079" s="15" t="s">
        <v>24617</v>
      </c>
      <c r="AK1079" s="15" t="s">
        <v>24618</v>
      </c>
      <c r="AL1079" s="15" t="s">
        <v>24619</v>
      </c>
      <c r="AM1079" s="15" t="s">
        <v>24620</v>
      </c>
      <c r="AN1079" s="15" t="s">
        <v>24621</v>
      </c>
      <c r="AO1079" s="15" t="s">
        <v>24622</v>
      </c>
      <c r="AP1079" s="15" t="s">
        <v>24623</v>
      </c>
      <c r="AQ1079" s="15" t="s">
        <v>24624</v>
      </c>
      <c r="AR1079" s="15" t="s">
        <v>24625</v>
      </c>
      <c r="AS1079" s="15" t="s">
        <v>24626</v>
      </c>
      <c r="AT1079" s="15" t="s">
        <v>24627</v>
      </c>
      <c r="BH1079" s="15" t="s">
        <v>10346</v>
      </c>
      <c r="BI1079" s="15" t="str">
        <f>"2099"</f>
        <v>2099</v>
      </c>
      <c r="BJ1079" s="15" t="str">
        <f>"885"</f>
        <v>885</v>
      </c>
      <c r="BK1079" s="15" t="s">
        <v>1303</v>
      </c>
      <c r="BL1079" s="15" t="str">
        <f t="shared" si="3134"/>
        <v>1</v>
      </c>
      <c r="BM1079" s="15" t="s">
        <v>416</v>
      </c>
      <c r="BN1079" s="15" t="str">
        <f>"78"</f>
        <v>78</v>
      </c>
      <c r="BO1079" s="15" t="str">
        <f>"22.25"</f>
        <v>22.25</v>
      </c>
      <c r="BP1079" s="15" t="str">
        <f>"37.5"</f>
        <v>37.5</v>
      </c>
      <c r="BQ1079" s="15" t="str">
        <f>"177.47"</f>
        <v>177.47</v>
      </c>
      <c r="CG1079" s="15" t="str">
        <f>"37.65"</f>
        <v>37.65</v>
      </c>
      <c r="CH1079" s="15" t="str">
        <f>"1.066"</f>
        <v>1.066</v>
      </c>
      <c r="CI1079" s="15" t="s">
        <v>465</v>
      </c>
      <c r="CM1079" s="15" t="s">
        <v>1213</v>
      </c>
      <c r="CN1079" s="15" t="s">
        <v>943</v>
      </c>
      <c r="CO1079" s="15" t="s">
        <v>1994</v>
      </c>
      <c r="CZ1079" s="15" t="s">
        <v>419</v>
      </c>
      <c r="DA1079" s="15">
        <v>0.0</v>
      </c>
      <c r="DB1079" s="15" t="s">
        <v>419</v>
      </c>
      <c r="DD1079" s="15">
        <v>0.0</v>
      </c>
      <c r="DG1079" s="15" t="s">
        <v>610</v>
      </c>
      <c r="DI1079" s="15">
        <v>18.14</v>
      </c>
      <c r="DJ1079" s="15">
        <v>40.0</v>
      </c>
      <c r="DK1079" s="15">
        <v>2.0</v>
      </c>
      <c r="DS1079" s="15" t="s">
        <v>10353</v>
      </c>
      <c r="DU1079" s="15" t="s">
        <v>424</v>
      </c>
      <c r="EF1079" s="15" t="s">
        <v>505</v>
      </c>
      <c r="EU1079" s="15" t="s">
        <v>426</v>
      </c>
      <c r="EV1079" s="15">
        <v>2.0</v>
      </c>
      <c r="FH1079" s="15" t="s">
        <v>1234</v>
      </c>
      <c r="FI1079" s="15" t="s">
        <v>1188</v>
      </c>
      <c r="FJ1079" s="15" t="s">
        <v>4178</v>
      </c>
      <c r="FK1079" s="15" t="s">
        <v>1213</v>
      </c>
      <c r="FL1079" s="15" t="s">
        <v>612</v>
      </c>
      <c r="FM1079" s="15" t="s">
        <v>1993</v>
      </c>
      <c r="FN1079" s="15">
        <v>0.0</v>
      </c>
      <c r="FQ1079" s="15">
        <v>4.0</v>
      </c>
      <c r="FR1079" s="15" t="s">
        <v>614</v>
      </c>
      <c r="FS1079" s="15" t="s">
        <v>615</v>
      </c>
      <c r="FT1079" s="15">
        <v>0.0</v>
      </c>
      <c r="FU1079" s="15" t="s">
        <v>426</v>
      </c>
      <c r="FW1079" s="15" t="s">
        <v>616</v>
      </c>
      <c r="GJ1079" s="15" t="s">
        <v>1213</v>
      </c>
      <c r="GK1079" s="15" t="s">
        <v>2837</v>
      </c>
      <c r="GL1079" s="15" t="s">
        <v>1994</v>
      </c>
      <c r="HF1079" s="15" t="s">
        <v>672</v>
      </c>
      <c r="HQ1079" s="15" t="s">
        <v>426</v>
      </c>
      <c r="JO1079" s="15" t="s">
        <v>1160</v>
      </c>
      <c r="JP1079" s="15" t="s">
        <v>612</v>
      </c>
      <c r="JQ1079" s="15" t="s">
        <v>529</v>
      </c>
    </row>
    <row r="1080" ht="17.25" customHeight="1">
      <c r="A1080" s="15" t="s">
        <v>10357</v>
      </c>
      <c r="B1080" s="15" t="str">
        <f>"801542638528"</f>
        <v>801542638528</v>
      </c>
      <c r="C1080" s="15" t="s">
        <v>24628</v>
      </c>
      <c r="D1080" s="15" t="str">
        <f t="shared" si="1"/>
        <v>Viggo 6 Drawer DresserVintage White Oak</v>
      </c>
      <c r="E1080" s="15" t="s">
        <v>10354</v>
      </c>
      <c r="F1080" s="15" t="s">
        <v>397</v>
      </c>
      <c r="G1080" s="15" t="s">
        <v>10356</v>
      </c>
      <c r="J1080" s="15" t="s">
        <v>10356</v>
      </c>
      <c r="K1080" s="15" t="s">
        <v>10359</v>
      </c>
      <c r="M1080" s="15" t="s">
        <v>1896</v>
      </c>
      <c r="N1080" s="15" t="s">
        <v>412</v>
      </c>
      <c r="P1080" s="15" t="str">
        <f>"60"</f>
        <v>60</v>
      </c>
      <c r="Q1080" s="15" t="str">
        <f t="shared" si="3145"/>
        <v>18</v>
      </c>
      <c r="R1080" s="15" t="str">
        <f>"35.75"</f>
        <v>35.75</v>
      </c>
      <c r="S1080" s="15" t="str">
        <f>"196.21"</f>
        <v>196.21</v>
      </c>
      <c r="T1080" s="15" t="s">
        <v>2354</v>
      </c>
      <c r="U1080" s="15" t="s">
        <v>11553</v>
      </c>
      <c r="V1080" s="15" t="s">
        <v>11338</v>
      </c>
      <c r="AA1080" s="15" t="s">
        <v>413</v>
      </c>
      <c r="AB1080" s="15" t="s">
        <v>413</v>
      </c>
      <c r="AC1080" s="15" t="s">
        <v>10360</v>
      </c>
      <c r="AD1080" s="15" t="s">
        <v>24629</v>
      </c>
      <c r="AE1080" s="15" t="s">
        <v>10358</v>
      </c>
      <c r="AF1080" s="15" t="s">
        <v>24630</v>
      </c>
      <c r="AG1080" s="15" t="s">
        <v>24631</v>
      </c>
      <c r="AH1080" s="15" t="s">
        <v>24632</v>
      </c>
      <c r="AI1080" s="15" t="s">
        <v>24633</v>
      </c>
      <c r="AJ1080" s="15" t="s">
        <v>24634</v>
      </c>
      <c r="AK1080" s="15" t="s">
        <v>24635</v>
      </c>
      <c r="AL1080" s="15" t="s">
        <v>24636</v>
      </c>
      <c r="AM1080" s="15" t="s">
        <v>24637</v>
      </c>
      <c r="AN1080" s="15" t="s">
        <v>24638</v>
      </c>
      <c r="AO1080" s="15" t="s">
        <v>24639</v>
      </c>
      <c r="AP1080" s="15" t="s">
        <v>24640</v>
      </c>
      <c r="AQ1080" s="15" t="s">
        <v>24641</v>
      </c>
      <c r="AR1080" s="15" t="s">
        <v>24642</v>
      </c>
      <c r="BH1080" s="15" t="s">
        <v>10355</v>
      </c>
      <c r="BI1080" s="15" t="str">
        <f>"2199"</f>
        <v>2199</v>
      </c>
      <c r="BJ1080" s="15" t="str">
        <f>"925"</f>
        <v>925</v>
      </c>
      <c r="BK1080" s="15" t="s">
        <v>742</v>
      </c>
      <c r="BL1080" s="15" t="str">
        <f>"2"</f>
        <v>2</v>
      </c>
      <c r="BM1080" s="15" t="s">
        <v>10361</v>
      </c>
      <c r="BN1080" s="15" t="str">
        <f>"63.58"</f>
        <v>63.58</v>
      </c>
      <c r="BO1080" s="15" t="str">
        <f>"22.72"</f>
        <v>22.72</v>
      </c>
      <c r="BP1080" s="15" t="str">
        <f>"5.71"</f>
        <v>5.71</v>
      </c>
      <c r="BQ1080" s="15" t="str">
        <f>"79.37"</f>
        <v>79.37</v>
      </c>
      <c r="BR1080" s="15" t="s">
        <v>4730</v>
      </c>
      <c r="BS1080" s="15" t="str">
        <f>"63.39"</f>
        <v>63.39</v>
      </c>
      <c r="BT1080" s="15" t="str">
        <f>"21.85"</f>
        <v>21.85</v>
      </c>
      <c r="BU1080" s="15" t="str">
        <f>"36.61"</f>
        <v>36.61</v>
      </c>
      <c r="BV1080" s="15" t="str">
        <f>"179.68"</f>
        <v>179.68</v>
      </c>
      <c r="CG1080" s="15" t="str">
        <f>"34.11"</f>
        <v>34.11</v>
      </c>
      <c r="CH1080" s="15" t="str">
        <f>"0.966"</f>
        <v>0.966</v>
      </c>
      <c r="CI1080" s="15" t="s">
        <v>465</v>
      </c>
      <c r="CZ1080" s="15" t="s">
        <v>2600</v>
      </c>
      <c r="DA1080" s="15">
        <v>6.0</v>
      </c>
      <c r="DB1080" s="15" t="s">
        <v>419</v>
      </c>
      <c r="DD1080" s="15">
        <v>0.0</v>
      </c>
      <c r="DF1080" s="15" t="s">
        <v>1186</v>
      </c>
      <c r="DG1080" s="15" t="s">
        <v>421</v>
      </c>
      <c r="DK1080" s="15">
        <v>0.0</v>
      </c>
      <c r="DR1080" s="15" t="s">
        <v>422</v>
      </c>
      <c r="DS1080" s="15" t="s">
        <v>10363</v>
      </c>
      <c r="DU1080" s="15" t="s">
        <v>500</v>
      </c>
      <c r="EF1080" s="15" t="s">
        <v>429</v>
      </c>
      <c r="EU1080" s="15" t="s">
        <v>426</v>
      </c>
      <c r="EV1080" s="15">
        <v>0.0</v>
      </c>
      <c r="FQ1080" s="15">
        <v>0.0</v>
      </c>
      <c r="FR1080" s="15" t="s">
        <v>427</v>
      </c>
      <c r="FZ1080" s="15" t="s">
        <v>4684</v>
      </c>
      <c r="GB1080" s="15" t="s">
        <v>731</v>
      </c>
      <c r="GD1080" s="15" t="s">
        <v>9631</v>
      </c>
      <c r="GF1080" s="15" t="s">
        <v>2604</v>
      </c>
      <c r="GH1080" s="15" t="s">
        <v>764</v>
      </c>
    </row>
    <row r="1081" ht="17.25" customHeight="1">
      <c r="A1081" s="15" t="s">
        <v>10367</v>
      </c>
      <c r="B1081" s="15" t="str">
        <f>"801542578770"</f>
        <v>801542578770</v>
      </c>
      <c r="C1081" s="15" t="s">
        <v>24643</v>
      </c>
      <c r="D1081" s="15" t="str">
        <f t="shared" si="1"/>
        <v>Viola Accent TableAntique White Marble</v>
      </c>
      <c r="E1081" s="15" t="s">
        <v>10364</v>
      </c>
      <c r="F1081" s="15" t="s">
        <v>397</v>
      </c>
      <c r="G1081" s="15" t="s">
        <v>10366</v>
      </c>
      <c r="J1081" s="15" t="s">
        <v>10366</v>
      </c>
      <c r="K1081" s="15" t="s">
        <v>4717</v>
      </c>
      <c r="M1081" s="15" t="s">
        <v>2630</v>
      </c>
      <c r="N1081" s="15" t="s">
        <v>1154</v>
      </c>
      <c r="P1081" s="15" t="str">
        <f t="shared" ref="P1081:Q1081" si="3146">"10"</f>
        <v>10</v>
      </c>
      <c r="Q1081" s="15" t="str">
        <f t="shared" si="3146"/>
        <v>10</v>
      </c>
      <c r="R1081" s="15" t="str">
        <f t="shared" ref="R1081:R1084" si="3148">"18.75"</f>
        <v>18.75</v>
      </c>
      <c r="S1081" s="15" t="str">
        <f t="shared" ref="S1081:S1084" si="3149">"29.1"</f>
        <v>29.1</v>
      </c>
      <c r="T1081" s="15" t="s">
        <v>4726</v>
      </c>
      <c r="U1081" s="15" t="s">
        <v>11754</v>
      </c>
      <c r="V1081" s="15" t="s">
        <v>11139</v>
      </c>
      <c r="AA1081" s="15" t="s">
        <v>426</v>
      </c>
      <c r="AB1081" s="15" t="s">
        <v>413</v>
      </c>
      <c r="AC1081" s="15" t="s">
        <v>10371</v>
      </c>
      <c r="AD1081" s="15" t="s">
        <v>24644</v>
      </c>
      <c r="AE1081" s="15" t="s">
        <v>10369</v>
      </c>
      <c r="AF1081" s="15" t="s">
        <v>24645</v>
      </c>
      <c r="AG1081" s="15" t="s">
        <v>24646</v>
      </c>
      <c r="AH1081" s="15" t="s">
        <v>24647</v>
      </c>
      <c r="AI1081" s="15" t="s">
        <v>24648</v>
      </c>
      <c r="AJ1081" s="15" t="s">
        <v>24649</v>
      </c>
      <c r="AK1081" s="15" t="s">
        <v>24650</v>
      </c>
      <c r="AL1081" s="15" t="s">
        <v>24651</v>
      </c>
      <c r="BH1081" s="15" t="s">
        <v>10365</v>
      </c>
      <c r="BI1081" s="15" t="str">
        <f t="shared" ref="BI1081:BI1084" si="3150">"399"</f>
        <v>399</v>
      </c>
      <c r="BJ1081" s="15" t="str">
        <f t="shared" ref="BJ1081:BJ1084" si="3151">"170"</f>
        <v>170</v>
      </c>
      <c r="BK1081" s="15" t="s">
        <v>1303</v>
      </c>
      <c r="BL1081" s="15" t="str">
        <f t="shared" ref="BL1081:BL1089" si="3152">"1"</f>
        <v>1</v>
      </c>
      <c r="BM1081" s="15" t="s">
        <v>416</v>
      </c>
      <c r="BN1081" s="15" t="str">
        <f t="shared" ref="BN1081:BN1084" si="3153">"22.5"</f>
        <v>22.5</v>
      </c>
      <c r="BO1081" s="15" t="str">
        <f t="shared" ref="BO1081:BO1084" si="3154">"16.5"</f>
        <v>16.5</v>
      </c>
      <c r="BP1081" s="15" t="str">
        <f t="shared" ref="BP1081:BP1084" si="3155">"17.5"</f>
        <v>17.5</v>
      </c>
      <c r="BQ1081" s="15" t="str">
        <f t="shared" ref="BQ1081:BQ1084" si="3156">"40.01"</f>
        <v>40.01</v>
      </c>
      <c r="CG1081" s="15" t="str">
        <f t="shared" ref="CG1081:CG1084" si="3157">"3.74"</f>
        <v>3.74</v>
      </c>
      <c r="CH1081" s="15" t="str">
        <f t="shared" ref="CH1081:CH1084" si="3158">"0.106"</f>
        <v>0.106</v>
      </c>
      <c r="CI1081" s="15" t="s">
        <v>497</v>
      </c>
      <c r="CZ1081" s="15" t="s">
        <v>419</v>
      </c>
      <c r="DA1081" s="15">
        <v>0.0</v>
      </c>
      <c r="DB1081" s="15" t="s">
        <v>419</v>
      </c>
      <c r="DD1081" s="15">
        <v>0.0</v>
      </c>
      <c r="DG1081" s="15" t="s">
        <v>419</v>
      </c>
      <c r="DK1081" s="15">
        <v>0.0</v>
      </c>
      <c r="DR1081" s="15" t="s">
        <v>1157</v>
      </c>
      <c r="DS1081" s="15" t="s">
        <v>10373</v>
      </c>
      <c r="DU1081" s="15" t="s">
        <v>500</v>
      </c>
      <c r="EF1081" s="15" t="s">
        <v>6018</v>
      </c>
      <c r="EQ1081" s="15" t="s">
        <v>7169</v>
      </c>
      <c r="ER1081" s="15" t="s">
        <v>505</v>
      </c>
      <c r="ES1081" s="15" t="s">
        <v>7169</v>
      </c>
      <c r="ET1081" s="15" t="s">
        <v>612</v>
      </c>
      <c r="EV1081" s="15">
        <v>0.0</v>
      </c>
      <c r="EW1081" s="15">
        <v>0.0</v>
      </c>
      <c r="FF1081" s="15" t="s">
        <v>3305</v>
      </c>
    </row>
    <row r="1082" ht="17.25" customHeight="1">
      <c r="A1082" s="15" t="s">
        <v>10375</v>
      </c>
      <c r="B1082" s="15" t="str">
        <f>"801542029715"</f>
        <v>801542029715</v>
      </c>
      <c r="C1082" s="15" t="s">
        <v>24652</v>
      </c>
      <c r="D1082" s="15" t="str">
        <f t="shared" si="1"/>
        <v>Viola Accent TableBlack Marble</v>
      </c>
      <c r="E1082" s="15" t="s">
        <v>10364</v>
      </c>
      <c r="F1082" s="15" t="s">
        <v>397</v>
      </c>
      <c r="G1082" s="15" t="s">
        <v>2254</v>
      </c>
      <c r="J1082" s="15" t="s">
        <v>2254</v>
      </c>
      <c r="K1082" s="15" t="s">
        <v>4717</v>
      </c>
      <c r="M1082" s="15" t="s">
        <v>2630</v>
      </c>
      <c r="N1082" s="15" t="s">
        <v>1154</v>
      </c>
      <c r="P1082" s="15" t="str">
        <f t="shared" ref="P1082:Q1082" si="3147">"10"</f>
        <v>10</v>
      </c>
      <c r="Q1082" s="15" t="str">
        <f t="shared" si="3147"/>
        <v>10</v>
      </c>
      <c r="R1082" s="15" t="str">
        <f t="shared" si="3148"/>
        <v>18.75</v>
      </c>
      <c r="S1082" s="15" t="str">
        <f t="shared" si="3149"/>
        <v>29.1</v>
      </c>
      <c r="T1082" s="15" t="s">
        <v>4726</v>
      </c>
      <c r="U1082" s="15" t="s">
        <v>11754</v>
      </c>
      <c r="V1082" s="15" t="s">
        <v>11139</v>
      </c>
      <c r="AA1082" s="15" t="s">
        <v>413</v>
      </c>
      <c r="AB1082" s="15" t="s">
        <v>413</v>
      </c>
      <c r="AC1082" s="15" t="s">
        <v>10377</v>
      </c>
      <c r="AD1082" s="15" t="s">
        <v>24653</v>
      </c>
      <c r="AE1082" s="15" t="s">
        <v>10376</v>
      </c>
      <c r="AF1082" s="15" t="s">
        <v>24654</v>
      </c>
      <c r="AG1082" s="15" t="s">
        <v>24655</v>
      </c>
      <c r="AH1082" s="15" t="s">
        <v>24656</v>
      </c>
      <c r="AI1082" s="15" t="s">
        <v>24657</v>
      </c>
      <c r="AJ1082" s="15" t="s">
        <v>24658</v>
      </c>
      <c r="AK1082" s="15" t="s">
        <v>24659</v>
      </c>
      <c r="BH1082" s="15" t="s">
        <v>10374</v>
      </c>
      <c r="BI1082" s="15" t="str">
        <f t="shared" si="3150"/>
        <v>399</v>
      </c>
      <c r="BJ1082" s="15" t="str">
        <f t="shared" si="3151"/>
        <v>170</v>
      </c>
      <c r="BK1082" s="15" t="s">
        <v>1303</v>
      </c>
      <c r="BL1082" s="15" t="str">
        <f t="shared" si="3152"/>
        <v>1</v>
      </c>
      <c r="BM1082" s="15" t="s">
        <v>416</v>
      </c>
      <c r="BN1082" s="15" t="str">
        <f t="shared" si="3153"/>
        <v>22.5</v>
      </c>
      <c r="BO1082" s="15" t="str">
        <f t="shared" si="3154"/>
        <v>16.5</v>
      </c>
      <c r="BP1082" s="15" t="str">
        <f t="shared" si="3155"/>
        <v>17.5</v>
      </c>
      <c r="BQ1082" s="15" t="str">
        <f t="shared" si="3156"/>
        <v>40.01</v>
      </c>
      <c r="CG1082" s="15" t="str">
        <f t="shared" si="3157"/>
        <v>3.74</v>
      </c>
      <c r="CH1082" s="15" t="str">
        <f t="shared" si="3158"/>
        <v>0.106</v>
      </c>
      <c r="CI1082" s="15" t="s">
        <v>497</v>
      </c>
      <c r="CZ1082" s="15" t="s">
        <v>419</v>
      </c>
      <c r="DA1082" s="15">
        <v>0.0</v>
      </c>
      <c r="DB1082" s="15" t="s">
        <v>419</v>
      </c>
      <c r="DD1082" s="15">
        <v>0.0</v>
      </c>
      <c r="DG1082" s="15" t="s">
        <v>419</v>
      </c>
      <c r="DK1082" s="15">
        <v>0.0</v>
      </c>
      <c r="DR1082" s="15" t="s">
        <v>1157</v>
      </c>
      <c r="DS1082" s="15" t="s">
        <v>10373</v>
      </c>
      <c r="DU1082" s="15" t="s">
        <v>500</v>
      </c>
      <c r="EF1082" s="15" t="s">
        <v>6018</v>
      </c>
      <c r="EQ1082" s="15" t="s">
        <v>7169</v>
      </c>
      <c r="ER1082" s="15" t="s">
        <v>505</v>
      </c>
      <c r="ES1082" s="15" t="s">
        <v>7169</v>
      </c>
      <c r="ET1082" s="15" t="s">
        <v>612</v>
      </c>
      <c r="EV1082" s="15">
        <v>0.0</v>
      </c>
      <c r="EW1082" s="15">
        <v>0.0</v>
      </c>
      <c r="FF1082" s="15" t="s">
        <v>3305</v>
      </c>
    </row>
    <row r="1083" ht="17.25" customHeight="1">
      <c r="A1083" s="15" t="s">
        <v>10380</v>
      </c>
      <c r="B1083" s="15" t="str">
        <f>"801542034795"</f>
        <v>801542034795</v>
      </c>
      <c r="C1083" s="15" t="s">
        <v>24660</v>
      </c>
      <c r="D1083" s="15" t="str">
        <f t="shared" si="1"/>
        <v>Viola Accent TableMerlot Marble</v>
      </c>
      <c r="E1083" s="15" t="s">
        <v>10364</v>
      </c>
      <c r="F1083" s="15" t="s">
        <v>397</v>
      </c>
      <c r="G1083" s="15" t="s">
        <v>10379</v>
      </c>
      <c r="J1083" s="15" t="s">
        <v>10379</v>
      </c>
      <c r="K1083" s="15" t="s">
        <v>4717</v>
      </c>
      <c r="M1083" s="15" t="s">
        <v>2630</v>
      </c>
      <c r="N1083" s="15" t="s">
        <v>1154</v>
      </c>
      <c r="P1083" s="15" t="str">
        <f t="shared" ref="P1083:Q1083" si="3159">"10"</f>
        <v>10</v>
      </c>
      <c r="Q1083" s="15" t="str">
        <f t="shared" si="3159"/>
        <v>10</v>
      </c>
      <c r="R1083" s="15" t="str">
        <f t="shared" si="3148"/>
        <v>18.75</v>
      </c>
      <c r="S1083" s="15" t="str">
        <f t="shared" si="3149"/>
        <v>29.1</v>
      </c>
      <c r="T1083" s="15" t="s">
        <v>4726</v>
      </c>
      <c r="U1083" s="15" t="s">
        <v>11754</v>
      </c>
      <c r="V1083" s="15" t="s">
        <v>11139</v>
      </c>
      <c r="AA1083" s="15" t="s">
        <v>413</v>
      </c>
      <c r="AB1083" s="15" t="s">
        <v>413</v>
      </c>
      <c r="AD1083" s="15" t="s">
        <v>24661</v>
      </c>
      <c r="AE1083" s="15" t="s">
        <v>10381</v>
      </c>
      <c r="AF1083" s="15" t="s">
        <v>24662</v>
      </c>
      <c r="AG1083" s="15" t="s">
        <v>24663</v>
      </c>
      <c r="AH1083" s="15" t="s">
        <v>24664</v>
      </c>
      <c r="AI1083" s="15" t="s">
        <v>24665</v>
      </c>
      <c r="AJ1083" s="15" t="s">
        <v>24666</v>
      </c>
      <c r="AK1083" s="15" t="s">
        <v>24667</v>
      </c>
      <c r="AL1083" s="15" t="s">
        <v>24668</v>
      </c>
      <c r="BH1083" s="15" t="s">
        <v>10378</v>
      </c>
      <c r="BI1083" s="15" t="str">
        <f t="shared" si="3150"/>
        <v>399</v>
      </c>
      <c r="BJ1083" s="15" t="str">
        <f t="shared" si="3151"/>
        <v>170</v>
      </c>
      <c r="BK1083" s="15" t="s">
        <v>1303</v>
      </c>
      <c r="BL1083" s="15" t="str">
        <f t="shared" si="3152"/>
        <v>1</v>
      </c>
      <c r="BM1083" s="15" t="s">
        <v>416</v>
      </c>
      <c r="BN1083" s="15" t="str">
        <f t="shared" si="3153"/>
        <v>22.5</v>
      </c>
      <c r="BO1083" s="15" t="str">
        <f t="shared" si="3154"/>
        <v>16.5</v>
      </c>
      <c r="BP1083" s="15" t="str">
        <f t="shared" si="3155"/>
        <v>17.5</v>
      </c>
      <c r="BQ1083" s="15" t="str">
        <f t="shared" si="3156"/>
        <v>40.01</v>
      </c>
      <c r="CG1083" s="15" t="str">
        <f t="shared" si="3157"/>
        <v>3.74</v>
      </c>
      <c r="CH1083" s="15" t="str">
        <f t="shared" si="3158"/>
        <v>0.106</v>
      </c>
      <c r="CI1083" s="15" t="s">
        <v>465</v>
      </c>
      <c r="CZ1083" s="15" t="s">
        <v>419</v>
      </c>
      <c r="DA1083" s="15">
        <v>0.0</v>
      </c>
      <c r="DB1083" s="15" t="s">
        <v>419</v>
      </c>
      <c r="DD1083" s="15">
        <v>0.0</v>
      </c>
      <c r="DG1083" s="15" t="s">
        <v>419</v>
      </c>
      <c r="DK1083" s="15">
        <v>0.0</v>
      </c>
      <c r="DR1083" s="15" t="s">
        <v>1157</v>
      </c>
      <c r="DS1083" s="15" t="s">
        <v>10373</v>
      </c>
      <c r="DU1083" s="15" t="s">
        <v>500</v>
      </c>
      <c r="EF1083" s="15" t="s">
        <v>6018</v>
      </c>
      <c r="EQ1083" s="15" t="s">
        <v>7169</v>
      </c>
      <c r="ER1083" s="15" t="s">
        <v>505</v>
      </c>
      <c r="ES1083" s="15" t="s">
        <v>7169</v>
      </c>
      <c r="ET1083" s="15" t="s">
        <v>612</v>
      </c>
      <c r="EV1083" s="15">
        <v>0.0</v>
      </c>
      <c r="EW1083" s="15">
        <v>0.0</v>
      </c>
      <c r="FF1083" s="15" t="s">
        <v>3305</v>
      </c>
    </row>
    <row r="1084" ht="17.25" customHeight="1">
      <c r="A1084" s="15" t="s">
        <v>10383</v>
      </c>
      <c r="B1084" s="15" t="str">
        <f>"801542049126"</f>
        <v>801542049126</v>
      </c>
      <c r="C1084" s="15" t="s">
        <v>24669</v>
      </c>
      <c r="D1084" s="15" t="str">
        <f t="shared" si="1"/>
        <v>Viola Accent TablePolished White Marble</v>
      </c>
      <c r="E1084" s="15" t="s">
        <v>10364</v>
      </c>
      <c r="F1084" s="15" t="s">
        <v>397</v>
      </c>
      <c r="G1084" s="15" t="s">
        <v>4577</v>
      </c>
      <c r="J1084" s="15" t="s">
        <v>4577</v>
      </c>
      <c r="K1084" s="15" t="s">
        <v>4717</v>
      </c>
      <c r="M1084" s="15" t="s">
        <v>2630</v>
      </c>
      <c r="N1084" s="15" t="s">
        <v>1154</v>
      </c>
      <c r="P1084" s="15" t="str">
        <f t="shared" ref="P1084:Q1084" si="3160">"10"</f>
        <v>10</v>
      </c>
      <c r="Q1084" s="15" t="str">
        <f t="shared" si="3160"/>
        <v>10</v>
      </c>
      <c r="R1084" s="15" t="str">
        <f t="shared" si="3148"/>
        <v>18.75</v>
      </c>
      <c r="S1084" s="15" t="str">
        <f t="shared" si="3149"/>
        <v>29.1</v>
      </c>
      <c r="T1084" s="15" t="s">
        <v>4726</v>
      </c>
      <c r="U1084" s="15" t="s">
        <v>11754</v>
      </c>
      <c r="V1084" s="15" t="s">
        <v>11139</v>
      </c>
      <c r="AA1084" s="15" t="s">
        <v>413</v>
      </c>
      <c r="AB1084" s="15" t="s">
        <v>413</v>
      </c>
      <c r="AC1084" s="15" t="s">
        <v>10385</v>
      </c>
      <c r="AD1084" s="15" t="s">
        <v>24670</v>
      </c>
      <c r="AE1084" s="15" t="s">
        <v>10384</v>
      </c>
      <c r="AF1084" s="15" t="s">
        <v>24671</v>
      </c>
      <c r="AG1084" s="15" t="s">
        <v>24672</v>
      </c>
      <c r="AH1084" s="15" t="s">
        <v>24673</v>
      </c>
      <c r="AI1084" s="15" t="s">
        <v>24674</v>
      </c>
      <c r="AJ1084" s="15" t="s">
        <v>24675</v>
      </c>
      <c r="AK1084" s="15" t="s">
        <v>24676</v>
      </c>
      <c r="AL1084" s="15" t="s">
        <v>24677</v>
      </c>
      <c r="BH1084" s="15" t="s">
        <v>10382</v>
      </c>
      <c r="BI1084" s="15" t="str">
        <f t="shared" si="3150"/>
        <v>399</v>
      </c>
      <c r="BJ1084" s="15" t="str">
        <f t="shared" si="3151"/>
        <v>170</v>
      </c>
      <c r="BK1084" s="15" t="s">
        <v>1303</v>
      </c>
      <c r="BL1084" s="15" t="str">
        <f t="shared" si="3152"/>
        <v>1</v>
      </c>
      <c r="BM1084" s="15" t="s">
        <v>416</v>
      </c>
      <c r="BN1084" s="15" t="str">
        <f t="shared" si="3153"/>
        <v>22.5</v>
      </c>
      <c r="BO1084" s="15" t="str">
        <f t="shared" si="3154"/>
        <v>16.5</v>
      </c>
      <c r="BP1084" s="15" t="str">
        <f t="shared" si="3155"/>
        <v>17.5</v>
      </c>
      <c r="BQ1084" s="15" t="str">
        <f t="shared" si="3156"/>
        <v>40.01</v>
      </c>
      <c r="CG1084" s="15" t="str">
        <f t="shared" si="3157"/>
        <v>3.74</v>
      </c>
      <c r="CH1084" s="15" t="str">
        <f t="shared" si="3158"/>
        <v>0.106</v>
      </c>
      <c r="CI1084" s="15" t="s">
        <v>465</v>
      </c>
      <c r="CZ1084" s="15" t="s">
        <v>419</v>
      </c>
      <c r="DA1084" s="15">
        <v>0.0</v>
      </c>
      <c r="DB1084" s="15" t="s">
        <v>419</v>
      </c>
      <c r="DD1084" s="15">
        <v>0.0</v>
      </c>
      <c r="DG1084" s="15" t="s">
        <v>419</v>
      </c>
      <c r="DK1084" s="15">
        <v>0.0</v>
      </c>
      <c r="DR1084" s="15" t="s">
        <v>1157</v>
      </c>
      <c r="DS1084" s="15" t="s">
        <v>10373</v>
      </c>
      <c r="DU1084" s="15" t="s">
        <v>500</v>
      </c>
      <c r="EF1084" s="15" t="s">
        <v>6018</v>
      </c>
      <c r="EQ1084" s="15" t="s">
        <v>7169</v>
      </c>
      <c r="ER1084" s="15" t="s">
        <v>505</v>
      </c>
      <c r="ES1084" s="15" t="s">
        <v>7169</v>
      </c>
      <c r="ET1084" s="15" t="s">
        <v>612</v>
      </c>
      <c r="EV1084" s="15">
        <v>0.0</v>
      </c>
      <c r="EW1084" s="15">
        <v>0.0</v>
      </c>
      <c r="FF1084" s="15" t="s">
        <v>3305</v>
      </c>
    </row>
    <row r="1085" ht="17.25" customHeight="1">
      <c r="A1085" s="15" t="s">
        <v>10388</v>
      </c>
      <c r="B1085" s="15" t="str">
        <f>"801542244743"</f>
        <v>801542244743</v>
      </c>
      <c r="C1085" s="15" t="s">
        <v>24678</v>
      </c>
      <c r="D1085" s="15" t="str">
        <f t="shared" si="1"/>
        <v>Warby 6 Drawer DresserWorn Oak Veneer</v>
      </c>
      <c r="E1085" s="15" t="s">
        <v>10386</v>
      </c>
      <c r="F1085" s="15" t="s">
        <v>397</v>
      </c>
      <c r="G1085" s="15" t="s">
        <v>2351</v>
      </c>
      <c r="J1085" s="15" t="s">
        <v>2351</v>
      </c>
      <c r="M1085" s="15" t="s">
        <v>2875</v>
      </c>
      <c r="N1085" s="15" t="s">
        <v>412</v>
      </c>
      <c r="P1085" s="15" t="str">
        <f>"75"</f>
        <v>75</v>
      </c>
      <c r="Q1085" s="15" t="str">
        <f>"18"</f>
        <v>18</v>
      </c>
      <c r="R1085" s="15" t="str">
        <f>"32"</f>
        <v>32</v>
      </c>
      <c r="S1085" s="15" t="str">
        <f>"271.17"</f>
        <v>271.17</v>
      </c>
      <c r="T1085" s="15" t="s">
        <v>2354</v>
      </c>
      <c r="U1085" s="15" t="s">
        <v>11553</v>
      </c>
      <c r="V1085" s="15" t="s">
        <v>11338</v>
      </c>
      <c r="AA1085" s="15" t="s">
        <v>413</v>
      </c>
      <c r="AB1085" s="15" t="s">
        <v>413</v>
      </c>
      <c r="AC1085" s="15" t="s">
        <v>10391</v>
      </c>
      <c r="AD1085" s="15" t="s">
        <v>24679</v>
      </c>
      <c r="AE1085" s="15" t="s">
        <v>10390</v>
      </c>
      <c r="AF1085" s="15" t="s">
        <v>24680</v>
      </c>
      <c r="AG1085" s="15" t="s">
        <v>24681</v>
      </c>
      <c r="AH1085" s="15" t="s">
        <v>24682</v>
      </c>
      <c r="AI1085" s="15" t="s">
        <v>24683</v>
      </c>
      <c r="AJ1085" s="15" t="s">
        <v>24684</v>
      </c>
      <c r="AK1085" s="15" t="s">
        <v>24685</v>
      </c>
      <c r="AL1085" s="15" t="s">
        <v>24686</v>
      </c>
      <c r="AM1085" s="15" t="s">
        <v>24687</v>
      </c>
      <c r="AN1085" s="15" t="s">
        <v>24688</v>
      </c>
      <c r="AO1085" s="15" t="s">
        <v>24689</v>
      </c>
      <c r="AP1085" s="15" t="s">
        <v>24690</v>
      </c>
      <c r="AQ1085" s="15" t="s">
        <v>24691</v>
      </c>
      <c r="AR1085" s="15" t="s">
        <v>24692</v>
      </c>
      <c r="BH1085" s="15" t="s">
        <v>10387</v>
      </c>
      <c r="BI1085" s="15" t="str">
        <f>"2799"</f>
        <v>2799</v>
      </c>
      <c r="BJ1085" s="15" t="str">
        <f>"1180"</f>
        <v>1180</v>
      </c>
      <c r="BK1085" s="15" t="s">
        <v>1303</v>
      </c>
      <c r="BL1085" s="15" t="str">
        <f t="shared" si="3152"/>
        <v>1</v>
      </c>
      <c r="BM1085" s="15" t="s">
        <v>416</v>
      </c>
      <c r="BN1085" s="15" t="str">
        <f>"79"</f>
        <v>79</v>
      </c>
      <c r="BO1085" s="15" t="str">
        <f>"22"</f>
        <v>22</v>
      </c>
      <c r="BP1085" s="15" t="str">
        <f>"41.25"</f>
        <v>41.25</v>
      </c>
      <c r="BQ1085" s="15" t="str">
        <f>"315.26"</f>
        <v>315.26</v>
      </c>
      <c r="CG1085" s="15" t="str">
        <f>"41.49"</f>
        <v>41.49</v>
      </c>
      <c r="CH1085" s="15" t="str">
        <f>"1.175"</f>
        <v>1.175</v>
      </c>
      <c r="CI1085" s="15" t="s">
        <v>465</v>
      </c>
      <c r="CZ1085" s="15" t="s">
        <v>418</v>
      </c>
      <c r="DA1085" s="15">
        <v>6.0</v>
      </c>
      <c r="DB1085" s="15" t="s">
        <v>2601</v>
      </c>
      <c r="DD1085" s="15">
        <v>0.0</v>
      </c>
      <c r="DG1085" s="15" t="s">
        <v>421</v>
      </c>
      <c r="DK1085" s="15">
        <v>0.0</v>
      </c>
      <c r="DR1085" s="15" t="s">
        <v>422</v>
      </c>
      <c r="DS1085" s="15" t="s">
        <v>10393</v>
      </c>
      <c r="DU1085" s="15" t="s">
        <v>424</v>
      </c>
      <c r="EF1085" s="15" t="s">
        <v>672</v>
      </c>
      <c r="EU1085" s="15" t="s">
        <v>426</v>
      </c>
      <c r="EV1085" s="15">
        <v>0.0</v>
      </c>
      <c r="FQ1085" s="15">
        <v>0.0</v>
      </c>
      <c r="FR1085" s="15" t="s">
        <v>427</v>
      </c>
      <c r="FX1085" s="15" t="s">
        <v>426</v>
      </c>
      <c r="FZ1085" s="15" t="s">
        <v>1982</v>
      </c>
      <c r="GB1085" s="15" t="s">
        <v>429</v>
      </c>
      <c r="GD1085" s="15" t="s">
        <v>1993</v>
      </c>
      <c r="GF1085" s="15" t="s">
        <v>431</v>
      </c>
      <c r="GH1085" s="15" t="s">
        <v>420</v>
      </c>
      <c r="GI1085" s="15" t="s">
        <v>426</v>
      </c>
    </row>
    <row r="1086" ht="17.25" customHeight="1">
      <c r="A1086" s="15" t="s">
        <v>10397</v>
      </c>
      <c r="B1086" s="15" t="str">
        <f>"801542363956"</f>
        <v>801542363956</v>
      </c>
      <c r="C1086" s="15" t="s">
        <v>24693</v>
      </c>
      <c r="D1086" s="15" t="str">
        <f t="shared" si="1"/>
        <v>Warby Coffee TableWorn Black Veneer</v>
      </c>
      <c r="E1086" s="15" t="s">
        <v>10394</v>
      </c>
      <c r="F1086" s="15" t="s">
        <v>397</v>
      </c>
      <c r="G1086" s="15" t="s">
        <v>10396</v>
      </c>
      <c r="J1086" s="15" t="s">
        <v>10396</v>
      </c>
      <c r="K1086" s="15" t="s">
        <v>10399</v>
      </c>
      <c r="M1086" s="15" t="s">
        <v>2875</v>
      </c>
      <c r="N1086" s="15" t="s">
        <v>491</v>
      </c>
      <c r="P1086" s="15" t="str">
        <f t="shared" ref="P1086:P1087" si="3161">"65"</f>
        <v>65</v>
      </c>
      <c r="Q1086" s="15" t="str">
        <f t="shared" ref="Q1086:Q1087" si="3162">"36"</f>
        <v>36</v>
      </c>
      <c r="R1086" s="15" t="str">
        <f t="shared" ref="R1086:R1087" si="3163">"14"</f>
        <v>14</v>
      </c>
      <c r="S1086" s="15" t="str">
        <f t="shared" ref="S1086:S1087" si="3164">"125.66"</f>
        <v>125.66</v>
      </c>
      <c r="T1086" s="15" t="s">
        <v>1025</v>
      </c>
      <c r="U1086" s="15" t="s">
        <v>10881</v>
      </c>
      <c r="V1086" s="15" t="s">
        <v>11338</v>
      </c>
      <c r="AA1086" s="15" t="s">
        <v>413</v>
      </c>
      <c r="AB1086" s="15" t="s">
        <v>413</v>
      </c>
      <c r="AC1086" s="15" t="s">
        <v>10400</v>
      </c>
      <c r="AD1086" s="15" t="s">
        <v>24694</v>
      </c>
      <c r="AE1086" s="15" t="s">
        <v>10398</v>
      </c>
      <c r="AF1086" s="15" t="s">
        <v>24695</v>
      </c>
      <c r="AG1086" s="15" t="s">
        <v>24696</v>
      </c>
      <c r="AH1086" s="15" t="s">
        <v>24697</v>
      </c>
      <c r="AI1086" s="15" t="s">
        <v>24698</v>
      </c>
      <c r="AJ1086" s="15" t="s">
        <v>24699</v>
      </c>
      <c r="AK1086" s="15" t="s">
        <v>24700</v>
      </c>
      <c r="AL1086" s="15" t="s">
        <v>24701</v>
      </c>
      <c r="AM1086" s="15" t="s">
        <v>24702</v>
      </c>
      <c r="AN1086" s="15" t="s">
        <v>24703</v>
      </c>
      <c r="BH1086" s="15" t="s">
        <v>10395</v>
      </c>
      <c r="BI1086" s="15" t="str">
        <f t="shared" ref="BI1086:BI1087" si="3165">"1699"</f>
        <v>1699</v>
      </c>
      <c r="BJ1086" s="15" t="str">
        <f t="shared" ref="BJ1086:BJ1087" si="3166">"715"</f>
        <v>715</v>
      </c>
      <c r="BK1086" s="15" t="s">
        <v>1303</v>
      </c>
      <c r="BL1086" s="15" t="str">
        <f t="shared" si="3152"/>
        <v>1</v>
      </c>
      <c r="BM1086" s="15" t="s">
        <v>416</v>
      </c>
      <c r="BN1086" s="15" t="str">
        <f t="shared" ref="BN1086:BN1087" si="3167">"68"</f>
        <v>68</v>
      </c>
      <c r="BO1086" s="15" t="str">
        <f t="shared" ref="BO1086:BO1087" si="3168">"11"</f>
        <v>11</v>
      </c>
      <c r="BP1086" s="15" t="str">
        <f t="shared" ref="BP1086:BP1087" si="3169">"39.5"</f>
        <v>39.5</v>
      </c>
      <c r="BQ1086" s="15" t="str">
        <f t="shared" ref="BQ1086:BQ1087" si="3170">"147.26"</f>
        <v>147.26</v>
      </c>
      <c r="CG1086" s="15" t="str">
        <f t="shared" ref="CG1086:CG1087" si="3171">"17.09"</f>
        <v>17.09</v>
      </c>
      <c r="CH1086" s="15" t="str">
        <f t="shared" ref="CH1086:CH1087" si="3172">"0.484"</f>
        <v>0.484</v>
      </c>
      <c r="CI1086" s="15" t="s">
        <v>465</v>
      </c>
      <c r="CZ1086" s="15" t="s">
        <v>419</v>
      </c>
      <c r="DA1086" s="15">
        <v>0.0</v>
      </c>
      <c r="DB1086" s="15" t="s">
        <v>419</v>
      </c>
      <c r="DD1086" s="15">
        <v>0.0</v>
      </c>
      <c r="DG1086" s="15" t="s">
        <v>419</v>
      </c>
      <c r="DK1086" s="15">
        <v>0.0</v>
      </c>
      <c r="DR1086" s="15" t="s">
        <v>471</v>
      </c>
      <c r="DS1086" s="15" t="s">
        <v>10393</v>
      </c>
      <c r="DU1086" s="15" t="s">
        <v>500</v>
      </c>
      <c r="EF1086" s="15" t="s">
        <v>3635</v>
      </c>
      <c r="EH1086" s="15" t="s">
        <v>6826</v>
      </c>
      <c r="EQ1086" s="15" t="s">
        <v>1739</v>
      </c>
      <c r="ER1086" s="15" t="s">
        <v>943</v>
      </c>
      <c r="ES1086" s="15" t="s">
        <v>672</v>
      </c>
      <c r="ET1086" s="15" t="s">
        <v>5586</v>
      </c>
      <c r="EU1086" s="15" t="s">
        <v>426</v>
      </c>
      <c r="EV1086" s="15">
        <v>0.0</v>
      </c>
      <c r="EW1086" s="15">
        <v>0.0</v>
      </c>
      <c r="FF1086" s="15" t="s">
        <v>1188</v>
      </c>
    </row>
    <row r="1087" ht="17.25" customHeight="1">
      <c r="A1087" s="15" t="s">
        <v>10403</v>
      </c>
      <c r="B1087" s="15" t="str">
        <f>"801542252687"</f>
        <v>801542252687</v>
      </c>
      <c r="C1087" s="15" t="s">
        <v>24704</v>
      </c>
      <c r="D1087" s="15" t="str">
        <f t="shared" si="1"/>
        <v>Warby Coffee TableWorn Oak Veneer</v>
      </c>
      <c r="E1087" s="15" t="s">
        <v>10394</v>
      </c>
      <c r="F1087" s="15" t="s">
        <v>397</v>
      </c>
      <c r="G1087" s="15" t="s">
        <v>2351</v>
      </c>
      <c r="J1087" s="15" t="s">
        <v>2351</v>
      </c>
      <c r="M1087" s="15" t="s">
        <v>2875</v>
      </c>
      <c r="N1087" s="15" t="s">
        <v>491</v>
      </c>
      <c r="P1087" s="15" t="str">
        <f t="shared" si="3161"/>
        <v>65</v>
      </c>
      <c r="Q1087" s="15" t="str">
        <f t="shared" si="3162"/>
        <v>36</v>
      </c>
      <c r="R1087" s="15" t="str">
        <f t="shared" si="3163"/>
        <v>14</v>
      </c>
      <c r="S1087" s="15" t="str">
        <f t="shared" si="3164"/>
        <v>125.66</v>
      </c>
      <c r="T1087" s="15" t="s">
        <v>2354</v>
      </c>
      <c r="U1087" s="15" t="s">
        <v>11553</v>
      </c>
      <c r="V1087" s="15" t="s">
        <v>11338</v>
      </c>
      <c r="AA1087" s="15" t="s">
        <v>413</v>
      </c>
      <c r="AB1087" s="15" t="s">
        <v>413</v>
      </c>
      <c r="AC1087" s="15" t="s">
        <v>10405</v>
      </c>
      <c r="AD1087" s="15" t="s">
        <v>24705</v>
      </c>
      <c r="AE1087" s="15" t="s">
        <v>10404</v>
      </c>
      <c r="AF1087" s="15" t="s">
        <v>24706</v>
      </c>
      <c r="AG1087" s="15" t="s">
        <v>24707</v>
      </c>
      <c r="AH1087" s="15" t="s">
        <v>24708</v>
      </c>
      <c r="AI1087" s="15" t="s">
        <v>24709</v>
      </c>
      <c r="AJ1087" s="15" t="s">
        <v>24710</v>
      </c>
      <c r="AK1087" s="15" t="s">
        <v>24711</v>
      </c>
      <c r="AL1087" s="15" t="s">
        <v>24712</v>
      </c>
      <c r="AM1087" s="15" t="s">
        <v>24713</v>
      </c>
      <c r="AN1087" s="15" t="s">
        <v>24714</v>
      </c>
      <c r="AO1087" s="15" t="s">
        <v>24715</v>
      </c>
      <c r="AP1087" s="15" t="s">
        <v>24716</v>
      </c>
      <c r="AQ1087" s="15" t="s">
        <v>24717</v>
      </c>
      <c r="BH1087" s="15" t="s">
        <v>10402</v>
      </c>
      <c r="BI1087" s="15" t="str">
        <f t="shared" si="3165"/>
        <v>1699</v>
      </c>
      <c r="BJ1087" s="15" t="str">
        <f t="shared" si="3166"/>
        <v>715</v>
      </c>
      <c r="BK1087" s="15" t="s">
        <v>1303</v>
      </c>
      <c r="BL1087" s="15" t="str">
        <f t="shared" si="3152"/>
        <v>1</v>
      </c>
      <c r="BM1087" s="15" t="s">
        <v>416</v>
      </c>
      <c r="BN1087" s="15" t="str">
        <f t="shared" si="3167"/>
        <v>68</v>
      </c>
      <c r="BO1087" s="15" t="str">
        <f t="shared" si="3168"/>
        <v>11</v>
      </c>
      <c r="BP1087" s="15" t="str">
        <f t="shared" si="3169"/>
        <v>39.5</v>
      </c>
      <c r="BQ1087" s="15" t="str">
        <f t="shared" si="3170"/>
        <v>147.26</v>
      </c>
      <c r="CG1087" s="15" t="str">
        <f t="shared" si="3171"/>
        <v>17.09</v>
      </c>
      <c r="CH1087" s="15" t="str">
        <f t="shared" si="3172"/>
        <v>0.484</v>
      </c>
      <c r="CI1087" s="15" t="s">
        <v>497</v>
      </c>
      <c r="CZ1087" s="15" t="s">
        <v>419</v>
      </c>
      <c r="DA1087" s="15">
        <v>0.0</v>
      </c>
      <c r="DB1087" s="15" t="s">
        <v>419</v>
      </c>
      <c r="DD1087" s="15">
        <v>0.0</v>
      </c>
      <c r="DG1087" s="15" t="s">
        <v>419</v>
      </c>
      <c r="DK1087" s="15">
        <v>0.0</v>
      </c>
      <c r="DR1087" s="15" t="s">
        <v>471</v>
      </c>
      <c r="DS1087" s="15" t="s">
        <v>10393</v>
      </c>
      <c r="DU1087" s="15" t="s">
        <v>500</v>
      </c>
      <c r="EF1087" s="15" t="s">
        <v>3635</v>
      </c>
      <c r="EH1087" s="15" t="s">
        <v>6826</v>
      </c>
      <c r="EQ1087" s="15" t="s">
        <v>1739</v>
      </c>
      <c r="ER1087" s="15" t="s">
        <v>943</v>
      </c>
      <c r="ES1087" s="15" t="s">
        <v>672</v>
      </c>
      <c r="ET1087" s="15" t="s">
        <v>5586</v>
      </c>
      <c r="EU1087" s="15" t="s">
        <v>426</v>
      </c>
      <c r="EV1087" s="15">
        <v>0.0</v>
      </c>
      <c r="EW1087" s="15">
        <v>0.0</v>
      </c>
      <c r="FF1087" s="15" t="s">
        <v>1188</v>
      </c>
    </row>
    <row r="1088" ht="17.25" customHeight="1">
      <c r="A1088" s="15" t="s">
        <v>10408</v>
      </c>
      <c r="B1088" s="15" t="str">
        <f>"801542363963"</f>
        <v>801542363963</v>
      </c>
      <c r="C1088" s="15" t="s">
        <v>24718</v>
      </c>
      <c r="D1088" s="15" t="str">
        <f t="shared" si="1"/>
        <v>Warby Console TableWorn Black Veneer</v>
      </c>
      <c r="E1088" s="15" t="s">
        <v>10406</v>
      </c>
      <c r="F1088" s="15" t="s">
        <v>397</v>
      </c>
      <c r="G1088" s="15" t="s">
        <v>10396</v>
      </c>
      <c r="J1088" s="15" t="s">
        <v>10396</v>
      </c>
      <c r="K1088" s="15" t="s">
        <v>10399</v>
      </c>
      <c r="M1088" s="15" t="s">
        <v>2875</v>
      </c>
      <c r="N1088" s="15" t="s">
        <v>519</v>
      </c>
      <c r="P1088" s="15" t="str">
        <f t="shared" ref="P1088:P1090" si="3173">"78"</f>
        <v>78</v>
      </c>
      <c r="Q1088" s="15" t="str">
        <f t="shared" ref="Q1088:Q1089" si="3174">"18"</f>
        <v>18</v>
      </c>
      <c r="R1088" s="15" t="str">
        <f t="shared" ref="R1088:R1089" si="3175">"32.25"</f>
        <v>32.25</v>
      </c>
      <c r="S1088" s="15" t="str">
        <f t="shared" ref="S1088:S1089" si="3176">"97.88"</f>
        <v>97.88</v>
      </c>
      <c r="T1088" s="15" t="s">
        <v>1025</v>
      </c>
      <c r="U1088" s="15" t="s">
        <v>10881</v>
      </c>
      <c r="V1088" s="15" t="s">
        <v>11338</v>
      </c>
      <c r="AA1088" s="15" t="s">
        <v>413</v>
      </c>
      <c r="AB1088" s="15" t="s">
        <v>413</v>
      </c>
      <c r="AC1088" s="15" t="s">
        <v>10411</v>
      </c>
      <c r="AD1088" s="15" t="s">
        <v>24719</v>
      </c>
      <c r="AE1088" s="15" t="s">
        <v>10410</v>
      </c>
      <c r="AF1088" s="15" t="s">
        <v>24720</v>
      </c>
      <c r="AG1088" s="15" t="s">
        <v>24721</v>
      </c>
      <c r="AH1088" s="15" t="s">
        <v>24722</v>
      </c>
      <c r="AI1088" s="15" t="s">
        <v>24723</v>
      </c>
      <c r="AJ1088" s="15" t="s">
        <v>24724</v>
      </c>
      <c r="AK1088" s="15" t="s">
        <v>24725</v>
      </c>
      <c r="AL1088" s="15" t="s">
        <v>24726</v>
      </c>
      <c r="BH1088" s="15" t="s">
        <v>10407</v>
      </c>
      <c r="BI1088" s="15" t="str">
        <f t="shared" ref="BI1088:BI1089" si="3177">"1399"</f>
        <v>1399</v>
      </c>
      <c r="BJ1088" s="15" t="str">
        <f t="shared" ref="BJ1088:BJ1089" si="3178">"590"</f>
        <v>590</v>
      </c>
      <c r="BK1088" s="15" t="s">
        <v>1303</v>
      </c>
      <c r="BL1088" s="15" t="str">
        <f t="shared" si="3152"/>
        <v>1</v>
      </c>
      <c r="BM1088" s="15" t="s">
        <v>416</v>
      </c>
      <c r="BN1088" s="15" t="str">
        <f t="shared" ref="BN1088:BN1089" si="3179">"82.75"</f>
        <v>82.75</v>
      </c>
      <c r="BO1088" s="15" t="str">
        <f t="shared" ref="BO1088:BO1089" si="3180">"10.5"</f>
        <v>10.5</v>
      </c>
      <c r="BP1088" s="15" t="str">
        <f t="shared" ref="BP1088:BP1089" si="3181">"22"</f>
        <v>22</v>
      </c>
      <c r="BQ1088" s="15" t="str">
        <f t="shared" ref="BQ1088:BQ1089" si="3182">"114.64"</f>
        <v>114.64</v>
      </c>
      <c r="CG1088" s="15" t="str">
        <f t="shared" ref="CG1088:CG1089" si="3183">"11.05"</f>
        <v>11.05</v>
      </c>
      <c r="CH1088" s="15" t="str">
        <f t="shared" ref="CH1088:CH1089" si="3184">"0.313"</f>
        <v>0.313</v>
      </c>
      <c r="CI1088" s="15" t="s">
        <v>465</v>
      </c>
      <c r="CZ1088" s="15" t="s">
        <v>419</v>
      </c>
      <c r="DA1088" s="15">
        <v>0.0</v>
      </c>
      <c r="DB1088" s="15" t="s">
        <v>419</v>
      </c>
      <c r="DD1088" s="15">
        <v>0.0</v>
      </c>
      <c r="DG1088" s="15" t="s">
        <v>419</v>
      </c>
      <c r="DK1088" s="15">
        <v>0.0</v>
      </c>
      <c r="DR1088" s="15" t="s">
        <v>471</v>
      </c>
      <c r="DS1088" s="15" t="s">
        <v>10393</v>
      </c>
      <c r="DU1088" s="15" t="s">
        <v>424</v>
      </c>
      <c r="EF1088" s="15" t="s">
        <v>1330</v>
      </c>
      <c r="EH1088" s="15" t="s">
        <v>960</v>
      </c>
      <c r="EQ1088" s="15" t="s">
        <v>1213</v>
      </c>
      <c r="ER1088" s="15" t="s">
        <v>558</v>
      </c>
      <c r="ES1088" s="15" t="s">
        <v>672</v>
      </c>
      <c r="ET1088" s="15" t="s">
        <v>5586</v>
      </c>
      <c r="EU1088" s="15" t="s">
        <v>426</v>
      </c>
      <c r="EV1088" s="15">
        <v>0.0</v>
      </c>
      <c r="EW1088" s="15">
        <v>0.0</v>
      </c>
      <c r="FF1088" s="15" t="s">
        <v>1236</v>
      </c>
      <c r="FQ1088" s="15">
        <v>0.0</v>
      </c>
      <c r="FR1088" s="15" t="s">
        <v>427</v>
      </c>
    </row>
    <row r="1089" ht="17.25" customHeight="1">
      <c r="A1089" s="15" t="s">
        <v>10414</v>
      </c>
      <c r="B1089" s="15" t="str">
        <f>"801542244736"</f>
        <v>801542244736</v>
      </c>
      <c r="C1089" s="15" t="s">
        <v>24727</v>
      </c>
      <c r="D1089" s="15" t="str">
        <f t="shared" si="1"/>
        <v>Warby Console TableWorn Oak Veneer</v>
      </c>
      <c r="E1089" s="15" t="s">
        <v>10406</v>
      </c>
      <c r="F1089" s="15" t="s">
        <v>397</v>
      </c>
      <c r="G1089" s="15" t="s">
        <v>2351</v>
      </c>
      <c r="J1089" s="15" t="s">
        <v>2351</v>
      </c>
      <c r="M1089" s="15" t="s">
        <v>2875</v>
      </c>
      <c r="N1089" s="15" t="s">
        <v>519</v>
      </c>
      <c r="P1089" s="15" t="str">
        <f t="shared" si="3173"/>
        <v>78</v>
      </c>
      <c r="Q1089" s="15" t="str">
        <f t="shared" si="3174"/>
        <v>18</v>
      </c>
      <c r="R1089" s="15" t="str">
        <f t="shared" si="3175"/>
        <v>32.25</v>
      </c>
      <c r="S1089" s="15" t="str">
        <f t="shared" si="3176"/>
        <v>97.88</v>
      </c>
      <c r="T1089" s="15" t="s">
        <v>2354</v>
      </c>
      <c r="U1089" s="15" t="s">
        <v>11553</v>
      </c>
      <c r="V1089" s="15" t="s">
        <v>11338</v>
      </c>
      <c r="AA1089" s="15" t="s">
        <v>413</v>
      </c>
      <c r="AB1089" s="15" t="s">
        <v>413</v>
      </c>
      <c r="AC1089" s="15" t="s">
        <v>10416</v>
      </c>
      <c r="AD1089" s="15" t="s">
        <v>24728</v>
      </c>
      <c r="AE1089" s="15" t="s">
        <v>10415</v>
      </c>
      <c r="AF1089" s="15" t="s">
        <v>24729</v>
      </c>
      <c r="AG1089" s="15" t="s">
        <v>24730</v>
      </c>
      <c r="AH1089" s="15" t="s">
        <v>24731</v>
      </c>
      <c r="AI1089" s="15" t="s">
        <v>24732</v>
      </c>
      <c r="AJ1089" s="15" t="s">
        <v>24733</v>
      </c>
      <c r="AK1089" s="15" t="s">
        <v>24734</v>
      </c>
      <c r="AL1089" s="15" t="s">
        <v>24735</v>
      </c>
      <c r="AM1089" s="15" t="s">
        <v>24736</v>
      </c>
      <c r="AN1089" s="15" t="s">
        <v>24737</v>
      </c>
      <c r="BH1089" s="15" t="s">
        <v>10413</v>
      </c>
      <c r="BI1089" s="15" t="str">
        <f t="shared" si="3177"/>
        <v>1399</v>
      </c>
      <c r="BJ1089" s="15" t="str">
        <f t="shared" si="3178"/>
        <v>590</v>
      </c>
      <c r="BK1089" s="15" t="s">
        <v>1303</v>
      </c>
      <c r="BL1089" s="15" t="str">
        <f t="shared" si="3152"/>
        <v>1</v>
      </c>
      <c r="BM1089" s="15" t="s">
        <v>416</v>
      </c>
      <c r="BN1089" s="15" t="str">
        <f t="shared" si="3179"/>
        <v>82.75</v>
      </c>
      <c r="BO1089" s="15" t="str">
        <f t="shared" si="3180"/>
        <v>10.5</v>
      </c>
      <c r="BP1089" s="15" t="str">
        <f t="shared" si="3181"/>
        <v>22</v>
      </c>
      <c r="BQ1089" s="15" t="str">
        <f t="shared" si="3182"/>
        <v>114.64</v>
      </c>
      <c r="CG1089" s="15" t="str">
        <f t="shared" si="3183"/>
        <v>11.05</v>
      </c>
      <c r="CH1089" s="15" t="str">
        <f t="shared" si="3184"/>
        <v>0.313</v>
      </c>
      <c r="CI1089" s="15" t="s">
        <v>465</v>
      </c>
      <c r="CZ1089" s="15" t="s">
        <v>419</v>
      </c>
      <c r="DA1089" s="15">
        <v>0.0</v>
      </c>
      <c r="DB1089" s="15" t="s">
        <v>419</v>
      </c>
      <c r="DD1089" s="15">
        <v>0.0</v>
      </c>
      <c r="DG1089" s="15" t="s">
        <v>419</v>
      </c>
      <c r="DK1089" s="15">
        <v>0.0</v>
      </c>
      <c r="DR1089" s="15" t="s">
        <v>471</v>
      </c>
      <c r="DS1089" s="15" t="s">
        <v>10393</v>
      </c>
      <c r="DU1089" s="15" t="s">
        <v>424</v>
      </c>
      <c r="EF1089" s="15" t="s">
        <v>1330</v>
      </c>
      <c r="EH1089" s="15" t="s">
        <v>960</v>
      </c>
      <c r="EQ1089" s="15" t="s">
        <v>1213</v>
      </c>
      <c r="ER1089" s="15" t="s">
        <v>558</v>
      </c>
      <c r="ES1089" s="15" t="s">
        <v>672</v>
      </c>
      <c r="ET1089" s="15" t="s">
        <v>5586</v>
      </c>
      <c r="EU1089" s="15" t="s">
        <v>426</v>
      </c>
      <c r="EV1089" s="15">
        <v>0.0</v>
      </c>
      <c r="EW1089" s="15">
        <v>0.0</v>
      </c>
      <c r="FF1089" s="15" t="s">
        <v>1236</v>
      </c>
      <c r="FQ1089" s="15">
        <v>0.0</v>
      </c>
      <c r="FR1089" s="15" t="s">
        <v>427</v>
      </c>
    </row>
    <row r="1090" ht="17.25" customHeight="1">
      <c r="A1090" s="15" t="s">
        <v>10419</v>
      </c>
      <c r="B1090" s="15" t="str">
        <f>"801542263911"</f>
        <v>801542263911</v>
      </c>
      <c r="C1090" s="15" t="s">
        <v>24738</v>
      </c>
      <c r="D1090" s="15" t="str">
        <f t="shared" si="1"/>
        <v>Warby DeskWorn Oak</v>
      </c>
      <c r="E1090" s="15" t="s">
        <v>10417</v>
      </c>
      <c r="F1090" s="15" t="s">
        <v>397</v>
      </c>
      <c r="G1090" s="15" t="s">
        <v>7632</v>
      </c>
      <c r="J1090" s="15" t="s">
        <v>7632</v>
      </c>
      <c r="K1090" s="15" t="s">
        <v>2351</v>
      </c>
      <c r="M1090" s="15" t="s">
        <v>2875</v>
      </c>
      <c r="N1090" s="15" t="s">
        <v>2134</v>
      </c>
      <c r="O1090" s="15" t="s">
        <v>2171</v>
      </c>
      <c r="P1090" s="15" t="str">
        <f t="shared" si="3173"/>
        <v>78</v>
      </c>
      <c r="Q1090" s="15" t="str">
        <f>"30"</f>
        <v>30</v>
      </c>
      <c r="R1090" s="15" t="str">
        <f>"31"</f>
        <v>31</v>
      </c>
      <c r="S1090" s="15" t="str">
        <f>"200.61"</f>
        <v>200.61</v>
      </c>
      <c r="T1090" s="15" t="s">
        <v>1532</v>
      </c>
      <c r="U1090" s="15" t="s">
        <v>11338</v>
      </c>
      <c r="V1090" s="15" t="s">
        <v>11553</v>
      </c>
      <c r="AA1090" s="15" t="s">
        <v>413</v>
      </c>
      <c r="AB1090" s="15" t="s">
        <v>413</v>
      </c>
      <c r="AC1090" s="15" t="s">
        <v>10422</v>
      </c>
      <c r="AD1090" s="15" t="s">
        <v>24739</v>
      </c>
      <c r="AE1090" s="15" t="s">
        <v>10421</v>
      </c>
      <c r="AF1090" s="15" t="s">
        <v>24740</v>
      </c>
      <c r="AG1090" s="15" t="s">
        <v>24741</v>
      </c>
      <c r="AH1090" s="15" t="s">
        <v>24742</v>
      </c>
      <c r="AI1090" s="15" t="s">
        <v>24743</v>
      </c>
      <c r="AJ1090" s="15" t="s">
        <v>24744</v>
      </c>
      <c r="AK1090" s="15" t="s">
        <v>24745</v>
      </c>
      <c r="AL1090" s="15" t="s">
        <v>24746</v>
      </c>
      <c r="AM1090" s="15" t="s">
        <v>24747</v>
      </c>
      <c r="AN1090" s="15" t="s">
        <v>24748</v>
      </c>
      <c r="AO1090" s="15" t="s">
        <v>24749</v>
      </c>
      <c r="BH1090" s="15" t="s">
        <v>10418</v>
      </c>
      <c r="BI1090" s="15" t="str">
        <f>"2299"</f>
        <v>2299</v>
      </c>
      <c r="BJ1090" s="15" t="str">
        <f>"970"</f>
        <v>970</v>
      </c>
      <c r="BK1090" s="15" t="s">
        <v>1303</v>
      </c>
      <c r="BL1090" s="15" t="str">
        <f t="shared" ref="BL1090:BL1092" si="3185">"2"</f>
        <v>2</v>
      </c>
      <c r="BM1090" s="15" t="s">
        <v>1564</v>
      </c>
      <c r="BN1090" s="15" t="str">
        <f>"82"</f>
        <v>82</v>
      </c>
      <c r="BO1090" s="15" t="str">
        <f>"10"</f>
        <v>10</v>
      </c>
      <c r="BP1090" s="15" t="str">
        <f>"34"</f>
        <v>34</v>
      </c>
      <c r="BQ1090" s="15" t="str">
        <f>"140.21"</f>
        <v>140.21</v>
      </c>
      <c r="BR1090" s="15" t="s">
        <v>2238</v>
      </c>
      <c r="BS1090" s="15" t="str">
        <f t="shared" ref="BS1090:BS1092" si="3186">"33"</f>
        <v>33</v>
      </c>
      <c r="BT1090" s="15" t="str">
        <f t="shared" ref="BT1090:BT1092" si="3187">"8.5"</f>
        <v>8.5</v>
      </c>
      <c r="BU1090" s="15" t="str">
        <f t="shared" ref="BU1090:BU1092" si="3188">"34"</f>
        <v>34</v>
      </c>
      <c r="BV1090" s="15" t="str">
        <f t="shared" ref="BV1090:BV1092" si="3189">"86.64"</f>
        <v>86.64</v>
      </c>
      <c r="CG1090" s="15" t="str">
        <f>"21.65"</f>
        <v>21.65</v>
      </c>
      <c r="CH1090" s="15" t="str">
        <f>"0.613"</f>
        <v>0.613</v>
      </c>
      <c r="CI1090" s="15" t="s">
        <v>465</v>
      </c>
      <c r="CZ1090" s="15" t="s">
        <v>1371</v>
      </c>
      <c r="DA1090" s="15">
        <v>4.0</v>
      </c>
      <c r="DB1090" s="15" t="s">
        <v>2601</v>
      </c>
      <c r="DD1090" s="15">
        <v>0.0</v>
      </c>
      <c r="DG1090" s="15" t="s">
        <v>421</v>
      </c>
      <c r="DK1090" s="15">
        <v>0.0</v>
      </c>
      <c r="DR1090" s="15" t="s">
        <v>4768</v>
      </c>
      <c r="DS1090" s="15" t="s">
        <v>10393</v>
      </c>
      <c r="DU1090" s="15" t="s">
        <v>424</v>
      </c>
      <c r="EF1090" s="15" t="s">
        <v>1306</v>
      </c>
      <c r="EH1090" s="15" t="s">
        <v>4591</v>
      </c>
      <c r="ET1090" s="15" t="s">
        <v>5586</v>
      </c>
      <c r="EU1090" s="15" t="s">
        <v>426</v>
      </c>
      <c r="EV1090" s="15">
        <v>0.0</v>
      </c>
      <c r="FE1090" s="15" t="s">
        <v>1306</v>
      </c>
      <c r="FQ1090" s="15">
        <v>0.0</v>
      </c>
      <c r="FR1090" s="15" t="s">
        <v>427</v>
      </c>
      <c r="FX1090" s="15" t="s">
        <v>426</v>
      </c>
      <c r="FZ1090" s="15" t="s">
        <v>1075</v>
      </c>
      <c r="GB1090" s="15" t="s">
        <v>5586</v>
      </c>
      <c r="GD1090" s="15" t="s">
        <v>428</v>
      </c>
      <c r="GF1090" s="15" t="s">
        <v>431</v>
      </c>
      <c r="GH1090" s="15" t="s">
        <v>420</v>
      </c>
      <c r="GI1090" s="15" t="s">
        <v>426</v>
      </c>
      <c r="GM1090" s="15">
        <v>0.0</v>
      </c>
      <c r="HP1090" s="15" t="s">
        <v>426</v>
      </c>
    </row>
    <row r="1091" ht="17.25" customHeight="1">
      <c r="A1091" s="15" t="s">
        <v>10427</v>
      </c>
      <c r="B1091" s="15" t="str">
        <f>"801542365813"</f>
        <v>801542365813</v>
      </c>
      <c r="C1091" s="15" t="s">
        <v>24750</v>
      </c>
      <c r="D1091" s="15" t="str">
        <f t="shared" si="1"/>
        <v>Warby Dining TableWorn Black Veneer</v>
      </c>
      <c r="E1091" s="15" t="s">
        <v>10425</v>
      </c>
      <c r="F1091" s="15" t="s">
        <v>397</v>
      </c>
      <c r="G1091" s="15" t="s">
        <v>10396</v>
      </c>
      <c r="J1091" s="15" t="s">
        <v>10396</v>
      </c>
      <c r="K1091" s="15" t="s">
        <v>10399</v>
      </c>
      <c r="M1091" s="15" t="s">
        <v>2875</v>
      </c>
      <c r="N1091" s="15" t="s">
        <v>548</v>
      </c>
      <c r="O1091" s="15" t="s">
        <v>549</v>
      </c>
      <c r="P1091" s="15" t="str">
        <f t="shared" ref="P1091:P1092" si="3190">"94"</f>
        <v>94</v>
      </c>
      <c r="Q1091" s="15" t="str">
        <f t="shared" ref="Q1091:Q1092" si="3191">"42"</f>
        <v>42</v>
      </c>
      <c r="R1091" s="15" t="str">
        <f t="shared" ref="R1091:R1092" si="3192">"30"</f>
        <v>30</v>
      </c>
      <c r="S1091" s="15" t="str">
        <f t="shared" ref="S1091:S1092" si="3193">"246.03"</f>
        <v>246.03</v>
      </c>
      <c r="T1091" s="15" t="s">
        <v>1025</v>
      </c>
      <c r="U1091" s="15" t="s">
        <v>10881</v>
      </c>
      <c r="V1091" s="15" t="s">
        <v>11338</v>
      </c>
      <c r="AA1091" s="15" t="s">
        <v>413</v>
      </c>
      <c r="AB1091" s="15" t="s">
        <v>413</v>
      </c>
      <c r="AC1091" s="15" t="s">
        <v>10430</v>
      </c>
      <c r="AD1091" s="15" t="s">
        <v>24751</v>
      </c>
      <c r="AE1091" s="15" t="s">
        <v>10429</v>
      </c>
      <c r="AF1091" s="15" t="s">
        <v>24752</v>
      </c>
      <c r="AG1091" s="15" t="s">
        <v>24753</v>
      </c>
      <c r="AH1091" s="15" t="s">
        <v>24754</v>
      </c>
      <c r="AI1091" s="15" t="s">
        <v>24755</v>
      </c>
      <c r="AJ1091" s="15" t="s">
        <v>24756</v>
      </c>
      <c r="AK1091" s="15" t="s">
        <v>24757</v>
      </c>
      <c r="AL1091" s="15" t="s">
        <v>24758</v>
      </c>
      <c r="AM1091" s="15" t="s">
        <v>24759</v>
      </c>
      <c r="AN1091" s="15" t="s">
        <v>24760</v>
      </c>
      <c r="AO1091" s="15" t="s">
        <v>24761</v>
      </c>
      <c r="AP1091" s="15" t="s">
        <v>24762</v>
      </c>
      <c r="AQ1091" s="15" t="s">
        <v>24763</v>
      </c>
      <c r="AR1091" s="15" t="s">
        <v>24764</v>
      </c>
      <c r="BH1091" s="15" t="s">
        <v>10426</v>
      </c>
      <c r="BI1091" s="15" t="str">
        <f t="shared" ref="BI1091:BI1092" si="3194">"2599"</f>
        <v>2599</v>
      </c>
      <c r="BJ1091" s="15" t="str">
        <f t="shared" ref="BJ1091:BJ1092" si="3195">"1095"</f>
        <v>1095</v>
      </c>
      <c r="BK1091" s="15" t="s">
        <v>1303</v>
      </c>
      <c r="BL1091" s="15" t="str">
        <f t="shared" si="3185"/>
        <v>2</v>
      </c>
      <c r="BM1091" s="15" t="s">
        <v>1564</v>
      </c>
      <c r="BN1091" s="15" t="str">
        <f t="shared" ref="BN1091:BN1092" si="3196">"99"</f>
        <v>99</v>
      </c>
      <c r="BO1091" s="15" t="str">
        <f t="shared" ref="BO1091:BO1092" si="3197">"6"</f>
        <v>6</v>
      </c>
      <c r="BP1091" s="15" t="str">
        <f t="shared" ref="BP1091:BP1092" si="3198">"46"</f>
        <v>46</v>
      </c>
      <c r="BQ1091" s="15" t="str">
        <f t="shared" ref="BQ1091:BQ1092" si="3199">"192.24"</f>
        <v>192.24</v>
      </c>
      <c r="BR1091" s="15" t="s">
        <v>2238</v>
      </c>
      <c r="BS1091" s="15" t="str">
        <f t="shared" si="3186"/>
        <v>33</v>
      </c>
      <c r="BT1091" s="15" t="str">
        <f t="shared" si="3187"/>
        <v>8.5</v>
      </c>
      <c r="BU1091" s="15" t="str">
        <f t="shared" si="3188"/>
        <v>34</v>
      </c>
      <c r="BV1091" s="15" t="str">
        <f t="shared" si="3189"/>
        <v>86.64</v>
      </c>
      <c r="CG1091" s="15" t="str">
        <f t="shared" ref="CG1091:CG1092" si="3200">"21.33"</f>
        <v>21.33</v>
      </c>
      <c r="CH1091" s="15" t="str">
        <f t="shared" ref="CH1091:CH1092" si="3201">"0.604"</f>
        <v>0.604</v>
      </c>
      <c r="CI1091" s="15" t="s">
        <v>465</v>
      </c>
      <c r="CZ1091" s="15" t="s">
        <v>419</v>
      </c>
      <c r="DA1091" s="15">
        <v>0.0</v>
      </c>
      <c r="DB1091" s="15" t="s">
        <v>419</v>
      </c>
      <c r="DD1091" s="15">
        <v>0.0</v>
      </c>
      <c r="DG1091" s="15" t="s">
        <v>419</v>
      </c>
      <c r="DI1091" s="15">
        <v>0.0</v>
      </c>
      <c r="DJ1091" s="15">
        <v>0.0</v>
      </c>
      <c r="DK1091" s="15">
        <v>0.0</v>
      </c>
      <c r="DQ1091" s="15">
        <v>8.0</v>
      </c>
      <c r="DR1091" s="15" t="s">
        <v>471</v>
      </c>
      <c r="DS1091" s="15" t="s">
        <v>10393</v>
      </c>
      <c r="DU1091" s="15" t="s">
        <v>424</v>
      </c>
      <c r="EF1091" s="15" t="s">
        <v>3811</v>
      </c>
      <c r="EH1091" s="15" t="s">
        <v>9083</v>
      </c>
      <c r="EQ1091" s="15" t="s">
        <v>558</v>
      </c>
      <c r="ER1091" s="15" t="s">
        <v>7500</v>
      </c>
      <c r="ES1091" s="15" t="s">
        <v>5586</v>
      </c>
      <c r="ET1091" s="15" t="s">
        <v>5586</v>
      </c>
      <c r="EU1091" s="15" t="s">
        <v>426</v>
      </c>
      <c r="EV1091" s="15">
        <v>0.0</v>
      </c>
      <c r="EW1091" s="15">
        <v>0.0</v>
      </c>
      <c r="FD1091" s="15" t="s">
        <v>1236</v>
      </c>
      <c r="FE1091" s="15" t="s">
        <v>3811</v>
      </c>
      <c r="FF1091" s="15" t="s">
        <v>1288</v>
      </c>
      <c r="FG1091" s="15" t="s">
        <v>10432</v>
      </c>
    </row>
    <row r="1092" ht="17.25" customHeight="1">
      <c r="A1092" s="15" t="s">
        <v>10434</v>
      </c>
      <c r="B1092" s="15" t="str">
        <f>"801542241773"</f>
        <v>801542241773</v>
      </c>
      <c r="C1092" s="15" t="s">
        <v>24765</v>
      </c>
      <c r="D1092" s="15" t="str">
        <f t="shared" si="1"/>
        <v>Warby Dining TableWorn Oak Veneer</v>
      </c>
      <c r="E1092" s="15" t="s">
        <v>10425</v>
      </c>
      <c r="F1092" s="15" t="s">
        <v>397</v>
      </c>
      <c r="G1092" s="15" t="s">
        <v>2351</v>
      </c>
      <c r="J1092" s="15" t="s">
        <v>2351</v>
      </c>
      <c r="M1092" s="15" t="s">
        <v>2875</v>
      </c>
      <c r="N1092" s="15" t="s">
        <v>548</v>
      </c>
      <c r="O1092" s="15" t="s">
        <v>549</v>
      </c>
      <c r="P1092" s="15" t="str">
        <f t="shared" si="3190"/>
        <v>94</v>
      </c>
      <c r="Q1092" s="15" t="str">
        <f t="shared" si="3191"/>
        <v>42</v>
      </c>
      <c r="R1092" s="15" t="str">
        <f t="shared" si="3192"/>
        <v>30</v>
      </c>
      <c r="S1092" s="15" t="str">
        <f t="shared" si="3193"/>
        <v>246.03</v>
      </c>
      <c r="T1092" s="15" t="s">
        <v>2354</v>
      </c>
      <c r="U1092" s="15" t="s">
        <v>11553</v>
      </c>
      <c r="V1092" s="15" t="s">
        <v>11338</v>
      </c>
      <c r="AA1092" s="15" t="s">
        <v>413</v>
      </c>
      <c r="AB1092" s="15" t="s">
        <v>413</v>
      </c>
      <c r="AC1092" s="15" t="s">
        <v>10436</v>
      </c>
      <c r="AD1092" s="15" t="s">
        <v>24766</v>
      </c>
      <c r="AE1092" s="15" t="s">
        <v>10435</v>
      </c>
      <c r="AF1092" s="15" t="s">
        <v>24767</v>
      </c>
      <c r="AG1092" s="15" t="s">
        <v>24768</v>
      </c>
      <c r="AH1092" s="15" t="s">
        <v>24769</v>
      </c>
      <c r="AI1092" s="15" t="s">
        <v>24770</v>
      </c>
      <c r="AJ1092" s="15" t="s">
        <v>24771</v>
      </c>
      <c r="AK1092" s="15" t="s">
        <v>24772</v>
      </c>
      <c r="AL1092" s="15" t="s">
        <v>24773</v>
      </c>
      <c r="AM1092" s="15" t="s">
        <v>24774</v>
      </c>
      <c r="AN1092" s="15" t="s">
        <v>24775</v>
      </c>
      <c r="BH1092" s="15" t="s">
        <v>10433</v>
      </c>
      <c r="BI1092" s="15" t="str">
        <f t="shared" si="3194"/>
        <v>2599</v>
      </c>
      <c r="BJ1092" s="15" t="str">
        <f t="shared" si="3195"/>
        <v>1095</v>
      </c>
      <c r="BK1092" s="15" t="s">
        <v>1303</v>
      </c>
      <c r="BL1092" s="15" t="str">
        <f t="shared" si="3185"/>
        <v>2</v>
      </c>
      <c r="BM1092" s="15" t="s">
        <v>1564</v>
      </c>
      <c r="BN1092" s="15" t="str">
        <f t="shared" si="3196"/>
        <v>99</v>
      </c>
      <c r="BO1092" s="15" t="str">
        <f t="shared" si="3197"/>
        <v>6</v>
      </c>
      <c r="BP1092" s="15" t="str">
        <f t="shared" si="3198"/>
        <v>46</v>
      </c>
      <c r="BQ1092" s="15" t="str">
        <f t="shared" si="3199"/>
        <v>192.24</v>
      </c>
      <c r="BR1092" s="15" t="s">
        <v>2238</v>
      </c>
      <c r="BS1092" s="15" t="str">
        <f t="shared" si="3186"/>
        <v>33</v>
      </c>
      <c r="BT1092" s="15" t="str">
        <f t="shared" si="3187"/>
        <v>8.5</v>
      </c>
      <c r="BU1092" s="15" t="str">
        <f t="shared" si="3188"/>
        <v>34</v>
      </c>
      <c r="BV1092" s="15" t="str">
        <f t="shared" si="3189"/>
        <v>86.64</v>
      </c>
      <c r="CG1092" s="15" t="str">
        <f t="shared" si="3200"/>
        <v>21.33</v>
      </c>
      <c r="CH1092" s="15" t="str">
        <f t="shared" si="3201"/>
        <v>0.604</v>
      </c>
      <c r="CI1092" s="15" t="s">
        <v>465</v>
      </c>
      <c r="CZ1092" s="15" t="s">
        <v>419</v>
      </c>
      <c r="DA1092" s="15">
        <v>0.0</v>
      </c>
      <c r="DB1092" s="15" t="s">
        <v>419</v>
      </c>
      <c r="DD1092" s="15">
        <v>0.0</v>
      </c>
      <c r="DG1092" s="15" t="s">
        <v>419</v>
      </c>
      <c r="DI1092" s="15">
        <v>0.0</v>
      </c>
      <c r="DJ1092" s="15">
        <v>0.0</v>
      </c>
      <c r="DK1092" s="15">
        <v>0.0</v>
      </c>
      <c r="DQ1092" s="15">
        <v>8.0</v>
      </c>
      <c r="DR1092" s="15" t="s">
        <v>471</v>
      </c>
      <c r="DS1092" s="15" t="s">
        <v>10393</v>
      </c>
      <c r="DU1092" s="15" t="s">
        <v>424</v>
      </c>
      <c r="EF1092" s="15" t="s">
        <v>3811</v>
      </c>
      <c r="EH1092" s="15" t="s">
        <v>9083</v>
      </c>
      <c r="EQ1092" s="15" t="s">
        <v>558</v>
      </c>
      <c r="ER1092" s="15" t="s">
        <v>7500</v>
      </c>
      <c r="ES1092" s="15" t="s">
        <v>5586</v>
      </c>
      <c r="ET1092" s="15" t="s">
        <v>5586</v>
      </c>
      <c r="EU1092" s="15" t="s">
        <v>426</v>
      </c>
      <c r="EV1092" s="15">
        <v>0.0</v>
      </c>
      <c r="EW1092" s="15">
        <v>0.0</v>
      </c>
      <c r="FD1092" s="15" t="s">
        <v>1236</v>
      </c>
      <c r="FE1092" s="15" t="s">
        <v>3811</v>
      </c>
      <c r="FF1092" s="15" t="s">
        <v>1288</v>
      </c>
      <c r="FG1092" s="15" t="s">
        <v>10432</v>
      </c>
    </row>
    <row r="1093" ht="17.25" customHeight="1">
      <c r="A1093" s="15" t="s">
        <v>10439</v>
      </c>
      <c r="B1093" s="15" t="str">
        <f>"801542364793"</f>
        <v>801542364793</v>
      </c>
      <c r="C1093" s="15" t="s">
        <v>24776</v>
      </c>
      <c r="D1093" s="15" t="str">
        <f t="shared" si="1"/>
        <v>Warby End TableWorn Black Veneer</v>
      </c>
      <c r="E1093" s="15" t="s">
        <v>10437</v>
      </c>
      <c r="F1093" s="15" t="s">
        <v>397</v>
      </c>
      <c r="G1093" s="15" t="s">
        <v>10396</v>
      </c>
      <c r="J1093" s="15" t="s">
        <v>10396</v>
      </c>
      <c r="K1093" s="15" t="s">
        <v>10399</v>
      </c>
      <c r="M1093" s="15" t="s">
        <v>2875</v>
      </c>
      <c r="N1093" s="15" t="s">
        <v>1154</v>
      </c>
      <c r="P1093" s="15" t="str">
        <f t="shared" ref="P1093:Q1093" si="3202">"24"</f>
        <v>24</v>
      </c>
      <c r="Q1093" s="15" t="str">
        <f t="shared" si="3202"/>
        <v>24</v>
      </c>
      <c r="R1093" s="15" t="str">
        <f t="shared" ref="R1093:R1094" si="3204">"20"</f>
        <v>20</v>
      </c>
      <c r="S1093" s="15" t="str">
        <f t="shared" ref="S1093:S1094" si="3205">"61.06"</f>
        <v>61.06</v>
      </c>
      <c r="T1093" s="15" t="s">
        <v>1025</v>
      </c>
      <c r="U1093" s="15" t="s">
        <v>10881</v>
      </c>
      <c r="V1093" s="15" t="s">
        <v>11338</v>
      </c>
      <c r="AA1093" s="15" t="s">
        <v>413</v>
      </c>
      <c r="AB1093" s="15" t="s">
        <v>413</v>
      </c>
      <c r="AC1093" s="15" t="s">
        <v>10442</v>
      </c>
      <c r="AD1093" s="15" t="s">
        <v>24777</v>
      </c>
      <c r="AE1093" s="15" t="s">
        <v>10441</v>
      </c>
      <c r="AF1093" s="15" t="s">
        <v>24778</v>
      </c>
      <c r="AG1093" s="15" t="s">
        <v>24779</v>
      </c>
      <c r="AH1093" s="15" t="s">
        <v>24780</v>
      </c>
      <c r="AI1093" s="15" t="s">
        <v>24781</v>
      </c>
      <c r="AJ1093" s="15" t="s">
        <v>24782</v>
      </c>
      <c r="AK1093" s="15" t="s">
        <v>24783</v>
      </c>
      <c r="AL1093" s="15" t="s">
        <v>24784</v>
      </c>
      <c r="AM1093" s="15" t="s">
        <v>24785</v>
      </c>
      <c r="AN1093" s="15" t="s">
        <v>24786</v>
      </c>
      <c r="AO1093" s="15" t="s">
        <v>24787</v>
      </c>
      <c r="BH1093" s="15" t="s">
        <v>10438</v>
      </c>
      <c r="BI1093" s="15" t="str">
        <f t="shared" ref="BI1093:BI1094" si="3206">"799"</f>
        <v>799</v>
      </c>
      <c r="BJ1093" s="15" t="str">
        <f t="shared" ref="BJ1093:BJ1094" si="3207">"340"</f>
        <v>340</v>
      </c>
      <c r="BK1093" s="15" t="s">
        <v>1303</v>
      </c>
      <c r="BL1093" s="15" t="str">
        <f t="shared" ref="BL1093:BL1101" si="3208">"1"</f>
        <v>1</v>
      </c>
      <c r="BM1093" s="15" t="s">
        <v>416</v>
      </c>
      <c r="BN1093" s="15" t="str">
        <f t="shared" ref="BN1093:BN1094" si="3209">"28"</f>
        <v>28</v>
      </c>
      <c r="BO1093" s="15" t="str">
        <f t="shared" ref="BO1093:BO1094" si="3210">"12.25"</f>
        <v>12.25</v>
      </c>
      <c r="BP1093" s="15" t="str">
        <f t="shared" ref="BP1093:BP1094" si="3211">"29"</f>
        <v>29</v>
      </c>
      <c r="BQ1093" s="15" t="str">
        <f t="shared" ref="BQ1093:BQ1094" si="3212">"72.09"</f>
        <v>72.09</v>
      </c>
      <c r="CG1093" s="15" t="str">
        <f t="shared" ref="CG1093:CG1094" si="3213">"5.76"</f>
        <v>5.76</v>
      </c>
      <c r="CH1093" s="15" t="str">
        <f t="shared" ref="CH1093:CH1094" si="3214">"0.163"</f>
        <v>0.163</v>
      </c>
      <c r="CI1093" s="15" t="s">
        <v>465</v>
      </c>
      <c r="CZ1093" s="15" t="s">
        <v>419</v>
      </c>
      <c r="DA1093" s="15">
        <v>0.0</v>
      </c>
      <c r="DB1093" s="15" t="s">
        <v>419</v>
      </c>
      <c r="DD1093" s="15">
        <v>0.0</v>
      </c>
      <c r="DG1093" s="15" t="s">
        <v>419</v>
      </c>
      <c r="DK1093" s="15">
        <v>0.0</v>
      </c>
      <c r="DR1093" s="15" t="s">
        <v>471</v>
      </c>
      <c r="DS1093" s="15" t="s">
        <v>10393</v>
      </c>
      <c r="DU1093" s="15" t="s">
        <v>500</v>
      </c>
      <c r="EF1093" s="15" t="s">
        <v>788</v>
      </c>
      <c r="EH1093" s="15" t="s">
        <v>1065</v>
      </c>
      <c r="EQ1093" s="15" t="s">
        <v>1072</v>
      </c>
      <c r="ER1093" s="15" t="s">
        <v>2292</v>
      </c>
      <c r="ES1093" s="15" t="s">
        <v>672</v>
      </c>
      <c r="ET1093" s="15" t="s">
        <v>5586</v>
      </c>
      <c r="EU1093" s="15" t="s">
        <v>426</v>
      </c>
      <c r="EV1093" s="15">
        <v>0.0</v>
      </c>
      <c r="EW1093" s="15">
        <v>0.0</v>
      </c>
      <c r="FF1093" s="15" t="s">
        <v>1188</v>
      </c>
    </row>
    <row r="1094" ht="17.25" customHeight="1">
      <c r="A1094" s="15" t="s">
        <v>10446</v>
      </c>
      <c r="B1094" s="15" t="str">
        <f>"801542244750"</f>
        <v>801542244750</v>
      </c>
      <c r="C1094" s="15" t="s">
        <v>24788</v>
      </c>
      <c r="D1094" s="15" t="str">
        <f t="shared" si="1"/>
        <v>Warby End TableWorn Oak Veneer</v>
      </c>
      <c r="E1094" s="15" t="s">
        <v>10437</v>
      </c>
      <c r="F1094" s="15" t="s">
        <v>397</v>
      </c>
      <c r="G1094" s="15" t="s">
        <v>2351</v>
      </c>
      <c r="J1094" s="15" t="s">
        <v>2351</v>
      </c>
      <c r="M1094" s="15" t="s">
        <v>2875</v>
      </c>
      <c r="N1094" s="15" t="s">
        <v>1154</v>
      </c>
      <c r="P1094" s="15" t="str">
        <f t="shared" ref="P1094:Q1094" si="3203">"24"</f>
        <v>24</v>
      </c>
      <c r="Q1094" s="15" t="str">
        <f t="shared" si="3203"/>
        <v>24</v>
      </c>
      <c r="R1094" s="15" t="str">
        <f t="shared" si="3204"/>
        <v>20</v>
      </c>
      <c r="S1094" s="15" t="str">
        <f t="shared" si="3205"/>
        <v>61.06</v>
      </c>
      <c r="T1094" s="15" t="s">
        <v>2354</v>
      </c>
      <c r="U1094" s="15" t="s">
        <v>11553</v>
      </c>
      <c r="V1094" s="15" t="s">
        <v>11338</v>
      </c>
      <c r="AA1094" s="15" t="s">
        <v>413</v>
      </c>
      <c r="AB1094" s="15" t="s">
        <v>413</v>
      </c>
      <c r="AC1094" s="15" t="s">
        <v>10448</v>
      </c>
      <c r="AD1094" s="15" t="s">
        <v>24789</v>
      </c>
      <c r="AE1094" s="15" t="s">
        <v>10447</v>
      </c>
      <c r="AF1094" s="15" t="s">
        <v>24790</v>
      </c>
      <c r="AG1094" s="15" t="s">
        <v>24791</v>
      </c>
      <c r="AH1094" s="15" t="s">
        <v>24792</v>
      </c>
      <c r="AI1094" s="15" t="s">
        <v>24793</v>
      </c>
      <c r="AJ1094" s="15" t="s">
        <v>24794</v>
      </c>
      <c r="AK1094" s="15" t="s">
        <v>24795</v>
      </c>
      <c r="AL1094" s="15" t="s">
        <v>24796</v>
      </c>
      <c r="AM1094" s="15" t="s">
        <v>24797</v>
      </c>
      <c r="AN1094" s="15" t="s">
        <v>24798</v>
      </c>
      <c r="AO1094" s="15" t="s">
        <v>24799</v>
      </c>
      <c r="BH1094" s="15" t="s">
        <v>10445</v>
      </c>
      <c r="BI1094" s="15" t="str">
        <f t="shared" si="3206"/>
        <v>799</v>
      </c>
      <c r="BJ1094" s="15" t="str">
        <f t="shared" si="3207"/>
        <v>340</v>
      </c>
      <c r="BK1094" s="15" t="s">
        <v>1303</v>
      </c>
      <c r="BL1094" s="15" t="str">
        <f t="shared" si="3208"/>
        <v>1</v>
      </c>
      <c r="BM1094" s="15" t="s">
        <v>416</v>
      </c>
      <c r="BN1094" s="15" t="str">
        <f t="shared" si="3209"/>
        <v>28</v>
      </c>
      <c r="BO1094" s="15" t="str">
        <f t="shared" si="3210"/>
        <v>12.25</v>
      </c>
      <c r="BP1094" s="15" t="str">
        <f t="shared" si="3211"/>
        <v>29</v>
      </c>
      <c r="BQ1094" s="15" t="str">
        <f t="shared" si="3212"/>
        <v>72.09</v>
      </c>
      <c r="CG1094" s="15" t="str">
        <f t="shared" si="3213"/>
        <v>5.76</v>
      </c>
      <c r="CH1094" s="15" t="str">
        <f t="shared" si="3214"/>
        <v>0.163</v>
      </c>
      <c r="CI1094" s="15" t="s">
        <v>417</v>
      </c>
      <c r="CZ1094" s="15" t="s">
        <v>419</v>
      </c>
      <c r="DA1094" s="15">
        <v>0.0</v>
      </c>
      <c r="DB1094" s="15" t="s">
        <v>419</v>
      </c>
      <c r="DD1094" s="15">
        <v>0.0</v>
      </c>
      <c r="DG1094" s="15" t="s">
        <v>419</v>
      </c>
      <c r="DK1094" s="15">
        <v>0.0</v>
      </c>
      <c r="DR1094" s="15" t="s">
        <v>471</v>
      </c>
      <c r="DS1094" s="15" t="s">
        <v>10393</v>
      </c>
      <c r="DU1094" s="15" t="s">
        <v>500</v>
      </c>
      <c r="EF1094" s="15" t="s">
        <v>788</v>
      </c>
      <c r="EH1094" s="15" t="s">
        <v>1065</v>
      </c>
      <c r="EQ1094" s="15" t="s">
        <v>1072</v>
      </c>
      <c r="ER1094" s="15" t="s">
        <v>2292</v>
      </c>
      <c r="ES1094" s="15" t="s">
        <v>672</v>
      </c>
      <c r="ET1094" s="15" t="s">
        <v>5586</v>
      </c>
      <c r="EU1094" s="15" t="s">
        <v>426</v>
      </c>
      <c r="EV1094" s="15">
        <v>0.0</v>
      </c>
      <c r="EW1094" s="15">
        <v>0.0</v>
      </c>
      <c r="FF1094" s="15" t="s">
        <v>1188</v>
      </c>
    </row>
    <row r="1095" ht="17.25" customHeight="1">
      <c r="A1095" s="15" t="s">
        <v>10451</v>
      </c>
      <c r="B1095" s="15" t="str">
        <f>"801542364809"</f>
        <v>801542364809</v>
      </c>
      <c r="C1095" s="15" t="s">
        <v>24800</v>
      </c>
      <c r="D1095" s="15" t="str">
        <f t="shared" si="1"/>
        <v>Warby NightstandWorn Black Veneer</v>
      </c>
      <c r="E1095" s="15" t="s">
        <v>10449</v>
      </c>
      <c r="F1095" s="15" t="s">
        <v>397</v>
      </c>
      <c r="G1095" s="15" t="s">
        <v>10396</v>
      </c>
      <c r="J1095" s="15" t="s">
        <v>10396</v>
      </c>
      <c r="K1095" s="15" t="s">
        <v>10399</v>
      </c>
      <c r="M1095" s="15" t="s">
        <v>2875</v>
      </c>
      <c r="N1095" s="15" t="s">
        <v>628</v>
      </c>
      <c r="P1095" s="15" t="str">
        <f t="shared" ref="P1095:P1096" si="3215">"36"</f>
        <v>36</v>
      </c>
      <c r="Q1095" s="15" t="str">
        <f t="shared" ref="Q1095:Q1097" si="3216">"18"</f>
        <v>18</v>
      </c>
      <c r="R1095" s="15" t="str">
        <f t="shared" ref="R1095:R1096" si="3217">"24"</f>
        <v>24</v>
      </c>
      <c r="S1095" s="15" t="str">
        <f>"94.8"</f>
        <v>94.8</v>
      </c>
      <c r="T1095" s="15" t="s">
        <v>1025</v>
      </c>
      <c r="U1095" s="15" t="s">
        <v>10881</v>
      </c>
      <c r="V1095" s="15" t="s">
        <v>11338</v>
      </c>
      <c r="AA1095" s="15" t="s">
        <v>413</v>
      </c>
      <c r="AB1095" s="15" t="s">
        <v>413</v>
      </c>
      <c r="AC1095" s="15" t="s">
        <v>10453</v>
      </c>
      <c r="AD1095" s="15" t="s">
        <v>24801</v>
      </c>
      <c r="AE1095" s="15" t="s">
        <v>10452</v>
      </c>
      <c r="AF1095" s="15" t="s">
        <v>24802</v>
      </c>
      <c r="AG1095" s="15" t="s">
        <v>24803</v>
      </c>
      <c r="AH1095" s="15" t="s">
        <v>24804</v>
      </c>
      <c r="AI1095" s="15" t="s">
        <v>24805</v>
      </c>
      <c r="AJ1095" s="15" t="s">
        <v>24806</v>
      </c>
      <c r="AK1095" s="15" t="s">
        <v>24807</v>
      </c>
      <c r="AL1095" s="15" t="s">
        <v>24808</v>
      </c>
      <c r="AM1095" s="15" t="s">
        <v>24809</v>
      </c>
      <c r="AN1095" s="15" t="s">
        <v>24810</v>
      </c>
      <c r="AO1095" s="15" t="s">
        <v>24811</v>
      </c>
      <c r="AP1095" s="15" t="s">
        <v>24812</v>
      </c>
      <c r="AQ1095" s="15" t="s">
        <v>24813</v>
      </c>
      <c r="BH1095" s="15" t="s">
        <v>10450</v>
      </c>
      <c r="BI1095" s="15" t="str">
        <f t="shared" ref="BI1095:BI1096" si="3218">"1049"</f>
        <v>1049</v>
      </c>
      <c r="BJ1095" s="15" t="str">
        <f t="shared" ref="BJ1095:BJ1096" si="3219">"445"</f>
        <v>445</v>
      </c>
      <c r="BK1095" s="15" t="s">
        <v>1303</v>
      </c>
      <c r="BL1095" s="15" t="str">
        <f t="shared" si="3208"/>
        <v>1</v>
      </c>
      <c r="BM1095" s="15" t="s">
        <v>416</v>
      </c>
      <c r="BN1095" s="15" t="str">
        <f t="shared" ref="BN1095:BN1096" si="3220">"39.5"</f>
        <v>39.5</v>
      </c>
      <c r="BO1095" s="15" t="str">
        <f>"21.75"</f>
        <v>21.75</v>
      </c>
      <c r="BP1095" s="15" t="str">
        <f>"28.25"</f>
        <v>28.25</v>
      </c>
      <c r="BQ1095" s="15" t="str">
        <f t="shared" ref="BQ1095:BQ1096" si="3221">"108.25"</f>
        <v>108.25</v>
      </c>
      <c r="CG1095" s="15" t="str">
        <f>"14.06"</f>
        <v>14.06</v>
      </c>
      <c r="CH1095" s="15" t="str">
        <f>"0.398"</f>
        <v>0.398</v>
      </c>
      <c r="CI1095" s="15" t="s">
        <v>465</v>
      </c>
      <c r="CM1095" s="15" t="s">
        <v>6018</v>
      </c>
      <c r="CN1095" s="15" t="s">
        <v>3241</v>
      </c>
      <c r="CO1095" s="15" t="s">
        <v>734</v>
      </c>
      <c r="CZ1095" s="15" t="s">
        <v>418</v>
      </c>
      <c r="DA1095" s="15">
        <v>1.0</v>
      </c>
      <c r="DB1095" s="15" t="s">
        <v>2601</v>
      </c>
      <c r="DD1095" s="15">
        <v>0.0</v>
      </c>
      <c r="DF1095" s="15" t="s">
        <v>1111</v>
      </c>
      <c r="DG1095" s="15" t="s">
        <v>421</v>
      </c>
      <c r="DK1095" s="15">
        <v>0.0</v>
      </c>
      <c r="DR1095" s="15" t="s">
        <v>471</v>
      </c>
      <c r="DS1095" s="15" t="s">
        <v>10393</v>
      </c>
      <c r="DU1095" s="15" t="s">
        <v>500</v>
      </c>
      <c r="EF1095" s="15" t="s">
        <v>672</v>
      </c>
      <c r="EV1095" s="15">
        <v>1.0</v>
      </c>
      <c r="FQ1095" s="15">
        <v>0.0</v>
      </c>
      <c r="FR1095" s="15" t="s">
        <v>427</v>
      </c>
      <c r="FX1095" s="15" t="s">
        <v>426</v>
      </c>
      <c r="FZ1095" s="15" t="s">
        <v>1982</v>
      </c>
      <c r="GB1095" s="15" t="s">
        <v>505</v>
      </c>
      <c r="GD1095" s="15" t="s">
        <v>3546</v>
      </c>
      <c r="GF1095" s="15" t="s">
        <v>431</v>
      </c>
      <c r="GH1095" s="15" t="s">
        <v>420</v>
      </c>
      <c r="GI1095" s="15" t="s">
        <v>426</v>
      </c>
    </row>
    <row r="1096" ht="17.25" customHeight="1">
      <c r="A1096" s="15" t="s">
        <v>10456</v>
      </c>
      <c r="B1096" s="15" t="str">
        <f>"801542252694"</f>
        <v>801542252694</v>
      </c>
      <c r="C1096" s="15" t="s">
        <v>24814</v>
      </c>
      <c r="D1096" s="15" t="str">
        <f t="shared" si="1"/>
        <v>Warby NightstandWorn Oak Veneer</v>
      </c>
      <c r="E1096" s="15" t="s">
        <v>10449</v>
      </c>
      <c r="F1096" s="15" t="s">
        <v>397</v>
      </c>
      <c r="G1096" s="15" t="s">
        <v>2351</v>
      </c>
      <c r="J1096" s="15" t="s">
        <v>2351</v>
      </c>
      <c r="M1096" s="15" t="s">
        <v>2875</v>
      </c>
      <c r="N1096" s="15" t="s">
        <v>628</v>
      </c>
      <c r="P1096" s="15" t="str">
        <f t="shared" si="3215"/>
        <v>36</v>
      </c>
      <c r="Q1096" s="15" t="str">
        <f t="shared" si="3216"/>
        <v>18</v>
      </c>
      <c r="R1096" s="15" t="str">
        <f t="shared" si="3217"/>
        <v>24</v>
      </c>
      <c r="S1096" s="15" t="str">
        <f>"94.799"</f>
        <v>94.799</v>
      </c>
      <c r="T1096" s="15" t="s">
        <v>2354</v>
      </c>
      <c r="U1096" s="15" t="s">
        <v>11553</v>
      </c>
      <c r="V1096" s="15" t="s">
        <v>11338</v>
      </c>
      <c r="AA1096" s="15" t="s">
        <v>413</v>
      </c>
      <c r="AB1096" s="15" t="s">
        <v>413</v>
      </c>
      <c r="AC1096" s="15" t="s">
        <v>10453</v>
      </c>
      <c r="AD1096" s="15" t="s">
        <v>24815</v>
      </c>
      <c r="AE1096" s="15" t="s">
        <v>10458</v>
      </c>
      <c r="AF1096" s="15" t="s">
        <v>24816</v>
      </c>
      <c r="AG1096" s="15" t="s">
        <v>24817</v>
      </c>
      <c r="AH1096" s="15" t="s">
        <v>24818</v>
      </c>
      <c r="AI1096" s="15" t="s">
        <v>24819</v>
      </c>
      <c r="AJ1096" s="15" t="s">
        <v>24820</v>
      </c>
      <c r="AK1096" s="15" t="s">
        <v>24821</v>
      </c>
      <c r="AL1096" s="15" t="s">
        <v>24822</v>
      </c>
      <c r="AM1096" s="15" t="s">
        <v>24823</v>
      </c>
      <c r="AN1096" s="15" t="s">
        <v>24824</v>
      </c>
      <c r="AO1096" s="15" t="s">
        <v>24825</v>
      </c>
      <c r="AP1096" s="15" t="s">
        <v>24826</v>
      </c>
      <c r="BH1096" s="15" t="s">
        <v>10455</v>
      </c>
      <c r="BI1096" s="15" t="str">
        <f t="shared" si="3218"/>
        <v>1049</v>
      </c>
      <c r="BJ1096" s="15" t="str">
        <f t="shared" si="3219"/>
        <v>445</v>
      </c>
      <c r="BK1096" s="15" t="s">
        <v>1303</v>
      </c>
      <c r="BL1096" s="15" t="str">
        <f t="shared" si="3208"/>
        <v>1</v>
      </c>
      <c r="BM1096" s="15" t="s">
        <v>416</v>
      </c>
      <c r="BN1096" s="15" t="str">
        <f t="shared" si="3220"/>
        <v>39.5</v>
      </c>
      <c r="BO1096" s="15" t="str">
        <f t="shared" ref="BO1096:BO1097" si="3222">"22"</f>
        <v>22</v>
      </c>
      <c r="BP1096" s="15" t="str">
        <f>"27.75"</f>
        <v>27.75</v>
      </c>
      <c r="BQ1096" s="15" t="str">
        <f t="shared" si="3221"/>
        <v>108.25</v>
      </c>
      <c r="CG1096" s="15" t="str">
        <f>"13.95"</f>
        <v>13.95</v>
      </c>
      <c r="CH1096" s="15" t="str">
        <f>"0.395"</f>
        <v>0.395</v>
      </c>
      <c r="CI1096" s="15" t="s">
        <v>465</v>
      </c>
      <c r="CM1096" s="15" t="s">
        <v>6018</v>
      </c>
      <c r="CN1096" s="15" t="s">
        <v>3241</v>
      </c>
      <c r="CO1096" s="15" t="s">
        <v>734</v>
      </c>
      <c r="CZ1096" s="15" t="s">
        <v>418</v>
      </c>
      <c r="DA1096" s="15">
        <v>1.0</v>
      </c>
      <c r="DB1096" s="15" t="s">
        <v>2601</v>
      </c>
      <c r="DD1096" s="15">
        <v>0.0</v>
      </c>
      <c r="DF1096" s="15" t="s">
        <v>1111</v>
      </c>
      <c r="DG1096" s="15" t="s">
        <v>421</v>
      </c>
      <c r="DK1096" s="15">
        <v>0.0</v>
      </c>
      <c r="DR1096" s="15" t="s">
        <v>471</v>
      </c>
      <c r="DS1096" s="15" t="s">
        <v>10393</v>
      </c>
      <c r="DU1096" s="15" t="s">
        <v>500</v>
      </c>
      <c r="EF1096" s="15" t="s">
        <v>672</v>
      </c>
      <c r="EV1096" s="15">
        <v>1.0</v>
      </c>
      <c r="FQ1096" s="15">
        <v>0.0</v>
      </c>
      <c r="FR1096" s="15" t="s">
        <v>427</v>
      </c>
      <c r="FX1096" s="15" t="s">
        <v>426</v>
      </c>
      <c r="FZ1096" s="15" t="s">
        <v>1982</v>
      </c>
      <c r="GB1096" s="15" t="s">
        <v>505</v>
      </c>
      <c r="GD1096" s="15" t="s">
        <v>3546</v>
      </c>
      <c r="GF1096" s="15" t="s">
        <v>431</v>
      </c>
      <c r="GH1096" s="15" t="s">
        <v>420</v>
      </c>
      <c r="GI1096" s="15" t="s">
        <v>426</v>
      </c>
    </row>
    <row r="1097" ht="17.25" customHeight="1">
      <c r="A1097" s="15" t="s">
        <v>10461</v>
      </c>
      <c r="B1097" s="15" t="str">
        <f>"801542241780"</f>
        <v>801542241780</v>
      </c>
      <c r="C1097" s="15" t="s">
        <v>24827</v>
      </c>
      <c r="D1097" s="15" t="str">
        <f t="shared" si="1"/>
        <v>Warby SideboardWorn Oak</v>
      </c>
      <c r="E1097" s="15" t="s">
        <v>10459</v>
      </c>
      <c r="F1097" s="15" t="s">
        <v>397</v>
      </c>
      <c r="G1097" s="15" t="s">
        <v>7632</v>
      </c>
      <c r="J1097" s="15" t="s">
        <v>7632</v>
      </c>
      <c r="K1097" s="15" t="s">
        <v>2351</v>
      </c>
      <c r="M1097" s="15" t="s">
        <v>2875</v>
      </c>
      <c r="N1097" s="15" t="s">
        <v>664</v>
      </c>
      <c r="P1097" s="15" t="str">
        <f>"94"</f>
        <v>94</v>
      </c>
      <c r="Q1097" s="15" t="str">
        <f t="shared" si="3216"/>
        <v>18</v>
      </c>
      <c r="R1097" s="15" t="str">
        <f>"30"</f>
        <v>30</v>
      </c>
      <c r="S1097" s="15" t="str">
        <f>"217.15"</f>
        <v>217.15</v>
      </c>
      <c r="T1097" s="15" t="s">
        <v>1532</v>
      </c>
      <c r="U1097" s="15" t="s">
        <v>11338</v>
      </c>
      <c r="V1097" s="15" t="s">
        <v>11553</v>
      </c>
      <c r="AA1097" s="15" t="s">
        <v>413</v>
      </c>
      <c r="AB1097" s="15" t="s">
        <v>413</v>
      </c>
      <c r="AC1097" s="15" t="s">
        <v>10464</v>
      </c>
      <c r="AD1097" s="15" t="s">
        <v>24828</v>
      </c>
      <c r="AE1097" s="15" t="s">
        <v>10463</v>
      </c>
      <c r="AF1097" s="15" t="s">
        <v>24829</v>
      </c>
      <c r="AG1097" s="15" t="s">
        <v>24830</v>
      </c>
      <c r="AH1097" s="15" t="s">
        <v>24831</v>
      </c>
      <c r="AI1097" s="15" t="s">
        <v>24832</v>
      </c>
      <c r="AJ1097" s="15" t="s">
        <v>24833</v>
      </c>
      <c r="AK1097" s="15" t="s">
        <v>24834</v>
      </c>
      <c r="AL1097" s="15" t="s">
        <v>24835</v>
      </c>
      <c r="AM1097" s="15" t="s">
        <v>24836</v>
      </c>
      <c r="AN1097" s="15" t="s">
        <v>24837</v>
      </c>
      <c r="BH1097" s="15" t="s">
        <v>10460</v>
      </c>
      <c r="BI1097" s="15" t="str">
        <f>"3099"</f>
        <v>3099</v>
      </c>
      <c r="BJ1097" s="15" t="str">
        <f>"1305"</f>
        <v>1305</v>
      </c>
      <c r="BK1097" s="15" t="s">
        <v>1303</v>
      </c>
      <c r="BL1097" s="15" t="str">
        <f t="shared" si="3208"/>
        <v>1</v>
      </c>
      <c r="BM1097" s="15" t="s">
        <v>416</v>
      </c>
      <c r="BN1097" s="15" t="str">
        <f>"97.5"</f>
        <v>97.5</v>
      </c>
      <c r="BO1097" s="15" t="str">
        <f t="shared" si="3222"/>
        <v>22</v>
      </c>
      <c r="BP1097" s="15" t="str">
        <f>"33.5"</f>
        <v>33.5</v>
      </c>
      <c r="BQ1097" s="15" t="str">
        <f>"249.12"</f>
        <v>249.12</v>
      </c>
      <c r="CG1097" s="15" t="str">
        <f>"41.6"</f>
        <v>41.6</v>
      </c>
      <c r="CH1097" s="15" t="str">
        <f>"1.178"</f>
        <v>1.178</v>
      </c>
      <c r="CI1097" s="15" t="s">
        <v>465</v>
      </c>
      <c r="CM1097" s="15" t="s">
        <v>1288</v>
      </c>
      <c r="CN1097" s="15" t="s">
        <v>1286</v>
      </c>
      <c r="CO1097" s="15" t="s">
        <v>10465</v>
      </c>
      <c r="CZ1097" s="15" t="s">
        <v>419</v>
      </c>
      <c r="DA1097" s="15">
        <v>0.0</v>
      </c>
      <c r="DB1097" s="15" t="s">
        <v>419</v>
      </c>
      <c r="DD1097" s="15">
        <v>0.0</v>
      </c>
      <c r="DF1097" s="15" t="s">
        <v>1111</v>
      </c>
      <c r="DG1097" s="15" t="s">
        <v>610</v>
      </c>
      <c r="DI1097" s="15">
        <v>18.14</v>
      </c>
      <c r="DJ1097" s="15">
        <v>40.0</v>
      </c>
      <c r="DK1097" s="15">
        <v>2.0</v>
      </c>
      <c r="DS1097" s="15" t="s">
        <v>10393</v>
      </c>
      <c r="DU1097" s="15" t="s">
        <v>424</v>
      </c>
      <c r="EF1097" s="15" t="s">
        <v>672</v>
      </c>
      <c r="EU1097" s="15" t="s">
        <v>426</v>
      </c>
      <c r="EV1097" s="15">
        <v>2.0</v>
      </c>
      <c r="FH1097" s="15" t="s">
        <v>1286</v>
      </c>
      <c r="FI1097" s="15" t="s">
        <v>612</v>
      </c>
      <c r="FJ1097" s="15" t="s">
        <v>1072</v>
      </c>
      <c r="FK1097" s="15" t="s">
        <v>1288</v>
      </c>
      <c r="FL1097" s="15" t="s">
        <v>612</v>
      </c>
      <c r="FM1097" s="15" t="s">
        <v>3841</v>
      </c>
      <c r="FN1097" s="15">
        <v>0.0</v>
      </c>
      <c r="FO1097" s="15" t="s">
        <v>426</v>
      </c>
      <c r="FP1097" s="15" t="s">
        <v>1883</v>
      </c>
      <c r="FQ1097" s="15">
        <v>4.0</v>
      </c>
      <c r="FR1097" s="15" t="s">
        <v>614</v>
      </c>
      <c r="FS1097" s="15" t="s">
        <v>615</v>
      </c>
      <c r="FT1097" s="15">
        <v>0.0</v>
      </c>
      <c r="FU1097" s="15" t="s">
        <v>426</v>
      </c>
      <c r="FW1097" s="15" t="s">
        <v>616</v>
      </c>
    </row>
    <row r="1098" ht="17.25" customHeight="1">
      <c r="A1098" s="15" t="s">
        <v>10468</v>
      </c>
      <c r="B1098" s="15" t="str">
        <f>"801542133696"</f>
        <v>801542133696</v>
      </c>
      <c r="C1098" s="15" t="s">
        <v>24838</v>
      </c>
      <c r="D1098" s="15" t="str">
        <f t="shared" si="1"/>
        <v>Wellborn Swivel ChairPalermo Cognac</v>
      </c>
      <c r="E1098" s="15" t="s">
        <v>10466</v>
      </c>
      <c r="F1098" s="15" t="s">
        <v>397</v>
      </c>
      <c r="G1098" s="15" t="s">
        <v>2818</v>
      </c>
      <c r="J1098" s="15" t="s">
        <v>2818</v>
      </c>
      <c r="M1098" s="15" t="s">
        <v>915</v>
      </c>
      <c r="N1098" s="15" t="s">
        <v>706</v>
      </c>
      <c r="O1098" s="15" t="s">
        <v>707</v>
      </c>
      <c r="P1098" s="15" t="str">
        <f>"35"</f>
        <v>35</v>
      </c>
      <c r="Q1098" s="15" t="str">
        <f>"36"</f>
        <v>36</v>
      </c>
      <c r="R1098" s="15" t="str">
        <f>"28"</f>
        <v>28</v>
      </c>
      <c r="S1098" s="15" t="str">
        <f>"72.75"</f>
        <v>72.75</v>
      </c>
      <c r="T1098" s="15" t="s">
        <v>1600</v>
      </c>
      <c r="U1098" s="15" t="s">
        <v>11137</v>
      </c>
      <c r="AA1098" s="15" t="s">
        <v>413</v>
      </c>
      <c r="AB1098" s="15" t="s">
        <v>413</v>
      </c>
      <c r="AC1098" s="15" t="s">
        <v>10470</v>
      </c>
      <c r="AD1098" s="15" t="s">
        <v>24839</v>
      </c>
      <c r="AE1098" s="15" t="s">
        <v>10469</v>
      </c>
      <c r="AF1098" s="15" t="s">
        <v>24840</v>
      </c>
      <c r="AG1098" s="15" t="s">
        <v>24841</v>
      </c>
      <c r="AH1098" s="15" t="s">
        <v>24842</v>
      </c>
      <c r="AI1098" s="15" t="s">
        <v>24843</v>
      </c>
      <c r="AJ1098" s="15" t="s">
        <v>24844</v>
      </c>
      <c r="AK1098" s="15" t="s">
        <v>13142</v>
      </c>
      <c r="AL1098" s="15" t="s">
        <v>24845</v>
      </c>
      <c r="AM1098" s="15" t="s">
        <v>24846</v>
      </c>
      <c r="AN1098" s="15" t="s">
        <v>24847</v>
      </c>
      <c r="AO1098" s="15" t="s">
        <v>24848</v>
      </c>
      <c r="AP1098" s="15" t="s">
        <v>24849</v>
      </c>
      <c r="AQ1098" s="15" t="s">
        <v>24850</v>
      </c>
      <c r="AR1098" s="15" t="s">
        <v>24851</v>
      </c>
      <c r="BH1098" s="15" t="s">
        <v>10467</v>
      </c>
      <c r="BI1098" s="15" t="str">
        <f t="shared" ref="BI1098:BI1099" si="3224">"1899"</f>
        <v>1899</v>
      </c>
      <c r="BJ1098" s="15" t="str">
        <f t="shared" ref="BJ1098:BJ1099" si="3225">"800"</f>
        <v>800</v>
      </c>
      <c r="BK1098" s="15" t="s">
        <v>709</v>
      </c>
      <c r="BL1098" s="15" t="str">
        <f t="shared" si="3208"/>
        <v>1</v>
      </c>
      <c r="BM1098" s="15" t="s">
        <v>416</v>
      </c>
      <c r="BN1098" s="15" t="str">
        <f t="shared" ref="BN1098:BO1098" si="3223">"37.01"</f>
        <v>37.01</v>
      </c>
      <c r="BO1098" s="15" t="str">
        <f t="shared" si="3223"/>
        <v>37.01</v>
      </c>
      <c r="BP1098" s="15" t="str">
        <f>"29.53"</f>
        <v>29.53</v>
      </c>
      <c r="BQ1098" s="15" t="str">
        <f>"92.59"</f>
        <v>92.59</v>
      </c>
      <c r="CG1098" s="15" t="str">
        <f>"23.41"</f>
        <v>23.41</v>
      </c>
      <c r="CH1098" s="15" t="str">
        <f>"0.663"</f>
        <v>0.663</v>
      </c>
      <c r="CI1098" s="15" t="s">
        <v>465</v>
      </c>
      <c r="CS1098" s="15" t="s">
        <v>555</v>
      </c>
      <c r="CT1098" s="15" t="s">
        <v>1065</v>
      </c>
      <c r="CU1098" s="15" t="s">
        <v>1214</v>
      </c>
      <c r="CV1098" s="15">
        <v>0.0</v>
      </c>
      <c r="CW1098" s="15">
        <v>0.0</v>
      </c>
      <c r="CX1098" s="15" t="s">
        <v>717</v>
      </c>
      <c r="CY1098" s="15" t="s">
        <v>718</v>
      </c>
      <c r="DF1098" s="15" t="s">
        <v>721</v>
      </c>
      <c r="DG1098" s="15" t="s">
        <v>1605</v>
      </c>
      <c r="DH1098" s="15">
        <v>0.0</v>
      </c>
      <c r="DL1098" s="15">
        <v>0.0</v>
      </c>
      <c r="DM1098" s="15" t="s">
        <v>990</v>
      </c>
      <c r="DP1098" s="15">
        <v>0.0</v>
      </c>
      <c r="DQ1098" s="15">
        <v>1.0</v>
      </c>
      <c r="DS1098" s="15" t="s">
        <v>10471</v>
      </c>
      <c r="DT1098" s="15">
        <v>0.0</v>
      </c>
      <c r="DU1098" s="15" t="s">
        <v>726</v>
      </c>
      <c r="DV1098" s="15" t="s">
        <v>1574</v>
      </c>
      <c r="DW1098" s="15" t="s">
        <v>531</v>
      </c>
      <c r="DX1098" s="15" t="s">
        <v>2434</v>
      </c>
      <c r="EB1098" s="15" t="s">
        <v>2736</v>
      </c>
      <c r="EF1098" s="15" t="s">
        <v>425</v>
      </c>
      <c r="EI1098" s="15" t="s">
        <v>531</v>
      </c>
      <c r="EO1098" s="15" t="s">
        <v>1255</v>
      </c>
      <c r="EP1098" s="15" t="s">
        <v>2200</v>
      </c>
      <c r="EZ1098" s="15">
        <v>0.0</v>
      </c>
      <c r="FA1098" s="15">
        <v>0.0</v>
      </c>
      <c r="FC1098" s="15">
        <v>0.0</v>
      </c>
      <c r="HU1098" s="15" t="s">
        <v>1610</v>
      </c>
    </row>
    <row r="1099" ht="17.25" customHeight="1">
      <c r="A1099" s="15" t="s">
        <v>10474</v>
      </c>
      <c r="B1099" s="15" t="str">
        <f>"801542350635"</f>
        <v>801542350635</v>
      </c>
      <c r="C1099" s="15" t="s">
        <v>24852</v>
      </c>
      <c r="D1099" s="15" t="str">
        <f t="shared" si="1"/>
        <v>Westhoff SideboardRubbed Black Oak</v>
      </c>
      <c r="E1099" s="15" t="s">
        <v>10472</v>
      </c>
      <c r="F1099" s="15" t="s">
        <v>397</v>
      </c>
      <c r="G1099" s="15" t="s">
        <v>9007</v>
      </c>
      <c r="J1099" s="15" t="s">
        <v>9007</v>
      </c>
      <c r="K1099" s="15" t="s">
        <v>10476</v>
      </c>
      <c r="L1099" s="15" t="s">
        <v>10477</v>
      </c>
      <c r="M1099" s="15" t="s">
        <v>2063</v>
      </c>
      <c r="N1099" s="15" t="s">
        <v>664</v>
      </c>
      <c r="P1099" s="15" t="str">
        <f>"84"</f>
        <v>84</v>
      </c>
      <c r="Q1099" s="15" t="str">
        <f>"17"</f>
        <v>17</v>
      </c>
      <c r="R1099" s="15" t="str">
        <f>"30"</f>
        <v>30</v>
      </c>
      <c r="S1099" s="15" t="str">
        <f>"222.66"</f>
        <v>222.66</v>
      </c>
      <c r="T1099" s="15" t="s">
        <v>6403</v>
      </c>
      <c r="U1099" s="15" t="s">
        <v>11338</v>
      </c>
      <c r="V1099" s="15" t="s">
        <v>11553</v>
      </c>
      <c r="W1099" s="15" t="s">
        <v>11139</v>
      </c>
      <c r="AA1099" s="15" t="s">
        <v>413</v>
      </c>
      <c r="AB1099" s="15" t="s">
        <v>413</v>
      </c>
      <c r="AC1099" s="15" t="s">
        <v>10478</v>
      </c>
      <c r="AD1099" s="15" t="s">
        <v>24853</v>
      </c>
      <c r="AE1099" s="15" t="s">
        <v>10475</v>
      </c>
      <c r="AF1099" s="15" t="s">
        <v>24854</v>
      </c>
      <c r="AG1099" s="15" t="s">
        <v>24855</v>
      </c>
      <c r="AH1099" s="15" t="s">
        <v>24856</v>
      </c>
      <c r="AI1099" s="15" t="s">
        <v>24857</v>
      </c>
      <c r="AJ1099" s="15" t="s">
        <v>24858</v>
      </c>
      <c r="AK1099" s="15" t="s">
        <v>24859</v>
      </c>
      <c r="AL1099" s="15" t="s">
        <v>24860</v>
      </c>
      <c r="AM1099" s="15" t="s">
        <v>24861</v>
      </c>
      <c r="AN1099" s="15" t="s">
        <v>24862</v>
      </c>
      <c r="AO1099" s="15" t="s">
        <v>24863</v>
      </c>
      <c r="AP1099" s="15" t="s">
        <v>24864</v>
      </c>
      <c r="AQ1099" s="15" t="s">
        <v>24865</v>
      </c>
      <c r="AR1099" s="15" t="s">
        <v>24866</v>
      </c>
      <c r="AS1099" s="15" t="s">
        <v>24867</v>
      </c>
      <c r="AT1099" s="15" t="s">
        <v>24868</v>
      </c>
      <c r="AU1099" s="15" t="s">
        <v>24869</v>
      </c>
      <c r="AV1099" s="15" t="s">
        <v>24870</v>
      </c>
      <c r="BH1099" s="15" t="s">
        <v>10473</v>
      </c>
      <c r="BI1099" s="15" t="str">
        <f t="shared" si="3224"/>
        <v>1899</v>
      </c>
      <c r="BJ1099" s="15" t="str">
        <f t="shared" si="3225"/>
        <v>800</v>
      </c>
      <c r="BK1099" s="15" t="s">
        <v>742</v>
      </c>
      <c r="BL1099" s="15" t="str">
        <f t="shared" si="3208"/>
        <v>1</v>
      </c>
      <c r="BM1099" s="15" t="s">
        <v>10479</v>
      </c>
      <c r="BN1099" s="15" t="str">
        <f>"86.81"</f>
        <v>86.81</v>
      </c>
      <c r="BO1099" s="15" t="str">
        <f>"20.87"</f>
        <v>20.87</v>
      </c>
      <c r="BP1099" s="15" t="str">
        <f>"32.68"</f>
        <v>32.68</v>
      </c>
      <c r="BQ1099" s="15" t="str">
        <f>"266.76"</f>
        <v>266.76</v>
      </c>
      <c r="CG1099" s="15" t="str">
        <f>"34.26"</f>
        <v>34.26</v>
      </c>
      <c r="CH1099" s="15" t="str">
        <f>"0.97"</f>
        <v>0.97</v>
      </c>
      <c r="CI1099" s="15" t="s">
        <v>417</v>
      </c>
      <c r="CM1099" s="15" t="s">
        <v>8348</v>
      </c>
      <c r="CN1099" s="15" t="s">
        <v>715</v>
      </c>
      <c r="CO1099" s="15" t="s">
        <v>10481</v>
      </c>
      <c r="CZ1099" s="15" t="s">
        <v>419</v>
      </c>
      <c r="DA1099" s="15">
        <v>0.0</v>
      </c>
      <c r="DB1099" s="15" t="s">
        <v>419</v>
      </c>
      <c r="DD1099" s="15">
        <v>0.0</v>
      </c>
      <c r="DF1099" s="15" t="s">
        <v>764</v>
      </c>
      <c r="DG1099" s="15" t="s">
        <v>610</v>
      </c>
      <c r="DI1099" s="15">
        <v>18.14</v>
      </c>
      <c r="DJ1099" s="15">
        <v>40.0</v>
      </c>
      <c r="DK1099" s="15">
        <v>2.0</v>
      </c>
      <c r="DS1099" s="15" t="s">
        <v>10482</v>
      </c>
      <c r="DU1099" s="15" t="s">
        <v>424</v>
      </c>
      <c r="EF1099" s="15" t="s">
        <v>2603</v>
      </c>
      <c r="EU1099" s="15" t="s">
        <v>426</v>
      </c>
      <c r="EV1099" s="15">
        <v>2.0</v>
      </c>
      <c r="FH1099" s="15" t="s">
        <v>2652</v>
      </c>
      <c r="FI1099" s="15" t="s">
        <v>782</v>
      </c>
      <c r="FJ1099" s="15" t="s">
        <v>1484</v>
      </c>
      <c r="FK1099" s="15" t="s">
        <v>8348</v>
      </c>
      <c r="FL1099" s="15" t="s">
        <v>612</v>
      </c>
      <c r="FM1099" s="15" t="s">
        <v>10481</v>
      </c>
      <c r="FN1099" s="15">
        <v>0.0</v>
      </c>
      <c r="FO1099" s="15" t="s">
        <v>426</v>
      </c>
      <c r="FQ1099" s="15">
        <v>4.0</v>
      </c>
      <c r="FR1099" s="15" t="s">
        <v>614</v>
      </c>
      <c r="FS1099" s="15" t="s">
        <v>1045</v>
      </c>
      <c r="FT1099" s="15">
        <v>0.0</v>
      </c>
      <c r="FU1099" s="15" t="s">
        <v>426</v>
      </c>
      <c r="FW1099" s="15" t="s">
        <v>616</v>
      </c>
      <c r="GJ1099" s="15" t="s">
        <v>8348</v>
      </c>
      <c r="GK1099" s="15" t="s">
        <v>715</v>
      </c>
      <c r="GL1099" s="15" t="s">
        <v>10481</v>
      </c>
      <c r="HF1099" s="15" t="s">
        <v>1957</v>
      </c>
      <c r="HQ1099" s="15" t="s">
        <v>426</v>
      </c>
    </row>
    <row r="1100" ht="17.25" customHeight="1">
      <c r="A1100" s="15" t="s">
        <v>10485</v>
      </c>
      <c r="B1100" s="15" t="str">
        <f>"801542046934"</f>
        <v>801542046934</v>
      </c>
      <c r="C1100" s="15" t="s">
        <v>24871</v>
      </c>
      <c r="D1100" s="15" t="str">
        <f t="shared" si="1"/>
        <v>Westwood SofaBennett Charcoal</v>
      </c>
      <c r="E1100" s="15" t="s">
        <v>10483</v>
      </c>
      <c r="F1100" s="15" t="s">
        <v>397</v>
      </c>
      <c r="G1100" s="15" t="s">
        <v>5209</v>
      </c>
      <c r="J1100" s="15" t="s">
        <v>5209</v>
      </c>
      <c r="K1100" s="15" t="s">
        <v>5268</v>
      </c>
      <c r="M1100" s="15" t="s">
        <v>2374</v>
      </c>
      <c r="N1100" s="15" t="s">
        <v>1732</v>
      </c>
      <c r="P1100" s="15" t="str">
        <f t="shared" ref="P1100:P1101" si="3226">"90"</f>
        <v>90</v>
      </c>
      <c r="Q1100" s="15" t="str">
        <f t="shared" ref="Q1100:Q1101" si="3227">"39"</f>
        <v>39</v>
      </c>
      <c r="R1100" s="15" t="str">
        <f t="shared" ref="R1100:R1101" si="3228">"31"</f>
        <v>31</v>
      </c>
      <c r="S1100" s="15" t="str">
        <f t="shared" ref="S1100:S1101" si="3229">"145.5"</f>
        <v>145.5</v>
      </c>
      <c r="T1100" s="15" t="s">
        <v>5267</v>
      </c>
      <c r="U1100" s="15" t="s">
        <v>11209</v>
      </c>
      <c r="V1100" s="15" t="s">
        <v>16221</v>
      </c>
      <c r="AA1100" s="15" t="s">
        <v>413</v>
      </c>
      <c r="AB1100" s="15" t="s">
        <v>413</v>
      </c>
      <c r="AC1100" s="15" t="s">
        <v>10487</v>
      </c>
      <c r="AD1100" s="15" t="s">
        <v>24872</v>
      </c>
      <c r="AE1100" s="15" t="s">
        <v>10486</v>
      </c>
      <c r="AF1100" s="15" t="s">
        <v>24873</v>
      </c>
      <c r="AG1100" s="15" t="s">
        <v>24874</v>
      </c>
      <c r="AH1100" s="15" t="s">
        <v>24875</v>
      </c>
      <c r="AI1100" s="15" t="s">
        <v>24876</v>
      </c>
      <c r="AJ1100" s="15" t="s">
        <v>24877</v>
      </c>
      <c r="AK1100" s="15" t="s">
        <v>24878</v>
      </c>
      <c r="AL1100" s="15" t="s">
        <v>24879</v>
      </c>
      <c r="AM1100" s="15" t="s">
        <v>24880</v>
      </c>
      <c r="AN1100" s="15" t="s">
        <v>24881</v>
      </c>
      <c r="AO1100" s="15" t="s">
        <v>24882</v>
      </c>
      <c r="AP1100" s="15" t="s">
        <v>24883</v>
      </c>
      <c r="AQ1100" s="15" t="s">
        <v>24884</v>
      </c>
      <c r="AR1100" s="15" t="s">
        <v>24885</v>
      </c>
      <c r="BH1100" s="15" t="s">
        <v>10484</v>
      </c>
      <c r="BI1100" s="15" t="str">
        <f t="shared" ref="BI1100:BI1101" si="3230">"2399"</f>
        <v>2399</v>
      </c>
      <c r="BJ1100" s="15" t="str">
        <f t="shared" ref="BJ1100:BJ1101" si="3231">"1010"</f>
        <v>1010</v>
      </c>
      <c r="BK1100" s="15" t="s">
        <v>415</v>
      </c>
      <c r="BL1100" s="15" t="str">
        <f t="shared" si="3208"/>
        <v>1</v>
      </c>
      <c r="BM1100" s="15" t="s">
        <v>416</v>
      </c>
      <c r="BN1100" s="15" t="str">
        <f t="shared" ref="BN1100:BN1101" si="3232">"93"</f>
        <v>93</v>
      </c>
      <c r="BO1100" s="15" t="str">
        <f t="shared" ref="BO1100:BO1101" si="3233">"42"</f>
        <v>42</v>
      </c>
      <c r="BP1100" s="15" t="str">
        <f t="shared" ref="BP1100:BP1101" si="3234">"28"</f>
        <v>28</v>
      </c>
      <c r="BQ1100" s="15" t="str">
        <f t="shared" ref="BQ1100:BQ1101" si="3235">"154.32"</f>
        <v>154.32</v>
      </c>
      <c r="CG1100" s="15" t="str">
        <f t="shared" ref="CG1100:CG1101" si="3236">"63.28"</f>
        <v>63.28</v>
      </c>
      <c r="CH1100" s="15" t="str">
        <f t="shared" ref="CH1100:CH1101" si="3237">"1.792"</f>
        <v>1.792</v>
      </c>
      <c r="CI1100" s="15" t="s">
        <v>417</v>
      </c>
      <c r="CP1100" s="15" t="s">
        <v>3798</v>
      </c>
      <c r="CQ1100" s="15" t="s">
        <v>475</v>
      </c>
      <c r="CR1100" s="15" t="s">
        <v>671</v>
      </c>
      <c r="CS1100" s="15" t="s">
        <v>2571</v>
      </c>
      <c r="CT1100" s="15" t="s">
        <v>2292</v>
      </c>
      <c r="CU1100" s="15" t="s">
        <v>10488</v>
      </c>
      <c r="CV1100" s="15">
        <v>2.0</v>
      </c>
      <c r="CW1100" s="15">
        <v>2.0</v>
      </c>
      <c r="CX1100" s="15" t="s">
        <v>717</v>
      </c>
      <c r="CY1100" s="15" t="s">
        <v>897</v>
      </c>
      <c r="DC1100" s="15" t="s">
        <v>2380</v>
      </c>
      <c r="DF1100" s="15" t="s">
        <v>721</v>
      </c>
      <c r="DG1100" s="15" t="s">
        <v>419</v>
      </c>
      <c r="DH1100" s="15">
        <v>0.0</v>
      </c>
      <c r="DL1100" s="15">
        <v>100000.0</v>
      </c>
      <c r="DM1100" s="15" t="s">
        <v>990</v>
      </c>
      <c r="DN1100" s="15" t="s">
        <v>723</v>
      </c>
      <c r="DO1100" s="15" t="s">
        <v>1076</v>
      </c>
      <c r="DP1100" s="15">
        <v>2.0</v>
      </c>
      <c r="DQ1100" s="15">
        <v>3.0</v>
      </c>
      <c r="DS1100" s="15" t="s">
        <v>10489</v>
      </c>
      <c r="DT1100" s="15">
        <v>0.0</v>
      </c>
      <c r="DU1100" s="15" t="s">
        <v>473</v>
      </c>
      <c r="DV1100" s="15" t="s">
        <v>1212</v>
      </c>
      <c r="DW1100" s="15" t="s">
        <v>3735</v>
      </c>
      <c r="DX1100" s="15" t="s">
        <v>1575</v>
      </c>
      <c r="DY1100" s="15" t="s">
        <v>2547</v>
      </c>
      <c r="DZ1100" s="15" t="s">
        <v>1331</v>
      </c>
      <c r="EA1100" s="15" t="s">
        <v>4944</v>
      </c>
      <c r="EB1100" s="15" t="s">
        <v>672</v>
      </c>
      <c r="EC1100" s="15" t="s">
        <v>2547</v>
      </c>
      <c r="ED1100" s="15" t="s">
        <v>1161</v>
      </c>
      <c r="EE1100" s="15" t="s">
        <v>2385</v>
      </c>
      <c r="EF1100" s="15" t="s">
        <v>672</v>
      </c>
      <c r="EG1100" s="15" t="s">
        <v>2384</v>
      </c>
      <c r="EH1100" s="15" t="s">
        <v>1755</v>
      </c>
      <c r="EI1100" s="15" t="s">
        <v>1069</v>
      </c>
      <c r="EJ1100" s="15" t="s">
        <v>1076</v>
      </c>
      <c r="EK1100" s="15" t="s">
        <v>426</v>
      </c>
      <c r="EL1100" s="15" t="s">
        <v>723</v>
      </c>
      <c r="EM1100" s="15" t="s">
        <v>1076</v>
      </c>
      <c r="EN1100" s="15" t="s">
        <v>1289</v>
      </c>
      <c r="EO1100" s="15" t="s">
        <v>2387</v>
      </c>
      <c r="EU1100" s="15" t="s">
        <v>426</v>
      </c>
      <c r="EX1100" s="15" t="s">
        <v>10488</v>
      </c>
      <c r="EY1100" s="15" t="s">
        <v>10488</v>
      </c>
    </row>
    <row r="1101" ht="17.25" customHeight="1">
      <c r="A1101" s="15" t="s">
        <v>10491</v>
      </c>
      <c r="B1101" s="15" t="str">
        <f>"801542046941"</f>
        <v>801542046941</v>
      </c>
      <c r="C1101" s="15" t="s">
        <v>24886</v>
      </c>
      <c r="D1101" s="15" t="str">
        <f t="shared" si="1"/>
        <v>Westwood SofaBennett Moon</v>
      </c>
      <c r="E1101" s="15" t="s">
        <v>10483</v>
      </c>
      <c r="F1101" s="15" t="s">
        <v>397</v>
      </c>
      <c r="G1101" s="15" t="s">
        <v>5222</v>
      </c>
      <c r="J1101" s="15" t="s">
        <v>5222</v>
      </c>
      <c r="K1101" s="15" t="s">
        <v>5268</v>
      </c>
      <c r="M1101" s="15" t="s">
        <v>2374</v>
      </c>
      <c r="N1101" s="15" t="s">
        <v>1732</v>
      </c>
      <c r="P1101" s="15" t="str">
        <f t="shared" si="3226"/>
        <v>90</v>
      </c>
      <c r="Q1101" s="15" t="str">
        <f t="shared" si="3227"/>
        <v>39</v>
      </c>
      <c r="R1101" s="15" t="str">
        <f t="shared" si="3228"/>
        <v>31</v>
      </c>
      <c r="S1101" s="15" t="str">
        <f t="shared" si="3229"/>
        <v>145.5</v>
      </c>
      <c r="T1101" s="15" t="s">
        <v>5267</v>
      </c>
      <c r="U1101" s="15" t="s">
        <v>11209</v>
      </c>
      <c r="V1101" s="15" t="s">
        <v>16221</v>
      </c>
      <c r="AA1101" s="15" t="s">
        <v>413</v>
      </c>
      <c r="AB1101" s="15" t="s">
        <v>413</v>
      </c>
      <c r="AC1101" s="15" t="s">
        <v>10493</v>
      </c>
      <c r="AD1101" s="15" t="s">
        <v>24887</v>
      </c>
      <c r="AE1101" s="15" t="s">
        <v>10492</v>
      </c>
      <c r="AF1101" s="15" t="s">
        <v>24888</v>
      </c>
      <c r="AG1101" s="15" t="s">
        <v>24889</v>
      </c>
      <c r="AH1101" s="15" t="s">
        <v>24890</v>
      </c>
      <c r="AI1101" s="15" t="s">
        <v>24891</v>
      </c>
      <c r="AJ1101" s="15" t="s">
        <v>24892</v>
      </c>
      <c r="AK1101" s="15" t="s">
        <v>24893</v>
      </c>
      <c r="AL1101" s="15" t="s">
        <v>24894</v>
      </c>
      <c r="AM1101" s="15" t="s">
        <v>24895</v>
      </c>
      <c r="AN1101" s="15" t="s">
        <v>24896</v>
      </c>
      <c r="AO1101" s="15" t="s">
        <v>24897</v>
      </c>
      <c r="BH1101" s="15" t="s">
        <v>10490</v>
      </c>
      <c r="BI1101" s="15" t="str">
        <f t="shared" si="3230"/>
        <v>2399</v>
      </c>
      <c r="BJ1101" s="15" t="str">
        <f t="shared" si="3231"/>
        <v>1010</v>
      </c>
      <c r="BK1101" s="15" t="s">
        <v>415</v>
      </c>
      <c r="BL1101" s="15" t="str">
        <f t="shared" si="3208"/>
        <v>1</v>
      </c>
      <c r="BM1101" s="15" t="s">
        <v>416</v>
      </c>
      <c r="BN1101" s="15" t="str">
        <f t="shared" si="3232"/>
        <v>93</v>
      </c>
      <c r="BO1101" s="15" t="str">
        <f t="shared" si="3233"/>
        <v>42</v>
      </c>
      <c r="BP1101" s="15" t="str">
        <f t="shared" si="3234"/>
        <v>28</v>
      </c>
      <c r="BQ1101" s="15" t="str">
        <f t="shared" si="3235"/>
        <v>154.32</v>
      </c>
      <c r="CG1101" s="15" t="str">
        <f t="shared" si="3236"/>
        <v>63.28</v>
      </c>
      <c r="CH1101" s="15" t="str">
        <f t="shared" si="3237"/>
        <v>1.792</v>
      </c>
      <c r="CI1101" s="15" t="s">
        <v>417</v>
      </c>
      <c r="CP1101" s="15" t="s">
        <v>3798</v>
      </c>
      <c r="CQ1101" s="15" t="s">
        <v>475</v>
      </c>
      <c r="CR1101" s="15" t="s">
        <v>671</v>
      </c>
      <c r="CS1101" s="15" t="s">
        <v>2571</v>
      </c>
      <c r="CT1101" s="15" t="s">
        <v>2292</v>
      </c>
      <c r="CU1101" s="15" t="s">
        <v>10488</v>
      </c>
      <c r="CV1101" s="15">
        <v>2.0</v>
      </c>
      <c r="CW1101" s="15">
        <v>2.0</v>
      </c>
      <c r="CX1101" s="15" t="s">
        <v>717</v>
      </c>
      <c r="CY1101" s="15" t="s">
        <v>897</v>
      </c>
      <c r="DC1101" s="15" t="s">
        <v>2380</v>
      </c>
      <c r="DF1101" s="15" t="s">
        <v>721</v>
      </c>
      <c r="DG1101" s="15" t="s">
        <v>419</v>
      </c>
      <c r="DH1101" s="15">
        <v>0.0</v>
      </c>
      <c r="DL1101" s="15">
        <v>100000.0</v>
      </c>
      <c r="DM1101" s="15" t="s">
        <v>990</v>
      </c>
      <c r="DN1101" s="15" t="s">
        <v>723</v>
      </c>
      <c r="DO1101" s="15" t="s">
        <v>1076</v>
      </c>
      <c r="DP1101" s="15">
        <v>2.0</v>
      </c>
      <c r="DQ1101" s="15">
        <v>3.0</v>
      </c>
      <c r="DS1101" s="15" t="s">
        <v>10489</v>
      </c>
      <c r="DT1101" s="15">
        <v>0.0</v>
      </c>
      <c r="DU1101" s="15" t="s">
        <v>473</v>
      </c>
      <c r="DV1101" s="15" t="s">
        <v>1212</v>
      </c>
      <c r="DW1101" s="15" t="s">
        <v>3735</v>
      </c>
      <c r="DX1101" s="15" t="s">
        <v>1575</v>
      </c>
      <c r="DY1101" s="15" t="s">
        <v>2547</v>
      </c>
      <c r="DZ1101" s="15" t="s">
        <v>1331</v>
      </c>
      <c r="EA1101" s="15" t="s">
        <v>4944</v>
      </c>
      <c r="EB1101" s="15" t="s">
        <v>672</v>
      </c>
      <c r="EC1101" s="15" t="s">
        <v>2547</v>
      </c>
      <c r="ED1101" s="15" t="s">
        <v>1161</v>
      </c>
      <c r="EE1101" s="15" t="s">
        <v>2385</v>
      </c>
      <c r="EF1101" s="15" t="s">
        <v>672</v>
      </c>
      <c r="EG1101" s="15" t="s">
        <v>2384</v>
      </c>
      <c r="EH1101" s="15" t="s">
        <v>1755</v>
      </c>
      <c r="EI1101" s="15" t="s">
        <v>1069</v>
      </c>
      <c r="EJ1101" s="15" t="s">
        <v>1076</v>
      </c>
      <c r="EK1101" s="15" t="s">
        <v>426</v>
      </c>
      <c r="EL1101" s="15" t="s">
        <v>723</v>
      </c>
      <c r="EM1101" s="15" t="s">
        <v>1076</v>
      </c>
      <c r="EN1101" s="15" t="s">
        <v>1289</v>
      </c>
      <c r="EO1101" s="15" t="s">
        <v>2387</v>
      </c>
      <c r="EU1101" s="15" t="s">
        <v>426</v>
      </c>
      <c r="EX1101" s="15" t="s">
        <v>10488</v>
      </c>
      <c r="EY1101" s="15" t="s">
        <v>10488</v>
      </c>
    </row>
    <row r="1102" ht="17.25" customHeight="1">
      <c r="A1102" s="15" t="s">
        <v>10497</v>
      </c>
      <c r="B1102" s="15" t="str">
        <f>"198394026734"</f>
        <v>198394026734</v>
      </c>
      <c r="C1102" s="15" t="s">
        <v>24898</v>
      </c>
      <c r="D1102" s="15" t="str">
        <f t="shared" si="1"/>
        <v>Wickham 2-Piece Sleeper SectionalAlameda Snow125.5 Left Chaise</v>
      </c>
      <c r="E1102" s="15" t="s">
        <v>10494</v>
      </c>
      <c r="F1102" s="15" t="s">
        <v>397</v>
      </c>
      <c r="G1102" s="15" t="s">
        <v>7194</v>
      </c>
      <c r="H1102" s="15" t="s">
        <v>265</v>
      </c>
      <c r="I1102" s="15" t="s">
        <v>10496</v>
      </c>
      <c r="J1102" s="15" t="s">
        <v>7194</v>
      </c>
      <c r="K1102" s="15" t="s">
        <v>8339</v>
      </c>
      <c r="L1102" s="15" t="s">
        <v>10503</v>
      </c>
      <c r="M1102" s="15" t="s">
        <v>6751</v>
      </c>
      <c r="N1102" s="15" t="s">
        <v>1629</v>
      </c>
      <c r="O1102" s="15" t="s">
        <v>2916</v>
      </c>
      <c r="P1102" s="15" t="str">
        <f t="shared" ref="P1102:P1103" si="3238">"125.5"</f>
        <v>125.5</v>
      </c>
      <c r="Q1102" s="15" t="str">
        <f t="shared" ref="Q1102:Q1103" si="3239">"61"</f>
        <v>61</v>
      </c>
      <c r="R1102" s="15" t="str">
        <f t="shared" ref="R1102:R1104" si="3240">"35"</f>
        <v>35</v>
      </c>
      <c r="S1102" s="15" t="str">
        <f t="shared" ref="S1102:S1103" si="3241">"404"</f>
        <v>404</v>
      </c>
      <c r="T1102" s="15" t="s">
        <v>10500</v>
      </c>
      <c r="U1102" s="15" t="s">
        <v>18987</v>
      </c>
      <c r="V1102" s="15" t="s">
        <v>18988</v>
      </c>
      <c r="W1102" s="15" t="s">
        <v>18989</v>
      </c>
      <c r="X1102" s="15" t="s">
        <v>24899</v>
      </c>
      <c r="Y1102" s="15" t="s">
        <v>18070</v>
      </c>
      <c r="AA1102" s="15" t="s">
        <v>413</v>
      </c>
      <c r="AB1102" s="15" t="s">
        <v>426</v>
      </c>
      <c r="AC1102" s="15" t="s">
        <v>10504</v>
      </c>
      <c r="AD1102" s="15" t="s">
        <v>24900</v>
      </c>
      <c r="AE1102" s="15" t="s">
        <v>10499</v>
      </c>
      <c r="AF1102" s="15" t="s">
        <v>24901</v>
      </c>
      <c r="AG1102" s="15" t="s">
        <v>24902</v>
      </c>
      <c r="AH1102" s="15" t="s">
        <v>24903</v>
      </c>
      <c r="AI1102" s="15" t="s">
        <v>24904</v>
      </c>
      <c r="AJ1102" s="15" t="s">
        <v>24905</v>
      </c>
      <c r="AK1102" s="15" t="s">
        <v>24906</v>
      </c>
      <c r="AL1102" s="15" t="s">
        <v>24907</v>
      </c>
      <c r="AM1102" s="15" t="s">
        <v>24908</v>
      </c>
      <c r="AN1102" s="15" t="s">
        <v>24909</v>
      </c>
      <c r="AO1102" s="15" t="s">
        <v>24910</v>
      </c>
      <c r="AP1102" s="15" t="s">
        <v>24911</v>
      </c>
      <c r="AQ1102" s="15" t="s">
        <v>24912</v>
      </c>
      <c r="AR1102" s="15" t="s">
        <v>24913</v>
      </c>
      <c r="AS1102" s="15" t="s">
        <v>24914</v>
      </c>
      <c r="BH1102" s="15" t="s">
        <v>10495</v>
      </c>
      <c r="BI1102" s="15" t="str">
        <f t="shared" ref="BI1102:BI1103" si="3242">"6999"</f>
        <v>6999</v>
      </c>
      <c r="BJ1102" s="15" t="str">
        <f t="shared" ref="BJ1102:BJ1103" si="3243">"2940"</f>
        <v>2940</v>
      </c>
      <c r="BK1102" s="15" t="s">
        <v>3835</v>
      </c>
      <c r="BL1102" s="15" t="str">
        <f t="shared" ref="BL1102:BL1104" si="3244">"2"</f>
        <v>2</v>
      </c>
      <c r="BM1102" s="15" t="s">
        <v>7389</v>
      </c>
      <c r="BN1102" s="15" t="str">
        <f t="shared" ref="BN1102:BN1105" si="3245">"86"</f>
        <v>86</v>
      </c>
      <c r="BO1102" s="15" t="str">
        <f t="shared" ref="BO1102:BO1104" si="3246">"38"</f>
        <v>38</v>
      </c>
      <c r="BP1102" s="15" t="str">
        <f t="shared" ref="BP1102:BP1104" si="3247">"36"</f>
        <v>36</v>
      </c>
      <c r="BQ1102" s="15" t="str">
        <f t="shared" ref="BQ1102:BQ1104" si="3248">"234"</f>
        <v>234</v>
      </c>
      <c r="BR1102" s="15" t="s">
        <v>10506</v>
      </c>
      <c r="BS1102" s="15" t="str">
        <f t="shared" ref="BS1102:BS1104" si="3249">"46"</f>
        <v>46</v>
      </c>
      <c r="BT1102" s="15" t="str">
        <f t="shared" ref="BT1102:BT1104" si="3250">"61"</f>
        <v>61</v>
      </c>
      <c r="BU1102" s="15" t="str">
        <f t="shared" ref="BU1102:BU1104" si="3251">"38"</f>
        <v>38</v>
      </c>
      <c r="BV1102" s="15" t="str">
        <f t="shared" ref="BV1102:BV1103" si="3252">"188"</f>
        <v>188</v>
      </c>
      <c r="CG1102" s="15" t="str">
        <f t="shared" ref="CG1102:CG1104" si="3253">"129.78"</f>
        <v>129.78</v>
      </c>
      <c r="CH1102" s="15" t="str">
        <f t="shared" ref="CH1102:CH1104" si="3254">"3.675"</f>
        <v>3.675</v>
      </c>
      <c r="CI1102" s="15" t="s">
        <v>497</v>
      </c>
      <c r="CX1102" s="15" t="s">
        <v>717</v>
      </c>
      <c r="CY1102" s="15" t="s">
        <v>934</v>
      </c>
      <c r="DC1102" s="15" t="s">
        <v>2502</v>
      </c>
      <c r="DF1102" s="15" t="s">
        <v>1111</v>
      </c>
      <c r="DL1102" s="15">
        <v>33000.0</v>
      </c>
      <c r="DM1102" s="15" t="s">
        <v>470</v>
      </c>
      <c r="DN1102" s="15" t="s">
        <v>1016</v>
      </c>
      <c r="DO1102" s="15" t="s">
        <v>724</v>
      </c>
      <c r="DQ1102" s="15">
        <v>6.0</v>
      </c>
      <c r="DR1102" s="15" t="s">
        <v>419</v>
      </c>
      <c r="DS1102" s="15" t="s">
        <v>10509</v>
      </c>
      <c r="DU1102" s="15" t="s">
        <v>8454</v>
      </c>
      <c r="EL1102" s="15" t="s">
        <v>723</v>
      </c>
      <c r="EM1102" s="15" t="s">
        <v>1076</v>
      </c>
      <c r="EN1102" s="15" t="s">
        <v>2502</v>
      </c>
      <c r="EO1102" s="15" t="s">
        <v>2502</v>
      </c>
      <c r="FB1102" s="15" t="s">
        <v>2436</v>
      </c>
      <c r="GX1102" s="15" t="s">
        <v>1638</v>
      </c>
      <c r="GY1102" s="15" t="s">
        <v>3410</v>
      </c>
      <c r="MP1102" s="15" t="s">
        <v>426</v>
      </c>
    </row>
    <row r="1103" ht="17.25" customHeight="1">
      <c r="A1103" s="15" t="s">
        <v>10512</v>
      </c>
      <c r="B1103" s="15" t="str">
        <f>"198394026772"</f>
        <v>198394026772</v>
      </c>
      <c r="C1103" s="15" t="s">
        <v>24898</v>
      </c>
      <c r="D1103" s="15" t="str">
        <f t="shared" si="1"/>
        <v>Wickham 2-Piece Sleeper SectionalAlameda Snow125.5 Right Chaise</v>
      </c>
      <c r="E1103" s="15" t="s">
        <v>10494</v>
      </c>
      <c r="F1103" s="15" t="s">
        <v>397</v>
      </c>
      <c r="G1103" s="15" t="s">
        <v>7194</v>
      </c>
      <c r="H1103" s="15" t="s">
        <v>265</v>
      </c>
      <c r="I1103" s="15" t="s">
        <v>10511</v>
      </c>
      <c r="J1103" s="15" t="s">
        <v>7194</v>
      </c>
      <c r="K1103" s="15" t="s">
        <v>8339</v>
      </c>
      <c r="L1103" s="15" t="s">
        <v>10503</v>
      </c>
      <c r="M1103" s="15" t="s">
        <v>6751</v>
      </c>
      <c r="N1103" s="15" t="s">
        <v>1629</v>
      </c>
      <c r="O1103" s="15" t="s">
        <v>2933</v>
      </c>
      <c r="P1103" s="15" t="str">
        <f t="shared" si="3238"/>
        <v>125.5</v>
      </c>
      <c r="Q1103" s="15" t="str">
        <f t="shared" si="3239"/>
        <v>61</v>
      </c>
      <c r="R1103" s="15" t="str">
        <f t="shared" si="3240"/>
        <v>35</v>
      </c>
      <c r="S1103" s="15" t="str">
        <f t="shared" si="3241"/>
        <v>404</v>
      </c>
      <c r="T1103" s="15" t="s">
        <v>10500</v>
      </c>
      <c r="U1103" s="15" t="s">
        <v>18987</v>
      </c>
      <c r="V1103" s="15" t="s">
        <v>18988</v>
      </c>
      <c r="W1103" s="15" t="s">
        <v>18989</v>
      </c>
      <c r="X1103" s="15" t="s">
        <v>24899</v>
      </c>
      <c r="Y1103" s="15" t="s">
        <v>18070</v>
      </c>
      <c r="AA1103" s="15" t="s">
        <v>413</v>
      </c>
      <c r="AB1103" s="15" t="s">
        <v>426</v>
      </c>
      <c r="AC1103" s="15" t="s">
        <v>10514</v>
      </c>
      <c r="AD1103" s="15" t="s">
        <v>24915</v>
      </c>
      <c r="AE1103" s="15" t="s">
        <v>10513</v>
      </c>
      <c r="AF1103" s="15" t="s">
        <v>24916</v>
      </c>
      <c r="AG1103" s="15" t="s">
        <v>24917</v>
      </c>
      <c r="AH1103" s="15" t="s">
        <v>24918</v>
      </c>
      <c r="AI1103" s="15" t="s">
        <v>24919</v>
      </c>
      <c r="AJ1103" s="15" t="s">
        <v>24920</v>
      </c>
      <c r="AK1103" s="15" t="s">
        <v>24921</v>
      </c>
      <c r="AL1103" s="15" t="s">
        <v>24922</v>
      </c>
      <c r="AM1103" s="15" t="s">
        <v>24923</v>
      </c>
      <c r="AN1103" s="15" t="s">
        <v>24924</v>
      </c>
      <c r="AO1103" s="15" t="s">
        <v>24925</v>
      </c>
      <c r="AP1103" s="15" t="s">
        <v>24926</v>
      </c>
      <c r="AQ1103" s="15" t="s">
        <v>24927</v>
      </c>
      <c r="AR1103" s="15" t="s">
        <v>24928</v>
      </c>
      <c r="AS1103" s="15" t="s">
        <v>24929</v>
      </c>
      <c r="BH1103" s="15" t="s">
        <v>10510</v>
      </c>
      <c r="BI1103" s="15" t="str">
        <f t="shared" si="3242"/>
        <v>6999</v>
      </c>
      <c r="BJ1103" s="15" t="str">
        <f t="shared" si="3243"/>
        <v>2940</v>
      </c>
      <c r="BK1103" s="15" t="s">
        <v>3835</v>
      </c>
      <c r="BL1103" s="15" t="str">
        <f t="shared" si="3244"/>
        <v>2</v>
      </c>
      <c r="BM1103" s="15" t="s">
        <v>7389</v>
      </c>
      <c r="BN1103" s="15" t="str">
        <f t="shared" si="3245"/>
        <v>86</v>
      </c>
      <c r="BO1103" s="15" t="str">
        <f t="shared" si="3246"/>
        <v>38</v>
      </c>
      <c r="BP1103" s="15" t="str">
        <f t="shared" si="3247"/>
        <v>36</v>
      </c>
      <c r="BQ1103" s="15" t="str">
        <f t="shared" si="3248"/>
        <v>234</v>
      </c>
      <c r="BR1103" s="15" t="s">
        <v>10506</v>
      </c>
      <c r="BS1103" s="15" t="str">
        <f t="shared" si="3249"/>
        <v>46</v>
      </c>
      <c r="BT1103" s="15" t="str">
        <f t="shared" si="3250"/>
        <v>61</v>
      </c>
      <c r="BU1103" s="15" t="str">
        <f t="shared" si="3251"/>
        <v>38</v>
      </c>
      <c r="BV1103" s="15" t="str">
        <f t="shared" si="3252"/>
        <v>188</v>
      </c>
      <c r="CG1103" s="15" t="str">
        <f t="shared" si="3253"/>
        <v>129.78</v>
      </c>
      <c r="CH1103" s="15" t="str">
        <f t="shared" si="3254"/>
        <v>3.675</v>
      </c>
      <c r="CI1103" s="15" t="s">
        <v>497</v>
      </c>
      <c r="CX1103" s="15" t="s">
        <v>717</v>
      </c>
      <c r="CY1103" s="15" t="s">
        <v>934</v>
      </c>
      <c r="DC1103" s="15" t="s">
        <v>2502</v>
      </c>
      <c r="DF1103" s="15" t="s">
        <v>1111</v>
      </c>
      <c r="DG1103" s="15" t="s">
        <v>2381</v>
      </c>
      <c r="DL1103" s="15">
        <v>33000.0</v>
      </c>
      <c r="DM1103" s="15" t="s">
        <v>470</v>
      </c>
      <c r="DN1103" s="15" t="s">
        <v>1016</v>
      </c>
      <c r="DO1103" s="15" t="s">
        <v>724</v>
      </c>
      <c r="DQ1103" s="15">
        <v>6.0</v>
      </c>
      <c r="DR1103" s="15" t="s">
        <v>419</v>
      </c>
      <c r="DS1103" s="15" t="s">
        <v>10509</v>
      </c>
      <c r="DU1103" s="15" t="s">
        <v>8454</v>
      </c>
      <c r="EL1103" s="15" t="s">
        <v>723</v>
      </c>
      <c r="EM1103" s="15" t="s">
        <v>1076</v>
      </c>
      <c r="EN1103" s="15" t="s">
        <v>2502</v>
      </c>
      <c r="EO1103" s="15" t="s">
        <v>2502</v>
      </c>
      <c r="FB1103" s="15" t="s">
        <v>2436</v>
      </c>
      <c r="GX1103" s="15" t="s">
        <v>1638</v>
      </c>
      <c r="GY1103" s="15" t="s">
        <v>3415</v>
      </c>
      <c r="MP1103" s="15" t="s">
        <v>426</v>
      </c>
    </row>
    <row r="1104" ht="17.25" customHeight="1">
      <c r="A1104" s="15" t="s">
        <v>10517</v>
      </c>
      <c r="B1104" s="15" t="str">
        <f>"198394026727"</f>
        <v>198394026727</v>
      </c>
      <c r="C1104" s="15" t="s">
        <v>24898</v>
      </c>
      <c r="D1104" s="15" t="str">
        <f t="shared" si="1"/>
        <v>Wickham 2-Piece Sleeper SectionalAlameda Snow126.5 Left Chaise</v>
      </c>
      <c r="E1104" s="15" t="s">
        <v>10494</v>
      </c>
      <c r="F1104" s="15" t="s">
        <v>397</v>
      </c>
      <c r="G1104" s="15" t="s">
        <v>7194</v>
      </c>
      <c r="H1104" s="15" t="s">
        <v>265</v>
      </c>
      <c r="I1104" s="15" t="s">
        <v>10516</v>
      </c>
      <c r="J1104" s="15" t="s">
        <v>7194</v>
      </c>
      <c r="K1104" s="15" t="s">
        <v>8339</v>
      </c>
      <c r="L1104" s="15" t="s">
        <v>10503</v>
      </c>
      <c r="M1104" s="15" t="s">
        <v>6751</v>
      </c>
      <c r="N1104" s="15" t="s">
        <v>1629</v>
      </c>
      <c r="O1104" s="15" t="s">
        <v>2916</v>
      </c>
      <c r="P1104" s="15" t="str">
        <f>"126.5"</f>
        <v>126.5</v>
      </c>
      <c r="Q1104" s="15" t="str">
        <f>"62.25"</f>
        <v>62.25</v>
      </c>
      <c r="R1104" s="15" t="str">
        <f t="shared" si="3240"/>
        <v>35</v>
      </c>
      <c r="S1104" s="15" t="str">
        <f>"340"</f>
        <v>340</v>
      </c>
      <c r="T1104" s="15" t="s">
        <v>10500</v>
      </c>
      <c r="U1104" s="15" t="s">
        <v>18987</v>
      </c>
      <c r="V1104" s="15" t="s">
        <v>18988</v>
      </c>
      <c r="W1104" s="15" t="s">
        <v>18989</v>
      </c>
      <c r="X1104" s="15" t="s">
        <v>24899</v>
      </c>
      <c r="Y1104" s="15" t="s">
        <v>18070</v>
      </c>
      <c r="AA1104" s="15" t="s">
        <v>413</v>
      </c>
      <c r="AB1104" s="15" t="s">
        <v>426</v>
      </c>
      <c r="AC1104" s="15" t="s">
        <v>10522</v>
      </c>
      <c r="AD1104" s="15" t="s">
        <v>24930</v>
      </c>
      <c r="AE1104" s="15" t="s">
        <v>10519</v>
      </c>
      <c r="AF1104" s="15" t="s">
        <v>24931</v>
      </c>
      <c r="AG1104" s="15" t="s">
        <v>24932</v>
      </c>
      <c r="AH1104" s="15" t="s">
        <v>24933</v>
      </c>
      <c r="AI1104" s="15" t="s">
        <v>24934</v>
      </c>
      <c r="AJ1104" s="15" t="s">
        <v>24935</v>
      </c>
      <c r="AK1104" s="15" t="s">
        <v>24936</v>
      </c>
      <c r="AL1104" s="15" t="s">
        <v>24937</v>
      </c>
      <c r="AM1104" s="15" t="s">
        <v>24938</v>
      </c>
      <c r="AN1104" s="15" t="s">
        <v>24939</v>
      </c>
      <c r="AO1104" s="15" t="s">
        <v>24940</v>
      </c>
      <c r="AP1104" s="15" t="s">
        <v>24941</v>
      </c>
      <c r="AQ1104" s="15" t="s">
        <v>24942</v>
      </c>
      <c r="AR1104" s="15" t="s">
        <v>24943</v>
      </c>
      <c r="AS1104" s="15" t="s">
        <v>24944</v>
      </c>
      <c r="AT1104" s="15" t="s">
        <v>24945</v>
      </c>
      <c r="BH1104" s="15" t="s">
        <v>10515</v>
      </c>
      <c r="BI1104" s="15" t="str">
        <f>"6699"</f>
        <v>6699</v>
      </c>
      <c r="BJ1104" s="15" t="str">
        <f>"2815"</f>
        <v>2815</v>
      </c>
      <c r="BK1104" s="15" t="s">
        <v>3835</v>
      </c>
      <c r="BL1104" s="15" t="str">
        <f t="shared" si="3244"/>
        <v>2</v>
      </c>
      <c r="BM1104" s="15" t="s">
        <v>7389</v>
      </c>
      <c r="BN1104" s="15" t="str">
        <f t="shared" si="3245"/>
        <v>86</v>
      </c>
      <c r="BO1104" s="15" t="str">
        <f t="shared" si="3246"/>
        <v>38</v>
      </c>
      <c r="BP1104" s="15" t="str">
        <f t="shared" si="3247"/>
        <v>36</v>
      </c>
      <c r="BQ1104" s="15" t="str">
        <f t="shared" si="3248"/>
        <v>234</v>
      </c>
      <c r="BR1104" s="15" t="s">
        <v>10523</v>
      </c>
      <c r="BS1104" s="15" t="str">
        <f t="shared" si="3249"/>
        <v>46</v>
      </c>
      <c r="BT1104" s="15" t="str">
        <f t="shared" si="3250"/>
        <v>61</v>
      </c>
      <c r="BU1104" s="15" t="str">
        <f t="shared" si="3251"/>
        <v>38</v>
      </c>
      <c r="BV1104" s="15" t="str">
        <f>"132"</f>
        <v>132</v>
      </c>
      <c r="CG1104" s="15" t="str">
        <f t="shared" si="3253"/>
        <v>129.78</v>
      </c>
      <c r="CH1104" s="15" t="str">
        <f t="shared" si="3254"/>
        <v>3.675</v>
      </c>
      <c r="CI1104" s="15" t="s">
        <v>497</v>
      </c>
      <c r="CX1104" s="15" t="s">
        <v>717</v>
      </c>
      <c r="CY1104" s="15" t="s">
        <v>934</v>
      </c>
      <c r="DC1104" s="15" t="s">
        <v>2502</v>
      </c>
      <c r="DF1104" s="15" t="s">
        <v>1111</v>
      </c>
      <c r="DG1104" s="15" t="s">
        <v>2381</v>
      </c>
      <c r="DL1104" s="15">
        <v>33000.0</v>
      </c>
      <c r="DM1104" s="15" t="s">
        <v>470</v>
      </c>
      <c r="DQ1104" s="15">
        <v>6.0</v>
      </c>
      <c r="DS1104" s="15" t="s">
        <v>10509</v>
      </c>
      <c r="DU1104" s="15" t="s">
        <v>8454</v>
      </c>
      <c r="EL1104" s="15" t="s">
        <v>723</v>
      </c>
      <c r="EM1104" s="15" t="s">
        <v>1076</v>
      </c>
      <c r="EN1104" s="15" t="s">
        <v>2502</v>
      </c>
      <c r="EO1104" s="15" t="s">
        <v>2502</v>
      </c>
      <c r="FB1104" s="15" t="s">
        <v>2436</v>
      </c>
      <c r="GX1104" s="15" t="s">
        <v>1638</v>
      </c>
      <c r="GY1104" s="15" t="s">
        <v>3410</v>
      </c>
      <c r="MP1104" s="15" t="s">
        <v>426</v>
      </c>
    </row>
    <row r="1105" ht="17.25" customHeight="1">
      <c r="A1105" s="15" t="s">
        <v>10527</v>
      </c>
      <c r="B1105" s="15" t="str">
        <f>"801542175535"</f>
        <v>801542175535</v>
      </c>
      <c r="C1105" s="15" t="s">
        <v>24946</v>
      </c>
      <c r="D1105" s="15" t="str">
        <f t="shared" si="1"/>
        <v>Wickham Sleeper SofaRonan Linen42</v>
      </c>
      <c r="E1105" s="15" t="s">
        <v>10525</v>
      </c>
      <c r="F1105" s="15" t="s">
        <v>397</v>
      </c>
      <c r="G1105" s="15" t="s">
        <v>10503</v>
      </c>
      <c r="H1105" s="15" t="s">
        <v>265</v>
      </c>
      <c r="I1105" s="15">
        <v>42.0</v>
      </c>
      <c r="J1105" s="15" t="s">
        <v>7194</v>
      </c>
      <c r="K1105" s="15" t="s">
        <v>10503</v>
      </c>
      <c r="L1105" s="15" t="s">
        <v>8339</v>
      </c>
      <c r="M1105" s="15" t="s">
        <v>6751</v>
      </c>
      <c r="N1105" s="15" t="s">
        <v>1732</v>
      </c>
      <c r="P1105" s="15" t="str">
        <f t="shared" ref="P1105:P1106" si="3255">"86"</f>
        <v>86</v>
      </c>
      <c r="Q1105" s="15" t="str">
        <f>"42"</f>
        <v>42</v>
      </c>
      <c r="R1105" s="15" t="str">
        <f t="shared" ref="R1105:R1106" si="3256">"34"</f>
        <v>34</v>
      </c>
      <c r="S1105" s="15" t="str">
        <f>"229.28"</f>
        <v>229.28</v>
      </c>
      <c r="T1105" s="15" t="s">
        <v>10529</v>
      </c>
      <c r="U1105" s="15" t="s">
        <v>18987</v>
      </c>
      <c r="V1105" s="15" t="s">
        <v>18988</v>
      </c>
      <c r="W1105" s="15" t="s">
        <v>18989</v>
      </c>
      <c r="X1105" s="15" t="s">
        <v>18070</v>
      </c>
      <c r="Y1105" s="15" t="s">
        <v>24899</v>
      </c>
      <c r="AA1105" s="15" t="s">
        <v>426</v>
      </c>
      <c r="AB1105" s="15" t="s">
        <v>426</v>
      </c>
      <c r="AC1105" s="15" t="s">
        <v>10530</v>
      </c>
      <c r="AD1105" s="15" t="s">
        <v>24947</v>
      </c>
      <c r="AE1105" s="15" t="s">
        <v>10528</v>
      </c>
      <c r="AF1105" s="15" t="s">
        <v>24948</v>
      </c>
      <c r="AG1105" s="15" t="s">
        <v>24949</v>
      </c>
      <c r="AH1105" s="15" t="s">
        <v>24950</v>
      </c>
      <c r="AI1105" s="15" t="s">
        <v>24951</v>
      </c>
      <c r="AJ1105" s="15" t="s">
        <v>24952</v>
      </c>
      <c r="AK1105" s="15" t="s">
        <v>24953</v>
      </c>
      <c r="AL1105" s="15" t="s">
        <v>24954</v>
      </c>
      <c r="AM1105" s="15" t="s">
        <v>24955</v>
      </c>
      <c r="AN1105" s="15" t="s">
        <v>24956</v>
      </c>
      <c r="AO1105" s="15" t="s">
        <v>24957</v>
      </c>
      <c r="AP1105" s="15" t="s">
        <v>24958</v>
      </c>
      <c r="AQ1105" s="15" t="s">
        <v>24959</v>
      </c>
      <c r="AR1105" s="15" t="s">
        <v>24960</v>
      </c>
      <c r="AS1105" s="15" t="s">
        <v>24961</v>
      </c>
      <c r="AT1105" s="15" t="s">
        <v>24962</v>
      </c>
      <c r="AU1105" s="15" t="s">
        <v>24963</v>
      </c>
      <c r="AV1105" s="15" t="s">
        <v>24964</v>
      </c>
      <c r="BH1105" s="15" t="s">
        <v>10526</v>
      </c>
      <c r="BI1105" s="15" t="str">
        <f>"3999"</f>
        <v>3999</v>
      </c>
      <c r="BJ1105" s="15" t="str">
        <f>"1680"</f>
        <v>1680</v>
      </c>
      <c r="BK1105" s="15" t="s">
        <v>3835</v>
      </c>
      <c r="BL1105" s="15" t="str">
        <f t="shared" ref="BL1105:BL1107" si="3257">"1"</f>
        <v>1</v>
      </c>
      <c r="BM1105" s="15" t="s">
        <v>10531</v>
      </c>
      <c r="BN1105" s="15" t="str">
        <f t="shared" si="3245"/>
        <v>86</v>
      </c>
      <c r="BO1105" s="15" t="str">
        <f>"43"</f>
        <v>43</v>
      </c>
      <c r="BP1105" s="15" t="str">
        <f>"27.5"</f>
        <v>27.5</v>
      </c>
      <c r="BQ1105" s="15" t="str">
        <f>"249.78"</f>
        <v>249.78</v>
      </c>
      <c r="CG1105" s="15" t="str">
        <f>"58.83"</f>
        <v>58.83</v>
      </c>
      <c r="CH1105" s="15" t="str">
        <f>"1.666"</f>
        <v>1.666</v>
      </c>
      <c r="CI1105" s="15" t="s">
        <v>497</v>
      </c>
      <c r="CP1105" s="15" t="s">
        <v>1739</v>
      </c>
      <c r="CQ1105" s="15" t="s">
        <v>2547</v>
      </c>
      <c r="CR1105" s="15" t="s">
        <v>5321</v>
      </c>
      <c r="CS1105" s="15" t="s">
        <v>1064</v>
      </c>
      <c r="CT1105" s="15" t="s">
        <v>824</v>
      </c>
      <c r="CU1105" s="15" t="s">
        <v>5321</v>
      </c>
      <c r="CV1105" s="15">
        <v>0.0</v>
      </c>
      <c r="CW1105" s="15">
        <v>2.0</v>
      </c>
      <c r="CX1105" s="15" t="s">
        <v>717</v>
      </c>
      <c r="CY1105" s="15" t="s">
        <v>934</v>
      </c>
      <c r="DC1105" s="15" t="s">
        <v>2502</v>
      </c>
      <c r="DF1105" s="15" t="s">
        <v>1111</v>
      </c>
      <c r="DG1105" s="15" t="s">
        <v>2381</v>
      </c>
      <c r="DH1105" s="15">
        <v>0.0</v>
      </c>
      <c r="DL1105" s="15">
        <v>33000.0</v>
      </c>
      <c r="DM1105" s="15" t="s">
        <v>470</v>
      </c>
      <c r="DN1105" s="15" t="s">
        <v>1016</v>
      </c>
      <c r="DO1105" s="15" t="s">
        <v>724</v>
      </c>
      <c r="DP1105" s="15">
        <v>1.0</v>
      </c>
      <c r="DQ1105" s="15">
        <v>4.0</v>
      </c>
      <c r="DS1105" s="15" t="s">
        <v>10509</v>
      </c>
      <c r="DT1105" s="15">
        <v>0.0</v>
      </c>
      <c r="DU1105" s="15" t="s">
        <v>588</v>
      </c>
      <c r="DV1105" s="15" t="s">
        <v>1283</v>
      </c>
      <c r="DW1105" s="15" t="s">
        <v>2402</v>
      </c>
      <c r="DX1105" s="15" t="s">
        <v>3332</v>
      </c>
      <c r="EB1105" s="15" t="s">
        <v>1236</v>
      </c>
      <c r="EC1105" s="15" t="s">
        <v>2402</v>
      </c>
      <c r="ED1105" s="15" t="s">
        <v>1324</v>
      </c>
      <c r="EE1105" s="15" t="s">
        <v>10532</v>
      </c>
      <c r="EF1105" s="15" t="s">
        <v>672</v>
      </c>
      <c r="EG1105" s="15" t="s">
        <v>1574</v>
      </c>
      <c r="EH1105" s="15" t="s">
        <v>7787</v>
      </c>
      <c r="EI1105" s="15" t="s">
        <v>2402</v>
      </c>
      <c r="EL1105" s="15" t="s">
        <v>723</v>
      </c>
      <c r="EM1105" s="15" t="s">
        <v>1076</v>
      </c>
      <c r="EN1105" s="15" t="s">
        <v>2502</v>
      </c>
      <c r="EO1105" s="15" t="s">
        <v>2502</v>
      </c>
      <c r="IO1105" s="15" t="s">
        <v>877</v>
      </c>
      <c r="JL1105" s="15" t="s">
        <v>824</v>
      </c>
      <c r="JM1105" s="15" t="s">
        <v>2337</v>
      </c>
      <c r="JN1105" s="15" t="s">
        <v>5321</v>
      </c>
    </row>
    <row r="1106" ht="17.25" customHeight="1">
      <c r="A1106" s="15" t="s">
        <v>10534</v>
      </c>
      <c r="B1106" s="15" t="str">
        <f>"801542242992"</f>
        <v>801542242992</v>
      </c>
      <c r="C1106" s="15" t="s">
        <v>24946</v>
      </c>
      <c r="D1106" s="15" t="str">
        <f t="shared" si="1"/>
        <v>Wickham Sleeper SofaRonan Linen38</v>
      </c>
      <c r="E1106" s="15" t="s">
        <v>10525</v>
      </c>
      <c r="F1106" s="15" t="s">
        <v>397</v>
      </c>
      <c r="G1106" s="15" t="s">
        <v>10503</v>
      </c>
      <c r="H1106" s="15" t="s">
        <v>265</v>
      </c>
      <c r="I1106" s="15">
        <v>38.0</v>
      </c>
      <c r="J1106" s="15" t="s">
        <v>7194</v>
      </c>
      <c r="K1106" s="15" t="s">
        <v>10503</v>
      </c>
      <c r="L1106" s="15" t="s">
        <v>8339</v>
      </c>
      <c r="M1106" s="15" t="s">
        <v>6751</v>
      </c>
      <c r="N1106" s="15" t="s">
        <v>1732</v>
      </c>
      <c r="P1106" s="15" t="str">
        <f t="shared" si="3255"/>
        <v>86</v>
      </c>
      <c r="Q1106" s="15" t="str">
        <f>"38"</f>
        <v>38</v>
      </c>
      <c r="R1106" s="15" t="str">
        <f t="shared" si="3256"/>
        <v>34</v>
      </c>
      <c r="S1106" s="15" t="str">
        <f>"220"</f>
        <v>220</v>
      </c>
      <c r="T1106" s="15" t="s">
        <v>10529</v>
      </c>
      <c r="U1106" s="15" t="s">
        <v>18987</v>
      </c>
      <c r="V1106" s="15" t="s">
        <v>18988</v>
      </c>
      <c r="W1106" s="15" t="s">
        <v>18989</v>
      </c>
      <c r="X1106" s="15" t="s">
        <v>18070</v>
      </c>
      <c r="Y1106" s="15" t="s">
        <v>24899</v>
      </c>
      <c r="AA1106" s="15" t="s">
        <v>413</v>
      </c>
      <c r="AB1106" s="15" t="s">
        <v>426</v>
      </c>
      <c r="AC1106" s="15" t="s">
        <v>10537</v>
      </c>
      <c r="AD1106" s="15" t="s">
        <v>24965</v>
      </c>
      <c r="AE1106" s="15" t="s">
        <v>10536</v>
      </c>
      <c r="AF1106" s="15" t="s">
        <v>24966</v>
      </c>
      <c r="AG1106" s="15" t="s">
        <v>24967</v>
      </c>
      <c r="AH1106" s="15" t="s">
        <v>24968</v>
      </c>
      <c r="AI1106" s="15" t="s">
        <v>24969</v>
      </c>
      <c r="AJ1106" s="15" t="s">
        <v>24970</v>
      </c>
      <c r="AK1106" s="15" t="s">
        <v>24971</v>
      </c>
      <c r="AL1106" s="15" t="s">
        <v>24972</v>
      </c>
      <c r="AM1106" s="15" t="s">
        <v>24973</v>
      </c>
      <c r="AN1106" s="15" t="s">
        <v>24974</v>
      </c>
      <c r="AO1106" s="15" t="s">
        <v>24975</v>
      </c>
      <c r="AP1106" s="15" t="s">
        <v>24976</v>
      </c>
      <c r="AQ1106" s="15" t="s">
        <v>24977</v>
      </c>
      <c r="AR1106" s="15" t="s">
        <v>24978</v>
      </c>
      <c r="AS1106" s="15" t="s">
        <v>24979</v>
      </c>
      <c r="AT1106" s="15" t="s">
        <v>24980</v>
      </c>
      <c r="AU1106" s="15" t="s">
        <v>24981</v>
      </c>
      <c r="AV1106" s="15" t="s">
        <v>24982</v>
      </c>
      <c r="AW1106" s="15" t="s">
        <v>24983</v>
      </c>
      <c r="AX1106" s="15" t="s">
        <v>24984</v>
      </c>
      <c r="AY1106" s="15" t="s">
        <v>24985</v>
      </c>
      <c r="BH1106" s="15" t="s">
        <v>10533</v>
      </c>
      <c r="BI1106" s="15" t="str">
        <f>"3899"</f>
        <v>3899</v>
      </c>
      <c r="BJ1106" s="15" t="str">
        <f>"1640"</f>
        <v>1640</v>
      </c>
      <c r="BK1106" s="15" t="s">
        <v>3835</v>
      </c>
      <c r="BL1106" s="15" t="str">
        <f t="shared" si="3257"/>
        <v>1</v>
      </c>
      <c r="BM1106" s="15" t="s">
        <v>10538</v>
      </c>
      <c r="BN1106" s="15" t="str">
        <f>"91"</f>
        <v>91</v>
      </c>
      <c r="BO1106" s="15" t="str">
        <f>"38.5"</f>
        <v>38.5</v>
      </c>
      <c r="BP1106" s="15" t="str">
        <f>"31"</f>
        <v>31</v>
      </c>
      <c r="BQ1106" s="15" t="str">
        <f>"234.44"</f>
        <v>234.44</v>
      </c>
      <c r="CG1106" s="15" t="str">
        <f>"62.86"</f>
        <v>62.86</v>
      </c>
      <c r="CH1106" s="15" t="str">
        <f>"1.78"</f>
        <v>1.78</v>
      </c>
      <c r="CI1106" s="15" t="s">
        <v>417</v>
      </c>
      <c r="CP1106" s="15" t="s">
        <v>558</v>
      </c>
      <c r="CQ1106" s="15" t="s">
        <v>2547</v>
      </c>
      <c r="CR1106" s="15" t="s">
        <v>5321</v>
      </c>
      <c r="CS1106" s="15" t="s">
        <v>1286</v>
      </c>
      <c r="CT1106" s="15" t="s">
        <v>824</v>
      </c>
      <c r="CU1106" s="15" t="s">
        <v>5321</v>
      </c>
      <c r="CV1106" s="15">
        <v>0.0</v>
      </c>
      <c r="CW1106" s="15">
        <v>2.0</v>
      </c>
      <c r="CX1106" s="15" t="s">
        <v>717</v>
      </c>
      <c r="CY1106" s="15" t="s">
        <v>934</v>
      </c>
      <c r="DC1106" s="15" t="s">
        <v>2502</v>
      </c>
      <c r="DF1106" s="15" t="s">
        <v>1111</v>
      </c>
      <c r="DG1106" s="15" t="s">
        <v>2381</v>
      </c>
      <c r="DH1106" s="15">
        <v>0.0</v>
      </c>
      <c r="DL1106" s="15">
        <v>33000.0</v>
      </c>
      <c r="DM1106" s="15" t="s">
        <v>470</v>
      </c>
      <c r="DN1106" s="15" t="s">
        <v>1016</v>
      </c>
      <c r="DO1106" s="15" t="s">
        <v>724</v>
      </c>
      <c r="DP1106" s="15">
        <v>1.0</v>
      </c>
      <c r="DQ1106" s="15">
        <v>4.0</v>
      </c>
      <c r="DS1106" s="15" t="s">
        <v>10509</v>
      </c>
      <c r="DT1106" s="15">
        <v>0.0</v>
      </c>
      <c r="DU1106" s="15" t="s">
        <v>588</v>
      </c>
      <c r="DV1106" s="15" t="s">
        <v>1283</v>
      </c>
      <c r="DW1106" s="15" t="s">
        <v>2402</v>
      </c>
      <c r="DX1106" s="15" t="s">
        <v>2385</v>
      </c>
      <c r="EB1106" s="15" t="s">
        <v>1236</v>
      </c>
      <c r="EC1106" s="15" t="s">
        <v>2402</v>
      </c>
      <c r="ED1106" s="15" t="s">
        <v>1324</v>
      </c>
      <c r="EE1106" s="15" t="s">
        <v>10532</v>
      </c>
      <c r="EF1106" s="15" t="s">
        <v>672</v>
      </c>
      <c r="EG1106" s="15" t="s">
        <v>1283</v>
      </c>
      <c r="EH1106" s="15" t="s">
        <v>7787</v>
      </c>
      <c r="EI1106" s="15" t="s">
        <v>2402</v>
      </c>
      <c r="EL1106" s="15" t="s">
        <v>723</v>
      </c>
      <c r="EM1106" s="15" t="s">
        <v>1076</v>
      </c>
      <c r="EN1106" s="15" t="s">
        <v>2502</v>
      </c>
      <c r="EO1106" s="15" t="s">
        <v>2502</v>
      </c>
      <c r="IO1106" s="15" t="s">
        <v>10540</v>
      </c>
      <c r="JL1106" s="15" t="s">
        <v>824</v>
      </c>
      <c r="JM1106" s="15" t="s">
        <v>5704</v>
      </c>
      <c r="JN1106" s="15" t="s">
        <v>5321</v>
      </c>
    </row>
    <row r="1107" ht="17.25" customHeight="1">
      <c r="A1107" s="15" t="s">
        <v>10543</v>
      </c>
      <c r="B1107" s="15" t="str">
        <f>"198394126205"</f>
        <v>198394126205</v>
      </c>
      <c r="C1107" s="15" t="s">
        <v>24986</v>
      </c>
      <c r="D1107" s="15" t="str">
        <f t="shared" si="1"/>
        <v>Wickham SofaAlameda Snow</v>
      </c>
      <c r="E1107" s="15" t="s">
        <v>10541</v>
      </c>
      <c r="F1107" s="15" t="s">
        <v>397</v>
      </c>
      <c r="G1107" s="15" t="s">
        <v>7194</v>
      </c>
      <c r="J1107" s="15" t="s">
        <v>7194</v>
      </c>
      <c r="K1107" s="15" t="s">
        <v>8339</v>
      </c>
      <c r="M1107" s="15" t="s">
        <v>6751</v>
      </c>
      <c r="N1107" s="15" t="s">
        <v>1732</v>
      </c>
      <c r="P1107" s="15" t="str">
        <f>"87"</f>
        <v>87</v>
      </c>
      <c r="Q1107" s="15" t="str">
        <f>"41.5"</f>
        <v>41.5</v>
      </c>
      <c r="R1107" s="15" t="str">
        <f>"34.5"</f>
        <v>34.5</v>
      </c>
      <c r="S1107" s="15" t="str">
        <f>"160"</f>
        <v>160</v>
      </c>
      <c r="T1107" s="15" t="s">
        <v>10545</v>
      </c>
      <c r="U1107" s="15" t="s">
        <v>18987</v>
      </c>
      <c r="V1107" s="15" t="s">
        <v>18988</v>
      </c>
      <c r="W1107" s="15" t="s">
        <v>18989</v>
      </c>
      <c r="X1107" s="15" t="s">
        <v>24899</v>
      </c>
      <c r="AA1107" s="15" t="s">
        <v>413</v>
      </c>
      <c r="AB1107" s="15" t="s">
        <v>426</v>
      </c>
      <c r="AC1107" s="15" t="s">
        <v>10546</v>
      </c>
      <c r="AD1107" s="15" t="s">
        <v>24987</v>
      </c>
      <c r="AE1107" s="15" t="s">
        <v>10544</v>
      </c>
      <c r="AF1107" s="15" t="s">
        <v>24988</v>
      </c>
      <c r="AG1107" s="15" t="s">
        <v>24989</v>
      </c>
      <c r="AH1107" s="15" t="s">
        <v>24990</v>
      </c>
      <c r="AI1107" s="15" t="s">
        <v>24991</v>
      </c>
      <c r="AJ1107" s="15" t="s">
        <v>24992</v>
      </c>
      <c r="AK1107" s="15" t="s">
        <v>24993</v>
      </c>
      <c r="AL1107" s="15" t="s">
        <v>24994</v>
      </c>
      <c r="AM1107" s="15" t="s">
        <v>24995</v>
      </c>
      <c r="AN1107" s="15" t="s">
        <v>24996</v>
      </c>
      <c r="AO1107" s="15" t="s">
        <v>24997</v>
      </c>
      <c r="BH1107" s="15" t="s">
        <v>10542</v>
      </c>
      <c r="BI1107" s="15" t="str">
        <f>"2999"</f>
        <v>2999</v>
      </c>
      <c r="BJ1107" s="15" t="str">
        <f>"1260"</f>
        <v>1260</v>
      </c>
      <c r="BK1107" s="15" t="s">
        <v>3835</v>
      </c>
      <c r="BL1107" s="15" t="str">
        <f t="shared" si="3257"/>
        <v>1</v>
      </c>
      <c r="BM1107" s="15" t="s">
        <v>5429</v>
      </c>
      <c r="BN1107" s="15" t="str">
        <f>"86"</f>
        <v>86</v>
      </c>
      <c r="BO1107" s="15" t="str">
        <f>"43"</f>
        <v>43</v>
      </c>
      <c r="BP1107" s="15" t="str">
        <f>"27.5"</f>
        <v>27.5</v>
      </c>
      <c r="BQ1107" s="15" t="str">
        <f>"172"</f>
        <v>172</v>
      </c>
      <c r="CG1107" s="15" t="str">
        <f>"58.83"</f>
        <v>58.83</v>
      </c>
      <c r="CH1107" s="15" t="str">
        <f>"1.666"</f>
        <v>1.666</v>
      </c>
      <c r="CI1107" s="15" t="s">
        <v>497</v>
      </c>
      <c r="CP1107" s="15" t="s">
        <v>529</v>
      </c>
      <c r="CQ1107" s="15" t="s">
        <v>2402</v>
      </c>
      <c r="CR1107" s="15" t="s">
        <v>2379</v>
      </c>
      <c r="CS1107" s="15" t="s">
        <v>1253</v>
      </c>
      <c r="CT1107" s="15" t="s">
        <v>467</v>
      </c>
      <c r="CU1107" s="15" t="s">
        <v>2379</v>
      </c>
      <c r="CV1107" s="15">
        <v>0.0</v>
      </c>
      <c r="CW1107" s="15">
        <v>2.0</v>
      </c>
      <c r="CX1107" s="15" t="s">
        <v>717</v>
      </c>
      <c r="CY1107" s="15" t="s">
        <v>934</v>
      </c>
      <c r="DC1107" s="15" t="s">
        <v>2502</v>
      </c>
      <c r="DF1107" s="15" t="s">
        <v>1111</v>
      </c>
      <c r="DG1107" s="15" t="s">
        <v>419</v>
      </c>
      <c r="DH1107" s="15">
        <v>0.0</v>
      </c>
      <c r="DL1107" s="15">
        <v>33000.0</v>
      </c>
      <c r="DM1107" s="15" t="s">
        <v>470</v>
      </c>
      <c r="DN1107" s="15" t="s">
        <v>723</v>
      </c>
      <c r="DO1107" s="15" t="s">
        <v>724</v>
      </c>
      <c r="DP1107" s="15">
        <v>1.0</v>
      </c>
      <c r="DQ1107" s="15">
        <v>4.0</v>
      </c>
      <c r="DS1107" s="15" t="s">
        <v>10509</v>
      </c>
      <c r="DT1107" s="15">
        <v>0.0</v>
      </c>
      <c r="DU1107" s="15" t="s">
        <v>588</v>
      </c>
      <c r="DV1107" s="15" t="s">
        <v>1283</v>
      </c>
      <c r="DW1107" s="15" t="s">
        <v>2547</v>
      </c>
      <c r="DX1107" s="15" t="s">
        <v>10532</v>
      </c>
      <c r="EB1107" s="15" t="s">
        <v>477</v>
      </c>
      <c r="EC1107" s="15" t="s">
        <v>1593</v>
      </c>
      <c r="ED1107" s="15" t="s">
        <v>788</v>
      </c>
      <c r="EE1107" s="15" t="s">
        <v>2399</v>
      </c>
      <c r="EF1107" s="15" t="s">
        <v>672</v>
      </c>
      <c r="EG1107" s="15" t="s">
        <v>2637</v>
      </c>
      <c r="EH1107" s="15" t="s">
        <v>10548</v>
      </c>
      <c r="EI1107" s="15" t="s">
        <v>2547</v>
      </c>
      <c r="EL1107" s="15" t="s">
        <v>723</v>
      </c>
      <c r="EM1107" s="15" t="s">
        <v>724</v>
      </c>
      <c r="EO1107" s="15" t="s">
        <v>2502</v>
      </c>
      <c r="FB1107" s="15" t="s">
        <v>2436</v>
      </c>
    </row>
    <row r="1108" ht="17.25" customHeight="1">
      <c r="A1108" s="15" t="s">
        <v>10551</v>
      </c>
      <c r="B1108" s="15" t="str">
        <f>"801542248215"</f>
        <v>801542248215</v>
      </c>
      <c r="C1108" s="15" t="s">
        <v>24998</v>
      </c>
      <c r="D1108" s="15" t="str">
        <f t="shared" si="1"/>
        <v>Willem BedOmari NaturalQueen</v>
      </c>
      <c r="E1108" s="15" t="s">
        <v>10549</v>
      </c>
      <c r="F1108" s="15" t="s">
        <v>397</v>
      </c>
      <c r="G1108" s="15" t="s">
        <v>7211</v>
      </c>
      <c r="H1108" s="15" t="s">
        <v>265</v>
      </c>
      <c r="I1108" s="15" t="s">
        <v>877</v>
      </c>
      <c r="J1108" s="15" t="s">
        <v>7211</v>
      </c>
      <c r="K1108" s="15" t="s">
        <v>10558</v>
      </c>
      <c r="L1108" s="15" t="s">
        <v>10559</v>
      </c>
      <c r="M1108" s="15" t="s">
        <v>1030</v>
      </c>
      <c r="N1108" s="15" t="s">
        <v>839</v>
      </c>
      <c r="O1108" s="15" t="s">
        <v>877</v>
      </c>
      <c r="P1108" s="15" t="str">
        <f>"67"</f>
        <v>67</v>
      </c>
      <c r="Q1108" s="15" t="str">
        <f t="shared" ref="Q1108:Q1109" si="3258">"90.25"</f>
        <v>90.25</v>
      </c>
      <c r="R1108" s="15" t="str">
        <f t="shared" ref="R1108:R1109" si="3259">"52.75"</f>
        <v>52.75</v>
      </c>
      <c r="S1108" s="15" t="str">
        <f>"220.46"</f>
        <v>220.46</v>
      </c>
      <c r="T1108" s="15" t="s">
        <v>10553</v>
      </c>
      <c r="U1108" s="15" t="s">
        <v>19023</v>
      </c>
      <c r="V1108" s="15" t="s">
        <v>19024</v>
      </c>
      <c r="W1108" s="15" t="s">
        <v>13832</v>
      </c>
      <c r="X1108" s="15" t="s">
        <v>11338</v>
      </c>
      <c r="Y1108" s="15" t="s">
        <v>11553</v>
      </c>
      <c r="AA1108" s="15" t="s">
        <v>413</v>
      </c>
      <c r="AB1108" s="15" t="s">
        <v>426</v>
      </c>
      <c r="AC1108" s="15" t="s">
        <v>10560</v>
      </c>
      <c r="AD1108" s="15" t="s">
        <v>24999</v>
      </c>
      <c r="AE1108" s="15" t="s">
        <v>10552</v>
      </c>
      <c r="AF1108" s="15" t="s">
        <v>25000</v>
      </c>
      <c r="AG1108" s="15" t="s">
        <v>25001</v>
      </c>
      <c r="AH1108" s="15" t="s">
        <v>25002</v>
      </c>
      <c r="AI1108" s="15" t="s">
        <v>25003</v>
      </c>
      <c r="AJ1108" s="15" t="s">
        <v>25004</v>
      </c>
      <c r="AK1108" s="15" t="s">
        <v>25005</v>
      </c>
      <c r="AL1108" s="15" t="s">
        <v>25006</v>
      </c>
      <c r="AM1108" s="15" t="s">
        <v>25007</v>
      </c>
      <c r="AN1108" s="15" t="s">
        <v>25008</v>
      </c>
      <c r="AO1108" s="15" t="s">
        <v>25009</v>
      </c>
      <c r="AP1108" s="15" t="s">
        <v>25010</v>
      </c>
      <c r="AQ1108" s="15" t="s">
        <v>25011</v>
      </c>
      <c r="AR1108" s="15" t="s">
        <v>25012</v>
      </c>
      <c r="BH1108" s="15" t="s">
        <v>10550</v>
      </c>
      <c r="BI1108" s="15" t="str">
        <f>"2599"</f>
        <v>2599</v>
      </c>
      <c r="BJ1108" s="15" t="str">
        <f>"1095"</f>
        <v>1095</v>
      </c>
      <c r="BK1108" s="15" t="s">
        <v>742</v>
      </c>
      <c r="BL1108" s="15" t="str">
        <f t="shared" ref="BL1108:BL1109" si="3260">"3"</f>
        <v>3</v>
      </c>
      <c r="BM1108" s="15" t="s">
        <v>841</v>
      </c>
      <c r="BN1108" s="15" t="str">
        <f>"70.47"</f>
        <v>70.47</v>
      </c>
      <c r="BO1108" s="15" t="str">
        <f>"7.68"</f>
        <v>7.68</v>
      </c>
      <c r="BP1108" s="15" t="str">
        <f>"56.1"</f>
        <v>56.1</v>
      </c>
      <c r="BQ1108" s="15" t="str">
        <f>"106.33"</f>
        <v>106.33</v>
      </c>
      <c r="BR1108" s="15" t="s">
        <v>846</v>
      </c>
      <c r="BS1108" s="15" t="str">
        <f>"70.47"</f>
        <v>70.47</v>
      </c>
      <c r="BT1108" s="15" t="str">
        <f>"7.68"</f>
        <v>7.68</v>
      </c>
      <c r="BU1108" s="15" t="str">
        <f>"27.17"</f>
        <v>27.17</v>
      </c>
      <c r="BV1108" s="15" t="str">
        <f>"55.12"</f>
        <v>55.12</v>
      </c>
      <c r="BW1108" s="15" t="s">
        <v>10564</v>
      </c>
      <c r="BX1108" s="15" t="str">
        <f>"88.58"</f>
        <v>88.58</v>
      </c>
      <c r="BY1108" s="15" t="str">
        <f>"11.02"</f>
        <v>11.02</v>
      </c>
      <c r="BZ1108" s="15" t="str">
        <f>"12.99"</f>
        <v>12.99</v>
      </c>
      <c r="CA1108" s="15" t="str">
        <f>"97.86"</f>
        <v>97.86</v>
      </c>
      <c r="CG1108" s="15" t="str">
        <f>"33.41"</f>
        <v>33.41</v>
      </c>
      <c r="CH1108" s="15" t="str">
        <f>"0.946"</f>
        <v>0.946</v>
      </c>
      <c r="CI1108" s="15" t="s">
        <v>417</v>
      </c>
      <c r="CY1108" s="15" t="s">
        <v>897</v>
      </c>
      <c r="CZ1108" s="15" t="s">
        <v>419</v>
      </c>
      <c r="DA1108" s="15">
        <v>0.0</v>
      </c>
      <c r="DB1108" s="15" t="s">
        <v>419</v>
      </c>
      <c r="DD1108" s="15">
        <v>0.0</v>
      </c>
      <c r="DF1108" s="15" t="s">
        <v>721</v>
      </c>
      <c r="DG1108" s="15" t="s">
        <v>419</v>
      </c>
      <c r="DI1108" s="15">
        <v>0.0</v>
      </c>
      <c r="DJ1108" s="15">
        <v>0.0</v>
      </c>
      <c r="DK1108" s="15">
        <v>0.0</v>
      </c>
      <c r="DL1108" s="15">
        <v>15000.0</v>
      </c>
      <c r="DS1108" s="15" t="s">
        <v>10566</v>
      </c>
      <c r="DU1108" s="15" t="s">
        <v>858</v>
      </c>
      <c r="EV1108" s="15">
        <v>0.0</v>
      </c>
      <c r="HV1108" s="15" t="s">
        <v>7641</v>
      </c>
      <c r="HW1108" s="15" t="s">
        <v>7641</v>
      </c>
      <c r="HX1108" s="15" t="s">
        <v>7641</v>
      </c>
      <c r="HY1108" s="15" t="s">
        <v>4946</v>
      </c>
      <c r="HZ1108" s="15" t="s">
        <v>10567</v>
      </c>
      <c r="IA1108" s="15" t="s">
        <v>3135</v>
      </c>
      <c r="IB1108" s="15" t="s">
        <v>10568</v>
      </c>
      <c r="IC1108" s="15" t="s">
        <v>10567</v>
      </c>
      <c r="ID1108" s="15" t="s">
        <v>3135</v>
      </c>
      <c r="IE1108" s="15" t="s">
        <v>2971</v>
      </c>
      <c r="IF1108" s="15" t="s">
        <v>4685</v>
      </c>
      <c r="IG1108" s="15" t="s">
        <v>3284</v>
      </c>
      <c r="IH1108" s="15" t="s">
        <v>6721</v>
      </c>
      <c r="II1108" s="15" t="s">
        <v>4378</v>
      </c>
      <c r="IJ1108" s="15" t="s">
        <v>2144</v>
      </c>
      <c r="IK1108" s="15" t="s">
        <v>426</v>
      </c>
      <c r="IL1108" s="15" t="s">
        <v>2973</v>
      </c>
      <c r="IM1108" s="15" t="s">
        <v>872</v>
      </c>
      <c r="IN1108" s="15" t="s">
        <v>873</v>
      </c>
      <c r="IO1108" s="15" t="s">
        <v>877</v>
      </c>
      <c r="IU1108" s="15" t="s">
        <v>759</v>
      </c>
      <c r="IV1108" s="15" t="s">
        <v>6925</v>
      </c>
      <c r="IX1108" s="15" t="s">
        <v>426</v>
      </c>
      <c r="IY1108" s="15" t="s">
        <v>10569</v>
      </c>
      <c r="JB1108" s="15" t="s">
        <v>2971</v>
      </c>
      <c r="JC1108" s="15" t="s">
        <v>3284</v>
      </c>
    </row>
    <row r="1109" ht="17.25" customHeight="1">
      <c r="A1109" s="15" t="s">
        <v>10571</v>
      </c>
      <c r="B1109" s="15" t="str">
        <f>"801542248208"</f>
        <v>801542248208</v>
      </c>
      <c r="C1109" s="15" t="s">
        <v>24998</v>
      </c>
      <c r="D1109" s="15" t="str">
        <f t="shared" si="1"/>
        <v>Willem BedOmari NaturalKing</v>
      </c>
      <c r="E1109" s="15" t="s">
        <v>10549</v>
      </c>
      <c r="F1109" s="15" t="s">
        <v>397</v>
      </c>
      <c r="G1109" s="15" t="s">
        <v>7211</v>
      </c>
      <c r="H1109" s="15" t="s">
        <v>265</v>
      </c>
      <c r="I1109" s="15" t="s">
        <v>828</v>
      </c>
      <c r="J1109" s="15" t="s">
        <v>7211</v>
      </c>
      <c r="K1109" s="15" t="s">
        <v>10558</v>
      </c>
      <c r="L1109" s="15" t="s">
        <v>10559</v>
      </c>
      <c r="M1109" s="15" t="s">
        <v>1030</v>
      </c>
      <c r="N1109" s="15" t="s">
        <v>839</v>
      </c>
      <c r="O1109" s="15" t="s">
        <v>828</v>
      </c>
      <c r="P1109" s="15" t="str">
        <f>"83.25"</f>
        <v>83.25</v>
      </c>
      <c r="Q1109" s="15" t="str">
        <f t="shared" si="3258"/>
        <v>90.25</v>
      </c>
      <c r="R1109" s="15" t="str">
        <f t="shared" si="3259"/>
        <v>52.75</v>
      </c>
      <c r="S1109" s="15" t="str">
        <f>"257.94"</f>
        <v>257.94</v>
      </c>
      <c r="T1109" s="15" t="s">
        <v>10553</v>
      </c>
      <c r="U1109" s="15" t="s">
        <v>19023</v>
      </c>
      <c r="V1109" s="15" t="s">
        <v>19024</v>
      </c>
      <c r="W1109" s="15" t="s">
        <v>13832</v>
      </c>
      <c r="X1109" s="15" t="s">
        <v>11338</v>
      </c>
      <c r="Y1109" s="15" t="s">
        <v>11553</v>
      </c>
      <c r="AA1109" s="15" t="s">
        <v>413</v>
      </c>
      <c r="AB1109" s="15" t="s">
        <v>426</v>
      </c>
      <c r="AC1109" s="15" t="s">
        <v>10560</v>
      </c>
      <c r="AD1109" s="15" t="s">
        <v>25013</v>
      </c>
      <c r="AE1109" s="15" t="s">
        <v>10573</v>
      </c>
      <c r="AF1109" s="15" t="s">
        <v>25014</v>
      </c>
      <c r="AG1109" s="15" t="s">
        <v>25015</v>
      </c>
      <c r="AH1109" s="15" t="s">
        <v>25016</v>
      </c>
      <c r="AI1109" s="15" t="s">
        <v>25017</v>
      </c>
      <c r="AJ1109" s="15" t="s">
        <v>25018</v>
      </c>
      <c r="AK1109" s="15" t="s">
        <v>25019</v>
      </c>
      <c r="AL1109" s="15" t="s">
        <v>25020</v>
      </c>
      <c r="AM1109" s="15" t="s">
        <v>25021</v>
      </c>
      <c r="AN1109" s="15" t="s">
        <v>25022</v>
      </c>
      <c r="AO1109" s="15" t="s">
        <v>25023</v>
      </c>
      <c r="AP1109" s="15" t="s">
        <v>25024</v>
      </c>
      <c r="AQ1109" s="15" t="s">
        <v>25025</v>
      </c>
      <c r="BH1109" s="15" t="s">
        <v>10570</v>
      </c>
      <c r="BI1109" s="15" t="str">
        <f>"2999"</f>
        <v>2999</v>
      </c>
      <c r="BJ1109" s="15" t="str">
        <f>"1260"</f>
        <v>1260</v>
      </c>
      <c r="BK1109" s="15" t="s">
        <v>742</v>
      </c>
      <c r="BL1109" s="15" t="str">
        <f t="shared" si="3260"/>
        <v>3</v>
      </c>
      <c r="BM1109" s="15" t="s">
        <v>841</v>
      </c>
      <c r="BN1109" s="15" t="str">
        <f>"87.01"</f>
        <v>87.01</v>
      </c>
      <c r="BO1109" s="15" t="str">
        <f>"7.48"</f>
        <v>7.48</v>
      </c>
      <c r="BP1109" s="15" t="str">
        <f>"56.3"</f>
        <v>56.3</v>
      </c>
      <c r="BQ1109" s="15" t="str">
        <f>"122.36"</f>
        <v>122.36</v>
      </c>
      <c r="BR1109" s="15" t="s">
        <v>846</v>
      </c>
      <c r="BS1109" s="15" t="str">
        <f>"86.42"</f>
        <v>86.42</v>
      </c>
      <c r="BT1109" s="15" t="str">
        <f>"7.87"</f>
        <v>7.87</v>
      </c>
      <c r="BU1109" s="15" t="str">
        <f>"27.36"</f>
        <v>27.36</v>
      </c>
      <c r="BV1109" s="15" t="str">
        <f>"63.93"</f>
        <v>63.93</v>
      </c>
      <c r="BW1109" s="15" t="s">
        <v>10574</v>
      </c>
      <c r="BX1109" s="15" t="str">
        <f>"87.8"</f>
        <v>87.8</v>
      </c>
      <c r="BY1109" s="15" t="str">
        <f>"11.42"</f>
        <v>11.42</v>
      </c>
      <c r="BZ1109" s="15" t="str">
        <f>"13.58"</f>
        <v>13.58</v>
      </c>
      <c r="CA1109" s="15" t="str">
        <f>"120.15"</f>
        <v>120.15</v>
      </c>
      <c r="CG1109" s="15" t="str">
        <f>"39.83"</f>
        <v>39.83</v>
      </c>
      <c r="CH1109" s="15" t="str">
        <f>"1.128"</f>
        <v>1.128</v>
      </c>
      <c r="CI1109" s="15" t="s">
        <v>465</v>
      </c>
      <c r="CY1109" s="15" t="s">
        <v>897</v>
      </c>
      <c r="CZ1109" s="15" t="s">
        <v>419</v>
      </c>
      <c r="DA1109" s="15">
        <v>0.0</v>
      </c>
      <c r="DB1109" s="15" t="s">
        <v>419</v>
      </c>
      <c r="DD1109" s="15">
        <v>0.0</v>
      </c>
      <c r="DF1109" s="15" t="s">
        <v>721</v>
      </c>
      <c r="DG1109" s="15" t="s">
        <v>419</v>
      </c>
      <c r="DI1109" s="15">
        <v>0.0</v>
      </c>
      <c r="DJ1109" s="15">
        <v>0.0</v>
      </c>
      <c r="DK1109" s="15">
        <v>0.0</v>
      </c>
      <c r="DL1109" s="15">
        <v>15000.0</v>
      </c>
      <c r="DS1109" s="15" t="s">
        <v>10566</v>
      </c>
      <c r="DU1109" s="15" t="s">
        <v>858</v>
      </c>
      <c r="EV1109" s="15">
        <v>0.0</v>
      </c>
      <c r="HV1109" s="15" t="s">
        <v>7641</v>
      </c>
      <c r="HW1109" s="15" t="s">
        <v>7641</v>
      </c>
      <c r="HX1109" s="15" t="s">
        <v>7641</v>
      </c>
      <c r="HY1109" s="15" t="s">
        <v>4946</v>
      </c>
      <c r="HZ1109" s="15" t="s">
        <v>10567</v>
      </c>
      <c r="IA1109" s="15" t="s">
        <v>6633</v>
      </c>
      <c r="IB1109" s="15" t="s">
        <v>10568</v>
      </c>
      <c r="IC1109" s="15" t="s">
        <v>10567</v>
      </c>
      <c r="ID1109" s="15" t="s">
        <v>6633</v>
      </c>
      <c r="IE1109" s="15" t="s">
        <v>2971</v>
      </c>
      <c r="IF1109" s="15" t="s">
        <v>4685</v>
      </c>
      <c r="IG1109" s="15" t="s">
        <v>869</v>
      </c>
      <c r="IH1109" s="15" t="s">
        <v>6721</v>
      </c>
      <c r="II1109" s="15" t="s">
        <v>4378</v>
      </c>
      <c r="IJ1109" s="15" t="s">
        <v>2144</v>
      </c>
      <c r="IK1109" s="15" t="s">
        <v>426</v>
      </c>
      <c r="IL1109" s="15" t="s">
        <v>2973</v>
      </c>
      <c r="IM1109" s="15" t="s">
        <v>872</v>
      </c>
      <c r="IN1109" s="15" t="s">
        <v>873</v>
      </c>
      <c r="IO1109" s="15" t="s">
        <v>828</v>
      </c>
      <c r="IU1109" s="15" t="s">
        <v>759</v>
      </c>
      <c r="IV1109" s="15" t="s">
        <v>6925</v>
      </c>
      <c r="IX1109" s="15" t="s">
        <v>426</v>
      </c>
      <c r="IY1109" s="15" t="s">
        <v>10569</v>
      </c>
      <c r="JB1109" s="15" t="s">
        <v>2971</v>
      </c>
      <c r="JC1109" s="15" t="s">
        <v>869</v>
      </c>
    </row>
    <row r="1110" ht="17.25" customHeight="1">
      <c r="A1110" s="15" t="s">
        <v>10578</v>
      </c>
      <c r="B1110" s="15" t="str">
        <f>"801542774486"</f>
        <v>801542774486</v>
      </c>
      <c r="C1110" s="15" t="s">
        <v>25026</v>
      </c>
      <c r="D1110" s="15" t="str">
        <f t="shared" si="1"/>
        <v>Williams Leather ChairNatural Washed Camel</v>
      </c>
      <c r="E1110" s="15" t="s">
        <v>10576</v>
      </c>
      <c r="F1110" s="15" t="s">
        <v>397</v>
      </c>
      <c r="G1110" s="15" t="s">
        <v>2008</v>
      </c>
      <c r="J1110" s="15" t="s">
        <v>2008</v>
      </c>
      <c r="K1110" s="15" t="s">
        <v>2014</v>
      </c>
      <c r="M1110" s="15" t="s">
        <v>703</v>
      </c>
      <c r="N1110" s="15" t="s">
        <v>706</v>
      </c>
      <c r="O1110" s="15" t="s">
        <v>707</v>
      </c>
      <c r="P1110" s="15" t="str">
        <f>"33"</f>
        <v>33</v>
      </c>
      <c r="Q1110" s="15" t="str">
        <f t="shared" ref="Q1110:Q1111" si="3261">"35"</f>
        <v>35</v>
      </c>
      <c r="R1110" s="15" t="str">
        <f>"28"</f>
        <v>28</v>
      </c>
      <c r="S1110" s="15" t="str">
        <f>"66.14"</f>
        <v>66.14</v>
      </c>
      <c r="T1110" s="15" t="s">
        <v>1341</v>
      </c>
      <c r="U1110" s="15" t="s">
        <v>11137</v>
      </c>
      <c r="V1110" s="15" t="s">
        <v>11138</v>
      </c>
      <c r="AA1110" s="15" t="s">
        <v>413</v>
      </c>
      <c r="AB1110" s="15" t="s">
        <v>413</v>
      </c>
      <c r="AC1110" s="15" t="s">
        <v>10580</v>
      </c>
      <c r="AD1110" s="15" t="s">
        <v>25027</v>
      </c>
      <c r="AE1110" s="15" t="s">
        <v>10579</v>
      </c>
      <c r="AF1110" s="15" t="s">
        <v>25028</v>
      </c>
      <c r="AG1110" s="15" t="s">
        <v>25029</v>
      </c>
      <c r="AH1110" s="15" t="s">
        <v>25030</v>
      </c>
      <c r="AI1110" s="15" t="s">
        <v>25031</v>
      </c>
      <c r="AJ1110" s="15" t="s">
        <v>25032</v>
      </c>
      <c r="AK1110" s="15" t="s">
        <v>25033</v>
      </c>
      <c r="AL1110" s="15" t="s">
        <v>25034</v>
      </c>
      <c r="AM1110" s="15" t="s">
        <v>25035</v>
      </c>
      <c r="AN1110" s="15" t="s">
        <v>25036</v>
      </c>
      <c r="AO1110" s="15" t="s">
        <v>25037</v>
      </c>
      <c r="AP1110" s="15" t="s">
        <v>25038</v>
      </c>
      <c r="BH1110" s="15" t="s">
        <v>10577</v>
      </c>
      <c r="BI1110" s="15" t="str">
        <f t="shared" ref="BI1110:BI1111" si="3262">"2599"</f>
        <v>2599</v>
      </c>
      <c r="BJ1110" s="15" t="str">
        <f t="shared" ref="BJ1110:BJ1111" si="3263">"1095"</f>
        <v>1095</v>
      </c>
      <c r="BK1110" s="15" t="s">
        <v>709</v>
      </c>
      <c r="BL1110" s="15" t="str">
        <f t="shared" ref="BL1110:BL1116" si="3264">"1"</f>
        <v>1</v>
      </c>
      <c r="BM1110" s="15" t="s">
        <v>416</v>
      </c>
      <c r="BN1110" s="15" t="str">
        <f>"36.61"</f>
        <v>36.61</v>
      </c>
      <c r="BO1110" s="15" t="str">
        <f>"36.02"</f>
        <v>36.02</v>
      </c>
      <c r="BP1110" s="15" t="str">
        <f>"24.02"</f>
        <v>24.02</v>
      </c>
      <c r="BQ1110" s="15" t="str">
        <f>"78.04"</f>
        <v>78.04</v>
      </c>
      <c r="CG1110" s="15" t="str">
        <f>"18.36"</f>
        <v>18.36</v>
      </c>
      <c r="CH1110" s="15" t="str">
        <f>"0.52"</f>
        <v>0.52</v>
      </c>
      <c r="CI1110" s="15" t="s">
        <v>417</v>
      </c>
      <c r="CS1110" s="15" t="s">
        <v>1482</v>
      </c>
      <c r="CT1110" s="15" t="s">
        <v>1604</v>
      </c>
      <c r="CU1110" s="15" t="s">
        <v>4201</v>
      </c>
      <c r="CV1110" s="15">
        <v>0.0</v>
      </c>
      <c r="CW1110" s="15">
        <v>0.0</v>
      </c>
      <c r="CX1110" s="15" t="s">
        <v>717</v>
      </c>
      <c r="CY1110" s="15" t="s">
        <v>718</v>
      </c>
      <c r="DF1110" s="15" t="s">
        <v>721</v>
      </c>
      <c r="DG1110" s="15" t="s">
        <v>419</v>
      </c>
      <c r="DH1110" s="15">
        <v>0.0</v>
      </c>
      <c r="DL1110" s="15">
        <v>0.0</v>
      </c>
      <c r="DM1110" s="15" t="s">
        <v>990</v>
      </c>
      <c r="DP1110" s="15">
        <v>0.0</v>
      </c>
      <c r="DQ1110" s="15">
        <v>1.0</v>
      </c>
      <c r="DS1110" s="15" t="s">
        <v>10582</v>
      </c>
      <c r="DT1110" s="15">
        <v>0.0</v>
      </c>
      <c r="DU1110" s="15" t="s">
        <v>726</v>
      </c>
      <c r="DV1110" s="15" t="s">
        <v>1445</v>
      </c>
      <c r="DW1110" s="15" t="s">
        <v>822</v>
      </c>
      <c r="DX1110" s="15" t="s">
        <v>9792</v>
      </c>
      <c r="EB1110" s="15" t="s">
        <v>4375</v>
      </c>
      <c r="EF1110" s="15" t="s">
        <v>3052</v>
      </c>
      <c r="EG1110" s="15" t="s">
        <v>3512</v>
      </c>
      <c r="EH1110" s="15" t="s">
        <v>3926</v>
      </c>
      <c r="EI1110" s="15" t="s">
        <v>2156</v>
      </c>
      <c r="EO1110" s="15" t="s">
        <v>10583</v>
      </c>
      <c r="EX1110" s="15" t="s">
        <v>713</v>
      </c>
      <c r="EY1110" s="15" t="s">
        <v>713</v>
      </c>
      <c r="EZ1110" s="15">
        <v>0.0</v>
      </c>
      <c r="FA1110" s="15">
        <v>0.0</v>
      </c>
      <c r="FB1110" s="15" t="s">
        <v>3362</v>
      </c>
      <c r="FC1110" s="15">
        <v>0.0</v>
      </c>
    </row>
    <row r="1111" ht="17.25" customHeight="1">
      <c r="A1111" s="15" t="s">
        <v>10586</v>
      </c>
      <c r="B1111" s="15" t="str">
        <f>"801542824914"</f>
        <v>801542824914</v>
      </c>
      <c r="C1111" s="15" t="s">
        <v>25039</v>
      </c>
      <c r="D1111" s="15" t="str">
        <f t="shared" si="1"/>
        <v>Winchester Coffee TableSmoked Alder</v>
      </c>
      <c r="E1111" s="15" t="s">
        <v>10584</v>
      </c>
      <c r="F1111" s="15" t="s">
        <v>397</v>
      </c>
      <c r="G1111" s="15" t="s">
        <v>1578</v>
      </c>
      <c r="J1111" s="15" t="s">
        <v>1578</v>
      </c>
      <c r="K1111" s="15" t="s">
        <v>3528</v>
      </c>
      <c r="M1111" s="15" t="s">
        <v>411</v>
      </c>
      <c r="N1111" s="15" t="s">
        <v>491</v>
      </c>
      <c r="P1111" s="15" t="str">
        <f>"70"</f>
        <v>70</v>
      </c>
      <c r="Q1111" s="15" t="str">
        <f t="shared" si="3261"/>
        <v>35</v>
      </c>
      <c r="R1111" s="15" t="str">
        <f>"15"</f>
        <v>15</v>
      </c>
      <c r="S1111" s="15" t="str">
        <f>"95.02"</f>
        <v>95.02</v>
      </c>
      <c r="T1111" s="15" t="s">
        <v>3527</v>
      </c>
      <c r="U1111" s="15" t="s">
        <v>11793</v>
      </c>
      <c r="V1111" s="15" t="s">
        <v>14003</v>
      </c>
      <c r="AA1111" s="15" t="s">
        <v>413</v>
      </c>
      <c r="AB1111" s="15" t="s">
        <v>413</v>
      </c>
      <c r="AC1111" s="15" t="s">
        <v>10589</v>
      </c>
      <c r="AD1111" s="15" t="s">
        <v>25040</v>
      </c>
      <c r="AE1111" s="15" t="s">
        <v>10588</v>
      </c>
      <c r="AF1111" s="15" t="s">
        <v>25041</v>
      </c>
      <c r="AG1111" s="15" t="s">
        <v>25042</v>
      </c>
      <c r="AH1111" s="15" t="s">
        <v>25043</v>
      </c>
      <c r="AI1111" s="15" t="s">
        <v>25044</v>
      </c>
      <c r="AJ1111" s="15" t="s">
        <v>25045</v>
      </c>
      <c r="AK1111" s="15" t="s">
        <v>25046</v>
      </c>
      <c r="AL1111" s="15" t="s">
        <v>25047</v>
      </c>
      <c r="AM1111" s="15" t="s">
        <v>25048</v>
      </c>
      <c r="AN1111" s="15" t="s">
        <v>25049</v>
      </c>
      <c r="AO1111" s="15" t="s">
        <v>25050</v>
      </c>
      <c r="BH1111" s="15" t="s">
        <v>10585</v>
      </c>
      <c r="BI1111" s="15" t="str">
        <f t="shared" si="3262"/>
        <v>2599</v>
      </c>
      <c r="BJ1111" s="15" t="str">
        <f t="shared" si="3263"/>
        <v>1095</v>
      </c>
      <c r="BK1111" s="15" t="s">
        <v>415</v>
      </c>
      <c r="BL1111" s="15" t="str">
        <f t="shared" si="3264"/>
        <v>1</v>
      </c>
      <c r="BM1111" s="15" t="s">
        <v>416</v>
      </c>
      <c r="BN1111" s="15" t="str">
        <f>"77.56"</f>
        <v>77.56</v>
      </c>
      <c r="BO1111" s="15" t="str">
        <f>"39.37"</f>
        <v>39.37</v>
      </c>
      <c r="BP1111" s="15" t="str">
        <f>"21.26"</f>
        <v>21.26</v>
      </c>
      <c r="BQ1111" s="15" t="str">
        <f>"150.57"</f>
        <v>150.57</v>
      </c>
      <c r="CG1111" s="15" t="str">
        <f>"37.57"</f>
        <v>37.57</v>
      </c>
      <c r="CH1111" s="15" t="str">
        <f>"1.064"</f>
        <v>1.064</v>
      </c>
      <c r="CI1111" s="15" t="s">
        <v>465</v>
      </c>
      <c r="CZ1111" s="15" t="s">
        <v>419</v>
      </c>
      <c r="DA1111" s="15">
        <v>0.0</v>
      </c>
      <c r="DB1111" s="15" t="s">
        <v>419</v>
      </c>
      <c r="DD1111" s="15">
        <v>0.0</v>
      </c>
      <c r="DF1111" s="15" t="s">
        <v>420</v>
      </c>
      <c r="DG1111" s="15" t="s">
        <v>419</v>
      </c>
      <c r="DK1111" s="15">
        <v>0.0</v>
      </c>
      <c r="DR1111" s="15" t="s">
        <v>471</v>
      </c>
      <c r="DS1111" s="15" t="s">
        <v>10591</v>
      </c>
      <c r="DU1111" s="15" t="s">
        <v>500</v>
      </c>
      <c r="EF1111" s="15" t="s">
        <v>1238</v>
      </c>
      <c r="EG1111" s="15" t="s">
        <v>467</v>
      </c>
      <c r="EH1111" s="15" t="s">
        <v>10592</v>
      </c>
      <c r="EQ1111" s="15" t="s">
        <v>555</v>
      </c>
      <c r="ER1111" s="15" t="s">
        <v>1238</v>
      </c>
      <c r="ES1111" s="15" t="s">
        <v>4074</v>
      </c>
      <c r="ET1111" s="15" t="s">
        <v>784</v>
      </c>
      <c r="EU1111" s="15" t="s">
        <v>426</v>
      </c>
      <c r="EV1111" s="15">
        <v>0.0</v>
      </c>
      <c r="EW1111" s="15">
        <v>0.0</v>
      </c>
      <c r="FF1111" s="15" t="s">
        <v>505</v>
      </c>
    </row>
    <row r="1112" ht="17.25" customHeight="1">
      <c r="A1112" s="15" t="s">
        <v>10596</v>
      </c>
      <c r="B1112" s="15" t="str">
        <f>"801542018177"</f>
        <v>801542018177</v>
      </c>
      <c r="C1112" s="15" t="s">
        <v>25051</v>
      </c>
      <c r="D1112" s="15" t="str">
        <f t="shared" si="1"/>
        <v>Wycliffe ChairHarben Ivory</v>
      </c>
      <c r="E1112" s="15" t="s">
        <v>10593</v>
      </c>
      <c r="F1112" s="15" t="s">
        <v>397</v>
      </c>
      <c r="G1112" s="15" t="s">
        <v>10595</v>
      </c>
      <c r="J1112" s="15" t="s">
        <v>10595</v>
      </c>
      <c r="K1112" s="15" t="s">
        <v>2014</v>
      </c>
      <c r="M1112" s="15" t="s">
        <v>703</v>
      </c>
      <c r="N1112" s="15" t="s">
        <v>706</v>
      </c>
      <c r="O1112" s="15" t="s">
        <v>707</v>
      </c>
      <c r="P1112" s="15" t="str">
        <f t="shared" ref="P1112:P1113" si="3265">"26.75"</f>
        <v>26.75</v>
      </c>
      <c r="Q1112" s="15" t="str">
        <f t="shared" ref="Q1112:Q1113" si="3266">"28.25"</f>
        <v>28.25</v>
      </c>
      <c r="R1112" s="15" t="str">
        <f t="shared" ref="R1112:R1113" si="3267">"29.25"</f>
        <v>29.25</v>
      </c>
      <c r="S1112" s="15" t="str">
        <f t="shared" ref="S1112:S1113" si="3268">"34.17"</f>
        <v>34.17</v>
      </c>
      <c r="T1112" s="15" t="s">
        <v>7021</v>
      </c>
      <c r="U1112" s="15" t="s">
        <v>11209</v>
      </c>
      <c r="V1112" s="15" t="s">
        <v>11138</v>
      </c>
      <c r="AA1112" s="15" t="s">
        <v>413</v>
      </c>
      <c r="AB1112" s="15" t="s">
        <v>413</v>
      </c>
      <c r="AC1112" s="15" t="s">
        <v>10598</v>
      </c>
      <c r="AD1112" s="15" t="s">
        <v>25052</v>
      </c>
      <c r="AE1112" s="15" t="s">
        <v>10597</v>
      </c>
      <c r="AF1112" s="15" t="s">
        <v>25053</v>
      </c>
      <c r="AG1112" s="15" t="s">
        <v>25054</v>
      </c>
      <c r="AH1112" s="15" t="s">
        <v>25055</v>
      </c>
      <c r="AI1112" s="15" t="s">
        <v>25056</v>
      </c>
      <c r="AJ1112" s="15" t="s">
        <v>25057</v>
      </c>
      <c r="AK1112" s="15" t="s">
        <v>25058</v>
      </c>
      <c r="AL1112" s="15" t="s">
        <v>25059</v>
      </c>
      <c r="AM1112" s="15" t="s">
        <v>25060</v>
      </c>
      <c r="AN1112" s="15" t="s">
        <v>25061</v>
      </c>
      <c r="AO1112" s="15" t="s">
        <v>25062</v>
      </c>
      <c r="BH1112" s="15" t="s">
        <v>10594</v>
      </c>
      <c r="BI1112" s="15" t="str">
        <f>"1249"</f>
        <v>1249</v>
      </c>
      <c r="BJ1112" s="15" t="str">
        <f>"525"</f>
        <v>525</v>
      </c>
      <c r="BK1112" s="15" t="s">
        <v>709</v>
      </c>
      <c r="BL1112" s="15" t="str">
        <f t="shared" si="3264"/>
        <v>1</v>
      </c>
      <c r="BM1112" s="15" t="s">
        <v>416</v>
      </c>
      <c r="BN1112" s="15" t="str">
        <f t="shared" ref="BN1112:BN1113" si="3269">"29.92"</f>
        <v>29.92</v>
      </c>
      <c r="BO1112" s="15" t="str">
        <f t="shared" ref="BO1112:BO1113" si="3270">"28.35"</f>
        <v>28.35</v>
      </c>
      <c r="BP1112" s="15" t="str">
        <f t="shared" ref="BP1112:BP1113" si="3271">"31.89"</f>
        <v>31.89</v>
      </c>
      <c r="BQ1112" s="15" t="str">
        <f t="shared" ref="BQ1112:BQ1113" si="3272">"52.03"</f>
        <v>52.03</v>
      </c>
      <c r="CG1112" s="15" t="str">
        <f t="shared" ref="CG1112:CG1113" si="3273">"15.64"</f>
        <v>15.64</v>
      </c>
      <c r="CH1112" s="15" t="str">
        <f t="shared" ref="CH1112:CH1113" si="3274">"0.443"</f>
        <v>0.443</v>
      </c>
      <c r="CI1112" s="15" t="s">
        <v>417</v>
      </c>
      <c r="CP1112" s="15" t="s">
        <v>2160</v>
      </c>
      <c r="CQ1112" s="15" t="s">
        <v>2221</v>
      </c>
      <c r="CR1112" s="15" t="s">
        <v>824</v>
      </c>
      <c r="CS1112" s="15" t="s">
        <v>2160</v>
      </c>
      <c r="CT1112" s="15" t="s">
        <v>4180</v>
      </c>
      <c r="CV1112" s="15">
        <v>0.0</v>
      </c>
      <c r="CW1112" s="15">
        <v>1.0</v>
      </c>
      <c r="CX1112" s="15" t="s">
        <v>717</v>
      </c>
      <c r="CY1112" s="15" t="s">
        <v>1837</v>
      </c>
      <c r="DF1112" s="15" t="s">
        <v>721</v>
      </c>
      <c r="DG1112" s="15" t="s">
        <v>419</v>
      </c>
      <c r="DH1112" s="15">
        <v>0.0</v>
      </c>
      <c r="DL1112" s="15">
        <v>15000.0</v>
      </c>
      <c r="DM1112" s="15" t="s">
        <v>990</v>
      </c>
      <c r="DN1112" s="15" t="s">
        <v>723</v>
      </c>
      <c r="DO1112" s="15" t="s">
        <v>724</v>
      </c>
      <c r="DP1112" s="15">
        <v>1.0</v>
      </c>
      <c r="DQ1112" s="15">
        <v>1.0</v>
      </c>
      <c r="DS1112" s="15" t="s">
        <v>10600</v>
      </c>
      <c r="DT1112" s="15">
        <v>0.0</v>
      </c>
      <c r="DU1112" s="15" t="s">
        <v>726</v>
      </c>
      <c r="DV1112" s="15" t="s">
        <v>1482</v>
      </c>
      <c r="DW1112" s="15" t="s">
        <v>731</v>
      </c>
      <c r="DX1112" s="15" t="s">
        <v>2020</v>
      </c>
      <c r="EB1112" s="15" t="s">
        <v>1122</v>
      </c>
      <c r="EF1112" s="15" t="s">
        <v>1483</v>
      </c>
      <c r="EG1112" s="15" t="s">
        <v>2178</v>
      </c>
      <c r="EH1112" s="15" t="s">
        <v>716</v>
      </c>
      <c r="EI1112" s="15" t="s">
        <v>866</v>
      </c>
      <c r="EL1112" s="15" t="s">
        <v>1016</v>
      </c>
      <c r="EO1112" s="15" t="s">
        <v>10601</v>
      </c>
      <c r="EX1112" s="15" t="s">
        <v>1425</v>
      </c>
      <c r="EY1112" s="15" t="s">
        <v>824</v>
      </c>
      <c r="EZ1112" s="15">
        <v>0.0</v>
      </c>
      <c r="FA1112" s="15">
        <v>0.0</v>
      </c>
      <c r="FC1112" s="15">
        <v>0.0</v>
      </c>
    </row>
    <row r="1113" ht="17.25" customHeight="1">
      <c r="A1113" s="15" t="s">
        <v>10604</v>
      </c>
      <c r="B1113" s="15" t="str">
        <f>"801542018184"</f>
        <v>801542018184</v>
      </c>
      <c r="C1113" s="15" t="s">
        <v>25063</v>
      </c>
      <c r="D1113" s="15" t="str">
        <f t="shared" si="1"/>
        <v>Wycliffe ChairVintage Soft Camel</v>
      </c>
      <c r="E1113" s="15" t="s">
        <v>10593</v>
      </c>
      <c r="F1113" s="15" t="s">
        <v>397</v>
      </c>
      <c r="G1113" s="15" t="s">
        <v>10603</v>
      </c>
      <c r="J1113" s="15" t="s">
        <v>10603</v>
      </c>
      <c r="K1113" s="15" t="s">
        <v>2014</v>
      </c>
      <c r="M1113" s="15" t="s">
        <v>703</v>
      </c>
      <c r="N1113" s="15" t="s">
        <v>706</v>
      </c>
      <c r="O1113" s="15" t="s">
        <v>707</v>
      </c>
      <c r="P1113" s="15" t="str">
        <f t="shared" si="3265"/>
        <v>26.75</v>
      </c>
      <c r="Q1113" s="15" t="str">
        <f t="shared" si="3266"/>
        <v>28.25</v>
      </c>
      <c r="R1113" s="15" t="str">
        <f t="shared" si="3267"/>
        <v>29.25</v>
      </c>
      <c r="S1113" s="15" t="str">
        <f t="shared" si="3268"/>
        <v>34.17</v>
      </c>
      <c r="T1113" s="15" t="s">
        <v>1341</v>
      </c>
      <c r="U1113" s="15" t="s">
        <v>11137</v>
      </c>
      <c r="V1113" s="15" t="s">
        <v>11138</v>
      </c>
      <c r="AA1113" s="15" t="s">
        <v>413</v>
      </c>
      <c r="AB1113" s="15" t="s">
        <v>413</v>
      </c>
      <c r="AC1113" s="15" t="s">
        <v>10606</v>
      </c>
      <c r="AD1113" s="15" t="s">
        <v>25064</v>
      </c>
      <c r="AE1113" s="15" t="s">
        <v>10605</v>
      </c>
      <c r="AF1113" s="15" t="s">
        <v>25065</v>
      </c>
      <c r="AG1113" s="15" t="s">
        <v>25066</v>
      </c>
      <c r="AH1113" s="15" t="s">
        <v>25067</v>
      </c>
      <c r="AI1113" s="15" t="s">
        <v>25068</v>
      </c>
      <c r="AJ1113" s="15" t="s">
        <v>25069</v>
      </c>
      <c r="AK1113" s="15" t="s">
        <v>25070</v>
      </c>
      <c r="AL1113" s="15" t="s">
        <v>25071</v>
      </c>
      <c r="AM1113" s="15" t="s">
        <v>25072</v>
      </c>
      <c r="AN1113" s="15" t="s">
        <v>25073</v>
      </c>
      <c r="AO1113" s="15" t="s">
        <v>25074</v>
      </c>
      <c r="BH1113" s="15" t="s">
        <v>10602</v>
      </c>
      <c r="BI1113" s="15" t="str">
        <f>"1749"</f>
        <v>1749</v>
      </c>
      <c r="BJ1113" s="15" t="str">
        <f>"735"</f>
        <v>735</v>
      </c>
      <c r="BK1113" s="15" t="s">
        <v>709</v>
      </c>
      <c r="BL1113" s="15" t="str">
        <f t="shared" si="3264"/>
        <v>1</v>
      </c>
      <c r="BM1113" s="15" t="s">
        <v>416</v>
      </c>
      <c r="BN1113" s="15" t="str">
        <f t="shared" si="3269"/>
        <v>29.92</v>
      </c>
      <c r="BO1113" s="15" t="str">
        <f t="shared" si="3270"/>
        <v>28.35</v>
      </c>
      <c r="BP1113" s="15" t="str">
        <f t="shared" si="3271"/>
        <v>31.89</v>
      </c>
      <c r="BQ1113" s="15" t="str">
        <f t="shared" si="3272"/>
        <v>52.03</v>
      </c>
      <c r="CG1113" s="15" t="str">
        <f t="shared" si="3273"/>
        <v>15.64</v>
      </c>
      <c r="CH1113" s="15" t="str">
        <f t="shared" si="3274"/>
        <v>0.443</v>
      </c>
      <c r="CI1113" s="15" t="s">
        <v>497</v>
      </c>
      <c r="CP1113" s="15" t="s">
        <v>2160</v>
      </c>
      <c r="CQ1113" s="15" t="s">
        <v>2221</v>
      </c>
      <c r="CR1113" s="15" t="s">
        <v>824</v>
      </c>
      <c r="CS1113" s="15" t="s">
        <v>2160</v>
      </c>
      <c r="CT1113" s="15" t="s">
        <v>4180</v>
      </c>
      <c r="CV1113" s="15">
        <v>0.0</v>
      </c>
      <c r="CW1113" s="15">
        <v>1.0</v>
      </c>
      <c r="CX1113" s="15" t="s">
        <v>717</v>
      </c>
      <c r="CY1113" s="15" t="s">
        <v>718</v>
      </c>
      <c r="DF1113" s="15" t="s">
        <v>721</v>
      </c>
      <c r="DG1113" s="15" t="s">
        <v>419</v>
      </c>
      <c r="DH1113" s="15">
        <v>0.0</v>
      </c>
      <c r="DL1113" s="15">
        <v>0.0</v>
      </c>
      <c r="DM1113" s="15" t="s">
        <v>990</v>
      </c>
      <c r="DN1113" s="15" t="s">
        <v>723</v>
      </c>
      <c r="DO1113" s="15" t="s">
        <v>724</v>
      </c>
      <c r="DP1113" s="15">
        <v>1.0</v>
      </c>
      <c r="DQ1113" s="15">
        <v>1.0</v>
      </c>
      <c r="DS1113" s="15" t="s">
        <v>10600</v>
      </c>
      <c r="DT1113" s="15">
        <v>0.0</v>
      </c>
      <c r="DU1113" s="15" t="s">
        <v>726</v>
      </c>
      <c r="DV1113" s="15" t="s">
        <v>1482</v>
      </c>
      <c r="DW1113" s="15" t="s">
        <v>731</v>
      </c>
      <c r="DX1113" s="15" t="s">
        <v>2020</v>
      </c>
      <c r="EB1113" s="15" t="s">
        <v>1122</v>
      </c>
      <c r="EF1113" s="15" t="s">
        <v>1483</v>
      </c>
      <c r="EG1113" s="15" t="s">
        <v>2178</v>
      </c>
      <c r="EH1113" s="15" t="s">
        <v>716</v>
      </c>
      <c r="EI1113" s="15" t="s">
        <v>866</v>
      </c>
      <c r="EL1113" s="15" t="s">
        <v>1016</v>
      </c>
      <c r="EO1113" s="15" t="s">
        <v>10601</v>
      </c>
      <c r="EX1113" s="15" t="s">
        <v>1425</v>
      </c>
      <c r="EY1113" s="15" t="s">
        <v>824</v>
      </c>
      <c r="EZ1113" s="15">
        <v>0.0</v>
      </c>
      <c r="FA1113" s="15">
        <v>0.0</v>
      </c>
      <c r="FC1113" s="15">
        <v>0.0</v>
      </c>
    </row>
    <row r="1114" ht="17.25" customHeight="1">
      <c r="A1114" s="15" t="s">
        <v>10610</v>
      </c>
      <c r="B1114" s="15" t="str">
        <f>"801542705039"</f>
        <v>801542705039</v>
      </c>
      <c r="C1114" s="15" t="s">
        <v>25075</v>
      </c>
      <c r="D1114" s="15" t="str">
        <f t="shared" si="1"/>
        <v>Wyeth 3 Drawer DresserDark Carbon</v>
      </c>
      <c r="E1114" s="15" t="s">
        <v>10607</v>
      </c>
      <c r="F1114" s="15" t="s">
        <v>397</v>
      </c>
      <c r="G1114" s="15" t="s">
        <v>10609</v>
      </c>
      <c r="J1114" s="15" t="s">
        <v>10609</v>
      </c>
      <c r="K1114" s="15" t="s">
        <v>4336</v>
      </c>
      <c r="M1114" s="15" t="s">
        <v>10613</v>
      </c>
      <c r="N1114" s="15" t="s">
        <v>412</v>
      </c>
      <c r="P1114" s="15" t="str">
        <f t="shared" ref="P1114:P1115" si="3275">"30"</f>
        <v>30</v>
      </c>
      <c r="Q1114" s="15" t="str">
        <f>"18"</f>
        <v>18</v>
      </c>
      <c r="R1114" s="15" t="str">
        <f>"31"</f>
        <v>31</v>
      </c>
      <c r="S1114" s="15" t="str">
        <f>"85.98"</f>
        <v>85.98</v>
      </c>
      <c r="T1114" s="15" t="s">
        <v>10612</v>
      </c>
      <c r="U1114" s="15" t="s">
        <v>12377</v>
      </c>
      <c r="V1114" s="15" t="s">
        <v>11139</v>
      </c>
      <c r="AA1114" s="15" t="s">
        <v>413</v>
      </c>
      <c r="AB1114" s="15" t="s">
        <v>413</v>
      </c>
      <c r="AC1114" s="15" t="s">
        <v>10614</v>
      </c>
      <c r="AD1114" s="15" t="s">
        <v>25076</v>
      </c>
      <c r="AE1114" s="15" t="s">
        <v>10611</v>
      </c>
      <c r="AF1114" s="15" t="s">
        <v>25077</v>
      </c>
      <c r="AG1114" s="15" t="s">
        <v>25078</v>
      </c>
      <c r="AH1114" s="15" t="s">
        <v>25079</v>
      </c>
      <c r="AI1114" s="15" t="s">
        <v>25080</v>
      </c>
      <c r="AJ1114" s="15" t="s">
        <v>25081</v>
      </c>
      <c r="AK1114" s="15" t="s">
        <v>25082</v>
      </c>
      <c r="AL1114" s="15" t="s">
        <v>25083</v>
      </c>
      <c r="AM1114" s="15" t="s">
        <v>25084</v>
      </c>
      <c r="AN1114" s="15" t="s">
        <v>25085</v>
      </c>
      <c r="AO1114" s="15" t="s">
        <v>25086</v>
      </c>
      <c r="BH1114" s="15" t="s">
        <v>10608</v>
      </c>
      <c r="BI1114" s="15" t="str">
        <f>"949"</f>
        <v>949</v>
      </c>
      <c r="BJ1114" s="15" t="str">
        <f>"400"</f>
        <v>400</v>
      </c>
      <c r="BK1114" s="15" t="s">
        <v>742</v>
      </c>
      <c r="BL1114" s="15" t="str">
        <f t="shared" si="3264"/>
        <v>1</v>
      </c>
      <c r="BM1114" s="15" t="s">
        <v>416</v>
      </c>
      <c r="BN1114" s="15" t="str">
        <f>"33.86"</f>
        <v>33.86</v>
      </c>
      <c r="BO1114" s="15" t="str">
        <f>"22.05"</f>
        <v>22.05</v>
      </c>
      <c r="BP1114" s="15" t="str">
        <f>"31.1"</f>
        <v>31.1</v>
      </c>
      <c r="BQ1114" s="15" t="str">
        <f>"108.03"</f>
        <v>108.03</v>
      </c>
      <c r="CG1114" s="15" t="str">
        <f>"13.42"</f>
        <v>13.42</v>
      </c>
      <c r="CH1114" s="15" t="str">
        <f>"0.38"</f>
        <v>0.38</v>
      </c>
      <c r="CI1114" s="15" t="s">
        <v>465</v>
      </c>
      <c r="CZ1114" s="15" t="s">
        <v>4002</v>
      </c>
      <c r="DA1114" s="15">
        <v>3.0</v>
      </c>
      <c r="DB1114" s="15" t="s">
        <v>2604</v>
      </c>
      <c r="DD1114" s="15">
        <v>0.0</v>
      </c>
      <c r="DF1114" s="15" t="s">
        <v>2048</v>
      </c>
      <c r="DG1114" s="15" t="s">
        <v>421</v>
      </c>
      <c r="DK1114" s="15">
        <v>0.0</v>
      </c>
      <c r="DR1114" s="15" t="s">
        <v>1408</v>
      </c>
      <c r="DS1114" s="15" t="s">
        <v>10613</v>
      </c>
      <c r="DU1114" s="15" t="s">
        <v>500</v>
      </c>
      <c r="EF1114" s="15" t="s">
        <v>1955</v>
      </c>
      <c r="EU1114" s="15" t="s">
        <v>426</v>
      </c>
      <c r="EV1114" s="15">
        <v>0.0</v>
      </c>
      <c r="FQ1114" s="15">
        <v>0.0</v>
      </c>
      <c r="FR1114" s="15" t="s">
        <v>427</v>
      </c>
      <c r="FZ1114" s="15" t="s">
        <v>10615</v>
      </c>
      <c r="GB1114" s="15" t="s">
        <v>3101</v>
      </c>
      <c r="GD1114" s="15" t="s">
        <v>7160</v>
      </c>
      <c r="GF1114" s="15" t="s">
        <v>838</v>
      </c>
      <c r="GI1114" s="15" t="s">
        <v>426</v>
      </c>
    </row>
    <row r="1115" ht="17.25" customHeight="1">
      <c r="A1115" s="15" t="s">
        <v>10618</v>
      </c>
      <c r="B1115" s="15" t="str">
        <f>"801542825027"</f>
        <v>801542825027</v>
      </c>
      <c r="C1115" s="15" t="s">
        <v>25087</v>
      </c>
      <c r="D1115" s="15" t="str">
        <f t="shared" si="1"/>
        <v>Wyeth 5 Drawer DresserDark Carbon</v>
      </c>
      <c r="E1115" s="15" t="s">
        <v>10616</v>
      </c>
      <c r="F1115" s="15" t="s">
        <v>397</v>
      </c>
      <c r="G1115" s="15" t="s">
        <v>10609</v>
      </c>
      <c r="J1115" s="15" t="s">
        <v>10609</v>
      </c>
      <c r="K1115" s="15" t="s">
        <v>4336</v>
      </c>
      <c r="M1115" s="15" t="s">
        <v>10613</v>
      </c>
      <c r="N1115" s="15" t="s">
        <v>412</v>
      </c>
      <c r="P1115" s="15" t="str">
        <f t="shared" si="3275"/>
        <v>30</v>
      </c>
      <c r="Q1115" s="15" t="str">
        <f>"19"</f>
        <v>19</v>
      </c>
      <c r="R1115" s="15" t="str">
        <f>"50"</f>
        <v>50</v>
      </c>
      <c r="S1115" s="15" t="str">
        <f>"143.3"</f>
        <v>143.3</v>
      </c>
      <c r="T1115" s="15" t="s">
        <v>10612</v>
      </c>
      <c r="U1115" s="15" t="s">
        <v>12377</v>
      </c>
      <c r="V1115" s="15" t="s">
        <v>11139</v>
      </c>
      <c r="AA1115" s="15" t="s">
        <v>413</v>
      </c>
      <c r="AB1115" s="15" t="s">
        <v>413</v>
      </c>
      <c r="AC1115" s="15" t="s">
        <v>10621</v>
      </c>
      <c r="AD1115" s="15" t="s">
        <v>25088</v>
      </c>
      <c r="AE1115" s="15" t="s">
        <v>10620</v>
      </c>
      <c r="AF1115" s="15" t="s">
        <v>25089</v>
      </c>
      <c r="AG1115" s="15" t="s">
        <v>25090</v>
      </c>
      <c r="AH1115" s="15" t="s">
        <v>25091</v>
      </c>
      <c r="AI1115" s="15" t="s">
        <v>25092</v>
      </c>
      <c r="AJ1115" s="15" t="s">
        <v>25093</v>
      </c>
      <c r="AK1115" s="15" t="s">
        <v>25094</v>
      </c>
      <c r="AL1115" s="15" t="s">
        <v>25095</v>
      </c>
      <c r="AM1115" s="15" t="s">
        <v>25096</v>
      </c>
      <c r="AN1115" s="15" t="s">
        <v>25097</v>
      </c>
      <c r="AO1115" s="15" t="s">
        <v>25098</v>
      </c>
      <c r="BH1115" s="15" t="s">
        <v>10617</v>
      </c>
      <c r="BI1115" s="15" t="str">
        <f>"1399"</f>
        <v>1399</v>
      </c>
      <c r="BJ1115" s="15" t="str">
        <f>"590"</f>
        <v>590</v>
      </c>
      <c r="BK1115" s="15" t="s">
        <v>742</v>
      </c>
      <c r="BL1115" s="15" t="str">
        <f t="shared" si="3264"/>
        <v>1</v>
      </c>
      <c r="BM1115" s="15" t="s">
        <v>416</v>
      </c>
      <c r="BN1115" s="15" t="str">
        <f>"34.06"</f>
        <v>34.06</v>
      </c>
      <c r="BO1115" s="15" t="str">
        <f>"22.83"</f>
        <v>22.83</v>
      </c>
      <c r="BP1115" s="15" t="str">
        <f>"50"</f>
        <v>50</v>
      </c>
      <c r="BQ1115" s="15" t="str">
        <f>"165.35"</f>
        <v>165.35</v>
      </c>
      <c r="CG1115" s="15" t="str">
        <f>"22.5"</f>
        <v>22.5</v>
      </c>
      <c r="CH1115" s="15" t="str">
        <f>"0.637"</f>
        <v>0.637</v>
      </c>
      <c r="CI1115" s="15" t="s">
        <v>417</v>
      </c>
      <c r="CZ1115" s="15" t="s">
        <v>4002</v>
      </c>
      <c r="DA1115" s="15">
        <v>5.0</v>
      </c>
      <c r="DB1115" s="15" t="s">
        <v>2604</v>
      </c>
      <c r="DD1115" s="15">
        <v>0.0</v>
      </c>
      <c r="DF1115" s="15" t="s">
        <v>2048</v>
      </c>
      <c r="DG1115" s="15" t="s">
        <v>421</v>
      </c>
      <c r="DK1115" s="15">
        <v>0.0</v>
      </c>
      <c r="DR1115" s="15" t="s">
        <v>2094</v>
      </c>
      <c r="DS1115" s="15" t="s">
        <v>10613</v>
      </c>
      <c r="DU1115" s="15" t="s">
        <v>500</v>
      </c>
      <c r="EF1115" s="15" t="s">
        <v>1955</v>
      </c>
      <c r="EU1115" s="15" t="s">
        <v>426</v>
      </c>
      <c r="EV1115" s="15">
        <v>0.0</v>
      </c>
      <c r="FQ1115" s="15">
        <v>0.0</v>
      </c>
      <c r="FR1115" s="15" t="s">
        <v>427</v>
      </c>
      <c r="FZ1115" s="15" t="s">
        <v>1508</v>
      </c>
      <c r="GB1115" s="15" t="s">
        <v>7777</v>
      </c>
      <c r="GD1115" s="15" t="s">
        <v>7160</v>
      </c>
      <c r="GF1115" s="15" t="s">
        <v>838</v>
      </c>
      <c r="GI1115" s="15" t="s">
        <v>426</v>
      </c>
    </row>
    <row r="1116" ht="17.25" customHeight="1">
      <c r="A1116" s="15" t="s">
        <v>10624</v>
      </c>
      <c r="B1116" s="15" t="str">
        <f>"801542617585"</f>
        <v>801542617585</v>
      </c>
      <c r="C1116" s="15" t="s">
        <v>25099</v>
      </c>
      <c r="D1116" s="15" t="str">
        <f t="shared" si="1"/>
        <v>Wyeth 6 Drawer DresserDark Carbon</v>
      </c>
      <c r="E1116" s="15" t="s">
        <v>10622</v>
      </c>
      <c r="F1116" s="15" t="s">
        <v>397</v>
      </c>
      <c r="G1116" s="15" t="s">
        <v>10609</v>
      </c>
      <c r="J1116" s="15" t="s">
        <v>10609</v>
      </c>
      <c r="K1116" s="15" t="s">
        <v>4336</v>
      </c>
      <c r="M1116" s="15" t="s">
        <v>10613</v>
      </c>
      <c r="N1116" s="15" t="s">
        <v>412</v>
      </c>
      <c r="P1116" s="15" t="str">
        <f>"58"</f>
        <v>58</v>
      </c>
      <c r="Q1116" s="15" t="str">
        <f>"18"</f>
        <v>18</v>
      </c>
      <c r="R1116" s="15" t="str">
        <f>"31"</f>
        <v>31</v>
      </c>
      <c r="S1116" s="15" t="str">
        <f>"156.09"</f>
        <v>156.09</v>
      </c>
      <c r="T1116" s="15" t="s">
        <v>10612</v>
      </c>
      <c r="U1116" s="15" t="s">
        <v>12377</v>
      </c>
      <c r="V1116" s="15" t="s">
        <v>11139</v>
      </c>
      <c r="AA1116" s="15" t="s">
        <v>413</v>
      </c>
      <c r="AB1116" s="15" t="s">
        <v>413</v>
      </c>
      <c r="AC1116" s="15" t="s">
        <v>10627</v>
      </c>
      <c r="AD1116" s="15" t="s">
        <v>25100</v>
      </c>
      <c r="AE1116" s="15" t="s">
        <v>10626</v>
      </c>
      <c r="AF1116" s="15" t="s">
        <v>25101</v>
      </c>
      <c r="AG1116" s="15" t="s">
        <v>25102</v>
      </c>
      <c r="AH1116" s="15" t="s">
        <v>25103</v>
      </c>
      <c r="AI1116" s="15" t="s">
        <v>25104</v>
      </c>
      <c r="AJ1116" s="15" t="s">
        <v>25105</v>
      </c>
      <c r="AK1116" s="15" t="s">
        <v>25106</v>
      </c>
      <c r="AL1116" s="15" t="s">
        <v>25107</v>
      </c>
      <c r="AM1116" s="15" t="s">
        <v>25108</v>
      </c>
      <c r="AN1116" s="15" t="s">
        <v>25109</v>
      </c>
      <c r="AO1116" s="15" t="s">
        <v>25110</v>
      </c>
      <c r="BH1116" s="15" t="s">
        <v>10623</v>
      </c>
      <c r="BI1116" s="15" t="str">
        <f>"1649"</f>
        <v>1649</v>
      </c>
      <c r="BJ1116" s="15" t="str">
        <f>"695"</f>
        <v>695</v>
      </c>
      <c r="BK1116" s="15" t="s">
        <v>742</v>
      </c>
      <c r="BL1116" s="15" t="str">
        <f t="shared" si="3264"/>
        <v>1</v>
      </c>
      <c r="BM1116" s="15" t="s">
        <v>2043</v>
      </c>
      <c r="BN1116" s="15" t="str">
        <f>"62.01"</f>
        <v>62.01</v>
      </c>
      <c r="BO1116" s="15" t="str">
        <f>"21.85"</f>
        <v>21.85</v>
      </c>
      <c r="BP1116" s="15" t="str">
        <f>"31.1"</f>
        <v>31.1</v>
      </c>
      <c r="BQ1116" s="15" t="str">
        <f>"177.03"</f>
        <v>177.03</v>
      </c>
      <c r="CG1116" s="15" t="str">
        <f>"24.4"</f>
        <v>24.4</v>
      </c>
      <c r="CH1116" s="15" t="str">
        <f>"0.691"</f>
        <v>0.691</v>
      </c>
      <c r="CI1116" s="15" t="s">
        <v>465</v>
      </c>
      <c r="CZ1116" s="15" t="s">
        <v>2600</v>
      </c>
      <c r="DA1116" s="15">
        <v>6.0</v>
      </c>
      <c r="DB1116" s="15" t="s">
        <v>2604</v>
      </c>
      <c r="DD1116" s="15">
        <v>0.0</v>
      </c>
      <c r="DF1116" s="15" t="s">
        <v>2048</v>
      </c>
      <c r="DG1116" s="15" t="s">
        <v>421</v>
      </c>
      <c r="DK1116" s="15">
        <v>0.0</v>
      </c>
      <c r="DR1116" s="15" t="s">
        <v>422</v>
      </c>
      <c r="DS1116" s="15" t="s">
        <v>10613</v>
      </c>
      <c r="DU1116" s="15" t="s">
        <v>500</v>
      </c>
      <c r="EF1116" s="15" t="s">
        <v>1955</v>
      </c>
      <c r="EU1116" s="15" t="s">
        <v>426</v>
      </c>
      <c r="EV1116" s="15">
        <v>0.0</v>
      </c>
      <c r="FQ1116" s="15">
        <v>0.0</v>
      </c>
      <c r="FR1116" s="15" t="s">
        <v>427</v>
      </c>
      <c r="FZ1116" s="15" t="s">
        <v>7173</v>
      </c>
      <c r="GB1116" s="15" t="s">
        <v>3101</v>
      </c>
      <c r="GD1116" s="15" t="s">
        <v>2650</v>
      </c>
      <c r="GF1116" s="15" t="s">
        <v>838</v>
      </c>
      <c r="GH1116" s="15" t="s">
        <v>420</v>
      </c>
      <c r="GI1116" s="15" t="s">
        <v>426</v>
      </c>
    </row>
    <row r="1117" ht="17.25" customHeight="1">
      <c r="A1117" s="15" t="s">
        <v>10632</v>
      </c>
      <c r="B1117" s="15" t="str">
        <f>"801542323882"</f>
        <v>801542323882</v>
      </c>
      <c r="C1117" s="15" t="s">
        <v>25111</v>
      </c>
      <c r="D1117" s="15" t="str">
        <f t="shared" si="1"/>
        <v>Wylie DeskRustic Grey Veneer</v>
      </c>
      <c r="E1117" s="15" t="s">
        <v>10630</v>
      </c>
      <c r="F1117" s="15" t="s">
        <v>397</v>
      </c>
      <c r="G1117" s="15" t="s">
        <v>5604</v>
      </c>
      <c r="J1117" s="15" t="s">
        <v>5604</v>
      </c>
      <c r="M1117" s="15" t="s">
        <v>1896</v>
      </c>
      <c r="N1117" s="15" t="s">
        <v>2134</v>
      </c>
      <c r="O1117" s="15" t="s">
        <v>2171</v>
      </c>
      <c r="P1117" s="15" t="str">
        <f>"75"</f>
        <v>75</v>
      </c>
      <c r="Q1117" s="15" t="str">
        <f t="shared" ref="Q1117:R1117" si="3276">"30"</f>
        <v>30</v>
      </c>
      <c r="R1117" s="15" t="str">
        <f t="shared" si="3276"/>
        <v>30</v>
      </c>
      <c r="S1117" s="15" t="str">
        <f>"151.02"</f>
        <v>151.02</v>
      </c>
      <c r="T1117" s="15" t="s">
        <v>1025</v>
      </c>
      <c r="U1117" s="15" t="s">
        <v>10881</v>
      </c>
      <c r="V1117" s="15" t="s">
        <v>11338</v>
      </c>
      <c r="AA1117" s="15" t="s">
        <v>413</v>
      </c>
      <c r="AB1117" s="15" t="s">
        <v>413</v>
      </c>
      <c r="AC1117" s="15" t="s">
        <v>10634</v>
      </c>
      <c r="AD1117" s="15" t="s">
        <v>25112</v>
      </c>
      <c r="AE1117" s="15" t="s">
        <v>10633</v>
      </c>
      <c r="AF1117" s="15" t="s">
        <v>25113</v>
      </c>
      <c r="AG1117" s="15" t="s">
        <v>25114</v>
      </c>
      <c r="AH1117" s="15" t="s">
        <v>25115</v>
      </c>
      <c r="AI1117" s="15" t="s">
        <v>25116</v>
      </c>
      <c r="AJ1117" s="15" t="s">
        <v>25117</v>
      </c>
      <c r="AK1117" s="15" t="s">
        <v>25118</v>
      </c>
      <c r="AL1117" s="15" t="s">
        <v>25119</v>
      </c>
      <c r="AM1117" s="15" t="s">
        <v>25120</v>
      </c>
      <c r="AN1117" s="15" t="s">
        <v>25121</v>
      </c>
      <c r="AO1117" s="15" t="s">
        <v>25122</v>
      </c>
      <c r="AP1117" s="15" t="s">
        <v>25123</v>
      </c>
      <c r="AQ1117" s="15" t="s">
        <v>25124</v>
      </c>
      <c r="AR1117" s="15" t="s">
        <v>25125</v>
      </c>
      <c r="AS1117" s="15" t="s">
        <v>25126</v>
      </c>
      <c r="BH1117" s="15" t="s">
        <v>10631</v>
      </c>
      <c r="BI1117" s="15" t="str">
        <f>"1699"</f>
        <v>1699</v>
      </c>
      <c r="BJ1117" s="15" t="str">
        <f>"715"</f>
        <v>715</v>
      </c>
      <c r="BK1117" s="15" t="s">
        <v>742</v>
      </c>
      <c r="BL1117" s="15" t="str">
        <f>"2"</f>
        <v>2</v>
      </c>
      <c r="BM1117" s="15" t="s">
        <v>1564</v>
      </c>
      <c r="BN1117" s="15" t="str">
        <f>"79.53"</f>
        <v>79.53</v>
      </c>
      <c r="BO1117" s="15" t="str">
        <f>"34.65"</f>
        <v>34.65</v>
      </c>
      <c r="BP1117" s="15" t="str">
        <f>"6.1"</f>
        <v>6.1</v>
      </c>
      <c r="BQ1117" s="15" t="str">
        <f>"101.41"</f>
        <v>101.41</v>
      </c>
      <c r="BR1117" s="15" t="s">
        <v>5617</v>
      </c>
      <c r="BS1117" s="15" t="str">
        <f>"32.68"</f>
        <v>32.68</v>
      </c>
      <c r="BT1117" s="15" t="str">
        <f>"29.33"</f>
        <v>29.33</v>
      </c>
      <c r="BU1117" s="15" t="str">
        <f>"23.43"</f>
        <v>23.43</v>
      </c>
      <c r="BV1117" s="15" t="str">
        <f>"99.21"</f>
        <v>99.21</v>
      </c>
      <c r="CG1117" s="15" t="str">
        <f>"22.74"</f>
        <v>22.74</v>
      </c>
      <c r="CH1117" s="15" t="str">
        <f>"0.644"</f>
        <v>0.644</v>
      </c>
      <c r="CI1117" s="15" t="s">
        <v>417</v>
      </c>
      <c r="CZ1117" s="15" t="s">
        <v>419</v>
      </c>
      <c r="DA1117" s="15">
        <v>0.0</v>
      </c>
      <c r="DB1117" s="15" t="s">
        <v>419</v>
      </c>
      <c r="DD1117" s="15">
        <v>0.0</v>
      </c>
      <c r="DF1117" s="15" t="s">
        <v>420</v>
      </c>
      <c r="DG1117" s="15" t="s">
        <v>419</v>
      </c>
      <c r="DK1117" s="15">
        <v>0.0</v>
      </c>
      <c r="DR1117" s="15" t="s">
        <v>4768</v>
      </c>
      <c r="DS1117" s="15" t="s">
        <v>10635</v>
      </c>
      <c r="DU1117" s="15" t="s">
        <v>424</v>
      </c>
      <c r="EF1117" s="15" t="s">
        <v>10636</v>
      </c>
      <c r="EH1117" s="15" t="s">
        <v>5939</v>
      </c>
      <c r="ET1117" s="15" t="s">
        <v>1607</v>
      </c>
      <c r="EU1117" s="15" t="s">
        <v>426</v>
      </c>
      <c r="EV1117" s="15">
        <v>0.0</v>
      </c>
      <c r="FE1117" s="15" t="s">
        <v>10636</v>
      </c>
      <c r="FQ1117" s="15">
        <v>0.0</v>
      </c>
      <c r="FR1117" s="15" t="s">
        <v>427</v>
      </c>
      <c r="GM1117" s="15">
        <v>0.0</v>
      </c>
      <c r="HP1117" s="15" t="s">
        <v>426</v>
      </c>
    </row>
    <row r="1118" ht="17.25" customHeight="1">
      <c r="A1118" s="15" t="s">
        <v>10640</v>
      </c>
      <c r="B1118" s="15" t="str">
        <f>"801542927370"</f>
        <v>801542927370</v>
      </c>
      <c r="C1118" s="15" t="s">
        <v>25127</v>
      </c>
      <c r="D1118" s="15" t="str">
        <f t="shared" si="1"/>
        <v>Xavier ChairAntwerp Bone</v>
      </c>
      <c r="E1118" s="15" t="s">
        <v>10637</v>
      </c>
      <c r="F1118" s="15" t="s">
        <v>397</v>
      </c>
      <c r="G1118" s="15" t="s">
        <v>10639</v>
      </c>
      <c r="J1118" s="15" t="s">
        <v>10639</v>
      </c>
      <c r="K1118" s="15" t="s">
        <v>10644</v>
      </c>
      <c r="L1118" s="15" t="s">
        <v>10645</v>
      </c>
      <c r="M1118" s="15" t="s">
        <v>915</v>
      </c>
      <c r="N1118" s="15" t="s">
        <v>706</v>
      </c>
      <c r="O1118" s="15" t="s">
        <v>707</v>
      </c>
      <c r="P1118" s="15" t="str">
        <f t="shared" ref="P1118:P1120" si="3277">"30"</f>
        <v>30</v>
      </c>
      <c r="Q1118" s="15" t="str">
        <f t="shared" ref="Q1118:Q1120" si="3278">"28.25"</f>
        <v>28.25</v>
      </c>
      <c r="R1118" s="15" t="str">
        <f t="shared" ref="R1118:R1120" si="3279">"30"</f>
        <v>30</v>
      </c>
      <c r="S1118" s="15" t="str">
        <f t="shared" ref="S1118:S1120" si="3280">"28.66"</f>
        <v>28.66</v>
      </c>
      <c r="T1118" s="15" t="s">
        <v>10643</v>
      </c>
      <c r="U1118" s="15" t="s">
        <v>12517</v>
      </c>
      <c r="V1118" s="15" t="s">
        <v>12518</v>
      </c>
      <c r="W1118" s="15" t="s">
        <v>12519</v>
      </c>
      <c r="X1118" s="15" t="s">
        <v>11210</v>
      </c>
      <c r="Y1118" s="15" t="s">
        <v>11358</v>
      </c>
      <c r="AA1118" s="15" t="s">
        <v>413</v>
      </c>
      <c r="AB1118" s="15" t="s">
        <v>426</v>
      </c>
      <c r="AC1118" s="15" t="s">
        <v>10646</v>
      </c>
      <c r="AD1118" s="15" t="s">
        <v>25128</v>
      </c>
      <c r="AE1118" s="15" t="s">
        <v>10642</v>
      </c>
      <c r="AF1118" s="15" t="s">
        <v>25129</v>
      </c>
      <c r="AG1118" s="15" t="s">
        <v>25130</v>
      </c>
      <c r="AH1118" s="15" t="s">
        <v>25131</v>
      </c>
      <c r="AI1118" s="15" t="s">
        <v>25132</v>
      </c>
      <c r="AJ1118" s="15" t="s">
        <v>25133</v>
      </c>
      <c r="AK1118" s="15" t="s">
        <v>25134</v>
      </c>
      <c r="AL1118" s="15" t="s">
        <v>25135</v>
      </c>
      <c r="AM1118" s="15" t="s">
        <v>25136</v>
      </c>
      <c r="AN1118" s="15" t="s">
        <v>25137</v>
      </c>
      <c r="AO1118" s="15" t="s">
        <v>25138</v>
      </c>
      <c r="AP1118" s="15" t="s">
        <v>25139</v>
      </c>
      <c r="AQ1118" s="15" t="s">
        <v>25140</v>
      </c>
      <c r="AR1118" s="15" t="s">
        <v>25141</v>
      </c>
      <c r="BH1118" s="15" t="s">
        <v>10638</v>
      </c>
      <c r="BI1118" s="15" t="str">
        <f>"1349"</f>
        <v>1349</v>
      </c>
      <c r="BJ1118" s="15" t="str">
        <f>"570"</f>
        <v>570</v>
      </c>
      <c r="BK1118" s="15" t="s">
        <v>709</v>
      </c>
      <c r="BL1118" s="15" t="str">
        <f t="shared" ref="BL1118:BL1121" si="3281">"1"</f>
        <v>1</v>
      </c>
      <c r="BM1118" s="15" t="s">
        <v>416</v>
      </c>
      <c r="BN1118" s="15" t="str">
        <f t="shared" ref="BN1118:BN1120" si="3282">"35.04"</f>
        <v>35.04</v>
      </c>
      <c r="BO1118" s="15" t="str">
        <f t="shared" ref="BO1118:BO1120" si="3283">"33.46"</f>
        <v>33.46</v>
      </c>
      <c r="BP1118" s="15" t="str">
        <f t="shared" ref="BP1118:BP1120" si="3284">"32.28"</f>
        <v>32.28</v>
      </c>
      <c r="BQ1118" s="15" t="str">
        <f t="shared" ref="BQ1118:BQ1120" si="3285">"50.71"</f>
        <v>50.71</v>
      </c>
      <c r="CG1118" s="15" t="str">
        <f t="shared" ref="CG1118:CG1120" si="3286">"21.9"</f>
        <v>21.9</v>
      </c>
      <c r="CH1118" s="15" t="str">
        <f t="shared" ref="CH1118:CH1120" si="3287">"0.62"</f>
        <v>0.62</v>
      </c>
      <c r="CI1118" s="15" t="s">
        <v>417</v>
      </c>
      <c r="CS1118" s="15" t="s">
        <v>525</v>
      </c>
      <c r="CT1118" s="15" t="s">
        <v>1065</v>
      </c>
      <c r="CV1118" s="15">
        <v>0.0</v>
      </c>
      <c r="CW1118" s="15">
        <v>0.0</v>
      </c>
      <c r="CX1118" s="15" t="s">
        <v>717</v>
      </c>
      <c r="CY1118" s="15" t="s">
        <v>855</v>
      </c>
      <c r="DF1118" s="15" t="s">
        <v>721</v>
      </c>
      <c r="DG1118" s="15" t="s">
        <v>419</v>
      </c>
      <c r="DH1118" s="15">
        <v>0.0</v>
      </c>
      <c r="DL1118" s="15">
        <v>30000.0</v>
      </c>
      <c r="DM1118" s="15" t="s">
        <v>990</v>
      </c>
      <c r="DN1118" s="15" t="s">
        <v>1016</v>
      </c>
      <c r="DP1118" s="15">
        <v>1.0</v>
      </c>
      <c r="DQ1118" s="15">
        <v>1.0</v>
      </c>
      <c r="DS1118" s="15" t="s">
        <v>10647</v>
      </c>
      <c r="DT1118" s="15">
        <v>0.0</v>
      </c>
      <c r="DU1118" s="15" t="s">
        <v>726</v>
      </c>
      <c r="DV1118" s="15" t="s">
        <v>1234</v>
      </c>
      <c r="DW1118" s="15" t="s">
        <v>2899</v>
      </c>
      <c r="DX1118" s="15" t="s">
        <v>1306</v>
      </c>
      <c r="EB1118" s="15" t="s">
        <v>1236</v>
      </c>
      <c r="EF1118" s="15" t="s">
        <v>2402</v>
      </c>
      <c r="EG1118" s="15" t="s">
        <v>1324</v>
      </c>
      <c r="EH1118" s="15" t="s">
        <v>1806</v>
      </c>
      <c r="EI1118" s="15" t="s">
        <v>1996</v>
      </c>
      <c r="EO1118" s="15" t="s">
        <v>937</v>
      </c>
      <c r="EX1118" s="15" t="s">
        <v>1700</v>
      </c>
      <c r="EY1118" s="15" t="s">
        <v>555</v>
      </c>
      <c r="EZ1118" s="15">
        <v>0.0</v>
      </c>
      <c r="FA1118" s="15">
        <v>0.0</v>
      </c>
      <c r="FC1118" s="15">
        <v>0.0</v>
      </c>
    </row>
    <row r="1119" ht="17.25" customHeight="1">
      <c r="A1119" s="15" t="s">
        <v>10649</v>
      </c>
      <c r="B1119" s="15" t="str">
        <f>"801542132774"</f>
        <v>801542132774</v>
      </c>
      <c r="C1119" s="15" t="s">
        <v>25142</v>
      </c>
      <c r="D1119" s="15" t="str">
        <f t="shared" si="1"/>
        <v>Xavier ChairCarson Black</v>
      </c>
      <c r="E1119" s="15" t="s">
        <v>10637</v>
      </c>
      <c r="F1119" s="15" t="s">
        <v>397</v>
      </c>
      <c r="G1119" s="15" t="s">
        <v>5944</v>
      </c>
      <c r="J1119" s="15" t="s">
        <v>5944</v>
      </c>
      <c r="K1119" s="15" t="s">
        <v>10644</v>
      </c>
      <c r="L1119" s="15" t="s">
        <v>10645</v>
      </c>
      <c r="M1119" s="15" t="s">
        <v>915</v>
      </c>
      <c r="N1119" s="15" t="s">
        <v>706</v>
      </c>
      <c r="O1119" s="15" t="s">
        <v>707</v>
      </c>
      <c r="P1119" s="15" t="str">
        <f t="shared" si="3277"/>
        <v>30</v>
      </c>
      <c r="Q1119" s="15" t="str">
        <f t="shared" si="3278"/>
        <v>28.25</v>
      </c>
      <c r="R1119" s="15" t="str">
        <f t="shared" si="3279"/>
        <v>30</v>
      </c>
      <c r="S1119" s="15" t="str">
        <f t="shared" si="3280"/>
        <v>28.66</v>
      </c>
      <c r="T1119" s="15" t="s">
        <v>10651</v>
      </c>
      <c r="U1119" s="15" t="s">
        <v>11137</v>
      </c>
      <c r="V1119" s="15" t="s">
        <v>11210</v>
      </c>
      <c r="W1119" s="15" t="s">
        <v>11358</v>
      </c>
      <c r="AA1119" s="15" t="s">
        <v>413</v>
      </c>
      <c r="AB1119" s="15" t="s">
        <v>413</v>
      </c>
      <c r="AC1119" s="15" t="s">
        <v>10646</v>
      </c>
      <c r="AD1119" s="15" t="s">
        <v>25143</v>
      </c>
      <c r="AE1119" s="15" t="s">
        <v>10650</v>
      </c>
      <c r="AF1119" s="15" t="s">
        <v>25144</v>
      </c>
      <c r="AG1119" s="15" t="s">
        <v>25145</v>
      </c>
      <c r="AH1119" s="15" t="s">
        <v>25146</v>
      </c>
      <c r="AI1119" s="15" t="s">
        <v>25147</v>
      </c>
      <c r="AJ1119" s="15" t="s">
        <v>25148</v>
      </c>
      <c r="AK1119" s="15" t="s">
        <v>25149</v>
      </c>
      <c r="AL1119" s="15" t="s">
        <v>25150</v>
      </c>
      <c r="AM1119" s="15" t="s">
        <v>25151</v>
      </c>
      <c r="AN1119" s="15" t="s">
        <v>25152</v>
      </c>
      <c r="AO1119" s="15" t="s">
        <v>25153</v>
      </c>
      <c r="AP1119" s="15" t="s">
        <v>25154</v>
      </c>
      <c r="BH1119" s="15" t="s">
        <v>10648</v>
      </c>
      <c r="BI1119" s="15" t="str">
        <f>"1449"</f>
        <v>1449</v>
      </c>
      <c r="BJ1119" s="15" t="str">
        <f>"610"</f>
        <v>610</v>
      </c>
      <c r="BK1119" s="15" t="s">
        <v>709</v>
      </c>
      <c r="BL1119" s="15" t="str">
        <f t="shared" si="3281"/>
        <v>1</v>
      </c>
      <c r="BM1119" s="15" t="s">
        <v>416</v>
      </c>
      <c r="BN1119" s="15" t="str">
        <f t="shared" si="3282"/>
        <v>35.04</v>
      </c>
      <c r="BO1119" s="15" t="str">
        <f t="shared" si="3283"/>
        <v>33.46</v>
      </c>
      <c r="BP1119" s="15" t="str">
        <f t="shared" si="3284"/>
        <v>32.28</v>
      </c>
      <c r="BQ1119" s="15" t="str">
        <f t="shared" si="3285"/>
        <v>50.71</v>
      </c>
      <c r="CG1119" s="15" t="str">
        <f t="shared" si="3286"/>
        <v>21.9</v>
      </c>
      <c r="CH1119" s="15" t="str">
        <f t="shared" si="3287"/>
        <v>0.62</v>
      </c>
      <c r="CI1119" s="15" t="s">
        <v>465</v>
      </c>
      <c r="CS1119" s="15" t="s">
        <v>525</v>
      </c>
      <c r="CT1119" s="15" t="s">
        <v>1065</v>
      </c>
      <c r="CV1119" s="15">
        <v>0.0</v>
      </c>
      <c r="CW1119" s="15">
        <v>0.0</v>
      </c>
      <c r="CX1119" s="15" t="s">
        <v>717</v>
      </c>
      <c r="CY1119" s="15" t="s">
        <v>718</v>
      </c>
      <c r="DF1119" s="15" t="s">
        <v>721</v>
      </c>
      <c r="DG1119" s="15" t="s">
        <v>419</v>
      </c>
      <c r="DH1119" s="15">
        <v>0.0</v>
      </c>
      <c r="DL1119" s="15">
        <v>0.0</v>
      </c>
      <c r="DM1119" s="15" t="s">
        <v>990</v>
      </c>
      <c r="DN1119" s="15" t="s">
        <v>1016</v>
      </c>
      <c r="DP1119" s="15">
        <v>1.0</v>
      </c>
      <c r="DQ1119" s="15">
        <v>1.0</v>
      </c>
      <c r="DS1119" s="15" t="s">
        <v>10647</v>
      </c>
      <c r="DT1119" s="15">
        <v>0.0</v>
      </c>
      <c r="DU1119" s="15" t="s">
        <v>726</v>
      </c>
      <c r="DV1119" s="15" t="s">
        <v>1234</v>
      </c>
      <c r="DW1119" s="15" t="s">
        <v>2899</v>
      </c>
      <c r="DX1119" s="15" t="s">
        <v>1306</v>
      </c>
      <c r="EB1119" s="15" t="s">
        <v>1236</v>
      </c>
      <c r="EF1119" s="15" t="s">
        <v>2402</v>
      </c>
      <c r="EG1119" s="15" t="s">
        <v>1324</v>
      </c>
      <c r="EH1119" s="15" t="s">
        <v>1806</v>
      </c>
      <c r="EI1119" s="15" t="s">
        <v>1996</v>
      </c>
      <c r="EO1119" s="15" t="s">
        <v>937</v>
      </c>
      <c r="EX1119" s="15" t="s">
        <v>1700</v>
      </c>
      <c r="EY1119" s="15" t="s">
        <v>555</v>
      </c>
      <c r="EZ1119" s="15">
        <v>0.0</v>
      </c>
      <c r="FA1119" s="15">
        <v>0.0</v>
      </c>
      <c r="FC1119" s="15">
        <v>0.0</v>
      </c>
    </row>
    <row r="1120" ht="17.25" customHeight="1">
      <c r="A1120" s="15" t="s">
        <v>10653</v>
      </c>
      <c r="B1120" s="15" t="str">
        <f>"801542099770"</f>
        <v>801542099770</v>
      </c>
      <c r="C1120" s="15" t="s">
        <v>25155</v>
      </c>
      <c r="D1120" s="15" t="str">
        <f t="shared" si="1"/>
        <v>Xavier ChairHasselt Taupe</v>
      </c>
      <c r="E1120" s="15" t="s">
        <v>10637</v>
      </c>
      <c r="F1120" s="15" t="s">
        <v>397</v>
      </c>
      <c r="G1120" s="15" t="s">
        <v>3563</v>
      </c>
      <c r="J1120" s="15" t="s">
        <v>3563</v>
      </c>
      <c r="K1120" s="15" t="s">
        <v>10644</v>
      </c>
      <c r="L1120" s="15" t="s">
        <v>10645</v>
      </c>
      <c r="M1120" s="15" t="s">
        <v>915</v>
      </c>
      <c r="N1120" s="15" t="s">
        <v>706</v>
      </c>
      <c r="O1120" s="15" t="s">
        <v>707</v>
      </c>
      <c r="P1120" s="15" t="str">
        <f t="shared" si="3277"/>
        <v>30</v>
      </c>
      <c r="Q1120" s="15" t="str">
        <f t="shared" si="3278"/>
        <v>28.25</v>
      </c>
      <c r="R1120" s="15" t="str">
        <f t="shared" si="3279"/>
        <v>30</v>
      </c>
      <c r="S1120" s="15" t="str">
        <f t="shared" si="3280"/>
        <v>28.66</v>
      </c>
      <c r="T1120" s="15" t="s">
        <v>10655</v>
      </c>
      <c r="U1120" s="15" t="s">
        <v>14052</v>
      </c>
      <c r="V1120" s="15" t="s">
        <v>14053</v>
      </c>
      <c r="W1120" s="15" t="s">
        <v>11210</v>
      </c>
      <c r="X1120" s="15" t="s">
        <v>11358</v>
      </c>
      <c r="AA1120" s="15" t="s">
        <v>413</v>
      </c>
      <c r="AB1120" s="15" t="s">
        <v>413</v>
      </c>
      <c r="AC1120" s="15" t="s">
        <v>10656</v>
      </c>
      <c r="AD1120" s="15" t="s">
        <v>25156</v>
      </c>
      <c r="AE1120" s="15" t="s">
        <v>10654</v>
      </c>
      <c r="AF1120" s="15" t="s">
        <v>25157</v>
      </c>
      <c r="AG1120" s="15" t="s">
        <v>25158</v>
      </c>
      <c r="AH1120" s="15" t="s">
        <v>25159</v>
      </c>
      <c r="AI1120" s="15" t="s">
        <v>25160</v>
      </c>
      <c r="AJ1120" s="15" t="s">
        <v>25161</v>
      </c>
      <c r="AK1120" s="15" t="s">
        <v>25162</v>
      </c>
      <c r="AL1120" s="15" t="s">
        <v>25163</v>
      </c>
      <c r="AM1120" s="15" t="s">
        <v>25164</v>
      </c>
      <c r="AN1120" s="15" t="s">
        <v>25165</v>
      </c>
      <c r="AO1120" s="15" t="s">
        <v>25166</v>
      </c>
      <c r="AP1120" s="15" t="s">
        <v>25167</v>
      </c>
      <c r="BH1120" s="15" t="s">
        <v>10652</v>
      </c>
      <c r="BI1120" s="15" t="str">
        <f>"1749"</f>
        <v>1749</v>
      </c>
      <c r="BJ1120" s="15" t="str">
        <f>"735"</f>
        <v>735</v>
      </c>
      <c r="BK1120" s="15" t="s">
        <v>709</v>
      </c>
      <c r="BL1120" s="15" t="str">
        <f t="shared" si="3281"/>
        <v>1</v>
      </c>
      <c r="BM1120" s="15" t="s">
        <v>416</v>
      </c>
      <c r="BN1120" s="15" t="str">
        <f t="shared" si="3282"/>
        <v>35.04</v>
      </c>
      <c r="BO1120" s="15" t="str">
        <f t="shared" si="3283"/>
        <v>33.46</v>
      </c>
      <c r="BP1120" s="15" t="str">
        <f t="shared" si="3284"/>
        <v>32.28</v>
      </c>
      <c r="BQ1120" s="15" t="str">
        <f t="shared" si="3285"/>
        <v>50.71</v>
      </c>
      <c r="CG1120" s="15" t="str">
        <f t="shared" si="3286"/>
        <v>21.9</v>
      </c>
      <c r="CH1120" s="15" t="str">
        <f t="shared" si="3287"/>
        <v>0.62</v>
      </c>
      <c r="CI1120" s="15" t="s">
        <v>465</v>
      </c>
      <c r="CS1120" s="15" t="s">
        <v>525</v>
      </c>
      <c r="CT1120" s="15" t="s">
        <v>1065</v>
      </c>
      <c r="CV1120" s="15">
        <v>0.0</v>
      </c>
      <c r="CW1120" s="15">
        <v>0.0</v>
      </c>
      <c r="CX1120" s="15" t="s">
        <v>717</v>
      </c>
      <c r="CY1120" s="15" t="s">
        <v>855</v>
      </c>
      <c r="DF1120" s="15" t="s">
        <v>721</v>
      </c>
      <c r="DG1120" s="15" t="s">
        <v>419</v>
      </c>
      <c r="DH1120" s="15">
        <v>0.0</v>
      </c>
      <c r="DL1120" s="15">
        <v>50000.0</v>
      </c>
      <c r="DM1120" s="15" t="s">
        <v>990</v>
      </c>
      <c r="DN1120" s="15" t="s">
        <v>1016</v>
      </c>
      <c r="DP1120" s="15">
        <v>1.0</v>
      </c>
      <c r="DQ1120" s="15">
        <v>1.0</v>
      </c>
      <c r="DS1120" s="15" t="s">
        <v>10647</v>
      </c>
      <c r="DT1120" s="15">
        <v>0.0</v>
      </c>
      <c r="DU1120" s="15" t="s">
        <v>726</v>
      </c>
      <c r="DV1120" s="15" t="s">
        <v>1234</v>
      </c>
      <c r="DW1120" s="15" t="s">
        <v>2899</v>
      </c>
      <c r="DX1120" s="15" t="s">
        <v>1306</v>
      </c>
      <c r="EB1120" s="15" t="s">
        <v>1236</v>
      </c>
      <c r="EF1120" s="15" t="s">
        <v>2402</v>
      </c>
      <c r="EG1120" s="15" t="s">
        <v>1324</v>
      </c>
      <c r="EH1120" s="15" t="s">
        <v>1806</v>
      </c>
      <c r="EI1120" s="15" t="s">
        <v>1996</v>
      </c>
      <c r="EO1120" s="15" t="s">
        <v>937</v>
      </c>
      <c r="EX1120" s="15" t="s">
        <v>1700</v>
      </c>
      <c r="EY1120" s="15" t="s">
        <v>555</v>
      </c>
      <c r="EZ1120" s="15">
        <v>0.0</v>
      </c>
      <c r="FA1120" s="15">
        <v>0.0</v>
      </c>
      <c r="FC1120" s="15">
        <v>0.0</v>
      </c>
    </row>
    <row r="1121" ht="17.25" customHeight="1">
      <c r="A1121" s="15" t="s">
        <v>10659</v>
      </c>
      <c r="B1121" s="15" t="str">
        <f>"801542977559"</f>
        <v>801542977559</v>
      </c>
      <c r="C1121" s="15" t="s">
        <v>25168</v>
      </c>
      <c r="D1121" s="15" t="str">
        <f t="shared" si="1"/>
        <v>Yann Sofa-96"Palermo Drift</v>
      </c>
      <c r="E1121" s="15" t="s">
        <v>10657</v>
      </c>
      <c r="F1121" s="15" t="s">
        <v>397</v>
      </c>
      <c r="G1121" s="15" t="s">
        <v>1658</v>
      </c>
      <c r="J1121" s="15" t="s">
        <v>1658</v>
      </c>
      <c r="M1121" s="15" t="s">
        <v>3277</v>
      </c>
      <c r="N1121" s="15" t="s">
        <v>1732</v>
      </c>
      <c r="P1121" s="15" t="str">
        <f>"96"</f>
        <v>96</v>
      </c>
      <c r="Q1121" s="15" t="str">
        <f>"41"</f>
        <v>41</v>
      </c>
      <c r="R1121" s="15" t="str">
        <f>"29.25"</f>
        <v>29.25</v>
      </c>
      <c r="S1121" s="15" t="str">
        <f>"190.7"</f>
        <v>190.7</v>
      </c>
      <c r="T1121" s="15" t="s">
        <v>1600</v>
      </c>
      <c r="U1121" s="15" t="s">
        <v>11137</v>
      </c>
      <c r="AA1121" s="15" t="s">
        <v>413</v>
      </c>
      <c r="AB1121" s="15" t="s">
        <v>413</v>
      </c>
      <c r="AC1121" s="15" t="s">
        <v>10663</v>
      </c>
      <c r="AD1121" s="15" t="s">
        <v>25169</v>
      </c>
      <c r="AE1121" s="15" t="s">
        <v>10661</v>
      </c>
      <c r="AF1121" s="15" t="s">
        <v>25170</v>
      </c>
      <c r="AG1121" s="15" t="s">
        <v>25171</v>
      </c>
      <c r="AH1121" s="15" t="s">
        <v>25172</v>
      </c>
      <c r="AI1121" s="15" t="s">
        <v>25173</v>
      </c>
      <c r="AJ1121" s="15" t="s">
        <v>25174</v>
      </c>
      <c r="AK1121" s="15" t="s">
        <v>25175</v>
      </c>
      <c r="AL1121" s="15" t="s">
        <v>25176</v>
      </c>
      <c r="AM1121" s="15" t="s">
        <v>25177</v>
      </c>
      <c r="AN1121" s="15" t="s">
        <v>25178</v>
      </c>
      <c r="AO1121" s="15" t="s">
        <v>25179</v>
      </c>
      <c r="AP1121" s="15" t="s">
        <v>25180</v>
      </c>
      <c r="AQ1121" s="15" t="s">
        <v>25181</v>
      </c>
      <c r="AR1121" s="15" t="s">
        <v>15706</v>
      </c>
      <c r="BH1121" s="15" t="s">
        <v>10658</v>
      </c>
      <c r="BI1121" s="15" t="str">
        <f>"5899"</f>
        <v>5899</v>
      </c>
      <c r="BJ1121" s="15" t="str">
        <f>"2480"</f>
        <v>2480</v>
      </c>
      <c r="BK1121" s="15" t="s">
        <v>742</v>
      </c>
      <c r="BL1121" s="15" t="str">
        <f t="shared" si="3281"/>
        <v>1</v>
      </c>
      <c r="BM1121" s="15" t="s">
        <v>7389</v>
      </c>
      <c r="BN1121" s="15" t="str">
        <f>"97.24"</f>
        <v>97.24</v>
      </c>
      <c r="BO1121" s="15" t="str">
        <f>"42.32"</f>
        <v>42.32</v>
      </c>
      <c r="BP1121" s="15" t="str">
        <f>"21.26"</f>
        <v>21.26</v>
      </c>
      <c r="BQ1121" s="15" t="str">
        <f>"231.49"</f>
        <v>231.49</v>
      </c>
      <c r="CG1121" s="15" t="str">
        <f>"50.64"</f>
        <v>50.64</v>
      </c>
      <c r="CH1121" s="15" t="str">
        <f>"1.434"</f>
        <v>1.434</v>
      </c>
      <c r="CI1121" s="15" t="s">
        <v>497</v>
      </c>
      <c r="CP1121" s="15" t="s">
        <v>734</v>
      </c>
      <c r="CQ1121" s="15" t="s">
        <v>5058</v>
      </c>
      <c r="CR1121" s="15" t="s">
        <v>10667</v>
      </c>
      <c r="CS1121" s="15" t="s">
        <v>3361</v>
      </c>
      <c r="CT1121" s="15" t="s">
        <v>10668</v>
      </c>
      <c r="CU1121" s="15" t="s">
        <v>10669</v>
      </c>
      <c r="CV1121" s="15">
        <v>0.0</v>
      </c>
      <c r="CW1121" s="15">
        <v>2.0</v>
      </c>
      <c r="CX1121" s="15" t="s">
        <v>717</v>
      </c>
      <c r="CY1121" s="15" t="s">
        <v>718</v>
      </c>
      <c r="DC1121" s="15" t="s">
        <v>10670</v>
      </c>
      <c r="DF1121" s="15" t="s">
        <v>1388</v>
      </c>
      <c r="DG1121" s="15" t="s">
        <v>419</v>
      </c>
      <c r="DH1121" s="15">
        <v>0.0</v>
      </c>
      <c r="DL1121" s="15">
        <v>0.0</v>
      </c>
      <c r="DM1121" s="15" t="s">
        <v>990</v>
      </c>
      <c r="DN1121" s="15" t="s">
        <v>723</v>
      </c>
      <c r="DO1121" s="15" t="s">
        <v>724</v>
      </c>
      <c r="DP1121" s="15">
        <v>2.0</v>
      </c>
      <c r="DQ1121" s="15">
        <v>5.0</v>
      </c>
      <c r="DS1121" s="15" t="s">
        <v>10671</v>
      </c>
      <c r="DT1121" s="15">
        <v>0.0</v>
      </c>
      <c r="DU1121" s="15" t="s">
        <v>1636</v>
      </c>
      <c r="DV1121" s="15" t="s">
        <v>6042</v>
      </c>
      <c r="DW1121" s="15" t="s">
        <v>2026</v>
      </c>
      <c r="DX1121" s="15" t="s">
        <v>10672</v>
      </c>
      <c r="EB1121" s="15" t="s">
        <v>5474</v>
      </c>
      <c r="EC1121" s="15" t="s">
        <v>714</v>
      </c>
      <c r="ED1121" s="15" t="s">
        <v>778</v>
      </c>
      <c r="EE1121" s="15" t="s">
        <v>10667</v>
      </c>
      <c r="EF1121" s="15" t="s">
        <v>6045</v>
      </c>
      <c r="EH1121" s="15" t="s">
        <v>5545</v>
      </c>
      <c r="EI1121" s="15" t="s">
        <v>2026</v>
      </c>
      <c r="EL1121" s="15" t="s">
        <v>723</v>
      </c>
      <c r="EM1121" s="15" t="s">
        <v>724</v>
      </c>
      <c r="EN1121" s="15" t="s">
        <v>3386</v>
      </c>
      <c r="EO1121" s="15" t="s">
        <v>735</v>
      </c>
      <c r="EX1121" s="15" t="s">
        <v>10669</v>
      </c>
      <c r="EY1121" s="15" t="s">
        <v>10669</v>
      </c>
    </row>
    <row r="1122" ht="17.25" customHeight="1">
      <c r="A1122" s="15" t="s">
        <v>10676</v>
      </c>
      <c r="B1122" s="15" t="str">
        <f>"801542248314"</f>
        <v>801542248314</v>
      </c>
      <c r="C1122" s="15" t="s">
        <v>25182</v>
      </c>
      <c r="D1122" s="15" t="str">
        <f t="shared" si="1"/>
        <v>Yarra Console TableGrey Oak Veneer</v>
      </c>
      <c r="E1122" s="15" t="s">
        <v>10673</v>
      </c>
      <c r="F1122" s="15" t="s">
        <v>397</v>
      </c>
      <c r="G1122" s="15" t="s">
        <v>10675</v>
      </c>
      <c r="J1122" s="15" t="s">
        <v>10675</v>
      </c>
      <c r="M1122" s="15" t="s">
        <v>1474</v>
      </c>
      <c r="N1122" s="15" t="s">
        <v>519</v>
      </c>
      <c r="P1122" s="15" t="str">
        <f>"94"</f>
        <v>94</v>
      </c>
      <c r="Q1122" s="15" t="str">
        <f>"18"</f>
        <v>18</v>
      </c>
      <c r="R1122" s="15" t="str">
        <f>"30"</f>
        <v>30</v>
      </c>
      <c r="S1122" s="15" t="str">
        <f>"141.54"</f>
        <v>141.54</v>
      </c>
      <c r="T1122" s="15" t="s">
        <v>407</v>
      </c>
      <c r="U1122" s="15" t="s">
        <v>10881</v>
      </c>
      <c r="AA1122" s="15" t="s">
        <v>413</v>
      </c>
      <c r="AB1122" s="15" t="s">
        <v>413</v>
      </c>
      <c r="AC1122" s="15" t="s">
        <v>10679</v>
      </c>
      <c r="AD1122" s="15" t="s">
        <v>25183</v>
      </c>
      <c r="AE1122" s="15" t="s">
        <v>10678</v>
      </c>
      <c r="AF1122" s="15" t="s">
        <v>25184</v>
      </c>
      <c r="AG1122" s="15" t="s">
        <v>25185</v>
      </c>
      <c r="AH1122" s="15" t="s">
        <v>25186</v>
      </c>
      <c r="AI1122" s="15" t="s">
        <v>25187</v>
      </c>
      <c r="AJ1122" s="15" t="s">
        <v>25188</v>
      </c>
      <c r="AK1122" s="15" t="s">
        <v>25189</v>
      </c>
      <c r="AL1122" s="15" t="s">
        <v>25190</v>
      </c>
      <c r="AM1122" s="15" t="s">
        <v>25191</v>
      </c>
      <c r="AN1122" s="15" t="s">
        <v>22548</v>
      </c>
      <c r="BH1122" s="15" t="s">
        <v>10674</v>
      </c>
      <c r="BI1122" s="15" t="str">
        <f>"1999"</f>
        <v>1999</v>
      </c>
      <c r="BJ1122" s="15" t="str">
        <f>"840"</f>
        <v>840</v>
      </c>
      <c r="BK1122" s="15" t="s">
        <v>709</v>
      </c>
      <c r="BL1122" s="15" t="str">
        <f>"2"</f>
        <v>2</v>
      </c>
      <c r="BM1122" s="15" t="s">
        <v>1564</v>
      </c>
      <c r="BN1122" s="15" t="str">
        <f>"99.02"</f>
        <v>99.02</v>
      </c>
      <c r="BO1122" s="15" t="str">
        <f>"7.09"</f>
        <v>7.09</v>
      </c>
      <c r="BP1122" s="15" t="str">
        <f>"22.64"</f>
        <v>22.64</v>
      </c>
      <c r="BQ1122" s="15" t="str">
        <f>"98.99"</f>
        <v>98.99</v>
      </c>
      <c r="BR1122" s="15" t="s">
        <v>2238</v>
      </c>
      <c r="BS1122" s="15" t="str">
        <f>"19.29"</f>
        <v>19.29</v>
      </c>
      <c r="BT1122" s="15" t="str">
        <f>"17.32"</f>
        <v>17.32</v>
      </c>
      <c r="BU1122" s="15" t="str">
        <f>"33.46"</f>
        <v>33.46</v>
      </c>
      <c r="BV1122" s="15" t="str">
        <f>"79.81"</f>
        <v>79.81</v>
      </c>
      <c r="CG1122" s="15" t="str">
        <f>"15.64"</f>
        <v>15.64</v>
      </c>
      <c r="CH1122" s="15" t="str">
        <f>"0.443"</f>
        <v>0.443</v>
      </c>
      <c r="CI1122" s="15" t="s">
        <v>417</v>
      </c>
      <c r="CZ1122" s="15" t="s">
        <v>419</v>
      </c>
      <c r="DA1122" s="15">
        <v>0.0</v>
      </c>
      <c r="DB1122" s="15" t="s">
        <v>419</v>
      </c>
      <c r="DD1122" s="15">
        <v>0.0</v>
      </c>
      <c r="DF1122" s="15" t="s">
        <v>1186</v>
      </c>
      <c r="DG1122" s="15" t="s">
        <v>419</v>
      </c>
      <c r="DK1122" s="15">
        <v>0.0</v>
      </c>
      <c r="DR1122" s="15" t="s">
        <v>471</v>
      </c>
      <c r="DS1122" s="15" t="s">
        <v>10681</v>
      </c>
      <c r="DU1122" s="15" t="s">
        <v>424</v>
      </c>
      <c r="EF1122" s="15" t="s">
        <v>1460</v>
      </c>
      <c r="EG1122" s="15" t="s">
        <v>10234</v>
      </c>
      <c r="EH1122" s="15" t="s">
        <v>10682</v>
      </c>
      <c r="EQ1122" s="15" t="s">
        <v>1957</v>
      </c>
      <c r="ER1122" s="15" t="s">
        <v>1411</v>
      </c>
      <c r="ES1122" s="15" t="s">
        <v>822</v>
      </c>
      <c r="ET1122" s="15" t="s">
        <v>1957</v>
      </c>
      <c r="EU1122" s="15" t="s">
        <v>426</v>
      </c>
      <c r="EV1122" s="15">
        <v>0.0</v>
      </c>
      <c r="EW1122" s="15">
        <v>0.0</v>
      </c>
      <c r="FF1122" s="15" t="s">
        <v>531</v>
      </c>
      <c r="FQ1122" s="15">
        <v>0.0</v>
      </c>
      <c r="FR1122" s="15" t="s">
        <v>427</v>
      </c>
    </row>
    <row r="1123" ht="17.25" customHeight="1">
      <c r="A1123" s="15" t="s">
        <v>10686</v>
      </c>
      <c r="B1123" s="15" t="str">
        <f>"198394081603"</f>
        <v>198394081603</v>
      </c>
      <c r="C1123" s="15" t="s">
        <v>25192</v>
      </c>
      <c r="D1123" s="15" t="str">
        <f t="shared" si="1"/>
        <v>Yoko Nesting TablesClear Cast Glass</v>
      </c>
      <c r="E1123" s="15" t="s">
        <v>10683</v>
      </c>
      <c r="F1123" s="15" t="s">
        <v>397</v>
      </c>
      <c r="G1123" s="15" t="s">
        <v>10685</v>
      </c>
      <c r="J1123" s="15" t="s">
        <v>10685</v>
      </c>
      <c r="K1123" s="15" t="s">
        <v>3730</v>
      </c>
      <c r="M1123" s="15" t="s">
        <v>3586</v>
      </c>
      <c r="N1123" s="15" t="s">
        <v>491</v>
      </c>
      <c r="P1123" s="15" t="str">
        <f t="shared" ref="P1123:Q1123" si="3288">"32"</f>
        <v>32</v>
      </c>
      <c r="Q1123" s="15" t="str">
        <f t="shared" si="3288"/>
        <v>32</v>
      </c>
      <c r="R1123" s="15" t="str">
        <f>"18.25"</f>
        <v>18.25</v>
      </c>
      <c r="S1123" s="15" t="str">
        <f>"133.29"</f>
        <v>133.29</v>
      </c>
      <c r="T1123" s="15" t="s">
        <v>10689</v>
      </c>
      <c r="U1123" s="15" t="s">
        <v>25193</v>
      </c>
      <c r="V1123" s="15" t="s">
        <v>11139</v>
      </c>
      <c r="AA1123" s="15" t="s">
        <v>413</v>
      </c>
      <c r="AB1123" s="15" t="s">
        <v>413</v>
      </c>
      <c r="AC1123" s="15" t="s">
        <v>10690</v>
      </c>
      <c r="AD1123" s="15" t="s">
        <v>25194</v>
      </c>
      <c r="AE1123" s="15" t="s">
        <v>10688</v>
      </c>
      <c r="AF1123" s="15" t="s">
        <v>25195</v>
      </c>
      <c r="BH1123" s="15" t="s">
        <v>10684</v>
      </c>
      <c r="BI1123" s="15" t="str">
        <f>"1399"</f>
        <v>1399</v>
      </c>
      <c r="BJ1123" s="15" t="str">
        <f>"590"</f>
        <v>590</v>
      </c>
      <c r="BK1123" s="15" t="s">
        <v>1303</v>
      </c>
      <c r="BL1123" s="15" t="str">
        <f>"4"</f>
        <v>4</v>
      </c>
      <c r="BM1123" s="15" t="s">
        <v>10691</v>
      </c>
      <c r="BN1123" s="15" t="str">
        <f>"23.5"</f>
        <v>23.5</v>
      </c>
      <c r="BO1123" s="15" t="str">
        <f>"5"</f>
        <v>5</v>
      </c>
      <c r="BP1123" s="15" t="str">
        <f>"24"</f>
        <v>24</v>
      </c>
      <c r="BQ1123" s="15" t="str">
        <f>"34.61"</f>
        <v>34.61</v>
      </c>
      <c r="BR1123" s="15" t="s">
        <v>10693</v>
      </c>
      <c r="BS1123" s="15" t="str">
        <f>"37.25"</f>
        <v>37.25</v>
      </c>
      <c r="BT1123" s="15" t="str">
        <f>"6"</f>
        <v>6</v>
      </c>
      <c r="BU1123" s="15" t="str">
        <f>"38"</f>
        <v>38</v>
      </c>
      <c r="BV1123" s="15" t="str">
        <f>"99.3"</f>
        <v>99.3</v>
      </c>
      <c r="BW1123" s="15" t="s">
        <v>10695</v>
      </c>
      <c r="BX1123" s="15" t="str">
        <f>"33.75"</f>
        <v>33.75</v>
      </c>
      <c r="BY1123" s="15" t="str">
        <f>"34.5"</f>
        <v>34.5</v>
      </c>
      <c r="BZ1123" s="15" t="str">
        <f>"19"</f>
        <v>19</v>
      </c>
      <c r="CA1123" s="15" t="str">
        <f>"70.77"</f>
        <v>70.77</v>
      </c>
      <c r="CB1123" s="15" t="s">
        <v>10697</v>
      </c>
      <c r="CC1123" s="15" t="str">
        <f>"22.5"</f>
        <v>22.5</v>
      </c>
      <c r="CD1123" s="15" t="str">
        <f>"22.75"</f>
        <v>22.75</v>
      </c>
      <c r="CE1123" s="15" t="str">
        <f>"21"</f>
        <v>21</v>
      </c>
      <c r="CF1123" s="15" t="str">
        <f>"22.27"</f>
        <v>22.27</v>
      </c>
      <c r="CG1123" s="15" t="str">
        <f>"25.57"</f>
        <v>25.57</v>
      </c>
      <c r="CH1123" s="15" t="str">
        <f>"0.724"</f>
        <v>0.724</v>
      </c>
      <c r="CI1123" s="15" t="s">
        <v>497</v>
      </c>
      <c r="CZ1123" s="15" t="s">
        <v>419</v>
      </c>
      <c r="DA1123" s="15">
        <v>0.0</v>
      </c>
      <c r="DB1123" s="15" t="s">
        <v>419</v>
      </c>
      <c r="DD1123" s="15">
        <v>0.0</v>
      </c>
      <c r="DG1123" s="15" t="s">
        <v>419</v>
      </c>
      <c r="DK1123" s="15">
        <v>0.0</v>
      </c>
      <c r="DR1123" s="15" t="s">
        <v>1157</v>
      </c>
      <c r="DS1123" s="15" t="s">
        <v>10698</v>
      </c>
      <c r="DU1123" s="15" t="s">
        <v>500</v>
      </c>
      <c r="EV1123" s="15">
        <v>0.0</v>
      </c>
      <c r="EW1123" s="15">
        <v>0.0</v>
      </c>
    </row>
    <row r="1124" ht="17.25" customHeight="1">
      <c r="A1124" s="15" t="s">
        <v>10701</v>
      </c>
      <c r="B1124" s="15" t="str">
        <f>"801542025793"</f>
        <v>801542025793</v>
      </c>
      <c r="C1124" s="15" t="s">
        <v>25196</v>
      </c>
      <c r="D1124" s="15" t="str">
        <f t="shared" si="1"/>
        <v>Zach End TableBurnished Parawood</v>
      </c>
      <c r="E1124" s="15" t="s">
        <v>10699</v>
      </c>
      <c r="F1124" s="15" t="s">
        <v>397</v>
      </c>
      <c r="G1124" s="15" t="s">
        <v>5494</v>
      </c>
      <c r="J1124" s="15" t="s">
        <v>5494</v>
      </c>
      <c r="K1124" s="15" t="s">
        <v>10704</v>
      </c>
      <c r="M1124" s="15" t="s">
        <v>2063</v>
      </c>
      <c r="N1124" s="15" t="s">
        <v>1154</v>
      </c>
      <c r="P1124" s="15" t="str">
        <f t="shared" ref="P1124:Q1124" si="3289">"17"</f>
        <v>17</v>
      </c>
      <c r="Q1124" s="15" t="str">
        <f t="shared" si="3289"/>
        <v>17</v>
      </c>
      <c r="R1124" s="15" t="str">
        <f t="shared" ref="R1124:R1125" si="3291">"20"</f>
        <v>20</v>
      </c>
      <c r="S1124" s="15" t="str">
        <f t="shared" ref="S1124:S1125" si="3292">"22.05"</f>
        <v>22.05</v>
      </c>
      <c r="T1124" s="15" t="s">
        <v>10703</v>
      </c>
      <c r="U1124" s="15" t="s">
        <v>11210</v>
      </c>
      <c r="V1124" s="15" t="s">
        <v>25197</v>
      </c>
      <c r="AA1124" s="15" t="s">
        <v>413</v>
      </c>
      <c r="AB1124" s="15" t="s">
        <v>413</v>
      </c>
      <c r="AC1124" s="15" t="s">
        <v>10705</v>
      </c>
      <c r="AD1124" s="15" t="s">
        <v>25198</v>
      </c>
      <c r="AE1124" s="15" t="s">
        <v>10702</v>
      </c>
      <c r="AF1124" s="15" t="s">
        <v>25199</v>
      </c>
      <c r="AG1124" s="15" t="s">
        <v>25200</v>
      </c>
      <c r="AH1124" s="15" t="s">
        <v>25201</v>
      </c>
      <c r="AI1124" s="15" t="s">
        <v>25202</v>
      </c>
      <c r="AJ1124" s="15" t="s">
        <v>25203</v>
      </c>
      <c r="AK1124" s="15" t="s">
        <v>25204</v>
      </c>
      <c r="AL1124" s="15" t="s">
        <v>25205</v>
      </c>
      <c r="AM1124" s="15" t="s">
        <v>25206</v>
      </c>
      <c r="BH1124" s="15" t="s">
        <v>10700</v>
      </c>
      <c r="BI1124" s="15" t="str">
        <f t="shared" ref="BI1124:BI1125" si="3293">"399"</f>
        <v>399</v>
      </c>
      <c r="BJ1124" s="15" t="str">
        <f t="shared" ref="BJ1124:BJ1125" si="3294">"170"</f>
        <v>170</v>
      </c>
      <c r="BK1124" s="15" t="s">
        <v>742</v>
      </c>
      <c r="BL1124" s="15" t="str">
        <f t="shared" ref="BL1124:BL1126" si="3295">"1"</f>
        <v>1</v>
      </c>
      <c r="BM1124" s="15" t="s">
        <v>416</v>
      </c>
      <c r="BN1124" s="15" t="str">
        <f t="shared" ref="BN1124:BN1125" si="3296">"20.08"</f>
        <v>20.08</v>
      </c>
      <c r="BO1124" s="15" t="str">
        <f t="shared" ref="BO1124:BO1125" si="3297">"19.49"</f>
        <v>19.49</v>
      </c>
      <c r="BP1124" s="15" t="str">
        <f t="shared" ref="BP1124:BP1125" si="3298">"24.41"</f>
        <v>24.41</v>
      </c>
      <c r="BQ1124" s="15" t="str">
        <f t="shared" ref="BQ1124:BQ1125" si="3299">"28.66"</f>
        <v>28.66</v>
      </c>
      <c r="CG1124" s="15" t="str">
        <f t="shared" ref="CG1124:CG1125" si="3300">"5.54"</f>
        <v>5.54</v>
      </c>
      <c r="CH1124" s="15" t="str">
        <f t="shared" ref="CH1124:CH1125" si="3301">"0.157"</f>
        <v>0.157</v>
      </c>
      <c r="CI1124" s="15" t="s">
        <v>465</v>
      </c>
      <c r="CZ1124" s="15" t="s">
        <v>419</v>
      </c>
      <c r="DA1124" s="15">
        <v>0.0</v>
      </c>
      <c r="DB1124" s="15" t="s">
        <v>419</v>
      </c>
      <c r="DD1124" s="15">
        <v>0.0</v>
      </c>
      <c r="DF1124" s="15" t="s">
        <v>420</v>
      </c>
      <c r="DG1124" s="15" t="s">
        <v>419</v>
      </c>
      <c r="DK1124" s="15">
        <v>0.0</v>
      </c>
      <c r="DR1124" s="15" t="s">
        <v>1157</v>
      </c>
      <c r="DS1124" s="15" t="s">
        <v>10707</v>
      </c>
      <c r="DU1124" s="15" t="s">
        <v>500</v>
      </c>
      <c r="EF1124" s="15" t="s">
        <v>3777</v>
      </c>
      <c r="EQ1124" s="15" t="s">
        <v>2651</v>
      </c>
      <c r="ER1124" s="15" t="s">
        <v>3777</v>
      </c>
      <c r="ES1124" s="15" t="s">
        <v>2651</v>
      </c>
      <c r="ET1124" s="15" t="s">
        <v>8581</v>
      </c>
      <c r="EU1124" s="15" t="s">
        <v>426</v>
      </c>
      <c r="EV1124" s="15">
        <v>0.0</v>
      </c>
      <c r="EW1124" s="15">
        <v>0.0</v>
      </c>
      <c r="FF1124" s="15" t="s">
        <v>2505</v>
      </c>
    </row>
    <row r="1125" ht="17.25" customHeight="1">
      <c r="A1125" s="15" t="s">
        <v>10710</v>
      </c>
      <c r="B1125" s="15" t="str">
        <f>"801542024406"</f>
        <v>801542024406</v>
      </c>
      <c r="C1125" s="15" t="s">
        <v>25207</v>
      </c>
      <c r="D1125" s="15" t="str">
        <f t="shared" si="1"/>
        <v>Zach End TableTofu Solid</v>
      </c>
      <c r="E1125" s="15" t="s">
        <v>10699</v>
      </c>
      <c r="F1125" s="15" t="s">
        <v>397</v>
      </c>
      <c r="G1125" s="15" t="s">
        <v>10709</v>
      </c>
      <c r="J1125" s="15" t="s">
        <v>10709</v>
      </c>
      <c r="K1125" s="15" t="s">
        <v>10712</v>
      </c>
      <c r="M1125" s="15" t="s">
        <v>2063</v>
      </c>
      <c r="N1125" s="15" t="s">
        <v>1154</v>
      </c>
      <c r="P1125" s="15" t="str">
        <f t="shared" ref="P1125:Q1125" si="3290">"17"</f>
        <v>17</v>
      </c>
      <c r="Q1125" s="15" t="str">
        <f t="shared" si="3290"/>
        <v>17</v>
      </c>
      <c r="R1125" s="15" t="str">
        <f t="shared" si="3291"/>
        <v>20</v>
      </c>
      <c r="S1125" s="15" t="str">
        <f t="shared" si="3292"/>
        <v>22.05</v>
      </c>
      <c r="T1125" s="15" t="s">
        <v>10703</v>
      </c>
      <c r="U1125" s="15" t="s">
        <v>11210</v>
      </c>
      <c r="V1125" s="15" t="s">
        <v>25197</v>
      </c>
      <c r="AA1125" s="15" t="s">
        <v>413</v>
      </c>
      <c r="AB1125" s="15" t="s">
        <v>413</v>
      </c>
      <c r="AC1125" s="15" t="s">
        <v>10713</v>
      </c>
      <c r="AD1125" s="15" t="s">
        <v>25208</v>
      </c>
      <c r="AE1125" s="15" t="s">
        <v>10711</v>
      </c>
      <c r="AF1125" s="15" t="s">
        <v>25209</v>
      </c>
      <c r="AG1125" s="15" t="s">
        <v>25210</v>
      </c>
      <c r="AH1125" s="15" t="s">
        <v>25211</v>
      </c>
      <c r="AI1125" s="15" t="s">
        <v>25212</v>
      </c>
      <c r="AJ1125" s="15" t="s">
        <v>25213</v>
      </c>
      <c r="BH1125" s="15" t="s">
        <v>10708</v>
      </c>
      <c r="BI1125" s="15" t="str">
        <f t="shared" si="3293"/>
        <v>399</v>
      </c>
      <c r="BJ1125" s="15" t="str">
        <f t="shared" si="3294"/>
        <v>170</v>
      </c>
      <c r="BK1125" s="15" t="s">
        <v>742</v>
      </c>
      <c r="BL1125" s="15" t="str">
        <f t="shared" si="3295"/>
        <v>1</v>
      </c>
      <c r="BM1125" s="15" t="s">
        <v>416</v>
      </c>
      <c r="BN1125" s="15" t="str">
        <f t="shared" si="3296"/>
        <v>20.08</v>
      </c>
      <c r="BO1125" s="15" t="str">
        <f t="shared" si="3297"/>
        <v>19.49</v>
      </c>
      <c r="BP1125" s="15" t="str">
        <f t="shared" si="3298"/>
        <v>24.41</v>
      </c>
      <c r="BQ1125" s="15" t="str">
        <f t="shared" si="3299"/>
        <v>28.66</v>
      </c>
      <c r="CG1125" s="15" t="str">
        <f t="shared" si="3300"/>
        <v>5.54</v>
      </c>
      <c r="CH1125" s="15" t="str">
        <f t="shared" si="3301"/>
        <v>0.157</v>
      </c>
      <c r="CI1125" s="15" t="s">
        <v>417</v>
      </c>
      <c r="CZ1125" s="15" t="s">
        <v>419</v>
      </c>
      <c r="DA1125" s="15">
        <v>0.0</v>
      </c>
      <c r="DB1125" s="15" t="s">
        <v>419</v>
      </c>
      <c r="DD1125" s="15">
        <v>0.0</v>
      </c>
      <c r="DF1125" s="15" t="s">
        <v>420</v>
      </c>
      <c r="DG1125" s="15" t="s">
        <v>419</v>
      </c>
      <c r="DK1125" s="15">
        <v>0.0</v>
      </c>
      <c r="DR1125" s="15" t="s">
        <v>1157</v>
      </c>
      <c r="DS1125" s="15" t="s">
        <v>10707</v>
      </c>
      <c r="DU1125" s="15" t="s">
        <v>500</v>
      </c>
      <c r="EF1125" s="15" t="s">
        <v>3777</v>
      </c>
      <c r="EQ1125" s="15" t="s">
        <v>2651</v>
      </c>
      <c r="ER1125" s="15" t="s">
        <v>3777</v>
      </c>
      <c r="ES1125" s="15" t="s">
        <v>2651</v>
      </c>
      <c r="ET1125" s="15" t="s">
        <v>8581</v>
      </c>
      <c r="EU1125" s="15" t="s">
        <v>426</v>
      </c>
      <c r="EV1125" s="15">
        <v>0.0</v>
      </c>
      <c r="EW1125" s="15">
        <v>0.0</v>
      </c>
      <c r="FF1125" s="15" t="s">
        <v>2505</v>
      </c>
    </row>
    <row r="1126" ht="17.25" customHeight="1">
      <c r="A1126" s="15" t="s">
        <v>10716</v>
      </c>
      <c r="B1126" s="15" t="str">
        <f>"198394005548"</f>
        <v>198394005548</v>
      </c>
      <c r="C1126" s="15" t="s">
        <v>25214</v>
      </c>
      <c r="D1126" s="15" t="str">
        <f t="shared" si="1"/>
        <v>Zena OttomanAltair Sienna</v>
      </c>
      <c r="E1126" s="15" t="s">
        <v>10714</v>
      </c>
      <c r="F1126" s="15" t="s">
        <v>397</v>
      </c>
      <c r="G1126" s="15" t="s">
        <v>7118</v>
      </c>
      <c r="J1126" s="15" t="s">
        <v>7118</v>
      </c>
      <c r="K1126" s="15" t="s">
        <v>1059</v>
      </c>
      <c r="M1126" s="15" t="s">
        <v>915</v>
      </c>
      <c r="N1126" s="15" t="s">
        <v>1009</v>
      </c>
      <c r="P1126" s="15" t="str">
        <f t="shared" ref="P1126:Q1126" si="3302">"18"</f>
        <v>18</v>
      </c>
      <c r="Q1126" s="15" t="str">
        <f t="shared" si="3302"/>
        <v>18</v>
      </c>
      <c r="R1126" s="15" t="str">
        <f>"19.5"</f>
        <v>19.5</v>
      </c>
      <c r="S1126" s="15" t="str">
        <f>"13.89"</f>
        <v>13.89</v>
      </c>
      <c r="T1126" s="15" t="s">
        <v>832</v>
      </c>
      <c r="U1126" s="15" t="s">
        <v>11209</v>
      </c>
      <c r="V1126" s="15" t="s">
        <v>11210</v>
      </c>
      <c r="AA1126" s="15" t="s">
        <v>413</v>
      </c>
      <c r="AB1126" s="15" t="s">
        <v>413</v>
      </c>
      <c r="AC1126" s="15" t="s">
        <v>10719</v>
      </c>
      <c r="AD1126" s="15" t="s">
        <v>25215</v>
      </c>
      <c r="AE1126" s="15" t="s">
        <v>10718</v>
      </c>
      <c r="AF1126" s="15" t="s">
        <v>25216</v>
      </c>
      <c r="AG1126" s="15" t="s">
        <v>25217</v>
      </c>
      <c r="AH1126" s="15" t="s">
        <v>25218</v>
      </c>
      <c r="AI1126" s="15" t="s">
        <v>25219</v>
      </c>
      <c r="AJ1126" s="15" t="s">
        <v>25220</v>
      </c>
      <c r="AK1126" s="15" t="s">
        <v>25221</v>
      </c>
      <c r="BH1126" s="15" t="s">
        <v>10715</v>
      </c>
      <c r="BI1126" s="15" t="str">
        <f>"299"</f>
        <v>299</v>
      </c>
      <c r="BJ1126" s="15" t="str">
        <f>"130"</f>
        <v>130</v>
      </c>
      <c r="BK1126" s="15" t="s">
        <v>709</v>
      </c>
      <c r="BL1126" s="15" t="str">
        <f t="shared" si="3295"/>
        <v>1</v>
      </c>
      <c r="BM1126" s="15" t="s">
        <v>416</v>
      </c>
      <c r="BN1126" s="15" t="str">
        <f t="shared" ref="BN1126:BO1126" si="3303">"20.47"</f>
        <v>20.47</v>
      </c>
      <c r="BO1126" s="15" t="str">
        <f t="shared" si="3303"/>
        <v>20.47</v>
      </c>
      <c r="BP1126" s="15" t="str">
        <f>"15.75"</f>
        <v>15.75</v>
      </c>
      <c r="BQ1126" s="15" t="str">
        <f>"18.08"</f>
        <v>18.08</v>
      </c>
      <c r="CG1126" s="15" t="str">
        <f>"3.81"</f>
        <v>3.81</v>
      </c>
      <c r="CH1126" s="15" t="str">
        <f>"0.108"</f>
        <v>0.108</v>
      </c>
      <c r="CI1126" s="15" t="s">
        <v>497</v>
      </c>
      <c r="CS1126" s="15" t="s">
        <v>1065</v>
      </c>
      <c r="CT1126" s="15" t="s">
        <v>650</v>
      </c>
      <c r="CU1126" s="15" t="s">
        <v>1065</v>
      </c>
      <c r="CW1126" s="15">
        <v>0.0</v>
      </c>
      <c r="CY1126" s="15" t="s">
        <v>934</v>
      </c>
      <c r="DF1126" s="15" t="s">
        <v>721</v>
      </c>
      <c r="DG1126" s="15" t="s">
        <v>419</v>
      </c>
      <c r="DH1126" s="15">
        <v>0.0</v>
      </c>
      <c r="DL1126" s="15">
        <v>50000.0</v>
      </c>
      <c r="DM1126" s="15" t="s">
        <v>722</v>
      </c>
      <c r="DN1126" s="15" t="s">
        <v>1016</v>
      </c>
      <c r="DP1126" s="15">
        <v>1.0</v>
      </c>
      <c r="DQ1126" s="15">
        <v>1.0</v>
      </c>
      <c r="DR1126" s="15" t="s">
        <v>1157</v>
      </c>
      <c r="DS1126" s="15" t="s">
        <v>10721</v>
      </c>
      <c r="DT1126" s="15">
        <v>0.0</v>
      </c>
      <c r="DU1126" s="15" t="s">
        <v>726</v>
      </c>
      <c r="EF1126" s="15" t="s">
        <v>1069</v>
      </c>
      <c r="EG1126" s="15" t="s">
        <v>762</v>
      </c>
      <c r="EH1126" s="15" t="s">
        <v>762</v>
      </c>
      <c r="EO1126" s="15" t="s">
        <v>1255</v>
      </c>
    </row>
    <row r="1127" ht="17.25" customHeight="1">
      <c r="A1127" s="15" t="s">
        <v>10724</v>
      </c>
      <c r="B1127" s="15" t="str">
        <f>"801542829933"</f>
        <v>801542829933</v>
      </c>
      <c r="C1127" s="15" t="s">
        <v>25222</v>
      </c>
      <c r="D1127" s="15" t="str">
        <f t="shared" si="1"/>
        <v>Zion Nesting Coffee Table SetCream Marble</v>
      </c>
      <c r="E1127" s="15" t="s">
        <v>10722</v>
      </c>
      <c r="F1127" s="15" t="s">
        <v>397</v>
      </c>
      <c r="G1127" s="15" t="s">
        <v>1497</v>
      </c>
      <c r="J1127" s="15" t="s">
        <v>1497</v>
      </c>
      <c r="M1127" s="15" t="s">
        <v>2630</v>
      </c>
      <c r="N1127" s="15" t="s">
        <v>491</v>
      </c>
      <c r="P1127" s="15" t="str">
        <f t="shared" ref="P1127:P1129" si="3304">"48"</f>
        <v>48</v>
      </c>
      <c r="Q1127" s="15" t="str">
        <f t="shared" ref="Q1127:Q1129" si="3305">"30"</f>
        <v>30</v>
      </c>
      <c r="R1127" s="15" t="str">
        <f t="shared" ref="R1127:R1129" si="3306">"15"</f>
        <v>15</v>
      </c>
      <c r="S1127" s="15" t="str">
        <f t="shared" ref="S1127:S1128" si="3307">"386.78"</f>
        <v>386.78</v>
      </c>
      <c r="T1127" s="15" t="s">
        <v>7667</v>
      </c>
      <c r="U1127" s="15" t="s">
        <v>11754</v>
      </c>
      <c r="AA1127" s="15" t="s">
        <v>413</v>
      </c>
      <c r="AB1127" s="15" t="s">
        <v>413</v>
      </c>
      <c r="AC1127" s="15" t="s">
        <v>10727</v>
      </c>
      <c r="AD1127" s="15" t="s">
        <v>25223</v>
      </c>
      <c r="AE1127" s="15" t="s">
        <v>10726</v>
      </c>
      <c r="AF1127" s="15" t="s">
        <v>25224</v>
      </c>
      <c r="AG1127" s="15" t="s">
        <v>25225</v>
      </c>
      <c r="AH1127" s="15" t="s">
        <v>25226</v>
      </c>
      <c r="AI1127" s="15" t="s">
        <v>25227</v>
      </c>
      <c r="AJ1127" s="15" t="s">
        <v>25228</v>
      </c>
      <c r="AK1127" s="15" t="s">
        <v>25229</v>
      </c>
      <c r="AL1127" s="15" t="s">
        <v>25230</v>
      </c>
      <c r="AM1127" s="15" t="s">
        <v>25231</v>
      </c>
      <c r="AN1127" s="15" t="s">
        <v>25232</v>
      </c>
      <c r="AO1127" s="15" t="s">
        <v>25233</v>
      </c>
      <c r="AP1127" s="15" t="s">
        <v>25234</v>
      </c>
      <c r="AQ1127" s="15" t="s">
        <v>25235</v>
      </c>
      <c r="BH1127" s="15" t="s">
        <v>10723</v>
      </c>
      <c r="BI1127" s="15" t="str">
        <f>"3099"</f>
        <v>3099</v>
      </c>
      <c r="BJ1127" s="15" t="str">
        <f>"1305"</f>
        <v>1305</v>
      </c>
      <c r="BK1127" s="15" t="s">
        <v>1303</v>
      </c>
      <c r="BL1127" s="15" t="str">
        <f t="shared" ref="BL1127:BL1129" si="3308">"4"</f>
        <v>4</v>
      </c>
      <c r="BM1127" s="15" t="s">
        <v>1564</v>
      </c>
      <c r="BN1127" s="15" t="str">
        <f t="shared" ref="BN1127:BN1128" si="3309">"59.5"</f>
        <v>59.5</v>
      </c>
      <c r="BO1127" s="15" t="str">
        <f t="shared" ref="BO1127:BO1128" si="3310">"10.25"</f>
        <v>10.25</v>
      </c>
      <c r="BP1127" s="15" t="str">
        <f t="shared" ref="BP1127:BP1129" si="3311">"41"</f>
        <v>41</v>
      </c>
      <c r="BQ1127" s="15" t="str">
        <f t="shared" ref="BQ1127:BQ1128" si="3312">"160.82"</f>
        <v>160.82</v>
      </c>
      <c r="BR1127" s="15" t="s">
        <v>2238</v>
      </c>
      <c r="BS1127" s="15" t="str">
        <f t="shared" ref="BS1127:BS1128" si="3313">"42.75"</f>
        <v>42.75</v>
      </c>
      <c r="BT1127" s="15" t="str">
        <f t="shared" ref="BT1127:BT1128" si="3314">"15"</f>
        <v>15</v>
      </c>
      <c r="BU1127" s="15" t="str">
        <f t="shared" ref="BU1127:BU1128" si="3315">"19.25"</f>
        <v>19.25</v>
      </c>
      <c r="BV1127" s="15" t="str">
        <f t="shared" ref="BV1127:BV1128" si="3316">"147.37"</f>
        <v>147.37</v>
      </c>
      <c r="BW1127" s="15" t="s">
        <v>1564</v>
      </c>
      <c r="BX1127" s="15" t="str">
        <f t="shared" ref="BX1127:BX1128" si="3317">"47.5"</f>
        <v>47.5</v>
      </c>
      <c r="BY1127" s="15" t="str">
        <f t="shared" ref="BY1127:BY1128" si="3318">"10.5"</f>
        <v>10.5</v>
      </c>
      <c r="BZ1127" s="15" t="str">
        <f t="shared" ref="BZ1127:BZ1128" si="3319">"36.5"</f>
        <v>36.5</v>
      </c>
      <c r="CA1127" s="15" t="str">
        <f t="shared" ref="CA1127:CA1128" si="3320">"115.85"</f>
        <v>115.85</v>
      </c>
      <c r="CB1127" s="15" t="s">
        <v>2238</v>
      </c>
      <c r="CC1127" s="15" t="str">
        <f t="shared" ref="CC1127:CC1128" si="3321">"37"</f>
        <v>37</v>
      </c>
      <c r="CD1127" s="15" t="str">
        <f t="shared" ref="CD1127:CD1128" si="3322">"13"</f>
        <v>13</v>
      </c>
      <c r="CE1127" s="15" t="str">
        <f t="shared" ref="CE1127:CE1128" si="3323">"18"</f>
        <v>18</v>
      </c>
      <c r="CF1127" s="15" t="str">
        <f t="shared" ref="CF1127:CF1128" si="3324">"94.13"</f>
        <v>94.13</v>
      </c>
      <c r="CG1127" s="15" t="str">
        <f t="shared" ref="CG1127:CG1128" si="3325">"37.15"</f>
        <v>37.15</v>
      </c>
      <c r="CH1127" s="15" t="str">
        <f t="shared" ref="CH1127:CH1128" si="3326">"1.052"</f>
        <v>1.052</v>
      </c>
      <c r="CI1127" s="15" t="s">
        <v>497</v>
      </c>
      <c r="DG1127" s="15" t="s">
        <v>419</v>
      </c>
      <c r="DR1127" s="15" t="s">
        <v>1857</v>
      </c>
      <c r="DS1127" s="15" t="s">
        <v>10734</v>
      </c>
      <c r="DU1127" s="15" t="s">
        <v>500</v>
      </c>
    </row>
    <row r="1128" ht="17.25" customHeight="1">
      <c r="A1128" s="15" t="s">
        <v>10736</v>
      </c>
      <c r="B1128" s="15" t="str">
        <f>"801542192938"</f>
        <v>801542192938</v>
      </c>
      <c r="C1128" s="15" t="s">
        <v>25236</v>
      </c>
      <c r="D1128" s="15" t="str">
        <f t="shared" si="1"/>
        <v>Zion Nesting Coffee Table SetMerlot Marble</v>
      </c>
      <c r="E1128" s="15" t="s">
        <v>10722</v>
      </c>
      <c r="F1128" s="15" t="s">
        <v>397</v>
      </c>
      <c r="G1128" s="15" t="s">
        <v>10379</v>
      </c>
      <c r="J1128" s="15" t="s">
        <v>10379</v>
      </c>
      <c r="M1128" s="15" t="s">
        <v>2630</v>
      </c>
      <c r="N1128" s="15" t="s">
        <v>491</v>
      </c>
      <c r="P1128" s="15" t="str">
        <f t="shared" si="3304"/>
        <v>48</v>
      </c>
      <c r="Q1128" s="15" t="str">
        <f t="shared" si="3305"/>
        <v>30</v>
      </c>
      <c r="R1128" s="15" t="str">
        <f t="shared" si="3306"/>
        <v>15</v>
      </c>
      <c r="S1128" s="15" t="str">
        <f t="shared" si="3307"/>
        <v>386.78</v>
      </c>
      <c r="T1128" s="15" t="s">
        <v>7667</v>
      </c>
      <c r="U1128" s="15" t="s">
        <v>11754</v>
      </c>
      <c r="AA1128" s="15" t="s">
        <v>413</v>
      </c>
      <c r="AB1128" s="15" t="s">
        <v>413</v>
      </c>
      <c r="AC1128" s="15" t="s">
        <v>10727</v>
      </c>
      <c r="AD1128" s="15" t="s">
        <v>25237</v>
      </c>
      <c r="AE1128" s="15" t="s">
        <v>10737</v>
      </c>
      <c r="AF1128" s="15" t="s">
        <v>25238</v>
      </c>
      <c r="AG1128" s="15" t="s">
        <v>25239</v>
      </c>
      <c r="AH1128" s="15" t="s">
        <v>25240</v>
      </c>
      <c r="AI1128" s="15" t="s">
        <v>25241</v>
      </c>
      <c r="AJ1128" s="15" t="s">
        <v>25242</v>
      </c>
      <c r="AK1128" s="15" t="s">
        <v>25243</v>
      </c>
      <c r="AL1128" s="15" t="s">
        <v>25244</v>
      </c>
      <c r="AM1128" s="15" t="s">
        <v>25245</v>
      </c>
      <c r="AN1128" s="15" t="s">
        <v>25246</v>
      </c>
      <c r="AO1128" s="15" t="s">
        <v>25247</v>
      </c>
      <c r="AP1128" s="15" t="s">
        <v>25248</v>
      </c>
      <c r="AQ1128" s="15" t="s">
        <v>25249</v>
      </c>
      <c r="BH1128" s="15" t="s">
        <v>10735</v>
      </c>
      <c r="BI1128" s="15" t="str">
        <f>"2199"</f>
        <v>2199</v>
      </c>
      <c r="BJ1128" s="15" t="str">
        <f>"925"</f>
        <v>925</v>
      </c>
      <c r="BK1128" s="15" t="s">
        <v>1303</v>
      </c>
      <c r="BL1128" s="15" t="str">
        <f t="shared" si="3308"/>
        <v>4</v>
      </c>
      <c r="BM1128" s="15" t="s">
        <v>1564</v>
      </c>
      <c r="BN1128" s="15" t="str">
        <f t="shared" si="3309"/>
        <v>59.5</v>
      </c>
      <c r="BO1128" s="15" t="str">
        <f t="shared" si="3310"/>
        <v>10.25</v>
      </c>
      <c r="BP1128" s="15" t="str">
        <f t="shared" si="3311"/>
        <v>41</v>
      </c>
      <c r="BQ1128" s="15" t="str">
        <f t="shared" si="3312"/>
        <v>160.82</v>
      </c>
      <c r="BR1128" s="15" t="s">
        <v>2238</v>
      </c>
      <c r="BS1128" s="15" t="str">
        <f t="shared" si="3313"/>
        <v>42.75</v>
      </c>
      <c r="BT1128" s="15" t="str">
        <f t="shared" si="3314"/>
        <v>15</v>
      </c>
      <c r="BU1128" s="15" t="str">
        <f t="shared" si="3315"/>
        <v>19.25</v>
      </c>
      <c r="BV1128" s="15" t="str">
        <f t="shared" si="3316"/>
        <v>147.37</v>
      </c>
      <c r="BW1128" s="15" t="s">
        <v>1564</v>
      </c>
      <c r="BX1128" s="15" t="str">
        <f t="shared" si="3317"/>
        <v>47.5</v>
      </c>
      <c r="BY1128" s="15" t="str">
        <f t="shared" si="3318"/>
        <v>10.5</v>
      </c>
      <c r="BZ1128" s="15" t="str">
        <f t="shared" si="3319"/>
        <v>36.5</v>
      </c>
      <c r="CA1128" s="15" t="str">
        <f t="shared" si="3320"/>
        <v>115.85</v>
      </c>
      <c r="CB1128" s="15" t="s">
        <v>2238</v>
      </c>
      <c r="CC1128" s="15" t="str">
        <f t="shared" si="3321"/>
        <v>37</v>
      </c>
      <c r="CD1128" s="15" t="str">
        <f t="shared" si="3322"/>
        <v>13</v>
      </c>
      <c r="CE1128" s="15" t="str">
        <f t="shared" si="3323"/>
        <v>18</v>
      </c>
      <c r="CF1128" s="15" t="str">
        <f t="shared" si="3324"/>
        <v>94.13</v>
      </c>
      <c r="CG1128" s="15" t="str">
        <f t="shared" si="3325"/>
        <v>37.15</v>
      </c>
      <c r="CH1128" s="15" t="str">
        <f t="shared" si="3326"/>
        <v>1.052</v>
      </c>
      <c r="CI1128" s="15" t="s">
        <v>497</v>
      </c>
      <c r="DG1128" s="15" t="s">
        <v>419</v>
      </c>
      <c r="DR1128" s="15" t="s">
        <v>1857</v>
      </c>
      <c r="DS1128" s="15" t="s">
        <v>10734</v>
      </c>
      <c r="DU1128" s="15" t="s">
        <v>500</v>
      </c>
    </row>
    <row r="1129" ht="17.25" customHeight="1">
      <c r="A1129" s="15" t="s">
        <v>10739</v>
      </c>
      <c r="B1129" s="15" t="str">
        <f>"198394057882"</f>
        <v>198394057882</v>
      </c>
      <c r="C1129" s="15" t="s">
        <v>25250</v>
      </c>
      <c r="D1129" s="15" t="str">
        <f t="shared" si="1"/>
        <v>Zion Nesting Coffee Table SetNatural Oak</v>
      </c>
      <c r="E1129" s="15" t="s">
        <v>10722</v>
      </c>
      <c r="F1129" s="15" t="s">
        <v>397</v>
      </c>
      <c r="G1129" s="15" t="s">
        <v>2868</v>
      </c>
      <c r="J1129" s="15" t="s">
        <v>2868</v>
      </c>
      <c r="K1129" s="15" t="s">
        <v>6520</v>
      </c>
      <c r="M1129" s="15" t="s">
        <v>2630</v>
      </c>
      <c r="N1129" s="15" t="s">
        <v>491</v>
      </c>
      <c r="P1129" s="15" t="str">
        <f t="shared" si="3304"/>
        <v>48</v>
      </c>
      <c r="Q1129" s="15" t="str">
        <f t="shared" si="3305"/>
        <v>30</v>
      </c>
      <c r="R1129" s="15" t="str">
        <f t="shared" si="3306"/>
        <v>15</v>
      </c>
      <c r="S1129" s="15" t="str">
        <f>"86.09"</f>
        <v>86.09</v>
      </c>
      <c r="T1129" s="15" t="s">
        <v>1532</v>
      </c>
      <c r="U1129" s="15" t="s">
        <v>11338</v>
      </c>
      <c r="V1129" s="15" t="s">
        <v>11553</v>
      </c>
      <c r="AA1129" s="15" t="s">
        <v>413</v>
      </c>
      <c r="AB1129" s="15" t="s">
        <v>413</v>
      </c>
      <c r="AC1129" s="15" t="s">
        <v>10742</v>
      </c>
      <c r="AD1129" s="15" t="s">
        <v>25251</v>
      </c>
      <c r="AE1129" s="15" t="s">
        <v>10741</v>
      </c>
      <c r="AF1129" s="15" t="s">
        <v>25252</v>
      </c>
      <c r="AG1129" s="15" t="s">
        <v>25253</v>
      </c>
      <c r="AH1129" s="15" t="s">
        <v>25254</v>
      </c>
      <c r="AI1129" s="15" t="s">
        <v>25255</v>
      </c>
      <c r="AJ1129" s="15" t="s">
        <v>25256</v>
      </c>
      <c r="AK1129" s="15" t="s">
        <v>25257</v>
      </c>
      <c r="AL1129" s="15" t="s">
        <v>25258</v>
      </c>
      <c r="AM1129" s="15" t="s">
        <v>25259</v>
      </c>
      <c r="AN1129" s="15" t="s">
        <v>25260</v>
      </c>
      <c r="BH1129" s="15" t="s">
        <v>10738</v>
      </c>
      <c r="BI1129" s="15" t="str">
        <f>"1849"</f>
        <v>1849</v>
      </c>
      <c r="BJ1129" s="15" t="str">
        <f>"780"</f>
        <v>780</v>
      </c>
      <c r="BK1129" s="15" t="s">
        <v>1303</v>
      </c>
      <c r="BL1129" s="15" t="str">
        <f t="shared" si="3308"/>
        <v>4</v>
      </c>
      <c r="BM1129" s="15" t="s">
        <v>1564</v>
      </c>
      <c r="BN1129" s="15" t="str">
        <f>"60"</f>
        <v>60</v>
      </c>
      <c r="BO1129" s="15" t="str">
        <f>"8.5"</f>
        <v>8.5</v>
      </c>
      <c r="BP1129" s="15" t="str">
        <f t="shared" si="3311"/>
        <v>41</v>
      </c>
      <c r="BQ1129" s="15" t="str">
        <f>"77.71"</f>
        <v>77.71</v>
      </c>
      <c r="BR1129" s="15" t="s">
        <v>2238</v>
      </c>
      <c r="BS1129" s="15" t="str">
        <f>"39"</f>
        <v>39</v>
      </c>
      <c r="BT1129" s="15" t="str">
        <f>"16.75"</f>
        <v>16.75</v>
      </c>
      <c r="BU1129" s="15" t="str">
        <f>"21"</f>
        <v>21</v>
      </c>
      <c r="BV1129" s="15" t="str">
        <f>"40.12"</f>
        <v>40.12</v>
      </c>
      <c r="BW1129" s="15" t="s">
        <v>1564</v>
      </c>
      <c r="BX1129" s="15" t="str">
        <f>"48"</f>
        <v>48</v>
      </c>
      <c r="BY1129" s="15" t="str">
        <f>"8.5"</f>
        <v>8.5</v>
      </c>
      <c r="BZ1129" s="15" t="str">
        <f>"37"</f>
        <v>37</v>
      </c>
      <c r="CA1129" s="15" t="str">
        <f>"57.98"</f>
        <v>57.98</v>
      </c>
      <c r="CB1129" s="15" t="s">
        <v>2238</v>
      </c>
      <c r="CC1129" s="15" t="str">
        <f>"33.5"</f>
        <v>33.5</v>
      </c>
      <c r="CD1129" s="15" t="str">
        <f>"15"</f>
        <v>15</v>
      </c>
      <c r="CE1129" s="15" t="str">
        <f>"19"</f>
        <v>19</v>
      </c>
      <c r="CF1129" s="15" t="str">
        <f>"29.54"</f>
        <v>29.54</v>
      </c>
      <c r="CG1129" s="15" t="str">
        <f>"34.29"</f>
        <v>34.29</v>
      </c>
      <c r="CH1129" s="15" t="str">
        <f>"0.971"</f>
        <v>0.971</v>
      </c>
      <c r="CI1129" s="15" t="s">
        <v>497</v>
      </c>
      <c r="DG1129" s="15" t="s">
        <v>419</v>
      </c>
      <c r="DR1129" s="15" t="s">
        <v>1857</v>
      </c>
      <c r="DS1129" s="15" t="s">
        <v>10734</v>
      </c>
      <c r="DU1129" s="15" t="s">
        <v>500</v>
      </c>
    </row>
    <row r="1130" ht="17.25" customHeight="1">
      <c r="A1130" s="15" t="s">
        <v>10750</v>
      </c>
      <c r="B1130" s="15" t="str">
        <f>"801542761370"</f>
        <v>801542761370</v>
      </c>
      <c r="C1130" s="15" t="s">
        <v>25261</v>
      </c>
      <c r="D1130" s="15" t="str">
        <f t="shared" si="1"/>
        <v>Zuma 6 Drawer DresserDune Ash Veneer</v>
      </c>
      <c r="E1130" s="15" t="s">
        <v>10747</v>
      </c>
      <c r="F1130" s="15" t="s">
        <v>397</v>
      </c>
      <c r="G1130" s="15" t="s">
        <v>10749</v>
      </c>
      <c r="J1130" s="15" t="s">
        <v>10749</v>
      </c>
      <c r="K1130" s="15" t="s">
        <v>6999</v>
      </c>
      <c r="M1130" s="15" t="s">
        <v>5444</v>
      </c>
      <c r="N1130" s="15" t="s">
        <v>412</v>
      </c>
      <c r="P1130" s="15" t="str">
        <f>"69"</f>
        <v>69</v>
      </c>
      <c r="Q1130" s="15" t="str">
        <f>"18"</f>
        <v>18</v>
      </c>
      <c r="R1130" s="15" t="str">
        <f>"34.25"</f>
        <v>34.25</v>
      </c>
      <c r="S1130" s="15" t="str">
        <f>"219.36"</f>
        <v>219.36</v>
      </c>
      <c r="T1130" s="15" t="s">
        <v>10753</v>
      </c>
      <c r="U1130" s="15" t="s">
        <v>11149</v>
      </c>
      <c r="V1130" s="15" t="s">
        <v>12520</v>
      </c>
      <c r="AA1130" s="15" t="s">
        <v>413</v>
      </c>
      <c r="AB1130" s="15" t="s">
        <v>413</v>
      </c>
      <c r="AC1130" s="15" t="s">
        <v>10754</v>
      </c>
      <c r="AD1130" s="15" t="s">
        <v>25262</v>
      </c>
      <c r="AE1130" s="15" t="s">
        <v>10752</v>
      </c>
      <c r="AF1130" s="15" t="s">
        <v>25263</v>
      </c>
      <c r="AG1130" s="15" t="s">
        <v>25264</v>
      </c>
      <c r="AH1130" s="15" t="s">
        <v>25265</v>
      </c>
      <c r="AI1130" s="15" t="s">
        <v>25266</v>
      </c>
      <c r="AJ1130" s="15" t="s">
        <v>25267</v>
      </c>
      <c r="AK1130" s="15" t="s">
        <v>25268</v>
      </c>
      <c r="AL1130" s="15" t="s">
        <v>25269</v>
      </c>
      <c r="AM1130" s="15" t="s">
        <v>25270</v>
      </c>
      <c r="AN1130" s="15" t="s">
        <v>25271</v>
      </c>
      <c r="AO1130" s="15" t="s">
        <v>25272</v>
      </c>
      <c r="BH1130" s="15" t="s">
        <v>10748</v>
      </c>
      <c r="BI1130" s="15" t="str">
        <f>"2499"</f>
        <v>2499</v>
      </c>
      <c r="BJ1130" s="15" t="str">
        <f>"1050"</f>
        <v>1050</v>
      </c>
      <c r="BK1130" s="15" t="s">
        <v>742</v>
      </c>
      <c r="BL1130" s="15" t="str">
        <f t="shared" ref="BL1130:BL1134" si="3327">"1"</f>
        <v>1</v>
      </c>
      <c r="BM1130" s="15" t="s">
        <v>416</v>
      </c>
      <c r="BN1130" s="15" t="str">
        <f>"72.44"</f>
        <v>72.44</v>
      </c>
      <c r="BO1130" s="15" t="str">
        <f>"21.26"</f>
        <v>21.26</v>
      </c>
      <c r="BP1130" s="15" t="str">
        <f>"38.39"</f>
        <v>38.39</v>
      </c>
      <c r="BQ1130" s="15" t="str">
        <f>"259.04"</f>
        <v>259.04</v>
      </c>
      <c r="CG1130" s="15" t="str">
        <f>"34.22"</f>
        <v>34.22</v>
      </c>
      <c r="CH1130" s="15" t="str">
        <f>"0.969"</f>
        <v>0.969</v>
      </c>
      <c r="CI1130" s="15" t="s">
        <v>497</v>
      </c>
      <c r="CJ1130" s="15" t="s">
        <v>1014</v>
      </c>
      <c r="CK1130" s="15" t="s">
        <v>3800</v>
      </c>
      <c r="CL1130" s="15" t="s">
        <v>10756</v>
      </c>
      <c r="CM1130" s="15" t="s">
        <v>1014</v>
      </c>
      <c r="CN1130" s="15" t="s">
        <v>7750</v>
      </c>
      <c r="CO1130" s="15" t="s">
        <v>10756</v>
      </c>
      <c r="CZ1130" s="15" t="s">
        <v>1371</v>
      </c>
      <c r="DA1130" s="15">
        <v>6.0</v>
      </c>
      <c r="DB1130" s="15" t="s">
        <v>419</v>
      </c>
      <c r="DD1130" s="15">
        <v>1.0</v>
      </c>
      <c r="DE1130" s="15" t="s">
        <v>426</v>
      </c>
      <c r="DF1130" s="15" t="s">
        <v>420</v>
      </c>
      <c r="DG1130" s="15" t="s">
        <v>421</v>
      </c>
      <c r="DK1130" s="15">
        <v>0.0</v>
      </c>
      <c r="DR1130" s="15" t="s">
        <v>422</v>
      </c>
      <c r="DS1130" s="15" t="s">
        <v>10757</v>
      </c>
      <c r="DU1130" s="15" t="s">
        <v>500</v>
      </c>
      <c r="EF1130" s="15" t="s">
        <v>2098</v>
      </c>
      <c r="EU1130" s="15" t="s">
        <v>426</v>
      </c>
      <c r="EV1130" s="15">
        <v>1.0</v>
      </c>
      <c r="FQ1130" s="15">
        <v>0.0</v>
      </c>
      <c r="FR1130" s="15" t="s">
        <v>427</v>
      </c>
      <c r="FX1130" s="15" t="s">
        <v>426</v>
      </c>
      <c r="FZ1130" s="15" t="s">
        <v>4684</v>
      </c>
      <c r="GA1130" s="15" t="s">
        <v>4684</v>
      </c>
      <c r="GB1130" s="15" t="s">
        <v>3101</v>
      </c>
      <c r="GC1130" s="15" t="s">
        <v>6267</v>
      </c>
      <c r="GD1130" s="15" t="s">
        <v>3287</v>
      </c>
      <c r="GE1130" s="15" t="s">
        <v>3287</v>
      </c>
      <c r="GF1130" s="15" t="s">
        <v>431</v>
      </c>
      <c r="GH1130" s="15" t="s">
        <v>764</v>
      </c>
    </row>
    <row r="1131" ht="17.25" customHeight="1">
      <c r="A1131" s="15" t="s">
        <v>10760</v>
      </c>
      <c r="B1131" s="15" t="str">
        <f>"801542742683"</f>
        <v>801542742683</v>
      </c>
      <c r="C1131" s="15" t="s">
        <v>25273</v>
      </c>
      <c r="D1131" s="15" t="str">
        <f t="shared" si="1"/>
        <v>Zuma Coffee TableDune Ash Veneer</v>
      </c>
      <c r="E1131" s="15" t="s">
        <v>10758</v>
      </c>
      <c r="F1131" s="15" t="s">
        <v>397</v>
      </c>
      <c r="G1131" s="15" t="s">
        <v>10749</v>
      </c>
      <c r="J1131" s="15" t="s">
        <v>10749</v>
      </c>
      <c r="K1131" s="15" t="s">
        <v>6999</v>
      </c>
      <c r="M1131" s="15" t="s">
        <v>5444</v>
      </c>
      <c r="N1131" s="15" t="s">
        <v>491</v>
      </c>
      <c r="P1131" s="15" t="str">
        <f>"48"</f>
        <v>48</v>
      </c>
      <c r="Q1131" s="15" t="str">
        <f>"26"</f>
        <v>26</v>
      </c>
      <c r="R1131" s="15" t="str">
        <f>"17"</f>
        <v>17</v>
      </c>
      <c r="S1131" s="15" t="str">
        <f>"98.1"</f>
        <v>98.1</v>
      </c>
      <c r="T1131" s="15" t="s">
        <v>10762</v>
      </c>
      <c r="U1131" s="15" t="s">
        <v>11149</v>
      </c>
      <c r="V1131" s="15" t="s">
        <v>12520</v>
      </c>
      <c r="W1131" s="15" t="s">
        <v>11138</v>
      </c>
      <c r="AA1131" s="15" t="s">
        <v>413</v>
      </c>
      <c r="AB1131" s="15" t="s">
        <v>413</v>
      </c>
      <c r="AC1131" s="15" t="s">
        <v>10763</v>
      </c>
      <c r="AD1131" s="15" t="s">
        <v>25274</v>
      </c>
      <c r="AE1131" s="15" t="s">
        <v>10761</v>
      </c>
      <c r="AF1131" s="15" t="s">
        <v>25275</v>
      </c>
      <c r="AG1131" s="15" t="s">
        <v>25276</v>
      </c>
      <c r="AH1131" s="15" t="s">
        <v>25277</v>
      </c>
      <c r="AI1131" s="15" t="s">
        <v>25278</v>
      </c>
      <c r="AJ1131" s="15" t="s">
        <v>25279</v>
      </c>
      <c r="AK1131" s="15" t="s">
        <v>25280</v>
      </c>
      <c r="AL1131" s="15" t="s">
        <v>25281</v>
      </c>
      <c r="AM1131" s="15" t="s">
        <v>25282</v>
      </c>
      <c r="AN1131" s="15" t="s">
        <v>25283</v>
      </c>
      <c r="AO1131" s="15" t="s">
        <v>25284</v>
      </c>
      <c r="AP1131" s="15" t="s">
        <v>25285</v>
      </c>
      <c r="AQ1131" s="15" t="s">
        <v>25286</v>
      </c>
      <c r="BH1131" s="15" t="s">
        <v>10759</v>
      </c>
      <c r="BI1131" s="15" t="str">
        <f>"1299"</f>
        <v>1299</v>
      </c>
      <c r="BJ1131" s="15" t="str">
        <f>"550"</f>
        <v>550</v>
      </c>
      <c r="BK1131" s="15" t="s">
        <v>742</v>
      </c>
      <c r="BL1131" s="15" t="str">
        <f t="shared" si="3327"/>
        <v>1</v>
      </c>
      <c r="BM1131" s="15" t="s">
        <v>416</v>
      </c>
      <c r="BN1131" s="15" t="str">
        <f>"51.18"</f>
        <v>51.18</v>
      </c>
      <c r="BO1131" s="15" t="str">
        <f>"29.33"</f>
        <v>29.33</v>
      </c>
      <c r="BP1131" s="15" t="str">
        <f>"22.05"</f>
        <v>22.05</v>
      </c>
      <c r="BQ1131" s="15" t="str">
        <f>"130.07"</f>
        <v>130.07</v>
      </c>
      <c r="CG1131" s="15" t="str">
        <f>"19.14"</f>
        <v>19.14</v>
      </c>
      <c r="CH1131" s="15" t="str">
        <f>"0.542"</f>
        <v>0.542</v>
      </c>
      <c r="CI1131" s="15" t="s">
        <v>465</v>
      </c>
      <c r="CJ1131" s="15" t="s">
        <v>8200</v>
      </c>
      <c r="CK1131" s="15" t="s">
        <v>3800</v>
      </c>
      <c r="CL1131" s="15" t="s">
        <v>7230</v>
      </c>
      <c r="CM1131" s="15" t="s">
        <v>8200</v>
      </c>
      <c r="CN1131" s="15" t="s">
        <v>8114</v>
      </c>
      <c r="CO1131" s="15" t="s">
        <v>7230</v>
      </c>
      <c r="CZ1131" s="15" t="s">
        <v>1371</v>
      </c>
      <c r="DA1131" s="15">
        <v>4.0</v>
      </c>
      <c r="DB1131" s="15" t="s">
        <v>419</v>
      </c>
      <c r="DD1131" s="15">
        <v>1.0</v>
      </c>
      <c r="DE1131" s="15" t="s">
        <v>426</v>
      </c>
      <c r="DF1131" s="15" t="s">
        <v>420</v>
      </c>
      <c r="DG1131" s="15" t="s">
        <v>421</v>
      </c>
      <c r="DK1131" s="15">
        <v>0.0</v>
      </c>
      <c r="DR1131" s="15" t="s">
        <v>471</v>
      </c>
      <c r="DS1131" s="15" t="s">
        <v>10757</v>
      </c>
      <c r="DU1131" s="15" t="s">
        <v>500</v>
      </c>
      <c r="EF1131" s="15" t="s">
        <v>4163</v>
      </c>
      <c r="EG1131" s="15" t="s">
        <v>6289</v>
      </c>
      <c r="EH1131" s="15" t="s">
        <v>996</v>
      </c>
      <c r="EQ1131" s="15" t="s">
        <v>784</v>
      </c>
      <c r="ER1131" s="15" t="s">
        <v>2654</v>
      </c>
      <c r="ES1131" s="15" t="s">
        <v>784</v>
      </c>
      <c r="ET1131" s="15" t="s">
        <v>782</v>
      </c>
      <c r="EU1131" s="15" t="s">
        <v>426</v>
      </c>
      <c r="EV1131" s="15">
        <v>1.0</v>
      </c>
      <c r="EW1131" s="15">
        <v>0.0</v>
      </c>
      <c r="FX1131" s="15" t="s">
        <v>426</v>
      </c>
      <c r="FZ1131" s="15" t="s">
        <v>10764</v>
      </c>
      <c r="GB1131" s="15" t="s">
        <v>6948</v>
      </c>
      <c r="GD1131" s="15" t="s">
        <v>10765</v>
      </c>
      <c r="GF1131" s="15" t="s">
        <v>431</v>
      </c>
      <c r="GH1131" s="15" t="s">
        <v>764</v>
      </c>
    </row>
    <row r="1132" ht="17.25" customHeight="1">
      <c r="A1132" s="15" t="s">
        <v>10768</v>
      </c>
      <c r="B1132" s="15" t="str">
        <f>"801542739799"</f>
        <v>801542739799</v>
      </c>
      <c r="C1132" s="15" t="s">
        <v>25287</v>
      </c>
      <c r="D1132" s="15" t="str">
        <f t="shared" si="1"/>
        <v>Zuma ConsoleDune Ash Veneer</v>
      </c>
      <c r="E1132" s="15" t="s">
        <v>10766</v>
      </c>
      <c r="F1132" s="15" t="s">
        <v>397</v>
      </c>
      <c r="G1132" s="15" t="s">
        <v>10749</v>
      </c>
      <c r="J1132" s="15" t="s">
        <v>10749</v>
      </c>
      <c r="K1132" s="15" t="s">
        <v>6999</v>
      </c>
      <c r="M1132" s="15" t="s">
        <v>5444</v>
      </c>
      <c r="N1132" s="15" t="s">
        <v>519</v>
      </c>
      <c r="P1132" s="15" t="str">
        <f>"55"</f>
        <v>55</v>
      </c>
      <c r="Q1132" s="15" t="str">
        <f t="shared" ref="Q1132:Q1133" si="3328">"15.75"</f>
        <v>15.75</v>
      </c>
      <c r="R1132" s="15" t="str">
        <f>"30"</f>
        <v>30</v>
      </c>
      <c r="S1132" s="15" t="str">
        <f>"80.47"</f>
        <v>80.47</v>
      </c>
      <c r="T1132" s="15" t="s">
        <v>10762</v>
      </c>
      <c r="U1132" s="15" t="s">
        <v>11149</v>
      </c>
      <c r="V1132" s="15" t="s">
        <v>12520</v>
      </c>
      <c r="W1132" s="15" t="s">
        <v>11138</v>
      </c>
      <c r="AA1132" s="15" t="s">
        <v>413</v>
      </c>
      <c r="AB1132" s="15" t="s">
        <v>413</v>
      </c>
      <c r="AC1132" s="15" t="s">
        <v>10763</v>
      </c>
      <c r="AD1132" s="15" t="s">
        <v>25288</v>
      </c>
      <c r="AE1132" s="15" t="s">
        <v>10769</v>
      </c>
      <c r="AF1132" s="15" t="s">
        <v>25289</v>
      </c>
      <c r="AG1132" s="15" t="s">
        <v>25290</v>
      </c>
      <c r="AH1132" s="15" t="s">
        <v>25291</v>
      </c>
      <c r="AI1132" s="15" t="s">
        <v>25292</v>
      </c>
      <c r="AJ1132" s="15" t="s">
        <v>25293</v>
      </c>
      <c r="AK1132" s="15" t="s">
        <v>25294</v>
      </c>
      <c r="AL1132" s="15" t="s">
        <v>25295</v>
      </c>
      <c r="AM1132" s="15" t="s">
        <v>25296</v>
      </c>
      <c r="AN1132" s="15" t="s">
        <v>25297</v>
      </c>
      <c r="AO1132" s="15" t="s">
        <v>25298</v>
      </c>
      <c r="AP1132" s="15" t="s">
        <v>25299</v>
      </c>
      <c r="AQ1132" s="15" t="s">
        <v>25300</v>
      </c>
      <c r="BH1132" s="15" t="s">
        <v>10767</v>
      </c>
      <c r="BI1132" s="15" t="str">
        <f>"1099"</f>
        <v>1099</v>
      </c>
      <c r="BJ1132" s="15" t="str">
        <f>"465"</f>
        <v>465</v>
      </c>
      <c r="BK1132" s="15" t="s">
        <v>742</v>
      </c>
      <c r="BL1132" s="15" t="str">
        <f t="shared" si="3327"/>
        <v>1</v>
      </c>
      <c r="BM1132" s="15" t="s">
        <v>416</v>
      </c>
      <c r="BN1132" s="15" t="str">
        <f>"58.46"</f>
        <v>58.46</v>
      </c>
      <c r="BO1132" s="15" t="str">
        <f>"19.49"</f>
        <v>19.49</v>
      </c>
      <c r="BP1132" s="15" t="str">
        <f>"35.04"</f>
        <v>35.04</v>
      </c>
      <c r="BQ1132" s="15" t="str">
        <f>"109.13"</f>
        <v>109.13</v>
      </c>
      <c r="CG1132" s="15" t="str">
        <f>"23.1"</f>
        <v>23.1</v>
      </c>
      <c r="CH1132" s="15" t="str">
        <f>"0.654"</f>
        <v>0.654</v>
      </c>
      <c r="CI1132" s="15" t="s">
        <v>497</v>
      </c>
      <c r="CJ1132" s="15" t="s">
        <v>3112</v>
      </c>
      <c r="CK1132" s="15" t="s">
        <v>3800</v>
      </c>
      <c r="CL1132" s="15" t="s">
        <v>10770</v>
      </c>
      <c r="CM1132" s="15" t="s">
        <v>3112</v>
      </c>
      <c r="CN1132" s="15" t="s">
        <v>607</v>
      </c>
      <c r="CO1132" s="15" t="s">
        <v>10770</v>
      </c>
      <c r="CZ1132" s="15" t="s">
        <v>1371</v>
      </c>
      <c r="DA1132" s="15">
        <v>2.0</v>
      </c>
      <c r="DB1132" s="15" t="s">
        <v>419</v>
      </c>
      <c r="DD1132" s="15">
        <v>1.0</v>
      </c>
      <c r="DE1132" s="15" t="s">
        <v>426</v>
      </c>
      <c r="DF1132" s="15" t="s">
        <v>420</v>
      </c>
      <c r="DG1132" s="15" t="s">
        <v>421</v>
      </c>
      <c r="DK1132" s="15">
        <v>0.0</v>
      </c>
      <c r="DR1132" s="15" t="s">
        <v>471</v>
      </c>
      <c r="DS1132" s="15" t="s">
        <v>10757</v>
      </c>
      <c r="DU1132" s="15" t="s">
        <v>500</v>
      </c>
      <c r="EF1132" s="15" t="s">
        <v>7777</v>
      </c>
      <c r="EG1132" s="15" t="s">
        <v>5817</v>
      </c>
      <c r="EH1132" s="15" t="s">
        <v>9968</v>
      </c>
      <c r="EQ1132" s="15" t="s">
        <v>784</v>
      </c>
      <c r="ER1132" s="15" t="s">
        <v>558</v>
      </c>
      <c r="ES1132" s="15" t="s">
        <v>784</v>
      </c>
      <c r="ET1132" s="15" t="s">
        <v>782</v>
      </c>
      <c r="EU1132" s="15" t="s">
        <v>426</v>
      </c>
      <c r="EV1132" s="15">
        <v>1.0</v>
      </c>
      <c r="EW1132" s="15">
        <v>0.0</v>
      </c>
      <c r="FQ1132" s="15">
        <v>0.0</v>
      </c>
      <c r="FR1132" s="15" t="s">
        <v>427</v>
      </c>
      <c r="FX1132" s="15" t="s">
        <v>426</v>
      </c>
      <c r="FZ1132" s="15" t="s">
        <v>10764</v>
      </c>
      <c r="GB1132" s="15" t="s">
        <v>6948</v>
      </c>
      <c r="GD1132" s="15" t="s">
        <v>10771</v>
      </c>
      <c r="GF1132" s="15" t="s">
        <v>431</v>
      </c>
      <c r="GH1132" s="15" t="s">
        <v>764</v>
      </c>
    </row>
    <row r="1133" ht="17.25" customHeight="1">
      <c r="A1133" s="15" t="s">
        <v>10774</v>
      </c>
      <c r="B1133" s="15" t="str">
        <f>"801542748852"</f>
        <v>801542748852</v>
      </c>
      <c r="C1133" s="15" t="s">
        <v>25301</v>
      </c>
      <c r="D1133" s="15" t="str">
        <f t="shared" si="1"/>
        <v>Zuma NightstandDune Ash Veneer</v>
      </c>
      <c r="E1133" s="15" t="s">
        <v>10772</v>
      </c>
      <c r="F1133" s="15" t="s">
        <v>397</v>
      </c>
      <c r="G1133" s="15" t="s">
        <v>10749</v>
      </c>
      <c r="J1133" s="15" t="s">
        <v>10749</v>
      </c>
      <c r="K1133" s="15" t="s">
        <v>6999</v>
      </c>
      <c r="M1133" s="15" t="s">
        <v>5444</v>
      </c>
      <c r="N1133" s="15" t="s">
        <v>628</v>
      </c>
      <c r="P1133" s="15" t="str">
        <f>"24"</f>
        <v>24</v>
      </c>
      <c r="Q1133" s="15" t="str">
        <f t="shared" si="3328"/>
        <v>15.75</v>
      </c>
      <c r="R1133" s="15" t="str">
        <f>"26"</f>
        <v>26</v>
      </c>
      <c r="S1133" s="15" t="str">
        <f>"51.81"</f>
        <v>51.81</v>
      </c>
      <c r="T1133" s="15" t="s">
        <v>10753</v>
      </c>
      <c r="U1133" s="15" t="s">
        <v>11149</v>
      </c>
      <c r="V1133" s="15" t="s">
        <v>12520</v>
      </c>
      <c r="AA1133" s="15" t="s">
        <v>413</v>
      </c>
      <c r="AB1133" s="15" t="s">
        <v>413</v>
      </c>
      <c r="AC1133" s="15" t="s">
        <v>10776</v>
      </c>
      <c r="AD1133" s="15" t="s">
        <v>25302</v>
      </c>
      <c r="AE1133" s="15" t="s">
        <v>10775</v>
      </c>
      <c r="AF1133" s="15" t="s">
        <v>25303</v>
      </c>
      <c r="AG1133" s="15" t="s">
        <v>25304</v>
      </c>
      <c r="AH1133" s="15" t="s">
        <v>25305</v>
      </c>
      <c r="AI1133" s="15" t="s">
        <v>25306</v>
      </c>
      <c r="AJ1133" s="15" t="s">
        <v>25307</v>
      </c>
      <c r="AK1133" s="15" t="s">
        <v>25308</v>
      </c>
      <c r="AL1133" s="15" t="s">
        <v>25309</v>
      </c>
      <c r="AM1133" s="15" t="s">
        <v>25310</v>
      </c>
      <c r="AN1133" s="15" t="s">
        <v>25311</v>
      </c>
      <c r="AO1133" s="15" t="s">
        <v>25312</v>
      </c>
      <c r="AP1133" s="15" t="s">
        <v>25313</v>
      </c>
      <c r="AQ1133" s="15" t="s">
        <v>25314</v>
      </c>
      <c r="AR1133" s="15" t="s">
        <v>25315</v>
      </c>
      <c r="BH1133" s="15" t="s">
        <v>10773</v>
      </c>
      <c r="BI1133" s="15" t="str">
        <f>"749"</f>
        <v>749</v>
      </c>
      <c r="BJ1133" s="15" t="str">
        <f>"315"</f>
        <v>315</v>
      </c>
      <c r="BK1133" s="15" t="s">
        <v>742</v>
      </c>
      <c r="BL1133" s="15" t="str">
        <f t="shared" si="3327"/>
        <v>1</v>
      </c>
      <c r="BM1133" s="15" t="s">
        <v>416</v>
      </c>
      <c r="BN1133" s="15" t="str">
        <f>"27.56"</f>
        <v>27.56</v>
      </c>
      <c r="BO1133" s="15" t="str">
        <f>"20.08"</f>
        <v>20.08</v>
      </c>
      <c r="BP1133" s="15" t="str">
        <f>"30.12"</f>
        <v>30.12</v>
      </c>
      <c r="BQ1133" s="15" t="str">
        <f>"67.24"</f>
        <v>67.24</v>
      </c>
      <c r="CG1133" s="15" t="str">
        <f>"9.64"</f>
        <v>9.64</v>
      </c>
      <c r="CH1133" s="15" t="str">
        <f>"0.273"</f>
        <v>0.273</v>
      </c>
      <c r="CI1133" s="15" t="s">
        <v>497</v>
      </c>
      <c r="CJ1133" s="15" t="s">
        <v>3112</v>
      </c>
      <c r="CK1133" s="15" t="s">
        <v>3800</v>
      </c>
      <c r="CL1133" s="15" t="s">
        <v>4201</v>
      </c>
      <c r="CM1133" s="15" t="s">
        <v>3112</v>
      </c>
      <c r="CN1133" s="15" t="s">
        <v>6270</v>
      </c>
      <c r="CO1133" s="15" t="s">
        <v>4201</v>
      </c>
      <c r="CZ1133" s="15" t="s">
        <v>1371</v>
      </c>
      <c r="DA1133" s="15">
        <v>2.0</v>
      </c>
      <c r="DB1133" s="15" t="s">
        <v>419</v>
      </c>
      <c r="DD1133" s="15">
        <v>1.0</v>
      </c>
      <c r="DE1133" s="15" t="s">
        <v>426</v>
      </c>
      <c r="DF1133" s="15" t="s">
        <v>420</v>
      </c>
      <c r="DG1133" s="15" t="s">
        <v>421</v>
      </c>
      <c r="DK1133" s="15">
        <v>0.0</v>
      </c>
      <c r="DR1133" s="15" t="s">
        <v>471</v>
      </c>
      <c r="DS1133" s="15" t="s">
        <v>10757</v>
      </c>
      <c r="DU1133" s="15" t="s">
        <v>500</v>
      </c>
      <c r="EF1133" s="15" t="s">
        <v>4163</v>
      </c>
      <c r="EU1133" s="15" t="s">
        <v>426</v>
      </c>
      <c r="EV1133" s="15">
        <v>1.0</v>
      </c>
      <c r="FQ1133" s="15">
        <v>0.0</v>
      </c>
      <c r="FR1133" s="15" t="s">
        <v>427</v>
      </c>
      <c r="FX1133" s="15" t="s">
        <v>426</v>
      </c>
      <c r="FZ1133" s="15" t="s">
        <v>10764</v>
      </c>
      <c r="GB1133" s="15" t="s">
        <v>2050</v>
      </c>
      <c r="GD1133" s="15" t="s">
        <v>10777</v>
      </c>
      <c r="GF1133" s="15" t="s">
        <v>431</v>
      </c>
      <c r="GH1133" s="15" t="s">
        <v>764</v>
      </c>
    </row>
    <row r="1134" ht="17.25" customHeight="1">
      <c r="A1134" s="15" t="s">
        <v>10780</v>
      </c>
      <c r="B1134" s="15" t="str">
        <f>"801542775667"</f>
        <v>801542775667</v>
      </c>
      <c r="C1134" s="15" t="s">
        <v>25316</v>
      </c>
      <c r="D1134" s="15" t="str">
        <f t="shared" si="1"/>
        <v>Zuma SideboardDune Ash Veneer</v>
      </c>
      <c r="E1134" s="15" t="s">
        <v>10778</v>
      </c>
      <c r="F1134" s="15" t="s">
        <v>397</v>
      </c>
      <c r="G1134" s="15" t="s">
        <v>10749</v>
      </c>
      <c r="J1134" s="15" t="s">
        <v>10749</v>
      </c>
      <c r="K1134" s="15" t="s">
        <v>6999</v>
      </c>
      <c r="M1134" s="15" t="s">
        <v>5444</v>
      </c>
      <c r="N1134" s="15" t="s">
        <v>664</v>
      </c>
      <c r="P1134" s="15" t="str">
        <f>"72"</f>
        <v>72</v>
      </c>
      <c r="Q1134" s="15" t="str">
        <f>"18"</f>
        <v>18</v>
      </c>
      <c r="R1134" s="15" t="str">
        <f>"32"</f>
        <v>32</v>
      </c>
      <c r="S1134" s="15" t="str">
        <f>"146.61"</f>
        <v>146.61</v>
      </c>
      <c r="T1134" s="15" t="s">
        <v>10762</v>
      </c>
      <c r="U1134" s="15" t="s">
        <v>11149</v>
      </c>
      <c r="V1134" s="15" t="s">
        <v>12520</v>
      </c>
      <c r="W1134" s="15" t="s">
        <v>11138</v>
      </c>
      <c r="AA1134" s="15" t="s">
        <v>426</v>
      </c>
      <c r="AB1134" s="15" t="s">
        <v>413</v>
      </c>
      <c r="AC1134" s="15" t="s">
        <v>10782</v>
      </c>
      <c r="AD1134" s="15" t="s">
        <v>25317</v>
      </c>
      <c r="AE1134" s="15" t="s">
        <v>10781</v>
      </c>
      <c r="AF1134" s="15" t="s">
        <v>25318</v>
      </c>
      <c r="AG1134" s="15" t="s">
        <v>25319</v>
      </c>
      <c r="AH1134" s="15" t="s">
        <v>25320</v>
      </c>
      <c r="AI1134" s="15" t="s">
        <v>25321</v>
      </c>
      <c r="AJ1134" s="15" t="s">
        <v>25322</v>
      </c>
      <c r="AK1134" s="15" t="s">
        <v>25323</v>
      </c>
      <c r="AL1134" s="15" t="s">
        <v>25324</v>
      </c>
      <c r="AM1134" s="15" t="s">
        <v>25325</v>
      </c>
      <c r="AN1134" s="15" t="s">
        <v>25326</v>
      </c>
      <c r="AO1134" s="15" t="s">
        <v>25327</v>
      </c>
      <c r="AP1134" s="15" t="s">
        <v>25328</v>
      </c>
      <c r="BH1134" s="15" t="s">
        <v>10779</v>
      </c>
      <c r="BI1134" s="15" t="str">
        <f>"1699"</f>
        <v>1699</v>
      </c>
      <c r="BJ1134" s="15" t="str">
        <f>"715"</f>
        <v>715</v>
      </c>
      <c r="BK1134" s="15" t="s">
        <v>742</v>
      </c>
      <c r="BL1134" s="15" t="str">
        <f t="shared" si="3327"/>
        <v>1</v>
      </c>
      <c r="BM1134" s="15" t="s">
        <v>416</v>
      </c>
      <c r="BN1134" s="15" t="str">
        <f>"75.59"</f>
        <v>75.59</v>
      </c>
      <c r="BO1134" s="15" t="str">
        <f>"21.65"</f>
        <v>21.65</v>
      </c>
      <c r="BP1134" s="15" t="str">
        <f>"36.22"</f>
        <v>36.22</v>
      </c>
      <c r="BQ1134" s="15" t="str">
        <f>"181.88"</f>
        <v>181.88</v>
      </c>
      <c r="CG1134" s="15" t="str">
        <f>"34.33"</f>
        <v>34.33</v>
      </c>
      <c r="CH1134" s="15" t="str">
        <f>"0.972"</f>
        <v>0.972</v>
      </c>
      <c r="CI1134" s="15" t="s">
        <v>497</v>
      </c>
      <c r="CJ1134" s="15" t="s">
        <v>2165</v>
      </c>
      <c r="CK1134" s="15" t="s">
        <v>3800</v>
      </c>
      <c r="CL1134" s="15" t="s">
        <v>8120</v>
      </c>
      <c r="CM1134" s="15" t="s">
        <v>2020</v>
      </c>
      <c r="CN1134" s="15" t="s">
        <v>1425</v>
      </c>
      <c r="CO1134" s="15" t="s">
        <v>7440</v>
      </c>
      <c r="CZ1134" s="15" t="s">
        <v>419</v>
      </c>
      <c r="DA1134" s="15">
        <v>0.0</v>
      </c>
      <c r="DB1134" s="15" t="s">
        <v>419</v>
      </c>
      <c r="DD1134" s="15">
        <v>1.0</v>
      </c>
      <c r="DE1134" s="15" t="s">
        <v>426</v>
      </c>
      <c r="DF1134" s="15" t="s">
        <v>420</v>
      </c>
      <c r="DG1134" s="15" t="s">
        <v>610</v>
      </c>
      <c r="DI1134" s="15">
        <v>18.14</v>
      </c>
      <c r="DJ1134" s="15">
        <v>40.0</v>
      </c>
      <c r="DK1134" s="15">
        <v>2.0</v>
      </c>
      <c r="DS1134" s="15" t="s">
        <v>10757</v>
      </c>
      <c r="DU1134" s="15" t="s">
        <v>424</v>
      </c>
      <c r="EF1134" s="15" t="s">
        <v>7777</v>
      </c>
      <c r="EU1134" s="15" t="s">
        <v>426</v>
      </c>
      <c r="EV1134" s="15">
        <v>3.0</v>
      </c>
      <c r="FH1134" s="15" t="s">
        <v>5521</v>
      </c>
      <c r="FI1134" s="15" t="s">
        <v>782</v>
      </c>
      <c r="FJ1134" s="15" t="s">
        <v>10783</v>
      </c>
      <c r="FK1134" s="15" t="s">
        <v>2020</v>
      </c>
      <c r="FL1134" s="15" t="s">
        <v>782</v>
      </c>
      <c r="FM1134" s="15" t="s">
        <v>7440</v>
      </c>
      <c r="FN1134" s="15">
        <v>0.0</v>
      </c>
      <c r="FO1134" s="15" t="s">
        <v>426</v>
      </c>
      <c r="FP1134" s="15" t="s">
        <v>785</v>
      </c>
      <c r="FQ1134" s="15">
        <v>4.0</v>
      </c>
      <c r="FR1134" s="15" t="s">
        <v>614</v>
      </c>
      <c r="FS1134" s="15" t="s">
        <v>1045</v>
      </c>
      <c r="FT1134" s="15">
        <v>0.0</v>
      </c>
      <c r="FU1134" s="15" t="s">
        <v>426</v>
      </c>
      <c r="FW1134" s="15" t="s">
        <v>616</v>
      </c>
      <c r="GJ1134" s="15" t="s">
        <v>2165</v>
      </c>
      <c r="GK1134" s="15" t="s">
        <v>8114</v>
      </c>
      <c r="GL1134" s="15" t="s">
        <v>8120</v>
      </c>
      <c r="GZ1134" s="15" t="s">
        <v>2020</v>
      </c>
      <c r="HB1134" s="15" t="s">
        <v>1425</v>
      </c>
      <c r="HD1134" s="15" t="s">
        <v>7440</v>
      </c>
      <c r="HF1134" s="15" t="s">
        <v>1957</v>
      </c>
      <c r="HQ1134" s="15" t="s">
        <v>426</v>
      </c>
    </row>
  </sheetData>
  <autoFilter ref="$A$2:$NJ$1134"/>
  <mergeCells count="1">
    <mergeCell ref="U1:Z1"/>
  </mergeCells>
  <printOptions/>
  <pageMargins bottom="0.75" footer="0.0" header="0.0" left="0.7" right="0.7" top="0.75"/>
  <pageSetup orientation="landscape"/>
  <drawing r:id="rId1"/>
</worksheet>
</file>